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drawings/drawing2.xml" ContentType="application/vnd.openxmlformats-officedocument.drawing+xml"/>
  <Override PartName="/xl/comments1.xml" ContentType="application/vnd.openxmlformats-officedocument.spreadsheetml.comments+xml"/>
  <Override PartName="/xl/printerSettings/printerSettings2.bin" ContentType="application/vnd.openxmlformats-officedocument.spreadsheetml.printerSettings"/>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printerSettings/printerSettings3.bin" ContentType="application/vnd.openxmlformats-officedocument.spreadsheetml.printerSettings"/>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printerSettings/printerSettings4.bin" ContentType="application/vnd.openxmlformats-officedocument.spreadsheetml.printerSettings"/>
  <Override PartName="/xl/tables/table1.xml" ContentType="application/vnd.openxmlformats-officedocument.spreadsheetml.table+xml"/>
  <Override PartName="/xl/tables/table2.xml" ContentType="application/vnd.openxmlformats-officedocument.spreadsheetml.table+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drawings/drawing13.xml" ContentType="application/vnd.openxmlformats-officedocument.drawing+xml"/>
  <Override PartName="/xl/comments11.xml" ContentType="application/vnd.openxmlformats-officedocument.spreadsheetml.comments+xml"/>
  <Override PartName="/xl/printerSettings/printerSettings8.bin" ContentType="application/vnd.openxmlformats-officedocument.spreadsheetml.printerSettings"/>
  <Override PartName="/xl/drawings/drawing14.xml" ContentType="application/vnd.openxmlformats-officedocument.drawing+xml"/>
  <Override PartName="/xl/comments12.xml" ContentType="application/vnd.openxmlformats-officedocument.spreadsheetml.comments+xml"/>
  <Override PartName="/xl/printerSettings/printerSettings9.bin" ContentType="application/vnd.openxmlformats-officedocument.spreadsheetml.printerSettings"/>
  <Override PartName="/xl/drawings/drawing15.xml" ContentType="application/vnd.openxmlformats-officedocument.drawing+xml"/>
  <Override PartName="/xl/comments13.xml" ContentType="application/vnd.openxmlformats-officedocument.spreadsheetml.comments+xml"/>
  <Override PartName="/xl/printerSettings/printerSettings10.bin" ContentType="application/vnd.openxmlformats-officedocument.spreadsheetml.printerSettings"/>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printerSettings/printerSettings11.bin" ContentType="application/vnd.openxmlformats-officedocument.spreadsheetml.printerSettings"/>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printerSettings/printerSettings12.bin" ContentType="application/vnd.openxmlformats-officedocument.spreadsheetml.printerSettings"/>
  <Override PartName="/xl/drawings/drawing20.xml" ContentType="application/vnd.openxmlformats-officedocument.drawing+xml"/>
  <Override PartName="/xl/comments22.xml" ContentType="application/vnd.openxmlformats-officedocument.spreadsheetml.comments+xml"/>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tables/table3.xml" ContentType="application/vnd.openxmlformats-officedocument.spreadsheetml.table+xml"/>
  <Override PartName="/xl/tables/table4.xml" ContentType="application/vnd.openxmlformats-officedocument.spreadsheetml.table+xml"/>
  <Override PartName="/xl/drawings/drawing21.xml" ContentType="application/vnd.openxmlformats-officedocument.drawing+xml"/>
  <Override PartName="/xl/comments23.xml" ContentType="application/vnd.openxmlformats-officedocument.spreadsheetml.comments+xml"/>
  <Override PartName="/xl/drawings/drawing22.xml" ContentType="application/vnd.openxmlformats-officedocument.drawing+xml"/>
  <Override PartName="/xl/comments24.xml" ContentType="application/vnd.openxmlformats-officedocument.spreadsheetml.comments+xml"/>
  <Override PartName="/xl/drawings/drawing23.xml" ContentType="application/vnd.openxmlformats-officedocument.drawing+xml"/>
  <Override PartName="/xl/comments25.xml" ContentType="application/vnd.openxmlformats-officedocument.spreadsheetml.comments+xml"/>
  <Override PartName="/xl/drawings/drawing24.xml" ContentType="application/vnd.openxmlformats-officedocument.drawing+xml"/>
  <Override PartName="/xl/comments26.xml" ContentType="application/vnd.openxmlformats-officedocument.spreadsheetml.comments+xml"/>
  <Override PartName="/xl/drawings/drawing25.xml" ContentType="application/vnd.openxmlformats-officedocument.drawing+xml"/>
  <Override PartName="/xl/comments27.xml" ContentType="application/vnd.openxmlformats-officedocument.spreadsheetml.comments+xml"/>
  <Override PartName="/xl/drawings/drawing26.xml" ContentType="application/vnd.openxmlformats-officedocument.drawing+xml"/>
  <Override PartName="/xl/comments28.xml" ContentType="application/vnd.openxmlformats-officedocument.spreadsheetml.comments+xml"/>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eLivro" defaultThemeVersion="164011"/>
  <mc:AlternateContent xmlns:mc="http://schemas.openxmlformats.org/markup-compatibility/2006">
    <mc:Choice Requires="x15">
      <x15ac:absPath xmlns:x15ac="http://schemas.microsoft.com/office/spreadsheetml/2010/11/ac" url="C:\Users\AIPC\Desktop\Sustentabilidade\PC2023\"/>
    </mc:Choice>
  </mc:AlternateContent>
  <bookViews>
    <workbookView xWindow="0" yWindow="0" windowWidth="38400" windowHeight="11085" tabRatio="745" firstSheet="6" activeTab="35"/>
  </bookViews>
  <sheets>
    <sheet name="Folha de Rosto" sheetId="21" r:id="rId1"/>
    <sheet name="Indicadores Económicos e Op." sheetId="44" state="hidden" r:id="rId2"/>
    <sheet name="MM" sheetId="4" state="hidden" r:id="rId3"/>
    <sheet name="A1.1" sheetId="3" state="hidden" r:id="rId4"/>
    <sheet name="MM (ex BT)" sheetId="2" state="hidden" r:id="rId5"/>
    <sheet name="Notas" sheetId="60" r:id="rId6"/>
    <sheet name="A1.1 copy" sheetId="59" r:id="rId7"/>
    <sheet name="A1.1.1" sheetId="23" state="hidden" r:id="rId8"/>
    <sheet name="A1.1.1 copy" sheetId="45" r:id="rId9"/>
    <sheet name="A1.2" sheetId="24" state="hidden" r:id="rId10"/>
    <sheet name="A1.2 copy" sheetId="46" r:id="rId11"/>
    <sheet name="A1.2.1" sheetId="25" state="hidden" r:id="rId12"/>
    <sheet name="A1.3" sheetId="26" state="hidden" r:id="rId13"/>
    <sheet name="A1.3 copy" sheetId="47" r:id="rId14"/>
    <sheet name="A1.3.1" sheetId="29" state="hidden" r:id="rId15"/>
    <sheet name="A1.4" sheetId="28" state="hidden" r:id="rId16"/>
    <sheet name="A1.4.1" sheetId="27" state="hidden" r:id="rId17"/>
    <sheet name="A1.4.1 copy" sheetId="48" r:id="rId18"/>
    <sheet name="A1.4.2" sheetId="30" state="hidden" r:id="rId19"/>
    <sheet name="A2" sheetId="5" state="hidden" r:id="rId20"/>
    <sheet name="A3.1" sheetId="9" state="hidden" r:id="rId21"/>
    <sheet name="A2 copy" sheetId="50" r:id="rId22"/>
    <sheet name="A3.1 copy" sheetId="49" r:id="rId23"/>
    <sheet name="A3.2" sheetId="31" state="hidden" r:id="rId24"/>
    <sheet name="A3.2 copy" sheetId="51" r:id="rId25"/>
    <sheet name="A3.3" sheetId="32" state="hidden" r:id="rId26"/>
    <sheet name="A3.3 copy" sheetId="52" r:id="rId27"/>
    <sheet name="A3.4" sheetId="33" state="hidden" r:id="rId28"/>
    <sheet name="A3.4 copy" sheetId="58" r:id="rId29"/>
    <sheet name="A3.5" sheetId="34" state="hidden" r:id="rId30"/>
    <sheet name="A3.5 copy" sheetId="53" r:id="rId31"/>
    <sheet name="A3.6 copy" sheetId="14" r:id="rId32"/>
    <sheet name="A3.7" sheetId="39" state="hidden" r:id="rId33"/>
    <sheet name="A3.7 copy" sheetId="54" r:id="rId34"/>
    <sheet name="A3.8" sheetId="40" state="hidden" r:id="rId35"/>
    <sheet name="A3.8 copy" sheetId="55" r:id="rId36"/>
    <sheet name="A3.9.1" sheetId="17" state="hidden" r:id="rId37"/>
    <sheet name="A3.9.1 copy" sheetId="57" r:id="rId38"/>
    <sheet name="A3.9.1.1" sheetId="38" state="hidden" r:id="rId39"/>
    <sheet name="A3.9.1.2" sheetId="42" state="hidden" r:id="rId40"/>
    <sheet name="A3.9.2" sheetId="41" state="hidden" r:id="rId41"/>
    <sheet name="aux" sheetId="62" r:id="rId42"/>
    <sheet name="A3.9.2 copy" sheetId="56" r:id="rId43"/>
    <sheet name="A3.9.2.1" sheetId="43" state="hidden" r:id="rId44"/>
    <sheet name="A3.10 copy" sheetId="37" r:id="rId45"/>
    <sheet name="A3.11" sheetId="20" r:id="rId46"/>
    <sheet name="A3.12" sheetId="35" r:id="rId47"/>
    <sheet name="A3.13" sheetId="36" r:id="rId48"/>
    <sheet name="Indicadores Económicos" sheetId="63" r:id="rId49"/>
    <sheet name="Indicadores Econ. e Op. copy" sheetId="61" r:id="rId50"/>
  </sheets>
  <externalReferences>
    <externalReference r:id="rId51"/>
    <externalReference r:id="rId52"/>
    <externalReference r:id="rId53"/>
  </externalReferences>
  <definedNames>
    <definedName name="_xlnm._FilterDatabase" localSheetId="6" hidden="1">'A1.1 copy'!$A$1:$V$217</definedName>
    <definedName name="_xlnm._FilterDatabase" localSheetId="7" hidden="1">'A1.1.1'!$B$28:$M$916</definedName>
    <definedName name="_xlnm._FilterDatabase" localSheetId="8" hidden="1">'A1.1.1 copy'!$A$1:$V$7548</definedName>
    <definedName name="_xlnm._FilterDatabase" localSheetId="21" hidden="1">'A2 copy'!$A$1:$O$236</definedName>
    <definedName name="_xlnm._FilterDatabase" localSheetId="22" hidden="1">'A3.1 copy'!$A$1:$S$297</definedName>
    <definedName name="_xlnm._FilterDatabase" localSheetId="28" hidden="1">'A3.4 copy'!$A$1:$R$850</definedName>
    <definedName name="_xlnm._FilterDatabase" localSheetId="30" hidden="1">'A3.5 copy'!$A$1:$X$471</definedName>
    <definedName name="_xlnm._FilterDatabase" localSheetId="35" hidden="1">'A3.8 copy'!$A$1:$V$204</definedName>
    <definedName name="_xlnm._FilterDatabase" localSheetId="37" hidden="1">'A3.9.1 copy'!$A$1:$V$1158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94" i="56" l="1"/>
  <c r="N94" i="56"/>
  <c r="H94" i="56"/>
  <c r="C859" i="58"/>
  <c r="C858" i="58"/>
  <c r="C857" i="58"/>
  <c r="C856" i="58"/>
  <c r="C855" i="58"/>
  <c r="I859" i="58"/>
  <c r="I858" i="58"/>
  <c r="I856" i="58"/>
  <c r="I853" i="58"/>
  <c r="C851" i="58"/>
  <c r="C852" i="58"/>
  <c r="C853" i="58"/>
  <c r="C854" i="58"/>
  <c r="W57" i="61"/>
  <c r="V57" i="61"/>
  <c r="U57" i="61"/>
  <c r="T57" i="61"/>
  <c r="W56" i="61"/>
  <c r="V56" i="61"/>
  <c r="U56" i="61"/>
  <c r="T56" i="61"/>
  <c r="L87" i="52"/>
  <c r="L86" i="52"/>
  <c r="C69" i="51"/>
  <c r="C90" i="48"/>
  <c r="F245" i="50"/>
  <c r="I313" i="46"/>
  <c r="I312" i="46"/>
  <c r="N312" i="46"/>
  <c r="N313" i="46"/>
  <c r="P220" i="59" l="1"/>
  <c r="P218" i="59"/>
  <c r="O7632" i="45"/>
  <c r="O7631" i="45"/>
  <c r="O7627" i="45"/>
  <c r="O7626" i="45"/>
  <c r="J7632" i="45"/>
  <c r="J7631" i="45"/>
  <c r="J7627" i="45"/>
  <c r="J7626" i="45"/>
  <c r="N7632" i="45"/>
  <c r="L7632" i="45"/>
  <c r="N7631" i="45"/>
  <c r="L7631" i="45"/>
  <c r="N7626" i="45"/>
  <c r="L7626" i="45"/>
  <c r="N7627" i="45"/>
  <c r="L7627" i="45"/>
  <c r="E221" i="59"/>
  <c r="E220" i="59"/>
  <c r="E219" i="59"/>
  <c r="E218" i="59"/>
  <c r="O7549" i="45"/>
  <c r="O7550" i="45"/>
  <c r="O7551" i="45"/>
  <c r="O7552" i="45"/>
  <c r="O7553" i="45"/>
  <c r="O7554" i="45"/>
  <c r="O7555" i="45"/>
  <c r="O7556" i="45"/>
  <c r="O7557" i="45"/>
  <c r="O7558" i="45"/>
  <c r="O7559" i="45"/>
  <c r="O7560" i="45"/>
  <c r="O7561" i="45"/>
  <c r="O7562" i="45"/>
  <c r="O7563" i="45"/>
  <c r="O7564" i="45"/>
  <c r="O7565" i="45"/>
  <c r="O7566" i="45"/>
  <c r="O7567" i="45"/>
  <c r="O7568" i="45"/>
  <c r="O7569" i="45"/>
  <c r="O7570" i="45"/>
  <c r="O7571" i="45"/>
  <c r="O7572" i="45"/>
  <c r="O7573" i="45"/>
  <c r="O7574" i="45"/>
  <c r="O7575" i="45"/>
  <c r="O7576" i="45"/>
  <c r="O7577" i="45"/>
  <c r="O7578" i="45"/>
  <c r="O7579" i="45"/>
  <c r="O7580" i="45"/>
  <c r="O7581" i="45"/>
  <c r="O7582" i="45"/>
  <c r="O7583" i="45"/>
  <c r="O7584" i="45"/>
  <c r="O7585" i="45"/>
  <c r="O7586" i="45"/>
  <c r="O7587" i="45"/>
  <c r="O7588" i="45"/>
  <c r="O7589" i="45"/>
  <c r="O7590" i="45"/>
  <c r="O7591" i="45"/>
  <c r="O7592" i="45"/>
  <c r="O7593" i="45"/>
  <c r="O7594" i="45"/>
  <c r="O7595" i="45"/>
  <c r="O7596" i="45"/>
  <c r="O7597" i="45"/>
  <c r="O7598" i="45"/>
  <c r="O7599" i="45"/>
  <c r="O7600" i="45"/>
  <c r="O7601" i="45"/>
  <c r="O7602" i="45"/>
  <c r="O7603" i="45"/>
  <c r="O7604" i="45"/>
  <c r="O7605" i="45"/>
  <c r="O7606" i="45"/>
  <c r="O7607" i="45"/>
  <c r="O7608" i="45"/>
  <c r="O7609" i="45"/>
  <c r="O7610" i="45"/>
  <c r="O7611" i="45"/>
  <c r="O7612" i="45"/>
  <c r="O7613" i="45"/>
  <c r="O7614" i="45"/>
  <c r="O7615" i="45"/>
  <c r="O7616" i="45"/>
  <c r="O7617" i="45"/>
  <c r="O7618" i="45"/>
  <c r="O7619" i="45"/>
  <c r="O7620" i="45"/>
  <c r="O7621" i="45"/>
  <c r="O7622" i="45"/>
  <c r="O7623" i="45"/>
  <c r="O7624" i="45"/>
  <c r="I7605" i="45"/>
  <c r="I7604" i="45"/>
  <c r="I7603" i="45"/>
  <c r="I7549" i="45"/>
  <c r="I7550" i="45"/>
  <c r="I7551" i="45"/>
  <c r="I7552" i="45"/>
  <c r="I7553" i="45"/>
  <c r="I7554" i="45"/>
  <c r="I7555" i="45"/>
  <c r="I7556" i="45"/>
  <c r="I7557" i="45"/>
  <c r="I7558" i="45"/>
  <c r="I7559" i="45"/>
  <c r="I7560" i="45"/>
  <c r="I7561" i="45"/>
  <c r="I7562" i="45"/>
  <c r="I7563" i="45"/>
  <c r="I7564" i="45"/>
  <c r="I7565" i="45"/>
  <c r="I7566" i="45"/>
  <c r="I7567" i="45"/>
  <c r="I7568" i="45"/>
  <c r="I7569" i="45"/>
  <c r="I7570" i="45"/>
  <c r="I7571" i="45"/>
  <c r="I7572" i="45"/>
  <c r="I7573" i="45"/>
  <c r="I7574" i="45"/>
  <c r="I7575" i="45"/>
  <c r="I7576" i="45"/>
  <c r="I7577" i="45"/>
  <c r="I7578" i="45"/>
  <c r="I7579" i="45"/>
  <c r="I7580" i="45"/>
  <c r="I7581" i="45"/>
  <c r="I7582" i="45"/>
  <c r="I7583" i="45"/>
  <c r="I7584" i="45"/>
  <c r="I7585" i="45"/>
  <c r="I7586" i="45"/>
  <c r="I7587" i="45"/>
  <c r="I7588" i="45"/>
  <c r="I7589" i="45"/>
  <c r="I7590" i="45"/>
  <c r="I7591" i="45"/>
  <c r="I7592" i="45"/>
  <c r="I7593" i="45"/>
  <c r="I7594" i="45"/>
  <c r="I7595" i="45"/>
  <c r="I7596" i="45"/>
  <c r="I7597" i="45"/>
  <c r="I7598" i="45"/>
  <c r="I7599" i="45"/>
  <c r="I7600" i="45"/>
  <c r="I7601" i="45"/>
  <c r="I7602" i="45"/>
  <c r="I7606" i="45"/>
  <c r="I7607" i="45"/>
  <c r="I7608" i="45"/>
  <c r="I7609" i="45"/>
  <c r="I7610" i="45"/>
  <c r="I7611" i="45"/>
  <c r="I7612" i="45"/>
  <c r="I7613" i="45"/>
  <c r="I7614" i="45"/>
  <c r="I7615" i="45"/>
  <c r="I7616" i="45"/>
  <c r="I7617" i="45"/>
  <c r="I7618" i="45"/>
  <c r="I7619" i="45"/>
  <c r="I7620" i="45"/>
  <c r="I7621" i="45"/>
  <c r="I7622" i="45"/>
  <c r="I7623" i="45"/>
  <c r="I7624" i="45"/>
  <c r="C89" i="48" l="1"/>
  <c r="J31" i="63"/>
  <c r="J30" i="63"/>
  <c r="O15" i="59" l="1"/>
  <c r="M15" i="59"/>
  <c r="M22" i="59"/>
  <c r="L85" i="52" l="1"/>
  <c r="L84" i="52"/>
  <c r="L83" i="52"/>
  <c r="L82" i="52"/>
  <c r="L81" i="52"/>
  <c r="L80" i="52"/>
  <c r="L79" i="52"/>
  <c r="L78" i="52"/>
  <c r="L77" i="52"/>
  <c r="L76" i="52"/>
  <c r="L75" i="52"/>
  <c r="L74" i="52"/>
  <c r="L73" i="52"/>
  <c r="L72" i="52"/>
  <c r="L71" i="52"/>
  <c r="L70" i="52"/>
  <c r="L69" i="52"/>
  <c r="L67" i="52"/>
  <c r="L66" i="52"/>
  <c r="L65" i="52"/>
  <c r="L64" i="52"/>
  <c r="L63" i="52"/>
  <c r="L62" i="52"/>
  <c r="L61" i="52"/>
  <c r="L60" i="52"/>
  <c r="L59" i="52"/>
  <c r="L58" i="52"/>
  <c r="L57" i="52"/>
  <c r="L56" i="52"/>
  <c r="L55" i="52"/>
  <c r="L54" i="52"/>
  <c r="L53" i="52"/>
  <c r="L52" i="52"/>
  <c r="L51" i="52"/>
  <c r="L50" i="52"/>
  <c r="L49" i="52"/>
  <c r="L48" i="52"/>
  <c r="L47" i="52"/>
  <c r="L46" i="52"/>
  <c r="L45" i="52"/>
  <c r="L44" i="52"/>
  <c r="L43" i="52"/>
  <c r="L42" i="52"/>
  <c r="L41" i="52"/>
  <c r="L40" i="52"/>
  <c r="L39" i="52"/>
  <c r="L38" i="52"/>
  <c r="L37" i="52"/>
  <c r="L36" i="52"/>
  <c r="L35" i="52"/>
  <c r="L34" i="52"/>
  <c r="L33" i="52"/>
  <c r="L32" i="52"/>
  <c r="L31" i="52"/>
  <c r="L30" i="52"/>
  <c r="L29" i="52"/>
  <c r="L28" i="52"/>
  <c r="L27" i="52"/>
  <c r="L26" i="52"/>
  <c r="L25" i="52"/>
  <c r="L24" i="52"/>
  <c r="L23" i="52"/>
  <c r="L22" i="52"/>
  <c r="L21" i="52"/>
  <c r="L20" i="52"/>
  <c r="L19" i="52"/>
  <c r="L18" i="52"/>
  <c r="L17" i="52"/>
  <c r="L16" i="52"/>
  <c r="L15" i="52"/>
  <c r="L14" i="52"/>
  <c r="L13" i="52"/>
  <c r="L12" i="52"/>
  <c r="L11" i="52"/>
  <c r="L10" i="52"/>
  <c r="L9" i="52"/>
  <c r="L8" i="52"/>
  <c r="L7" i="52"/>
  <c r="L6" i="52"/>
  <c r="L5" i="52"/>
  <c r="L4" i="52"/>
  <c r="L3" i="52"/>
  <c r="L68" i="52"/>
  <c r="H107" i="54"/>
  <c r="I107" i="54" s="1"/>
  <c r="I4" i="54"/>
  <c r="I5" i="54"/>
  <c r="I6" i="54"/>
  <c r="I7" i="54"/>
  <c r="I8" i="5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8" i="54"/>
  <c r="I109" i="54"/>
  <c r="I110" i="54"/>
  <c r="I111" i="54"/>
  <c r="I146" i="54"/>
  <c r="I147" i="54"/>
  <c r="I148" i="54"/>
  <c r="I149" i="54"/>
  <c r="I150" i="54"/>
  <c r="I151" i="54"/>
  <c r="I152" i="54"/>
  <c r="I153" i="54"/>
  <c r="I154" i="54"/>
  <c r="I155" i="54"/>
  <c r="I156" i="54"/>
  <c r="I157" i="54"/>
  <c r="I158" i="54"/>
  <c r="I159" i="54"/>
  <c r="I160" i="54"/>
  <c r="I161" i="54"/>
  <c r="I162" i="54"/>
  <c r="I3" i="54"/>
  <c r="A29" i="57"/>
  <c r="A61" i="57"/>
  <c r="A134" i="57"/>
  <c r="A133" i="57"/>
  <c r="A132" i="57"/>
  <c r="A131" i="57"/>
  <c r="A130" i="57"/>
  <c r="A129" i="57"/>
  <c r="A128" i="57"/>
  <c r="A127" i="57"/>
  <c r="A126" i="57"/>
  <c r="A125" i="57"/>
  <c r="A124" i="57"/>
  <c r="A123" i="57"/>
  <c r="A122" i="57"/>
  <c r="A121" i="57"/>
  <c r="A120" i="57"/>
  <c r="A119" i="57"/>
  <c r="A118" i="57"/>
  <c r="A117" i="57"/>
  <c r="A116" i="57"/>
  <c r="A115" i="57"/>
  <c r="A114" i="57"/>
  <c r="A113" i="57"/>
  <c r="A135" i="57"/>
  <c r="A158" i="57"/>
  <c r="A159" i="57"/>
  <c r="A161" i="57"/>
  <c r="A162" i="57"/>
  <c r="A163" i="57"/>
  <c r="A164" i="57"/>
  <c r="A165" i="57"/>
  <c r="A166" i="57"/>
  <c r="A167" i="57"/>
  <c r="A168" i="57"/>
  <c r="A169" i="57"/>
  <c r="A170" i="57"/>
  <c r="A171" i="57"/>
  <c r="A172" i="57"/>
  <c r="A173" i="57"/>
  <c r="A174" i="57"/>
  <c r="A175" i="57"/>
  <c r="A176" i="57"/>
  <c r="A160" i="57"/>
  <c r="Q213" i="59" l="1"/>
  <c r="P213" i="59"/>
  <c r="O213" i="59"/>
  <c r="M213" i="59"/>
  <c r="E213" i="59"/>
  <c r="C213" i="59"/>
  <c r="C209" i="59"/>
  <c r="C782" i="58" l="1"/>
  <c r="U37" i="61" l="1"/>
  <c r="U38" i="61"/>
  <c r="U39" i="61"/>
  <c r="U40" i="61"/>
  <c r="U41" i="61"/>
  <c r="U42" i="61"/>
  <c r="U43" i="61"/>
  <c r="U44" i="61"/>
  <c r="U45" i="61"/>
  <c r="U46" i="61"/>
  <c r="U53" i="61"/>
  <c r="U54" i="61"/>
  <c r="U55" i="61"/>
  <c r="U30" i="61"/>
  <c r="U31" i="61"/>
  <c r="U32" i="61"/>
  <c r="U33" i="61"/>
  <c r="U34" i="61"/>
  <c r="U35" i="61"/>
  <c r="U29" i="61"/>
  <c r="U28" i="61"/>
  <c r="V55" i="61"/>
  <c r="V54" i="61"/>
  <c r="V53" i="61"/>
  <c r="V46" i="61"/>
  <c r="V45" i="61"/>
  <c r="V44" i="61"/>
  <c r="V43" i="61"/>
  <c r="V42" i="61"/>
  <c r="V41" i="61"/>
  <c r="V39" i="61"/>
  <c r="V37" i="61"/>
  <c r="V35" i="61"/>
  <c r="V34" i="61"/>
  <c r="V33" i="61"/>
  <c r="V32" i="61"/>
  <c r="V31" i="61"/>
  <c r="V30" i="61"/>
  <c r="V29" i="61"/>
  <c r="V28" i="61"/>
  <c r="W37" i="61"/>
  <c r="W39" i="61"/>
  <c r="W41" i="61"/>
  <c r="W42" i="61"/>
  <c r="W43" i="61"/>
  <c r="W44" i="61"/>
  <c r="W45" i="61"/>
  <c r="W46" i="61"/>
  <c r="W47" i="61"/>
  <c r="W49" i="61"/>
  <c r="W53" i="61"/>
  <c r="W54" i="61"/>
  <c r="W55" i="61"/>
  <c r="W30" i="61"/>
  <c r="W31" i="61"/>
  <c r="W32" i="61"/>
  <c r="W33" i="61"/>
  <c r="W35" i="61"/>
  <c r="W29" i="61"/>
  <c r="W28" i="61"/>
  <c r="U13" i="61"/>
  <c r="U14" i="61"/>
  <c r="U15" i="61"/>
  <c r="U23" i="61"/>
  <c r="U24" i="61"/>
  <c r="U3" i="61"/>
  <c r="U4" i="61"/>
  <c r="U5" i="61"/>
  <c r="U6" i="61"/>
  <c r="U2" i="61"/>
  <c r="T35" i="61"/>
  <c r="T55" i="61"/>
  <c r="T54" i="61"/>
  <c r="T53" i="61"/>
  <c r="T46" i="61"/>
  <c r="T45" i="61"/>
  <c r="T44" i="61"/>
  <c r="T43" i="61"/>
  <c r="T42" i="61"/>
  <c r="T41" i="61"/>
  <c r="T39" i="61"/>
  <c r="T38" i="61"/>
  <c r="T37" i="61"/>
  <c r="T33" i="61"/>
  <c r="T32" i="61"/>
  <c r="T31" i="61"/>
  <c r="T30" i="61"/>
  <c r="T29" i="61"/>
  <c r="T28" i="61"/>
  <c r="G34" i="61"/>
  <c r="G35" i="61"/>
  <c r="G38" i="61"/>
  <c r="G39" i="61"/>
  <c r="G41" i="61"/>
  <c r="G42" i="61"/>
  <c r="G43" i="61"/>
  <c r="G44" i="61"/>
  <c r="G45" i="61"/>
  <c r="G46" i="61"/>
  <c r="G48" i="61"/>
  <c r="G50" i="61"/>
  <c r="G53" i="61"/>
  <c r="G54" i="61"/>
  <c r="G55" i="61"/>
  <c r="G28" i="61"/>
  <c r="M29" i="63" l="1"/>
  <c r="L29" i="63"/>
  <c r="J29" i="63"/>
  <c r="L28" i="63" l="1"/>
  <c r="M28" i="63"/>
  <c r="J28" i="63"/>
  <c r="L27" i="63" l="1"/>
  <c r="M27" i="63"/>
  <c r="J10" i="63"/>
  <c r="J27" i="63"/>
  <c r="Q21" i="63"/>
  <c r="Q20" i="63"/>
  <c r="Q17" i="63"/>
  <c r="M21" i="63"/>
  <c r="R20" i="63"/>
  <c r="M20" i="63"/>
  <c r="L20" i="63"/>
  <c r="J20" i="63"/>
  <c r="M19" i="63"/>
  <c r="L19" i="63"/>
  <c r="J19" i="63"/>
  <c r="L18" i="63"/>
  <c r="M18" i="63"/>
  <c r="J18" i="63"/>
  <c r="R17" i="63"/>
  <c r="L17" i="63"/>
  <c r="M17" i="63"/>
  <c r="J17" i="63"/>
  <c r="P16" i="63"/>
  <c r="Q16" i="63" s="1"/>
  <c r="M16" i="63"/>
  <c r="L16" i="63"/>
  <c r="J16" i="63"/>
  <c r="J15" i="63"/>
  <c r="M15" i="63"/>
  <c r="L15" i="63"/>
  <c r="J14" i="63"/>
  <c r="J13" i="63"/>
  <c r="L13" i="63"/>
  <c r="M13" i="63"/>
  <c r="J11" i="63"/>
  <c r="J12" i="63"/>
  <c r="M12" i="63"/>
  <c r="L12" i="63"/>
  <c r="M11" i="63"/>
  <c r="L11" i="63"/>
  <c r="M3" i="63"/>
  <c r="M4" i="63"/>
  <c r="M5" i="63"/>
  <c r="M6" i="63"/>
  <c r="M7" i="63"/>
  <c r="M8" i="63"/>
  <c r="M9" i="63"/>
  <c r="M2" i="63"/>
  <c r="J3" i="63"/>
  <c r="J4" i="63"/>
  <c r="J5" i="63"/>
  <c r="J6" i="63"/>
  <c r="J7" i="63"/>
  <c r="J8" i="63"/>
  <c r="J9" i="63"/>
  <c r="J2" i="63"/>
  <c r="L9" i="63"/>
  <c r="L3" i="63"/>
  <c r="L4" i="63"/>
  <c r="L5" i="63"/>
  <c r="L6" i="63"/>
  <c r="L7" i="63"/>
  <c r="L2" i="63"/>
  <c r="R404" i="53" l="1"/>
  <c r="R454" i="53"/>
  <c r="R453" i="53"/>
  <c r="R452" i="53"/>
  <c r="R455" i="53"/>
  <c r="E481" i="58" l="1"/>
  <c r="C488" i="58"/>
  <c r="C481" i="58"/>
  <c r="C482" i="58"/>
  <c r="C490" i="58"/>
  <c r="C483" i="58"/>
  <c r="C487" i="58"/>
  <c r="C489" i="58"/>
  <c r="C486" i="58"/>
  <c r="C484" i="58"/>
  <c r="C480" i="58"/>
  <c r="C485" i="58"/>
  <c r="C533" i="58"/>
  <c r="C536" i="58"/>
  <c r="C528" i="58"/>
  <c r="C529" i="58"/>
  <c r="C538" i="58"/>
  <c r="C530" i="58"/>
  <c r="C535" i="58"/>
  <c r="C537" i="58"/>
  <c r="C534" i="58"/>
  <c r="C531" i="58"/>
  <c r="C527" i="58"/>
  <c r="C532" i="58"/>
  <c r="C509" i="58"/>
  <c r="C512" i="58"/>
  <c r="C504" i="58"/>
  <c r="C505" i="58"/>
  <c r="C514" i="58"/>
  <c r="C506" i="58"/>
  <c r="C511" i="58"/>
  <c r="C513" i="58"/>
  <c r="C510" i="58"/>
  <c r="C507" i="58"/>
  <c r="C503" i="58"/>
  <c r="C508" i="58"/>
  <c r="C521" i="58"/>
  <c r="C524" i="58"/>
  <c r="C516" i="58"/>
  <c r="C517" i="58"/>
  <c r="C526" i="58"/>
  <c r="C518" i="58"/>
  <c r="C523" i="58"/>
  <c r="C525" i="58"/>
  <c r="C522" i="58"/>
  <c r="C519" i="58"/>
  <c r="C515" i="58"/>
  <c r="C520" i="58"/>
  <c r="C558" i="58"/>
  <c r="C554" i="58"/>
  <c r="C561" i="58"/>
  <c r="C552" i="58"/>
  <c r="C553" i="58"/>
  <c r="C563" i="58"/>
  <c r="C555" i="58"/>
  <c r="C560" i="58"/>
  <c r="C562" i="58"/>
  <c r="C559" i="58"/>
  <c r="C556" i="58"/>
  <c r="C551" i="58"/>
  <c r="C557" i="58"/>
  <c r="C494" i="58"/>
  <c r="C500" i="58"/>
  <c r="C492" i="58"/>
  <c r="C493" i="58"/>
  <c r="C502" i="58"/>
  <c r="C495" i="58"/>
  <c r="C499" i="58"/>
  <c r="C501" i="58"/>
  <c r="C498" i="58"/>
  <c r="C496" i="58"/>
  <c r="C491" i="58"/>
  <c r="C497" i="58"/>
  <c r="C542" i="58"/>
  <c r="C548" i="58"/>
  <c r="C540" i="58"/>
  <c r="C541" i="58"/>
  <c r="C550" i="58"/>
  <c r="C543" i="58"/>
  <c r="C547" i="58"/>
  <c r="C549" i="58"/>
  <c r="C546" i="58"/>
  <c r="C544" i="58"/>
  <c r="C539" i="58"/>
  <c r="C545" i="58"/>
  <c r="C653" i="58"/>
  <c r="C656" i="58"/>
  <c r="C648" i="58"/>
  <c r="C649" i="58"/>
  <c r="C658" i="58"/>
  <c r="C650" i="58"/>
  <c r="C655" i="58"/>
  <c r="C657" i="58"/>
  <c r="C654" i="58"/>
  <c r="C651" i="58"/>
  <c r="C647" i="58"/>
  <c r="C652" i="58"/>
  <c r="C478" i="58"/>
  <c r="C479" i="58"/>
  <c r="C787" i="58"/>
  <c r="C477" i="58"/>
  <c r="C748" i="58"/>
  <c r="C749" i="58"/>
  <c r="C750" i="58"/>
  <c r="C794" i="58"/>
  <c r="C786" i="58"/>
  <c r="C567" i="58"/>
  <c r="C591" i="58"/>
  <c r="C589" i="58"/>
  <c r="C590" i="58"/>
  <c r="C570" i="58"/>
  <c r="C568" i="58"/>
  <c r="C569" i="58"/>
  <c r="C583" i="58"/>
  <c r="C581" i="58"/>
  <c r="C582" i="58"/>
  <c r="C598" i="58"/>
  <c r="C596" i="58"/>
  <c r="C597" i="58"/>
  <c r="C785" i="58"/>
  <c r="C783" i="58"/>
  <c r="C784" i="58"/>
  <c r="C790" i="58"/>
  <c r="C788" i="58"/>
  <c r="C789" i="58"/>
  <c r="C850" i="58"/>
  <c r="C848" i="58"/>
  <c r="C849" i="58"/>
  <c r="C587" i="58"/>
  <c r="C588" i="58"/>
  <c r="C584" i="58"/>
  <c r="C585" i="58"/>
  <c r="C586" i="58"/>
  <c r="C752" i="58"/>
  <c r="C753" i="58"/>
  <c r="C754" i="58"/>
  <c r="C751" i="58"/>
  <c r="C776" i="58"/>
  <c r="C755" i="58"/>
  <c r="C756" i="58"/>
  <c r="C757" i="58"/>
  <c r="C758" i="58"/>
  <c r="C759" i="58"/>
  <c r="C760" i="58"/>
  <c r="C777" i="58"/>
  <c r="C761" i="58"/>
  <c r="C762" i="58"/>
  <c r="C763" i="58"/>
  <c r="C773" i="58"/>
  <c r="C764" i="58"/>
  <c r="C774" i="58"/>
  <c r="C775" i="58"/>
  <c r="C765" i="58"/>
  <c r="C766" i="58"/>
  <c r="C767" i="58"/>
  <c r="C768" i="58"/>
  <c r="C769" i="58"/>
  <c r="C770" i="58"/>
  <c r="C771" i="58"/>
  <c r="C772" i="58"/>
  <c r="C778" i="58"/>
  <c r="C687" i="58"/>
  <c r="C688" i="58"/>
  <c r="C689" i="58"/>
  <c r="C686" i="58"/>
  <c r="C709" i="58"/>
  <c r="C690" i="58"/>
  <c r="C691" i="58"/>
  <c r="C692" i="58"/>
  <c r="C693" i="58"/>
  <c r="C694" i="58"/>
  <c r="C710" i="58"/>
  <c r="C695" i="58"/>
  <c r="C696" i="58"/>
  <c r="C697" i="58"/>
  <c r="C698" i="58"/>
  <c r="C707" i="58"/>
  <c r="C708" i="58"/>
  <c r="C699" i="58"/>
  <c r="C700" i="58"/>
  <c r="C701" i="58"/>
  <c r="C702" i="58"/>
  <c r="C703" i="58"/>
  <c r="C704" i="58"/>
  <c r="C705" i="58"/>
  <c r="C706" i="58"/>
  <c r="C711" i="58"/>
  <c r="C660" i="58"/>
  <c r="C661" i="58"/>
  <c r="C662" i="58"/>
  <c r="C659" i="58"/>
  <c r="C683" i="58"/>
  <c r="C663" i="58"/>
  <c r="C664" i="58"/>
  <c r="C665" i="58"/>
  <c r="C666" i="58"/>
  <c r="C667" i="58"/>
  <c r="C668" i="58"/>
  <c r="C684" i="58"/>
  <c r="C669" i="58"/>
  <c r="C670" i="58"/>
  <c r="C671" i="58"/>
  <c r="C672" i="58"/>
  <c r="C681" i="58"/>
  <c r="C682" i="58"/>
  <c r="C673" i="58"/>
  <c r="C674" i="58"/>
  <c r="C675" i="58"/>
  <c r="C676" i="58"/>
  <c r="C677" i="58"/>
  <c r="C678" i="58"/>
  <c r="C679" i="58"/>
  <c r="C680" i="58"/>
  <c r="C685" i="58"/>
  <c r="C623" i="58"/>
  <c r="C624" i="58"/>
  <c r="C625" i="58"/>
  <c r="C622" i="58"/>
  <c r="C645" i="58"/>
  <c r="C626" i="58"/>
  <c r="C627" i="58"/>
  <c r="C628" i="58"/>
  <c r="C629" i="58"/>
  <c r="C630" i="58"/>
  <c r="C646" i="58"/>
  <c r="C631" i="58"/>
  <c r="C632" i="58"/>
  <c r="C633" i="58"/>
  <c r="C634" i="58"/>
  <c r="C643" i="58"/>
  <c r="C644" i="58"/>
  <c r="C635" i="58"/>
  <c r="C636" i="58"/>
  <c r="C637" i="58"/>
  <c r="C638" i="58"/>
  <c r="C639" i="58"/>
  <c r="C640" i="58"/>
  <c r="C641" i="58"/>
  <c r="C642" i="58"/>
  <c r="C600" i="58"/>
  <c r="C601" i="58"/>
  <c r="C599" i="58"/>
  <c r="C619" i="58"/>
  <c r="C602" i="58"/>
  <c r="C603" i="58"/>
  <c r="C604" i="58"/>
  <c r="C605" i="58"/>
  <c r="C606" i="58"/>
  <c r="C620" i="58"/>
  <c r="C607" i="58"/>
  <c r="C608" i="58"/>
  <c r="C609" i="58"/>
  <c r="C618" i="58"/>
  <c r="C610" i="58"/>
  <c r="C611" i="58"/>
  <c r="C612" i="58"/>
  <c r="C613" i="58"/>
  <c r="C614" i="58"/>
  <c r="C615" i="58"/>
  <c r="C616" i="58"/>
  <c r="C617" i="58"/>
  <c r="C621" i="58"/>
  <c r="C713" i="58"/>
  <c r="C714" i="58"/>
  <c r="C715" i="58"/>
  <c r="C716" i="58"/>
  <c r="C717" i="58"/>
  <c r="C718" i="58"/>
  <c r="C719" i="58"/>
  <c r="C740" i="58"/>
  <c r="C720" i="58"/>
  <c r="C721" i="58"/>
  <c r="C722" i="58"/>
  <c r="C723" i="58"/>
  <c r="C724" i="58"/>
  <c r="C741" i="58"/>
  <c r="C739" i="58"/>
  <c r="C725" i="58"/>
  <c r="C747" i="58"/>
  <c r="C726" i="58"/>
  <c r="C727" i="58"/>
  <c r="C728" i="58"/>
  <c r="C742" i="58"/>
  <c r="C729" i="58"/>
  <c r="C730" i="58"/>
  <c r="C731" i="58"/>
  <c r="C732" i="58"/>
  <c r="C733" i="58"/>
  <c r="C734" i="58"/>
  <c r="C743" i="58"/>
  <c r="C735" i="58"/>
  <c r="C736" i="58"/>
  <c r="C737" i="58"/>
  <c r="C744" i="58"/>
  <c r="C745" i="58"/>
  <c r="C712" i="58"/>
  <c r="C746" i="58"/>
  <c r="C738" i="58"/>
  <c r="C793" i="58"/>
  <c r="C792" i="58"/>
  <c r="C791" i="58"/>
  <c r="C565" i="58"/>
  <c r="C564" i="58"/>
  <c r="C580" i="58"/>
  <c r="C579" i="58"/>
  <c r="C578" i="58"/>
  <c r="C811" i="58"/>
  <c r="C796" i="58"/>
  <c r="C814" i="58"/>
  <c r="C795" i="58"/>
  <c r="C797" i="58"/>
  <c r="C798" i="58"/>
  <c r="C810" i="58"/>
  <c r="C809" i="58"/>
  <c r="C799" i="58"/>
  <c r="C800" i="58"/>
  <c r="C801" i="58"/>
  <c r="C802" i="58"/>
  <c r="C803" i="58"/>
  <c r="C804" i="58"/>
  <c r="C805" i="58"/>
  <c r="C812" i="58"/>
  <c r="C806" i="58"/>
  <c r="C807" i="58"/>
  <c r="C813" i="58"/>
  <c r="C808" i="58"/>
  <c r="C822" i="58"/>
  <c r="C823" i="58"/>
  <c r="C824" i="58"/>
  <c r="C825" i="58"/>
  <c r="C826" i="58"/>
  <c r="C827" i="58"/>
  <c r="C828" i="58"/>
  <c r="C829" i="58"/>
  <c r="C830" i="58"/>
  <c r="C831" i="58"/>
  <c r="C832" i="58"/>
  <c r="C833" i="58"/>
  <c r="C834" i="58"/>
  <c r="C835" i="58"/>
  <c r="C836" i="58"/>
  <c r="C837" i="58"/>
  <c r="C838" i="58"/>
  <c r="C839" i="58"/>
  <c r="C840" i="58"/>
  <c r="C841" i="58"/>
  <c r="C842" i="58"/>
  <c r="C843" i="58"/>
  <c r="C815" i="58"/>
  <c r="C816" i="58"/>
  <c r="C817" i="58"/>
  <c r="C818" i="58"/>
  <c r="C819" i="58"/>
  <c r="C820" i="58"/>
  <c r="C821" i="58"/>
  <c r="C844" i="58"/>
  <c r="C845" i="58"/>
  <c r="C846" i="58"/>
  <c r="C847" i="58"/>
  <c r="C566" i="58"/>
  <c r="C577" i="58"/>
  <c r="C573" i="58"/>
  <c r="C574" i="58"/>
  <c r="C575" i="58"/>
  <c r="C576" i="58"/>
  <c r="C571" i="58"/>
  <c r="C572" i="58"/>
  <c r="C595" i="58"/>
  <c r="C592" i="58"/>
  <c r="C594" i="58"/>
  <c r="C593" i="58"/>
  <c r="C780" i="58"/>
  <c r="C779" i="58"/>
  <c r="C781" i="58"/>
  <c r="K1156" i="57"/>
  <c r="K813" i="57"/>
  <c r="K814" i="57"/>
  <c r="K1040" i="57"/>
  <c r="K1104" i="57"/>
  <c r="K1041" i="57"/>
  <c r="K1105" i="57"/>
  <c r="K436" i="57"/>
  <c r="K144" i="57"/>
  <c r="K145" i="57"/>
  <c r="K74" i="57"/>
  <c r="K75" i="57"/>
  <c r="K686" i="57"/>
  <c r="K687" i="57"/>
  <c r="K851" i="57"/>
  <c r="K852" i="57"/>
  <c r="K853" i="57"/>
  <c r="K876" i="57"/>
  <c r="K877" i="57"/>
  <c r="K1042" i="57"/>
  <c r="K858" i="57"/>
  <c r="K884" i="57"/>
  <c r="K1106" i="57"/>
  <c r="K719" i="57"/>
  <c r="K720" i="57"/>
  <c r="K167" i="57"/>
  <c r="K44" i="57"/>
  <c r="K437" i="57"/>
  <c r="K688" i="57"/>
  <c r="K689" i="57"/>
  <c r="K721" i="57"/>
  <c r="K722" i="57"/>
  <c r="K232" i="57"/>
  <c r="K76" i="57"/>
  <c r="K690" i="57"/>
  <c r="K508" i="57"/>
  <c r="K723" i="57"/>
  <c r="K122" i="57"/>
  <c r="K168" i="57"/>
  <c r="K45" i="57"/>
  <c r="K246" i="57"/>
  <c r="K509" i="57"/>
  <c r="K495" i="57"/>
  <c r="K1075" i="57"/>
  <c r="K1130" i="57"/>
  <c r="K815" i="57"/>
  <c r="K1015" i="57"/>
  <c r="K480" i="57"/>
  <c r="K1085" i="57"/>
  <c r="K481" i="57"/>
  <c r="K565" i="57"/>
  <c r="K1016" i="57"/>
  <c r="K1017" i="57"/>
  <c r="K77" i="57"/>
  <c r="K78" i="57"/>
  <c r="K691" i="57"/>
  <c r="K1043" i="57"/>
  <c r="K1107" i="57"/>
  <c r="K724" i="57"/>
  <c r="K46" i="57"/>
  <c r="K47" i="57"/>
  <c r="K604" i="57"/>
  <c r="K262" i="57"/>
  <c r="K193" i="57"/>
  <c r="K94" i="57"/>
  <c r="K140" i="57"/>
  <c r="K230" i="57"/>
  <c r="K177" i="57"/>
  <c r="K69" i="57"/>
  <c r="K793" i="57"/>
  <c r="K470" i="57"/>
  <c r="K682" i="57"/>
  <c r="K898" i="57"/>
  <c r="K840" i="57"/>
  <c r="K923" i="57"/>
  <c r="K924" i="57"/>
  <c r="K849" i="57"/>
  <c r="K874" i="57"/>
  <c r="K893" i="57"/>
  <c r="K349" i="57"/>
  <c r="K323" i="57"/>
  <c r="K284" i="57"/>
  <c r="K358" i="57"/>
  <c r="K394" i="57"/>
  <c r="K1136" i="57"/>
  <c r="K450" i="57"/>
  <c r="K465" i="57"/>
  <c r="K634" i="57"/>
  <c r="K521" i="57"/>
  <c r="K558" i="57"/>
  <c r="K1029" i="57"/>
  <c r="K416" i="57"/>
  <c r="K482" i="57"/>
  <c r="K850" i="57"/>
  <c r="K875" i="57"/>
  <c r="K925" i="57"/>
  <c r="K957" i="57"/>
  <c r="K466" i="57"/>
  <c r="K324" i="57"/>
  <c r="K285" i="57"/>
  <c r="K359" i="57"/>
  <c r="K395" i="57"/>
  <c r="K451" i="57"/>
  <c r="K635" i="57"/>
  <c r="K522" i="57"/>
  <c r="K559" i="57"/>
  <c r="K748" i="57"/>
  <c r="K794" i="57"/>
  <c r="K795" i="57"/>
  <c r="K977" i="57"/>
  <c r="K978" i="57"/>
  <c r="K979" i="57"/>
  <c r="K1094" i="57"/>
  <c r="K715" i="57"/>
  <c r="K605" i="57"/>
  <c r="K118" i="57"/>
  <c r="K163" i="57"/>
  <c r="K184" i="57"/>
  <c r="K39" i="57"/>
  <c r="K245" i="57"/>
  <c r="K211" i="57"/>
  <c r="K434" i="57"/>
  <c r="K611" i="57"/>
  <c r="K101" i="57"/>
  <c r="K146" i="57"/>
  <c r="K233" i="57"/>
  <c r="K178" i="57"/>
  <c r="K179" i="57"/>
  <c r="K79" i="57"/>
  <c r="K804" i="57"/>
  <c r="K692" i="57"/>
  <c r="K345" i="57"/>
  <c r="K290" i="57"/>
  <c r="K364" i="57"/>
  <c r="K467" i="57"/>
  <c r="K639" i="57"/>
  <c r="K528" i="57"/>
  <c r="K568" i="57"/>
  <c r="K754" i="57"/>
  <c r="K755" i="57"/>
  <c r="K529" i="57"/>
  <c r="K640" i="57"/>
  <c r="K641" i="57"/>
  <c r="K642" i="57"/>
  <c r="K569" i="57"/>
  <c r="K1044" i="57"/>
  <c r="K417" i="57"/>
  <c r="K347" i="57"/>
  <c r="K657" i="57"/>
  <c r="K658" i="57"/>
  <c r="K582" i="57"/>
  <c r="K583" i="57"/>
  <c r="K768" i="57"/>
  <c r="K769" i="57"/>
  <c r="K663" i="57"/>
  <c r="K820" i="57"/>
  <c r="K821" i="57"/>
  <c r="K989" i="57"/>
  <c r="K1121" i="57"/>
  <c r="K730" i="57"/>
  <c r="K619" i="57"/>
  <c r="K126" i="57"/>
  <c r="K128" i="57"/>
  <c r="K50" i="57"/>
  <c r="K249" i="57"/>
  <c r="K217" i="57"/>
  <c r="K612" i="57"/>
  <c r="K102" i="57"/>
  <c r="K147" i="57"/>
  <c r="K234" i="57"/>
  <c r="K180" i="57"/>
  <c r="K80" i="57"/>
  <c r="K805" i="57"/>
  <c r="K693" i="57"/>
  <c r="K694" i="57"/>
  <c r="K346" i="57"/>
  <c r="K291" i="57"/>
  <c r="K365" i="57"/>
  <c r="K643" i="57"/>
  <c r="K530" i="57"/>
  <c r="K570" i="57"/>
  <c r="K756" i="57"/>
  <c r="K757" i="57"/>
  <c r="K531" i="57"/>
  <c r="K644" i="57"/>
  <c r="K645" i="57"/>
  <c r="K646" i="57"/>
  <c r="K571" i="57"/>
  <c r="K1045" i="57"/>
  <c r="K418" i="57"/>
  <c r="K489" i="57"/>
  <c r="K490" i="57"/>
  <c r="K938" i="57"/>
  <c r="K348" i="57"/>
  <c r="K459" i="57"/>
  <c r="K659" i="57"/>
  <c r="K660" i="57"/>
  <c r="K584" i="57"/>
  <c r="K585" i="57"/>
  <c r="K770" i="57"/>
  <c r="K771" i="57"/>
  <c r="K664" i="57"/>
  <c r="K824" i="57"/>
  <c r="K991" i="57"/>
  <c r="K1123" i="57"/>
  <c r="K732" i="57"/>
  <c r="K733" i="57"/>
  <c r="K621" i="57"/>
  <c r="K130" i="57"/>
  <c r="K52" i="57"/>
  <c r="K251" i="57"/>
  <c r="K499" i="57"/>
  <c r="K854" i="57"/>
  <c r="K868" i="57"/>
  <c r="K878" i="57"/>
  <c r="K366" i="57"/>
  <c r="K12" i="57"/>
  <c r="K13" i="57"/>
  <c r="K14" i="57"/>
  <c r="K1140" i="57"/>
  <c r="K1141" i="57"/>
  <c r="K1142" i="57"/>
  <c r="K23" i="57"/>
  <c r="K887" i="57"/>
  <c r="K941" i="57"/>
  <c r="K339" i="57"/>
  <c r="K404" i="57"/>
  <c r="K988" i="57"/>
  <c r="K1069" i="57"/>
  <c r="K440" i="57"/>
  <c r="K683" i="57"/>
  <c r="K716" i="57"/>
  <c r="K1095" i="57"/>
  <c r="K1013" i="57"/>
  <c r="K235" i="57"/>
  <c r="K471" i="57"/>
  <c r="K906" i="57"/>
  <c r="K907" i="57"/>
  <c r="K929" i="57"/>
  <c r="K930" i="57"/>
  <c r="K855" i="57"/>
  <c r="K879" i="57"/>
  <c r="K880" i="57"/>
  <c r="K881" i="57"/>
  <c r="K292" i="57"/>
  <c r="K1143" i="57"/>
  <c r="K1046" i="57"/>
  <c r="K859" i="57"/>
  <c r="K885" i="57"/>
  <c r="K886" i="57"/>
  <c r="K909" i="57"/>
  <c r="K910" i="57"/>
  <c r="K937" i="57"/>
  <c r="K301" i="57"/>
  <c r="K765" i="57"/>
  <c r="K816" i="57"/>
  <c r="K984" i="57"/>
  <c r="K1108" i="57"/>
  <c r="K247" i="57"/>
  <c r="K1109" i="57"/>
  <c r="K931" i="57"/>
  <c r="K606" i="57"/>
  <c r="K263" i="57"/>
  <c r="K194" i="57"/>
  <c r="K264" i="57"/>
  <c r="K195" i="57"/>
  <c r="K95" i="57"/>
  <c r="K96" i="57"/>
  <c r="K97" i="57"/>
  <c r="K98" i="57"/>
  <c r="K141" i="57"/>
  <c r="K70" i="57"/>
  <c r="K796" i="57"/>
  <c r="K325" i="57"/>
  <c r="K286" i="57"/>
  <c r="K360" i="57"/>
  <c r="K1137" i="57"/>
  <c r="K452" i="57"/>
  <c r="K1030" i="57"/>
  <c r="K1031" i="57"/>
  <c r="K326" i="57"/>
  <c r="K287" i="57"/>
  <c r="K362" i="57"/>
  <c r="K453" i="57"/>
  <c r="K561" i="57"/>
  <c r="K797" i="57"/>
  <c r="K798" i="57"/>
  <c r="K980" i="57"/>
  <c r="K1096" i="57"/>
  <c r="K1034" i="57"/>
  <c r="K607" i="57"/>
  <c r="K119" i="57"/>
  <c r="K164" i="57"/>
  <c r="K40" i="57"/>
  <c r="K212" i="57"/>
  <c r="K99" i="57"/>
  <c r="K100" i="57"/>
  <c r="K72" i="57"/>
  <c r="K1036" i="57"/>
  <c r="K981" i="57"/>
  <c r="K1098" i="57"/>
  <c r="K120" i="57"/>
  <c r="K43" i="57"/>
  <c r="K64" i="57"/>
  <c r="K785" i="57"/>
  <c r="K953" i="57"/>
  <c r="K786" i="57"/>
  <c r="K32" i="57"/>
  <c r="K33" i="57"/>
  <c r="K67" i="57"/>
  <c r="K1021" i="57"/>
  <c r="K321" i="57"/>
  <c r="K282" i="57"/>
  <c r="K974" i="57"/>
  <c r="K1089" i="57"/>
  <c r="K36" i="57"/>
  <c r="K695" i="57"/>
  <c r="K696" i="57"/>
  <c r="K1047" i="57"/>
  <c r="K766" i="57"/>
  <c r="K1110" i="57"/>
  <c r="K1066" i="57"/>
  <c r="K725" i="57"/>
  <c r="K726" i="57"/>
  <c r="K1076" i="57"/>
  <c r="K1131" i="57"/>
  <c r="K267" i="57"/>
  <c r="K198" i="57"/>
  <c r="K103" i="57"/>
  <c r="K148" i="57"/>
  <c r="K236" i="57"/>
  <c r="K81" i="57"/>
  <c r="K806" i="57"/>
  <c r="K697" i="57"/>
  <c r="K932" i="57"/>
  <c r="K856" i="57"/>
  <c r="K329" i="57"/>
  <c r="K293" i="57"/>
  <c r="K367" i="57"/>
  <c r="K368" i="57"/>
  <c r="K396" i="57"/>
  <c r="K1144" i="57"/>
  <c r="K647" i="57"/>
  <c r="K532" i="57"/>
  <c r="K572" i="57"/>
  <c r="K758" i="57"/>
  <c r="K1048" i="57"/>
  <c r="K1049" i="57"/>
  <c r="K1050" i="57"/>
  <c r="K491" i="57"/>
  <c r="K860" i="57"/>
  <c r="K940" i="57"/>
  <c r="K338" i="57"/>
  <c r="K303" i="57"/>
  <c r="K376" i="57"/>
  <c r="K405" i="57"/>
  <c r="K662" i="57"/>
  <c r="K542" i="57"/>
  <c r="K587" i="57"/>
  <c r="K773" i="57"/>
  <c r="K825" i="57"/>
  <c r="K992" i="57"/>
  <c r="K1124" i="57"/>
  <c r="K1070" i="57"/>
  <c r="K734" i="57"/>
  <c r="K129" i="57"/>
  <c r="K172" i="57"/>
  <c r="K53" i="57"/>
  <c r="K252" i="57"/>
  <c r="K219" i="57"/>
  <c r="K444" i="57"/>
  <c r="K500" i="57"/>
  <c r="K261" i="57"/>
  <c r="K192" i="57"/>
  <c r="K229" i="57"/>
  <c r="K68" i="57"/>
  <c r="K790" i="57"/>
  <c r="K681" i="57"/>
  <c r="K318" i="57"/>
  <c r="K319" i="57"/>
  <c r="K281" i="57"/>
  <c r="K356" i="57"/>
  <c r="K392" i="57"/>
  <c r="K1134" i="57"/>
  <c r="K1022" i="57"/>
  <c r="K1023" i="57"/>
  <c r="K412" i="57"/>
  <c r="K922" i="57"/>
  <c r="K322" i="57"/>
  <c r="K283" i="57"/>
  <c r="K357" i="57"/>
  <c r="K393" i="57"/>
  <c r="K791" i="57"/>
  <c r="K975" i="57"/>
  <c r="K1090" i="57"/>
  <c r="K714" i="57"/>
  <c r="K602" i="57"/>
  <c r="K117" i="57"/>
  <c r="K162" i="57"/>
  <c r="K37" i="57"/>
  <c r="K432" i="57"/>
  <c r="K613" i="57"/>
  <c r="K268" i="57"/>
  <c r="K199" i="57"/>
  <c r="K104" i="57"/>
  <c r="K149" i="57"/>
  <c r="K150" i="57"/>
  <c r="K237" i="57"/>
  <c r="K181" i="57"/>
  <c r="K82" i="57"/>
  <c r="K807" i="57"/>
  <c r="K698" i="57"/>
  <c r="K899" i="57"/>
  <c r="K933" i="57"/>
  <c r="K882" i="57"/>
  <c r="K330" i="57"/>
  <c r="K294" i="57"/>
  <c r="K295" i="57"/>
  <c r="K369" i="57"/>
  <c r="K397" i="57"/>
  <c r="K15" i="57"/>
  <c r="K1145" i="57"/>
  <c r="K648" i="57"/>
  <c r="K533" i="57"/>
  <c r="K573" i="57"/>
  <c r="K759" i="57"/>
  <c r="K1051" i="57"/>
  <c r="K1052" i="57"/>
  <c r="K419" i="57"/>
  <c r="K492" i="57"/>
  <c r="K861" i="57"/>
  <c r="K888" i="57"/>
  <c r="K901" i="57"/>
  <c r="K943" i="57"/>
  <c r="K944" i="57"/>
  <c r="K341" i="57"/>
  <c r="K305" i="57"/>
  <c r="K378" i="57"/>
  <c r="K407" i="57"/>
  <c r="K462" i="57"/>
  <c r="K666" i="57"/>
  <c r="K544" i="57"/>
  <c r="K589" i="57"/>
  <c r="K775" i="57"/>
  <c r="K827" i="57"/>
  <c r="K994" i="57"/>
  <c r="K995" i="57"/>
  <c r="K1126" i="57"/>
  <c r="K736" i="57"/>
  <c r="K623" i="57"/>
  <c r="K132" i="57"/>
  <c r="K174" i="57"/>
  <c r="K186" i="57"/>
  <c r="K55" i="57"/>
  <c r="K254" i="57"/>
  <c r="K221" i="57"/>
  <c r="K445" i="57"/>
  <c r="K502" i="57"/>
  <c r="K614" i="57"/>
  <c r="K269" i="57"/>
  <c r="K200" i="57"/>
  <c r="K105" i="57"/>
  <c r="K106" i="57"/>
  <c r="K151" i="57"/>
  <c r="K238" i="57"/>
  <c r="K182" i="57"/>
  <c r="K83" i="57"/>
  <c r="K808" i="57"/>
  <c r="K472" i="57"/>
  <c r="K699" i="57"/>
  <c r="K934" i="57"/>
  <c r="K331" i="57"/>
  <c r="K296" i="57"/>
  <c r="K370" i="57"/>
  <c r="K398" i="57"/>
  <c r="K399" i="57"/>
  <c r="K1146" i="57"/>
  <c r="K456" i="57"/>
  <c r="K649" i="57"/>
  <c r="K534" i="57"/>
  <c r="K574" i="57"/>
  <c r="K760" i="57"/>
  <c r="K1053" i="57"/>
  <c r="K420" i="57"/>
  <c r="K493" i="57"/>
  <c r="K862" i="57"/>
  <c r="K911" i="57"/>
  <c r="K942" i="57"/>
  <c r="K958" i="57"/>
  <c r="K340" i="57"/>
  <c r="K304" i="57"/>
  <c r="K377" i="57"/>
  <c r="K406" i="57"/>
  <c r="K461" i="57"/>
  <c r="K665" i="57"/>
  <c r="K543" i="57"/>
  <c r="K588" i="57"/>
  <c r="K774" i="57"/>
  <c r="K826" i="57"/>
  <c r="K993" i="57"/>
  <c r="K1125" i="57"/>
  <c r="K735" i="57"/>
  <c r="K622" i="57"/>
  <c r="K131" i="57"/>
  <c r="K173" i="57"/>
  <c r="K185" i="57"/>
  <c r="K54" i="57"/>
  <c r="K253" i="57"/>
  <c r="K220" i="57"/>
  <c r="K501" i="57"/>
  <c r="K143" i="57"/>
  <c r="K801" i="57"/>
  <c r="K684" i="57"/>
  <c r="K685" i="57"/>
  <c r="K1139" i="57"/>
  <c r="K802" i="57"/>
  <c r="K983" i="57"/>
  <c r="K717" i="57"/>
  <c r="K166" i="57"/>
  <c r="K718" i="57"/>
  <c r="K156" i="57"/>
  <c r="K833" i="57"/>
  <c r="K477" i="57"/>
  <c r="K841" i="57"/>
  <c r="K842" i="57"/>
  <c r="K946" i="57"/>
  <c r="K866" i="57"/>
  <c r="K890" i="57"/>
  <c r="K891" i="57"/>
  <c r="K308" i="57"/>
  <c r="K1157" i="57"/>
  <c r="K669" i="57"/>
  <c r="K670" i="57"/>
  <c r="K546" i="57"/>
  <c r="K591" i="57"/>
  <c r="K592" i="57"/>
  <c r="K777" i="57"/>
  <c r="K867" i="57"/>
  <c r="K892" i="57"/>
  <c r="K914" i="57"/>
  <c r="K947" i="57"/>
  <c r="K948" i="57"/>
  <c r="K949" i="57"/>
  <c r="K950" i="57"/>
  <c r="K961" i="57"/>
  <c r="K962" i="57"/>
  <c r="K963" i="57"/>
  <c r="K964" i="57"/>
  <c r="K344" i="57"/>
  <c r="K309" i="57"/>
  <c r="K386" i="57"/>
  <c r="K464" i="57"/>
  <c r="K671" i="57"/>
  <c r="K672" i="57"/>
  <c r="K970" i="57"/>
  <c r="K547" i="57"/>
  <c r="K593" i="57"/>
  <c r="K778" i="57"/>
  <c r="K834" i="57"/>
  <c r="K1003" i="57"/>
  <c r="K60" i="57"/>
  <c r="K29" i="57"/>
  <c r="K242" i="57"/>
  <c r="K615" i="57"/>
  <c r="K270" i="57"/>
  <c r="K201" i="57"/>
  <c r="K107" i="57"/>
  <c r="K152" i="57"/>
  <c r="K239" i="57"/>
  <c r="K183" i="57"/>
  <c r="K84" i="57"/>
  <c r="K809" i="57"/>
  <c r="K473" i="57"/>
  <c r="K700" i="57"/>
  <c r="K900" i="57"/>
  <c r="K908" i="57"/>
  <c r="K935" i="57"/>
  <c r="K857" i="57"/>
  <c r="K883" i="57"/>
  <c r="K332" i="57"/>
  <c r="K297" i="57"/>
  <c r="K371" i="57"/>
  <c r="K400" i="57"/>
  <c r="K1147" i="57"/>
  <c r="K457" i="57"/>
  <c r="K650" i="57"/>
  <c r="K535" i="57"/>
  <c r="K575" i="57"/>
  <c r="K761" i="57"/>
  <c r="K1054" i="57"/>
  <c r="K421" i="57"/>
  <c r="K863" i="57"/>
  <c r="K889" i="57"/>
  <c r="K902" i="57"/>
  <c r="K912" i="57"/>
  <c r="K945" i="57"/>
  <c r="K959" i="57"/>
  <c r="K342" i="57"/>
  <c r="K306" i="57"/>
  <c r="K379" i="57"/>
  <c r="K408" i="57"/>
  <c r="K463" i="57"/>
  <c r="K667" i="57"/>
  <c r="K545" i="57"/>
  <c r="K590" i="57"/>
  <c r="K776" i="57"/>
  <c r="K828" i="57"/>
  <c r="K996" i="57"/>
  <c r="K997" i="57"/>
  <c r="K1127" i="57"/>
  <c r="K737" i="57"/>
  <c r="K624" i="57"/>
  <c r="K133" i="57"/>
  <c r="K175" i="57"/>
  <c r="K187" i="57"/>
  <c r="K56" i="57"/>
  <c r="K255" i="57"/>
  <c r="K222" i="57"/>
  <c r="K446" i="57"/>
  <c r="K598" i="57"/>
  <c r="K259" i="57"/>
  <c r="K190" i="57"/>
  <c r="K92" i="57"/>
  <c r="K138" i="57"/>
  <c r="K65" i="57"/>
  <c r="K468" i="57"/>
  <c r="K678" i="57"/>
  <c r="K904" i="57"/>
  <c r="K917" i="57"/>
  <c r="K918" i="57"/>
  <c r="K845" i="57"/>
  <c r="K870" i="57"/>
  <c r="K314" i="57"/>
  <c r="K277" i="57"/>
  <c r="K630" i="57"/>
  <c r="K516" i="57"/>
  <c r="K554" i="57"/>
  <c r="K744" i="57"/>
  <c r="K1018" i="57"/>
  <c r="K847" i="57"/>
  <c r="K872" i="57"/>
  <c r="K920" i="57"/>
  <c r="K316" i="57"/>
  <c r="K279" i="57"/>
  <c r="K390" i="57"/>
  <c r="K449" i="57"/>
  <c r="K632" i="57"/>
  <c r="K519" i="57"/>
  <c r="K556" i="57"/>
  <c r="K745" i="57"/>
  <c r="K788" i="57"/>
  <c r="K972" i="57"/>
  <c r="K1086" i="57"/>
  <c r="K711" i="57"/>
  <c r="K600" i="57"/>
  <c r="K115" i="57"/>
  <c r="K160" i="57"/>
  <c r="K34" i="57"/>
  <c r="K209" i="57"/>
  <c r="K701" i="57"/>
  <c r="K727" i="57"/>
  <c r="K599" i="57"/>
  <c r="K260" i="57"/>
  <c r="K191" i="57"/>
  <c r="K93" i="57"/>
  <c r="K139" i="57"/>
  <c r="K228" i="57"/>
  <c r="K66" i="57"/>
  <c r="K787" i="57"/>
  <c r="K469" i="57"/>
  <c r="K679" i="57"/>
  <c r="K680" i="57"/>
  <c r="K919" i="57"/>
  <c r="K846" i="57"/>
  <c r="K315" i="57"/>
  <c r="K278" i="57"/>
  <c r="K354" i="57"/>
  <c r="K389" i="57"/>
  <c r="K3" i="57"/>
  <c r="K631" i="57"/>
  <c r="K517" i="57"/>
  <c r="K518" i="57"/>
  <c r="K555" i="57"/>
  <c r="K1019" i="57"/>
  <c r="K410" i="57"/>
  <c r="K411" i="57"/>
  <c r="K848" i="57"/>
  <c r="K921" i="57"/>
  <c r="K954" i="57"/>
  <c r="K955" i="57"/>
  <c r="K317" i="57"/>
  <c r="K280" i="57"/>
  <c r="K355" i="57"/>
  <c r="K391" i="57"/>
  <c r="K350" i="57"/>
  <c r="K965" i="57"/>
  <c r="K966" i="57"/>
  <c r="K520" i="57"/>
  <c r="K557" i="57"/>
  <c r="K746" i="57"/>
  <c r="K747" i="57"/>
  <c r="K789" i="57"/>
  <c r="K973" i="57"/>
  <c r="K1087" i="57"/>
  <c r="K712" i="57"/>
  <c r="K713" i="57"/>
  <c r="K601" i="57"/>
  <c r="K116" i="57"/>
  <c r="K161" i="57"/>
  <c r="K35" i="57"/>
  <c r="K210" i="57"/>
  <c r="K431" i="57"/>
  <c r="K320" i="57"/>
  <c r="K1024" i="57"/>
  <c r="K413" i="57"/>
  <c r="K414" i="57"/>
  <c r="K792" i="57"/>
  <c r="K1091" i="57"/>
  <c r="K603" i="57"/>
  <c r="K38" i="57"/>
  <c r="K433" i="57"/>
  <c r="K609" i="57"/>
  <c r="K266" i="57"/>
  <c r="K197" i="57"/>
  <c r="K142" i="57"/>
  <c r="K73" i="57"/>
  <c r="K799" i="57"/>
  <c r="K327" i="57"/>
  <c r="K288" i="57"/>
  <c r="K1138" i="57"/>
  <c r="K454" i="57"/>
  <c r="K1037" i="57"/>
  <c r="K928" i="57"/>
  <c r="K328" i="57"/>
  <c r="K289" i="57"/>
  <c r="K455" i="57"/>
  <c r="K800" i="57"/>
  <c r="K982" i="57"/>
  <c r="K1099" i="57"/>
  <c r="K610" i="57"/>
  <c r="K121" i="57"/>
  <c r="K165" i="57"/>
  <c r="K214" i="57"/>
  <c r="K274" i="57"/>
  <c r="K205" i="57"/>
  <c r="K157" i="57"/>
  <c r="K243" i="57"/>
  <c r="K835" i="57"/>
  <c r="K707" i="57"/>
  <c r="K310" i="57"/>
  <c r="K1158" i="57"/>
  <c r="K673" i="57"/>
  <c r="K779" i="57"/>
  <c r="K1077" i="57"/>
  <c r="K311" i="57"/>
  <c r="K351" i="57"/>
  <c r="K674" i="57"/>
  <c r="K548" i="57"/>
  <c r="K594" i="57"/>
  <c r="K780" i="57"/>
  <c r="K836" i="57"/>
  <c r="K1004" i="57"/>
  <c r="K1132" i="57"/>
  <c r="K740" i="57"/>
  <c r="K625" i="57"/>
  <c r="K135" i="57"/>
  <c r="K176" i="57"/>
  <c r="K61" i="57"/>
  <c r="K256" i="57"/>
  <c r="K224" i="57"/>
  <c r="K108" i="57"/>
  <c r="K153" i="57"/>
  <c r="K474" i="57"/>
  <c r="K702" i="57"/>
  <c r="K372" i="57"/>
  <c r="K401" i="57"/>
  <c r="K1148" i="57"/>
  <c r="K458" i="57"/>
  <c r="K422" i="57"/>
  <c r="K336" i="57"/>
  <c r="K375" i="57"/>
  <c r="K460" i="57"/>
  <c r="K1120" i="57"/>
  <c r="K729" i="57"/>
  <c r="K618" i="57"/>
  <c r="K125" i="57"/>
  <c r="K170" i="57"/>
  <c r="K441" i="57"/>
  <c r="K498" i="57"/>
  <c r="K823" i="57"/>
  <c r="K1154" i="57"/>
  <c r="K429" i="57"/>
  <c r="K430" i="57"/>
  <c r="K913" i="57"/>
  <c r="K960" i="57"/>
  <c r="K829" i="57"/>
  <c r="K998" i="57"/>
  <c r="K442" i="57"/>
  <c r="K616" i="57"/>
  <c r="K271" i="57"/>
  <c r="K202" i="57"/>
  <c r="K109" i="57"/>
  <c r="K110" i="57"/>
  <c r="K154" i="57"/>
  <c r="K240" i="57"/>
  <c r="K85" i="57"/>
  <c r="K810" i="57"/>
  <c r="K475" i="57"/>
  <c r="K476" i="57"/>
  <c r="K703" i="57"/>
  <c r="K936" i="57"/>
  <c r="K333" i="57"/>
  <c r="K334" i="57"/>
  <c r="K298" i="57"/>
  <c r="K402" i="57"/>
  <c r="K1149" i="57"/>
  <c r="K651" i="57"/>
  <c r="K536" i="57"/>
  <c r="K576" i="57"/>
  <c r="K762" i="57"/>
  <c r="K1055" i="57"/>
  <c r="K423" i="57"/>
  <c r="K939" i="57"/>
  <c r="K337" i="57"/>
  <c r="K302" i="57"/>
  <c r="K403" i="57"/>
  <c r="K661" i="57"/>
  <c r="K969" i="57"/>
  <c r="K541" i="57"/>
  <c r="K586" i="57"/>
  <c r="K772" i="57"/>
  <c r="K822" i="57"/>
  <c r="K990" i="57"/>
  <c r="K1122" i="57"/>
  <c r="K731" i="57"/>
  <c r="K620" i="57"/>
  <c r="K127" i="57"/>
  <c r="K171" i="57"/>
  <c r="K51" i="57"/>
  <c r="K250" i="57"/>
  <c r="K218" i="57"/>
  <c r="K443" i="57"/>
  <c r="K999" i="57"/>
  <c r="K1056" i="57"/>
  <c r="K1150" i="57"/>
  <c r="K1057" i="57"/>
  <c r="K424" i="57"/>
  <c r="K1111" i="57"/>
  <c r="K438" i="57"/>
  <c r="K811" i="57"/>
  <c r="K1151" i="57"/>
  <c r="K1058" i="57"/>
  <c r="K985" i="57"/>
  <c r="K1112" i="57"/>
  <c r="K1067" i="57"/>
  <c r="K1113" i="57"/>
  <c r="K48" i="57"/>
  <c r="K652" i="57"/>
  <c r="K537" i="57"/>
  <c r="K577" i="57"/>
  <c r="K763" i="57"/>
  <c r="K654" i="57"/>
  <c r="K539" i="57"/>
  <c r="K579" i="57"/>
  <c r="K767" i="57"/>
  <c r="K1059" i="57"/>
  <c r="K817" i="57"/>
  <c r="K1114" i="57"/>
  <c r="K595" i="57"/>
  <c r="K257" i="57"/>
  <c r="K188" i="57"/>
  <c r="K91" i="57"/>
  <c r="K136" i="57"/>
  <c r="K226" i="57"/>
  <c r="K62" i="57"/>
  <c r="K781" i="57"/>
  <c r="K675" i="57"/>
  <c r="K676" i="57"/>
  <c r="K894" i="57"/>
  <c r="K895" i="57"/>
  <c r="K837" i="57"/>
  <c r="K838" i="57"/>
  <c r="K915" i="57"/>
  <c r="K843" i="57"/>
  <c r="K312" i="57"/>
  <c r="K352" i="57"/>
  <c r="K387" i="57"/>
  <c r="K1133" i="57"/>
  <c r="K626" i="57"/>
  <c r="K512" i="57"/>
  <c r="K549" i="57"/>
  <c r="K741" i="57"/>
  <c r="K1005" i="57"/>
  <c r="K844" i="57"/>
  <c r="K869" i="57"/>
  <c r="K896" i="57"/>
  <c r="K903" i="57"/>
  <c r="K916" i="57"/>
  <c r="K951" i="57"/>
  <c r="K952" i="57"/>
  <c r="K313" i="57"/>
  <c r="K276" i="57"/>
  <c r="K353" i="57"/>
  <c r="K388" i="57"/>
  <c r="K627" i="57"/>
  <c r="K513" i="57"/>
  <c r="K550" i="57"/>
  <c r="K551" i="57"/>
  <c r="K742" i="57"/>
  <c r="K743" i="57"/>
  <c r="K782" i="57"/>
  <c r="K971" i="57"/>
  <c r="K1079" i="57"/>
  <c r="K708" i="57"/>
  <c r="K709" i="57"/>
  <c r="K596" i="57"/>
  <c r="K113" i="57"/>
  <c r="K158" i="57"/>
  <c r="K30" i="57"/>
  <c r="K207" i="57"/>
  <c r="K1006" i="57"/>
  <c r="K1080" i="57"/>
  <c r="K18" i="57"/>
  <c r="K19" i="57"/>
  <c r="K20" i="57"/>
  <c r="K21" i="57"/>
  <c r="K215" i="57"/>
  <c r="K16" i="57"/>
  <c r="K17" i="57"/>
  <c r="K1101" i="57"/>
  <c r="K527" i="57"/>
  <c r="K752" i="57"/>
  <c r="K487" i="57"/>
  <c r="K488" i="57"/>
  <c r="K753" i="57"/>
  <c r="K1102" i="57"/>
  <c r="K479" i="57"/>
  <c r="K299" i="57"/>
  <c r="K1020" i="57"/>
  <c r="K1088" i="57"/>
  <c r="K1025" i="57"/>
  <c r="K1092" i="57"/>
  <c r="K1115" i="57"/>
  <c r="K22" i="57"/>
  <c r="K1060" i="57"/>
  <c r="K1116" i="57"/>
  <c r="K1103" i="57"/>
  <c r="K803" i="57"/>
  <c r="K1152" i="57"/>
  <c r="K986" i="57"/>
  <c r="K1153" i="57"/>
  <c r="K987" i="57"/>
  <c r="K496" i="57"/>
  <c r="K111" i="57"/>
  <c r="K425" i="57"/>
  <c r="K426" i="57"/>
  <c r="K123" i="57"/>
  <c r="K839" i="57"/>
  <c r="K871" i="57"/>
  <c r="K4" i="57"/>
  <c r="K5" i="57"/>
  <c r="K6" i="57"/>
  <c r="K7" i="57"/>
  <c r="K873" i="57"/>
  <c r="K897" i="57"/>
  <c r="K905" i="57"/>
  <c r="K956" i="57"/>
  <c r="K265" i="57"/>
  <c r="K196" i="57"/>
  <c r="K231" i="57"/>
  <c r="K71" i="57"/>
  <c r="K361" i="57"/>
  <c r="K9" i="57"/>
  <c r="K10" i="57"/>
  <c r="K506" i="57"/>
  <c r="K636" i="57"/>
  <c r="K523" i="57"/>
  <c r="K560" i="57"/>
  <c r="K749" i="57"/>
  <c r="K1032" i="57"/>
  <c r="K1033" i="57"/>
  <c r="K483" i="57"/>
  <c r="K11" i="57"/>
  <c r="K926" i="57"/>
  <c r="K363" i="57"/>
  <c r="K507" i="57"/>
  <c r="K967" i="57"/>
  <c r="K968" i="57"/>
  <c r="K524" i="57"/>
  <c r="K562" i="57"/>
  <c r="K750" i="57"/>
  <c r="K1097" i="57"/>
  <c r="K1035" i="57"/>
  <c r="K608" i="57"/>
  <c r="K41" i="57"/>
  <c r="K42" i="57"/>
  <c r="K213" i="57"/>
  <c r="K484" i="57"/>
  <c r="K275" i="57"/>
  <c r="K206" i="57"/>
  <c r="K90" i="57"/>
  <c r="K1078" i="57"/>
  <c r="K225" i="57"/>
  <c r="K1068" i="57"/>
  <c r="K1061" i="57"/>
  <c r="K427" i="57"/>
  <c r="K1117" i="57"/>
  <c r="K272" i="57"/>
  <c r="K203" i="57"/>
  <c r="K155" i="57"/>
  <c r="K241" i="57"/>
  <c r="K86" i="57"/>
  <c r="K812" i="57"/>
  <c r="K704" i="57"/>
  <c r="K373" i="57"/>
  <c r="K764" i="57"/>
  <c r="K1062" i="57"/>
  <c r="K428" i="57"/>
  <c r="K494" i="57"/>
  <c r="K335" i="57"/>
  <c r="K374" i="57"/>
  <c r="K655" i="57"/>
  <c r="K580" i="57"/>
  <c r="K818" i="57"/>
  <c r="K1118" i="57"/>
  <c r="K728" i="57"/>
  <c r="K617" i="57"/>
  <c r="K124" i="57"/>
  <c r="K169" i="57"/>
  <c r="K49" i="57"/>
  <c r="K248" i="57"/>
  <c r="K216" i="57"/>
  <c r="K497" i="57"/>
  <c r="K273" i="57"/>
  <c r="K204" i="57"/>
  <c r="K112" i="57"/>
  <c r="K87" i="57"/>
  <c r="K134" i="57"/>
  <c r="K57" i="57"/>
  <c r="K223" i="57"/>
  <c r="K653" i="57"/>
  <c r="K578" i="57"/>
  <c r="K656" i="57"/>
  <c r="K540" i="57"/>
  <c r="K581" i="57"/>
  <c r="K1081" i="57"/>
  <c r="K1007" i="57"/>
  <c r="K1008" i="57"/>
  <c r="K1009" i="57"/>
  <c r="K1082" i="57"/>
  <c r="K258" i="57"/>
  <c r="K189" i="57"/>
  <c r="K137" i="57"/>
  <c r="K227" i="57"/>
  <c r="K63" i="57"/>
  <c r="K783" i="57"/>
  <c r="K677" i="57"/>
  <c r="K504" i="57"/>
  <c r="K447" i="57"/>
  <c r="K628" i="57"/>
  <c r="K514" i="57"/>
  <c r="K552" i="57"/>
  <c r="K1010" i="57"/>
  <c r="K1011" i="57"/>
  <c r="K478" i="57"/>
  <c r="K505" i="57"/>
  <c r="K448" i="57"/>
  <c r="K629" i="57"/>
  <c r="K515" i="57"/>
  <c r="K553" i="57"/>
  <c r="K784" i="57"/>
  <c r="K1083" i="57"/>
  <c r="K1012" i="57"/>
  <c r="K710" i="57"/>
  <c r="K597" i="57"/>
  <c r="K114" i="57"/>
  <c r="K159" i="57"/>
  <c r="K31" i="57"/>
  <c r="K244" i="57"/>
  <c r="K208" i="57"/>
  <c r="K1014" i="57"/>
  <c r="K409" i="57"/>
  <c r="K1084" i="57"/>
  <c r="K927" i="57"/>
  <c r="K637" i="57"/>
  <c r="K525" i="57"/>
  <c r="K563" i="57"/>
  <c r="K564" i="57"/>
  <c r="K1038" i="57"/>
  <c r="K1039" i="57"/>
  <c r="K485" i="57"/>
  <c r="K638" i="57"/>
  <c r="K526" i="57"/>
  <c r="K566" i="57"/>
  <c r="K567" i="57"/>
  <c r="K751" i="57"/>
  <c r="K1100" i="57"/>
  <c r="K486" i="57"/>
  <c r="K8" i="57"/>
  <c r="K1135" i="57"/>
  <c r="K633" i="57"/>
  <c r="K1026" i="57"/>
  <c r="K1027" i="57"/>
  <c r="K415" i="57"/>
  <c r="K976" i="57"/>
  <c r="K1093" i="57"/>
  <c r="K1028" i="57"/>
  <c r="K439" i="57"/>
  <c r="K1063" i="57"/>
  <c r="K1064" i="57"/>
  <c r="K819" i="57"/>
  <c r="K1119" i="57"/>
  <c r="K300" i="57"/>
  <c r="K1065" i="57"/>
  <c r="K88" i="57"/>
  <c r="K89" i="57"/>
  <c r="K705" i="57"/>
  <c r="K706" i="57"/>
  <c r="K864" i="57"/>
  <c r="K343" i="57"/>
  <c r="K380" i="57"/>
  <c r="K24" i="57"/>
  <c r="K25" i="57"/>
  <c r="K1155" i="57"/>
  <c r="K510" i="57"/>
  <c r="K1071" i="57"/>
  <c r="K1072" i="57"/>
  <c r="K26" i="57"/>
  <c r="K27" i="57"/>
  <c r="K28" i="57"/>
  <c r="K865" i="57"/>
  <c r="K307" i="57"/>
  <c r="K384" i="57"/>
  <c r="K511" i="57"/>
  <c r="K831" i="57"/>
  <c r="K1000" i="57"/>
  <c r="K1001" i="57"/>
  <c r="K1128" i="57"/>
  <c r="K1074" i="57"/>
  <c r="K738" i="57"/>
  <c r="K739" i="57"/>
  <c r="K58" i="57"/>
  <c r="K59" i="57"/>
  <c r="K1073" i="57"/>
  <c r="K1002" i="57"/>
  <c r="K1129" i="57"/>
  <c r="K538" i="57"/>
  <c r="K668" i="57"/>
  <c r="K830" i="57"/>
  <c r="K381" i="57"/>
  <c r="K382" i="57"/>
  <c r="K832" i="57"/>
  <c r="K383" i="57"/>
  <c r="K503" i="57"/>
  <c r="K385" i="57"/>
  <c r="J813" i="57"/>
  <c r="J814" i="57"/>
  <c r="J1040" i="57"/>
  <c r="J1104" i="57"/>
  <c r="J1041" i="57"/>
  <c r="J1105" i="57"/>
  <c r="J436" i="57"/>
  <c r="J144" i="57"/>
  <c r="J145" i="57"/>
  <c r="J74" i="57"/>
  <c r="J75" i="57"/>
  <c r="J686" i="57"/>
  <c r="J687" i="57"/>
  <c r="J851" i="57"/>
  <c r="J852" i="57"/>
  <c r="J853" i="57"/>
  <c r="J876" i="57"/>
  <c r="J877" i="57"/>
  <c r="J1042" i="57"/>
  <c r="J858" i="57"/>
  <c r="J884" i="57"/>
  <c r="J1106" i="57"/>
  <c r="J719" i="57"/>
  <c r="J720" i="57"/>
  <c r="J167" i="57"/>
  <c r="J44" i="57"/>
  <c r="J437" i="57"/>
  <c r="J688" i="57"/>
  <c r="J689" i="57"/>
  <c r="J721" i="57"/>
  <c r="J722" i="57"/>
  <c r="J232" i="57"/>
  <c r="J76" i="57"/>
  <c r="J690" i="57"/>
  <c r="J508" i="57"/>
  <c r="J723" i="57"/>
  <c r="J122" i="57"/>
  <c r="J168" i="57"/>
  <c r="J45" i="57"/>
  <c r="J246" i="57"/>
  <c r="J509" i="57"/>
  <c r="J495" i="57"/>
  <c r="J1075" i="57"/>
  <c r="J1130" i="57"/>
  <c r="J815" i="57"/>
  <c r="J1015" i="57"/>
  <c r="J480" i="57"/>
  <c r="J1085" i="57"/>
  <c r="J481" i="57"/>
  <c r="J565" i="57"/>
  <c r="J1016" i="57"/>
  <c r="J1017" i="57"/>
  <c r="J77" i="57"/>
  <c r="J78" i="57"/>
  <c r="J691" i="57"/>
  <c r="J1043" i="57"/>
  <c r="J1107" i="57"/>
  <c r="J724" i="57"/>
  <c r="J46" i="57"/>
  <c r="J47" i="57"/>
  <c r="J604" i="57"/>
  <c r="J262" i="57"/>
  <c r="J193" i="57"/>
  <c r="J94" i="57"/>
  <c r="J140" i="57"/>
  <c r="J230" i="57"/>
  <c r="J177" i="57"/>
  <c r="J69" i="57"/>
  <c r="J793" i="57"/>
  <c r="J470" i="57"/>
  <c r="J682" i="57"/>
  <c r="J898" i="57"/>
  <c r="J840" i="57"/>
  <c r="J923" i="57"/>
  <c r="J924" i="57"/>
  <c r="J849" i="57"/>
  <c r="J874" i="57"/>
  <c r="J893" i="57"/>
  <c r="J349" i="57"/>
  <c r="J323" i="57"/>
  <c r="J284" i="57"/>
  <c r="J358" i="57"/>
  <c r="J394" i="57"/>
  <c r="J1136" i="57"/>
  <c r="J450" i="57"/>
  <c r="J465" i="57"/>
  <c r="J634" i="57"/>
  <c r="J521" i="57"/>
  <c r="J558" i="57"/>
  <c r="J1029" i="57"/>
  <c r="J416" i="57"/>
  <c r="J482" i="57"/>
  <c r="J850" i="57"/>
  <c r="J875" i="57"/>
  <c r="J925" i="57"/>
  <c r="J957" i="57"/>
  <c r="J466" i="57"/>
  <c r="J324" i="57"/>
  <c r="J285" i="57"/>
  <c r="J359" i="57"/>
  <c r="J395" i="57"/>
  <c r="J451" i="57"/>
  <c r="J635" i="57"/>
  <c r="J522" i="57"/>
  <c r="J559" i="57"/>
  <c r="J748" i="57"/>
  <c r="J794" i="57"/>
  <c r="J795" i="57"/>
  <c r="J977" i="57"/>
  <c r="J978" i="57"/>
  <c r="J979" i="57"/>
  <c r="J1094" i="57"/>
  <c r="J715" i="57"/>
  <c r="J605" i="57"/>
  <c r="J118" i="57"/>
  <c r="J163" i="57"/>
  <c r="J184" i="57"/>
  <c r="J39" i="57"/>
  <c r="J245" i="57"/>
  <c r="J211" i="57"/>
  <c r="J434" i="57"/>
  <c r="J611" i="57"/>
  <c r="J101" i="57"/>
  <c r="J146" i="57"/>
  <c r="J233" i="57"/>
  <c r="J178" i="57"/>
  <c r="J179" i="57"/>
  <c r="J79" i="57"/>
  <c r="J804" i="57"/>
  <c r="J692" i="57"/>
  <c r="J345" i="57"/>
  <c r="J290" i="57"/>
  <c r="J364" i="57"/>
  <c r="J467" i="57"/>
  <c r="J639" i="57"/>
  <c r="J528" i="57"/>
  <c r="J568" i="57"/>
  <c r="J754" i="57"/>
  <c r="J755" i="57"/>
  <c r="J529" i="57"/>
  <c r="J640" i="57"/>
  <c r="J641" i="57"/>
  <c r="J642" i="57"/>
  <c r="J569" i="57"/>
  <c r="J1044" i="57"/>
  <c r="J417" i="57"/>
  <c r="J347" i="57"/>
  <c r="J657" i="57"/>
  <c r="J658" i="57"/>
  <c r="J582" i="57"/>
  <c r="J583" i="57"/>
  <c r="J768" i="57"/>
  <c r="J769" i="57"/>
  <c r="J663" i="57"/>
  <c r="J820" i="57"/>
  <c r="J821" i="57"/>
  <c r="J989" i="57"/>
  <c r="J1121" i="57"/>
  <c r="J730" i="57"/>
  <c r="J619" i="57"/>
  <c r="J126" i="57"/>
  <c r="J128" i="57"/>
  <c r="J50" i="57"/>
  <c r="J249" i="57"/>
  <c r="J217" i="57"/>
  <c r="J612" i="57"/>
  <c r="J102" i="57"/>
  <c r="J147" i="57"/>
  <c r="J234" i="57"/>
  <c r="J180" i="57"/>
  <c r="J80" i="57"/>
  <c r="J805" i="57"/>
  <c r="J693" i="57"/>
  <c r="J694" i="57"/>
  <c r="J346" i="57"/>
  <c r="J291" i="57"/>
  <c r="J365" i="57"/>
  <c r="J643" i="57"/>
  <c r="J530" i="57"/>
  <c r="J570" i="57"/>
  <c r="J756" i="57"/>
  <c r="J757" i="57"/>
  <c r="J531" i="57"/>
  <c r="J644" i="57"/>
  <c r="J645" i="57"/>
  <c r="J646" i="57"/>
  <c r="J571" i="57"/>
  <c r="J1045" i="57"/>
  <c r="J418" i="57"/>
  <c r="J489" i="57"/>
  <c r="J490" i="57"/>
  <c r="J938" i="57"/>
  <c r="J348" i="57"/>
  <c r="J459" i="57"/>
  <c r="J659" i="57"/>
  <c r="J660" i="57"/>
  <c r="J584" i="57"/>
  <c r="J585" i="57"/>
  <c r="J770" i="57"/>
  <c r="J771" i="57"/>
  <c r="J664" i="57"/>
  <c r="J824" i="57"/>
  <c r="J991" i="57"/>
  <c r="J1123" i="57"/>
  <c r="J732" i="57"/>
  <c r="J733" i="57"/>
  <c r="J621" i="57"/>
  <c r="J130" i="57"/>
  <c r="J52" i="57"/>
  <c r="J251" i="57"/>
  <c r="J499" i="57"/>
  <c r="J854" i="57"/>
  <c r="J868" i="57"/>
  <c r="J878" i="57"/>
  <c r="J366" i="57"/>
  <c r="J12" i="57"/>
  <c r="J13" i="57"/>
  <c r="J14" i="57"/>
  <c r="J1140" i="57"/>
  <c r="J1141" i="57"/>
  <c r="J1142" i="57"/>
  <c r="J23" i="57"/>
  <c r="J887" i="57"/>
  <c r="J941" i="57"/>
  <c r="J339" i="57"/>
  <c r="J404" i="57"/>
  <c r="J988" i="57"/>
  <c r="J1069" i="57"/>
  <c r="J440" i="57"/>
  <c r="J683" i="57"/>
  <c r="J716" i="57"/>
  <c r="J1095" i="57"/>
  <c r="J1013" i="57"/>
  <c r="J235" i="57"/>
  <c r="J471" i="57"/>
  <c r="J906" i="57"/>
  <c r="J907" i="57"/>
  <c r="J929" i="57"/>
  <c r="J930" i="57"/>
  <c r="J855" i="57"/>
  <c r="J879" i="57"/>
  <c r="J880" i="57"/>
  <c r="J881" i="57"/>
  <c r="J292" i="57"/>
  <c r="J1143" i="57"/>
  <c r="J1046" i="57"/>
  <c r="J859" i="57"/>
  <c r="J885" i="57"/>
  <c r="J886" i="57"/>
  <c r="J909" i="57"/>
  <c r="J910" i="57"/>
  <c r="J937" i="57"/>
  <c r="J301" i="57"/>
  <c r="J765" i="57"/>
  <c r="J816" i="57"/>
  <c r="J984" i="57"/>
  <c r="J1108" i="57"/>
  <c r="J247" i="57"/>
  <c r="J1109" i="57"/>
  <c r="J931" i="57"/>
  <c r="J606" i="57"/>
  <c r="J263" i="57"/>
  <c r="J194" i="57"/>
  <c r="J264" i="57"/>
  <c r="J195" i="57"/>
  <c r="J95" i="57"/>
  <c r="J96" i="57"/>
  <c r="J97" i="57"/>
  <c r="J98" i="57"/>
  <c r="J141" i="57"/>
  <c r="J70" i="57"/>
  <c r="J796" i="57"/>
  <c r="J325" i="57"/>
  <c r="J286" i="57"/>
  <c r="J360" i="57"/>
  <c r="J1137" i="57"/>
  <c r="J452" i="57"/>
  <c r="J1030" i="57"/>
  <c r="J1031" i="57"/>
  <c r="J326" i="57"/>
  <c r="J287" i="57"/>
  <c r="J362" i="57"/>
  <c r="J453" i="57"/>
  <c r="J561" i="57"/>
  <c r="J797" i="57"/>
  <c r="J798" i="57"/>
  <c r="J980" i="57"/>
  <c r="J1096" i="57"/>
  <c r="J1034" i="57"/>
  <c r="J607" i="57"/>
  <c r="J119" i="57"/>
  <c r="J164" i="57"/>
  <c r="J40" i="57"/>
  <c r="J212" i="57"/>
  <c r="J99" i="57"/>
  <c r="J100" i="57"/>
  <c r="J72" i="57"/>
  <c r="J1036" i="57"/>
  <c r="J981" i="57"/>
  <c r="J1098" i="57"/>
  <c r="J120" i="57"/>
  <c r="J43" i="57"/>
  <c r="J64" i="57"/>
  <c r="J785" i="57"/>
  <c r="J953" i="57"/>
  <c r="J786" i="57"/>
  <c r="J32" i="57"/>
  <c r="J33" i="57"/>
  <c r="J67" i="57"/>
  <c r="J1021" i="57"/>
  <c r="J321" i="57"/>
  <c r="J282" i="57"/>
  <c r="J974" i="57"/>
  <c r="J1089" i="57"/>
  <c r="J36" i="57"/>
  <c r="J695" i="57"/>
  <c r="J696" i="57"/>
  <c r="J1047" i="57"/>
  <c r="J766" i="57"/>
  <c r="J1110" i="57"/>
  <c r="J1066" i="57"/>
  <c r="J725" i="57"/>
  <c r="J726" i="57"/>
  <c r="J1076" i="57"/>
  <c r="J1131" i="57"/>
  <c r="J267" i="57"/>
  <c r="J198" i="57"/>
  <c r="J103" i="57"/>
  <c r="J148" i="57"/>
  <c r="J236" i="57"/>
  <c r="J81" i="57"/>
  <c r="J806" i="57"/>
  <c r="J697" i="57"/>
  <c r="J932" i="57"/>
  <c r="J856" i="57"/>
  <c r="J329" i="57"/>
  <c r="J293" i="57"/>
  <c r="J367" i="57"/>
  <c r="J368" i="57"/>
  <c r="J396" i="57"/>
  <c r="J1144" i="57"/>
  <c r="J647" i="57"/>
  <c r="J532" i="57"/>
  <c r="J572" i="57"/>
  <c r="J758" i="57"/>
  <c r="J1048" i="57"/>
  <c r="J1049" i="57"/>
  <c r="J1050" i="57"/>
  <c r="J491" i="57"/>
  <c r="J860" i="57"/>
  <c r="J940" i="57"/>
  <c r="J338" i="57"/>
  <c r="J303" i="57"/>
  <c r="J376" i="57"/>
  <c r="J405" i="57"/>
  <c r="J662" i="57"/>
  <c r="J542" i="57"/>
  <c r="J587" i="57"/>
  <c r="J773" i="57"/>
  <c r="J825" i="57"/>
  <c r="J992" i="57"/>
  <c r="J1124" i="57"/>
  <c r="J1070" i="57"/>
  <c r="J734" i="57"/>
  <c r="J129" i="57"/>
  <c r="J172" i="57"/>
  <c r="J53" i="57"/>
  <c r="J252" i="57"/>
  <c r="J219" i="57"/>
  <c r="J444" i="57"/>
  <c r="J500" i="57"/>
  <c r="J261" i="57"/>
  <c r="J192" i="57"/>
  <c r="J229" i="57"/>
  <c r="J68" i="57"/>
  <c r="J790" i="57"/>
  <c r="J681" i="57"/>
  <c r="J318" i="57"/>
  <c r="J319" i="57"/>
  <c r="J281" i="57"/>
  <c r="J356" i="57"/>
  <c r="J392" i="57"/>
  <c r="J1134" i="57"/>
  <c r="J1022" i="57"/>
  <c r="J1023" i="57"/>
  <c r="J412" i="57"/>
  <c r="J922" i="57"/>
  <c r="J322" i="57"/>
  <c r="J283" i="57"/>
  <c r="J357" i="57"/>
  <c r="J393" i="57"/>
  <c r="J791" i="57"/>
  <c r="J975" i="57"/>
  <c r="J1090" i="57"/>
  <c r="J714" i="57"/>
  <c r="J602" i="57"/>
  <c r="J117" i="57"/>
  <c r="J162" i="57"/>
  <c r="J37" i="57"/>
  <c r="J432" i="57"/>
  <c r="J613" i="57"/>
  <c r="J268" i="57"/>
  <c r="J199" i="57"/>
  <c r="J104" i="57"/>
  <c r="J149" i="57"/>
  <c r="J150" i="57"/>
  <c r="J237" i="57"/>
  <c r="J181" i="57"/>
  <c r="J82" i="57"/>
  <c r="J807" i="57"/>
  <c r="J698" i="57"/>
  <c r="J899" i="57"/>
  <c r="J933" i="57"/>
  <c r="J882" i="57"/>
  <c r="J330" i="57"/>
  <c r="J294" i="57"/>
  <c r="J295" i="57"/>
  <c r="J369" i="57"/>
  <c r="J397" i="57"/>
  <c r="J15" i="57"/>
  <c r="J1145" i="57"/>
  <c r="J648" i="57"/>
  <c r="J533" i="57"/>
  <c r="J573" i="57"/>
  <c r="J759" i="57"/>
  <c r="J1051" i="57"/>
  <c r="J1052" i="57"/>
  <c r="J419" i="57"/>
  <c r="J492" i="57"/>
  <c r="J861" i="57"/>
  <c r="J888" i="57"/>
  <c r="J901" i="57"/>
  <c r="J943" i="57"/>
  <c r="J944" i="57"/>
  <c r="J341" i="57"/>
  <c r="J305" i="57"/>
  <c r="J378" i="57"/>
  <c r="J407" i="57"/>
  <c r="J462" i="57"/>
  <c r="J666" i="57"/>
  <c r="J544" i="57"/>
  <c r="J589" i="57"/>
  <c r="J775" i="57"/>
  <c r="J827" i="57"/>
  <c r="J994" i="57"/>
  <c r="J995" i="57"/>
  <c r="J1126" i="57"/>
  <c r="J736" i="57"/>
  <c r="J623" i="57"/>
  <c r="J132" i="57"/>
  <c r="J174" i="57"/>
  <c r="J186" i="57"/>
  <c r="J55" i="57"/>
  <c r="J254" i="57"/>
  <c r="J221" i="57"/>
  <c r="J445" i="57"/>
  <c r="J502" i="57"/>
  <c r="J614" i="57"/>
  <c r="J269" i="57"/>
  <c r="J200" i="57"/>
  <c r="J105" i="57"/>
  <c r="J106" i="57"/>
  <c r="J151" i="57"/>
  <c r="J238" i="57"/>
  <c r="J182" i="57"/>
  <c r="J83" i="57"/>
  <c r="J808" i="57"/>
  <c r="J472" i="57"/>
  <c r="J699" i="57"/>
  <c r="J934" i="57"/>
  <c r="J331" i="57"/>
  <c r="J296" i="57"/>
  <c r="J370" i="57"/>
  <c r="J398" i="57"/>
  <c r="J399" i="57"/>
  <c r="J1146" i="57"/>
  <c r="J456" i="57"/>
  <c r="J649" i="57"/>
  <c r="J534" i="57"/>
  <c r="J574" i="57"/>
  <c r="J760" i="57"/>
  <c r="J1053" i="57"/>
  <c r="J420" i="57"/>
  <c r="J493" i="57"/>
  <c r="J862" i="57"/>
  <c r="J911" i="57"/>
  <c r="J942" i="57"/>
  <c r="J958" i="57"/>
  <c r="J340" i="57"/>
  <c r="J304" i="57"/>
  <c r="J377" i="57"/>
  <c r="J406" i="57"/>
  <c r="J461" i="57"/>
  <c r="J665" i="57"/>
  <c r="J543" i="57"/>
  <c r="J588" i="57"/>
  <c r="J774" i="57"/>
  <c r="J826" i="57"/>
  <c r="J993" i="57"/>
  <c r="J1125" i="57"/>
  <c r="J735" i="57"/>
  <c r="J622" i="57"/>
  <c r="J131" i="57"/>
  <c r="J173" i="57"/>
  <c r="J185" i="57"/>
  <c r="J54" i="57"/>
  <c r="J253" i="57"/>
  <c r="J220" i="57"/>
  <c r="J501" i="57"/>
  <c r="J143" i="57"/>
  <c r="J801" i="57"/>
  <c r="J684" i="57"/>
  <c r="J685" i="57"/>
  <c r="J1139" i="57"/>
  <c r="J802" i="57"/>
  <c r="J983" i="57"/>
  <c r="J717" i="57"/>
  <c r="J166" i="57"/>
  <c r="J718" i="57"/>
  <c r="J156" i="57"/>
  <c r="J833" i="57"/>
  <c r="J477" i="57"/>
  <c r="J841" i="57"/>
  <c r="J842" i="57"/>
  <c r="J946" i="57"/>
  <c r="J866" i="57"/>
  <c r="J890" i="57"/>
  <c r="J891" i="57"/>
  <c r="J308" i="57"/>
  <c r="J1157" i="57"/>
  <c r="J669" i="57"/>
  <c r="J670" i="57"/>
  <c r="J546" i="57"/>
  <c r="J591" i="57"/>
  <c r="J592" i="57"/>
  <c r="J777" i="57"/>
  <c r="J867" i="57"/>
  <c r="J892" i="57"/>
  <c r="J914" i="57"/>
  <c r="J947" i="57"/>
  <c r="J948" i="57"/>
  <c r="J949" i="57"/>
  <c r="J950" i="57"/>
  <c r="J961" i="57"/>
  <c r="J962" i="57"/>
  <c r="J963" i="57"/>
  <c r="J964" i="57"/>
  <c r="J344" i="57"/>
  <c r="J309" i="57"/>
  <c r="J386" i="57"/>
  <c r="J464" i="57"/>
  <c r="J671" i="57"/>
  <c r="J672" i="57"/>
  <c r="J970" i="57"/>
  <c r="J547" i="57"/>
  <c r="J593" i="57"/>
  <c r="J778" i="57"/>
  <c r="J834" i="57"/>
  <c r="J1003" i="57"/>
  <c r="J60" i="57"/>
  <c r="J29" i="57"/>
  <c r="J242" i="57"/>
  <c r="J615" i="57"/>
  <c r="J270" i="57"/>
  <c r="J201" i="57"/>
  <c r="J107" i="57"/>
  <c r="J152" i="57"/>
  <c r="J239" i="57"/>
  <c r="J183" i="57"/>
  <c r="J84" i="57"/>
  <c r="J809" i="57"/>
  <c r="J473" i="57"/>
  <c r="J700" i="57"/>
  <c r="J900" i="57"/>
  <c r="J908" i="57"/>
  <c r="J935" i="57"/>
  <c r="J857" i="57"/>
  <c r="J883" i="57"/>
  <c r="J332" i="57"/>
  <c r="J297" i="57"/>
  <c r="J371" i="57"/>
  <c r="J400" i="57"/>
  <c r="J1147" i="57"/>
  <c r="J457" i="57"/>
  <c r="J650" i="57"/>
  <c r="J535" i="57"/>
  <c r="J575" i="57"/>
  <c r="J761" i="57"/>
  <c r="J1054" i="57"/>
  <c r="J421" i="57"/>
  <c r="J863" i="57"/>
  <c r="J889" i="57"/>
  <c r="J902" i="57"/>
  <c r="J912" i="57"/>
  <c r="J945" i="57"/>
  <c r="J959" i="57"/>
  <c r="J342" i="57"/>
  <c r="J306" i="57"/>
  <c r="J379" i="57"/>
  <c r="J408" i="57"/>
  <c r="J463" i="57"/>
  <c r="J667" i="57"/>
  <c r="J545" i="57"/>
  <c r="J590" i="57"/>
  <c r="J776" i="57"/>
  <c r="J828" i="57"/>
  <c r="J996" i="57"/>
  <c r="J997" i="57"/>
  <c r="J1127" i="57"/>
  <c r="J737" i="57"/>
  <c r="J624" i="57"/>
  <c r="J133" i="57"/>
  <c r="J175" i="57"/>
  <c r="J187" i="57"/>
  <c r="J56" i="57"/>
  <c r="J255" i="57"/>
  <c r="J222" i="57"/>
  <c r="J446" i="57"/>
  <c r="J598" i="57"/>
  <c r="J259" i="57"/>
  <c r="J190" i="57"/>
  <c r="J92" i="57"/>
  <c r="J138" i="57"/>
  <c r="J65" i="57"/>
  <c r="J468" i="57"/>
  <c r="J678" i="57"/>
  <c r="J904" i="57"/>
  <c r="J917" i="57"/>
  <c r="J918" i="57"/>
  <c r="J845" i="57"/>
  <c r="J870" i="57"/>
  <c r="J314" i="57"/>
  <c r="J277" i="57"/>
  <c r="J630" i="57"/>
  <c r="J516" i="57"/>
  <c r="J554" i="57"/>
  <c r="J744" i="57"/>
  <c r="J1018" i="57"/>
  <c r="J847" i="57"/>
  <c r="J872" i="57"/>
  <c r="J920" i="57"/>
  <c r="J316" i="57"/>
  <c r="J279" i="57"/>
  <c r="J390" i="57"/>
  <c r="J449" i="57"/>
  <c r="J632" i="57"/>
  <c r="J519" i="57"/>
  <c r="J556" i="57"/>
  <c r="J745" i="57"/>
  <c r="J788" i="57"/>
  <c r="J972" i="57"/>
  <c r="J1086" i="57"/>
  <c r="J711" i="57"/>
  <c r="J600" i="57"/>
  <c r="J115" i="57"/>
  <c r="J160" i="57"/>
  <c r="J34" i="57"/>
  <c r="J209" i="57"/>
  <c r="J701" i="57"/>
  <c r="J727" i="57"/>
  <c r="J599" i="57"/>
  <c r="J260" i="57"/>
  <c r="J191" i="57"/>
  <c r="J93" i="57"/>
  <c r="J139" i="57"/>
  <c r="J228" i="57"/>
  <c r="J66" i="57"/>
  <c r="J787" i="57"/>
  <c r="J469" i="57"/>
  <c r="J679" i="57"/>
  <c r="J680" i="57"/>
  <c r="J919" i="57"/>
  <c r="J846" i="57"/>
  <c r="J315" i="57"/>
  <c r="J278" i="57"/>
  <c r="J354" i="57"/>
  <c r="J389" i="57"/>
  <c r="J3" i="57"/>
  <c r="J631" i="57"/>
  <c r="J517" i="57"/>
  <c r="J518" i="57"/>
  <c r="J555" i="57"/>
  <c r="J1019" i="57"/>
  <c r="J410" i="57"/>
  <c r="J411" i="57"/>
  <c r="J848" i="57"/>
  <c r="J921" i="57"/>
  <c r="J954" i="57"/>
  <c r="J955" i="57"/>
  <c r="J317" i="57"/>
  <c r="J280" i="57"/>
  <c r="J355" i="57"/>
  <c r="J391" i="57"/>
  <c r="J350" i="57"/>
  <c r="J965" i="57"/>
  <c r="J966" i="57"/>
  <c r="J520" i="57"/>
  <c r="J557" i="57"/>
  <c r="J746" i="57"/>
  <c r="J747" i="57"/>
  <c r="J789" i="57"/>
  <c r="J973" i="57"/>
  <c r="J1087" i="57"/>
  <c r="J712" i="57"/>
  <c r="J713" i="57"/>
  <c r="J601" i="57"/>
  <c r="J116" i="57"/>
  <c r="J161" i="57"/>
  <c r="J35" i="57"/>
  <c r="J210" i="57"/>
  <c r="J431" i="57"/>
  <c r="J320" i="57"/>
  <c r="J1024" i="57"/>
  <c r="J413" i="57"/>
  <c r="J414" i="57"/>
  <c r="J792" i="57"/>
  <c r="J1091" i="57"/>
  <c r="J603" i="57"/>
  <c r="J38" i="57"/>
  <c r="J433" i="57"/>
  <c r="J609" i="57"/>
  <c r="J266" i="57"/>
  <c r="J197" i="57"/>
  <c r="J142" i="57"/>
  <c r="J73" i="57"/>
  <c r="J799" i="57"/>
  <c r="J327" i="57"/>
  <c r="J288" i="57"/>
  <c r="J1138" i="57"/>
  <c r="J454" i="57"/>
  <c r="J1037" i="57"/>
  <c r="J928" i="57"/>
  <c r="J328" i="57"/>
  <c r="J289" i="57"/>
  <c r="J455" i="57"/>
  <c r="J800" i="57"/>
  <c r="J982" i="57"/>
  <c r="J1099" i="57"/>
  <c r="J610" i="57"/>
  <c r="J121" i="57"/>
  <c r="J165" i="57"/>
  <c r="J214" i="57"/>
  <c r="J274" i="57"/>
  <c r="J205" i="57"/>
  <c r="J157" i="57"/>
  <c r="J243" i="57"/>
  <c r="J835" i="57"/>
  <c r="J707" i="57"/>
  <c r="J310" i="57"/>
  <c r="J1158" i="57"/>
  <c r="J673" i="57"/>
  <c r="J779" i="57"/>
  <c r="J1077" i="57"/>
  <c r="J311" i="57"/>
  <c r="J351" i="57"/>
  <c r="J674" i="57"/>
  <c r="J548" i="57"/>
  <c r="J594" i="57"/>
  <c r="J780" i="57"/>
  <c r="J836" i="57"/>
  <c r="J1004" i="57"/>
  <c r="J1132" i="57"/>
  <c r="J740" i="57"/>
  <c r="J625" i="57"/>
  <c r="J135" i="57"/>
  <c r="J176" i="57"/>
  <c r="J61" i="57"/>
  <c r="J256" i="57"/>
  <c r="J224" i="57"/>
  <c r="J108" i="57"/>
  <c r="J153" i="57"/>
  <c r="J474" i="57"/>
  <c r="J702" i="57"/>
  <c r="J372" i="57"/>
  <c r="J401" i="57"/>
  <c r="J1148" i="57"/>
  <c r="J458" i="57"/>
  <c r="J422" i="57"/>
  <c r="J336" i="57"/>
  <c r="J375" i="57"/>
  <c r="J460" i="57"/>
  <c r="J1120" i="57"/>
  <c r="J729" i="57"/>
  <c r="J618" i="57"/>
  <c r="J125" i="57"/>
  <c r="J170" i="57"/>
  <c r="J441" i="57"/>
  <c r="J498" i="57"/>
  <c r="J823" i="57"/>
  <c r="J1154" i="57"/>
  <c r="J429" i="57"/>
  <c r="J430" i="57"/>
  <c r="J913" i="57"/>
  <c r="J960" i="57"/>
  <c r="J829" i="57"/>
  <c r="J998" i="57"/>
  <c r="J442" i="57"/>
  <c r="J616" i="57"/>
  <c r="J271" i="57"/>
  <c r="J202" i="57"/>
  <c r="J109" i="57"/>
  <c r="J110" i="57"/>
  <c r="J154" i="57"/>
  <c r="J240" i="57"/>
  <c r="J85" i="57"/>
  <c r="J810" i="57"/>
  <c r="J475" i="57"/>
  <c r="J476" i="57"/>
  <c r="J703" i="57"/>
  <c r="J936" i="57"/>
  <c r="J333" i="57"/>
  <c r="J334" i="57"/>
  <c r="J298" i="57"/>
  <c r="J402" i="57"/>
  <c r="J1149" i="57"/>
  <c r="J651" i="57"/>
  <c r="J536" i="57"/>
  <c r="J576" i="57"/>
  <c r="J762" i="57"/>
  <c r="J1055" i="57"/>
  <c r="J423" i="57"/>
  <c r="J939" i="57"/>
  <c r="J337" i="57"/>
  <c r="J302" i="57"/>
  <c r="J403" i="57"/>
  <c r="J661" i="57"/>
  <c r="J969" i="57"/>
  <c r="J541" i="57"/>
  <c r="J586" i="57"/>
  <c r="J772" i="57"/>
  <c r="J822" i="57"/>
  <c r="J990" i="57"/>
  <c r="J1122" i="57"/>
  <c r="J731" i="57"/>
  <c r="J620" i="57"/>
  <c r="J127" i="57"/>
  <c r="J171" i="57"/>
  <c r="J51" i="57"/>
  <c r="J250" i="57"/>
  <c r="J218" i="57"/>
  <c r="J443" i="57"/>
  <c r="J999" i="57"/>
  <c r="J1056" i="57"/>
  <c r="J1150" i="57"/>
  <c r="J1057" i="57"/>
  <c r="J424" i="57"/>
  <c r="J1111" i="57"/>
  <c r="J438" i="57"/>
  <c r="J811" i="57"/>
  <c r="J1151" i="57"/>
  <c r="J1058" i="57"/>
  <c r="J985" i="57"/>
  <c r="J1112" i="57"/>
  <c r="J1067" i="57"/>
  <c r="J1113" i="57"/>
  <c r="J48" i="57"/>
  <c r="J652" i="57"/>
  <c r="J537" i="57"/>
  <c r="J577" i="57"/>
  <c r="J763" i="57"/>
  <c r="J654" i="57"/>
  <c r="J539" i="57"/>
  <c r="J579" i="57"/>
  <c r="J767" i="57"/>
  <c r="J1059" i="57"/>
  <c r="J817" i="57"/>
  <c r="J1114" i="57"/>
  <c r="J595" i="57"/>
  <c r="J257" i="57"/>
  <c r="J188" i="57"/>
  <c r="J91" i="57"/>
  <c r="J136" i="57"/>
  <c r="J226" i="57"/>
  <c r="J62" i="57"/>
  <c r="J781" i="57"/>
  <c r="J675" i="57"/>
  <c r="J676" i="57"/>
  <c r="J894" i="57"/>
  <c r="J895" i="57"/>
  <c r="J837" i="57"/>
  <c r="J838" i="57"/>
  <c r="J915" i="57"/>
  <c r="J843" i="57"/>
  <c r="J312" i="57"/>
  <c r="J352" i="57"/>
  <c r="J387" i="57"/>
  <c r="J1133" i="57"/>
  <c r="J626" i="57"/>
  <c r="J512" i="57"/>
  <c r="J549" i="57"/>
  <c r="J741" i="57"/>
  <c r="J1005" i="57"/>
  <c r="J844" i="57"/>
  <c r="J869" i="57"/>
  <c r="J896" i="57"/>
  <c r="J903" i="57"/>
  <c r="J916" i="57"/>
  <c r="J951" i="57"/>
  <c r="J952" i="57"/>
  <c r="J313" i="57"/>
  <c r="J276" i="57"/>
  <c r="J353" i="57"/>
  <c r="J388" i="57"/>
  <c r="J627" i="57"/>
  <c r="J513" i="57"/>
  <c r="J550" i="57"/>
  <c r="J551" i="57"/>
  <c r="J742" i="57"/>
  <c r="J743" i="57"/>
  <c r="J782" i="57"/>
  <c r="J971" i="57"/>
  <c r="J1079" i="57"/>
  <c r="J708" i="57"/>
  <c r="J709" i="57"/>
  <c r="J596" i="57"/>
  <c r="J113" i="57"/>
  <c r="J158" i="57"/>
  <c r="J30" i="57"/>
  <c r="J207" i="57"/>
  <c r="J1006" i="57"/>
  <c r="J1080" i="57"/>
  <c r="J18" i="57"/>
  <c r="J19" i="57"/>
  <c r="J20" i="57"/>
  <c r="J21" i="57"/>
  <c r="J215" i="57"/>
  <c r="J16" i="57"/>
  <c r="J17" i="57"/>
  <c r="J1101" i="57"/>
  <c r="J527" i="57"/>
  <c r="J752" i="57"/>
  <c r="J487" i="57"/>
  <c r="J488" i="57"/>
  <c r="J753" i="57"/>
  <c r="J1102" i="57"/>
  <c r="J479" i="57"/>
  <c r="J299" i="57"/>
  <c r="J1020" i="57"/>
  <c r="J1088" i="57"/>
  <c r="J1025" i="57"/>
  <c r="J1092" i="57"/>
  <c r="J1115" i="57"/>
  <c r="J22" i="57"/>
  <c r="J1060" i="57"/>
  <c r="J1116" i="57"/>
  <c r="J1103" i="57"/>
  <c r="J803" i="57"/>
  <c r="J1152" i="57"/>
  <c r="J986" i="57"/>
  <c r="J1153" i="57"/>
  <c r="J987" i="57"/>
  <c r="J496" i="57"/>
  <c r="J111" i="57"/>
  <c r="J425" i="57"/>
  <c r="J426" i="57"/>
  <c r="J123" i="57"/>
  <c r="J839" i="57"/>
  <c r="J871" i="57"/>
  <c r="J4" i="57"/>
  <c r="J5" i="57"/>
  <c r="J6" i="57"/>
  <c r="J7" i="57"/>
  <c r="J873" i="57"/>
  <c r="J897" i="57"/>
  <c r="J905" i="57"/>
  <c r="J956" i="57"/>
  <c r="J265" i="57"/>
  <c r="J196" i="57"/>
  <c r="J231" i="57"/>
  <c r="J71" i="57"/>
  <c r="J361" i="57"/>
  <c r="J9" i="57"/>
  <c r="J10" i="57"/>
  <c r="J506" i="57"/>
  <c r="J636" i="57"/>
  <c r="J523" i="57"/>
  <c r="J560" i="57"/>
  <c r="J749" i="57"/>
  <c r="J1032" i="57"/>
  <c r="J1033" i="57"/>
  <c r="J483" i="57"/>
  <c r="J11" i="57"/>
  <c r="J926" i="57"/>
  <c r="J363" i="57"/>
  <c r="J507" i="57"/>
  <c r="J967" i="57"/>
  <c r="J968" i="57"/>
  <c r="J524" i="57"/>
  <c r="J562" i="57"/>
  <c r="J750" i="57"/>
  <c r="J1097" i="57"/>
  <c r="J1035" i="57"/>
  <c r="J608" i="57"/>
  <c r="J41" i="57"/>
  <c r="J42" i="57"/>
  <c r="J213" i="57"/>
  <c r="J484" i="57"/>
  <c r="J275" i="57"/>
  <c r="J206" i="57"/>
  <c r="J90" i="57"/>
  <c r="J1078" i="57"/>
  <c r="J225" i="57"/>
  <c r="J1068" i="57"/>
  <c r="J1061" i="57"/>
  <c r="J427" i="57"/>
  <c r="J1117" i="57"/>
  <c r="J272" i="57"/>
  <c r="J203" i="57"/>
  <c r="J155" i="57"/>
  <c r="J241" i="57"/>
  <c r="J86" i="57"/>
  <c r="J812" i="57"/>
  <c r="J704" i="57"/>
  <c r="J373" i="57"/>
  <c r="J764" i="57"/>
  <c r="J1062" i="57"/>
  <c r="J428" i="57"/>
  <c r="J494" i="57"/>
  <c r="J335" i="57"/>
  <c r="J374" i="57"/>
  <c r="J655" i="57"/>
  <c r="J580" i="57"/>
  <c r="J818" i="57"/>
  <c r="J1118" i="57"/>
  <c r="J728" i="57"/>
  <c r="J617" i="57"/>
  <c r="J124" i="57"/>
  <c r="J169" i="57"/>
  <c r="J49" i="57"/>
  <c r="J248" i="57"/>
  <c r="J216" i="57"/>
  <c r="J497" i="57"/>
  <c r="J273" i="57"/>
  <c r="J204" i="57"/>
  <c r="J112" i="57"/>
  <c r="J87" i="57"/>
  <c r="J134" i="57"/>
  <c r="J57" i="57"/>
  <c r="J223" i="57"/>
  <c r="J653" i="57"/>
  <c r="J578" i="57"/>
  <c r="J656" i="57"/>
  <c r="J540" i="57"/>
  <c r="J581" i="57"/>
  <c r="J1081" i="57"/>
  <c r="J1007" i="57"/>
  <c r="J1008" i="57"/>
  <c r="J1009" i="57"/>
  <c r="J1082" i="57"/>
  <c r="J258" i="57"/>
  <c r="J189" i="57"/>
  <c r="J137" i="57"/>
  <c r="J227" i="57"/>
  <c r="J63" i="57"/>
  <c r="J783" i="57"/>
  <c r="J677" i="57"/>
  <c r="J504" i="57"/>
  <c r="J447" i="57"/>
  <c r="J628" i="57"/>
  <c r="J514" i="57"/>
  <c r="J552" i="57"/>
  <c r="J1010" i="57"/>
  <c r="J1011" i="57"/>
  <c r="J478" i="57"/>
  <c r="J505" i="57"/>
  <c r="J448" i="57"/>
  <c r="J629" i="57"/>
  <c r="J515" i="57"/>
  <c r="J553" i="57"/>
  <c r="J784" i="57"/>
  <c r="J1083" i="57"/>
  <c r="J1012" i="57"/>
  <c r="J710" i="57"/>
  <c r="J597" i="57"/>
  <c r="J114" i="57"/>
  <c r="J159" i="57"/>
  <c r="J31" i="57"/>
  <c r="J244" i="57"/>
  <c r="J208" i="57"/>
  <c r="J1014" i="57"/>
  <c r="J409" i="57"/>
  <c r="J1084" i="57"/>
  <c r="J927" i="57"/>
  <c r="J637" i="57"/>
  <c r="J525" i="57"/>
  <c r="J563" i="57"/>
  <c r="J564" i="57"/>
  <c r="J1038" i="57"/>
  <c r="J1039" i="57"/>
  <c r="J485" i="57"/>
  <c r="J638" i="57"/>
  <c r="J526" i="57"/>
  <c r="J566" i="57"/>
  <c r="J567" i="57"/>
  <c r="J751" i="57"/>
  <c r="J1100" i="57"/>
  <c r="J486" i="57"/>
  <c r="J8" i="57"/>
  <c r="J1135" i="57"/>
  <c r="J633" i="57"/>
  <c r="J1026" i="57"/>
  <c r="J1027" i="57"/>
  <c r="J415" i="57"/>
  <c r="J976" i="57"/>
  <c r="J1093" i="57"/>
  <c r="J1028" i="57"/>
  <c r="J439" i="57"/>
  <c r="J1063" i="57"/>
  <c r="J1064" i="57"/>
  <c r="J819" i="57"/>
  <c r="J1119" i="57"/>
  <c r="J300" i="57"/>
  <c r="J1065" i="57"/>
  <c r="J88" i="57"/>
  <c r="J89" i="57"/>
  <c r="J705" i="57"/>
  <c r="J706" i="57"/>
  <c r="J864" i="57"/>
  <c r="J343" i="57"/>
  <c r="J380" i="57"/>
  <c r="J24" i="57"/>
  <c r="J25" i="57"/>
  <c r="J1155" i="57"/>
  <c r="J510" i="57"/>
  <c r="J1071" i="57"/>
  <c r="J1072" i="57"/>
  <c r="J26" i="57"/>
  <c r="J27" i="57"/>
  <c r="J28" i="57"/>
  <c r="J865" i="57"/>
  <c r="J307" i="57"/>
  <c r="J384" i="57"/>
  <c r="J511" i="57"/>
  <c r="J831" i="57"/>
  <c r="J1000" i="57"/>
  <c r="J1001" i="57"/>
  <c r="J1128" i="57"/>
  <c r="J1074" i="57"/>
  <c r="J738" i="57"/>
  <c r="J739" i="57"/>
  <c r="J58" i="57"/>
  <c r="J59" i="57"/>
  <c r="J1073" i="57"/>
  <c r="J1002" i="57"/>
  <c r="J1129" i="57"/>
  <c r="J538" i="57"/>
  <c r="J668" i="57"/>
  <c r="J830" i="57"/>
  <c r="J381" i="57"/>
  <c r="J382" i="57"/>
  <c r="J832" i="57"/>
  <c r="J383" i="57"/>
  <c r="J503" i="57"/>
  <c r="J385" i="57"/>
  <c r="J1156" i="57"/>
  <c r="J435" i="57"/>
  <c r="K435" i="57"/>
  <c r="C26" i="57" l="1"/>
  <c r="C18" i="57"/>
  <c r="C11" i="57"/>
  <c r="C19" i="57"/>
  <c r="C22" i="57"/>
  <c r="C6" i="57"/>
  <c r="C7" i="57"/>
  <c r="C23" i="57"/>
  <c r="C20" i="57"/>
  <c r="C27" i="57"/>
  <c r="C21" i="57"/>
  <c r="C28" i="57"/>
  <c r="C858" i="57"/>
  <c r="C850" i="57"/>
  <c r="C859" i="57"/>
  <c r="C860" i="57"/>
  <c r="C861" i="57"/>
  <c r="C862" i="57"/>
  <c r="C867" i="57"/>
  <c r="C863" i="57"/>
  <c r="C847" i="57"/>
  <c r="C848" i="57"/>
  <c r="C844" i="57"/>
  <c r="C865" i="57"/>
  <c r="C884" i="57"/>
  <c r="C875" i="57"/>
  <c r="C887" i="57"/>
  <c r="C885" i="57"/>
  <c r="C886" i="57"/>
  <c r="C888" i="57"/>
  <c r="C892" i="57"/>
  <c r="C889" i="57"/>
  <c r="C872" i="57"/>
  <c r="C869" i="57"/>
  <c r="C873" i="57"/>
  <c r="C901" i="57"/>
  <c r="C902" i="57"/>
  <c r="C896" i="57"/>
  <c r="C897" i="57"/>
  <c r="C909" i="57"/>
  <c r="C910" i="57"/>
  <c r="C911" i="57"/>
  <c r="C914" i="57"/>
  <c r="C912" i="57"/>
  <c r="C913" i="57"/>
  <c r="C903" i="57"/>
  <c r="C905" i="57"/>
  <c r="C925" i="57"/>
  <c r="C938" i="57"/>
  <c r="C941" i="57"/>
  <c r="C937" i="57"/>
  <c r="C940" i="57"/>
  <c r="C922" i="57"/>
  <c r="C943" i="57"/>
  <c r="C944" i="57"/>
  <c r="C942" i="57"/>
  <c r="C947" i="57"/>
  <c r="C948" i="57"/>
  <c r="C949" i="57"/>
  <c r="C950" i="57"/>
  <c r="C945" i="57"/>
  <c r="C920" i="57"/>
  <c r="C921" i="57"/>
  <c r="C928" i="57"/>
  <c r="C939" i="57"/>
  <c r="C916" i="57"/>
  <c r="C926" i="57"/>
  <c r="C957" i="57"/>
  <c r="C953" i="57"/>
  <c r="C958" i="57"/>
  <c r="C961" i="57"/>
  <c r="C962" i="57"/>
  <c r="C963" i="57"/>
  <c r="C964" i="57"/>
  <c r="C959" i="57"/>
  <c r="C954" i="57"/>
  <c r="C955" i="57"/>
  <c r="C960" i="57"/>
  <c r="C951" i="57"/>
  <c r="C952" i="57"/>
  <c r="C956" i="57"/>
  <c r="C466" i="57"/>
  <c r="C347" i="57"/>
  <c r="C348" i="57"/>
  <c r="C324" i="57"/>
  <c r="C339" i="57"/>
  <c r="C326" i="57"/>
  <c r="C321" i="57"/>
  <c r="C338" i="57"/>
  <c r="C322" i="57"/>
  <c r="C341" i="57"/>
  <c r="C340" i="57"/>
  <c r="C344" i="57"/>
  <c r="C342" i="57"/>
  <c r="C316" i="57"/>
  <c r="C317" i="57"/>
  <c r="C328" i="57"/>
  <c r="C336" i="57"/>
  <c r="C337" i="57"/>
  <c r="C313" i="57"/>
  <c r="C335" i="57"/>
  <c r="C285" i="57"/>
  <c r="C301" i="57"/>
  <c r="C287" i="57"/>
  <c r="C282" i="57"/>
  <c r="C303" i="57"/>
  <c r="C283" i="57"/>
  <c r="C305" i="57"/>
  <c r="C304" i="57"/>
  <c r="C309" i="57"/>
  <c r="C306" i="57"/>
  <c r="C279" i="57"/>
  <c r="C280" i="57"/>
  <c r="C289" i="57"/>
  <c r="C311" i="57"/>
  <c r="C302" i="57"/>
  <c r="C276" i="57"/>
  <c r="C307" i="57"/>
  <c r="C359" i="57"/>
  <c r="C362" i="57"/>
  <c r="C376" i="57"/>
  <c r="C357" i="57"/>
  <c r="C378" i="57"/>
  <c r="C377" i="57"/>
  <c r="C386" i="57"/>
  <c r="C379" i="57"/>
  <c r="C355" i="57"/>
  <c r="C375" i="57"/>
  <c r="C353" i="57"/>
  <c r="C363" i="57"/>
  <c r="C374" i="57"/>
  <c r="C384" i="57"/>
  <c r="C385" i="57"/>
  <c r="C395" i="57"/>
  <c r="C404" i="57"/>
  <c r="C405" i="57"/>
  <c r="C393" i="57"/>
  <c r="C407" i="57"/>
  <c r="C406" i="57"/>
  <c r="C408" i="57"/>
  <c r="C390" i="57"/>
  <c r="C391" i="57"/>
  <c r="C403" i="57"/>
  <c r="C388" i="57"/>
  <c r="C350" i="57"/>
  <c r="C351" i="57"/>
  <c r="C509" i="57"/>
  <c r="C507" i="57"/>
  <c r="C505" i="57"/>
  <c r="C511" i="57"/>
  <c r="C451" i="57"/>
  <c r="C453" i="57"/>
  <c r="C461" i="57"/>
  <c r="C463" i="57"/>
  <c r="C455" i="57"/>
  <c r="C460" i="57"/>
  <c r="C448" i="57"/>
  <c r="C459" i="57"/>
  <c r="C462" i="57"/>
  <c r="C464" i="57"/>
  <c r="C449" i="57"/>
  <c r="C657" i="57"/>
  <c r="C635" i="57"/>
  <c r="C659" i="57"/>
  <c r="C662" i="57"/>
  <c r="C666" i="57"/>
  <c r="C665" i="57"/>
  <c r="C671" i="57"/>
  <c r="C672" i="57"/>
  <c r="C667" i="57"/>
  <c r="C632" i="57"/>
  <c r="C674" i="57"/>
  <c r="C661" i="57"/>
  <c r="C654" i="57"/>
  <c r="C627" i="57"/>
  <c r="C655" i="57"/>
  <c r="C656" i="57"/>
  <c r="C629" i="57"/>
  <c r="C638" i="57"/>
  <c r="C658" i="57"/>
  <c r="C660" i="57"/>
  <c r="C970" i="57"/>
  <c r="C965" i="57"/>
  <c r="C966" i="57"/>
  <c r="C969" i="57"/>
  <c r="C967" i="57"/>
  <c r="C968" i="57"/>
  <c r="C522" i="57"/>
  <c r="C542" i="57"/>
  <c r="C544" i="57"/>
  <c r="C543" i="57"/>
  <c r="C547" i="57"/>
  <c r="C545" i="57"/>
  <c r="C519" i="57"/>
  <c r="C520" i="57"/>
  <c r="C548" i="57"/>
  <c r="C541" i="57"/>
  <c r="C539" i="57"/>
  <c r="C513" i="57"/>
  <c r="C524" i="57"/>
  <c r="C540" i="57"/>
  <c r="C515" i="57"/>
  <c r="C526" i="57"/>
  <c r="C565" i="57"/>
  <c r="C559" i="57"/>
  <c r="C582" i="57"/>
  <c r="C584" i="57"/>
  <c r="C561" i="57"/>
  <c r="C587" i="57"/>
  <c r="C589" i="57"/>
  <c r="C588" i="57"/>
  <c r="C593" i="57"/>
  <c r="C590" i="57"/>
  <c r="C556" i="57"/>
  <c r="C557" i="57"/>
  <c r="C594" i="57"/>
  <c r="C586" i="57"/>
  <c r="C579" i="57"/>
  <c r="C550" i="57"/>
  <c r="C551" i="57"/>
  <c r="C562" i="57"/>
  <c r="C580" i="57"/>
  <c r="C581" i="57"/>
  <c r="C553" i="57"/>
  <c r="C566" i="57"/>
  <c r="C567" i="57"/>
  <c r="C583" i="57"/>
  <c r="C585" i="57"/>
  <c r="C748" i="57"/>
  <c r="C768" i="57"/>
  <c r="C770" i="57"/>
  <c r="C765" i="57"/>
  <c r="C766" i="57"/>
  <c r="C773" i="57"/>
  <c r="C775" i="57"/>
  <c r="C774" i="57"/>
  <c r="C778" i="57"/>
  <c r="C776" i="57"/>
  <c r="C745" i="57"/>
  <c r="C746" i="57"/>
  <c r="C747" i="57"/>
  <c r="C780" i="57"/>
  <c r="C772" i="57"/>
  <c r="C767" i="57"/>
  <c r="C742" i="57"/>
  <c r="C743" i="57"/>
  <c r="C753" i="57"/>
  <c r="C750" i="57"/>
  <c r="C751" i="57"/>
  <c r="C769" i="57"/>
  <c r="C771" i="57"/>
  <c r="C663" i="57"/>
  <c r="C664" i="57"/>
  <c r="C813" i="57"/>
  <c r="C814" i="57"/>
  <c r="C815" i="57"/>
  <c r="C794" i="57"/>
  <c r="C795" i="57"/>
  <c r="C820" i="57"/>
  <c r="C821" i="57"/>
  <c r="C824" i="57"/>
  <c r="C816" i="57"/>
  <c r="C797" i="57"/>
  <c r="C798" i="57"/>
  <c r="C786" i="57"/>
  <c r="C825" i="57"/>
  <c r="C791" i="57"/>
  <c r="C827" i="57"/>
  <c r="C826" i="57"/>
  <c r="C802" i="57"/>
  <c r="C834" i="57"/>
  <c r="C828" i="57"/>
  <c r="C788" i="57"/>
  <c r="C789" i="57"/>
  <c r="C792" i="57"/>
  <c r="C800" i="57"/>
  <c r="C836" i="57"/>
  <c r="C829" i="57"/>
  <c r="C822" i="57"/>
  <c r="C817" i="57"/>
  <c r="C782" i="57"/>
  <c r="C803" i="57"/>
  <c r="C818" i="57"/>
  <c r="C784" i="57"/>
  <c r="C819" i="57"/>
  <c r="C831" i="57"/>
  <c r="C832" i="57"/>
  <c r="C977" i="57"/>
  <c r="C978" i="57"/>
  <c r="C979" i="57"/>
  <c r="C989" i="57"/>
  <c r="C991" i="57"/>
  <c r="C988" i="57"/>
  <c r="C984" i="57"/>
  <c r="C980" i="57"/>
  <c r="C981" i="57"/>
  <c r="C974" i="57"/>
  <c r="C992" i="57"/>
  <c r="C975" i="57"/>
  <c r="C994" i="57"/>
  <c r="C995" i="57"/>
  <c r="C993" i="57"/>
  <c r="C983" i="57"/>
  <c r="C1003" i="57"/>
  <c r="C996" i="57"/>
  <c r="C997" i="57"/>
  <c r="C972" i="57"/>
  <c r="C973" i="57"/>
  <c r="C982" i="57"/>
  <c r="C1004" i="57"/>
  <c r="C990" i="57"/>
  <c r="C999" i="57"/>
  <c r="C985" i="57"/>
  <c r="C971" i="57"/>
  <c r="C986" i="57"/>
  <c r="C987" i="57"/>
  <c r="C976" i="57"/>
  <c r="C1000" i="57"/>
  <c r="C1001" i="57"/>
  <c r="C1002" i="57"/>
  <c r="C998" i="57"/>
  <c r="C1104" i="57"/>
  <c r="C1130" i="57"/>
  <c r="C1085" i="57"/>
  <c r="C1096" i="57"/>
  <c r="C1098" i="57"/>
  <c r="C1089" i="57"/>
  <c r="C1110" i="57"/>
  <c r="C1131" i="57"/>
  <c r="C1125" i="57"/>
  <c r="C1086" i="57"/>
  <c r="C1087" i="57"/>
  <c r="C1091" i="57"/>
  <c r="C1099" i="57"/>
  <c r="C1132" i="57"/>
  <c r="C1122" i="57"/>
  <c r="C1111" i="57"/>
  <c r="C1112" i="57"/>
  <c r="C1114" i="57"/>
  <c r="C1101" i="57"/>
  <c r="C1102" i="57"/>
  <c r="C1088" i="57"/>
  <c r="C1092" i="57"/>
  <c r="C1115" i="57"/>
  <c r="C1116" i="57"/>
  <c r="C1103" i="57"/>
  <c r="C1097" i="57"/>
  <c r="C1117" i="57"/>
  <c r="C1083" i="57"/>
  <c r="C1084" i="57"/>
  <c r="C1100" i="57"/>
  <c r="C1093" i="57"/>
  <c r="C1119" i="57"/>
  <c r="C1128" i="57"/>
  <c r="C1129" i="57"/>
  <c r="C1105" i="57"/>
  <c r="C1106" i="57"/>
  <c r="C1107" i="57"/>
  <c r="C1094" i="57"/>
  <c r="C1121" i="57"/>
  <c r="C1123" i="57"/>
  <c r="C1095" i="57"/>
  <c r="C1108" i="57"/>
  <c r="C1109" i="57"/>
  <c r="C1124" i="57"/>
  <c r="C1090" i="57"/>
  <c r="C1126" i="57"/>
  <c r="C1127" i="57"/>
  <c r="C1120" i="57"/>
  <c r="C1113" i="57"/>
  <c r="C1079" i="57"/>
  <c r="C1080" i="57"/>
  <c r="C1118" i="57"/>
  <c r="C1081" i="57"/>
  <c r="C1082" i="57"/>
  <c r="C1074" i="57"/>
  <c r="C1035" i="57"/>
  <c r="C1034" i="57"/>
  <c r="C1066" i="57"/>
  <c r="C1070" i="57"/>
  <c r="C1069" i="57"/>
  <c r="C1008" i="57"/>
  <c r="C1012" i="57"/>
  <c r="C1028" i="57"/>
  <c r="C1068" i="57"/>
  <c r="C1067" i="57"/>
  <c r="C1078" i="57"/>
  <c r="C435" i="57"/>
  <c r="C436" i="57"/>
  <c r="C437" i="57"/>
  <c r="C434" i="57"/>
  <c r="C440" i="57"/>
  <c r="C444" i="57"/>
  <c r="C432" i="57"/>
  <c r="C445" i="57"/>
  <c r="C446" i="57"/>
  <c r="C431" i="57"/>
  <c r="C433" i="57"/>
  <c r="C441" i="57"/>
  <c r="C442" i="57"/>
  <c r="C443" i="57"/>
  <c r="C438" i="57"/>
  <c r="C439" i="57"/>
  <c r="C481" i="57"/>
  <c r="C499" i="57"/>
  <c r="C500" i="57"/>
  <c r="C502" i="57"/>
  <c r="C501" i="57"/>
  <c r="C498" i="57"/>
  <c r="C496" i="57"/>
  <c r="C484" i="57"/>
  <c r="C497" i="57"/>
  <c r="C486" i="57"/>
  <c r="C495" i="57"/>
  <c r="C719" i="57"/>
  <c r="C720" i="57"/>
  <c r="C721" i="57"/>
  <c r="C722" i="57"/>
  <c r="C723" i="57"/>
  <c r="C724" i="57"/>
  <c r="C715" i="57"/>
  <c r="C730" i="57"/>
  <c r="C732" i="57"/>
  <c r="C716" i="57"/>
  <c r="C725" i="57"/>
  <c r="C726" i="57"/>
  <c r="C734" i="57"/>
  <c r="C714" i="57"/>
  <c r="C736" i="57"/>
  <c r="C735" i="57"/>
  <c r="C717" i="57"/>
  <c r="C718" i="57"/>
  <c r="C737" i="57"/>
  <c r="C711" i="57"/>
  <c r="C727" i="57"/>
  <c r="C712" i="57"/>
  <c r="C713" i="57"/>
  <c r="C740" i="57"/>
  <c r="C729" i="57"/>
  <c r="C731" i="57"/>
  <c r="C708" i="57"/>
  <c r="C709" i="57"/>
  <c r="C728" i="57"/>
  <c r="C710" i="57"/>
  <c r="C738" i="57"/>
  <c r="C739" i="57"/>
  <c r="C733" i="57"/>
  <c r="C605" i="57"/>
  <c r="C619" i="57"/>
  <c r="C621" i="57"/>
  <c r="C607" i="57"/>
  <c r="C602" i="57"/>
  <c r="C623" i="57"/>
  <c r="C622" i="57"/>
  <c r="C624" i="57"/>
  <c r="C600" i="57"/>
  <c r="C601" i="57"/>
  <c r="C603" i="57"/>
  <c r="C610" i="57"/>
  <c r="C625" i="57"/>
  <c r="C618" i="57"/>
  <c r="C620" i="57"/>
  <c r="C596" i="57"/>
  <c r="C608" i="57"/>
  <c r="C617" i="57"/>
  <c r="C597" i="57"/>
  <c r="C503" i="57"/>
  <c r="A184" i="57"/>
  <c r="C184" i="57" s="1"/>
  <c r="A186" i="57"/>
  <c r="C186" i="57" s="1"/>
  <c r="A185" i="57"/>
  <c r="C185" i="57" s="1"/>
  <c r="A187" i="57"/>
  <c r="C187" i="57" s="1"/>
  <c r="A246" i="57"/>
  <c r="C246" i="57" s="1"/>
  <c r="A245" i="57"/>
  <c r="C245" i="57" s="1"/>
  <c r="A249" i="57"/>
  <c r="C249" i="57" s="1"/>
  <c r="A251" i="57"/>
  <c r="C251" i="57" s="1"/>
  <c r="A247" i="57"/>
  <c r="C247" i="57" s="1"/>
  <c r="A252" i="57"/>
  <c r="C252" i="57" s="1"/>
  <c r="A254" i="57"/>
  <c r="C254" i="57" s="1"/>
  <c r="A253" i="57"/>
  <c r="C253" i="57" s="1"/>
  <c r="A255" i="57"/>
  <c r="C255" i="57" s="1"/>
  <c r="A256" i="57"/>
  <c r="C256" i="57" s="1"/>
  <c r="A250" i="57"/>
  <c r="C250" i="57" s="1"/>
  <c r="A248" i="57"/>
  <c r="C248" i="57" s="1"/>
  <c r="A244" i="57"/>
  <c r="C244" i="57" s="1"/>
  <c r="A211" i="57"/>
  <c r="C211" i="57" s="1"/>
  <c r="A217" i="57"/>
  <c r="C217" i="57" s="1"/>
  <c r="A212" i="57"/>
  <c r="C212" i="57" s="1"/>
  <c r="A219" i="57"/>
  <c r="C219" i="57" s="1"/>
  <c r="A221" i="57"/>
  <c r="C221" i="57" s="1"/>
  <c r="A220" i="57"/>
  <c r="C220" i="57" s="1"/>
  <c r="A222" i="57"/>
  <c r="C222" i="57" s="1"/>
  <c r="A209" i="57"/>
  <c r="C209" i="57" s="1"/>
  <c r="A210" i="57"/>
  <c r="C210" i="57" s="1"/>
  <c r="A214" i="57"/>
  <c r="C214" i="57" s="1"/>
  <c r="A224" i="57"/>
  <c r="C224" i="57" s="1"/>
  <c r="A218" i="57"/>
  <c r="C218" i="57" s="1"/>
  <c r="A207" i="57"/>
  <c r="C207" i="57" s="1"/>
  <c r="A215" i="57"/>
  <c r="C215" i="57" s="1"/>
  <c r="A213" i="57"/>
  <c r="C213" i="57" s="1"/>
  <c r="A225" i="57"/>
  <c r="C225" i="57" s="1"/>
  <c r="A216" i="57"/>
  <c r="C216" i="57" s="1"/>
  <c r="A223" i="57"/>
  <c r="C223" i="57" s="1"/>
  <c r="A208" i="57"/>
  <c r="C208" i="57" s="1"/>
  <c r="P122" i="57"/>
  <c r="P118" i="57"/>
  <c r="P126" i="57"/>
  <c r="P128" i="57"/>
  <c r="P130" i="57"/>
  <c r="P119" i="57"/>
  <c r="P120" i="57"/>
  <c r="P129" i="57"/>
  <c r="P117" i="57"/>
  <c r="P132" i="57"/>
  <c r="P131" i="57"/>
  <c r="P133" i="57"/>
  <c r="P115" i="57"/>
  <c r="P116" i="57"/>
  <c r="P121" i="57"/>
  <c r="P135" i="57"/>
  <c r="P125" i="57"/>
  <c r="P127" i="57"/>
  <c r="P113" i="57"/>
  <c r="P123" i="57"/>
  <c r="P124" i="57"/>
  <c r="P134" i="57"/>
  <c r="P114" i="57"/>
  <c r="P167" i="57"/>
  <c r="P168" i="57"/>
  <c r="P163" i="57"/>
  <c r="P164" i="57"/>
  <c r="P172" i="57"/>
  <c r="P162" i="57"/>
  <c r="P174" i="57"/>
  <c r="P173" i="57"/>
  <c r="P166" i="57"/>
  <c r="P175" i="57"/>
  <c r="P160" i="57"/>
  <c r="P161" i="57"/>
  <c r="P165" i="57"/>
  <c r="P176" i="57"/>
  <c r="P170" i="57"/>
  <c r="P171" i="57"/>
  <c r="P158" i="57"/>
  <c r="P169" i="57"/>
  <c r="P159" i="57"/>
  <c r="P184" i="57"/>
  <c r="P186" i="57"/>
  <c r="P185" i="57"/>
  <c r="P187" i="57"/>
  <c r="P44" i="57"/>
  <c r="P45" i="57"/>
  <c r="P46" i="57"/>
  <c r="P47" i="57"/>
  <c r="P39" i="57"/>
  <c r="P50" i="57"/>
  <c r="P52" i="57"/>
  <c r="P40" i="57"/>
  <c r="P43" i="57"/>
  <c r="P32" i="57"/>
  <c r="P33" i="57"/>
  <c r="P36" i="57"/>
  <c r="P53" i="57"/>
  <c r="P37" i="57"/>
  <c r="P55" i="57"/>
  <c r="P54" i="57"/>
  <c r="P60" i="57"/>
  <c r="P56" i="57"/>
  <c r="P34" i="57"/>
  <c r="P35" i="57"/>
  <c r="P38" i="57"/>
  <c r="P61" i="57"/>
  <c r="P51" i="57"/>
  <c r="P48" i="57"/>
  <c r="P30" i="57"/>
  <c r="P41" i="57"/>
  <c r="P42" i="57"/>
  <c r="P49" i="57"/>
  <c r="P57" i="57"/>
  <c r="P31" i="57"/>
  <c r="P58" i="57"/>
  <c r="P59" i="57"/>
  <c r="P246" i="57"/>
  <c r="P245" i="57"/>
  <c r="P249" i="57"/>
  <c r="P251" i="57"/>
  <c r="P247" i="57"/>
  <c r="P252" i="57"/>
  <c r="P254" i="57"/>
  <c r="P253" i="57"/>
  <c r="P255" i="57"/>
  <c r="P256" i="57"/>
  <c r="P250" i="57"/>
  <c r="P248" i="57"/>
  <c r="P244" i="57"/>
  <c r="P211" i="57"/>
  <c r="P217" i="57"/>
  <c r="P212" i="57"/>
  <c r="P219" i="57"/>
  <c r="P221" i="57"/>
  <c r="P220" i="57"/>
  <c r="P222" i="57"/>
  <c r="P209" i="57"/>
  <c r="P210" i="57"/>
  <c r="P214" i="57"/>
  <c r="P224" i="57"/>
  <c r="P218" i="57"/>
  <c r="P207" i="57"/>
  <c r="P215" i="57"/>
  <c r="P213" i="57"/>
  <c r="P225" i="57"/>
  <c r="P216" i="57"/>
  <c r="P223" i="57"/>
  <c r="P208" i="57"/>
  <c r="P29" i="57"/>
  <c r="N122" i="57"/>
  <c r="N118" i="57"/>
  <c r="N126" i="57"/>
  <c r="N128" i="57"/>
  <c r="N130" i="57"/>
  <c r="N119" i="57"/>
  <c r="N120" i="57"/>
  <c r="N129" i="57"/>
  <c r="N117" i="57"/>
  <c r="N132" i="57"/>
  <c r="N131" i="57"/>
  <c r="N133" i="57"/>
  <c r="N115" i="57"/>
  <c r="N116" i="57"/>
  <c r="N121" i="57"/>
  <c r="N135" i="57"/>
  <c r="N125" i="57"/>
  <c r="N127" i="57"/>
  <c r="N113" i="57"/>
  <c r="N123" i="57"/>
  <c r="N124" i="57"/>
  <c r="N134" i="57"/>
  <c r="N114" i="57"/>
  <c r="N167" i="57"/>
  <c r="N168" i="57"/>
  <c r="N163" i="57"/>
  <c r="N164" i="57"/>
  <c r="N172" i="57"/>
  <c r="N162" i="57"/>
  <c r="N174" i="57"/>
  <c r="N173" i="57"/>
  <c r="N166" i="57"/>
  <c r="N175" i="57"/>
  <c r="N160" i="57"/>
  <c r="N161" i="57"/>
  <c r="N165" i="57"/>
  <c r="N176" i="57"/>
  <c r="N170" i="57"/>
  <c r="N171" i="57"/>
  <c r="N158" i="57"/>
  <c r="N169" i="57"/>
  <c r="N159" i="57"/>
  <c r="N184" i="57"/>
  <c r="N186" i="57"/>
  <c r="N185" i="57"/>
  <c r="N187" i="57"/>
  <c r="N44" i="57"/>
  <c r="N45" i="57"/>
  <c r="N46" i="57"/>
  <c r="N47" i="57"/>
  <c r="N39" i="57"/>
  <c r="N50" i="57"/>
  <c r="N52" i="57"/>
  <c r="N40" i="57"/>
  <c r="N43" i="57"/>
  <c r="N32" i="57"/>
  <c r="N33" i="57"/>
  <c r="N36" i="57"/>
  <c r="N53" i="57"/>
  <c r="N37" i="57"/>
  <c r="N55" i="57"/>
  <c r="N54" i="57"/>
  <c r="N60" i="57"/>
  <c r="N56" i="57"/>
  <c r="N34" i="57"/>
  <c r="N35" i="57"/>
  <c r="N38" i="57"/>
  <c r="N61" i="57"/>
  <c r="N51" i="57"/>
  <c r="N48" i="57"/>
  <c r="N30" i="57"/>
  <c r="N41" i="57"/>
  <c r="N42" i="57"/>
  <c r="N49" i="57"/>
  <c r="N57" i="57"/>
  <c r="N31" i="57"/>
  <c r="N58" i="57"/>
  <c r="N59" i="57"/>
  <c r="N246" i="57"/>
  <c r="N245" i="57"/>
  <c r="N249" i="57"/>
  <c r="N251" i="57"/>
  <c r="N247" i="57"/>
  <c r="N252" i="57"/>
  <c r="N254" i="57"/>
  <c r="N253" i="57"/>
  <c r="N255" i="57"/>
  <c r="N256" i="57"/>
  <c r="N250" i="57"/>
  <c r="N248" i="57"/>
  <c r="N244" i="57"/>
  <c r="N211" i="57"/>
  <c r="N217" i="57"/>
  <c r="N212" i="57"/>
  <c r="N219" i="57"/>
  <c r="N221" i="57"/>
  <c r="N220" i="57"/>
  <c r="N222" i="57"/>
  <c r="N209" i="57"/>
  <c r="N210" i="57"/>
  <c r="N214" i="57"/>
  <c r="N224" i="57"/>
  <c r="N218" i="57"/>
  <c r="N207" i="57"/>
  <c r="N215" i="57"/>
  <c r="N213" i="57"/>
  <c r="N225" i="57"/>
  <c r="N216" i="57"/>
  <c r="N223" i="57"/>
  <c r="N208" i="57"/>
  <c r="N29" i="57"/>
  <c r="P26" i="57" l="1"/>
  <c r="P18" i="57"/>
  <c r="P11" i="57"/>
  <c r="P19" i="57"/>
  <c r="P22" i="57"/>
  <c r="P6" i="57"/>
  <c r="P7" i="57"/>
  <c r="P23" i="57"/>
  <c r="P20" i="57"/>
  <c r="P27" i="57"/>
  <c r="P21" i="57"/>
  <c r="P28" i="57"/>
  <c r="P858" i="57"/>
  <c r="P850" i="57"/>
  <c r="P859" i="57"/>
  <c r="P860" i="57"/>
  <c r="P861" i="57"/>
  <c r="P862" i="57"/>
  <c r="P867" i="57"/>
  <c r="P863" i="57"/>
  <c r="P847" i="57"/>
  <c r="P848" i="57"/>
  <c r="P844" i="57"/>
  <c r="P865" i="57"/>
  <c r="P884" i="57"/>
  <c r="P875" i="57"/>
  <c r="P887" i="57"/>
  <c r="P885" i="57"/>
  <c r="P886" i="57"/>
  <c r="P888" i="57"/>
  <c r="P892" i="57"/>
  <c r="P889" i="57"/>
  <c r="P872" i="57"/>
  <c r="P869" i="57"/>
  <c r="P873" i="57"/>
  <c r="P901" i="57"/>
  <c r="P902" i="57"/>
  <c r="P896" i="57"/>
  <c r="P897" i="57"/>
  <c r="P909" i="57"/>
  <c r="P910" i="57"/>
  <c r="P911" i="57"/>
  <c r="P914" i="57"/>
  <c r="P912" i="57"/>
  <c r="P913" i="57"/>
  <c r="P903" i="57"/>
  <c r="P905" i="57"/>
  <c r="P925" i="57"/>
  <c r="P938" i="57"/>
  <c r="P941" i="57"/>
  <c r="P937" i="57"/>
  <c r="P940" i="57"/>
  <c r="P922" i="57"/>
  <c r="P943" i="57"/>
  <c r="P944" i="57"/>
  <c r="P942" i="57"/>
  <c r="P947" i="57"/>
  <c r="P948" i="57"/>
  <c r="P949" i="57"/>
  <c r="P950" i="57"/>
  <c r="P945" i="57"/>
  <c r="P920" i="57"/>
  <c r="P921" i="57"/>
  <c r="P928" i="57"/>
  <c r="P939" i="57"/>
  <c r="P916" i="57"/>
  <c r="P926" i="57"/>
  <c r="P957" i="57"/>
  <c r="P953" i="57"/>
  <c r="P958" i="57"/>
  <c r="P961" i="57"/>
  <c r="P962" i="57"/>
  <c r="P963" i="57"/>
  <c r="P964" i="57"/>
  <c r="P959" i="57"/>
  <c r="P954" i="57"/>
  <c r="P955" i="57"/>
  <c r="P960" i="57"/>
  <c r="P951" i="57"/>
  <c r="P952" i="57"/>
  <c r="P956" i="57"/>
  <c r="P466" i="57"/>
  <c r="P347" i="57"/>
  <c r="P348" i="57"/>
  <c r="P324" i="57"/>
  <c r="P339" i="57"/>
  <c r="P326" i="57"/>
  <c r="P321" i="57"/>
  <c r="P338" i="57"/>
  <c r="P322" i="57"/>
  <c r="P341" i="57"/>
  <c r="P340" i="57"/>
  <c r="P344" i="57"/>
  <c r="P342" i="57"/>
  <c r="P316" i="57"/>
  <c r="P317" i="57"/>
  <c r="P328" i="57"/>
  <c r="P336" i="57"/>
  <c r="P337" i="57"/>
  <c r="P313" i="57"/>
  <c r="P335" i="57"/>
  <c r="P285" i="57"/>
  <c r="P301" i="57"/>
  <c r="P287" i="57"/>
  <c r="P282" i="57"/>
  <c r="P303" i="57"/>
  <c r="P283" i="57"/>
  <c r="P305" i="57"/>
  <c r="P304" i="57"/>
  <c r="P309" i="57"/>
  <c r="P306" i="57"/>
  <c r="P279" i="57"/>
  <c r="P280" i="57"/>
  <c r="P289" i="57"/>
  <c r="P311" i="57"/>
  <c r="P302" i="57"/>
  <c r="P276" i="57"/>
  <c r="P307" i="57"/>
  <c r="P359" i="57"/>
  <c r="P362" i="57"/>
  <c r="P376" i="57"/>
  <c r="P357" i="57"/>
  <c r="P378" i="57"/>
  <c r="P377" i="57"/>
  <c r="P386" i="57"/>
  <c r="P379" i="57"/>
  <c r="P355" i="57"/>
  <c r="P375" i="57"/>
  <c r="P353" i="57"/>
  <c r="P363" i="57"/>
  <c r="P374" i="57"/>
  <c r="P384" i="57"/>
  <c r="P385" i="57"/>
  <c r="P395" i="57"/>
  <c r="P404" i="57"/>
  <c r="P405" i="57"/>
  <c r="P393" i="57"/>
  <c r="P407" i="57"/>
  <c r="P406" i="57"/>
  <c r="P408" i="57"/>
  <c r="P390" i="57"/>
  <c r="P391" i="57"/>
  <c r="P403" i="57"/>
  <c r="P388" i="57"/>
  <c r="P350" i="57"/>
  <c r="P351" i="57"/>
  <c r="P509" i="57"/>
  <c r="P507" i="57"/>
  <c r="P505" i="57"/>
  <c r="P511" i="57"/>
  <c r="P451" i="57"/>
  <c r="P453" i="57"/>
  <c r="P461" i="57"/>
  <c r="P463" i="57"/>
  <c r="P455" i="57"/>
  <c r="P460" i="57"/>
  <c r="P448" i="57"/>
  <c r="P459" i="57"/>
  <c r="P462" i="57"/>
  <c r="P464" i="57"/>
  <c r="P449" i="57"/>
  <c r="P657" i="57"/>
  <c r="P635" i="57"/>
  <c r="P659" i="57"/>
  <c r="P662" i="57"/>
  <c r="P666" i="57"/>
  <c r="P665" i="57"/>
  <c r="P671" i="57"/>
  <c r="P672" i="57"/>
  <c r="P667" i="57"/>
  <c r="P632" i="57"/>
  <c r="P674" i="57"/>
  <c r="P661" i="57"/>
  <c r="P654" i="57"/>
  <c r="P627" i="57"/>
  <c r="P655" i="57"/>
  <c r="P656" i="57"/>
  <c r="P629" i="57"/>
  <c r="P638" i="57"/>
  <c r="P658" i="57"/>
  <c r="P660" i="57"/>
  <c r="P970" i="57"/>
  <c r="P965" i="57"/>
  <c r="P966" i="57"/>
  <c r="P969" i="57"/>
  <c r="P967" i="57"/>
  <c r="P968" i="57"/>
  <c r="P522" i="57"/>
  <c r="P542" i="57"/>
  <c r="P544" i="57"/>
  <c r="P543" i="57"/>
  <c r="P547" i="57"/>
  <c r="P545" i="57"/>
  <c r="P519" i="57"/>
  <c r="P520" i="57"/>
  <c r="P548" i="57"/>
  <c r="P541" i="57"/>
  <c r="P539" i="57"/>
  <c r="P513" i="57"/>
  <c r="P524" i="57"/>
  <c r="P540" i="57"/>
  <c r="P515" i="57"/>
  <c r="P526" i="57"/>
  <c r="P565" i="57"/>
  <c r="P559" i="57"/>
  <c r="P582" i="57"/>
  <c r="P584" i="57"/>
  <c r="P561" i="57"/>
  <c r="P587" i="57"/>
  <c r="P589" i="57"/>
  <c r="P588" i="57"/>
  <c r="P593" i="57"/>
  <c r="P590" i="57"/>
  <c r="P556" i="57"/>
  <c r="P557" i="57"/>
  <c r="P594" i="57"/>
  <c r="P586" i="57"/>
  <c r="P579" i="57"/>
  <c r="P550" i="57"/>
  <c r="P551" i="57"/>
  <c r="P562" i="57"/>
  <c r="P580" i="57"/>
  <c r="P581" i="57"/>
  <c r="P553" i="57"/>
  <c r="P566" i="57"/>
  <c r="P567" i="57"/>
  <c r="P583" i="57"/>
  <c r="P585" i="57"/>
  <c r="P748" i="57"/>
  <c r="P768" i="57"/>
  <c r="P770" i="57"/>
  <c r="P765" i="57"/>
  <c r="P766" i="57"/>
  <c r="P773" i="57"/>
  <c r="P775" i="57"/>
  <c r="P774" i="57"/>
  <c r="P778" i="57"/>
  <c r="P776" i="57"/>
  <c r="P745" i="57"/>
  <c r="P746" i="57"/>
  <c r="P747" i="57"/>
  <c r="P780" i="57"/>
  <c r="P772" i="57"/>
  <c r="P767" i="57"/>
  <c r="P742" i="57"/>
  <c r="P743" i="57"/>
  <c r="P753" i="57"/>
  <c r="P750" i="57"/>
  <c r="P751" i="57"/>
  <c r="P769" i="57"/>
  <c r="P771" i="57"/>
  <c r="P663" i="57"/>
  <c r="P664" i="57"/>
  <c r="P813" i="57"/>
  <c r="P814" i="57"/>
  <c r="P815" i="57"/>
  <c r="P794" i="57"/>
  <c r="P795" i="57"/>
  <c r="P820" i="57"/>
  <c r="P821" i="57"/>
  <c r="P824" i="57"/>
  <c r="P816" i="57"/>
  <c r="P797" i="57"/>
  <c r="P798" i="57"/>
  <c r="P786" i="57"/>
  <c r="P825" i="57"/>
  <c r="P791" i="57"/>
  <c r="P827" i="57"/>
  <c r="P826" i="57"/>
  <c r="P802" i="57"/>
  <c r="P834" i="57"/>
  <c r="P828" i="57"/>
  <c r="P788" i="57"/>
  <c r="P789" i="57"/>
  <c r="P792" i="57"/>
  <c r="P800" i="57"/>
  <c r="P836" i="57"/>
  <c r="P829" i="57"/>
  <c r="P822" i="57"/>
  <c r="P817" i="57"/>
  <c r="P782" i="57"/>
  <c r="P803" i="57"/>
  <c r="P818" i="57"/>
  <c r="P784" i="57"/>
  <c r="P819" i="57"/>
  <c r="P831" i="57"/>
  <c r="P832" i="57"/>
  <c r="P977" i="57"/>
  <c r="P978" i="57"/>
  <c r="P979" i="57"/>
  <c r="P989" i="57"/>
  <c r="P991" i="57"/>
  <c r="P988" i="57"/>
  <c r="P984" i="57"/>
  <c r="P980" i="57"/>
  <c r="P981" i="57"/>
  <c r="P974" i="57"/>
  <c r="P992" i="57"/>
  <c r="P975" i="57"/>
  <c r="P994" i="57"/>
  <c r="P995" i="57"/>
  <c r="P993" i="57"/>
  <c r="P983" i="57"/>
  <c r="P1003" i="57"/>
  <c r="P996" i="57"/>
  <c r="P997" i="57"/>
  <c r="P972" i="57"/>
  <c r="P973" i="57"/>
  <c r="P982" i="57"/>
  <c r="P1004" i="57"/>
  <c r="P990" i="57"/>
  <c r="P999" i="57"/>
  <c r="P985" i="57"/>
  <c r="P971" i="57"/>
  <c r="P986" i="57"/>
  <c r="P987" i="57"/>
  <c r="P976" i="57"/>
  <c r="P1000" i="57"/>
  <c r="P1001" i="57"/>
  <c r="P1002" i="57"/>
  <c r="P998" i="57"/>
  <c r="P1104" i="57"/>
  <c r="P1130" i="57"/>
  <c r="P1085" i="57"/>
  <c r="P1096" i="57"/>
  <c r="P1098" i="57"/>
  <c r="P1089" i="57"/>
  <c r="P1110" i="57"/>
  <c r="P1131" i="57"/>
  <c r="P1125" i="57"/>
  <c r="P1086" i="57"/>
  <c r="P1087" i="57"/>
  <c r="P1091" i="57"/>
  <c r="P1099" i="57"/>
  <c r="P1132" i="57"/>
  <c r="P1122" i="57"/>
  <c r="P1111" i="57"/>
  <c r="P1112" i="57"/>
  <c r="P1114" i="57"/>
  <c r="P1101" i="57"/>
  <c r="P1102" i="57"/>
  <c r="P1088" i="57"/>
  <c r="P1092" i="57"/>
  <c r="P1115" i="57"/>
  <c r="P1116" i="57"/>
  <c r="P1103" i="57"/>
  <c r="P1097" i="57"/>
  <c r="P1117" i="57"/>
  <c r="P1083" i="57"/>
  <c r="P1084" i="57"/>
  <c r="P1100" i="57"/>
  <c r="P1093" i="57"/>
  <c r="P1119" i="57"/>
  <c r="P1128" i="57"/>
  <c r="P1129" i="57"/>
  <c r="P1105" i="57"/>
  <c r="P1106" i="57"/>
  <c r="P1107" i="57"/>
  <c r="P1094" i="57"/>
  <c r="P1121" i="57"/>
  <c r="P1123" i="57"/>
  <c r="P1095" i="57"/>
  <c r="P1108" i="57"/>
  <c r="P1109" i="57"/>
  <c r="P1124" i="57"/>
  <c r="P1090" i="57"/>
  <c r="P1126" i="57"/>
  <c r="P1127" i="57"/>
  <c r="P1120" i="57"/>
  <c r="P1113" i="57"/>
  <c r="P1079" i="57"/>
  <c r="P1080" i="57"/>
  <c r="P1118" i="57"/>
  <c r="P1081" i="57"/>
  <c r="P1082" i="57"/>
  <c r="P1074" i="57"/>
  <c r="P1035" i="57"/>
  <c r="P1034" i="57"/>
  <c r="P1066" i="57"/>
  <c r="P1070" i="57"/>
  <c r="P1069" i="57"/>
  <c r="P1008" i="57"/>
  <c r="P1012" i="57"/>
  <c r="P1028" i="57"/>
  <c r="P1068" i="57"/>
  <c r="P1067" i="57"/>
  <c r="P1078" i="57"/>
  <c r="P435" i="57"/>
  <c r="P436" i="57"/>
  <c r="P437" i="57"/>
  <c r="P434" i="57"/>
  <c r="P440" i="57"/>
  <c r="P444" i="57"/>
  <c r="P432" i="57"/>
  <c r="P445" i="57"/>
  <c r="P446" i="57"/>
  <c r="P431" i="57"/>
  <c r="P433" i="57"/>
  <c r="P441" i="57"/>
  <c r="P442" i="57"/>
  <c r="P443" i="57"/>
  <c r="P438" i="57"/>
  <c r="P439" i="57"/>
  <c r="P481" i="57"/>
  <c r="P499" i="57"/>
  <c r="P500" i="57"/>
  <c r="P502" i="57"/>
  <c r="P501" i="57"/>
  <c r="P498" i="57"/>
  <c r="P496" i="57"/>
  <c r="P484" i="57"/>
  <c r="P497" i="57"/>
  <c r="P486" i="57"/>
  <c r="P495" i="57"/>
  <c r="P719" i="57"/>
  <c r="P720" i="57"/>
  <c r="P721" i="57"/>
  <c r="P722" i="57"/>
  <c r="P723" i="57"/>
  <c r="P724" i="57"/>
  <c r="P715" i="57"/>
  <c r="P730" i="57"/>
  <c r="P732" i="57"/>
  <c r="P716" i="57"/>
  <c r="P725" i="57"/>
  <c r="P726" i="57"/>
  <c r="P734" i="57"/>
  <c r="P714" i="57"/>
  <c r="P736" i="57"/>
  <c r="P735" i="57"/>
  <c r="P717" i="57"/>
  <c r="P718" i="57"/>
  <c r="P737" i="57"/>
  <c r="P711" i="57"/>
  <c r="P727" i="57"/>
  <c r="P712" i="57"/>
  <c r="P713" i="57"/>
  <c r="P740" i="57"/>
  <c r="P729" i="57"/>
  <c r="P731" i="57"/>
  <c r="P708" i="57"/>
  <c r="P709" i="57"/>
  <c r="P728" i="57"/>
  <c r="P710" i="57"/>
  <c r="P738" i="57"/>
  <c r="P739" i="57"/>
  <c r="P733" i="57"/>
  <c r="P605" i="57"/>
  <c r="P619" i="57"/>
  <c r="P621" i="57"/>
  <c r="P607" i="57"/>
  <c r="P602" i="57"/>
  <c r="P623" i="57"/>
  <c r="P622" i="57"/>
  <c r="P624" i="57"/>
  <c r="P600" i="57"/>
  <c r="P601" i="57"/>
  <c r="P603" i="57"/>
  <c r="P610" i="57"/>
  <c r="P625" i="57"/>
  <c r="P618" i="57"/>
  <c r="P620" i="57"/>
  <c r="P596" i="57"/>
  <c r="P608" i="57"/>
  <c r="P617" i="57"/>
  <c r="P597" i="57"/>
  <c r="N26" i="57"/>
  <c r="N18" i="57"/>
  <c r="N11" i="57"/>
  <c r="N19" i="57"/>
  <c r="N22" i="57"/>
  <c r="N6" i="57"/>
  <c r="N7" i="57"/>
  <c r="N23" i="57"/>
  <c r="N20" i="57"/>
  <c r="N27" i="57"/>
  <c r="N21" i="57"/>
  <c r="N28" i="57"/>
  <c r="N858" i="57"/>
  <c r="N850" i="57"/>
  <c r="N859" i="57"/>
  <c r="N860" i="57"/>
  <c r="N861" i="57"/>
  <c r="N862" i="57"/>
  <c r="N867" i="57"/>
  <c r="N863" i="57"/>
  <c r="N847" i="57"/>
  <c r="N848" i="57"/>
  <c r="N844" i="57"/>
  <c r="N865" i="57"/>
  <c r="N884" i="57"/>
  <c r="N875" i="57"/>
  <c r="N887" i="57"/>
  <c r="N885" i="57"/>
  <c r="N886" i="57"/>
  <c r="N888" i="57"/>
  <c r="N892" i="57"/>
  <c r="N889" i="57"/>
  <c r="N872" i="57"/>
  <c r="N869" i="57"/>
  <c r="N873" i="57"/>
  <c r="N901" i="57"/>
  <c r="N902" i="57"/>
  <c r="N896" i="57"/>
  <c r="N897" i="57"/>
  <c r="N909" i="57"/>
  <c r="N910" i="57"/>
  <c r="N911" i="57"/>
  <c r="N914" i="57"/>
  <c r="N912" i="57"/>
  <c r="N913" i="57"/>
  <c r="N903" i="57"/>
  <c r="N905" i="57"/>
  <c r="N925" i="57"/>
  <c r="N938" i="57"/>
  <c r="N941" i="57"/>
  <c r="N937" i="57"/>
  <c r="N940" i="57"/>
  <c r="N922" i="57"/>
  <c r="N943" i="57"/>
  <c r="N944" i="57"/>
  <c r="N942" i="57"/>
  <c r="N947" i="57"/>
  <c r="N948" i="57"/>
  <c r="N949" i="57"/>
  <c r="N950" i="57"/>
  <c r="N945" i="57"/>
  <c r="N920" i="57"/>
  <c r="N921" i="57"/>
  <c r="N928" i="57"/>
  <c r="N939" i="57"/>
  <c r="N916" i="57"/>
  <c r="N926" i="57"/>
  <c r="N957" i="57"/>
  <c r="N953" i="57"/>
  <c r="N958" i="57"/>
  <c r="N961" i="57"/>
  <c r="N962" i="57"/>
  <c r="N963" i="57"/>
  <c r="N964" i="57"/>
  <c r="N959" i="57"/>
  <c r="N954" i="57"/>
  <c r="N955" i="57"/>
  <c r="N960" i="57"/>
  <c r="N951" i="57"/>
  <c r="N952" i="57"/>
  <c r="N956" i="57"/>
  <c r="N466" i="57"/>
  <c r="N347" i="57"/>
  <c r="N348" i="57"/>
  <c r="N324" i="57"/>
  <c r="N339" i="57"/>
  <c r="N326" i="57"/>
  <c r="N321" i="57"/>
  <c r="N338" i="57"/>
  <c r="N322" i="57"/>
  <c r="N341" i="57"/>
  <c r="N340" i="57"/>
  <c r="N344" i="57"/>
  <c r="N342" i="57"/>
  <c r="N316" i="57"/>
  <c r="N317" i="57"/>
  <c r="N328" i="57"/>
  <c r="N336" i="57"/>
  <c r="N337" i="57"/>
  <c r="N313" i="57"/>
  <c r="N335" i="57"/>
  <c r="N285" i="57"/>
  <c r="N301" i="57"/>
  <c r="N287" i="57"/>
  <c r="N282" i="57"/>
  <c r="N303" i="57"/>
  <c r="N283" i="57"/>
  <c r="N305" i="57"/>
  <c r="N304" i="57"/>
  <c r="N309" i="57"/>
  <c r="N306" i="57"/>
  <c r="N279" i="57"/>
  <c r="N280" i="57"/>
  <c r="N289" i="57"/>
  <c r="N311" i="57"/>
  <c r="N302" i="57"/>
  <c r="N276" i="57"/>
  <c r="N307" i="57"/>
  <c r="N359" i="57"/>
  <c r="N362" i="57"/>
  <c r="N376" i="57"/>
  <c r="N357" i="57"/>
  <c r="N378" i="57"/>
  <c r="N377" i="57"/>
  <c r="N386" i="57"/>
  <c r="N379" i="57"/>
  <c r="N355" i="57"/>
  <c r="N375" i="57"/>
  <c r="N353" i="57"/>
  <c r="N363" i="57"/>
  <c r="N374" i="57"/>
  <c r="N384" i="57"/>
  <c r="N385" i="57"/>
  <c r="N395" i="57"/>
  <c r="N404" i="57"/>
  <c r="N405" i="57"/>
  <c r="N393" i="57"/>
  <c r="N407" i="57"/>
  <c r="N406" i="57"/>
  <c r="N408" i="57"/>
  <c r="N390" i="57"/>
  <c r="N391" i="57"/>
  <c r="N403" i="57"/>
  <c r="N388" i="57"/>
  <c r="N350" i="57"/>
  <c r="N351" i="57"/>
  <c r="N509" i="57"/>
  <c r="N507" i="57"/>
  <c r="N505" i="57"/>
  <c r="N511" i="57"/>
  <c r="N451" i="57"/>
  <c r="N453" i="57"/>
  <c r="N461" i="57"/>
  <c r="N463" i="57"/>
  <c r="N455" i="57"/>
  <c r="N460" i="57"/>
  <c r="N448" i="57"/>
  <c r="N459" i="57"/>
  <c r="N462" i="57"/>
  <c r="N464" i="57"/>
  <c r="N449" i="57"/>
  <c r="N657" i="57"/>
  <c r="N635" i="57"/>
  <c r="N659" i="57"/>
  <c r="N662" i="57"/>
  <c r="N666" i="57"/>
  <c r="N665" i="57"/>
  <c r="N671" i="57"/>
  <c r="N672" i="57"/>
  <c r="N667" i="57"/>
  <c r="N632" i="57"/>
  <c r="N674" i="57"/>
  <c r="N661" i="57"/>
  <c r="N654" i="57"/>
  <c r="N627" i="57"/>
  <c r="N655" i="57"/>
  <c r="N656" i="57"/>
  <c r="N629" i="57"/>
  <c r="N638" i="57"/>
  <c r="N658" i="57"/>
  <c r="N660" i="57"/>
  <c r="N970" i="57"/>
  <c r="N965" i="57"/>
  <c r="N966" i="57"/>
  <c r="N969" i="57"/>
  <c r="N967" i="57"/>
  <c r="N968" i="57"/>
  <c r="N522" i="57"/>
  <c r="N542" i="57"/>
  <c r="N544" i="57"/>
  <c r="N543" i="57"/>
  <c r="N547" i="57"/>
  <c r="N545" i="57"/>
  <c r="N519" i="57"/>
  <c r="N520" i="57"/>
  <c r="N548" i="57"/>
  <c r="N541" i="57"/>
  <c r="N539" i="57"/>
  <c r="N513" i="57"/>
  <c r="N524" i="57"/>
  <c r="N540" i="57"/>
  <c r="N515" i="57"/>
  <c r="N526" i="57"/>
  <c r="N565" i="57"/>
  <c r="N559" i="57"/>
  <c r="N582" i="57"/>
  <c r="N584" i="57"/>
  <c r="N561" i="57"/>
  <c r="N587" i="57"/>
  <c r="N589" i="57"/>
  <c r="N588" i="57"/>
  <c r="N593" i="57"/>
  <c r="N590" i="57"/>
  <c r="N556" i="57"/>
  <c r="N557" i="57"/>
  <c r="N594" i="57"/>
  <c r="N586" i="57"/>
  <c r="N579" i="57"/>
  <c r="N550" i="57"/>
  <c r="N551" i="57"/>
  <c r="N562" i="57"/>
  <c r="N580" i="57"/>
  <c r="N581" i="57"/>
  <c r="N553" i="57"/>
  <c r="N566" i="57"/>
  <c r="N567" i="57"/>
  <c r="N583" i="57"/>
  <c r="N585" i="57"/>
  <c r="N748" i="57"/>
  <c r="N768" i="57"/>
  <c r="N770" i="57"/>
  <c r="N765" i="57"/>
  <c r="N766" i="57"/>
  <c r="N773" i="57"/>
  <c r="N775" i="57"/>
  <c r="N774" i="57"/>
  <c r="N778" i="57"/>
  <c r="N776" i="57"/>
  <c r="N745" i="57"/>
  <c r="N746" i="57"/>
  <c r="N747" i="57"/>
  <c r="N780" i="57"/>
  <c r="N772" i="57"/>
  <c r="N767" i="57"/>
  <c r="N742" i="57"/>
  <c r="N743" i="57"/>
  <c r="N753" i="57"/>
  <c r="N750" i="57"/>
  <c r="N751" i="57"/>
  <c r="N769" i="57"/>
  <c r="N771" i="57"/>
  <c r="N663" i="57"/>
  <c r="N664" i="57"/>
  <c r="N813" i="57"/>
  <c r="N814" i="57"/>
  <c r="N815" i="57"/>
  <c r="N794" i="57"/>
  <c r="N795" i="57"/>
  <c r="N820" i="57"/>
  <c r="N821" i="57"/>
  <c r="N824" i="57"/>
  <c r="N816" i="57"/>
  <c r="N797" i="57"/>
  <c r="N798" i="57"/>
  <c r="N786" i="57"/>
  <c r="N825" i="57"/>
  <c r="N791" i="57"/>
  <c r="N827" i="57"/>
  <c r="N826" i="57"/>
  <c r="N802" i="57"/>
  <c r="N834" i="57"/>
  <c r="N828" i="57"/>
  <c r="N788" i="57"/>
  <c r="N789" i="57"/>
  <c r="N792" i="57"/>
  <c r="N800" i="57"/>
  <c r="N836" i="57"/>
  <c r="N829" i="57"/>
  <c r="N822" i="57"/>
  <c r="N817" i="57"/>
  <c r="N782" i="57"/>
  <c r="N803" i="57"/>
  <c r="N818" i="57"/>
  <c r="N784" i="57"/>
  <c r="N819" i="57"/>
  <c r="N831" i="57"/>
  <c r="N832" i="57"/>
  <c r="N977" i="57"/>
  <c r="N978" i="57"/>
  <c r="N979" i="57"/>
  <c r="N989" i="57"/>
  <c r="N991" i="57"/>
  <c r="N988" i="57"/>
  <c r="N984" i="57"/>
  <c r="N980" i="57"/>
  <c r="N981" i="57"/>
  <c r="N974" i="57"/>
  <c r="N992" i="57"/>
  <c r="N975" i="57"/>
  <c r="N994" i="57"/>
  <c r="N995" i="57"/>
  <c r="N993" i="57"/>
  <c r="N983" i="57"/>
  <c r="N1003" i="57"/>
  <c r="N996" i="57"/>
  <c r="N997" i="57"/>
  <c r="N972" i="57"/>
  <c r="N973" i="57"/>
  <c r="N982" i="57"/>
  <c r="N1004" i="57"/>
  <c r="N990" i="57"/>
  <c r="N999" i="57"/>
  <c r="N985" i="57"/>
  <c r="N971" i="57"/>
  <c r="N986" i="57"/>
  <c r="N987" i="57"/>
  <c r="N976" i="57"/>
  <c r="N1000" i="57"/>
  <c r="N1001" i="57"/>
  <c r="N1002" i="57"/>
  <c r="N998" i="57"/>
  <c r="N1104" i="57"/>
  <c r="N1130" i="57"/>
  <c r="N1085" i="57"/>
  <c r="N1096" i="57"/>
  <c r="N1098" i="57"/>
  <c r="N1089" i="57"/>
  <c r="N1110" i="57"/>
  <c r="N1131" i="57"/>
  <c r="N1125" i="57"/>
  <c r="N1086" i="57"/>
  <c r="N1087" i="57"/>
  <c r="N1091" i="57"/>
  <c r="N1099" i="57"/>
  <c r="N1132" i="57"/>
  <c r="N1122" i="57"/>
  <c r="N1111" i="57"/>
  <c r="N1112" i="57"/>
  <c r="N1114" i="57"/>
  <c r="N1101" i="57"/>
  <c r="N1102" i="57"/>
  <c r="N1088" i="57"/>
  <c r="N1092" i="57"/>
  <c r="N1115" i="57"/>
  <c r="N1116" i="57"/>
  <c r="N1103" i="57"/>
  <c r="N1097" i="57"/>
  <c r="N1117" i="57"/>
  <c r="N1083" i="57"/>
  <c r="N1084" i="57"/>
  <c r="N1100" i="57"/>
  <c r="N1093" i="57"/>
  <c r="N1119" i="57"/>
  <c r="N1128" i="57"/>
  <c r="N1129" i="57"/>
  <c r="N1105" i="57"/>
  <c r="N1106" i="57"/>
  <c r="N1107" i="57"/>
  <c r="N1094" i="57"/>
  <c r="N1121" i="57"/>
  <c r="N1123" i="57"/>
  <c r="N1095" i="57"/>
  <c r="N1108" i="57"/>
  <c r="N1109" i="57"/>
  <c r="N1124" i="57"/>
  <c r="N1090" i="57"/>
  <c r="N1126" i="57"/>
  <c r="N1127" i="57"/>
  <c r="N1120" i="57"/>
  <c r="N1113" i="57"/>
  <c r="N1079" i="57"/>
  <c r="N1080" i="57"/>
  <c r="N1118" i="57"/>
  <c r="N1081" i="57"/>
  <c r="N1082" i="57"/>
  <c r="N1074" i="57"/>
  <c r="N1035" i="57"/>
  <c r="N1034" i="57"/>
  <c r="N1066" i="57"/>
  <c r="N1070" i="57"/>
  <c r="N1069" i="57"/>
  <c r="N1008" i="57"/>
  <c r="N1012" i="57"/>
  <c r="N1028" i="57"/>
  <c r="N1068" i="57"/>
  <c r="N1067" i="57"/>
  <c r="N1078" i="57"/>
  <c r="N435" i="57"/>
  <c r="N436" i="57"/>
  <c r="N437" i="57"/>
  <c r="N434" i="57"/>
  <c r="N440" i="57"/>
  <c r="N444" i="57"/>
  <c r="N432" i="57"/>
  <c r="N445" i="57"/>
  <c r="N446" i="57"/>
  <c r="N431" i="57"/>
  <c r="N433" i="57"/>
  <c r="N441" i="57"/>
  <c r="N442" i="57"/>
  <c r="N443" i="57"/>
  <c r="N438" i="57"/>
  <c r="N439" i="57"/>
  <c r="N481" i="57"/>
  <c r="N499" i="57"/>
  <c r="N500" i="57"/>
  <c r="N502" i="57"/>
  <c r="N501" i="57"/>
  <c r="N498" i="57"/>
  <c r="N496" i="57"/>
  <c r="N484" i="57"/>
  <c r="N497" i="57"/>
  <c r="N486" i="57"/>
  <c r="N495" i="57"/>
  <c r="N719" i="57"/>
  <c r="N720" i="57"/>
  <c r="N721" i="57"/>
  <c r="N722" i="57"/>
  <c r="N723" i="57"/>
  <c r="N724" i="57"/>
  <c r="N715" i="57"/>
  <c r="N730" i="57"/>
  <c r="N732" i="57"/>
  <c r="N716" i="57"/>
  <c r="N725" i="57"/>
  <c r="N726" i="57"/>
  <c r="N734" i="57"/>
  <c r="N714" i="57"/>
  <c r="N736" i="57"/>
  <c r="N735" i="57"/>
  <c r="N717" i="57"/>
  <c r="N718" i="57"/>
  <c r="N737" i="57"/>
  <c r="N711" i="57"/>
  <c r="N727" i="57"/>
  <c r="N712" i="57"/>
  <c r="N713" i="57"/>
  <c r="N740" i="57"/>
  <c r="N729" i="57"/>
  <c r="N731" i="57"/>
  <c r="N708" i="57"/>
  <c r="N709" i="57"/>
  <c r="N728" i="57"/>
  <c r="N710" i="57"/>
  <c r="N738" i="57"/>
  <c r="N739" i="57"/>
  <c r="N733" i="57"/>
  <c r="N605" i="57"/>
  <c r="N619" i="57"/>
  <c r="N621" i="57"/>
  <c r="N607" i="57"/>
  <c r="N602" i="57"/>
  <c r="N623" i="57"/>
  <c r="N622" i="57"/>
  <c r="N624" i="57"/>
  <c r="N600" i="57"/>
  <c r="N601" i="57"/>
  <c r="N603" i="57"/>
  <c r="N610" i="57"/>
  <c r="N625" i="57"/>
  <c r="N618" i="57"/>
  <c r="N620" i="57"/>
  <c r="N596" i="57"/>
  <c r="N608" i="57"/>
  <c r="N617" i="57"/>
  <c r="N597" i="57"/>
  <c r="N57" i="56" l="1"/>
  <c r="O57" i="56"/>
  <c r="N58" i="56"/>
  <c r="O58" i="56"/>
  <c r="N59" i="56"/>
  <c r="O59" i="56"/>
  <c r="N60" i="56"/>
  <c r="O60" i="56"/>
  <c r="N61" i="56"/>
  <c r="O61" i="56"/>
  <c r="N62" i="56"/>
  <c r="O62" i="56"/>
  <c r="N63" i="56"/>
  <c r="O63" i="56"/>
  <c r="N64" i="56"/>
  <c r="O64" i="56"/>
  <c r="N65" i="56"/>
  <c r="O65" i="56"/>
  <c r="N66" i="56"/>
  <c r="O66" i="56"/>
  <c r="N67" i="56"/>
  <c r="O67" i="56"/>
  <c r="N68" i="56"/>
  <c r="O68" i="56"/>
  <c r="N69" i="56"/>
  <c r="O69" i="56"/>
  <c r="N70" i="56"/>
  <c r="O70" i="56"/>
  <c r="N71" i="56"/>
  <c r="O71" i="56"/>
  <c r="N72" i="56"/>
  <c r="O72" i="56"/>
  <c r="N73" i="56"/>
  <c r="O73" i="56"/>
  <c r="N74" i="56"/>
  <c r="O74" i="56"/>
  <c r="N75" i="56"/>
  <c r="O75" i="56"/>
  <c r="N76" i="56"/>
  <c r="O76" i="56"/>
  <c r="N77" i="56"/>
  <c r="O77" i="56"/>
  <c r="N78" i="56"/>
  <c r="O78" i="56"/>
  <c r="N79" i="56"/>
  <c r="O79" i="56"/>
  <c r="N80" i="56"/>
  <c r="O80" i="56"/>
  <c r="N81" i="56"/>
  <c r="O81" i="56"/>
  <c r="N82" i="56"/>
  <c r="O82" i="56"/>
  <c r="N83" i="56"/>
  <c r="O83" i="56"/>
  <c r="N84" i="56"/>
  <c r="O84" i="56"/>
  <c r="N85" i="56"/>
  <c r="O85" i="56"/>
  <c r="N86" i="56"/>
  <c r="O86" i="56"/>
  <c r="N87" i="56"/>
  <c r="O87" i="56"/>
  <c r="N88" i="56"/>
  <c r="O88" i="56"/>
  <c r="N89" i="56"/>
  <c r="O89" i="56"/>
  <c r="N90" i="56"/>
  <c r="O90" i="56"/>
  <c r="N91" i="56"/>
  <c r="O91" i="56"/>
  <c r="N92" i="56"/>
  <c r="O92" i="56"/>
  <c r="N93" i="56"/>
  <c r="O93" i="56"/>
  <c r="H57" i="56"/>
  <c r="H58" i="56"/>
  <c r="H59" i="56"/>
  <c r="H60" i="56"/>
  <c r="H61" i="56"/>
  <c r="H62" i="56"/>
  <c r="H63" i="56"/>
  <c r="H64" i="56"/>
  <c r="H65" i="56"/>
  <c r="H66" i="56"/>
  <c r="H67" i="56"/>
  <c r="H68" i="56"/>
  <c r="H69" i="56"/>
  <c r="H70" i="56"/>
  <c r="H71" i="56"/>
  <c r="H72" i="56"/>
  <c r="H73" i="56"/>
  <c r="H74" i="56"/>
  <c r="H75" i="56"/>
  <c r="H76" i="56"/>
  <c r="H77" i="56"/>
  <c r="H78" i="56"/>
  <c r="H79" i="56"/>
  <c r="H80" i="56"/>
  <c r="H81" i="56"/>
  <c r="H82" i="56"/>
  <c r="H83" i="56"/>
  <c r="H84" i="56"/>
  <c r="H85" i="56"/>
  <c r="H86" i="56"/>
  <c r="H87" i="56"/>
  <c r="H88" i="56"/>
  <c r="H89" i="56"/>
  <c r="H90" i="56"/>
  <c r="H91" i="56"/>
  <c r="H92" i="56"/>
  <c r="H93" i="56"/>
  <c r="C57" i="56"/>
  <c r="C58" i="56"/>
  <c r="C59" i="56"/>
  <c r="C60" i="56"/>
  <c r="C61" i="56"/>
  <c r="C62" i="56"/>
  <c r="C63" i="56"/>
  <c r="C64" i="56"/>
  <c r="C65" i="56"/>
  <c r="C66" i="56"/>
  <c r="C67" i="56"/>
  <c r="C68" i="56"/>
  <c r="C69" i="56"/>
  <c r="C70" i="56"/>
  <c r="C71" i="56"/>
  <c r="C72" i="56"/>
  <c r="C73" i="56"/>
  <c r="C74" i="56"/>
  <c r="C75" i="56"/>
  <c r="C76" i="56"/>
  <c r="C77" i="56"/>
  <c r="C78" i="56"/>
  <c r="C79" i="56"/>
  <c r="C80" i="56"/>
  <c r="C81" i="56"/>
  <c r="C82" i="56"/>
  <c r="C83" i="56"/>
  <c r="C84" i="56"/>
  <c r="C85" i="56"/>
  <c r="C86" i="56"/>
  <c r="C87" i="56"/>
  <c r="C88" i="56"/>
  <c r="C89" i="56"/>
  <c r="C90" i="56"/>
  <c r="C91" i="56"/>
  <c r="C92" i="56"/>
  <c r="C93" i="56"/>
  <c r="H56" i="56" l="1"/>
  <c r="N56" i="56"/>
  <c r="O56" i="56"/>
  <c r="C56" i="56"/>
  <c r="H53" i="56"/>
  <c r="H54" i="56"/>
  <c r="H55" i="56"/>
  <c r="H52" i="56"/>
  <c r="O53" i="56"/>
  <c r="O54" i="56"/>
  <c r="O55" i="56"/>
  <c r="O52" i="56"/>
  <c r="N52" i="56"/>
  <c r="N55" i="56"/>
  <c r="N54" i="56"/>
  <c r="N53" i="56"/>
  <c r="C55" i="56"/>
  <c r="C54" i="56"/>
  <c r="C53" i="56"/>
  <c r="C52" i="56"/>
  <c r="N40" i="37"/>
  <c r="N39" i="37"/>
  <c r="N38" i="37"/>
  <c r="N37" i="37"/>
  <c r="N36" i="37"/>
  <c r="N34" i="37"/>
  <c r="N33" i="37"/>
  <c r="N32" i="37"/>
  <c r="N31" i="37"/>
  <c r="N30" i="37"/>
  <c r="P111" i="55"/>
  <c r="P112" i="55"/>
  <c r="P113" i="55"/>
  <c r="P114" i="55"/>
  <c r="P115" i="55"/>
  <c r="P116" i="55"/>
  <c r="P117" i="55"/>
  <c r="P118" i="55"/>
  <c r="P119" i="55"/>
  <c r="P120" i="55"/>
  <c r="P121" i="55"/>
  <c r="P122" i="55"/>
  <c r="P123" i="55"/>
  <c r="P124" i="55"/>
  <c r="P125" i="55"/>
  <c r="P126" i="55"/>
  <c r="P127" i="55"/>
  <c r="P128" i="55"/>
  <c r="P129" i="55"/>
  <c r="P130" i="55"/>
  <c r="P131" i="55"/>
  <c r="P132" i="55"/>
  <c r="P133" i="55"/>
  <c r="P134" i="55"/>
  <c r="P135" i="55"/>
  <c r="P136" i="55"/>
  <c r="P137" i="55"/>
  <c r="P138" i="55"/>
  <c r="P139" i="55"/>
  <c r="P140" i="55"/>
  <c r="P141" i="55"/>
  <c r="P142" i="55"/>
  <c r="P143" i="55"/>
  <c r="P144" i="55"/>
  <c r="P145" i="55"/>
  <c r="P146" i="55"/>
  <c r="P147" i="55"/>
  <c r="P148" i="55"/>
  <c r="P149" i="55"/>
  <c r="P150" i="55"/>
  <c r="P151" i="55"/>
  <c r="P152" i="55"/>
  <c r="P153" i="55"/>
  <c r="P154" i="55"/>
  <c r="P155" i="55"/>
  <c r="P156" i="55"/>
  <c r="P157" i="55"/>
  <c r="P158" i="55"/>
  <c r="P159" i="55"/>
  <c r="P160" i="55"/>
  <c r="P161" i="55"/>
  <c r="P162" i="55"/>
  <c r="P163" i="55"/>
  <c r="P164" i="55"/>
  <c r="P165" i="55"/>
  <c r="P166" i="55"/>
  <c r="P167" i="55"/>
  <c r="P168" i="55"/>
  <c r="P169" i="55"/>
  <c r="P170" i="55"/>
  <c r="P171" i="55"/>
  <c r="P172" i="55"/>
  <c r="P173" i="55"/>
  <c r="P174" i="55"/>
  <c r="P175" i="55"/>
  <c r="P176" i="55"/>
  <c r="P177" i="55"/>
  <c r="P178" i="55"/>
  <c r="P179" i="55"/>
  <c r="P180" i="55"/>
  <c r="P181" i="55"/>
  <c r="P182" i="55"/>
  <c r="P183" i="55"/>
  <c r="P184" i="55"/>
  <c r="P185" i="55"/>
  <c r="P186" i="55"/>
  <c r="P187" i="55"/>
  <c r="P188" i="55"/>
  <c r="P189" i="55"/>
  <c r="P190" i="55"/>
  <c r="P191" i="55"/>
  <c r="P192" i="55"/>
  <c r="P193" i="55"/>
  <c r="P194" i="55"/>
  <c r="P195" i="55"/>
  <c r="P196" i="55"/>
  <c r="P197" i="55"/>
  <c r="P198" i="55"/>
  <c r="P199" i="55"/>
  <c r="P200" i="55"/>
  <c r="P201" i="55"/>
  <c r="P202" i="55"/>
  <c r="P203" i="55"/>
  <c r="P204" i="55"/>
  <c r="V110" i="55"/>
  <c r="P110" i="55"/>
  <c r="V56" i="55"/>
  <c r="V57" i="55"/>
  <c r="V58" i="55"/>
  <c r="V59" i="55"/>
  <c r="V60" i="55"/>
  <c r="V61" i="55"/>
  <c r="V62" i="55"/>
  <c r="V63" i="55"/>
  <c r="V64" i="55"/>
  <c r="V65" i="55"/>
  <c r="V66" i="55"/>
  <c r="V67" i="55"/>
  <c r="V68" i="55"/>
  <c r="V69" i="55"/>
  <c r="V70" i="55"/>
  <c r="V71" i="55"/>
  <c r="V72" i="55"/>
  <c r="V73" i="55"/>
  <c r="V74" i="55"/>
  <c r="V75" i="55"/>
  <c r="V76" i="55"/>
  <c r="V77" i="55"/>
  <c r="V78" i="55"/>
  <c r="V79" i="55"/>
  <c r="V80" i="55"/>
  <c r="V81" i="55"/>
  <c r="V82" i="55"/>
  <c r="V83" i="55"/>
  <c r="V84" i="55"/>
  <c r="V85" i="55"/>
  <c r="V86" i="55"/>
  <c r="V87" i="55"/>
  <c r="V88" i="55"/>
  <c r="V89" i="55"/>
  <c r="V90" i="55"/>
  <c r="V91" i="55"/>
  <c r="V92" i="55"/>
  <c r="V93" i="55"/>
  <c r="V94" i="55"/>
  <c r="V95" i="55"/>
  <c r="V96" i="55"/>
  <c r="V97" i="55"/>
  <c r="V98" i="55"/>
  <c r="V99" i="55"/>
  <c r="V100" i="55"/>
  <c r="V101" i="55"/>
  <c r="V102" i="55"/>
  <c r="V103" i="55"/>
  <c r="V104" i="55"/>
  <c r="V105" i="55"/>
  <c r="V106" i="55"/>
  <c r="V107" i="55"/>
  <c r="V108" i="55"/>
  <c r="V109" i="55"/>
  <c r="V55" i="55"/>
  <c r="V54" i="55"/>
  <c r="P57" i="55"/>
  <c r="P56" i="55"/>
  <c r="P55" i="55"/>
  <c r="P54" i="55"/>
  <c r="H110" i="54"/>
  <c r="J110" i="54" s="1"/>
  <c r="J109" i="54"/>
  <c r="H109" i="54"/>
  <c r="H108" i="54"/>
  <c r="J108" i="54" s="1"/>
  <c r="H113" i="54"/>
  <c r="I113" i="54" s="1"/>
  <c r="H114" i="54"/>
  <c r="I114" i="54" s="1"/>
  <c r="H115" i="54"/>
  <c r="I115" i="54" s="1"/>
  <c r="H116" i="54"/>
  <c r="I116" i="54" s="1"/>
  <c r="H117" i="54"/>
  <c r="I117" i="54" s="1"/>
  <c r="H118" i="54"/>
  <c r="I118" i="54" s="1"/>
  <c r="H119" i="54"/>
  <c r="I119" i="54" s="1"/>
  <c r="H120" i="54"/>
  <c r="I120" i="54" s="1"/>
  <c r="H121" i="54"/>
  <c r="I121" i="54" s="1"/>
  <c r="H122" i="54"/>
  <c r="I122" i="54" s="1"/>
  <c r="H123" i="54"/>
  <c r="I123" i="54" s="1"/>
  <c r="H124" i="54"/>
  <c r="I124" i="54" s="1"/>
  <c r="H125" i="54"/>
  <c r="I125" i="54" s="1"/>
  <c r="H126" i="54"/>
  <c r="I126" i="54" s="1"/>
  <c r="H127" i="54"/>
  <c r="I127" i="54" s="1"/>
  <c r="H128" i="54"/>
  <c r="I128" i="54" s="1"/>
  <c r="H129" i="54"/>
  <c r="I129" i="54" s="1"/>
  <c r="H130" i="54"/>
  <c r="I130" i="54" s="1"/>
  <c r="H131" i="54"/>
  <c r="I131" i="54" s="1"/>
  <c r="H132" i="54"/>
  <c r="I132" i="54" s="1"/>
  <c r="H133" i="54"/>
  <c r="I133" i="54" s="1"/>
  <c r="H134" i="54"/>
  <c r="I134" i="54" s="1"/>
  <c r="H135" i="54"/>
  <c r="I135" i="54" s="1"/>
  <c r="H136" i="54"/>
  <c r="I136" i="54" s="1"/>
  <c r="H137" i="54"/>
  <c r="I137" i="54" s="1"/>
  <c r="H138" i="54"/>
  <c r="I138" i="54" s="1"/>
  <c r="H139" i="54"/>
  <c r="I139" i="54" s="1"/>
  <c r="H140" i="54"/>
  <c r="I140" i="54" s="1"/>
  <c r="H141" i="54"/>
  <c r="I141" i="54" s="1"/>
  <c r="H142" i="54"/>
  <c r="I142" i="54" s="1"/>
  <c r="H143" i="54"/>
  <c r="I143" i="54" s="1"/>
  <c r="H144" i="54"/>
  <c r="I144" i="54" s="1"/>
  <c r="H145" i="54"/>
  <c r="I145" i="54" s="1"/>
  <c r="H112" i="54"/>
  <c r="I112" i="54" s="1"/>
  <c r="H111" i="54"/>
  <c r="J111" i="54" s="1"/>
  <c r="H147" i="54"/>
  <c r="H148" i="54"/>
  <c r="H149" i="54"/>
  <c r="H150" i="54"/>
  <c r="H151" i="54"/>
  <c r="H152" i="54"/>
  <c r="H153" i="54"/>
  <c r="H154" i="54"/>
  <c r="H155" i="54"/>
  <c r="H156" i="54"/>
  <c r="H157" i="54"/>
  <c r="H158" i="54"/>
  <c r="H159" i="54"/>
  <c r="H160" i="54"/>
  <c r="H161" i="54"/>
  <c r="H162" i="54"/>
  <c r="H146" i="54"/>
  <c r="C108" i="54"/>
  <c r="C109" i="54"/>
  <c r="C110" i="54"/>
  <c r="C111" i="54"/>
  <c r="C112" i="54"/>
  <c r="C113" i="54"/>
  <c r="C114" i="54"/>
  <c r="C115" i="54"/>
  <c r="C116" i="54"/>
  <c r="C117" i="54"/>
  <c r="C118" i="54"/>
  <c r="C119" i="54"/>
  <c r="C120" i="54"/>
  <c r="C121" i="54"/>
  <c r="C122" i="54"/>
  <c r="C123" i="54"/>
  <c r="C124" i="54"/>
  <c r="C125" i="54"/>
  <c r="C126" i="54"/>
  <c r="C127" i="54"/>
  <c r="C128" i="54"/>
  <c r="C129" i="54"/>
  <c r="C130" i="54"/>
  <c r="C131" i="54"/>
  <c r="C132" i="54"/>
  <c r="C133" i="54"/>
  <c r="C134" i="54"/>
  <c r="C135" i="54"/>
  <c r="C136" i="54"/>
  <c r="C137" i="54"/>
  <c r="C138" i="54"/>
  <c r="C139" i="54"/>
  <c r="C140" i="54"/>
  <c r="C141" i="54"/>
  <c r="C142" i="54"/>
  <c r="C143" i="54"/>
  <c r="C144" i="54"/>
  <c r="C145" i="54"/>
  <c r="C146" i="54"/>
  <c r="C147" i="54"/>
  <c r="C148" i="54"/>
  <c r="C149" i="54"/>
  <c r="C150" i="54"/>
  <c r="C151" i="54"/>
  <c r="C152" i="54"/>
  <c r="C153" i="54"/>
  <c r="C154" i="54"/>
  <c r="C155" i="54"/>
  <c r="C156" i="54"/>
  <c r="C157" i="54"/>
  <c r="C158" i="54"/>
  <c r="C159" i="54"/>
  <c r="C160" i="54"/>
  <c r="C161" i="54"/>
  <c r="C162" i="54"/>
  <c r="S109" i="54"/>
  <c r="S111" i="54"/>
  <c r="S110" i="54"/>
  <c r="S108" i="54"/>
  <c r="S32" i="54"/>
  <c r="S30" i="54"/>
  <c r="S33" i="54"/>
  <c r="S31" i="54"/>
  <c r="S29" i="54"/>
  <c r="W108" i="54"/>
  <c r="W109" i="54"/>
  <c r="W110" i="54"/>
  <c r="W111" i="54"/>
  <c r="W112" i="54"/>
  <c r="W113" i="54"/>
  <c r="W114" i="54"/>
  <c r="W115" i="54"/>
  <c r="W116" i="54"/>
  <c r="W117" i="54"/>
  <c r="W118" i="54"/>
  <c r="W119" i="54"/>
  <c r="W120" i="54"/>
  <c r="W121" i="54"/>
  <c r="W122" i="54"/>
  <c r="W123" i="54"/>
  <c r="W124" i="54"/>
  <c r="W125" i="54"/>
  <c r="W126" i="54"/>
  <c r="W127" i="54"/>
  <c r="W128" i="54"/>
  <c r="W129" i="54"/>
  <c r="W130" i="54"/>
  <c r="W131" i="54"/>
  <c r="W132" i="54"/>
  <c r="W133" i="54"/>
  <c r="W134" i="54"/>
  <c r="W135" i="54"/>
  <c r="W136" i="54"/>
  <c r="W137" i="54"/>
  <c r="W138" i="54"/>
  <c r="W139" i="54"/>
  <c r="W140" i="54"/>
  <c r="W141" i="54"/>
  <c r="W142" i="54"/>
  <c r="W143" i="54"/>
  <c r="W144" i="54"/>
  <c r="W145" i="54"/>
  <c r="W146" i="54"/>
  <c r="W147" i="54"/>
  <c r="W148" i="54"/>
  <c r="W149" i="54"/>
  <c r="W150" i="54"/>
  <c r="W151" i="54"/>
  <c r="W152" i="54"/>
  <c r="W153" i="54"/>
  <c r="W154" i="54"/>
  <c r="W155" i="54"/>
  <c r="W156" i="54"/>
  <c r="W157" i="54"/>
  <c r="W158" i="54"/>
  <c r="W159" i="54"/>
  <c r="W160" i="54"/>
  <c r="W161" i="54"/>
  <c r="W162" i="54"/>
  <c r="J107" i="54"/>
  <c r="H106" i="54"/>
  <c r="J106" i="54" s="1"/>
  <c r="H105" i="54"/>
  <c r="J105" i="54" s="1"/>
  <c r="H104" i="54"/>
  <c r="J104" i="54" s="1"/>
  <c r="J103" i="54"/>
  <c r="H103" i="54"/>
  <c r="H102" i="54"/>
  <c r="J102" i="54" s="1"/>
  <c r="H101" i="54"/>
  <c r="J101" i="54" s="1"/>
  <c r="H100" i="54"/>
  <c r="J100" i="54" s="1"/>
  <c r="J99" i="54"/>
  <c r="H99" i="54"/>
  <c r="H98" i="54"/>
  <c r="J98" i="54" s="1"/>
  <c r="H97" i="54"/>
  <c r="J97" i="54" s="1"/>
  <c r="H96" i="54"/>
  <c r="J96" i="54" s="1"/>
  <c r="J95" i="54"/>
  <c r="H95" i="54"/>
  <c r="H94" i="54"/>
  <c r="J94" i="54" s="1"/>
  <c r="H93" i="54"/>
  <c r="J93" i="54" s="1"/>
  <c r="H92" i="54"/>
  <c r="J92" i="54" s="1"/>
  <c r="J91" i="54"/>
  <c r="H91" i="54"/>
  <c r="H90" i="54"/>
  <c r="J90" i="54" s="1"/>
  <c r="H89" i="54"/>
  <c r="J89" i="54" s="1"/>
  <c r="H88" i="54"/>
  <c r="J88" i="54" s="1"/>
  <c r="J87" i="54"/>
  <c r="H87" i="54"/>
  <c r="H86" i="54"/>
  <c r="J86" i="54" s="1"/>
  <c r="H85" i="54"/>
  <c r="J85" i="54" s="1"/>
  <c r="H84" i="54"/>
  <c r="J84" i="54" s="1"/>
  <c r="J83" i="54"/>
  <c r="H83" i="54"/>
  <c r="H82" i="54"/>
  <c r="J82" i="54" s="1"/>
  <c r="H81" i="54"/>
  <c r="J81" i="54" s="1"/>
  <c r="H80" i="54"/>
  <c r="J80" i="54" s="1"/>
  <c r="J79" i="54"/>
  <c r="H79" i="54"/>
  <c r="W80" i="54"/>
  <c r="W81" i="54"/>
  <c r="W82" i="54"/>
  <c r="W83" i="54"/>
  <c r="W84" i="54"/>
  <c r="W85" i="54"/>
  <c r="W86" i="54"/>
  <c r="W87" i="54"/>
  <c r="W88" i="54"/>
  <c r="W89" i="54"/>
  <c r="W90" i="54"/>
  <c r="W91" i="54"/>
  <c r="W92" i="54"/>
  <c r="W93" i="54"/>
  <c r="W94" i="54"/>
  <c r="W95" i="54"/>
  <c r="W96" i="54"/>
  <c r="W97" i="54"/>
  <c r="W98" i="54"/>
  <c r="W99" i="54"/>
  <c r="W100" i="54"/>
  <c r="W101" i="54"/>
  <c r="W102" i="54"/>
  <c r="W103" i="54"/>
  <c r="W104" i="54"/>
  <c r="W105" i="54"/>
  <c r="W106" i="54"/>
  <c r="W107" i="54"/>
  <c r="W79"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H132" i="14" a="1"/>
  <c r="H132" i="14" s="1"/>
  <c r="H131" i="14" a="1"/>
  <c r="H131" i="14" s="1"/>
  <c r="O162" i="49"/>
  <c r="P162" i="49"/>
  <c r="O163" i="49"/>
  <c r="P163" i="49"/>
  <c r="O164" i="49"/>
  <c r="P164" i="49"/>
  <c r="O165" i="49"/>
  <c r="P165" i="49"/>
  <c r="O166" i="49"/>
  <c r="P166" i="49"/>
  <c r="O167" i="49"/>
  <c r="P167" i="49"/>
  <c r="O168" i="49"/>
  <c r="P168" i="49"/>
  <c r="O169" i="49"/>
  <c r="P169" i="49"/>
  <c r="O170" i="49"/>
  <c r="P170" i="49"/>
  <c r="O171" i="49"/>
  <c r="P171" i="49"/>
  <c r="O172" i="49"/>
  <c r="P172" i="49"/>
  <c r="O173" i="49"/>
  <c r="P173" i="49"/>
  <c r="O174" i="49"/>
  <c r="P174" i="49"/>
  <c r="O175" i="49"/>
  <c r="P175" i="49"/>
  <c r="O176" i="49"/>
  <c r="P176" i="49"/>
  <c r="O177" i="49"/>
  <c r="P177" i="49"/>
  <c r="O178" i="49"/>
  <c r="P178" i="49"/>
  <c r="O179" i="49"/>
  <c r="P179" i="49"/>
  <c r="O180" i="49"/>
  <c r="P180" i="49"/>
  <c r="O181" i="49"/>
  <c r="P181" i="49"/>
  <c r="O182" i="49"/>
  <c r="P182" i="49"/>
  <c r="O183" i="49"/>
  <c r="P183" i="49"/>
  <c r="O184" i="49"/>
  <c r="P184" i="49"/>
  <c r="O185" i="49"/>
  <c r="P185" i="49"/>
  <c r="O186" i="49"/>
  <c r="P186" i="49"/>
  <c r="O187" i="49"/>
  <c r="P187" i="49"/>
  <c r="O188" i="49"/>
  <c r="P188" i="49"/>
  <c r="O189" i="49"/>
  <c r="P189" i="49"/>
  <c r="O190" i="49"/>
  <c r="P190" i="49"/>
  <c r="O191" i="49"/>
  <c r="P191" i="49"/>
  <c r="O192" i="49"/>
  <c r="P192" i="49"/>
  <c r="O193" i="49"/>
  <c r="P193" i="49"/>
  <c r="O194" i="49"/>
  <c r="P194" i="49"/>
  <c r="O195" i="49"/>
  <c r="P195" i="49"/>
  <c r="O196" i="49"/>
  <c r="P196" i="49"/>
  <c r="O197" i="49"/>
  <c r="P197" i="49"/>
  <c r="O198" i="49"/>
  <c r="P198" i="49"/>
  <c r="O199" i="49"/>
  <c r="P199" i="49"/>
  <c r="O200" i="49"/>
  <c r="P200" i="49"/>
  <c r="O201" i="49"/>
  <c r="P201" i="49"/>
  <c r="O202" i="49"/>
  <c r="P202" i="49"/>
  <c r="O203" i="49"/>
  <c r="P203" i="49"/>
  <c r="O204" i="49"/>
  <c r="P204" i="49"/>
  <c r="O205" i="49"/>
  <c r="P205" i="49"/>
  <c r="O206" i="49"/>
  <c r="P206" i="49"/>
  <c r="O207" i="49"/>
  <c r="P207" i="49"/>
  <c r="O208" i="49"/>
  <c r="P208" i="49"/>
  <c r="O209" i="49"/>
  <c r="P209" i="49"/>
  <c r="O210" i="49"/>
  <c r="P210" i="49"/>
  <c r="O211" i="49"/>
  <c r="P211" i="49"/>
  <c r="O212" i="49"/>
  <c r="P212" i="49"/>
  <c r="O213" i="49"/>
  <c r="P213" i="49"/>
  <c r="O214" i="49"/>
  <c r="P214" i="49"/>
  <c r="O215" i="49"/>
  <c r="P215" i="49"/>
  <c r="O216" i="49"/>
  <c r="P216" i="49"/>
  <c r="O217" i="49"/>
  <c r="P217" i="49"/>
  <c r="O218" i="49"/>
  <c r="P218" i="49"/>
  <c r="O219" i="49"/>
  <c r="P219" i="49"/>
  <c r="O220" i="49"/>
  <c r="P220" i="49"/>
  <c r="O221" i="49"/>
  <c r="P221" i="49"/>
  <c r="O222" i="49"/>
  <c r="P222" i="49"/>
  <c r="O223" i="49"/>
  <c r="P223" i="49"/>
  <c r="O224" i="49"/>
  <c r="P224" i="49"/>
  <c r="O225" i="49"/>
  <c r="P225" i="49"/>
  <c r="O226" i="49"/>
  <c r="P226" i="49"/>
  <c r="O227" i="49"/>
  <c r="P227" i="49"/>
  <c r="O228" i="49"/>
  <c r="P228" i="49"/>
  <c r="O229" i="49"/>
  <c r="P229" i="49"/>
  <c r="O230" i="49"/>
  <c r="P230" i="49"/>
  <c r="O231" i="49"/>
  <c r="P231" i="49"/>
  <c r="O232" i="49"/>
  <c r="P232" i="49"/>
  <c r="O233" i="49"/>
  <c r="P233" i="49"/>
  <c r="O234" i="49"/>
  <c r="P234" i="49"/>
  <c r="O235" i="49"/>
  <c r="P235" i="49"/>
  <c r="O236" i="49"/>
  <c r="P236" i="49"/>
  <c r="O237" i="49"/>
  <c r="P237" i="49"/>
  <c r="O238" i="49"/>
  <c r="P238" i="49"/>
  <c r="O239" i="49"/>
  <c r="P239" i="49"/>
  <c r="O240" i="49"/>
  <c r="P240" i="49"/>
  <c r="O241" i="49"/>
  <c r="P241" i="49"/>
  <c r="O242" i="49"/>
  <c r="P242" i="49"/>
  <c r="O243" i="49"/>
  <c r="P243" i="49"/>
  <c r="O244" i="49"/>
  <c r="P244" i="49"/>
  <c r="O245" i="49"/>
  <c r="P245" i="49"/>
  <c r="O246" i="49"/>
  <c r="P246" i="49"/>
  <c r="O247" i="49"/>
  <c r="P247" i="49"/>
  <c r="O248" i="49"/>
  <c r="P248" i="49"/>
  <c r="O249" i="49"/>
  <c r="P249" i="49"/>
  <c r="O250" i="49"/>
  <c r="P250" i="49"/>
  <c r="O251" i="49"/>
  <c r="P251" i="49"/>
  <c r="O252" i="49"/>
  <c r="P252" i="49"/>
  <c r="O253" i="49"/>
  <c r="P253" i="49"/>
  <c r="O254" i="49"/>
  <c r="P254" i="49"/>
  <c r="O255" i="49"/>
  <c r="P255" i="49"/>
  <c r="O256" i="49"/>
  <c r="P256" i="49"/>
  <c r="O257" i="49"/>
  <c r="P257" i="49"/>
  <c r="O258" i="49"/>
  <c r="P258" i="49"/>
  <c r="O259" i="49"/>
  <c r="P259" i="49"/>
  <c r="O260" i="49"/>
  <c r="P260" i="49"/>
  <c r="O261" i="49"/>
  <c r="P261" i="49"/>
  <c r="O262" i="49"/>
  <c r="P262" i="49"/>
  <c r="O263" i="49"/>
  <c r="P263" i="49"/>
  <c r="O264" i="49"/>
  <c r="P264" i="49"/>
  <c r="O265" i="49"/>
  <c r="P265" i="49"/>
  <c r="O266" i="49"/>
  <c r="P266" i="49"/>
  <c r="O267" i="49"/>
  <c r="P267" i="49"/>
  <c r="O268" i="49"/>
  <c r="P268" i="49"/>
  <c r="O269" i="49"/>
  <c r="P269" i="49"/>
  <c r="O270" i="49"/>
  <c r="P270" i="49"/>
  <c r="O271" i="49"/>
  <c r="P271" i="49"/>
  <c r="O272" i="49"/>
  <c r="P272" i="49"/>
  <c r="O273" i="49"/>
  <c r="P273" i="49"/>
  <c r="O274" i="49"/>
  <c r="P274" i="49"/>
  <c r="O275" i="49"/>
  <c r="P275" i="49"/>
  <c r="O276" i="49"/>
  <c r="P276" i="49"/>
  <c r="O277" i="49"/>
  <c r="P277" i="49"/>
  <c r="O278" i="49"/>
  <c r="P278" i="49"/>
  <c r="O279" i="49"/>
  <c r="P279" i="49"/>
  <c r="O280" i="49"/>
  <c r="P280" i="49"/>
  <c r="O281" i="49"/>
  <c r="P281" i="49"/>
  <c r="O282" i="49"/>
  <c r="P282" i="49"/>
  <c r="O283" i="49"/>
  <c r="P283" i="49"/>
  <c r="O284" i="49"/>
  <c r="P284" i="49"/>
  <c r="O285" i="49"/>
  <c r="P285" i="49"/>
  <c r="O286" i="49"/>
  <c r="P286" i="49"/>
  <c r="O287" i="49"/>
  <c r="P287" i="49"/>
  <c r="O288" i="49"/>
  <c r="P288" i="49"/>
  <c r="O289" i="49"/>
  <c r="P289" i="49"/>
  <c r="O290" i="49"/>
  <c r="P290" i="49"/>
  <c r="O291" i="49"/>
  <c r="P291" i="49"/>
  <c r="O292" i="49"/>
  <c r="P292" i="49"/>
  <c r="O293" i="49"/>
  <c r="P293" i="49"/>
  <c r="O294" i="49"/>
  <c r="P294" i="49"/>
  <c r="O295" i="49"/>
  <c r="P295" i="49"/>
  <c r="O296" i="49"/>
  <c r="P296" i="49"/>
  <c r="O297" i="49"/>
  <c r="P297" i="49"/>
  <c r="O114" i="49"/>
  <c r="O115" i="49"/>
  <c r="O116" i="49"/>
  <c r="O117" i="49"/>
  <c r="O118" i="49"/>
  <c r="O119" i="49"/>
  <c r="O120" i="49"/>
  <c r="O121" i="49"/>
  <c r="O122" i="49"/>
  <c r="O123" i="49"/>
  <c r="O124" i="49"/>
  <c r="O125" i="49"/>
  <c r="O126" i="49"/>
  <c r="O127" i="49"/>
  <c r="O128" i="49"/>
  <c r="O129" i="49"/>
  <c r="O130" i="49"/>
  <c r="O131" i="49"/>
  <c r="O132" i="49"/>
  <c r="O133" i="49"/>
  <c r="O134" i="49"/>
  <c r="O135" i="49"/>
  <c r="O136" i="49"/>
  <c r="O137" i="49"/>
  <c r="O138" i="49"/>
  <c r="O139" i="49"/>
  <c r="O140" i="49"/>
  <c r="O141" i="49"/>
  <c r="O142" i="49"/>
  <c r="O143" i="49"/>
  <c r="O144" i="49"/>
  <c r="O145" i="49"/>
  <c r="O146" i="49"/>
  <c r="O147" i="49"/>
  <c r="O148" i="49"/>
  <c r="O149" i="49"/>
  <c r="O150" i="49"/>
  <c r="O151" i="49"/>
  <c r="O152" i="49"/>
  <c r="O153" i="49"/>
  <c r="O154" i="49"/>
  <c r="O155" i="49"/>
  <c r="O156" i="49"/>
  <c r="O157" i="49"/>
  <c r="O158" i="49"/>
  <c r="O159" i="49"/>
  <c r="O160" i="49"/>
  <c r="O161" i="49"/>
  <c r="N297" i="49"/>
  <c r="N296" i="49"/>
  <c r="N295" i="49"/>
  <c r="N294" i="49"/>
  <c r="N293" i="49"/>
  <c r="N292" i="49"/>
  <c r="N291" i="49"/>
  <c r="N290" i="49"/>
  <c r="N289" i="49"/>
  <c r="N288" i="49"/>
  <c r="N287" i="49"/>
  <c r="N286" i="49"/>
  <c r="N285" i="49"/>
  <c r="N284" i="49"/>
  <c r="N283" i="49"/>
  <c r="N282" i="49"/>
  <c r="N281" i="49"/>
  <c r="C293" i="49"/>
  <c r="C294" i="49"/>
  <c r="C295" i="49"/>
  <c r="C296" i="49"/>
  <c r="C297" i="49"/>
  <c r="C225" i="49"/>
  <c r="C226" i="49"/>
  <c r="C227" i="49"/>
  <c r="C228" i="49"/>
  <c r="C229" i="49"/>
  <c r="C230" i="49"/>
  <c r="C231" i="49"/>
  <c r="C232" i="49"/>
  <c r="C233" i="49"/>
  <c r="C234" i="49"/>
  <c r="C235" i="49"/>
  <c r="C236" i="49"/>
  <c r="C237" i="49"/>
  <c r="C238" i="49"/>
  <c r="C239" i="49"/>
  <c r="C240" i="49"/>
  <c r="C241" i="49"/>
  <c r="C242" i="49"/>
  <c r="C243" i="49"/>
  <c r="C244" i="49"/>
  <c r="C245" i="49"/>
  <c r="C246" i="49"/>
  <c r="C247" i="49"/>
  <c r="C248" i="49"/>
  <c r="C249" i="49"/>
  <c r="C250" i="49"/>
  <c r="C251" i="49"/>
  <c r="C252" i="49"/>
  <c r="C253" i="49"/>
  <c r="C254" i="49"/>
  <c r="C255" i="49"/>
  <c r="C256" i="49"/>
  <c r="C257" i="49"/>
  <c r="C258" i="49"/>
  <c r="C259" i="49"/>
  <c r="C260" i="49"/>
  <c r="C261" i="49"/>
  <c r="C262" i="49"/>
  <c r="C263" i="49"/>
  <c r="C264" i="49"/>
  <c r="C265" i="49"/>
  <c r="C266" i="49"/>
  <c r="C267" i="49"/>
  <c r="C268" i="49"/>
  <c r="C269" i="49"/>
  <c r="C270" i="49"/>
  <c r="C271" i="49"/>
  <c r="C272" i="49"/>
  <c r="C273" i="49"/>
  <c r="C274" i="49"/>
  <c r="C275" i="49"/>
  <c r="C276" i="49"/>
  <c r="C277" i="49"/>
  <c r="C278" i="49"/>
  <c r="C279" i="49"/>
  <c r="C280" i="49"/>
  <c r="C281" i="49"/>
  <c r="C282" i="49"/>
  <c r="C283" i="49"/>
  <c r="C284" i="49"/>
  <c r="C285" i="49"/>
  <c r="C286" i="49"/>
  <c r="C287" i="49"/>
  <c r="C288" i="49"/>
  <c r="C289" i="49"/>
  <c r="C290" i="49"/>
  <c r="C291" i="49"/>
  <c r="C292" i="49"/>
  <c r="N225" i="49"/>
  <c r="N226" i="49"/>
  <c r="N227" i="49"/>
  <c r="N228" i="49"/>
  <c r="N229" i="49"/>
  <c r="N230" i="49"/>
  <c r="N231" i="49"/>
  <c r="N232" i="49"/>
  <c r="N233" i="49"/>
  <c r="N234" i="49"/>
  <c r="N235" i="49"/>
  <c r="N236" i="49"/>
  <c r="N237" i="49"/>
  <c r="N238" i="49"/>
  <c r="N239" i="49"/>
  <c r="N240" i="49"/>
  <c r="N241" i="49"/>
  <c r="N242" i="49"/>
  <c r="N243" i="49"/>
  <c r="N244" i="49"/>
  <c r="N245" i="49"/>
  <c r="N246" i="49"/>
  <c r="N247" i="49"/>
  <c r="N248" i="49"/>
  <c r="N249" i="49"/>
  <c r="N250" i="49"/>
  <c r="N251" i="49"/>
  <c r="N252" i="49"/>
  <c r="N253" i="49"/>
  <c r="N254" i="49"/>
  <c r="N255" i="49"/>
  <c r="N256" i="49"/>
  <c r="N257" i="49"/>
  <c r="N258" i="49"/>
  <c r="N259" i="49"/>
  <c r="N260" i="49"/>
  <c r="N261" i="49"/>
  <c r="N262" i="49"/>
  <c r="N263" i="49"/>
  <c r="N264" i="49"/>
  <c r="N265" i="49"/>
  <c r="N266" i="49"/>
  <c r="N267" i="49"/>
  <c r="N268" i="49"/>
  <c r="N269" i="49"/>
  <c r="N270" i="49"/>
  <c r="N271" i="49"/>
  <c r="N272" i="49"/>
  <c r="N273" i="49"/>
  <c r="N274" i="49"/>
  <c r="N275" i="49"/>
  <c r="N276" i="49"/>
  <c r="N277" i="49"/>
  <c r="N278" i="49"/>
  <c r="N279" i="49"/>
  <c r="N280" i="49"/>
  <c r="N162" i="49"/>
  <c r="N163" i="49"/>
  <c r="N164" i="49"/>
  <c r="N165" i="49"/>
  <c r="N166" i="49"/>
  <c r="N167" i="49"/>
  <c r="N168" i="49"/>
  <c r="N169" i="49"/>
  <c r="N170" i="49"/>
  <c r="N171" i="49"/>
  <c r="N172" i="49"/>
  <c r="N173" i="49"/>
  <c r="N174" i="49"/>
  <c r="N175" i="49"/>
  <c r="N176" i="49"/>
  <c r="N177" i="49"/>
  <c r="N178" i="49"/>
  <c r="N179" i="49"/>
  <c r="N180" i="49"/>
  <c r="N181" i="49"/>
  <c r="N182" i="49"/>
  <c r="N183" i="49"/>
  <c r="N184" i="49"/>
  <c r="N185" i="49"/>
  <c r="N186" i="49"/>
  <c r="N187" i="49"/>
  <c r="N188" i="49"/>
  <c r="N189" i="49"/>
  <c r="N190" i="49"/>
  <c r="N191" i="49"/>
  <c r="N192" i="49"/>
  <c r="N193" i="49"/>
  <c r="N194" i="49"/>
  <c r="N195" i="49"/>
  <c r="N196" i="49"/>
  <c r="N197" i="49"/>
  <c r="N198" i="49"/>
  <c r="N199" i="49"/>
  <c r="N200" i="49"/>
  <c r="N201" i="49"/>
  <c r="N202" i="49"/>
  <c r="N203" i="49"/>
  <c r="N204" i="49"/>
  <c r="N205" i="49"/>
  <c r="N206" i="49"/>
  <c r="N207" i="49"/>
  <c r="N208" i="49"/>
  <c r="N209" i="49"/>
  <c r="N210" i="49"/>
  <c r="N211" i="49"/>
  <c r="N212" i="49"/>
  <c r="N213" i="49"/>
  <c r="N214" i="49"/>
  <c r="N215" i="49"/>
  <c r="N216" i="49"/>
  <c r="N217" i="49"/>
  <c r="N218" i="49"/>
  <c r="N219" i="49"/>
  <c r="N220" i="49"/>
  <c r="N221" i="49"/>
  <c r="N222" i="49"/>
  <c r="N223" i="49"/>
  <c r="N224" i="49"/>
  <c r="C162" i="49"/>
  <c r="C163" i="49"/>
  <c r="C164" i="49"/>
  <c r="C165" i="49"/>
  <c r="C166" i="49"/>
  <c r="C167" i="49"/>
  <c r="C168" i="49"/>
  <c r="C169" i="49"/>
  <c r="C170" i="49"/>
  <c r="C171" i="49"/>
  <c r="C172" i="49"/>
  <c r="C173" i="49"/>
  <c r="C174" i="49"/>
  <c r="C175" i="49"/>
  <c r="C176" i="49"/>
  <c r="C177" i="49"/>
  <c r="C178" i="49"/>
  <c r="C179" i="49"/>
  <c r="C180" i="49"/>
  <c r="C181" i="49"/>
  <c r="C182" i="49"/>
  <c r="C183" i="49"/>
  <c r="C184" i="49"/>
  <c r="C185" i="49"/>
  <c r="C186" i="49"/>
  <c r="C187" i="49"/>
  <c r="C188" i="49"/>
  <c r="C189" i="49"/>
  <c r="C190" i="49"/>
  <c r="C191" i="49"/>
  <c r="C192" i="49"/>
  <c r="C193" i="49"/>
  <c r="C194" i="49"/>
  <c r="C195" i="49"/>
  <c r="C196" i="49"/>
  <c r="C197" i="49"/>
  <c r="C198" i="49"/>
  <c r="C199" i="49"/>
  <c r="C200" i="49"/>
  <c r="C201" i="49"/>
  <c r="C202" i="49"/>
  <c r="C203" i="49"/>
  <c r="C204" i="49"/>
  <c r="C205" i="49"/>
  <c r="C206" i="49"/>
  <c r="C207" i="49"/>
  <c r="C208" i="49"/>
  <c r="C209" i="49"/>
  <c r="C210" i="49"/>
  <c r="C211" i="49"/>
  <c r="C212" i="49"/>
  <c r="C213" i="49"/>
  <c r="C214" i="49"/>
  <c r="C215" i="49"/>
  <c r="C216" i="49"/>
  <c r="C217" i="49"/>
  <c r="C218" i="49"/>
  <c r="C219" i="49"/>
  <c r="C220" i="49"/>
  <c r="C221" i="49"/>
  <c r="C222" i="49"/>
  <c r="C223" i="49"/>
  <c r="C224" i="49"/>
  <c r="B243" i="50"/>
  <c r="C243" i="50" s="1"/>
  <c r="B242" i="50"/>
  <c r="C242" i="50" s="1"/>
  <c r="B241" i="50"/>
  <c r="C241" i="50" s="1"/>
  <c r="B240" i="50"/>
  <c r="C240" i="50" s="1"/>
  <c r="B239" i="50"/>
  <c r="C239" i="50" s="1"/>
  <c r="B238" i="50"/>
  <c r="C238" i="50" s="1"/>
  <c r="C244" i="50"/>
  <c r="B237" i="50"/>
  <c r="C237" i="50" s="1"/>
  <c r="P161" i="49"/>
  <c r="N161" i="49"/>
  <c r="P160" i="49"/>
  <c r="N160" i="49"/>
  <c r="P159" i="49"/>
  <c r="N159" i="49"/>
  <c r="P158" i="49"/>
  <c r="N158" i="49"/>
  <c r="P157" i="49"/>
  <c r="N157" i="49"/>
  <c r="P156" i="49"/>
  <c r="N156" i="49"/>
  <c r="P155" i="49"/>
  <c r="N155" i="49"/>
  <c r="P154" i="49"/>
  <c r="N154" i="49"/>
  <c r="P153" i="49"/>
  <c r="N153" i="49"/>
  <c r="P152" i="49"/>
  <c r="N152" i="49"/>
  <c r="P151" i="49"/>
  <c r="N151" i="49"/>
  <c r="P150" i="49"/>
  <c r="N150" i="49"/>
  <c r="P149" i="49"/>
  <c r="N149" i="49"/>
  <c r="P148" i="49"/>
  <c r="N148" i="49"/>
  <c r="P147" i="49"/>
  <c r="N147" i="49"/>
  <c r="P146" i="49"/>
  <c r="N146" i="49"/>
  <c r="P145" i="49"/>
  <c r="N145" i="49"/>
  <c r="P144" i="49"/>
  <c r="N144" i="49"/>
  <c r="P143" i="49"/>
  <c r="N143" i="49"/>
  <c r="P142" i="49"/>
  <c r="N142" i="49"/>
  <c r="P141" i="49"/>
  <c r="N141" i="49"/>
  <c r="P140" i="49"/>
  <c r="N140" i="49"/>
  <c r="P139" i="49"/>
  <c r="N139" i="49"/>
  <c r="P138" i="49"/>
  <c r="N138" i="49"/>
  <c r="P137" i="49"/>
  <c r="N137" i="49"/>
  <c r="P136" i="49"/>
  <c r="N136" i="49"/>
  <c r="P135" i="49"/>
  <c r="N135" i="49"/>
  <c r="P134" i="49"/>
  <c r="N134" i="49"/>
  <c r="P133" i="49"/>
  <c r="N133" i="49"/>
  <c r="P132" i="49"/>
  <c r="N132" i="49"/>
  <c r="P131" i="49"/>
  <c r="N131" i="49"/>
  <c r="P130" i="49"/>
  <c r="N130" i="49"/>
  <c r="P129" i="49"/>
  <c r="N129" i="49"/>
  <c r="P128" i="49"/>
  <c r="N128" i="49"/>
  <c r="P127" i="49"/>
  <c r="N127" i="49"/>
  <c r="P126" i="49"/>
  <c r="N126" i="49"/>
  <c r="P125" i="49"/>
  <c r="N125" i="49"/>
  <c r="P124" i="49"/>
  <c r="N124" i="49"/>
  <c r="P123" i="49"/>
  <c r="N123" i="49"/>
  <c r="P122" i="49"/>
  <c r="N122" i="49"/>
  <c r="P121" i="49"/>
  <c r="N121" i="49"/>
  <c r="C120" i="49"/>
  <c r="C121" i="49"/>
  <c r="C122" i="49"/>
  <c r="C123" i="49"/>
  <c r="C124" i="49"/>
  <c r="C125" i="49"/>
  <c r="C126" i="49"/>
  <c r="C127" i="49"/>
  <c r="C128" i="49"/>
  <c r="C129" i="49"/>
  <c r="C130" i="49"/>
  <c r="C131" i="49"/>
  <c r="C132" i="49"/>
  <c r="C133" i="49"/>
  <c r="C134" i="49"/>
  <c r="C135" i="49"/>
  <c r="C136" i="49"/>
  <c r="C137" i="49"/>
  <c r="C138" i="49"/>
  <c r="C139" i="49"/>
  <c r="C140" i="49"/>
  <c r="C141" i="49"/>
  <c r="C142" i="49"/>
  <c r="C143" i="49"/>
  <c r="C144" i="49"/>
  <c r="C145" i="49"/>
  <c r="C146" i="49"/>
  <c r="C147" i="49"/>
  <c r="C148" i="49"/>
  <c r="C149" i="49"/>
  <c r="C150" i="49"/>
  <c r="C151" i="49"/>
  <c r="C152" i="49"/>
  <c r="C153" i="49"/>
  <c r="C154" i="49"/>
  <c r="C155" i="49"/>
  <c r="C156" i="49"/>
  <c r="C157" i="49"/>
  <c r="C158" i="49"/>
  <c r="C159" i="49"/>
  <c r="C160" i="49"/>
  <c r="C161" i="49"/>
  <c r="P120" i="49"/>
  <c r="N120" i="49"/>
  <c r="P117" i="49"/>
  <c r="N117" i="49"/>
  <c r="P119" i="49"/>
  <c r="N119" i="49"/>
  <c r="P118" i="49"/>
  <c r="N118" i="49"/>
  <c r="C119" i="49"/>
  <c r="C118" i="49"/>
  <c r="C117" i="49"/>
  <c r="P116" i="49"/>
  <c r="N116" i="49"/>
  <c r="P115" i="49"/>
  <c r="N115" i="49"/>
  <c r="P114" i="49"/>
  <c r="N114" i="49"/>
  <c r="P113" i="49"/>
  <c r="O113" i="49"/>
  <c r="N113" i="49"/>
  <c r="P112" i="49"/>
  <c r="O112" i="49"/>
  <c r="N112" i="49"/>
  <c r="P111" i="49"/>
  <c r="O111" i="49"/>
  <c r="N111" i="49"/>
  <c r="P110" i="49"/>
  <c r="O110" i="49"/>
  <c r="N110" i="49"/>
  <c r="P109" i="49"/>
  <c r="O109" i="49"/>
  <c r="N109" i="49"/>
  <c r="P108" i="49"/>
  <c r="O108" i="49"/>
  <c r="N108" i="49"/>
  <c r="P107" i="49"/>
  <c r="O107" i="49"/>
  <c r="N107" i="49"/>
  <c r="P106" i="49"/>
  <c r="O106" i="49"/>
  <c r="N106" i="49"/>
  <c r="P105" i="49"/>
  <c r="O105" i="49"/>
  <c r="N105" i="49"/>
  <c r="P104" i="49"/>
  <c r="O104" i="49"/>
  <c r="N104" i="49"/>
  <c r="P103" i="49"/>
  <c r="O103" i="49"/>
  <c r="N103" i="49"/>
  <c r="P102" i="49"/>
  <c r="O102" i="49"/>
  <c r="N102" i="49"/>
  <c r="P101" i="49"/>
  <c r="O101" i="49"/>
  <c r="N101" i="49"/>
  <c r="P100" i="49"/>
  <c r="N100" i="49"/>
  <c r="P99" i="49"/>
  <c r="N99" i="49"/>
  <c r="P98" i="49"/>
  <c r="N98" i="49"/>
  <c r="P97" i="49"/>
  <c r="N97" i="49"/>
  <c r="P96" i="49"/>
  <c r="N96" i="49"/>
  <c r="P95" i="49"/>
  <c r="N95" i="49"/>
  <c r="P94" i="49"/>
  <c r="N94" i="49"/>
  <c r="C116" i="49"/>
  <c r="C115" i="49"/>
  <c r="C114" i="49"/>
  <c r="C113" i="49"/>
  <c r="C112" i="49"/>
  <c r="C111" i="49"/>
  <c r="C110" i="49"/>
  <c r="C109" i="49"/>
  <c r="C108" i="49"/>
  <c r="C107" i="49"/>
  <c r="C106" i="49"/>
  <c r="C105" i="49"/>
  <c r="C104" i="49"/>
  <c r="C103" i="49"/>
  <c r="C102" i="49"/>
  <c r="C101" i="49"/>
  <c r="C100" i="49"/>
  <c r="C99" i="49"/>
  <c r="C98" i="49"/>
  <c r="C97" i="49"/>
  <c r="C96" i="49"/>
  <c r="C95" i="49"/>
  <c r="C94" i="49"/>
  <c r="P93" i="49"/>
  <c r="N93" i="49"/>
  <c r="C68" i="51" l="1"/>
  <c r="C67" i="51"/>
  <c r="C66" i="51"/>
  <c r="C65" i="51"/>
  <c r="C64" i="51"/>
  <c r="C63" i="51"/>
  <c r="L37" i="51" l="1"/>
  <c r="L38" i="51"/>
  <c r="L36" i="51"/>
  <c r="C50" i="51"/>
  <c r="C36" i="51"/>
  <c r="C37" i="51"/>
  <c r="C38" i="51"/>
  <c r="C39" i="51"/>
  <c r="C40" i="51"/>
  <c r="C41" i="51"/>
  <c r="C42" i="51"/>
  <c r="C43" i="51"/>
  <c r="C44" i="51"/>
  <c r="C45" i="51"/>
  <c r="C46" i="51"/>
  <c r="C47" i="51"/>
  <c r="C48" i="51"/>
  <c r="C49" i="51"/>
  <c r="C51" i="51"/>
  <c r="C52" i="51"/>
  <c r="C53" i="51"/>
  <c r="C54" i="51"/>
  <c r="C55" i="51"/>
  <c r="C56" i="51"/>
  <c r="C57" i="51"/>
  <c r="C58" i="51"/>
  <c r="C59" i="51"/>
  <c r="C60" i="51"/>
  <c r="C61" i="51"/>
  <c r="C62" i="51"/>
  <c r="E29" i="59" l="1"/>
  <c r="E30" i="59"/>
  <c r="E31" i="59"/>
  <c r="E32" i="59"/>
  <c r="E33" i="59"/>
  <c r="E34" i="59"/>
  <c r="E35" i="59"/>
  <c r="E51" i="59"/>
  <c r="E52" i="59"/>
  <c r="E54" i="59"/>
  <c r="E55" i="59"/>
  <c r="E56" i="59"/>
  <c r="E57" i="59"/>
  <c r="C166" i="59"/>
  <c r="C167" i="59"/>
  <c r="C29" i="59"/>
  <c r="C30" i="59"/>
  <c r="C31" i="59"/>
  <c r="C32" i="59"/>
  <c r="C33" i="59"/>
  <c r="C34" i="59"/>
  <c r="C35" i="59"/>
  <c r="C51" i="59"/>
  <c r="C52" i="59"/>
  <c r="C54" i="59"/>
  <c r="C55" i="59"/>
  <c r="C56" i="59"/>
  <c r="C57" i="59"/>
  <c r="C61" i="59"/>
  <c r="C62" i="59"/>
  <c r="C63" i="59"/>
  <c r="C64" i="59"/>
  <c r="E167" i="59"/>
  <c r="E166" i="59"/>
  <c r="E64" i="59"/>
  <c r="E63" i="59"/>
  <c r="E62" i="59"/>
  <c r="E61" i="59"/>
  <c r="E191" i="59"/>
  <c r="C191" i="59"/>
  <c r="E190" i="59"/>
  <c r="C190" i="59"/>
  <c r="E189" i="59"/>
  <c r="C189" i="59"/>
  <c r="C6" i="59"/>
  <c r="E6" i="59"/>
  <c r="C210" i="59"/>
  <c r="E210" i="59"/>
  <c r="C173" i="59"/>
  <c r="E173" i="59"/>
  <c r="C205" i="59"/>
  <c r="C59" i="59"/>
  <c r="C85" i="59"/>
  <c r="C87" i="59"/>
  <c r="C207" i="59"/>
  <c r="C196" i="59"/>
  <c r="C197" i="59"/>
  <c r="C211" i="59"/>
  <c r="C212" i="59"/>
  <c r="E207" i="59"/>
  <c r="E196" i="59"/>
  <c r="E197" i="59"/>
  <c r="E211" i="59"/>
  <c r="E212" i="59"/>
  <c r="E59" i="59"/>
  <c r="E85" i="59"/>
  <c r="E87" i="59"/>
  <c r="E94" i="59"/>
  <c r="E176" i="59"/>
  <c r="E177" i="59"/>
  <c r="E157" i="59"/>
  <c r="E170" i="59"/>
  <c r="E171" i="59"/>
  <c r="E160" i="59"/>
  <c r="E161" i="59"/>
  <c r="E187" i="59"/>
  <c r="E188" i="59"/>
  <c r="E180" i="59"/>
  <c r="E181" i="59"/>
  <c r="E204" i="59"/>
  <c r="E205" i="59"/>
  <c r="C204" i="59"/>
  <c r="C181" i="59"/>
  <c r="C180" i="59"/>
  <c r="C188" i="59"/>
  <c r="C187" i="59"/>
  <c r="C161" i="59"/>
  <c r="C160" i="59"/>
  <c r="C171" i="59"/>
  <c r="C170" i="59"/>
  <c r="C157" i="59"/>
  <c r="C177" i="59"/>
  <c r="C176" i="59"/>
  <c r="C94" i="59"/>
  <c r="C217" i="59"/>
  <c r="C201" i="59"/>
  <c r="C193" i="59"/>
  <c r="C154" i="59"/>
  <c r="C91" i="59"/>
  <c r="C90" i="59"/>
  <c r="C82" i="59"/>
  <c r="C81" i="59"/>
  <c r="C214" i="59"/>
  <c r="C151" i="59"/>
  <c r="C150" i="59"/>
  <c r="E217" i="59"/>
  <c r="E201" i="59"/>
  <c r="E193" i="59"/>
  <c r="E154" i="59"/>
  <c r="E91" i="59"/>
  <c r="E90" i="59"/>
  <c r="E82" i="59"/>
  <c r="E81" i="59"/>
  <c r="E214" i="59"/>
  <c r="E151" i="59"/>
  <c r="E150" i="59"/>
  <c r="E149" i="59"/>
  <c r="E98" i="59"/>
  <c r="C98" i="59"/>
  <c r="E95" i="59"/>
  <c r="E158" i="59"/>
  <c r="E97" i="59"/>
  <c r="E96" i="59"/>
  <c r="E5" i="59"/>
  <c r="E186" i="59"/>
  <c r="E209" i="59"/>
  <c r="E78" i="59"/>
  <c r="C3480" i="45"/>
  <c r="C3481" i="45"/>
  <c r="C3482" i="45"/>
  <c r="C3483" i="45"/>
  <c r="C3484" i="45"/>
  <c r="C3485" i="45"/>
  <c r="C3486" i="45"/>
  <c r="C3487" i="45"/>
  <c r="C3488" i="45"/>
  <c r="C3489" i="45"/>
  <c r="C3490" i="45"/>
  <c r="C3491" i="45"/>
  <c r="C3492" i="45"/>
  <c r="C3493" i="45"/>
  <c r="C3494" i="45"/>
  <c r="C3495" i="45"/>
  <c r="C3496" i="45"/>
  <c r="C3497" i="45"/>
  <c r="C3498" i="45"/>
  <c r="C3499" i="45"/>
  <c r="C3500" i="45"/>
  <c r="C3501" i="45"/>
  <c r="C3502" i="45"/>
  <c r="C3503" i="45"/>
  <c r="C3504" i="45"/>
  <c r="C3505" i="45"/>
  <c r="C3506" i="45"/>
  <c r="C3507" i="45"/>
  <c r="C3508" i="45"/>
  <c r="C3509" i="45"/>
  <c r="C3510" i="45"/>
  <c r="C3511" i="45"/>
  <c r="C3512" i="45"/>
  <c r="C3513" i="45"/>
  <c r="C3514" i="45"/>
  <c r="C3515" i="45"/>
  <c r="C3516" i="45"/>
  <c r="C3517" i="45"/>
  <c r="C3518" i="45"/>
  <c r="C3519" i="45"/>
  <c r="C3520" i="45"/>
  <c r="C3521" i="45"/>
  <c r="C3522" i="45"/>
  <c r="C3523" i="45"/>
  <c r="C3524" i="45"/>
  <c r="C3525" i="45"/>
  <c r="C3526" i="45"/>
  <c r="C3527" i="45"/>
  <c r="C3528" i="45"/>
  <c r="C3529" i="45"/>
  <c r="C3530" i="45"/>
  <c r="C3531" i="45"/>
  <c r="C3532" i="45"/>
  <c r="C3533" i="45"/>
  <c r="C3534" i="45"/>
  <c r="C3535" i="45"/>
  <c r="C3536" i="45"/>
  <c r="C3537" i="45"/>
  <c r="C3538" i="45"/>
  <c r="C3539" i="45"/>
  <c r="C3540" i="45"/>
  <c r="C3541" i="45"/>
  <c r="C3542" i="45"/>
  <c r="C3543" i="45"/>
  <c r="C3544" i="45"/>
  <c r="C3545" i="45"/>
  <c r="C3546" i="45"/>
  <c r="C3547" i="45"/>
  <c r="C3548" i="45"/>
  <c r="C3549" i="45"/>
  <c r="C3550" i="45"/>
  <c r="C3551" i="45"/>
  <c r="C3552" i="45"/>
  <c r="C3553" i="45"/>
  <c r="C3554" i="45"/>
  <c r="C3555" i="45"/>
  <c r="C3556" i="45"/>
  <c r="C3557" i="45"/>
  <c r="C3558" i="45"/>
  <c r="C3559" i="45"/>
  <c r="C3560" i="45"/>
  <c r="C3561" i="45"/>
  <c r="C3562" i="45"/>
  <c r="C3563" i="45"/>
  <c r="C3564" i="45"/>
  <c r="C3565" i="45"/>
  <c r="C3566" i="45"/>
  <c r="C3567" i="45"/>
  <c r="C3568" i="45"/>
  <c r="C3569" i="45"/>
  <c r="C3570" i="45"/>
  <c r="C3571" i="45"/>
  <c r="C3572" i="45"/>
  <c r="C3573" i="45"/>
  <c r="C3574" i="45"/>
  <c r="C3575" i="45"/>
  <c r="C3576" i="45"/>
  <c r="C3577" i="45"/>
  <c r="C3578" i="45"/>
  <c r="C3579" i="45"/>
  <c r="C3580" i="45"/>
  <c r="C3581" i="45"/>
  <c r="C3582" i="45"/>
  <c r="C3583" i="45"/>
  <c r="C3584" i="45"/>
  <c r="C3585" i="45"/>
  <c r="C3586" i="45"/>
  <c r="C3587" i="45"/>
  <c r="C3588" i="45"/>
  <c r="C3589" i="45"/>
  <c r="C3590" i="45"/>
  <c r="C3591" i="45"/>
  <c r="C3592" i="45"/>
  <c r="C3593" i="45"/>
  <c r="C3594" i="45"/>
  <c r="C3595" i="45"/>
  <c r="C3596" i="45"/>
  <c r="C3597" i="45"/>
  <c r="C3598" i="45"/>
  <c r="C3599" i="45"/>
  <c r="C3600" i="45"/>
  <c r="C3601" i="45"/>
  <c r="C3602" i="45"/>
  <c r="C3603" i="45"/>
  <c r="C3604" i="45"/>
  <c r="C3605" i="45"/>
  <c r="C3606" i="45"/>
  <c r="C3607" i="45"/>
  <c r="C3608" i="45"/>
  <c r="C3609" i="45"/>
  <c r="C3610" i="45"/>
  <c r="C3611" i="45"/>
  <c r="C3612" i="45"/>
  <c r="C3613" i="45"/>
  <c r="C3614" i="45"/>
  <c r="C3615" i="45"/>
  <c r="C3616" i="45"/>
  <c r="C3617" i="45"/>
  <c r="C3618" i="45"/>
  <c r="C3619" i="45"/>
  <c r="C3620" i="45"/>
  <c r="C3621" i="45"/>
  <c r="C3622" i="45"/>
  <c r="C3623" i="45"/>
  <c r="C3624" i="45"/>
  <c r="C3625" i="45"/>
  <c r="C3626" i="45"/>
  <c r="C3627" i="45"/>
  <c r="C3628" i="45"/>
  <c r="C3629" i="45"/>
  <c r="C3630" i="45"/>
  <c r="C3631" i="45"/>
  <c r="C3632" i="45"/>
  <c r="C3633" i="45"/>
  <c r="C3634" i="45"/>
  <c r="C3635" i="45"/>
  <c r="C3636" i="45"/>
  <c r="C3637" i="45"/>
  <c r="C3638" i="45"/>
  <c r="C3639" i="45"/>
  <c r="C3640" i="45"/>
  <c r="C3641" i="45"/>
  <c r="C3642" i="45"/>
  <c r="C3643" i="45"/>
  <c r="C3644" i="45"/>
  <c r="C3645" i="45"/>
  <c r="C3646" i="45"/>
  <c r="C3647" i="45"/>
  <c r="C3648" i="45"/>
  <c r="C3649" i="45"/>
  <c r="C3650" i="45"/>
  <c r="C3651" i="45"/>
  <c r="C3652" i="45"/>
  <c r="C3653" i="45"/>
  <c r="C3654" i="45"/>
  <c r="C3655" i="45"/>
  <c r="C3656" i="45"/>
  <c r="C3657" i="45"/>
  <c r="C3658" i="45"/>
  <c r="C3659" i="45"/>
  <c r="C3660" i="45"/>
  <c r="C3661" i="45"/>
  <c r="C3662" i="45"/>
  <c r="C3663" i="45"/>
  <c r="C3664" i="45"/>
  <c r="C3665" i="45"/>
  <c r="C3666" i="45"/>
  <c r="C3667" i="45"/>
  <c r="C3668" i="45"/>
  <c r="C3669" i="45"/>
  <c r="C3670" i="45"/>
  <c r="C3671" i="45"/>
  <c r="C3672" i="45"/>
  <c r="C3673" i="45"/>
  <c r="C3674" i="45"/>
  <c r="C3675" i="45"/>
  <c r="C3676" i="45"/>
  <c r="C3677" i="45"/>
  <c r="C3678" i="45"/>
  <c r="C3679" i="45"/>
  <c r="C3680" i="45"/>
  <c r="C3681" i="45"/>
  <c r="C3682" i="45"/>
  <c r="C3683" i="45"/>
  <c r="C3684" i="45"/>
  <c r="C3685" i="45"/>
  <c r="C3686" i="45"/>
  <c r="C3687" i="45"/>
  <c r="C3688" i="45"/>
  <c r="C3689" i="45"/>
  <c r="C3690" i="45"/>
  <c r="C3691" i="45"/>
  <c r="C3692" i="45"/>
  <c r="C3693" i="45"/>
  <c r="C3694" i="45"/>
  <c r="C3695" i="45"/>
  <c r="C3696" i="45"/>
  <c r="C3697" i="45"/>
  <c r="C3698" i="45"/>
  <c r="C3699" i="45"/>
  <c r="C3700" i="45"/>
  <c r="C3701" i="45"/>
  <c r="C3702" i="45"/>
  <c r="C3703" i="45"/>
  <c r="C3704" i="45"/>
  <c r="C3705" i="45"/>
  <c r="C3706" i="45"/>
  <c r="C3707" i="45"/>
  <c r="C3708" i="45"/>
  <c r="C3709" i="45"/>
  <c r="C3710" i="45"/>
  <c r="C3711" i="45"/>
  <c r="C3712" i="45"/>
  <c r="C3713" i="45"/>
  <c r="C3714" i="45"/>
  <c r="C3715" i="45"/>
  <c r="C3716" i="45"/>
  <c r="C3717" i="45"/>
  <c r="C3718" i="45"/>
  <c r="C3719" i="45"/>
  <c r="C3720" i="45"/>
  <c r="C3721" i="45"/>
  <c r="C3722" i="45"/>
  <c r="C3723" i="45"/>
  <c r="C3724" i="45"/>
  <c r="C3725" i="45"/>
  <c r="C3726" i="45"/>
  <c r="C3727" i="45"/>
  <c r="C3728" i="45"/>
  <c r="C3729" i="45"/>
  <c r="C3730" i="45"/>
  <c r="C3731" i="45"/>
  <c r="C3732" i="45"/>
  <c r="C3733" i="45"/>
  <c r="C3734" i="45"/>
  <c r="C3735" i="45"/>
  <c r="C3736" i="45"/>
  <c r="C3737" i="45"/>
  <c r="C3738" i="45"/>
  <c r="C3739" i="45"/>
  <c r="C3740" i="45"/>
  <c r="C3741" i="45"/>
  <c r="C3742" i="45"/>
  <c r="C3743" i="45"/>
  <c r="C3744" i="45"/>
  <c r="C3745" i="45"/>
  <c r="C3746" i="45"/>
  <c r="C3747" i="45"/>
  <c r="C3748" i="45"/>
  <c r="C3749" i="45"/>
  <c r="C3750" i="45"/>
  <c r="C3751" i="45"/>
  <c r="C3752" i="45"/>
  <c r="C3753" i="45"/>
  <c r="C3754" i="45"/>
  <c r="C3755" i="45"/>
  <c r="C3756" i="45"/>
  <c r="C3757" i="45"/>
  <c r="C3758" i="45"/>
  <c r="C3759" i="45"/>
  <c r="C3760" i="45"/>
  <c r="C3761" i="45"/>
  <c r="C3762" i="45"/>
  <c r="C3763" i="45"/>
  <c r="C3764" i="45"/>
  <c r="C3765" i="45"/>
  <c r="C3766" i="45"/>
  <c r="C3767" i="45"/>
  <c r="C3768" i="45"/>
  <c r="C3769" i="45"/>
  <c r="C3770" i="45"/>
  <c r="C3771" i="45"/>
  <c r="C3772" i="45"/>
  <c r="C3773" i="45"/>
  <c r="C3774" i="45"/>
  <c r="C3775" i="45"/>
  <c r="C3776" i="45"/>
  <c r="C3777" i="45"/>
  <c r="C3778" i="45"/>
  <c r="C3779" i="45"/>
  <c r="C3780" i="45"/>
  <c r="C3781" i="45"/>
  <c r="C3782" i="45"/>
  <c r="C3783" i="45"/>
  <c r="C3784" i="45"/>
  <c r="C3785" i="45"/>
  <c r="C3786" i="45"/>
  <c r="C3787" i="45"/>
  <c r="C3788" i="45"/>
  <c r="C3789" i="45"/>
  <c r="C3790" i="45"/>
  <c r="C3791" i="45"/>
  <c r="C3792" i="45"/>
  <c r="C3793" i="45"/>
  <c r="C3794" i="45"/>
  <c r="C3795" i="45"/>
  <c r="C3796" i="45"/>
  <c r="C3797" i="45"/>
  <c r="C3798" i="45"/>
  <c r="C3799" i="45"/>
  <c r="C3800" i="45"/>
  <c r="C3801" i="45"/>
  <c r="C3802" i="45"/>
  <c r="C3803" i="45"/>
  <c r="C3804" i="45"/>
  <c r="C3805" i="45"/>
  <c r="C3806" i="45"/>
  <c r="C3807" i="45"/>
  <c r="C3808" i="45"/>
  <c r="C3809" i="45"/>
  <c r="C3810" i="45"/>
  <c r="C3811" i="45"/>
  <c r="C3812" i="45"/>
  <c r="C3813" i="45"/>
  <c r="C3814" i="45"/>
  <c r="C3815" i="45"/>
  <c r="C3816" i="45"/>
  <c r="C3817" i="45"/>
  <c r="C3818" i="45"/>
  <c r="C3819" i="45"/>
  <c r="C3820" i="45"/>
  <c r="C3821" i="45"/>
  <c r="C3822" i="45"/>
  <c r="C3823" i="45"/>
  <c r="C3824" i="45"/>
  <c r="C3825" i="45"/>
  <c r="C3826" i="45"/>
  <c r="C3827" i="45"/>
  <c r="C3828" i="45"/>
  <c r="C3829" i="45"/>
  <c r="C3830" i="45"/>
  <c r="C3831" i="45"/>
  <c r="C3832" i="45"/>
  <c r="C3833" i="45"/>
  <c r="C3834" i="45"/>
  <c r="C3835" i="45"/>
  <c r="C3836" i="45"/>
  <c r="C3837" i="45"/>
  <c r="C3838" i="45"/>
  <c r="C3839" i="45"/>
  <c r="C3840" i="45"/>
  <c r="C3841" i="45"/>
  <c r="C3842" i="45"/>
  <c r="C3843" i="45"/>
  <c r="C3844" i="45"/>
  <c r="C3845" i="45"/>
  <c r="C3846" i="45"/>
  <c r="C3847" i="45"/>
  <c r="C3848" i="45"/>
  <c r="C3849" i="45"/>
  <c r="C3850" i="45"/>
  <c r="C3851" i="45"/>
  <c r="C3852" i="45"/>
  <c r="C3853" i="45"/>
  <c r="C3854" i="45"/>
  <c r="C3855" i="45"/>
  <c r="C3856" i="45"/>
  <c r="C3857" i="45"/>
  <c r="C3858" i="45"/>
  <c r="C3859" i="45"/>
  <c r="C3860" i="45"/>
  <c r="C3861" i="45"/>
  <c r="C3862" i="45"/>
  <c r="C3863" i="45"/>
  <c r="C3864" i="45"/>
  <c r="C3865" i="45"/>
  <c r="C3866" i="45"/>
  <c r="C3867" i="45"/>
  <c r="C3868" i="45"/>
  <c r="C3869" i="45"/>
  <c r="C3870" i="45"/>
  <c r="C3871" i="45"/>
  <c r="C3872" i="45"/>
  <c r="C3873" i="45"/>
  <c r="C3874" i="45"/>
  <c r="C3875" i="45"/>
  <c r="C3876" i="45"/>
  <c r="C3877" i="45"/>
  <c r="C3878" i="45"/>
  <c r="C3879" i="45"/>
  <c r="C3880" i="45"/>
  <c r="C3881" i="45"/>
  <c r="C3882" i="45"/>
  <c r="C3883" i="45"/>
  <c r="C3884" i="45"/>
  <c r="C3885" i="45"/>
  <c r="C3886" i="45"/>
  <c r="C3887" i="45"/>
  <c r="C3888" i="45"/>
  <c r="C3889" i="45"/>
  <c r="C3890" i="45"/>
  <c r="C3891" i="45"/>
  <c r="C3892" i="45"/>
  <c r="C3893" i="45"/>
  <c r="C3894" i="45"/>
  <c r="C3895" i="45"/>
  <c r="C3896" i="45"/>
  <c r="C3897" i="45"/>
  <c r="C3898" i="45"/>
  <c r="C3899" i="45"/>
  <c r="C3900" i="45"/>
  <c r="C3901" i="45"/>
  <c r="C3902" i="45"/>
  <c r="C3903" i="45"/>
  <c r="C3904" i="45"/>
  <c r="C3905" i="45"/>
  <c r="C3906" i="45"/>
  <c r="C3907" i="45"/>
  <c r="C3908" i="45"/>
  <c r="C3909" i="45"/>
  <c r="C3910" i="45"/>
  <c r="C3911" i="45"/>
  <c r="C3912" i="45"/>
  <c r="C3913" i="45"/>
  <c r="C3914" i="45"/>
  <c r="C3915" i="45"/>
  <c r="C3916" i="45"/>
  <c r="C3917" i="45"/>
  <c r="C3918" i="45"/>
  <c r="C3919" i="45"/>
  <c r="C3920" i="45"/>
  <c r="C3921" i="45"/>
  <c r="C3922" i="45"/>
  <c r="C3923" i="45"/>
  <c r="C3924" i="45"/>
  <c r="C3925" i="45"/>
  <c r="C3926" i="45"/>
  <c r="C3927" i="45"/>
  <c r="C3928" i="45"/>
  <c r="C3929" i="45"/>
  <c r="C3930" i="45"/>
  <c r="C3931" i="45"/>
  <c r="C3932" i="45"/>
  <c r="C3933" i="45"/>
  <c r="C3934" i="45"/>
  <c r="C3935" i="45"/>
  <c r="C3936" i="45"/>
  <c r="C3937" i="45"/>
  <c r="C3938" i="45"/>
  <c r="C3939" i="45"/>
  <c r="C3940" i="45"/>
  <c r="C3941" i="45"/>
  <c r="C3942" i="45"/>
  <c r="C3943" i="45"/>
  <c r="C3944" i="45"/>
  <c r="C3945" i="45"/>
  <c r="C3946" i="45"/>
  <c r="C3947" i="45"/>
  <c r="C3948" i="45"/>
  <c r="C3949" i="45"/>
  <c r="C3950" i="45"/>
  <c r="C3951" i="45"/>
  <c r="C3952" i="45"/>
  <c r="C3953" i="45"/>
  <c r="C3954" i="45"/>
  <c r="C3955" i="45"/>
  <c r="C3956" i="45"/>
  <c r="C3957" i="45"/>
  <c r="C3958" i="45"/>
  <c r="C3959" i="45"/>
  <c r="C3960" i="45"/>
  <c r="C3961" i="45"/>
  <c r="C3962" i="45"/>
  <c r="C3963" i="45"/>
  <c r="C3964" i="45"/>
  <c r="C3965" i="45"/>
  <c r="C3966" i="45"/>
  <c r="C3967" i="45"/>
  <c r="C3968" i="45"/>
  <c r="C3969" i="45"/>
  <c r="C3970" i="45"/>
  <c r="C3971" i="45"/>
  <c r="C3972" i="45"/>
  <c r="C3973" i="45"/>
  <c r="C3974" i="45"/>
  <c r="C3975" i="45"/>
  <c r="C3976" i="45"/>
  <c r="C3977" i="45"/>
  <c r="C3978" i="45"/>
  <c r="C3979" i="45"/>
  <c r="C3980" i="45"/>
  <c r="C3981" i="45"/>
  <c r="C3982" i="45"/>
  <c r="C3983" i="45"/>
  <c r="C3984" i="45"/>
  <c r="C3985" i="45"/>
  <c r="C3986" i="45"/>
  <c r="C3987" i="45"/>
  <c r="C3988" i="45"/>
  <c r="C3989" i="45"/>
  <c r="C3990" i="45"/>
  <c r="C3991" i="45"/>
  <c r="C3992" i="45"/>
  <c r="C3993" i="45"/>
  <c r="C3994" i="45"/>
  <c r="C3995" i="45"/>
  <c r="C3996" i="45"/>
  <c r="C3997" i="45"/>
  <c r="C3998" i="45"/>
  <c r="C3999" i="45"/>
  <c r="C4000" i="45"/>
  <c r="C4001" i="45"/>
  <c r="C4002" i="45"/>
  <c r="C4003" i="45"/>
  <c r="C4004" i="45"/>
  <c r="C4005" i="45"/>
  <c r="C4006" i="45"/>
  <c r="C4007" i="45"/>
  <c r="C4008" i="45"/>
  <c r="C4009" i="45"/>
  <c r="C4010" i="45"/>
  <c r="C4011" i="45"/>
  <c r="C4012" i="45"/>
  <c r="C4013" i="45"/>
  <c r="C4014" i="45"/>
  <c r="C4015" i="45"/>
  <c r="C4016" i="45"/>
  <c r="C4017" i="45"/>
  <c r="C4018" i="45"/>
  <c r="C4019" i="45"/>
  <c r="C4020" i="45"/>
  <c r="C4021" i="45"/>
  <c r="C4022" i="45"/>
  <c r="C4023" i="45"/>
  <c r="C4024" i="45"/>
  <c r="C4025" i="45"/>
  <c r="C4026" i="45"/>
  <c r="C4027" i="45"/>
  <c r="C4028" i="45"/>
  <c r="C4029" i="45"/>
  <c r="C4030" i="45"/>
  <c r="C4031" i="45"/>
  <c r="C4032" i="45"/>
  <c r="C4033" i="45"/>
  <c r="C4034" i="45"/>
  <c r="C4035" i="45"/>
  <c r="C4036" i="45"/>
  <c r="C4037" i="45"/>
  <c r="C4038" i="45"/>
  <c r="C4039" i="45"/>
  <c r="C4040" i="45"/>
  <c r="C4041" i="45"/>
  <c r="C4042" i="45"/>
  <c r="C4043" i="45"/>
  <c r="C4044" i="45"/>
  <c r="C4045" i="45"/>
  <c r="C4046" i="45"/>
  <c r="C4047" i="45"/>
  <c r="C4048" i="45"/>
  <c r="C4049" i="45"/>
  <c r="C4050" i="45"/>
  <c r="C4051" i="45"/>
  <c r="C4052" i="45"/>
  <c r="C4053" i="45"/>
  <c r="C4054" i="45"/>
  <c r="C4055" i="45"/>
  <c r="C4056" i="45"/>
  <c r="C4057" i="45"/>
  <c r="C4058" i="45"/>
  <c r="C4059" i="45"/>
  <c r="C4060" i="45"/>
  <c r="C4061" i="45"/>
  <c r="C4062" i="45"/>
  <c r="C4063" i="45"/>
  <c r="C4064" i="45"/>
  <c r="C4065" i="45"/>
  <c r="C4066" i="45"/>
  <c r="C4067" i="45"/>
  <c r="C4068" i="45"/>
  <c r="C4069" i="45"/>
  <c r="C4070" i="45"/>
  <c r="C4071" i="45"/>
  <c r="C4072" i="45"/>
  <c r="C4073" i="45"/>
  <c r="C4074" i="45"/>
  <c r="C4075" i="45"/>
  <c r="C4076" i="45"/>
  <c r="C4077" i="45"/>
  <c r="C4078" i="45"/>
  <c r="C4079" i="45"/>
  <c r="C4080" i="45"/>
  <c r="C4081" i="45"/>
  <c r="C4082" i="45"/>
  <c r="C4083" i="45"/>
  <c r="C4084" i="45"/>
  <c r="C4085" i="45"/>
  <c r="C4086" i="45"/>
  <c r="C4087" i="45"/>
  <c r="C4088" i="45"/>
  <c r="C4089" i="45"/>
  <c r="C4090" i="45"/>
  <c r="C4091" i="45"/>
  <c r="C4092" i="45"/>
  <c r="C4093" i="45"/>
  <c r="C4094" i="45"/>
  <c r="C4095" i="45"/>
  <c r="C4096" i="45"/>
  <c r="C4097" i="45"/>
  <c r="C4098" i="45"/>
  <c r="C4099" i="45"/>
  <c r="C4100" i="45"/>
  <c r="C4101" i="45"/>
  <c r="C4102" i="45"/>
  <c r="C4103" i="45"/>
  <c r="C4104" i="45"/>
  <c r="C4105" i="45"/>
  <c r="C4106" i="45"/>
  <c r="C4107" i="45"/>
  <c r="C4108" i="45"/>
  <c r="C4109" i="45"/>
  <c r="C4110" i="45"/>
  <c r="C4111" i="45"/>
  <c r="C4112" i="45"/>
  <c r="C4113" i="45"/>
  <c r="C4114" i="45"/>
  <c r="C4115" i="45"/>
  <c r="C4116" i="45"/>
  <c r="C4117" i="45"/>
  <c r="C4118" i="45"/>
  <c r="C4119" i="45"/>
  <c r="C4120" i="45"/>
  <c r="C4121" i="45"/>
  <c r="C4122" i="45"/>
  <c r="C4123" i="45"/>
  <c r="C4124" i="45"/>
  <c r="C4125" i="45"/>
  <c r="C4126" i="45"/>
  <c r="C4127" i="45"/>
  <c r="C4128" i="45"/>
  <c r="C4129" i="45"/>
  <c r="C4130" i="45"/>
  <c r="C4131" i="45"/>
  <c r="C4132" i="45"/>
  <c r="C4133" i="45"/>
  <c r="C4134" i="45"/>
  <c r="C4135" i="45"/>
  <c r="C4136" i="45"/>
  <c r="C4137" i="45"/>
  <c r="C4138" i="45"/>
  <c r="C4139" i="45"/>
  <c r="C4140" i="45"/>
  <c r="C4141" i="45"/>
  <c r="C4142" i="45"/>
  <c r="C4143" i="45"/>
  <c r="C4144" i="45"/>
  <c r="C4145" i="45"/>
  <c r="C4146" i="45"/>
  <c r="C4147" i="45"/>
  <c r="C4148" i="45"/>
  <c r="C4149" i="45"/>
  <c r="C4150" i="45"/>
  <c r="C4151" i="45"/>
  <c r="C4152" i="45"/>
  <c r="C4153" i="45"/>
  <c r="C4154" i="45"/>
  <c r="C4155" i="45"/>
  <c r="C4156" i="45"/>
  <c r="C4157" i="45"/>
  <c r="C4158" i="45"/>
  <c r="C4159" i="45"/>
  <c r="C4160" i="45"/>
  <c r="C4161" i="45"/>
  <c r="C4162" i="45"/>
  <c r="C4163" i="45"/>
  <c r="C4164" i="45"/>
  <c r="C4165" i="45"/>
  <c r="C4166" i="45"/>
  <c r="C4167" i="45"/>
  <c r="C4168" i="45"/>
  <c r="C4169" i="45"/>
  <c r="C4170" i="45"/>
  <c r="C4171" i="45"/>
  <c r="C4172" i="45"/>
  <c r="C4173" i="45"/>
  <c r="C4174" i="45"/>
  <c r="C4175" i="45"/>
  <c r="C4176" i="45"/>
  <c r="C4177" i="45"/>
  <c r="C4178" i="45"/>
  <c r="C4179" i="45"/>
  <c r="C4180" i="45"/>
  <c r="C4181" i="45"/>
  <c r="C4182" i="45"/>
  <c r="C4183" i="45"/>
  <c r="C4184" i="45"/>
  <c r="C4185" i="45"/>
  <c r="C4186" i="45"/>
  <c r="C4187" i="45"/>
  <c r="C4188" i="45"/>
  <c r="C4189" i="45"/>
  <c r="C4190" i="45"/>
  <c r="C4191" i="45"/>
  <c r="C4192" i="45"/>
  <c r="C4193" i="45"/>
  <c r="C4194" i="45"/>
  <c r="C4195" i="45"/>
  <c r="C4196" i="45"/>
  <c r="C4197" i="45"/>
  <c r="C4198" i="45"/>
  <c r="C4199" i="45"/>
  <c r="C4200" i="45"/>
  <c r="C4201" i="45"/>
  <c r="C4202" i="45"/>
  <c r="C4203" i="45"/>
  <c r="C4204" i="45"/>
  <c r="C4205" i="45"/>
  <c r="C4206" i="45"/>
  <c r="C4207" i="45"/>
  <c r="C4208" i="45"/>
  <c r="C4209" i="45"/>
  <c r="C4210" i="45"/>
  <c r="C4211" i="45"/>
  <c r="C4212" i="45"/>
  <c r="C4213" i="45"/>
  <c r="C4214" i="45"/>
  <c r="C4215" i="45"/>
  <c r="C4216" i="45"/>
  <c r="C4217" i="45"/>
  <c r="C4218" i="45"/>
  <c r="C4219" i="45"/>
  <c r="C4220" i="45"/>
  <c r="C4221" i="45"/>
  <c r="C4222" i="45"/>
  <c r="C4223" i="45"/>
  <c r="C4224" i="45"/>
  <c r="C4225" i="45"/>
  <c r="C4226" i="45"/>
  <c r="C4227" i="45"/>
  <c r="C4228" i="45"/>
  <c r="C4229" i="45"/>
  <c r="C4230" i="45"/>
  <c r="C4231" i="45"/>
  <c r="C4232" i="45"/>
  <c r="C4233" i="45"/>
  <c r="C4234" i="45"/>
  <c r="C4235" i="45"/>
  <c r="C4236" i="45"/>
  <c r="C4237" i="45"/>
  <c r="C4238" i="45"/>
  <c r="C4239" i="45"/>
  <c r="C4240" i="45"/>
  <c r="C4241" i="45"/>
  <c r="C4242" i="45"/>
  <c r="C4243" i="45"/>
  <c r="C4244" i="45"/>
  <c r="C4245" i="45"/>
  <c r="C4246" i="45"/>
  <c r="C4247" i="45"/>
  <c r="C4248" i="45"/>
  <c r="C4249" i="45"/>
  <c r="C4250" i="45"/>
  <c r="C4251" i="45"/>
  <c r="C4252" i="45"/>
  <c r="C4253" i="45"/>
  <c r="C4254" i="45"/>
  <c r="C4255" i="45"/>
  <c r="C4256" i="45"/>
  <c r="C4257" i="45"/>
  <c r="C4258" i="45"/>
  <c r="C4259" i="45"/>
  <c r="C4260" i="45"/>
  <c r="C4261" i="45"/>
  <c r="C4262" i="45"/>
  <c r="C4263" i="45"/>
  <c r="C4264" i="45"/>
  <c r="C4265" i="45"/>
  <c r="C4266" i="45"/>
  <c r="C4267" i="45"/>
  <c r="C4268" i="45"/>
  <c r="C4269" i="45"/>
  <c r="C4270" i="45"/>
  <c r="C4271" i="45"/>
  <c r="C4272" i="45"/>
  <c r="C4273" i="45"/>
  <c r="C4274" i="45"/>
  <c r="C4275" i="45"/>
  <c r="C4276" i="45"/>
  <c r="C4277" i="45"/>
  <c r="C4278" i="45"/>
  <c r="C4279" i="45"/>
  <c r="C4280" i="45"/>
  <c r="C4281" i="45"/>
  <c r="C4282" i="45"/>
  <c r="C4283" i="45"/>
  <c r="C4284" i="45"/>
  <c r="C4285" i="45"/>
  <c r="C4286" i="45"/>
  <c r="C4287" i="45"/>
  <c r="C4288" i="45"/>
  <c r="C4289" i="45"/>
  <c r="C4290" i="45"/>
  <c r="C4291" i="45"/>
  <c r="C4292" i="45"/>
  <c r="C4293" i="45"/>
  <c r="C4294" i="45"/>
  <c r="C4295" i="45"/>
  <c r="C4296" i="45"/>
  <c r="C4297" i="45"/>
  <c r="C4298" i="45"/>
  <c r="C4299" i="45"/>
  <c r="C4300" i="45"/>
  <c r="C4301" i="45"/>
  <c r="C4302" i="45"/>
  <c r="C4303" i="45"/>
  <c r="C4304" i="45"/>
  <c r="C4305" i="45"/>
  <c r="C4306" i="45"/>
  <c r="C4307" i="45"/>
  <c r="C4308" i="45"/>
  <c r="C4309" i="45"/>
  <c r="C4310" i="45"/>
  <c r="C4311" i="45"/>
  <c r="C4312" i="45"/>
  <c r="C4313" i="45"/>
  <c r="C4314" i="45"/>
  <c r="C4315" i="45"/>
  <c r="C4316" i="45"/>
  <c r="C4317" i="45"/>
  <c r="C4318" i="45"/>
  <c r="C4319" i="45"/>
  <c r="C4320" i="45"/>
  <c r="C4321" i="45"/>
  <c r="C4322" i="45"/>
  <c r="C4323" i="45"/>
  <c r="C4324" i="45"/>
  <c r="C4325" i="45"/>
  <c r="C4326" i="45"/>
  <c r="C4327" i="45"/>
  <c r="C4328" i="45"/>
  <c r="C4329" i="45"/>
  <c r="C4330" i="45"/>
  <c r="C4331" i="45"/>
  <c r="C4332" i="45"/>
  <c r="C4333" i="45"/>
  <c r="C4334" i="45"/>
  <c r="C4335" i="45"/>
  <c r="C4336" i="45"/>
  <c r="C4337" i="45"/>
  <c r="C4338" i="45"/>
  <c r="C4339" i="45"/>
  <c r="C4340" i="45"/>
  <c r="C4341" i="45"/>
  <c r="C4342" i="45"/>
  <c r="C4343" i="45"/>
  <c r="C4344" i="45"/>
  <c r="C4345" i="45"/>
  <c r="C4346" i="45"/>
  <c r="C4347" i="45"/>
  <c r="C4348" i="45"/>
  <c r="C4349" i="45"/>
  <c r="C4350" i="45"/>
  <c r="C4351" i="45"/>
  <c r="C4352" i="45"/>
  <c r="C4353" i="45"/>
  <c r="C4354" i="45"/>
  <c r="C4355" i="45"/>
  <c r="C4356" i="45"/>
  <c r="C4357" i="45"/>
  <c r="C4358" i="45"/>
  <c r="C4359" i="45"/>
  <c r="C4360" i="45"/>
  <c r="C4361" i="45"/>
  <c r="C4362" i="45"/>
  <c r="C4363" i="45"/>
  <c r="C4364" i="45"/>
  <c r="C4365" i="45"/>
  <c r="C4366" i="45"/>
  <c r="C4367" i="45"/>
  <c r="C4368" i="45"/>
  <c r="C4369" i="45"/>
  <c r="C4370" i="45"/>
  <c r="C4371" i="45"/>
  <c r="C4372" i="45"/>
  <c r="C4373" i="45"/>
  <c r="C4374" i="45"/>
  <c r="C4375" i="45"/>
  <c r="C4376" i="45"/>
  <c r="C4377" i="45"/>
  <c r="C4378" i="45"/>
  <c r="C4379" i="45"/>
  <c r="C4380" i="45"/>
  <c r="C4381" i="45"/>
  <c r="C4382" i="45"/>
  <c r="C4383" i="45"/>
  <c r="C4384" i="45"/>
  <c r="C4385" i="45"/>
  <c r="C4386" i="45"/>
  <c r="C4387" i="45"/>
  <c r="C4388" i="45"/>
  <c r="C4389" i="45"/>
  <c r="C4390" i="45"/>
  <c r="C4391" i="45"/>
  <c r="C4392" i="45"/>
  <c r="C4393" i="45"/>
  <c r="C4394" i="45"/>
  <c r="C4395" i="45"/>
  <c r="C4396" i="45"/>
  <c r="C4397" i="45"/>
  <c r="C4398" i="45"/>
  <c r="C4399" i="45"/>
  <c r="C4400" i="45"/>
  <c r="C4401" i="45"/>
  <c r="C4402" i="45"/>
  <c r="C4403" i="45"/>
  <c r="C4404" i="45"/>
  <c r="C4405" i="45"/>
  <c r="C4406" i="45"/>
  <c r="C4407" i="45"/>
  <c r="C4408" i="45"/>
  <c r="C4409" i="45"/>
  <c r="C4410" i="45"/>
  <c r="C4411" i="45"/>
  <c r="C4412" i="45"/>
  <c r="C4413" i="45"/>
  <c r="C4414" i="45"/>
  <c r="C4415" i="45"/>
  <c r="C4416" i="45"/>
  <c r="C4417" i="45"/>
  <c r="C4418" i="45"/>
  <c r="C4419" i="45"/>
  <c r="C4420" i="45"/>
  <c r="C4421" i="45"/>
  <c r="C4422" i="45"/>
  <c r="C4423" i="45"/>
  <c r="C4424" i="45"/>
  <c r="C4425" i="45"/>
  <c r="C4426" i="45"/>
  <c r="C4427" i="45"/>
  <c r="C4428" i="45"/>
  <c r="C4429" i="45"/>
  <c r="C4430" i="45"/>
  <c r="C4431" i="45"/>
  <c r="C4432" i="45"/>
  <c r="C4433" i="45"/>
  <c r="C4434" i="45"/>
  <c r="C4435" i="45"/>
  <c r="C4436" i="45"/>
  <c r="C4437" i="45"/>
  <c r="C4438" i="45"/>
  <c r="C4439" i="45"/>
  <c r="C4440" i="45"/>
  <c r="C4441" i="45"/>
  <c r="C4442" i="45"/>
  <c r="C4443" i="45"/>
  <c r="C4444" i="45"/>
  <c r="C4445" i="45"/>
  <c r="C4446" i="45"/>
  <c r="C4447" i="45"/>
  <c r="C4448" i="45"/>
  <c r="C4449" i="45"/>
  <c r="C4450" i="45"/>
  <c r="C4451" i="45"/>
  <c r="C4452" i="45"/>
  <c r="C4453" i="45"/>
  <c r="C4454" i="45"/>
  <c r="C4455" i="45"/>
  <c r="C4456" i="45"/>
  <c r="C4457" i="45"/>
  <c r="C4458" i="45"/>
  <c r="C4459" i="45"/>
  <c r="C4460" i="45"/>
  <c r="C4461" i="45"/>
  <c r="C4462" i="45"/>
  <c r="C4463" i="45"/>
  <c r="C4464" i="45"/>
  <c r="C4465" i="45"/>
  <c r="C4466" i="45"/>
  <c r="C4467" i="45"/>
  <c r="C4468" i="45"/>
  <c r="C4469" i="45"/>
  <c r="C4470" i="45"/>
  <c r="C4471" i="45"/>
  <c r="C4472" i="45"/>
  <c r="C4473" i="45"/>
  <c r="C4474" i="45"/>
  <c r="C4475" i="45"/>
  <c r="C4476" i="45"/>
  <c r="C4477" i="45"/>
  <c r="C4478" i="45"/>
  <c r="C4479" i="45"/>
  <c r="C4480" i="45"/>
  <c r="C4481" i="45"/>
  <c r="C4482" i="45"/>
  <c r="C4483" i="45"/>
  <c r="C4484" i="45"/>
  <c r="C4485" i="45"/>
  <c r="C4486" i="45"/>
  <c r="C4487" i="45"/>
  <c r="C4488" i="45"/>
  <c r="C4489" i="45"/>
  <c r="C4490" i="45"/>
  <c r="C4491" i="45"/>
  <c r="C4492" i="45"/>
  <c r="C4493" i="45"/>
  <c r="C4494" i="45"/>
  <c r="C4495" i="45"/>
  <c r="C4496" i="45"/>
  <c r="C4497" i="45"/>
  <c r="C4498" i="45"/>
  <c r="C4499" i="45"/>
  <c r="C4500" i="45"/>
  <c r="C4501" i="45"/>
  <c r="C4502" i="45"/>
  <c r="C4503" i="45"/>
  <c r="C4504" i="45"/>
  <c r="C4505" i="45"/>
  <c r="C4506" i="45"/>
  <c r="C4507" i="45"/>
  <c r="C4508" i="45"/>
  <c r="C4509" i="45"/>
  <c r="C4510" i="45"/>
  <c r="C4511" i="45"/>
  <c r="C4512" i="45"/>
  <c r="C4513" i="45"/>
  <c r="C4514" i="45"/>
  <c r="C4515" i="45"/>
  <c r="C4516" i="45"/>
  <c r="C4517" i="45"/>
  <c r="C4518" i="45"/>
  <c r="C4519" i="45"/>
  <c r="C4520" i="45"/>
  <c r="C4521" i="45"/>
  <c r="C4522" i="45"/>
  <c r="C4523" i="45"/>
  <c r="C4524" i="45"/>
  <c r="C4525" i="45"/>
  <c r="C4526" i="45"/>
  <c r="C4527" i="45"/>
  <c r="C4528" i="45"/>
  <c r="C4529" i="45"/>
  <c r="C4530" i="45"/>
  <c r="C4531" i="45"/>
  <c r="C4532" i="45"/>
  <c r="C4533" i="45"/>
  <c r="C4534" i="45"/>
  <c r="C4535" i="45"/>
  <c r="C4536" i="45"/>
  <c r="C4537" i="45"/>
  <c r="C4538" i="45"/>
  <c r="C4539" i="45"/>
  <c r="C4540" i="45"/>
  <c r="C4541" i="45"/>
  <c r="C4542" i="45"/>
  <c r="C4543" i="45"/>
  <c r="C4544" i="45"/>
  <c r="C4545" i="45"/>
  <c r="C4546" i="45"/>
  <c r="C4547" i="45"/>
  <c r="C4548" i="45"/>
  <c r="C4549" i="45"/>
  <c r="C4550" i="45"/>
  <c r="C4551" i="45"/>
  <c r="C4552" i="45"/>
  <c r="C4553" i="45"/>
  <c r="C4554" i="45"/>
  <c r="C4555" i="45"/>
  <c r="C4556" i="45"/>
  <c r="C4557" i="45"/>
  <c r="C4558" i="45"/>
  <c r="C4559" i="45"/>
  <c r="C4560" i="45"/>
  <c r="C4561" i="45"/>
  <c r="C4562" i="45"/>
  <c r="C4563" i="45"/>
  <c r="C4564" i="45"/>
  <c r="C4565" i="45"/>
  <c r="C4566" i="45"/>
  <c r="C4567" i="45"/>
  <c r="C4568" i="45"/>
  <c r="C4569" i="45"/>
  <c r="C4570" i="45"/>
  <c r="C4571" i="45"/>
  <c r="C4572" i="45"/>
  <c r="C4573" i="45"/>
  <c r="C4574" i="45"/>
  <c r="C4575" i="45"/>
  <c r="C4576" i="45"/>
  <c r="C4577" i="45"/>
  <c r="C4578" i="45"/>
  <c r="C4579" i="45"/>
  <c r="C4580" i="45"/>
  <c r="C4581" i="45"/>
  <c r="C4582" i="45"/>
  <c r="C4583" i="45"/>
  <c r="C4584" i="45"/>
  <c r="C4585" i="45"/>
  <c r="C4586" i="45"/>
  <c r="C4587" i="45"/>
  <c r="C4588" i="45"/>
  <c r="C4589" i="45"/>
  <c r="C4590" i="45"/>
  <c r="C4591" i="45"/>
  <c r="C4592" i="45"/>
  <c r="C4593" i="45"/>
  <c r="C4594" i="45"/>
  <c r="C4595" i="45"/>
  <c r="C4596" i="45"/>
  <c r="C4597" i="45"/>
  <c r="C4598" i="45"/>
  <c r="C4599" i="45"/>
  <c r="C4600" i="45"/>
  <c r="C4601" i="45"/>
  <c r="C4602" i="45"/>
  <c r="C4603" i="45"/>
  <c r="C4604" i="45"/>
  <c r="C4605" i="45"/>
  <c r="C4606" i="45"/>
  <c r="C4607" i="45"/>
  <c r="C4608" i="45"/>
  <c r="C4609" i="45"/>
  <c r="C4610" i="45"/>
  <c r="C4611" i="45"/>
  <c r="C4612" i="45"/>
  <c r="C4613" i="45"/>
  <c r="C4614" i="45"/>
  <c r="C4615" i="45"/>
  <c r="C4616" i="45"/>
  <c r="C4617" i="45"/>
  <c r="C4618" i="45"/>
  <c r="C4619" i="45"/>
  <c r="C4620" i="45"/>
  <c r="C4621" i="45"/>
  <c r="C4622" i="45"/>
  <c r="C4623" i="45"/>
  <c r="C4624" i="45"/>
  <c r="C4625" i="45"/>
  <c r="C4626" i="45"/>
  <c r="C4627" i="45"/>
  <c r="C4628" i="45"/>
  <c r="C4629" i="45"/>
  <c r="C4630" i="45"/>
  <c r="C4631" i="45"/>
  <c r="C4632" i="45"/>
  <c r="C4633" i="45"/>
  <c r="C4634" i="45"/>
  <c r="C4635" i="45"/>
  <c r="C4636" i="45"/>
  <c r="C4637" i="45"/>
  <c r="C4638" i="45"/>
  <c r="C4639" i="45"/>
  <c r="C4640" i="45"/>
  <c r="C4641" i="45"/>
  <c r="C4642" i="45"/>
  <c r="C4643" i="45"/>
  <c r="C4644" i="45"/>
  <c r="C4645" i="45"/>
  <c r="C4646" i="45"/>
  <c r="C4647" i="45"/>
  <c r="C4648" i="45"/>
  <c r="C4649" i="45"/>
  <c r="C4650" i="45"/>
  <c r="C4651" i="45"/>
  <c r="C4652" i="45"/>
  <c r="C4653" i="45"/>
  <c r="C4654" i="45"/>
  <c r="C4655" i="45"/>
  <c r="C4656" i="45"/>
  <c r="C4657" i="45"/>
  <c r="C4658" i="45"/>
  <c r="C4659" i="45"/>
  <c r="C4660" i="45"/>
  <c r="C4661" i="45"/>
  <c r="C4662" i="45"/>
  <c r="C4663" i="45"/>
  <c r="C4664" i="45"/>
  <c r="C4665" i="45"/>
  <c r="C4666" i="45"/>
  <c r="C4667" i="45"/>
  <c r="C4668" i="45"/>
  <c r="C4669" i="45"/>
  <c r="C4670" i="45"/>
  <c r="C4671" i="45"/>
  <c r="C4672" i="45"/>
  <c r="C4673" i="45"/>
  <c r="C4674" i="45"/>
  <c r="C4675" i="45"/>
  <c r="C4676" i="45"/>
  <c r="C4677" i="45"/>
  <c r="C4678" i="45"/>
  <c r="C4679" i="45"/>
  <c r="C4680" i="45"/>
  <c r="C4681" i="45"/>
  <c r="C4682" i="45"/>
  <c r="C4683" i="45"/>
  <c r="C4684" i="45"/>
  <c r="C4685" i="45"/>
  <c r="C4686" i="45"/>
  <c r="C4687" i="45"/>
  <c r="C4688" i="45"/>
  <c r="C4689" i="45"/>
  <c r="C4690" i="45"/>
  <c r="C4691" i="45"/>
  <c r="C4692" i="45"/>
  <c r="C4693" i="45"/>
  <c r="C4694" i="45"/>
  <c r="C4695" i="45"/>
  <c r="C4696" i="45"/>
  <c r="C4697" i="45"/>
  <c r="C4698" i="45"/>
  <c r="C4699" i="45"/>
  <c r="C4700" i="45"/>
  <c r="C4701" i="45"/>
  <c r="C4702" i="45"/>
  <c r="C4703" i="45"/>
  <c r="C4704" i="45"/>
  <c r="C4705" i="45"/>
  <c r="C4706" i="45"/>
  <c r="C4707" i="45"/>
  <c r="C4708" i="45"/>
  <c r="C4709" i="45"/>
  <c r="C4710" i="45"/>
  <c r="C4711" i="45"/>
  <c r="C4712" i="45"/>
  <c r="C4713" i="45"/>
  <c r="C4714" i="45"/>
  <c r="C4715" i="45"/>
  <c r="C4716" i="45"/>
  <c r="C4717" i="45"/>
  <c r="C4718" i="45"/>
  <c r="C4719" i="45"/>
  <c r="C4720" i="45"/>
  <c r="C4721" i="45"/>
  <c r="C4722" i="45"/>
  <c r="C4723" i="45"/>
  <c r="C4724" i="45"/>
  <c r="C4725" i="45"/>
  <c r="C4726" i="45"/>
  <c r="C4727" i="45"/>
  <c r="C4728" i="45"/>
  <c r="C4729" i="45"/>
  <c r="C4730" i="45"/>
  <c r="C4731" i="45"/>
  <c r="C4732" i="45"/>
  <c r="C4733" i="45"/>
  <c r="C4734" i="45"/>
  <c r="C4735" i="45"/>
  <c r="C4736" i="45"/>
  <c r="C4737" i="45"/>
  <c r="C4738" i="45"/>
  <c r="C4739" i="45"/>
  <c r="C4740" i="45"/>
  <c r="C4741" i="45"/>
  <c r="C4742" i="45"/>
  <c r="C4743" i="45"/>
  <c r="C4744" i="45"/>
  <c r="C4745" i="45"/>
  <c r="C4746" i="45"/>
  <c r="C4747" i="45"/>
  <c r="C4748" i="45"/>
  <c r="C4749" i="45"/>
  <c r="C4750" i="45"/>
  <c r="C4751" i="45"/>
  <c r="C4752" i="45"/>
  <c r="C4753" i="45"/>
  <c r="C4754" i="45"/>
  <c r="C4755" i="45"/>
  <c r="C4756" i="45"/>
  <c r="C4757" i="45"/>
  <c r="C4758" i="45"/>
  <c r="C4759" i="45"/>
  <c r="C4760" i="45"/>
  <c r="C4761" i="45"/>
  <c r="C4762" i="45"/>
  <c r="C4763" i="45"/>
  <c r="C4764" i="45"/>
  <c r="C4765" i="45"/>
  <c r="C4766" i="45"/>
  <c r="C4767" i="45"/>
  <c r="C4768" i="45"/>
  <c r="C4769" i="45"/>
  <c r="C4770" i="45"/>
  <c r="C4771" i="45"/>
  <c r="C4772" i="45"/>
  <c r="C4773" i="45"/>
  <c r="C4774" i="45"/>
  <c r="C4775" i="45"/>
  <c r="C4776" i="45"/>
  <c r="C4777" i="45"/>
  <c r="C4778" i="45"/>
  <c r="C4779" i="45"/>
  <c r="C4780" i="45"/>
  <c r="C4781" i="45"/>
  <c r="C4782" i="45"/>
  <c r="C4783" i="45"/>
  <c r="C4784" i="45"/>
  <c r="C4785" i="45"/>
  <c r="C4786" i="45"/>
  <c r="C4787" i="45"/>
  <c r="C4788" i="45"/>
  <c r="C4789" i="45"/>
  <c r="C4790" i="45"/>
  <c r="C4791" i="45"/>
  <c r="C4792" i="45"/>
  <c r="C4793" i="45"/>
  <c r="C4794" i="45"/>
  <c r="C4795" i="45"/>
  <c r="C4796" i="45"/>
  <c r="C4797" i="45"/>
  <c r="C4798" i="45"/>
  <c r="C4799" i="45"/>
  <c r="C4800" i="45"/>
  <c r="C4801" i="45"/>
  <c r="C4802" i="45"/>
  <c r="C4803" i="45"/>
  <c r="C4804" i="45"/>
  <c r="C4805" i="45"/>
  <c r="C4806" i="45"/>
  <c r="C4807" i="45"/>
  <c r="C4808" i="45"/>
  <c r="C4809" i="45"/>
  <c r="C4810" i="45"/>
  <c r="C4811" i="45"/>
  <c r="C4812" i="45"/>
  <c r="C4813" i="45"/>
  <c r="C4814" i="45"/>
  <c r="C4815" i="45"/>
  <c r="C4816" i="45"/>
  <c r="C4817" i="45"/>
  <c r="C4818" i="45"/>
  <c r="C4819" i="45"/>
  <c r="C4820" i="45"/>
  <c r="C4821" i="45"/>
  <c r="C4822" i="45"/>
  <c r="C4823" i="45"/>
  <c r="C4824" i="45"/>
  <c r="C4825" i="45"/>
  <c r="C4826" i="45"/>
  <c r="C4827" i="45"/>
  <c r="C4828" i="45"/>
  <c r="C4829" i="45"/>
  <c r="C4830" i="45"/>
  <c r="C4831" i="45"/>
  <c r="C4832" i="45"/>
  <c r="C4833" i="45"/>
  <c r="C4834" i="45"/>
  <c r="C4835" i="45"/>
  <c r="C4836" i="45"/>
  <c r="C4837" i="45"/>
  <c r="C4838" i="45"/>
  <c r="C4839" i="45"/>
  <c r="C4840" i="45"/>
  <c r="C4841" i="45"/>
  <c r="C4842" i="45"/>
  <c r="C4843" i="45"/>
  <c r="C4844" i="45"/>
  <c r="C4845" i="45"/>
  <c r="C4846" i="45"/>
  <c r="C4847" i="45"/>
  <c r="C4848" i="45"/>
  <c r="C4849" i="45"/>
  <c r="C4850" i="45"/>
  <c r="C4851" i="45"/>
  <c r="C4852" i="45"/>
  <c r="C4853" i="45"/>
  <c r="C4854" i="45"/>
  <c r="C4855" i="45"/>
  <c r="C4856" i="45"/>
  <c r="C4857" i="45"/>
  <c r="C4858" i="45"/>
  <c r="C4859" i="45"/>
  <c r="C4860" i="45"/>
  <c r="C4861" i="45"/>
  <c r="C4862" i="45"/>
  <c r="C4863" i="45"/>
  <c r="C4864" i="45"/>
  <c r="C4865" i="45"/>
  <c r="C4866" i="45"/>
  <c r="C4867" i="45"/>
  <c r="C4868" i="45"/>
  <c r="C4869" i="45"/>
  <c r="C4870" i="45"/>
  <c r="C4871" i="45"/>
  <c r="C4872" i="45"/>
  <c r="C4873" i="45"/>
  <c r="C4874" i="45"/>
  <c r="C4875" i="45"/>
  <c r="C4876" i="45"/>
  <c r="C4877" i="45"/>
  <c r="C4878" i="45"/>
  <c r="C4879" i="45"/>
  <c r="C4880" i="45"/>
  <c r="C4881" i="45"/>
  <c r="C4882" i="45"/>
  <c r="C4883" i="45"/>
  <c r="C4884" i="45"/>
  <c r="C4885" i="45"/>
  <c r="C4886" i="45"/>
  <c r="C4887" i="45"/>
  <c r="C4888" i="45"/>
  <c r="C4889" i="45"/>
  <c r="C4890" i="45"/>
  <c r="C4891" i="45"/>
  <c r="C4892" i="45"/>
  <c r="C4893" i="45"/>
  <c r="C4894" i="45"/>
  <c r="C4895" i="45"/>
  <c r="C4896" i="45"/>
  <c r="C4897" i="45"/>
  <c r="C4898" i="45"/>
  <c r="C4899" i="45"/>
  <c r="C4900" i="45"/>
  <c r="C4901" i="45"/>
  <c r="C4902" i="45"/>
  <c r="C4903" i="45"/>
  <c r="C4904" i="45"/>
  <c r="C4905" i="45"/>
  <c r="C4906" i="45"/>
  <c r="C4907" i="45"/>
  <c r="C4908" i="45"/>
  <c r="C4909" i="45"/>
  <c r="C4910" i="45"/>
  <c r="C4911" i="45"/>
  <c r="C4912" i="45"/>
  <c r="C4913" i="45"/>
  <c r="C4914" i="45"/>
  <c r="C4915" i="45"/>
  <c r="C4916" i="45"/>
  <c r="C4917" i="45"/>
  <c r="C4918" i="45"/>
  <c r="C4919" i="45"/>
  <c r="C4920" i="45"/>
  <c r="C4921" i="45"/>
  <c r="C4922" i="45"/>
  <c r="C4923" i="45"/>
  <c r="C4924" i="45"/>
  <c r="C4925" i="45"/>
  <c r="C4926" i="45"/>
  <c r="C4927" i="45"/>
  <c r="C4928" i="45"/>
  <c r="C4929" i="45"/>
  <c r="C4930" i="45"/>
  <c r="C4931" i="45"/>
  <c r="C4932" i="45"/>
  <c r="C4933" i="45"/>
  <c r="C4934" i="45"/>
  <c r="C4935" i="45"/>
  <c r="C4936" i="45"/>
  <c r="C4937" i="45"/>
  <c r="C4938" i="45"/>
  <c r="C4939" i="45"/>
  <c r="C4940" i="45"/>
  <c r="C4941" i="45"/>
  <c r="C4942" i="45"/>
  <c r="C4943" i="45"/>
  <c r="C4944" i="45"/>
  <c r="C4945" i="45"/>
  <c r="C4946" i="45"/>
  <c r="C4947" i="45"/>
  <c r="C4948" i="45"/>
  <c r="C4949" i="45"/>
  <c r="C4950" i="45"/>
  <c r="C4951" i="45"/>
  <c r="C4952" i="45"/>
  <c r="C4953" i="45"/>
  <c r="C4954" i="45"/>
  <c r="C4955" i="45"/>
  <c r="C4956" i="45"/>
  <c r="C4957" i="45"/>
  <c r="C4958" i="45"/>
  <c r="C4959" i="45"/>
  <c r="C4960" i="45"/>
  <c r="C4961" i="45"/>
  <c r="C4962" i="45"/>
  <c r="C4963" i="45"/>
  <c r="C4964" i="45"/>
  <c r="C4965" i="45"/>
  <c r="C4966" i="45"/>
  <c r="C4967" i="45"/>
  <c r="C4968" i="45"/>
  <c r="C4969" i="45"/>
  <c r="C4970" i="45"/>
  <c r="C4971" i="45"/>
  <c r="C4972" i="45"/>
  <c r="C4973" i="45"/>
  <c r="C4974" i="45"/>
  <c r="C4975" i="45"/>
  <c r="C4976" i="45"/>
  <c r="C4977" i="45"/>
  <c r="C4978" i="45"/>
  <c r="C4979" i="45"/>
  <c r="C4980" i="45"/>
  <c r="C4981" i="45"/>
  <c r="C4982" i="45"/>
  <c r="C4983" i="45"/>
  <c r="C4984" i="45"/>
  <c r="C4985" i="45"/>
  <c r="C4986" i="45"/>
  <c r="C4987" i="45"/>
  <c r="C4988" i="45"/>
  <c r="C4989" i="45"/>
  <c r="C4990" i="45"/>
  <c r="C4991" i="45"/>
  <c r="C4992" i="45"/>
  <c r="C4993" i="45"/>
  <c r="C4994" i="45"/>
  <c r="C4995" i="45"/>
  <c r="C4996" i="45"/>
  <c r="C4997" i="45"/>
  <c r="C4998" i="45"/>
  <c r="C4999" i="45"/>
  <c r="C5000" i="45"/>
  <c r="C5001" i="45"/>
  <c r="C5002" i="45"/>
  <c r="C5003" i="45"/>
  <c r="C5004" i="45"/>
  <c r="C5005" i="45"/>
  <c r="C5006" i="45"/>
  <c r="C5007" i="45"/>
  <c r="C5008" i="45"/>
  <c r="C5009" i="45"/>
  <c r="C5010" i="45"/>
  <c r="C5011" i="45"/>
  <c r="C5012" i="45"/>
  <c r="C5013" i="45"/>
  <c r="C5014" i="45"/>
  <c r="C5015" i="45"/>
  <c r="C5016" i="45"/>
  <c r="C5017" i="45"/>
  <c r="C5018" i="45"/>
  <c r="C5019" i="45"/>
  <c r="C5020" i="45"/>
  <c r="C5021" i="45"/>
  <c r="C5022" i="45"/>
  <c r="C5023" i="45"/>
  <c r="C5024" i="45"/>
  <c r="C5025" i="45"/>
  <c r="C5026" i="45"/>
  <c r="C5027" i="45"/>
  <c r="C5028" i="45"/>
  <c r="C5029" i="45"/>
  <c r="C5030" i="45"/>
  <c r="C5031" i="45"/>
  <c r="C5032" i="45"/>
  <c r="C5033" i="45"/>
  <c r="C5034" i="45"/>
  <c r="C5035" i="45"/>
  <c r="C5036" i="45"/>
  <c r="C5037" i="45"/>
  <c r="C5038" i="45"/>
  <c r="C5039" i="45"/>
  <c r="C5040" i="45"/>
  <c r="C5041" i="45"/>
  <c r="C5042" i="45"/>
  <c r="C5043" i="45"/>
  <c r="C5044" i="45"/>
  <c r="C5045" i="45"/>
  <c r="C5046" i="45"/>
  <c r="C5047" i="45"/>
  <c r="C5048" i="45"/>
  <c r="C5049" i="45"/>
  <c r="C5050" i="45"/>
  <c r="C5051" i="45"/>
  <c r="C5052" i="45"/>
  <c r="C5053" i="45"/>
  <c r="C5054" i="45"/>
  <c r="C5055" i="45"/>
  <c r="C5056" i="45"/>
  <c r="C5057" i="45"/>
  <c r="C5058" i="45"/>
  <c r="C5059" i="45"/>
  <c r="C5060" i="45"/>
  <c r="C5061" i="45"/>
  <c r="C5062" i="45"/>
  <c r="C5063" i="45"/>
  <c r="C5064" i="45"/>
  <c r="C5065" i="45"/>
  <c r="C5066" i="45"/>
  <c r="C5067" i="45"/>
  <c r="C5068" i="45"/>
  <c r="C5069" i="45"/>
  <c r="C5070" i="45"/>
  <c r="C5071" i="45"/>
  <c r="C5072" i="45"/>
  <c r="C5073" i="45"/>
  <c r="C5074" i="45"/>
  <c r="C5075" i="45"/>
  <c r="C5076" i="45"/>
  <c r="C5077" i="45"/>
  <c r="C5078" i="45"/>
  <c r="C5079" i="45"/>
  <c r="C5080" i="45"/>
  <c r="C5081" i="45"/>
  <c r="C5082" i="45"/>
  <c r="C5083" i="45"/>
  <c r="C5084" i="45"/>
  <c r="C5085" i="45"/>
  <c r="C5086" i="45"/>
  <c r="C5087" i="45"/>
  <c r="C5088" i="45"/>
  <c r="C5089" i="45"/>
  <c r="C5090" i="45"/>
  <c r="C5091" i="45"/>
  <c r="C5092" i="45"/>
  <c r="C5093" i="45"/>
  <c r="C5094" i="45"/>
  <c r="C5095" i="45"/>
  <c r="C5096" i="45"/>
  <c r="C5097" i="45"/>
  <c r="C5098" i="45"/>
  <c r="C5099" i="45"/>
  <c r="C5100" i="45"/>
  <c r="C5101" i="45"/>
  <c r="C5102" i="45"/>
  <c r="C5103" i="45"/>
  <c r="C5104" i="45"/>
  <c r="C5105" i="45"/>
  <c r="C5106" i="45"/>
  <c r="C5107" i="45"/>
  <c r="C5108" i="45"/>
  <c r="C5109" i="45"/>
  <c r="C5110" i="45"/>
  <c r="C5111" i="45"/>
  <c r="C5112" i="45"/>
  <c r="C5113" i="45"/>
  <c r="C5114" i="45"/>
  <c r="C5115" i="45"/>
  <c r="C5116" i="45"/>
  <c r="C5117" i="45"/>
  <c r="C5118" i="45"/>
  <c r="C5119" i="45"/>
  <c r="C5120" i="45"/>
  <c r="C5121" i="45"/>
  <c r="C5122" i="45"/>
  <c r="C5123" i="45"/>
  <c r="C5124" i="45"/>
  <c r="C5125" i="45"/>
  <c r="C5126" i="45"/>
  <c r="C5127" i="45"/>
  <c r="C5128" i="45"/>
  <c r="C5129" i="45"/>
  <c r="C5130" i="45"/>
  <c r="C5131" i="45"/>
  <c r="C5132" i="45"/>
  <c r="C5133" i="45"/>
  <c r="C5134" i="45"/>
  <c r="C5135" i="45"/>
  <c r="C5136" i="45"/>
  <c r="C5137" i="45"/>
  <c r="C5138" i="45"/>
  <c r="C5139" i="45"/>
  <c r="C5140" i="45"/>
  <c r="C5141" i="45"/>
  <c r="C5142" i="45"/>
  <c r="C5143" i="45"/>
  <c r="C5144" i="45"/>
  <c r="C5145" i="45"/>
  <c r="C5146" i="45"/>
  <c r="C5147" i="45"/>
  <c r="C5148" i="45"/>
  <c r="C5149" i="45"/>
  <c r="C5150" i="45"/>
  <c r="C5151" i="45"/>
  <c r="C5152" i="45"/>
  <c r="C5153" i="45"/>
  <c r="C5154" i="45"/>
  <c r="C5155" i="45"/>
  <c r="C5156" i="45"/>
  <c r="C5157" i="45"/>
  <c r="C5158" i="45"/>
  <c r="C5159" i="45"/>
  <c r="C5160" i="45"/>
  <c r="C5161" i="45"/>
  <c r="C5162" i="45"/>
  <c r="C5163" i="45"/>
  <c r="C5164" i="45"/>
  <c r="C5165" i="45"/>
  <c r="C5166" i="45"/>
  <c r="C5167" i="45"/>
  <c r="C5168" i="45"/>
  <c r="C5169" i="45"/>
  <c r="C5170" i="45"/>
  <c r="C5171" i="45"/>
  <c r="C5172" i="45"/>
  <c r="C5173" i="45"/>
  <c r="C5174" i="45"/>
  <c r="C5175" i="45"/>
  <c r="C5176" i="45"/>
  <c r="C5177" i="45"/>
  <c r="C5178" i="45"/>
  <c r="C5179" i="45"/>
  <c r="C5180" i="45"/>
  <c r="C5181" i="45"/>
  <c r="C5182" i="45"/>
  <c r="C5183" i="45"/>
  <c r="C5184" i="45"/>
  <c r="C5185" i="45"/>
  <c r="C5186" i="45"/>
  <c r="C5187" i="45"/>
  <c r="C5188" i="45"/>
  <c r="C5189" i="45"/>
  <c r="C5190" i="45"/>
  <c r="C5191" i="45"/>
  <c r="C5192" i="45"/>
  <c r="C5193" i="45"/>
  <c r="C5194" i="45"/>
  <c r="C5195" i="45"/>
  <c r="C5196" i="45"/>
  <c r="C5197" i="45"/>
  <c r="C5198" i="45"/>
  <c r="C5199" i="45"/>
  <c r="C5200" i="45"/>
  <c r="C5201" i="45"/>
  <c r="C5202" i="45"/>
  <c r="C5203" i="45"/>
  <c r="C5204" i="45"/>
  <c r="C5205" i="45"/>
  <c r="C5206" i="45"/>
  <c r="C5207" i="45"/>
  <c r="C5208" i="45"/>
  <c r="C5209" i="45"/>
  <c r="C5210" i="45"/>
  <c r="C5211" i="45"/>
  <c r="C5212" i="45"/>
  <c r="C5213" i="45"/>
  <c r="C5214" i="45"/>
  <c r="C5215" i="45"/>
  <c r="C5216" i="45"/>
  <c r="C5217" i="45"/>
  <c r="C5218" i="45"/>
  <c r="C5219" i="45"/>
  <c r="C5220" i="45"/>
  <c r="C5221" i="45"/>
  <c r="C5222" i="45"/>
  <c r="C5223" i="45"/>
  <c r="C5224" i="45"/>
  <c r="C5225" i="45"/>
  <c r="C5226" i="45"/>
  <c r="C5227" i="45"/>
  <c r="C5228" i="45"/>
  <c r="C5229" i="45"/>
  <c r="C5230" i="45"/>
  <c r="C5231" i="45"/>
  <c r="C5232" i="45"/>
  <c r="C5233" i="45"/>
  <c r="C5234" i="45"/>
  <c r="C5235" i="45"/>
  <c r="C5236" i="45"/>
  <c r="C5237" i="45"/>
  <c r="C5238" i="45"/>
  <c r="C5239" i="45"/>
  <c r="C5240" i="45"/>
  <c r="C5241" i="45"/>
  <c r="C5242" i="45"/>
  <c r="C5243" i="45"/>
  <c r="C5244" i="45"/>
  <c r="C5245" i="45"/>
  <c r="C5246" i="45"/>
  <c r="C5247" i="45"/>
  <c r="C5248" i="45"/>
  <c r="C5249" i="45"/>
  <c r="C5250" i="45"/>
  <c r="C5251" i="45"/>
  <c r="C5252" i="45"/>
  <c r="C5253" i="45"/>
  <c r="C5254" i="45"/>
  <c r="C5255" i="45"/>
  <c r="C5256" i="45"/>
  <c r="C5257" i="45"/>
  <c r="C5258" i="45"/>
  <c r="C5259" i="45"/>
  <c r="C5260" i="45"/>
  <c r="C5261" i="45"/>
  <c r="C5262" i="45"/>
  <c r="C5263" i="45"/>
  <c r="C5264" i="45"/>
  <c r="C5265" i="45"/>
  <c r="C5266" i="45"/>
  <c r="C5267" i="45"/>
  <c r="C5268" i="45"/>
  <c r="C5269" i="45"/>
  <c r="C5270" i="45"/>
  <c r="C5271" i="45"/>
  <c r="C5272" i="45"/>
  <c r="C5273" i="45"/>
  <c r="C5274" i="45"/>
  <c r="C5275" i="45"/>
  <c r="C5276" i="45"/>
  <c r="C5277" i="45"/>
  <c r="C5278" i="45"/>
  <c r="C5279" i="45"/>
  <c r="C5280" i="45"/>
  <c r="C5281" i="45"/>
  <c r="C5282" i="45"/>
  <c r="C5283" i="45"/>
  <c r="C5284" i="45"/>
  <c r="C5285" i="45"/>
  <c r="C5286" i="45"/>
  <c r="C5287" i="45"/>
  <c r="C5288" i="45"/>
  <c r="C5289" i="45"/>
  <c r="C5290" i="45"/>
  <c r="C5291" i="45"/>
  <c r="C5292" i="45"/>
  <c r="C5293" i="45"/>
  <c r="C5294" i="45"/>
  <c r="C5295" i="45"/>
  <c r="C5296" i="45"/>
  <c r="C5297" i="45"/>
  <c r="C5298" i="45"/>
  <c r="C5299" i="45"/>
  <c r="C5300" i="45"/>
  <c r="C5301" i="45"/>
  <c r="C5302" i="45"/>
  <c r="C5303" i="45"/>
  <c r="C5304" i="45"/>
  <c r="C5305" i="45"/>
  <c r="C5306" i="45"/>
  <c r="C5307" i="45"/>
  <c r="C5308" i="45"/>
  <c r="C5309" i="45"/>
  <c r="C5310" i="45"/>
  <c r="C5311" i="45"/>
  <c r="C5312" i="45"/>
  <c r="C5313" i="45"/>
  <c r="C5314" i="45"/>
  <c r="C5315" i="45"/>
  <c r="C5316" i="45"/>
  <c r="C5317" i="45"/>
  <c r="C5318" i="45"/>
  <c r="C5319" i="45"/>
  <c r="C5320" i="45"/>
  <c r="C5321" i="45"/>
  <c r="C5322" i="45"/>
  <c r="C5323" i="45"/>
  <c r="C5324" i="45"/>
  <c r="C5325" i="45"/>
  <c r="C5326" i="45"/>
  <c r="C5327" i="45"/>
  <c r="C5328" i="45"/>
  <c r="C5329" i="45"/>
  <c r="C5330" i="45"/>
  <c r="C5331" i="45"/>
  <c r="C5332" i="45"/>
  <c r="C5333" i="45"/>
  <c r="C5334" i="45"/>
  <c r="C5335" i="45"/>
  <c r="C5336" i="45"/>
  <c r="C5337" i="45"/>
  <c r="C5338" i="45"/>
  <c r="C5339" i="45"/>
  <c r="C5340" i="45"/>
  <c r="C5341" i="45"/>
  <c r="C5342" i="45"/>
  <c r="C5343" i="45"/>
  <c r="C5344" i="45"/>
  <c r="C5345" i="45"/>
  <c r="C5346" i="45"/>
  <c r="C5347" i="45"/>
  <c r="C5348" i="45"/>
  <c r="C5349" i="45"/>
  <c r="C5350" i="45"/>
  <c r="C5351" i="45"/>
  <c r="C5352" i="45"/>
  <c r="C5353" i="45"/>
  <c r="C5354" i="45"/>
  <c r="C5355" i="45"/>
  <c r="C5356" i="45"/>
  <c r="C5357" i="45"/>
  <c r="C5358" i="45"/>
  <c r="C5359" i="45"/>
  <c r="C5360" i="45"/>
  <c r="C5361" i="45"/>
  <c r="C5362" i="45"/>
  <c r="C5363" i="45"/>
  <c r="C5364" i="45"/>
  <c r="C5365" i="45"/>
  <c r="C5366" i="45"/>
  <c r="C5367" i="45"/>
  <c r="C5368" i="45"/>
  <c r="C5369" i="45"/>
  <c r="C5370" i="45"/>
  <c r="C5371" i="45"/>
  <c r="C5372" i="45"/>
  <c r="C5373" i="45"/>
  <c r="C5374" i="45"/>
  <c r="C5375" i="45"/>
  <c r="C5376" i="45"/>
  <c r="C5377" i="45"/>
  <c r="C5378" i="45"/>
  <c r="C5379" i="45"/>
  <c r="C5380" i="45"/>
  <c r="C5381" i="45"/>
  <c r="C5382" i="45"/>
  <c r="C5383" i="45"/>
  <c r="C5384" i="45"/>
  <c r="C5385" i="45"/>
  <c r="C5386" i="45"/>
  <c r="C5387" i="45"/>
  <c r="C5388" i="45"/>
  <c r="C5389" i="45"/>
  <c r="C5390" i="45"/>
  <c r="C5391" i="45"/>
  <c r="C5392" i="45"/>
  <c r="C5393" i="45"/>
  <c r="C5394" i="45"/>
  <c r="C5395" i="45"/>
  <c r="C5396" i="45"/>
  <c r="C5397" i="45"/>
  <c r="C5398" i="45"/>
  <c r="C5399" i="45"/>
  <c r="C5400" i="45"/>
  <c r="C5401" i="45"/>
  <c r="C5402" i="45"/>
  <c r="C5403" i="45"/>
  <c r="C5404" i="45"/>
  <c r="C5405" i="45"/>
  <c r="C5406" i="45"/>
  <c r="C5407" i="45"/>
  <c r="C5408" i="45"/>
  <c r="C5409" i="45"/>
  <c r="C5410" i="45"/>
  <c r="C5411" i="45"/>
  <c r="C5412" i="45"/>
  <c r="C5413" i="45"/>
  <c r="C5414" i="45"/>
  <c r="C5415" i="45"/>
  <c r="C5416" i="45"/>
  <c r="C5417" i="45"/>
  <c r="C5418" i="45"/>
  <c r="C5419" i="45"/>
  <c r="C5420" i="45"/>
  <c r="C5421" i="45"/>
  <c r="C5422" i="45"/>
  <c r="C5423" i="45"/>
  <c r="C5424" i="45"/>
  <c r="C5425" i="45"/>
  <c r="C5426" i="45"/>
  <c r="C5427" i="45"/>
  <c r="C5428" i="45"/>
  <c r="C5429" i="45"/>
  <c r="C5430" i="45"/>
  <c r="C5431" i="45"/>
  <c r="C5432" i="45"/>
  <c r="C5433" i="45"/>
  <c r="C5434" i="45"/>
  <c r="C5435" i="45"/>
  <c r="C5436" i="45"/>
  <c r="C5437" i="45"/>
  <c r="C5438" i="45"/>
  <c r="C5439" i="45"/>
  <c r="C5440" i="45"/>
  <c r="C5441" i="45"/>
  <c r="C5442" i="45"/>
  <c r="C5443" i="45"/>
  <c r="C5444" i="45"/>
  <c r="C5445" i="45"/>
  <c r="C5446" i="45"/>
  <c r="C5447" i="45"/>
  <c r="C5448" i="45"/>
  <c r="C5449" i="45"/>
  <c r="C5450" i="45"/>
  <c r="C5451" i="45"/>
  <c r="C5452" i="45"/>
  <c r="C5453" i="45"/>
  <c r="C5454" i="45"/>
  <c r="C5455" i="45"/>
  <c r="C5456" i="45"/>
  <c r="C5457" i="45"/>
  <c r="C5458" i="45"/>
  <c r="C5459" i="45"/>
  <c r="C5460" i="45"/>
  <c r="C5461" i="45"/>
  <c r="C5462" i="45"/>
  <c r="C5463" i="45"/>
  <c r="C5464" i="45"/>
  <c r="C5465" i="45"/>
  <c r="C5466" i="45"/>
  <c r="C5467" i="45"/>
  <c r="C5468" i="45"/>
  <c r="C5469" i="45"/>
  <c r="C5470" i="45"/>
  <c r="C5471" i="45"/>
  <c r="C5472" i="45"/>
  <c r="C5473" i="45"/>
  <c r="C5474" i="45"/>
  <c r="C5475" i="45"/>
  <c r="C5476" i="45"/>
  <c r="C5477" i="45"/>
  <c r="C5478" i="45"/>
  <c r="C5479" i="45"/>
  <c r="C5480" i="45"/>
  <c r="C5481" i="45"/>
  <c r="C5482" i="45"/>
  <c r="C5483" i="45"/>
  <c r="C5484" i="45"/>
  <c r="C5485" i="45"/>
  <c r="C5486" i="45"/>
  <c r="C5487" i="45"/>
  <c r="C5488" i="45"/>
  <c r="C5489" i="45"/>
  <c r="C5490" i="45"/>
  <c r="C5491" i="45"/>
  <c r="C5492" i="45"/>
  <c r="C5493" i="45"/>
  <c r="C5494" i="45"/>
  <c r="C5495" i="45"/>
  <c r="C5496" i="45"/>
  <c r="C5497" i="45"/>
  <c r="C5498" i="45"/>
  <c r="C5499" i="45"/>
  <c r="C5500" i="45"/>
  <c r="C5501" i="45"/>
  <c r="C5502" i="45"/>
  <c r="C5503" i="45"/>
  <c r="C5504" i="45"/>
  <c r="C5505" i="45"/>
  <c r="C5506" i="45"/>
  <c r="C5507" i="45"/>
  <c r="C5508" i="45"/>
  <c r="C5509" i="45"/>
  <c r="C5510" i="45"/>
  <c r="C5511" i="45"/>
  <c r="C5512" i="45"/>
  <c r="C5513" i="45"/>
  <c r="C5514" i="45"/>
  <c r="C5515" i="45"/>
  <c r="C5516" i="45"/>
  <c r="C5517" i="45"/>
  <c r="C5518" i="45"/>
  <c r="C5519" i="45"/>
  <c r="C5520" i="45"/>
  <c r="C5521" i="45"/>
  <c r="C5522" i="45"/>
  <c r="C5523" i="45"/>
  <c r="C5524" i="45"/>
  <c r="C5525" i="45"/>
  <c r="C5526" i="45"/>
  <c r="C5527" i="45"/>
  <c r="C5528" i="45"/>
  <c r="C5529" i="45"/>
  <c r="C5530" i="45"/>
  <c r="C5531" i="45"/>
  <c r="C5532" i="45"/>
  <c r="C5533" i="45"/>
  <c r="C5534" i="45"/>
  <c r="C5535" i="45"/>
  <c r="C5536" i="45"/>
  <c r="C5537" i="45"/>
  <c r="C5538" i="45"/>
  <c r="C5539" i="45"/>
  <c r="C5540" i="45"/>
  <c r="C5541" i="45"/>
  <c r="C5542" i="45"/>
  <c r="C5543" i="45"/>
  <c r="C5544" i="45"/>
  <c r="C5545" i="45"/>
  <c r="C5546" i="45"/>
  <c r="C5547" i="45"/>
  <c r="C5548" i="45"/>
  <c r="C5549" i="45"/>
  <c r="C5550" i="45"/>
  <c r="C5551" i="45"/>
  <c r="C5552" i="45"/>
  <c r="C5553" i="45"/>
  <c r="C5554" i="45"/>
  <c r="C5555" i="45"/>
  <c r="C5556" i="45"/>
  <c r="C5557" i="45"/>
  <c r="C5558" i="45"/>
  <c r="C5559" i="45"/>
  <c r="C5560" i="45"/>
  <c r="C5561" i="45"/>
  <c r="C5562" i="45"/>
  <c r="C5563" i="45"/>
  <c r="C5564" i="45"/>
  <c r="C5565" i="45"/>
  <c r="C5566" i="45"/>
  <c r="C5567" i="45"/>
  <c r="C5568" i="45"/>
  <c r="C5569" i="45"/>
  <c r="C5570" i="45"/>
  <c r="C5571" i="45"/>
  <c r="C5572" i="45"/>
  <c r="C5573" i="45"/>
  <c r="C5574" i="45"/>
  <c r="C5575" i="45"/>
  <c r="C5576" i="45"/>
  <c r="C5577" i="45"/>
  <c r="C5578" i="45"/>
  <c r="C5579" i="45"/>
  <c r="C5580" i="45"/>
  <c r="C5581" i="45"/>
  <c r="C5582" i="45"/>
  <c r="C5583" i="45"/>
  <c r="C5584" i="45"/>
  <c r="C5585" i="45"/>
  <c r="C5586" i="45"/>
  <c r="C5587" i="45"/>
  <c r="C5588" i="45"/>
  <c r="C5589" i="45"/>
  <c r="C5590" i="45"/>
  <c r="C5591" i="45"/>
  <c r="C5592" i="45"/>
  <c r="C5593" i="45"/>
  <c r="C5594" i="45"/>
  <c r="C5595" i="45"/>
  <c r="C5596" i="45"/>
  <c r="C5597" i="45"/>
  <c r="C5598" i="45"/>
  <c r="C5599" i="45"/>
  <c r="C5600" i="45"/>
  <c r="C5601" i="45"/>
  <c r="C5602" i="45"/>
  <c r="C5603" i="45"/>
  <c r="C5604" i="45"/>
  <c r="C5605" i="45"/>
  <c r="C5606" i="45"/>
  <c r="C5607" i="45"/>
  <c r="C5608" i="45"/>
  <c r="C5609" i="45"/>
  <c r="C5610" i="45"/>
  <c r="C5611" i="45"/>
  <c r="C5612" i="45"/>
  <c r="C5613" i="45"/>
  <c r="C5614" i="45"/>
  <c r="C5615" i="45"/>
  <c r="C5616" i="45"/>
  <c r="C5617" i="45"/>
  <c r="C5618" i="45"/>
  <c r="C5619" i="45"/>
  <c r="C5620" i="45"/>
  <c r="C5621" i="45"/>
  <c r="C5622" i="45"/>
  <c r="C5623" i="45"/>
  <c r="C5624" i="45"/>
  <c r="C5625" i="45"/>
  <c r="C5626" i="45"/>
  <c r="C5627" i="45"/>
  <c r="C5628" i="45"/>
  <c r="C5629" i="45"/>
  <c r="C5630" i="45"/>
  <c r="C5631" i="45"/>
  <c r="C5632" i="45"/>
  <c r="C5633" i="45"/>
  <c r="C5634" i="45"/>
  <c r="C5635" i="45"/>
  <c r="C5636" i="45"/>
  <c r="C5637" i="45"/>
  <c r="C5638" i="45"/>
  <c r="C5639" i="45"/>
  <c r="C5640" i="45"/>
  <c r="C5641" i="45"/>
  <c r="C5642" i="45"/>
  <c r="C5643" i="45"/>
  <c r="C5644" i="45"/>
  <c r="C5645" i="45"/>
  <c r="C5646" i="45"/>
  <c r="C5647" i="45"/>
  <c r="C5648" i="45"/>
  <c r="C5649" i="45"/>
  <c r="C5650" i="45"/>
  <c r="C5651" i="45"/>
  <c r="C5652" i="45"/>
  <c r="C5653" i="45"/>
  <c r="C5654" i="45"/>
  <c r="C5655" i="45"/>
  <c r="C5656" i="45"/>
  <c r="C5657" i="45"/>
  <c r="C5658" i="45"/>
  <c r="C5659" i="45"/>
  <c r="C5660" i="45"/>
  <c r="C5661" i="45"/>
  <c r="C5662" i="45"/>
  <c r="C5663" i="45"/>
  <c r="C5664" i="45"/>
  <c r="C5665" i="45"/>
  <c r="C5666" i="45"/>
  <c r="C5667" i="45"/>
  <c r="C5668" i="45"/>
  <c r="C5669" i="45"/>
  <c r="C5670" i="45"/>
  <c r="C5671" i="45"/>
  <c r="C5672" i="45"/>
  <c r="C5673" i="45"/>
  <c r="C5674" i="45"/>
  <c r="C5675" i="45"/>
  <c r="C5676" i="45"/>
  <c r="C5677" i="45"/>
  <c r="C5678" i="45"/>
  <c r="C5679" i="45"/>
  <c r="C5680" i="45"/>
  <c r="C5681" i="45"/>
  <c r="C5682" i="45"/>
  <c r="C5683" i="45"/>
  <c r="C5684" i="45"/>
  <c r="C5685" i="45"/>
  <c r="C5686" i="45"/>
  <c r="C5687" i="45"/>
  <c r="C5688" i="45"/>
  <c r="C5689" i="45"/>
  <c r="C5690" i="45"/>
  <c r="C5691" i="45"/>
  <c r="C5692" i="45"/>
  <c r="C5693" i="45"/>
  <c r="C5694" i="45"/>
  <c r="C5695" i="45"/>
  <c r="C5696" i="45"/>
  <c r="C5697" i="45"/>
  <c r="C5698" i="45"/>
  <c r="C5699" i="45"/>
  <c r="C5700" i="45"/>
  <c r="C5701" i="45"/>
  <c r="C5702" i="45"/>
  <c r="C5703" i="45"/>
  <c r="C5704" i="45"/>
  <c r="C5705" i="45"/>
  <c r="C5706" i="45"/>
  <c r="C5707" i="45"/>
  <c r="C5708" i="45"/>
  <c r="C5709" i="45"/>
  <c r="C5710" i="45"/>
  <c r="C5711" i="45"/>
  <c r="C5712" i="45"/>
  <c r="C5713" i="45"/>
  <c r="C5714" i="45"/>
  <c r="C5715" i="45"/>
  <c r="C5716" i="45"/>
  <c r="C5717" i="45"/>
  <c r="C5718" i="45"/>
  <c r="C5719" i="45"/>
  <c r="C5720" i="45"/>
  <c r="C5721" i="45"/>
  <c r="C5722" i="45"/>
  <c r="C5723" i="45"/>
  <c r="C5724" i="45"/>
  <c r="C5725" i="45"/>
  <c r="C5726" i="45"/>
  <c r="C5727" i="45"/>
  <c r="C5728" i="45"/>
  <c r="C5729" i="45"/>
  <c r="C5730" i="45"/>
  <c r="C5731" i="45"/>
  <c r="C5732" i="45"/>
  <c r="C5733" i="45"/>
  <c r="C5734" i="45"/>
  <c r="C5735" i="45"/>
  <c r="C5736" i="45"/>
  <c r="C5737" i="45"/>
  <c r="C5738" i="45"/>
  <c r="C5739" i="45"/>
  <c r="C5740" i="45"/>
  <c r="C5741" i="45"/>
  <c r="C5742" i="45"/>
  <c r="C5743" i="45"/>
  <c r="C5744" i="45"/>
  <c r="C5745" i="45"/>
  <c r="C5746" i="45"/>
  <c r="C5747" i="45"/>
  <c r="C5748" i="45"/>
  <c r="C5749" i="45"/>
  <c r="C5750" i="45"/>
  <c r="C5751" i="45"/>
  <c r="C5752" i="45"/>
  <c r="C5753" i="45"/>
  <c r="C5754" i="45"/>
  <c r="C5755" i="45"/>
  <c r="C5756" i="45"/>
  <c r="C5757" i="45"/>
  <c r="C5758" i="45"/>
  <c r="C5759" i="45"/>
  <c r="C5760" i="45"/>
  <c r="C5761" i="45"/>
  <c r="C5762" i="45"/>
  <c r="C5763" i="45"/>
  <c r="C5764" i="45"/>
  <c r="C5765" i="45"/>
  <c r="C5766" i="45"/>
  <c r="C5767" i="45"/>
  <c r="C5768" i="45"/>
  <c r="C5769" i="45"/>
  <c r="C5770" i="45"/>
  <c r="C5771" i="45"/>
  <c r="C5772" i="45"/>
  <c r="C5773" i="45"/>
  <c r="C5774" i="45"/>
  <c r="C5775" i="45"/>
  <c r="C5776" i="45"/>
  <c r="C5777" i="45"/>
  <c r="C5778" i="45"/>
  <c r="C5779" i="45"/>
  <c r="C5780" i="45"/>
  <c r="C5781" i="45"/>
  <c r="C5782" i="45"/>
  <c r="C5783" i="45"/>
  <c r="C5784" i="45"/>
  <c r="C5785" i="45"/>
  <c r="C5786" i="45"/>
  <c r="C5787" i="45"/>
  <c r="C5788" i="45"/>
  <c r="C5789" i="45"/>
  <c r="C5790" i="45"/>
  <c r="C5791" i="45"/>
  <c r="C5792" i="45"/>
  <c r="C5793" i="45"/>
  <c r="C5794" i="45"/>
  <c r="C5795" i="45"/>
  <c r="C5796" i="45"/>
  <c r="C5797" i="45"/>
  <c r="C5798" i="45"/>
  <c r="C5799" i="45"/>
  <c r="C5800" i="45"/>
  <c r="C5801" i="45"/>
  <c r="C5802" i="45"/>
  <c r="C5803" i="45"/>
  <c r="C5804" i="45"/>
  <c r="C5805" i="45"/>
  <c r="C5806" i="45"/>
  <c r="C5807" i="45"/>
  <c r="C5808" i="45"/>
  <c r="C5809" i="45"/>
  <c r="C5810" i="45"/>
  <c r="C5811" i="45"/>
  <c r="C5812" i="45"/>
  <c r="C5813" i="45"/>
  <c r="C5814" i="45"/>
  <c r="C5815" i="45"/>
  <c r="C5816" i="45"/>
  <c r="C5817" i="45"/>
  <c r="C5818" i="45"/>
  <c r="C5819" i="45"/>
  <c r="C5820" i="45"/>
  <c r="C5821" i="45"/>
  <c r="C5822" i="45"/>
  <c r="C5823" i="45"/>
  <c r="C5824" i="45"/>
  <c r="C5825" i="45"/>
  <c r="C5826" i="45"/>
  <c r="C5827" i="45"/>
  <c r="C5828" i="45"/>
  <c r="C5829" i="45"/>
  <c r="C5830" i="45"/>
  <c r="C5831" i="45"/>
  <c r="C5832" i="45"/>
  <c r="C5833" i="45"/>
  <c r="C5834" i="45"/>
  <c r="C5835" i="45"/>
  <c r="C5836" i="45"/>
  <c r="C5837" i="45"/>
  <c r="C5838" i="45"/>
  <c r="C5839" i="45"/>
  <c r="C5840" i="45"/>
  <c r="C5841" i="45"/>
  <c r="C5842" i="45"/>
  <c r="C5843" i="45"/>
  <c r="C5844" i="45"/>
  <c r="C5845" i="45"/>
  <c r="C5846" i="45"/>
  <c r="C5847" i="45"/>
  <c r="C5848" i="45"/>
  <c r="C5849" i="45"/>
  <c r="C5850" i="45"/>
  <c r="C5851" i="45"/>
  <c r="C5852" i="45"/>
  <c r="C5853" i="45"/>
  <c r="C5854" i="45"/>
  <c r="C5855" i="45"/>
  <c r="C5856" i="45"/>
  <c r="C5857" i="45"/>
  <c r="C5858" i="45"/>
  <c r="C5859" i="45"/>
  <c r="C5860" i="45"/>
  <c r="C5861" i="45"/>
  <c r="C5862" i="45"/>
  <c r="C5863" i="45"/>
  <c r="C5864" i="45"/>
  <c r="C5865" i="45"/>
  <c r="C5866" i="45"/>
  <c r="C5867" i="45"/>
  <c r="C5868" i="45"/>
  <c r="C5869" i="45"/>
  <c r="C5870" i="45"/>
  <c r="C5871" i="45"/>
  <c r="C5872" i="45"/>
  <c r="C5873" i="45"/>
  <c r="C5874" i="45"/>
  <c r="C5875" i="45"/>
  <c r="C5876" i="45"/>
  <c r="C5877" i="45"/>
  <c r="C5878" i="45"/>
  <c r="C5879" i="45"/>
  <c r="C5880" i="45"/>
  <c r="C5881" i="45"/>
  <c r="C5882" i="45"/>
  <c r="C5883" i="45"/>
  <c r="C5884" i="45"/>
  <c r="C5885" i="45"/>
  <c r="C5886" i="45"/>
  <c r="C5887" i="45"/>
  <c r="C5888" i="45"/>
  <c r="C5889" i="45"/>
  <c r="C5890" i="45"/>
  <c r="C5891" i="45"/>
  <c r="C5892" i="45"/>
  <c r="C5893" i="45"/>
  <c r="C5894" i="45"/>
  <c r="C5895" i="45"/>
  <c r="C5896" i="45"/>
  <c r="C5897" i="45"/>
  <c r="C5898" i="45"/>
  <c r="C5899" i="45"/>
  <c r="C5900" i="45"/>
  <c r="C5901" i="45"/>
  <c r="C5902" i="45"/>
  <c r="C5903" i="45"/>
  <c r="C5904" i="45"/>
  <c r="C5905" i="45"/>
  <c r="C5906" i="45"/>
  <c r="C5907" i="45"/>
  <c r="C5908" i="45"/>
  <c r="C5909" i="45"/>
  <c r="C5910" i="45"/>
  <c r="C5911" i="45"/>
  <c r="C5912" i="45"/>
  <c r="C5913" i="45"/>
  <c r="C5914" i="45"/>
  <c r="C5915" i="45"/>
  <c r="C5916" i="45"/>
  <c r="C5917" i="45"/>
  <c r="C5918" i="45"/>
  <c r="C5919" i="45"/>
  <c r="C5920" i="45"/>
  <c r="C5921" i="45"/>
  <c r="C5922" i="45"/>
  <c r="C5923" i="45"/>
  <c r="C5924" i="45"/>
  <c r="C5925" i="45"/>
  <c r="C5926" i="45"/>
  <c r="C5927" i="45"/>
  <c r="C5928" i="45"/>
  <c r="C5929" i="45"/>
  <c r="C5930" i="45"/>
  <c r="C5931" i="45"/>
  <c r="C5932" i="45"/>
  <c r="C5933" i="45"/>
  <c r="C5934" i="45"/>
  <c r="C5935" i="45"/>
  <c r="C5936" i="45"/>
  <c r="C5937" i="45"/>
  <c r="C5938" i="45"/>
  <c r="C5939" i="45"/>
  <c r="C5940" i="45"/>
  <c r="C5941" i="45"/>
  <c r="C5942" i="45"/>
  <c r="C5943" i="45"/>
  <c r="C5944" i="45"/>
  <c r="C5945" i="45"/>
  <c r="C5946" i="45"/>
  <c r="C5947" i="45"/>
  <c r="C5948" i="45"/>
  <c r="C5949" i="45"/>
  <c r="C5950" i="45"/>
  <c r="C5951" i="45"/>
  <c r="C5952" i="45"/>
  <c r="C5953" i="45"/>
  <c r="C5954" i="45"/>
  <c r="C5955" i="45"/>
  <c r="C5956" i="45"/>
  <c r="C5957" i="45"/>
  <c r="C5958" i="45"/>
  <c r="C5959" i="45"/>
  <c r="C5960" i="45"/>
  <c r="C5961" i="45"/>
  <c r="C5962" i="45"/>
  <c r="C5963" i="45"/>
  <c r="C5964" i="45"/>
  <c r="C5965" i="45"/>
  <c r="C5966" i="45"/>
  <c r="C5967" i="45"/>
  <c r="C5968" i="45"/>
  <c r="C5969" i="45"/>
  <c r="C5970" i="45"/>
  <c r="C5971" i="45"/>
  <c r="C5972" i="45"/>
  <c r="C5973" i="45"/>
  <c r="C5974" i="45"/>
  <c r="C5975" i="45"/>
  <c r="C5976" i="45"/>
  <c r="C5977" i="45"/>
  <c r="C5978" i="45"/>
  <c r="C5979" i="45"/>
  <c r="C5980" i="45"/>
  <c r="C5981" i="45"/>
  <c r="C5982" i="45"/>
  <c r="C5983" i="45"/>
  <c r="C5984" i="45"/>
  <c r="C5985" i="45"/>
  <c r="C5986" i="45"/>
  <c r="C5987" i="45"/>
  <c r="C5988" i="45"/>
  <c r="C5989" i="45"/>
  <c r="C5990" i="45"/>
  <c r="C5991" i="45"/>
  <c r="C5992" i="45"/>
  <c r="C5993" i="45"/>
  <c r="C5994" i="45"/>
  <c r="C5995" i="45"/>
  <c r="C5996" i="45"/>
  <c r="C5997" i="45"/>
  <c r="C5998" i="45"/>
  <c r="C5999" i="45"/>
  <c r="C6000" i="45"/>
  <c r="C6001" i="45"/>
  <c r="C6002" i="45"/>
  <c r="C6003" i="45"/>
  <c r="C6004" i="45"/>
  <c r="C6005" i="45"/>
  <c r="C6006" i="45"/>
  <c r="C6007" i="45"/>
  <c r="C6008" i="45"/>
  <c r="C6009" i="45"/>
  <c r="C6010" i="45"/>
  <c r="C6011" i="45"/>
  <c r="C6012" i="45"/>
  <c r="C6013" i="45"/>
  <c r="C6014" i="45"/>
  <c r="C6015" i="45"/>
  <c r="C6016" i="45"/>
  <c r="C6017" i="45"/>
  <c r="C6018" i="45"/>
  <c r="C6019" i="45"/>
  <c r="C6020" i="45"/>
  <c r="C6021" i="45"/>
  <c r="C6022" i="45"/>
  <c r="C6023" i="45"/>
  <c r="C6024" i="45"/>
  <c r="C6025" i="45"/>
  <c r="C6026" i="45"/>
  <c r="C6027" i="45"/>
  <c r="C6028" i="45"/>
  <c r="C6029" i="45"/>
  <c r="C6030" i="45"/>
  <c r="C6031" i="45"/>
  <c r="C6032" i="45"/>
  <c r="C6033" i="45"/>
  <c r="C6034" i="45"/>
  <c r="C6035" i="45"/>
  <c r="C6036" i="45"/>
  <c r="C6037" i="45"/>
  <c r="C6038" i="45"/>
  <c r="C6039" i="45"/>
  <c r="C6040" i="45"/>
  <c r="C6041" i="45"/>
  <c r="C6042" i="45"/>
  <c r="C6043" i="45"/>
  <c r="C6044" i="45"/>
  <c r="C6045" i="45"/>
  <c r="C6046" i="45"/>
  <c r="C6047" i="45"/>
  <c r="C6048" i="45"/>
  <c r="C6049" i="45"/>
  <c r="C6050" i="45"/>
  <c r="C6051" i="45"/>
  <c r="C6052" i="45"/>
  <c r="C6053" i="45"/>
  <c r="C6054" i="45"/>
  <c r="C6055" i="45"/>
  <c r="C6056" i="45"/>
  <c r="C6057" i="45"/>
  <c r="C6058" i="45"/>
  <c r="C6059" i="45"/>
  <c r="C6060" i="45"/>
  <c r="C6061" i="45"/>
  <c r="C6062" i="45"/>
  <c r="C6063" i="45"/>
  <c r="C6064" i="45"/>
  <c r="C6065" i="45"/>
  <c r="C6066" i="45"/>
  <c r="C6067" i="45"/>
  <c r="C6068" i="45"/>
  <c r="C6069" i="45"/>
  <c r="C6070" i="45"/>
  <c r="C6071" i="45"/>
  <c r="C6072" i="45"/>
  <c r="C6073" i="45"/>
  <c r="C6074" i="45"/>
  <c r="C6075" i="45"/>
  <c r="C6076" i="45"/>
  <c r="C6077" i="45"/>
  <c r="C6078" i="45"/>
  <c r="C6079" i="45"/>
  <c r="C6080" i="45"/>
  <c r="C6081" i="45"/>
  <c r="C6082" i="45"/>
  <c r="C6083" i="45"/>
  <c r="C6084" i="45"/>
  <c r="C6085" i="45"/>
  <c r="C6086" i="45"/>
  <c r="C6087" i="45"/>
  <c r="C6088" i="45"/>
  <c r="C6089" i="45"/>
  <c r="C6090" i="45"/>
  <c r="C6091" i="45"/>
  <c r="C6092" i="45"/>
  <c r="C6093" i="45"/>
  <c r="C6094" i="45"/>
  <c r="C6095" i="45"/>
  <c r="C6096" i="45"/>
  <c r="C6097" i="45"/>
  <c r="C6098" i="45"/>
  <c r="C6099" i="45"/>
  <c r="C6100" i="45"/>
  <c r="C6101" i="45"/>
  <c r="C6102" i="45"/>
  <c r="C6103" i="45"/>
  <c r="C6104" i="45"/>
  <c r="C6105" i="45"/>
  <c r="C6106" i="45"/>
  <c r="C6107" i="45"/>
  <c r="C6108" i="45"/>
  <c r="C6109" i="45"/>
  <c r="C6110" i="45"/>
  <c r="C6111" i="45"/>
  <c r="C6112" i="45"/>
  <c r="C6113" i="45"/>
  <c r="C6114" i="45"/>
  <c r="C6115" i="45"/>
  <c r="C6116" i="45"/>
  <c r="C6117" i="45"/>
  <c r="C6118" i="45"/>
  <c r="C6119" i="45"/>
  <c r="C6120" i="45"/>
  <c r="C6121" i="45"/>
  <c r="C6122" i="45"/>
  <c r="C6123" i="45"/>
  <c r="C6124" i="45"/>
  <c r="C6125" i="45"/>
  <c r="C6126" i="45"/>
  <c r="C6127" i="45"/>
  <c r="C6128" i="45"/>
  <c r="C6129" i="45"/>
  <c r="C6130" i="45"/>
  <c r="C6131" i="45"/>
  <c r="C6132" i="45"/>
  <c r="C6133" i="45"/>
  <c r="C6134" i="45"/>
  <c r="C6135" i="45"/>
  <c r="C6136" i="45"/>
  <c r="C6137" i="45"/>
  <c r="C6138" i="45"/>
  <c r="C6139" i="45"/>
  <c r="C6140" i="45"/>
  <c r="C6141" i="45"/>
  <c r="C6142" i="45"/>
  <c r="C6143" i="45"/>
  <c r="C6144" i="45"/>
  <c r="C6145" i="45"/>
  <c r="C6146" i="45"/>
  <c r="C6147" i="45"/>
  <c r="C6148" i="45"/>
  <c r="C6149" i="45"/>
  <c r="C6150" i="45"/>
  <c r="C6151" i="45"/>
  <c r="C6152" i="45"/>
  <c r="C6153" i="45"/>
  <c r="C6154" i="45"/>
  <c r="C6155" i="45"/>
  <c r="C6156" i="45"/>
  <c r="C6157" i="45"/>
  <c r="C6158" i="45"/>
  <c r="C6159" i="45"/>
  <c r="C6160" i="45"/>
  <c r="C6161" i="45"/>
  <c r="C6162" i="45"/>
  <c r="C6163" i="45"/>
  <c r="C6164" i="45"/>
  <c r="C6165" i="45"/>
  <c r="C6166" i="45"/>
  <c r="C6167" i="45"/>
  <c r="C6168" i="45"/>
  <c r="C6169" i="45"/>
  <c r="C6170" i="45"/>
  <c r="C6171" i="45"/>
  <c r="C6172" i="45"/>
  <c r="C6173" i="45"/>
  <c r="C6174" i="45"/>
  <c r="C6175" i="45"/>
  <c r="C6176" i="45"/>
  <c r="C6177" i="45"/>
  <c r="C6178" i="45"/>
  <c r="C6179" i="45"/>
  <c r="C6180" i="45"/>
  <c r="C6181" i="45"/>
  <c r="C6182" i="45"/>
  <c r="C6183" i="45"/>
  <c r="C6184" i="45"/>
  <c r="C6185" i="45"/>
  <c r="C6186" i="45"/>
  <c r="C6187" i="45"/>
  <c r="C6188" i="45"/>
  <c r="C6189" i="45"/>
  <c r="C6190" i="45"/>
  <c r="C6191" i="45"/>
  <c r="C6192" i="45"/>
  <c r="C6193" i="45"/>
  <c r="C6194" i="45"/>
  <c r="C6195" i="45"/>
  <c r="C6196" i="45"/>
  <c r="C6197" i="45"/>
  <c r="C6198" i="45"/>
  <c r="C6199" i="45"/>
  <c r="C6200" i="45"/>
  <c r="C6201" i="45"/>
  <c r="C6202" i="45"/>
  <c r="C6203" i="45"/>
  <c r="C6204" i="45"/>
  <c r="C6205" i="45"/>
  <c r="C6206" i="45"/>
  <c r="C6207" i="45"/>
  <c r="C6208" i="45"/>
  <c r="C6209" i="45"/>
  <c r="C6210" i="45"/>
  <c r="C6211" i="45"/>
  <c r="C6212" i="45"/>
  <c r="C6213" i="45"/>
  <c r="C6214" i="45"/>
  <c r="C6215" i="45"/>
  <c r="C6216" i="45"/>
  <c r="C6217" i="45"/>
  <c r="C6218" i="45"/>
  <c r="C6219" i="45"/>
  <c r="C6220" i="45"/>
  <c r="C6221" i="45"/>
  <c r="C6222" i="45"/>
  <c r="C6223" i="45"/>
  <c r="C6224" i="45"/>
  <c r="C6225" i="45"/>
  <c r="C6226" i="45"/>
  <c r="C6227" i="45"/>
  <c r="C6228" i="45"/>
  <c r="C6229" i="45"/>
  <c r="C6230" i="45"/>
  <c r="C6231" i="45"/>
  <c r="C6232" i="45"/>
  <c r="C6233" i="45"/>
  <c r="C6234" i="45"/>
  <c r="C6235" i="45"/>
  <c r="C6236" i="45"/>
  <c r="C6237" i="45"/>
  <c r="C6238" i="45"/>
  <c r="C6239" i="45"/>
  <c r="C6240" i="45"/>
  <c r="C6241" i="45"/>
  <c r="C6242" i="45"/>
  <c r="C6243" i="45"/>
  <c r="C6244" i="45"/>
  <c r="C6245" i="45"/>
  <c r="C6246" i="45"/>
  <c r="C6247" i="45"/>
  <c r="C6248" i="45"/>
  <c r="C6249" i="45"/>
  <c r="C6250" i="45"/>
  <c r="C6251" i="45"/>
  <c r="C6252" i="45"/>
  <c r="C6253" i="45"/>
  <c r="C6254" i="45"/>
  <c r="C6255" i="45"/>
  <c r="C6256" i="45"/>
  <c r="C6257" i="45"/>
  <c r="C6258" i="45"/>
  <c r="C6259" i="45"/>
  <c r="C6260" i="45"/>
  <c r="C6261" i="45"/>
  <c r="C6262" i="45"/>
  <c r="C6263" i="45"/>
  <c r="C6264" i="45"/>
  <c r="C6265" i="45"/>
  <c r="C6266" i="45"/>
  <c r="C6267" i="45"/>
  <c r="C6268" i="45"/>
  <c r="C6269" i="45"/>
  <c r="C6270" i="45"/>
  <c r="C6271" i="45"/>
  <c r="C6272" i="45"/>
  <c r="C6273" i="45"/>
  <c r="C6274" i="45"/>
  <c r="C6275" i="45"/>
  <c r="C6276" i="45"/>
  <c r="C6277" i="45"/>
  <c r="C6278" i="45"/>
  <c r="C6279" i="45"/>
  <c r="C6280" i="45"/>
  <c r="C6281" i="45"/>
  <c r="C6282" i="45"/>
  <c r="C6283" i="45"/>
  <c r="C6284" i="45"/>
  <c r="C6285" i="45"/>
  <c r="C6286" i="45"/>
  <c r="C6287" i="45"/>
  <c r="C6288" i="45"/>
  <c r="C6289" i="45"/>
  <c r="C6290" i="45"/>
  <c r="C6291" i="45"/>
  <c r="C6292" i="45"/>
  <c r="C6293" i="45"/>
  <c r="C6294" i="45"/>
  <c r="C6295" i="45"/>
  <c r="C6296" i="45"/>
  <c r="C6297" i="45"/>
  <c r="C6298" i="45"/>
  <c r="C6299" i="45"/>
  <c r="C6300" i="45"/>
  <c r="C6301" i="45"/>
  <c r="C6302" i="45"/>
  <c r="C6303" i="45"/>
  <c r="C6304" i="45"/>
  <c r="C6305" i="45"/>
  <c r="C6306" i="45"/>
  <c r="C6307" i="45"/>
  <c r="C6308" i="45"/>
  <c r="C6309" i="45"/>
  <c r="C6310" i="45"/>
  <c r="C6311" i="45"/>
  <c r="C6312" i="45"/>
  <c r="C6313" i="45"/>
  <c r="C6314" i="45"/>
  <c r="C6315" i="45"/>
  <c r="C6316" i="45"/>
  <c r="C6317" i="45"/>
  <c r="C6318" i="45"/>
  <c r="C6319" i="45"/>
  <c r="C6320" i="45"/>
  <c r="C6321" i="45"/>
  <c r="C6322" i="45"/>
  <c r="C6323" i="45"/>
  <c r="C6324" i="45"/>
  <c r="C6325" i="45"/>
  <c r="C6326" i="45"/>
  <c r="C6327" i="45"/>
  <c r="C6328" i="45"/>
  <c r="C6329" i="45"/>
  <c r="C6330" i="45"/>
  <c r="C6331" i="45"/>
  <c r="C6332" i="45"/>
  <c r="C6333" i="45"/>
  <c r="C6334" i="45"/>
  <c r="C6335" i="45"/>
  <c r="C6336" i="45"/>
  <c r="C6337" i="45"/>
  <c r="C6338" i="45"/>
  <c r="C6339" i="45"/>
  <c r="C6340" i="45"/>
  <c r="C6341" i="45"/>
  <c r="C6342" i="45"/>
  <c r="C6343" i="45"/>
  <c r="C6344" i="45"/>
  <c r="C6345" i="45"/>
  <c r="C6346" i="45"/>
  <c r="C6347" i="45"/>
  <c r="C6348" i="45"/>
  <c r="C6349" i="45"/>
  <c r="C6350" i="45"/>
  <c r="C6351" i="45"/>
  <c r="C6352" i="45"/>
  <c r="C6353" i="45"/>
  <c r="C6354" i="45"/>
  <c r="C6355" i="45"/>
  <c r="C6356" i="45"/>
  <c r="C6357" i="45"/>
  <c r="C6358" i="45"/>
  <c r="C6359" i="45"/>
  <c r="C6360" i="45"/>
  <c r="C6361" i="45"/>
  <c r="C6362" i="45"/>
  <c r="C6363" i="45"/>
  <c r="C6364" i="45"/>
  <c r="C6365" i="45"/>
  <c r="C6366" i="45"/>
  <c r="C6367" i="45"/>
  <c r="C6368" i="45"/>
  <c r="C6369" i="45"/>
  <c r="C6370" i="45"/>
  <c r="C6371" i="45"/>
  <c r="C6372" i="45"/>
  <c r="C6373" i="45"/>
  <c r="C6374" i="45"/>
  <c r="C6375" i="45"/>
  <c r="C6376" i="45"/>
  <c r="C6377" i="45"/>
  <c r="C6378" i="45"/>
  <c r="C6379" i="45"/>
  <c r="C6380" i="45"/>
  <c r="C6381" i="45"/>
  <c r="C6382" i="45"/>
  <c r="C6383" i="45"/>
  <c r="C6384" i="45"/>
  <c r="C6385" i="45"/>
  <c r="C6386" i="45"/>
  <c r="C6387" i="45"/>
  <c r="C6388" i="45"/>
  <c r="C6389" i="45"/>
  <c r="C6390" i="45"/>
  <c r="C6391" i="45"/>
  <c r="C6392" i="45"/>
  <c r="C6393" i="45"/>
  <c r="C6394" i="45"/>
  <c r="C6395" i="45"/>
  <c r="C6396" i="45"/>
  <c r="C6397" i="45"/>
  <c r="C6398" i="45"/>
  <c r="C6399" i="45"/>
  <c r="C6400" i="45"/>
  <c r="C6401" i="45"/>
  <c r="C6402" i="45"/>
  <c r="C6403" i="45"/>
  <c r="C6404" i="45"/>
  <c r="C6405" i="45"/>
  <c r="C6406" i="45"/>
  <c r="C6407" i="45"/>
  <c r="C6408" i="45"/>
  <c r="C6409" i="45"/>
  <c r="C6410" i="45"/>
  <c r="C6411" i="45"/>
  <c r="C6412" i="45"/>
  <c r="C6413" i="45"/>
  <c r="C6414" i="45"/>
  <c r="C6415" i="45"/>
  <c r="C6416" i="45"/>
  <c r="C6417" i="45"/>
  <c r="C6418" i="45"/>
  <c r="C6419" i="45"/>
  <c r="C6420" i="45"/>
  <c r="C6421" i="45"/>
  <c r="C6422" i="45"/>
  <c r="C6423" i="45"/>
  <c r="C6424" i="45"/>
  <c r="C6425" i="45"/>
  <c r="C6426" i="45"/>
  <c r="C6427" i="45"/>
  <c r="C6428" i="45"/>
  <c r="C6429" i="45"/>
  <c r="C6430" i="45"/>
  <c r="C6431" i="45"/>
  <c r="C6432" i="45"/>
  <c r="C6433" i="45"/>
  <c r="C6434" i="45"/>
  <c r="C6435" i="45"/>
  <c r="C6436" i="45"/>
  <c r="C6437" i="45"/>
  <c r="C6438" i="45"/>
  <c r="C6439" i="45"/>
  <c r="C6440" i="45"/>
  <c r="C6441" i="45"/>
  <c r="C6442" i="45"/>
  <c r="C6443" i="45"/>
  <c r="C6444" i="45"/>
  <c r="C6445" i="45"/>
  <c r="C6446" i="45"/>
  <c r="C6447" i="45"/>
  <c r="C6448" i="45"/>
  <c r="C6449" i="45"/>
  <c r="C6450" i="45"/>
  <c r="C6451" i="45"/>
  <c r="C6452" i="45"/>
  <c r="C6453" i="45"/>
  <c r="C6454" i="45"/>
  <c r="C6455" i="45"/>
  <c r="C6456" i="45"/>
  <c r="C6457" i="45"/>
  <c r="C6458" i="45"/>
  <c r="C6459" i="45"/>
  <c r="C6460" i="45"/>
  <c r="C6461" i="45"/>
  <c r="C6462" i="45"/>
  <c r="C6463" i="45"/>
  <c r="C6464" i="45"/>
  <c r="C6465" i="45"/>
  <c r="C6466" i="45"/>
  <c r="C6467" i="45"/>
  <c r="C6468" i="45"/>
  <c r="C6469" i="45"/>
  <c r="C6470" i="45"/>
  <c r="C6471" i="45"/>
  <c r="C6472" i="45"/>
  <c r="C6473" i="45"/>
  <c r="C6474" i="45"/>
  <c r="C6475" i="45"/>
  <c r="C6476" i="45"/>
  <c r="C6477" i="45"/>
  <c r="C6478" i="45"/>
  <c r="C6479" i="45"/>
  <c r="C6480" i="45"/>
  <c r="C6481" i="45"/>
  <c r="C6482" i="45"/>
  <c r="C6483" i="45"/>
  <c r="C6484" i="45"/>
  <c r="C6485" i="45"/>
  <c r="C6486" i="45"/>
  <c r="C6487" i="45"/>
  <c r="C6488" i="45"/>
  <c r="C6489" i="45"/>
  <c r="C6490" i="45"/>
  <c r="C6491" i="45"/>
  <c r="C6492" i="45"/>
  <c r="C6493" i="45"/>
  <c r="C6494" i="45"/>
  <c r="C6495" i="45"/>
  <c r="C6496" i="45"/>
  <c r="C6497" i="45"/>
  <c r="C6498" i="45"/>
  <c r="C6499" i="45"/>
  <c r="C6500" i="45"/>
  <c r="C6501" i="45"/>
  <c r="C6502" i="45"/>
  <c r="C6503" i="45"/>
  <c r="C6504" i="45"/>
  <c r="C6505" i="45"/>
  <c r="C6506" i="45"/>
  <c r="C6507" i="45"/>
  <c r="C6508" i="45"/>
  <c r="C6509" i="45"/>
  <c r="C6510" i="45"/>
  <c r="C6511" i="45"/>
  <c r="C6512" i="45"/>
  <c r="C6513" i="45"/>
  <c r="C6514" i="45"/>
  <c r="C6515" i="45"/>
  <c r="C6516" i="45"/>
  <c r="C6517" i="45"/>
  <c r="C6518" i="45"/>
  <c r="C6519" i="45"/>
  <c r="C6520" i="45"/>
  <c r="C6521" i="45"/>
  <c r="C6522" i="45"/>
  <c r="C6523" i="45"/>
  <c r="C6524" i="45"/>
  <c r="C6525" i="45"/>
  <c r="C6526" i="45"/>
  <c r="C6527" i="45"/>
  <c r="C6528" i="45"/>
  <c r="C6529" i="45"/>
  <c r="C6530" i="45"/>
  <c r="C6531" i="45"/>
  <c r="C6532" i="45"/>
  <c r="C6533" i="45"/>
  <c r="C6534" i="45"/>
  <c r="C6535" i="45"/>
  <c r="C6536" i="45"/>
  <c r="C6537" i="45"/>
  <c r="C6538" i="45"/>
  <c r="C6539" i="45"/>
  <c r="C6540" i="45"/>
  <c r="C6541" i="45"/>
  <c r="C6542" i="45"/>
  <c r="C6543" i="45"/>
  <c r="C6544" i="45"/>
  <c r="C6545" i="45"/>
  <c r="C6546" i="45"/>
  <c r="C6547" i="45"/>
  <c r="C6548" i="45"/>
  <c r="C6549" i="45"/>
  <c r="C6550" i="45"/>
  <c r="C6551" i="45"/>
  <c r="C6552" i="45"/>
  <c r="C6553" i="45"/>
  <c r="C6554" i="45"/>
  <c r="C6555" i="45"/>
  <c r="C6556" i="45"/>
  <c r="C6557" i="45"/>
  <c r="C6558" i="45"/>
  <c r="C6559" i="45"/>
  <c r="C6560" i="45"/>
  <c r="C6561" i="45"/>
  <c r="C6562" i="45"/>
  <c r="C6563" i="45"/>
  <c r="C6564" i="45"/>
  <c r="C6565" i="45"/>
  <c r="C6566" i="45"/>
  <c r="C6567" i="45"/>
  <c r="C6568" i="45"/>
  <c r="C6569" i="45"/>
  <c r="C6570" i="45"/>
  <c r="C6571" i="45"/>
  <c r="C6572" i="45"/>
  <c r="C6573" i="45"/>
  <c r="C6574" i="45"/>
  <c r="C6575" i="45"/>
  <c r="C6576" i="45"/>
  <c r="C6577" i="45"/>
  <c r="C6578" i="45"/>
  <c r="C6579" i="45"/>
  <c r="C6580" i="45"/>
  <c r="C6581" i="45"/>
  <c r="C6582" i="45"/>
  <c r="C6583" i="45"/>
  <c r="C6584" i="45"/>
  <c r="C6585" i="45"/>
  <c r="C6586" i="45"/>
  <c r="C6587" i="45"/>
  <c r="C6588" i="45"/>
  <c r="C6589" i="45"/>
  <c r="C6590" i="45"/>
  <c r="C6591" i="45"/>
  <c r="C6592" i="45"/>
  <c r="C6593" i="45"/>
  <c r="C6594" i="45"/>
  <c r="C6595" i="45"/>
  <c r="C6596" i="45"/>
  <c r="C6597" i="45"/>
  <c r="C6598" i="45"/>
  <c r="C6599" i="45"/>
  <c r="C6600" i="45"/>
  <c r="C6601" i="45"/>
  <c r="C6602" i="45"/>
  <c r="C6603" i="45"/>
  <c r="C6604" i="45"/>
  <c r="C6605" i="45"/>
  <c r="C6606" i="45"/>
  <c r="C6607" i="45"/>
  <c r="C6608" i="45"/>
  <c r="C6609" i="45"/>
  <c r="C6610" i="45"/>
  <c r="C6611" i="45"/>
  <c r="C6612" i="45"/>
  <c r="C6613" i="45"/>
  <c r="C6614" i="45"/>
  <c r="C6615" i="45"/>
  <c r="C6616" i="45"/>
  <c r="C6617" i="45"/>
  <c r="C6618" i="45"/>
  <c r="C6619" i="45"/>
  <c r="C6620" i="45"/>
  <c r="C6621" i="45"/>
  <c r="C6622" i="45"/>
  <c r="C6623" i="45"/>
  <c r="C6624" i="45"/>
  <c r="C6625" i="45"/>
  <c r="C6626" i="45"/>
  <c r="C6627" i="45"/>
  <c r="C6628" i="45"/>
  <c r="C6629" i="45"/>
  <c r="C6630" i="45"/>
  <c r="C6631" i="45"/>
  <c r="C6632" i="45"/>
  <c r="C6633" i="45"/>
  <c r="C6634" i="45"/>
  <c r="C6635" i="45"/>
  <c r="C6636" i="45"/>
  <c r="C6637" i="45"/>
  <c r="C6638" i="45"/>
  <c r="C6639" i="45"/>
  <c r="C6640" i="45"/>
  <c r="C6641" i="45"/>
  <c r="C6642" i="45"/>
  <c r="C6643" i="45"/>
  <c r="C6644" i="45"/>
  <c r="C6645" i="45"/>
  <c r="C6646" i="45"/>
  <c r="C6647" i="45"/>
  <c r="C6648" i="45"/>
  <c r="C6649" i="45"/>
  <c r="C6650" i="45"/>
  <c r="C6651" i="45"/>
  <c r="C6652" i="45"/>
  <c r="C6653" i="45"/>
  <c r="C6654" i="45"/>
  <c r="C6655" i="45"/>
  <c r="C6656" i="45"/>
  <c r="C6657" i="45"/>
  <c r="C6658" i="45"/>
  <c r="C6659" i="45"/>
  <c r="C6660" i="45"/>
  <c r="C6661" i="45"/>
  <c r="C6662" i="45"/>
  <c r="C6663" i="45"/>
  <c r="C6664" i="45"/>
  <c r="C6665" i="45"/>
  <c r="C6666" i="45"/>
  <c r="C6667" i="45"/>
  <c r="C6668" i="45"/>
  <c r="C6669" i="45"/>
  <c r="C6670" i="45"/>
  <c r="C6671" i="45"/>
  <c r="C6672" i="45"/>
  <c r="C6673" i="45"/>
  <c r="C6674" i="45"/>
  <c r="C6675" i="45"/>
  <c r="C6676" i="45"/>
  <c r="C6677" i="45"/>
  <c r="C6678" i="45"/>
  <c r="C6679" i="45"/>
  <c r="C6680" i="45"/>
  <c r="C6681" i="45"/>
  <c r="C6682" i="45"/>
  <c r="C6683" i="45"/>
  <c r="C6684" i="45"/>
  <c r="C6685" i="45"/>
  <c r="C6686" i="45"/>
  <c r="C6687" i="45"/>
  <c r="C6688" i="45"/>
  <c r="C6689" i="45"/>
  <c r="C6690" i="45"/>
  <c r="C6691" i="45"/>
  <c r="C6692" i="45"/>
  <c r="C6693" i="45"/>
  <c r="C6694" i="45"/>
  <c r="C6695" i="45"/>
  <c r="C6696" i="45"/>
  <c r="C6697" i="45"/>
  <c r="C6698" i="45"/>
  <c r="C6699" i="45"/>
  <c r="C6700" i="45"/>
  <c r="C6701" i="45"/>
  <c r="C6702" i="45"/>
  <c r="C6703" i="45"/>
  <c r="C6704" i="45"/>
  <c r="C6705" i="45"/>
  <c r="C6706" i="45"/>
  <c r="C6707" i="45"/>
  <c r="C6708" i="45"/>
  <c r="C6709" i="45"/>
  <c r="C6710" i="45"/>
  <c r="C6711" i="45"/>
  <c r="C6712" i="45"/>
  <c r="C6713" i="45"/>
  <c r="C6714" i="45"/>
  <c r="C6715" i="45"/>
  <c r="C6716" i="45"/>
  <c r="C6717" i="45"/>
  <c r="C6718" i="45"/>
  <c r="C6719" i="45"/>
  <c r="C6720" i="45"/>
  <c r="C6721" i="45"/>
  <c r="C6722" i="45"/>
  <c r="C6723" i="45"/>
  <c r="C6724" i="45"/>
  <c r="C6725" i="45"/>
  <c r="C6726" i="45"/>
  <c r="C6727" i="45"/>
  <c r="C6728" i="45"/>
  <c r="C6729" i="45"/>
  <c r="C6730" i="45"/>
  <c r="C6731" i="45"/>
  <c r="C6732" i="45"/>
  <c r="C6733" i="45"/>
  <c r="C6734" i="45"/>
  <c r="C6735" i="45"/>
  <c r="C6736" i="45"/>
  <c r="C6737" i="45"/>
  <c r="C6738" i="45"/>
  <c r="C6739" i="45"/>
  <c r="C6740" i="45"/>
  <c r="C6741" i="45"/>
  <c r="C6742" i="45"/>
  <c r="C6743" i="45"/>
  <c r="C6744" i="45"/>
  <c r="C6745" i="45"/>
  <c r="C6746" i="45"/>
  <c r="C6747" i="45"/>
  <c r="C6748" i="45"/>
  <c r="C6749" i="45"/>
  <c r="C6750" i="45"/>
  <c r="C6751" i="45"/>
  <c r="C6752" i="45"/>
  <c r="C6753" i="45"/>
  <c r="C6754" i="45"/>
  <c r="C6755" i="45"/>
  <c r="C6756" i="45"/>
  <c r="C6757" i="45"/>
  <c r="C6758" i="45"/>
  <c r="C6759" i="45"/>
  <c r="C6760" i="45"/>
  <c r="C6761" i="45"/>
  <c r="C6762" i="45"/>
  <c r="C6763" i="45"/>
  <c r="B6764" i="45"/>
  <c r="C6764" i="45" s="1"/>
  <c r="B6765" i="45"/>
  <c r="C6765" i="45" s="1"/>
  <c r="B6766" i="45"/>
  <c r="C6766" i="45" s="1"/>
  <c r="B6767" i="45"/>
  <c r="C6767" i="45" s="1"/>
  <c r="B6768" i="45"/>
  <c r="C6768" i="45" s="1"/>
  <c r="B6769" i="45"/>
  <c r="C6769" i="45" s="1"/>
  <c r="B6770" i="45"/>
  <c r="C6770" i="45" s="1"/>
  <c r="B6771" i="45"/>
  <c r="C6771" i="45" s="1"/>
  <c r="B6772" i="45"/>
  <c r="C6772" i="45" s="1"/>
  <c r="B6773" i="45"/>
  <c r="C6773" i="45" s="1"/>
  <c r="B6774" i="45"/>
  <c r="C6774" i="45" s="1"/>
  <c r="B6775" i="45"/>
  <c r="C6775" i="45" s="1"/>
  <c r="B6776" i="45"/>
  <c r="C6776" i="45" s="1"/>
  <c r="B6777" i="45"/>
  <c r="C6777" i="45"/>
  <c r="B6778" i="45"/>
  <c r="C6778" i="45" s="1"/>
  <c r="B6779" i="45"/>
  <c r="C6779" i="45" s="1"/>
  <c r="B6780" i="45"/>
  <c r="C6780" i="45" s="1"/>
  <c r="B6781" i="45"/>
  <c r="C6781" i="45" s="1"/>
  <c r="B6782" i="45"/>
  <c r="C6782" i="45" s="1"/>
  <c r="B6783" i="45"/>
  <c r="C6783" i="45" s="1"/>
  <c r="B6784" i="45"/>
  <c r="C6784" i="45" s="1"/>
  <c r="B6785" i="45"/>
  <c r="C6785" i="45" s="1"/>
  <c r="B6786" i="45"/>
  <c r="C6786" i="45" s="1"/>
  <c r="B6787" i="45"/>
  <c r="C6787" i="45" s="1"/>
  <c r="B6788" i="45"/>
  <c r="C6788" i="45"/>
  <c r="B6789" i="45"/>
  <c r="C6789" i="45" s="1"/>
  <c r="B6790" i="45"/>
  <c r="C6790" i="45" s="1"/>
  <c r="B6791" i="45"/>
  <c r="C6791" i="45" s="1"/>
  <c r="B6792" i="45"/>
  <c r="C6792" i="45" s="1"/>
  <c r="B6793" i="45"/>
  <c r="C6793" i="45" s="1"/>
  <c r="B6794" i="45"/>
  <c r="C6794" i="45" s="1"/>
  <c r="B6795" i="45"/>
  <c r="C6795" i="45" s="1"/>
  <c r="B6796" i="45"/>
  <c r="C6796" i="45"/>
  <c r="B6797" i="45"/>
  <c r="C6797" i="45" s="1"/>
  <c r="B6798" i="45"/>
  <c r="C6798" i="45" s="1"/>
  <c r="B6799" i="45"/>
  <c r="C6799" i="45" s="1"/>
  <c r="B6800" i="45"/>
  <c r="C6800" i="45" s="1"/>
  <c r="B6801" i="45"/>
  <c r="C6801" i="45" s="1"/>
  <c r="B6802" i="45"/>
  <c r="C6802" i="45" s="1"/>
  <c r="B6803" i="45"/>
  <c r="C6803" i="45" s="1"/>
  <c r="B6804" i="45"/>
  <c r="C6804" i="45" s="1"/>
  <c r="B6805" i="45"/>
  <c r="C6805" i="45" s="1"/>
  <c r="B6806" i="45"/>
  <c r="C6806" i="45" s="1"/>
  <c r="B6807" i="45"/>
  <c r="C6807" i="45" s="1"/>
  <c r="B6808" i="45"/>
  <c r="C6808" i="45" s="1"/>
  <c r="B6809" i="45"/>
  <c r="C6809" i="45" s="1"/>
  <c r="B6810" i="45"/>
  <c r="C6810" i="45" s="1"/>
  <c r="B6811" i="45"/>
  <c r="C6811" i="45" s="1"/>
  <c r="B6812" i="45"/>
  <c r="C6812" i="45"/>
  <c r="B6813" i="45"/>
  <c r="C6813" i="45"/>
  <c r="B6814" i="45"/>
  <c r="C6814" i="45" s="1"/>
  <c r="B6815" i="45"/>
  <c r="C6815" i="45" s="1"/>
  <c r="B6816" i="45"/>
  <c r="C6816" i="45" s="1"/>
  <c r="B6817" i="45"/>
  <c r="C6817" i="45" s="1"/>
  <c r="B6818" i="45"/>
  <c r="C6818" i="45" s="1"/>
  <c r="B6819" i="45"/>
  <c r="C6819" i="45" s="1"/>
  <c r="B6820" i="45"/>
  <c r="C6820" i="45" s="1"/>
  <c r="B6821" i="45"/>
  <c r="C6821" i="45" s="1"/>
  <c r="B6822" i="45"/>
  <c r="C6822" i="45" s="1"/>
  <c r="B6823" i="45"/>
  <c r="C6823" i="45" s="1"/>
  <c r="B6824" i="45"/>
  <c r="C6824" i="45" s="1"/>
  <c r="B6825" i="45"/>
  <c r="C6825" i="45" s="1"/>
  <c r="B6826" i="45"/>
  <c r="C6826" i="45" s="1"/>
  <c r="B6827" i="45"/>
  <c r="C6827" i="45" s="1"/>
  <c r="B6828" i="45"/>
  <c r="C6828" i="45"/>
  <c r="B6829" i="45"/>
  <c r="C6829" i="45" s="1"/>
  <c r="B6830" i="45"/>
  <c r="C6830" i="45" s="1"/>
  <c r="B6831" i="45"/>
  <c r="C6831" i="45" s="1"/>
  <c r="B6832" i="45"/>
  <c r="C6832" i="45" s="1"/>
  <c r="B6833" i="45"/>
  <c r="C6833" i="45" s="1"/>
  <c r="B6834" i="45"/>
  <c r="C6834" i="45" s="1"/>
  <c r="B6835" i="45"/>
  <c r="C6835" i="45" s="1"/>
  <c r="B6836" i="45"/>
  <c r="C6836" i="45" s="1"/>
  <c r="B6837" i="45"/>
  <c r="C6837" i="45" s="1"/>
  <c r="B6838" i="45"/>
  <c r="C6838" i="45" s="1"/>
  <c r="B6839" i="45"/>
  <c r="C6839" i="45" s="1"/>
  <c r="B6840" i="45"/>
  <c r="C6840" i="45" s="1"/>
  <c r="B6841" i="45"/>
  <c r="C6841" i="45" s="1"/>
  <c r="B6842" i="45"/>
  <c r="C6842" i="45" s="1"/>
  <c r="B6843" i="45"/>
  <c r="C6843" i="45" s="1"/>
  <c r="B6844" i="45"/>
  <c r="C6844" i="45" s="1"/>
  <c r="B6845" i="45"/>
  <c r="C6845" i="45" s="1"/>
  <c r="B6846" i="45"/>
  <c r="C6846" i="45" s="1"/>
  <c r="B6847" i="45"/>
  <c r="C6847" i="45" s="1"/>
  <c r="B6848" i="45"/>
  <c r="C6848" i="45" s="1"/>
  <c r="B6849" i="45"/>
  <c r="C6849" i="45" s="1"/>
  <c r="B6850" i="45"/>
  <c r="C6850" i="45" s="1"/>
  <c r="B6851" i="45"/>
  <c r="C6851" i="45" s="1"/>
  <c r="B6852" i="45"/>
  <c r="C6852" i="45" s="1"/>
  <c r="B6853" i="45"/>
  <c r="C6853" i="45" s="1"/>
  <c r="B6854" i="45"/>
  <c r="C6854" i="45" s="1"/>
  <c r="B6855" i="45"/>
  <c r="C6855" i="45" s="1"/>
  <c r="B6856" i="45"/>
  <c r="C6856" i="45" s="1"/>
  <c r="B6857" i="45"/>
  <c r="C6857" i="45" s="1"/>
  <c r="B6858" i="45"/>
  <c r="C6858" i="45" s="1"/>
  <c r="B6859" i="45"/>
  <c r="C6859" i="45" s="1"/>
  <c r="B6860" i="45"/>
  <c r="C6860" i="45" s="1"/>
  <c r="B6861" i="45"/>
  <c r="C6861" i="45" s="1"/>
  <c r="B6862" i="45"/>
  <c r="C6862" i="45" s="1"/>
  <c r="B6863" i="45"/>
  <c r="C6863" i="45" s="1"/>
  <c r="B6864" i="45"/>
  <c r="C6864" i="45" s="1"/>
  <c r="B6865" i="45"/>
  <c r="C6865" i="45" s="1"/>
  <c r="B6866" i="45"/>
  <c r="C6866" i="45" s="1"/>
  <c r="B6867" i="45"/>
  <c r="C6867" i="45" s="1"/>
  <c r="B6868" i="45"/>
  <c r="C6868" i="45" s="1"/>
  <c r="B6869" i="45"/>
  <c r="C6869" i="45" s="1"/>
  <c r="B6870" i="45"/>
  <c r="C6870" i="45" s="1"/>
  <c r="B6871" i="45"/>
  <c r="C6871" i="45" s="1"/>
  <c r="B6872" i="45"/>
  <c r="C6872" i="45" s="1"/>
  <c r="B6873" i="45"/>
  <c r="C6873" i="45" s="1"/>
  <c r="B6874" i="45"/>
  <c r="C6874" i="45" s="1"/>
  <c r="B6875" i="45"/>
  <c r="C6875" i="45" s="1"/>
  <c r="B6876" i="45"/>
  <c r="C6876" i="45" s="1"/>
  <c r="B6877" i="45"/>
  <c r="C6877" i="45" s="1"/>
  <c r="B6878" i="45"/>
  <c r="C6878" i="45" s="1"/>
  <c r="B6879" i="45"/>
  <c r="C6879" i="45" s="1"/>
  <c r="B6880" i="45"/>
  <c r="C6880" i="45" s="1"/>
  <c r="B6881" i="45"/>
  <c r="C6881" i="45" s="1"/>
  <c r="B6882" i="45"/>
  <c r="C6882" i="45" s="1"/>
  <c r="B6883" i="45"/>
  <c r="C6883" i="45"/>
  <c r="B6884" i="45"/>
  <c r="C6884" i="45" s="1"/>
  <c r="B6885" i="45"/>
  <c r="C6885" i="45" s="1"/>
  <c r="B6886" i="45"/>
  <c r="C6886" i="45" s="1"/>
  <c r="B6887" i="45"/>
  <c r="C6887" i="45"/>
  <c r="B6888" i="45"/>
  <c r="C6888" i="45" s="1"/>
  <c r="B6889" i="45"/>
  <c r="C6889" i="45" s="1"/>
  <c r="B6890" i="45"/>
  <c r="C6890" i="45" s="1"/>
  <c r="B6891" i="45"/>
  <c r="C6891" i="45" s="1"/>
  <c r="B6892" i="45"/>
  <c r="C6892" i="45" s="1"/>
  <c r="B6893" i="45"/>
  <c r="C6893" i="45" s="1"/>
  <c r="B6894" i="45"/>
  <c r="C6894" i="45" s="1"/>
  <c r="B6895" i="45"/>
  <c r="C6895" i="45" s="1"/>
  <c r="B6896" i="45"/>
  <c r="C6896" i="45" s="1"/>
  <c r="B6897" i="45"/>
  <c r="C6897" i="45" s="1"/>
  <c r="B6898" i="45"/>
  <c r="C6898" i="45" s="1"/>
  <c r="B6899" i="45"/>
  <c r="C6899" i="45" s="1"/>
  <c r="B6900" i="45"/>
  <c r="C6900" i="45" s="1"/>
  <c r="B6901" i="45"/>
  <c r="C6901" i="45"/>
  <c r="B6902" i="45"/>
  <c r="C6902" i="45" s="1"/>
  <c r="B6903" i="45"/>
  <c r="C6903" i="45" s="1"/>
  <c r="B6904" i="45"/>
  <c r="C6904" i="45" s="1"/>
  <c r="B6905" i="45"/>
  <c r="C6905" i="45" s="1"/>
  <c r="B6906" i="45"/>
  <c r="C6906" i="45" s="1"/>
  <c r="B6907" i="45"/>
  <c r="C6907" i="45" s="1"/>
  <c r="B6908" i="45"/>
  <c r="C6908" i="45" s="1"/>
  <c r="B6909" i="45"/>
  <c r="C6909" i="45" s="1"/>
  <c r="B6910" i="45"/>
  <c r="C6910" i="45" s="1"/>
  <c r="B6911" i="45"/>
  <c r="C6911" i="45" s="1"/>
  <c r="B6912" i="45"/>
  <c r="C6912" i="45" s="1"/>
  <c r="B6913" i="45"/>
  <c r="C6913" i="45" s="1"/>
  <c r="B6914" i="45"/>
  <c r="C6914" i="45" s="1"/>
  <c r="B6915" i="45"/>
  <c r="C6915" i="45" s="1"/>
  <c r="B6916" i="45"/>
  <c r="C6916" i="45" s="1"/>
  <c r="B6917" i="45"/>
  <c r="C6917" i="45" s="1"/>
  <c r="B6918" i="45"/>
  <c r="C6918" i="45" s="1"/>
  <c r="B6919" i="45"/>
  <c r="C6919" i="45" s="1"/>
  <c r="B6920" i="45"/>
  <c r="C6920" i="45" s="1"/>
  <c r="B6921" i="45"/>
  <c r="C6921" i="45" s="1"/>
  <c r="B6922" i="45"/>
  <c r="C6922" i="45" s="1"/>
  <c r="B6923" i="45"/>
  <c r="C6923" i="45" s="1"/>
  <c r="B6924" i="45"/>
  <c r="C6924" i="45" s="1"/>
  <c r="B6925" i="45"/>
  <c r="C6925" i="45" s="1"/>
  <c r="B6926" i="45"/>
  <c r="C6926" i="45" s="1"/>
  <c r="B6927" i="45"/>
  <c r="C6927" i="45" s="1"/>
  <c r="B6928" i="45"/>
  <c r="C6928" i="45" s="1"/>
  <c r="B6929" i="45"/>
  <c r="C6929" i="45" s="1"/>
  <c r="B6930" i="45"/>
  <c r="C6930" i="45" s="1"/>
  <c r="B6931" i="45"/>
  <c r="C6931" i="45" s="1"/>
  <c r="B6932" i="45"/>
  <c r="C6932" i="45" s="1"/>
  <c r="B6933" i="45"/>
  <c r="C6933" i="45" s="1"/>
  <c r="B6934" i="45"/>
  <c r="C6934" i="45" s="1"/>
  <c r="B6935" i="45"/>
  <c r="C6935" i="45" s="1"/>
  <c r="B6936" i="45"/>
  <c r="C6936" i="45" s="1"/>
  <c r="B6937" i="45"/>
  <c r="C6937" i="45" s="1"/>
  <c r="B6938" i="45"/>
  <c r="C6938" i="45" s="1"/>
  <c r="B6939" i="45"/>
  <c r="C6939" i="45" s="1"/>
  <c r="B6940" i="45"/>
  <c r="C6940" i="45" s="1"/>
  <c r="B6941" i="45"/>
  <c r="C6941" i="45" s="1"/>
  <c r="B6942" i="45"/>
  <c r="C6942" i="45" s="1"/>
  <c r="B6943" i="45"/>
  <c r="C6943" i="45" s="1"/>
  <c r="B6944" i="45"/>
  <c r="C6944" i="45" s="1"/>
  <c r="B6945" i="45"/>
  <c r="C6945" i="45" s="1"/>
  <c r="B6946" i="45"/>
  <c r="C6946" i="45" s="1"/>
  <c r="B6947" i="45"/>
  <c r="C6947" i="45" s="1"/>
  <c r="B6948" i="45"/>
  <c r="C6948" i="45" s="1"/>
  <c r="B6949" i="45"/>
  <c r="C6949" i="45"/>
  <c r="B6950" i="45"/>
  <c r="C6950" i="45" s="1"/>
  <c r="B6951" i="45"/>
  <c r="C6951" i="45" s="1"/>
  <c r="B6952" i="45"/>
  <c r="C6952" i="45" s="1"/>
  <c r="B6953" i="45"/>
  <c r="C6953" i="45"/>
  <c r="B6954" i="45"/>
  <c r="C6954" i="45" s="1"/>
  <c r="B6955" i="45"/>
  <c r="C6955" i="45" s="1"/>
  <c r="B6956" i="45"/>
  <c r="C6956" i="45"/>
  <c r="B6957" i="45"/>
  <c r="C6957" i="45" s="1"/>
  <c r="B6958" i="45"/>
  <c r="C6958" i="45" s="1"/>
  <c r="B6959" i="45"/>
  <c r="C6959" i="45" s="1"/>
  <c r="B6960" i="45"/>
  <c r="C6960" i="45" s="1"/>
  <c r="B6961" i="45"/>
  <c r="C6961" i="45"/>
  <c r="B6962" i="45"/>
  <c r="C6962" i="45" s="1"/>
  <c r="B6963" i="45"/>
  <c r="C6963" i="45" s="1"/>
  <c r="B6964" i="45"/>
  <c r="C6964" i="45"/>
  <c r="B6965" i="45"/>
  <c r="C6965" i="45" s="1"/>
  <c r="B6966" i="45"/>
  <c r="C6966" i="45" s="1"/>
  <c r="B6967" i="45"/>
  <c r="C6967" i="45" s="1"/>
  <c r="B6968" i="45"/>
  <c r="C6968" i="45" s="1"/>
  <c r="B6969" i="45"/>
  <c r="C6969" i="45" s="1"/>
  <c r="B6970" i="45"/>
  <c r="C6970" i="45" s="1"/>
  <c r="B6971" i="45"/>
  <c r="C6971" i="45" s="1"/>
  <c r="B6972" i="45"/>
  <c r="C6972" i="45" s="1"/>
  <c r="B6973" i="45"/>
  <c r="C6973" i="45" s="1"/>
  <c r="B6974" i="45"/>
  <c r="C6974" i="45" s="1"/>
  <c r="B6975" i="45"/>
  <c r="C6975" i="45" s="1"/>
  <c r="B6976" i="45"/>
  <c r="C6976" i="45" s="1"/>
  <c r="B6977" i="45"/>
  <c r="C6977" i="45" s="1"/>
  <c r="B6978" i="45"/>
  <c r="C6978" i="45" s="1"/>
  <c r="B6979" i="45"/>
  <c r="C6979" i="45" s="1"/>
  <c r="B6980" i="45"/>
  <c r="C6980" i="45" s="1"/>
  <c r="B6981" i="45"/>
  <c r="C6981" i="45" s="1"/>
  <c r="B6982" i="45"/>
  <c r="C6982" i="45" s="1"/>
  <c r="B6983" i="45"/>
  <c r="C6983" i="45" s="1"/>
  <c r="B6984" i="45"/>
  <c r="C6984" i="45" s="1"/>
  <c r="B6985" i="45"/>
  <c r="C6985" i="45" s="1"/>
  <c r="B6986" i="45"/>
  <c r="C6986" i="45" s="1"/>
  <c r="B6987" i="45"/>
  <c r="C6987" i="45" s="1"/>
  <c r="B6988" i="45"/>
  <c r="C6988" i="45" s="1"/>
  <c r="B6989" i="45"/>
  <c r="C6989" i="45"/>
  <c r="B6990" i="45"/>
  <c r="C6990" i="45" s="1"/>
  <c r="B6991" i="45"/>
  <c r="C6991" i="45"/>
  <c r="B6992" i="45"/>
  <c r="C6992" i="45" s="1"/>
  <c r="B6993" i="45"/>
  <c r="C6993" i="45" s="1"/>
  <c r="B6994" i="45"/>
  <c r="C6994" i="45" s="1"/>
  <c r="B6995" i="45"/>
  <c r="C6995" i="45" s="1"/>
  <c r="B6996" i="45"/>
  <c r="C6996" i="45" s="1"/>
  <c r="B6997" i="45"/>
  <c r="C6997" i="45" s="1"/>
  <c r="B6998" i="45"/>
  <c r="C6998" i="45" s="1"/>
  <c r="B6999" i="45"/>
  <c r="C6999" i="45" s="1"/>
  <c r="B7000" i="45"/>
  <c r="C7000" i="45" s="1"/>
  <c r="B7001" i="45"/>
  <c r="C7001" i="45" s="1"/>
  <c r="B7002" i="45"/>
  <c r="C7002" i="45" s="1"/>
  <c r="B7003" i="45"/>
  <c r="C7003" i="45" s="1"/>
  <c r="B7004" i="45"/>
  <c r="C7004" i="45" s="1"/>
  <c r="B7005" i="45"/>
  <c r="C7005" i="45" s="1"/>
  <c r="B7006" i="45"/>
  <c r="C7006" i="45" s="1"/>
  <c r="B7007" i="45"/>
  <c r="C7007" i="45"/>
  <c r="B7008" i="45"/>
  <c r="C7008" i="45" s="1"/>
  <c r="B7009" i="45"/>
  <c r="C7009" i="45" s="1"/>
  <c r="B7010" i="45"/>
  <c r="C7010" i="45" s="1"/>
  <c r="B7011" i="45"/>
  <c r="C7011" i="45" s="1"/>
  <c r="B7012" i="45"/>
  <c r="C7012" i="45" s="1"/>
  <c r="B7013" i="45"/>
  <c r="C7013" i="45" s="1"/>
  <c r="B7014" i="45"/>
  <c r="C7014" i="45" s="1"/>
  <c r="B7015" i="45"/>
  <c r="C7015" i="45"/>
  <c r="B7016" i="45"/>
  <c r="C7016" i="45" s="1"/>
  <c r="B7017" i="45"/>
  <c r="C7017" i="45" s="1"/>
  <c r="B7018" i="45"/>
  <c r="C7018" i="45" s="1"/>
  <c r="B7019" i="45"/>
  <c r="C7019" i="45"/>
  <c r="B7020" i="45"/>
  <c r="C7020" i="45" s="1"/>
  <c r="B7021" i="45"/>
  <c r="C7021" i="45"/>
  <c r="B7022" i="45"/>
  <c r="C7022" i="45" s="1"/>
  <c r="B7023" i="45"/>
  <c r="C7023" i="45" s="1"/>
  <c r="B7024" i="45"/>
  <c r="C7024" i="45" s="1"/>
  <c r="B7025" i="45"/>
  <c r="C7025" i="45" s="1"/>
  <c r="B7026" i="45"/>
  <c r="C7026" i="45" s="1"/>
  <c r="B7027" i="45"/>
  <c r="C7027" i="45" s="1"/>
  <c r="B7028" i="45"/>
  <c r="C7028" i="45" s="1"/>
  <c r="B7029" i="45"/>
  <c r="C7029" i="45" s="1"/>
  <c r="B7030" i="45"/>
  <c r="C7030" i="45" s="1"/>
  <c r="B7031" i="45"/>
  <c r="C7031" i="45" s="1"/>
  <c r="B7032" i="45"/>
  <c r="C7032" i="45" s="1"/>
  <c r="B7033" i="45"/>
  <c r="C7033" i="45" s="1"/>
  <c r="B7034" i="45"/>
  <c r="C7034" i="45" s="1"/>
  <c r="B7035" i="45"/>
  <c r="C7035" i="45" s="1"/>
  <c r="B7036" i="45"/>
  <c r="C7036" i="45" s="1"/>
  <c r="B7037" i="45"/>
  <c r="C7037" i="45" s="1"/>
  <c r="B7038" i="45"/>
  <c r="C7038" i="45" s="1"/>
  <c r="B7039" i="45"/>
  <c r="C7039" i="45" s="1"/>
  <c r="B7040" i="45"/>
  <c r="C7040" i="45" s="1"/>
  <c r="B7041" i="45"/>
  <c r="C7041" i="45" s="1"/>
  <c r="B7042" i="45"/>
  <c r="C7042" i="45" s="1"/>
  <c r="B7043" i="45"/>
  <c r="C7043" i="45" s="1"/>
  <c r="B7044" i="45"/>
  <c r="C7044" i="45" s="1"/>
  <c r="B7045" i="45"/>
  <c r="C7045" i="45" s="1"/>
  <c r="B7046" i="45"/>
  <c r="C7046" i="45" s="1"/>
  <c r="B7047" i="45"/>
  <c r="C7047" i="45" s="1"/>
  <c r="B7048" i="45"/>
  <c r="C7048" i="45" s="1"/>
  <c r="B7049" i="45"/>
  <c r="C7049" i="45" s="1"/>
  <c r="B7050" i="45"/>
  <c r="C7050" i="45" s="1"/>
  <c r="B7051" i="45"/>
  <c r="C7051" i="45" s="1"/>
  <c r="B7052" i="45"/>
  <c r="C7052" i="45" s="1"/>
  <c r="B7053" i="45"/>
  <c r="C7053" i="45" s="1"/>
  <c r="B7054" i="45"/>
  <c r="C7054" i="45" s="1"/>
  <c r="B7055" i="45"/>
  <c r="C7055" i="45" s="1"/>
  <c r="B7056" i="45"/>
  <c r="C7056" i="45" s="1"/>
  <c r="B7057" i="45"/>
  <c r="C7057" i="45" s="1"/>
  <c r="B7058" i="45"/>
  <c r="C7058" i="45" s="1"/>
  <c r="B7059" i="45"/>
  <c r="C7059" i="45" s="1"/>
  <c r="B7060" i="45"/>
  <c r="C7060" i="45" s="1"/>
  <c r="B7061" i="45"/>
  <c r="C7061" i="45" s="1"/>
  <c r="B7062" i="45"/>
  <c r="C7062" i="45" s="1"/>
  <c r="B7063" i="45"/>
  <c r="C7063" i="45" s="1"/>
  <c r="B7064" i="45"/>
  <c r="C7064" i="45" s="1"/>
  <c r="B7065" i="45"/>
  <c r="C7065" i="45" s="1"/>
  <c r="B7066" i="45"/>
  <c r="C7066" i="45" s="1"/>
  <c r="B7067" i="45"/>
  <c r="C7067" i="45" s="1"/>
  <c r="B7068" i="45"/>
  <c r="C7068" i="45" s="1"/>
  <c r="B7069" i="45"/>
  <c r="C7069" i="45" s="1"/>
  <c r="B7070" i="45"/>
  <c r="C7070" i="45" s="1"/>
  <c r="B7071" i="45"/>
  <c r="C7071" i="45" s="1"/>
  <c r="B7072" i="45"/>
  <c r="C7072" i="45" s="1"/>
  <c r="B7073" i="45"/>
  <c r="C7073" i="45" s="1"/>
  <c r="B7074" i="45"/>
  <c r="C7074" i="45" s="1"/>
  <c r="B7075" i="45"/>
  <c r="C7075" i="45" s="1"/>
  <c r="B7076" i="45"/>
  <c r="C7076" i="45" s="1"/>
  <c r="B7077" i="45"/>
  <c r="C7077" i="45" s="1"/>
  <c r="B7078" i="45"/>
  <c r="C7078" i="45" s="1"/>
  <c r="B7079" i="45"/>
  <c r="C7079" i="45"/>
  <c r="B7080" i="45"/>
  <c r="C7080" i="45" s="1"/>
  <c r="B7081" i="45"/>
  <c r="C7081" i="45" s="1"/>
  <c r="B7082" i="45"/>
  <c r="C7082" i="45" s="1"/>
  <c r="B7083" i="45"/>
  <c r="C7083" i="45" s="1"/>
  <c r="B7084" i="45"/>
  <c r="C7084" i="45" s="1"/>
  <c r="B7085" i="45"/>
  <c r="C7085" i="45" s="1"/>
  <c r="B7086" i="45"/>
  <c r="C7086" i="45" s="1"/>
  <c r="B7087" i="45"/>
  <c r="C7087" i="45" s="1"/>
  <c r="B7088" i="45"/>
  <c r="C7088" i="45" s="1"/>
  <c r="B7089" i="45"/>
  <c r="C7089" i="45"/>
  <c r="B7090" i="45"/>
  <c r="C7090" i="45" s="1"/>
  <c r="B7091" i="45"/>
  <c r="C7091" i="45" s="1"/>
  <c r="B7092" i="45"/>
  <c r="C7092" i="45"/>
  <c r="B7093" i="45"/>
  <c r="C7093" i="45" s="1"/>
  <c r="B7094" i="45"/>
  <c r="C7094" i="45" s="1"/>
  <c r="B7095" i="45"/>
  <c r="C7095" i="45" s="1"/>
  <c r="B7096" i="45"/>
  <c r="C7096" i="45" s="1"/>
  <c r="B7097" i="45"/>
  <c r="C7097" i="45"/>
  <c r="B7098" i="45"/>
  <c r="C7098" i="45" s="1"/>
  <c r="B7099" i="45"/>
  <c r="C7099" i="45" s="1"/>
  <c r="B7100" i="45"/>
  <c r="C7100" i="45" s="1"/>
  <c r="B7101" i="45"/>
  <c r="C7101" i="45" s="1"/>
  <c r="B7102" i="45"/>
  <c r="C7102" i="45" s="1"/>
  <c r="B7103" i="45"/>
  <c r="C7103" i="45" s="1"/>
  <c r="B7104" i="45"/>
  <c r="C7104" i="45" s="1"/>
  <c r="B7105" i="45"/>
  <c r="C7105" i="45" s="1"/>
  <c r="B7106" i="45"/>
  <c r="C7106" i="45" s="1"/>
  <c r="B7107" i="45"/>
  <c r="C7107" i="45" s="1"/>
  <c r="B7108" i="45"/>
  <c r="C7108" i="45" s="1"/>
  <c r="B7109" i="45"/>
  <c r="C7109" i="45" s="1"/>
  <c r="B7110" i="45"/>
  <c r="C7110" i="45" s="1"/>
  <c r="B7111" i="45"/>
  <c r="C7111" i="45" s="1"/>
  <c r="B7112" i="45"/>
  <c r="C7112" i="45" s="1"/>
  <c r="B7113" i="45"/>
  <c r="C7113" i="45" s="1"/>
  <c r="B7114" i="45"/>
  <c r="C7114" i="45" s="1"/>
  <c r="B7115" i="45"/>
  <c r="C7115" i="45" s="1"/>
  <c r="B7116" i="45"/>
  <c r="C7116" i="45" s="1"/>
  <c r="B7117" i="45"/>
  <c r="C7117" i="45" s="1"/>
  <c r="B7118" i="45"/>
  <c r="C7118" i="45" s="1"/>
  <c r="B7119" i="45"/>
  <c r="C7119" i="45" s="1"/>
  <c r="B7120" i="45"/>
  <c r="C7120" i="45" s="1"/>
  <c r="B7121" i="45"/>
  <c r="C7121" i="45" s="1"/>
  <c r="B7122" i="45"/>
  <c r="C7122" i="45" s="1"/>
  <c r="B7123" i="45"/>
  <c r="C7123" i="45" s="1"/>
  <c r="B7124" i="45"/>
  <c r="C7124" i="45" s="1"/>
  <c r="B7125" i="45"/>
  <c r="C7125" i="45" s="1"/>
  <c r="B7126" i="45"/>
  <c r="C7126" i="45" s="1"/>
  <c r="B7127" i="45"/>
  <c r="C7127" i="45" s="1"/>
  <c r="B7128" i="45"/>
  <c r="C7128" i="45" s="1"/>
  <c r="B7129" i="45"/>
  <c r="C7129" i="45" s="1"/>
  <c r="B7130" i="45"/>
  <c r="C7130" i="45" s="1"/>
  <c r="B7131" i="45"/>
  <c r="C7131" i="45" s="1"/>
  <c r="B7132" i="45"/>
  <c r="C7132" i="45"/>
  <c r="B7133" i="45"/>
  <c r="C7133" i="45" s="1"/>
  <c r="B7134" i="45"/>
  <c r="C7134" i="45" s="1"/>
  <c r="B7135" i="45"/>
  <c r="C7135" i="45" s="1"/>
  <c r="B7136" i="45"/>
  <c r="C7136" i="45" s="1"/>
  <c r="B7137" i="45"/>
  <c r="C7137" i="45" s="1"/>
  <c r="B7138" i="45"/>
  <c r="C7138" i="45" s="1"/>
  <c r="B7139" i="45"/>
  <c r="C7139" i="45" s="1"/>
  <c r="B7140" i="45"/>
  <c r="C7140" i="45" s="1"/>
  <c r="B7141" i="45"/>
  <c r="C7141" i="45" s="1"/>
  <c r="B7142" i="45"/>
  <c r="C7142" i="45" s="1"/>
  <c r="B7143" i="45"/>
  <c r="C7143" i="45" s="1"/>
  <c r="B7144" i="45"/>
  <c r="C7144" i="45" s="1"/>
  <c r="B7145" i="45"/>
  <c r="C7145" i="45" s="1"/>
  <c r="B7146" i="45"/>
  <c r="C7146" i="45" s="1"/>
  <c r="B7147" i="45"/>
  <c r="C7147" i="45" s="1"/>
  <c r="B7148" i="45"/>
  <c r="C7148" i="45" s="1"/>
  <c r="B7149" i="45"/>
  <c r="C7149" i="45" s="1"/>
  <c r="B7150" i="45"/>
  <c r="C7150" i="45" s="1"/>
  <c r="B7151" i="45"/>
  <c r="C7151" i="45" s="1"/>
  <c r="B7152" i="45"/>
  <c r="C7152" i="45" s="1"/>
  <c r="B7153" i="45"/>
  <c r="C7153" i="45" s="1"/>
  <c r="B7154" i="45"/>
  <c r="C7154" i="45" s="1"/>
  <c r="B7155" i="45"/>
  <c r="C7155" i="45"/>
  <c r="B7156" i="45"/>
  <c r="C7156" i="45" s="1"/>
  <c r="B7157" i="45"/>
  <c r="C7157" i="45" s="1"/>
  <c r="B7158" i="45"/>
  <c r="C7158" i="45" s="1"/>
  <c r="B7159" i="45"/>
  <c r="C7159" i="45" s="1"/>
  <c r="B7160" i="45"/>
  <c r="C7160" i="45" s="1"/>
  <c r="B7161" i="45"/>
  <c r="C7161" i="45" s="1"/>
  <c r="B7162" i="45"/>
  <c r="C7162" i="45" s="1"/>
  <c r="B7163" i="45"/>
  <c r="C7163" i="45"/>
  <c r="B7164" i="45"/>
  <c r="C7164" i="45" s="1"/>
  <c r="B7165" i="45"/>
  <c r="C7165" i="45" s="1"/>
  <c r="B7166" i="45"/>
  <c r="C7166" i="45" s="1"/>
  <c r="B7167" i="45"/>
  <c r="C7167" i="45" s="1"/>
  <c r="B7168" i="45"/>
  <c r="C7168" i="45" s="1"/>
  <c r="B7169" i="45"/>
  <c r="C7169" i="45" s="1"/>
  <c r="B7170" i="45"/>
  <c r="C7170" i="45" s="1"/>
  <c r="B7171" i="45"/>
  <c r="C7171" i="45" s="1"/>
  <c r="B7172" i="45"/>
  <c r="C7172" i="45"/>
  <c r="B7173" i="45"/>
  <c r="C7173" i="45" s="1"/>
  <c r="B7174" i="45"/>
  <c r="C7174" i="45" s="1"/>
  <c r="B7175" i="45"/>
  <c r="C7175" i="45"/>
  <c r="B7176" i="45"/>
  <c r="C7176" i="45" s="1"/>
  <c r="B7177" i="45"/>
  <c r="C7177" i="45" s="1"/>
  <c r="B7178" i="45"/>
  <c r="C7178" i="45" s="1"/>
  <c r="B7179" i="45"/>
  <c r="C7179" i="45" s="1"/>
  <c r="B7180" i="45"/>
  <c r="C7180" i="45" s="1"/>
  <c r="B7181" i="45"/>
  <c r="C7181" i="45"/>
  <c r="B7182" i="45"/>
  <c r="C7182" i="45" s="1"/>
  <c r="B7183" i="45"/>
  <c r="C7183" i="45" s="1"/>
  <c r="B7184" i="45"/>
  <c r="C7184" i="45" s="1"/>
  <c r="B7185" i="45"/>
  <c r="C7185" i="45" s="1"/>
  <c r="B7186" i="45"/>
  <c r="C7186" i="45" s="1"/>
  <c r="B7187" i="45"/>
  <c r="C7187" i="45"/>
  <c r="B7188" i="45"/>
  <c r="C7188" i="45" s="1"/>
  <c r="B7189" i="45"/>
  <c r="C7189" i="45" s="1"/>
  <c r="B7190" i="45"/>
  <c r="C7190" i="45" s="1"/>
  <c r="B7191" i="45"/>
  <c r="C7191" i="45" s="1"/>
  <c r="B7192" i="45"/>
  <c r="C7192" i="45" s="1"/>
  <c r="B7193" i="45"/>
  <c r="C7193" i="45" s="1"/>
  <c r="B7194" i="45"/>
  <c r="C7194" i="45" s="1"/>
  <c r="B7195" i="45"/>
  <c r="C7195" i="45" s="1"/>
  <c r="B7196" i="45"/>
  <c r="C7196" i="45"/>
  <c r="B7197" i="45"/>
  <c r="C7197" i="45" s="1"/>
  <c r="B7198" i="45"/>
  <c r="C7198" i="45" s="1"/>
  <c r="B7199" i="45"/>
  <c r="C7199" i="45"/>
  <c r="B7200" i="45"/>
  <c r="C7200" i="45" s="1"/>
  <c r="B7201" i="45"/>
  <c r="C7201" i="45" s="1"/>
  <c r="B7202" i="45"/>
  <c r="C7202" i="45" s="1"/>
  <c r="B7203" i="45"/>
  <c r="C7203" i="45" s="1"/>
  <c r="B7204" i="45"/>
  <c r="C7204" i="45" s="1"/>
  <c r="B7205" i="45"/>
  <c r="C7205" i="45" s="1"/>
  <c r="B7206" i="45"/>
  <c r="C7206" i="45" s="1"/>
  <c r="B7207" i="45"/>
  <c r="C7207" i="45" s="1"/>
  <c r="B7208" i="45"/>
  <c r="C7208" i="45" s="1"/>
  <c r="B7209" i="45"/>
  <c r="C7209" i="45" s="1"/>
  <c r="B7210" i="45"/>
  <c r="C7210" i="45"/>
  <c r="B7211" i="45"/>
  <c r="C7211" i="45" s="1"/>
  <c r="B7212" i="45"/>
  <c r="C7212" i="45" s="1"/>
  <c r="B7213" i="45"/>
  <c r="C7213" i="45" s="1"/>
  <c r="B7214" i="45"/>
  <c r="C7214" i="45" s="1"/>
  <c r="B7215" i="45"/>
  <c r="C7215" i="45" s="1"/>
  <c r="B7216" i="45"/>
  <c r="C7216" i="45" s="1"/>
  <c r="B7217" i="45"/>
  <c r="C7217" i="45" s="1"/>
  <c r="B7218" i="45"/>
  <c r="C7218" i="45" s="1"/>
  <c r="B7219" i="45"/>
  <c r="C7219" i="45" s="1"/>
  <c r="B7220" i="45"/>
  <c r="C7220" i="45" s="1"/>
  <c r="B7221" i="45"/>
  <c r="C7221" i="45" s="1"/>
  <c r="B7222" i="45"/>
  <c r="C7222" i="45" s="1"/>
  <c r="B7223" i="45"/>
  <c r="C7223" i="45" s="1"/>
  <c r="B7224" i="45"/>
  <c r="C7224" i="45" s="1"/>
  <c r="B7225" i="45"/>
  <c r="C7225" i="45" s="1"/>
  <c r="B7226" i="45"/>
  <c r="C7226" i="45" s="1"/>
  <c r="B7227" i="45"/>
  <c r="C7227" i="45" s="1"/>
  <c r="B7228" i="45"/>
  <c r="C7228" i="45" s="1"/>
  <c r="B7229" i="45"/>
  <c r="C7229" i="45" s="1"/>
  <c r="B7230" i="45"/>
  <c r="C7230" i="45" s="1"/>
  <c r="B7231" i="45"/>
  <c r="C7231" i="45" s="1"/>
  <c r="B7232" i="45"/>
  <c r="C7232" i="45" s="1"/>
  <c r="B7233" i="45"/>
  <c r="C7233" i="45" s="1"/>
  <c r="B7234" i="45"/>
  <c r="C7234" i="45" s="1"/>
  <c r="B7235" i="45"/>
  <c r="C7235" i="45" s="1"/>
  <c r="B7236" i="45"/>
  <c r="C7236" i="45" s="1"/>
  <c r="B7237" i="45"/>
  <c r="C7237" i="45" s="1"/>
  <c r="B7238" i="45"/>
  <c r="C7238" i="45" s="1"/>
  <c r="B7239" i="45"/>
  <c r="C7239" i="45"/>
  <c r="B7240" i="45"/>
  <c r="C7240" i="45" s="1"/>
  <c r="B7241" i="45"/>
  <c r="C7241" i="45" s="1"/>
  <c r="B7242" i="45"/>
  <c r="C7242" i="45" s="1"/>
  <c r="B7243" i="45"/>
  <c r="C7243" i="45" s="1"/>
  <c r="B7244" i="45"/>
  <c r="C7244" i="45" s="1"/>
  <c r="B7245" i="45"/>
  <c r="C7245" i="45"/>
  <c r="B7246" i="45"/>
  <c r="C7246" i="45" s="1"/>
  <c r="B7247" i="45"/>
  <c r="C7247" i="45"/>
  <c r="B7248" i="45"/>
  <c r="C7248" i="45" s="1"/>
  <c r="B7249" i="45"/>
  <c r="C7249" i="45" s="1"/>
  <c r="B7250" i="45"/>
  <c r="C7250" i="45" s="1"/>
  <c r="B7251" i="45"/>
  <c r="C7251" i="45"/>
  <c r="B7252" i="45"/>
  <c r="C7252" i="45" s="1"/>
  <c r="B7253" i="45"/>
  <c r="C7253" i="45" s="1"/>
  <c r="B7254" i="45"/>
  <c r="C7254" i="45" s="1"/>
  <c r="B7255" i="45"/>
  <c r="C7255" i="45" s="1"/>
  <c r="B7256" i="45"/>
  <c r="C7256" i="45" s="1"/>
  <c r="B7257" i="45"/>
  <c r="C7257" i="45" s="1"/>
  <c r="B7258" i="45"/>
  <c r="C7258" i="45" s="1"/>
  <c r="B7259" i="45"/>
  <c r="C7259" i="45" s="1"/>
  <c r="B7260" i="45"/>
  <c r="C7260" i="45"/>
  <c r="B7261" i="45"/>
  <c r="C7261" i="45" s="1"/>
  <c r="B7262" i="45"/>
  <c r="C7262" i="45" s="1"/>
  <c r="B7263" i="45"/>
  <c r="C7263" i="45" s="1"/>
  <c r="B7264" i="45"/>
  <c r="C7264" i="45" s="1"/>
  <c r="B7265" i="45"/>
  <c r="C7265" i="45" s="1"/>
  <c r="B7266" i="45"/>
  <c r="C7266" i="45" s="1"/>
  <c r="B7267" i="45"/>
  <c r="C7267" i="45" s="1"/>
  <c r="B7268" i="45"/>
  <c r="C7268" i="45" s="1"/>
  <c r="B7269" i="45"/>
  <c r="C7269" i="45"/>
  <c r="B7270" i="45"/>
  <c r="C7270" i="45" s="1"/>
  <c r="B7271" i="45"/>
  <c r="C7271" i="45" s="1"/>
  <c r="B7272" i="45"/>
  <c r="C7272" i="45" s="1"/>
  <c r="B7273" i="45"/>
  <c r="C7273" i="45" s="1"/>
  <c r="B7274" i="45"/>
  <c r="C7274" i="45" s="1"/>
  <c r="B7275" i="45"/>
  <c r="C7275" i="45" s="1"/>
  <c r="B7276" i="45"/>
  <c r="C7276" i="45" s="1"/>
  <c r="B7277" i="45"/>
  <c r="C7277" i="45" s="1"/>
  <c r="B7278" i="45"/>
  <c r="C7278" i="45" s="1"/>
  <c r="B7279" i="45"/>
  <c r="C7279" i="45" s="1"/>
  <c r="B7280" i="45"/>
  <c r="C7280" i="45" s="1"/>
  <c r="B7281" i="45"/>
  <c r="C7281" i="45" s="1"/>
  <c r="B7282" i="45"/>
  <c r="C7282" i="45" s="1"/>
  <c r="B7283" i="45"/>
  <c r="C7283" i="45"/>
  <c r="B7284" i="45"/>
  <c r="C7284" i="45" s="1"/>
  <c r="B7285" i="45"/>
  <c r="C7285" i="45" s="1"/>
  <c r="B7286" i="45"/>
  <c r="C7286" i="45" s="1"/>
  <c r="B7287" i="45"/>
  <c r="C7287" i="45" s="1"/>
  <c r="B7288" i="45"/>
  <c r="C7288" i="45" s="1"/>
  <c r="B7289" i="45"/>
  <c r="C7289" i="45" s="1"/>
  <c r="B7290" i="45"/>
  <c r="C7290" i="45" s="1"/>
  <c r="B7291" i="45"/>
  <c r="C7291" i="45"/>
  <c r="B7292" i="45"/>
  <c r="C7292" i="45"/>
  <c r="B7293" i="45"/>
  <c r="C7293" i="45" s="1"/>
  <c r="B7294" i="45"/>
  <c r="C7294" i="45" s="1"/>
  <c r="B7295" i="45"/>
  <c r="C7295" i="45" s="1"/>
  <c r="B7296" i="45"/>
  <c r="C7296" i="45" s="1"/>
  <c r="B7297" i="45"/>
  <c r="C7297" i="45" s="1"/>
  <c r="B7298" i="45"/>
  <c r="C7298" i="45" s="1"/>
  <c r="B7299" i="45"/>
  <c r="C7299" i="45" s="1"/>
  <c r="B7300" i="45"/>
  <c r="C7300" i="45" s="1"/>
  <c r="B7301" i="45"/>
  <c r="C7301" i="45" s="1"/>
  <c r="B7302" i="45"/>
  <c r="C7302" i="45" s="1"/>
  <c r="B7303" i="45"/>
  <c r="C7303" i="45"/>
  <c r="B7304" i="45"/>
  <c r="C7304" i="45" s="1"/>
  <c r="B7305" i="45"/>
  <c r="C7305" i="45" s="1"/>
  <c r="B7306" i="45"/>
  <c r="C7306" i="45"/>
  <c r="B7307" i="45"/>
  <c r="C7307" i="45" s="1"/>
  <c r="B7308" i="45"/>
  <c r="C7308" i="45" s="1"/>
  <c r="B7309" i="45"/>
  <c r="C7309" i="45" s="1"/>
  <c r="B7310" i="45"/>
  <c r="C7310" i="45" s="1"/>
  <c r="B7311" i="45"/>
  <c r="C7311" i="45" s="1"/>
  <c r="B7312" i="45"/>
  <c r="C7312" i="45" s="1"/>
  <c r="B7313" i="45"/>
  <c r="C7313" i="45" s="1"/>
  <c r="B7314" i="45"/>
  <c r="C7314" i="45" s="1"/>
  <c r="B7315" i="45"/>
  <c r="C7315" i="45"/>
  <c r="B7316" i="45"/>
  <c r="C7316" i="45" s="1"/>
  <c r="B7317" i="45"/>
  <c r="C7317" i="45" s="1"/>
  <c r="B7318" i="45"/>
  <c r="C7318" i="45" s="1"/>
  <c r="B7319" i="45"/>
  <c r="C7319" i="45" s="1"/>
  <c r="B7320" i="45"/>
  <c r="C7320" i="45" s="1"/>
  <c r="B7321" i="45"/>
  <c r="C7321" i="45" s="1"/>
  <c r="B7322" i="45"/>
  <c r="C7322" i="45" s="1"/>
  <c r="B7323" i="45"/>
  <c r="C7323" i="45" s="1"/>
  <c r="B7324" i="45"/>
  <c r="C7324" i="45" s="1"/>
  <c r="B7325" i="45"/>
  <c r="C7325" i="45" s="1"/>
  <c r="B7326" i="45"/>
  <c r="C7326" i="45" s="1"/>
  <c r="B7327" i="45"/>
  <c r="C7327" i="45"/>
  <c r="B7328" i="45"/>
  <c r="C7328" i="45" s="1"/>
  <c r="B7329" i="45"/>
  <c r="C7329" i="45" s="1"/>
  <c r="B7330" i="45"/>
  <c r="C7330" i="45" s="1"/>
  <c r="B7331" i="45"/>
  <c r="C7331" i="45" s="1"/>
  <c r="B7332" i="45"/>
  <c r="C7332" i="45" s="1"/>
  <c r="B7333" i="45"/>
  <c r="C7333" i="45" s="1"/>
  <c r="B7334" i="45"/>
  <c r="C7334" i="45" s="1"/>
  <c r="B7335" i="45"/>
  <c r="C7335" i="45" s="1"/>
  <c r="B7336" i="45"/>
  <c r="C7336" i="45" s="1"/>
  <c r="B7337" i="45"/>
  <c r="C7337" i="45" s="1"/>
  <c r="B7338" i="45"/>
  <c r="C7338" i="45"/>
  <c r="B7339" i="45"/>
  <c r="C7339" i="45" s="1"/>
  <c r="B7340" i="45"/>
  <c r="C7340" i="45" s="1"/>
  <c r="B7341" i="45"/>
  <c r="C7341" i="45" s="1"/>
  <c r="B7342" i="45"/>
  <c r="C7342" i="45" s="1"/>
  <c r="B7343" i="45"/>
  <c r="C7343" i="45"/>
  <c r="B7344" i="45"/>
  <c r="C7344" i="45" s="1"/>
  <c r="B7345" i="45"/>
  <c r="C7345" i="45" s="1"/>
  <c r="B7346" i="45"/>
  <c r="C7346" i="45" s="1"/>
  <c r="B7347" i="45"/>
  <c r="C7347" i="45" s="1"/>
  <c r="B7348" i="45"/>
  <c r="C7348" i="45" s="1"/>
  <c r="B7349" i="45"/>
  <c r="C7349" i="45" s="1"/>
  <c r="B7350" i="45"/>
  <c r="C7350" i="45" s="1"/>
  <c r="B7351" i="45"/>
  <c r="C7351" i="45" s="1"/>
  <c r="B7352" i="45"/>
  <c r="C7352" i="45"/>
  <c r="B7353" i="45"/>
  <c r="C7353" i="45" s="1"/>
  <c r="B7354" i="45"/>
  <c r="C7354" i="45" s="1"/>
  <c r="B7355" i="45"/>
  <c r="C7355" i="45" s="1"/>
  <c r="B7356" i="45"/>
  <c r="C7356" i="45" s="1"/>
  <c r="B7357" i="45"/>
  <c r="C7357" i="45" s="1"/>
  <c r="B7358" i="45"/>
  <c r="C7358" i="45" s="1"/>
  <c r="B7359" i="45"/>
  <c r="C7359" i="45" s="1"/>
  <c r="B7360" i="45"/>
  <c r="C7360" i="45" s="1"/>
  <c r="B7361" i="45"/>
  <c r="C7361" i="45" s="1"/>
  <c r="B7362" i="45"/>
  <c r="C7362" i="45" s="1"/>
  <c r="B7363" i="45"/>
  <c r="C7363" i="45" s="1"/>
  <c r="B7364" i="45"/>
  <c r="C7364" i="45" s="1"/>
  <c r="B7365" i="45"/>
  <c r="C7365" i="45" s="1"/>
  <c r="B7366" i="45"/>
  <c r="C7366" i="45" s="1"/>
  <c r="B7367" i="45"/>
  <c r="C7367" i="45" s="1"/>
  <c r="B7368" i="45"/>
  <c r="C7368" i="45" s="1"/>
  <c r="B7369" i="45"/>
  <c r="C7369" i="45"/>
  <c r="B7370" i="45"/>
  <c r="C7370" i="45" s="1"/>
  <c r="B7371" i="45"/>
  <c r="C7371" i="45" s="1"/>
  <c r="B7372" i="45"/>
  <c r="C7372" i="45" s="1"/>
  <c r="B7373" i="45"/>
  <c r="C7373" i="45" s="1"/>
  <c r="B7374" i="45"/>
  <c r="C7374" i="45" s="1"/>
  <c r="B7375" i="45"/>
  <c r="C7375" i="45" s="1"/>
  <c r="B7376" i="45"/>
  <c r="C7376" i="45" s="1"/>
  <c r="B7377" i="45"/>
  <c r="C7377" i="45"/>
  <c r="B7378" i="45"/>
  <c r="C7378" i="45" s="1"/>
  <c r="B7379" i="45"/>
  <c r="C7379" i="45" s="1"/>
  <c r="B7380" i="45"/>
  <c r="C7380" i="45" s="1"/>
  <c r="B7381" i="45"/>
  <c r="C7381" i="45" s="1"/>
  <c r="B7382" i="45"/>
  <c r="C7382" i="45" s="1"/>
  <c r="B7383" i="45"/>
  <c r="C7383" i="45" s="1"/>
  <c r="B7384" i="45"/>
  <c r="C7384" i="45" s="1"/>
  <c r="B7385" i="45"/>
  <c r="C7385" i="45" s="1"/>
  <c r="B7386" i="45"/>
  <c r="C7386" i="45"/>
  <c r="B7387" i="45"/>
  <c r="C7387" i="45" s="1"/>
  <c r="B7388" i="45"/>
  <c r="C7388" i="45"/>
  <c r="B7389" i="45"/>
  <c r="C7389" i="45" s="1"/>
  <c r="B7390" i="45"/>
  <c r="C7390" i="45" s="1"/>
  <c r="B7391" i="45"/>
  <c r="C7391" i="45" s="1"/>
  <c r="B7392" i="45"/>
  <c r="C7392" i="45" s="1"/>
  <c r="B7393" i="45"/>
  <c r="C7393" i="45" s="1"/>
  <c r="B7394" i="45"/>
  <c r="C7394" i="45" s="1"/>
  <c r="B7395" i="45"/>
  <c r="C7395" i="45" s="1"/>
  <c r="B7396" i="45"/>
  <c r="C7396" i="45" s="1"/>
  <c r="B7397" i="45"/>
  <c r="C7397" i="45" s="1"/>
  <c r="B7398" i="45"/>
  <c r="C7398" i="45" s="1"/>
  <c r="B7399" i="45"/>
  <c r="C7399" i="45"/>
  <c r="B7400" i="45"/>
  <c r="C7400" i="45" s="1"/>
  <c r="B7401" i="45"/>
  <c r="C7401" i="45"/>
  <c r="B7402" i="45"/>
  <c r="C7402" i="45" s="1"/>
  <c r="B7403" i="45"/>
  <c r="C7403" i="45" s="1"/>
  <c r="B7404" i="45"/>
  <c r="C7404" i="45" s="1"/>
  <c r="B7405" i="45"/>
  <c r="C7405" i="45"/>
  <c r="B7406" i="45"/>
  <c r="C7406" i="45" s="1"/>
  <c r="B7407" i="45"/>
  <c r="C7407" i="45" s="1"/>
  <c r="B7408" i="45"/>
  <c r="C7408" i="45" s="1"/>
  <c r="B7409" i="45"/>
  <c r="C7409" i="45" s="1"/>
  <c r="B7410" i="45"/>
  <c r="C7410" i="45" s="1"/>
  <c r="B7411" i="45"/>
  <c r="C7411" i="45" s="1"/>
  <c r="B7412" i="45"/>
  <c r="C7412" i="45" s="1"/>
  <c r="B7413" i="45"/>
  <c r="C7413" i="45" s="1"/>
  <c r="B7414" i="45"/>
  <c r="C7414" i="45" s="1"/>
  <c r="B7415" i="45"/>
  <c r="C7415" i="45" s="1"/>
  <c r="B7416" i="45"/>
  <c r="C7416" i="45" s="1"/>
  <c r="B7417" i="45"/>
  <c r="C7417" i="45"/>
  <c r="B7418" i="45"/>
  <c r="C7418" i="45" s="1"/>
  <c r="B7419" i="45"/>
  <c r="C7419" i="45" s="1"/>
  <c r="B7420" i="45"/>
  <c r="C7420" i="45"/>
  <c r="B7421" i="45"/>
  <c r="C7421" i="45" s="1"/>
  <c r="B7422" i="45"/>
  <c r="C7422" i="45" s="1"/>
  <c r="B7423" i="45"/>
  <c r="C7423" i="45"/>
  <c r="B7424" i="45"/>
  <c r="C7424" i="45" s="1"/>
  <c r="B7425" i="45"/>
  <c r="C7425" i="45" s="1"/>
  <c r="B7426" i="45"/>
  <c r="C7426" i="45" s="1"/>
  <c r="B7427" i="45"/>
  <c r="C7427" i="45" s="1"/>
  <c r="B7428" i="45"/>
  <c r="C7428" i="45" s="1"/>
  <c r="B7429" i="45"/>
  <c r="C7429" i="45" s="1"/>
  <c r="B7430" i="45"/>
  <c r="C7430" i="45" s="1"/>
  <c r="B7431" i="45"/>
  <c r="C7431" i="45"/>
  <c r="B7432" i="45"/>
  <c r="C7432" i="45" s="1"/>
  <c r="B7433" i="45"/>
  <c r="C7433" i="45" s="1"/>
  <c r="B7434" i="45"/>
  <c r="C7434" i="45" s="1"/>
  <c r="B7435" i="45"/>
  <c r="C7435" i="45" s="1"/>
  <c r="B7436" i="45"/>
  <c r="C7436" i="45" s="1"/>
  <c r="B7437" i="45"/>
  <c r="C7437" i="45" s="1"/>
  <c r="B7438" i="45"/>
  <c r="C7438" i="45" s="1"/>
  <c r="B7439" i="45"/>
  <c r="C7439" i="45" s="1"/>
  <c r="B7440" i="45"/>
  <c r="C7440" i="45"/>
  <c r="B7441" i="45"/>
  <c r="C7441" i="45"/>
  <c r="B7442" i="45"/>
  <c r="C7442" i="45" s="1"/>
  <c r="B7443" i="45"/>
  <c r="C7443" i="45" s="1"/>
  <c r="B7444" i="45"/>
  <c r="C7444" i="45" s="1"/>
  <c r="B7445" i="45"/>
  <c r="C7445" i="45" s="1"/>
  <c r="B7446" i="45"/>
  <c r="C7446" i="45" s="1"/>
  <c r="B7447" i="45"/>
  <c r="C7447" i="45" s="1"/>
  <c r="B7448" i="45"/>
  <c r="C7448" i="45" s="1"/>
  <c r="B7449" i="45"/>
  <c r="C7449" i="45" s="1"/>
  <c r="B7450" i="45"/>
  <c r="C7450" i="45" s="1"/>
  <c r="B7451" i="45"/>
  <c r="C7451" i="45" s="1"/>
  <c r="B7452" i="45"/>
  <c r="C7452" i="45" s="1"/>
  <c r="B7453" i="45"/>
  <c r="C7453" i="45" s="1"/>
  <c r="B7454" i="45"/>
  <c r="C7454" i="45" s="1"/>
  <c r="B7455" i="45"/>
  <c r="C7455" i="45" s="1"/>
  <c r="B7456" i="45"/>
  <c r="C7456" i="45"/>
  <c r="B7457" i="45"/>
  <c r="C7457" i="45" s="1"/>
  <c r="B7458" i="45"/>
  <c r="C7458" i="45" s="1"/>
  <c r="B7459" i="45"/>
  <c r="C7459" i="45" s="1"/>
  <c r="B7460" i="45"/>
  <c r="C7460" i="45" s="1"/>
  <c r="B7461" i="45"/>
  <c r="C7461" i="45"/>
  <c r="B7462" i="45"/>
  <c r="C7462" i="45" s="1"/>
  <c r="B7463" i="45"/>
  <c r="C7463" i="45" s="1"/>
  <c r="B7464" i="45"/>
  <c r="C7464" i="45"/>
  <c r="B7465" i="45"/>
  <c r="C7465" i="45" s="1"/>
  <c r="B7466" i="45"/>
  <c r="C7466" i="45" s="1"/>
  <c r="B7467" i="45"/>
  <c r="C7467" i="45" s="1"/>
  <c r="B7468" i="45"/>
  <c r="C7468" i="45" s="1"/>
  <c r="B7469" i="45"/>
  <c r="C7469" i="45" s="1"/>
  <c r="B7470" i="45"/>
  <c r="C7470" i="45" s="1"/>
  <c r="B7471" i="45"/>
  <c r="C7471" i="45" s="1"/>
  <c r="B7472" i="45"/>
  <c r="C7472" i="45"/>
  <c r="B7473" i="45"/>
  <c r="C7473" i="45" s="1"/>
  <c r="B7474" i="45"/>
  <c r="C7474" i="45" s="1"/>
  <c r="B7475" i="45"/>
  <c r="C7475" i="45" s="1"/>
  <c r="B7476" i="45"/>
  <c r="C7476" i="45" s="1"/>
  <c r="B7477" i="45"/>
  <c r="C7477" i="45" s="1"/>
  <c r="B7478" i="45"/>
  <c r="C7478" i="45" s="1"/>
  <c r="B7479" i="45"/>
  <c r="C7479" i="45" s="1"/>
  <c r="B7480" i="45"/>
  <c r="C7480" i="45" s="1"/>
  <c r="B7481" i="45"/>
  <c r="C7481" i="45" s="1"/>
  <c r="B7482" i="45"/>
  <c r="C7482" i="45" s="1"/>
  <c r="B7483" i="45"/>
  <c r="C7483" i="45" s="1"/>
  <c r="B7484" i="45"/>
  <c r="C7484" i="45" s="1"/>
  <c r="B7485" i="45"/>
  <c r="C7485" i="45" s="1"/>
  <c r="B7486" i="45"/>
  <c r="C7486" i="45" s="1"/>
  <c r="B7487" i="45"/>
  <c r="C7487" i="45" s="1"/>
  <c r="B7488" i="45"/>
  <c r="C7488" i="45" s="1"/>
  <c r="B7489" i="45"/>
  <c r="C7489" i="45" s="1"/>
  <c r="B7490" i="45"/>
  <c r="C7490" i="45" s="1"/>
  <c r="B7491" i="45"/>
  <c r="C7491" i="45" s="1"/>
  <c r="B7492" i="45"/>
  <c r="C7492" i="45" s="1"/>
  <c r="B7493" i="45"/>
  <c r="C7493" i="45" s="1"/>
  <c r="B7494" i="45"/>
  <c r="C7494" i="45" s="1"/>
  <c r="B7495" i="45"/>
  <c r="C7495" i="45" s="1"/>
  <c r="B7496" i="45"/>
  <c r="C7496" i="45"/>
  <c r="B7497" i="45"/>
  <c r="C7497" i="45" s="1"/>
  <c r="B7498" i="45"/>
  <c r="C7498" i="45" s="1"/>
  <c r="B7499" i="45"/>
  <c r="C7499" i="45" s="1"/>
  <c r="B7500" i="45"/>
  <c r="C7500" i="45" s="1"/>
  <c r="B7501" i="45"/>
  <c r="C7501" i="45" s="1"/>
  <c r="B7502" i="45"/>
  <c r="C7502" i="45" s="1"/>
  <c r="B7503" i="45"/>
  <c r="C7503" i="45" s="1"/>
  <c r="B7504" i="45"/>
  <c r="C7504" i="45" s="1"/>
  <c r="B7505" i="45"/>
  <c r="C7505" i="45"/>
  <c r="B7506" i="45"/>
  <c r="C7506" i="45" s="1"/>
  <c r="B7507" i="45"/>
  <c r="C7507" i="45" s="1"/>
  <c r="B7508" i="45"/>
  <c r="C7508" i="45" s="1"/>
  <c r="B7509" i="45"/>
  <c r="C7509" i="45" s="1"/>
  <c r="B7510" i="45"/>
  <c r="C7510" i="45" s="1"/>
  <c r="B7511" i="45"/>
  <c r="C7511" i="45" s="1"/>
  <c r="B7512" i="45"/>
  <c r="C7512" i="45" s="1"/>
  <c r="B7513" i="45"/>
  <c r="C7513" i="45" s="1"/>
  <c r="B7514" i="45"/>
  <c r="C7514" i="45" s="1"/>
  <c r="B7515" i="45"/>
  <c r="C7515" i="45" s="1"/>
  <c r="B7516" i="45"/>
  <c r="C7516" i="45" s="1"/>
  <c r="B7517" i="45"/>
  <c r="C7517" i="45" s="1"/>
  <c r="B7518" i="45"/>
  <c r="C7518" i="45" s="1"/>
  <c r="B7519" i="45"/>
  <c r="C7519" i="45" s="1"/>
  <c r="B7520" i="45"/>
  <c r="C7520" i="45" s="1"/>
  <c r="B7521" i="45"/>
  <c r="C7521" i="45" s="1"/>
  <c r="B7522" i="45"/>
  <c r="C7522" i="45" s="1"/>
  <c r="B7523" i="45"/>
  <c r="C7523" i="45" s="1"/>
  <c r="B7524" i="45"/>
  <c r="C7524" i="45" s="1"/>
  <c r="B7525" i="45"/>
  <c r="C7525" i="45" s="1"/>
  <c r="B7526" i="45"/>
  <c r="C7526" i="45" s="1"/>
  <c r="B7527" i="45"/>
  <c r="C7527" i="45" s="1"/>
  <c r="B7528" i="45"/>
  <c r="C7528" i="45" s="1"/>
  <c r="B7529" i="45"/>
  <c r="C7529" i="45" s="1"/>
  <c r="B7530" i="45"/>
  <c r="C7530" i="45" s="1"/>
  <c r="B7531" i="45"/>
  <c r="C7531" i="45" s="1"/>
  <c r="B7532" i="45"/>
  <c r="C7532" i="45" s="1"/>
  <c r="B7533" i="45"/>
  <c r="C7533" i="45" s="1"/>
  <c r="B7534" i="45"/>
  <c r="C7534" i="45" s="1"/>
  <c r="B7535" i="45"/>
  <c r="C7535" i="45" s="1"/>
  <c r="B7536" i="45"/>
  <c r="C7536" i="45"/>
  <c r="B7537" i="45"/>
  <c r="C7537" i="45"/>
  <c r="B7538" i="45"/>
  <c r="C7538" i="45" s="1"/>
  <c r="B7539" i="45"/>
  <c r="C7539" i="45" s="1"/>
  <c r="B7540" i="45"/>
  <c r="C7540" i="45" s="1"/>
  <c r="B7541" i="45"/>
  <c r="C7541" i="45" s="1"/>
  <c r="B7542" i="45"/>
  <c r="C7542" i="45" s="1"/>
  <c r="B7543" i="45"/>
  <c r="C7543" i="45" s="1"/>
  <c r="B7544" i="45"/>
  <c r="C7544" i="45" s="1"/>
  <c r="B7545" i="45"/>
  <c r="C7545" i="45"/>
  <c r="B7546" i="45"/>
  <c r="C7546" i="45" s="1"/>
  <c r="B7547" i="45"/>
  <c r="C7547" i="45" s="1"/>
  <c r="B7548" i="45"/>
  <c r="C7548" i="45" s="1"/>
  <c r="O6764" i="45"/>
  <c r="O6765" i="45"/>
  <c r="O6766" i="45"/>
  <c r="O6767" i="45"/>
  <c r="O6768" i="45"/>
  <c r="O6769" i="45"/>
  <c r="O6770" i="45"/>
  <c r="O6771" i="45"/>
  <c r="O6772" i="45"/>
  <c r="O6773" i="45"/>
  <c r="O6774" i="45"/>
  <c r="O6775" i="45"/>
  <c r="O6776" i="45"/>
  <c r="O6777" i="45"/>
  <c r="O6778" i="45"/>
  <c r="O6779" i="45"/>
  <c r="O6780" i="45"/>
  <c r="O6781" i="45"/>
  <c r="O6782" i="45"/>
  <c r="O6783" i="45"/>
  <c r="O6784" i="45"/>
  <c r="O6785" i="45"/>
  <c r="O6786" i="45"/>
  <c r="O6787" i="45"/>
  <c r="O6788" i="45"/>
  <c r="O6789" i="45"/>
  <c r="O6790" i="45"/>
  <c r="O6791" i="45"/>
  <c r="O6792" i="45"/>
  <c r="O6793" i="45"/>
  <c r="O6794" i="45"/>
  <c r="O6795" i="45"/>
  <c r="O6796" i="45"/>
  <c r="O6797" i="45"/>
  <c r="O6798" i="45"/>
  <c r="O6799" i="45"/>
  <c r="O6800" i="45"/>
  <c r="O6801" i="45"/>
  <c r="O6802" i="45"/>
  <c r="O6803" i="45"/>
  <c r="O6804" i="45"/>
  <c r="O6805" i="45"/>
  <c r="O6806" i="45"/>
  <c r="O6807" i="45"/>
  <c r="O6808" i="45"/>
  <c r="O6809" i="45"/>
  <c r="O6810" i="45"/>
  <c r="O6811" i="45"/>
  <c r="O6812" i="45"/>
  <c r="O6813" i="45"/>
  <c r="O6814" i="45"/>
  <c r="O6815" i="45"/>
  <c r="O6816" i="45"/>
  <c r="O6817" i="45"/>
  <c r="O6818" i="45"/>
  <c r="O6819" i="45"/>
  <c r="O6820" i="45"/>
  <c r="O6821" i="45"/>
  <c r="O6822" i="45"/>
  <c r="O6823" i="45"/>
  <c r="O6824" i="45"/>
  <c r="O6825" i="45"/>
  <c r="O6826" i="45"/>
  <c r="O6827" i="45"/>
  <c r="O6828" i="45"/>
  <c r="O6829" i="45"/>
  <c r="O6830" i="45"/>
  <c r="O6831" i="45"/>
  <c r="O6832" i="45"/>
  <c r="O6833" i="45"/>
  <c r="O6834" i="45"/>
  <c r="O6835" i="45"/>
  <c r="O6836" i="45"/>
  <c r="O6837" i="45"/>
  <c r="O6838" i="45"/>
  <c r="O6839" i="45"/>
  <c r="O6840" i="45"/>
  <c r="O6841" i="45"/>
  <c r="O6842" i="45"/>
  <c r="O6843" i="45"/>
  <c r="O6844" i="45"/>
  <c r="O6845" i="45"/>
  <c r="O6846" i="45"/>
  <c r="O6847" i="45"/>
  <c r="O6848" i="45"/>
  <c r="O6849" i="45"/>
  <c r="O6850" i="45"/>
  <c r="O6851" i="45"/>
  <c r="O6852" i="45"/>
  <c r="O6853" i="45"/>
  <c r="O6854" i="45"/>
  <c r="O6855" i="45"/>
  <c r="O6856" i="45"/>
  <c r="O6857" i="45"/>
  <c r="O6858" i="45"/>
  <c r="O6859" i="45"/>
  <c r="O6860" i="45"/>
  <c r="O6861" i="45"/>
  <c r="O6862" i="45"/>
  <c r="O6863" i="45"/>
  <c r="O6864" i="45"/>
  <c r="O6865" i="45"/>
  <c r="O6866" i="45"/>
  <c r="O6867" i="45"/>
  <c r="O6868" i="45"/>
  <c r="O6869" i="45"/>
  <c r="O6870" i="45"/>
  <c r="O6871" i="45"/>
  <c r="O6872" i="45"/>
  <c r="O6873" i="45"/>
  <c r="O6874" i="45"/>
  <c r="O6875" i="45"/>
  <c r="O6876" i="45"/>
  <c r="O6877" i="45"/>
  <c r="O6878" i="45"/>
  <c r="O6879" i="45"/>
  <c r="O6880" i="45"/>
  <c r="O6881" i="45"/>
  <c r="O6882" i="45"/>
  <c r="O6883" i="45"/>
  <c r="O6884" i="45"/>
  <c r="O6885" i="45"/>
  <c r="O6886" i="45"/>
  <c r="O6887" i="45"/>
  <c r="O6888" i="45"/>
  <c r="O6889" i="45"/>
  <c r="O6890" i="45"/>
  <c r="O6891" i="45"/>
  <c r="O6892" i="45"/>
  <c r="O6893" i="45"/>
  <c r="O6894" i="45"/>
  <c r="O6895" i="45"/>
  <c r="O6896" i="45"/>
  <c r="O6897" i="45"/>
  <c r="O6898" i="45"/>
  <c r="O6899" i="45"/>
  <c r="O6900" i="45"/>
  <c r="O6901" i="45"/>
  <c r="O6902" i="45"/>
  <c r="O6903" i="45"/>
  <c r="O6904" i="45"/>
  <c r="O6905" i="45"/>
  <c r="O6906" i="45"/>
  <c r="O6907" i="45"/>
  <c r="O6908" i="45"/>
  <c r="O6909" i="45"/>
  <c r="O6910" i="45"/>
  <c r="O6911" i="45"/>
  <c r="O6912" i="45"/>
  <c r="O6913" i="45"/>
  <c r="O6914" i="45"/>
  <c r="O6915" i="45"/>
  <c r="O6916" i="45"/>
  <c r="O6917" i="45"/>
  <c r="O6918" i="45"/>
  <c r="O6919" i="45"/>
  <c r="O6920" i="45"/>
  <c r="O6921" i="45"/>
  <c r="O6922" i="45"/>
  <c r="O6923" i="45"/>
  <c r="O6924" i="45"/>
  <c r="O6925" i="45"/>
  <c r="O6926" i="45"/>
  <c r="O6927" i="45"/>
  <c r="O6928" i="45"/>
  <c r="O6929" i="45"/>
  <c r="O6930" i="45"/>
  <c r="O6931" i="45"/>
  <c r="O6932" i="45"/>
  <c r="O6933" i="45"/>
  <c r="O6934" i="45"/>
  <c r="O6935" i="45"/>
  <c r="O6936" i="45"/>
  <c r="O6937" i="45"/>
  <c r="O6938" i="45"/>
  <c r="O6939" i="45"/>
  <c r="O6940" i="45"/>
  <c r="O6941" i="45"/>
  <c r="O6942" i="45"/>
  <c r="O6943" i="45"/>
  <c r="O6944" i="45"/>
  <c r="O6945" i="45"/>
  <c r="O6946" i="45"/>
  <c r="O6947" i="45"/>
  <c r="O6948" i="45"/>
  <c r="O6949" i="45"/>
  <c r="O6950" i="45"/>
  <c r="O6951" i="45"/>
  <c r="O6952" i="45"/>
  <c r="O6953" i="45"/>
  <c r="O6954" i="45"/>
  <c r="O6955" i="45"/>
  <c r="O6956" i="45"/>
  <c r="O6957" i="45"/>
  <c r="O6958" i="45"/>
  <c r="O6959" i="45"/>
  <c r="O6960" i="45"/>
  <c r="O6961" i="45"/>
  <c r="O6962" i="45"/>
  <c r="O6963" i="45"/>
  <c r="O6964" i="45"/>
  <c r="O6965" i="45"/>
  <c r="O6966" i="45"/>
  <c r="O6967" i="45"/>
  <c r="O6968" i="45"/>
  <c r="O6969" i="45"/>
  <c r="O6970" i="45"/>
  <c r="O6971" i="45"/>
  <c r="O6972" i="45"/>
  <c r="O6973" i="45"/>
  <c r="O6974" i="45"/>
  <c r="O6975" i="45"/>
  <c r="O6976" i="45"/>
  <c r="O6977" i="45"/>
  <c r="O6978" i="45"/>
  <c r="O6979" i="45"/>
  <c r="O6980" i="45"/>
  <c r="O6981" i="45"/>
  <c r="O6982" i="45"/>
  <c r="O6983" i="45"/>
  <c r="O6984" i="45"/>
  <c r="O6985" i="45"/>
  <c r="O6986" i="45"/>
  <c r="O6987" i="45"/>
  <c r="O6988" i="45"/>
  <c r="O6989" i="45"/>
  <c r="O6990" i="45"/>
  <c r="O6991" i="45"/>
  <c r="O6992" i="45"/>
  <c r="O6993" i="45"/>
  <c r="O6994" i="45"/>
  <c r="O6995" i="45"/>
  <c r="O6996" i="45"/>
  <c r="O6997" i="45"/>
  <c r="O6998" i="45"/>
  <c r="O6999" i="45"/>
  <c r="O7000" i="45"/>
  <c r="O7001" i="45"/>
  <c r="O7002" i="45"/>
  <c r="O7003" i="45"/>
  <c r="O7004" i="45"/>
  <c r="O7005" i="45"/>
  <c r="O7006" i="45"/>
  <c r="O7007" i="45"/>
  <c r="O7008" i="45"/>
  <c r="O7009" i="45"/>
  <c r="O7010" i="45"/>
  <c r="O7011" i="45"/>
  <c r="O7012" i="45"/>
  <c r="O7013" i="45"/>
  <c r="O7014" i="45"/>
  <c r="O7015" i="45"/>
  <c r="O7016" i="45"/>
  <c r="O7017" i="45"/>
  <c r="O7018" i="45"/>
  <c r="O7019" i="45"/>
  <c r="O7020" i="45"/>
  <c r="O7021" i="45"/>
  <c r="O7022" i="45"/>
  <c r="O7023" i="45"/>
  <c r="O7024" i="45"/>
  <c r="O7025" i="45"/>
  <c r="O7026" i="45"/>
  <c r="O7027" i="45"/>
  <c r="O7028" i="45"/>
  <c r="O7029" i="45"/>
  <c r="O7030" i="45"/>
  <c r="O7031" i="45"/>
  <c r="O7032" i="45"/>
  <c r="O7033" i="45"/>
  <c r="O7034" i="45"/>
  <c r="O7035" i="45"/>
  <c r="O7036" i="45"/>
  <c r="O7037" i="45"/>
  <c r="O7038" i="45"/>
  <c r="O7039" i="45"/>
  <c r="O7040" i="45"/>
  <c r="O7041" i="45"/>
  <c r="O7042" i="45"/>
  <c r="O7043" i="45"/>
  <c r="O7044" i="45"/>
  <c r="O7045" i="45"/>
  <c r="O7046" i="45"/>
  <c r="O7047" i="45"/>
  <c r="O7048" i="45"/>
  <c r="O7049" i="45"/>
  <c r="O7050" i="45"/>
  <c r="O7051" i="45"/>
  <c r="O7052" i="45"/>
  <c r="O7053" i="45"/>
  <c r="O7054" i="45"/>
  <c r="O7055" i="45"/>
  <c r="O7056" i="45"/>
  <c r="O7057" i="45"/>
  <c r="O7058" i="45"/>
  <c r="O7059" i="45"/>
  <c r="O7060" i="45"/>
  <c r="O7061" i="45"/>
  <c r="O7062" i="45"/>
  <c r="O7063" i="45"/>
  <c r="O7064" i="45"/>
  <c r="O7065" i="45"/>
  <c r="O7066" i="45"/>
  <c r="O7067" i="45"/>
  <c r="O7068" i="45"/>
  <c r="O7069" i="45"/>
  <c r="O7070" i="45"/>
  <c r="O7071" i="45"/>
  <c r="O7072" i="45"/>
  <c r="O7073" i="45"/>
  <c r="O7074" i="45"/>
  <c r="O7075" i="45"/>
  <c r="O7076" i="45"/>
  <c r="O7077" i="45"/>
  <c r="O7078" i="45"/>
  <c r="O7079" i="45"/>
  <c r="O7080" i="45"/>
  <c r="O7081" i="45"/>
  <c r="O7082" i="45"/>
  <c r="O7083" i="45"/>
  <c r="O7084" i="45"/>
  <c r="O7085" i="45"/>
  <c r="O7086" i="45"/>
  <c r="O7087" i="45"/>
  <c r="O7088" i="45"/>
  <c r="O7089" i="45"/>
  <c r="O7090" i="45"/>
  <c r="O7091" i="45"/>
  <c r="O7092" i="45"/>
  <c r="O7093" i="45"/>
  <c r="O7094" i="45"/>
  <c r="O7095" i="45"/>
  <c r="O7096" i="45"/>
  <c r="O7097" i="45"/>
  <c r="O7098" i="45"/>
  <c r="O7099" i="45"/>
  <c r="O7100" i="45"/>
  <c r="O7101" i="45"/>
  <c r="O7102" i="45"/>
  <c r="O7103" i="45"/>
  <c r="O7104" i="45"/>
  <c r="O7105" i="45"/>
  <c r="O7106" i="45"/>
  <c r="O7107" i="45"/>
  <c r="O7108" i="45"/>
  <c r="O7109" i="45"/>
  <c r="O7110" i="45"/>
  <c r="O7111" i="45"/>
  <c r="O7112" i="45"/>
  <c r="O7113" i="45"/>
  <c r="O7114" i="45"/>
  <c r="O7115" i="45"/>
  <c r="O7116" i="45"/>
  <c r="O7117" i="45"/>
  <c r="O7118" i="45"/>
  <c r="O7119" i="45"/>
  <c r="O7120" i="45"/>
  <c r="O7121" i="45"/>
  <c r="O7122" i="45"/>
  <c r="O7123" i="45"/>
  <c r="O7124" i="45"/>
  <c r="O7125" i="45"/>
  <c r="O7126" i="45"/>
  <c r="O7127" i="45"/>
  <c r="O7128" i="45"/>
  <c r="O7129" i="45"/>
  <c r="O7130" i="45"/>
  <c r="O7131" i="45"/>
  <c r="O7132" i="45"/>
  <c r="O7133" i="45"/>
  <c r="O7134" i="45"/>
  <c r="O7135" i="45"/>
  <c r="O7136" i="45"/>
  <c r="O7137" i="45"/>
  <c r="O7138" i="45"/>
  <c r="O7139" i="45"/>
  <c r="O7140" i="45"/>
  <c r="O7141" i="45"/>
  <c r="O7142" i="45"/>
  <c r="O7143" i="45"/>
  <c r="O7144" i="45"/>
  <c r="O7145" i="45"/>
  <c r="O7146" i="45"/>
  <c r="O7147" i="45"/>
  <c r="O7148" i="45"/>
  <c r="O7149" i="45"/>
  <c r="O7150" i="45"/>
  <c r="O7151" i="45"/>
  <c r="O7152" i="45"/>
  <c r="O7153" i="45"/>
  <c r="O7154" i="45"/>
  <c r="O7155" i="45"/>
  <c r="O7156" i="45"/>
  <c r="O7157" i="45"/>
  <c r="O7158" i="45"/>
  <c r="O7159" i="45"/>
  <c r="O7160" i="45"/>
  <c r="O7161" i="45"/>
  <c r="O7162" i="45"/>
  <c r="O7163" i="45"/>
  <c r="O7164" i="45"/>
  <c r="O7165" i="45"/>
  <c r="O7166" i="45"/>
  <c r="O7167" i="45"/>
  <c r="O7168" i="45"/>
  <c r="O7169" i="45"/>
  <c r="O7170" i="45"/>
  <c r="O7171" i="45"/>
  <c r="O7172" i="45"/>
  <c r="O7173" i="45"/>
  <c r="O7174" i="45"/>
  <c r="O7175" i="45"/>
  <c r="O7176" i="45"/>
  <c r="O7177" i="45"/>
  <c r="O7178" i="45"/>
  <c r="O7179" i="45"/>
  <c r="O7180" i="45"/>
  <c r="O7181" i="45"/>
  <c r="O7182" i="45"/>
  <c r="O7183" i="45"/>
  <c r="O7184" i="45"/>
  <c r="O7185" i="45"/>
  <c r="O7186" i="45"/>
  <c r="O7187" i="45"/>
  <c r="O7188" i="45"/>
  <c r="O7189" i="45"/>
  <c r="O7190" i="45"/>
  <c r="O7191" i="45"/>
  <c r="O7192" i="45"/>
  <c r="O7193" i="45"/>
  <c r="O7194" i="45"/>
  <c r="O7195" i="45"/>
  <c r="O7196" i="45"/>
  <c r="O7197" i="45"/>
  <c r="O7198" i="45"/>
  <c r="O7199" i="45"/>
  <c r="O7200" i="45"/>
  <c r="O7201" i="45"/>
  <c r="O7202" i="45"/>
  <c r="O7203" i="45"/>
  <c r="O7204" i="45"/>
  <c r="O7205" i="45"/>
  <c r="O7206" i="45"/>
  <c r="O7207" i="45"/>
  <c r="O7208" i="45"/>
  <c r="O7209" i="45"/>
  <c r="O7210" i="45"/>
  <c r="O7211" i="45"/>
  <c r="O7212" i="45"/>
  <c r="O7213" i="45"/>
  <c r="O7214" i="45"/>
  <c r="O7215" i="45"/>
  <c r="O7216" i="45"/>
  <c r="O7217" i="45"/>
  <c r="O7218" i="45"/>
  <c r="O7219" i="45"/>
  <c r="O7220" i="45"/>
  <c r="O7221" i="45"/>
  <c r="O7222" i="45"/>
  <c r="O7223" i="45"/>
  <c r="O7224" i="45"/>
  <c r="O7225" i="45"/>
  <c r="O7226" i="45"/>
  <c r="O7227" i="45"/>
  <c r="O7228" i="45"/>
  <c r="O7229" i="45"/>
  <c r="O7230" i="45"/>
  <c r="O7231" i="45"/>
  <c r="O7232" i="45"/>
  <c r="O7233" i="45"/>
  <c r="O7234" i="45"/>
  <c r="O7235" i="45"/>
  <c r="O7236" i="45"/>
  <c r="O7237" i="45"/>
  <c r="O7238" i="45"/>
  <c r="O7239" i="45"/>
  <c r="O7240" i="45"/>
  <c r="O7241" i="45"/>
  <c r="O7242" i="45"/>
  <c r="O7243" i="45"/>
  <c r="O7244" i="45"/>
  <c r="O7245" i="45"/>
  <c r="O7246" i="45"/>
  <c r="O7247" i="45"/>
  <c r="O7248" i="45"/>
  <c r="O7249" i="45"/>
  <c r="O7250" i="45"/>
  <c r="O7251" i="45"/>
  <c r="O7252" i="45"/>
  <c r="O7253" i="45"/>
  <c r="O7254" i="45"/>
  <c r="O7255" i="45"/>
  <c r="O7256" i="45"/>
  <c r="O7257" i="45"/>
  <c r="O7258" i="45"/>
  <c r="O7259" i="45"/>
  <c r="O7260" i="45"/>
  <c r="O7261" i="45"/>
  <c r="O7262" i="45"/>
  <c r="O7263" i="45"/>
  <c r="O7264" i="45"/>
  <c r="O7265" i="45"/>
  <c r="O7266" i="45"/>
  <c r="O7267" i="45"/>
  <c r="O7268" i="45"/>
  <c r="O7269" i="45"/>
  <c r="O7270" i="45"/>
  <c r="O7271" i="45"/>
  <c r="O7272" i="45"/>
  <c r="O7273" i="45"/>
  <c r="O7274" i="45"/>
  <c r="O7275" i="45"/>
  <c r="O7276" i="45"/>
  <c r="O7277" i="45"/>
  <c r="O7278" i="45"/>
  <c r="O7279" i="45"/>
  <c r="O7280" i="45"/>
  <c r="O7281" i="45"/>
  <c r="O7282" i="45"/>
  <c r="O7283" i="45"/>
  <c r="O7284" i="45"/>
  <c r="O7285" i="45"/>
  <c r="O7286" i="45"/>
  <c r="O7287" i="45"/>
  <c r="O7288" i="45"/>
  <c r="O7289" i="45"/>
  <c r="O7290" i="45"/>
  <c r="O7291" i="45"/>
  <c r="O7292" i="45"/>
  <c r="O7293" i="45"/>
  <c r="O7294" i="45"/>
  <c r="O7295" i="45"/>
  <c r="O7296" i="45"/>
  <c r="O7297" i="45"/>
  <c r="O7298" i="45"/>
  <c r="O7299" i="45"/>
  <c r="O7300" i="45"/>
  <c r="O7301" i="45"/>
  <c r="O7302" i="45"/>
  <c r="O7303" i="45"/>
  <c r="O7304" i="45"/>
  <c r="O7305" i="45"/>
  <c r="O7306" i="45"/>
  <c r="O7307" i="45"/>
  <c r="O7308" i="45"/>
  <c r="O7309" i="45"/>
  <c r="O7310" i="45"/>
  <c r="O7311" i="45"/>
  <c r="O7312" i="45"/>
  <c r="O7313" i="45"/>
  <c r="O7314" i="45"/>
  <c r="O7315" i="45"/>
  <c r="O7316" i="45"/>
  <c r="O7317" i="45"/>
  <c r="O7318" i="45"/>
  <c r="O7319" i="45"/>
  <c r="O7320" i="45"/>
  <c r="O7321" i="45"/>
  <c r="O7322" i="45"/>
  <c r="O7323" i="45"/>
  <c r="O7324" i="45"/>
  <c r="O7325" i="45"/>
  <c r="O7326" i="45"/>
  <c r="O7327" i="45"/>
  <c r="O7328" i="45"/>
  <c r="O7329" i="45"/>
  <c r="O7330" i="45"/>
  <c r="O7331" i="45"/>
  <c r="O7332" i="45"/>
  <c r="O7333" i="45"/>
  <c r="O7334" i="45"/>
  <c r="O7335" i="45"/>
  <c r="O7336" i="45"/>
  <c r="O7337" i="45"/>
  <c r="O7338" i="45"/>
  <c r="O7339" i="45"/>
  <c r="O7340" i="45"/>
  <c r="O7341" i="45"/>
  <c r="O7342" i="45"/>
  <c r="O7343" i="45"/>
  <c r="O7344" i="45"/>
  <c r="O7345" i="45"/>
  <c r="O7346" i="45"/>
  <c r="O7347" i="45"/>
  <c r="O7348" i="45"/>
  <c r="O7349" i="45"/>
  <c r="O7350" i="45"/>
  <c r="O7351" i="45"/>
  <c r="O7352" i="45"/>
  <c r="O7353" i="45"/>
  <c r="O7354" i="45"/>
  <c r="O7355" i="45"/>
  <c r="O7356" i="45"/>
  <c r="O7357" i="45"/>
  <c r="O7358" i="45"/>
  <c r="O7359" i="45"/>
  <c r="O7360" i="45"/>
  <c r="O7361" i="45"/>
  <c r="O7362" i="45"/>
  <c r="O7363" i="45"/>
  <c r="O7364" i="45"/>
  <c r="O7365" i="45"/>
  <c r="O7366" i="45"/>
  <c r="O7367" i="45"/>
  <c r="O7368" i="45"/>
  <c r="O7369" i="45"/>
  <c r="O7370" i="45"/>
  <c r="O7371" i="45"/>
  <c r="O7372" i="45"/>
  <c r="O7373" i="45"/>
  <c r="O7374" i="45"/>
  <c r="O7375" i="45"/>
  <c r="O7376" i="45"/>
  <c r="O7377" i="45"/>
  <c r="O7378" i="45"/>
  <c r="O7379" i="45"/>
  <c r="O7380" i="45"/>
  <c r="O7381" i="45"/>
  <c r="O7382" i="45"/>
  <c r="O7383" i="45"/>
  <c r="O7384" i="45"/>
  <c r="O7385" i="45"/>
  <c r="O7386" i="45"/>
  <c r="O7387" i="45"/>
  <c r="O7388" i="45"/>
  <c r="O7389" i="45"/>
  <c r="O7390" i="45"/>
  <c r="O7391" i="45"/>
  <c r="O7392" i="45"/>
  <c r="O7393" i="45"/>
  <c r="O7394" i="45"/>
  <c r="O7395" i="45"/>
  <c r="O7396" i="45"/>
  <c r="O7397" i="45"/>
  <c r="O7398" i="45"/>
  <c r="O7399" i="45"/>
  <c r="O7400" i="45"/>
  <c r="O7401" i="45"/>
  <c r="O7402" i="45"/>
  <c r="O7403" i="45"/>
  <c r="O7404" i="45"/>
  <c r="O7405" i="45"/>
  <c r="O7406" i="45"/>
  <c r="O7407" i="45"/>
  <c r="O7408" i="45"/>
  <c r="O7409" i="45"/>
  <c r="O7410" i="45"/>
  <c r="O7411" i="45"/>
  <c r="O7412" i="45"/>
  <c r="O7413" i="45"/>
  <c r="O7414" i="45"/>
  <c r="O7415" i="45"/>
  <c r="O7416" i="45"/>
  <c r="O7417" i="45"/>
  <c r="O7418" i="45"/>
  <c r="O7419" i="45"/>
  <c r="O7420" i="45"/>
  <c r="O7421" i="45"/>
  <c r="O7422" i="45"/>
  <c r="O7423" i="45"/>
  <c r="O7424" i="45"/>
  <c r="O7425" i="45"/>
  <c r="O7426" i="45"/>
  <c r="O7427" i="45"/>
  <c r="O7428" i="45"/>
  <c r="O7429" i="45"/>
  <c r="O7430" i="45"/>
  <c r="O7431" i="45"/>
  <c r="O7432" i="45"/>
  <c r="O7433" i="45"/>
  <c r="O7434" i="45"/>
  <c r="O7435" i="45"/>
  <c r="O7436" i="45"/>
  <c r="O7437" i="45"/>
  <c r="O7438" i="45"/>
  <c r="O7439" i="45"/>
  <c r="O7440" i="45"/>
  <c r="O7441" i="45"/>
  <c r="O7442" i="45"/>
  <c r="O7443" i="45"/>
  <c r="O7444" i="45"/>
  <c r="O7445" i="45"/>
  <c r="O7446" i="45"/>
  <c r="O7447" i="45"/>
  <c r="O7448" i="45"/>
  <c r="O7449" i="45"/>
  <c r="O7450" i="45"/>
  <c r="O7451" i="45"/>
  <c r="O7452" i="45"/>
  <c r="O7453" i="45"/>
  <c r="O7454" i="45"/>
  <c r="O7455" i="45"/>
  <c r="O7456" i="45"/>
  <c r="O7457" i="45"/>
  <c r="O7458" i="45"/>
  <c r="O7459" i="45"/>
  <c r="O7460" i="45"/>
  <c r="O7461" i="45"/>
  <c r="O7462" i="45"/>
  <c r="O7463" i="45"/>
  <c r="O7464" i="45"/>
  <c r="O7465" i="45"/>
  <c r="O7466" i="45"/>
  <c r="O7467" i="45"/>
  <c r="O7468" i="45"/>
  <c r="O7469" i="45"/>
  <c r="O7470" i="45"/>
  <c r="O7471" i="45"/>
  <c r="O7472" i="45"/>
  <c r="O7473" i="45"/>
  <c r="O7474" i="45"/>
  <c r="O7475" i="45"/>
  <c r="O7476" i="45"/>
  <c r="O7477" i="45"/>
  <c r="O7478" i="45"/>
  <c r="O7479" i="45"/>
  <c r="O7480" i="45"/>
  <c r="O7481" i="45"/>
  <c r="O7482" i="45"/>
  <c r="O7483" i="45"/>
  <c r="O7484" i="45"/>
  <c r="O7485" i="45"/>
  <c r="O7486" i="45"/>
  <c r="O7487" i="45"/>
  <c r="O7488" i="45"/>
  <c r="O7489" i="45"/>
  <c r="O7490" i="45"/>
  <c r="O7491" i="45"/>
  <c r="O7492" i="45"/>
  <c r="O7493" i="45"/>
  <c r="O7494" i="45"/>
  <c r="O7495" i="45"/>
  <c r="O7496" i="45"/>
  <c r="O7497" i="45"/>
  <c r="O7498" i="45"/>
  <c r="O7499" i="45"/>
  <c r="O7500" i="45"/>
  <c r="O7501" i="45"/>
  <c r="O7502" i="45"/>
  <c r="O7503" i="45"/>
  <c r="O7504" i="45"/>
  <c r="O7505" i="45"/>
  <c r="O7506" i="45"/>
  <c r="O7507" i="45"/>
  <c r="O7508" i="45"/>
  <c r="O7509" i="45"/>
  <c r="O7510" i="45"/>
  <c r="O7511" i="45"/>
  <c r="O7512" i="45"/>
  <c r="O7513" i="45"/>
  <c r="O7514" i="45"/>
  <c r="O7515" i="45"/>
  <c r="O7516" i="45"/>
  <c r="O7517" i="45"/>
  <c r="O7518" i="45"/>
  <c r="O7519" i="45"/>
  <c r="O7520" i="45"/>
  <c r="O7521" i="45"/>
  <c r="O7522" i="45"/>
  <c r="O7523" i="45"/>
  <c r="O7524" i="45"/>
  <c r="O7525" i="45"/>
  <c r="O7526" i="45"/>
  <c r="O7527" i="45"/>
  <c r="O7528" i="45"/>
  <c r="O7529" i="45"/>
  <c r="O7530" i="45"/>
  <c r="O7531" i="45"/>
  <c r="O7532" i="45"/>
  <c r="O7533" i="45"/>
  <c r="O7534" i="45"/>
  <c r="O7535" i="45"/>
  <c r="O7536" i="45"/>
  <c r="O7537" i="45"/>
  <c r="O7538" i="45"/>
  <c r="O7539" i="45"/>
  <c r="O7540" i="45"/>
  <c r="O7541" i="45"/>
  <c r="O7542" i="45"/>
  <c r="O7543" i="45"/>
  <c r="O7544" i="45"/>
  <c r="O7545" i="45"/>
  <c r="O7546" i="45"/>
  <c r="O7547" i="45"/>
  <c r="O7548" i="45"/>
  <c r="I6764" i="45"/>
  <c r="I6765" i="45"/>
  <c r="I6766" i="45"/>
  <c r="I6767" i="45"/>
  <c r="I6768" i="45"/>
  <c r="I6769" i="45"/>
  <c r="I6770" i="45"/>
  <c r="I6771" i="45"/>
  <c r="I6772" i="45"/>
  <c r="I6773" i="45"/>
  <c r="I6774" i="45"/>
  <c r="I6775" i="45"/>
  <c r="I6776" i="45"/>
  <c r="I6777" i="45"/>
  <c r="I6778" i="45"/>
  <c r="I6779" i="45"/>
  <c r="I6780" i="45"/>
  <c r="I6781" i="45"/>
  <c r="I6782" i="45"/>
  <c r="I6783" i="45"/>
  <c r="I6784" i="45"/>
  <c r="I6785" i="45"/>
  <c r="I6786" i="45"/>
  <c r="I6787" i="45"/>
  <c r="I6788" i="45"/>
  <c r="I6789" i="45"/>
  <c r="I6790" i="45"/>
  <c r="I6791" i="45"/>
  <c r="I6792" i="45"/>
  <c r="I6793" i="45"/>
  <c r="I6794" i="45"/>
  <c r="I6795" i="45"/>
  <c r="I6796" i="45"/>
  <c r="I6797" i="45"/>
  <c r="I6798" i="45"/>
  <c r="I6799" i="45"/>
  <c r="I6800" i="45"/>
  <c r="I6801" i="45"/>
  <c r="I6802" i="45"/>
  <c r="I6803" i="45"/>
  <c r="I6804" i="45"/>
  <c r="I6805" i="45"/>
  <c r="I6806" i="45"/>
  <c r="I6807" i="45"/>
  <c r="I6808" i="45"/>
  <c r="I6809" i="45"/>
  <c r="I6810" i="45"/>
  <c r="I6811" i="45"/>
  <c r="I6812" i="45"/>
  <c r="I6813" i="45"/>
  <c r="I6814" i="45"/>
  <c r="I6815" i="45"/>
  <c r="I6816" i="45"/>
  <c r="I6817" i="45"/>
  <c r="I6818" i="45"/>
  <c r="I6819" i="45"/>
  <c r="I6820" i="45"/>
  <c r="I6821" i="45"/>
  <c r="I6822" i="45"/>
  <c r="I6823" i="45"/>
  <c r="I6824" i="45"/>
  <c r="I6825" i="45"/>
  <c r="I6826" i="45"/>
  <c r="I6827" i="45"/>
  <c r="I6828" i="45"/>
  <c r="I6829" i="45"/>
  <c r="I6830" i="45"/>
  <c r="I6831" i="45"/>
  <c r="I6832" i="45"/>
  <c r="I6833" i="45"/>
  <c r="I6834" i="45"/>
  <c r="I6835" i="45"/>
  <c r="I6836" i="45"/>
  <c r="I6837" i="45"/>
  <c r="I6838" i="45"/>
  <c r="I6839" i="45"/>
  <c r="I6840" i="45"/>
  <c r="I6841" i="45"/>
  <c r="I6842" i="45"/>
  <c r="I6843" i="45"/>
  <c r="I6844" i="45"/>
  <c r="I6845" i="45"/>
  <c r="I6846" i="45"/>
  <c r="I6847" i="45"/>
  <c r="I6848" i="45"/>
  <c r="I6849" i="45"/>
  <c r="I6850" i="45"/>
  <c r="I6851" i="45"/>
  <c r="I6852" i="45"/>
  <c r="I6853" i="45"/>
  <c r="I6854" i="45"/>
  <c r="I6855" i="45"/>
  <c r="I6856" i="45"/>
  <c r="I6857" i="45"/>
  <c r="I6858" i="45"/>
  <c r="I6859" i="45"/>
  <c r="I6860" i="45"/>
  <c r="I6861" i="45"/>
  <c r="I6862" i="45"/>
  <c r="I6863" i="45"/>
  <c r="I6864" i="45"/>
  <c r="I6865" i="45"/>
  <c r="I6866" i="45"/>
  <c r="I6867" i="45"/>
  <c r="I6868" i="45"/>
  <c r="I6869" i="45"/>
  <c r="I6870" i="45"/>
  <c r="I6871" i="45"/>
  <c r="I6872" i="45"/>
  <c r="I6873" i="45"/>
  <c r="I6874" i="45"/>
  <c r="I6875" i="45"/>
  <c r="I6876" i="45"/>
  <c r="I6877" i="45"/>
  <c r="I6878" i="45"/>
  <c r="I6879" i="45"/>
  <c r="I6880" i="45"/>
  <c r="I6881" i="45"/>
  <c r="I6882" i="45"/>
  <c r="I6883" i="45"/>
  <c r="I6884" i="45"/>
  <c r="I6885" i="45"/>
  <c r="I6886" i="45"/>
  <c r="I6887" i="45"/>
  <c r="I6888" i="45"/>
  <c r="I6889" i="45"/>
  <c r="I6890" i="45"/>
  <c r="I6891" i="45"/>
  <c r="I6892" i="45"/>
  <c r="I6893" i="45"/>
  <c r="I6894" i="45"/>
  <c r="I6895" i="45"/>
  <c r="I6896" i="45"/>
  <c r="I6897" i="45"/>
  <c r="I6898" i="45"/>
  <c r="I6899" i="45"/>
  <c r="I6900" i="45"/>
  <c r="I6901" i="45"/>
  <c r="I6902" i="45"/>
  <c r="I6903" i="45"/>
  <c r="I6904" i="45"/>
  <c r="I6905" i="45"/>
  <c r="I6906" i="45"/>
  <c r="I6907" i="45"/>
  <c r="I6908" i="45"/>
  <c r="I6909" i="45"/>
  <c r="I6910" i="45"/>
  <c r="I6911" i="45"/>
  <c r="I6912" i="45"/>
  <c r="I6913" i="45"/>
  <c r="I6914" i="45"/>
  <c r="I6915" i="45"/>
  <c r="I6916" i="45"/>
  <c r="I6917" i="45"/>
  <c r="I6918" i="45"/>
  <c r="I6919" i="45"/>
  <c r="I6920" i="45"/>
  <c r="I6921" i="45"/>
  <c r="I6922" i="45"/>
  <c r="I6923" i="45"/>
  <c r="I6924" i="45"/>
  <c r="I6925" i="45"/>
  <c r="I6926" i="45"/>
  <c r="I6927" i="45"/>
  <c r="I6928" i="45"/>
  <c r="I6929" i="45"/>
  <c r="I6930" i="45"/>
  <c r="I6931" i="45"/>
  <c r="I6932" i="45"/>
  <c r="I6933" i="45"/>
  <c r="I6934" i="45"/>
  <c r="I6935" i="45"/>
  <c r="I6936" i="45"/>
  <c r="I6937" i="45"/>
  <c r="I6938" i="45"/>
  <c r="I6939" i="45"/>
  <c r="I6940" i="45"/>
  <c r="I6941" i="45"/>
  <c r="I6942" i="45"/>
  <c r="I6943" i="45"/>
  <c r="I6944" i="45"/>
  <c r="I6945" i="45"/>
  <c r="I6946" i="45"/>
  <c r="I6947" i="45"/>
  <c r="I6948" i="45"/>
  <c r="I6949" i="45"/>
  <c r="I6950" i="45"/>
  <c r="I6951" i="45"/>
  <c r="I6952" i="45"/>
  <c r="I6953" i="45"/>
  <c r="I6954" i="45"/>
  <c r="I6955" i="45"/>
  <c r="I6956" i="45"/>
  <c r="I6957" i="45"/>
  <c r="I6958" i="45"/>
  <c r="I6959" i="45"/>
  <c r="I6960" i="45"/>
  <c r="I6961" i="45"/>
  <c r="I6962" i="45"/>
  <c r="I6963" i="45"/>
  <c r="I6964" i="45"/>
  <c r="I6965" i="45"/>
  <c r="I6966" i="45"/>
  <c r="I6967" i="45"/>
  <c r="I6968" i="45"/>
  <c r="I6969" i="45"/>
  <c r="I6970" i="45"/>
  <c r="I6971" i="45"/>
  <c r="I6972" i="45"/>
  <c r="I6973" i="45"/>
  <c r="I6974" i="45"/>
  <c r="I6975" i="45"/>
  <c r="I6976" i="45"/>
  <c r="I6977" i="45"/>
  <c r="I6978" i="45"/>
  <c r="I6979" i="45"/>
  <c r="I6980" i="45"/>
  <c r="I6981" i="45"/>
  <c r="I6982" i="45"/>
  <c r="I6983" i="45"/>
  <c r="I6984" i="45"/>
  <c r="I6985" i="45"/>
  <c r="I6986" i="45"/>
  <c r="I6987" i="45"/>
  <c r="I6988" i="45"/>
  <c r="I6989" i="45"/>
  <c r="I6990" i="45"/>
  <c r="I6991" i="45"/>
  <c r="I6992" i="45"/>
  <c r="I6993" i="45"/>
  <c r="I6994" i="45"/>
  <c r="I6995" i="45"/>
  <c r="I6996" i="45"/>
  <c r="I6997" i="45"/>
  <c r="I6998" i="45"/>
  <c r="I6999" i="45"/>
  <c r="I7000" i="45"/>
  <c r="I7001" i="45"/>
  <c r="I7002" i="45"/>
  <c r="I7003" i="45"/>
  <c r="I7004" i="45"/>
  <c r="I7005" i="45"/>
  <c r="I7006" i="45"/>
  <c r="I7007" i="45"/>
  <c r="I7008" i="45"/>
  <c r="I7009" i="45"/>
  <c r="I7010" i="45"/>
  <c r="I7011" i="45"/>
  <c r="I7012" i="45"/>
  <c r="I7013" i="45"/>
  <c r="I7014" i="45"/>
  <c r="I7015" i="45"/>
  <c r="I7016" i="45"/>
  <c r="I7017" i="45"/>
  <c r="I7018" i="45"/>
  <c r="I7019" i="45"/>
  <c r="I7020" i="45"/>
  <c r="I7021" i="45"/>
  <c r="I7022" i="45"/>
  <c r="I7023" i="45"/>
  <c r="I7024" i="45"/>
  <c r="I7025" i="45"/>
  <c r="I7026" i="45"/>
  <c r="I7027" i="45"/>
  <c r="I7028" i="45"/>
  <c r="I7029" i="45"/>
  <c r="I7030" i="45"/>
  <c r="I7031" i="45"/>
  <c r="I7032" i="45"/>
  <c r="I7033" i="45"/>
  <c r="I7034" i="45"/>
  <c r="I7035" i="45"/>
  <c r="I7036" i="45"/>
  <c r="I7037" i="45"/>
  <c r="I7038" i="45"/>
  <c r="I7039" i="45"/>
  <c r="I7040" i="45"/>
  <c r="I7041" i="45"/>
  <c r="I7042" i="45"/>
  <c r="I7043" i="45"/>
  <c r="I7044" i="45"/>
  <c r="I7045" i="45"/>
  <c r="I7046" i="45"/>
  <c r="I7047" i="45"/>
  <c r="I7048" i="45"/>
  <c r="I7049" i="45"/>
  <c r="I7050" i="45"/>
  <c r="I7051" i="45"/>
  <c r="I7052" i="45"/>
  <c r="I7053" i="45"/>
  <c r="I7054" i="45"/>
  <c r="I7055" i="45"/>
  <c r="I7056" i="45"/>
  <c r="I7057" i="45"/>
  <c r="I7058" i="45"/>
  <c r="I7059" i="45"/>
  <c r="I7060" i="45"/>
  <c r="I7061" i="45"/>
  <c r="I7062" i="45"/>
  <c r="I7063" i="45"/>
  <c r="I7064" i="45"/>
  <c r="I7065" i="45"/>
  <c r="I7066" i="45"/>
  <c r="I7067" i="45"/>
  <c r="I7068" i="45"/>
  <c r="I7069" i="45"/>
  <c r="I7070" i="45"/>
  <c r="I7071" i="45"/>
  <c r="I7072" i="45"/>
  <c r="I7073" i="45"/>
  <c r="I7074" i="45"/>
  <c r="I7075" i="45"/>
  <c r="I7076" i="45"/>
  <c r="I7077" i="45"/>
  <c r="I7078" i="45"/>
  <c r="I7079" i="45"/>
  <c r="I7080" i="45"/>
  <c r="I7081" i="45"/>
  <c r="I7082" i="45"/>
  <c r="I7083" i="45"/>
  <c r="I7084" i="45"/>
  <c r="I7085" i="45"/>
  <c r="I7086" i="45"/>
  <c r="I7087" i="45"/>
  <c r="I7088" i="45"/>
  <c r="I7089" i="45"/>
  <c r="I7090" i="45"/>
  <c r="I7091" i="45"/>
  <c r="I7092" i="45"/>
  <c r="I7093" i="45"/>
  <c r="I7094" i="45"/>
  <c r="I7095" i="45"/>
  <c r="I7096" i="45"/>
  <c r="I7097" i="45"/>
  <c r="I7098" i="45"/>
  <c r="I7099" i="45"/>
  <c r="I7100" i="45"/>
  <c r="I7101" i="45"/>
  <c r="I7102" i="45"/>
  <c r="I7103" i="45"/>
  <c r="I7104" i="45"/>
  <c r="I7105" i="45"/>
  <c r="I7106" i="45"/>
  <c r="I7107" i="45"/>
  <c r="I7108" i="45"/>
  <c r="I7109" i="45"/>
  <c r="I7110" i="45"/>
  <c r="I7111" i="45"/>
  <c r="I7112" i="45"/>
  <c r="I7113" i="45"/>
  <c r="I7114" i="45"/>
  <c r="I7115" i="45"/>
  <c r="I7116" i="45"/>
  <c r="I7117" i="45"/>
  <c r="I7118" i="45"/>
  <c r="I7119" i="45"/>
  <c r="I7120" i="45"/>
  <c r="I7121" i="45"/>
  <c r="I7122" i="45"/>
  <c r="I7123" i="45"/>
  <c r="I7124" i="45"/>
  <c r="I7125" i="45"/>
  <c r="I7126" i="45"/>
  <c r="I7127" i="45"/>
  <c r="I7128" i="45"/>
  <c r="I7129" i="45"/>
  <c r="I7130" i="45"/>
  <c r="I7131" i="45"/>
  <c r="I7132" i="45"/>
  <c r="I7133" i="45"/>
  <c r="I7134" i="45"/>
  <c r="I7135" i="45"/>
  <c r="I7136" i="45"/>
  <c r="I7137" i="45"/>
  <c r="I7138" i="45"/>
  <c r="I7139" i="45"/>
  <c r="I7140" i="45"/>
  <c r="I7141" i="45"/>
  <c r="I7142" i="45"/>
  <c r="I7143" i="45"/>
  <c r="I7144" i="45"/>
  <c r="I7145" i="45"/>
  <c r="I7146" i="45"/>
  <c r="I7147" i="45"/>
  <c r="I7148" i="45"/>
  <c r="I7149" i="45"/>
  <c r="I7150" i="45"/>
  <c r="I7151" i="45"/>
  <c r="I7152" i="45"/>
  <c r="I7153" i="45"/>
  <c r="I7154" i="45"/>
  <c r="I7155" i="45"/>
  <c r="I7156" i="45"/>
  <c r="I7157" i="45"/>
  <c r="I7158" i="45"/>
  <c r="I7159" i="45"/>
  <c r="I7160" i="45"/>
  <c r="I7161" i="45"/>
  <c r="I7162" i="45"/>
  <c r="I7163" i="45"/>
  <c r="I7164" i="45"/>
  <c r="I7165" i="45"/>
  <c r="I7166" i="45"/>
  <c r="I7167" i="45"/>
  <c r="I7168" i="45"/>
  <c r="I7169" i="45"/>
  <c r="I7170" i="45"/>
  <c r="I7171" i="45"/>
  <c r="I7172" i="45"/>
  <c r="I7173" i="45"/>
  <c r="I7174" i="45"/>
  <c r="I7175" i="45"/>
  <c r="I7176" i="45"/>
  <c r="I7177" i="45"/>
  <c r="I7178" i="45"/>
  <c r="I7179" i="45"/>
  <c r="I7180" i="45"/>
  <c r="I7181" i="45"/>
  <c r="I7182" i="45"/>
  <c r="I7183" i="45"/>
  <c r="I7184" i="45"/>
  <c r="I7185" i="45"/>
  <c r="I7186" i="45"/>
  <c r="I7187" i="45"/>
  <c r="I7188" i="45"/>
  <c r="I7189" i="45"/>
  <c r="I7190" i="45"/>
  <c r="I7191" i="45"/>
  <c r="I7192" i="45"/>
  <c r="I7193" i="45"/>
  <c r="I7194" i="45"/>
  <c r="I7195" i="45"/>
  <c r="I7196" i="45"/>
  <c r="I7197" i="45"/>
  <c r="I7198" i="45"/>
  <c r="I7199" i="45"/>
  <c r="I7200" i="45"/>
  <c r="I7201" i="45"/>
  <c r="I7202" i="45"/>
  <c r="I7203" i="45"/>
  <c r="I7204" i="45"/>
  <c r="I7205" i="45"/>
  <c r="I7206" i="45"/>
  <c r="I7207" i="45"/>
  <c r="I7208" i="45"/>
  <c r="I7209" i="45"/>
  <c r="I7210" i="45"/>
  <c r="I7211" i="45"/>
  <c r="I7212" i="45"/>
  <c r="I7213" i="45"/>
  <c r="I7214" i="45"/>
  <c r="I7215" i="45"/>
  <c r="I7216" i="45"/>
  <c r="I7217" i="45"/>
  <c r="I7218" i="45"/>
  <c r="I7219" i="45"/>
  <c r="I7220" i="45"/>
  <c r="I7221" i="45"/>
  <c r="I7222" i="45"/>
  <c r="I7223" i="45"/>
  <c r="I7224" i="45"/>
  <c r="I7225" i="45"/>
  <c r="I7226" i="45"/>
  <c r="I7227" i="45"/>
  <c r="I7228" i="45"/>
  <c r="I7229" i="45"/>
  <c r="I7230" i="45"/>
  <c r="I7231" i="45"/>
  <c r="I7232" i="45"/>
  <c r="I7233" i="45"/>
  <c r="I7234" i="45"/>
  <c r="I7235" i="45"/>
  <c r="I7236" i="45"/>
  <c r="I7237" i="45"/>
  <c r="I7238" i="45"/>
  <c r="I7239" i="45"/>
  <c r="I7240" i="45"/>
  <c r="I7241" i="45"/>
  <c r="I7242" i="45"/>
  <c r="I7243" i="45"/>
  <c r="I7244" i="45"/>
  <c r="I7245" i="45"/>
  <c r="I7246" i="45"/>
  <c r="I7247" i="45"/>
  <c r="I7248" i="45"/>
  <c r="I7249" i="45"/>
  <c r="I7250" i="45"/>
  <c r="I7251" i="45"/>
  <c r="I7252" i="45"/>
  <c r="I7253" i="45"/>
  <c r="I7254" i="45"/>
  <c r="I7255" i="45"/>
  <c r="I7256" i="45"/>
  <c r="I7257" i="45"/>
  <c r="I7258" i="45"/>
  <c r="I7259" i="45"/>
  <c r="I7260" i="45"/>
  <c r="I7261" i="45"/>
  <c r="I7262" i="45"/>
  <c r="I7263" i="45"/>
  <c r="I7264" i="45"/>
  <c r="I7265" i="45"/>
  <c r="I7266" i="45"/>
  <c r="I7267" i="45"/>
  <c r="I7268" i="45"/>
  <c r="I7269" i="45"/>
  <c r="I7270" i="45"/>
  <c r="I7271" i="45"/>
  <c r="I7272" i="45"/>
  <c r="I7273" i="45"/>
  <c r="I7274" i="45"/>
  <c r="I7275" i="45"/>
  <c r="I7276" i="45"/>
  <c r="I7277" i="45"/>
  <c r="I7278" i="45"/>
  <c r="I7279" i="45"/>
  <c r="I7280" i="45"/>
  <c r="I7281" i="45"/>
  <c r="I7282" i="45"/>
  <c r="I7283" i="45"/>
  <c r="I7284" i="45"/>
  <c r="I7285" i="45"/>
  <c r="I7286" i="45"/>
  <c r="I7287" i="45"/>
  <c r="I7288" i="45"/>
  <c r="I7289" i="45"/>
  <c r="I7290" i="45"/>
  <c r="I7291" i="45"/>
  <c r="I7292" i="45"/>
  <c r="I7293" i="45"/>
  <c r="I7294" i="45"/>
  <c r="I7295" i="45"/>
  <c r="I7296" i="45"/>
  <c r="I7297" i="45"/>
  <c r="I7298" i="45"/>
  <c r="I7299" i="45"/>
  <c r="I7300" i="45"/>
  <c r="I7301" i="45"/>
  <c r="I7302" i="45"/>
  <c r="I7303" i="45"/>
  <c r="I7304" i="45"/>
  <c r="I7305" i="45"/>
  <c r="I7306" i="45"/>
  <c r="I7307" i="45"/>
  <c r="I7308" i="45"/>
  <c r="I7309" i="45"/>
  <c r="I7310" i="45"/>
  <c r="I7311" i="45"/>
  <c r="I7312" i="45"/>
  <c r="I7313" i="45"/>
  <c r="I7314" i="45"/>
  <c r="I7315" i="45"/>
  <c r="I7316" i="45"/>
  <c r="I7317" i="45"/>
  <c r="I7318" i="45"/>
  <c r="I7319" i="45"/>
  <c r="I7320" i="45"/>
  <c r="I7321" i="45"/>
  <c r="I7322" i="45"/>
  <c r="I7323" i="45"/>
  <c r="I7324" i="45"/>
  <c r="I7325" i="45"/>
  <c r="I7326" i="45"/>
  <c r="I7327" i="45"/>
  <c r="I7328" i="45"/>
  <c r="I7329" i="45"/>
  <c r="I7330" i="45"/>
  <c r="I7331" i="45"/>
  <c r="I7332" i="45"/>
  <c r="I7333" i="45"/>
  <c r="I7334" i="45"/>
  <c r="I7335" i="45"/>
  <c r="I7336" i="45"/>
  <c r="I7337" i="45"/>
  <c r="I7338" i="45"/>
  <c r="I7339" i="45"/>
  <c r="I7340" i="45"/>
  <c r="I7341" i="45"/>
  <c r="I7342" i="45"/>
  <c r="I7343" i="45"/>
  <c r="I7344" i="45"/>
  <c r="I7345" i="45"/>
  <c r="I7346" i="45"/>
  <c r="I7347" i="45"/>
  <c r="I7348" i="45"/>
  <c r="I7349" i="45"/>
  <c r="I7350" i="45"/>
  <c r="I7351" i="45"/>
  <c r="I7352" i="45"/>
  <c r="I7353" i="45"/>
  <c r="I7354" i="45"/>
  <c r="I7355" i="45"/>
  <c r="I7356" i="45"/>
  <c r="I7357" i="45"/>
  <c r="I7358" i="45"/>
  <c r="I7359" i="45"/>
  <c r="I7360" i="45"/>
  <c r="I7361" i="45"/>
  <c r="I7362" i="45"/>
  <c r="I7363" i="45"/>
  <c r="I7364" i="45"/>
  <c r="I7365" i="45"/>
  <c r="I7366" i="45"/>
  <c r="I7367" i="45"/>
  <c r="I7368" i="45"/>
  <c r="I7369" i="45"/>
  <c r="I7370" i="45"/>
  <c r="I7371" i="45"/>
  <c r="I7372" i="45"/>
  <c r="I7373" i="45"/>
  <c r="I7374" i="45"/>
  <c r="I7375" i="45"/>
  <c r="I7376" i="45"/>
  <c r="I7377" i="45"/>
  <c r="I7378" i="45"/>
  <c r="I7379" i="45"/>
  <c r="I7380" i="45"/>
  <c r="I7381" i="45"/>
  <c r="I7382" i="45"/>
  <c r="I7383" i="45"/>
  <c r="I7384" i="45"/>
  <c r="I7385" i="45"/>
  <c r="I7386" i="45"/>
  <c r="I7387" i="45"/>
  <c r="I7388" i="45"/>
  <c r="I7389" i="45"/>
  <c r="I7390" i="45"/>
  <c r="I7391" i="45"/>
  <c r="I7392" i="45"/>
  <c r="I7393" i="45"/>
  <c r="I7394" i="45"/>
  <c r="I7395" i="45"/>
  <c r="I7396" i="45"/>
  <c r="I7397" i="45"/>
  <c r="I7398" i="45"/>
  <c r="I7399" i="45"/>
  <c r="I7400" i="45"/>
  <c r="I7401" i="45"/>
  <c r="I7402" i="45"/>
  <c r="I7403" i="45"/>
  <c r="I7404" i="45"/>
  <c r="I7405" i="45"/>
  <c r="I7406" i="45"/>
  <c r="I7407" i="45"/>
  <c r="I7408" i="45"/>
  <c r="I7409" i="45"/>
  <c r="I7410" i="45"/>
  <c r="I7411" i="45"/>
  <c r="I7412" i="45"/>
  <c r="I7413" i="45"/>
  <c r="I7414" i="45"/>
  <c r="I7415" i="45"/>
  <c r="I7416" i="45"/>
  <c r="I7417" i="45"/>
  <c r="I7418" i="45"/>
  <c r="I7419" i="45"/>
  <c r="I7420" i="45"/>
  <c r="I7421" i="45"/>
  <c r="I7422" i="45"/>
  <c r="I7423" i="45"/>
  <c r="I7424" i="45"/>
  <c r="I7425" i="45"/>
  <c r="I7426" i="45"/>
  <c r="I7427" i="45"/>
  <c r="I7428" i="45"/>
  <c r="I7429" i="45"/>
  <c r="I7430" i="45"/>
  <c r="I7431" i="45"/>
  <c r="I7432" i="45"/>
  <c r="I7433" i="45"/>
  <c r="I7434" i="45"/>
  <c r="I7435" i="45"/>
  <c r="I7436" i="45"/>
  <c r="I7437" i="45"/>
  <c r="I7438" i="45"/>
  <c r="I7439" i="45"/>
  <c r="I7440" i="45"/>
  <c r="I7441" i="45"/>
  <c r="I7442" i="45"/>
  <c r="I7443" i="45"/>
  <c r="I7444" i="45"/>
  <c r="I7445" i="45"/>
  <c r="I7446" i="45"/>
  <c r="I7447" i="45"/>
  <c r="I7448" i="45"/>
  <c r="I7449" i="45"/>
  <c r="I7450" i="45"/>
  <c r="I7451" i="45"/>
  <c r="I7452" i="45"/>
  <c r="I7453" i="45"/>
  <c r="I7454" i="45"/>
  <c r="I7455" i="45"/>
  <c r="I7456" i="45"/>
  <c r="I7457" i="45"/>
  <c r="I7458" i="45"/>
  <c r="I7459" i="45"/>
  <c r="I7460" i="45"/>
  <c r="I7461" i="45"/>
  <c r="I7462" i="45"/>
  <c r="I7463" i="45"/>
  <c r="I7464" i="45"/>
  <c r="I7465" i="45"/>
  <c r="I7466" i="45"/>
  <c r="I7467" i="45"/>
  <c r="I7468" i="45"/>
  <c r="I7469" i="45"/>
  <c r="I7470" i="45"/>
  <c r="I7471" i="45"/>
  <c r="I7472" i="45"/>
  <c r="I7473" i="45"/>
  <c r="I7474" i="45"/>
  <c r="I7475" i="45"/>
  <c r="I7476" i="45"/>
  <c r="I7477" i="45"/>
  <c r="I7478" i="45"/>
  <c r="I7479" i="45"/>
  <c r="I7480" i="45"/>
  <c r="I7481" i="45"/>
  <c r="I7482" i="45"/>
  <c r="I7483" i="45"/>
  <c r="I7484" i="45"/>
  <c r="I7485" i="45"/>
  <c r="I7486" i="45"/>
  <c r="I7487" i="45"/>
  <c r="I7488" i="45"/>
  <c r="I7489" i="45"/>
  <c r="I7490" i="45"/>
  <c r="I7491" i="45"/>
  <c r="I7492" i="45"/>
  <c r="I7493" i="45"/>
  <c r="I7494" i="45"/>
  <c r="I7495" i="45"/>
  <c r="I7496" i="45"/>
  <c r="I7497" i="45"/>
  <c r="I7498" i="45"/>
  <c r="I7499" i="45"/>
  <c r="I7500" i="45"/>
  <c r="I7501" i="45"/>
  <c r="I7502" i="45"/>
  <c r="I7503" i="45"/>
  <c r="I7504" i="45"/>
  <c r="I7505" i="45"/>
  <c r="I7506" i="45"/>
  <c r="I7507" i="45"/>
  <c r="I7508" i="45"/>
  <c r="I7509" i="45"/>
  <c r="I7510" i="45"/>
  <c r="I7511" i="45"/>
  <c r="I7512" i="45"/>
  <c r="I7513" i="45"/>
  <c r="I7514" i="45"/>
  <c r="I7515" i="45"/>
  <c r="I7516" i="45"/>
  <c r="I7517" i="45"/>
  <c r="I7518" i="45"/>
  <c r="I7519" i="45"/>
  <c r="I7520" i="45"/>
  <c r="I7521" i="45"/>
  <c r="I7522" i="45"/>
  <c r="I7523" i="45"/>
  <c r="I7524" i="45"/>
  <c r="I7525" i="45"/>
  <c r="I7526" i="45"/>
  <c r="I7527" i="45"/>
  <c r="I7528" i="45"/>
  <c r="I7529" i="45"/>
  <c r="I7530" i="45"/>
  <c r="I7531" i="45"/>
  <c r="I7532" i="45"/>
  <c r="I7533" i="45"/>
  <c r="I7534" i="45"/>
  <c r="I7535" i="45"/>
  <c r="I7536" i="45"/>
  <c r="I7537" i="45"/>
  <c r="I7538" i="45"/>
  <c r="I7539" i="45"/>
  <c r="I7540" i="45"/>
  <c r="I7541" i="45"/>
  <c r="I7542" i="45"/>
  <c r="I7543" i="45"/>
  <c r="I7544" i="45"/>
  <c r="I7545" i="45"/>
  <c r="I7546" i="45"/>
  <c r="I7547" i="45"/>
  <c r="I7548" i="45"/>
  <c r="O6695" i="45"/>
  <c r="O6696" i="45"/>
  <c r="O6697" i="45"/>
  <c r="O6698" i="45"/>
  <c r="O6699" i="45"/>
  <c r="O6700" i="45"/>
  <c r="O6701" i="45"/>
  <c r="O6702" i="45"/>
  <c r="O6703" i="45"/>
  <c r="O6704" i="45"/>
  <c r="O6705" i="45"/>
  <c r="O6706" i="45"/>
  <c r="O6707" i="45"/>
  <c r="O6708" i="45"/>
  <c r="O6709" i="45"/>
  <c r="O6710" i="45"/>
  <c r="O6711" i="45"/>
  <c r="O6712" i="45"/>
  <c r="O6713" i="45"/>
  <c r="O6714" i="45"/>
  <c r="O6715" i="45"/>
  <c r="O6716" i="45"/>
  <c r="O6717" i="45"/>
  <c r="O6718" i="45"/>
  <c r="O6719" i="45"/>
  <c r="O6720" i="45"/>
  <c r="O6721" i="45"/>
  <c r="O6722" i="45"/>
  <c r="O6723" i="45"/>
  <c r="O6724" i="45"/>
  <c r="O6725" i="45"/>
  <c r="O6726" i="45"/>
  <c r="O6727" i="45"/>
  <c r="O6728" i="45"/>
  <c r="O6729" i="45"/>
  <c r="O6730" i="45"/>
  <c r="O6731" i="45"/>
  <c r="O6732" i="45"/>
  <c r="O6733" i="45"/>
  <c r="O6734" i="45"/>
  <c r="O6735" i="45"/>
  <c r="O6736" i="45"/>
  <c r="O6737" i="45"/>
  <c r="O6738" i="45"/>
  <c r="O6739" i="45"/>
  <c r="O6740" i="45"/>
  <c r="O6741" i="45"/>
  <c r="O6742" i="45"/>
  <c r="O6743" i="45"/>
  <c r="O6744" i="45"/>
  <c r="O6745" i="45"/>
  <c r="O6746" i="45"/>
  <c r="O6747" i="45"/>
  <c r="O6748" i="45"/>
  <c r="O6749" i="45"/>
  <c r="O6750" i="45"/>
  <c r="O6751" i="45"/>
  <c r="O6752" i="45"/>
  <c r="O6753" i="45"/>
  <c r="O6754" i="45"/>
  <c r="O6755" i="45"/>
  <c r="O6756" i="45"/>
  <c r="O6757" i="45"/>
  <c r="O6758" i="45"/>
  <c r="O6759" i="45"/>
  <c r="O6760" i="45"/>
  <c r="O6761" i="45"/>
  <c r="O6762" i="45"/>
  <c r="O6763" i="45"/>
  <c r="O6694" i="45"/>
  <c r="I6694" i="45"/>
  <c r="I6695" i="45"/>
  <c r="I6696" i="45"/>
  <c r="I6697" i="45"/>
  <c r="I6698" i="45"/>
  <c r="I6699" i="45"/>
  <c r="I6700" i="45"/>
  <c r="I6701" i="45"/>
  <c r="I6702" i="45"/>
  <c r="I6703" i="45"/>
  <c r="I6704" i="45"/>
  <c r="I6705" i="45"/>
  <c r="I6706" i="45"/>
  <c r="I6707" i="45"/>
  <c r="I6708" i="45"/>
  <c r="I6709" i="45"/>
  <c r="I6710" i="45"/>
  <c r="I6711" i="45"/>
  <c r="I6712" i="45"/>
  <c r="I6713" i="45"/>
  <c r="I6714" i="45"/>
  <c r="I6715" i="45"/>
  <c r="I6716" i="45"/>
  <c r="I6717" i="45"/>
  <c r="I6718" i="45"/>
  <c r="I6719" i="45"/>
  <c r="I6720" i="45"/>
  <c r="I6721" i="45"/>
  <c r="I6722" i="45"/>
  <c r="I6723" i="45"/>
  <c r="I6724" i="45"/>
  <c r="I6725" i="45"/>
  <c r="I6726" i="45"/>
  <c r="I6727" i="45"/>
  <c r="I6728" i="45"/>
  <c r="I6729" i="45"/>
  <c r="I6730" i="45"/>
  <c r="I6731" i="45"/>
  <c r="I6732" i="45"/>
  <c r="I6733" i="45"/>
  <c r="I6734" i="45"/>
  <c r="I6735" i="45"/>
  <c r="I6736" i="45"/>
  <c r="I6737" i="45"/>
  <c r="I6738" i="45"/>
  <c r="I6739" i="45"/>
  <c r="I6740" i="45"/>
  <c r="I6741" i="45"/>
  <c r="I6742" i="45"/>
  <c r="I6743" i="45"/>
  <c r="I6744" i="45"/>
  <c r="I6745" i="45"/>
  <c r="I6746" i="45"/>
  <c r="I6747" i="45"/>
  <c r="I6748" i="45"/>
  <c r="I6749" i="45"/>
  <c r="I6750" i="45"/>
  <c r="I6751" i="45"/>
  <c r="I6752" i="45"/>
  <c r="I6753" i="45"/>
  <c r="I6754" i="45"/>
  <c r="I6755" i="45"/>
  <c r="I6756" i="45"/>
  <c r="I6757" i="45"/>
  <c r="I6758" i="45"/>
  <c r="I6759" i="45"/>
  <c r="I6760" i="45"/>
  <c r="I6761" i="45"/>
  <c r="I6762" i="45"/>
  <c r="I6763" i="45"/>
  <c r="I6490" i="45"/>
  <c r="I6491" i="45"/>
  <c r="I6492" i="45"/>
  <c r="I6493" i="45"/>
  <c r="I6494" i="45"/>
  <c r="I6495" i="45"/>
  <c r="I6496" i="45"/>
  <c r="I6497" i="45"/>
  <c r="I6498" i="45"/>
  <c r="I6499" i="45"/>
  <c r="I6500" i="45"/>
  <c r="I6501" i="45"/>
  <c r="I6502" i="45"/>
  <c r="I6503" i="45"/>
  <c r="I6504" i="45"/>
  <c r="I6505" i="45"/>
  <c r="I6506" i="45"/>
  <c r="I6507" i="45"/>
  <c r="I6508" i="45"/>
  <c r="I6509" i="45"/>
  <c r="I6510" i="45"/>
  <c r="I6511" i="45"/>
  <c r="I6512" i="45"/>
  <c r="I6513" i="45"/>
  <c r="I6514" i="45"/>
  <c r="I6515" i="45"/>
  <c r="I6516" i="45"/>
  <c r="I6517" i="45"/>
  <c r="I6518" i="45"/>
  <c r="I6519" i="45"/>
  <c r="I6520" i="45"/>
  <c r="I6521" i="45"/>
  <c r="I6522" i="45"/>
  <c r="I6523" i="45"/>
  <c r="I6524" i="45"/>
  <c r="I6525" i="45"/>
  <c r="I6526" i="45"/>
  <c r="I6527" i="45"/>
  <c r="I6528" i="45"/>
  <c r="I6529" i="45"/>
  <c r="I6530" i="45"/>
  <c r="I6531" i="45"/>
  <c r="I6532" i="45"/>
  <c r="I6533" i="45"/>
  <c r="I6534" i="45"/>
  <c r="I6535" i="45"/>
  <c r="I6536" i="45"/>
  <c r="I6537" i="45"/>
  <c r="I6538" i="45"/>
  <c r="I6539" i="45"/>
  <c r="I6540" i="45"/>
  <c r="I6541" i="45"/>
  <c r="I6542" i="45"/>
  <c r="I6543" i="45"/>
  <c r="I6544" i="45"/>
  <c r="I6545" i="45"/>
  <c r="I6546" i="45"/>
  <c r="I6547" i="45"/>
  <c r="I6548" i="45"/>
  <c r="I6549" i="45"/>
  <c r="I6550" i="45"/>
  <c r="I6551" i="45"/>
  <c r="I6552" i="45"/>
  <c r="I6553" i="45"/>
  <c r="I6554" i="45"/>
  <c r="I6555" i="45"/>
  <c r="I6556" i="45"/>
  <c r="I6557" i="45"/>
  <c r="I6558" i="45"/>
  <c r="I6559" i="45"/>
  <c r="I6560" i="45"/>
  <c r="I6561" i="45"/>
  <c r="I6562" i="45"/>
  <c r="I6563" i="45"/>
  <c r="I6564" i="45"/>
  <c r="I6565" i="45"/>
  <c r="I6566" i="45"/>
  <c r="I6567" i="45"/>
  <c r="I6568" i="45"/>
  <c r="I6569" i="45"/>
  <c r="I6570" i="45"/>
  <c r="I6571" i="45"/>
  <c r="I6572" i="45"/>
  <c r="I6573" i="45"/>
  <c r="I6574" i="45"/>
  <c r="I6575" i="45"/>
  <c r="I6576" i="45"/>
  <c r="I6577" i="45"/>
  <c r="I6578" i="45"/>
  <c r="I6579" i="45"/>
  <c r="I6580" i="45"/>
  <c r="I6581" i="45"/>
  <c r="I6582" i="45"/>
  <c r="I6583" i="45"/>
  <c r="I6584" i="45"/>
  <c r="I6585" i="45"/>
  <c r="I6586" i="45"/>
  <c r="I6587" i="45"/>
  <c r="I6588" i="45"/>
  <c r="I6589" i="45"/>
  <c r="I6590" i="45"/>
  <c r="I6591" i="45"/>
  <c r="I6592" i="45"/>
  <c r="I6593" i="45"/>
  <c r="I6594" i="45"/>
  <c r="I6595" i="45"/>
  <c r="I6596" i="45"/>
  <c r="I6597" i="45"/>
  <c r="I6598" i="45"/>
  <c r="I6599" i="45"/>
  <c r="I6600" i="45"/>
  <c r="I6601" i="45"/>
  <c r="I6602" i="45"/>
  <c r="I6603" i="45"/>
  <c r="I6604" i="45"/>
  <c r="I6605" i="45"/>
  <c r="I6606" i="45"/>
  <c r="I6607" i="45"/>
  <c r="I6608" i="45"/>
  <c r="I6609" i="45"/>
  <c r="I6610" i="45"/>
  <c r="I6611" i="45"/>
  <c r="I6612" i="45"/>
  <c r="I6613" i="45"/>
  <c r="I6614" i="45"/>
  <c r="I6615" i="45"/>
  <c r="I6616" i="45"/>
  <c r="I6617" i="45"/>
  <c r="I6618" i="45"/>
  <c r="I6619" i="45"/>
  <c r="I6620" i="45"/>
  <c r="I6621" i="45"/>
  <c r="I6622" i="45"/>
  <c r="I6623" i="45"/>
  <c r="I6624" i="45"/>
  <c r="I6625" i="45"/>
  <c r="I6626" i="45"/>
  <c r="I6627" i="45"/>
  <c r="I6628" i="45"/>
  <c r="I6629" i="45"/>
  <c r="I6630" i="45"/>
  <c r="I6631" i="45"/>
  <c r="I6632" i="45"/>
  <c r="I6633" i="45"/>
  <c r="I6634" i="45"/>
  <c r="I6635" i="45"/>
  <c r="I6636" i="45"/>
  <c r="I6637" i="45"/>
  <c r="I6638" i="45"/>
  <c r="I6639" i="45"/>
  <c r="I6640" i="45"/>
  <c r="I6641" i="45"/>
  <c r="I6642" i="45"/>
  <c r="I6643" i="45"/>
  <c r="I6644" i="45"/>
  <c r="I6645" i="45"/>
  <c r="I6646" i="45"/>
  <c r="I6647" i="45"/>
  <c r="I6648" i="45"/>
  <c r="I6649" i="45"/>
  <c r="I6650" i="45"/>
  <c r="I6651" i="45"/>
  <c r="I6652" i="45"/>
  <c r="I6653" i="45"/>
  <c r="I6654" i="45"/>
  <c r="I6655" i="45"/>
  <c r="I6656" i="45"/>
  <c r="I6657" i="45"/>
  <c r="I6658" i="45"/>
  <c r="I6659" i="45"/>
  <c r="I6660" i="45"/>
  <c r="I6661" i="45"/>
  <c r="I6662" i="45"/>
  <c r="I6663" i="45"/>
  <c r="I6664" i="45"/>
  <c r="I6665" i="45"/>
  <c r="I6666" i="45"/>
  <c r="I6667" i="45"/>
  <c r="I6668" i="45"/>
  <c r="I6669" i="45"/>
  <c r="I6670" i="45"/>
  <c r="I6671" i="45"/>
  <c r="I6672" i="45"/>
  <c r="I6673" i="45"/>
  <c r="I6674" i="45"/>
  <c r="I6675" i="45"/>
  <c r="I6676" i="45"/>
  <c r="I6677" i="45"/>
  <c r="I6678" i="45"/>
  <c r="I6679" i="45"/>
  <c r="I6680" i="45"/>
  <c r="I6681" i="45"/>
  <c r="I6682" i="45"/>
  <c r="I6683" i="45"/>
  <c r="I6684" i="45"/>
  <c r="I6685" i="45"/>
  <c r="I6686" i="45"/>
  <c r="I6687" i="45"/>
  <c r="I6688" i="45"/>
  <c r="I6689" i="45"/>
  <c r="I6690" i="45"/>
  <c r="I6691" i="45"/>
  <c r="I6692" i="45"/>
  <c r="I6693" i="45"/>
  <c r="O6473" i="45"/>
  <c r="O6474" i="45"/>
  <c r="O6475" i="45"/>
  <c r="O6476" i="45"/>
  <c r="O6477" i="45"/>
  <c r="O6478" i="45"/>
  <c r="O6479" i="45"/>
  <c r="O6480" i="45"/>
  <c r="O6481" i="45"/>
  <c r="O6482" i="45"/>
  <c r="O6483" i="45"/>
  <c r="O6484" i="45"/>
  <c r="O6485" i="45"/>
  <c r="O6486" i="45"/>
  <c r="O6487" i="45"/>
  <c r="O6488" i="45"/>
  <c r="O6489" i="45"/>
  <c r="I6473" i="45"/>
  <c r="I6474" i="45"/>
  <c r="I6475" i="45"/>
  <c r="I6476" i="45"/>
  <c r="I6477" i="45"/>
  <c r="I6478" i="45"/>
  <c r="I6479" i="45"/>
  <c r="I6480" i="45"/>
  <c r="I6481" i="45"/>
  <c r="I6482" i="45"/>
  <c r="I6483" i="45"/>
  <c r="I6484" i="45"/>
  <c r="I6485" i="45"/>
  <c r="I6486" i="45"/>
  <c r="I6487" i="45"/>
  <c r="I6488" i="45"/>
  <c r="I6489" i="45"/>
  <c r="O6415" i="45"/>
  <c r="O6416" i="45"/>
  <c r="O6417" i="45"/>
  <c r="O6418" i="45"/>
  <c r="O6419" i="45"/>
  <c r="O6420" i="45"/>
  <c r="O6421" i="45"/>
  <c r="O6422" i="45"/>
  <c r="O6423" i="45"/>
  <c r="O6424" i="45"/>
  <c r="O6425" i="45"/>
  <c r="O6426" i="45"/>
  <c r="O6427" i="45"/>
  <c r="O6428" i="45"/>
  <c r="O6429" i="45"/>
  <c r="O6430" i="45"/>
  <c r="O6431" i="45"/>
  <c r="O6432" i="45"/>
  <c r="O6433" i="45"/>
  <c r="O6434" i="45"/>
  <c r="O6435" i="45"/>
  <c r="O6436" i="45"/>
  <c r="O6437" i="45"/>
  <c r="O6438" i="45"/>
  <c r="O6439" i="45"/>
  <c r="O6440" i="45"/>
  <c r="O6441" i="45"/>
  <c r="O6442" i="45"/>
  <c r="O6443" i="45"/>
  <c r="O6444" i="45"/>
  <c r="O6445" i="45"/>
  <c r="O6446" i="45"/>
  <c r="O6447" i="45"/>
  <c r="O6448" i="45"/>
  <c r="O6449" i="45"/>
  <c r="O6450" i="45"/>
  <c r="O6451" i="45"/>
  <c r="O6452" i="45"/>
  <c r="O6453" i="45"/>
  <c r="O6454" i="45"/>
  <c r="O6455" i="45"/>
  <c r="O6456" i="45"/>
  <c r="O6457" i="45"/>
  <c r="O6458" i="45"/>
  <c r="O6459" i="45"/>
  <c r="O6460" i="45"/>
  <c r="O6461" i="45"/>
  <c r="O6462" i="45"/>
  <c r="O6463" i="45"/>
  <c r="O6464" i="45"/>
  <c r="O6465" i="45"/>
  <c r="O6466" i="45"/>
  <c r="O6467" i="45"/>
  <c r="O6468" i="45"/>
  <c r="O6469" i="45"/>
  <c r="O6470" i="45"/>
  <c r="O6471" i="45"/>
  <c r="O6472" i="45"/>
  <c r="O6414" i="45"/>
  <c r="I6414" i="45"/>
  <c r="I6415" i="45"/>
  <c r="I6416" i="45"/>
  <c r="I6417" i="45"/>
  <c r="I6418" i="45"/>
  <c r="I6419" i="45"/>
  <c r="I6420" i="45"/>
  <c r="I6421" i="45"/>
  <c r="I6422" i="45"/>
  <c r="I6423" i="45"/>
  <c r="I6424" i="45"/>
  <c r="I6425" i="45"/>
  <c r="I6426" i="45"/>
  <c r="I6427" i="45"/>
  <c r="I6428" i="45"/>
  <c r="I6429" i="45"/>
  <c r="I6430" i="45"/>
  <c r="I6431" i="45"/>
  <c r="I6432" i="45"/>
  <c r="I6433" i="45"/>
  <c r="I6434" i="45"/>
  <c r="I6435" i="45"/>
  <c r="I6436" i="45"/>
  <c r="I6437" i="45"/>
  <c r="I6438" i="45"/>
  <c r="I6439" i="45"/>
  <c r="I6440" i="45"/>
  <c r="I6441" i="45"/>
  <c r="I6442" i="45"/>
  <c r="I6443" i="45"/>
  <c r="I6444" i="45"/>
  <c r="I6445" i="45"/>
  <c r="I6446" i="45"/>
  <c r="I6447" i="45"/>
  <c r="I6448" i="45"/>
  <c r="I6449" i="45"/>
  <c r="I6450" i="45"/>
  <c r="I6451" i="45"/>
  <c r="I6452" i="45"/>
  <c r="I6453" i="45"/>
  <c r="I6454" i="45"/>
  <c r="I6455" i="45"/>
  <c r="I6456" i="45"/>
  <c r="I6457" i="45"/>
  <c r="I6458" i="45"/>
  <c r="I6459" i="45"/>
  <c r="I6460" i="45"/>
  <c r="I6461" i="45"/>
  <c r="I6462" i="45"/>
  <c r="I6463" i="45"/>
  <c r="I6464" i="45"/>
  <c r="I6465" i="45"/>
  <c r="I6466" i="45"/>
  <c r="I6467" i="45"/>
  <c r="I6468" i="45"/>
  <c r="I6469" i="45"/>
  <c r="I6470" i="45"/>
  <c r="I6471" i="45"/>
  <c r="I6472" i="45"/>
  <c r="I6413" i="45"/>
  <c r="I6412" i="45"/>
  <c r="I5955" i="45"/>
  <c r="I5956" i="45"/>
  <c r="I5957" i="45"/>
  <c r="I5958" i="45"/>
  <c r="I5959" i="45"/>
  <c r="I5960" i="45"/>
  <c r="I5961" i="45"/>
  <c r="I5962" i="45"/>
  <c r="I5963" i="45"/>
  <c r="I5964" i="45"/>
  <c r="I5965" i="45"/>
  <c r="I5966" i="45"/>
  <c r="I5967" i="45"/>
  <c r="I5968" i="45"/>
  <c r="I5969" i="45"/>
  <c r="I5970" i="45"/>
  <c r="I5971" i="45"/>
  <c r="I5972" i="45"/>
  <c r="I5973" i="45"/>
  <c r="I5974" i="45"/>
  <c r="I5975" i="45"/>
  <c r="I5976" i="45"/>
  <c r="I5977" i="45"/>
  <c r="I5978" i="45"/>
  <c r="I5979" i="45"/>
  <c r="I5980" i="45"/>
  <c r="I5981" i="45"/>
  <c r="I5982" i="45"/>
  <c r="I5983" i="45"/>
  <c r="I5984" i="45"/>
  <c r="I5985" i="45"/>
  <c r="I5986" i="45"/>
  <c r="I5987" i="45"/>
  <c r="I5988" i="45"/>
  <c r="I5989" i="45"/>
  <c r="I5990" i="45"/>
  <c r="I5991" i="45"/>
  <c r="I5992" i="45"/>
  <c r="I5993" i="45"/>
  <c r="I5994" i="45"/>
  <c r="I5995" i="45"/>
  <c r="I5996" i="45"/>
  <c r="I5997" i="45"/>
  <c r="I5998" i="45"/>
  <c r="I5999" i="45"/>
  <c r="I6000" i="45"/>
  <c r="I6001" i="45"/>
  <c r="I6002" i="45"/>
  <c r="I6003" i="45"/>
  <c r="I6004" i="45"/>
  <c r="I6005" i="45"/>
  <c r="I6006" i="45"/>
  <c r="I6007" i="45"/>
  <c r="I6008" i="45"/>
  <c r="I6009" i="45"/>
  <c r="I6010" i="45"/>
  <c r="I6011" i="45"/>
  <c r="I6012" i="45"/>
  <c r="I6013" i="45"/>
  <c r="I6014" i="45"/>
  <c r="I6015" i="45"/>
  <c r="I6016" i="45"/>
  <c r="I6017" i="45"/>
  <c r="I6018" i="45"/>
  <c r="I6019" i="45"/>
  <c r="I6020" i="45"/>
  <c r="I6021" i="45"/>
  <c r="I6022" i="45"/>
  <c r="I6023" i="45"/>
  <c r="I6024" i="45"/>
  <c r="I6025" i="45"/>
  <c r="I6026" i="45"/>
  <c r="I6027" i="45"/>
  <c r="I6028" i="45"/>
  <c r="I6029" i="45"/>
  <c r="I6030" i="45"/>
  <c r="I6031" i="45"/>
  <c r="I6032" i="45"/>
  <c r="I6033" i="45"/>
  <c r="I6034" i="45"/>
  <c r="I6035" i="45"/>
  <c r="I6036" i="45"/>
  <c r="I6037" i="45"/>
  <c r="I6038" i="45"/>
  <c r="I6039" i="45"/>
  <c r="I6040" i="45"/>
  <c r="I6041" i="45"/>
  <c r="I6042" i="45"/>
  <c r="I6043" i="45"/>
  <c r="I6044" i="45"/>
  <c r="I6045" i="45"/>
  <c r="I6046" i="45"/>
  <c r="I6047" i="45"/>
  <c r="I6048" i="45"/>
  <c r="I6049" i="45"/>
  <c r="I6050" i="45"/>
  <c r="I6051" i="45"/>
  <c r="I6052" i="45"/>
  <c r="I6053" i="45"/>
  <c r="I6054" i="45"/>
  <c r="I6055" i="45"/>
  <c r="I6056" i="45"/>
  <c r="I6057" i="45"/>
  <c r="I6058" i="45"/>
  <c r="I6059" i="45"/>
  <c r="I6060" i="45"/>
  <c r="I6061" i="45"/>
  <c r="I6062" i="45"/>
  <c r="I6063" i="45"/>
  <c r="I6064" i="45"/>
  <c r="I6065" i="45"/>
  <c r="I6066" i="45"/>
  <c r="I6067" i="45"/>
  <c r="I6068" i="45"/>
  <c r="I6069" i="45"/>
  <c r="I6070" i="45"/>
  <c r="I6071" i="45"/>
  <c r="I6072" i="45"/>
  <c r="I6073" i="45"/>
  <c r="I6074" i="45"/>
  <c r="I6075" i="45"/>
  <c r="I6076" i="45"/>
  <c r="I6077" i="45"/>
  <c r="I6078" i="45"/>
  <c r="I6079" i="45"/>
  <c r="I6080" i="45"/>
  <c r="I6081" i="45"/>
  <c r="I6082" i="45"/>
  <c r="I6083" i="45"/>
  <c r="I6084" i="45"/>
  <c r="I6085" i="45"/>
  <c r="I6086" i="45"/>
  <c r="I6087" i="45"/>
  <c r="I6088" i="45"/>
  <c r="I6089" i="45"/>
  <c r="I6090" i="45"/>
  <c r="I6091" i="45"/>
  <c r="I6092" i="45"/>
  <c r="I6093" i="45"/>
  <c r="I6094" i="45"/>
  <c r="I6095" i="45"/>
  <c r="I6096" i="45"/>
  <c r="I6097" i="45"/>
  <c r="I6098" i="45"/>
  <c r="I6099" i="45"/>
  <c r="I6100" i="45"/>
  <c r="I6101" i="45"/>
  <c r="I6102" i="45"/>
  <c r="I6103" i="45"/>
  <c r="I6104" i="45"/>
  <c r="I6105" i="45"/>
  <c r="I6106" i="45"/>
  <c r="I6107" i="45"/>
  <c r="I6108" i="45"/>
  <c r="I6109" i="45"/>
  <c r="I6110" i="45"/>
  <c r="I6111" i="45"/>
  <c r="I6112" i="45"/>
  <c r="I6113" i="45"/>
  <c r="I6114" i="45"/>
  <c r="I6115" i="45"/>
  <c r="I6116" i="45"/>
  <c r="I6117" i="45"/>
  <c r="I6118" i="45"/>
  <c r="I6119" i="45"/>
  <c r="I6120" i="45"/>
  <c r="I6121" i="45"/>
  <c r="I6122" i="45"/>
  <c r="I6123" i="45"/>
  <c r="I6124" i="45"/>
  <c r="I6125" i="45"/>
  <c r="I6126" i="45"/>
  <c r="I6127" i="45"/>
  <c r="I6128" i="45"/>
  <c r="I6129" i="45"/>
  <c r="I6130" i="45"/>
  <c r="I6131" i="45"/>
  <c r="I6132" i="45"/>
  <c r="I6133" i="45"/>
  <c r="I6134" i="45"/>
  <c r="I6135" i="45"/>
  <c r="I6136" i="45"/>
  <c r="I6137" i="45"/>
  <c r="I6138" i="45"/>
  <c r="I6139" i="45"/>
  <c r="I6140" i="45"/>
  <c r="I6141" i="45"/>
  <c r="I6142" i="45"/>
  <c r="I6143" i="45"/>
  <c r="I6144" i="45"/>
  <c r="I6145" i="45"/>
  <c r="I6146" i="45"/>
  <c r="I6147" i="45"/>
  <c r="I6148" i="45"/>
  <c r="I6149" i="45"/>
  <c r="I6150" i="45"/>
  <c r="I6151" i="45"/>
  <c r="I6152" i="45"/>
  <c r="I6153" i="45"/>
  <c r="I6154" i="45"/>
  <c r="I6155" i="45"/>
  <c r="I6156" i="45"/>
  <c r="I6157" i="45"/>
  <c r="I6158" i="45"/>
  <c r="I6159" i="45"/>
  <c r="I6160" i="45"/>
  <c r="I6161" i="45"/>
  <c r="I6162" i="45"/>
  <c r="I6163" i="45"/>
  <c r="I6164" i="45"/>
  <c r="I6165" i="45"/>
  <c r="I6166" i="45"/>
  <c r="I6167" i="45"/>
  <c r="I6168" i="45"/>
  <c r="I6169" i="45"/>
  <c r="I6170" i="45"/>
  <c r="I6171" i="45"/>
  <c r="I6172" i="45"/>
  <c r="I6173" i="45"/>
  <c r="I6174" i="45"/>
  <c r="I6175" i="45"/>
  <c r="I6176" i="45"/>
  <c r="I6177" i="45"/>
  <c r="I6178" i="45"/>
  <c r="I6179" i="45"/>
  <c r="I6180" i="45"/>
  <c r="I6181" i="45"/>
  <c r="I6182" i="45"/>
  <c r="I6183" i="45"/>
  <c r="I6184" i="45"/>
  <c r="I6185" i="45"/>
  <c r="I6186" i="45"/>
  <c r="I6187" i="45"/>
  <c r="I6188" i="45"/>
  <c r="I6189" i="45"/>
  <c r="I6190" i="45"/>
  <c r="I6191" i="45"/>
  <c r="I6192" i="45"/>
  <c r="I6193" i="45"/>
  <c r="I6194" i="45"/>
  <c r="I6195" i="45"/>
  <c r="I6196" i="45"/>
  <c r="I6197" i="45"/>
  <c r="I6198" i="45"/>
  <c r="I6199" i="45"/>
  <c r="I6200" i="45"/>
  <c r="I6201" i="45"/>
  <c r="I6202" i="45"/>
  <c r="I6203" i="45"/>
  <c r="I6204" i="45"/>
  <c r="I6205" i="45"/>
  <c r="I6206" i="45"/>
  <c r="I6207" i="45"/>
  <c r="I6208" i="45"/>
  <c r="I6209" i="45"/>
  <c r="I6210" i="45"/>
  <c r="I6211" i="45"/>
  <c r="I6212" i="45"/>
  <c r="I6213" i="45"/>
  <c r="I6214" i="45"/>
  <c r="I6215" i="45"/>
  <c r="I6216" i="45"/>
  <c r="I6217" i="45"/>
  <c r="I6218" i="45"/>
  <c r="I6219" i="45"/>
  <c r="I6220" i="45"/>
  <c r="I6221" i="45"/>
  <c r="I6222" i="45"/>
  <c r="I6223" i="45"/>
  <c r="I6224" i="45"/>
  <c r="I6225" i="45"/>
  <c r="I6226" i="45"/>
  <c r="I6227" i="45"/>
  <c r="I6228" i="45"/>
  <c r="I6229" i="45"/>
  <c r="I6230" i="45"/>
  <c r="I6231" i="45"/>
  <c r="I6232" i="45"/>
  <c r="I6233" i="45"/>
  <c r="I6234" i="45"/>
  <c r="I6235" i="45"/>
  <c r="I6236" i="45"/>
  <c r="I6237" i="45"/>
  <c r="I6238" i="45"/>
  <c r="I6239" i="45"/>
  <c r="I6240" i="45"/>
  <c r="I6241" i="45"/>
  <c r="I6242" i="45"/>
  <c r="I6243" i="45"/>
  <c r="I6244" i="45"/>
  <c r="I6245" i="45"/>
  <c r="I6246" i="45"/>
  <c r="I6247" i="45"/>
  <c r="I6248" i="45"/>
  <c r="I6249" i="45"/>
  <c r="I6250" i="45"/>
  <c r="I6251" i="45"/>
  <c r="I6252" i="45"/>
  <c r="I6253" i="45"/>
  <c r="I6254" i="45"/>
  <c r="I6255" i="45"/>
  <c r="I6256" i="45"/>
  <c r="I6257" i="45"/>
  <c r="I6258" i="45"/>
  <c r="I6259" i="45"/>
  <c r="I6260" i="45"/>
  <c r="I6261" i="45"/>
  <c r="I6262" i="45"/>
  <c r="I6263" i="45"/>
  <c r="I6264" i="45"/>
  <c r="I6265" i="45"/>
  <c r="I6266" i="45"/>
  <c r="I6267" i="45"/>
  <c r="I6268" i="45"/>
  <c r="I6269" i="45"/>
  <c r="I6270" i="45"/>
  <c r="I6271" i="45"/>
  <c r="I6272" i="45"/>
  <c r="I6273" i="45"/>
  <c r="I6274" i="45"/>
  <c r="I6275" i="45"/>
  <c r="I6276" i="45"/>
  <c r="I6277" i="45"/>
  <c r="I6278" i="45"/>
  <c r="I6279" i="45"/>
  <c r="I6280" i="45"/>
  <c r="I6281" i="45"/>
  <c r="I6282" i="45"/>
  <c r="I6283" i="45"/>
  <c r="I6284" i="45"/>
  <c r="I6285" i="45"/>
  <c r="I6286" i="45"/>
  <c r="I6287" i="45"/>
  <c r="I6288" i="45"/>
  <c r="I6289" i="45"/>
  <c r="I6290" i="45"/>
  <c r="I6291" i="45"/>
  <c r="I6292" i="45"/>
  <c r="I6293" i="45"/>
  <c r="I6294" i="45"/>
  <c r="I6295" i="45"/>
  <c r="I6296" i="45"/>
  <c r="I6297" i="45"/>
  <c r="I6298" i="45"/>
  <c r="I6299" i="45"/>
  <c r="I6300" i="45"/>
  <c r="I6301" i="45"/>
  <c r="I6302" i="45"/>
  <c r="I6303" i="45"/>
  <c r="I6304" i="45"/>
  <c r="I6305" i="45"/>
  <c r="I6306" i="45"/>
  <c r="I6307" i="45"/>
  <c r="I6308" i="45"/>
  <c r="I6309" i="45"/>
  <c r="I6310" i="45"/>
  <c r="I6311" i="45"/>
  <c r="I6312" i="45"/>
  <c r="I6313" i="45"/>
  <c r="I6314" i="45"/>
  <c r="I6315" i="45"/>
  <c r="I6316" i="45"/>
  <c r="I6317" i="45"/>
  <c r="I6318" i="45"/>
  <c r="I6319" i="45"/>
  <c r="I6320" i="45"/>
  <c r="I6321" i="45"/>
  <c r="I6322" i="45"/>
  <c r="I6323" i="45"/>
  <c r="I6324" i="45"/>
  <c r="I6325" i="45"/>
  <c r="I6326" i="45"/>
  <c r="I6327" i="45"/>
  <c r="I6328" i="45"/>
  <c r="I6329" i="45"/>
  <c r="I6330" i="45"/>
  <c r="I6331" i="45"/>
  <c r="I6332" i="45"/>
  <c r="I6333" i="45"/>
  <c r="I6334" i="45"/>
  <c r="I6335" i="45"/>
  <c r="I6336" i="45"/>
  <c r="I6337" i="45"/>
  <c r="I6338" i="45"/>
  <c r="I6339" i="45"/>
  <c r="I6340" i="45"/>
  <c r="I6341" i="45"/>
  <c r="I6342" i="45"/>
  <c r="I6343" i="45"/>
  <c r="I6344" i="45"/>
  <c r="I6345" i="45"/>
  <c r="I6346" i="45"/>
  <c r="I6347" i="45"/>
  <c r="I6348" i="45"/>
  <c r="I6349" i="45"/>
  <c r="I6350" i="45"/>
  <c r="I6351" i="45"/>
  <c r="I6352" i="45"/>
  <c r="I6353" i="45"/>
  <c r="I6354" i="45"/>
  <c r="I6355" i="45"/>
  <c r="I6356" i="45"/>
  <c r="I6357" i="45"/>
  <c r="I6358" i="45"/>
  <c r="I6359" i="45"/>
  <c r="I6360" i="45"/>
  <c r="I6361" i="45"/>
  <c r="I6362" i="45"/>
  <c r="I6363" i="45"/>
  <c r="I6364" i="45"/>
  <c r="I6365" i="45"/>
  <c r="I6366" i="45"/>
  <c r="I6367" i="45"/>
  <c r="I6368" i="45"/>
  <c r="I6369" i="45"/>
  <c r="I6370" i="45"/>
  <c r="I6371" i="45"/>
  <c r="I6372" i="45"/>
  <c r="I6373" i="45"/>
  <c r="I6374" i="45"/>
  <c r="I6375" i="45"/>
  <c r="I6376" i="45"/>
  <c r="I6377" i="45"/>
  <c r="I6378" i="45"/>
  <c r="I6379" i="45"/>
  <c r="I6380" i="45"/>
  <c r="I6381" i="45"/>
  <c r="I6382" i="45"/>
  <c r="I6383" i="45"/>
  <c r="I6384" i="45"/>
  <c r="I6385" i="45"/>
  <c r="I6386" i="45"/>
  <c r="I6387" i="45"/>
  <c r="I6388" i="45"/>
  <c r="I6389" i="45"/>
  <c r="I6390" i="45"/>
  <c r="I6391" i="45"/>
  <c r="I6392" i="45"/>
  <c r="I6393" i="45"/>
  <c r="I6394" i="45"/>
  <c r="I6395" i="45"/>
  <c r="I6396" i="45"/>
  <c r="I6397" i="45"/>
  <c r="I6398" i="45"/>
  <c r="I6399" i="45"/>
  <c r="I6400" i="45"/>
  <c r="I6401" i="45"/>
  <c r="I6402" i="45"/>
  <c r="I6403" i="45"/>
  <c r="I6404" i="45"/>
  <c r="I6405" i="45"/>
  <c r="I6406" i="45"/>
  <c r="I6407" i="45"/>
  <c r="I6408" i="45"/>
  <c r="I6409" i="45"/>
  <c r="I6410" i="45"/>
  <c r="I6411" i="45"/>
  <c r="O5956" i="45"/>
  <c r="O5957" i="45"/>
  <c r="O5958" i="45"/>
  <c r="O5959" i="45"/>
  <c r="O5960" i="45"/>
  <c r="O5961" i="45"/>
  <c r="O5962" i="45"/>
  <c r="O5963" i="45"/>
  <c r="O5964" i="45"/>
  <c r="O5965" i="45"/>
  <c r="O5966" i="45"/>
  <c r="O5967" i="45"/>
  <c r="O5968" i="45"/>
  <c r="O5969" i="45"/>
  <c r="O5970" i="45"/>
  <c r="O5971" i="45"/>
  <c r="O5972" i="45"/>
  <c r="O5973" i="45"/>
  <c r="O5974" i="45"/>
  <c r="O5975" i="45"/>
  <c r="O5976" i="45"/>
  <c r="O5977" i="45"/>
  <c r="O5978" i="45"/>
  <c r="O5979" i="45"/>
  <c r="O5980" i="45"/>
  <c r="O5981" i="45"/>
  <c r="O5982" i="45"/>
  <c r="O5983" i="45"/>
  <c r="O5984" i="45"/>
  <c r="O5985" i="45"/>
  <c r="O5986" i="45"/>
  <c r="O5987" i="45"/>
  <c r="O5988" i="45"/>
  <c r="O5989" i="45"/>
  <c r="O5990" i="45"/>
  <c r="O5991" i="45"/>
  <c r="O5992" i="45"/>
  <c r="O5993" i="45"/>
  <c r="O5994" i="45"/>
  <c r="O5995" i="45"/>
  <c r="O5996" i="45"/>
  <c r="O5997" i="45"/>
  <c r="O5998" i="45"/>
  <c r="O5999" i="45"/>
  <c r="O6000" i="45"/>
  <c r="O6001" i="45"/>
  <c r="O6002" i="45"/>
  <c r="O6003" i="45"/>
  <c r="O6004" i="45"/>
  <c r="O6005" i="45"/>
  <c r="O6006" i="45"/>
  <c r="O6007" i="45"/>
  <c r="O6008" i="45"/>
  <c r="O6009" i="45"/>
  <c r="O6010" i="45"/>
  <c r="O6011" i="45"/>
  <c r="O6012" i="45"/>
  <c r="O6013" i="45"/>
  <c r="O6014" i="45"/>
  <c r="O6015" i="45"/>
  <c r="O6016" i="45"/>
  <c r="O6017" i="45"/>
  <c r="O6018" i="45"/>
  <c r="O6019" i="45"/>
  <c r="O6020" i="45"/>
  <c r="O6021" i="45"/>
  <c r="O6022" i="45"/>
  <c r="O6023" i="45"/>
  <c r="O6024" i="45"/>
  <c r="O6025" i="45"/>
  <c r="O6026" i="45"/>
  <c r="O6027" i="45"/>
  <c r="O6028" i="45"/>
  <c r="O6029" i="45"/>
  <c r="O6030" i="45"/>
  <c r="O6031" i="45"/>
  <c r="O6032" i="45"/>
  <c r="O6033" i="45"/>
  <c r="O6034" i="45"/>
  <c r="O6035" i="45"/>
  <c r="O6036" i="45"/>
  <c r="O6037" i="45"/>
  <c r="O6038" i="45"/>
  <c r="O6039" i="45"/>
  <c r="O6040" i="45"/>
  <c r="O6041" i="45"/>
  <c r="O6042" i="45"/>
  <c r="O6043" i="45"/>
  <c r="O6044" i="45"/>
  <c r="O6045" i="45"/>
  <c r="O6046" i="45"/>
  <c r="O6047" i="45"/>
  <c r="O6048" i="45"/>
  <c r="O6049" i="45"/>
  <c r="O6050" i="45"/>
  <c r="O6051" i="45"/>
  <c r="O6052" i="45"/>
  <c r="O6053" i="45"/>
  <c r="O6054" i="45"/>
  <c r="O6055" i="45"/>
  <c r="O6056" i="45"/>
  <c r="O6057" i="45"/>
  <c r="O6058" i="45"/>
  <c r="O6059" i="45"/>
  <c r="O6060" i="45"/>
  <c r="O6061" i="45"/>
  <c r="O6062" i="45"/>
  <c r="O6063" i="45"/>
  <c r="O6064" i="45"/>
  <c r="O6065" i="45"/>
  <c r="O6066" i="45"/>
  <c r="O6067" i="45"/>
  <c r="O6068" i="45"/>
  <c r="O6069" i="45"/>
  <c r="O6070" i="45"/>
  <c r="O6071" i="45"/>
  <c r="O6072" i="45"/>
  <c r="O6073" i="45"/>
  <c r="O6074" i="45"/>
  <c r="O6075" i="45"/>
  <c r="O6076" i="45"/>
  <c r="O6077" i="45"/>
  <c r="O6078" i="45"/>
  <c r="O6079" i="45"/>
  <c r="O6080" i="45"/>
  <c r="O6081" i="45"/>
  <c r="O6082" i="45"/>
  <c r="O6083" i="45"/>
  <c r="O6084" i="45"/>
  <c r="O6085" i="45"/>
  <c r="O6086" i="45"/>
  <c r="O6087" i="45"/>
  <c r="O6088" i="45"/>
  <c r="O6089" i="45"/>
  <c r="O6090" i="45"/>
  <c r="O6091" i="45"/>
  <c r="O6092" i="45"/>
  <c r="O6093" i="45"/>
  <c r="O6094" i="45"/>
  <c r="O6095" i="45"/>
  <c r="O6096" i="45"/>
  <c r="O6097" i="45"/>
  <c r="O6098" i="45"/>
  <c r="O6099" i="45"/>
  <c r="O6100" i="45"/>
  <c r="O6101" i="45"/>
  <c r="O6102" i="45"/>
  <c r="O6103" i="45"/>
  <c r="O6104" i="45"/>
  <c r="O6105" i="45"/>
  <c r="O6106" i="45"/>
  <c r="O6107" i="45"/>
  <c r="O6108" i="45"/>
  <c r="O6109" i="45"/>
  <c r="O6110" i="45"/>
  <c r="O6111" i="45"/>
  <c r="O6112" i="45"/>
  <c r="O6113" i="45"/>
  <c r="O6114" i="45"/>
  <c r="O6115" i="45"/>
  <c r="O6116" i="45"/>
  <c r="O6117" i="45"/>
  <c r="O6118" i="45"/>
  <c r="O6119" i="45"/>
  <c r="O6120" i="45"/>
  <c r="O6121" i="45"/>
  <c r="O6122" i="45"/>
  <c r="O6123" i="45"/>
  <c r="O6124" i="45"/>
  <c r="O6125" i="45"/>
  <c r="O6126" i="45"/>
  <c r="O6127" i="45"/>
  <c r="O6128" i="45"/>
  <c r="O6129" i="45"/>
  <c r="O6130" i="45"/>
  <c r="O6131" i="45"/>
  <c r="O6132" i="45"/>
  <c r="O6133" i="45"/>
  <c r="O6134" i="45"/>
  <c r="O6135" i="45"/>
  <c r="O6136" i="45"/>
  <c r="O6137" i="45"/>
  <c r="O6138" i="45"/>
  <c r="O6139" i="45"/>
  <c r="O6140" i="45"/>
  <c r="O6141" i="45"/>
  <c r="O6142" i="45"/>
  <c r="O6143" i="45"/>
  <c r="O6144" i="45"/>
  <c r="O6145" i="45"/>
  <c r="O6146" i="45"/>
  <c r="O6147" i="45"/>
  <c r="O6148" i="45"/>
  <c r="O6149" i="45"/>
  <c r="O6150" i="45"/>
  <c r="O6151" i="45"/>
  <c r="O6152" i="45"/>
  <c r="O6153" i="45"/>
  <c r="O6154" i="45"/>
  <c r="O6155" i="45"/>
  <c r="O6156" i="45"/>
  <c r="O6157" i="45"/>
  <c r="O6158" i="45"/>
  <c r="O6159" i="45"/>
  <c r="O6160" i="45"/>
  <c r="O6161" i="45"/>
  <c r="O6162" i="45"/>
  <c r="O6163" i="45"/>
  <c r="O6164" i="45"/>
  <c r="O6165" i="45"/>
  <c r="O6166" i="45"/>
  <c r="O6167" i="45"/>
  <c r="O6168" i="45"/>
  <c r="O6169" i="45"/>
  <c r="O6170" i="45"/>
  <c r="O6171" i="45"/>
  <c r="O6172" i="45"/>
  <c r="O6173" i="45"/>
  <c r="O6174" i="45"/>
  <c r="O6175" i="45"/>
  <c r="O6176" i="45"/>
  <c r="O6177" i="45"/>
  <c r="O6178" i="45"/>
  <c r="O6179" i="45"/>
  <c r="O6180" i="45"/>
  <c r="O6181" i="45"/>
  <c r="O6182" i="45"/>
  <c r="O6183" i="45"/>
  <c r="O6184" i="45"/>
  <c r="O6185" i="45"/>
  <c r="O6186" i="45"/>
  <c r="O6187" i="45"/>
  <c r="O6188" i="45"/>
  <c r="O6189" i="45"/>
  <c r="O6190" i="45"/>
  <c r="O6191" i="45"/>
  <c r="O6192" i="45"/>
  <c r="O6193" i="45"/>
  <c r="O6194" i="45"/>
  <c r="O6195" i="45"/>
  <c r="O6196" i="45"/>
  <c r="O6197" i="45"/>
  <c r="O6198" i="45"/>
  <c r="O6199" i="45"/>
  <c r="O6200" i="45"/>
  <c r="O6201" i="45"/>
  <c r="O6202" i="45"/>
  <c r="O6203" i="45"/>
  <c r="O6204" i="45"/>
  <c r="O6205" i="45"/>
  <c r="O6206" i="45"/>
  <c r="O6207" i="45"/>
  <c r="O6208" i="45"/>
  <c r="O6209" i="45"/>
  <c r="O6210" i="45"/>
  <c r="O6211" i="45"/>
  <c r="O6212" i="45"/>
  <c r="O6213" i="45"/>
  <c r="O6214" i="45"/>
  <c r="O6215" i="45"/>
  <c r="O6216" i="45"/>
  <c r="O6217" i="45"/>
  <c r="O6218" i="45"/>
  <c r="O6219" i="45"/>
  <c r="O6220" i="45"/>
  <c r="O6221" i="45"/>
  <c r="O6222" i="45"/>
  <c r="O6223" i="45"/>
  <c r="O6224" i="45"/>
  <c r="O6225" i="45"/>
  <c r="O6226" i="45"/>
  <c r="O6227" i="45"/>
  <c r="O6228" i="45"/>
  <c r="O6229" i="45"/>
  <c r="O6230" i="45"/>
  <c r="O6231" i="45"/>
  <c r="O6232" i="45"/>
  <c r="O6233" i="45"/>
  <c r="O6234" i="45"/>
  <c r="O6235" i="45"/>
  <c r="O6236" i="45"/>
  <c r="O6237" i="45"/>
  <c r="O6238" i="45"/>
  <c r="O6239" i="45"/>
  <c r="O6240" i="45"/>
  <c r="O6241" i="45"/>
  <c r="O6242" i="45"/>
  <c r="O6243" i="45"/>
  <c r="O6244" i="45"/>
  <c r="O6245" i="45"/>
  <c r="O6246" i="45"/>
  <c r="O6247" i="45"/>
  <c r="O6248" i="45"/>
  <c r="O6249" i="45"/>
  <c r="O6250" i="45"/>
  <c r="O6251" i="45"/>
  <c r="O6252" i="45"/>
  <c r="O6253" i="45"/>
  <c r="O6254" i="45"/>
  <c r="O6255" i="45"/>
  <c r="O6256" i="45"/>
  <c r="O6257" i="45"/>
  <c r="O6258" i="45"/>
  <c r="O6259" i="45"/>
  <c r="O6260" i="45"/>
  <c r="O6261" i="45"/>
  <c r="O6262" i="45"/>
  <c r="O6263" i="45"/>
  <c r="O6264" i="45"/>
  <c r="O6265" i="45"/>
  <c r="O6266" i="45"/>
  <c r="O6267" i="45"/>
  <c r="O6268" i="45"/>
  <c r="O6269" i="45"/>
  <c r="O6270" i="45"/>
  <c r="O6271" i="45"/>
  <c r="O6272" i="45"/>
  <c r="O6273" i="45"/>
  <c r="O6274" i="45"/>
  <c r="O6275" i="45"/>
  <c r="O6276" i="45"/>
  <c r="O6277" i="45"/>
  <c r="O6278" i="45"/>
  <c r="O6279" i="45"/>
  <c r="O6280" i="45"/>
  <c r="O6281" i="45"/>
  <c r="O6282" i="45"/>
  <c r="O6283" i="45"/>
  <c r="O6284" i="45"/>
  <c r="O6285" i="45"/>
  <c r="O6286" i="45"/>
  <c r="O6287" i="45"/>
  <c r="O6288" i="45"/>
  <c r="O6289" i="45"/>
  <c r="O6290" i="45"/>
  <c r="O6291" i="45"/>
  <c r="O6292" i="45"/>
  <c r="O6293" i="45"/>
  <c r="O6294" i="45"/>
  <c r="O6295" i="45"/>
  <c r="O6296" i="45"/>
  <c r="O6297" i="45"/>
  <c r="O6298" i="45"/>
  <c r="O6299" i="45"/>
  <c r="O6300" i="45"/>
  <c r="O6301" i="45"/>
  <c r="O6302" i="45"/>
  <c r="O6303" i="45"/>
  <c r="O6304" i="45"/>
  <c r="O6305" i="45"/>
  <c r="O6306" i="45"/>
  <c r="O6307" i="45"/>
  <c r="O6308" i="45"/>
  <c r="O6309" i="45"/>
  <c r="O6310" i="45"/>
  <c r="O6311" i="45"/>
  <c r="O6312" i="45"/>
  <c r="O6313" i="45"/>
  <c r="O6314" i="45"/>
  <c r="O6315" i="45"/>
  <c r="O6316" i="45"/>
  <c r="O6317" i="45"/>
  <c r="O6318" i="45"/>
  <c r="O6319" i="45"/>
  <c r="O6320" i="45"/>
  <c r="O6321" i="45"/>
  <c r="O6322" i="45"/>
  <c r="O6323" i="45"/>
  <c r="O6324" i="45"/>
  <c r="O6325" i="45"/>
  <c r="O6326" i="45"/>
  <c r="O6327" i="45"/>
  <c r="O6328" i="45"/>
  <c r="O6329" i="45"/>
  <c r="O6330" i="45"/>
  <c r="O6331" i="45"/>
  <c r="O6332" i="45"/>
  <c r="O6333" i="45"/>
  <c r="O6334" i="45"/>
  <c r="O6335" i="45"/>
  <c r="O6336" i="45"/>
  <c r="O6337" i="45"/>
  <c r="O6338" i="45"/>
  <c r="O6339" i="45"/>
  <c r="O6340" i="45"/>
  <c r="O6341" i="45"/>
  <c r="O6342" i="45"/>
  <c r="O6343" i="45"/>
  <c r="O6344" i="45"/>
  <c r="O6345" i="45"/>
  <c r="O6346" i="45"/>
  <c r="O6347" i="45"/>
  <c r="O6348" i="45"/>
  <c r="O6349" i="45"/>
  <c r="O6350" i="45"/>
  <c r="O6351" i="45"/>
  <c r="O6352" i="45"/>
  <c r="O6353" i="45"/>
  <c r="O6354" i="45"/>
  <c r="O6355" i="45"/>
  <c r="O6356" i="45"/>
  <c r="O6357" i="45"/>
  <c r="O6358" i="45"/>
  <c r="O6359" i="45"/>
  <c r="O6360" i="45"/>
  <c r="O6361" i="45"/>
  <c r="O6362" i="45"/>
  <c r="O6363" i="45"/>
  <c r="O6364" i="45"/>
  <c r="O6365" i="45"/>
  <c r="O6366" i="45"/>
  <c r="O6367" i="45"/>
  <c r="O6368" i="45"/>
  <c r="O6369" i="45"/>
  <c r="O6370" i="45"/>
  <c r="O6371" i="45"/>
  <c r="O6372" i="45"/>
  <c r="O6373" i="45"/>
  <c r="O6374" i="45"/>
  <c r="O6375" i="45"/>
  <c r="O6376" i="45"/>
  <c r="O6377" i="45"/>
  <c r="O6378" i="45"/>
  <c r="O6379" i="45"/>
  <c r="O6380" i="45"/>
  <c r="O6381" i="45"/>
  <c r="O6382" i="45"/>
  <c r="O6383" i="45"/>
  <c r="O6384" i="45"/>
  <c r="O6385" i="45"/>
  <c r="O6386" i="45"/>
  <c r="O6387" i="45"/>
  <c r="O6388" i="45"/>
  <c r="O6389" i="45"/>
  <c r="O6390" i="45"/>
  <c r="O6391" i="45"/>
  <c r="O6392" i="45"/>
  <c r="O6393" i="45"/>
  <c r="O6394" i="45"/>
  <c r="O6395" i="45"/>
  <c r="O6396" i="45"/>
  <c r="O6397" i="45"/>
  <c r="O6398" i="45"/>
  <c r="O6399" i="45"/>
  <c r="O6400" i="45"/>
  <c r="O6401" i="45"/>
  <c r="O6402" i="45"/>
  <c r="O6403" i="45"/>
  <c r="O6404" i="45"/>
  <c r="O6405" i="45"/>
  <c r="O6406" i="45"/>
  <c r="O6407" i="45"/>
  <c r="O6408" i="45"/>
  <c r="O6409" i="45"/>
  <c r="O6410" i="45"/>
  <c r="O6411" i="45"/>
  <c r="O5955" i="45"/>
  <c r="I5937" i="45"/>
  <c r="I5938" i="45"/>
  <c r="I5939" i="45"/>
  <c r="I5940" i="45"/>
  <c r="I5941" i="45"/>
  <c r="I5942" i="45"/>
  <c r="I5943" i="45"/>
  <c r="I5944" i="45"/>
  <c r="I5945" i="45"/>
  <c r="I5946" i="45"/>
  <c r="I5947" i="45"/>
  <c r="I5948" i="45"/>
  <c r="I5949" i="45"/>
  <c r="I5950" i="45"/>
  <c r="I5951" i="45"/>
  <c r="I5952" i="45"/>
  <c r="I5953" i="45"/>
  <c r="I5954" i="45"/>
  <c r="O5781" i="45"/>
  <c r="O5782" i="45"/>
  <c r="O5783" i="45"/>
  <c r="O5784" i="45"/>
  <c r="O5785" i="45"/>
  <c r="O5786" i="45"/>
  <c r="O5787" i="45"/>
  <c r="O5788" i="45"/>
  <c r="O5789" i="45"/>
  <c r="O5790" i="45"/>
  <c r="O5791" i="45"/>
  <c r="O5792" i="45"/>
  <c r="O5793" i="45"/>
  <c r="O5794" i="45"/>
  <c r="O5795" i="45"/>
  <c r="O5796" i="45"/>
  <c r="O5797" i="45"/>
  <c r="O5798" i="45"/>
  <c r="O5799" i="45"/>
  <c r="O5800" i="45"/>
  <c r="O5801" i="45"/>
  <c r="O5802" i="45"/>
  <c r="O5803" i="45"/>
  <c r="O5804" i="45"/>
  <c r="O5805" i="45"/>
  <c r="O5806" i="45"/>
  <c r="O5807" i="45"/>
  <c r="O5808" i="45"/>
  <c r="O5809" i="45"/>
  <c r="O5810" i="45"/>
  <c r="O5811" i="45"/>
  <c r="O5812" i="45"/>
  <c r="O5813" i="45"/>
  <c r="O5814" i="45"/>
  <c r="O5815" i="45"/>
  <c r="O5816" i="45"/>
  <c r="O5817" i="45"/>
  <c r="O5818" i="45"/>
  <c r="O5819" i="45"/>
  <c r="O5820" i="45"/>
  <c r="O5821" i="45"/>
  <c r="O5822" i="45"/>
  <c r="O5823" i="45"/>
  <c r="O5824" i="45"/>
  <c r="O5825" i="45"/>
  <c r="O5826" i="45"/>
  <c r="O5827" i="45"/>
  <c r="O5828" i="45"/>
  <c r="O5829" i="45"/>
  <c r="O5830" i="45"/>
  <c r="O5831" i="45"/>
  <c r="O5832" i="45"/>
  <c r="O5833" i="45"/>
  <c r="O5834" i="45"/>
  <c r="O5835" i="45"/>
  <c r="O5836" i="45"/>
  <c r="O5837" i="45"/>
  <c r="O5838" i="45"/>
  <c r="O5839" i="45"/>
  <c r="O5840" i="45"/>
  <c r="O5841" i="45"/>
  <c r="O5842" i="45"/>
  <c r="O5843" i="45"/>
  <c r="O5844" i="45"/>
  <c r="O5845" i="45"/>
  <c r="O5846" i="45"/>
  <c r="O5847" i="45"/>
  <c r="O5848" i="45"/>
  <c r="O5849" i="45"/>
  <c r="O5850" i="45"/>
  <c r="O5851" i="45"/>
  <c r="O5852" i="45"/>
  <c r="O5853" i="45"/>
  <c r="O5854" i="45"/>
  <c r="O5855" i="45"/>
  <c r="O5856" i="45"/>
  <c r="O5857" i="45"/>
  <c r="O5858" i="45"/>
  <c r="O5859" i="45"/>
  <c r="O5860" i="45"/>
  <c r="O5861" i="45"/>
  <c r="O5862" i="45"/>
  <c r="O5863" i="45"/>
  <c r="O5864" i="45"/>
  <c r="O5865" i="45"/>
  <c r="O5866" i="45"/>
  <c r="O5867" i="45"/>
  <c r="O5868" i="45"/>
  <c r="O5869" i="45"/>
  <c r="O5870" i="45"/>
  <c r="O5871" i="45"/>
  <c r="O5872" i="45"/>
  <c r="O5873" i="45"/>
  <c r="O5874" i="45"/>
  <c r="O5875" i="45"/>
  <c r="O5876" i="45"/>
  <c r="O5877" i="45"/>
  <c r="O5878" i="45"/>
  <c r="O5879" i="45"/>
  <c r="O5880" i="45"/>
  <c r="O5881" i="45"/>
  <c r="O5882" i="45"/>
  <c r="O5883" i="45"/>
  <c r="O5884" i="45"/>
  <c r="O5885" i="45"/>
  <c r="O5886" i="45"/>
  <c r="O5887" i="45"/>
  <c r="O5888" i="45"/>
  <c r="O5889" i="45"/>
  <c r="O5890" i="45"/>
  <c r="O5891" i="45"/>
  <c r="O5892" i="45"/>
  <c r="O5893" i="45"/>
  <c r="O5894" i="45"/>
  <c r="O5895" i="45"/>
  <c r="O5896" i="45"/>
  <c r="O5897" i="45"/>
  <c r="O5898" i="45"/>
  <c r="O5899" i="45"/>
  <c r="O5900" i="45"/>
  <c r="O5901" i="45"/>
  <c r="O5902" i="45"/>
  <c r="O5903" i="45"/>
  <c r="O5904" i="45"/>
  <c r="O5905" i="45"/>
  <c r="O5906" i="45"/>
  <c r="O5907" i="45"/>
  <c r="O5908" i="45"/>
  <c r="O5909" i="45"/>
  <c r="O5910" i="45"/>
  <c r="O5911" i="45"/>
  <c r="O5912" i="45"/>
  <c r="O5913" i="45"/>
  <c r="O5914" i="45"/>
  <c r="O5915" i="45"/>
  <c r="O5916" i="45"/>
  <c r="O5917" i="45"/>
  <c r="O5918" i="45"/>
  <c r="O5919" i="45"/>
  <c r="O5920" i="45"/>
  <c r="O5921" i="45"/>
  <c r="O5922" i="45"/>
  <c r="O5923" i="45"/>
  <c r="O5924" i="45"/>
  <c r="O5925" i="45"/>
  <c r="O5926" i="45"/>
  <c r="O5927" i="45"/>
  <c r="O5928" i="45"/>
  <c r="O5929" i="45"/>
  <c r="O5930" i="45"/>
  <c r="O5931" i="45"/>
  <c r="O5932" i="45"/>
  <c r="O5933" i="45"/>
  <c r="O5934" i="45"/>
  <c r="O5935" i="45"/>
  <c r="O5936" i="45"/>
  <c r="O5937" i="45"/>
  <c r="O5938" i="45"/>
  <c r="O5939" i="45"/>
  <c r="O5940" i="45"/>
  <c r="O5941" i="45"/>
  <c r="O5942" i="45"/>
  <c r="I5781" i="45"/>
  <c r="I5782" i="45"/>
  <c r="I5783" i="45"/>
  <c r="I5784" i="45"/>
  <c r="I5785" i="45"/>
  <c r="I5786" i="45"/>
  <c r="I5787" i="45"/>
  <c r="I5788" i="45"/>
  <c r="I5789" i="45"/>
  <c r="I5790" i="45"/>
  <c r="I5791" i="45"/>
  <c r="I5792" i="45"/>
  <c r="I5793" i="45"/>
  <c r="I5794" i="45"/>
  <c r="I5795" i="45"/>
  <c r="I5796" i="45"/>
  <c r="I5797" i="45"/>
  <c r="I5798" i="45"/>
  <c r="I5799" i="45"/>
  <c r="I5800" i="45"/>
  <c r="I5801" i="45"/>
  <c r="I5802" i="45"/>
  <c r="I5803" i="45"/>
  <c r="I5804" i="45"/>
  <c r="I5805" i="45"/>
  <c r="I5806" i="45"/>
  <c r="I5807" i="45"/>
  <c r="I5808" i="45"/>
  <c r="I5809" i="45"/>
  <c r="I5810" i="45"/>
  <c r="I5811" i="45"/>
  <c r="I5812" i="45"/>
  <c r="I5813" i="45"/>
  <c r="I5814" i="45"/>
  <c r="I5815" i="45"/>
  <c r="I5816" i="45"/>
  <c r="I5817" i="45"/>
  <c r="I5818" i="45"/>
  <c r="I5819" i="45"/>
  <c r="I5820" i="45"/>
  <c r="I5821" i="45"/>
  <c r="I5822" i="45"/>
  <c r="I5823" i="45"/>
  <c r="I5824" i="45"/>
  <c r="I5825" i="45"/>
  <c r="I5826" i="45"/>
  <c r="I5827" i="45"/>
  <c r="I5828" i="45"/>
  <c r="I5829" i="45"/>
  <c r="I5830" i="45"/>
  <c r="I5831" i="45"/>
  <c r="I5832" i="45"/>
  <c r="I5833" i="45"/>
  <c r="I5834" i="45"/>
  <c r="I5835" i="45"/>
  <c r="I5836" i="45"/>
  <c r="I5837" i="45"/>
  <c r="I5838" i="45"/>
  <c r="I5839" i="45"/>
  <c r="I5840" i="45"/>
  <c r="I5841" i="45"/>
  <c r="I5842" i="45"/>
  <c r="I5843" i="45"/>
  <c r="I5844" i="45"/>
  <c r="I5845" i="45"/>
  <c r="I5846" i="45"/>
  <c r="I5847" i="45"/>
  <c r="I5848" i="45"/>
  <c r="I5849" i="45"/>
  <c r="I5850" i="45"/>
  <c r="I5851" i="45"/>
  <c r="I5852" i="45"/>
  <c r="I5853" i="45"/>
  <c r="I5854" i="45"/>
  <c r="I5855" i="45"/>
  <c r="I5856" i="45"/>
  <c r="I5857" i="45"/>
  <c r="I5858" i="45"/>
  <c r="I5859" i="45"/>
  <c r="I5860" i="45"/>
  <c r="I5861" i="45"/>
  <c r="I5862" i="45"/>
  <c r="I5863" i="45"/>
  <c r="I5864" i="45"/>
  <c r="I5865" i="45"/>
  <c r="I5866" i="45"/>
  <c r="I5867" i="45"/>
  <c r="I5868" i="45"/>
  <c r="I5869" i="45"/>
  <c r="I5870" i="45"/>
  <c r="I5871" i="45"/>
  <c r="I5872" i="45"/>
  <c r="I5873" i="45"/>
  <c r="I5874" i="45"/>
  <c r="I5875" i="45"/>
  <c r="I5876" i="45"/>
  <c r="I5877" i="45"/>
  <c r="I5878" i="45"/>
  <c r="I5879" i="45"/>
  <c r="I5880" i="45"/>
  <c r="I5881" i="45"/>
  <c r="I5882" i="45"/>
  <c r="I5883" i="45"/>
  <c r="I5884" i="45"/>
  <c r="I5885" i="45"/>
  <c r="I5886" i="45"/>
  <c r="I5887" i="45"/>
  <c r="I5888" i="45"/>
  <c r="I5889" i="45"/>
  <c r="I5890" i="45"/>
  <c r="I5891" i="45"/>
  <c r="I5892" i="45"/>
  <c r="I5893" i="45"/>
  <c r="I5894" i="45"/>
  <c r="I5895" i="45"/>
  <c r="I5896" i="45"/>
  <c r="I5897" i="45"/>
  <c r="I5898" i="45"/>
  <c r="I5899" i="45"/>
  <c r="I5900" i="45"/>
  <c r="I5901" i="45"/>
  <c r="I5902" i="45"/>
  <c r="I5903" i="45"/>
  <c r="I5904" i="45"/>
  <c r="I5905" i="45"/>
  <c r="I5906" i="45"/>
  <c r="I5907" i="45"/>
  <c r="I5908" i="45"/>
  <c r="I5909" i="45"/>
  <c r="I5910" i="45"/>
  <c r="I5911" i="45"/>
  <c r="I5912" i="45"/>
  <c r="I5913" i="45"/>
  <c r="I5914" i="45"/>
  <c r="I5915" i="45"/>
  <c r="I5916" i="45"/>
  <c r="I5917" i="45"/>
  <c r="I5918" i="45"/>
  <c r="I5919" i="45"/>
  <c r="I5920" i="45"/>
  <c r="I5921" i="45"/>
  <c r="I5922" i="45"/>
  <c r="I5923" i="45"/>
  <c r="I5924" i="45"/>
  <c r="I5925" i="45"/>
  <c r="I5926" i="45"/>
  <c r="I5927" i="45"/>
  <c r="I5928" i="45"/>
  <c r="I5929" i="45"/>
  <c r="I5930" i="45"/>
  <c r="I5931" i="45"/>
  <c r="I5932" i="45"/>
  <c r="I5933" i="45"/>
  <c r="I5934" i="45"/>
  <c r="I5935" i="45"/>
  <c r="I5936" i="45"/>
  <c r="O5299" i="45"/>
  <c r="O5300" i="45"/>
  <c r="O5301" i="45"/>
  <c r="O5302" i="45"/>
  <c r="O5303" i="45"/>
  <c r="O5304" i="45"/>
  <c r="O5305" i="45"/>
  <c r="O5306" i="45"/>
  <c r="O5307" i="45"/>
  <c r="O5308" i="45"/>
  <c r="O5309" i="45"/>
  <c r="O5310" i="45"/>
  <c r="O5311" i="45"/>
  <c r="O5312" i="45"/>
  <c r="O5313" i="45"/>
  <c r="O5314" i="45"/>
  <c r="O5315" i="45"/>
  <c r="O5316" i="45"/>
  <c r="O5317" i="45"/>
  <c r="O5318" i="45"/>
  <c r="O5319" i="45"/>
  <c r="O5320" i="45"/>
  <c r="O5321" i="45"/>
  <c r="O5322" i="45"/>
  <c r="O5323" i="45"/>
  <c r="O5324" i="45"/>
  <c r="O5325" i="45"/>
  <c r="O5326" i="45"/>
  <c r="O5327" i="45"/>
  <c r="O5328" i="45"/>
  <c r="O5329" i="45"/>
  <c r="O5330" i="45"/>
  <c r="O5331" i="45"/>
  <c r="O5332" i="45"/>
  <c r="O5333" i="45"/>
  <c r="O5334" i="45"/>
  <c r="O5335" i="45"/>
  <c r="O5336" i="45"/>
  <c r="O5337" i="45"/>
  <c r="O5338" i="45"/>
  <c r="O5339" i="45"/>
  <c r="O5340" i="45"/>
  <c r="O5341" i="45"/>
  <c r="O5342" i="45"/>
  <c r="O5343" i="45"/>
  <c r="O5344" i="45"/>
  <c r="O5345" i="45"/>
  <c r="O5346" i="45"/>
  <c r="O5347" i="45"/>
  <c r="O5348" i="45"/>
  <c r="O5349" i="45"/>
  <c r="O5350" i="45"/>
  <c r="O5351" i="45"/>
  <c r="O5352" i="45"/>
  <c r="O5353" i="45"/>
  <c r="O5354" i="45"/>
  <c r="O5355" i="45"/>
  <c r="O5356" i="45"/>
  <c r="O5357" i="45"/>
  <c r="O5358" i="45"/>
  <c r="O5359" i="45"/>
  <c r="O5360" i="45"/>
  <c r="O5361" i="45"/>
  <c r="O5362" i="45"/>
  <c r="O5363" i="45"/>
  <c r="O5364" i="45"/>
  <c r="O5365" i="45"/>
  <c r="O5366" i="45"/>
  <c r="O5367" i="45"/>
  <c r="O5368" i="45"/>
  <c r="O5369" i="45"/>
  <c r="O5370" i="45"/>
  <c r="O5371" i="45"/>
  <c r="O5372" i="45"/>
  <c r="O5373" i="45"/>
  <c r="O5374" i="45"/>
  <c r="O5375" i="45"/>
  <c r="O5376" i="45"/>
  <c r="O5377" i="45"/>
  <c r="O5378" i="45"/>
  <c r="O5379" i="45"/>
  <c r="O5380" i="45"/>
  <c r="O5381" i="45"/>
  <c r="O5382" i="45"/>
  <c r="O5383" i="45"/>
  <c r="O5384" i="45"/>
  <c r="O5385" i="45"/>
  <c r="O5386" i="45"/>
  <c r="O5387" i="45"/>
  <c r="O5388" i="45"/>
  <c r="O5389" i="45"/>
  <c r="O5390" i="45"/>
  <c r="O5391" i="45"/>
  <c r="O5392" i="45"/>
  <c r="O5393" i="45"/>
  <c r="O5394" i="45"/>
  <c r="O5395" i="45"/>
  <c r="O5396" i="45"/>
  <c r="O5397" i="45"/>
  <c r="O5398" i="45"/>
  <c r="O5399" i="45"/>
  <c r="O5400" i="45"/>
  <c r="O5401" i="45"/>
  <c r="O5402" i="45"/>
  <c r="O5403" i="45"/>
  <c r="O5404" i="45"/>
  <c r="O5405" i="45"/>
  <c r="O5406" i="45"/>
  <c r="O5407" i="45"/>
  <c r="O5408" i="45"/>
  <c r="O5409" i="45"/>
  <c r="O5410" i="45"/>
  <c r="O5411" i="45"/>
  <c r="O5412" i="45"/>
  <c r="O5413" i="45"/>
  <c r="O5414" i="45"/>
  <c r="O5415" i="45"/>
  <c r="O5416" i="45"/>
  <c r="O5417" i="45"/>
  <c r="O5418" i="45"/>
  <c r="O5419" i="45"/>
  <c r="O5420" i="45"/>
  <c r="O5421" i="45"/>
  <c r="O5422" i="45"/>
  <c r="O5423" i="45"/>
  <c r="O5424" i="45"/>
  <c r="O5425" i="45"/>
  <c r="O5426" i="45"/>
  <c r="O5427" i="45"/>
  <c r="O5428" i="45"/>
  <c r="O5429" i="45"/>
  <c r="O5430" i="45"/>
  <c r="O5431" i="45"/>
  <c r="O5432" i="45"/>
  <c r="O5433" i="45"/>
  <c r="O5434" i="45"/>
  <c r="O5435" i="45"/>
  <c r="O5436" i="45"/>
  <c r="O5437" i="45"/>
  <c r="O5438" i="45"/>
  <c r="O5439" i="45"/>
  <c r="O5440" i="45"/>
  <c r="O5441" i="45"/>
  <c r="O5442" i="45"/>
  <c r="O5443" i="45"/>
  <c r="O5444" i="45"/>
  <c r="O5445" i="45"/>
  <c r="O5446" i="45"/>
  <c r="O5447" i="45"/>
  <c r="O5448" i="45"/>
  <c r="O5449" i="45"/>
  <c r="O5450" i="45"/>
  <c r="O5451" i="45"/>
  <c r="O5452" i="45"/>
  <c r="O5453" i="45"/>
  <c r="O5454" i="45"/>
  <c r="O5455" i="45"/>
  <c r="O5456" i="45"/>
  <c r="O5457" i="45"/>
  <c r="O5458" i="45"/>
  <c r="O5459" i="45"/>
  <c r="O5460" i="45"/>
  <c r="O5461" i="45"/>
  <c r="O5462" i="45"/>
  <c r="O5463" i="45"/>
  <c r="O5464" i="45"/>
  <c r="O5465" i="45"/>
  <c r="O5466" i="45"/>
  <c r="O5467" i="45"/>
  <c r="O5468" i="45"/>
  <c r="O5469" i="45"/>
  <c r="O5470" i="45"/>
  <c r="O5471" i="45"/>
  <c r="O5472" i="45"/>
  <c r="O5473" i="45"/>
  <c r="O5474" i="45"/>
  <c r="O5475" i="45"/>
  <c r="O5476" i="45"/>
  <c r="O5477" i="45"/>
  <c r="O5478" i="45"/>
  <c r="O5479" i="45"/>
  <c r="O5480" i="45"/>
  <c r="O5481" i="45"/>
  <c r="O5482" i="45"/>
  <c r="O5483" i="45"/>
  <c r="O5484" i="45"/>
  <c r="O5485" i="45"/>
  <c r="O5486" i="45"/>
  <c r="O5487" i="45"/>
  <c r="O5488" i="45"/>
  <c r="O5489" i="45"/>
  <c r="O5490" i="45"/>
  <c r="O5491" i="45"/>
  <c r="O5492" i="45"/>
  <c r="O5493" i="45"/>
  <c r="O5494" i="45"/>
  <c r="O5495" i="45"/>
  <c r="O5496" i="45"/>
  <c r="O5497" i="45"/>
  <c r="O5498" i="45"/>
  <c r="O5499" i="45"/>
  <c r="O5500" i="45"/>
  <c r="O5501" i="45"/>
  <c r="O5502" i="45"/>
  <c r="O5503" i="45"/>
  <c r="O5504" i="45"/>
  <c r="O5505" i="45"/>
  <c r="O5506" i="45"/>
  <c r="O5507" i="45"/>
  <c r="O5508" i="45"/>
  <c r="O5509" i="45"/>
  <c r="O5510" i="45"/>
  <c r="O5511" i="45"/>
  <c r="O5512" i="45"/>
  <c r="O5513" i="45"/>
  <c r="O5514" i="45"/>
  <c r="O5515" i="45"/>
  <c r="O5516" i="45"/>
  <c r="O5517" i="45"/>
  <c r="O5518" i="45"/>
  <c r="O5519" i="45"/>
  <c r="O5520" i="45"/>
  <c r="O5521" i="45"/>
  <c r="O5522" i="45"/>
  <c r="O5523" i="45"/>
  <c r="O5524" i="45"/>
  <c r="O5525" i="45"/>
  <c r="O5526" i="45"/>
  <c r="O5527" i="45"/>
  <c r="O5528" i="45"/>
  <c r="O5529" i="45"/>
  <c r="O5530" i="45"/>
  <c r="O5531" i="45"/>
  <c r="O5532" i="45"/>
  <c r="O5533" i="45"/>
  <c r="O5534" i="45"/>
  <c r="O5535" i="45"/>
  <c r="O5536" i="45"/>
  <c r="O5537" i="45"/>
  <c r="O5538" i="45"/>
  <c r="O5539" i="45"/>
  <c r="O5540" i="45"/>
  <c r="O5541" i="45"/>
  <c r="O5542" i="45"/>
  <c r="O5543" i="45"/>
  <c r="O5544" i="45"/>
  <c r="O5545" i="45"/>
  <c r="O5546" i="45"/>
  <c r="O5547" i="45"/>
  <c r="O5548" i="45"/>
  <c r="O5549" i="45"/>
  <c r="O5550" i="45"/>
  <c r="O5551" i="45"/>
  <c r="O5552" i="45"/>
  <c r="O5553" i="45"/>
  <c r="O5554" i="45"/>
  <c r="O5555" i="45"/>
  <c r="O5556" i="45"/>
  <c r="O5557" i="45"/>
  <c r="O5558" i="45"/>
  <c r="O5559" i="45"/>
  <c r="O5560" i="45"/>
  <c r="O5561" i="45"/>
  <c r="O5562" i="45"/>
  <c r="O5563" i="45"/>
  <c r="O5564" i="45"/>
  <c r="O5565" i="45"/>
  <c r="O5566" i="45"/>
  <c r="O5567" i="45"/>
  <c r="O5568" i="45"/>
  <c r="O5569" i="45"/>
  <c r="O5570" i="45"/>
  <c r="O5571" i="45"/>
  <c r="O5572" i="45"/>
  <c r="O5573" i="45"/>
  <c r="O5574" i="45"/>
  <c r="O5575" i="45"/>
  <c r="O5576" i="45"/>
  <c r="O5577" i="45"/>
  <c r="O5578" i="45"/>
  <c r="O5579" i="45"/>
  <c r="O5580" i="45"/>
  <c r="O5581" i="45"/>
  <c r="O5582" i="45"/>
  <c r="O5583" i="45"/>
  <c r="O5584" i="45"/>
  <c r="O5585" i="45"/>
  <c r="O5586" i="45"/>
  <c r="O5587" i="45"/>
  <c r="O5588" i="45"/>
  <c r="O5589" i="45"/>
  <c r="O5590" i="45"/>
  <c r="O5591" i="45"/>
  <c r="O5592" i="45"/>
  <c r="O5593" i="45"/>
  <c r="O5594" i="45"/>
  <c r="O5595" i="45"/>
  <c r="O5596" i="45"/>
  <c r="O5597" i="45"/>
  <c r="O5598" i="45"/>
  <c r="O5599" i="45"/>
  <c r="O5600" i="45"/>
  <c r="O5601" i="45"/>
  <c r="O5602" i="45"/>
  <c r="O5603" i="45"/>
  <c r="O5604" i="45"/>
  <c r="O5605" i="45"/>
  <c r="O5606" i="45"/>
  <c r="O5607" i="45"/>
  <c r="O5608" i="45"/>
  <c r="O5609" i="45"/>
  <c r="O5610" i="45"/>
  <c r="O5611" i="45"/>
  <c r="O5612" i="45"/>
  <c r="O5613" i="45"/>
  <c r="O5614" i="45"/>
  <c r="O5615" i="45"/>
  <c r="O5616" i="45"/>
  <c r="O5617" i="45"/>
  <c r="O5618" i="45"/>
  <c r="O5619" i="45"/>
  <c r="O5620" i="45"/>
  <c r="O5621" i="45"/>
  <c r="O5622" i="45"/>
  <c r="O5623" i="45"/>
  <c r="O5624" i="45"/>
  <c r="O5625" i="45"/>
  <c r="O5626" i="45"/>
  <c r="O5627" i="45"/>
  <c r="O5628" i="45"/>
  <c r="O5629" i="45"/>
  <c r="O5630" i="45"/>
  <c r="O5631" i="45"/>
  <c r="O5632" i="45"/>
  <c r="O5633" i="45"/>
  <c r="O5634" i="45"/>
  <c r="O5635" i="45"/>
  <c r="O5636" i="45"/>
  <c r="O5637" i="45"/>
  <c r="O5638" i="45"/>
  <c r="O5639" i="45"/>
  <c r="O5640" i="45"/>
  <c r="O5641" i="45"/>
  <c r="O5642" i="45"/>
  <c r="O5643" i="45"/>
  <c r="O5644" i="45"/>
  <c r="O5645" i="45"/>
  <c r="O5646" i="45"/>
  <c r="O5647" i="45"/>
  <c r="O5648" i="45"/>
  <c r="O5649" i="45"/>
  <c r="O5650" i="45"/>
  <c r="O5651" i="45"/>
  <c r="O5652" i="45"/>
  <c r="O5653" i="45"/>
  <c r="O5654" i="45"/>
  <c r="O5655" i="45"/>
  <c r="O5656" i="45"/>
  <c r="O5657" i="45"/>
  <c r="O5658" i="45"/>
  <c r="O5659" i="45"/>
  <c r="O5660" i="45"/>
  <c r="O5661" i="45"/>
  <c r="O5662" i="45"/>
  <c r="O5663" i="45"/>
  <c r="O5664" i="45"/>
  <c r="O5665" i="45"/>
  <c r="O5666" i="45"/>
  <c r="O5667" i="45"/>
  <c r="O5668" i="45"/>
  <c r="O5669" i="45"/>
  <c r="O5670" i="45"/>
  <c r="O5671" i="45"/>
  <c r="O5672" i="45"/>
  <c r="O5673" i="45"/>
  <c r="O5674" i="45"/>
  <c r="O5675" i="45"/>
  <c r="O5676" i="45"/>
  <c r="O5677" i="45"/>
  <c r="O5678" i="45"/>
  <c r="O5679" i="45"/>
  <c r="O5680" i="45"/>
  <c r="O5681" i="45"/>
  <c r="O5682" i="45"/>
  <c r="O5683" i="45"/>
  <c r="O5684" i="45"/>
  <c r="O5685" i="45"/>
  <c r="O5686" i="45"/>
  <c r="O5687" i="45"/>
  <c r="O5688" i="45"/>
  <c r="O5689" i="45"/>
  <c r="O5690" i="45"/>
  <c r="O5691" i="45"/>
  <c r="O5692" i="45"/>
  <c r="O5693" i="45"/>
  <c r="O5694" i="45"/>
  <c r="O5695" i="45"/>
  <c r="O5696" i="45"/>
  <c r="O5697" i="45"/>
  <c r="O5698" i="45"/>
  <c r="O5699" i="45"/>
  <c r="O5700" i="45"/>
  <c r="O5701" i="45"/>
  <c r="O5702" i="45"/>
  <c r="O5703" i="45"/>
  <c r="O5704" i="45"/>
  <c r="O5705" i="45"/>
  <c r="O5706" i="45"/>
  <c r="O5707" i="45"/>
  <c r="O5708" i="45"/>
  <c r="O5709" i="45"/>
  <c r="O5710" i="45"/>
  <c r="O5711" i="45"/>
  <c r="O5712" i="45"/>
  <c r="O5713" i="45"/>
  <c r="O5714" i="45"/>
  <c r="O5715" i="45"/>
  <c r="O5716" i="45"/>
  <c r="O5717" i="45"/>
  <c r="O5718" i="45"/>
  <c r="O5719" i="45"/>
  <c r="O5720" i="45"/>
  <c r="O5721" i="45"/>
  <c r="O5722" i="45"/>
  <c r="O5723" i="45"/>
  <c r="O5724" i="45"/>
  <c r="O5725" i="45"/>
  <c r="O5726" i="45"/>
  <c r="O5727" i="45"/>
  <c r="O5728" i="45"/>
  <c r="O5729" i="45"/>
  <c r="O5730" i="45"/>
  <c r="O5731" i="45"/>
  <c r="O5732" i="45"/>
  <c r="O5733" i="45"/>
  <c r="O5734" i="45"/>
  <c r="O5735" i="45"/>
  <c r="O5736" i="45"/>
  <c r="O5737" i="45"/>
  <c r="O5738" i="45"/>
  <c r="O5739" i="45"/>
  <c r="O5740" i="45"/>
  <c r="O5741" i="45"/>
  <c r="O5742" i="45"/>
  <c r="O5743" i="45"/>
  <c r="O5744" i="45"/>
  <c r="O5745" i="45"/>
  <c r="O5746" i="45"/>
  <c r="O5747" i="45"/>
  <c r="O5748" i="45"/>
  <c r="O5749" i="45"/>
  <c r="O5750" i="45"/>
  <c r="O5751" i="45"/>
  <c r="O5752" i="45"/>
  <c r="O5753" i="45"/>
  <c r="O5754" i="45"/>
  <c r="O5755" i="45"/>
  <c r="O5756" i="45"/>
  <c r="O5757" i="45"/>
  <c r="O5758" i="45"/>
  <c r="O5759" i="45"/>
  <c r="O5760" i="45"/>
  <c r="O5761" i="45"/>
  <c r="O5762" i="45"/>
  <c r="O5763" i="45"/>
  <c r="O5764" i="45"/>
  <c r="O5765" i="45"/>
  <c r="O5766" i="45"/>
  <c r="O5767" i="45"/>
  <c r="O5768" i="45"/>
  <c r="O5769" i="45"/>
  <c r="O5770" i="45"/>
  <c r="O5771" i="45"/>
  <c r="O5772" i="45"/>
  <c r="O5773" i="45"/>
  <c r="O5774" i="45"/>
  <c r="O5775" i="45"/>
  <c r="O5776" i="45"/>
  <c r="O5777" i="45"/>
  <c r="O5778" i="45"/>
  <c r="O5779" i="45"/>
  <c r="O5780" i="45"/>
  <c r="I5299" i="45"/>
  <c r="I5300" i="45"/>
  <c r="I5301" i="45"/>
  <c r="I5302" i="45"/>
  <c r="I5303" i="45"/>
  <c r="I5304" i="45"/>
  <c r="I5305" i="45"/>
  <c r="I5306" i="45"/>
  <c r="I5307" i="45"/>
  <c r="I5308" i="45"/>
  <c r="I5309" i="45"/>
  <c r="I5310" i="45"/>
  <c r="I5311" i="45"/>
  <c r="I5312" i="45"/>
  <c r="I5313" i="45"/>
  <c r="I5314" i="45"/>
  <c r="I5315" i="45"/>
  <c r="I5316" i="45"/>
  <c r="I5317" i="45"/>
  <c r="I5318" i="45"/>
  <c r="I5319" i="45"/>
  <c r="I5320" i="45"/>
  <c r="I5321" i="45"/>
  <c r="I5322" i="45"/>
  <c r="I5323" i="45"/>
  <c r="I5324" i="45"/>
  <c r="I5325" i="45"/>
  <c r="I5326" i="45"/>
  <c r="I5327" i="45"/>
  <c r="I5328" i="45"/>
  <c r="I5329" i="45"/>
  <c r="I5330" i="45"/>
  <c r="I5331" i="45"/>
  <c r="I5332" i="45"/>
  <c r="I5333" i="45"/>
  <c r="I5334" i="45"/>
  <c r="I5335" i="45"/>
  <c r="I5336" i="45"/>
  <c r="I5337" i="45"/>
  <c r="I5338" i="45"/>
  <c r="I5339" i="45"/>
  <c r="I5340" i="45"/>
  <c r="I5341" i="45"/>
  <c r="I5342" i="45"/>
  <c r="I5343" i="45"/>
  <c r="I5344" i="45"/>
  <c r="I5345" i="45"/>
  <c r="I5346" i="45"/>
  <c r="I5347" i="45"/>
  <c r="I5348" i="45"/>
  <c r="I5349" i="45"/>
  <c r="I5350" i="45"/>
  <c r="I5351" i="45"/>
  <c r="I5352" i="45"/>
  <c r="I5353" i="45"/>
  <c r="I5354" i="45"/>
  <c r="I5355" i="45"/>
  <c r="I5356" i="45"/>
  <c r="I5357" i="45"/>
  <c r="I5358" i="45"/>
  <c r="I5359" i="45"/>
  <c r="I5360" i="45"/>
  <c r="I5361" i="45"/>
  <c r="I5362" i="45"/>
  <c r="I5363" i="45"/>
  <c r="I5364" i="45"/>
  <c r="I5365" i="45"/>
  <c r="I5366" i="45"/>
  <c r="I5367" i="45"/>
  <c r="I5368" i="45"/>
  <c r="I5369" i="45"/>
  <c r="I5370" i="45"/>
  <c r="I5371" i="45"/>
  <c r="I5372" i="45"/>
  <c r="I5373" i="45"/>
  <c r="I5374" i="45"/>
  <c r="I5375" i="45"/>
  <c r="I5376" i="45"/>
  <c r="I5377" i="45"/>
  <c r="I5378" i="45"/>
  <c r="I5379" i="45"/>
  <c r="I5380" i="45"/>
  <c r="I5381" i="45"/>
  <c r="I5382" i="45"/>
  <c r="I5383" i="45"/>
  <c r="I5384" i="45"/>
  <c r="I5385" i="45"/>
  <c r="I5386" i="45"/>
  <c r="I5387" i="45"/>
  <c r="I5388" i="45"/>
  <c r="I5389" i="45"/>
  <c r="I5390" i="45"/>
  <c r="I5391" i="45"/>
  <c r="I5392" i="45"/>
  <c r="I5393" i="45"/>
  <c r="I5394" i="45"/>
  <c r="I5395" i="45"/>
  <c r="I5396" i="45"/>
  <c r="I5397" i="45"/>
  <c r="I5398" i="45"/>
  <c r="I5399" i="45"/>
  <c r="I5400" i="45"/>
  <c r="I5401" i="45"/>
  <c r="I5402" i="45"/>
  <c r="I5403" i="45"/>
  <c r="I5404" i="45"/>
  <c r="I5405" i="45"/>
  <c r="I5406" i="45"/>
  <c r="I5407" i="45"/>
  <c r="I5408" i="45"/>
  <c r="I5409" i="45"/>
  <c r="I5410" i="45"/>
  <c r="I5411" i="45"/>
  <c r="I5412" i="45"/>
  <c r="I5413" i="45"/>
  <c r="I5414" i="45"/>
  <c r="I5415" i="45"/>
  <c r="I5416" i="45"/>
  <c r="I5417" i="45"/>
  <c r="I5418" i="45"/>
  <c r="I5419" i="45"/>
  <c r="I5420" i="45"/>
  <c r="I5421" i="45"/>
  <c r="I5422" i="45"/>
  <c r="I5423" i="45"/>
  <c r="I5424" i="45"/>
  <c r="I5425" i="45"/>
  <c r="I5426" i="45"/>
  <c r="I5427" i="45"/>
  <c r="I5428" i="45"/>
  <c r="I5429" i="45"/>
  <c r="I5430" i="45"/>
  <c r="I5431" i="45"/>
  <c r="I5432" i="45"/>
  <c r="I5433" i="45"/>
  <c r="I5434" i="45"/>
  <c r="I5435" i="45"/>
  <c r="I5436" i="45"/>
  <c r="I5437" i="45"/>
  <c r="I5438" i="45"/>
  <c r="I5439" i="45"/>
  <c r="I5440" i="45"/>
  <c r="I5441" i="45"/>
  <c r="I5442" i="45"/>
  <c r="I5443" i="45"/>
  <c r="I5444" i="45"/>
  <c r="I5445" i="45"/>
  <c r="I5446" i="45"/>
  <c r="I5447" i="45"/>
  <c r="I5448" i="45"/>
  <c r="I5449" i="45"/>
  <c r="I5450" i="45"/>
  <c r="I5451" i="45"/>
  <c r="I5452" i="45"/>
  <c r="I5453" i="45"/>
  <c r="I5454" i="45"/>
  <c r="I5455" i="45"/>
  <c r="I5456" i="45"/>
  <c r="I5457" i="45"/>
  <c r="I5458" i="45"/>
  <c r="I5459" i="45"/>
  <c r="I5460" i="45"/>
  <c r="I5461" i="45"/>
  <c r="I5462" i="45"/>
  <c r="I5463" i="45"/>
  <c r="I5464" i="45"/>
  <c r="I5465" i="45"/>
  <c r="I5466" i="45"/>
  <c r="I5467" i="45"/>
  <c r="I5468" i="45"/>
  <c r="I5469" i="45"/>
  <c r="I5470" i="45"/>
  <c r="I5471" i="45"/>
  <c r="I5472" i="45"/>
  <c r="I5473" i="45"/>
  <c r="I5474" i="45"/>
  <c r="I5475" i="45"/>
  <c r="I5476" i="45"/>
  <c r="I5477" i="45"/>
  <c r="I5478" i="45"/>
  <c r="I5479" i="45"/>
  <c r="I5480" i="45"/>
  <c r="I5481" i="45"/>
  <c r="I5482" i="45"/>
  <c r="I5483" i="45"/>
  <c r="I5484" i="45"/>
  <c r="I5485" i="45"/>
  <c r="I5486" i="45"/>
  <c r="I5487" i="45"/>
  <c r="I5488" i="45"/>
  <c r="I5489" i="45"/>
  <c r="I5490" i="45"/>
  <c r="I5491" i="45"/>
  <c r="I5492" i="45"/>
  <c r="I5493" i="45"/>
  <c r="I5494" i="45"/>
  <c r="I5495" i="45"/>
  <c r="I5496" i="45"/>
  <c r="I5497" i="45"/>
  <c r="I5498" i="45"/>
  <c r="I5499" i="45"/>
  <c r="I5500" i="45"/>
  <c r="I5501" i="45"/>
  <c r="I5502" i="45"/>
  <c r="I5503" i="45"/>
  <c r="I5504" i="45"/>
  <c r="I5505" i="45"/>
  <c r="I5506" i="45"/>
  <c r="I5507" i="45"/>
  <c r="I5508" i="45"/>
  <c r="I5509" i="45"/>
  <c r="I5510" i="45"/>
  <c r="I5511" i="45"/>
  <c r="I5512" i="45"/>
  <c r="I5513" i="45"/>
  <c r="I5514" i="45"/>
  <c r="I5515" i="45"/>
  <c r="I5516" i="45"/>
  <c r="I5517" i="45"/>
  <c r="I5518" i="45"/>
  <c r="I5519" i="45"/>
  <c r="I5520" i="45"/>
  <c r="I5521" i="45"/>
  <c r="I5522" i="45"/>
  <c r="I5523" i="45"/>
  <c r="I5524" i="45"/>
  <c r="I5525" i="45"/>
  <c r="I5526" i="45"/>
  <c r="I5527" i="45"/>
  <c r="I5528" i="45"/>
  <c r="I5529" i="45"/>
  <c r="I5530" i="45"/>
  <c r="I5531" i="45"/>
  <c r="I5532" i="45"/>
  <c r="I5533" i="45"/>
  <c r="I5534" i="45"/>
  <c r="I5535" i="45"/>
  <c r="I5536" i="45"/>
  <c r="I5537" i="45"/>
  <c r="I5538" i="45"/>
  <c r="I5539" i="45"/>
  <c r="I5540" i="45"/>
  <c r="I5541" i="45"/>
  <c r="I5542" i="45"/>
  <c r="I5543" i="45"/>
  <c r="I5544" i="45"/>
  <c r="I5545" i="45"/>
  <c r="I5546" i="45"/>
  <c r="I5547" i="45"/>
  <c r="I5548" i="45"/>
  <c r="I5549" i="45"/>
  <c r="I5550" i="45"/>
  <c r="I5551" i="45"/>
  <c r="I5552" i="45"/>
  <c r="I5553" i="45"/>
  <c r="I5554" i="45"/>
  <c r="I5555" i="45"/>
  <c r="I5556" i="45"/>
  <c r="I5557" i="45"/>
  <c r="I5558" i="45"/>
  <c r="I5559" i="45"/>
  <c r="I5560" i="45"/>
  <c r="I5561" i="45"/>
  <c r="I5562" i="45"/>
  <c r="I5563" i="45"/>
  <c r="I5564" i="45"/>
  <c r="I5565" i="45"/>
  <c r="I5566" i="45"/>
  <c r="I5567" i="45"/>
  <c r="I5568" i="45"/>
  <c r="I5569" i="45"/>
  <c r="I5570" i="45"/>
  <c r="I5571" i="45"/>
  <c r="I5572" i="45"/>
  <c r="I5573" i="45"/>
  <c r="I5574" i="45"/>
  <c r="I5575" i="45"/>
  <c r="I5576" i="45"/>
  <c r="I5577" i="45"/>
  <c r="I5578" i="45"/>
  <c r="I5579" i="45"/>
  <c r="I5580" i="45"/>
  <c r="I5581" i="45"/>
  <c r="I5582" i="45"/>
  <c r="I5583" i="45"/>
  <c r="I5584" i="45"/>
  <c r="I5585" i="45"/>
  <c r="I5586" i="45"/>
  <c r="I5587" i="45"/>
  <c r="I5588" i="45"/>
  <c r="I5589" i="45"/>
  <c r="I5590" i="45"/>
  <c r="I5591" i="45"/>
  <c r="I5592" i="45"/>
  <c r="I5593" i="45"/>
  <c r="I5594" i="45"/>
  <c r="I5595" i="45"/>
  <c r="I5596" i="45"/>
  <c r="I5597" i="45"/>
  <c r="I5598" i="45"/>
  <c r="I5599" i="45"/>
  <c r="I5600" i="45"/>
  <c r="I5601" i="45"/>
  <c r="I5602" i="45"/>
  <c r="I5603" i="45"/>
  <c r="I5604" i="45"/>
  <c r="I5605" i="45"/>
  <c r="I5606" i="45"/>
  <c r="I5607" i="45"/>
  <c r="I5608" i="45"/>
  <c r="I5609" i="45"/>
  <c r="I5610" i="45"/>
  <c r="I5611" i="45"/>
  <c r="I5612" i="45"/>
  <c r="I5613" i="45"/>
  <c r="I5614" i="45"/>
  <c r="I5615" i="45"/>
  <c r="I5616" i="45"/>
  <c r="I5617" i="45"/>
  <c r="I5618" i="45"/>
  <c r="I5619" i="45"/>
  <c r="I5620" i="45"/>
  <c r="I5621" i="45"/>
  <c r="I5622" i="45"/>
  <c r="I5623" i="45"/>
  <c r="I5624" i="45"/>
  <c r="I5625" i="45"/>
  <c r="I5626" i="45"/>
  <c r="I5627" i="45"/>
  <c r="I5628" i="45"/>
  <c r="I5629" i="45"/>
  <c r="I5630" i="45"/>
  <c r="I5631" i="45"/>
  <c r="I5632" i="45"/>
  <c r="I5633" i="45"/>
  <c r="I5634" i="45"/>
  <c r="I5635" i="45"/>
  <c r="I5636" i="45"/>
  <c r="I5637" i="45"/>
  <c r="I5638" i="45"/>
  <c r="I5639" i="45"/>
  <c r="I5640" i="45"/>
  <c r="I5641" i="45"/>
  <c r="I5642" i="45"/>
  <c r="I5643" i="45"/>
  <c r="I5644" i="45"/>
  <c r="I5645" i="45"/>
  <c r="I5646" i="45"/>
  <c r="I5647" i="45"/>
  <c r="I5648" i="45"/>
  <c r="I5649" i="45"/>
  <c r="I5650" i="45"/>
  <c r="I5651" i="45"/>
  <c r="I5652" i="45"/>
  <c r="I5653" i="45"/>
  <c r="I5654" i="45"/>
  <c r="I5655" i="45"/>
  <c r="I5656" i="45"/>
  <c r="I5657" i="45"/>
  <c r="I5658" i="45"/>
  <c r="I5659" i="45"/>
  <c r="I5660" i="45"/>
  <c r="I5661" i="45"/>
  <c r="I5662" i="45"/>
  <c r="I5663" i="45"/>
  <c r="I5664" i="45"/>
  <c r="I5665" i="45"/>
  <c r="I5666" i="45"/>
  <c r="I5667" i="45"/>
  <c r="I5668" i="45"/>
  <c r="I5669" i="45"/>
  <c r="I5670" i="45"/>
  <c r="I5671" i="45"/>
  <c r="I5672" i="45"/>
  <c r="I5673" i="45"/>
  <c r="I5674" i="45"/>
  <c r="I5675" i="45"/>
  <c r="I5676" i="45"/>
  <c r="I5677" i="45"/>
  <c r="I5678" i="45"/>
  <c r="I5679" i="45"/>
  <c r="I5680" i="45"/>
  <c r="I5681" i="45"/>
  <c r="I5682" i="45"/>
  <c r="I5683" i="45"/>
  <c r="I5684" i="45"/>
  <c r="I5685" i="45"/>
  <c r="I5686" i="45"/>
  <c r="I5687" i="45"/>
  <c r="I5688" i="45"/>
  <c r="I5689" i="45"/>
  <c r="I5690" i="45"/>
  <c r="I5691" i="45"/>
  <c r="I5692" i="45"/>
  <c r="I5693" i="45"/>
  <c r="I5694" i="45"/>
  <c r="I5695" i="45"/>
  <c r="I5696" i="45"/>
  <c r="I5697" i="45"/>
  <c r="I5698" i="45"/>
  <c r="I5699" i="45"/>
  <c r="I5700" i="45"/>
  <c r="I5701" i="45"/>
  <c r="I5702" i="45"/>
  <c r="I5703" i="45"/>
  <c r="I5704" i="45"/>
  <c r="I5705" i="45"/>
  <c r="I5706" i="45"/>
  <c r="I5707" i="45"/>
  <c r="I5708" i="45"/>
  <c r="I5709" i="45"/>
  <c r="I5710" i="45"/>
  <c r="I5711" i="45"/>
  <c r="I5712" i="45"/>
  <c r="I5713" i="45"/>
  <c r="I5714" i="45"/>
  <c r="I5715" i="45"/>
  <c r="I5716" i="45"/>
  <c r="I5717" i="45"/>
  <c r="I5718" i="45"/>
  <c r="I5719" i="45"/>
  <c r="I5720" i="45"/>
  <c r="I5721" i="45"/>
  <c r="I5722" i="45"/>
  <c r="I5723" i="45"/>
  <c r="I5724" i="45"/>
  <c r="I5725" i="45"/>
  <c r="I5726" i="45"/>
  <c r="I5727" i="45"/>
  <c r="I5728" i="45"/>
  <c r="I5729" i="45"/>
  <c r="I5730" i="45"/>
  <c r="I5731" i="45"/>
  <c r="I5732" i="45"/>
  <c r="I5733" i="45"/>
  <c r="I5734" i="45"/>
  <c r="I5735" i="45"/>
  <c r="I5736" i="45"/>
  <c r="I5737" i="45"/>
  <c r="I5738" i="45"/>
  <c r="I5739" i="45"/>
  <c r="I5740" i="45"/>
  <c r="I5741" i="45"/>
  <c r="I5742" i="45"/>
  <c r="I5743" i="45"/>
  <c r="I5744" i="45"/>
  <c r="I5745" i="45"/>
  <c r="I5746" i="45"/>
  <c r="I5747" i="45"/>
  <c r="I5748" i="45"/>
  <c r="I5749" i="45"/>
  <c r="I5750" i="45"/>
  <c r="I5751" i="45"/>
  <c r="I5752" i="45"/>
  <c r="I5753" i="45"/>
  <c r="I5754" i="45"/>
  <c r="I5755" i="45"/>
  <c r="I5756" i="45"/>
  <c r="I5757" i="45"/>
  <c r="I5758" i="45"/>
  <c r="I5759" i="45"/>
  <c r="I5760" i="45"/>
  <c r="I5761" i="45"/>
  <c r="I5762" i="45"/>
  <c r="I5763" i="45"/>
  <c r="I5764" i="45"/>
  <c r="I5765" i="45"/>
  <c r="I5766" i="45"/>
  <c r="I5767" i="45"/>
  <c r="I5768" i="45"/>
  <c r="I5769" i="45"/>
  <c r="I5770" i="45"/>
  <c r="I5771" i="45"/>
  <c r="I5772" i="45"/>
  <c r="I5773" i="45"/>
  <c r="I5774" i="45"/>
  <c r="I5775" i="45"/>
  <c r="I5776" i="45"/>
  <c r="I5777" i="45"/>
  <c r="I5778" i="45"/>
  <c r="I5779" i="45"/>
  <c r="I5780" i="45"/>
  <c r="O4530" i="45"/>
  <c r="O4531" i="45"/>
  <c r="O4532" i="45"/>
  <c r="O4533" i="45"/>
  <c r="O4534" i="45"/>
  <c r="O4535" i="45"/>
  <c r="O4536" i="45"/>
  <c r="O4537" i="45"/>
  <c r="O4538" i="45"/>
  <c r="O4539" i="45"/>
  <c r="O4540" i="45"/>
  <c r="O4541" i="45"/>
  <c r="O4542" i="45"/>
  <c r="O4543" i="45"/>
  <c r="O4544" i="45"/>
  <c r="O4545" i="45"/>
  <c r="O4546" i="45"/>
  <c r="O4547" i="45"/>
  <c r="O4548" i="45"/>
  <c r="O4549" i="45"/>
  <c r="O4550" i="45"/>
  <c r="O4551" i="45"/>
  <c r="O4552" i="45"/>
  <c r="O4553" i="45"/>
  <c r="O4554" i="45"/>
  <c r="O4555" i="45"/>
  <c r="O4556" i="45"/>
  <c r="O4557" i="45"/>
  <c r="O4558" i="45"/>
  <c r="O4559" i="45"/>
  <c r="O4560" i="45"/>
  <c r="O4561" i="45"/>
  <c r="O4562" i="45"/>
  <c r="O4563" i="45"/>
  <c r="O4564" i="45"/>
  <c r="O4565" i="45"/>
  <c r="O4566" i="45"/>
  <c r="O4567" i="45"/>
  <c r="O4568" i="45"/>
  <c r="O4569" i="45"/>
  <c r="O4570" i="45"/>
  <c r="O4571" i="45"/>
  <c r="O4572" i="45"/>
  <c r="O4573" i="45"/>
  <c r="O4574" i="45"/>
  <c r="O4575" i="45"/>
  <c r="O4576" i="45"/>
  <c r="O4577" i="45"/>
  <c r="O4578" i="45"/>
  <c r="O4579" i="45"/>
  <c r="O4580" i="45"/>
  <c r="O4581" i="45"/>
  <c r="O4582" i="45"/>
  <c r="O4583" i="45"/>
  <c r="O4584" i="45"/>
  <c r="O4585" i="45"/>
  <c r="O4586" i="45"/>
  <c r="O4587" i="45"/>
  <c r="O4588" i="45"/>
  <c r="O4589" i="45"/>
  <c r="O4590" i="45"/>
  <c r="O4591" i="45"/>
  <c r="O4592" i="45"/>
  <c r="O4593" i="45"/>
  <c r="O4594" i="45"/>
  <c r="O4595" i="45"/>
  <c r="O4596" i="45"/>
  <c r="O4597" i="45"/>
  <c r="O4598" i="45"/>
  <c r="O4599" i="45"/>
  <c r="O4600" i="45"/>
  <c r="O4601" i="45"/>
  <c r="O4602" i="45"/>
  <c r="O4603" i="45"/>
  <c r="O4604" i="45"/>
  <c r="O4605" i="45"/>
  <c r="O4606" i="45"/>
  <c r="O4607" i="45"/>
  <c r="O4608" i="45"/>
  <c r="O4609" i="45"/>
  <c r="O4610" i="45"/>
  <c r="O4611" i="45"/>
  <c r="O4612" i="45"/>
  <c r="O4613" i="45"/>
  <c r="O4614" i="45"/>
  <c r="O4615" i="45"/>
  <c r="O4616" i="45"/>
  <c r="O4617" i="45"/>
  <c r="O4618" i="45"/>
  <c r="O4619" i="45"/>
  <c r="O4620" i="45"/>
  <c r="O4621" i="45"/>
  <c r="O4622" i="45"/>
  <c r="O4623" i="45"/>
  <c r="O4624" i="45"/>
  <c r="O4625" i="45"/>
  <c r="O4626" i="45"/>
  <c r="O4627" i="45"/>
  <c r="O4628" i="45"/>
  <c r="O4629" i="45"/>
  <c r="O4630" i="45"/>
  <c r="O4631" i="45"/>
  <c r="O4632" i="45"/>
  <c r="O4633" i="45"/>
  <c r="O4634" i="45"/>
  <c r="O4635" i="45"/>
  <c r="O4636" i="45"/>
  <c r="O4637" i="45"/>
  <c r="O4638" i="45"/>
  <c r="O4639" i="45"/>
  <c r="O4640" i="45"/>
  <c r="O4641" i="45"/>
  <c r="O4642" i="45"/>
  <c r="O4643" i="45"/>
  <c r="O4644" i="45"/>
  <c r="O4645" i="45"/>
  <c r="O4646" i="45"/>
  <c r="O4647" i="45"/>
  <c r="O4648" i="45"/>
  <c r="O4649" i="45"/>
  <c r="O4650" i="45"/>
  <c r="O4651" i="45"/>
  <c r="O4652" i="45"/>
  <c r="O4653" i="45"/>
  <c r="O4654" i="45"/>
  <c r="O4655" i="45"/>
  <c r="O4656" i="45"/>
  <c r="O4657" i="45"/>
  <c r="O4658" i="45"/>
  <c r="O4659" i="45"/>
  <c r="O4660" i="45"/>
  <c r="O4661" i="45"/>
  <c r="O4662" i="45"/>
  <c r="O4663" i="45"/>
  <c r="O4664" i="45"/>
  <c r="O4665" i="45"/>
  <c r="O4666" i="45"/>
  <c r="O4667" i="45"/>
  <c r="O4668" i="45"/>
  <c r="O4669" i="45"/>
  <c r="O4670" i="45"/>
  <c r="O4671" i="45"/>
  <c r="O4672" i="45"/>
  <c r="O4673" i="45"/>
  <c r="O4674" i="45"/>
  <c r="O4675" i="45"/>
  <c r="O4676" i="45"/>
  <c r="O4677" i="45"/>
  <c r="O4678" i="45"/>
  <c r="O4679" i="45"/>
  <c r="O4680" i="45"/>
  <c r="O4681" i="45"/>
  <c r="O4682" i="45"/>
  <c r="O4683" i="45"/>
  <c r="O4684" i="45"/>
  <c r="O4685" i="45"/>
  <c r="O4686" i="45"/>
  <c r="O4687" i="45"/>
  <c r="O4688" i="45"/>
  <c r="O4689" i="45"/>
  <c r="O4690" i="45"/>
  <c r="O4691" i="45"/>
  <c r="O4692" i="45"/>
  <c r="O4693" i="45"/>
  <c r="O4694" i="45"/>
  <c r="O4695" i="45"/>
  <c r="O4696" i="45"/>
  <c r="O4697" i="45"/>
  <c r="O4698" i="45"/>
  <c r="O4699" i="45"/>
  <c r="O4700" i="45"/>
  <c r="O4701" i="45"/>
  <c r="O4702" i="45"/>
  <c r="O4703" i="45"/>
  <c r="O4704" i="45"/>
  <c r="O4705" i="45"/>
  <c r="O4706" i="45"/>
  <c r="O4707" i="45"/>
  <c r="O4708" i="45"/>
  <c r="O4709" i="45"/>
  <c r="O4710" i="45"/>
  <c r="O4711" i="45"/>
  <c r="O4712" i="45"/>
  <c r="O4713" i="45"/>
  <c r="O4714" i="45"/>
  <c r="O4715" i="45"/>
  <c r="O4716" i="45"/>
  <c r="O4717" i="45"/>
  <c r="O4718" i="45"/>
  <c r="O4719" i="45"/>
  <c r="O4720" i="45"/>
  <c r="O4721" i="45"/>
  <c r="O4722" i="45"/>
  <c r="O4723" i="45"/>
  <c r="O4724" i="45"/>
  <c r="O4725" i="45"/>
  <c r="O4726" i="45"/>
  <c r="O4727" i="45"/>
  <c r="O4728" i="45"/>
  <c r="O4729" i="45"/>
  <c r="O4730" i="45"/>
  <c r="O4731" i="45"/>
  <c r="O4732" i="45"/>
  <c r="O4733" i="45"/>
  <c r="O4734" i="45"/>
  <c r="O4735" i="45"/>
  <c r="O4736" i="45"/>
  <c r="O4737" i="45"/>
  <c r="O4738" i="45"/>
  <c r="O4739" i="45"/>
  <c r="O4740" i="45"/>
  <c r="O4741" i="45"/>
  <c r="O4742" i="45"/>
  <c r="O4743" i="45"/>
  <c r="O4744" i="45"/>
  <c r="O4745" i="45"/>
  <c r="O4746" i="45"/>
  <c r="O4747" i="45"/>
  <c r="O4748" i="45"/>
  <c r="O4749" i="45"/>
  <c r="O4750" i="45"/>
  <c r="O4751" i="45"/>
  <c r="O4752" i="45"/>
  <c r="O4753" i="45"/>
  <c r="O4754" i="45"/>
  <c r="O4755" i="45"/>
  <c r="O4756" i="45"/>
  <c r="O4757" i="45"/>
  <c r="O4758" i="45"/>
  <c r="O4759" i="45"/>
  <c r="O4760" i="45"/>
  <c r="O4761" i="45"/>
  <c r="O4762" i="45"/>
  <c r="O4763" i="45"/>
  <c r="O4764" i="45"/>
  <c r="O4765" i="45"/>
  <c r="O4766" i="45"/>
  <c r="O4767" i="45"/>
  <c r="O4768" i="45"/>
  <c r="O4769" i="45"/>
  <c r="O4770" i="45"/>
  <c r="O4771" i="45"/>
  <c r="O4772" i="45"/>
  <c r="O4773" i="45"/>
  <c r="O4774" i="45"/>
  <c r="O4775" i="45"/>
  <c r="O4776" i="45"/>
  <c r="O4777" i="45"/>
  <c r="O4778" i="45"/>
  <c r="O4779" i="45"/>
  <c r="O4780" i="45"/>
  <c r="O4781" i="45"/>
  <c r="O4782" i="45"/>
  <c r="O4783" i="45"/>
  <c r="O4784" i="45"/>
  <c r="O4785" i="45"/>
  <c r="O4786" i="45"/>
  <c r="O4787" i="45"/>
  <c r="O4788" i="45"/>
  <c r="O4789" i="45"/>
  <c r="O4790" i="45"/>
  <c r="O4791" i="45"/>
  <c r="O4792" i="45"/>
  <c r="O4793" i="45"/>
  <c r="O4794" i="45"/>
  <c r="O4795" i="45"/>
  <c r="O4796" i="45"/>
  <c r="O4797" i="45"/>
  <c r="O4798" i="45"/>
  <c r="O4799" i="45"/>
  <c r="O4800" i="45"/>
  <c r="O4801" i="45"/>
  <c r="O4802" i="45"/>
  <c r="O4803" i="45"/>
  <c r="O4804" i="45"/>
  <c r="O4805" i="45"/>
  <c r="O4806" i="45"/>
  <c r="O4807" i="45"/>
  <c r="O4808" i="45"/>
  <c r="O4809" i="45"/>
  <c r="O4810" i="45"/>
  <c r="O4811" i="45"/>
  <c r="O4812" i="45"/>
  <c r="O4813" i="45"/>
  <c r="O4814" i="45"/>
  <c r="O4815" i="45"/>
  <c r="O4816" i="45"/>
  <c r="O4817" i="45"/>
  <c r="O4818" i="45"/>
  <c r="O4819" i="45"/>
  <c r="O4820" i="45"/>
  <c r="O4821" i="45"/>
  <c r="O4822" i="45"/>
  <c r="O4823" i="45"/>
  <c r="O4824" i="45"/>
  <c r="O4825" i="45"/>
  <c r="O4826" i="45"/>
  <c r="O4827" i="45"/>
  <c r="O4828" i="45"/>
  <c r="O4829" i="45"/>
  <c r="O4830" i="45"/>
  <c r="O4831" i="45"/>
  <c r="O4832" i="45"/>
  <c r="O4833" i="45"/>
  <c r="O4834" i="45"/>
  <c r="O4835" i="45"/>
  <c r="O4836" i="45"/>
  <c r="O4837" i="45"/>
  <c r="O4838" i="45"/>
  <c r="O4839" i="45"/>
  <c r="O4840" i="45"/>
  <c r="O4841" i="45"/>
  <c r="O4842" i="45"/>
  <c r="O4843" i="45"/>
  <c r="O4844" i="45"/>
  <c r="O4845" i="45"/>
  <c r="O4846" i="45"/>
  <c r="O4847" i="45"/>
  <c r="O4848" i="45"/>
  <c r="O4849" i="45"/>
  <c r="O4850" i="45"/>
  <c r="O4851" i="45"/>
  <c r="O4852" i="45"/>
  <c r="O4853" i="45"/>
  <c r="O4854" i="45"/>
  <c r="O4855" i="45"/>
  <c r="O4856" i="45"/>
  <c r="O4857" i="45"/>
  <c r="O4858" i="45"/>
  <c r="O4859" i="45"/>
  <c r="O4860" i="45"/>
  <c r="O4861" i="45"/>
  <c r="O4862" i="45"/>
  <c r="O4863" i="45"/>
  <c r="O4864" i="45"/>
  <c r="O4865" i="45"/>
  <c r="O4866" i="45"/>
  <c r="O4867" i="45"/>
  <c r="O4868" i="45"/>
  <c r="O4869" i="45"/>
  <c r="O4870" i="45"/>
  <c r="O4871" i="45"/>
  <c r="O4872" i="45"/>
  <c r="O4873" i="45"/>
  <c r="O4874" i="45"/>
  <c r="O4875" i="45"/>
  <c r="O4876" i="45"/>
  <c r="O4877" i="45"/>
  <c r="O4878" i="45"/>
  <c r="O4879" i="45"/>
  <c r="O4880" i="45"/>
  <c r="O4881" i="45"/>
  <c r="O4882" i="45"/>
  <c r="O4883" i="45"/>
  <c r="O4884" i="45"/>
  <c r="O4885" i="45"/>
  <c r="O4886" i="45"/>
  <c r="O4887" i="45"/>
  <c r="O4888" i="45"/>
  <c r="O4889" i="45"/>
  <c r="O4890" i="45"/>
  <c r="O4891" i="45"/>
  <c r="O4892" i="45"/>
  <c r="O4893" i="45"/>
  <c r="O4894" i="45"/>
  <c r="O4895" i="45"/>
  <c r="O4896" i="45"/>
  <c r="O4897" i="45"/>
  <c r="O4898" i="45"/>
  <c r="O4899" i="45"/>
  <c r="O4900" i="45"/>
  <c r="O4901" i="45"/>
  <c r="O4902" i="45"/>
  <c r="O4903" i="45"/>
  <c r="O4904" i="45"/>
  <c r="O4905" i="45"/>
  <c r="O4906" i="45"/>
  <c r="O4907" i="45"/>
  <c r="O4908" i="45"/>
  <c r="O4909" i="45"/>
  <c r="O4910" i="45"/>
  <c r="O4911" i="45"/>
  <c r="O4912" i="45"/>
  <c r="O4913" i="45"/>
  <c r="O4914" i="45"/>
  <c r="O4915" i="45"/>
  <c r="O4916" i="45"/>
  <c r="O4917" i="45"/>
  <c r="O4918" i="45"/>
  <c r="O4919" i="45"/>
  <c r="O4920" i="45"/>
  <c r="O4921" i="45"/>
  <c r="O4922" i="45"/>
  <c r="O4923" i="45"/>
  <c r="O4924" i="45"/>
  <c r="O4925" i="45"/>
  <c r="O4926" i="45"/>
  <c r="O4927" i="45"/>
  <c r="O4928" i="45"/>
  <c r="O4929" i="45"/>
  <c r="O4930" i="45"/>
  <c r="O4931" i="45"/>
  <c r="O4932" i="45"/>
  <c r="O4933" i="45"/>
  <c r="O4934" i="45"/>
  <c r="O4935" i="45"/>
  <c r="O4936" i="45"/>
  <c r="O4937" i="45"/>
  <c r="O4938" i="45"/>
  <c r="O4939" i="45"/>
  <c r="O4940" i="45"/>
  <c r="O4941" i="45"/>
  <c r="O4942" i="45"/>
  <c r="O4943" i="45"/>
  <c r="O4944" i="45"/>
  <c r="O4945" i="45"/>
  <c r="O4946" i="45"/>
  <c r="O4947" i="45"/>
  <c r="O4948" i="45"/>
  <c r="O4949" i="45"/>
  <c r="O4950" i="45"/>
  <c r="O4951" i="45"/>
  <c r="O4952" i="45"/>
  <c r="O4953" i="45"/>
  <c r="O4954" i="45"/>
  <c r="O4955" i="45"/>
  <c r="O4956" i="45"/>
  <c r="O4957" i="45"/>
  <c r="O4958" i="45"/>
  <c r="O4959" i="45"/>
  <c r="O4960" i="45"/>
  <c r="O4961" i="45"/>
  <c r="O4962" i="45"/>
  <c r="O4963" i="45"/>
  <c r="O4964" i="45"/>
  <c r="O4965" i="45"/>
  <c r="O4966" i="45"/>
  <c r="O4967" i="45"/>
  <c r="O4968" i="45"/>
  <c r="O4969" i="45"/>
  <c r="O4970" i="45"/>
  <c r="O4971" i="45"/>
  <c r="O4972" i="45"/>
  <c r="O4973" i="45"/>
  <c r="O4974" i="45"/>
  <c r="O4975" i="45"/>
  <c r="O4976" i="45"/>
  <c r="O4977" i="45"/>
  <c r="O4978" i="45"/>
  <c r="O4979" i="45"/>
  <c r="O4980" i="45"/>
  <c r="O4981" i="45"/>
  <c r="O4982" i="45"/>
  <c r="O4983" i="45"/>
  <c r="O4984" i="45"/>
  <c r="O4985" i="45"/>
  <c r="O4986" i="45"/>
  <c r="O4987" i="45"/>
  <c r="O4988" i="45"/>
  <c r="O4989" i="45"/>
  <c r="O4990" i="45"/>
  <c r="O4991" i="45"/>
  <c r="O4992" i="45"/>
  <c r="O4993" i="45"/>
  <c r="O4994" i="45"/>
  <c r="O4995" i="45"/>
  <c r="O4996" i="45"/>
  <c r="O4997" i="45"/>
  <c r="O4998" i="45"/>
  <c r="O4999" i="45"/>
  <c r="O5000" i="45"/>
  <c r="O5001" i="45"/>
  <c r="O5002" i="45"/>
  <c r="O5003" i="45"/>
  <c r="O5004" i="45"/>
  <c r="O5005" i="45"/>
  <c r="O5006" i="45"/>
  <c r="O5007" i="45"/>
  <c r="O5008" i="45"/>
  <c r="O5009" i="45"/>
  <c r="O5010" i="45"/>
  <c r="O5011" i="45"/>
  <c r="O5012" i="45"/>
  <c r="O5013" i="45"/>
  <c r="O5014" i="45"/>
  <c r="O5015" i="45"/>
  <c r="O5016" i="45"/>
  <c r="O5017" i="45"/>
  <c r="O5018" i="45"/>
  <c r="O5019" i="45"/>
  <c r="O5020" i="45"/>
  <c r="O5021" i="45"/>
  <c r="O5022" i="45"/>
  <c r="O5023" i="45"/>
  <c r="O5024" i="45"/>
  <c r="O5025" i="45"/>
  <c r="O5026" i="45"/>
  <c r="O5027" i="45"/>
  <c r="O5028" i="45"/>
  <c r="O5029" i="45"/>
  <c r="O5030" i="45"/>
  <c r="O5031" i="45"/>
  <c r="O5032" i="45"/>
  <c r="O5033" i="45"/>
  <c r="O5034" i="45"/>
  <c r="O5035" i="45"/>
  <c r="O5036" i="45"/>
  <c r="O5037" i="45"/>
  <c r="O5038" i="45"/>
  <c r="O5039" i="45"/>
  <c r="O5040" i="45"/>
  <c r="O5041" i="45"/>
  <c r="O5042" i="45"/>
  <c r="O5043" i="45"/>
  <c r="O5044" i="45"/>
  <c r="O5045" i="45"/>
  <c r="O5046" i="45"/>
  <c r="O5047" i="45"/>
  <c r="O5048" i="45"/>
  <c r="O5049" i="45"/>
  <c r="O5050" i="45"/>
  <c r="O5051" i="45"/>
  <c r="O5052" i="45"/>
  <c r="O5053" i="45"/>
  <c r="O5054" i="45"/>
  <c r="O5055" i="45"/>
  <c r="O5056" i="45"/>
  <c r="O5057" i="45"/>
  <c r="O5058" i="45"/>
  <c r="O5059" i="45"/>
  <c r="O5060" i="45"/>
  <c r="O5061" i="45"/>
  <c r="O5062" i="45"/>
  <c r="O5063" i="45"/>
  <c r="O5064" i="45"/>
  <c r="O5065" i="45"/>
  <c r="O5066" i="45"/>
  <c r="O5067" i="45"/>
  <c r="O5068" i="45"/>
  <c r="O5069" i="45"/>
  <c r="O5070" i="45"/>
  <c r="O5071" i="45"/>
  <c r="O5072" i="45"/>
  <c r="O5073" i="45"/>
  <c r="O5074" i="45"/>
  <c r="O5075" i="45"/>
  <c r="O5076" i="45"/>
  <c r="O5077" i="45"/>
  <c r="O5078" i="45"/>
  <c r="O5079" i="45"/>
  <c r="O5080" i="45"/>
  <c r="O5081" i="45"/>
  <c r="O5082" i="45"/>
  <c r="O5083" i="45"/>
  <c r="O5084" i="45"/>
  <c r="O5085" i="45"/>
  <c r="O5086" i="45"/>
  <c r="O5087" i="45"/>
  <c r="O5088" i="45"/>
  <c r="O5089" i="45"/>
  <c r="O5090" i="45"/>
  <c r="O5091" i="45"/>
  <c r="O5092" i="45"/>
  <c r="O5093" i="45"/>
  <c r="O5094" i="45"/>
  <c r="O5095" i="45"/>
  <c r="O5096" i="45"/>
  <c r="O5097" i="45"/>
  <c r="O5098" i="45"/>
  <c r="O5099" i="45"/>
  <c r="O5100" i="45"/>
  <c r="O5101" i="45"/>
  <c r="O5102" i="45"/>
  <c r="O5103" i="45"/>
  <c r="O5104" i="45"/>
  <c r="O5105" i="45"/>
  <c r="O5106" i="45"/>
  <c r="O5107" i="45"/>
  <c r="O5108" i="45"/>
  <c r="O5109" i="45"/>
  <c r="O5110" i="45"/>
  <c r="O5111" i="45"/>
  <c r="O5112" i="45"/>
  <c r="O5113" i="45"/>
  <c r="O5114" i="45"/>
  <c r="O5115" i="45"/>
  <c r="O5116" i="45"/>
  <c r="O5117" i="45"/>
  <c r="O5118" i="45"/>
  <c r="O5119" i="45"/>
  <c r="O5120" i="45"/>
  <c r="O5121" i="45"/>
  <c r="O5122" i="45"/>
  <c r="O5123" i="45"/>
  <c r="O5124" i="45"/>
  <c r="O5125" i="45"/>
  <c r="O5126" i="45"/>
  <c r="O5127" i="45"/>
  <c r="O5128" i="45"/>
  <c r="O5129" i="45"/>
  <c r="O5130" i="45"/>
  <c r="O5131" i="45"/>
  <c r="O5132" i="45"/>
  <c r="O5133" i="45"/>
  <c r="O5134" i="45"/>
  <c r="O5135" i="45"/>
  <c r="O5136" i="45"/>
  <c r="O5137" i="45"/>
  <c r="O5138" i="45"/>
  <c r="O5139" i="45"/>
  <c r="O5140" i="45"/>
  <c r="O5141" i="45"/>
  <c r="O5142" i="45"/>
  <c r="O5143" i="45"/>
  <c r="O5144" i="45"/>
  <c r="O5145" i="45"/>
  <c r="O5146" i="45"/>
  <c r="O5147" i="45"/>
  <c r="O5148" i="45"/>
  <c r="O5149" i="45"/>
  <c r="O5150" i="45"/>
  <c r="O5151" i="45"/>
  <c r="O5152" i="45"/>
  <c r="O5153" i="45"/>
  <c r="O5154" i="45"/>
  <c r="O5155" i="45"/>
  <c r="O5156" i="45"/>
  <c r="O5157" i="45"/>
  <c r="O5158" i="45"/>
  <c r="O5159" i="45"/>
  <c r="O5160" i="45"/>
  <c r="O5161" i="45"/>
  <c r="O5162" i="45"/>
  <c r="O5163" i="45"/>
  <c r="O5164" i="45"/>
  <c r="O5165" i="45"/>
  <c r="O5166" i="45"/>
  <c r="O5167" i="45"/>
  <c r="O5168" i="45"/>
  <c r="O5169" i="45"/>
  <c r="O5170" i="45"/>
  <c r="O5171" i="45"/>
  <c r="O5172" i="45"/>
  <c r="O5173" i="45"/>
  <c r="O5174" i="45"/>
  <c r="O5175" i="45"/>
  <c r="O5176" i="45"/>
  <c r="O5177" i="45"/>
  <c r="O5178" i="45"/>
  <c r="O5179" i="45"/>
  <c r="O5180" i="45"/>
  <c r="O5181" i="45"/>
  <c r="O5182" i="45"/>
  <c r="O5183" i="45"/>
  <c r="O5184" i="45"/>
  <c r="O5185" i="45"/>
  <c r="O5186" i="45"/>
  <c r="O5187" i="45"/>
  <c r="O5188" i="45"/>
  <c r="O5189" i="45"/>
  <c r="O5190" i="45"/>
  <c r="O5191" i="45"/>
  <c r="O5192" i="45"/>
  <c r="O5193" i="45"/>
  <c r="O5194" i="45"/>
  <c r="O5195" i="45"/>
  <c r="O5196" i="45"/>
  <c r="O5197" i="45"/>
  <c r="O5198" i="45"/>
  <c r="O5199" i="45"/>
  <c r="O5200" i="45"/>
  <c r="O5201" i="45"/>
  <c r="O5202" i="45"/>
  <c r="O5203" i="45"/>
  <c r="O5204" i="45"/>
  <c r="O5205" i="45"/>
  <c r="O5206" i="45"/>
  <c r="O5207" i="45"/>
  <c r="O5208" i="45"/>
  <c r="O5209" i="45"/>
  <c r="O5210" i="45"/>
  <c r="O5211" i="45"/>
  <c r="O5212" i="45"/>
  <c r="O5213" i="45"/>
  <c r="O5214" i="45"/>
  <c r="O5215" i="45"/>
  <c r="O5216" i="45"/>
  <c r="O5217" i="45"/>
  <c r="O5218" i="45"/>
  <c r="O5219" i="45"/>
  <c r="O5220" i="45"/>
  <c r="O5221" i="45"/>
  <c r="O5222" i="45"/>
  <c r="O5223" i="45"/>
  <c r="O5224" i="45"/>
  <c r="O5225" i="45"/>
  <c r="O5226" i="45"/>
  <c r="O5227" i="45"/>
  <c r="O5228" i="45"/>
  <c r="O5229" i="45"/>
  <c r="O5230" i="45"/>
  <c r="O5231" i="45"/>
  <c r="O5232" i="45"/>
  <c r="O5233" i="45"/>
  <c r="O5234" i="45"/>
  <c r="O5235" i="45"/>
  <c r="O5236" i="45"/>
  <c r="O5237" i="45"/>
  <c r="O5238" i="45"/>
  <c r="O5239" i="45"/>
  <c r="O5240" i="45"/>
  <c r="O5241" i="45"/>
  <c r="O5242" i="45"/>
  <c r="O5243" i="45"/>
  <c r="O5244" i="45"/>
  <c r="O5245" i="45"/>
  <c r="O5246" i="45"/>
  <c r="O5247" i="45"/>
  <c r="O5248" i="45"/>
  <c r="O5249" i="45"/>
  <c r="O5250" i="45"/>
  <c r="O5251" i="45"/>
  <c r="O5252" i="45"/>
  <c r="O5253" i="45"/>
  <c r="O5254" i="45"/>
  <c r="O5255" i="45"/>
  <c r="O5256" i="45"/>
  <c r="O5257" i="45"/>
  <c r="O5258" i="45"/>
  <c r="O5259" i="45"/>
  <c r="O5260" i="45"/>
  <c r="O5261" i="45"/>
  <c r="O5262" i="45"/>
  <c r="O5263" i="45"/>
  <c r="O5264" i="45"/>
  <c r="O5265" i="45"/>
  <c r="O5266" i="45"/>
  <c r="O5267" i="45"/>
  <c r="O5268" i="45"/>
  <c r="O5269" i="45"/>
  <c r="O5270" i="45"/>
  <c r="O5271" i="45"/>
  <c r="O5272" i="45"/>
  <c r="O5273" i="45"/>
  <c r="O5274" i="45"/>
  <c r="O5275" i="45"/>
  <c r="O5276" i="45"/>
  <c r="O5277" i="45"/>
  <c r="O5278" i="45"/>
  <c r="O5279" i="45"/>
  <c r="O5280" i="45"/>
  <c r="O5281" i="45"/>
  <c r="O5282" i="45"/>
  <c r="O5283" i="45"/>
  <c r="O5284" i="45"/>
  <c r="O5285" i="45"/>
  <c r="O5286" i="45"/>
  <c r="O5287" i="45"/>
  <c r="O5288" i="45"/>
  <c r="O5289" i="45"/>
  <c r="O5290" i="45"/>
  <c r="O5291" i="45"/>
  <c r="O5292" i="45"/>
  <c r="O5293" i="45"/>
  <c r="O5294" i="45"/>
  <c r="O5295" i="45"/>
  <c r="O5296" i="45"/>
  <c r="O5297" i="45"/>
  <c r="O5298" i="45"/>
  <c r="I4530" i="45"/>
  <c r="I4531" i="45"/>
  <c r="I4532" i="45"/>
  <c r="I4533" i="45"/>
  <c r="I4534" i="45"/>
  <c r="I4535" i="45"/>
  <c r="I4536" i="45"/>
  <c r="I4537" i="45"/>
  <c r="I4538" i="45"/>
  <c r="I4539" i="45"/>
  <c r="I4540" i="45"/>
  <c r="I4541" i="45"/>
  <c r="I4542" i="45"/>
  <c r="I4543" i="45"/>
  <c r="I4544" i="45"/>
  <c r="I4545" i="45"/>
  <c r="I4546" i="45"/>
  <c r="I4547" i="45"/>
  <c r="I4548" i="45"/>
  <c r="I4549" i="45"/>
  <c r="I4550" i="45"/>
  <c r="I4551" i="45"/>
  <c r="I4552" i="45"/>
  <c r="I4553" i="45"/>
  <c r="I4554" i="45"/>
  <c r="I4555" i="45"/>
  <c r="I4556" i="45"/>
  <c r="I4557" i="45"/>
  <c r="I4558" i="45"/>
  <c r="I4559" i="45"/>
  <c r="I4560" i="45"/>
  <c r="I4561" i="45"/>
  <c r="I4562" i="45"/>
  <c r="I4563" i="45"/>
  <c r="I4564" i="45"/>
  <c r="I4565" i="45"/>
  <c r="I4566" i="45"/>
  <c r="I4567" i="45"/>
  <c r="I4568" i="45"/>
  <c r="I4569" i="45"/>
  <c r="I4570" i="45"/>
  <c r="I4571" i="45"/>
  <c r="I4572" i="45"/>
  <c r="I4573" i="45"/>
  <c r="I4574" i="45"/>
  <c r="I4575" i="45"/>
  <c r="I4576" i="45"/>
  <c r="I4577" i="45"/>
  <c r="I4578" i="45"/>
  <c r="I4579" i="45"/>
  <c r="I4580" i="45"/>
  <c r="I4581" i="45"/>
  <c r="I4582" i="45"/>
  <c r="I4583" i="45"/>
  <c r="I4584" i="45"/>
  <c r="I4585" i="45"/>
  <c r="I4586" i="45"/>
  <c r="I4587" i="45"/>
  <c r="I4588" i="45"/>
  <c r="I4589" i="45"/>
  <c r="I4590" i="45"/>
  <c r="I4591" i="45"/>
  <c r="I4592" i="45"/>
  <c r="I4593" i="45"/>
  <c r="I4594" i="45"/>
  <c r="I4595" i="45"/>
  <c r="I4596" i="45"/>
  <c r="I4597" i="45"/>
  <c r="I4598" i="45"/>
  <c r="I4599" i="45"/>
  <c r="I4600" i="45"/>
  <c r="I4601" i="45"/>
  <c r="I4602" i="45"/>
  <c r="I4603" i="45"/>
  <c r="I4604" i="45"/>
  <c r="I4605" i="45"/>
  <c r="I4606" i="45"/>
  <c r="I4607" i="45"/>
  <c r="I4608" i="45"/>
  <c r="I4609" i="45"/>
  <c r="I4610" i="45"/>
  <c r="I4611" i="45"/>
  <c r="I4612" i="45"/>
  <c r="I4613" i="45"/>
  <c r="I4614" i="45"/>
  <c r="I4615" i="45"/>
  <c r="I4616" i="45"/>
  <c r="I4617" i="45"/>
  <c r="I4618" i="45"/>
  <c r="I4619" i="45"/>
  <c r="I4620" i="45"/>
  <c r="I4621" i="45"/>
  <c r="I4622" i="45"/>
  <c r="I4623" i="45"/>
  <c r="I4624" i="45"/>
  <c r="I4625" i="45"/>
  <c r="I4626" i="45"/>
  <c r="I4627" i="45"/>
  <c r="I4628" i="45"/>
  <c r="I4629" i="45"/>
  <c r="I4630" i="45"/>
  <c r="I4631" i="45"/>
  <c r="I4632" i="45"/>
  <c r="I4633" i="45"/>
  <c r="I4634" i="45"/>
  <c r="I4635" i="45"/>
  <c r="I4636" i="45"/>
  <c r="I4637" i="45"/>
  <c r="I4638" i="45"/>
  <c r="I4639" i="45"/>
  <c r="I4640" i="45"/>
  <c r="I4641" i="45"/>
  <c r="I4642" i="45"/>
  <c r="I4643" i="45"/>
  <c r="I4644" i="45"/>
  <c r="I4645" i="45"/>
  <c r="I4646" i="45"/>
  <c r="I4647" i="45"/>
  <c r="I4648" i="45"/>
  <c r="I4649" i="45"/>
  <c r="I4650" i="45"/>
  <c r="I4651" i="45"/>
  <c r="I4652" i="45"/>
  <c r="I4653" i="45"/>
  <c r="I4654" i="45"/>
  <c r="I4655" i="45"/>
  <c r="I4656" i="45"/>
  <c r="I4657" i="45"/>
  <c r="I4658" i="45"/>
  <c r="I4659" i="45"/>
  <c r="I4660" i="45"/>
  <c r="I4661" i="45"/>
  <c r="I4662" i="45"/>
  <c r="I4663" i="45"/>
  <c r="I4664" i="45"/>
  <c r="I4665" i="45"/>
  <c r="I4666" i="45"/>
  <c r="I4667" i="45"/>
  <c r="I4668" i="45"/>
  <c r="I4669" i="45"/>
  <c r="I4670" i="45"/>
  <c r="I4671" i="45"/>
  <c r="I4672" i="45"/>
  <c r="I4673" i="45"/>
  <c r="I4674" i="45"/>
  <c r="I4675" i="45"/>
  <c r="I4676" i="45"/>
  <c r="I4677" i="45"/>
  <c r="I4678" i="45"/>
  <c r="I4679" i="45"/>
  <c r="I4680" i="45"/>
  <c r="I4681" i="45"/>
  <c r="I4682" i="45"/>
  <c r="I4683" i="45"/>
  <c r="I4684" i="45"/>
  <c r="I4685" i="45"/>
  <c r="I4686" i="45"/>
  <c r="I4687" i="45"/>
  <c r="I4688" i="45"/>
  <c r="I4689" i="45"/>
  <c r="I4690" i="45"/>
  <c r="I4691" i="45"/>
  <c r="I4692" i="45"/>
  <c r="I4693" i="45"/>
  <c r="I4694" i="45"/>
  <c r="I4695" i="45"/>
  <c r="I4696" i="45"/>
  <c r="I4697" i="45"/>
  <c r="I4698" i="45"/>
  <c r="I4699" i="45"/>
  <c r="I4700" i="45"/>
  <c r="I4701" i="45"/>
  <c r="I4702" i="45"/>
  <c r="I4703" i="45"/>
  <c r="I4704" i="45"/>
  <c r="I4705" i="45"/>
  <c r="I4706" i="45"/>
  <c r="I4707" i="45"/>
  <c r="I4708" i="45"/>
  <c r="I4709" i="45"/>
  <c r="I4710" i="45"/>
  <c r="I4711" i="45"/>
  <c r="I4712" i="45"/>
  <c r="I4713" i="45"/>
  <c r="I4714" i="45"/>
  <c r="I4715" i="45"/>
  <c r="I4716" i="45"/>
  <c r="I4717" i="45"/>
  <c r="I4718" i="45"/>
  <c r="I4719" i="45"/>
  <c r="I4720" i="45"/>
  <c r="I4721" i="45"/>
  <c r="I4722" i="45"/>
  <c r="I4723" i="45"/>
  <c r="I4724" i="45"/>
  <c r="I4725" i="45"/>
  <c r="I4726" i="45"/>
  <c r="I4727" i="45"/>
  <c r="I4728" i="45"/>
  <c r="I4729" i="45"/>
  <c r="I4730" i="45"/>
  <c r="I4731" i="45"/>
  <c r="I4732" i="45"/>
  <c r="I4733" i="45"/>
  <c r="I4734" i="45"/>
  <c r="I4735" i="45"/>
  <c r="I4736" i="45"/>
  <c r="I4737" i="45"/>
  <c r="I4738" i="45"/>
  <c r="I4739" i="45"/>
  <c r="I4740" i="45"/>
  <c r="I4741" i="45"/>
  <c r="I4742" i="45"/>
  <c r="I4743" i="45"/>
  <c r="I4744" i="45"/>
  <c r="I4745" i="45"/>
  <c r="I4746" i="45"/>
  <c r="I4747" i="45"/>
  <c r="I4748" i="45"/>
  <c r="I4749" i="45"/>
  <c r="I4750" i="45"/>
  <c r="I4751" i="45"/>
  <c r="I4752" i="45"/>
  <c r="I4753" i="45"/>
  <c r="I4754" i="45"/>
  <c r="I4755" i="45"/>
  <c r="I4756" i="45"/>
  <c r="I4757" i="45"/>
  <c r="I4758" i="45"/>
  <c r="I4759" i="45"/>
  <c r="I4760" i="45"/>
  <c r="I4761" i="45"/>
  <c r="I4762" i="45"/>
  <c r="I4763" i="45"/>
  <c r="I4764" i="45"/>
  <c r="I4765" i="45"/>
  <c r="I4766" i="45"/>
  <c r="I4767" i="45"/>
  <c r="I4768" i="45"/>
  <c r="I4769" i="45"/>
  <c r="I4770" i="45"/>
  <c r="I4771" i="45"/>
  <c r="I4772" i="45"/>
  <c r="I4773" i="45"/>
  <c r="I4774" i="45"/>
  <c r="I4775" i="45"/>
  <c r="I4776" i="45"/>
  <c r="I4777" i="45"/>
  <c r="I4778" i="45"/>
  <c r="I4779" i="45"/>
  <c r="I4780" i="45"/>
  <c r="I4781" i="45"/>
  <c r="I4782" i="45"/>
  <c r="I4783" i="45"/>
  <c r="I4784" i="45"/>
  <c r="I4785" i="45"/>
  <c r="I4786" i="45"/>
  <c r="I4787" i="45"/>
  <c r="I4788" i="45"/>
  <c r="I4789" i="45"/>
  <c r="I4790" i="45"/>
  <c r="I4791" i="45"/>
  <c r="I4792" i="45"/>
  <c r="I4793" i="45"/>
  <c r="I4794" i="45"/>
  <c r="I4795" i="45"/>
  <c r="I4796" i="45"/>
  <c r="I4797" i="45"/>
  <c r="I4798" i="45"/>
  <c r="I4799" i="45"/>
  <c r="I4800" i="45"/>
  <c r="I4801" i="45"/>
  <c r="I4802" i="45"/>
  <c r="I4803" i="45"/>
  <c r="I4804" i="45"/>
  <c r="I4805" i="45"/>
  <c r="I4806" i="45"/>
  <c r="I4807" i="45"/>
  <c r="I4808" i="45"/>
  <c r="I4809" i="45"/>
  <c r="I4810" i="45"/>
  <c r="I4811" i="45"/>
  <c r="I4812" i="45"/>
  <c r="I4813" i="45"/>
  <c r="I4814" i="45"/>
  <c r="I4815" i="45"/>
  <c r="I4816" i="45"/>
  <c r="I4817" i="45"/>
  <c r="I4818" i="45"/>
  <c r="I4819" i="45"/>
  <c r="I4820" i="45"/>
  <c r="I4821" i="45"/>
  <c r="I4822" i="45"/>
  <c r="I4823" i="45"/>
  <c r="I4824" i="45"/>
  <c r="I4825" i="45"/>
  <c r="I4826" i="45"/>
  <c r="I4827" i="45"/>
  <c r="I4828" i="45"/>
  <c r="I4829" i="45"/>
  <c r="I4830" i="45"/>
  <c r="I4831" i="45"/>
  <c r="I4832" i="45"/>
  <c r="I4833" i="45"/>
  <c r="I4834" i="45"/>
  <c r="I4835" i="45"/>
  <c r="I4836" i="45"/>
  <c r="I4837" i="45"/>
  <c r="I4838" i="45"/>
  <c r="I4839" i="45"/>
  <c r="I4840" i="45"/>
  <c r="I4841" i="45"/>
  <c r="I4842" i="45"/>
  <c r="I4843" i="45"/>
  <c r="I4844" i="45"/>
  <c r="I4845" i="45"/>
  <c r="I4846" i="45"/>
  <c r="I4847" i="45"/>
  <c r="I4848" i="45"/>
  <c r="I4849" i="45"/>
  <c r="I4850" i="45"/>
  <c r="I4851" i="45"/>
  <c r="I4852" i="45"/>
  <c r="I4853" i="45"/>
  <c r="I4854" i="45"/>
  <c r="I4855" i="45"/>
  <c r="I4856" i="45"/>
  <c r="I4857" i="45"/>
  <c r="I4858" i="45"/>
  <c r="I4859" i="45"/>
  <c r="I4860" i="45"/>
  <c r="I4861" i="45"/>
  <c r="I4862" i="45"/>
  <c r="I4863" i="45"/>
  <c r="I4864" i="45"/>
  <c r="I4865" i="45"/>
  <c r="I4866" i="45"/>
  <c r="I4867" i="45"/>
  <c r="I4868" i="45"/>
  <c r="I4869" i="45"/>
  <c r="I4870" i="45"/>
  <c r="I4871" i="45"/>
  <c r="I4872" i="45"/>
  <c r="I4873" i="45"/>
  <c r="I4874" i="45"/>
  <c r="I4875" i="45"/>
  <c r="I4876" i="45"/>
  <c r="I4877" i="45"/>
  <c r="I4878" i="45"/>
  <c r="I4879" i="45"/>
  <c r="I4880" i="45"/>
  <c r="I4881" i="45"/>
  <c r="I4882" i="45"/>
  <c r="I4883" i="45"/>
  <c r="I4884" i="45"/>
  <c r="I4885" i="45"/>
  <c r="I4886" i="45"/>
  <c r="I4887" i="45"/>
  <c r="I4888" i="45"/>
  <c r="I4889" i="45"/>
  <c r="I4890" i="45"/>
  <c r="I4891" i="45"/>
  <c r="I4892" i="45"/>
  <c r="I4893" i="45"/>
  <c r="I4894" i="45"/>
  <c r="I4895" i="45"/>
  <c r="I4896" i="45"/>
  <c r="I4897" i="45"/>
  <c r="I4898" i="45"/>
  <c r="I4899" i="45"/>
  <c r="I4900" i="45"/>
  <c r="I4901" i="45"/>
  <c r="I4902" i="45"/>
  <c r="I4903" i="45"/>
  <c r="I4904" i="45"/>
  <c r="I4905" i="45"/>
  <c r="I4906" i="45"/>
  <c r="I4907" i="45"/>
  <c r="I4908" i="45"/>
  <c r="I4909" i="45"/>
  <c r="I4910" i="45"/>
  <c r="I4911" i="45"/>
  <c r="I4912" i="45"/>
  <c r="I4913" i="45"/>
  <c r="I4914" i="45"/>
  <c r="I4915" i="45"/>
  <c r="I4916" i="45"/>
  <c r="I4917" i="45"/>
  <c r="I4918" i="45"/>
  <c r="I4919" i="45"/>
  <c r="I4920" i="45"/>
  <c r="I4921" i="45"/>
  <c r="I4922" i="45"/>
  <c r="I4923" i="45"/>
  <c r="I4924" i="45"/>
  <c r="I4925" i="45"/>
  <c r="I4926" i="45"/>
  <c r="I4927" i="45"/>
  <c r="I4928" i="45"/>
  <c r="I4929" i="45"/>
  <c r="I4930" i="45"/>
  <c r="I4931" i="45"/>
  <c r="I4932" i="45"/>
  <c r="I4933" i="45"/>
  <c r="I4934" i="45"/>
  <c r="I4935" i="45"/>
  <c r="I4936" i="45"/>
  <c r="I4937" i="45"/>
  <c r="I4938" i="45"/>
  <c r="I4939" i="45"/>
  <c r="I4940" i="45"/>
  <c r="I4941" i="45"/>
  <c r="I4942" i="45"/>
  <c r="I4943" i="45"/>
  <c r="I4944" i="45"/>
  <c r="I4945" i="45"/>
  <c r="I4946" i="45"/>
  <c r="I4947" i="45"/>
  <c r="I4948" i="45"/>
  <c r="I4949" i="45"/>
  <c r="I4950" i="45"/>
  <c r="I4951" i="45"/>
  <c r="I4952" i="45"/>
  <c r="I4953" i="45"/>
  <c r="I4954" i="45"/>
  <c r="I4955" i="45"/>
  <c r="I4956" i="45"/>
  <c r="I4957" i="45"/>
  <c r="I4958" i="45"/>
  <c r="I4959" i="45"/>
  <c r="I4960" i="45"/>
  <c r="I4961" i="45"/>
  <c r="I4962" i="45"/>
  <c r="I4963" i="45"/>
  <c r="I4964" i="45"/>
  <c r="I4965" i="45"/>
  <c r="I4966" i="45"/>
  <c r="I4967" i="45"/>
  <c r="I4968" i="45"/>
  <c r="I4969" i="45"/>
  <c r="I4970" i="45"/>
  <c r="I4971" i="45"/>
  <c r="I4972" i="45"/>
  <c r="I4973" i="45"/>
  <c r="I4974" i="45"/>
  <c r="I4975" i="45"/>
  <c r="I4976" i="45"/>
  <c r="I4977" i="45"/>
  <c r="I4978" i="45"/>
  <c r="I4979" i="45"/>
  <c r="I4980" i="45"/>
  <c r="I4981" i="45"/>
  <c r="I4982" i="45"/>
  <c r="I4983" i="45"/>
  <c r="I4984" i="45"/>
  <c r="I4985" i="45"/>
  <c r="I4986" i="45"/>
  <c r="I4987" i="45"/>
  <c r="I4988" i="45"/>
  <c r="I4989" i="45"/>
  <c r="I4990" i="45"/>
  <c r="I4991" i="45"/>
  <c r="I4992" i="45"/>
  <c r="I4993" i="45"/>
  <c r="I4994" i="45"/>
  <c r="I4995" i="45"/>
  <c r="I4996" i="45"/>
  <c r="I4997" i="45"/>
  <c r="I4998" i="45"/>
  <c r="I4999" i="45"/>
  <c r="I5000" i="45"/>
  <c r="I5001" i="45"/>
  <c r="I5002" i="45"/>
  <c r="I5003" i="45"/>
  <c r="I5004" i="45"/>
  <c r="I5005" i="45"/>
  <c r="I5006" i="45"/>
  <c r="I5007" i="45"/>
  <c r="I5008" i="45"/>
  <c r="I5009" i="45"/>
  <c r="I5010" i="45"/>
  <c r="I5011" i="45"/>
  <c r="I5012" i="45"/>
  <c r="I5013" i="45"/>
  <c r="I5014" i="45"/>
  <c r="I5015" i="45"/>
  <c r="I5016" i="45"/>
  <c r="I5017" i="45"/>
  <c r="I5018" i="45"/>
  <c r="I5019" i="45"/>
  <c r="I5020" i="45"/>
  <c r="I5021" i="45"/>
  <c r="I5022" i="45"/>
  <c r="I5023" i="45"/>
  <c r="I5024" i="45"/>
  <c r="I5025" i="45"/>
  <c r="I5026" i="45"/>
  <c r="I5027" i="45"/>
  <c r="I5028" i="45"/>
  <c r="I5029" i="45"/>
  <c r="I5030" i="45"/>
  <c r="I5031" i="45"/>
  <c r="I5032" i="45"/>
  <c r="I5033" i="45"/>
  <c r="I5034" i="45"/>
  <c r="I5035" i="45"/>
  <c r="I5036" i="45"/>
  <c r="I5037" i="45"/>
  <c r="I5038" i="45"/>
  <c r="I5039" i="45"/>
  <c r="I5040" i="45"/>
  <c r="I5041" i="45"/>
  <c r="I5042" i="45"/>
  <c r="I5043" i="45"/>
  <c r="I5044" i="45"/>
  <c r="I5045" i="45"/>
  <c r="I5046" i="45"/>
  <c r="I5047" i="45"/>
  <c r="I5048" i="45"/>
  <c r="I5049" i="45"/>
  <c r="I5050" i="45"/>
  <c r="I5051" i="45"/>
  <c r="I5052" i="45"/>
  <c r="I5053" i="45"/>
  <c r="I5054" i="45"/>
  <c r="I5055" i="45"/>
  <c r="I5056" i="45"/>
  <c r="I5057" i="45"/>
  <c r="I5058" i="45"/>
  <c r="I5059" i="45"/>
  <c r="I5060" i="45"/>
  <c r="I5061" i="45"/>
  <c r="I5062" i="45"/>
  <c r="I5063" i="45"/>
  <c r="I5064" i="45"/>
  <c r="I5065" i="45"/>
  <c r="I5066" i="45"/>
  <c r="I5067" i="45"/>
  <c r="I5068" i="45"/>
  <c r="I5069" i="45"/>
  <c r="I5070" i="45"/>
  <c r="I5071" i="45"/>
  <c r="I5072" i="45"/>
  <c r="I5073" i="45"/>
  <c r="I5074" i="45"/>
  <c r="I5075" i="45"/>
  <c r="I5076" i="45"/>
  <c r="I5077" i="45"/>
  <c r="I5078" i="45"/>
  <c r="I5079" i="45"/>
  <c r="I5080" i="45"/>
  <c r="I5081" i="45"/>
  <c r="I5082" i="45"/>
  <c r="I5083" i="45"/>
  <c r="I5084" i="45"/>
  <c r="I5085" i="45"/>
  <c r="I5086" i="45"/>
  <c r="I5087" i="45"/>
  <c r="I5088" i="45"/>
  <c r="I5089" i="45"/>
  <c r="I5090" i="45"/>
  <c r="I5091" i="45"/>
  <c r="I5092" i="45"/>
  <c r="I5093" i="45"/>
  <c r="I5094" i="45"/>
  <c r="I5095" i="45"/>
  <c r="I5096" i="45"/>
  <c r="I5097" i="45"/>
  <c r="I5098" i="45"/>
  <c r="I5099" i="45"/>
  <c r="I5100" i="45"/>
  <c r="I5101" i="45"/>
  <c r="I5102" i="45"/>
  <c r="I5103" i="45"/>
  <c r="I5104" i="45"/>
  <c r="I5105" i="45"/>
  <c r="I5106" i="45"/>
  <c r="I5107" i="45"/>
  <c r="I5108" i="45"/>
  <c r="I5109" i="45"/>
  <c r="I5110" i="45"/>
  <c r="I5111" i="45"/>
  <c r="I5112" i="45"/>
  <c r="I5113" i="45"/>
  <c r="I5114" i="45"/>
  <c r="I5115" i="45"/>
  <c r="I5116" i="45"/>
  <c r="I5117" i="45"/>
  <c r="I5118" i="45"/>
  <c r="I5119" i="45"/>
  <c r="I5120" i="45"/>
  <c r="I5121" i="45"/>
  <c r="I5122" i="45"/>
  <c r="I5123" i="45"/>
  <c r="I5124" i="45"/>
  <c r="I5125" i="45"/>
  <c r="I5126" i="45"/>
  <c r="I5127" i="45"/>
  <c r="I5128" i="45"/>
  <c r="I5129" i="45"/>
  <c r="I5130" i="45"/>
  <c r="I5131" i="45"/>
  <c r="I5132" i="45"/>
  <c r="I5133" i="45"/>
  <c r="I5134" i="45"/>
  <c r="I5135" i="45"/>
  <c r="I5136" i="45"/>
  <c r="I5137" i="45"/>
  <c r="I5138" i="45"/>
  <c r="I5139" i="45"/>
  <c r="I5140" i="45"/>
  <c r="I5141" i="45"/>
  <c r="I5142" i="45"/>
  <c r="I5143" i="45"/>
  <c r="I5144" i="45"/>
  <c r="I5145" i="45"/>
  <c r="I5146" i="45"/>
  <c r="I5147" i="45"/>
  <c r="I5148" i="45"/>
  <c r="I5149" i="45"/>
  <c r="I5150" i="45"/>
  <c r="I5151" i="45"/>
  <c r="I5152" i="45"/>
  <c r="I5153" i="45"/>
  <c r="I5154" i="45"/>
  <c r="I5155" i="45"/>
  <c r="I5156" i="45"/>
  <c r="I5157" i="45"/>
  <c r="I5158" i="45"/>
  <c r="I5159" i="45"/>
  <c r="I5160" i="45"/>
  <c r="I5161" i="45"/>
  <c r="I5162" i="45"/>
  <c r="I5163" i="45"/>
  <c r="I5164" i="45"/>
  <c r="I5165" i="45"/>
  <c r="I5166" i="45"/>
  <c r="I5167" i="45"/>
  <c r="I5168" i="45"/>
  <c r="I5169" i="45"/>
  <c r="I5170" i="45"/>
  <c r="I5171" i="45"/>
  <c r="I5172" i="45"/>
  <c r="I5173" i="45"/>
  <c r="I5174" i="45"/>
  <c r="I5175" i="45"/>
  <c r="I5176" i="45"/>
  <c r="I5177" i="45"/>
  <c r="I5178" i="45"/>
  <c r="I5179" i="45"/>
  <c r="I5180" i="45"/>
  <c r="I5181" i="45"/>
  <c r="I5182" i="45"/>
  <c r="I5183" i="45"/>
  <c r="I5184" i="45"/>
  <c r="I5185" i="45"/>
  <c r="I5186" i="45"/>
  <c r="I5187" i="45"/>
  <c r="I5188" i="45"/>
  <c r="I5189" i="45"/>
  <c r="I5190" i="45"/>
  <c r="I5191" i="45"/>
  <c r="I5192" i="45"/>
  <c r="I5193" i="45"/>
  <c r="I5194" i="45"/>
  <c r="I5195" i="45"/>
  <c r="I5196" i="45"/>
  <c r="I5197" i="45"/>
  <c r="I5198" i="45"/>
  <c r="I5199" i="45"/>
  <c r="I5200" i="45"/>
  <c r="I5201" i="45"/>
  <c r="I5202" i="45"/>
  <c r="I5203" i="45"/>
  <c r="I5204" i="45"/>
  <c r="I5205" i="45"/>
  <c r="I5206" i="45"/>
  <c r="I5207" i="45"/>
  <c r="I5208" i="45"/>
  <c r="I5209" i="45"/>
  <c r="I5210" i="45"/>
  <c r="I5211" i="45"/>
  <c r="I5212" i="45"/>
  <c r="I5213" i="45"/>
  <c r="I5214" i="45"/>
  <c r="I5215" i="45"/>
  <c r="I5216" i="45"/>
  <c r="I5217" i="45"/>
  <c r="I5218" i="45"/>
  <c r="I5219" i="45"/>
  <c r="I5220" i="45"/>
  <c r="I5221" i="45"/>
  <c r="I5222" i="45"/>
  <c r="I5223" i="45"/>
  <c r="I5224" i="45"/>
  <c r="I5225" i="45"/>
  <c r="I5226" i="45"/>
  <c r="I5227" i="45"/>
  <c r="I5228" i="45"/>
  <c r="I5229" i="45"/>
  <c r="I5230" i="45"/>
  <c r="I5231" i="45"/>
  <c r="I5232" i="45"/>
  <c r="I5233" i="45"/>
  <c r="I5234" i="45"/>
  <c r="I5235" i="45"/>
  <c r="I5236" i="45"/>
  <c r="I5237" i="45"/>
  <c r="I5238" i="45"/>
  <c r="I5239" i="45"/>
  <c r="I5240" i="45"/>
  <c r="I5241" i="45"/>
  <c r="I5242" i="45"/>
  <c r="I5243" i="45"/>
  <c r="I5244" i="45"/>
  <c r="I5245" i="45"/>
  <c r="I5246" i="45"/>
  <c r="I5247" i="45"/>
  <c r="I5248" i="45"/>
  <c r="I5249" i="45"/>
  <c r="I5250" i="45"/>
  <c r="I5251" i="45"/>
  <c r="I5252" i="45"/>
  <c r="I5253" i="45"/>
  <c r="I5254" i="45"/>
  <c r="I5255" i="45"/>
  <c r="I5256" i="45"/>
  <c r="I5257" i="45"/>
  <c r="I5258" i="45"/>
  <c r="I5259" i="45"/>
  <c r="I5260" i="45"/>
  <c r="I5261" i="45"/>
  <c r="I5262" i="45"/>
  <c r="I5263" i="45"/>
  <c r="I5264" i="45"/>
  <c r="I5265" i="45"/>
  <c r="I5266" i="45"/>
  <c r="I5267" i="45"/>
  <c r="I5268" i="45"/>
  <c r="I5269" i="45"/>
  <c r="I5270" i="45"/>
  <c r="I5271" i="45"/>
  <c r="I5272" i="45"/>
  <c r="I5273" i="45"/>
  <c r="I5274" i="45"/>
  <c r="I5275" i="45"/>
  <c r="I5276" i="45"/>
  <c r="I5277" i="45"/>
  <c r="I5278" i="45"/>
  <c r="I5279" i="45"/>
  <c r="I5280" i="45"/>
  <c r="I5281" i="45"/>
  <c r="I5282" i="45"/>
  <c r="I5283" i="45"/>
  <c r="I5284" i="45"/>
  <c r="I5285" i="45"/>
  <c r="I5286" i="45"/>
  <c r="I5287" i="45"/>
  <c r="I5288" i="45"/>
  <c r="I5289" i="45"/>
  <c r="I5290" i="45"/>
  <c r="I5291" i="45"/>
  <c r="I5292" i="45"/>
  <c r="I5293" i="45"/>
  <c r="I5294" i="45"/>
  <c r="I5295" i="45"/>
  <c r="I5296" i="45"/>
  <c r="I5297" i="45"/>
  <c r="I5298" i="45"/>
  <c r="O4374" i="45"/>
  <c r="O4375" i="45"/>
  <c r="O4376" i="45"/>
  <c r="O4377" i="45"/>
  <c r="O4378" i="45"/>
  <c r="O4379" i="45"/>
  <c r="O4380" i="45"/>
  <c r="O4381" i="45"/>
  <c r="O4382" i="45"/>
  <c r="O4383" i="45"/>
  <c r="O4384" i="45"/>
  <c r="O4385" i="45"/>
  <c r="O4386" i="45"/>
  <c r="O4387" i="45"/>
  <c r="O4388" i="45"/>
  <c r="O4389" i="45"/>
  <c r="O4390" i="45"/>
  <c r="O4391" i="45"/>
  <c r="O4392" i="45"/>
  <c r="O4393" i="45"/>
  <c r="O4394" i="45"/>
  <c r="O4395" i="45"/>
  <c r="O4396" i="45"/>
  <c r="O4397" i="45"/>
  <c r="O4398" i="45"/>
  <c r="O4399" i="45"/>
  <c r="O4400" i="45"/>
  <c r="O4401" i="45"/>
  <c r="O4402" i="45"/>
  <c r="O4403" i="45"/>
  <c r="O4404" i="45"/>
  <c r="O4405" i="45"/>
  <c r="O4406" i="45"/>
  <c r="O4407" i="45"/>
  <c r="O4408" i="45"/>
  <c r="O4409" i="45"/>
  <c r="O4410" i="45"/>
  <c r="O4411" i="45"/>
  <c r="O4412" i="45"/>
  <c r="O4413" i="45"/>
  <c r="O4414" i="45"/>
  <c r="O4415" i="45"/>
  <c r="O4416" i="45"/>
  <c r="O4417" i="45"/>
  <c r="O4418" i="45"/>
  <c r="O4419" i="45"/>
  <c r="O4420" i="45"/>
  <c r="O4421" i="45"/>
  <c r="O4422" i="45"/>
  <c r="O4423" i="45"/>
  <c r="O4424" i="45"/>
  <c r="O4425" i="45"/>
  <c r="O4426" i="45"/>
  <c r="O4427" i="45"/>
  <c r="O4428" i="45"/>
  <c r="O4429" i="45"/>
  <c r="O4430" i="45"/>
  <c r="O4431" i="45"/>
  <c r="O4432" i="45"/>
  <c r="O4433" i="45"/>
  <c r="O4434" i="45"/>
  <c r="O4435" i="45"/>
  <c r="O4436" i="45"/>
  <c r="O4437" i="45"/>
  <c r="O4438" i="45"/>
  <c r="O4439" i="45"/>
  <c r="O4440" i="45"/>
  <c r="O4441" i="45"/>
  <c r="O4442" i="45"/>
  <c r="O4443" i="45"/>
  <c r="O4444" i="45"/>
  <c r="O4445" i="45"/>
  <c r="O4446" i="45"/>
  <c r="O4447" i="45"/>
  <c r="O4448" i="45"/>
  <c r="O4449" i="45"/>
  <c r="O4450" i="45"/>
  <c r="O4451" i="45"/>
  <c r="O4452" i="45"/>
  <c r="O4453" i="45"/>
  <c r="O4454" i="45"/>
  <c r="O4455" i="45"/>
  <c r="O4456" i="45"/>
  <c r="O4457" i="45"/>
  <c r="O4458" i="45"/>
  <c r="O4459" i="45"/>
  <c r="O4460" i="45"/>
  <c r="O4461" i="45"/>
  <c r="O4462" i="45"/>
  <c r="O4463" i="45"/>
  <c r="O4464" i="45"/>
  <c r="O4465" i="45"/>
  <c r="O4466" i="45"/>
  <c r="O4467" i="45"/>
  <c r="O4468" i="45"/>
  <c r="O4469" i="45"/>
  <c r="O4470" i="45"/>
  <c r="O4471" i="45"/>
  <c r="O4472" i="45"/>
  <c r="O4473" i="45"/>
  <c r="O4474" i="45"/>
  <c r="O4475" i="45"/>
  <c r="O4476" i="45"/>
  <c r="O4477" i="45"/>
  <c r="O4478" i="45"/>
  <c r="O4479" i="45"/>
  <c r="O4480" i="45"/>
  <c r="O4481" i="45"/>
  <c r="O4482" i="45"/>
  <c r="O4483" i="45"/>
  <c r="O4484" i="45"/>
  <c r="O4485" i="45"/>
  <c r="O4486" i="45"/>
  <c r="O4487" i="45"/>
  <c r="O4488" i="45"/>
  <c r="O4489" i="45"/>
  <c r="O4490" i="45"/>
  <c r="O4491" i="45"/>
  <c r="O4492" i="45"/>
  <c r="O4493" i="45"/>
  <c r="O4494" i="45"/>
  <c r="O4495" i="45"/>
  <c r="O4496" i="45"/>
  <c r="O4497" i="45"/>
  <c r="O4498" i="45"/>
  <c r="O4499" i="45"/>
  <c r="O4500" i="45"/>
  <c r="O4501" i="45"/>
  <c r="O4502" i="45"/>
  <c r="O4503" i="45"/>
  <c r="O4504" i="45"/>
  <c r="O4505" i="45"/>
  <c r="O4506" i="45"/>
  <c r="O4507" i="45"/>
  <c r="O4508" i="45"/>
  <c r="O4509" i="45"/>
  <c r="O4510" i="45"/>
  <c r="O4511" i="45"/>
  <c r="O4512" i="45"/>
  <c r="O4513" i="45"/>
  <c r="O4514" i="45"/>
  <c r="O4515" i="45"/>
  <c r="O4516" i="45"/>
  <c r="O4517" i="45"/>
  <c r="O4518" i="45"/>
  <c r="O4519" i="45"/>
  <c r="O4520" i="45"/>
  <c r="O4521" i="45"/>
  <c r="O4522" i="45"/>
  <c r="O4523" i="45"/>
  <c r="O4524" i="45"/>
  <c r="O4525" i="45"/>
  <c r="O4526" i="45"/>
  <c r="O4527" i="45"/>
  <c r="O4528" i="45"/>
  <c r="O4529" i="45"/>
  <c r="I4374" i="45"/>
  <c r="I4375" i="45"/>
  <c r="I4376" i="45"/>
  <c r="I4377" i="45"/>
  <c r="I4378" i="45"/>
  <c r="I4379" i="45"/>
  <c r="I4380" i="45"/>
  <c r="I4381" i="45"/>
  <c r="I4382" i="45"/>
  <c r="I4383" i="45"/>
  <c r="I4384" i="45"/>
  <c r="I4385" i="45"/>
  <c r="I4386" i="45"/>
  <c r="I4387" i="45"/>
  <c r="I4388" i="45"/>
  <c r="I4389" i="45"/>
  <c r="I4390" i="45"/>
  <c r="I4391" i="45"/>
  <c r="I4392" i="45"/>
  <c r="I4393" i="45"/>
  <c r="I4394" i="45"/>
  <c r="I4395" i="45"/>
  <c r="I4396" i="45"/>
  <c r="I4397" i="45"/>
  <c r="I4398" i="45"/>
  <c r="I4399" i="45"/>
  <c r="I4400" i="45"/>
  <c r="I4401" i="45"/>
  <c r="I4402" i="45"/>
  <c r="I4403" i="45"/>
  <c r="I4404" i="45"/>
  <c r="I4405" i="45"/>
  <c r="I4406" i="45"/>
  <c r="I4407" i="45"/>
  <c r="I4408" i="45"/>
  <c r="I4409" i="45"/>
  <c r="I4410" i="45"/>
  <c r="I4411" i="45"/>
  <c r="I4412" i="45"/>
  <c r="I4413" i="45"/>
  <c r="I4414" i="45"/>
  <c r="I4415" i="45"/>
  <c r="I4416" i="45"/>
  <c r="I4417" i="45"/>
  <c r="I4418" i="45"/>
  <c r="I4419" i="45"/>
  <c r="I4420" i="45"/>
  <c r="I4421" i="45"/>
  <c r="I4422" i="45"/>
  <c r="I4423" i="45"/>
  <c r="I4424" i="45"/>
  <c r="I4425" i="45"/>
  <c r="I4426" i="45"/>
  <c r="I4427" i="45"/>
  <c r="I4428" i="45"/>
  <c r="I4429" i="45"/>
  <c r="I4430" i="45"/>
  <c r="I4431" i="45"/>
  <c r="I4432" i="45"/>
  <c r="I4433" i="45"/>
  <c r="I4434" i="45"/>
  <c r="I4435" i="45"/>
  <c r="I4436" i="45"/>
  <c r="I4437" i="45"/>
  <c r="I4438" i="45"/>
  <c r="I4439" i="45"/>
  <c r="I4440" i="45"/>
  <c r="I4441" i="45"/>
  <c r="I4442" i="45"/>
  <c r="I4443" i="45"/>
  <c r="I4444" i="45"/>
  <c r="I4445" i="45"/>
  <c r="I4446" i="45"/>
  <c r="I4447" i="45"/>
  <c r="I4448" i="45"/>
  <c r="I4449" i="45"/>
  <c r="I4450" i="45"/>
  <c r="I4451" i="45"/>
  <c r="I4452" i="45"/>
  <c r="I4453" i="45"/>
  <c r="I4454" i="45"/>
  <c r="I4455" i="45"/>
  <c r="I4456" i="45"/>
  <c r="I4457" i="45"/>
  <c r="I4458" i="45"/>
  <c r="I4459" i="45"/>
  <c r="I4460" i="45"/>
  <c r="I4461" i="45"/>
  <c r="I4462" i="45"/>
  <c r="I4463" i="45"/>
  <c r="I4464" i="45"/>
  <c r="I4465" i="45"/>
  <c r="I4466" i="45"/>
  <c r="I4467" i="45"/>
  <c r="I4468" i="45"/>
  <c r="I4469" i="45"/>
  <c r="I4470" i="45"/>
  <c r="I4471" i="45"/>
  <c r="I4472" i="45"/>
  <c r="I4473" i="45"/>
  <c r="I4474" i="45"/>
  <c r="I4475" i="45"/>
  <c r="I4476" i="45"/>
  <c r="I4477" i="45"/>
  <c r="I4478" i="45"/>
  <c r="I4479" i="45"/>
  <c r="I4480" i="45"/>
  <c r="I4481" i="45"/>
  <c r="I4482" i="45"/>
  <c r="I4483" i="45"/>
  <c r="I4484" i="45"/>
  <c r="I4485" i="45"/>
  <c r="I4486" i="45"/>
  <c r="I4487" i="45"/>
  <c r="I4488" i="45"/>
  <c r="I4489" i="45"/>
  <c r="I4490" i="45"/>
  <c r="I4491" i="45"/>
  <c r="I4492" i="45"/>
  <c r="I4493" i="45"/>
  <c r="I4494" i="45"/>
  <c r="I4495" i="45"/>
  <c r="I4496" i="45"/>
  <c r="I4497" i="45"/>
  <c r="I4498" i="45"/>
  <c r="I4499" i="45"/>
  <c r="I4500" i="45"/>
  <c r="I4501" i="45"/>
  <c r="I4502" i="45"/>
  <c r="I4503" i="45"/>
  <c r="I4504" i="45"/>
  <c r="I4505" i="45"/>
  <c r="I4506" i="45"/>
  <c r="I4507" i="45"/>
  <c r="I4508" i="45"/>
  <c r="I4509" i="45"/>
  <c r="I4510" i="45"/>
  <c r="I4511" i="45"/>
  <c r="I4512" i="45"/>
  <c r="I4513" i="45"/>
  <c r="I4514" i="45"/>
  <c r="I4515" i="45"/>
  <c r="I4516" i="45"/>
  <c r="I4517" i="45"/>
  <c r="I4518" i="45"/>
  <c r="I4519" i="45"/>
  <c r="I4520" i="45"/>
  <c r="I4521" i="45"/>
  <c r="I4522" i="45"/>
  <c r="I4523" i="45"/>
  <c r="I4524" i="45"/>
  <c r="I4525" i="45"/>
  <c r="I4526" i="45"/>
  <c r="I4527" i="45"/>
  <c r="I4528" i="45"/>
  <c r="I4529" i="45"/>
  <c r="O4281" i="45"/>
  <c r="O4282" i="45"/>
  <c r="O4283" i="45"/>
  <c r="O4284" i="45"/>
  <c r="O4285" i="45"/>
  <c r="O4286" i="45"/>
  <c r="O4287" i="45"/>
  <c r="O4288" i="45"/>
  <c r="O4289" i="45"/>
  <c r="O4290" i="45"/>
  <c r="O4291" i="45"/>
  <c r="O4292" i="45"/>
  <c r="O4293" i="45"/>
  <c r="O4294" i="45"/>
  <c r="O4295" i="45"/>
  <c r="O4296" i="45"/>
  <c r="O4297" i="45"/>
  <c r="O4298" i="45"/>
  <c r="O4299" i="45"/>
  <c r="O4300" i="45"/>
  <c r="O4301" i="45"/>
  <c r="O4302" i="45"/>
  <c r="O4303" i="45"/>
  <c r="O4304" i="45"/>
  <c r="O4305" i="45"/>
  <c r="O4306" i="45"/>
  <c r="O4307" i="45"/>
  <c r="O4308" i="45"/>
  <c r="O4309" i="45"/>
  <c r="O4310" i="45"/>
  <c r="O4311" i="45"/>
  <c r="O4312" i="45"/>
  <c r="O4313" i="45"/>
  <c r="O4314" i="45"/>
  <c r="O4315" i="45"/>
  <c r="O4316" i="45"/>
  <c r="O4317" i="45"/>
  <c r="O4318" i="45"/>
  <c r="O4319" i="45"/>
  <c r="O4320" i="45"/>
  <c r="O4321" i="45"/>
  <c r="O4322" i="45"/>
  <c r="O4323" i="45"/>
  <c r="O4324" i="45"/>
  <c r="O4325" i="45"/>
  <c r="O4326" i="45"/>
  <c r="O4327" i="45"/>
  <c r="O4328" i="45"/>
  <c r="O4329" i="45"/>
  <c r="O4330" i="45"/>
  <c r="O4331" i="45"/>
  <c r="O4332" i="45"/>
  <c r="O4333" i="45"/>
  <c r="O4334" i="45"/>
  <c r="O4335" i="45"/>
  <c r="O4336" i="45"/>
  <c r="O4337" i="45"/>
  <c r="O4338" i="45"/>
  <c r="O4339" i="45"/>
  <c r="O4340" i="45"/>
  <c r="O4341" i="45"/>
  <c r="O4342" i="45"/>
  <c r="O4343" i="45"/>
  <c r="O4344" i="45"/>
  <c r="O4345" i="45"/>
  <c r="O4346" i="45"/>
  <c r="O4347" i="45"/>
  <c r="O4348" i="45"/>
  <c r="O4349" i="45"/>
  <c r="O4350" i="45"/>
  <c r="O4351" i="45"/>
  <c r="O4352" i="45"/>
  <c r="O4353" i="45"/>
  <c r="O4354" i="45"/>
  <c r="O4355" i="45"/>
  <c r="O4356" i="45"/>
  <c r="O4357" i="45"/>
  <c r="O4358" i="45"/>
  <c r="O4359" i="45"/>
  <c r="O4360" i="45"/>
  <c r="O4361" i="45"/>
  <c r="O4362" i="45"/>
  <c r="O4363" i="45"/>
  <c r="O4364" i="45"/>
  <c r="O4365" i="45"/>
  <c r="O4366" i="45"/>
  <c r="O4367" i="45"/>
  <c r="O4368" i="45"/>
  <c r="O4369" i="45"/>
  <c r="O4370" i="45"/>
  <c r="O4371" i="45"/>
  <c r="O4372" i="45"/>
  <c r="O4373" i="45"/>
  <c r="I4281" i="45"/>
  <c r="I4282" i="45"/>
  <c r="I4283" i="45"/>
  <c r="I4284" i="45"/>
  <c r="I4285" i="45"/>
  <c r="I4286" i="45"/>
  <c r="I4287" i="45"/>
  <c r="I4288" i="45"/>
  <c r="I4289" i="45"/>
  <c r="I4290" i="45"/>
  <c r="I4291" i="45"/>
  <c r="I4292" i="45"/>
  <c r="I4293" i="45"/>
  <c r="I4294" i="45"/>
  <c r="I4295" i="45"/>
  <c r="I4296" i="45"/>
  <c r="I4297" i="45"/>
  <c r="I4298" i="45"/>
  <c r="I4299" i="45"/>
  <c r="I4300" i="45"/>
  <c r="I4301" i="45"/>
  <c r="I4302" i="45"/>
  <c r="I4303" i="45"/>
  <c r="I4304" i="45"/>
  <c r="I4305" i="45"/>
  <c r="I4306" i="45"/>
  <c r="I4307" i="45"/>
  <c r="I4308" i="45"/>
  <c r="I4309" i="45"/>
  <c r="I4310" i="45"/>
  <c r="I4311" i="45"/>
  <c r="I4312" i="45"/>
  <c r="I4313" i="45"/>
  <c r="I4314" i="45"/>
  <c r="I4315" i="45"/>
  <c r="I4316" i="45"/>
  <c r="I4317" i="45"/>
  <c r="I4318" i="45"/>
  <c r="I4319" i="45"/>
  <c r="I4320" i="45"/>
  <c r="I4321" i="45"/>
  <c r="I4322" i="45"/>
  <c r="I4323" i="45"/>
  <c r="I4324" i="45"/>
  <c r="I4325" i="45"/>
  <c r="I4326" i="45"/>
  <c r="I4327" i="45"/>
  <c r="I4328" i="45"/>
  <c r="I4329" i="45"/>
  <c r="I4330" i="45"/>
  <c r="I4331" i="45"/>
  <c r="I4332" i="45"/>
  <c r="I4333" i="45"/>
  <c r="I4334" i="45"/>
  <c r="I4335" i="45"/>
  <c r="I4336" i="45"/>
  <c r="I4337" i="45"/>
  <c r="I4338" i="45"/>
  <c r="I4339" i="45"/>
  <c r="I4340" i="45"/>
  <c r="I4341" i="45"/>
  <c r="I4342" i="45"/>
  <c r="I4343" i="45"/>
  <c r="I4344" i="45"/>
  <c r="I4345" i="45"/>
  <c r="I4346" i="45"/>
  <c r="I4347" i="45"/>
  <c r="I4348" i="45"/>
  <c r="I4349" i="45"/>
  <c r="I4350" i="45"/>
  <c r="I4351" i="45"/>
  <c r="I4352" i="45"/>
  <c r="I4353" i="45"/>
  <c r="I4354" i="45"/>
  <c r="I4355" i="45"/>
  <c r="I4356" i="45"/>
  <c r="I4357" i="45"/>
  <c r="I4358" i="45"/>
  <c r="I4359" i="45"/>
  <c r="I4360" i="45"/>
  <c r="I4361" i="45"/>
  <c r="I4362" i="45"/>
  <c r="I4363" i="45"/>
  <c r="I4364" i="45"/>
  <c r="I4365" i="45"/>
  <c r="I4366" i="45"/>
  <c r="I4367" i="45"/>
  <c r="I4368" i="45"/>
  <c r="I4369" i="45"/>
  <c r="I4370" i="45"/>
  <c r="I4371" i="45"/>
  <c r="I4372" i="45"/>
  <c r="I4373" i="45"/>
  <c r="I4280" i="45"/>
  <c r="O4204" i="45"/>
  <c r="O4205" i="45"/>
  <c r="O4206" i="45"/>
  <c r="O4207" i="45"/>
  <c r="O4208" i="45"/>
  <c r="O4209" i="45"/>
  <c r="O4210" i="45"/>
  <c r="O4211" i="45"/>
  <c r="O4212" i="45"/>
  <c r="O4213" i="45"/>
  <c r="O4214" i="45"/>
  <c r="O4215" i="45"/>
  <c r="O4216" i="45"/>
  <c r="O4217" i="45"/>
  <c r="O4218" i="45"/>
  <c r="O4219" i="45"/>
  <c r="O4220" i="45"/>
  <c r="O4221" i="45"/>
  <c r="O4222" i="45"/>
  <c r="O4223" i="45"/>
  <c r="O4224" i="45"/>
  <c r="O4225" i="45"/>
  <c r="O4226" i="45"/>
  <c r="O4227" i="45"/>
  <c r="O4228" i="45"/>
  <c r="O4229" i="45"/>
  <c r="O4230" i="45"/>
  <c r="O4231" i="45"/>
  <c r="O4232" i="45"/>
  <c r="O4233" i="45"/>
  <c r="O4234" i="45"/>
  <c r="O4235" i="45"/>
  <c r="O4236" i="45"/>
  <c r="O4237" i="45"/>
  <c r="O4238" i="45"/>
  <c r="O4239" i="45"/>
  <c r="O4240" i="45"/>
  <c r="O4241" i="45"/>
  <c r="O4242" i="45"/>
  <c r="O4243" i="45"/>
  <c r="O4244" i="45"/>
  <c r="O4245" i="45"/>
  <c r="O4246" i="45"/>
  <c r="O4247" i="45"/>
  <c r="O4248" i="45"/>
  <c r="O4249" i="45"/>
  <c r="O4250" i="45"/>
  <c r="O4251" i="45"/>
  <c r="O4252" i="45"/>
  <c r="O4253" i="45"/>
  <c r="O4254" i="45"/>
  <c r="O4255" i="45"/>
  <c r="O4256" i="45"/>
  <c r="O4257" i="45"/>
  <c r="O4258" i="45"/>
  <c r="O4259" i="45"/>
  <c r="O4260" i="45"/>
  <c r="O4261" i="45"/>
  <c r="O4262" i="45"/>
  <c r="O4263" i="45"/>
  <c r="O4264" i="45"/>
  <c r="O4265" i="45"/>
  <c r="O4266" i="45"/>
  <c r="O4267" i="45"/>
  <c r="O4268" i="45"/>
  <c r="O4269" i="45"/>
  <c r="O4270" i="45"/>
  <c r="O4271" i="45"/>
  <c r="O4272" i="45"/>
  <c r="O4273" i="45"/>
  <c r="O4274" i="45"/>
  <c r="O4275" i="45"/>
  <c r="O4276" i="45"/>
  <c r="O4277" i="45"/>
  <c r="O4278" i="45"/>
  <c r="O4279" i="45"/>
  <c r="O4280" i="45"/>
  <c r="O4200" i="45"/>
  <c r="O4201" i="45"/>
  <c r="O4202" i="45"/>
  <c r="O4203" i="45"/>
  <c r="I4202" i="45"/>
  <c r="I4203" i="45"/>
  <c r="I4204" i="45"/>
  <c r="I4205" i="45"/>
  <c r="I4206" i="45"/>
  <c r="I4207" i="45"/>
  <c r="I4208" i="45"/>
  <c r="I4209" i="45"/>
  <c r="I4210" i="45"/>
  <c r="I4211" i="45"/>
  <c r="I4212" i="45"/>
  <c r="I4213" i="45"/>
  <c r="I4214" i="45"/>
  <c r="I4215" i="45"/>
  <c r="I4216" i="45"/>
  <c r="I4217" i="45"/>
  <c r="I4218" i="45"/>
  <c r="I4219" i="45"/>
  <c r="I4220" i="45"/>
  <c r="I4221" i="45"/>
  <c r="I4222" i="45"/>
  <c r="I4223" i="45"/>
  <c r="I4224" i="45"/>
  <c r="I4225" i="45"/>
  <c r="I4226" i="45"/>
  <c r="I4227" i="45"/>
  <c r="I4228" i="45"/>
  <c r="I4229" i="45"/>
  <c r="I4230" i="45"/>
  <c r="I4231" i="45"/>
  <c r="I4232" i="45"/>
  <c r="I4233" i="45"/>
  <c r="I4234" i="45"/>
  <c r="I4235" i="45"/>
  <c r="I4236" i="45"/>
  <c r="I4237" i="45"/>
  <c r="I4238" i="45"/>
  <c r="I4239" i="45"/>
  <c r="I4240" i="45"/>
  <c r="I4241" i="45"/>
  <c r="I4242" i="45"/>
  <c r="I4243" i="45"/>
  <c r="I4244" i="45"/>
  <c r="I4245" i="45"/>
  <c r="I4246" i="45"/>
  <c r="I4247" i="45"/>
  <c r="I4248" i="45"/>
  <c r="I4249" i="45"/>
  <c r="I4250" i="45"/>
  <c r="I4251" i="45"/>
  <c r="I4252" i="45"/>
  <c r="I4253" i="45"/>
  <c r="I4254" i="45"/>
  <c r="I4255" i="45"/>
  <c r="I4256" i="45"/>
  <c r="I4257" i="45"/>
  <c r="I4258" i="45"/>
  <c r="I4259" i="45"/>
  <c r="I4260" i="45"/>
  <c r="I4261" i="45"/>
  <c r="I4262" i="45"/>
  <c r="I4263" i="45"/>
  <c r="I4264" i="45"/>
  <c r="I4265" i="45"/>
  <c r="I4266" i="45"/>
  <c r="I4267" i="45"/>
  <c r="I4268" i="45"/>
  <c r="I4269" i="45"/>
  <c r="I4270" i="45"/>
  <c r="I4271" i="45"/>
  <c r="I4272" i="45"/>
  <c r="I4273" i="45"/>
  <c r="I4274" i="45"/>
  <c r="I4275" i="45"/>
  <c r="I4276" i="45"/>
  <c r="I4277" i="45"/>
  <c r="I4278" i="45"/>
  <c r="I4279" i="45"/>
  <c r="O4067" i="45"/>
  <c r="O4068" i="45"/>
  <c r="O4069" i="45"/>
  <c r="O4070" i="45"/>
  <c r="O4071" i="45"/>
  <c r="O4072" i="45"/>
  <c r="O4073" i="45"/>
  <c r="O4074" i="45"/>
  <c r="O4075" i="45"/>
  <c r="O4076" i="45"/>
  <c r="O4077" i="45"/>
  <c r="O4078" i="45"/>
  <c r="O4079" i="45"/>
  <c r="O4080" i="45"/>
  <c r="O4081" i="45"/>
  <c r="O4082" i="45"/>
  <c r="O4083" i="45"/>
  <c r="O4084" i="45"/>
  <c r="O4085" i="45"/>
  <c r="O4086" i="45"/>
  <c r="O4087" i="45"/>
  <c r="O4088" i="45"/>
  <c r="O4089" i="45"/>
  <c r="O4090" i="45"/>
  <c r="O4091" i="45"/>
  <c r="O4092" i="45"/>
  <c r="O4093" i="45"/>
  <c r="O4094" i="45"/>
  <c r="O4095" i="45"/>
  <c r="O4096" i="45"/>
  <c r="O4097" i="45"/>
  <c r="O4098" i="45"/>
  <c r="O4099" i="45"/>
  <c r="O4100" i="45"/>
  <c r="O4101" i="45"/>
  <c r="O4102" i="45"/>
  <c r="O4103" i="45"/>
  <c r="O4104" i="45"/>
  <c r="O4105" i="45"/>
  <c r="O4106" i="45"/>
  <c r="O4107" i="45"/>
  <c r="O4108" i="45"/>
  <c r="O4109" i="45"/>
  <c r="O4110" i="45"/>
  <c r="O4111" i="45"/>
  <c r="O4112" i="45"/>
  <c r="O4113" i="45"/>
  <c r="O4114" i="45"/>
  <c r="O4115" i="45"/>
  <c r="O4116" i="45"/>
  <c r="O4117" i="45"/>
  <c r="O4118" i="45"/>
  <c r="O4119" i="45"/>
  <c r="O4120" i="45"/>
  <c r="O4121" i="45"/>
  <c r="O4122" i="45"/>
  <c r="O4123" i="45"/>
  <c r="O4124" i="45"/>
  <c r="O4125" i="45"/>
  <c r="O4126" i="45"/>
  <c r="O4127" i="45"/>
  <c r="O4128" i="45"/>
  <c r="O4129" i="45"/>
  <c r="O4130" i="45"/>
  <c r="O4131" i="45"/>
  <c r="O4132" i="45"/>
  <c r="O4133" i="45"/>
  <c r="O4134" i="45"/>
  <c r="O4135" i="45"/>
  <c r="O4136" i="45"/>
  <c r="O4137" i="45"/>
  <c r="O4138" i="45"/>
  <c r="O4139" i="45"/>
  <c r="O4140" i="45"/>
  <c r="O4141" i="45"/>
  <c r="O4142" i="45"/>
  <c r="O4143" i="45"/>
  <c r="O4144" i="45"/>
  <c r="O4145" i="45"/>
  <c r="O4146" i="45"/>
  <c r="O4147" i="45"/>
  <c r="O4148" i="45"/>
  <c r="O4149" i="45"/>
  <c r="O4150" i="45"/>
  <c r="O4151" i="45"/>
  <c r="O4152" i="45"/>
  <c r="O4153" i="45"/>
  <c r="O4154" i="45"/>
  <c r="O4155" i="45"/>
  <c r="O4156" i="45"/>
  <c r="O4157" i="45"/>
  <c r="O4158" i="45"/>
  <c r="O4159" i="45"/>
  <c r="O4160" i="45"/>
  <c r="O4161" i="45"/>
  <c r="O4162" i="45"/>
  <c r="O4163" i="45"/>
  <c r="O4164" i="45"/>
  <c r="O4165" i="45"/>
  <c r="O4166" i="45"/>
  <c r="O4167" i="45"/>
  <c r="O4168" i="45"/>
  <c r="O4169" i="45"/>
  <c r="O4170" i="45"/>
  <c r="O4171" i="45"/>
  <c r="O4172" i="45"/>
  <c r="O4173" i="45"/>
  <c r="O4174" i="45"/>
  <c r="O4175" i="45"/>
  <c r="O4176" i="45"/>
  <c r="O4177" i="45"/>
  <c r="O4178" i="45"/>
  <c r="O4179" i="45"/>
  <c r="O4180" i="45"/>
  <c r="O4181" i="45"/>
  <c r="O4182" i="45"/>
  <c r="O4183" i="45"/>
  <c r="O4184" i="45"/>
  <c r="O4185" i="45"/>
  <c r="O4186" i="45"/>
  <c r="O4187" i="45"/>
  <c r="O4188" i="45"/>
  <c r="O4189" i="45"/>
  <c r="O4190" i="45"/>
  <c r="O4191" i="45"/>
  <c r="O4192" i="45"/>
  <c r="O4193" i="45"/>
  <c r="O4194" i="45"/>
  <c r="O4195" i="45"/>
  <c r="O4196" i="45"/>
  <c r="O4197" i="45"/>
  <c r="O4198" i="45"/>
  <c r="O4199" i="45"/>
  <c r="O4066" i="45"/>
  <c r="I4067" i="45"/>
  <c r="I4068" i="45"/>
  <c r="I4069" i="45"/>
  <c r="I4070" i="45"/>
  <c r="I4071" i="45"/>
  <c r="I4072" i="45"/>
  <c r="I4073" i="45"/>
  <c r="I4074" i="45"/>
  <c r="I4075" i="45"/>
  <c r="I4076" i="45"/>
  <c r="I4077" i="45"/>
  <c r="I4078" i="45"/>
  <c r="I4079" i="45"/>
  <c r="I4080" i="45"/>
  <c r="I4081" i="45"/>
  <c r="I4082" i="45"/>
  <c r="I4083" i="45"/>
  <c r="I4084" i="45"/>
  <c r="I4085" i="45"/>
  <c r="I4086" i="45"/>
  <c r="I4087" i="45"/>
  <c r="I4088" i="45"/>
  <c r="I4089" i="45"/>
  <c r="I4090" i="45"/>
  <c r="I4091" i="45"/>
  <c r="I4092" i="45"/>
  <c r="I4093" i="45"/>
  <c r="I4094" i="45"/>
  <c r="I4095" i="45"/>
  <c r="I4096" i="45"/>
  <c r="I4097" i="45"/>
  <c r="I4098" i="45"/>
  <c r="I4099" i="45"/>
  <c r="I4100" i="45"/>
  <c r="I4101" i="45"/>
  <c r="I4102" i="45"/>
  <c r="I4103" i="45"/>
  <c r="I4104" i="45"/>
  <c r="I4105" i="45"/>
  <c r="I4106" i="45"/>
  <c r="I4107" i="45"/>
  <c r="I4108" i="45"/>
  <c r="I4109" i="45"/>
  <c r="I4110" i="45"/>
  <c r="I4111" i="45"/>
  <c r="I4112" i="45"/>
  <c r="I4113" i="45"/>
  <c r="I4114" i="45"/>
  <c r="I4115" i="45"/>
  <c r="I4116" i="45"/>
  <c r="I4117" i="45"/>
  <c r="I4118" i="45"/>
  <c r="I4119" i="45"/>
  <c r="I4120" i="45"/>
  <c r="I4121" i="45"/>
  <c r="I4122" i="45"/>
  <c r="I4123" i="45"/>
  <c r="I4124" i="45"/>
  <c r="I4125" i="45"/>
  <c r="I4126" i="45"/>
  <c r="I4127" i="45"/>
  <c r="I4128" i="45"/>
  <c r="I4129" i="45"/>
  <c r="I4130" i="45"/>
  <c r="I4131" i="45"/>
  <c r="I4132" i="45"/>
  <c r="I4133" i="45"/>
  <c r="I4134" i="45"/>
  <c r="I4135" i="45"/>
  <c r="I4136" i="45"/>
  <c r="I4137" i="45"/>
  <c r="I4138" i="45"/>
  <c r="I4139" i="45"/>
  <c r="I4140" i="45"/>
  <c r="I4141" i="45"/>
  <c r="I4142" i="45"/>
  <c r="I4143" i="45"/>
  <c r="I4144" i="45"/>
  <c r="I4145" i="45"/>
  <c r="I4146" i="45"/>
  <c r="I4147" i="45"/>
  <c r="I4148" i="45"/>
  <c r="I4149" i="45"/>
  <c r="I4150" i="45"/>
  <c r="I4151" i="45"/>
  <c r="I4152" i="45"/>
  <c r="I4153" i="45"/>
  <c r="I4154" i="45"/>
  <c r="I4155" i="45"/>
  <c r="I4156" i="45"/>
  <c r="I4157" i="45"/>
  <c r="I4158" i="45"/>
  <c r="I4159" i="45"/>
  <c r="I4160" i="45"/>
  <c r="I4161" i="45"/>
  <c r="I4162" i="45"/>
  <c r="I4163" i="45"/>
  <c r="I4164" i="45"/>
  <c r="I4165" i="45"/>
  <c r="I4166" i="45"/>
  <c r="I4167" i="45"/>
  <c r="I4168" i="45"/>
  <c r="I4169" i="45"/>
  <c r="I4170" i="45"/>
  <c r="I4171" i="45"/>
  <c r="I4172" i="45"/>
  <c r="I4173" i="45"/>
  <c r="I4174" i="45"/>
  <c r="I4175" i="45"/>
  <c r="I4176" i="45"/>
  <c r="I4177" i="45"/>
  <c r="I4178" i="45"/>
  <c r="I4179" i="45"/>
  <c r="I4180" i="45"/>
  <c r="I4181" i="45"/>
  <c r="I4182" i="45"/>
  <c r="I4183" i="45"/>
  <c r="I4184" i="45"/>
  <c r="I4185" i="45"/>
  <c r="I4186" i="45"/>
  <c r="I4187" i="45"/>
  <c r="I4188" i="45"/>
  <c r="I4189" i="45"/>
  <c r="I4190" i="45"/>
  <c r="I4191" i="45"/>
  <c r="I4192" i="45"/>
  <c r="I4193" i="45"/>
  <c r="I4194" i="45"/>
  <c r="I4195" i="45"/>
  <c r="I4196" i="45"/>
  <c r="I4197" i="45"/>
  <c r="I4198" i="45"/>
  <c r="I4199" i="45"/>
  <c r="I4200" i="45"/>
  <c r="I4201" i="45"/>
  <c r="I4066" i="45"/>
  <c r="O3982" i="45"/>
  <c r="O3983" i="45"/>
  <c r="O3984" i="45"/>
  <c r="O3985" i="45"/>
  <c r="O3986" i="45"/>
  <c r="O3987" i="45"/>
  <c r="O3988" i="45"/>
  <c r="O3989" i="45"/>
  <c r="O3990" i="45"/>
  <c r="O3991" i="45"/>
  <c r="O3992" i="45"/>
  <c r="O3993" i="45"/>
  <c r="O3994" i="45"/>
  <c r="O3995" i="45"/>
  <c r="O3996" i="45"/>
  <c r="O3997" i="45"/>
  <c r="O3998" i="45"/>
  <c r="O3999" i="45"/>
  <c r="O4000" i="45"/>
  <c r="O4001" i="45"/>
  <c r="O4002" i="45"/>
  <c r="O4003" i="45"/>
  <c r="O4004" i="45"/>
  <c r="O4005" i="45"/>
  <c r="O4006" i="45"/>
  <c r="O4007" i="45"/>
  <c r="O4008" i="45"/>
  <c r="O4009" i="45"/>
  <c r="O4010" i="45"/>
  <c r="O4011" i="45"/>
  <c r="O4012" i="45"/>
  <c r="O4013" i="45"/>
  <c r="O4014" i="45"/>
  <c r="O4015" i="45"/>
  <c r="O4016" i="45"/>
  <c r="O4017" i="45"/>
  <c r="O4018" i="45"/>
  <c r="O4019" i="45"/>
  <c r="O4020" i="45"/>
  <c r="O4021" i="45"/>
  <c r="O4022" i="45"/>
  <c r="O4023" i="45"/>
  <c r="O4024" i="45"/>
  <c r="O4025" i="45"/>
  <c r="O4026" i="45"/>
  <c r="O4027" i="45"/>
  <c r="O4028" i="45"/>
  <c r="O4029" i="45"/>
  <c r="O4030" i="45"/>
  <c r="O4031" i="45"/>
  <c r="O4032" i="45"/>
  <c r="O4033" i="45"/>
  <c r="O4034" i="45"/>
  <c r="O4035" i="45"/>
  <c r="O4036" i="45"/>
  <c r="O4037" i="45"/>
  <c r="O4038" i="45"/>
  <c r="O4039" i="45"/>
  <c r="O4040" i="45"/>
  <c r="O4041" i="45"/>
  <c r="O4042" i="45"/>
  <c r="O4043" i="45"/>
  <c r="O4044" i="45"/>
  <c r="O4045" i="45"/>
  <c r="O4046" i="45"/>
  <c r="O4047" i="45"/>
  <c r="O4048" i="45"/>
  <c r="O4049" i="45"/>
  <c r="O4050" i="45"/>
  <c r="O4051" i="45"/>
  <c r="O4052" i="45"/>
  <c r="O4053" i="45"/>
  <c r="O4054" i="45"/>
  <c r="O4055" i="45"/>
  <c r="O4056" i="45"/>
  <c r="O4057" i="45"/>
  <c r="O4058" i="45"/>
  <c r="O4059" i="45"/>
  <c r="O4060" i="45"/>
  <c r="O4061" i="45"/>
  <c r="I3982" i="45"/>
  <c r="I3983" i="45"/>
  <c r="I3984" i="45"/>
  <c r="I3985" i="45"/>
  <c r="I3986" i="45"/>
  <c r="I3987" i="45"/>
  <c r="I3988" i="45"/>
  <c r="I3989" i="45"/>
  <c r="I3990" i="45"/>
  <c r="I3991" i="45"/>
  <c r="I3992" i="45"/>
  <c r="I3993" i="45"/>
  <c r="I3994" i="45"/>
  <c r="I3995" i="45"/>
  <c r="I3996" i="45"/>
  <c r="I3997" i="45"/>
  <c r="I3998" i="45"/>
  <c r="I3999" i="45"/>
  <c r="I4000" i="45"/>
  <c r="I4001" i="45"/>
  <c r="I4002" i="45"/>
  <c r="I4003" i="45"/>
  <c r="I4004" i="45"/>
  <c r="I4005" i="45"/>
  <c r="I4006" i="45"/>
  <c r="I4007" i="45"/>
  <c r="I4008" i="45"/>
  <c r="I4009" i="45"/>
  <c r="I4010" i="45"/>
  <c r="I4011" i="45"/>
  <c r="I4012" i="45"/>
  <c r="I4013" i="45"/>
  <c r="I4014" i="45"/>
  <c r="I4015" i="45"/>
  <c r="I4016" i="45"/>
  <c r="I4017" i="45"/>
  <c r="I4018" i="45"/>
  <c r="I4019" i="45"/>
  <c r="I4020" i="45"/>
  <c r="I4021" i="45"/>
  <c r="I4022" i="45"/>
  <c r="I4023" i="45"/>
  <c r="I4024" i="45"/>
  <c r="I4025" i="45"/>
  <c r="I4026" i="45"/>
  <c r="I4027" i="45"/>
  <c r="I4028" i="45"/>
  <c r="I4029" i="45"/>
  <c r="I4030" i="45"/>
  <c r="I4031" i="45"/>
  <c r="I4032" i="45"/>
  <c r="I4033" i="45"/>
  <c r="I4034" i="45"/>
  <c r="I4035" i="45"/>
  <c r="I4036" i="45"/>
  <c r="I4037" i="45"/>
  <c r="I4038" i="45"/>
  <c r="I4039" i="45"/>
  <c r="I4040" i="45"/>
  <c r="I4041" i="45"/>
  <c r="I4042" i="45"/>
  <c r="I4043" i="45"/>
  <c r="I4044" i="45"/>
  <c r="I4045" i="45"/>
  <c r="I4046" i="45"/>
  <c r="I4047" i="45"/>
  <c r="I4048" i="45"/>
  <c r="I4049" i="45"/>
  <c r="I4050" i="45"/>
  <c r="I4051" i="45"/>
  <c r="I4052" i="45"/>
  <c r="I4053" i="45"/>
  <c r="I4054" i="45"/>
  <c r="I4055" i="45"/>
  <c r="I4056" i="45"/>
  <c r="I4057" i="45"/>
  <c r="I4058" i="45"/>
  <c r="I4059" i="45"/>
  <c r="I4060" i="45"/>
  <c r="I4061" i="45"/>
  <c r="O3959" i="45"/>
  <c r="O3960" i="45"/>
  <c r="O3961" i="45"/>
  <c r="O3962" i="45"/>
  <c r="O3963" i="45"/>
  <c r="O3964" i="45"/>
  <c r="O3965" i="45"/>
  <c r="O3966" i="45"/>
  <c r="O3967" i="45"/>
  <c r="O3968" i="45"/>
  <c r="O3969" i="45"/>
  <c r="O3970" i="45"/>
  <c r="O3971" i="45"/>
  <c r="O3972" i="45"/>
  <c r="O3973" i="45"/>
  <c r="O3974" i="45"/>
  <c r="O3975" i="45"/>
  <c r="O3976" i="45"/>
  <c r="O3977" i="45"/>
  <c r="O3978" i="45"/>
  <c r="O3979" i="45"/>
  <c r="O3980" i="45"/>
  <c r="O3981" i="45"/>
  <c r="O3936" i="45"/>
  <c r="O3937" i="45"/>
  <c r="O3938" i="45"/>
  <c r="O3939" i="45"/>
  <c r="O3940" i="45"/>
  <c r="O3941" i="45"/>
  <c r="O3942" i="45"/>
  <c r="O3943" i="45"/>
  <c r="O3944" i="45"/>
  <c r="O3945" i="45"/>
  <c r="O3946" i="45"/>
  <c r="O3947" i="45"/>
  <c r="O3948" i="45"/>
  <c r="O3949" i="45"/>
  <c r="O3950" i="45"/>
  <c r="O3951" i="45"/>
  <c r="O3952" i="45"/>
  <c r="O3953" i="45"/>
  <c r="O3954" i="45"/>
  <c r="O3955" i="45"/>
  <c r="O3956" i="45"/>
  <c r="O3957" i="45"/>
  <c r="O3958" i="45"/>
  <c r="O3934" i="45"/>
  <c r="O3935" i="45"/>
  <c r="I3935" i="45"/>
  <c r="I3936" i="45"/>
  <c r="I3937" i="45"/>
  <c r="I3938" i="45"/>
  <c r="I3939" i="45"/>
  <c r="I3940" i="45"/>
  <c r="I3941" i="45"/>
  <c r="I3942" i="45"/>
  <c r="I3943" i="45"/>
  <c r="I3944" i="45"/>
  <c r="I3945" i="45"/>
  <c r="I3946" i="45"/>
  <c r="I3947" i="45"/>
  <c r="I3948" i="45"/>
  <c r="I3949" i="45"/>
  <c r="I3950" i="45"/>
  <c r="I3951" i="45"/>
  <c r="I3952" i="45"/>
  <c r="I3953" i="45"/>
  <c r="I3954" i="45"/>
  <c r="I3955" i="45"/>
  <c r="I3956" i="45"/>
  <c r="I3957" i="45"/>
  <c r="I3958" i="45"/>
  <c r="I3959" i="45"/>
  <c r="I3960" i="45"/>
  <c r="I3961" i="45"/>
  <c r="I3962" i="45"/>
  <c r="I3963" i="45"/>
  <c r="I3964" i="45"/>
  <c r="I3965" i="45"/>
  <c r="I3966" i="45"/>
  <c r="I3967" i="45"/>
  <c r="I3968" i="45"/>
  <c r="I3969" i="45"/>
  <c r="I3970" i="45"/>
  <c r="I3971" i="45"/>
  <c r="I3972" i="45"/>
  <c r="I3973" i="45"/>
  <c r="I3974" i="45"/>
  <c r="I3975" i="45"/>
  <c r="I3976" i="45"/>
  <c r="I3977" i="45"/>
  <c r="I3978" i="45"/>
  <c r="I3979" i="45"/>
  <c r="I3980" i="45"/>
  <c r="I3981" i="45"/>
  <c r="I3609" i="45"/>
  <c r="I3610" i="45"/>
  <c r="I3611" i="45"/>
  <c r="I3612" i="45"/>
  <c r="I3613" i="45"/>
  <c r="I3614" i="45"/>
  <c r="I3615" i="45"/>
  <c r="I3616" i="45"/>
  <c r="I3617" i="45"/>
  <c r="I3618" i="45"/>
  <c r="I3619" i="45"/>
  <c r="I3620" i="45"/>
  <c r="I3621" i="45"/>
  <c r="I3622" i="45"/>
  <c r="I3623" i="45"/>
  <c r="I3624" i="45"/>
  <c r="I3625" i="45"/>
  <c r="I3626" i="45"/>
  <c r="I3627" i="45"/>
  <c r="I3628" i="45"/>
  <c r="I3629" i="45"/>
  <c r="I3630" i="45"/>
  <c r="I3631" i="45"/>
  <c r="I3632" i="45"/>
  <c r="I3633" i="45"/>
  <c r="I3634" i="45"/>
  <c r="I3635" i="45"/>
  <c r="I3636" i="45"/>
  <c r="I3637" i="45"/>
  <c r="I3638" i="45"/>
  <c r="I3639" i="45"/>
  <c r="I3640" i="45"/>
  <c r="I3641" i="45"/>
  <c r="I3642" i="45"/>
  <c r="I3643" i="45"/>
  <c r="I3644" i="45"/>
  <c r="I3645" i="45"/>
  <c r="I3646" i="45"/>
  <c r="I3647" i="45"/>
  <c r="I3648" i="45"/>
  <c r="I3649" i="45"/>
  <c r="I3650" i="45"/>
  <c r="I3651" i="45"/>
  <c r="I3652" i="45"/>
  <c r="I3653" i="45"/>
  <c r="I3654" i="45"/>
  <c r="I3655" i="45"/>
  <c r="I3656" i="45"/>
  <c r="I3657" i="45"/>
  <c r="I3658" i="45"/>
  <c r="I3659" i="45"/>
  <c r="I3660" i="45"/>
  <c r="I3661" i="45"/>
  <c r="I3662" i="45"/>
  <c r="I3663" i="45"/>
  <c r="I3664" i="45"/>
  <c r="I3665" i="45"/>
  <c r="I3666" i="45"/>
  <c r="I3667" i="45"/>
  <c r="I3668" i="45"/>
  <c r="I3669" i="45"/>
  <c r="I3670" i="45"/>
  <c r="I3671" i="45"/>
  <c r="I3672" i="45"/>
  <c r="I3673" i="45"/>
  <c r="I3674" i="45"/>
  <c r="I3675" i="45"/>
  <c r="I3676" i="45"/>
  <c r="I3677" i="45"/>
  <c r="I3678" i="45"/>
  <c r="I3679" i="45"/>
  <c r="I3680" i="45"/>
  <c r="I3681" i="45"/>
  <c r="I3682" i="45"/>
  <c r="I3683" i="45"/>
  <c r="I3684" i="45"/>
  <c r="I3685" i="45"/>
  <c r="I3686" i="45"/>
  <c r="I3687" i="45"/>
  <c r="I3688" i="45"/>
  <c r="I3689" i="45"/>
  <c r="I3690" i="45"/>
  <c r="I3691" i="45"/>
  <c r="I3692" i="45"/>
  <c r="I3693" i="45"/>
  <c r="I3694" i="45"/>
  <c r="I3695" i="45"/>
  <c r="I3696" i="45"/>
  <c r="I3697" i="45"/>
  <c r="I3698" i="45"/>
  <c r="I3699" i="45"/>
  <c r="I3700" i="45"/>
  <c r="I3701" i="45"/>
  <c r="I3702" i="45"/>
  <c r="I3703" i="45"/>
  <c r="I3704" i="45"/>
  <c r="I3705" i="45"/>
  <c r="I3706" i="45"/>
  <c r="I3707" i="45"/>
  <c r="I3708" i="45"/>
  <c r="I3709" i="45"/>
  <c r="I3710" i="45"/>
  <c r="I3711" i="45"/>
  <c r="I3712" i="45"/>
  <c r="I3713" i="45"/>
  <c r="I3714" i="45"/>
  <c r="I3715" i="45"/>
  <c r="I3716" i="45"/>
  <c r="I3717" i="45"/>
  <c r="I3718" i="45"/>
  <c r="I3719" i="45"/>
  <c r="I3720" i="45"/>
  <c r="I3721" i="45"/>
  <c r="I3722" i="45"/>
  <c r="I3723" i="45"/>
  <c r="I3724" i="45"/>
  <c r="I3725" i="45"/>
  <c r="I3726" i="45"/>
  <c r="I3727" i="45"/>
  <c r="I3728" i="45"/>
  <c r="I3729" i="45"/>
  <c r="I3730" i="45"/>
  <c r="I3731" i="45"/>
  <c r="I3732" i="45"/>
  <c r="I3733" i="45"/>
  <c r="I3734" i="45"/>
  <c r="I3735" i="45"/>
  <c r="I3736" i="45"/>
  <c r="I3737" i="45"/>
  <c r="I3738" i="45"/>
  <c r="I3739" i="45"/>
  <c r="I3740" i="45"/>
  <c r="I3741" i="45"/>
  <c r="I3742" i="45"/>
  <c r="I3743" i="45"/>
  <c r="I3744" i="45"/>
  <c r="I3745" i="45"/>
  <c r="I3746" i="45"/>
  <c r="I3747" i="45"/>
  <c r="I3748" i="45"/>
  <c r="I3749" i="45"/>
  <c r="I3750" i="45"/>
  <c r="I3751" i="45"/>
  <c r="I3752" i="45"/>
  <c r="I3753" i="45"/>
  <c r="I3754" i="45"/>
  <c r="I3755" i="45"/>
  <c r="I3756" i="45"/>
  <c r="I3757" i="45"/>
  <c r="I3758" i="45"/>
  <c r="I3759" i="45"/>
  <c r="I3760" i="45"/>
  <c r="I3761" i="45"/>
  <c r="I3762" i="45"/>
  <c r="I3763" i="45"/>
  <c r="I3764" i="45"/>
  <c r="I3765" i="45"/>
  <c r="I3766" i="45"/>
  <c r="I3767" i="45"/>
  <c r="I3768" i="45"/>
  <c r="I3769" i="45"/>
  <c r="I3770" i="45"/>
  <c r="I3771" i="45"/>
  <c r="I3772" i="45"/>
  <c r="I3773" i="45"/>
  <c r="I3774" i="45"/>
  <c r="I3775" i="45"/>
  <c r="I3776" i="45"/>
  <c r="I3777" i="45"/>
  <c r="I3778" i="45"/>
  <c r="I3779" i="45"/>
  <c r="I3780" i="45"/>
  <c r="I3781" i="45"/>
  <c r="I3782" i="45"/>
  <c r="I3783" i="45"/>
  <c r="I3784" i="45"/>
  <c r="I3785" i="45"/>
  <c r="I3786" i="45"/>
  <c r="I3787" i="45"/>
  <c r="I3788" i="45"/>
  <c r="I3789" i="45"/>
  <c r="I3790" i="45"/>
  <c r="I3791" i="45"/>
  <c r="I3792" i="45"/>
  <c r="I3793" i="45"/>
  <c r="I3794" i="45"/>
  <c r="I3795" i="45"/>
  <c r="I3796" i="45"/>
  <c r="I3797" i="45"/>
  <c r="I3798" i="45"/>
  <c r="I3799" i="45"/>
  <c r="I3800" i="45"/>
  <c r="I3801" i="45"/>
  <c r="I3802" i="45"/>
  <c r="I3803" i="45"/>
  <c r="I3804" i="45"/>
  <c r="I3805" i="45"/>
  <c r="I3806" i="45"/>
  <c r="I3807" i="45"/>
  <c r="I3808" i="45"/>
  <c r="I3809" i="45"/>
  <c r="I3810" i="45"/>
  <c r="I3811" i="45"/>
  <c r="I3812" i="45"/>
  <c r="I3813" i="45"/>
  <c r="I3814" i="45"/>
  <c r="I3815" i="45"/>
  <c r="I3816" i="45"/>
  <c r="I3817" i="45"/>
  <c r="I3818" i="45"/>
  <c r="I3819" i="45"/>
  <c r="I3820" i="45"/>
  <c r="I3821" i="45"/>
  <c r="I3822" i="45"/>
  <c r="I3823" i="45"/>
  <c r="I3824" i="45"/>
  <c r="I3825" i="45"/>
  <c r="I3826" i="45"/>
  <c r="I3827" i="45"/>
  <c r="I3828" i="45"/>
  <c r="I3829" i="45"/>
  <c r="I3830" i="45"/>
  <c r="I3831" i="45"/>
  <c r="I3832" i="45"/>
  <c r="I3833" i="45"/>
  <c r="I3834" i="45"/>
  <c r="I3835" i="45"/>
  <c r="I3836" i="45"/>
  <c r="I3837" i="45"/>
  <c r="I3838" i="45"/>
  <c r="I3839" i="45"/>
  <c r="I3840" i="45"/>
  <c r="I3841" i="45"/>
  <c r="I3842" i="45"/>
  <c r="I3843" i="45"/>
  <c r="I3844" i="45"/>
  <c r="I3845" i="45"/>
  <c r="I3846" i="45"/>
  <c r="I3847" i="45"/>
  <c r="I3848" i="45"/>
  <c r="I3849" i="45"/>
  <c r="I3850" i="45"/>
  <c r="I3851" i="45"/>
  <c r="I3852" i="45"/>
  <c r="I3853" i="45"/>
  <c r="I3854" i="45"/>
  <c r="I3855" i="45"/>
  <c r="I3856" i="45"/>
  <c r="I3857" i="45"/>
  <c r="I3858" i="45"/>
  <c r="I3859" i="45"/>
  <c r="I3860" i="45"/>
  <c r="I3861" i="45"/>
  <c r="I3862" i="45"/>
  <c r="I3863" i="45"/>
  <c r="I3864" i="45"/>
  <c r="I3865" i="45"/>
  <c r="I3866" i="45"/>
  <c r="I3867" i="45"/>
  <c r="I3868" i="45"/>
  <c r="I3869" i="45"/>
  <c r="I3870" i="45"/>
  <c r="I3871" i="45"/>
  <c r="I3872" i="45"/>
  <c r="I3873" i="45"/>
  <c r="I3874" i="45"/>
  <c r="I3875" i="45"/>
  <c r="I3876" i="45"/>
  <c r="I3877" i="45"/>
  <c r="I3878" i="45"/>
  <c r="I3879" i="45"/>
  <c r="I3880" i="45"/>
  <c r="I3881" i="45"/>
  <c r="I3882" i="45"/>
  <c r="I3883" i="45"/>
  <c r="I3884" i="45"/>
  <c r="I3885" i="45"/>
  <c r="I3886" i="45"/>
  <c r="I3887" i="45"/>
  <c r="I3888" i="45"/>
  <c r="I3889" i="45"/>
  <c r="I3890" i="45"/>
  <c r="I3891" i="45"/>
  <c r="I3892" i="45"/>
  <c r="I3893" i="45"/>
  <c r="I3894" i="45"/>
  <c r="I3895" i="45"/>
  <c r="I3896" i="45"/>
  <c r="I3897" i="45"/>
  <c r="I3898" i="45"/>
  <c r="I3899" i="45"/>
  <c r="I3900" i="45"/>
  <c r="I3901" i="45"/>
  <c r="I3902" i="45"/>
  <c r="I3903" i="45"/>
  <c r="I3904" i="45"/>
  <c r="I3905" i="45"/>
  <c r="I3906" i="45"/>
  <c r="I3907" i="45"/>
  <c r="I3908" i="45"/>
  <c r="I3909" i="45"/>
  <c r="I3910" i="45"/>
  <c r="I3911" i="45"/>
  <c r="I3912" i="45"/>
  <c r="I3913" i="45"/>
  <c r="I3914" i="45"/>
  <c r="I3915" i="45"/>
  <c r="I3916" i="45"/>
  <c r="I3917" i="45"/>
  <c r="I3918" i="45"/>
  <c r="I3919" i="45"/>
  <c r="I3920" i="45"/>
  <c r="I3921" i="45"/>
  <c r="I3922" i="45"/>
  <c r="I3923" i="45"/>
  <c r="I3924" i="45"/>
  <c r="I3925" i="45"/>
  <c r="I3926" i="45"/>
  <c r="I3927" i="45"/>
  <c r="I3928" i="45"/>
  <c r="I3929" i="45"/>
  <c r="I3930" i="45"/>
  <c r="I3931" i="45"/>
  <c r="I3932" i="45"/>
  <c r="I3933" i="45"/>
  <c r="I3934" i="45"/>
  <c r="O3610" i="45"/>
  <c r="O3611" i="45"/>
  <c r="O3612" i="45"/>
  <c r="O3613" i="45"/>
  <c r="O3614" i="45"/>
  <c r="O3615" i="45"/>
  <c r="O3616" i="45"/>
  <c r="O3617" i="45"/>
  <c r="O3618" i="45"/>
  <c r="O3619" i="45"/>
  <c r="O3620" i="45"/>
  <c r="O3621" i="45"/>
  <c r="O3622" i="45"/>
  <c r="O3623" i="45"/>
  <c r="O3624" i="45"/>
  <c r="O3625" i="45"/>
  <c r="O3626" i="45"/>
  <c r="O3627" i="45"/>
  <c r="O3628" i="45"/>
  <c r="O3629" i="45"/>
  <c r="O3630" i="45"/>
  <c r="O3631" i="45"/>
  <c r="O3632" i="45"/>
  <c r="O3633" i="45"/>
  <c r="O3634" i="45"/>
  <c r="O3635" i="45"/>
  <c r="O3636" i="45"/>
  <c r="O3637" i="45"/>
  <c r="O3638" i="45"/>
  <c r="O3639" i="45"/>
  <c r="O3640" i="45"/>
  <c r="O3641" i="45"/>
  <c r="O3642" i="45"/>
  <c r="O3643" i="45"/>
  <c r="O3644" i="45"/>
  <c r="O3645" i="45"/>
  <c r="O3646" i="45"/>
  <c r="O3647" i="45"/>
  <c r="O3648" i="45"/>
  <c r="O3649" i="45"/>
  <c r="O3650" i="45"/>
  <c r="O3651" i="45"/>
  <c r="O3652" i="45"/>
  <c r="O3653" i="45"/>
  <c r="O3654" i="45"/>
  <c r="O3655" i="45"/>
  <c r="O3656" i="45"/>
  <c r="O3657" i="45"/>
  <c r="O3658" i="45"/>
  <c r="O3659" i="45"/>
  <c r="O3660" i="45"/>
  <c r="O3661" i="45"/>
  <c r="O3662" i="45"/>
  <c r="O3663" i="45"/>
  <c r="O3664" i="45"/>
  <c r="O3665" i="45"/>
  <c r="O3666" i="45"/>
  <c r="O3667" i="45"/>
  <c r="O3668" i="45"/>
  <c r="O3669" i="45"/>
  <c r="O3670" i="45"/>
  <c r="O3671" i="45"/>
  <c r="O3672" i="45"/>
  <c r="O3673" i="45"/>
  <c r="O3674" i="45"/>
  <c r="O3675" i="45"/>
  <c r="O3676" i="45"/>
  <c r="O3677" i="45"/>
  <c r="O3678" i="45"/>
  <c r="O3679" i="45"/>
  <c r="O3680" i="45"/>
  <c r="O3681" i="45"/>
  <c r="O3682" i="45"/>
  <c r="O3683" i="45"/>
  <c r="O3684" i="45"/>
  <c r="O3685" i="45"/>
  <c r="O3686" i="45"/>
  <c r="O3687" i="45"/>
  <c r="O3688" i="45"/>
  <c r="O3689" i="45"/>
  <c r="O3690" i="45"/>
  <c r="O3691" i="45"/>
  <c r="O3692" i="45"/>
  <c r="O3693" i="45"/>
  <c r="O3694" i="45"/>
  <c r="O3695" i="45"/>
  <c r="O3696" i="45"/>
  <c r="O3697" i="45"/>
  <c r="O3698" i="45"/>
  <c r="O3699" i="45"/>
  <c r="O3700" i="45"/>
  <c r="O3701" i="45"/>
  <c r="O3702" i="45"/>
  <c r="O3703" i="45"/>
  <c r="O3704" i="45"/>
  <c r="O3705" i="45"/>
  <c r="O3706" i="45"/>
  <c r="O3707" i="45"/>
  <c r="O3708" i="45"/>
  <c r="O3709" i="45"/>
  <c r="O3710" i="45"/>
  <c r="O3711" i="45"/>
  <c r="O3712" i="45"/>
  <c r="O3713" i="45"/>
  <c r="O3714" i="45"/>
  <c r="O3715" i="45"/>
  <c r="O3716" i="45"/>
  <c r="O3717" i="45"/>
  <c r="O3718" i="45"/>
  <c r="O3719" i="45"/>
  <c r="O3720" i="45"/>
  <c r="O3721" i="45"/>
  <c r="O3722" i="45"/>
  <c r="O3723" i="45"/>
  <c r="O3724" i="45"/>
  <c r="O3725" i="45"/>
  <c r="O3726" i="45"/>
  <c r="O3727" i="45"/>
  <c r="O3728" i="45"/>
  <c r="O3729" i="45"/>
  <c r="O3730" i="45"/>
  <c r="O3731" i="45"/>
  <c r="O3732" i="45"/>
  <c r="O3733" i="45"/>
  <c r="O3734" i="45"/>
  <c r="O3735" i="45"/>
  <c r="O3736" i="45"/>
  <c r="O3737" i="45"/>
  <c r="O3738" i="45"/>
  <c r="O3739" i="45"/>
  <c r="O3740" i="45"/>
  <c r="O3741" i="45"/>
  <c r="O3742" i="45"/>
  <c r="O3743" i="45"/>
  <c r="O3744" i="45"/>
  <c r="O3745" i="45"/>
  <c r="O3746" i="45"/>
  <c r="O3747" i="45"/>
  <c r="O3748" i="45"/>
  <c r="O3749" i="45"/>
  <c r="O3750" i="45"/>
  <c r="O3751" i="45"/>
  <c r="O3752" i="45"/>
  <c r="O3753" i="45"/>
  <c r="O3754" i="45"/>
  <c r="O3755" i="45"/>
  <c r="O3756" i="45"/>
  <c r="O3757" i="45"/>
  <c r="O3758" i="45"/>
  <c r="O3759" i="45"/>
  <c r="O3760" i="45"/>
  <c r="O3761" i="45"/>
  <c r="O3762" i="45"/>
  <c r="O3763" i="45"/>
  <c r="O3764" i="45"/>
  <c r="O3765" i="45"/>
  <c r="O3766" i="45"/>
  <c r="O3767" i="45"/>
  <c r="O3768" i="45"/>
  <c r="O3769" i="45"/>
  <c r="O3770" i="45"/>
  <c r="O3771" i="45"/>
  <c r="O3772" i="45"/>
  <c r="O3773" i="45"/>
  <c r="O3774" i="45"/>
  <c r="O3775" i="45"/>
  <c r="O3776" i="45"/>
  <c r="O3777" i="45"/>
  <c r="O3778" i="45"/>
  <c r="O3779" i="45"/>
  <c r="O3780" i="45"/>
  <c r="O3781" i="45"/>
  <c r="O3782" i="45"/>
  <c r="O3783" i="45"/>
  <c r="O3784" i="45"/>
  <c r="O3785" i="45"/>
  <c r="O3786" i="45"/>
  <c r="O3787" i="45"/>
  <c r="O3788" i="45"/>
  <c r="O3789" i="45"/>
  <c r="O3790" i="45"/>
  <c r="O3791" i="45"/>
  <c r="O3792" i="45"/>
  <c r="O3793" i="45"/>
  <c r="O3794" i="45"/>
  <c r="O3795" i="45"/>
  <c r="O3796" i="45"/>
  <c r="O3797" i="45"/>
  <c r="O3798" i="45"/>
  <c r="O3799" i="45"/>
  <c r="O3800" i="45"/>
  <c r="O3801" i="45"/>
  <c r="O3802" i="45"/>
  <c r="O3803" i="45"/>
  <c r="O3804" i="45"/>
  <c r="O3805" i="45"/>
  <c r="O3806" i="45"/>
  <c r="O3807" i="45"/>
  <c r="O3808" i="45"/>
  <c r="O3809" i="45"/>
  <c r="O3810" i="45"/>
  <c r="O3811" i="45"/>
  <c r="O3812" i="45"/>
  <c r="O3813" i="45"/>
  <c r="O3814" i="45"/>
  <c r="O3815" i="45"/>
  <c r="O3816" i="45"/>
  <c r="O3817" i="45"/>
  <c r="O3818" i="45"/>
  <c r="O3819" i="45"/>
  <c r="O3820" i="45"/>
  <c r="O3821" i="45"/>
  <c r="O3822" i="45"/>
  <c r="O3823" i="45"/>
  <c r="O3824" i="45"/>
  <c r="O3825" i="45"/>
  <c r="O3826" i="45"/>
  <c r="O3827" i="45"/>
  <c r="O3828" i="45"/>
  <c r="O3829" i="45"/>
  <c r="O3830" i="45"/>
  <c r="O3831" i="45"/>
  <c r="O3832" i="45"/>
  <c r="O3833" i="45"/>
  <c r="O3834" i="45"/>
  <c r="O3835" i="45"/>
  <c r="O3836" i="45"/>
  <c r="O3837" i="45"/>
  <c r="O3838" i="45"/>
  <c r="O3839" i="45"/>
  <c r="O3840" i="45"/>
  <c r="O3841" i="45"/>
  <c r="O3842" i="45"/>
  <c r="O3843" i="45"/>
  <c r="O3844" i="45"/>
  <c r="O3845" i="45"/>
  <c r="O3846" i="45"/>
  <c r="O3847" i="45"/>
  <c r="O3848" i="45"/>
  <c r="O3849" i="45"/>
  <c r="O3850" i="45"/>
  <c r="O3851" i="45"/>
  <c r="O3852" i="45"/>
  <c r="O3853" i="45"/>
  <c r="O3854" i="45"/>
  <c r="O3855" i="45"/>
  <c r="O3856" i="45"/>
  <c r="O3857" i="45"/>
  <c r="O3858" i="45"/>
  <c r="O3859" i="45"/>
  <c r="O3860" i="45"/>
  <c r="O3861" i="45"/>
  <c r="O3862" i="45"/>
  <c r="O3863" i="45"/>
  <c r="O3864" i="45"/>
  <c r="O3865" i="45"/>
  <c r="O3866" i="45"/>
  <c r="O3867" i="45"/>
  <c r="O3868" i="45"/>
  <c r="O3869" i="45"/>
  <c r="O3870" i="45"/>
  <c r="O3871" i="45"/>
  <c r="O3872" i="45"/>
  <c r="O3873" i="45"/>
  <c r="O3874" i="45"/>
  <c r="O3875" i="45"/>
  <c r="O3876" i="45"/>
  <c r="O3877" i="45"/>
  <c r="O3878" i="45"/>
  <c r="O3879" i="45"/>
  <c r="O3880" i="45"/>
  <c r="O3881" i="45"/>
  <c r="O3882" i="45"/>
  <c r="O3883" i="45"/>
  <c r="O3884" i="45"/>
  <c r="O3885" i="45"/>
  <c r="O3886" i="45"/>
  <c r="O3887" i="45"/>
  <c r="O3888" i="45"/>
  <c r="O3889" i="45"/>
  <c r="O3890" i="45"/>
  <c r="O3891" i="45"/>
  <c r="O3892" i="45"/>
  <c r="O3893" i="45"/>
  <c r="O3894" i="45"/>
  <c r="O3895" i="45"/>
  <c r="O3896" i="45"/>
  <c r="O3897" i="45"/>
  <c r="O3898" i="45"/>
  <c r="O3899" i="45"/>
  <c r="O3900" i="45"/>
  <c r="O3901" i="45"/>
  <c r="O3902" i="45"/>
  <c r="O3903" i="45"/>
  <c r="O3904" i="45"/>
  <c r="O3905" i="45"/>
  <c r="O3906" i="45"/>
  <c r="O3907" i="45"/>
  <c r="O3908" i="45"/>
  <c r="O3909" i="45"/>
  <c r="O3910" i="45"/>
  <c r="O3911" i="45"/>
  <c r="O3912" i="45"/>
  <c r="O3913" i="45"/>
  <c r="O3914" i="45"/>
  <c r="O3915" i="45"/>
  <c r="O3916" i="45"/>
  <c r="O3917" i="45"/>
  <c r="O3918" i="45"/>
  <c r="O3919" i="45"/>
  <c r="O3920" i="45"/>
  <c r="O3921" i="45"/>
  <c r="O3922" i="45"/>
  <c r="O3923" i="45"/>
  <c r="O3924" i="45"/>
  <c r="O3925" i="45"/>
  <c r="O3926" i="45"/>
  <c r="O3927" i="45"/>
  <c r="O3928" i="45"/>
  <c r="O3929" i="45"/>
  <c r="O3930" i="45"/>
  <c r="O3931" i="45"/>
  <c r="O3932" i="45"/>
  <c r="O3933" i="45"/>
  <c r="O3609" i="45"/>
  <c r="I3479" i="45"/>
  <c r="I3480" i="45"/>
  <c r="I3481" i="45"/>
  <c r="I3482" i="45"/>
  <c r="I3483" i="45"/>
  <c r="I3484" i="45"/>
  <c r="I3485" i="45"/>
  <c r="I3486" i="45"/>
  <c r="I3487" i="45"/>
  <c r="I3488" i="45"/>
  <c r="I3489" i="45"/>
  <c r="I3490" i="45"/>
  <c r="I3491" i="45"/>
  <c r="I3492" i="45"/>
  <c r="I3493" i="45"/>
  <c r="I3494" i="45"/>
  <c r="I3495" i="45"/>
  <c r="I3496" i="45"/>
  <c r="I3497" i="45"/>
  <c r="I3498" i="45"/>
  <c r="I3499" i="45"/>
  <c r="I3500" i="45"/>
  <c r="I3501" i="45"/>
  <c r="I3502" i="45"/>
  <c r="I3503" i="45"/>
  <c r="I3504" i="45"/>
  <c r="I3505" i="45"/>
  <c r="I3506" i="45"/>
  <c r="I3507" i="45"/>
  <c r="I3508" i="45"/>
  <c r="I3509" i="45"/>
  <c r="I3510" i="45"/>
  <c r="I3511" i="45"/>
  <c r="I3512" i="45"/>
  <c r="I3513" i="45"/>
  <c r="I3514" i="45"/>
  <c r="I3515" i="45"/>
  <c r="I3516" i="45"/>
  <c r="I3517" i="45"/>
  <c r="I3518" i="45"/>
  <c r="I3519" i="45"/>
  <c r="I3520" i="45"/>
  <c r="I3521" i="45"/>
  <c r="I3522" i="45"/>
  <c r="I3523" i="45"/>
  <c r="I3524" i="45"/>
  <c r="I3525" i="45"/>
  <c r="I3526" i="45"/>
  <c r="I3527" i="45"/>
  <c r="I3528" i="45"/>
  <c r="I3529" i="45"/>
  <c r="I3530" i="45"/>
  <c r="I3531" i="45"/>
  <c r="I3532" i="45"/>
  <c r="I3533" i="45"/>
  <c r="I3534" i="45"/>
  <c r="I3535" i="45"/>
  <c r="I3536" i="45"/>
  <c r="I3537" i="45"/>
  <c r="I3538" i="45"/>
  <c r="I3539" i="45"/>
  <c r="I3540" i="45"/>
  <c r="I3541" i="45"/>
  <c r="I3542" i="45"/>
  <c r="I3543" i="45"/>
  <c r="I3544" i="45"/>
  <c r="I3545" i="45"/>
  <c r="I3546" i="45"/>
  <c r="I3547" i="45"/>
  <c r="I3548" i="45"/>
  <c r="I3549" i="45"/>
  <c r="I3550" i="45"/>
  <c r="I3551" i="45"/>
  <c r="I3552" i="45"/>
  <c r="I3553" i="45"/>
  <c r="I3554" i="45"/>
  <c r="I3555" i="45"/>
  <c r="I3556" i="45"/>
  <c r="I3557" i="45"/>
  <c r="I3558" i="45"/>
  <c r="I3559" i="45"/>
  <c r="I3560" i="45"/>
  <c r="I3561" i="45"/>
  <c r="I3562" i="45"/>
  <c r="I3563" i="45"/>
  <c r="I3564" i="45"/>
  <c r="I3565" i="45"/>
  <c r="I3566" i="45"/>
  <c r="I3567" i="45"/>
  <c r="I3568" i="45"/>
  <c r="I3569" i="45"/>
  <c r="I3570" i="45"/>
  <c r="I3571" i="45"/>
  <c r="I3572" i="45"/>
  <c r="I3573" i="45"/>
  <c r="I3574" i="45"/>
  <c r="I3575" i="45"/>
  <c r="I3576" i="45"/>
  <c r="I3577" i="45"/>
  <c r="I3578" i="45"/>
  <c r="I3579" i="45"/>
  <c r="I3580" i="45"/>
  <c r="I3581" i="45"/>
  <c r="I3582" i="45"/>
  <c r="I3583" i="45"/>
  <c r="I3584" i="45"/>
  <c r="I3585" i="45"/>
  <c r="I3586" i="45"/>
  <c r="I3587" i="45"/>
  <c r="I3588" i="45"/>
  <c r="I3589" i="45"/>
  <c r="I3590" i="45"/>
  <c r="I3591" i="45"/>
  <c r="I3592" i="45"/>
  <c r="I3593" i="45"/>
  <c r="I3594" i="45"/>
  <c r="I3595" i="45"/>
  <c r="I3596" i="45"/>
  <c r="I3597" i="45"/>
  <c r="I3598" i="45"/>
  <c r="I3599" i="45"/>
  <c r="I3600" i="45"/>
  <c r="I3601" i="45"/>
  <c r="I3602" i="45"/>
  <c r="I3603" i="45"/>
  <c r="I3604" i="45"/>
  <c r="I3605" i="45"/>
  <c r="I3606" i="45"/>
  <c r="I3607" i="45"/>
  <c r="I3608" i="45"/>
  <c r="N286" i="46"/>
  <c r="N287" i="46"/>
  <c r="N288" i="46"/>
  <c r="N289" i="46"/>
  <c r="N290" i="46"/>
  <c r="N291" i="46"/>
  <c r="N292" i="46"/>
  <c r="N293" i="46"/>
  <c r="N294" i="46"/>
  <c r="N295" i="46"/>
  <c r="N296" i="46"/>
  <c r="N297" i="46"/>
  <c r="N298" i="46"/>
  <c r="N299" i="46"/>
  <c r="N300" i="46"/>
  <c r="N301" i="46"/>
  <c r="N302" i="46"/>
  <c r="N303" i="46"/>
  <c r="N304" i="46"/>
  <c r="N305" i="46"/>
  <c r="N306" i="46"/>
  <c r="N307" i="46"/>
  <c r="N308" i="46"/>
  <c r="N309" i="46"/>
  <c r="N310" i="46"/>
  <c r="N311"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C257" i="46"/>
  <c r="C258" i="46"/>
  <c r="C259" i="46"/>
  <c r="C260" i="46"/>
  <c r="C261" i="46"/>
  <c r="C262" i="46"/>
  <c r="C263" i="46"/>
  <c r="C264" i="46"/>
  <c r="C265" i="46"/>
  <c r="C266" i="46"/>
  <c r="C267" i="46"/>
  <c r="C268" i="46"/>
  <c r="C269" i="46"/>
  <c r="C270" i="46"/>
  <c r="C271" i="46"/>
  <c r="C272" i="46"/>
  <c r="C273" i="46"/>
  <c r="C274" i="46"/>
  <c r="C275" i="46"/>
  <c r="C276" i="46"/>
  <c r="C277" i="46"/>
  <c r="C278" i="46"/>
  <c r="C279" i="46"/>
  <c r="C280" i="46"/>
  <c r="C281" i="46"/>
  <c r="C282" i="46"/>
  <c r="C283" i="46"/>
  <c r="C284" i="46"/>
  <c r="C285" i="46"/>
  <c r="C286" i="46"/>
  <c r="C287" i="46"/>
  <c r="C288" i="46"/>
  <c r="C289" i="46"/>
  <c r="C290" i="46"/>
  <c r="C291" i="46"/>
  <c r="C292" i="46"/>
  <c r="C293" i="46"/>
  <c r="C294" i="46"/>
  <c r="C295" i="46"/>
  <c r="C296" i="46"/>
  <c r="C297" i="46"/>
  <c r="C298" i="46"/>
  <c r="C299" i="46"/>
  <c r="C300" i="46"/>
  <c r="C301" i="46"/>
  <c r="C302" i="46"/>
  <c r="C303" i="46"/>
  <c r="C304" i="46"/>
  <c r="C305" i="46"/>
  <c r="C306" i="46"/>
  <c r="C307" i="46"/>
  <c r="C308" i="46"/>
  <c r="C309" i="46"/>
  <c r="C310" i="46"/>
  <c r="C311" i="46"/>
  <c r="C111" i="46"/>
  <c r="C112" i="46"/>
  <c r="C113" i="46"/>
  <c r="I286" i="46"/>
  <c r="I287" i="46"/>
  <c r="I288" i="46"/>
  <c r="I289" i="46"/>
  <c r="I290" i="46"/>
  <c r="I291" i="46"/>
  <c r="I292" i="46"/>
  <c r="I293" i="46"/>
  <c r="I294" i="46"/>
  <c r="I295" i="46"/>
  <c r="I296" i="46"/>
  <c r="I297" i="46"/>
  <c r="I298" i="46"/>
  <c r="I299" i="46"/>
  <c r="I300" i="46"/>
  <c r="I301" i="46"/>
  <c r="I302" i="46"/>
  <c r="I303" i="46"/>
  <c r="I304" i="46"/>
  <c r="I305" i="46"/>
  <c r="I306" i="46"/>
  <c r="I307" i="46"/>
  <c r="I308" i="46"/>
  <c r="I309" i="46"/>
  <c r="I310" i="46"/>
  <c r="I311" i="46"/>
  <c r="N285" i="46"/>
  <c r="I285" i="46"/>
  <c r="N279" i="46"/>
  <c r="N280" i="46"/>
  <c r="N281" i="46"/>
  <c r="N282" i="46"/>
  <c r="N283" i="46"/>
  <c r="N284" i="46"/>
  <c r="I279" i="46"/>
  <c r="I280" i="46"/>
  <c r="I281" i="46"/>
  <c r="I282"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257" i="46"/>
  <c r="N258" i="46"/>
  <c r="N259" i="46"/>
  <c r="N260" i="46"/>
  <c r="N261" i="46"/>
  <c r="N262" i="46"/>
  <c r="N263" i="46"/>
  <c r="N264" i="46"/>
  <c r="N265" i="46"/>
  <c r="N266" i="46"/>
  <c r="N267" i="46"/>
  <c r="N268" i="46"/>
  <c r="N269" i="46"/>
  <c r="N270" i="46"/>
  <c r="N271" i="46"/>
  <c r="N272" i="46"/>
  <c r="N273" i="46"/>
  <c r="N274" i="46"/>
  <c r="N275" i="46"/>
  <c r="N276" i="46"/>
  <c r="N277" i="46"/>
  <c r="N278" i="46"/>
  <c r="I144" i="46"/>
  <c r="I145" i="46"/>
  <c r="I146" i="46"/>
  <c r="I147" i="46"/>
  <c r="I148" i="46"/>
  <c r="I149" i="46"/>
  <c r="I150" i="46"/>
  <c r="I151" i="46"/>
  <c r="I152" i="46"/>
  <c r="I153" i="46"/>
  <c r="I154" i="46"/>
  <c r="I155" i="46"/>
  <c r="I156" i="46"/>
  <c r="I157" i="46"/>
  <c r="I158" i="46"/>
  <c r="I159" i="46"/>
  <c r="I160" i="46"/>
  <c r="I161" i="46"/>
  <c r="I162" i="46"/>
  <c r="I163" i="46"/>
  <c r="I164" i="46"/>
  <c r="I165" i="46"/>
  <c r="I166" i="46"/>
  <c r="I167" i="46"/>
  <c r="I168" i="46"/>
  <c r="I169" i="46"/>
  <c r="I170" i="46"/>
  <c r="I171" i="46"/>
  <c r="I172" i="46"/>
  <c r="I173" i="46"/>
  <c r="I174" i="46"/>
  <c r="I175" i="46"/>
  <c r="I176" i="46"/>
  <c r="I177" i="46"/>
  <c r="I178" i="46"/>
  <c r="I179" i="46"/>
  <c r="I180" i="46"/>
  <c r="I181" i="46"/>
  <c r="I182" i="46"/>
  <c r="I183" i="46"/>
  <c r="I184" i="46"/>
  <c r="I185" i="46"/>
  <c r="I186" i="46"/>
  <c r="I187" i="46"/>
  <c r="I188" i="46"/>
  <c r="I189" i="46"/>
  <c r="I190" i="46"/>
  <c r="I191" i="46"/>
  <c r="I192" i="46"/>
  <c r="I193" i="46"/>
  <c r="I194" i="46"/>
  <c r="I195" i="46"/>
  <c r="I196" i="46"/>
  <c r="I197" i="46"/>
  <c r="I198" i="46"/>
  <c r="I199" i="46"/>
  <c r="I200" i="46"/>
  <c r="I201" i="46"/>
  <c r="I202" i="46"/>
  <c r="I203" i="46"/>
  <c r="I204" i="46"/>
  <c r="I205" i="46"/>
  <c r="I206" i="46"/>
  <c r="I207" i="46"/>
  <c r="I208" i="46"/>
  <c r="I209" i="46"/>
  <c r="I210" i="46"/>
  <c r="I211" i="46"/>
  <c r="I212" i="46"/>
  <c r="I213" i="46"/>
  <c r="I214" i="46"/>
  <c r="I215" i="46"/>
  <c r="I216" i="46"/>
  <c r="I217" i="46"/>
  <c r="I218" i="46"/>
  <c r="I219" i="46"/>
  <c r="I220" i="46"/>
  <c r="I221" i="46"/>
  <c r="I222" i="46"/>
  <c r="I223" i="46"/>
  <c r="I224" i="46"/>
  <c r="I225" i="46"/>
  <c r="I226" i="46"/>
  <c r="I227" i="46"/>
  <c r="I228" i="46"/>
  <c r="I229" i="46"/>
  <c r="I230" i="46"/>
  <c r="I231" i="46"/>
  <c r="I232" i="46"/>
  <c r="I233" i="46"/>
  <c r="I234" i="46"/>
  <c r="I235" i="46"/>
  <c r="I236" i="46"/>
  <c r="I237" i="46"/>
  <c r="I238" i="46"/>
  <c r="I239" i="46"/>
  <c r="I240" i="46"/>
  <c r="I241" i="46"/>
  <c r="I242" i="46"/>
  <c r="I243" i="46"/>
  <c r="I244" i="46"/>
  <c r="I245" i="46"/>
  <c r="I246" i="46"/>
  <c r="I247" i="46"/>
  <c r="I248" i="46"/>
  <c r="I249" i="46"/>
  <c r="I250" i="46"/>
  <c r="I251" i="46"/>
  <c r="I252" i="46"/>
  <c r="I253" i="46"/>
  <c r="I254" i="46"/>
  <c r="I255" i="46"/>
  <c r="I256" i="46"/>
  <c r="I257" i="46"/>
  <c r="I258" i="46"/>
  <c r="I259" i="46"/>
  <c r="I260" i="46"/>
  <c r="I261" i="46"/>
  <c r="I262" i="46"/>
  <c r="I263" i="46"/>
  <c r="I264" i="46"/>
  <c r="I265" i="46"/>
  <c r="I266" i="46"/>
  <c r="I267" i="46"/>
  <c r="I268" i="46"/>
  <c r="I269" i="46"/>
  <c r="I270" i="46"/>
  <c r="I271" i="46"/>
  <c r="I272" i="46"/>
  <c r="I273" i="46"/>
  <c r="I274" i="46"/>
  <c r="I275" i="46"/>
  <c r="I276" i="46"/>
  <c r="I277" i="46"/>
  <c r="I278" i="46"/>
  <c r="N142" i="46"/>
  <c r="N143" i="46"/>
  <c r="I143" i="46"/>
  <c r="N141" i="46"/>
  <c r="N140" i="46"/>
  <c r="N139" i="46"/>
  <c r="I139" i="46"/>
  <c r="I140" i="46"/>
  <c r="I141" i="46"/>
  <c r="I142" i="46"/>
  <c r="I137" i="46"/>
  <c r="I138" i="46"/>
  <c r="N136" i="46"/>
  <c r="N135" i="46"/>
  <c r="N134" i="46"/>
  <c r="N133" i="46"/>
  <c r="I136" i="46"/>
  <c r="I135" i="46"/>
  <c r="I134" i="46"/>
  <c r="I133" i="46"/>
  <c r="I132" i="46"/>
  <c r="N131" i="46"/>
  <c r="N130" i="46"/>
  <c r="N129" i="46"/>
  <c r="N128" i="46"/>
  <c r="N127" i="46"/>
  <c r="I131" i="46"/>
  <c r="I130" i="46"/>
  <c r="I129" i="46"/>
  <c r="I128" i="46"/>
  <c r="I127" i="46"/>
  <c r="I125" i="46"/>
  <c r="I124" i="46"/>
  <c r="I123" i="46"/>
  <c r="I122" i="46"/>
  <c r="I121" i="46"/>
  <c r="I120" i="46"/>
  <c r="I119" i="46"/>
  <c r="I118" i="46"/>
  <c r="I117" i="46"/>
  <c r="I116" i="46"/>
  <c r="I115" i="46"/>
  <c r="I114" i="46"/>
  <c r="G39" i="47" l="1"/>
  <c r="C39" i="47"/>
  <c r="C38" i="47"/>
  <c r="C37" i="47"/>
  <c r="C36" i="47"/>
  <c r="C35" i="47"/>
  <c r="C34" i="47"/>
  <c r="C33" i="47"/>
  <c r="C32" i="47"/>
  <c r="C31" i="47"/>
  <c r="C30" i="47"/>
  <c r="C29" i="47"/>
  <c r="C28" i="47"/>
  <c r="C27" i="47"/>
  <c r="C26" i="47"/>
  <c r="C25" i="47"/>
  <c r="C24" i="47"/>
  <c r="C23" i="47"/>
  <c r="G23" i="47"/>
  <c r="G24" i="47"/>
  <c r="G25" i="47"/>
  <c r="G26" i="47"/>
  <c r="G27" i="47"/>
  <c r="G28" i="47"/>
  <c r="G29" i="47"/>
  <c r="G30" i="47"/>
  <c r="G31" i="47"/>
  <c r="G32" i="47"/>
  <c r="G33" i="47"/>
  <c r="G34" i="47"/>
  <c r="G35" i="47"/>
  <c r="G36" i="47"/>
  <c r="G37" i="47"/>
  <c r="G38" i="47"/>
  <c r="G22" i="47"/>
  <c r="G21" i="47"/>
  <c r="B22" i="47"/>
  <c r="C22" i="47" s="1"/>
  <c r="B21" i="47"/>
  <c r="C21" i="47" s="1"/>
  <c r="C88" i="48" l="1"/>
  <c r="B87" i="48"/>
  <c r="C87" i="48" s="1"/>
  <c r="B86" i="48"/>
  <c r="C86" i="48" s="1"/>
  <c r="B85" i="48"/>
  <c r="C85" i="48" s="1"/>
  <c r="C84" i="48"/>
  <c r="B84" i="48"/>
  <c r="B83" i="48"/>
  <c r="C83" i="48" s="1"/>
  <c r="B82" i="48"/>
  <c r="C82" i="48" s="1"/>
  <c r="K64" i="48"/>
  <c r="K63" i="48"/>
  <c r="K62" i="48"/>
  <c r="K61" i="48"/>
  <c r="K60" i="48"/>
  <c r="K59" i="48"/>
  <c r="K58" i="48"/>
  <c r="K57" i="48"/>
  <c r="K56" i="48"/>
  <c r="K55" i="48"/>
  <c r="K54" i="48"/>
  <c r="K53" i="48"/>
  <c r="K52" i="48"/>
  <c r="K51" i="48"/>
  <c r="K50" i="48"/>
  <c r="K49" i="48"/>
  <c r="K70" i="48"/>
  <c r="K69" i="48"/>
  <c r="K68" i="48"/>
  <c r="K67" i="48"/>
  <c r="K66" i="48"/>
  <c r="K65" i="48"/>
  <c r="K48" i="48"/>
  <c r="K47" i="48"/>
  <c r="P92" i="49" l="1"/>
  <c r="O92" i="49"/>
  <c r="N92" i="49"/>
  <c r="P90" i="49"/>
  <c r="O90" i="49"/>
  <c r="N90" i="49"/>
  <c r="P91" i="49"/>
  <c r="O91" i="49"/>
  <c r="N91" i="49"/>
  <c r="V28" i="55"/>
  <c r="V29" i="55"/>
  <c r="V30" i="55"/>
  <c r="V31" i="55"/>
  <c r="V32" i="55"/>
  <c r="V33" i="55"/>
  <c r="V34" i="55"/>
  <c r="V35" i="55"/>
  <c r="V36" i="55"/>
  <c r="V37" i="55"/>
  <c r="V38" i="55"/>
  <c r="V39" i="55"/>
  <c r="V40" i="55"/>
  <c r="V41" i="55"/>
  <c r="V42" i="55"/>
  <c r="V43" i="55"/>
  <c r="V44" i="55"/>
  <c r="V45" i="55"/>
  <c r="V46" i="55"/>
  <c r="V47" i="55"/>
  <c r="V48" i="55"/>
  <c r="V49" i="55"/>
  <c r="V50" i="55"/>
  <c r="V51" i="55"/>
  <c r="V52" i="55"/>
  <c r="V53" i="55"/>
  <c r="V27" i="55"/>
  <c r="L118" i="50"/>
  <c r="G20" i="47"/>
  <c r="C20" i="47"/>
  <c r="I113" i="46"/>
  <c r="I112" i="46"/>
  <c r="O75" i="59" l="1"/>
  <c r="P75" i="59" s="1"/>
  <c r="M75" i="59"/>
  <c r="O76" i="59"/>
  <c r="M76" i="59"/>
  <c r="P89" i="49" l="1"/>
  <c r="P88" i="49"/>
  <c r="O89" i="49"/>
  <c r="N89" i="49"/>
  <c r="O88" i="49"/>
  <c r="N88" i="49"/>
  <c r="C89" i="49"/>
  <c r="C88" i="49"/>
  <c r="N108" i="46" l="1"/>
  <c r="I2829" i="45" l="1"/>
  <c r="I2830" i="45"/>
  <c r="I2831" i="45"/>
  <c r="I2832" i="45"/>
  <c r="I2833" i="45"/>
  <c r="I2834" i="45"/>
  <c r="I2835" i="45"/>
  <c r="I2836" i="45"/>
  <c r="I2837" i="45"/>
  <c r="I2838" i="45"/>
  <c r="I2839" i="45"/>
  <c r="I2840" i="45"/>
  <c r="I2841" i="45"/>
  <c r="I2842" i="45"/>
  <c r="I2843" i="45"/>
  <c r="I2844" i="45"/>
  <c r="I2845" i="45"/>
  <c r="I2846" i="45"/>
  <c r="I2847" i="45"/>
  <c r="I2848" i="45"/>
  <c r="I2849" i="45"/>
  <c r="I2850" i="45"/>
  <c r="I2851" i="45"/>
  <c r="I2852" i="45"/>
  <c r="I2853" i="45"/>
  <c r="I2854" i="45"/>
  <c r="I2855" i="45"/>
  <c r="I2856" i="45"/>
  <c r="I2857" i="45"/>
  <c r="I2858" i="45"/>
  <c r="I2859" i="45"/>
  <c r="I2860" i="45"/>
  <c r="I2861" i="45"/>
  <c r="I2862" i="45"/>
  <c r="I2863" i="45"/>
  <c r="I2864" i="45"/>
  <c r="I2865" i="45"/>
  <c r="I2866" i="45"/>
  <c r="I2867" i="45"/>
  <c r="I2868" i="45"/>
  <c r="I2869" i="45"/>
  <c r="I2870" i="45"/>
  <c r="I2871" i="45"/>
  <c r="I2872" i="45"/>
  <c r="I2873" i="45"/>
  <c r="I2874" i="45"/>
  <c r="I2875" i="45"/>
  <c r="I2876" i="45"/>
  <c r="I2877" i="45"/>
  <c r="I2878" i="45"/>
  <c r="I2879" i="45"/>
  <c r="I2880" i="45"/>
  <c r="I2881" i="45"/>
  <c r="I2882" i="45"/>
  <c r="I2883" i="45"/>
  <c r="I2884" i="45"/>
  <c r="I2885" i="45"/>
  <c r="I2886" i="45"/>
  <c r="I2887" i="45"/>
  <c r="I2888" i="45"/>
  <c r="I2889" i="45"/>
  <c r="I2890" i="45"/>
  <c r="I2891" i="45"/>
  <c r="I2892" i="45"/>
  <c r="I2893" i="45"/>
  <c r="I2894" i="45"/>
  <c r="I2895" i="45"/>
  <c r="I2896" i="45"/>
  <c r="I2897" i="45"/>
  <c r="I2898" i="45"/>
  <c r="I2899" i="45"/>
  <c r="I2900" i="45"/>
  <c r="I2901" i="45"/>
  <c r="I2902" i="45"/>
  <c r="I2903" i="45"/>
  <c r="I2904" i="45"/>
  <c r="I2905" i="45"/>
  <c r="I2906" i="45"/>
  <c r="I2907" i="45"/>
  <c r="I2908" i="45"/>
  <c r="I2909" i="45"/>
  <c r="I2910" i="45"/>
  <c r="I2911" i="45"/>
  <c r="I2912" i="45"/>
  <c r="I2913" i="45"/>
  <c r="I2914" i="45"/>
  <c r="I2915" i="45"/>
  <c r="I2916" i="45"/>
  <c r="I2917" i="45"/>
  <c r="I2918" i="45"/>
  <c r="I2919" i="45"/>
  <c r="I2920" i="45"/>
  <c r="I2921" i="45"/>
  <c r="I2922" i="45"/>
  <c r="I2923" i="45"/>
  <c r="I2924" i="45"/>
  <c r="I2925" i="45"/>
  <c r="I2926" i="45"/>
  <c r="I2927" i="45"/>
  <c r="I2928" i="45"/>
  <c r="I2929" i="45"/>
  <c r="I2930" i="45"/>
  <c r="I2931" i="45"/>
  <c r="I2932" i="45"/>
  <c r="I2933" i="45"/>
  <c r="I2934" i="45"/>
  <c r="I2935" i="45"/>
  <c r="I2936" i="45"/>
  <c r="I2937" i="45"/>
  <c r="I2938" i="45"/>
  <c r="I2939" i="45"/>
  <c r="I2940" i="45"/>
  <c r="I2941" i="45"/>
  <c r="I2942" i="45"/>
  <c r="I2943" i="45"/>
  <c r="I2944" i="45"/>
  <c r="I2945" i="45"/>
  <c r="I2946" i="45"/>
  <c r="I2947" i="45"/>
  <c r="I2948" i="45"/>
  <c r="I2949" i="45"/>
  <c r="I2950" i="45"/>
  <c r="I2951" i="45"/>
  <c r="I2952" i="45"/>
  <c r="I2953" i="45"/>
  <c r="I2954" i="45"/>
  <c r="I2955" i="45"/>
  <c r="I2956" i="45"/>
  <c r="I2957" i="45"/>
  <c r="I2958" i="45"/>
  <c r="I2959" i="45"/>
  <c r="I2960" i="45"/>
  <c r="I2961" i="45"/>
  <c r="I2962" i="45"/>
  <c r="I2963" i="45"/>
  <c r="I2964" i="45"/>
  <c r="I2965" i="45"/>
  <c r="I2966" i="45"/>
  <c r="I2967" i="45"/>
  <c r="I2968" i="45"/>
  <c r="I2969" i="45"/>
  <c r="I2970" i="45"/>
  <c r="I2971" i="45"/>
  <c r="I2972" i="45"/>
  <c r="I2973" i="45"/>
  <c r="I2974" i="45"/>
  <c r="I2975" i="45"/>
  <c r="I2976" i="45"/>
  <c r="I2977" i="45"/>
  <c r="I2978" i="45"/>
  <c r="I2979" i="45"/>
  <c r="I2980" i="45"/>
  <c r="I2981" i="45"/>
  <c r="I2982" i="45"/>
  <c r="I2983" i="45"/>
  <c r="I2984" i="45"/>
  <c r="I2985" i="45"/>
  <c r="I2986" i="45"/>
  <c r="I2987" i="45"/>
  <c r="I2988" i="45"/>
  <c r="I2989" i="45"/>
  <c r="I2990" i="45"/>
  <c r="I2991" i="45"/>
  <c r="I2992" i="45"/>
  <c r="I2993" i="45"/>
  <c r="I2994" i="45"/>
  <c r="I2995" i="45"/>
  <c r="I2996" i="45"/>
  <c r="I2997" i="45"/>
  <c r="I2998" i="45"/>
  <c r="I2999" i="45"/>
  <c r="I3000" i="45"/>
  <c r="I3001" i="45"/>
  <c r="I3002" i="45"/>
  <c r="I3003" i="45"/>
  <c r="I3004" i="45"/>
  <c r="I3005" i="45"/>
  <c r="I3006" i="45"/>
  <c r="I3007" i="45"/>
  <c r="I3008" i="45"/>
  <c r="I3009" i="45"/>
  <c r="I3010" i="45"/>
  <c r="I3011" i="45"/>
  <c r="I3012" i="45"/>
  <c r="I3013" i="45"/>
  <c r="I3014" i="45"/>
  <c r="I3015" i="45"/>
  <c r="I3016" i="45"/>
  <c r="I3017" i="45"/>
  <c r="I3018" i="45"/>
  <c r="I3019" i="45"/>
  <c r="I3020" i="45"/>
  <c r="I3021" i="45"/>
  <c r="I3022" i="45"/>
  <c r="I3023" i="45"/>
  <c r="I3024" i="45"/>
  <c r="I3025" i="45"/>
  <c r="I3026" i="45"/>
  <c r="I3027" i="45"/>
  <c r="I3028" i="45"/>
  <c r="I3029" i="45"/>
  <c r="I3030" i="45"/>
  <c r="I3031" i="45"/>
  <c r="I3032" i="45"/>
  <c r="I3033" i="45"/>
  <c r="I3034" i="45"/>
  <c r="I3035" i="45"/>
  <c r="I3036" i="45"/>
  <c r="I3037" i="45"/>
  <c r="I3038" i="45"/>
  <c r="I3039" i="45"/>
  <c r="I3040" i="45"/>
  <c r="I3041" i="45"/>
  <c r="I3042" i="45"/>
  <c r="I3043" i="45"/>
  <c r="I3044" i="45"/>
  <c r="I3045" i="45"/>
  <c r="I3046" i="45"/>
  <c r="I3047" i="45"/>
  <c r="I3048" i="45"/>
  <c r="I3049" i="45"/>
  <c r="I3050" i="45"/>
  <c r="I3051" i="45"/>
  <c r="I3052" i="45"/>
  <c r="I3053" i="45"/>
  <c r="I3054" i="45"/>
  <c r="I3055" i="45"/>
  <c r="I3056" i="45"/>
  <c r="I3057" i="45"/>
  <c r="I3058" i="45"/>
  <c r="I3059" i="45"/>
  <c r="I3060" i="45"/>
  <c r="I3061" i="45"/>
  <c r="I3062" i="45"/>
  <c r="I3063" i="45"/>
  <c r="I3064" i="45"/>
  <c r="I3065" i="45"/>
  <c r="I3066" i="45"/>
  <c r="I3067" i="45"/>
  <c r="I3068" i="45"/>
  <c r="I3069" i="45"/>
  <c r="I3070" i="45"/>
  <c r="I3071" i="45"/>
  <c r="I3072" i="45"/>
  <c r="I3073" i="45"/>
  <c r="I3074" i="45"/>
  <c r="I3075" i="45"/>
  <c r="I3076" i="45"/>
  <c r="I3077" i="45"/>
  <c r="I3078" i="45"/>
  <c r="I3079" i="45"/>
  <c r="I3080" i="45"/>
  <c r="I3081" i="45"/>
  <c r="I3082" i="45"/>
  <c r="I3083" i="45"/>
  <c r="I3084" i="45"/>
  <c r="I3085" i="45"/>
  <c r="I3086" i="45"/>
  <c r="I3087" i="45"/>
  <c r="I3088" i="45"/>
  <c r="I3089" i="45"/>
  <c r="I3090" i="45"/>
  <c r="I3091" i="45"/>
  <c r="I3092" i="45"/>
  <c r="I3093" i="45"/>
  <c r="I3094" i="45"/>
  <c r="I3095" i="45"/>
  <c r="I3096" i="45"/>
  <c r="I3097" i="45"/>
  <c r="I3098" i="45"/>
  <c r="I3099" i="45"/>
  <c r="I3100" i="45"/>
  <c r="I3101" i="45"/>
  <c r="I3102" i="45"/>
  <c r="I3103" i="45"/>
  <c r="I3104" i="45"/>
  <c r="I3105" i="45"/>
  <c r="I3106" i="45"/>
  <c r="I3107" i="45"/>
  <c r="I3108" i="45"/>
  <c r="I3109" i="45"/>
  <c r="I3110" i="45"/>
  <c r="I3111" i="45"/>
  <c r="I3112" i="45"/>
  <c r="I3113" i="45"/>
  <c r="I3114" i="45"/>
  <c r="I3115" i="45"/>
  <c r="I3116" i="45"/>
  <c r="I3117" i="45"/>
  <c r="I3118" i="45"/>
  <c r="I3119" i="45"/>
  <c r="I3120" i="45"/>
  <c r="I3121" i="45"/>
  <c r="I3122" i="45"/>
  <c r="I3123" i="45"/>
  <c r="I3124" i="45"/>
  <c r="I3125" i="45"/>
  <c r="I3126" i="45"/>
  <c r="I3127" i="45"/>
  <c r="I3128" i="45"/>
  <c r="I3129" i="45"/>
  <c r="I3130" i="45"/>
  <c r="I3131" i="45"/>
  <c r="I3132" i="45"/>
  <c r="I3133" i="45"/>
  <c r="I3134" i="45"/>
  <c r="I3135" i="45"/>
  <c r="I3136" i="45"/>
  <c r="I3137" i="45"/>
  <c r="I3138" i="45"/>
  <c r="I3139" i="45"/>
  <c r="I3140" i="45"/>
  <c r="I3141" i="45"/>
  <c r="I3142" i="45"/>
  <c r="I3143" i="45"/>
  <c r="I3144" i="45"/>
  <c r="I3145" i="45"/>
  <c r="I3146" i="45"/>
  <c r="I3147" i="45"/>
  <c r="I3148" i="45"/>
  <c r="I3149" i="45"/>
  <c r="I3150" i="45"/>
  <c r="I3151" i="45"/>
  <c r="I3152" i="45"/>
  <c r="I3153" i="45"/>
  <c r="I3154" i="45"/>
  <c r="I3155" i="45"/>
  <c r="I3156" i="45"/>
  <c r="I3157" i="45"/>
  <c r="I3158" i="45"/>
  <c r="I3159" i="45"/>
  <c r="I3160" i="45"/>
  <c r="I3161" i="45"/>
  <c r="I3162" i="45"/>
  <c r="I3163" i="45"/>
  <c r="I3164" i="45"/>
  <c r="I3165" i="45"/>
  <c r="I3166" i="45"/>
  <c r="I3167" i="45"/>
  <c r="I3168" i="45"/>
  <c r="I3169" i="45"/>
  <c r="I3170" i="45"/>
  <c r="I3171" i="45"/>
  <c r="I3172" i="45"/>
  <c r="I3173" i="45"/>
  <c r="I3174" i="45"/>
  <c r="I3175" i="45"/>
  <c r="I3176" i="45"/>
  <c r="I3177" i="45"/>
  <c r="I3178" i="45"/>
  <c r="I3179" i="45"/>
  <c r="I3180" i="45"/>
  <c r="I3181" i="45"/>
  <c r="I3182" i="45"/>
  <c r="I3183" i="45"/>
  <c r="I3184" i="45"/>
  <c r="I3185" i="45"/>
  <c r="I3186" i="45"/>
  <c r="I3187" i="45"/>
  <c r="I3188" i="45"/>
  <c r="I3189" i="45"/>
  <c r="I3190" i="45"/>
  <c r="I3191" i="45"/>
  <c r="I3192" i="45"/>
  <c r="I3193" i="45"/>
  <c r="I3194" i="45"/>
  <c r="I3195" i="45"/>
  <c r="I3196" i="45"/>
  <c r="I3197" i="45"/>
  <c r="I3198" i="45"/>
  <c r="I3199" i="45"/>
  <c r="I3200" i="45"/>
  <c r="I3201" i="45"/>
  <c r="I3202" i="45"/>
  <c r="I3203" i="45"/>
  <c r="I3204" i="45"/>
  <c r="I3205" i="45"/>
  <c r="I3206" i="45"/>
  <c r="I3207" i="45"/>
  <c r="I3208" i="45"/>
  <c r="I3209" i="45"/>
  <c r="I3210" i="45"/>
  <c r="I3211" i="45"/>
  <c r="I3212" i="45"/>
  <c r="I3213" i="45"/>
  <c r="I3214" i="45"/>
  <c r="I3215" i="45"/>
  <c r="I3216" i="45"/>
  <c r="I3217" i="45"/>
  <c r="I3218" i="45"/>
  <c r="I3219" i="45"/>
  <c r="I3220" i="45"/>
  <c r="I3221" i="45"/>
  <c r="I3222" i="45"/>
  <c r="I3223" i="45"/>
  <c r="I3224" i="45"/>
  <c r="I3225" i="45"/>
  <c r="I3226" i="45"/>
  <c r="I3227" i="45"/>
  <c r="I3228" i="45"/>
  <c r="I3229" i="45"/>
  <c r="I3230" i="45"/>
  <c r="I3231" i="45"/>
  <c r="I3232" i="45"/>
  <c r="I3233" i="45"/>
  <c r="I3234" i="45"/>
  <c r="I3235" i="45"/>
  <c r="I3236" i="45"/>
  <c r="I3237" i="45"/>
  <c r="I3238" i="45"/>
  <c r="I3239" i="45"/>
  <c r="I3240" i="45"/>
  <c r="I3241" i="45"/>
  <c r="I3242" i="45"/>
  <c r="I3243" i="45"/>
  <c r="I3244" i="45"/>
  <c r="I3245" i="45"/>
  <c r="I3246" i="45"/>
  <c r="I3247" i="45"/>
  <c r="I3248" i="45"/>
  <c r="I3249" i="45"/>
  <c r="I3250" i="45"/>
  <c r="I3251" i="45"/>
  <c r="I3252" i="45"/>
  <c r="I3253" i="45"/>
  <c r="I3254" i="45"/>
  <c r="I3255" i="45"/>
  <c r="I3256" i="45"/>
  <c r="I3257" i="45"/>
  <c r="I3258" i="45"/>
  <c r="I3259" i="45"/>
  <c r="I3260" i="45"/>
  <c r="I3261" i="45"/>
  <c r="I3262" i="45"/>
  <c r="I3263" i="45"/>
  <c r="I3264" i="45"/>
  <c r="I3265" i="45"/>
  <c r="I3266" i="45"/>
  <c r="I3267" i="45"/>
  <c r="I3268" i="45"/>
  <c r="I3269" i="45"/>
  <c r="I3270" i="45"/>
  <c r="I3271" i="45"/>
  <c r="I3272" i="45"/>
  <c r="I3273" i="45"/>
  <c r="I3274" i="45"/>
  <c r="I3275" i="45"/>
  <c r="I3276" i="45"/>
  <c r="I3277" i="45"/>
  <c r="I3278" i="45"/>
  <c r="I3279" i="45"/>
  <c r="I3280" i="45"/>
  <c r="I3281" i="45"/>
  <c r="I3282" i="45"/>
  <c r="I3283" i="45"/>
  <c r="I3284" i="45"/>
  <c r="I3285" i="45"/>
  <c r="I3286" i="45"/>
  <c r="I3287" i="45"/>
  <c r="I3288" i="45"/>
  <c r="I3289" i="45"/>
  <c r="I3290" i="45"/>
  <c r="I3291" i="45"/>
  <c r="I3292" i="45"/>
  <c r="I3293" i="45"/>
  <c r="I3294" i="45"/>
  <c r="I3295" i="45"/>
  <c r="I3296" i="45"/>
  <c r="I3297" i="45"/>
  <c r="I3298" i="45"/>
  <c r="I3299" i="45"/>
  <c r="I3300" i="45"/>
  <c r="I3301" i="45"/>
  <c r="I3302" i="45"/>
  <c r="I3303" i="45"/>
  <c r="I3304" i="45"/>
  <c r="I3305" i="45"/>
  <c r="I3306" i="45"/>
  <c r="I3307" i="45"/>
  <c r="I3308" i="45"/>
  <c r="I3309" i="45"/>
  <c r="I3310" i="45"/>
  <c r="I3311" i="45"/>
  <c r="I3312" i="45"/>
  <c r="I3313" i="45"/>
  <c r="I3314" i="45"/>
  <c r="I3315" i="45"/>
  <c r="I3316" i="45"/>
  <c r="I3317" i="45"/>
  <c r="I3318" i="45"/>
  <c r="I3319" i="45"/>
  <c r="I3320" i="45"/>
  <c r="I3321" i="45"/>
  <c r="I3322" i="45"/>
  <c r="I3323" i="45"/>
  <c r="I3324" i="45"/>
  <c r="I3325" i="45"/>
  <c r="I3326" i="45"/>
  <c r="I3327" i="45"/>
  <c r="I3328" i="45"/>
  <c r="I3329" i="45"/>
  <c r="I3330" i="45"/>
  <c r="I3331" i="45"/>
  <c r="I3332" i="45"/>
  <c r="I3333" i="45"/>
  <c r="I3334" i="45"/>
  <c r="I3335" i="45"/>
  <c r="I3336" i="45"/>
  <c r="I3337" i="45"/>
  <c r="I3338" i="45"/>
  <c r="I3339" i="45"/>
  <c r="I3340" i="45"/>
  <c r="I3341" i="45"/>
  <c r="I3342" i="45"/>
  <c r="I3343" i="45"/>
  <c r="I3344" i="45"/>
  <c r="I3345" i="45"/>
  <c r="I3346" i="45"/>
  <c r="I3347" i="45"/>
  <c r="I3348" i="45"/>
  <c r="I3349" i="45"/>
  <c r="I3350" i="45"/>
  <c r="I3351" i="45"/>
  <c r="I3352" i="45"/>
  <c r="I3353" i="45"/>
  <c r="I3354" i="45"/>
  <c r="I3355" i="45"/>
  <c r="I3356" i="45"/>
  <c r="I3357" i="45"/>
  <c r="I3358" i="45"/>
  <c r="I3359" i="45"/>
  <c r="I3360" i="45"/>
  <c r="I3361" i="45"/>
  <c r="I3362" i="45"/>
  <c r="I3363" i="45"/>
  <c r="I3364" i="45"/>
  <c r="I3365" i="45"/>
  <c r="I3366" i="45"/>
  <c r="I3367" i="45"/>
  <c r="I3368" i="45"/>
  <c r="I3369" i="45"/>
  <c r="I3370" i="45"/>
  <c r="I3371" i="45"/>
  <c r="I3372" i="45"/>
  <c r="I3373" i="45"/>
  <c r="I3374" i="45"/>
  <c r="I3375" i="45"/>
  <c r="I3376" i="45"/>
  <c r="I3377" i="45"/>
  <c r="I3378" i="45"/>
  <c r="I3379" i="45"/>
  <c r="I3380" i="45"/>
  <c r="I3381" i="45"/>
  <c r="I3382" i="45"/>
  <c r="I3383" i="45"/>
  <c r="I3384" i="45"/>
  <c r="I3385" i="45"/>
  <c r="I3386" i="45"/>
  <c r="I3387" i="45"/>
  <c r="I3388" i="45"/>
  <c r="I3389" i="45"/>
  <c r="I3390" i="45"/>
  <c r="I3391" i="45"/>
  <c r="I3392" i="45"/>
  <c r="I3393" i="45"/>
  <c r="I3394" i="45"/>
  <c r="I3395" i="45"/>
  <c r="I3396" i="45"/>
  <c r="I3397" i="45"/>
  <c r="I3398" i="45"/>
  <c r="I3399" i="45"/>
  <c r="I3400" i="45"/>
  <c r="I3401" i="45"/>
  <c r="I3402" i="45"/>
  <c r="I3403" i="45"/>
  <c r="I3404" i="45"/>
  <c r="I3405" i="45"/>
  <c r="I3406" i="45"/>
  <c r="I3407" i="45"/>
  <c r="I3408" i="45"/>
  <c r="I3409" i="45"/>
  <c r="I3410" i="45"/>
  <c r="I3411" i="45"/>
  <c r="I3412" i="45"/>
  <c r="I3413" i="45"/>
  <c r="I3414" i="45"/>
  <c r="I3415" i="45"/>
  <c r="I3416" i="45"/>
  <c r="I3417" i="45"/>
  <c r="I3418" i="45"/>
  <c r="I3419" i="45"/>
  <c r="I3420" i="45"/>
  <c r="I3421" i="45"/>
  <c r="I3422" i="45"/>
  <c r="I3423" i="45"/>
  <c r="I3424" i="45"/>
  <c r="I3425" i="45"/>
  <c r="I3426" i="45"/>
  <c r="I3427" i="45"/>
  <c r="I3428" i="45"/>
  <c r="I3429" i="45"/>
  <c r="I3430" i="45"/>
  <c r="I3431" i="45"/>
  <c r="I3432" i="45"/>
  <c r="I3433" i="45"/>
  <c r="I3434" i="45"/>
  <c r="I3435" i="45"/>
  <c r="I3436" i="45"/>
  <c r="I3437" i="45"/>
  <c r="I3438" i="45"/>
  <c r="I3439" i="45"/>
  <c r="I3440" i="45"/>
  <c r="I3441" i="45"/>
  <c r="I3442" i="45"/>
  <c r="I3443" i="45"/>
  <c r="I3444" i="45"/>
  <c r="I3445" i="45"/>
  <c r="I3446" i="45"/>
  <c r="I3447" i="45"/>
  <c r="I3448" i="45"/>
  <c r="I3449" i="45"/>
  <c r="I3450" i="45"/>
  <c r="I3451" i="45"/>
  <c r="I3452" i="45"/>
  <c r="I3453" i="45"/>
  <c r="I3454" i="45"/>
  <c r="I3455" i="45"/>
  <c r="I3456" i="45"/>
  <c r="I3457" i="45"/>
  <c r="I3458" i="45"/>
  <c r="I3459" i="45"/>
  <c r="I3460" i="45"/>
  <c r="I3461" i="45"/>
  <c r="I3462" i="45"/>
  <c r="I3463" i="45"/>
  <c r="I3464" i="45"/>
  <c r="I3465" i="45"/>
  <c r="I3466" i="45"/>
  <c r="I3467" i="45"/>
  <c r="I3468" i="45"/>
  <c r="I3469" i="45"/>
  <c r="I3470" i="45"/>
  <c r="I3471" i="45"/>
  <c r="I3472" i="45"/>
  <c r="I3473" i="45"/>
  <c r="I3474" i="45"/>
  <c r="I3475" i="45"/>
  <c r="I3476" i="45"/>
  <c r="I3477" i="45"/>
  <c r="I3478" i="45"/>
  <c r="O2830" i="45"/>
  <c r="O2831" i="45"/>
  <c r="O2832" i="45"/>
  <c r="O2833" i="45"/>
  <c r="O2834" i="45"/>
  <c r="O2835" i="45"/>
  <c r="O2836" i="45"/>
  <c r="O2837" i="45"/>
  <c r="O2838" i="45"/>
  <c r="O2839" i="45"/>
  <c r="O2840" i="45"/>
  <c r="O2841" i="45"/>
  <c r="O2842" i="45"/>
  <c r="O2843" i="45"/>
  <c r="O2844" i="45"/>
  <c r="O2845" i="45"/>
  <c r="O2846" i="45"/>
  <c r="O2847" i="45"/>
  <c r="O2848" i="45"/>
  <c r="O2849" i="45"/>
  <c r="O2850" i="45"/>
  <c r="O2851" i="45"/>
  <c r="O2852" i="45"/>
  <c r="O2853" i="45"/>
  <c r="O2854" i="45"/>
  <c r="O2855" i="45"/>
  <c r="O2856" i="45"/>
  <c r="O2857" i="45"/>
  <c r="O2858" i="45"/>
  <c r="O2859" i="45"/>
  <c r="O2860" i="45"/>
  <c r="O2861" i="45"/>
  <c r="O2862" i="45"/>
  <c r="O2863" i="45"/>
  <c r="O2864" i="45"/>
  <c r="O2865" i="45"/>
  <c r="O2866" i="45"/>
  <c r="O2867" i="45"/>
  <c r="O2868" i="45"/>
  <c r="O2869" i="45"/>
  <c r="O2870" i="45"/>
  <c r="O2871" i="45"/>
  <c r="O2872" i="45"/>
  <c r="O2873" i="45"/>
  <c r="O2874" i="45"/>
  <c r="O2875" i="45"/>
  <c r="O2876" i="45"/>
  <c r="O2877" i="45"/>
  <c r="O2878" i="45"/>
  <c r="O2879" i="45"/>
  <c r="O2880" i="45"/>
  <c r="O2881" i="45"/>
  <c r="O2882" i="45"/>
  <c r="O2883" i="45"/>
  <c r="O2884" i="45"/>
  <c r="O2885" i="45"/>
  <c r="O2886" i="45"/>
  <c r="O2887" i="45"/>
  <c r="O2888" i="45"/>
  <c r="O2889" i="45"/>
  <c r="O2890" i="45"/>
  <c r="O2891" i="45"/>
  <c r="O2892" i="45"/>
  <c r="O2893" i="45"/>
  <c r="O2894" i="45"/>
  <c r="O2895" i="45"/>
  <c r="O2896" i="45"/>
  <c r="O2897" i="45"/>
  <c r="O2898" i="45"/>
  <c r="O2899" i="45"/>
  <c r="O2900" i="45"/>
  <c r="O2901" i="45"/>
  <c r="O2902" i="45"/>
  <c r="O2903" i="45"/>
  <c r="O2904" i="45"/>
  <c r="O2905" i="45"/>
  <c r="O2906" i="45"/>
  <c r="O2907" i="45"/>
  <c r="O2908" i="45"/>
  <c r="O2909" i="45"/>
  <c r="O2910" i="45"/>
  <c r="O2911" i="45"/>
  <c r="O2912" i="45"/>
  <c r="O2913" i="45"/>
  <c r="O2914" i="45"/>
  <c r="O2915" i="45"/>
  <c r="O2916" i="45"/>
  <c r="O2917" i="45"/>
  <c r="O2918" i="45"/>
  <c r="O2919" i="45"/>
  <c r="O2920" i="45"/>
  <c r="O2921" i="45"/>
  <c r="O2922" i="45"/>
  <c r="O2923" i="45"/>
  <c r="O2924" i="45"/>
  <c r="O2925" i="45"/>
  <c r="O2926" i="45"/>
  <c r="O2927" i="45"/>
  <c r="O2928" i="45"/>
  <c r="O2929" i="45"/>
  <c r="O2930" i="45"/>
  <c r="O2931" i="45"/>
  <c r="O2932" i="45"/>
  <c r="O2933" i="45"/>
  <c r="O2934" i="45"/>
  <c r="O2935" i="45"/>
  <c r="O2936" i="45"/>
  <c r="O2937" i="45"/>
  <c r="O2938" i="45"/>
  <c r="O2939" i="45"/>
  <c r="O2940" i="45"/>
  <c r="O2941" i="45"/>
  <c r="O2942" i="45"/>
  <c r="O2943" i="45"/>
  <c r="O2944" i="45"/>
  <c r="O2945" i="45"/>
  <c r="O2946" i="45"/>
  <c r="O2947" i="45"/>
  <c r="O2948" i="45"/>
  <c r="O2949" i="45"/>
  <c r="O2950" i="45"/>
  <c r="O2951" i="45"/>
  <c r="O2952" i="45"/>
  <c r="O2953" i="45"/>
  <c r="O2954" i="45"/>
  <c r="O2955" i="45"/>
  <c r="O2956" i="45"/>
  <c r="O2957" i="45"/>
  <c r="O2958" i="45"/>
  <c r="O2959" i="45"/>
  <c r="O2960" i="45"/>
  <c r="O2961" i="45"/>
  <c r="O2962" i="45"/>
  <c r="O2963" i="45"/>
  <c r="O2964" i="45"/>
  <c r="O2965" i="45"/>
  <c r="O2966" i="45"/>
  <c r="O2967" i="45"/>
  <c r="O2968" i="45"/>
  <c r="O2969" i="45"/>
  <c r="O2970" i="45"/>
  <c r="O2971" i="45"/>
  <c r="O2972" i="45"/>
  <c r="O2973" i="45"/>
  <c r="O2974" i="45"/>
  <c r="O2975" i="45"/>
  <c r="O2976" i="45"/>
  <c r="O2977" i="45"/>
  <c r="O2978" i="45"/>
  <c r="O2979" i="45"/>
  <c r="O2980" i="45"/>
  <c r="O2981" i="45"/>
  <c r="O2982" i="45"/>
  <c r="O2983" i="45"/>
  <c r="O2984" i="45"/>
  <c r="O2985" i="45"/>
  <c r="O2986" i="45"/>
  <c r="O2987" i="45"/>
  <c r="O2988" i="45"/>
  <c r="O2989" i="45"/>
  <c r="O2990" i="45"/>
  <c r="O2991" i="45"/>
  <c r="O2992" i="45"/>
  <c r="O2993" i="45"/>
  <c r="O2994" i="45"/>
  <c r="O2995" i="45"/>
  <c r="O2996" i="45"/>
  <c r="O2997" i="45"/>
  <c r="O2998" i="45"/>
  <c r="O2999" i="45"/>
  <c r="O3000" i="45"/>
  <c r="O3001" i="45"/>
  <c r="O3002" i="45"/>
  <c r="O3003" i="45"/>
  <c r="O3004" i="45"/>
  <c r="O3005" i="45"/>
  <c r="O3006" i="45"/>
  <c r="O3007" i="45"/>
  <c r="O3008" i="45"/>
  <c r="O3009" i="45"/>
  <c r="O3010" i="45"/>
  <c r="O3011" i="45"/>
  <c r="O3012" i="45"/>
  <c r="O3013" i="45"/>
  <c r="O3014" i="45"/>
  <c r="O3015" i="45"/>
  <c r="O3016" i="45"/>
  <c r="O3017" i="45"/>
  <c r="O3018" i="45"/>
  <c r="O3019" i="45"/>
  <c r="O3020" i="45"/>
  <c r="O3021" i="45"/>
  <c r="O3022" i="45"/>
  <c r="O3023" i="45"/>
  <c r="O3024" i="45"/>
  <c r="O3025" i="45"/>
  <c r="O3026" i="45"/>
  <c r="O3027" i="45"/>
  <c r="O3028" i="45"/>
  <c r="O3029" i="45"/>
  <c r="O3030" i="45"/>
  <c r="O3031" i="45"/>
  <c r="O3032" i="45"/>
  <c r="O3033" i="45"/>
  <c r="O3034" i="45"/>
  <c r="O3035" i="45"/>
  <c r="O3036" i="45"/>
  <c r="O3037" i="45"/>
  <c r="O3038" i="45"/>
  <c r="O3039" i="45"/>
  <c r="O3040" i="45"/>
  <c r="O3041" i="45"/>
  <c r="O3042" i="45"/>
  <c r="O3043" i="45"/>
  <c r="O3044" i="45"/>
  <c r="O3045" i="45"/>
  <c r="O3046" i="45"/>
  <c r="O3047" i="45"/>
  <c r="O3048" i="45"/>
  <c r="O3049" i="45"/>
  <c r="O3050" i="45"/>
  <c r="O3051" i="45"/>
  <c r="O3052" i="45"/>
  <c r="O3053" i="45"/>
  <c r="O3054" i="45"/>
  <c r="O3055" i="45"/>
  <c r="O3056" i="45"/>
  <c r="O3057" i="45"/>
  <c r="O3058" i="45"/>
  <c r="O3059" i="45"/>
  <c r="O3060" i="45"/>
  <c r="O3061" i="45"/>
  <c r="O3062" i="45"/>
  <c r="O3063" i="45"/>
  <c r="O3064" i="45"/>
  <c r="O3065" i="45"/>
  <c r="O3066" i="45"/>
  <c r="O3067" i="45"/>
  <c r="O3068" i="45"/>
  <c r="O3069" i="45"/>
  <c r="O3070" i="45"/>
  <c r="O3071" i="45"/>
  <c r="O3072" i="45"/>
  <c r="O3073" i="45"/>
  <c r="O3074" i="45"/>
  <c r="O3075" i="45"/>
  <c r="O3076" i="45"/>
  <c r="O3077" i="45"/>
  <c r="O3078" i="45"/>
  <c r="O3079" i="45"/>
  <c r="O3080" i="45"/>
  <c r="O3081" i="45"/>
  <c r="O3082" i="45"/>
  <c r="O3083" i="45"/>
  <c r="O3084" i="45"/>
  <c r="O3085" i="45"/>
  <c r="O3086" i="45"/>
  <c r="O3087" i="45"/>
  <c r="O3088" i="45"/>
  <c r="O3089" i="45"/>
  <c r="O3090" i="45"/>
  <c r="O3091" i="45"/>
  <c r="O3092" i="45"/>
  <c r="O3093" i="45"/>
  <c r="O3094" i="45"/>
  <c r="O3095" i="45"/>
  <c r="O3096" i="45"/>
  <c r="O3097" i="45"/>
  <c r="O3098" i="45"/>
  <c r="O3099" i="45"/>
  <c r="O3100" i="45"/>
  <c r="O3101" i="45"/>
  <c r="O3102" i="45"/>
  <c r="O3103" i="45"/>
  <c r="O3104" i="45"/>
  <c r="O3105" i="45"/>
  <c r="O3106" i="45"/>
  <c r="O3107" i="45"/>
  <c r="O3108" i="45"/>
  <c r="O3109" i="45"/>
  <c r="O3110" i="45"/>
  <c r="O3111" i="45"/>
  <c r="O3112" i="45"/>
  <c r="O3113" i="45"/>
  <c r="O3114" i="45"/>
  <c r="O3115" i="45"/>
  <c r="O3116" i="45"/>
  <c r="O3117" i="45"/>
  <c r="O3118" i="45"/>
  <c r="O3119" i="45"/>
  <c r="O3120" i="45"/>
  <c r="O3121" i="45"/>
  <c r="O3122" i="45"/>
  <c r="O3123" i="45"/>
  <c r="O3124" i="45"/>
  <c r="O3125" i="45"/>
  <c r="O3126" i="45"/>
  <c r="O3127" i="45"/>
  <c r="O3128" i="45"/>
  <c r="O3129" i="45"/>
  <c r="O3130" i="45"/>
  <c r="O3131" i="45"/>
  <c r="O3132" i="45"/>
  <c r="O3133" i="45"/>
  <c r="O3134" i="45"/>
  <c r="O3135" i="45"/>
  <c r="O3136" i="45"/>
  <c r="O3137" i="45"/>
  <c r="O3138" i="45"/>
  <c r="O3139" i="45"/>
  <c r="O3140" i="45"/>
  <c r="O3141" i="45"/>
  <c r="O3142" i="45"/>
  <c r="O3143" i="45"/>
  <c r="O3144" i="45"/>
  <c r="O3145" i="45"/>
  <c r="O3146" i="45"/>
  <c r="O3147" i="45"/>
  <c r="O3148" i="45"/>
  <c r="O3149" i="45"/>
  <c r="O3150" i="45"/>
  <c r="O3151" i="45"/>
  <c r="O3152" i="45"/>
  <c r="O3153" i="45"/>
  <c r="O3154" i="45"/>
  <c r="O3155" i="45"/>
  <c r="O3156" i="45"/>
  <c r="O3157" i="45"/>
  <c r="O3158" i="45"/>
  <c r="O3159" i="45"/>
  <c r="O3160" i="45"/>
  <c r="O3161" i="45"/>
  <c r="O3162" i="45"/>
  <c r="O3163" i="45"/>
  <c r="O3164" i="45"/>
  <c r="O3165" i="45"/>
  <c r="O3166" i="45"/>
  <c r="O3167" i="45"/>
  <c r="O3168" i="45"/>
  <c r="O3169" i="45"/>
  <c r="O3170" i="45"/>
  <c r="O3171" i="45"/>
  <c r="O3172" i="45"/>
  <c r="O3173" i="45"/>
  <c r="O3174" i="45"/>
  <c r="O3175" i="45"/>
  <c r="O3176" i="45"/>
  <c r="O3177" i="45"/>
  <c r="O3178" i="45"/>
  <c r="O3179" i="45"/>
  <c r="O3180" i="45"/>
  <c r="O3181" i="45"/>
  <c r="O3182" i="45"/>
  <c r="O3183" i="45"/>
  <c r="O3184" i="45"/>
  <c r="O3185" i="45"/>
  <c r="O3186" i="45"/>
  <c r="O3187" i="45"/>
  <c r="O3188" i="45"/>
  <c r="O3189" i="45"/>
  <c r="O3190" i="45"/>
  <c r="O3191" i="45"/>
  <c r="O3192" i="45"/>
  <c r="O3193" i="45"/>
  <c r="O3194" i="45"/>
  <c r="O3195" i="45"/>
  <c r="O3196" i="45"/>
  <c r="O3197" i="45"/>
  <c r="O3198" i="45"/>
  <c r="O3199" i="45"/>
  <c r="O3200" i="45"/>
  <c r="O3201" i="45"/>
  <c r="O3202" i="45"/>
  <c r="O3203" i="45"/>
  <c r="O3204" i="45"/>
  <c r="O3205" i="45"/>
  <c r="O3206" i="45"/>
  <c r="O3207" i="45"/>
  <c r="O3208" i="45"/>
  <c r="O3209" i="45"/>
  <c r="O3210" i="45"/>
  <c r="O3211" i="45"/>
  <c r="O3212" i="45"/>
  <c r="O3213" i="45"/>
  <c r="O3214" i="45"/>
  <c r="O3215" i="45"/>
  <c r="O3216" i="45"/>
  <c r="O3217" i="45"/>
  <c r="O3218" i="45"/>
  <c r="O3219" i="45"/>
  <c r="O3220" i="45"/>
  <c r="O3221" i="45"/>
  <c r="O3222" i="45"/>
  <c r="O3223" i="45"/>
  <c r="O3224" i="45"/>
  <c r="O3225" i="45"/>
  <c r="O3226" i="45"/>
  <c r="O3227" i="45"/>
  <c r="O3228" i="45"/>
  <c r="O3229" i="45"/>
  <c r="O3230" i="45"/>
  <c r="O3231" i="45"/>
  <c r="O3232" i="45"/>
  <c r="O3233" i="45"/>
  <c r="O3234" i="45"/>
  <c r="O3235" i="45"/>
  <c r="O3236" i="45"/>
  <c r="O3237" i="45"/>
  <c r="O3238" i="45"/>
  <c r="O3239" i="45"/>
  <c r="O3240" i="45"/>
  <c r="O3241" i="45"/>
  <c r="O3242" i="45"/>
  <c r="O3243" i="45"/>
  <c r="O3244" i="45"/>
  <c r="O3245" i="45"/>
  <c r="O3246" i="45"/>
  <c r="O3247" i="45"/>
  <c r="O3248" i="45"/>
  <c r="O3249" i="45"/>
  <c r="O3250" i="45"/>
  <c r="O3251" i="45"/>
  <c r="O3252" i="45"/>
  <c r="O3253" i="45"/>
  <c r="O3254" i="45"/>
  <c r="O3255" i="45"/>
  <c r="O3256" i="45"/>
  <c r="O3257" i="45"/>
  <c r="O3258" i="45"/>
  <c r="O3259" i="45"/>
  <c r="O3260" i="45"/>
  <c r="O3261" i="45"/>
  <c r="O3262" i="45"/>
  <c r="O3263" i="45"/>
  <c r="O3264" i="45"/>
  <c r="O3265" i="45"/>
  <c r="O3266" i="45"/>
  <c r="O3267" i="45"/>
  <c r="O3268" i="45"/>
  <c r="O3269" i="45"/>
  <c r="O3270" i="45"/>
  <c r="O3271" i="45"/>
  <c r="O3272" i="45"/>
  <c r="O3273" i="45"/>
  <c r="O3274" i="45"/>
  <c r="O3275" i="45"/>
  <c r="O3276" i="45"/>
  <c r="O3277" i="45"/>
  <c r="O3278" i="45"/>
  <c r="O3279" i="45"/>
  <c r="O3280" i="45"/>
  <c r="O3281" i="45"/>
  <c r="O3282" i="45"/>
  <c r="O3283" i="45"/>
  <c r="O3284" i="45"/>
  <c r="O3285" i="45"/>
  <c r="O3286" i="45"/>
  <c r="O3287" i="45"/>
  <c r="O3288" i="45"/>
  <c r="O3289" i="45"/>
  <c r="O3290" i="45"/>
  <c r="O3291" i="45"/>
  <c r="O3292" i="45"/>
  <c r="O3293" i="45"/>
  <c r="O3294" i="45"/>
  <c r="O3295" i="45"/>
  <c r="O3296" i="45"/>
  <c r="O3297" i="45"/>
  <c r="O3298" i="45"/>
  <c r="O3299" i="45"/>
  <c r="O3300" i="45"/>
  <c r="O3301" i="45"/>
  <c r="O3302" i="45"/>
  <c r="O3303" i="45"/>
  <c r="O3304" i="45"/>
  <c r="O3305" i="45"/>
  <c r="O3306" i="45"/>
  <c r="O3307" i="45"/>
  <c r="O3308" i="45"/>
  <c r="O3309" i="45"/>
  <c r="O3310" i="45"/>
  <c r="O3311" i="45"/>
  <c r="O3312" i="45"/>
  <c r="O3313" i="45"/>
  <c r="O3314" i="45"/>
  <c r="O3315" i="45"/>
  <c r="O3316" i="45"/>
  <c r="O3317" i="45"/>
  <c r="O3318" i="45"/>
  <c r="O3319" i="45"/>
  <c r="O3320" i="45"/>
  <c r="O3321" i="45"/>
  <c r="O3322" i="45"/>
  <c r="O3323" i="45"/>
  <c r="O3324" i="45"/>
  <c r="O3325" i="45"/>
  <c r="O3326" i="45"/>
  <c r="O3327" i="45"/>
  <c r="O3328" i="45"/>
  <c r="O3329" i="45"/>
  <c r="O3330" i="45"/>
  <c r="O3331" i="45"/>
  <c r="O3332" i="45"/>
  <c r="O3333" i="45"/>
  <c r="O3334" i="45"/>
  <c r="O3335" i="45"/>
  <c r="O3336" i="45"/>
  <c r="O3337" i="45"/>
  <c r="O3338" i="45"/>
  <c r="O3339" i="45"/>
  <c r="O3340" i="45"/>
  <c r="O3341" i="45"/>
  <c r="O3342" i="45"/>
  <c r="O3343" i="45"/>
  <c r="O3344" i="45"/>
  <c r="O3345" i="45"/>
  <c r="O3346" i="45"/>
  <c r="O3347" i="45"/>
  <c r="O3348" i="45"/>
  <c r="O3349" i="45"/>
  <c r="O3350" i="45"/>
  <c r="O3351" i="45"/>
  <c r="O3352" i="45"/>
  <c r="O3353" i="45"/>
  <c r="O3354" i="45"/>
  <c r="O3355" i="45"/>
  <c r="O3356" i="45"/>
  <c r="O3357" i="45"/>
  <c r="O3358" i="45"/>
  <c r="O3359" i="45"/>
  <c r="O3360" i="45"/>
  <c r="O3361" i="45"/>
  <c r="O3362" i="45"/>
  <c r="O3363" i="45"/>
  <c r="O3364" i="45"/>
  <c r="O3365" i="45"/>
  <c r="O3366" i="45"/>
  <c r="O3367" i="45"/>
  <c r="O3368" i="45"/>
  <c r="O3369" i="45"/>
  <c r="O3370" i="45"/>
  <c r="O3371" i="45"/>
  <c r="O3372" i="45"/>
  <c r="O3373" i="45"/>
  <c r="O3374" i="45"/>
  <c r="O3375" i="45"/>
  <c r="O3376" i="45"/>
  <c r="O3377" i="45"/>
  <c r="O3378" i="45"/>
  <c r="O3379" i="45"/>
  <c r="O3380" i="45"/>
  <c r="O3381" i="45"/>
  <c r="O3382" i="45"/>
  <c r="O3383" i="45"/>
  <c r="O3384" i="45"/>
  <c r="O3385" i="45"/>
  <c r="O3386" i="45"/>
  <c r="O3387" i="45"/>
  <c r="O3388" i="45"/>
  <c r="O3389" i="45"/>
  <c r="O3390" i="45"/>
  <c r="O3391" i="45"/>
  <c r="O3392" i="45"/>
  <c r="O3393" i="45"/>
  <c r="O3394" i="45"/>
  <c r="O3395" i="45"/>
  <c r="O3396" i="45"/>
  <c r="O3397" i="45"/>
  <c r="O3398" i="45"/>
  <c r="O3399" i="45"/>
  <c r="O3400" i="45"/>
  <c r="O3401" i="45"/>
  <c r="O3402" i="45"/>
  <c r="O3403" i="45"/>
  <c r="O3404" i="45"/>
  <c r="O3405" i="45"/>
  <c r="O3406" i="45"/>
  <c r="O3407" i="45"/>
  <c r="O3408" i="45"/>
  <c r="O3409" i="45"/>
  <c r="O3410" i="45"/>
  <c r="O3411" i="45"/>
  <c r="O3412" i="45"/>
  <c r="O3413" i="45"/>
  <c r="O3414" i="45"/>
  <c r="O3415" i="45"/>
  <c r="O3416" i="45"/>
  <c r="O3417" i="45"/>
  <c r="O3418" i="45"/>
  <c r="O3419" i="45"/>
  <c r="O3420" i="45"/>
  <c r="O3421" i="45"/>
  <c r="O3422" i="45"/>
  <c r="O3423" i="45"/>
  <c r="O3424" i="45"/>
  <c r="O3425" i="45"/>
  <c r="O3426" i="45"/>
  <c r="O3427" i="45"/>
  <c r="O3428" i="45"/>
  <c r="O3429" i="45"/>
  <c r="O3430" i="45"/>
  <c r="O3431" i="45"/>
  <c r="O3432" i="45"/>
  <c r="O3433" i="45"/>
  <c r="O3434" i="45"/>
  <c r="O3435" i="45"/>
  <c r="O3436" i="45"/>
  <c r="O3437" i="45"/>
  <c r="O3438" i="45"/>
  <c r="O3439" i="45"/>
  <c r="O3440" i="45"/>
  <c r="O3441" i="45"/>
  <c r="O3442" i="45"/>
  <c r="O3443" i="45"/>
  <c r="O3444" i="45"/>
  <c r="O3445" i="45"/>
  <c r="O3446" i="45"/>
  <c r="O3447" i="45"/>
  <c r="O3448" i="45"/>
  <c r="O3449" i="45"/>
  <c r="O3450" i="45"/>
  <c r="O3451" i="45"/>
  <c r="O3452" i="45"/>
  <c r="O3453" i="45"/>
  <c r="O3454" i="45"/>
  <c r="O3455" i="45"/>
  <c r="O3456" i="45"/>
  <c r="O3457" i="45"/>
  <c r="O3458" i="45"/>
  <c r="O3459" i="45"/>
  <c r="O3460" i="45"/>
  <c r="O3461" i="45"/>
  <c r="O3462" i="45"/>
  <c r="O3463" i="45"/>
  <c r="O3464" i="45"/>
  <c r="O3465" i="45"/>
  <c r="O3466" i="45"/>
  <c r="O3467" i="45"/>
  <c r="O3468" i="45"/>
  <c r="O3469" i="45"/>
  <c r="O3470" i="45"/>
  <c r="O3471" i="45"/>
  <c r="O3472" i="45"/>
  <c r="O3473" i="45"/>
  <c r="O3474" i="45"/>
  <c r="O3475" i="45"/>
  <c r="O3476" i="45"/>
  <c r="O3477" i="45"/>
  <c r="O3478" i="45"/>
  <c r="O2829" i="45"/>
  <c r="S503" i="57" l="1"/>
  <c r="S485" i="57"/>
  <c r="S478" i="57"/>
  <c r="S494" i="57"/>
  <c r="S483" i="57"/>
  <c r="S479" i="57"/>
  <c r="S488" i="57"/>
  <c r="S487" i="57"/>
  <c r="S493" i="57"/>
  <c r="S492" i="57"/>
  <c r="S491" i="57"/>
  <c r="S490" i="57"/>
  <c r="S489" i="57"/>
  <c r="S482" i="57"/>
  <c r="S480" i="57"/>
  <c r="P480" i="57"/>
  <c r="P482" i="57"/>
  <c r="P489" i="57"/>
  <c r="P490" i="57"/>
  <c r="P491" i="57"/>
  <c r="P492" i="57"/>
  <c r="P493" i="57"/>
  <c r="P487" i="57"/>
  <c r="P488" i="57"/>
  <c r="P479" i="57"/>
  <c r="P483" i="57"/>
  <c r="P494" i="57"/>
  <c r="P478" i="57"/>
  <c r="P485" i="57"/>
  <c r="P503" i="57"/>
  <c r="N480" i="57"/>
  <c r="N482" i="57"/>
  <c r="N489" i="57"/>
  <c r="N490" i="57"/>
  <c r="N491" i="57"/>
  <c r="N492" i="57"/>
  <c r="N493" i="57"/>
  <c r="N487" i="57"/>
  <c r="N488" i="57"/>
  <c r="N479" i="57"/>
  <c r="N483" i="57"/>
  <c r="N494" i="57"/>
  <c r="N478" i="57"/>
  <c r="N485" i="57"/>
  <c r="N503" i="57"/>
  <c r="C485" i="57"/>
  <c r="C478" i="57"/>
  <c r="C494" i="57"/>
  <c r="C483" i="57"/>
  <c r="C479" i="57"/>
  <c r="C488" i="57"/>
  <c r="C487" i="57"/>
  <c r="C493" i="57"/>
  <c r="C492" i="57"/>
  <c r="C491" i="57"/>
  <c r="C490" i="57"/>
  <c r="C489" i="57"/>
  <c r="C482" i="57"/>
  <c r="C480" i="57"/>
  <c r="C191" i="58"/>
  <c r="C192" i="58"/>
  <c r="C190" i="58"/>
  <c r="C193" i="58"/>
  <c r="C37" i="52"/>
  <c r="C117" i="50"/>
  <c r="C116" i="50"/>
  <c r="K46" i="48"/>
  <c r="K45" i="48"/>
  <c r="K44" i="48"/>
  <c r="C46" i="48"/>
  <c r="C45" i="48"/>
  <c r="C44" i="48"/>
  <c r="I109" i="46"/>
  <c r="I108" i="46"/>
  <c r="N109" i="46"/>
  <c r="N110" i="46"/>
  <c r="N111" i="46"/>
  <c r="C110" i="46"/>
  <c r="C109" i="46"/>
  <c r="C108" i="46"/>
  <c r="S418" i="57" l="1"/>
  <c r="S417" i="57"/>
  <c r="S415" i="57"/>
  <c r="S409" i="57"/>
  <c r="S428" i="57"/>
  <c r="S427" i="57"/>
  <c r="S426" i="57"/>
  <c r="S425" i="57"/>
  <c r="S424" i="57"/>
  <c r="S423" i="57"/>
  <c r="S430" i="57"/>
  <c r="S429" i="57"/>
  <c r="S422" i="57"/>
  <c r="S414" i="57"/>
  <c r="S413" i="57"/>
  <c r="S411" i="57"/>
  <c r="S410" i="57"/>
  <c r="S421" i="57"/>
  <c r="S420" i="57"/>
  <c r="S419" i="57"/>
  <c r="S412" i="57"/>
  <c r="S416" i="57"/>
  <c r="N416" i="57"/>
  <c r="N417" i="57"/>
  <c r="N418" i="57"/>
  <c r="N412" i="57"/>
  <c r="N419" i="57"/>
  <c r="N420" i="57"/>
  <c r="N421" i="57"/>
  <c r="N410" i="57"/>
  <c r="N411" i="57"/>
  <c r="N413" i="57"/>
  <c r="N414" i="57"/>
  <c r="N422" i="57"/>
  <c r="N429" i="57"/>
  <c r="N430" i="57"/>
  <c r="N423" i="57"/>
  <c r="N424" i="57"/>
  <c r="N425" i="57"/>
  <c r="N426" i="57"/>
  <c r="N427" i="57"/>
  <c r="N428" i="57"/>
  <c r="N409" i="57"/>
  <c r="N415" i="57"/>
  <c r="P416" i="57"/>
  <c r="P417" i="57"/>
  <c r="P418" i="57"/>
  <c r="P412" i="57"/>
  <c r="P419" i="57"/>
  <c r="P420" i="57"/>
  <c r="P421" i="57"/>
  <c r="P410" i="57"/>
  <c r="P411" i="57"/>
  <c r="P413" i="57"/>
  <c r="P414" i="57"/>
  <c r="P422" i="57"/>
  <c r="P429" i="57"/>
  <c r="P430" i="57"/>
  <c r="P423" i="57"/>
  <c r="P424" i="57"/>
  <c r="P425" i="57"/>
  <c r="P426" i="57"/>
  <c r="P427" i="57"/>
  <c r="P428" i="57"/>
  <c r="P409" i="57"/>
  <c r="P415" i="57"/>
  <c r="N49" i="56"/>
  <c r="N48" i="56"/>
  <c r="N51" i="56"/>
  <c r="N50" i="56"/>
  <c r="C51" i="56"/>
  <c r="C50" i="56"/>
  <c r="C49" i="56"/>
  <c r="C48" i="56"/>
  <c r="V26" i="55"/>
  <c r="P26" i="55"/>
  <c r="C26" i="55"/>
  <c r="C146" i="58" l="1"/>
  <c r="C147" i="58"/>
  <c r="C141" i="58"/>
  <c r="C142" i="58"/>
  <c r="C143" i="58"/>
  <c r="C144" i="58"/>
  <c r="C145" i="58"/>
  <c r="C36" i="52"/>
  <c r="P87" i="49"/>
  <c r="O87" i="49"/>
  <c r="N87" i="49"/>
  <c r="C87" i="49"/>
  <c r="C86" i="49"/>
  <c r="P86" i="49"/>
  <c r="O86" i="49"/>
  <c r="N86" i="49"/>
  <c r="C115" i="50"/>
  <c r="C114" i="50"/>
  <c r="C113" i="50"/>
  <c r="C112" i="50"/>
  <c r="C111" i="50"/>
  <c r="K39" i="48"/>
  <c r="K40" i="48"/>
  <c r="K41" i="48"/>
  <c r="K42" i="48"/>
  <c r="K43" i="48"/>
  <c r="C38" i="48"/>
  <c r="C39" i="48"/>
  <c r="C40" i="48"/>
  <c r="C41" i="48"/>
  <c r="C42" i="48"/>
  <c r="C43" i="48"/>
  <c r="N106" i="46"/>
  <c r="N107" i="46"/>
  <c r="I107" i="46"/>
  <c r="I106" i="46"/>
  <c r="C107" i="46"/>
  <c r="C106" i="46"/>
  <c r="C148" i="58" l="1"/>
  <c r="C149" i="58"/>
  <c r="C150" i="58"/>
  <c r="C110" i="58"/>
  <c r="C111" i="58"/>
  <c r="C395" i="58"/>
  <c r="C396" i="58"/>
  <c r="C397" i="58"/>
  <c r="N47" i="56"/>
  <c r="N46" i="56"/>
  <c r="N45" i="56"/>
  <c r="C47" i="56"/>
  <c r="C46" i="56"/>
  <c r="C45" i="56"/>
  <c r="C35" i="52"/>
  <c r="P82" i="49"/>
  <c r="O82" i="49"/>
  <c r="N82" i="49"/>
  <c r="C82" i="49"/>
  <c r="C81" i="49"/>
  <c r="P81" i="49"/>
  <c r="P80" i="49"/>
  <c r="O81" i="49"/>
  <c r="N81" i="49"/>
  <c r="O80" i="49"/>
  <c r="N80" i="49"/>
  <c r="C85" i="49"/>
  <c r="P85" i="49"/>
  <c r="O85" i="49"/>
  <c r="P84" i="49"/>
  <c r="O84" i="49"/>
  <c r="P83" i="49"/>
  <c r="O83" i="49"/>
  <c r="N85" i="49"/>
  <c r="N84" i="49"/>
  <c r="N83" i="49"/>
  <c r="C84" i="49"/>
  <c r="C83" i="49"/>
  <c r="C80" i="49"/>
  <c r="C35" i="51"/>
  <c r="C34" i="51"/>
  <c r="L110" i="50" l="1"/>
  <c r="L109" i="50"/>
  <c r="L108" i="50"/>
  <c r="C110" i="50"/>
  <c r="C109" i="50"/>
  <c r="C108" i="50"/>
  <c r="K38" i="48"/>
  <c r="K37" i="48"/>
  <c r="C37" i="48"/>
  <c r="G19" i="47"/>
  <c r="C19" i="47"/>
  <c r="N105" i="46"/>
  <c r="N104" i="46"/>
  <c r="I4" i="46" l="1"/>
  <c r="I5" i="46"/>
  <c r="I6" i="46"/>
  <c r="I7" i="46"/>
  <c r="I8" i="46"/>
  <c r="I9" i="46"/>
  <c r="I10" i="46"/>
  <c r="I11" i="46"/>
  <c r="I12" i="46"/>
  <c r="I13" i="46"/>
  <c r="I14" i="46"/>
  <c r="I15" i="46"/>
  <c r="I16" i="46"/>
  <c r="I17" i="46"/>
  <c r="I18" i="46"/>
  <c r="I19" i="46"/>
  <c r="I20" i="46"/>
  <c r="I21" i="46"/>
  <c r="I22" i="46"/>
  <c r="I23" i="46"/>
  <c r="I24" i="46"/>
  <c r="I25" i="46"/>
  <c r="I26" i="46"/>
  <c r="I27" i="46"/>
  <c r="I28" i="46"/>
  <c r="I29" i="46"/>
  <c r="I30" i="46"/>
  <c r="I31" i="46"/>
  <c r="I32" i="46"/>
  <c r="I33" i="46"/>
  <c r="I34" i="46"/>
  <c r="I35" i="46"/>
  <c r="I36" i="46"/>
  <c r="I37" i="46"/>
  <c r="I38" i="46"/>
  <c r="I39" i="46"/>
  <c r="I40" i="46"/>
  <c r="I41" i="46"/>
  <c r="I42" i="46"/>
  <c r="I43" i="46"/>
  <c r="I44" i="46"/>
  <c r="I45" i="46"/>
  <c r="I46" i="46"/>
  <c r="I47" i="46"/>
  <c r="I48" i="46"/>
  <c r="I49" i="46"/>
  <c r="I50" i="46"/>
  <c r="I51" i="46"/>
  <c r="I52" i="46"/>
  <c r="I53" i="46"/>
  <c r="I54" i="46"/>
  <c r="I55" i="46"/>
  <c r="I56" i="46"/>
  <c r="I57" i="46"/>
  <c r="I58" i="46"/>
  <c r="I59" i="46"/>
  <c r="I60" i="46"/>
  <c r="I61" i="46"/>
  <c r="I62" i="46"/>
  <c r="I63" i="46"/>
  <c r="I64" i="46"/>
  <c r="I65" i="46"/>
  <c r="I66" i="46"/>
  <c r="I67" i="46"/>
  <c r="I68" i="46"/>
  <c r="I69" i="46"/>
  <c r="I70" i="46"/>
  <c r="I71" i="46"/>
  <c r="I72" i="46"/>
  <c r="I73" i="46"/>
  <c r="I74" i="46"/>
  <c r="I75" i="46"/>
  <c r="I76" i="46"/>
  <c r="I77" i="46"/>
  <c r="I78" i="46"/>
  <c r="I79" i="46"/>
  <c r="I80" i="46"/>
  <c r="I81" i="46"/>
  <c r="I82" i="46"/>
  <c r="I83" i="46"/>
  <c r="I84" i="46"/>
  <c r="I85" i="46"/>
  <c r="I86" i="46"/>
  <c r="I87" i="46"/>
  <c r="I88" i="46"/>
  <c r="I89" i="46"/>
  <c r="I90" i="46"/>
  <c r="I91" i="46"/>
  <c r="I92" i="46"/>
  <c r="I93" i="46"/>
  <c r="I94" i="46"/>
  <c r="I95" i="46"/>
  <c r="I96" i="46"/>
  <c r="I97" i="46"/>
  <c r="I98" i="46"/>
  <c r="I99" i="46"/>
  <c r="I100" i="46"/>
  <c r="I101" i="46"/>
  <c r="I102" i="46"/>
  <c r="I103" i="46"/>
  <c r="I104" i="46"/>
  <c r="I105" i="46"/>
  <c r="I3" i="46"/>
  <c r="C105" i="46" l="1"/>
  <c r="C104" i="46"/>
  <c r="O2674" i="45"/>
  <c r="O2675" i="45"/>
  <c r="O2676" i="45"/>
  <c r="O2677" i="45"/>
  <c r="O2678" i="45"/>
  <c r="O2679" i="45"/>
  <c r="O2680" i="45"/>
  <c r="O2681" i="45"/>
  <c r="O2682" i="45"/>
  <c r="O2683" i="45"/>
  <c r="O2684" i="45"/>
  <c r="O2685" i="45"/>
  <c r="O2686" i="45"/>
  <c r="O2687" i="45"/>
  <c r="O2688" i="45"/>
  <c r="O2689" i="45"/>
  <c r="O2690" i="45"/>
  <c r="O2691" i="45"/>
  <c r="O2692" i="45"/>
  <c r="O2693" i="45"/>
  <c r="O2694" i="45"/>
  <c r="O2695" i="45"/>
  <c r="O2696" i="45"/>
  <c r="O2697" i="45"/>
  <c r="O2698" i="45"/>
  <c r="O2699" i="45"/>
  <c r="O2700" i="45"/>
  <c r="O2701" i="45"/>
  <c r="O2702" i="45"/>
  <c r="O2703" i="45"/>
  <c r="O2704" i="45"/>
  <c r="O2705" i="45"/>
  <c r="O2706" i="45"/>
  <c r="O2707" i="45"/>
  <c r="O2708" i="45"/>
  <c r="O2709" i="45"/>
  <c r="O2710" i="45"/>
  <c r="O2711" i="45"/>
  <c r="O2712" i="45"/>
  <c r="O2713" i="45"/>
  <c r="O2714" i="45"/>
  <c r="O2715" i="45"/>
  <c r="O2716" i="45"/>
  <c r="O2717" i="45"/>
  <c r="O2718" i="45"/>
  <c r="O2719" i="45"/>
  <c r="O2720" i="45"/>
  <c r="O2721" i="45"/>
  <c r="O2722" i="45"/>
  <c r="O2723" i="45"/>
  <c r="O2724" i="45"/>
  <c r="O2725" i="45"/>
  <c r="O2726" i="45"/>
  <c r="O2727" i="45"/>
  <c r="O2728" i="45"/>
  <c r="O2729" i="45"/>
  <c r="O2730" i="45"/>
  <c r="O2731" i="45"/>
  <c r="O2732" i="45"/>
  <c r="O2733" i="45"/>
  <c r="O2734" i="45"/>
  <c r="O2735" i="45"/>
  <c r="O2736" i="45"/>
  <c r="O2737" i="45"/>
  <c r="O2738" i="45"/>
  <c r="O2739" i="45"/>
  <c r="O2740" i="45"/>
  <c r="O2741" i="45"/>
  <c r="O2742" i="45"/>
  <c r="O2743" i="45"/>
  <c r="O2744" i="45"/>
  <c r="O2745" i="45"/>
  <c r="O2746" i="45"/>
  <c r="O2747" i="45"/>
  <c r="O2748" i="45"/>
  <c r="O2749" i="45"/>
  <c r="O2750" i="45"/>
  <c r="O2751" i="45"/>
  <c r="O2752" i="45"/>
  <c r="O2753" i="45"/>
  <c r="O2754" i="45"/>
  <c r="O2755" i="45"/>
  <c r="O2756" i="45"/>
  <c r="O2757" i="45"/>
  <c r="O2758" i="45"/>
  <c r="O2759" i="45"/>
  <c r="O2760" i="45"/>
  <c r="O2761" i="45"/>
  <c r="O2762" i="45"/>
  <c r="O2763" i="45"/>
  <c r="O2764" i="45"/>
  <c r="O2765" i="45"/>
  <c r="O2766" i="45"/>
  <c r="O2767" i="45"/>
  <c r="O2768" i="45"/>
  <c r="O2769" i="45"/>
  <c r="O2770" i="45"/>
  <c r="O2771" i="45"/>
  <c r="O2772" i="45"/>
  <c r="O2773" i="45"/>
  <c r="O2774" i="45"/>
  <c r="O2775" i="45"/>
  <c r="O2776" i="45"/>
  <c r="O2777" i="45"/>
  <c r="O2778" i="45"/>
  <c r="O2779" i="45"/>
  <c r="O2780" i="45"/>
  <c r="O2781" i="45"/>
  <c r="O2782" i="45"/>
  <c r="O2783" i="45"/>
  <c r="O2784" i="45"/>
  <c r="O2785" i="45"/>
  <c r="O2786" i="45"/>
  <c r="O2787" i="45"/>
  <c r="O2788" i="45"/>
  <c r="O2789" i="45"/>
  <c r="O2790" i="45"/>
  <c r="O2791" i="45"/>
  <c r="O2792" i="45"/>
  <c r="O2793" i="45"/>
  <c r="O2794" i="45"/>
  <c r="O2795" i="45"/>
  <c r="O2796" i="45"/>
  <c r="O2797" i="45"/>
  <c r="O2798" i="45"/>
  <c r="O2799" i="45"/>
  <c r="O2800" i="45"/>
  <c r="O2801" i="45"/>
  <c r="O2802" i="45"/>
  <c r="O2803" i="45"/>
  <c r="O2804" i="45"/>
  <c r="O2805" i="45"/>
  <c r="O2806" i="45"/>
  <c r="O2807" i="45"/>
  <c r="O2808" i="45"/>
  <c r="O2809" i="45"/>
  <c r="O2810" i="45"/>
  <c r="O2811" i="45"/>
  <c r="O2812" i="45"/>
  <c r="O2813" i="45"/>
  <c r="O2814" i="45"/>
  <c r="O2815" i="45"/>
  <c r="O2816" i="45"/>
  <c r="O2817" i="45"/>
  <c r="O2818" i="45"/>
  <c r="O2819" i="45"/>
  <c r="O2820" i="45"/>
  <c r="O2821" i="45"/>
  <c r="O2822" i="45"/>
  <c r="O2823" i="45"/>
  <c r="O2824" i="45"/>
  <c r="O2825" i="45"/>
  <c r="O2826" i="45"/>
  <c r="O2827" i="45"/>
  <c r="O2828" i="45"/>
  <c r="O2673" i="45"/>
  <c r="I2673" i="45"/>
  <c r="I2674" i="45"/>
  <c r="I2675" i="45"/>
  <c r="I2676" i="45"/>
  <c r="I2677" i="45"/>
  <c r="I2678" i="45"/>
  <c r="I2679" i="45"/>
  <c r="I2680" i="45"/>
  <c r="I2681" i="45"/>
  <c r="I2682" i="45"/>
  <c r="I2683" i="45"/>
  <c r="I2684" i="45"/>
  <c r="I2685" i="45"/>
  <c r="I2686" i="45"/>
  <c r="I2687" i="45"/>
  <c r="I2688" i="45"/>
  <c r="I2689" i="45"/>
  <c r="I2690" i="45"/>
  <c r="I2691" i="45"/>
  <c r="I2692" i="45"/>
  <c r="I2693" i="45"/>
  <c r="I2694" i="45"/>
  <c r="I2695" i="45"/>
  <c r="I2696" i="45"/>
  <c r="I2697" i="45"/>
  <c r="I2698" i="45"/>
  <c r="I2699" i="45"/>
  <c r="I2700" i="45"/>
  <c r="I2701" i="45"/>
  <c r="I2702" i="45"/>
  <c r="I2703" i="45"/>
  <c r="I2704" i="45"/>
  <c r="I2705" i="45"/>
  <c r="I2706" i="45"/>
  <c r="I2707" i="45"/>
  <c r="I2708" i="45"/>
  <c r="I2709" i="45"/>
  <c r="I2710" i="45"/>
  <c r="I2711" i="45"/>
  <c r="I2712" i="45"/>
  <c r="I2713" i="45"/>
  <c r="I2714" i="45"/>
  <c r="I2715" i="45"/>
  <c r="I2716" i="45"/>
  <c r="I2717" i="45"/>
  <c r="I2718" i="45"/>
  <c r="I2719" i="45"/>
  <c r="I2720" i="45"/>
  <c r="I2721" i="45"/>
  <c r="I2722" i="45"/>
  <c r="I2723" i="45"/>
  <c r="I2724" i="45"/>
  <c r="I2725" i="45"/>
  <c r="I2726" i="45"/>
  <c r="I2727" i="45"/>
  <c r="I2728" i="45"/>
  <c r="I2729" i="45"/>
  <c r="I2730" i="45"/>
  <c r="I2731" i="45"/>
  <c r="I2732" i="45"/>
  <c r="I2733" i="45"/>
  <c r="I2734" i="45"/>
  <c r="I2735" i="45"/>
  <c r="I2736" i="45"/>
  <c r="I2737" i="45"/>
  <c r="I2738" i="45"/>
  <c r="I2739" i="45"/>
  <c r="I2740" i="45"/>
  <c r="I2741" i="45"/>
  <c r="I2742" i="45"/>
  <c r="I2743" i="45"/>
  <c r="I2744" i="45"/>
  <c r="I2745" i="45"/>
  <c r="I2746" i="45"/>
  <c r="I2747" i="45"/>
  <c r="I2748" i="45"/>
  <c r="I2749" i="45"/>
  <c r="I2750" i="45"/>
  <c r="I2751" i="45"/>
  <c r="I2752" i="45"/>
  <c r="I2753" i="45"/>
  <c r="I2754" i="45"/>
  <c r="I2755" i="45"/>
  <c r="I2756" i="45"/>
  <c r="I2757" i="45"/>
  <c r="I2758" i="45"/>
  <c r="I2759" i="45"/>
  <c r="I2760" i="45"/>
  <c r="I2761" i="45"/>
  <c r="I2762" i="45"/>
  <c r="I2763" i="45"/>
  <c r="I2764" i="45"/>
  <c r="I2765" i="45"/>
  <c r="I2766" i="45"/>
  <c r="I2767" i="45"/>
  <c r="I2768" i="45"/>
  <c r="I2769" i="45"/>
  <c r="I2770" i="45"/>
  <c r="I2771" i="45"/>
  <c r="I2772" i="45"/>
  <c r="I2773" i="45"/>
  <c r="I2774" i="45"/>
  <c r="I2775" i="45"/>
  <c r="I2776" i="45"/>
  <c r="I2777" i="45"/>
  <c r="I2778" i="45"/>
  <c r="I2779" i="45"/>
  <c r="I2780" i="45"/>
  <c r="I2781" i="45"/>
  <c r="I2782" i="45"/>
  <c r="I2783" i="45"/>
  <c r="I2784" i="45"/>
  <c r="I2785" i="45"/>
  <c r="I2786" i="45"/>
  <c r="I2787" i="45"/>
  <c r="I2788" i="45"/>
  <c r="I2789" i="45"/>
  <c r="I2790" i="45"/>
  <c r="I2791" i="45"/>
  <c r="I2792" i="45"/>
  <c r="I2793" i="45"/>
  <c r="I2794" i="45"/>
  <c r="I2795" i="45"/>
  <c r="I2796" i="45"/>
  <c r="I2797" i="45"/>
  <c r="I2798" i="45"/>
  <c r="I2799" i="45"/>
  <c r="I2800" i="45"/>
  <c r="I2801" i="45"/>
  <c r="I2802" i="45"/>
  <c r="I2803" i="45"/>
  <c r="I2804" i="45"/>
  <c r="I2805" i="45"/>
  <c r="I2806" i="45"/>
  <c r="I2807" i="45"/>
  <c r="I2808" i="45"/>
  <c r="I2809" i="45"/>
  <c r="I2810" i="45"/>
  <c r="I2811" i="45"/>
  <c r="I2812" i="45"/>
  <c r="I2813" i="45"/>
  <c r="I2814" i="45"/>
  <c r="I2815" i="45"/>
  <c r="I2816" i="45"/>
  <c r="I2817" i="45"/>
  <c r="I2818" i="45"/>
  <c r="I2819" i="45"/>
  <c r="I2820" i="45"/>
  <c r="I2821" i="45"/>
  <c r="I2822" i="45"/>
  <c r="I2823" i="45"/>
  <c r="I2824" i="45"/>
  <c r="I2825" i="45"/>
  <c r="I2826" i="45"/>
  <c r="I2827" i="45"/>
  <c r="I2828" i="45"/>
  <c r="B9" i="36" l="1"/>
  <c r="B9" i="35"/>
  <c r="B9" i="20"/>
  <c r="B9" i="37"/>
  <c r="B9" i="43"/>
  <c r="N44" i="56"/>
  <c r="C44" i="56"/>
  <c r="N43" i="56"/>
  <c r="C43" i="56"/>
  <c r="N42" i="56"/>
  <c r="C42" i="56"/>
  <c r="N41" i="56"/>
  <c r="C41" i="56"/>
  <c r="N40" i="56"/>
  <c r="C40" i="56"/>
  <c r="N39" i="56"/>
  <c r="C39" i="56"/>
  <c r="N38" i="56"/>
  <c r="C38" i="56"/>
  <c r="N37" i="56"/>
  <c r="C37" i="56"/>
  <c r="N36" i="56"/>
  <c r="C36" i="56"/>
  <c r="N35" i="56"/>
  <c r="C35" i="56"/>
  <c r="N34" i="56"/>
  <c r="C34" i="56"/>
  <c r="N33" i="56"/>
  <c r="C33" i="56"/>
  <c r="N32" i="56"/>
  <c r="C32" i="56"/>
  <c r="N31" i="56"/>
  <c r="C31" i="56"/>
  <c r="N30" i="56"/>
  <c r="C30" i="56"/>
  <c r="N29" i="56"/>
  <c r="C29" i="56"/>
  <c r="N28" i="56"/>
  <c r="C28" i="56"/>
  <c r="N27" i="56"/>
  <c r="C27" i="56"/>
  <c r="N26" i="56"/>
  <c r="C26" i="56"/>
  <c r="N25" i="56"/>
  <c r="C25" i="56"/>
  <c r="N24" i="56"/>
  <c r="C24" i="56"/>
  <c r="N23" i="56"/>
  <c r="C23" i="56"/>
  <c r="N22" i="56"/>
  <c r="C22" i="56"/>
  <c r="N21" i="56"/>
  <c r="C21" i="56"/>
  <c r="N20" i="56"/>
  <c r="C20" i="56"/>
  <c r="N19" i="56"/>
  <c r="B19" i="56"/>
  <c r="C19" i="56" s="1"/>
  <c r="N18" i="56"/>
  <c r="B18" i="56"/>
  <c r="C18" i="56" s="1"/>
  <c r="N17" i="56"/>
  <c r="B17" i="56"/>
  <c r="C17" i="56" s="1"/>
  <c r="N16" i="56"/>
  <c r="B16" i="56"/>
  <c r="C16" i="56" s="1"/>
  <c r="N15" i="56"/>
  <c r="B15" i="56"/>
  <c r="C15" i="56" s="1"/>
  <c r="N14" i="56"/>
  <c r="B14" i="56"/>
  <c r="C14" i="56" s="1"/>
  <c r="N13" i="56"/>
  <c r="I13" i="56" a="1"/>
  <c r="I13" i="56" s="1"/>
  <c r="F13" i="56" a="1"/>
  <c r="F13" i="56" s="1"/>
  <c r="B13" i="56"/>
  <c r="C13" i="56" s="1"/>
  <c r="N12" i="56"/>
  <c r="I12" i="56" a="1"/>
  <c r="I12" i="56" s="1"/>
  <c r="F12" i="56" a="1"/>
  <c r="F12" i="56" s="1"/>
  <c r="B12" i="56"/>
  <c r="C12" i="56" s="1"/>
  <c r="N11" i="56"/>
  <c r="I11" i="56" a="1"/>
  <c r="I11" i="56" s="1"/>
  <c r="F11" i="56" a="1"/>
  <c r="F11" i="56" s="1"/>
  <c r="B11" i="56"/>
  <c r="C11" i="56" s="1"/>
  <c r="N10" i="56"/>
  <c r="I10" i="56" a="1"/>
  <c r="I10" i="56" s="1"/>
  <c r="F10" i="56" a="1"/>
  <c r="F10" i="56" s="1"/>
  <c r="C10" i="56"/>
  <c r="B10" i="56"/>
  <c r="N9" i="56"/>
  <c r="I9" i="56" a="1"/>
  <c r="I9" i="56" s="1"/>
  <c r="F9" i="56" a="1"/>
  <c r="F9" i="56" s="1"/>
  <c r="B9" i="56"/>
  <c r="C9" i="56" s="1"/>
  <c r="N8" i="56"/>
  <c r="I8" i="56" a="1"/>
  <c r="I8" i="56" s="1"/>
  <c r="F8" i="56" a="1"/>
  <c r="F8" i="56" s="1"/>
  <c r="B8" i="56"/>
  <c r="C8" i="56" s="1"/>
  <c r="N7" i="56"/>
  <c r="I7" i="56" a="1"/>
  <c r="I7" i="56" s="1"/>
  <c r="I5" i="56" s="1"/>
  <c r="F7" i="56" a="1"/>
  <c r="F7" i="56" s="1"/>
  <c r="F5" i="56" s="1"/>
  <c r="C7" i="56"/>
  <c r="B7" i="56"/>
  <c r="N6" i="56"/>
  <c r="I6" i="56" a="1"/>
  <c r="I6" i="56" s="1"/>
  <c r="F6" i="56" a="1"/>
  <c r="F6" i="56" s="1"/>
  <c r="B6" i="56"/>
  <c r="C6" i="56" s="1"/>
  <c r="N5" i="56"/>
  <c r="B5" i="56"/>
  <c r="C5" i="56" s="1"/>
  <c r="N4" i="56"/>
  <c r="B4" i="56"/>
  <c r="C4" i="56" s="1"/>
  <c r="N3" i="56"/>
  <c r="B3" i="56"/>
  <c r="C3" i="56" s="1"/>
  <c r="N2" i="56"/>
  <c r="C2" i="56"/>
  <c r="E47" i="41"/>
  <c r="D47" i="41"/>
  <c r="E46" i="41"/>
  <c r="D46" i="41"/>
  <c r="E45" i="41"/>
  <c r="D45" i="41"/>
  <c r="E44" i="41"/>
  <c r="D44" i="41"/>
  <c r="E43" i="41"/>
  <c r="D43" i="41"/>
  <c r="E42" i="41"/>
  <c r="E42" i="41" a="1"/>
  <c r="D42" i="41"/>
  <c r="E41" i="41"/>
  <c r="E41" i="41" a="1"/>
  <c r="D41" i="41"/>
  <c r="D41" i="41" a="1"/>
  <c r="E40" i="41"/>
  <c r="E40" i="41" a="1"/>
  <c r="D40" i="41"/>
  <c r="D40" i="41" a="1"/>
  <c r="E39" i="41"/>
  <c r="E39" i="41" a="1"/>
  <c r="D39" i="41"/>
  <c r="D39" i="41" a="1"/>
  <c r="E38" i="41"/>
  <c r="E38" i="41" a="1"/>
  <c r="D38" i="41"/>
  <c r="D38" i="41" a="1"/>
  <c r="E37" i="41"/>
  <c r="E37" i="41" a="1"/>
  <c r="D37" i="41"/>
  <c r="D37" i="41" a="1"/>
  <c r="E36" i="41"/>
  <c r="E36" i="41" a="1"/>
  <c r="D36" i="41"/>
  <c r="D36" i="41" a="1"/>
  <c r="E35" i="41"/>
  <c r="E35" i="41" a="1"/>
  <c r="D35" i="41"/>
  <c r="D35" i="41" a="1"/>
  <c r="E34" i="41"/>
  <c r="E34" i="41" a="1"/>
  <c r="D34" i="41"/>
  <c r="D34" i="41" a="1"/>
  <c r="E33" i="41"/>
  <c r="D33" i="41"/>
  <c r="E32" i="41"/>
  <c r="D32" i="41"/>
  <c r="E31" i="41"/>
  <c r="D31" i="41"/>
  <c r="E30" i="41"/>
  <c r="E30" i="41" a="1"/>
  <c r="D30" i="41"/>
  <c r="D30" i="41" a="1"/>
  <c r="B9" i="41"/>
  <c r="P1072" i="57"/>
  <c r="N1072" i="57"/>
  <c r="C1072" i="57"/>
  <c r="P1039" i="57"/>
  <c r="N1039" i="57"/>
  <c r="C1039" i="57"/>
  <c r="P1007" i="57"/>
  <c r="N1007" i="57"/>
  <c r="C1007" i="57"/>
  <c r="P1031" i="57"/>
  <c r="N1031" i="57"/>
  <c r="C1031" i="57"/>
  <c r="P1033" i="57"/>
  <c r="N1033" i="57"/>
  <c r="C1033" i="57"/>
  <c r="P1017" i="57"/>
  <c r="N1017" i="57"/>
  <c r="C1017" i="57"/>
  <c r="P1027" i="57"/>
  <c r="N1027" i="57"/>
  <c r="C1027" i="57"/>
  <c r="P1011" i="57"/>
  <c r="N1011" i="57"/>
  <c r="C1011" i="57"/>
  <c r="P1050" i="57"/>
  <c r="N1050" i="57"/>
  <c r="C1050" i="57"/>
  <c r="P1056" i="57"/>
  <c r="N1056" i="57"/>
  <c r="C1056" i="57"/>
  <c r="P1077" i="57"/>
  <c r="N1077" i="57"/>
  <c r="C1077" i="57"/>
  <c r="P1075" i="57"/>
  <c r="N1075" i="57"/>
  <c r="C1075" i="57"/>
  <c r="P1065" i="57"/>
  <c r="N1065" i="57"/>
  <c r="C1065" i="57"/>
  <c r="P1046" i="57"/>
  <c r="N1046" i="57"/>
  <c r="C1046" i="57"/>
  <c r="P1060" i="57"/>
  <c r="N1060" i="57"/>
  <c r="C1060" i="57"/>
  <c r="P1064" i="57"/>
  <c r="N1064" i="57"/>
  <c r="C1064" i="57"/>
  <c r="P1063" i="57"/>
  <c r="N1063" i="57"/>
  <c r="C1063" i="57"/>
  <c r="P1071" i="57"/>
  <c r="N1071" i="57"/>
  <c r="C1071" i="57"/>
  <c r="P1073" i="57"/>
  <c r="N1073" i="57"/>
  <c r="C1073" i="57"/>
  <c r="P1041" i="57"/>
  <c r="N1041" i="57"/>
  <c r="C1041" i="57"/>
  <c r="P1055" i="57"/>
  <c r="N1055" i="57"/>
  <c r="C1055" i="57"/>
  <c r="P1042" i="57"/>
  <c r="N1042" i="57"/>
  <c r="C1042" i="57"/>
  <c r="P1040" i="57"/>
  <c r="N1040" i="57"/>
  <c r="C1040" i="57"/>
  <c r="P1038" i="57"/>
  <c r="N1038" i="57"/>
  <c r="C1038" i="57"/>
  <c r="P1037" i="57"/>
  <c r="N1037" i="57"/>
  <c r="C1037" i="57"/>
  <c r="P1030" i="57"/>
  <c r="N1030" i="57"/>
  <c r="C1030" i="57"/>
  <c r="P1032" i="57"/>
  <c r="N1032" i="57"/>
  <c r="C1032" i="57"/>
  <c r="P1029" i="57"/>
  <c r="N1029" i="57"/>
  <c r="C1029" i="57"/>
  <c r="P1025" i="57"/>
  <c r="N1025" i="57"/>
  <c r="C1025" i="57"/>
  <c r="P1026" i="57"/>
  <c r="N1026" i="57"/>
  <c r="C1026" i="57"/>
  <c r="P1019" i="57"/>
  <c r="N1019" i="57"/>
  <c r="C1019" i="57"/>
  <c r="P1014" i="57"/>
  <c r="N1014" i="57"/>
  <c r="C1014" i="57"/>
  <c r="P1043" i="57"/>
  <c r="N1043" i="57"/>
  <c r="C1043" i="57"/>
  <c r="P1062" i="57"/>
  <c r="N1062" i="57"/>
  <c r="C1062" i="57"/>
  <c r="P1044" i="57"/>
  <c r="N1044" i="57"/>
  <c r="C1044" i="57"/>
  <c r="P1059" i="57"/>
  <c r="N1059" i="57"/>
  <c r="C1059" i="57"/>
  <c r="P1054" i="57"/>
  <c r="N1054" i="57"/>
  <c r="C1054" i="57"/>
  <c r="P1061" i="57"/>
  <c r="N1061" i="57"/>
  <c r="C1061" i="57"/>
  <c r="P1053" i="57"/>
  <c r="N1053" i="57"/>
  <c r="C1053" i="57"/>
  <c r="P1020" i="57"/>
  <c r="N1020" i="57"/>
  <c r="C1020" i="57"/>
  <c r="P1024" i="57"/>
  <c r="N1024" i="57"/>
  <c r="C1024" i="57"/>
  <c r="P1016" i="57"/>
  <c r="N1016" i="57"/>
  <c r="C1016" i="57"/>
  <c r="P1009" i="57"/>
  <c r="N1009" i="57"/>
  <c r="C1009" i="57"/>
  <c r="P1010" i="57"/>
  <c r="N1010" i="57"/>
  <c r="C1010" i="57"/>
  <c r="P1076" i="57"/>
  <c r="N1076" i="57"/>
  <c r="C1076" i="57"/>
  <c r="P1036" i="57"/>
  <c r="N1036" i="57"/>
  <c r="C1036" i="57"/>
  <c r="P1021" i="57"/>
  <c r="N1021" i="57"/>
  <c r="C1021" i="57"/>
  <c r="P1023" i="57"/>
  <c r="N1023" i="57"/>
  <c r="C1023" i="57"/>
  <c r="P1022" i="57"/>
  <c r="N1022" i="57"/>
  <c r="C1022" i="57"/>
  <c r="P1049" i="57"/>
  <c r="N1049" i="57"/>
  <c r="C1049" i="57"/>
  <c r="P1048" i="57"/>
  <c r="N1048" i="57"/>
  <c r="C1048" i="57"/>
  <c r="P1047" i="57"/>
  <c r="N1047" i="57"/>
  <c r="C1047" i="57"/>
  <c r="P1058" i="57"/>
  <c r="N1058" i="57"/>
  <c r="C1058" i="57"/>
  <c r="P1057" i="57"/>
  <c r="N1057" i="57"/>
  <c r="C1057" i="57"/>
  <c r="P1013" i="57"/>
  <c r="N1013" i="57"/>
  <c r="C1013" i="57"/>
  <c r="P1018" i="57"/>
  <c r="N1018" i="57"/>
  <c r="C1018" i="57"/>
  <c r="P1005" i="57"/>
  <c r="N1005" i="57"/>
  <c r="C1005" i="57"/>
  <c r="P1006" i="57"/>
  <c r="N1006" i="57"/>
  <c r="C1006" i="57"/>
  <c r="P1015" i="57"/>
  <c r="N1015" i="57"/>
  <c r="C1015" i="57"/>
  <c r="P1045" i="57"/>
  <c r="N1045" i="57"/>
  <c r="C1045" i="57"/>
  <c r="P1052" i="57"/>
  <c r="N1052" i="57"/>
  <c r="C1052" i="57"/>
  <c r="P1051" i="57"/>
  <c r="N1051" i="57"/>
  <c r="C1051" i="57"/>
  <c r="S571" i="57"/>
  <c r="P571" i="57"/>
  <c r="N571" i="57"/>
  <c r="C571" i="57"/>
  <c r="S569" i="57"/>
  <c r="P569" i="57"/>
  <c r="N569" i="57"/>
  <c r="C569" i="57"/>
  <c r="S646" i="57"/>
  <c r="P646" i="57"/>
  <c r="N646" i="57"/>
  <c r="C646" i="57"/>
  <c r="S642" i="57"/>
  <c r="P642" i="57"/>
  <c r="N642" i="57"/>
  <c r="C642" i="57"/>
  <c r="S645" i="57"/>
  <c r="P645" i="57"/>
  <c r="N645" i="57"/>
  <c r="C645" i="57"/>
  <c r="S641" i="57"/>
  <c r="P641" i="57"/>
  <c r="N641" i="57"/>
  <c r="C641" i="57"/>
  <c r="S668" i="57"/>
  <c r="P668" i="57"/>
  <c r="N668" i="57"/>
  <c r="C668" i="57"/>
  <c r="S644" i="57"/>
  <c r="P644" i="57"/>
  <c r="N644" i="57"/>
  <c r="C644" i="57"/>
  <c r="S640" i="57"/>
  <c r="P640" i="57"/>
  <c r="N640" i="57"/>
  <c r="C640" i="57"/>
  <c r="S531" i="57"/>
  <c r="P531" i="57"/>
  <c r="N531" i="57"/>
  <c r="C531" i="57"/>
  <c r="S529" i="57"/>
  <c r="P529" i="57"/>
  <c r="N529" i="57"/>
  <c r="C529" i="57"/>
  <c r="S757" i="57"/>
  <c r="P757" i="57"/>
  <c r="N757" i="57"/>
  <c r="C757" i="57"/>
  <c r="S755" i="57"/>
  <c r="P755" i="57"/>
  <c r="N755" i="57"/>
  <c r="C755" i="57"/>
  <c r="S764" i="57"/>
  <c r="P764" i="57"/>
  <c r="N764" i="57"/>
  <c r="C764" i="57"/>
  <c r="S749" i="57"/>
  <c r="P749" i="57"/>
  <c r="N749" i="57"/>
  <c r="C749" i="57"/>
  <c r="S752" i="57"/>
  <c r="P752" i="57"/>
  <c r="N752" i="57"/>
  <c r="C752" i="57"/>
  <c r="S741" i="57"/>
  <c r="P741" i="57"/>
  <c r="N741" i="57"/>
  <c r="C741" i="57"/>
  <c r="S763" i="57"/>
  <c r="P763" i="57"/>
  <c r="N763" i="57"/>
  <c r="C763" i="57"/>
  <c r="S762" i="57"/>
  <c r="P762" i="57"/>
  <c r="N762" i="57"/>
  <c r="C762" i="57"/>
  <c r="S779" i="57"/>
  <c r="P779" i="57"/>
  <c r="N779" i="57"/>
  <c r="C779" i="57"/>
  <c r="S744" i="57"/>
  <c r="P744" i="57"/>
  <c r="N744" i="57"/>
  <c r="C744" i="57"/>
  <c r="S761" i="57"/>
  <c r="P761" i="57"/>
  <c r="N761" i="57"/>
  <c r="C761" i="57"/>
  <c r="S777" i="57"/>
  <c r="P777" i="57"/>
  <c r="N777" i="57"/>
  <c r="C777" i="57"/>
  <c r="S760" i="57"/>
  <c r="P760" i="57"/>
  <c r="N760" i="57"/>
  <c r="C760" i="57"/>
  <c r="S759" i="57"/>
  <c r="P759" i="57"/>
  <c r="N759" i="57"/>
  <c r="C759" i="57"/>
  <c r="S758" i="57"/>
  <c r="P758" i="57"/>
  <c r="N758" i="57"/>
  <c r="C758" i="57"/>
  <c r="S756" i="57"/>
  <c r="P756" i="57"/>
  <c r="N756" i="57"/>
  <c r="C756" i="57"/>
  <c r="S754" i="57"/>
  <c r="P754" i="57"/>
  <c r="N754" i="57"/>
  <c r="C754" i="57"/>
  <c r="S564" i="57"/>
  <c r="P564" i="57"/>
  <c r="N564" i="57"/>
  <c r="C564" i="57"/>
  <c r="S563" i="57"/>
  <c r="P563" i="57"/>
  <c r="N563" i="57"/>
  <c r="C563" i="57"/>
  <c r="S552" i="57"/>
  <c r="P552" i="57"/>
  <c r="N552" i="57"/>
  <c r="C552" i="57"/>
  <c r="S578" i="57"/>
  <c r="P578" i="57"/>
  <c r="N578" i="57"/>
  <c r="C578" i="57"/>
  <c r="S560" i="57"/>
  <c r="P560" i="57"/>
  <c r="N560" i="57"/>
  <c r="C560" i="57"/>
  <c r="S549" i="57"/>
  <c r="P549" i="57"/>
  <c r="N549" i="57"/>
  <c r="C549" i="57"/>
  <c r="S577" i="57"/>
  <c r="P577" i="57"/>
  <c r="N577" i="57"/>
  <c r="C577" i="57"/>
  <c r="S576" i="57"/>
  <c r="P576" i="57"/>
  <c r="N576" i="57"/>
  <c r="C576" i="57"/>
  <c r="S555" i="57"/>
  <c r="P555" i="57"/>
  <c r="N555" i="57"/>
  <c r="C555" i="57"/>
  <c r="S554" i="57"/>
  <c r="P554" i="57"/>
  <c r="N554" i="57"/>
  <c r="C554" i="57"/>
  <c r="S575" i="57"/>
  <c r="P575" i="57"/>
  <c r="N575" i="57"/>
  <c r="C575" i="57"/>
  <c r="S592" i="57"/>
  <c r="P592" i="57"/>
  <c r="N592" i="57"/>
  <c r="C592" i="57"/>
  <c r="S591" i="57"/>
  <c r="P591" i="57"/>
  <c r="N591" i="57"/>
  <c r="C591" i="57"/>
  <c r="S574" i="57"/>
  <c r="P574" i="57"/>
  <c r="N574" i="57"/>
  <c r="C574" i="57"/>
  <c r="S573" i="57"/>
  <c r="P573" i="57"/>
  <c r="N573" i="57"/>
  <c r="C573" i="57"/>
  <c r="S572" i="57"/>
  <c r="P572" i="57"/>
  <c r="N572" i="57"/>
  <c r="C572" i="57"/>
  <c r="S570" i="57"/>
  <c r="P570" i="57"/>
  <c r="N570" i="57"/>
  <c r="C570" i="57"/>
  <c r="S568" i="57"/>
  <c r="P568" i="57"/>
  <c r="N568" i="57"/>
  <c r="C568" i="57"/>
  <c r="S558" i="57"/>
  <c r="P558" i="57"/>
  <c r="N558" i="57"/>
  <c r="C558" i="57"/>
  <c r="S538" i="57"/>
  <c r="P538" i="57"/>
  <c r="N538" i="57"/>
  <c r="C538" i="57"/>
  <c r="S525" i="57"/>
  <c r="P525" i="57"/>
  <c r="N525" i="57"/>
  <c r="C525" i="57"/>
  <c r="S514" i="57"/>
  <c r="P514" i="57"/>
  <c r="N514" i="57"/>
  <c r="C514" i="57"/>
  <c r="S523" i="57"/>
  <c r="P523" i="57"/>
  <c r="N523" i="57"/>
  <c r="C523" i="57"/>
  <c r="S527" i="57"/>
  <c r="P527" i="57"/>
  <c r="N527" i="57"/>
  <c r="C527" i="57"/>
  <c r="S512" i="57"/>
  <c r="P512" i="57"/>
  <c r="N512" i="57"/>
  <c r="C512" i="57"/>
  <c r="S537" i="57"/>
  <c r="P537" i="57"/>
  <c r="N537" i="57"/>
  <c r="C537" i="57"/>
  <c r="S536" i="57"/>
  <c r="P536" i="57"/>
  <c r="N536" i="57"/>
  <c r="C536" i="57"/>
  <c r="S518" i="57"/>
  <c r="P518" i="57"/>
  <c r="N518" i="57"/>
  <c r="C518" i="57"/>
  <c r="S517" i="57"/>
  <c r="P517" i="57"/>
  <c r="N517" i="57"/>
  <c r="C517" i="57"/>
  <c r="S516" i="57"/>
  <c r="P516" i="57"/>
  <c r="N516" i="57"/>
  <c r="C516" i="57"/>
  <c r="S535" i="57"/>
  <c r="P535" i="57"/>
  <c r="N535" i="57"/>
  <c r="C535" i="57"/>
  <c r="S546" i="57"/>
  <c r="P546" i="57"/>
  <c r="N546" i="57"/>
  <c r="C546" i="57"/>
  <c r="S534" i="57"/>
  <c r="P534" i="57"/>
  <c r="N534" i="57"/>
  <c r="C534" i="57"/>
  <c r="S533" i="57"/>
  <c r="P533" i="57"/>
  <c r="N533" i="57"/>
  <c r="C533" i="57"/>
  <c r="S532" i="57"/>
  <c r="P532" i="57"/>
  <c r="N532" i="57"/>
  <c r="C532" i="57"/>
  <c r="S530" i="57"/>
  <c r="P530" i="57"/>
  <c r="N530" i="57"/>
  <c r="C530" i="57"/>
  <c r="S528" i="57"/>
  <c r="P528" i="57"/>
  <c r="N528" i="57"/>
  <c r="C528" i="57"/>
  <c r="S521" i="57"/>
  <c r="P521" i="57"/>
  <c r="N521" i="57"/>
  <c r="C521" i="57"/>
  <c r="S633" i="57"/>
  <c r="P633" i="57"/>
  <c r="N633" i="57"/>
  <c r="C633" i="57"/>
  <c r="S637" i="57"/>
  <c r="P637" i="57"/>
  <c r="N637" i="57"/>
  <c r="C637" i="57"/>
  <c r="S628" i="57"/>
  <c r="P628" i="57"/>
  <c r="N628" i="57"/>
  <c r="C628" i="57"/>
  <c r="S653" i="57"/>
  <c r="P653" i="57"/>
  <c r="N653" i="57"/>
  <c r="C653" i="57"/>
  <c r="S636" i="57"/>
  <c r="P636" i="57"/>
  <c r="N636" i="57"/>
  <c r="C636" i="57"/>
  <c r="S626" i="57"/>
  <c r="P626" i="57"/>
  <c r="N626" i="57"/>
  <c r="C626" i="57"/>
  <c r="S652" i="57"/>
  <c r="P652" i="57"/>
  <c r="N652" i="57"/>
  <c r="C652" i="57"/>
  <c r="S651" i="57"/>
  <c r="P651" i="57"/>
  <c r="N651" i="57"/>
  <c r="C651" i="57"/>
  <c r="S673" i="57"/>
  <c r="P673" i="57"/>
  <c r="N673" i="57"/>
  <c r="C673" i="57"/>
  <c r="S631" i="57"/>
  <c r="P631" i="57"/>
  <c r="N631" i="57"/>
  <c r="C631" i="57"/>
  <c r="S630" i="57"/>
  <c r="P630" i="57"/>
  <c r="N630" i="57"/>
  <c r="C630" i="57"/>
  <c r="S650" i="57"/>
  <c r="P650" i="57"/>
  <c r="N650" i="57"/>
  <c r="C650" i="57"/>
  <c r="S670" i="57"/>
  <c r="P670" i="57"/>
  <c r="N670" i="57"/>
  <c r="C670" i="57"/>
  <c r="S669" i="57"/>
  <c r="P669" i="57"/>
  <c r="N669" i="57"/>
  <c r="C669" i="57"/>
  <c r="S649" i="57"/>
  <c r="P649" i="57"/>
  <c r="N649" i="57"/>
  <c r="C649" i="57"/>
  <c r="S648" i="57"/>
  <c r="P648" i="57"/>
  <c r="N648" i="57"/>
  <c r="C648" i="57"/>
  <c r="S647" i="57"/>
  <c r="P647" i="57"/>
  <c r="N647" i="57"/>
  <c r="C647" i="57"/>
  <c r="S643" i="57"/>
  <c r="P643" i="57"/>
  <c r="N643" i="57"/>
  <c r="C643" i="57"/>
  <c r="S634" i="57"/>
  <c r="P634" i="57"/>
  <c r="N634" i="57"/>
  <c r="C634" i="57"/>
  <c r="S639" i="57"/>
  <c r="P639" i="57"/>
  <c r="N639" i="57"/>
  <c r="C639" i="57"/>
  <c r="S465" i="57"/>
  <c r="P465" i="57"/>
  <c r="L465" i="57"/>
  <c r="N465" i="57" s="1"/>
  <c r="C465" i="57"/>
  <c r="S467" i="57"/>
  <c r="P467" i="57"/>
  <c r="L467" i="57"/>
  <c r="N467" i="57" s="1"/>
  <c r="C467" i="57"/>
  <c r="S447" i="57"/>
  <c r="P447" i="57"/>
  <c r="N447" i="57"/>
  <c r="C447" i="57"/>
  <c r="S458" i="57"/>
  <c r="P458" i="57"/>
  <c r="N458" i="57"/>
  <c r="C458" i="57"/>
  <c r="S454" i="57"/>
  <c r="P454" i="57"/>
  <c r="N454" i="57"/>
  <c r="C454" i="57"/>
  <c r="S457" i="57"/>
  <c r="P457" i="57"/>
  <c r="N457" i="57"/>
  <c r="C457" i="57"/>
  <c r="S456" i="57"/>
  <c r="P456" i="57"/>
  <c r="N456" i="57"/>
  <c r="C456" i="57"/>
  <c r="S452" i="57"/>
  <c r="P452" i="57"/>
  <c r="N452" i="57"/>
  <c r="C452" i="57"/>
  <c r="S450" i="57"/>
  <c r="P450" i="57"/>
  <c r="N450" i="57"/>
  <c r="C450" i="57"/>
  <c r="S510" i="57"/>
  <c r="P510" i="57"/>
  <c r="N510" i="57"/>
  <c r="C510" i="57"/>
  <c r="S504" i="57"/>
  <c r="P504" i="57"/>
  <c r="N504" i="57"/>
  <c r="C504" i="57"/>
  <c r="S506" i="57"/>
  <c r="P506" i="57"/>
  <c r="N506" i="57"/>
  <c r="C506" i="57"/>
  <c r="S508" i="57"/>
  <c r="P508" i="57"/>
  <c r="N508" i="57"/>
  <c r="C508" i="57"/>
  <c r="S1156" i="57"/>
  <c r="P1156" i="57"/>
  <c r="N1156" i="57"/>
  <c r="C1156" i="57"/>
  <c r="S1155" i="57"/>
  <c r="P1155" i="57"/>
  <c r="N1155" i="57"/>
  <c r="C1155" i="57"/>
  <c r="S1135" i="57"/>
  <c r="P1135" i="57"/>
  <c r="N1135" i="57"/>
  <c r="C1135" i="57"/>
  <c r="S1153" i="57"/>
  <c r="P1153" i="57"/>
  <c r="N1153" i="57"/>
  <c r="C1153" i="57"/>
  <c r="S1152" i="57"/>
  <c r="P1152" i="57"/>
  <c r="N1152" i="57"/>
  <c r="C1152" i="57"/>
  <c r="S1133" i="57"/>
  <c r="P1133" i="57"/>
  <c r="N1133" i="57"/>
  <c r="C1133" i="57"/>
  <c r="S1151" i="57"/>
  <c r="P1151" i="57"/>
  <c r="N1151" i="57"/>
  <c r="C1151" i="57"/>
  <c r="S1150" i="57"/>
  <c r="P1150" i="57"/>
  <c r="N1150" i="57"/>
  <c r="C1150" i="57"/>
  <c r="S1149" i="57"/>
  <c r="P1149" i="57"/>
  <c r="N1149" i="57"/>
  <c r="C1149" i="57"/>
  <c r="S1154" i="57"/>
  <c r="P1154" i="57"/>
  <c r="N1154" i="57"/>
  <c r="C1154" i="57"/>
  <c r="S1148" i="57"/>
  <c r="P1148" i="57"/>
  <c r="N1148" i="57"/>
  <c r="C1148" i="57"/>
  <c r="S1158" i="57"/>
  <c r="P1158" i="57"/>
  <c r="N1158" i="57"/>
  <c r="C1158" i="57"/>
  <c r="S1138" i="57"/>
  <c r="P1138" i="57"/>
  <c r="N1138" i="57"/>
  <c r="C1138" i="57"/>
  <c r="S1147" i="57"/>
  <c r="P1147" i="57"/>
  <c r="N1147" i="57"/>
  <c r="C1147" i="57"/>
  <c r="S1157" i="57"/>
  <c r="P1157" i="57"/>
  <c r="N1157" i="57"/>
  <c r="C1157" i="57"/>
  <c r="S1139" i="57"/>
  <c r="P1139" i="57"/>
  <c r="N1139" i="57"/>
  <c r="C1139" i="57"/>
  <c r="S1146" i="57"/>
  <c r="P1146" i="57"/>
  <c r="N1146" i="57"/>
  <c r="C1146" i="57"/>
  <c r="S1145" i="57"/>
  <c r="P1145" i="57"/>
  <c r="N1145" i="57"/>
  <c r="C1145" i="57"/>
  <c r="S1134" i="57"/>
  <c r="P1134" i="57"/>
  <c r="N1134" i="57"/>
  <c r="C1134" i="57"/>
  <c r="S1144" i="57"/>
  <c r="P1144" i="57"/>
  <c r="N1144" i="57"/>
  <c r="C1144" i="57"/>
  <c r="S1137" i="57"/>
  <c r="P1137" i="57"/>
  <c r="N1137" i="57"/>
  <c r="C1137" i="57"/>
  <c r="S1143" i="57"/>
  <c r="P1143" i="57"/>
  <c r="N1143" i="57"/>
  <c r="C1143" i="57"/>
  <c r="S1142" i="57"/>
  <c r="P1142" i="57"/>
  <c r="N1142" i="57"/>
  <c r="C1142" i="57"/>
  <c r="S1141" i="57"/>
  <c r="P1141" i="57"/>
  <c r="N1141" i="57"/>
  <c r="C1141" i="57"/>
  <c r="S1140" i="57"/>
  <c r="P1140" i="57"/>
  <c r="N1140" i="57"/>
  <c r="C1140" i="57"/>
  <c r="S1136" i="57"/>
  <c r="P1136" i="57"/>
  <c r="N1136" i="57"/>
  <c r="C1136" i="57"/>
  <c r="S10" i="57"/>
  <c r="P10" i="57"/>
  <c r="N10" i="57"/>
  <c r="C10" i="57"/>
  <c r="S25" i="57"/>
  <c r="P25" i="57"/>
  <c r="N25" i="57"/>
  <c r="C25" i="57"/>
  <c r="S17" i="57"/>
  <c r="P17" i="57"/>
  <c r="N17" i="57"/>
  <c r="C17" i="57"/>
  <c r="S15" i="57"/>
  <c r="P15" i="57"/>
  <c r="N15" i="57"/>
  <c r="C15" i="57"/>
  <c r="S16" i="57"/>
  <c r="P16" i="57"/>
  <c r="N16" i="57"/>
  <c r="C16" i="57"/>
  <c r="S14" i="57"/>
  <c r="P14" i="57"/>
  <c r="N14" i="57"/>
  <c r="C14" i="57"/>
  <c r="S5" i="57"/>
  <c r="P5" i="57"/>
  <c r="N5" i="57"/>
  <c r="C5" i="57"/>
  <c r="S4" i="57"/>
  <c r="P4" i="57"/>
  <c r="N4" i="57"/>
  <c r="C4" i="57"/>
  <c r="S3" i="57"/>
  <c r="P3" i="57"/>
  <c r="N3" i="57"/>
  <c r="C3" i="57"/>
  <c r="S9" i="57"/>
  <c r="P9" i="57"/>
  <c r="N9" i="57"/>
  <c r="C9" i="57"/>
  <c r="S8" i="57"/>
  <c r="P8" i="57"/>
  <c r="N8" i="57"/>
  <c r="C8" i="57"/>
  <c r="S24" i="57"/>
  <c r="P24" i="57"/>
  <c r="N24" i="57"/>
  <c r="C24" i="57"/>
  <c r="S13" i="57"/>
  <c r="P13" i="57"/>
  <c r="N13" i="57"/>
  <c r="C13" i="57"/>
  <c r="S12" i="57"/>
  <c r="P12" i="57"/>
  <c r="N12" i="57"/>
  <c r="C12" i="57"/>
  <c r="S387" i="57"/>
  <c r="P387" i="57"/>
  <c r="N387" i="57"/>
  <c r="C387" i="57"/>
  <c r="S402" i="57"/>
  <c r="P402" i="57"/>
  <c r="N402" i="57"/>
  <c r="C402" i="57"/>
  <c r="S401" i="57"/>
  <c r="P401" i="57"/>
  <c r="N401" i="57"/>
  <c r="C401" i="57"/>
  <c r="S389" i="57"/>
  <c r="P389" i="57"/>
  <c r="N389" i="57"/>
  <c r="C389" i="57"/>
  <c r="S400" i="57"/>
  <c r="P400" i="57"/>
  <c r="N400" i="57"/>
  <c r="C400" i="57"/>
  <c r="S399" i="57"/>
  <c r="P399" i="57"/>
  <c r="N399" i="57"/>
  <c r="C399" i="57"/>
  <c r="S398" i="57"/>
  <c r="P398" i="57"/>
  <c r="N398" i="57"/>
  <c r="C398" i="57"/>
  <c r="S397" i="57"/>
  <c r="P397" i="57"/>
  <c r="N397" i="57"/>
  <c r="C397" i="57"/>
  <c r="S392" i="57"/>
  <c r="P392" i="57"/>
  <c r="N392" i="57"/>
  <c r="C392" i="57"/>
  <c r="S396" i="57"/>
  <c r="P396" i="57"/>
  <c r="N396" i="57"/>
  <c r="C396" i="57"/>
  <c r="S394" i="57"/>
  <c r="P394" i="57"/>
  <c r="N394" i="57"/>
  <c r="C394" i="57"/>
  <c r="S383" i="57"/>
  <c r="P383" i="57"/>
  <c r="N383" i="57"/>
  <c r="C383" i="57"/>
  <c r="S382" i="57"/>
  <c r="P382" i="57"/>
  <c r="N382" i="57"/>
  <c r="C382" i="57"/>
  <c r="S381" i="57"/>
  <c r="P381" i="57"/>
  <c r="N381" i="57"/>
  <c r="C381" i="57"/>
  <c r="S380" i="57"/>
  <c r="P380" i="57"/>
  <c r="N380" i="57"/>
  <c r="C380" i="57"/>
  <c r="S373" i="57"/>
  <c r="P373" i="57"/>
  <c r="N373" i="57"/>
  <c r="C373" i="57"/>
  <c r="S361" i="57"/>
  <c r="P361" i="57"/>
  <c r="N361" i="57"/>
  <c r="C361" i="57"/>
  <c r="S352" i="57"/>
  <c r="P352" i="57"/>
  <c r="N352" i="57"/>
  <c r="C352" i="57"/>
  <c r="S372" i="57"/>
  <c r="P372" i="57"/>
  <c r="N372" i="57"/>
  <c r="C372" i="57"/>
  <c r="S354" i="57"/>
  <c r="P354" i="57"/>
  <c r="N354" i="57"/>
  <c r="C354" i="57"/>
  <c r="S371" i="57"/>
  <c r="P371" i="57"/>
  <c r="N371" i="57"/>
  <c r="C371" i="57"/>
  <c r="S370" i="57"/>
  <c r="P370" i="57"/>
  <c r="N370" i="57"/>
  <c r="C370" i="57"/>
  <c r="S369" i="57"/>
  <c r="P369" i="57"/>
  <c r="N369" i="57"/>
  <c r="C369" i="57"/>
  <c r="S356" i="57"/>
  <c r="P356" i="57"/>
  <c r="N356" i="57"/>
  <c r="C356" i="57"/>
  <c r="S368" i="57"/>
  <c r="P368" i="57"/>
  <c r="N368" i="57"/>
  <c r="C368" i="57"/>
  <c r="S367" i="57"/>
  <c r="P367" i="57"/>
  <c r="N367" i="57"/>
  <c r="C367" i="57"/>
  <c r="S360" i="57"/>
  <c r="P360" i="57"/>
  <c r="N360" i="57"/>
  <c r="C360" i="57"/>
  <c r="S366" i="57"/>
  <c r="P366" i="57"/>
  <c r="N366" i="57"/>
  <c r="C366" i="57"/>
  <c r="S365" i="57"/>
  <c r="P365" i="57"/>
  <c r="N365" i="57"/>
  <c r="C365" i="57"/>
  <c r="S364" i="57"/>
  <c r="P364" i="57"/>
  <c r="N364" i="57"/>
  <c r="C364" i="57"/>
  <c r="S358" i="57"/>
  <c r="P358" i="57"/>
  <c r="N358" i="57"/>
  <c r="C358" i="57"/>
  <c r="S297" i="57"/>
  <c r="P297" i="57"/>
  <c r="N297" i="57"/>
  <c r="C297" i="57"/>
  <c r="S300" i="57"/>
  <c r="P300" i="57"/>
  <c r="N300" i="57"/>
  <c r="C300" i="57"/>
  <c r="S299" i="57"/>
  <c r="P299" i="57"/>
  <c r="N299" i="57"/>
  <c r="C299" i="57"/>
  <c r="S298" i="57"/>
  <c r="P298" i="57"/>
  <c r="N298" i="57"/>
  <c r="C298" i="57"/>
  <c r="S310" i="57"/>
  <c r="P310" i="57"/>
  <c r="N310" i="57"/>
  <c r="C310" i="57"/>
  <c r="S288" i="57"/>
  <c r="P288" i="57"/>
  <c r="N288" i="57"/>
  <c r="C288" i="57"/>
  <c r="S278" i="57"/>
  <c r="P278" i="57"/>
  <c r="N278" i="57"/>
  <c r="C278" i="57"/>
  <c r="S277" i="57"/>
  <c r="P277" i="57"/>
  <c r="N277" i="57"/>
  <c r="C277" i="57"/>
  <c r="S308" i="57"/>
  <c r="P308" i="57"/>
  <c r="N308" i="57"/>
  <c r="C308" i="57"/>
  <c r="S296" i="57"/>
  <c r="P296" i="57"/>
  <c r="N296" i="57"/>
  <c r="C296" i="57"/>
  <c r="S295" i="57"/>
  <c r="P295" i="57"/>
  <c r="N295" i="57"/>
  <c r="C295" i="57"/>
  <c r="S294" i="57"/>
  <c r="P294" i="57"/>
  <c r="N294" i="57"/>
  <c r="C294" i="57"/>
  <c r="S281" i="57"/>
  <c r="P281" i="57"/>
  <c r="N281" i="57"/>
  <c r="C281" i="57"/>
  <c r="S293" i="57"/>
  <c r="P293" i="57"/>
  <c r="N293" i="57"/>
  <c r="C293" i="57"/>
  <c r="S286" i="57"/>
  <c r="P286" i="57"/>
  <c r="N286" i="57"/>
  <c r="C286" i="57"/>
  <c r="S292" i="57"/>
  <c r="P292" i="57"/>
  <c r="N292" i="57"/>
  <c r="C292" i="57"/>
  <c r="S291" i="57"/>
  <c r="P291" i="57"/>
  <c r="N291" i="57"/>
  <c r="C291" i="57"/>
  <c r="S290" i="57"/>
  <c r="P290" i="57"/>
  <c r="N290" i="57"/>
  <c r="C290" i="57"/>
  <c r="S284" i="57"/>
  <c r="P284" i="57"/>
  <c r="N284" i="57"/>
  <c r="C284" i="57"/>
  <c r="S343" i="57"/>
  <c r="P343" i="57"/>
  <c r="N343" i="57"/>
  <c r="C343" i="57"/>
  <c r="S312" i="57"/>
  <c r="P312" i="57"/>
  <c r="N312" i="57"/>
  <c r="C312" i="57"/>
  <c r="S334" i="57"/>
  <c r="P334" i="57"/>
  <c r="N334" i="57"/>
  <c r="C334" i="57"/>
  <c r="S333" i="57"/>
  <c r="P333" i="57"/>
  <c r="N333" i="57"/>
  <c r="C333" i="57"/>
  <c r="S327" i="57"/>
  <c r="P327" i="57"/>
  <c r="N327" i="57"/>
  <c r="C327" i="57"/>
  <c r="S320" i="57"/>
  <c r="P320" i="57"/>
  <c r="N320" i="57"/>
  <c r="C320" i="57"/>
  <c r="S315" i="57"/>
  <c r="P315" i="57"/>
  <c r="N315" i="57"/>
  <c r="C315" i="57"/>
  <c r="S314" i="57"/>
  <c r="P314" i="57"/>
  <c r="N314" i="57"/>
  <c r="C314" i="57"/>
  <c r="S332" i="57"/>
  <c r="P332" i="57"/>
  <c r="N332" i="57"/>
  <c r="C332" i="57"/>
  <c r="S331" i="57"/>
  <c r="P331" i="57"/>
  <c r="N331" i="57"/>
  <c r="C331" i="57"/>
  <c r="S330" i="57"/>
  <c r="P330" i="57"/>
  <c r="N330" i="57"/>
  <c r="C330" i="57"/>
  <c r="S319" i="57"/>
  <c r="P319" i="57"/>
  <c r="N319" i="57"/>
  <c r="C319" i="57"/>
  <c r="S318" i="57"/>
  <c r="P318" i="57"/>
  <c r="N318" i="57"/>
  <c r="C318" i="57"/>
  <c r="S329" i="57"/>
  <c r="P329" i="57"/>
  <c r="N329" i="57"/>
  <c r="C329" i="57"/>
  <c r="S325" i="57"/>
  <c r="P325" i="57"/>
  <c r="N325" i="57"/>
  <c r="C325" i="57"/>
  <c r="S323" i="57"/>
  <c r="P323" i="57"/>
  <c r="N323" i="57"/>
  <c r="C323" i="57"/>
  <c r="S346" i="57"/>
  <c r="P346" i="57"/>
  <c r="N346" i="57"/>
  <c r="C346" i="57"/>
  <c r="S345" i="57"/>
  <c r="P345" i="57"/>
  <c r="N345" i="57"/>
  <c r="C345" i="57"/>
  <c r="S349" i="57"/>
  <c r="P349" i="57"/>
  <c r="N349" i="57"/>
  <c r="C349" i="57"/>
  <c r="S893" i="57"/>
  <c r="P893" i="57"/>
  <c r="N893" i="57"/>
  <c r="C893" i="57"/>
  <c r="S871" i="57"/>
  <c r="P871" i="57"/>
  <c r="N871" i="57"/>
  <c r="C871" i="57"/>
  <c r="S870" i="57"/>
  <c r="P870" i="57"/>
  <c r="N870" i="57"/>
  <c r="C870" i="57"/>
  <c r="S883" i="57"/>
  <c r="P883" i="57"/>
  <c r="N883" i="57"/>
  <c r="C883" i="57"/>
  <c r="S891" i="57"/>
  <c r="P891" i="57"/>
  <c r="N891" i="57"/>
  <c r="C891" i="57"/>
  <c r="S890" i="57"/>
  <c r="P890" i="57"/>
  <c r="N890" i="57"/>
  <c r="C890" i="57"/>
  <c r="S882" i="57"/>
  <c r="P882" i="57"/>
  <c r="N882" i="57"/>
  <c r="C882" i="57"/>
  <c r="S881" i="57"/>
  <c r="P881" i="57"/>
  <c r="N881" i="57"/>
  <c r="C881" i="57"/>
  <c r="S880" i="57"/>
  <c r="P880" i="57"/>
  <c r="N880" i="57"/>
  <c r="C880" i="57"/>
  <c r="S879" i="57"/>
  <c r="P879" i="57"/>
  <c r="N879" i="57"/>
  <c r="C879" i="57"/>
  <c r="S878" i="57"/>
  <c r="P878" i="57"/>
  <c r="N878" i="57"/>
  <c r="C878" i="57"/>
  <c r="S874" i="57"/>
  <c r="P874" i="57"/>
  <c r="N874" i="57"/>
  <c r="C874" i="57"/>
  <c r="S877" i="57"/>
  <c r="P877" i="57"/>
  <c r="N877" i="57"/>
  <c r="C877" i="57"/>
  <c r="S876" i="57"/>
  <c r="P876" i="57"/>
  <c r="N876" i="57"/>
  <c r="C876" i="57"/>
  <c r="S868" i="57"/>
  <c r="P868" i="57"/>
  <c r="N868" i="57"/>
  <c r="C868" i="57"/>
  <c r="S864" i="57"/>
  <c r="P864" i="57"/>
  <c r="N864" i="57"/>
  <c r="C864" i="57"/>
  <c r="S843" i="57"/>
  <c r="P843" i="57"/>
  <c r="N843" i="57"/>
  <c r="C843" i="57"/>
  <c r="S846" i="57"/>
  <c r="P846" i="57"/>
  <c r="N846" i="57"/>
  <c r="C846" i="57"/>
  <c r="S845" i="57"/>
  <c r="P845" i="57"/>
  <c r="N845" i="57"/>
  <c r="C845" i="57"/>
  <c r="S857" i="57"/>
  <c r="P857" i="57"/>
  <c r="N857" i="57"/>
  <c r="C857" i="57"/>
  <c r="S866" i="57"/>
  <c r="P866" i="57"/>
  <c r="N866" i="57"/>
  <c r="C866" i="57"/>
  <c r="S856" i="57"/>
  <c r="P856" i="57"/>
  <c r="N856" i="57"/>
  <c r="C856" i="57"/>
  <c r="S855" i="57"/>
  <c r="P855" i="57"/>
  <c r="N855" i="57"/>
  <c r="C855" i="57"/>
  <c r="S854" i="57"/>
  <c r="P854" i="57"/>
  <c r="N854" i="57"/>
  <c r="C854" i="57"/>
  <c r="S849" i="57"/>
  <c r="P849" i="57"/>
  <c r="N849" i="57"/>
  <c r="C849" i="57"/>
  <c r="S853" i="57"/>
  <c r="P853" i="57"/>
  <c r="N853" i="57"/>
  <c r="C853" i="57"/>
  <c r="S852" i="57"/>
  <c r="P852" i="57"/>
  <c r="N852" i="57"/>
  <c r="C852" i="57"/>
  <c r="S851" i="57"/>
  <c r="P851" i="57"/>
  <c r="N851" i="57"/>
  <c r="C851" i="57"/>
  <c r="S927" i="57"/>
  <c r="P927" i="57"/>
  <c r="N927" i="57"/>
  <c r="C927" i="57"/>
  <c r="S915" i="57"/>
  <c r="P915" i="57"/>
  <c r="N915" i="57"/>
  <c r="C915" i="57"/>
  <c r="S936" i="57"/>
  <c r="P936" i="57"/>
  <c r="N936" i="57"/>
  <c r="C936" i="57"/>
  <c r="S919" i="57"/>
  <c r="P919" i="57"/>
  <c r="N919" i="57"/>
  <c r="C919" i="57"/>
  <c r="S918" i="57"/>
  <c r="P918" i="57"/>
  <c r="N918" i="57"/>
  <c r="C918" i="57"/>
  <c r="S917" i="57"/>
  <c r="P917" i="57"/>
  <c r="N917" i="57"/>
  <c r="C917" i="57"/>
  <c r="S935" i="57"/>
  <c r="P935" i="57"/>
  <c r="N935" i="57"/>
  <c r="C935" i="57"/>
  <c r="S946" i="57"/>
  <c r="P946" i="57"/>
  <c r="N946" i="57"/>
  <c r="C946" i="57"/>
  <c r="S934" i="57"/>
  <c r="P934" i="57"/>
  <c r="N934" i="57"/>
  <c r="C934" i="57"/>
  <c r="S933" i="57"/>
  <c r="P933" i="57"/>
  <c r="N933" i="57"/>
  <c r="C933" i="57"/>
  <c r="S931" i="57"/>
  <c r="P931" i="57"/>
  <c r="N931" i="57"/>
  <c r="C931" i="57"/>
  <c r="S932" i="57"/>
  <c r="P932" i="57"/>
  <c r="N932" i="57"/>
  <c r="C932" i="57"/>
  <c r="S930" i="57"/>
  <c r="P930" i="57"/>
  <c r="N930" i="57"/>
  <c r="C930" i="57"/>
  <c r="S929" i="57"/>
  <c r="P929" i="57"/>
  <c r="N929" i="57"/>
  <c r="C929" i="57"/>
  <c r="S924" i="57"/>
  <c r="P924" i="57"/>
  <c r="N924" i="57"/>
  <c r="C924" i="57"/>
  <c r="S923" i="57"/>
  <c r="P923" i="57"/>
  <c r="N923" i="57"/>
  <c r="C923" i="57"/>
  <c r="S839" i="57"/>
  <c r="P839" i="57"/>
  <c r="N839" i="57"/>
  <c r="C839" i="57"/>
  <c r="S838" i="57"/>
  <c r="P838" i="57"/>
  <c r="N838" i="57"/>
  <c r="C838" i="57"/>
  <c r="S837" i="57"/>
  <c r="P837" i="57"/>
  <c r="N837" i="57"/>
  <c r="C837" i="57"/>
  <c r="S842" i="57"/>
  <c r="P842" i="57"/>
  <c r="N842" i="57"/>
  <c r="C842" i="57"/>
  <c r="S841" i="57"/>
  <c r="P841" i="57"/>
  <c r="N841" i="57"/>
  <c r="C841" i="57"/>
  <c r="S840" i="57"/>
  <c r="P840" i="57"/>
  <c r="N840" i="57"/>
  <c r="C840" i="57"/>
  <c r="S904" i="57"/>
  <c r="P904" i="57"/>
  <c r="N904" i="57"/>
  <c r="C904" i="57"/>
  <c r="S908" i="57"/>
  <c r="P908" i="57"/>
  <c r="N908" i="57"/>
  <c r="C908" i="57"/>
  <c r="S907" i="57"/>
  <c r="P907" i="57"/>
  <c r="N907" i="57"/>
  <c r="C907" i="57"/>
  <c r="S906" i="57"/>
  <c r="P906" i="57"/>
  <c r="N906" i="57"/>
  <c r="C906" i="57"/>
  <c r="S895" i="57"/>
  <c r="P895" i="57"/>
  <c r="N895" i="57"/>
  <c r="C895" i="57"/>
  <c r="S894" i="57"/>
  <c r="P894" i="57"/>
  <c r="N894" i="57"/>
  <c r="C894" i="57"/>
  <c r="S900" i="57"/>
  <c r="P900" i="57"/>
  <c r="N900" i="57"/>
  <c r="C900" i="57"/>
  <c r="S899" i="57"/>
  <c r="P899" i="57"/>
  <c r="N899" i="57"/>
  <c r="C899" i="57"/>
  <c r="S898" i="57"/>
  <c r="P898" i="57"/>
  <c r="N898" i="57"/>
  <c r="C898" i="57"/>
  <c r="S694" i="57"/>
  <c r="P694" i="57"/>
  <c r="N694" i="57"/>
  <c r="C694" i="57"/>
  <c r="S706" i="57"/>
  <c r="P706" i="57"/>
  <c r="N706" i="57"/>
  <c r="C706" i="57"/>
  <c r="S705" i="57"/>
  <c r="P705" i="57"/>
  <c r="N705" i="57"/>
  <c r="C705" i="57"/>
  <c r="S677" i="57"/>
  <c r="P677" i="57"/>
  <c r="N677" i="57"/>
  <c r="C677" i="57"/>
  <c r="S704" i="57"/>
  <c r="P704" i="57"/>
  <c r="N704" i="57"/>
  <c r="C704" i="57"/>
  <c r="S676" i="57"/>
  <c r="P676" i="57"/>
  <c r="N676" i="57"/>
  <c r="C676" i="57"/>
  <c r="S675" i="57"/>
  <c r="P675" i="57"/>
  <c r="N675" i="57"/>
  <c r="C675" i="57"/>
  <c r="S703" i="57"/>
  <c r="P703" i="57"/>
  <c r="N703" i="57"/>
  <c r="C703" i="57"/>
  <c r="S702" i="57"/>
  <c r="P702" i="57"/>
  <c r="N702" i="57"/>
  <c r="C702" i="57"/>
  <c r="S707" i="57"/>
  <c r="P707" i="57"/>
  <c r="N707" i="57"/>
  <c r="C707" i="57"/>
  <c r="S680" i="57"/>
  <c r="P680" i="57"/>
  <c r="N680" i="57"/>
  <c r="C680" i="57"/>
  <c r="S679" i="57"/>
  <c r="P679" i="57"/>
  <c r="N679" i="57"/>
  <c r="C679" i="57"/>
  <c r="S701" i="57"/>
  <c r="P701" i="57"/>
  <c r="N701" i="57"/>
  <c r="C701" i="57"/>
  <c r="S678" i="57"/>
  <c r="P678" i="57"/>
  <c r="N678" i="57"/>
  <c r="C678" i="57"/>
  <c r="S700" i="57"/>
  <c r="P700" i="57"/>
  <c r="N700" i="57"/>
  <c r="C700" i="57"/>
  <c r="S685" i="57"/>
  <c r="P685" i="57"/>
  <c r="N685" i="57"/>
  <c r="C685" i="57"/>
  <c r="S684" i="57"/>
  <c r="P684" i="57"/>
  <c r="N684" i="57"/>
  <c r="C684" i="57"/>
  <c r="S699" i="57"/>
  <c r="P699" i="57"/>
  <c r="N699" i="57"/>
  <c r="C699" i="57"/>
  <c r="S698" i="57"/>
  <c r="P698" i="57"/>
  <c r="N698" i="57"/>
  <c r="C698" i="57"/>
  <c r="S681" i="57"/>
  <c r="P681" i="57"/>
  <c r="N681" i="57"/>
  <c r="C681" i="57"/>
  <c r="S697" i="57"/>
  <c r="P697" i="57"/>
  <c r="N697" i="57"/>
  <c r="C697" i="57"/>
  <c r="S696" i="57"/>
  <c r="P696" i="57"/>
  <c r="N696" i="57"/>
  <c r="C696" i="57"/>
  <c r="S695" i="57"/>
  <c r="P695" i="57"/>
  <c r="N695" i="57"/>
  <c r="C695" i="57"/>
  <c r="S683" i="57"/>
  <c r="P683" i="57"/>
  <c r="N683" i="57"/>
  <c r="C683" i="57"/>
  <c r="S693" i="57"/>
  <c r="P693" i="57"/>
  <c r="N693" i="57"/>
  <c r="C693" i="57"/>
  <c r="S692" i="57"/>
  <c r="P692" i="57"/>
  <c r="N692" i="57"/>
  <c r="C692" i="57"/>
  <c r="S682" i="57"/>
  <c r="P682" i="57"/>
  <c r="N682" i="57"/>
  <c r="C682" i="57"/>
  <c r="S691" i="57"/>
  <c r="P691" i="57"/>
  <c r="N691" i="57"/>
  <c r="C691" i="57"/>
  <c r="S690" i="57"/>
  <c r="P690" i="57"/>
  <c r="N690" i="57"/>
  <c r="C690" i="57"/>
  <c r="S689" i="57"/>
  <c r="P689" i="57"/>
  <c r="N689" i="57"/>
  <c r="C689" i="57"/>
  <c r="S688" i="57"/>
  <c r="P688" i="57"/>
  <c r="N688" i="57"/>
  <c r="C688" i="57"/>
  <c r="S687" i="57"/>
  <c r="P687" i="57"/>
  <c r="N687" i="57"/>
  <c r="C687" i="57"/>
  <c r="S686" i="57"/>
  <c r="P686" i="57"/>
  <c r="N686" i="57"/>
  <c r="C686" i="57"/>
  <c r="S476" i="57"/>
  <c r="P476" i="57"/>
  <c r="N476" i="57"/>
  <c r="C476" i="57"/>
  <c r="S475" i="57"/>
  <c r="P475" i="57"/>
  <c r="N475" i="57"/>
  <c r="C475" i="57"/>
  <c r="S474" i="57"/>
  <c r="P474" i="57"/>
  <c r="N474" i="57"/>
  <c r="C474" i="57"/>
  <c r="S469" i="57"/>
  <c r="P469" i="57"/>
  <c r="N469" i="57"/>
  <c r="C469" i="57"/>
  <c r="S468" i="57"/>
  <c r="P468" i="57"/>
  <c r="N468" i="57"/>
  <c r="C468" i="57"/>
  <c r="S473" i="57"/>
  <c r="P473" i="57"/>
  <c r="N473" i="57"/>
  <c r="C473" i="57"/>
  <c r="S477" i="57"/>
  <c r="P477" i="57"/>
  <c r="N477" i="57"/>
  <c r="C477" i="57"/>
  <c r="S472" i="57"/>
  <c r="P472" i="57"/>
  <c r="N472" i="57"/>
  <c r="C472" i="57"/>
  <c r="S471" i="57"/>
  <c r="P471" i="57"/>
  <c r="N471" i="57"/>
  <c r="C471" i="57"/>
  <c r="S470" i="57"/>
  <c r="P470" i="57"/>
  <c r="N470" i="57"/>
  <c r="C470" i="57"/>
  <c r="S833" i="57"/>
  <c r="P833" i="57"/>
  <c r="N833" i="57"/>
  <c r="C833" i="57"/>
  <c r="S805" i="57"/>
  <c r="P805" i="57"/>
  <c r="N805" i="57"/>
  <c r="C805" i="57"/>
  <c r="S804" i="57"/>
  <c r="P804" i="57"/>
  <c r="N804" i="57"/>
  <c r="C804" i="57"/>
  <c r="S787" i="57"/>
  <c r="P787" i="57"/>
  <c r="N787" i="57"/>
  <c r="C787" i="57"/>
  <c r="S793" i="57"/>
  <c r="P793" i="57"/>
  <c r="N793" i="57"/>
  <c r="C793" i="57"/>
  <c r="S801" i="57"/>
  <c r="P801" i="57"/>
  <c r="N801" i="57"/>
  <c r="C801" i="57"/>
  <c r="S807" i="57"/>
  <c r="P807" i="57"/>
  <c r="N807" i="57"/>
  <c r="C807" i="57"/>
  <c r="S781" i="57"/>
  <c r="P781" i="57"/>
  <c r="N781" i="57"/>
  <c r="C781" i="57"/>
  <c r="S810" i="57"/>
  <c r="P810" i="57"/>
  <c r="N810" i="57"/>
  <c r="C810" i="57"/>
  <c r="S796" i="57"/>
  <c r="P796" i="57"/>
  <c r="N796" i="57"/>
  <c r="C796" i="57"/>
  <c r="S830" i="57"/>
  <c r="P830" i="57"/>
  <c r="N830" i="57"/>
  <c r="C830" i="57"/>
  <c r="S823" i="57"/>
  <c r="P823" i="57"/>
  <c r="N823" i="57"/>
  <c r="C823" i="57"/>
  <c r="S783" i="57"/>
  <c r="P783" i="57"/>
  <c r="N783" i="57"/>
  <c r="C783" i="57"/>
  <c r="S808" i="57"/>
  <c r="P808" i="57"/>
  <c r="N808" i="57"/>
  <c r="C808" i="57"/>
  <c r="S835" i="57"/>
  <c r="P835" i="57"/>
  <c r="N835" i="57"/>
  <c r="C835" i="57"/>
  <c r="S806" i="57"/>
  <c r="P806" i="57"/>
  <c r="N806" i="57"/>
  <c r="C806" i="57"/>
  <c r="S809" i="57"/>
  <c r="P809" i="57"/>
  <c r="N809" i="57"/>
  <c r="C809" i="57"/>
  <c r="S799" i="57"/>
  <c r="P799" i="57"/>
  <c r="N799" i="57"/>
  <c r="C799" i="57"/>
  <c r="S785" i="57"/>
  <c r="P785" i="57"/>
  <c r="N785" i="57"/>
  <c r="C785" i="57"/>
  <c r="S812" i="57"/>
  <c r="P812" i="57"/>
  <c r="N812" i="57"/>
  <c r="C812" i="57"/>
  <c r="S811" i="57"/>
  <c r="P811" i="57"/>
  <c r="N811" i="57"/>
  <c r="C811" i="57"/>
  <c r="S790" i="57"/>
  <c r="P790" i="57"/>
  <c r="N790" i="57"/>
  <c r="C790" i="57"/>
  <c r="S89" i="57"/>
  <c r="P89" i="57"/>
  <c r="N89" i="57"/>
  <c r="C89" i="57"/>
  <c r="S88" i="57"/>
  <c r="P88" i="57"/>
  <c r="N88" i="57"/>
  <c r="C88" i="57"/>
  <c r="S63" i="57"/>
  <c r="P63" i="57"/>
  <c r="N63" i="57"/>
  <c r="C63" i="57"/>
  <c r="S87" i="57"/>
  <c r="P87" i="57"/>
  <c r="N87" i="57"/>
  <c r="C87" i="57"/>
  <c r="S86" i="57"/>
  <c r="P86" i="57"/>
  <c r="N86" i="57"/>
  <c r="C86" i="57"/>
  <c r="S90" i="57"/>
  <c r="P90" i="57"/>
  <c r="N90" i="57"/>
  <c r="C90" i="57"/>
  <c r="S71" i="57"/>
  <c r="P71" i="57"/>
  <c r="N71" i="57"/>
  <c r="C71" i="57"/>
  <c r="S62" i="57"/>
  <c r="P62" i="57"/>
  <c r="N62" i="57"/>
  <c r="C62" i="57"/>
  <c r="S85" i="57"/>
  <c r="P85" i="57"/>
  <c r="N85" i="57"/>
  <c r="C85" i="57"/>
  <c r="S73" i="57"/>
  <c r="P73" i="57"/>
  <c r="N73" i="57"/>
  <c r="C73" i="57"/>
  <c r="S66" i="57"/>
  <c r="P66" i="57"/>
  <c r="N66" i="57"/>
  <c r="C66" i="57"/>
  <c r="S65" i="57"/>
  <c r="P65" i="57"/>
  <c r="N65" i="57"/>
  <c r="C65" i="57"/>
  <c r="S84" i="57"/>
  <c r="P84" i="57"/>
  <c r="N84" i="57"/>
  <c r="C84" i="57"/>
  <c r="S83" i="57"/>
  <c r="P83" i="57"/>
  <c r="N83" i="57"/>
  <c r="C83" i="57"/>
  <c r="S82" i="57"/>
  <c r="P82" i="57"/>
  <c r="N82" i="57"/>
  <c r="C82" i="57"/>
  <c r="S68" i="57"/>
  <c r="P68" i="57"/>
  <c r="N68" i="57"/>
  <c r="C68" i="57"/>
  <c r="S81" i="57"/>
  <c r="P81" i="57"/>
  <c r="N81" i="57"/>
  <c r="C81" i="57"/>
  <c r="S67" i="57"/>
  <c r="P67" i="57"/>
  <c r="N67" i="57"/>
  <c r="C67" i="57"/>
  <c r="S64" i="57"/>
  <c r="P64" i="57"/>
  <c r="N64" i="57"/>
  <c r="C64" i="57"/>
  <c r="S72" i="57"/>
  <c r="P72" i="57"/>
  <c r="N72" i="57"/>
  <c r="C72" i="57"/>
  <c r="S70" i="57"/>
  <c r="P70" i="57"/>
  <c r="N70" i="57"/>
  <c r="C70" i="57"/>
  <c r="S80" i="57"/>
  <c r="P80" i="57"/>
  <c r="N80" i="57"/>
  <c r="C80" i="57"/>
  <c r="S79" i="57"/>
  <c r="P79" i="57"/>
  <c r="N79" i="57"/>
  <c r="C79" i="57"/>
  <c r="S69" i="57"/>
  <c r="P69" i="57"/>
  <c r="N69" i="57"/>
  <c r="C69" i="57"/>
  <c r="S78" i="57"/>
  <c r="P78" i="57"/>
  <c r="N78" i="57"/>
  <c r="C78" i="57"/>
  <c r="S77" i="57"/>
  <c r="P77" i="57"/>
  <c r="N77" i="57"/>
  <c r="C77" i="57"/>
  <c r="S76" i="57"/>
  <c r="P76" i="57"/>
  <c r="N76" i="57"/>
  <c r="C76" i="57"/>
  <c r="S75" i="57"/>
  <c r="P75" i="57"/>
  <c r="N75" i="57"/>
  <c r="C75" i="57"/>
  <c r="S74" i="57"/>
  <c r="P74" i="57"/>
  <c r="N74" i="57"/>
  <c r="C74" i="57"/>
  <c r="S183" i="57"/>
  <c r="P183" i="57"/>
  <c r="N183" i="57"/>
  <c r="C183" i="57"/>
  <c r="S182" i="57"/>
  <c r="P182" i="57"/>
  <c r="N182" i="57"/>
  <c r="C182" i="57"/>
  <c r="S181" i="57"/>
  <c r="P181" i="57"/>
  <c r="N181" i="57"/>
  <c r="C181" i="57"/>
  <c r="S180" i="57"/>
  <c r="P180" i="57"/>
  <c r="N180" i="57"/>
  <c r="C180" i="57"/>
  <c r="S179" i="57"/>
  <c r="P179" i="57"/>
  <c r="N179" i="57"/>
  <c r="C179" i="57"/>
  <c r="S178" i="57"/>
  <c r="P178" i="57"/>
  <c r="N178" i="57"/>
  <c r="C178" i="57"/>
  <c r="S177" i="57"/>
  <c r="P177" i="57"/>
  <c r="N177" i="57"/>
  <c r="C177" i="57"/>
  <c r="S227" i="57"/>
  <c r="P227" i="57"/>
  <c r="N227" i="57"/>
  <c r="C227" i="57"/>
  <c r="S241" i="57"/>
  <c r="P241" i="57"/>
  <c r="N241" i="57"/>
  <c r="C241" i="57"/>
  <c r="S231" i="57"/>
  <c r="P231" i="57"/>
  <c r="N231" i="57"/>
  <c r="C231" i="57"/>
  <c r="S226" i="57"/>
  <c r="P226" i="57"/>
  <c r="N226" i="57"/>
  <c r="C226" i="57"/>
  <c r="S240" i="57"/>
  <c r="P240" i="57"/>
  <c r="N240" i="57"/>
  <c r="C240" i="57"/>
  <c r="S243" i="57"/>
  <c r="P243" i="57"/>
  <c r="N243" i="57"/>
  <c r="C243" i="57"/>
  <c r="S228" i="57"/>
  <c r="P228" i="57"/>
  <c r="N228" i="57"/>
  <c r="C228" i="57"/>
  <c r="S239" i="57"/>
  <c r="P239" i="57"/>
  <c r="N239" i="57"/>
  <c r="C239" i="57"/>
  <c r="S242" i="57"/>
  <c r="P242" i="57"/>
  <c r="N242" i="57"/>
  <c r="C242" i="57"/>
  <c r="S238" i="57"/>
  <c r="P238" i="57"/>
  <c r="N238" i="57"/>
  <c r="C238" i="57"/>
  <c r="S237" i="57"/>
  <c r="P237" i="57"/>
  <c r="N237" i="57"/>
  <c r="C237" i="57"/>
  <c r="S229" i="57"/>
  <c r="P229" i="57"/>
  <c r="N229" i="57"/>
  <c r="C229" i="57"/>
  <c r="S236" i="57"/>
  <c r="P236" i="57"/>
  <c r="N236" i="57"/>
  <c r="C236" i="57"/>
  <c r="S235" i="57"/>
  <c r="P235" i="57"/>
  <c r="N235" i="57"/>
  <c r="C235" i="57"/>
  <c r="S234" i="57"/>
  <c r="P234" i="57"/>
  <c r="N234" i="57"/>
  <c r="C234" i="57"/>
  <c r="S233" i="57"/>
  <c r="P233" i="57"/>
  <c r="N233" i="57"/>
  <c r="C233" i="57"/>
  <c r="S230" i="57"/>
  <c r="P230" i="57"/>
  <c r="N230" i="57"/>
  <c r="C230" i="57"/>
  <c r="S232" i="57"/>
  <c r="P232" i="57"/>
  <c r="N232" i="57"/>
  <c r="C232" i="57"/>
  <c r="S137" i="57"/>
  <c r="P137" i="57"/>
  <c r="N137" i="57"/>
  <c r="C137" i="57"/>
  <c r="S155" i="57"/>
  <c r="P155" i="57"/>
  <c r="N155" i="57"/>
  <c r="C155" i="57"/>
  <c r="S136" i="57"/>
  <c r="P136" i="57"/>
  <c r="N136" i="57"/>
  <c r="C136" i="57"/>
  <c r="S154" i="57"/>
  <c r="P154" i="57"/>
  <c r="N154" i="57"/>
  <c r="C154" i="57"/>
  <c r="S153" i="57"/>
  <c r="P153" i="57"/>
  <c r="N153" i="57"/>
  <c r="C153" i="57"/>
  <c r="S157" i="57"/>
  <c r="P157" i="57"/>
  <c r="N157" i="57"/>
  <c r="C157" i="57"/>
  <c r="S142" i="57"/>
  <c r="P142" i="57"/>
  <c r="N142" i="57"/>
  <c r="C142" i="57"/>
  <c r="S139" i="57"/>
  <c r="P139" i="57"/>
  <c r="N139" i="57"/>
  <c r="C139" i="57"/>
  <c r="S138" i="57"/>
  <c r="P138" i="57"/>
  <c r="N138" i="57"/>
  <c r="C138" i="57"/>
  <c r="S152" i="57"/>
  <c r="P152" i="57"/>
  <c r="N152" i="57"/>
  <c r="C152" i="57"/>
  <c r="S156" i="57"/>
  <c r="P156" i="57"/>
  <c r="N156" i="57"/>
  <c r="C156" i="57"/>
  <c r="S143" i="57"/>
  <c r="P143" i="57"/>
  <c r="N143" i="57"/>
  <c r="C143" i="57"/>
  <c r="S151" i="57"/>
  <c r="P151" i="57"/>
  <c r="N151" i="57"/>
  <c r="C151" i="57"/>
  <c r="S150" i="57"/>
  <c r="P150" i="57"/>
  <c r="N150" i="57"/>
  <c r="C150" i="57"/>
  <c r="S149" i="57"/>
  <c r="P149" i="57"/>
  <c r="N149" i="57"/>
  <c r="C149" i="57"/>
  <c r="S148" i="57"/>
  <c r="P148" i="57"/>
  <c r="N148" i="57"/>
  <c r="C148" i="57"/>
  <c r="S141" i="57"/>
  <c r="P141" i="57"/>
  <c r="N141" i="57"/>
  <c r="C141" i="57"/>
  <c r="S147" i="57"/>
  <c r="P147" i="57"/>
  <c r="N147" i="57"/>
  <c r="C147" i="57"/>
  <c r="S146" i="57"/>
  <c r="P146" i="57"/>
  <c r="N146" i="57"/>
  <c r="C146" i="57"/>
  <c r="S140" i="57"/>
  <c r="P140" i="57"/>
  <c r="N140" i="57"/>
  <c r="C140" i="57"/>
  <c r="S145" i="57"/>
  <c r="P145" i="57"/>
  <c r="N145" i="57"/>
  <c r="C145" i="57"/>
  <c r="S144" i="57"/>
  <c r="P144" i="57"/>
  <c r="N144" i="57"/>
  <c r="C144" i="57"/>
  <c r="S112" i="57"/>
  <c r="P112" i="57"/>
  <c r="N112" i="57"/>
  <c r="C112" i="57"/>
  <c r="S111" i="57"/>
  <c r="P111" i="57"/>
  <c r="N111" i="57"/>
  <c r="C111" i="57"/>
  <c r="S91" i="57"/>
  <c r="P91" i="57"/>
  <c r="N91" i="57"/>
  <c r="C91" i="57"/>
  <c r="S110" i="57"/>
  <c r="P110" i="57"/>
  <c r="N110" i="57"/>
  <c r="C110" i="57"/>
  <c r="S109" i="57"/>
  <c r="P109" i="57"/>
  <c r="N109" i="57"/>
  <c r="C109" i="57"/>
  <c r="S108" i="57"/>
  <c r="P108" i="57"/>
  <c r="N108" i="57"/>
  <c r="C108" i="57"/>
  <c r="S93" i="57"/>
  <c r="P93" i="57"/>
  <c r="N93" i="57"/>
  <c r="C93" i="57"/>
  <c r="S92" i="57"/>
  <c r="P92" i="57"/>
  <c r="N92" i="57"/>
  <c r="C92" i="57"/>
  <c r="S107" i="57"/>
  <c r="P107" i="57"/>
  <c r="N107" i="57"/>
  <c r="C107" i="57"/>
  <c r="S106" i="57"/>
  <c r="P106" i="57"/>
  <c r="N106" i="57"/>
  <c r="C106" i="57"/>
  <c r="S105" i="57"/>
  <c r="P105" i="57"/>
  <c r="N105" i="57"/>
  <c r="C105" i="57"/>
  <c r="S104" i="57"/>
  <c r="P104" i="57"/>
  <c r="N104" i="57"/>
  <c r="C104" i="57"/>
  <c r="S103" i="57"/>
  <c r="P103" i="57"/>
  <c r="N103" i="57"/>
  <c r="C103" i="57"/>
  <c r="S100" i="57"/>
  <c r="P100" i="57"/>
  <c r="N100" i="57"/>
  <c r="C100" i="57"/>
  <c r="S99" i="57"/>
  <c r="P99" i="57"/>
  <c r="N99" i="57"/>
  <c r="C99" i="57"/>
  <c r="S98" i="57"/>
  <c r="P98" i="57"/>
  <c r="N98" i="57"/>
  <c r="C98" i="57"/>
  <c r="S97" i="57"/>
  <c r="P97" i="57"/>
  <c r="N97" i="57"/>
  <c r="C97" i="57"/>
  <c r="S96" i="57"/>
  <c r="P96" i="57"/>
  <c r="N96" i="57"/>
  <c r="C96" i="57"/>
  <c r="S95" i="57"/>
  <c r="P95" i="57"/>
  <c r="N95" i="57"/>
  <c r="C95" i="57"/>
  <c r="S102" i="57"/>
  <c r="P102" i="57"/>
  <c r="N102" i="57"/>
  <c r="C102" i="57"/>
  <c r="S101" i="57"/>
  <c r="P101" i="57"/>
  <c r="N101" i="57"/>
  <c r="C101" i="57"/>
  <c r="S94" i="57"/>
  <c r="P94" i="57"/>
  <c r="N94" i="57"/>
  <c r="C94" i="57"/>
  <c r="S189" i="57"/>
  <c r="P189" i="57"/>
  <c r="L189" i="57"/>
  <c r="N189" i="57" s="1"/>
  <c r="C189" i="57"/>
  <c r="S258" i="57"/>
  <c r="P258" i="57"/>
  <c r="L258" i="57"/>
  <c r="N258" i="57" s="1"/>
  <c r="C258" i="57"/>
  <c r="S204" i="57"/>
  <c r="P204" i="57"/>
  <c r="L204" i="57"/>
  <c r="N204" i="57" s="1"/>
  <c r="C204" i="57"/>
  <c r="S273" i="57"/>
  <c r="P273" i="57"/>
  <c r="L273" i="57"/>
  <c r="N273" i="57" s="1"/>
  <c r="C273" i="57"/>
  <c r="S203" i="57"/>
  <c r="P203" i="57"/>
  <c r="L203" i="57"/>
  <c r="N203" i="57" s="1"/>
  <c r="C203" i="57"/>
  <c r="S272" i="57"/>
  <c r="P272" i="57"/>
  <c r="L272" i="57"/>
  <c r="N272" i="57" s="1"/>
  <c r="C272" i="57"/>
  <c r="S206" i="57"/>
  <c r="P206" i="57"/>
  <c r="L206" i="57"/>
  <c r="N206" i="57" s="1"/>
  <c r="C206" i="57"/>
  <c r="S275" i="57"/>
  <c r="P275" i="57"/>
  <c r="L275" i="57"/>
  <c r="N275" i="57" s="1"/>
  <c r="C275" i="57"/>
  <c r="S196" i="57"/>
  <c r="P196" i="57"/>
  <c r="L196" i="57"/>
  <c r="N196" i="57" s="1"/>
  <c r="C196" i="57"/>
  <c r="S265" i="57"/>
  <c r="P265" i="57"/>
  <c r="L265" i="57"/>
  <c r="N265" i="57" s="1"/>
  <c r="C265" i="57"/>
  <c r="S188" i="57"/>
  <c r="P188" i="57"/>
  <c r="L188" i="57"/>
  <c r="N188" i="57" s="1"/>
  <c r="C188" i="57"/>
  <c r="S257" i="57"/>
  <c r="P257" i="57"/>
  <c r="N257" i="57"/>
  <c r="C257" i="57"/>
  <c r="S202" i="57"/>
  <c r="P202" i="57"/>
  <c r="L202" i="57"/>
  <c r="N202" i="57" s="1"/>
  <c r="C202" i="57"/>
  <c r="S271" i="57"/>
  <c r="P271" i="57"/>
  <c r="L271" i="57"/>
  <c r="N271" i="57" s="1"/>
  <c r="C271" i="57"/>
  <c r="S205" i="57"/>
  <c r="P205" i="57"/>
  <c r="N205" i="57"/>
  <c r="L205" i="57"/>
  <c r="C205" i="57"/>
  <c r="S274" i="57"/>
  <c r="P274" i="57"/>
  <c r="L274" i="57"/>
  <c r="N274" i="57" s="1"/>
  <c r="C274" i="57"/>
  <c r="S197" i="57"/>
  <c r="P197" i="57"/>
  <c r="L197" i="57"/>
  <c r="N197" i="57" s="1"/>
  <c r="C197" i="57"/>
  <c r="S266" i="57"/>
  <c r="P266" i="57"/>
  <c r="N266" i="57"/>
  <c r="L266" i="57"/>
  <c r="C266" i="57"/>
  <c r="S191" i="57"/>
  <c r="P191" i="57"/>
  <c r="N191" i="57"/>
  <c r="C191" i="57"/>
  <c r="S260" i="57"/>
  <c r="P260" i="57"/>
  <c r="N260" i="57"/>
  <c r="C260" i="57"/>
  <c r="S190" i="57"/>
  <c r="P190" i="57"/>
  <c r="L190" i="57"/>
  <c r="N190" i="57" s="1"/>
  <c r="C190" i="57"/>
  <c r="S259" i="57"/>
  <c r="P259" i="57"/>
  <c r="N259" i="57"/>
  <c r="C259" i="57"/>
  <c r="S201" i="57"/>
  <c r="P201" i="57"/>
  <c r="L201" i="57"/>
  <c r="N201" i="57" s="1"/>
  <c r="C201" i="57"/>
  <c r="S270" i="57"/>
  <c r="P270" i="57"/>
  <c r="N270" i="57"/>
  <c r="C270" i="57"/>
  <c r="S200" i="57"/>
  <c r="P200" i="57"/>
  <c r="L200" i="57"/>
  <c r="N200" i="57" s="1"/>
  <c r="C200" i="57"/>
  <c r="S269" i="57"/>
  <c r="P269" i="57"/>
  <c r="L269" i="57"/>
  <c r="N269" i="57" s="1"/>
  <c r="C269" i="57"/>
  <c r="S199" i="57"/>
  <c r="P199" i="57"/>
  <c r="L199" i="57"/>
  <c r="N199" i="57" s="1"/>
  <c r="C199" i="57"/>
  <c r="S268" i="57"/>
  <c r="P268" i="57"/>
  <c r="L268" i="57"/>
  <c r="N268" i="57" s="1"/>
  <c r="C268" i="57"/>
  <c r="S192" i="57"/>
  <c r="P192" i="57"/>
  <c r="L192" i="57"/>
  <c r="N192" i="57" s="1"/>
  <c r="C192" i="57"/>
  <c r="S261" i="57"/>
  <c r="P261" i="57"/>
  <c r="L261" i="57"/>
  <c r="N261" i="57" s="1"/>
  <c r="C261" i="57"/>
  <c r="S198" i="57"/>
  <c r="P198" i="57"/>
  <c r="L198" i="57"/>
  <c r="N198" i="57" s="1"/>
  <c r="C198" i="57"/>
  <c r="S267" i="57"/>
  <c r="P267" i="57"/>
  <c r="N267" i="57"/>
  <c r="C267" i="57"/>
  <c r="S195" i="57"/>
  <c r="P195" i="57"/>
  <c r="L195" i="57"/>
  <c r="N195" i="57" s="1"/>
  <c r="C195" i="57"/>
  <c r="S264" i="57"/>
  <c r="P264" i="57"/>
  <c r="L264" i="57"/>
  <c r="N264" i="57" s="1"/>
  <c r="C264" i="57"/>
  <c r="S194" i="57"/>
  <c r="P194" i="57"/>
  <c r="L194" i="57"/>
  <c r="N194" i="57" s="1"/>
  <c r="C194" i="57"/>
  <c r="S263" i="57"/>
  <c r="P263" i="57"/>
  <c r="L263" i="57"/>
  <c r="N263" i="57" s="1"/>
  <c r="C263" i="57"/>
  <c r="S193" i="57"/>
  <c r="P193" i="57"/>
  <c r="L193" i="57"/>
  <c r="N193" i="57" s="1"/>
  <c r="C193" i="57"/>
  <c r="S262" i="57"/>
  <c r="P262" i="57"/>
  <c r="N262" i="57"/>
  <c r="C262" i="57"/>
  <c r="P595" i="57"/>
  <c r="N595" i="57"/>
  <c r="C595" i="57"/>
  <c r="P616" i="57"/>
  <c r="N616" i="57"/>
  <c r="C616" i="57"/>
  <c r="P609" i="57"/>
  <c r="N609" i="57"/>
  <c r="C609" i="57"/>
  <c r="P599" i="57"/>
  <c r="N599" i="57"/>
  <c r="C599" i="57"/>
  <c r="P598" i="57"/>
  <c r="N598" i="57"/>
  <c r="C598" i="57"/>
  <c r="P615" i="57"/>
  <c r="N615" i="57"/>
  <c r="C615" i="57"/>
  <c r="P614" i="57"/>
  <c r="N614" i="57"/>
  <c r="C614" i="57"/>
  <c r="P613" i="57"/>
  <c r="N613" i="57"/>
  <c r="C613" i="57"/>
  <c r="P606" i="57"/>
  <c r="N606" i="57"/>
  <c r="C606" i="57"/>
  <c r="P612" i="57"/>
  <c r="N612" i="57"/>
  <c r="C612" i="57"/>
  <c r="P611" i="57"/>
  <c r="N611" i="57"/>
  <c r="C611" i="57"/>
  <c r="S604" i="57"/>
  <c r="P604" i="57"/>
  <c r="N604" i="57"/>
  <c r="C604" i="57"/>
  <c r="I224" i="17"/>
  <c r="I223" i="17"/>
  <c r="I222" i="17"/>
  <c r="I221" i="17"/>
  <c r="I220" i="17"/>
  <c r="I219" i="17"/>
  <c r="I218" i="17"/>
  <c r="I217" i="17"/>
  <c r="I216" i="17"/>
  <c r="I215" i="17"/>
  <c r="I214" i="17"/>
  <c r="I213" i="17"/>
  <c r="I212" i="17"/>
  <c r="I211" i="17"/>
  <c r="I210" i="17"/>
  <c r="I209" i="17"/>
  <c r="I208" i="17"/>
  <c r="I207" i="17"/>
  <c r="I206" i="17"/>
  <c r="I205" i="17"/>
  <c r="I204" i="17"/>
  <c r="I203" i="17"/>
  <c r="I202" i="17"/>
  <c r="I201" i="17"/>
  <c r="I200" i="17"/>
  <c r="I199" i="17"/>
  <c r="I198" i="17"/>
  <c r="I197" i="17"/>
  <c r="I196" i="17"/>
  <c r="I195" i="17"/>
  <c r="I194" i="17"/>
  <c r="I193" i="17"/>
  <c r="I192" i="17"/>
  <c r="I191" i="17"/>
  <c r="I190" i="17"/>
  <c r="I189" i="17"/>
  <c r="I188" i="17"/>
  <c r="I187" i="17"/>
  <c r="I186" i="17"/>
  <c r="I185" i="17"/>
  <c r="I184" i="17"/>
  <c r="I183" i="17"/>
  <c r="I182" i="17"/>
  <c r="I181" i="17"/>
  <c r="I180" i="17"/>
  <c r="I179" i="17"/>
  <c r="I178" i="17"/>
  <c r="I177" i="17"/>
  <c r="I176" i="17"/>
  <c r="I175" i="17"/>
  <c r="I174" i="17"/>
  <c r="I173" i="17"/>
  <c r="I172" i="17"/>
  <c r="I171" i="17"/>
  <c r="I170" i="17"/>
  <c r="I169" i="17"/>
  <c r="I168" i="17"/>
  <c r="I167" i="17"/>
  <c r="I166" i="17"/>
  <c r="I165" i="17"/>
  <c r="I164" i="17"/>
  <c r="I163" i="17"/>
  <c r="I162" i="17"/>
  <c r="I161" i="17"/>
  <c r="I160" i="17"/>
  <c r="I159" i="17"/>
  <c r="I158" i="17"/>
  <c r="I157" i="17"/>
  <c r="I156" i="17"/>
  <c r="I155" i="17"/>
  <c r="I154" i="17"/>
  <c r="I153" i="17"/>
  <c r="I152" i="17"/>
  <c r="I151" i="17"/>
  <c r="I150" i="17"/>
  <c r="I149" i="17"/>
  <c r="I148" i="17"/>
  <c r="I147" i="17"/>
  <c r="I146" i="17"/>
  <c r="I145" i="17"/>
  <c r="I144" i="17"/>
  <c r="I143" i="17"/>
  <c r="I142" i="17"/>
  <c r="I141" i="17"/>
  <c r="I140" i="17"/>
  <c r="I139" i="17"/>
  <c r="I138" i="17"/>
  <c r="I137" i="17"/>
  <c r="I136" i="17"/>
  <c r="I135" i="17"/>
  <c r="I134" i="17"/>
  <c r="I133" i="17"/>
  <c r="I132" i="17"/>
  <c r="I131" i="17"/>
  <c r="I130" i="17"/>
  <c r="I129" i="17"/>
  <c r="I128" i="17"/>
  <c r="I127" i="17"/>
  <c r="I126" i="17"/>
  <c r="I125" i="17"/>
  <c r="I124" i="17"/>
  <c r="F124" i="17"/>
  <c r="I123" i="17"/>
  <c r="F123" i="17"/>
  <c r="I122" i="17"/>
  <c r="F122" i="17"/>
  <c r="I121" i="17"/>
  <c r="F121" i="17"/>
  <c r="I120" i="17"/>
  <c r="F120" i="17"/>
  <c r="I119" i="17"/>
  <c r="F119" i="17"/>
  <c r="I118" i="17"/>
  <c r="F118" i="17"/>
  <c r="I117" i="17"/>
  <c r="F117" i="17"/>
  <c r="I116" i="17"/>
  <c r="F116" i="17"/>
  <c r="I115" i="17"/>
  <c r="F115" i="17"/>
  <c r="I114" i="17"/>
  <c r="F114" i="17"/>
  <c r="I113" i="17"/>
  <c r="I112" i="17"/>
  <c r="F112" i="17"/>
  <c r="I111" i="17"/>
  <c r="F111" i="17"/>
  <c r="I110" i="17"/>
  <c r="F110" i="17"/>
  <c r="I109" i="17"/>
  <c r="F109" i="17"/>
  <c r="I108" i="17"/>
  <c r="F108" i="17"/>
  <c r="I107" i="17"/>
  <c r="F107" i="17"/>
  <c r="I106" i="17"/>
  <c r="I105" i="17"/>
  <c r="I104" i="17"/>
  <c r="F104" i="17"/>
  <c r="I103" i="17"/>
  <c r="I102" i="17"/>
  <c r="F102" i="17"/>
  <c r="I101" i="17"/>
  <c r="I100" i="17"/>
  <c r="F100" i="17"/>
  <c r="I99" i="17"/>
  <c r="F99" i="17"/>
  <c r="I98" i="17"/>
  <c r="F98" i="17"/>
  <c r="I97" i="17"/>
  <c r="F97" i="17"/>
  <c r="I96" i="17"/>
  <c r="F96" i="17"/>
  <c r="I95" i="17"/>
  <c r="F95" i="17"/>
  <c r="I94" i="17"/>
  <c r="F94" i="17"/>
  <c r="I93" i="17"/>
  <c r="I92" i="17"/>
  <c r="F92" i="17"/>
  <c r="I91" i="17"/>
  <c r="F91" i="17"/>
  <c r="I90" i="17"/>
  <c r="F90" i="17"/>
  <c r="I89" i="17"/>
  <c r="F89" i="17"/>
  <c r="I88" i="17"/>
  <c r="F88" i="17"/>
  <c r="I87" i="17"/>
  <c r="I75" i="17"/>
  <c r="I74" i="17"/>
  <c r="F74" i="17"/>
  <c r="F74" i="17" a="1"/>
  <c r="I73" i="17"/>
  <c r="F73" i="17"/>
  <c r="F73" i="17" a="1"/>
  <c r="I72" i="17"/>
  <c r="F72" i="17"/>
  <c r="F72" i="17" a="1"/>
  <c r="I71" i="17"/>
  <c r="F71" i="17"/>
  <c r="F71" i="17" a="1"/>
  <c r="I70" i="17"/>
  <c r="F70" i="17"/>
  <c r="F70" i="17" a="1"/>
  <c r="I69" i="17"/>
  <c r="F69" i="17"/>
  <c r="F69" i="17" a="1"/>
  <c r="I68" i="17"/>
  <c r="F68" i="17"/>
  <c r="F68" i="17" a="1"/>
  <c r="I67" i="17"/>
  <c r="F67" i="17"/>
  <c r="F67" i="17" a="1"/>
  <c r="I66" i="17"/>
  <c r="F66" i="17"/>
  <c r="F66" i="17" a="1"/>
  <c r="I65" i="17"/>
  <c r="F65" i="17"/>
  <c r="F65" i="17" a="1"/>
  <c r="I64" i="17"/>
  <c r="F64" i="17"/>
  <c r="F64" i="17" a="1"/>
  <c r="I63" i="17"/>
  <c r="F63" i="17"/>
  <c r="F63" i="17" a="1"/>
  <c r="I62" i="17"/>
  <c r="F62" i="17"/>
  <c r="F62" i="17" a="1"/>
  <c r="I61" i="17"/>
  <c r="F61" i="17"/>
  <c r="F61" i="17" a="1"/>
  <c r="I60" i="17"/>
  <c r="F60" i="17"/>
  <c r="F60" i="17" a="1"/>
  <c r="I59" i="17"/>
  <c r="F59" i="17"/>
  <c r="F59" i="17" a="1"/>
  <c r="I58" i="17"/>
  <c r="F58" i="17"/>
  <c r="F58" i="17" a="1"/>
  <c r="I57" i="17"/>
  <c r="F57" i="17"/>
  <c r="F57" i="17" a="1"/>
  <c r="I56" i="17"/>
  <c r="F56" i="17"/>
  <c r="F56" i="17" a="1"/>
  <c r="I55" i="17"/>
  <c r="F55" i="17"/>
  <c r="F55" i="17" a="1"/>
  <c r="I54" i="17"/>
  <c r="F54" i="17"/>
  <c r="F54" i="17" a="1"/>
  <c r="I53" i="17"/>
  <c r="F53" i="17"/>
  <c r="F53" i="17" a="1"/>
  <c r="I52" i="17"/>
  <c r="F52" i="17"/>
  <c r="F52" i="17" a="1"/>
  <c r="I51" i="17"/>
  <c r="F51" i="17"/>
  <c r="F51" i="17" a="1"/>
  <c r="I50" i="17"/>
  <c r="F50" i="17"/>
  <c r="F50" i="17" a="1"/>
  <c r="I49" i="17"/>
  <c r="F49" i="17"/>
  <c r="F49" i="17" a="1"/>
  <c r="I48" i="17"/>
  <c r="F48" i="17"/>
  <c r="F48" i="17" a="1"/>
  <c r="I47" i="17"/>
  <c r="F47" i="17"/>
  <c r="F47" i="17" a="1"/>
  <c r="I46" i="17"/>
  <c r="F46" i="17"/>
  <c r="F46" i="17" a="1"/>
  <c r="I45" i="17"/>
  <c r="F45" i="17"/>
  <c r="F45" i="17" a="1"/>
  <c r="I44" i="17"/>
  <c r="F44" i="17"/>
  <c r="F44" i="17" a="1"/>
  <c r="I43" i="17"/>
  <c r="F43" i="17"/>
  <c r="F43" i="17" a="1"/>
  <c r="I42" i="17"/>
  <c r="F42" i="17"/>
  <c r="F42" i="17" a="1"/>
  <c r="I41" i="17"/>
  <c r="F41" i="17"/>
  <c r="F41" i="17" a="1"/>
  <c r="I40" i="17"/>
  <c r="F40" i="17"/>
  <c r="F40" i="17" a="1"/>
  <c r="I39" i="17"/>
  <c r="F39" i="17"/>
  <c r="F39" i="17" a="1"/>
  <c r="I38" i="17"/>
  <c r="F38" i="17"/>
  <c r="F38" i="17" a="1"/>
  <c r="I37" i="17"/>
  <c r="F37" i="17"/>
  <c r="F37" i="17" a="1"/>
  <c r="I36" i="17"/>
  <c r="F36" i="17"/>
  <c r="F36" i="17" a="1"/>
  <c r="I35" i="17"/>
  <c r="F35" i="17"/>
  <c r="F35" i="17" a="1"/>
  <c r="I34" i="17"/>
  <c r="F34" i="17"/>
  <c r="F34" i="17" a="1"/>
  <c r="I33" i="17"/>
  <c r="F33" i="17"/>
  <c r="F33" i="17" a="1"/>
  <c r="I32" i="17"/>
  <c r="F32" i="17"/>
  <c r="F32" i="17" a="1"/>
  <c r="I31" i="17"/>
  <c r="F31" i="17"/>
  <c r="F31" i="17" a="1"/>
  <c r="I30" i="17"/>
  <c r="F30" i="17"/>
  <c r="F30" i="17" a="1"/>
  <c r="B9" i="17"/>
  <c r="V25" i="55"/>
  <c r="P25" i="55"/>
  <c r="C25" i="55"/>
  <c r="V24" i="55"/>
  <c r="P24" i="55"/>
  <c r="C24" i="55"/>
  <c r="V23" i="55"/>
  <c r="P23" i="55"/>
  <c r="C23" i="55"/>
  <c r="V22" i="55"/>
  <c r="P22" i="55"/>
  <c r="C22" i="55"/>
  <c r="V21" i="55"/>
  <c r="L21" i="55"/>
  <c r="C21" i="55"/>
  <c r="V20" i="55"/>
  <c r="L20" i="55"/>
  <c r="C20" i="55"/>
  <c r="V19" i="55"/>
  <c r="L19" i="55"/>
  <c r="C19" i="55"/>
  <c r="V18" i="55"/>
  <c r="L18" i="55"/>
  <c r="C18" i="55"/>
  <c r="V17" i="55"/>
  <c r="L17" i="55"/>
  <c r="C17" i="55"/>
  <c r="V16" i="55"/>
  <c r="L16" i="55"/>
  <c r="C16" i="55"/>
  <c r="V15" i="55"/>
  <c r="L15" i="55"/>
  <c r="C15" i="55"/>
  <c r="V14" i="55"/>
  <c r="L14" i="55"/>
  <c r="C14" i="55"/>
  <c r="V13" i="55"/>
  <c r="L13" i="55"/>
  <c r="C13" i="55"/>
  <c r="V12" i="55"/>
  <c r="P12" i="55"/>
  <c r="C12" i="55"/>
  <c r="V11" i="55"/>
  <c r="P11" i="55"/>
  <c r="C11" i="55"/>
  <c r="V10" i="55"/>
  <c r="P10" i="55"/>
  <c r="C10" i="55"/>
  <c r="V9" i="55"/>
  <c r="P9" i="55"/>
  <c r="B9" i="55"/>
  <c r="C9" i="55" s="1"/>
  <c r="V8" i="55"/>
  <c r="P8" i="55"/>
  <c r="B8" i="55"/>
  <c r="C8" i="55" s="1"/>
  <c r="V7" i="55"/>
  <c r="P7" i="55"/>
  <c r="B7" i="55"/>
  <c r="C7" i="55" s="1"/>
  <c r="V6" i="55"/>
  <c r="P6" i="55"/>
  <c r="B6" i="55"/>
  <c r="C6" i="55" s="1"/>
  <c r="V5" i="55"/>
  <c r="L5" i="55"/>
  <c r="L3" i="55" s="1"/>
  <c r="P3" i="55" s="1"/>
  <c r="B5" i="55"/>
  <c r="C5" i="55" s="1"/>
  <c r="V4" i="55"/>
  <c r="P4" i="55"/>
  <c r="B4" i="55"/>
  <c r="C4" i="55" s="1"/>
  <c r="V3" i="55"/>
  <c r="B3" i="55"/>
  <c r="C3" i="55" s="1"/>
  <c r="I32" i="40"/>
  <c r="I30" i="40"/>
  <c r="B9" i="40"/>
  <c r="W78" i="54"/>
  <c r="H78" i="54"/>
  <c r="J78" i="54" s="1"/>
  <c r="C78" i="54"/>
  <c r="W77" i="54"/>
  <c r="H77" i="54"/>
  <c r="J77" i="54" s="1"/>
  <c r="C77" i="54"/>
  <c r="W76" i="54"/>
  <c r="H76" i="54"/>
  <c r="J76" i="54" s="1"/>
  <c r="C76" i="54"/>
  <c r="W75" i="54"/>
  <c r="H75" i="54"/>
  <c r="J75" i="54" s="1"/>
  <c r="C75" i="54"/>
  <c r="W74" i="54"/>
  <c r="H74" i="54"/>
  <c r="J74" i="54" s="1"/>
  <c r="C74" i="54"/>
  <c r="W73" i="54"/>
  <c r="H73" i="54"/>
  <c r="J73" i="54" s="1"/>
  <c r="C73" i="54"/>
  <c r="W72" i="54"/>
  <c r="H72" i="54"/>
  <c r="J72" i="54" s="1"/>
  <c r="C72" i="54"/>
  <c r="W71" i="54"/>
  <c r="H71" i="54"/>
  <c r="J71" i="54" s="1"/>
  <c r="C71" i="54"/>
  <c r="W70" i="54"/>
  <c r="H70" i="54"/>
  <c r="J70" i="54" s="1"/>
  <c r="C70" i="54"/>
  <c r="W69" i="54"/>
  <c r="H69" i="54"/>
  <c r="J69" i="54" s="1"/>
  <c r="C69" i="54"/>
  <c r="W68" i="54"/>
  <c r="H68" i="54"/>
  <c r="J68" i="54" s="1"/>
  <c r="C68" i="54"/>
  <c r="W67" i="54"/>
  <c r="H67" i="54"/>
  <c r="J67" i="54" s="1"/>
  <c r="C67" i="54"/>
  <c r="W66" i="54"/>
  <c r="H66" i="54"/>
  <c r="J66" i="54" s="1"/>
  <c r="C66" i="54"/>
  <c r="W65" i="54"/>
  <c r="H65" i="54"/>
  <c r="J65" i="54" s="1"/>
  <c r="C65" i="54"/>
  <c r="W64" i="54"/>
  <c r="H64" i="54"/>
  <c r="J64" i="54" s="1"/>
  <c r="C64" i="54"/>
  <c r="W63" i="54"/>
  <c r="H63" i="54"/>
  <c r="J63" i="54" s="1"/>
  <c r="C63" i="54"/>
  <c r="W62" i="54"/>
  <c r="H62" i="54"/>
  <c r="J62" i="54" s="1"/>
  <c r="C62" i="54"/>
  <c r="W61" i="54"/>
  <c r="H61" i="54"/>
  <c r="J61" i="54" s="1"/>
  <c r="C61" i="54"/>
  <c r="W60" i="54"/>
  <c r="H60" i="54"/>
  <c r="J60" i="54" s="1"/>
  <c r="C60" i="54"/>
  <c r="W59" i="54"/>
  <c r="H59" i="54"/>
  <c r="J59" i="54" s="1"/>
  <c r="C59" i="54"/>
  <c r="W58" i="54"/>
  <c r="H58" i="54"/>
  <c r="J58" i="54" s="1"/>
  <c r="C58" i="54"/>
  <c r="W57" i="54"/>
  <c r="H57" i="54"/>
  <c r="J57" i="54" s="1"/>
  <c r="C57" i="54"/>
  <c r="W56" i="54"/>
  <c r="H56" i="54"/>
  <c r="J56" i="54" s="1"/>
  <c r="C56" i="54"/>
  <c r="W55" i="54"/>
  <c r="H55" i="54"/>
  <c r="J55" i="54" s="1"/>
  <c r="C55" i="54"/>
  <c r="W54" i="54"/>
  <c r="H54" i="54"/>
  <c r="J54" i="54" s="1"/>
  <c r="C54" i="54"/>
  <c r="W53" i="54"/>
  <c r="H53" i="54"/>
  <c r="J53" i="54" s="1"/>
  <c r="C53" i="54"/>
  <c r="W52" i="54"/>
  <c r="H52" i="54"/>
  <c r="J52" i="54" s="1"/>
  <c r="C52" i="54"/>
  <c r="W51" i="54"/>
  <c r="H51" i="54"/>
  <c r="J51" i="54" s="1"/>
  <c r="C51" i="54"/>
  <c r="W50" i="54"/>
  <c r="H50" i="54"/>
  <c r="J50" i="54" s="1"/>
  <c r="C50" i="54"/>
  <c r="W49" i="54"/>
  <c r="H49" i="54"/>
  <c r="J49" i="54" s="1"/>
  <c r="C49" i="54"/>
  <c r="B49" i="54"/>
  <c r="W48" i="54"/>
  <c r="H48" i="54"/>
  <c r="J48" i="54" s="1"/>
  <c r="B48" i="54"/>
  <c r="C48" i="54" s="1"/>
  <c r="W47" i="54"/>
  <c r="J47" i="54"/>
  <c r="H47" i="54"/>
  <c r="B47" i="54"/>
  <c r="C47" i="54" s="1"/>
  <c r="W46" i="54"/>
  <c r="H46" i="54"/>
  <c r="J46" i="54" s="1"/>
  <c r="B46" i="54"/>
  <c r="C46" i="54" s="1"/>
  <c r="W45" i="54"/>
  <c r="H45" i="54"/>
  <c r="J45" i="54" s="1"/>
  <c r="C45" i="54"/>
  <c r="B45" i="54"/>
  <c r="W44" i="54"/>
  <c r="H44" i="54"/>
  <c r="J44" i="54" s="1"/>
  <c r="B44" i="54"/>
  <c r="C44" i="54" s="1"/>
  <c r="W43" i="54"/>
  <c r="H43" i="54"/>
  <c r="J43" i="54" s="1"/>
  <c r="B43" i="54"/>
  <c r="C43" i="54" s="1"/>
  <c r="W42" i="54"/>
  <c r="J42" i="54"/>
  <c r="H42" i="54"/>
  <c r="B42" i="54"/>
  <c r="C42" i="54" s="1"/>
  <c r="W41" i="54"/>
  <c r="J41" i="54"/>
  <c r="H41" i="54"/>
  <c r="C41" i="54"/>
  <c r="B41" i="54"/>
  <c r="W40" i="54"/>
  <c r="J40" i="54"/>
  <c r="H40" i="54"/>
  <c r="B40" i="54"/>
  <c r="C40" i="54" s="1"/>
  <c r="W39" i="54"/>
  <c r="J39" i="54"/>
  <c r="H39" i="54"/>
  <c r="B39" i="54"/>
  <c r="C39" i="54" s="1"/>
  <c r="W38" i="54"/>
  <c r="H38" i="54"/>
  <c r="J38" i="54" s="1"/>
  <c r="B38" i="54"/>
  <c r="C38" i="54" s="1"/>
  <c r="W37" i="54"/>
  <c r="H37" i="54"/>
  <c r="J37" i="54" s="1"/>
  <c r="B37" i="54"/>
  <c r="C37" i="54" s="1"/>
  <c r="W36" i="54"/>
  <c r="O36" i="54"/>
  <c r="J36" i="54"/>
  <c r="H36" i="54"/>
  <c r="B36" i="54"/>
  <c r="C36" i="54" s="1"/>
  <c r="W35" i="54"/>
  <c r="H35" i="54"/>
  <c r="J35" i="54" s="1"/>
  <c r="B35" i="54"/>
  <c r="C35" i="54" s="1"/>
  <c r="W34" i="54"/>
  <c r="H34" i="54"/>
  <c r="J34" i="54" s="1"/>
  <c r="B34" i="54"/>
  <c r="C34" i="54" s="1"/>
  <c r="W33" i="54"/>
  <c r="H33" i="54"/>
  <c r="J33" i="54" s="1"/>
  <c r="C33" i="54"/>
  <c r="B33" i="54"/>
  <c r="W32" i="54"/>
  <c r="J32" i="54"/>
  <c r="H32" i="54"/>
  <c r="C32" i="54"/>
  <c r="B32" i="54"/>
  <c r="W31" i="54"/>
  <c r="H31" i="54"/>
  <c r="J31" i="54" s="1"/>
  <c r="B31" i="54"/>
  <c r="C31" i="54" s="1"/>
  <c r="W30" i="54"/>
  <c r="H30" i="54"/>
  <c r="J30" i="54" s="1"/>
  <c r="C30" i="54"/>
  <c r="B30" i="54"/>
  <c r="W29" i="54"/>
  <c r="H29" i="54"/>
  <c r="J29" i="54" s="1"/>
  <c r="B29" i="54"/>
  <c r="C29" i="54" s="1"/>
  <c r="W28" i="54"/>
  <c r="J28" i="54"/>
  <c r="H28" i="54"/>
  <c r="B28" i="54"/>
  <c r="C28" i="54" s="1"/>
  <c r="W27" i="54"/>
  <c r="H27" i="54"/>
  <c r="J27" i="54" s="1"/>
  <c r="B27" i="54"/>
  <c r="C27" i="54" s="1"/>
  <c r="W26" i="54"/>
  <c r="H26" i="54"/>
  <c r="J26" i="54" s="1"/>
  <c r="C26" i="54"/>
  <c r="B26" i="54"/>
  <c r="W25" i="54"/>
  <c r="J25" i="54"/>
  <c r="H25" i="54"/>
  <c r="B25" i="54"/>
  <c r="C25" i="54" s="1"/>
  <c r="W24" i="54"/>
  <c r="H24" i="54"/>
  <c r="J24" i="54" s="1"/>
  <c r="B24" i="54"/>
  <c r="C24" i="54" s="1"/>
  <c r="W23" i="54"/>
  <c r="J23" i="54"/>
  <c r="H23" i="54"/>
  <c r="B23" i="54"/>
  <c r="C23" i="54" s="1"/>
  <c r="W22" i="54"/>
  <c r="J22" i="54"/>
  <c r="H22" i="54"/>
  <c r="C22" i="54"/>
  <c r="B22" i="54"/>
  <c r="W21" i="54"/>
  <c r="H21" i="54"/>
  <c r="J21" i="54" s="1"/>
  <c r="B21" i="54"/>
  <c r="C21" i="54" s="1"/>
  <c r="W20" i="54"/>
  <c r="J20" i="54"/>
  <c r="H20" i="54"/>
  <c r="B20" i="54"/>
  <c r="C20" i="54" s="1"/>
  <c r="W19" i="54"/>
  <c r="H19" i="54"/>
  <c r="J19" i="54" s="1"/>
  <c r="C19" i="54"/>
  <c r="B19" i="54"/>
  <c r="W18" i="54"/>
  <c r="H18" i="54"/>
  <c r="J18" i="54" s="1"/>
  <c r="B18" i="54"/>
  <c r="C18" i="54" s="1"/>
  <c r="W17" i="54"/>
  <c r="H17" i="54"/>
  <c r="J17" i="54" s="1"/>
  <c r="C17" i="54"/>
  <c r="B17" i="54"/>
  <c r="W16" i="54"/>
  <c r="J16" i="54"/>
  <c r="H16" i="54"/>
  <c r="B16" i="54"/>
  <c r="C16" i="54" s="1"/>
  <c r="W15" i="54"/>
  <c r="H15" i="54"/>
  <c r="J15" i="54" s="1"/>
  <c r="B15" i="54"/>
  <c r="C15" i="54" s="1"/>
  <c r="W14" i="54"/>
  <c r="H14" i="54"/>
  <c r="J14" i="54" s="1"/>
  <c r="C14" i="54"/>
  <c r="B14" i="54"/>
  <c r="W13" i="54"/>
  <c r="H13" i="54"/>
  <c r="J13" i="54" s="1"/>
  <c r="B13" i="54"/>
  <c r="C13" i="54" s="1"/>
  <c r="W12" i="54"/>
  <c r="J12" i="54"/>
  <c r="H12" i="54"/>
  <c r="B12" i="54"/>
  <c r="C12" i="54" s="1"/>
  <c r="W11" i="54"/>
  <c r="H11" i="54"/>
  <c r="J11" i="54" s="1"/>
  <c r="B11" i="54"/>
  <c r="C11" i="54" s="1"/>
  <c r="W10" i="54"/>
  <c r="H10" i="54"/>
  <c r="J10" i="54" s="1"/>
  <c r="C10" i="54"/>
  <c r="B10" i="54"/>
  <c r="W9" i="54"/>
  <c r="J9" i="54"/>
  <c r="H9" i="54"/>
  <c r="B9" i="54"/>
  <c r="C9" i="54" s="1"/>
  <c r="W8" i="54"/>
  <c r="H8" i="54"/>
  <c r="J8" i="54" s="1"/>
  <c r="B8" i="54"/>
  <c r="C8" i="54" s="1"/>
  <c r="W7" i="54"/>
  <c r="J7" i="54"/>
  <c r="H7" i="54"/>
  <c r="B7" i="54"/>
  <c r="C7" i="54" s="1"/>
  <c r="W6" i="54"/>
  <c r="H6" i="54"/>
  <c r="J6" i="54" s="1"/>
  <c r="C6" i="54"/>
  <c r="B6" i="54"/>
  <c r="W5" i="54"/>
  <c r="H5" i="54"/>
  <c r="J5" i="54" s="1"/>
  <c r="B5" i="54"/>
  <c r="C5" i="54" s="1"/>
  <c r="W4" i="54"/>
  <c r="J4" i="54"/>
  <c r="H4" i="54"/>
  <c r="B4" i="54"/>
  <c r="C4" i="54" s="1"/>
  <c r="W3" i="54"/>
  <c r="H3" i="54"/>
  <c r="J3" i="54" s="1"/>
  <c r="C3" i="54"/>
  <c r="B3" i="54"/>
  <c r="I63" i="39"/>
  <c r="B9" i="39"/>
  <c r="B9" i="14"/>
  <c r="C199" i="53"/>
  <c r="C198" i="53"/>
  <c r="C197" i="53"/>
  <c r="C196" i="53"/>
  <c r="C195" i="53"/>
  <c r="R194" i="53"/>
  <c r="C194" i="53"/>
  <c r="R193" i="53"/>
  <c r="C193" i="53"/>
  <c r="R192" i="53"/>
  <c r="C192" i="53"/>
  <c r="R191" i="53"/>
  <c r="C191" i="53"/>
  <c r="R190" i="53"/>
  <c r="C190" i="53"/>
  <c r="R189" i="53"/>
  <c r="C189" i="53"/>
  <c r="R188" i="53"/>
  <c r="C188" i="53"/>
  <c r="R187" i="53"/>
  <c r="C187" i="53"/>
  <c r="R186" i="53"/>
  <c r="C186" i="53"/>
  <c r="R185" i="53"/>
  <c r="C185" i="53"/>
  <c r="R184" i="53"/>
  <c r="C184" i="53"/>
  <c r="R183" i="53"/>
  <c r="C183" i="53"/>
  <c r="R182" i="53"/>
  <c r="C182" i="53"/>
  <c r="R181" i="53"/>
  <c r="C181" i="53"/>
  <c r="R180" i="53"/>
  <c r="C180" i="53"/>
  <c r="R179" i="53"/>
  <c r="C179" i="53"/>
  <c r="R178" i="53"/>
  <c r="C178" i="53"/>
  <c r="R177" i="53"/>
  <c r="C177" i="53"/>
  <c r="R176" i="53"/>
  <c r="C176" i="53"/>
  <c r="R175" i="53"/>
  <c r="C175" i="53"/>
  <c r="R174" i="53"/>
  <c r="C174" i="53"/>
  <c r="R173" i="53"/>
  <c r="C173" i="53"/>
  <c r="R172" i="53"/>
  <c r="C172" i="53"/>
  <c r="R171" i="53"/>
  <c r="C171" i="53"/>
  <c r="R170" i="53"/>
  <c r="C170" i="53"/>
  <c r="R169" i="53"/>
  <c r="C169" i="53"/>
  <c r="R168" i="53"/>
  <c r="C168" i="53"/>
  <c r="R167" i="53"/>
  <c r="C167" i="53"/>
  <c r="R166" i="53"/>
  <c r="C166" i="53"/>
  <c r="R165" i="53"/>
  <c r="C165" i="53"/>
  <c r="R164" i="53"/>
  <c r="C164" i="53"/>
  <c r="R163" i="53"/>
  <c r="C163" i="53"/>
  <c r="R162" i="53"/>
  <c r="C162" i="53"/>
  <c r="R161" i="53"/>
  <c r="C161" i="53"/>
  <c r="R160" i="53"/>
  <c r="C160" i="53"/>
  <c r="R159" i="53"/>
  <c r="C159" i="53"/>
  <c r="R158" i="53"/>
  <c r="C158" i="53"/>
  <c r="R157" i="53"/>
  <c r="C157" i="53"/>
  <c r="R156" i="53"/>
  <c r="C156" i="53"/>
  <c r="R155" i="53"/>
  <c r="C155" i="53"/>
  <c r="R154" i="53"/>
  <c r="C154" i="53"/>
  <c r="R153" i="53"/>
  <c r="C153" i="53"/>
  <c r="R152" i="53"/>
  <c r="C152" i="53"/>
  <c r="R151" i="53"/>
  <c r="C151" i="53"/>
  <c r="R150" i="53"/>
  <c r="C150" i="53"/>
  <c r="R149" i="53"/>
  <c r="C149" i="53"/>
  <c r="R148" i="53"/>
  <c r="C148" i="53"/>
  <c r="R147" i="53"/>
  <c r="C147" i="53"/>
  <c r="R146" i="53"/>
  <c r="C146" i="53"/>
  <c r="R145" i="53"/>
  <c r="C145" i="53"/>
  <c r="R144" i="53"/>
  <c r="C144" i="53"/>
  <c r="R143" i="53"/>
  <c r="C143" i="53"/>
  <c r="R142" i="53"/>
  <c r="C142" i="53"/>
  <c r="R141" i="53"/>
  <c r="C141" i="53"/>
  <c r="R140" i="53"/>
  <c r="C140" i="53"/>
  <c r="R139" i="53"/>
  <c r="C139" i="53"/>
  <c r="R138" i="53"/>
  <c r="C138" i="53"/>
  <c r="R137" i="53"/>
  <c r="C137" i="53"/>
  <c r="R136" i="53"/>
  <c r="C136" i="53"/>
  <c r="R135" i="53"/>
  <c r="C135" i="53"/>
  <c r="R134" i="53"/>
  <c r="C134" i="53"/>
  <c r="R133" i="53"/>
  <c r="C133" i="53"/>
  <c r="R132" i="53"/>
  <c r="C132" i="53"/>
  <c r="R131" i="53"/>
  <c r="C131" i="53"/>
  <c r="R130" i="53"/>
  <c r="C130" i="53"/>
  <c r="R129" i="53"/>
  <c r="C129" i="53"/>
  <c r="R128" i="53"/>
  <c r="C128" i="53"/>
  <c r="R127" i="53"/>
  <c r="C127" i="53"/>
  <c r="R126" i="53"/>
  <c r="C126" i="53"/>
  <c r="R125" i="53"/>
  <c r="C125" i="53"/>
  <c r="R124" i="53"/>
  <c r="C124" i="53"/>
  <c r="R123" i="53"/>
  <c r="C123" i="53"/>
  <c r="R122" i="53"/>
  <c r="C122" i="53"/>
  <c r="R121" i="53"/>
  <c r="C121" i="53"/>
  <c r="R120" i="53"/>
  <c r="C120" i="53"/>
  <c r="R119" i="53"/>
  <c r="C119" i="53"/>
  <c r="R118" i="53"/>
  <c r="C118" i="53"/>
  <c r="R117" i="53"/>
  <c r="C117" i="53"/>
  <c r="R116" i="53"/>
  <c r="C116" i="53"/>
  <c r="R115" i="53"/>
  <c r="C115" i="53"/>
  <c r="R114" i="53"/>
  <c r="C114" i="53"/>
  <c r="R113" i="53"/>
  <c r="C113" i="53"/>
  <c r="R112" i="53"/>
  <c r="C112" i="53"/>
  <c r="R111" i="53"/>
  <c r="C111" i="53"/>
  <c r="R110" i="53"/>
  <c r="C110" i="53"/>
  <c r="R109" i="53"/>
  <c r="C109" i="53"/>
  <c r="R108" i="53"/>
  <c r="C108" i="53"/>
  <c r="R107" i="53"/>
  <c r="C107" i="53"/>
  <c r="R106" i="53"/>
  <c r="C106" i="53"/>
  <c r="R105" i="53"/>
  <c r="C105" i="53"/>
  <c r="R104" i="53"/>
  <c r="C104" i="53"/>
  <c r="R103" i="53"/>
  <c r="C103" i="53"/>
  <c r="R102" i="53"/>
  <c r="C102" i="53"/>
  <c r="R101" i="53"/>
  <c r="C101" i="53"/>
  <c r="R100" i="53"/>
  <c r="C100" i="53"/>
  <c r="R99" i="53"/>
  <c r="C99" i="53"/>
  <c r="R98" i="53"/>
  <c r="C98" i="53"/>
  <c r="R97" i="53"/>
  <c r="C97" i="53"/>
  <c r="R96" i="53"/>
  <c r="C96" i="53"/>
  <c r="R95" i="53"/>
  <c r="C95" i="53"/>
  <c r="R94" i="53"/>
  <c r="C94" i="53"/>
  <c r="R93" i="53"/>
  <c r="C93" i="53"/>
  <c r="R92" i="53"/>
  <c r="C92" i="53"/>
  <c r="R91" i="53"/>
  <c r="C91" i="53"/>
  <c r="R90" i="53"/>
  <c r="C90" i="53"/>
  <c r="R89" i="53"/>
  <c r="C89" i="53"/>
  <c r="R88" i="53"/>
  <c r="C88" i="53"/>
  <c r="R87" i="53"/>
  <c r="C87" i="53"/>
  <c r="R86" i="53"/>
  <c r="C86" i="53"/>
  <c r="R85" i="53"/>
  <c r="C85" i="53"/>
  <c r="R84" i="53"/>
  <c r="C84" i="53"/>
  <c r="R83" i="53"/>
  <c r="C83" i="53"/>
  <c r="R82" i="53"/>
  <c r="C82" i="53"/>
  <c r="R81" i="53"/>
  <c r="C81" i="53"/>
  <c r="R80" i="53"/>
  <c r="C80" i="53"/>
  <c r="R79" i="53"/>
  <c r="C79" i="53"/>
  <c r="R78" i="53"/>
  <c r="C78" i="53"/>
  <c r="R77" i="53"/>
  <c r="C77" i="53"/>
  <c r="R76" i="53"/>
  <c r="C76" i="53"/>
  <c r="R75" i="53"/>
  <c r="C75" i="53"/>
  <c r="R74" i="53"/>
  <c r="C74" i="53"/>
  <c r="C73" i="53"/>
  <c r="R72" i="53"/>
  <c r="C72" i="53"/>
  <c r="R71" i="53"/>
  <c r="C71" i="53"/>
  <c r="R70" i="53"/>
  <c r="C70" i="53"/>
  <c r="R69" i="53"/>
  <c r="C69" i="53"/>
  <c r="R68" i="53"/>
  <c r="C68" i="53"/>
  <c r="R67" i="53"/>
  <c r="C67" i="53"/>
  <c r="R66" i="53"/>
  <c r="C66" i="53"/>
  <c r="R65" i="53"/>
  <c r="C65" i="53"/>
  <c r="R64" i="53"/>
  <c r="C64" i="53"/>
  <c r="R63" i="53"/>
  <c r="C63" i="53"/>
  <c r="R62" i="53"/>
  <c r="C62" i="53"/>
  <c r="R61" i="53"/>
  <c r="C61" i="53"/>
  <c r="R60" i="53"/>
  <c r="C60" i="53"/>
  <c r="R59" i="53"/>
  <c r="C59" i="53"/>
  <c r="R58" i="53"/>
  <c r="C58" i="53"/>
  <c r="Q57" i="53" a="1"/>
  <c r="Q57" i="53" s="1"/>
  <c r="N57" i="53"/>
  <c r="B57" i="53"/>
  <c r="C57" i="53" s="1"/>
  <c r="Q56" i="53" a="1"/>
  <c r="Q56" i="53" s="1"/>
  <c r="N56" i="53"/>
  <c r="B56" i="53"/>
  <c r="C56" i="53" s="1"/>
  <c r="Q55" i="53" a="1"/>
  <c r="Q55" i="53" s="1"/>
  <c r="N55" i="53"/>
  <c r="B55" i="53"/>
  <c r="C55" i="53" s="1"/>
  <c r="Q54" i="53" a="1"/>
  <c r="Q54" i="53" s="1"/>
  <c r="R54" i="53" s="1"/>
  <c r="N54" i="53"/>
  <c r="B54" i="53"/>
  <c r="C54" i="53" s="1"/>
  <c r="Q53" i="53" a="1"/>
  <c r="Q53" i="53" s="1"/>
  <c r="N53" i="53"/>
  <c r="B53" i="53"/>
  <c r="C53" i="53" s="1"/>
  <c r="Q52" i="53" a="1"/>
  <c r="Q52" i="53" s="1"/>
  <c r="N52" i="53"/>
  <c r="B52" i="53"/>
  <c r="C52" i="53" s="1"/>
  <c r="Q51" i="53" a="1"/>
  <c r="Q51" i="53" s="1"/>
  <c r="N51" i="53"/>
  <c r="B51" i="53"/>
  <c r="C51" i="53" s="1"/>
  <c r="Q50" i="53" a="1"/>
  <c r="Q50" i="53" s="1"/>
  <c r="N50" i="53"/>
  <c r="B50" i="53"/>
  <c r="C50" i="53" s="1"/>
  <c r="Q49" i="53" a="1"/>
  <c r="Q49" i="53" s="1"/>
  <c r="N49" i="53"/>
  <c r="B49" i="53"/>
  <c r="C49" i="53" s="1"/>
  <c r="Q48" i="53" a="1"/>
  <c r="Q48" i="53" s="1"/>
  <c r="N48" i="53"/>
  <c r="B48" i="53"/>
  <c r="C48" i="53" s="1"/>
  <c r="Q47" i="53" a="1"/>
  <c r="Q47" i="53" s="1"/>
  <c r="N47" i="53"/>
  <c r="B47" i="53"/>
  <c r="C47" i="53" s="1"/>
  <c r="Q46" i="53" a="1"/>
  <c r="Q46" i="53" s="1"/>
  <c r="N46" i="53"/>
  <c r="B46" i="53"/>
  <c r="C46" i="53" s="1"/>
  <c r="Q45" i="53" a="1"/>
  <c r="Q45" i="53" s="1"/>
  <c r="N45" i="53"/>
  <c r="B45" i="53"/>
  <c r="C45" i="53" s="1"/>
  <c r="Q44" i="53" a="1"/>
  <c r="Q44" i="53" s="1"/>
  <c r="N44" i="53"/>
  <c r="B44" i="53"/>
  <c r="C44" i="53" s="1"/>
  <c r="Q43" i="53" a="1"/>
  <c r="Q43" i="53" s="1"/>
  <c r="R43" i="53" s="1"/>
  <c r="N43" i="53"/>
  <c r="B43" i="53"/>
  <c r="C43" i="53" s="1"/>
  <c r="Q42" i="53" a="1"/>
  <c r="Q42" i="53" s="1"/>
  <c r="N42" i="53"/>
  <c r="B42" i="53"/>
  <c r="C42" i="53" s="1"/>
  <c r="Q41" i="53" a="1"/>
  <c r="Q41" i="53" s="1"/>
  <c r="N41" i="53"/>
  <c r="B41" i="53"/>
  <c r="C41" i="53" s="1"/>
  <c r="Q40" i="53" a="1"/>
  <c r="Q40" i="53" s="1"/>
  <c r="N40" i="53"/>
  <c r="B40" i="53"/>
  <c r="C40" i="53" s="1"/>
  <c r="Q39" i="53" a="1"/>
  <c r="Q39" i="53" s="1"/>
  <c r="N39" i="53"/>
  <c r="B39" i="53"/>
  <c r="C39" i="53" s="1"/>
  <c r="Q38" i="53" a="1"/>
  <c r="Q38" i="53" s="1"/>
  <c r="N38" i="53"/>
  <c r="B38" i="53"/>
  <c r="C38" i="53" s="1"/>
  <c r="Q37" i="53" a="1"/>
  <c r="Q37" i="53" s="1"/>
  <c r="N37" i="53"/>
  <c r="B37" i="53"/>
  <c r="C37" i="53" s="1"/>
  <c r="Q36" i="53" a="1"/>
  <c r="Q36" i="53" s="1"/>
  <c r="N36" i="53"/>
  <c r="B36" i="53"/>
  <c r="C36" i="53" s="1"/>
  <c r="Q35" i="53" a="1"/>
  <c r="Q35" i="53" s="1"/>
  <c r="N35" i="53"/>
  <c r="B35" i="53"/>
  <c r="C35" i="53" s="1"/>
  <c r="Q34" i="53" a="1"/>
  <c r="Q34" i="53" s="1"/>
  <c r="N34" i="53"/>
  <c r="B34" i="53"/>
  <c r="C34" i="53" s="1"/>
  <c r="Q33" i="53" a="1"/>
  <c r="Q33" i="53" s="1"/>
  <c r="N33" i="53"/>
  <c r="B33" i="53"/>
  <c r="C33" i="53" s="1"/>
  <c r="Q32" i="53" a="1"/>
  <c r="Q32" i="53" s="1"/>
  <c r="N32" i="53"/>
  <c r="B32" i="53"/>
  <c r="C32" i="53" s="1"/>
  <c r="Q31" i="53" a="1"/>
  <c r="Q31" i="53" s="1"/>
  <c r="N31" i="53"/>
  <c r="B31" i="53"/>
  <c r="C31" i="53" s="1"/>
  <c r="Q30" i="53" a="1"/>
  <c r="Q30" i="53" s="1"/>
  <c r="N30" i="53"/>
  <c r="B30" i="53"/>
  <c r="C30" i="53" s="1"/>
  <c r="Q29" i="53" a="1"/>
  <c r="Q29" i="53" s="1"/>
  <c r="N29" i="53"/>
  <c r="B29" i="53"/>
  <c r="C29" i="53" s="1"/>
  <c r="Q28" i="53" a="1"/>
  <c r="Q28" i="53" s="1"/>
  <c r="N28" i="53"/>
  <c r="B28" i="53"/>
  <c r="C28" i="53" s="1"/>
  <c r="Q27" i="53" a="1"/>
  <c r="Q27" i="53" s="1"/>
  <c r="N27" i="53"/>
  <c r="B27" i="53"/>
  <c r="C27" i="53" s="1"/>
  <c r="Q26" i="53" a="1"/>
  <c r="Q26" i="53" s="1"/>
  <c r="N26" i="53"/>
  <c r="B26" i="53"/>
  <c r="C26" i="53" s="1"/>
  <c r="Q25" i="53" a="1"/>
  <c r="Q25" i="53" s="1"/>
  <c r="N25" i="53"/>
  <c r="B25" i="53"/>
  <c r="C25" i="53" s="1"/>
  <c r="Q24" i="53" a="1"/>
  <c r="Q24" i="53" s="1"/>
  <c r="N24" i="53"/>
  <c r="B24" i="53"/>
  <c r="C24" i="53" s="1"/>
  <c r="Q23" i="53"/>
  <c r="N23" i="53"/>
  <c r="B23" i="53"/>
  <c r="C23" i="53" s="1"/>
  <c r="Q22" i="53"/>
  <c r="N22" i="53"/>
  <c r="B22" i="53"/>
  <c r="C22" i="53" s="1"/>
  <c r="Q21" i="53"/>
  <c r="N21" i="53"/>
  <c r="B21" i="53"/>
  <c r="C21" i="53" s="1"/>
  <c r="Q20" i="53"/>
  <c r="N20" i="53"/>
  <c r="B20" i="53"/>
  <c r="C20" i="53" s="1"/>
  <c r="Q19" i="53"/>
  <c r="N19" i="53"/>
  <c r="B19" i="53"/>
  <c r="C19" i="53" s="1"/>
  <c r="Q18" i="53"/>
  <c r="N18" i="53"/>
  <c r="B18" i="53"/>
  <c r="C18" i="53" s="1"/>
  <c r="Q17" i="53"/>
  <c r="N17" i="53"/>
  <c r="B17" i="53"/>
  <c r="C17" i="53" s="1"/>
  <c r="Q16" i="53"/>
  <c r="N16" i="53"/>
  <c r="B16" i="53"/>
  <c r="C16" i="53" s="1"/>
  <c r="Q15" i="53"/>
  <c r="N15" i="53"/>
  <c r="B15" i="53"/>
  <c r="C15" i="53" s="1"/>
  <c r="Q14" i="53"/>
  <c r="N14" i="53"/>
  <c r="B14" i="53"/>
  <c r="C14" i="53" s="1"/>
  <c r="Q13" i="53"/>
  <c r="N13" i="53"/>
  <c r="B13" i="53"/>
  <c r="C13" i="53" s="1"/>
  <c r="Q12" i="53"/>
  <c r="N12" i="53"/>
  <c r="B12" i="53"/>
  <c r="C12" i="53" s="1"/>
  <c r="Q11" i="53"/>
  <c r="N11" i="53"/>
  <c r="B11" i="53"/>
  <c r="C11" i="53" s="1"/>
  <c r="Q10" i="53"/>
  <c r="N10" i="53"/>
  <c r="B10" i="53"/>
  <c r="C10" i="53" s="1"/>
  <c r="Q9" i="53"/>
  <c r="N9" i="53"/>
  <c r="B9" i="53"/>
  <c r="C9" i="53" s="1"/>
  <c r="Q8" i="53"/>
  <c r="N8" i="53"/>
  <c r="B8" i="53"/>
  <c r="C8" i="53" s="1"/>
  <c r="Q7" i="53"/>
  <c r="N7" i="53"/>
  <c r="B7" i="53"/>
  <c r="C7" i="53" s="1"/>
  <c r="Q6" i="53"/>
  <c r="N6" i="53"/>
  <c r="B6" i="53"/>
  <c r="C6" i="53" s="1"/>
  <c r="Q5" i="53"/>
  <c r="N5" i="53"/>
  <c r="B5" i="53"/>
  <c r="C5" i="53" s="1"/>
  <c r="Q4" i="53"/>
  <c r="N4" i="53"/>
  <c r="B4" i="53"/>
  <c r="C4" i="53" s="1"/>
  <c r="Q3" i="53"/>
  <c r="N3" i="53"/>
  <c r="B3" i="53"/>
  <c r="C3" i="53" s="1"/>
  <c r="M84" i="34"/>
  <c r="L84" i="34"/>
  <c r="L84" i="34" a="1"/>
  <c r="I84" i="34"/>
  <c r="M83" i="34"/>
  <c r="L83" i="34"/>
  <c r="L83" i="34" a="1"/>
  <c r="I83" i="34"/>
  <c r="M82" i="34"/>
  <c r="L82" i="34"/>
  <c r="L82" i="34" a="1"/>
  <c r="I82" i="34"/>
  <c r="M81" i="34"/>
  <c r="L81" i="34"/>
  <c r="L81" i="34" a="1"/>
  <c r="I81" i="34"/>
  <c r="M80" i="34"/>
  <c r="L80" i="34"/>
  <c r="L80" i="34" a="1"/>
  <c r="I80" i="34"/>
  <c r="M79" i="34"/>
  <c r="L79" i="34"/>
  <c r="L79" i="34" a="1"/>
  <c r="I79" i="34"/>
  <c r="M78" i="34"/>
  <c r="L78" i="34"/>
  <c r="L78" i="34" a="1"/>
  <c r="I78" i="34"/>
  <c r="M77" i="34"/>
  <c r="L77" i="34"/>
  <c r="L77" i="34" a="1"/>
  <c r="I77" i="34"/>
  <c r="M76" i="34"/>
  <c r="L76" i="34"/>
  <c r="L76" i="34" a="1"/>
  <c r="I76" i="34"/>
  <c r="M75" i="34"/>
  <c r="L75" i="34"/>
  <c r="L75" i="34" a="1"/>
  <c r="I75" i="34"/>
  <c r="M74" i="34"/>
  <c r="L74" i="34"/>
  <c r="L74" i="34" a="1"/>
  <c r="I74" i="34"/>
  <c r="M73" i="34"/>
  <c r="L73" i="34"/>
  <c r="L73" i="34" a="1"/>
  <c r="I73" i="34"/>
  <c r="M72" i="34"/>
  <c r="L72" i="34"/>
  <c r="L72" i="34" a="1"/>
  <c r="I72" i="34"/>
  <c r="M71" i="34"/>
  <c r="L71" i="34"/>
  <c r="L71" i="34" a="1"/>
  <c r="I71" i="34"/>
  <c r="M70" i="34"/>
  <c r="L70" i="34"/>
  <c r="L70" i="34" a="1"/>
  <c r="I70" i="34"/>
  <c r="M69" i="34"/>
  <c r="L69" i="34"/>
  <c r="L69" i="34" a="1"/>
  <c r="I69" i="34"/>
  <c r="M68" i="34"/>
  <c r="L68" i="34"/>
  <c r="L68" i="34" a="1"/>
  <c r="I68" i="34"/>
  <c r="M67" i="34"/>
  <c r="L67" i="34"/>
  <c r="L67" i="34" a="1"/>
  <c r="I67" i="34"/>
  <c r="M66" i="34"/>
  <c r="L66" i="34"/>
  <c r="L66" i="34" a="1"/>
  <c r="I66" i="34"/>
  <c r="M65" i="34"/>
  <c r="L65" i="34"/>
  <c r="L65" i="34" a="1"/>
  <c r="I65" i="34"/>
  <c r="M64" i="34"/>
  <c r="L64" i="34"/>
  <c r="L64" i="34" a="1"/>
  <c r="I64" i="34"/>
  <c r="M63" i="34"/>
  <c r="L63" i="34"/>
  <c r="L63" i="34" a="1"/>
  <c r="I63" i="34"/>
  <c r="M62" i="34"/>
  <c r="L62" i="34"/>
  <c r="L62" i="34" a="1"/>
  <c r="I62" i="34"/>
  <c r="M61" i="34"/>
  <c r="L61" i="34"/>
  <c r="L61" i="34" a="1"/>
  <c r="I61" i="34"/>
  <c r="M60" i="34"/>
  <c r="L60" i="34"/>
  <c r="L60" i="34" a="1"/>
  <c r="I60" i="34"/>
  <c r="M59" i="34"/>
  <c r="L59" i="34"/>
  <c r="L59" i="34" a="1"/>
  <c r="I59" i="34"/>
  <c r="M58" i="34"/>
  <c r="L58" i="34"/>
  <c r="L58" i="34" a="1"/>
  <c r="I58" i="34"/>
  <c r="M57" i="34"/>
  <c r="L57" i="34"/>
  <c r="L57" i="34" a="1"/>
  <c r="I57" i="34"/>
  <c r="M56" i="34"/>
  <c r="L56" i="34"/>
  <c r="L56" i="34" a="1"/>
  <c r="I56" i="34"/>
  <c r="M55" i="34"/>
  <c r="L55" i="34"/>
  <c r="L55" i="34" a="1"/>
  <c r="I55" i="34"/>
  <c r="M54" i="34"/>
  <c r="L54" i="34"/>
  <c r="L54" i="34" a="1"/>
  <c r="I54" i="34"/>
  <c r="M53" i="34"/>
  <c r="L53" i="34"/>
  <c r="L53" i="34" a="1"/>
  <c r="I53" i="34"/>
  <c r="M52" i="34"/>
  <c r="L52" i="34"/>
  <c r="L52" i="34" a="1"/>
  <c r="I52" i="34"/>
  <c r="M51" i="34"/>
  <c r="L51" i="34"/>
  <c r="L51" i="34" a="1"/>
  <c r="I51" i="34"/>
  <c r="M50" i="34"/>
  <c r="L50" i="34"/>
  <c r="I50" i="34"/>
  <c r="M49" i="34"/>
  <c r="L49" i="34"/>
  <c r="I49" i="34"/>
  <c r="M48" i="34"/>
  <c r="L48" i="34"/>
  <c r="I48" i="34"/>
  <c r="M47" i="34"/>
  <c r="L47" i="34"/>
  <c r="I47" i="34"/>
  <c r="M46" i="34"/>
  <c r="L46" i="34"/>
  <c r="I46" i="34"/>
  <c r="M45" i="34"/>
  <c r="L45" i="34"/>
  <c r="I45" i="34"/>
  <c r="M44" i="34"/>
  <c r="L44" i="34"/>
  <c r="I44" i="34"/>
  <c r="M43" i="34"/>
  <c r="L43" i="34"/>
  <c r="I43" i="34"/>
  <c r="M42" i="34"/>
  <c r="L42" i="34"/>
  <c r="I42" i="34"/>
  <c r="M41" i="34"/>
  <c r="L41" i="34"/>
  <c r="I41" i="34"/>
  <c r="M40" i="34"/>
  <c r="L40" i="34"/>
  <c r="I40" i="34"/>
  <c r="M39" i="34"/>
  <c r="L39" i="34"/>
  <c r="I39" i="34"/>
  <c r="M38" i="34"/>
  <c r="L38" i="34"/>
  <c r="I38" i="34"/>
  <c r="M37" i="34"/>
  <c r="L37" i="34"/>
  <c r="I37" i="34"/>
  <c r="M36" i="34"/>
  <c r="L36" i="34"/>
  <c r="I36" i="34"/>
  <c r="M35" i="34"/>
  <c r="L35" i="34"/>
  <c r="I35" i="34"/>
  <c r="M34" i="34"/>
  <c r="L34" i="34"/>
  <c r="I34" i="34"/>
  <c r="M33" i="34"/>
  <c r="L33" i="34"/>
  <c r="I33" i="34"/>
  <c r="M32" i="34"/>
  <c r="L32" i="34"/>
  <c r="I32" i="34"/>
  <c r="M31" i="34"/>
  <c r="L31" i="34"/>
  <c r="I31" i="34"/>
  <c r="M30" i="34"/>
  <c r="L30" i="34"/>
  <c r="I30" i="34"/>
  <c r="B9" i="34"/>
  <c r="C433" i="58"/>
  <c r="C432" i="58"/>
  <c r="C431" i="58"/>
  <c r="C430" i="58"/>
  <c r="C404" i="58"/>
  <c r="C403" i="58"/>
  <c r="C402" i="58"/>
  <c r="C401" i="58"/>
  <c r="C400" i="58"/>
  <c r="C399" i="58"/>
  <c r="C429" i="58"/>
  <c r="C428" i="58"/>
  <c r="C427" i="58"/>
  <c r="C426" i="58"/>
  <c r="C425" i="58"/>
  <c r="C424" i="58"/>
  <c r="C423" i="58"/>
  <c r="C422" i="58"/>
  <c r="C421" i="58"/>
  <c r="C420" i="58"/>
  <c r="C419" i="58"/>
  <c r="C418" i="58"/>
  <c r="C417" i="58"/>
  <c r="C416" i="58"/>
  <c r="C415" i="58"/>
  <c r="C414" i="58"/>
  <c r="C413" i="58"/>
  <c r="C412" i="58"/>
  <c r="C411" i="58"/>
  <c r="C410" i="58"/>
  <c r="C409" i="58"/>
  <c r="C408" i="58"/>
  <c r="C407" i="58"/>
  <c r="C406" i="58"/>
  <c r="C405" i="58"/>
  <c r="C472" i="58"/>
  <c r="C471" i="58"/>
  <c r="C470" i="58"/>
  <c r="C469" i="58"/>
  <c r="C473" i="58"/>
  <c r="C468" i="58"/>
  <c r="C467" i="58"/>
  <c r="C465" i="58"/>
  <c r="C448" i="58"/>
  <c r="C447" i="58"/>
  <c r="C446" i="58"/>
  <c r="C445" i="58"/>
  <c r="C444" i="58"/>
  <c r="C443" i="58"/>
  <c r="C442" i="58"/>
  <c r="C441" i="58"/>
  <c r="C440" i="58"/>
  <c r="C439" i="58"/>
  <c r="C464" i="58"/>
  <c r="C463" i="58"/>
  <c r="C466" i="58"/>
  <c r="C455" i="58"/>
  <c r="C454" i="58"/>
  <c r="C453" i="58"/>
  <c r="C452" i="58"/>
  <c r="C451" i="58"/>
  <c r="C438" i="58"/>
  <c r="C462" i="58"/>
  <c r="C461" i="58"/>
  <c r="C460" i="58"/>
  <c r="C459" i="58"/>
  <c r="C458" i="58"/>
  <c r="C457" i="58"/>
  <c r="C456" i="58"/>
  <c r="C450" i="58"/>
  <c r="C449" i="58"/>
  <c r="C437" i="58"/>
  <c r="C436" i="58"/>
  <c r="C435" i="58"/>
  <c r="C434" i="58"/>
  <c r="C171" i="58"/>
  <c r="C165" i="58"/>
  <c r="C170" i="58"/>
  <c r="C168" i="58"/>
  <c r="C175" i="58"/>
  <c r="C173" i="58"/>
  <c r="C169" i="58"/>
  <c r="C176" i="58"/>
  <c r="C167" i="58"/>
  <c r="C166" i="58"/>
  <c r="C174" i="58"/>
  <c r="C172" i="58"/>
  <c r="C158" i="58"/>
  <c r="C156" i="58"/>
  <c r="C163" i="58"/>
  <c r="C160" i="58"/>
  <c r="C157" i="58"/>
  <c r="C164" i="58"/>
  <c r="C155" i="58"/>
  <c r="C154" i="58"/>
  <c r="C161" i="58"/>
  <c r="C159" i="58"/>
  <c r="C162" i="58"/>
  <c r="H242" i="58"/>
  <c r="C242" i="58"/>
  <c r="H237" i="58"/>
  <c r="C237" i="58"/>
  <c r="H236" i="58"/>
  <c r="C236" i="58"/>
  <c r="H221" i="58"/>
  <c r="C221" i="58"/>
  <c r="H235" i="58"/>
  <c r="C235" i="58"/>
  <c r="H230" i="58"/>
  <c r="C230" i="58"/>
  <c r="H229" i="58"/>
  <c r="C229" i="58"/>
  <c r="H241" i="58"/>
  <c r="C241" i="58"/>
  <c r="H234" i="58"/>
  <c r="C234" i="58"/>
  <c r="H228" i="58"/>
  <c r="C228" i="58"/>
  <c r="H227" i="58"/>
  <c r="C227" i="58"/>
  <c r="H226" i="58"/>
  <c r="C226" i="58"/>
  <c r="H225" i="58"/>
  <c r="C225" i="58"/>
  <c r="H224" i="58"/>
  <c r="C224" i="58"/>
  <c r="H233" i="58"/>
  <c r="C233" i="58"/>
  <c r="H240" i="58"/>
  <c r="C240" i="58"/>
  <c r="H232" i="58"/>
  <c r="C232" i="58"/>
  <c r="H239" i="58"/>
  <c r="C239" i="58"/>
  <c r="H238" i="58"/>
  <c r="C238" i="58"/>
  <c r="H231" i="58"/>
  <c r="C231" i="58"/>
  <c r="H223" i="58"/>
  <c r="C223" i="58"/>
  <c r="H222" i="58"/>
  <c r="C222" i="58"/>
  <c r="H219" i="58"/>
  <c r="C219" i="58"/>
  <c r="H214" i="58"/>
  <c r="C214" i="58"/>
  <c r="H213" i="58"/>
  <c r="C213" i="58"/>
  <c r="H197" i="58"/>
  <c r="C197" i="58"/>
  <c r="H212" i="58"/>
  <c r="C212" i="58"/>
  <c r="H206" i="58"/>
  <c r="C206" i="58"/>
  <c r="H205" i="58"/>
  <c r="C205" i="58"/>
  <c r="H218" i="58"/>
  <c r="C218" i="58"/>
  <c r="H211" i="58"/>
  <c r="C211" i="58"/>
  <c r="H204" i="58"/>
  <c r="C204" i="58"/>
  <c r="H220" i="58"/>
  <c r="C220" i="58"/>
  <c r="H203" i="58"/>
  <c r="C203" i="58"/>
  <c r="H202" i="58"/>
  <c r="C202" i="58"/>
  <c r="H201" i="58"/>
  <c r="C201" i="58"/>
  <c r="H200" i="58"/>
  <c r="C200" i="58"/>
  <c r="H210" i="58"/>
  <c r="C210" i="58"/>
  <c r="H217" i="58"/>
  <c r="C217" i="58"/>
  <c r="H208" i="58"/>
  <c r="C208" i="58"/>
  <c r="H209" i="58"/>
  <c r="C209" i="58"/>
  <c r="H216" i="58"/>
  <c r="C216" i="58"/>
  <c r="H215" i="58"/>
  <c r="C215" i="58"/>
  <c r="H207" i="58"/>
  <c r="C207" i="58"/>
  <c r="H199" i="58"/>
  <c r="C199" i="58"/>
  <c r="H198" i="58"/>
  <c r="C198" i="58"/>
  <c r="H298" i="58"/>
  <c r="C298" i="58"/>
  <c r="H294" i="58"/>
  <c r="C294" i="58"/>
  <c r="H293" i="58"/>
  <c r="C293" i="58"/>
  <c r="H278" i="58"/>
  <c r="C278" i="58"/>
  <c r="H292" i="58"/>
  <c r="C292" i="58"/>
  <c r="H287" i="58"/>
  <c r="C287" i="58"/>
  <c r="H286" i="58"/>
  <c r="C286" i="58"/>
  <c r="H297" i="58"/>
  <c r="C297" i="58"/>
  <c r="H291" i="58"/>
  <c r="C291" i="58"/>
  <c r="H285" i="58"/>
  <c r="C285" i="58"/>
  <c r="H299" i="58"/>
  <c r="C299" i="58"/>
  <c r="H284" i="58"/>
  <c r="C284" i="58"/>
  <c r="H283" i="58"/>
  <c r="C283" i="58"/>
  <c r="H282" i="58"/>
  <c r="C282" i="58"/>
  <c r="H281" i="58"/>
  <c r="C281" i="58"/>
  <c r="H290" i="58"/>
  <c r="C290" i="58"/>
  <c r="H296" i="58"/>
  <c r="C296" i="58"/>
  <c r="H289" i="58"/>
  <c r="C289" i="58"/>
  <c r="H295" i="58"/>
  <c r="C295" i="58"/>
  <c r="H288" i="58"/>
  <c r="C288" i="58"/>
  <c r="H280" i="58"/>
  <c r="C280" i="58"/>
  <c r="H279" i="58"/>
  <c r="C279" i="58"/>
  <c r="H276" i="58"/>
  <c r="C276" i="58"/>
  <c r="H272" i="58"/>
  <c r="C272" i="58"/>
  <c r="H271" i="58"/>
  <c r="C271" i="58"/>
  <c r="H256" i="58"/>
  <c r="C256" i="58"/>
  <c r="H270" i="58"/>
  <c r="C270" i="58"/>
  <c r="H265" i="58"/>
  <c r="C265" i="58"/>
  <c r="H264" i="58"/>
  <c r="C264" i="58"/>
  <c r="H275" i="58"/>
  <c r="C275" i="58"/>
  <c r="H269" i="58"/>
  <c r="C269" i="58"/>
  <c r="H263" i="58"/>
  <c r="C263" i="58"/>
  <c r="H277" i="58"/>
  <c r="C277" i="58"/>
  <c r="H262" i="58"/>
  <c r="C262" i="58"/>
  <c r="H261" i="58"/>
  <c r="C261" i="58"/>
  <c r="H260" i="58"/>
  <c r="C260" i="58"/>
  <c r="H259" i="58"/>
  <c r="C259" i="58"/>
  <c r="H274" i="58"/>
  <c r="C274" i="58"/>
  <c r="H267" i="58"/>
  <c r="C267" i="58"/>
  <c r="H268" i="58"/>
  <c r="C268" i="58"/>
  <c r="H273" i="58"/>
  <c r="C273" i="58"/>
  <c r="H266" i="58"/>
  <c r="C266" i="58"/>
  <c r="H258" i="58"/>
  <c r="C258" i="58"/>
  <c r="H257" i="58"/>
  <c r="C257" i="58"/>
  <c r="H385" i="58"/>
  <c r="C385" i="58"/>
  <c r="H381" i="58"/>
  <c r="C381" i="58"/>
  <c r="H380" i="58"/>
  <c r="C380" i="58"/>
  <c r="H363" i="58"/>
  <c r="C363" i="58"/>
  <c r="H379" i="58"/>
  <c r="C379" i="58"/>
  <c r="H372" i="58"/>
  <c r="C372" i="58"/>
  <c r="H371" i="58"/>
  <c r="C371" i="58"/>
  <c r="H384" i="58"/>
  <c r="C384" i="58"/>
  <c r="H378" i="58"/>
  <c r="C378" i="58"/>
  <c r="H370" i="58"/>
  <c r="C370" i="58"/>
  <c r="H386" i="58"/>
  <c r="C386" i="58"/>
  <c r="H369" i="58"/>
  <c r="C369" i="58"/>
  <c r="H368" i="58"/>
  <c r="C368" i="58"/>
  <c r="H367" i="58"/>
  <c r="C367" i="58"/>
  <c r="H366" i="58"/>
  <c r="C366" i="58"/>
  <c r="H377" i="58"/>
  <c r="C377" i="58"/>
  <c r="H383" i="58"/>
  <c r="C383" i="58"/>
  <c r="H374" i="58"/>
  <c r="C374" i="58"/>
  <c r="H376" i="58"/>
  <c r="C376" i="58"/>
  <c r="H382" i="58"/>
  <c r="C382" i="58"/>
  <c r="H375" i="58"/>
  <c r="C375" i="58"/>
  <c r="H373" i="58"/>
  <c r="C373" i="58"/>
  <c r="H365" i="58"/>
  <c r="C365" i="58"/>
  <c r="H364" i="58"/>
  <c r="C364" i="58"/>
  <c r="H5" i="58"/>
  <c r="C5" i="58"/>
  <c r="H4" i="58"/>
  <c r="C4" i="58"/>
  <c r="H475" i="58"/>
  <c r="C475" i="58"/>
  <c r="H474" i="58"/>
  <c r="C474" i="58"/>
  <c r="H476" i="58"/>
  <c r="C476" i="58"/>
  <c r="H393" i="58"/>
  <c r="C393" i="58"/>
  <c r="H392" i="58"/>
  <c r="C392" i="58"/>
  <c r="H394" i="58"/>
  <c r="C394" i="58"/>
  <c r="H388" i="58"/>
  <c r="C388" i="58"/>
  <c r="H387" i="58"/>
  <c r="C387" i="58"/>
  <c r="H389" i="58"/>
  <c r="C389" i="58"/>
  <c r="H195" i="58"/>
  <c r="C195" i="58"/>
  <c r="H194" i="58"/>
  <c r="C194" i="58"/>
  <c r="H196" i="58"/>
  <c r="C196" i="58"/>
  <c r="H152" i="58"/>
  <c r="C152" i="58"/>
  <c r="H151" i="58"/>
  <c r="C151" i="58"/>
  <c r="H153" i="58"/>
  <c r="C153" i="58"/>
  <c r="H139" i="58"/>
  <c r="C139" i="58"/>
  <c r="H138" i="58"/>
  <c r="C138" i="58"/>
  <c r="H140" i="58"/>
  <c r="C140" i="58"/>
  <c r="H390" i="58"/>
  <c r="C390" i="58"/>
  <c r="H398" i="58"/>
  <c r="C398" i="58"/>
  <c r="H362" i="58"/>
  <c r="C362" i="58"/>
  <c r="H361" i="58"/>
  <c r="C361" i="58"/>
  <c r="H360" i="58"/>
  <c r="C360" i="58"/>
  <c r="H3" i="58"/>
  <c r="C3" i="58"/>
  <c r="H391" i="58"/>
  <c r="C391" i="58"/>
  <c r="H182" i="58"/>
  <c r="C182" i="58"/>
  <c r="H177" i="58"/>
  <c r="C177" i="58"/>
  <c r="H181" i="58"/>
  <c r="C181" i="58"/>
  <c r="H184" i="58"/>
  <c r="C184" i="58"/>
  <c r="H188" i="58"/>
  <c r="C188" i="58"/>
  <c r="H185" i="58"/>
  <c r="C185" i="58"/>
  <c r="H180" i="58"/>
  <c r="C180" i="58"/>
  <c r="H189" i="58"/>
  <c r="C189" i="58"/>
  <c r="H179" i="58"/>
  <c r="C179" i="58"/>
  <c r="H178" i="58"/>
  <c r="C178" i="58"/>
  <c r="H186" i="58"/>
  <c r="C186" i="58"/>
  <c r="H183" i="58"/>
  <c r="E183" i="58"/>
  <c r="C183" i="58"/>
  <c r="H187" i="58"/>
  <c r="C187" i="58"/>
  <c r="H309" i="58"/>
  <c r="C309" i="58"/>
  <c r="H325" i="58"/>
  <c r="C325" i="58"/>
  <c r="H305" i="58"/>
  <c r="C305" i="58"/>
  <c r="H313" i="58"/>
  <c r="C313" i="58"/>
  <c r="H311" i="58"/>
  <c r="C311" i="58"/>
  <c r="H352" i="58"/>
  <c r="C352" i="58"/>
  <c r="H351" i="58"/>
  <c r="C351" i="58"/>
  <c r="H331" i="58"/>
  <c r="C331" i="58"/>
  <c r="H340" i="58"/>
  <c r="C340" i="58"/>
  <c r="H328" i="58"/>
  <c r="C328" i="58"/>
  <c r="H348" i="58"/>
  <c r="C348" i="58"/>
  <c r="H327" i="58"/>
  <c r="C327" i="58"/>
  <c r="H332" i="58"/>
  <c r="C332" i="58"/>
  <c r="H304" i="58"/>
  <c r="C304" i="58"/>
  <c r="H326" i="58"/>
  <c r="C326" i="58"/>
  <c r="H335" i="58"/>
  <c r="C335" i="58"/>
  <c r="H336" i="58"/>
  <c r="C336" i="58"/>
  <c r="H347" i="58"/>
  <c r="C347" i="58"/>
  <c r="H334" i="58"/>
  <c r="C334" i="58"/>
  <c r="H353" i="58"/>
  <c r="C353" i="58"/>
  <c r="H312" i="58"/>
  <c r="C312" i="58"/>
  <c r="H359" i="58"/>
  <c r="C359" i="58"/>
  <c r="H330" i="58"/>
  <c r="C330" i="58"/>
  <c r="H338" i="58"/>
  <c r="C338" i="58"/>
  <c r="H346" i="58"/>
  <c r="C346" i="58"/>
  <c r="H356" i="58"/>
  <c r="C356" i="58"/>
  <c r="H308" i="58"/>
  <c r="C308" i="58"/>
  <c r="H329" i="58"/>
  <c r="C329" i="58"/>
  <c r="H307" i="58"/>
  <c r="C307" i="58"/>
  <c r="H333" i="58"/>
  <c r="C333" i="58"/>
  <c r="H345" i="58"/>
  <c r="C345" i="58"/>
  <c r="H354" i="58"/>
  <c r="C354" i="58"/>
  <c r="H323" i="58"/>
  <c r="C323" i="58"/>
  <c r="H306" i="58"/>
  <c r="C306" i="58"/>
  <c r="H355" i="58"/>
  <c r="C355" i="58"/>
  <c r="H357" i="58"/>
  <c r="C357" i="58"/>
  <c r="H324" i="58"/>
  <c r="C324" i="58"/>
  <c r="H339" i="58"/>
  <c r="C339" i="58"/>
  <c r="H344" i="58"/>
  <c r="C344" i="58"/>
  <c r="E344" i="58" s="1"/>
  <c r="H343" i="58"/>
  <c r="C343" i="58"/>
  <c r="E343" i="58" s="1"/>
  <c r="H342" i="58"/>
  <c r="C342" i="58"/>
  <c r="E342" i="58" s="1"/>
  <c r="H341" i="58"/>
  <c r="C341" i="58"/>
  <c r="E341" i="58" s="1"/>
  <c r="H303" i="58"/>
  <c r="C303" i="58"/>
  <c r="E303" i="58" s="1"/>
  <c r="H302" i="58"/>
  <c r="C302" i="58"/>
  <c r="E302" i="58" s="1"/>
  <c r="H301" i="58"/>
  <c r="C301" i="58"/>
  <c r="E301" i="58" s="1"/>
  <c r="H300" i="58"/>
  <c r="C300" i="58"/>
  <c r="E300" i="58" s="1"/>
  <c r="H322" i="58"/>
  <c r="C322" i="58"/>
  <c r="E322" i="58" s="1"/>
  <c r="H321" i="58"/>
  <c r="C321" i="58"/>
  <c r="E321" i="58" s="1"/>
  <c r="H320" i="58"/>
  <c r="C320" i="58"/>
  <c r="E320" i="58" s="1"/>
  <c r="H319" i="58"/>
  <c r="C319" i="58"/>
  <c r="E319" i="58" s="1"/>
  <c r="H318" i="58"/>
  <c r="C318" i="58"/>
  <c r="E318" i="58" s="1"/>
  <c r="H317" i="58"/>
  <c r="C317" i="58"/>
  <c r="E317" i="58" s="1"/>
  <c r="H316" i="58"/>
  <c r="C316" i="58"/>
  <c r="E316" i="58" s="1"/>
  <c r="H315" i="58"/>
  <c r="C315" i="58"/>
  <c r="E315" i="58" s="1"/>
  <c r="H314" i="58"/>
  <c r="C314" i="58"/>
  <c r="E314" i="58" s="1"/>
  <c r="H349" i="58"/>
  <c r="C349" i="58"/>
  <c r="H337" i="58"/>
  <c r="C337" i="58"/>
  <c r="H310" i="58"/>
  <c r="C310" i="58"/>
  <c r="H358" i="58"/>
  <c r="C358" i="58"/>
  <c r="H350" i="58"/>
  <c r="C350" i="58"/>
  <c r="H64" i="58"/>
  <c r="B64" i="58"/>
  <c r="C64" i="58" s="1"/>
  <c r="H58" i="58"/>
  <c r="B58" i="58"/>
  <c r="C58" i="58" s="1"/>
  <c r="H66" i="58"/>
  <c r="B66" i="58"/>
  <c r="C66" i="58" s="1"/>
  <c r="H61" i="58"/>
  <c r="B61" i="58"/>
  <c r="C61" i="58" s="1"/>
  <c r="H63" i="58"/>
  <c r="B63" i="58"/>
  <c r="C63" i="58" s="1"/>
  <c r="H68" i="58"/>
  <c r="B68" i="58"/>
  <c r="C68" i="58" s="1"/>
  <c r="H65" i="58"/>
  <c r="B65" i="58"/>
  <c r="C65" i="58" s="1"/>
  <c r="H60" i="58"/>
  <c r="B60" i="58"/>
  <c r="C60" i="58" s="1"/>
  <c r="H69" i="58"/>
  <c r="B69" i="58"/>
  <c r="C69" i="58" s="1"/>
  <c r="H62" i="58"/>
  <c r="B62" i="58"/>
  <c r="C62" i="58" s="1"/>
  <c r="H59" i="58"/>
  <c r="E59" i="58"/>
  <c r="B59" i="58"/>
  <c r="C59" i="58" s="1"/>
  <c r="H67" i="58"/>
  <c r="B67" i="58"/>
  <c r="C67" i="58" s="1"/>
  <c r="H249" i="58"/>
  <c r="C249" i="58"/>
  <c r="H243" i="58"/>
  <c r="C243" i="58"/>
  <c r="H248" i="58"/>
  <c r="C248" i="58"/>
  <c r="H246" i="58"/>
  <c r="C246" i="58"/>
  <c r="H254" i="58"/>
  <c r="C254" i="58"/>
  <c r="H251" i="58"/>
  <c r="C251" i="58"/>
  <c r="H247" i="58"/>
  <c r="C247" i="58"/>
  <c r="H255" i="58"/>
  <c r="C255" i="58"/>
  <c r="H245" i="58"/>
  <c r="C245" i="58"/>
  <c r="H244" i="58"/>
  <c r="C244" i="58"/>
  <c r="H252" i="58"/>
  <c r="C252" i="58"/>
  <c r="H250" i="58"/>
  <c r="C250" i="58"/>
  <c r="H253" i="58"/>
  <c r="C253" i="58"/>
  <c r="H132" i="58"/>
  <c r="C132" i="58"/>
  <c r="H125" i="58"/>
  <c r="C125" i="58"/>
  <c r="H131" i="58"/>
  <c r="C131" i="58"/>
  <c r="H128" i="58"/>
  <c r="C128" i="58"/>
  <c r="H136" i="58"/>
  <c r="C136" i="58"/>
  <c r="H133" i="58"/>
  <c r="C133" i="58"/>
  <c r="H130" i="58"/>
  <c r="C130" i="58"/>
  <c r="H137" i="58"/>
  <c r="C137" i="58"/>
  <c r="H127" i="58"/>
  <c r="C127" i="58"/>
  <c r="H126" i="58"/>
  <c r="C126" i="58"/>
  <c r="H134" i="58"/>
  <c r="C134" i="58"/>
  <c r="H129" i="58"/>
  <c r="C129" i="58"/>
  <c r="H135" i="58"/>
  <c r="C135" i="58"/>
  <c r="H119" i="58"/>
  <c r="C119" i="58"/>
  <c r="H112" i="58"/>
  <c r="C112" i="58"/>
  <c r="H118" i="58"/>
  <c r="C118" i="58"/>
  <c r="H115" i="58"/>
  <c r="C115" i="58"/>
  <c r="H123" i="58"/>
  <c r="C123" i="58"/>
  <c r="H120" i="58"/>
  <c r="C120" i="58"/>
  <c r="H117" i="58"/>
  <c r="C117" i="58"/>
  <c r="H124" i="58"/>
  <c r="C124" i="58"/>
  <c r="H114" i="58"/>
  <c r="C114" i="58"/>
  <c r="H113" i="58"/>
  <c r="C113" i="58"/>
  <c r="H121" i="58"/>
  <c r="C121" i="58"/>
  <c r="H116" i="58"/>
  <c r="C116" i="58"/>
  <c r="H122" i="58"/>
  <c r="C122" i="58"/>
  <c r="H90" i="58"/>
  <c r="B90" i="58"/>
  <c r="C90" i="58" s="1"/>
  <c r="H83" i="58"/>
  <c r="B83" i="58"/>
  <c r="C83" i="58" s="1"/>
  <c r="H89" i="58"/>
  <c r="B89" i="58"/>
  <c r="C89" i="58" s="1"/>
  <c r="H86" i="58"/>
  <c r="B86" i="58"/>
  <c r="C86" i="58" s="1"/>
  <c r="H94" i="58"/>
  <c r="B94" i="58"/>
  <c r="C94" i="58" s="1"/>
  <c r="H91" i="58"/>
  <c r="B91" i="58"/>
  <c r="C91" i="58" s="1"/>
  <c r="H88" i="58"/>
  <c r="B88" i="58"/>
  <c r="C88" i="58" s="1"/>
  <c r="H95" i="58"/>
  <c r="B95" i="58"/>
  <c r="C95" i="58" s="1"/>
  <c r="H85" i="58"/>
  <c r="B85" i="58"/>
  <c r="C85" i="58" s="1"/>
  <c r="H84" i="58"/>
  <c r="B84" i="58"/>
  <c r="C84" i="58" s="1"/>
  <c r="H92" i="58"/>
  <c r="B92" i="58"/>
  <c r="C92" i="58" s="1"/>
  <c r="H87" i="58"/>
  <c r="B87" i="58"/>
  <c r="C87" i="58" s="1"/>
  <c r="H93" i="58"/>
  <c r="B93" i="58"/>
  <c r="C93" i="58" s="1"/>
  <c r="H26" i="58"/>
  <c r="B26" i="58"/>
  <c r="C26" i="58" s="1"/>
  <c r="H19" i="58"/>
  <c r="B19" i="58"/>
  <c r="C19" i="58" s="1"/>
  <c r="H25" i="58"/>
  <c r="B25" i="58"/>
  <c r="C25" i="58" s="1"/>
  <c r="H22" i="58"/>
  <c r="B22" i="58"/>
  <c r="C22" i="58" s="1"/>
  <c r="H30" i="58"/>
  <c r="B30" i="58"/>
  <c r="C30" i="58" s="1"/>
  <c r="H27" i="58"/>
  <c r="B27" i="58"/>
  <c r="C27" i="58" s="1"/>
  <c r="H24" i="58"/>
  <c r="B24" i="58"/>
  <c r="C24" i="58" s="1"/>
  <c r="H31" i="58"/>
  <c r="B31" i="58"/>
  <c r="C31" i="58" s="1"/>
  <c r="H21" i="58"/>
  <c r="B21" i="58"/>
  <c r="C21" i="58" s="1"/>
  <c r="H20" i="58"/>
  <c r="B20" i="58"/>
  <c r="C20" i="58" s="1"/>
  <c r="H28" i="58"/>
  <c r="B28" i="58"/>
  <c r="C28" i="58" s="1"/>
  <c r="H23" i="58"/>
  <c r="B23" i="58"/>
  <c r="C23" i="58" s="1"/>
  <c r="H29" i="58"/>
  <c r="B29" i="58"/>
  <c r="C29" i="58" s="1"/>
  <c r="H103" i="58"/>
  <c r="B103" i="58"/>
  <c r="C103" i="58" s="1"/>
  <c r="H96" i="58"/>
  <c r="B96" i="58"/>
  <c r="C96" i="58" s="1"/>
  <c r="H102" i="58"/>
  <c r="B102" i="58"/>
  <c r="C102" i="58" s="1"/>
  <c r="H99" i="58"/>
  <c r="B99" i="58"/>
  <c r="C99" i="58" s="1"/>
  <c r="H108" i="58"/>
  <c r="B108" i="58"/>
  <c r="C108" i="58" s="1"/>
  <c r="H105" i="58"/>
  <c r="B105" i="58"/>
  <c r="C105" i="58" s="1"/>
  <c r="H101" i="58"/>
  <c r="B101" i="58"/>
  <c r="C101" i="58" s="1"/>
  <c r="H109" i="58"/>
  <c r="B109" i="58"/>
  <c r="C109" i="58" s="1"/>
  <c r="H98" i="58"/>
  <c r="B98" i="58"/>
  <c r="C98" i="58" s="1"/>
  <c r="H97" i="58"/>
  <c r="B97" i="58"/>
  <c r="C97" i="58" s="1"/>
  <c r="H106" i="58"/>
  <c r="B106" i="58"/>
  <c r="C106" i="58" s="1"/>
  <c r="H100" i="58"/>
  <c r="B100" i="58"/>
  <c r="C100" i="58" s="1"/>
  <c r="H104" i="58"/>
  <c r="B104" i="58"/>
  <c r="C104" i="58" s="1"/>
  <c r="H107" i="58"/>
  <c r="B107" i="58"/>
  <c r="C107" i="58" s="1"/>
  <c r="H51" i="58"/>
  <c r="B51" i="58"/>
  <c r="C51" i="58" s="1"/>
  <c r="H45" i="58"/>
  <c r="B45" i="58"/>
  <c r="C45" i="58" s="1"/>
  <c r="H50" i="58"/>
  <c r="B50" i="58"/>
  <c r="C50" i="58" s="1"/>
  <c r="H48" i="58"/>
  <c r="B48" i="58"/>
  <c r="C48" i="58" s="1"/>
  <c r="H56" i="58"/>
  <c r="B56" i="58"/>
  <c r="C56" i="58" s="1"/>
  <c r="H53" i="58"/>
  <c r="B53" i="58"/>
  <c r="C53" i="58" s="1"/>
  <c r="H49" i="58"/>
  <c r="B49" i="58"/>
  <c r="C49" i="58" s="1"/>
  <c r="H57" i="58"/>
  <c r="B57" i="58"/>
  <c r="C57" i="58" s="1"/>
  <c r="H47" i="58"/>
  <c r="B47" i="58"/>
  <c r="C47" i="58" s="1"/>
  <c r="H46" i="58"/>
  <c r="B46" i="58"/>
  <c r="C46" i="58" s="1"/>
  <c r="H54" i="58"/>
  <c r="B54" i="58"/>
  <c r="C54" i="58" s="1"/>
  <c r="H52" i="58"/>
  <c r="B52" i="58"/>
  <c r="C52" i="58" s="1"/>
  <c r="H55" i="58"/>
  <c r="B55" i="58"/>
  <c r="C55" i="58" s="1"/>
  <c r="H38" i="58"/>
  <c r="B38" i="58"/>
  <c r="C38" i="58" s="1"/>
  <c r="H32" i="58"/>
  <c r="B32" i="58"/>
  <c r="C32" i="58" s="1"/>
  <c r="H37" i="58"/>
  <c r="B37" i="58"/>
  <c r="C37" i="58" s="1"/>
  <c r="H35" i="58"/>
  <c r="B35" i="58"/>
  <c r="C35" i="58" s="1"/>
  <c r="H43" i="58"/>
  <c r="B43" i="58"/>
  <c r="C43" i="58" s="1"/>
  <c r="H40" i="58"/>
  <c r="B40" i="58"/>
  <c r="C40" i="58" s="1"/>
  <c r="H36" i="58"/>
  <c r="B36" i="58"/>
  <c r="C36" i="58" s="1"/>
  <c r="H44" i="58"/>
  <c r="B44" i="58"/>
  <c r="C44" i="58" s="1"/>
  <c r="H34" i="58"/>
  <c r="B34" i="58"/>
  <c r="C34" i="58" s="1"/>
  <c r="H33" i="58"/>
  <c r="B33" i="58"/>
  <c r="C33" i="58" s="1"/>
  <c r="H41" i="58"/>
  <c r="B41" i="58"/>
  <c r="C41" i="58" s="1"/>
  <c r="H39" i="58"/>
  <c r="B39" i="58"/>
  <c r="C39" i="58" s="1"/>
  <c r="H42" i="58"/>
  <c r="B42" i="58"/>
  <c r="C42" i="58" s="1"/>
  <c r="H76" i="58"/>
  <c r="B76" i="58"/>
  <c r="C76" i="58" s="1"/>
  <c r="H70" i="58"/>
  <c r="B70" i="58"/>
  <c r="C70" i="58" s="1"/>
  <c r="H75" i="58"/>
  <c r="B75" i="58"/>
  <c r="C75" i="58" s="1"/>
  <c r="H73" i="58"/>
  <c r="B73" i="58"/>
  <c r="C73" i="58" s="1"/>
  <c r="H81" i="58"/>
  <c r="B81" i="58"/>
  <c r="C81" i="58" s="1"/>
  <c r="H78" i="58"/>
  <c r="B78" i="58"/>
  <c r="C78" i="58" s="1"/>
  <c r="H74" i="58"/>
  <c r="B74" i="58"/>
  <c r="C74" i="58" s="1"/>
  <c r="H82" i="58"/>
  <c r="B82" i="58"/>
  <c r="C82" i="58" s="1"/>
  <c r="H72" i="58"/>
  <c r="B72" i="58"/>
  <c r="C72" i="58" s="1"/>
  <c r="H71" i="58"/>
  <c r="E71" i="58"/>
  <c r="B71" i="58"/>
  <c r="C71" i="58" s="1"/>
  <c r="H79" i="58"/>
  <c r="B79" i="58"/>
  <c r="C79" i="58" s="1"/>
  <c r="H77" i="58"/>
  <c r="B77" i="58"/>
  <c r="C77" i="58" s="1"/>
  <c r="H80" i="58"/>
  <c r="B80" i="58"/>
  <c r="C80" i="58" s="1"/>
  <c r="H12" i="58"/>
  <c r="B12" i="58"/>
  <c r="C12" i="58" s="1"/>
  <c r="H6" i="58"/>
  <c r="B6" i="58"/>
  <c r="C6" i="58" s="1"/>
  <c r="H11" i="58"/>
  <c r="B11" i="58"/>
  <c r="C11" i="58" s="1"/>
  <c r="H9" i="58"/>
  <c r="B9" i="58"/>
  <c r="C9" i="58" s="1"/>
  <c r="H17" i="58"/>
  <c r="B17" i="58"/>
  <c r="C17" i="58" s="1"/>
  <c r="H14" i="58"/>
  <c r="B14" i="58"/>
  <c r="C14" i="58" s="1"/>
  <c r="H10" i="58"/>
  <c r="B10" i="58"/>
  <c r="C10" i="58" s="1"/>
  <c r="H18" i="58"/>
  <c r="B18" i="58"/>
  <c r="C18" i="58" s="1"/>
  <c r="H8" i="58"/>
  <c r="B8" i="58"/>
  <c r="C8" i="58" s="1"/>
  <c r="H7" i="58"/>
  <c r="B7" i="58"/>
  <c r="C7" i="58" s="1"/>
  <c r="H15" i="58"/>
  <c r="B15" i="58"/>
  <c r="C15" i="58" s="1"/>
  <c r="H13" i="58"/>
  <c r="E13" i="58"/>
  <c r="B13" i="58"/>
  <c r="C13" i="58" s="1"/>
  <c r="H16" i="58"/>
  <c r="B16" i="58"/>
  <c r="C16" i="58" s="1"/>
  <c r="D162" i="33"/>
  <c r="G161" i="33"/>
  <c r="G148" i="33"/>
  <c r="G135" i="33"/>
  <c r="G122" i="33"/>
  <c r="G109" i="33"/>
  <c r="G96" i="33"/>
  <c r="G82" i="33"/>
  <c r="G69" i="33"/>
  <c r="G56" i="33"/>
  <c r="D46" i="33"/>
  <c r="G43" i="33"/>
  <c r="G42" i="33"/>
  <c r="G41" i="33"/>
  <c r="G40" i="33"/>
  <c r="G39" i="33"/>
  <c r="G38" i="33"/>
  <c r="G37" i="33"/>
  <c r="G36" i="33"/>
  <c r="G35" i="33"/>
  <c r="G34" i="33"/>
  <c r="G33" i="33"/>
  <c r="D33" i="33"/>
  <c r="G32" i="33"/>
  <c r="G31" i="33"/>
  <c r="D31" i="33"/>
  <c r="G30" i="33"/>
  <c r="B9" i="33"/>
  <c r="C34" i="52"/>
  <c r="C33" i="52"/>
  <c r="C32" i="52"/>
  <c r="C31" i="52"/>
  <c r="C30" i="52"/>
  <c r="C29" i="52"/>
  <c r="C28" i="52"/>
  <c r="C27" i="52"/>
  <c r="C26" i="52"/>
  <c r="C25" i="52"/>
  <c r="C24" i="52"/>
  <c r="C23" i="52"/>
  <c r="C22" i="52"/>
  <c r="C21" i="52"/>
  <c r="C20" i="52"/>
  <c r="C19" i="52"/>
  <c r="C18" i="52"/>
  <c r="C17" i="52"/>
  <c r="C16" i="52"/>
  <c r="C15" i="52"/>
  <c r="C14" i="52"/>
  <c r="C13" i="52"/>
  <c r="C12" i="52"/>
  <c r="C11" i="52"/>
  <c r="C10" i="52"/>
  <c r="C9" i="52"/>
  <c r="C8" i="52"/>
  <c r="C7" i="52"/>
  <c r="I6" i="52"/>
  <c r="C6" i="52"/>
  <c r="I5" i="52"/>
  <c r="C5" i="52"/>
  <c r="I4" i="52"/>
  <c r="C4" i="52"/>
  <c r="I3" i="52"/>
  <c r="C3" i="52"/>
  <c r="B3" i="52"/>
  <c r="B9" i="32"/>
  <c r="C33" i="51"/>
  <c r="C32" i="51"/>
  <c r="C31" i="51"/>
  <c r="C30" i="51"/>
  <c r="C29" i="51"/>
  <c r="C28" i="51"/>
  <c r="C27" i="51"/>
  <c r="C26" i="51"/>
  <c r="H25" i="51"/>
  <c r="C25" i="51"/>
  <c r="H24" i="51"/>
  <c r="C24" i="51"/>
  <c r="C23" i="51"/>
  <c r="C22" i="51"/>
  <c r="C21" i="51"/>
  <c r="C20" i="51"/>
  <c r="C19" i="51"/>
  <c r="C18" i="51"/>
  <c r="B18" i="51"/>
  <c r="B17" i="51"/>
  <c r="C17" i="51" s="1"/>
  <c r="B16" i="51"/>
  <c r="C16" i="51" s="1"/>
  <c r="C15" i="51"/>
  <c r="B15" i="51"/>
  <c r="C14" i="51"/>
  <c r="B14" i="51"/>
  <c r="F13" i="51"/>
  <c r="B13" i="51"/>
  <c r="C13" i="51" s="1"/>
  <c r="B12" i="51"/>
  <c r="C12" i="51" s="1"/>
  <c r="F11" i="51"/>
  <c r="F6" i="51" s="1"/>
  <c r="F3" i="51" s="1"/>
  <c r="C11" i="51"/>
  <c r="B11" i="51"/>
  <c r="B10" i="51"/>
  <c r="C10" i="51" s="1"/>
  <c r="B9" i="51"/>
  <c r="C9" i="51" s="1"/>
  <c r="F8" i="51"/>
  <c r="F5" i="51" s="1"/>
  <c r="B8" i="51"/>
  <c r="C8" i="51" s="1"/>
  <c r="F7" i="51"/>
  <c r="F4" i="51" s="1"/>
  <c r="B7" i="51"/>
  <c r="C7" i="51" s="1"/>
  <c r="B6" i="51"/>
  <c r="C6" i="51" s="1"/>
  <c r="C5" i="51"/>
  <c r="B5" i="51"/>
  <c r="C4" i="51"/>
  <c r="B4" i="51"/>
  <c r="C3" i="51"/>
  <c r="B3" i="51"/>
  <c r="C2" i="51"/>
  <c r="B2" i="51"/>
  <c r="D41" i="31"/>
  <c r="D39" i="31"/>
  <c r="D36" i="31"/>
  <c r="D35" i="31"/>
  <c r="D34" i="31"/>
  <c r="D33" i="31"/>
  <c r="D32" i="31"/>
  <c r="D31" i="31"/>
  <c r="B9" i="31"/>
  <c r="P79" i="49"/>
  <c r="O79" i="49"/>
  <c r="N79" i="49"/>
  <c r="C79" i="49"/>
  <c r="P78" i="49"/>
  <c r="O78" i="49"/>
  <c r="N78" i="49"/>
  <c r="C78" i="49"/>
  <c r="P77" i="49"/>
  <c r="O77" i="49"/>
  <c r="N77" i="49"/>
  <c r="C77" i="49"/>
  <c r="P76" i="49"/>
  <c r="O76" i="49"/>
  <c r="N76" i="49"/>
  <c r="C76" i="49"/>
  <c r="P75" i="49"/>
  <c r="O75" i="49"/>
  <c r="N75" i="49"/>
  <c r="C75" i="49"/>
  <c r="P74" i="49"/>
  <c r="O74" i="49"/>
  <c r="N74" i="49"/>
  <c r="C74" i="49"/>
  <c r="P73" i="49"/>
  <c r="O73" i="49"/>
  <c r="N73" i="49"/>
  <c r="C73" i="49"/>
  <c r="P72" i="49"/>
  <c r="O72" i="49"/>
  <c r="N72" i="49"/>
  <c r="C72" i="49"/>
  <c r="P71" i="49"/>
  <c r="O71" i="49"/>
  <c r="N71" i="49"/>
  <c r="C71" i="49"/>
  <c r="O70" i="49"/>
  <c r="N70" i="49"/>
  <c r="C70" i="49"/>
  <c r="O69" i="49"/>
  <c r="N69" i="49"/>
  <c r="C69" i="49"/>
  <c r="O68" i="49"/>
  <c r="N68" i="49"/>
  <c r="C68" i="49"/>
  <c r="P67" i="49"/>
  <c r="O67" i="49"/>
  <c r="N67" i="49"/>
  <c r="C67" i="49"/>
  <c r="O66" i="49"/>
  <c r="N66" i="49"/>
  <c r="C66" i="49"/>
  <c r="O65" i="49"/>
  <c r="N65" i="49"/>
  <c r="C65" i="49"/>
  <c r="P64" i="49"/>
  <c r="O64" i="49"/>
  <c r="N64" i="49"/>
  <c r="C64" i="49"/>
  <c r="O63" i="49"/>
  <c r="N63" i="49"/>
  <c r="C63" i="49"/>
  <c r="P62" i="49"/>
  <c r="O62" i="49"/>
  <c r="N62" i="49"/>
  <c r="C62" i="49"/>
  <c r="P61" i="49"/>
  <c r="O61" i="49"/>
  <c r="N61" i="49"/>
  <c r="C61" i="49"/>
  <c r="P60" i="49"/>
  <c r="O60" i="49"/>
  <c r="N60" i="49"/>
  <c r="C60" i="49"/>
  <c r="P59" i="49"/>
  <c r="O59" i="49"/>
  <c r="N59" i="49"/>
  <c r="C59" i="49"/>
  <c r="P58" i="49"/>
  <c r="O58" i="49"/>
  <c r="N58" i="49"/>
  <c r="C58" i="49"/>
  <c r="P57" i="49"/>
  <c r="O57" i="49"/>
  <c r="N57" i="49"/>
  <c r="C57" i="49"/>
  <c r="P56" i="49"/>
  <c r="O56" i="49"/>
  <c r="N56" i="49"/>
  <c r="C56" i="49"/>
  <c r="P55" i="49"/>
  <c r="O55" i="49"/>
  <c r="N55" i="49"/>
  <c r="C55" i="49"/>
  <c r="P54" i="49"/>
  <c r="O54" i="49"/>
  <c r="N54" i="49"/>
  <c r="C54" i="49"/>
  <c r="P53" i="49"/>
  <c r="O53" i="49"/>
  <c r="N53" i="49"/>
  <c r="B53" i="49"/>
  <c r="C53" i="49" s="1"/>
  <c r="P52" i="49"/>
  <c r="O52" i="49"/>
  <c r="N52" i="49"/>
  <c r="P51" i="49"/>
  <c r="O51" i="49"/>
  <c r="N51" i="49"/>
  <c r="C51" i="49"/>
  <c r="P50" i="49"/>
  <c r="O50" i="49"/>
  <c r="N50" i="49"/>
  <c r="C50" i="49"/>
  <c r="P49" i="49"/>
  <c r="O49" i="49"/>
  <c r="N49" i="49"/>
  <c r="C49" i="49"/>
  <c r="P48" i="49"/>
  <c r="O48" i="49"/>
  <c r="N48" i="49"/>
  <c r="C48" i="49"/>
  <c r="P47" i="49"/>
  <c r="O47" i="49"/>
  <c r="N47" i="49"/>
  <c r="C47" i="49"/>
  <c r="P46" i="49"/>
  <c r="O46" i="49"/>
  <c r="N46" i="49"/>
  <c r="C46" i="49"/>
  <c r="P45" i="49"/>
  <c r="O45" i="49"/>
  <c r="N45" i="49"/>
  <c r="B45" i="49"/>
  <c r="C45" i="49" s="1"/>
  <c r="P44" i="49"/>
  <c r="O44" i="49"/>
  <c r="N44" i="49"/>
  <c r="C44" i="49"/>
  <c r="P43" i="49"/>
  <c r="O43" i="49"/>
  <c r="N43" i="49"/>
  <c r="P42" i="49"/>
  <c r="O42" i="49"/>
  <c r="N42" i="49"/>
  <c r="C42" i="49"/>
  <c r="P41" i="49"/>
  <c r="O41" i="49"/>
  <c r="N41" i="49"/>
  <c r="P40" i="49"/>
  <c r="O40" i="49"/>
  <c r="N40" i="49"/>
  <c r="C40" i="49"/>
  <c r="P39" i="49"/>
  <c r="O39" i="49"/>
  <c r="N39" i="49"/>
  <c r="C39" i="49"/>
  <c r="P38" i="49"/>
  <c r="O38" i="49"/>
  <c r="N38" i="49"/>
  <c r="P37" i="49"/>
  <c r="O37" i="49"/>
  <c r="N37" i="49"/>
  <c r="C37" i="49"/>
  <c r="P36" i="49"/>
  <c r="O36" i="49"/>
  <c r="N36" i="49"/>
  <c r="C36" i="49"/>
  <c r="P35" i="49"/>
  <c r="O35" i="49"/>
  <c r="N35" i="49"/>
  <c r="C35" i="49"/>
  <c r="P34" i="49"/>
  <c r="O34" i="49"/>
  <c r="N34" i="49"/>
  <c r="C34" i="49"/>
  <c r="P33" i="49"/>
  <c r="O33" i="49"/>
  <c r="N33" i="49"/>
  <c r="C33" i="49"/>
  <c r="P32" i="49"/>
  <c r="O32" i="49"/>
  <c r="N32" i="49"/>
  <c r="C32" i="49"/>
  <c r="P31" i="49"/>
  <c r="O31" i="49"/>
  <c r="N31" i="49"/>
  <c r="B31" i="49"/>
  <c r="C31" i="49" s="1"/>
  <c r="P30" i="49"/>
  <c r="O30" i="49"/>
  <c r="N30" i="49"/>
  <c r="B30" i="49"/>
  <c r="C30" i="49" s="1"/>
  <c r="P29" i="49"/>
  <c r="O29" i="49"/>
  <c r="N29" i="49"/>
  <c r="B29" i="49"/>
  <c r="C29" i="49" s="1"/>
  <c r="P28" i="49"/>
  <c r="N28" i="49"/>
  <c r="B28" i="49"/>
  <c r="C28" i="49" s="1"/>
  <c r="P27" i="49"/>
  <c r="O27" i="49"/>
  <c r="N27" i="49"/>
  <c r="B27" i="49"/>
  <c r="C27" i="49" s="1"/>
  <c r="P26" i="49"/>
  <c r="O26" i="49"/>
  <c r="N26" i="49"/>
  <c r="G26" i="49"/>
  <c r="B26" i="49"/>
  <c r="C26" i="49" s="1"/>
  <c r="P25" i="49"/>
  <c r="O25" i="49"/>
  <c r="N25" i="49"/>
  <c r="G25" i="49"/>
  <c r="B25" i="49"/>
  <c r="C25" i="49" s="1"/>
  <c r="P24" i="49"/>
  <c r="O24" i="49"/>
  <c r="N24" i="49"/>
  <c r="G24" i="49"/>
  <c r="B24" i="49"/>
  <c r="C24" i="49" s="1"/>
  <c r="P23" i="49"/>
  <c r="O23" i="49"/>
  <c r="N23" i="49"/>
  <c r="G23" i="49"/>
  <c r="B23" i="49"/>
  <c r="C23" i="49" s="1"/>
  <c r="P22" i="49"/>
  <c r="O22" i="49"/>
  <c r="N22" i="49"/>
  <c r="G22" i="49"/>
  <c r="B22" i="49"/>
  <c r="C22" i="49" s="1"/>
  <c r="P21" i="49"/>
  <c r="O21" i="49"/>
  <c r="N21" i="49"/>
  <c r="G21" i="49"/>
  <c r="B21" i="49"/>
  <c r="C21" i="49" s="1"/>
  <c r="P20" i="49"/>
  <c r="O20" i="49"/>
  <c r="N20" i="49"/>
  <c r="G20" i="49"/>
  <c r="B20" i="49"/>
  <c r="C20" i="49" s="1"/>
  <c r="P19" i="49"/>
  <c r="O19" i="49"/>
  <c r="N19" i="49"/>
  <c r="G19" i="49"/>
  <c r="B19" i="49"/>
  <c r="C19" i="49" s="1"/>
  <c r="P18" i="49"/>
  <c r="O18" i="49"/>
  <c r="N18" i="49"/>
  <c r="G18" i="49"/>
  <c r="C18" i="49"/>
  <c r="P17" i="49"/>
  <c r="O17" i="49"/>
  <c r="N17" i="49"/>
  <c r="G17" i="49"/>
  <c r="C17" i="49"/>
  <c r="P16" i="49"/>
  <c r="O16" i="49"/>
  <c r="N16" i="49"/>
  <c r="G16" i="49"/>
  <c r="C16" i="49"/>
  <c r="P15" i="49"/>
  <c r="O15" i="49"/>
  <c r="N15" i="49"/>
  <c r="G15" i="49"/>
  <c r="B15" i="49"/>
  <c r="C15" i="49" s="1"/>
  <c r="P14" i="49"/>
  <c r="O14" i="49"/>
  <c r="N14" i="49"/>
  <c r="B14" i="49"/>
  <c r="C14" i="49" s="1"/>
  <c r="P13" i="49"/>
  <c r="O13" i="49"/>
  <c r="N13" i="49"/>
  <c r="B13" i="49"/>
  <c r="C13" i="49" s="1"/>
  <c r="P12" i="49"/>
  <c r="O12" i="49"/>
  <c r="N12" i="49"/>
  <c r="B12" i="49"/>
  <c r="C12" i="49" s="1"/>
  <c r="P11" i="49"/>
  <c r="O11" i="49"/>
  <c r="N11" i="49"/>
  <c r="B11" i="49"/>
  <c r="C11" i="49" s="1"/>
  <c r="P10" i="49"/>
  <c r="O10" i="49"/>
  <c r="N10" i="49"/>
  <c r="B10" i="49"/>
  <c r="C10" i="49" s="1"/>
  <c r="P9" i="49"/>
  <c r="O9" i="49"/>
  <c r="N9" i="49"/>
  <c r="B9" i="49"/>
  <c r="C9" i="49" s="1"/>
  <c r="P8" i="49"/>
  <c r="O8" i="49"/>
  <c r="N8" i="49"/>
  <c r="B8" i="49"/>
  <c r="C8" i="49" s="1"/>
  <c r="P7" i="49"/>
  <c r="O7" i="49"/>
  <c r="N7" i="49"/>
  <c r="B7" i="49"/>
  <c r="C7" i="49" s="1"/>
  <c r="P6" i="49"/>
  <c r="O6" i="49"/>
  <c r="N6" i="49"/>
  <c r="C6" i="49"/>
  <c r="P5" i="49"/>
  <c r="O5" i="49"/>
  <c r="N5" i="49"/>
  <c r="C5" i="49"/>
  <c r="P4" i="49"/>
  <c r="O4" i="49"/>
  <c r="N4" i="49"/>
  <c r="C4" i="49"/>
  <c r="P3" i="49"/>
  <c r="O3" i="49"/>
  <c r="N3" i="49"/>
  <c r="B3" i="49"/>
  <c r="C3" i="49" s="1"/>
  <c r="C107" i="50"/>
  <c r="L106" i="50"/>
  <c r="C106" i="50"/>
  <c r="C105" i="50"/>
  <c r="C104" i="50"/>
  <c r="C103" i="50"/>
  <c r="L102" i="50"/>
  <c r="C102" i="50"/>
  <c r="L101" i="50"/>
  <c r="C101" i="50"/>
  <c r="L100" i="50"/>
  <c r="C100" i="50"/>
  <c r="L99" i="50"/>
  <c r="C99" i="50"/>
  <c r="L98" i="50"/>
  <c r="C98" i="50"/>
  <c r="L97" i="50"/>
  <c r="C97" i="50"/>
  <c r="L96" i="50"/>
  <c r="C96" i="50"/>
  <c r="L95" i="50"/>
  <c r="C95" i="50"/>
  <c r="L94" i="50"/>
  <c r="C94" i="50"/>
  <c r="L93" i="50"/>
  <c r="C93" i="50"/>
  <c r="L92" i="50"/>
  <c r="C92" i="50"/>
  <c r="L91" i="50"/>
  <c r="C91" i="50"/>
  <c r="L90" i="50"/>
  <c r="C90" i="50"/>
  <c r="L89" i="50"/>
  <c r="C89" i="50"/>
  <c r="L88" i="50"/>
  <c r="C88" i="50"/>
  <c r="L87" i="50"/>
  <c r="C87" i="50"/>
  <c r="L86" i="50"/>
  <c r="C86" i="50"/>
  <c r="L85" i="50"/>
  <c r="C85" i="50"/>
  <c r="L84" i="50"/>
  <c r="C84" i="50"/>
  <c r="L83" i="50"/>
  <c r="C83" i="50"/>
  <c r="L82" i="50"/>
  <c r="C82" i="50"/>
  <c r="L81" i="50"/>
  <c r="C81" i="50"/>
  <c r="L80" i="50"/>
  <c r="C80" i="50"/>
  <c r="L79" i="50"/>
  <c r="C79" i="50"/>
  <c r="L78" i="50"/>
  <c r="C78" i="50"/>
  <c r="L77" i="50"/>
  <c r="C77" i="50"/>
  <c r="L76" i="50"/>
  <c r="C76" i="50"/>
  <c r="L75" i="50"/>
  <c r="C75" i="50"/>
  <c r="L74" i="50"/>
  <c r="C74" i="50"/>
  <c r="L73" i="50"/>
  <c r="C73" i="50"/>
  <c r="L72" i="50"/>
  <c r="C72" i="50"/>
  <c r="L71" i="50"/>
  <c r="C71" i="50"/>
  <c r="L70" i="50"/>
  <c r="C70" i="50"/>
  <c r="L69" i="50"/>
  <c r="C69" i="50"/>
  <c r="L68" i="50"/>
  <c r="C68" i="50"/>
  <c r="L67" i="50"/>
  <c r="C67" i="50"/>
  <c r="L66" i="50"/>
  <c r="C66" i="50"/>
  <c r="F65" i="50"/>
  <c r="C65" i="50"/>
  <c r="F64" i="50"/>
  <c r="C64" i="50"/>
  <c r="F63" i="50"/>
  <c r="C63" i="50"/>
  <c r="L62" i="50"/>
  <c r="C62" i="50"/>
  <c r="F61" i="50"/>
  <c r="C61" i="50"/>
  <c r="F60" i="50"/>
  <c r="C60" i="50"/>
  <c r="L59" i="50"/>
  <c r="C59" i="50"/>
  <c r="C58" i="50"/>
  <c r="C57" i="50"/>
  <c r="C56" i="50"/>
  <c r="C55" i="50"/>
  <c r="C54" i="50"/>
  <c r="C53" i="50"/>
  <c r="C52" i="50"/>
  <c r="C51" i="50"/>
  <c r="C50" i="50"/>
  <c r="C49" i="50"/>
  <c r="C48" i="50"/>
  <c r="C47" i="50"/>
  <c r="C46" i="50"/>
  <c r="L45" i="50"/>
  <c r="C45" i="50"/>
  <c r="L44" i="50"/>
  <c r="C44" i="50"/>
  <c r="L43" i="50"/>
  <c r="C43" i="50"/>
  <c r="L42" i="50"/>
  <c r="C42" i="50"/>
  <c r="L41" i="50"/>
  <c r="C41" i="50"/>
  <c r="L40" i="50"/>
  <c r="C40" i="50"/>
  <c r="L39" i="50"/>
  <c r="C39" i="50"/>
  <c r="L38" i="50"/>
  <c r="C38" i="50"/>
  <c r="L37" i="50"/>
  <c r="C37" i="50"/>
  <c r="L36" i="50"/>
  <c r="C36" i="50"/>
  <c r="L35" i="50"/>
  <c r="C35" i="50"/>
  <c r="L34" i="50"/>
  <c r="C34" i="50"/>
  <c r="L33" i="50"/>
  <c r="C33" i="50"/>
  <c r="L32" i="50"/>
  <c r="C32" i="50"/>
  <c r="L31" i="50"/>
  <c r="C31" i="50"/>
  <c r="L30" i="50"/>
  <c r="C30" i="50"/>
  <c r="L29" i="50"/>
  <c r="F29" i="50"/>
  <c r="C29" i="50"/>
  <c r="L28" i="50"/>
  <c r="C28" i="50"/>
  <c r="L27" i="50"/>
  <c r="F27" i="50"/>
  <c r="C27" i="50"/>
  <c r="L26" i="50"/>
  <c r="C26" i="50"/>
  <c r="L25" i="50"/>
  <c r="C25" i="50"/>
  <c r="L24" i="50"/>
  <c r="C24" i="50"/>
  <c r="L23" i="50"/>
  <c r="C23" i="50"/>
  <c r="L22" i="50"/>
  <c r="C22" i="50"/>
  <c r="L21" i="50"/>
  <c r="C21" i="50"/>
  <c r="L20" i="50"/>
  <c r="C20" i="50"/>
  <c r="L19" i="50"/>
  <c r="C19" i="50"/>
  <c r="L18" i="50"/>
  <c r="C18" i="50"/>
  <c r="L17" i="50"/>
  <c r="C17" i="50"/>
  <c r="L16" i="50"/>
  <c r="C16" i="50"/>
  <c r="L15" i="50"/>
  <c r="C15" i="50"/>
  <c r="L14" i="50"/>
  <c r="B14" i="50"/>
  <c r="C14" i="50" s="1"/>
  <c r="L13" i="50"/>
  <c r="F13" i="50"/>
  <c r="B13" i="50"/>
  <c r="C13" i="50" s="1"/>
  <c r="L12" i="50"/>
  <c r="F12" i="50"/>
  <c r="B12" i="50"/>
  <c r="C12" i="50" s="1"/>
  <c r="L11" i="50"/>
  <c r="F11" i="50"/>
  <c r="B11" i="50"/>
  <c r="C11" i="50" s="1"/>
  <c r="L10" i="50"/>
  <c r="F10" i="50"/>
  <c r="B10" i="50"/>
  <c r="C10" i="50" s="1"/>
  <c r="L9" i="50"/>
  <c r="F9" i="50"/>
  <c r="B9" i="50"/>
  <c r="C9" i="50" s="1"/>
  <c r="L8" i="50"/>
  <c r="F8" i="50"/>
  <c r="B8" i="50"/>
  <c r="C8" i="50" s="1"/>
  <c r="L7" i="50"/>
  <c r="F7" i="50"/>
  <c r="B7" i="50"/>
  <c r="C7" i="50" s="1"/>
  <c r="L6" i="50"/>
  <c r="F6" i="50"/>
  <c r="C6" i="50"/>
  <c r="L5" i="50"/>
  <c r="F5" i="50"/>
  <c r="C5" i="50"/>
  <c r="L4" i="50"/>
  <c r="F4" i="50"/>
  <c r="C4" i="50"/>
  <c r="L3" i="50"/>
  <c r="B3" i="50"/>
  <c r="C3" i="50" s="1"/>
  <c r="D53" i="9"/>
  <c r="D52" i="9"/>
  <c r="D51" i="9"/>
  <c r="D50" i="9"/>
  <c r="D49" i="9"/>
  <c r="D48" i="9"/>
  <c r="D47" i="9"/>
  <c r="D46" i="9"/>
  <c r="D45" i="9"/>
  <c r="D44" i="9"/>
  <c r="D43" i="9"/>
  <c r="D42" i="9"/>
  <c r="B9" i="9"/>
  <c r="D40" i="5"/>
  <c r="D39" i="5"/>
  <c r="D38" i="5"/>
  <c r="D37" i="5"/>
  <c r="D36" i="5"/>
  <c r="D35" i="5"/>
  <c r="D34" i="5"/>
  <c r="D33" i="5"/>
  <c r="D32" i="5"/>
  <c r="D31" i="5"/>
  <c r="D30" i="5"/>
  <c r="B9" i="5"/>
  <c r="C36" i="48"/>
  <c r="C35" i="48"/>
  <c r="C34" i="48"/>
  <c r="C33" i="48"/>
  <c r="C32" i="48"/>
  <c r="C31" i="48"/>
  <c r="K30" i="48"/>
  <c r="C30" i="48"/>
  <c r="K29" i="48"/>
  <c r="C29" i="48"/>
  <c r="K28" i="48"/>
  <c r="C28" i="48"/>
  <c r="K27" i="48"/>
  <c r="C27" i="48"/>
  <c r="K26" i="48"/>
  <c r="C26" i="48"/>
  <c r="K25" i="48"/>
  <c r="I25" i="48"/>
  <c r="C25" i="48"/>
  <c r="K24" i="48"/>
  <c r="C24" i="48"/>
  <c r="K23" i="48"/>
  <c r="C23" i="48"/>
  <c r="K22" i="48"/>
  <c r="C22" i="48"/>
  <c r="K21" i="48"/>
  <c r="C21" i="48"/>
  <c r="K20" i="48"/>
  <c r="C20" i="48"/>
  <c r="K19" i="48"/>
  <c r="C19" i="48"/>
  <c r="K18" i="48"/>
  <c r="C18" i="48"/>
  <c r="K17" i="48"/>
  <c r="C17" i="48"/>
  <c r="K16" i="48"/>
  <c r="C16" i="48"/>
  <c r="K15" i="48"/>
  <c r="C15" i="48"/>
  <c r="K14" i="48"/>
  <c r="C14" i="48"/>
  <c r="K13" i="48"/>
  <c r="C13" i="48"/>
  <c r="K12" i="48"/>
  <c r="C12" i="48"/>
  <c r="K11" i="48"/>
  <c r="C11" i="48"/>
  <c r="K10" i="48"/>
  <c r="C10" i="48"/>
  <c r="K9" i="48"/>
  <c r="C9" i="48"/>
  <c r="K8" i="48"/>
  <c r="I8" i="48"/>
  <c r="C8" i="48"/>
  <c r="B8" i="48"/>
  <c r="K7" i="48"/>
  <c r="C7" i="48"/>
  <c r="B7" i="48"/>
  <c r="M6" i="48"/>
  <c r="K6" i="48"/>
  <c r="C6" i="48"/>
  <c r="B6" i="48"/>
  <c r="K5" i="48"/>
  <c r="C5" i="48"/>
  <c r="B5" i="48"/>
  <c r="K4" i="48"/>
  <c r="I4" i="48"/>
  <c r="C4" i="48"/>
  <c r="B4" i="48"/>
  <c r="K3" i="48"/>
  <c r="I3" i="48"/>
  <c r="C3" i="48"/>
  <c r="B3" i="48"/>
  <c r="I36" i="27"/>
  <c r="I35" i="27"/>
  <c r="G35" i="27"/>
  <c r="I34" i="27"/>
  <c r="J33" i="27"/>
  <c r="I33" i="27"/>
  <c r="I32" i="27"/>
  <c r="I31" i="27"/>
  <c r="G31" i="27"/>
  <c r="I30" i="27"/>
  <c r="G30" i="27"/>
  <c r="D15" i="27"/>
  <c r="D14" i="27"/>
  <c r="D13" i="27"/>
  <c r="B9" i="27"/>
  <c r="I31" i="28"/>
  <c r="I30" i="28"/>
  <c r="G30" i="28"/>
  <c r="B9" i="28"/>
  <c r="E31" i="29"/>
  <c r="E30" i="29"/>
  <c r="D15" i="29"/>
  <c r="D14" i="29"/>
  <c r="D13" i="29"/>
  <c r="B9" i="29"/>
  <c r="G18" i="47"/>
  <c r="C18" i="47"/>
  <c r="G17" i="47"/>
  <c r="C17" i="47"/>
  <c r="G16" i="47"/>
  <c r="C16" i="47"/>
  <c r="G15" i="47"/>
  <c r="C15" i="47"/>
  <c r="G14" i="47"/>
  <c r="C14" i="47"/>
  <c r="G13" i="47"/>
  <c r="C13" i="47"/>
  <c r="G12" i="47"/>
  <c r="C12" i="47"/>
  <c r="G11" i="47"/>
  <c r="C11" i="47"/>
  <c r="G10" i="47"/>
  <c r="C10" i="47"/>
  <c r="G9" i="47"/>
  <c r="C9" i="47"/>
  <c r="G8" i="47"/>
  <c r="C8" i="47"/>
  <c r="G7" i="47"/>
  <c r="C7" i="47"/>
  <c r="H6" i="47"/>
  <c r="G6" i="47"/>
  <c r="C6" i="47"/>
  <c r="G5" i="47"/>
  <c r="C5" i="47"/>
  <c r="H4" i="47"/>
  <c r="G4" i="47"/>
  <c r="C4" i="47"/>
  <c r="B4" i="47"/>
  <c r="H3" i="47"/>
  <c r="G3" i="47"/>
  <c r="C3" i="47"/>
  <c r="B3" i="47"/>
  <c r="E31" i="26"/>
  <c r="E30" i="26"/>
  <c r="B9" i="26"/>
  <c r="D15" i="25"/>
  <c r="D14" i="25"/>
  <c r="D13" i="25"/>
  <c r="B9" i="25"/>
  <c r="N103" i="46"/>
  <c r="C103" i="46"/>
  <c r="N102" i="46"/>
  <c r="C102" i="46"/>
  <c r="N101" i="46"/>
  <c r="C101" i="46"/>
  <c r="N100" i="46"/>
  <c r="C100" i="46"/>
  <c r="N99" i="46"/>
  <c r="C99" i="46"/>
  <c r="N98" i="46"/>
  <c r="C98" i="46"/>
  <c r="N97" i="46"/>
  <c r="C97" i="46"/>
  <c r="N96" i="46"/>
  <c r="C96" i="46"/>
  <c r="N95" i="46"/>
  <c r="C95" i="46"/>
  <c r="N94" i="46"/>
  <c r="C94" i="46"/>
  <c r="N93" i="46"/>
  <c r="C93" i="46"/>
  <c r="N92" i="46"/>
  <c r="C92" i="46"/>
  <c r="N91" i="46"/>
  <c r="C91" i="46"/>
  <c r="N90" i="46"/>
  <c r="C90" i="46"/>
  <c r="N89" i="46"/>
  <c r="C89" i="46"/>
  <c r="N88" i="46"/>
  <c r="C88" i="46"/>
  <c r="N87" i="46"/>
  <c r="C87" i="46"/>
  <c r="N86" i="46"/>
  <c r="C86" i="46"/>
  <c r="N85" i="46"/>
  <c r="C85" i="46"/>
  <c r="N84" i="46"/>
  <c r="C84" i="46"/>
  <c r="N83" i="46"/>
  <c r="C83" i="46"/>
  <c r="N82" i="46"/>
  <c r="C82" i="46"/>
  <c r="N81" i="46"/>
  <c r="C81" i="46"/>
  <c r="N80" i="46"/>
  <c r="C80" i="46"/>
  <c r="N79" i="46"/>
  <c r="C79" i="46"/>
  <c r="N78" i="46"/>
  <c r="C78" i="46"/>
  <c r="N77" i="46"/>
  <c r="C77" i="46"/>
  <c r="N76" i="46"/>
  <c r="C76" i="46"/>
  <c r="N75" i="46"/>
  <c r="C75" i="46"/>
  <c r="N74" i="46"/>
  <c r="C74" i="46"/>
  <c r="N73" i="46"/>
  <c r="C73" i="46"/>
  <c r="N72" i="46"/>
  <c r="C72" i="46"/>
  <c r="N71" i="46"/>
  <c r="C71" i="46"/>
  <c r="N70" i="46"/>
  <c r="C70" i="46"/>
  <c r="N69" i="46"/>
  <c r="C69" i="46"/>
  <c r="N68" i="46"/>
  <c r="C68" i="46"/>
  <c r="N67" i="46"/>
  <c r="C67" i="46"/>
  <c r="N66" i="46"/>
  <c r="C66" i="46"/>
  <c r="N65" i="46"/>
  <c r="C65" i="46"/>
  <c r="N64" i="46"/>
  <c r="C64" i="46"/>
  <c r="N63" i="46"/>
  <c r="C63" i="46"/>
  <c r="N62" i="46"/>
  <c r="C62" i="46"/>
  <c r="N61" i="46"/>
  <c r="C61" i="46"/>
  <c r="N60" i="46"/>
  <c r="C60" i="46"/>
  <c r="N59" i="46"/>
  <c r="C59" i="46"/>
  <c r="N58" i="46"/>
  <c r="C58" i="46"/>
  <c r="N57" i="46"/>
  <c r="C57" i="46"/>
  <c r="N56" i="46"/>
  <c r="C56" i="46"/>
  <c r="N55" i="46"/>
  <c r="C55" i="46"/>
  <c r="N54" i="46"/>
  <c r="C54" i="46"/>
  <c r="N53" i="46"/>
  <c r="C53" i="46"/>
  <c r="N52" i="46"/>
  <c r="C52" i="46"/>
  <c r="N51" i="46"/>
  <c r="C51" i="46"/>
  <c r="N50" i="46"/>
  <c r="C50" i="46"/>
  <c r="N49" i="46"/>
  <c r="C49" i="46"/>
  <c r="N48" i="46"/>
  <c r="C48" i="46"/>
  <c r="N47" i="46"/>
  <c r="C47" i="46"/>
  <c r="N46" i="46"/>
  <c r="C46" i="46"/>
  <c r="N45" i="46"/>
  <c r="C45" i="46"/>
  <c r="N44" i="46"/>
  <c r="C44" i="46"/>
  <c r="N43" i="46"/>
  <c r="C43" i="46"/>
  <c r="N42" i="46"/>
  <c r="C42" i="46"/>
  <c r="N41" i="46"/>
  <c r="C41" i="46"/>
  <c r="N40" i="46"/>
  <c r="C40" i="46"/>
  <c r="N39" i="46"/>
  <c r="C39" i="46"/>
  <c r="N38" i="46"/>
  <c r="C38" i="46"/>
  <c r="N37" i="46"/>
  <c r="C37" i="46"/>
  <c r="N36" i="46"/>
  <c r="C36" i="46"/>
  <c r="N35" i="46"/>
  <c r="C35" i="46"/>
  <c r="N34" i="46"/>
  <c r="C34" i="46"/>
  <c r="N33" i="46"/>
  <c r="C33" i="46"/>
  <c r="N32" i="46"/>
  <c r="C32" i="46"/>
  <c r="N31" i="46"/>
  <c r="C31" i="46"/>
  <c r="N30" i="46"/>
  <c r="C30" i="46"/>
  <c r="N29" i="46"/>
  <c r="C29" i="46"/>
  <c r="N28" i="46"/>
  <c r="C28" i="46"/>
  <c r="N27" i="46"/>
  <c r="C27" i="46"/>
  <c r="N26" i="46"/>
  <c r="C26" i="46"/>
  <c r="N25" i="46"/>
  <c r="C25" i="46"/>
  <c r="N24" i="46"/>
  <c r="C24" i="46"/>
  <c r="N23" i="46"/>
  <c r="C23" i="46"/>
  <c r="N22" i="46"/>
  <c r="C22" i="46"/>
  <c r="N21" i="46"/>
  <c r="C21" i="46"/>
  <c r="N20" i="46"/>
  <c r="B20" i="46"/>
  <c r="C20" i="46" s="1"/>
  <c r="N19" i="46"/>
  <c r="B19" i="46"/>
  <c r="C19" i="46" s="1"/>
  <c r="N18" i="46"/>
  <c r="C18" i="46"/>
  <c r="B18" i="46"/>
  <c r="L17" i="46"/>
  <c r="N17" i="46"/>
  <c r="B17" i="46"/>
  <c r="C17" i="46" s="1"/>
  <c r="N16" i="46"/>
  <c r="C16" i="46"/>
  <c r="B16" i="46"/>
  <c r="N15" i="46"/>
  <c r="B15" i="46"/>
  <c r="C15" i="46" s="1"/>
  <c r="N14" i="46"/>
  <c r="C14" i="46"/>
  <c r="B14" i="46"/>
  <c r="N13" i="46"/>
  <c r="C13" i="46"/>
  <c r="B13" i="46"/>
  <c r="N12" i="46"/>
  <c r="C12" i="46"/>
  <c r="B12" i="46"/>
  <c r="N11" i="46"/>
  <c r="B11" i="46"/>
  <c r="C11" i="46" s="1"/>
  <c r="N10" i="46"/>
  <c r="B10" i="46"/>
  <c r="C10" i="46" s="1"/>
  <c r="N9" i="46"/>
  <c r="B9" i="46"/>
  <c r="C9" i="46" s="1"/>
  <c r="N8" i="46"/>
  <c r="C8" i="46"/>
  <c r="N7" i="46"/>
  <c r="C7" i="46"/>
  <c r="N6" i="46"/>
  <c r="C6" i="46"/>
  <c r="L5" i="46"/>
  <c r="N5" i="46"/>
  <c r="C5" i="46"/>
  <c r="B5" i="46"/>
  <c r="C4" i="46"/>
  <c r="C3" i="46"/>
  <c r="I48" i="24"/>
  <c r="I47" i="24"/>
  <c r="I46" i="24"/>
  <c r="I45" i="24"/>
  <c r="I44" i="24"/>
  <c r="G44" i="24"/>
  <c r="E44" i="24"/>
  <c r="I43" i="24"/>
  <c r="I42" i="24"/>
  <c r="I41" i="24"/>
  <c r="I40" i="24"/>
  <c r="I39" i="24"/>
  <c r="I38" i="24"/>
  <c r="I37" i="24"/>
  <c r="I36" i="24"/>
  <c r="I35" i="24"/>
  <c r="I34" i="24"/>
  <c r="I33" i="24"/>
  <c r="I32" i="24"/>
  <c r="G32" i="24"/>
  <c r="E32" i="24"/>
  <c r="B9" i="24"/>
  <c r="O2672" i="45"/>
  <c r="I2672" i="45"/>
  <c r="O2671" i="45"/>
  <c r="I2671" i="45"/>
  <c r="O2670" i="45"/>
  <c r="I2670" i="45"/>
  <c r="O2669" i="45"/>
  <c r="I2669" i="45"/>
  <c r="O2668" i="45"/>
  <c r="I2668" i="45"/>
  <c r="O2667" i="45"/>
  <c r="I2667" i="45"/>
  <c r="O2666" i="45"/>
  <c r="I2666" i="45"/>
  <c r="O2665" i="45"/>
  <c r="I2665" i="45"/>
  <c r="O2664" i="45"/>
  <c r="I2664" i="45"/>
  <c r="O2663" i="45"/>
  <c r="I2663" i="45"/>
  <c r="O2662" i="45"/>
  <c r="I2662" i="45"/>
  <c r="O2661" i="45"/>
  <c r="I2661" i="45"/>
  <c r="O2660" i="45"/>
  <c r="I2660" i="45"/>
  <c r="O2659" i="45"/>
  <c r="I2659" i="45"/>
  <c r="O2658" i="45"/>
  <c r="I2658" i="45"/>
  <c r="O2657" i="45"/>
  <c r="I2657" i="45"/>
  <c r="O2656" i="45"/>
  <c r="I2656" i="45"/>
  <c r="O2655" i="45"/>
  <c r="I2655" i="45"/>
  <c r="O2654" i="45"/>
  <c r="I2654" i="45"/>
  <c r="O2653" i="45"/>
  <c r="I2653" i="45"/>
  <c r="O2652" i="45"/>
  <c r="I2652" i="45"/>
  <c r="O2651" i="45"/>
  <c r="I2651" i="45"/>
  <c r="O2650" i="45"/>
  <c r="I2650" i="45"/>
  <c r="O2649" i="45"/>
  <c r="I2649" i="45"/>
  <c r="O2648" i="45"/>
  <c r="I2648" i="45"/>
  <c r="O2647" i="45"/>
  <c r="I2647" i="45"/>
  <c r="O2646" i="45"/>
  <c r="I2646" i="45"/>
  <c r="O2645" i="45"/>
  <c r="I2645" i="45"/>
  <c r="O2644" i="45"/>
  <c r="I2644" i="45"/>
  <c r="O2643" i="45"/>
  <c r="I2643" i="45"/>
  <c r="O2642" i="45"/>
  <c r="I2642" i="45"/>
  <c r="O2641" i="45"/>
  <c r="I2641" i="45"/>
  <c r="O2640" i="45"/>
  <c r="I2640" i="45"/>
  <c r="O2639" i="45"/>
  <c r="I2639" i="45"/>
  <c r="O2638" i="45"/>
  <c r="I2638" i="45"/>
  <c r="O2637" i="45"/>
  <c r="I2637" i="45"/>
  <c r="O2636" i="45"/>
  <c r="I2636" i="45"/>
  <c r="O2635" i="45"/>
  <c r="I2635" i="45"/>
  <c r="O2634" i="45"/>
  <c r="I2634" i="45"/>
  <c r="O2633" i="45"/>
  <c r="I2633" i="45"/>
  <c r="O2632" i="45"/>
  <c r="I2632" i="45"/>
  <c r="O2631" i="45"/>
  <c r="I2631" i="45"/>
  <c r="O2630" i="45"/>
  <c r="I2630" i="45"/>
  <c r="O2629" i="45"/>
  <c r="I2629" i="45"/>
  <c r="O2628" i="45"/>
  <c r="I2628" i="45"/>
  <c r="O2627" i="45"/>
  <c r="I2627" i="45"/>
  <c r="O2626" i="45"/>
  <c r="I2626" i="45"/>
  <c r="O2625" i="45"/>
  <c r="I2625" i="45"/>
  <c r="O2624" i="45"/>
  <c r="I2624" i="45"/>
  <c r="O2623" i="45"/>
  <c r="I2623" i="45"/>
  <c r="O2622" i="45"/>
  <c r="I2622" i="45"/>
  <c r="O2621" i="45"/>
  <c r="I2621" i="45"/>
  <c r="O2620" i="45"/>
  <c r="I2620" i="45"/>
  <c r="O2619" i="45"/>
  <c r="I2619" i="45"/>
  <c r="O2618" i="45"/>
  <c r="I2618" i="45"/>
  <c r="O2617" i="45"/>
  <c r="I2617" i="45"/>
  <c r="O2616" i="45"/>
  <c r="I2616" i="45"/>
  <c r="O2615" i="45"/>
  <c r="I2615" i="45"/>
  <c r="O2614" i="45"/>
  <c r="I2614" i="45"/>
  <c r="O2613" i="45"/>
  <c r="I2613" i="45"/>
  <c r="O2612" i="45"/>
  <c r="I2612" i="45"/>
  <c r="O2611" i="45"/>
  <c r="I2611" i="45"/>
  <c r="O2610" i="45"/>
  <c r="I2610" i="45"/>
  <c r="O2609" i="45"/>
  <c r="I2609" i="45"/>
  <c r="O2608" i="45"/>
  <c r="I2608" i="45"/>
  <c r="O2607" i="45"/>
  <c r="I2607" i="45"/>
  <c r="O2606" i="45"/>
  <c r="I2606" i="45"/>
  <c r="O2605" i="45"/>
  <c r="I2605" i="45"/>
  <c r="O2604" i="45"/>
  <c r="I2604" i="45"/>
  <c r="O2603" i="45"/>
  <c r="I2603" i="45"/>
  <c r="O2602" i="45"/>
  <c r="I2602" i="45"/>
  <c r="O2601" i="45"/>
  <c r="I2601" i="45"/>
  <c r="O2600" i="45"/>
  <c r="I2600" i="45"/>
  <c r="O2599" i="45"/>
  <c r="I2599" i="45"/>
  <c r="O2598" i="45"/>
  <c r="I2598" i="45"/>
  <c r="O2597" i="45"/>
  <c r="I2597" i="45"/>
  <c r="O2596" i="45"/>
  <c r="I2596" i="45"/>
  <c r="O2595" i="45"/>
  <c r="I2595" i="45"/>
  <c r="O2594" i="45"/>
  <c r="I2594" i="45"/>
  <c r="O2593" i="45"/>
  <c r="I2593" i="45"/>
  <c r="O2592" i="45"/>
  <c r="I2592" i="45"/>
  <c r="O2591" i="45"/>
  <c r="I2591" i="45"/>
  <c r="O2590" i="45"/>
  <c r="I2590" i="45"/>
  <c r="O2589" i="45"/>
  <c r="I2589" i="45"/>
  <c r="O2588" i="45"/>
  <c r="I2588" i="45"/>
  <c r="O2587" i="45"/>
  <c r="I2587" i="45"/>
  <c r="O2586" i="45"/>
  <c r="I2586" i="45"/>
  <c r="O2585" i="45"/>
  <c r="I2585" i="45"/>
  <c r="O2584" i="45"/>
  <c r="I2584" i="45"/>
  <c r="O2583" i="45"/>
  <c r="I2583" i="45"/>
  <c r="O2582" i="45"/>
  <c r="I2582" i="45"/>
  <c r="O2581" i="45"/>
  <c r="I2581" i="45"/>
  <c r="O2580" i="45"/>
  <c r="I2580" i="45"/>
  <c r="O2579" i="45"/>
  <c r="I2579" i="45"/>
  <c r="O2578" i="45"/>
  <c r="I2578" i="45"/>
  <c r="O2577" i="45"/>
  <c r="I2577" i="45"/>
  <c r="O2576" i="45"/>
  <c r="I2576" i="45"/>
  <c r="O2575" i="45"/>
  <c r="I2575" i="45"/>
  <c r="O2574" i="45"/>
  <c r="I2574" i="45"/>
  <c r="O2573" i="45"/>
  <c r="I2573" i="45"/>
  <c r="O2572" i="45"/>
  <c r="I2572" i="45"/>
  <c r="O2571" i="45"/>
  <c r="I2571" i="45"/>
  <c r="O2570" i="45"/>
  <c r="I2570" i="45"/>
  <c r="O2569" i="45"/>
  <c r="I2569" i="45"/>
  <c r="O2568" i="45"/>
  <c r="I2568" i="45"/>
  <c r="O2567" i="45"/>
  <c r="I2567" i="45"/>
  <c r="O2566" i="45"/>
  <c r="I2566" i="45"/>
  <c r="O2565" i="45"/>
  <c r="I2565" i="45"/>
  <c r="O2564" i="45"/>
  <c r="I2564" i="45"/>
  <c r="O2563" i="45"/>
  <c r="I2563" i="45"/>
  <c r="O2562" i="45"/>
  <c r="I2562" i="45"/>
  <c r="O2561" i="45"/>
  <c r="I2561" i="45"/>
  <c r="O2560" i="45"/>
  <c r="I2560" i="45"/>
  <c r="O2559" i="45"/>
  <c r="I2559" i="45"/>
  <c r="O2558" i="45"/>
  <c r="I2558" i="45"/>
  <c r="O2557" i="45"/>
  <c r="I2557" i="45"/>
  <c r="O2556" i="45"/>
  <c r="I2556" i="45"/>
  <c r="O2555" i="45"/>
  <c r="I2555" i="45"/>
  <c r="O2554" i="45"/>
  <c r="I2554" i="45"/>
  <c r="O2553" i="45"/>
  <c r="I2553" i="45"/>
  <c r="O2552" i="45"/>
  <c r="I2552" i="45"/>
  <c r="O2551" i="45"/>
  <c r="I2551" i="45"/>
  <c r="O2550" i="45"/>
  <c r="I2550" i="45"/>
  <c r="O2549" i="45"/>
  <c r="I2549" i="45"/>
  <c r="O2548" i="45"/>
  <c r="I2548" i="45"/>
  <c r="O2547" i="45"/>
  <c r="I2547" i="45"/>
  <c r="O2546" i="45"/>
  <c r="I2546" i="45"/>
  <c r="O2545" i="45"/>
  <c r="I2545" i="45"/>
  <c r="O2544" i="45"/>
  <c r="I2544" i="45"/>
  <c r="O2543" i="45"/>
  <c r="I2543" i="45"/>
  <c r="O2542" i="45"/>
  <c r="I2542" i="45"/>
  <c r="O2541" i="45"/>
  <c r="I2541" i="45"/>
  <c r="O2540" i="45"/>
  <c r="I2540" i="45"/>
  <c r="O2539" i="45"/>
  <c r="I2539" i="45"/>
  <c r="O2538" i="45"/>
  <c r="I2538" i="45"/>
  <c r="O2537" i="45"/>
  <c r="I2537" i="45"/>
  <c r="O2536" i="45"/>
  <c r="I2536" i="45"/>
  <c r="O2535" i="45"/>
  <c r="I2535" i="45"/>
  <c r="O2534" i="45"/>
  <c r="I2534" i="45"/>
  <c r="O2533" i="45"/>
  <c r="I2533" i="45"/>
  <c r="O2532" i="45"/>
  <c r="I2532" i="45"/>
  <c r="O2531" i="45"/>
  <c r="I2531" i="45"/>
  <c r="O2530" i="45"/>
  <c r="I2530" i="45"/>
  <c r="O2529" i="45"/>
  <c r="I2529" i="45"/>
  <c r="O2528" i="45"/>
  <c r="I2528" i="45"/>
  <c r="O2527" i="45"/>
  <c r="I2527" i="45"/>
  <c r="O2526" i="45"/>
  <c r="I2526" i="45"/>
  <c r="O2525" i="45"/>
  <c r="I2525" i="45"/>
  <c r="O2524" i="45"/>
  <c r="I2524" i="45"/>
  <c r="O2523" i="45"/>
  <c r="I2523" i="45"/>
  <c r="O2522" i="45"/>
  <c r="I2522" i="45"/>
  <c r="O2521" i="45"/>
  <c r="I2521" i="45"/>
  <c r="O2520" i="45"/>
  <c r="I2520" i="45"/>
  <c r="O2519" i="45"/>
  <c r="I2519" i="45"/>
  <c r="O2518" i="45"/>
  <c r="I2518" i="45"/>
  <c r="O2517" i="45"/>
  <c r="I2517" i="45"/>
  <c r="O2516" i="45"/>
  <c r="I2516" i="45"/>
  <c r="O2515" i="45"/>
  <c r="I2515" i="45"/>
  <c r="O2514" i="45"/>
  <c r="I2514" i="45"/>
  <c r="O2513" i="45"/>
  <c r="I2513" i="45"/>
  <c r="O2512" i="45"/>
  <c r="I2512" i="45"/>
  <c r="O2511" i="45"/>
  <c r="I2511" i="45"/>
  <c r="O2510" i="45"/>
  <c r="I2510" i="45"/>
  <c r="O2509" i="45"/>
  <c r="I2509" i="45"/>
  <c r="O2508" i="45"/>
  <c r="I2508" i="45"/>
  <c r="O2507" i="45"/>
  <c r="I2507" i="45"/>
  <c r="O2506" i="45"/>
  <c r="I2506" i="45"/>
  <c r="O2505" i="45"/>
  <c r="I2505" i="45"/>
  <c r="O2504" i="45"/>
  <c r="I2504" i="45"/>
  <c r="O2503" i="45"/>
  <c r="I2503" i="45"/>
  <c r="O2502" i="45"/>
  <c r="I2502" i="45"/>
  <c r="O2501" i="45"/>
  <c r="I2501" i="45"/>
  <c r="O2500" i="45"/>
  <c r="I2500" i="45"/>
  <c r="O2499" i="45"/>
  <c r="I2499" i="45"/>
  <c r="O2498" i="45"/>
  <c r="I2498" i="45"/>
  <c r="O2497" i="45"/>
  <c r="I2497" i="45"/>
  <c r="O2496" i="45"/>
  <c r="I2496" i="45"/>
  <c r="O2495" i="45"/>
  <c r="I2495" i="45"/>
  <c r="O2494" i="45"/>
  <c r="I2494" i="45"/>
  <c r="O2493" i="45"/>
  <c r="I2493" i="45"/>
  <c r="O2492" i="45"/>
  <c r="I2492" i="45"/>
  <c r="O2491" i="45"/>
  <c r="I2491" i="45"/>
  <c r="O2490" i="45"/>
  <c r="I2490" i="45"/>
  <c r="O2489" i="45"/>
  <c r="I2489" i="45"/>
  <c r="O2488" i="45"/>
  <c r="I2488" i="45"/>
  <c r="O2487" i="45"/>
  <c r="I2487" i="45"/>
  <c r="O2486" i="45"/>
  <c r="I2486" i="45"/>
  <c r="O2485" i="45"/>
  <c r="I2485" i="45"/>
  <c r="O2484" i="45"/>
  <c r="I2484" i="45"/>
  <c r="O2483" i="45"/>
  <c r="I2483" i="45"/>
  <c r="O2482" i="45"/>
  <c r="I2482" i="45"/>
  <c r="O2481" i="45"/>
  <c r="I2481" i="45"/>
  <c r="O2480" i="45"/>
  <c r="I2480" i="45"/>
  <c r="O2479" i="45"/>
  <c r="I2479" i="45"/>
  <c r="O2478" i="45"/>
  <c r="I2478" i="45"/>
  <c r="O2477" i="45"/>
  <c r="I2477" i="45"/>
  <c r="O2476" i="45"/>
  <c r="I2476" i="45"/>
  <c r="O2475" i="45"/>
  <c r="I2475" i="45"/>
  <c r="O2474" i="45"/>
  <c r="I2474" i="45"/>
  <c r="O2473" i="45"/>
  <c r="I2473" i="45"/>
  <c r="O2472" i="45"/>
  <c r="I2472" i="45"/>
  <c r="O2471" i="45"/>
  <c r="I2471" i="45"/>
  <c r="O2470" i="45"/>
  <c r="I2470" i="45"/>
  <c r="O2469" i="45"/>
  <c r="I2469" i="45"/>
  <c r="O2468" i="45"/>
  <c r="I2468" i="45"/>
  <c r="O2467" i="45"/>
  <c r="I2467" i="45"/>
  <c r="O2466" i="45"/>
  <c r="I2466" i="45"/>
  <c r="O2465" i="45"/>
  <c r="I2465" i="45"/>
  <c r="O2464" i="45"/>
  <c r="I2464" i="45"/>
  <c r="O2463" i="45"/>
  <c r="I2463" i="45"/>
  <c r="O2462" i="45"/>
  <c r="I2462" i="45"/>
  <c r="O2461" i="45"/>
  <c r="I2461" i="45"/>
  <c r="O2460" i="45"/>
  <c r="I2460" i="45"/>
  <c r="O2459" i="45"/>
  <c r="I2459" i="45"/>
  <c r="O2458" i="45"/>
  <c r="I2458" i="45"/>
  <c r="O2457" i="45"/>
  <c r="I2457" i="45"/>
  <c r="O2456" i="45"/>
  <c r="I2456" i="45"/>
  <c r="O2455" i="45"/>
  <c r="I2455" i="45"/>
  <c r="O2454" i="45"/>
  <c r="I2454" i="45"/>
  <c r="O2453" i="45"/>
  <c r="I2453" i="45"/>
  <c r="O2452" i="45"/>
  <c r="I2452" i="45"/>
  <c r="O2451" i="45"/>
  <c r="I2451" i="45"/>
  <c r="O2450" i="45"/>
  <c r="I2450" i="45"/>
  <c r="O2449" i="45"/>
  <c r="I2449" i="45"/>
  <c r="O2448" i="45"/>
  <c r="I2448" i="45"/>
  <c r="O2447" i="45"/>
  <c r="I2447" i="45"/>
  <c r="O2446" i="45"/>
  <c r="I2446" i="45"/>
  <c r="O2445" i="45"/>
  <c r="I2445" i="45"/>
  <c r="O2444" i="45"/>
  <c r="I2444" i="45"/>
  <c r="O2443" i="45"/>
  <c r="I2443" i="45"/>
  <c r="O2442" i="45"/>
  <c r="I2442" i="45"/>
  <c r="O2441" i="45"/>
  <c r="I2441" i="45"/>
  <c r="O2440" i="45"/>
  <c r="I2440" i="45"/>
  <c r="O2439" i="45"/>
  <c r="I2439" i="45"/>
  <c r="O2438" i="45"/>
  <c r="I2438" i="45"/>
  <c r="O2437" i="45"/>
  <c r="I2437" i="45"/>
  <c r="O2436" i="45"/>
  <c r="I2436" i="45"/>
  <c r="O2435" i="45"/>
  <c r="I2435" i="45"/>
  <c r="O2434" i="45"/>
  <c r="I2434" i="45"/>
  <c r="O2433" i="45"/>
  <c r="I2433" i="45"/>
  <c r="O2432" i="45"/>
  <c r="I2432" i="45"/>
  <c r="O2431" i="45"/>
  <c r="I2431" i="45"/>
  <c r="O2430" i="45"/>
  <c r="I2430" i="45"/>
  <c r="O2429" i="45"/>
  <c r="I2429" i="45"/>
  <c r="O2428" i="45"/>
  <c r="I2428" i="45"/>
  <c r="O2427" i="45"/>
  <c r="I2427" i="45"/>
  <c r="O2426" i="45"/>
  <c r="I2426" i="45"/>
  <c r="O2425" i="45"/>
  <c r="I2425" i="45"/>
  <c r="O2424" i="45"/>
  <c r="I2424" i="45"/>
  <c r="O2423" i="45"/>
  <c r="I2423" i="45"/>
  <c r="O2422" i="45"/>
  <c r="I2422" i="45"/>
  <c r="O2421" i="45"/>
  <c r="I2421" i="45"/>
  <c r="O2420" i="45"/>
  <c r="I2420" i="45"/>
  <c r="O2419" i="45"/>
  <c r="I2419" i="45"/>
  <c r="O2418" i="45"/>
  <c r="I2418" i="45"/>
  <c r="O2417" i="45"/>
  <c r="I2417" i="45"/>
  <c r="O2416" i="45"/>
  <c r="I2416" i="45"/>
  <c r="O2415" i="45"/>
  <c r="I2415" i="45"/>
  <c r="O2414" i="45"/>
  <c r="I2414" i="45"/>
  <c r="O2413" i="45"/>
  <c r="I2413" i="45"/>
  <c r="O2412" i="45"/>
  <c r="I2412" i="45"/>
  <c r="O2411" i="45"/>
  <c r="I2411" i="45"/>
  <c r="O2410" i="45"/>
  <c r="I2410" i="45"/>
  <c r="O2409" i="45"/>
  <c r="I2409" i="45"/>
  <c r="O2408" i="45"/>
  <c r="I2408" i="45"/>
  <c r="O2407" i="45"/>
  <c r="I2407" i="45"/>
  <c r="O2406" i="45"/>
  <c r="I2406" i="45"/>
  <c r="O2405" i="45"/>
  <c r="I2405" i="45"/>
  <c r="O2404" i="45"/>
  <c r="I2404" i="45"/>
  <c r="O2403" i="45"/>
  <c r="I2403" i="45"/>
  <c r="O2402" i="45"/>
  <c r="I2402" i="45"/>
  <c r="O2401" i="45"/>
  <c r="I2401" i="45"/>
  <c r="O2400" i="45"/>
  <c r="I2400" i="45"/>
  <c r="O2399" i="45"/>
  <c r="I2399" i="45"/>
  <c r="O2398" i="45"/>
  <c r="I2398" i="45"/>
  <c r="O2397" i="45"/>
  <c r="I2397" i="45"/>
  <c r="O2396" i="45"/>
  <c r="I2396" i="45"/>
  <c r="O2395" i="45"/>
  <c r="I2395" i="45"/>
  <c r="O2394" i="45"/>
  <c r="I2394" i="45"/>
  <c r="O2393" i="45"/>
  <c r="I2393" i="45"/>
  <c r="O2392" i="45"/>
  <c r="I2392" i="45"/>
  <c r="O2391" i="45"/>
  <c r="I2391" i="45"/>
  <c r="O2390" i="45"/>
  <c r="I2390" i="45"/>
  <c r="O2389" i="45"/>
  <c r="I2389" i="45"/>
  <c r="O2388" i="45"/>
  <c r="I2388" i="45"/>
  <c r="O2387" i="45"/>
  <c r="I2387" i="45"/>
  <c r="O2386" i="45"/>
  <c r="I2386" i="45"/>
  <c r="O2385" i="45"/>
  <c r="I2385" i="45"/>
  <c r="O2384" i="45"/>
  <c r="I2384" i="45"/>
  <c r="O2383" i="45"/>
  <c r="I2383" i="45"/>
  <c r="O2382" i="45"/>
  <c r="I2382" i="45"/>
  <c r="O2381" i="45"/>
  <c r="I2381" i="45"/>
  <c r="O2380" i="45"/>
  <c r="I2380" i="45"/>
  <c r="O2379" i="45"/>
  <c r="I2379" i="45"/>
  <c r="O2378" i="45"/>
  <c r="I2378" i="45"/>
  <c r="O2377" i="45"/>
  <c r="I2377" i="45"/>
  <c r="O2376" i="45"/>
  <c r="I2376" i="45"/>
  <c r="O2375" i="45"/>
  <c r="I2375" i="45"/>
  <c r="O2374" i="45"/>
  <c r="I2374" i="45"/>
  <c r="O2373" i="45"/>
  <c r="I2373" i="45"/>
  <c r="O2372" i="45"/>
  <c r="I2372" i="45"/>
  <c r="O2371" i="45"/>
  <c r="I2371" i="45"/>
  <c r="O2370" i="45"/>
  <c r="I2370" i="45"/>
  <c r="O2369" i="45"/>
  <c r="I2369" i="45"/>
  <c r="O2368" i="45"/>
  <c r="I2368" i="45"/>
  <c r="O2367" i="45"/>
  <c r="I2367" i="45"/>
  <c r="O2366" i="45"/>
  <c r="I2366" i="45"/>
  <c r="O2365" i="45"/>
  <c r="I2365" i="45"/>
  <c r="O2364" i="45"/>
  <c r="I2364" i="45"/>
  <c r="O2363" i="45"/>
  <c r="I2363" i="45"/>
  <c r="O2362" i="45"/>
  <c r="I2362" i="45"/>
  <c r="O2361" i="45"/>
  <c r="I2361" i="45"/>
  <c r="O2360" i="45"/>
  <c r="I2360" i="45"/>
  <c r="O2359" i="45"/>
  <c r="I2359" i="45"/>
  <c r="O2358" i="45"/>
  <c r="I2358" i="45"/>
  <c r="O2357" i="45"/>
  <c r="I2357" i="45"/>
  <c r="O2356" i="45"/>
  <c r="I2356" i="45"/>
  <c r="O2355" i="45"/>
  <c r="I2355" i="45"/>
  <c r="O2354" i="45"/>
  <c r="I2354" i="45"/>
  <c r="O2353" i="45"/>
  <c r="I2353" i="45"/>
  <c r="O2352" i="45"/>
  <c r="I2352" i="45"/>
  <c r="O2351" i="45"/>
  <c r="I2351" i="45"/>
  <c r="O2350" i="45"/>
  <c r="I2350" i="45"/>
  <c r="O2349" i="45"/>
  <c r="I2349" i="45"/>
  <c r="O2348" i="45"/>
  <c r="I2348" i="45"/>
  <c r="O2347" i="45"/>
  <c r="I2347" i="45"/>
  <c r="O2346" i="45"/>
  <c r="I2346" i="45"/>
  <c r="O2345" i="45"/>
  <c r="I2345" i="45"/>
  <c r="O2344" i="45"/>
  <c r="I2344" i="45"/>
  <c r="O2343" i="45"/>
  <c r="I2343" i="45"/>
  <c r="O2342" i="45"/>
  <c r="I2342" i="45"/>
  <c r="O2341" i="45"/>
  <c r="I2341" i="45"/>
  <c r="O2340" i="45"/>
  <c r="I2340" i="45"/>
  <c r="O2339" i="45"/>
  <c r="I2339" i="45"/>
  <c r="O2338" i="45"/>
  <c r="I2338" i="45"/>
  <c r="O2337" i="45"/>
  <c r="I2337" i="45"/>
  <c r="O2336" i="45"/>
  <c r="I2336" i="45"/>
  <c r="O2335" i="45"/>
  <c r="I2335" i="45"/>
  <c r="O2334" i="45"/>
  <c r="I2334" i="45"/>
  <c r="O2333" i="45"/>
  <c r="I2333" i="45"/>
  <c r="O2332" i="45"/>
  <c r="I2332" i="45"/>
  <c r="O2331" i="45"/>
  <c r="I2331" i="45"/>
  <c r="O2330" i="45"/>
  <c r="I2330" i="45"/>
  <c r="O2329" i="45"/>
  <c r="I2329" i="45"/>
  <c r="O2328" i="45"/>
  <c r="I2328" i="45"/>
  <c r="O2327" i="45"/>
  <c r="I2327" i="45"/>
  <c r="O2326" i="45"/>
  <c r="I2326" i="45"/>
  <c r="O2325" i="45"/>
  <c r="I2325" i="45"/>
  <c r="O2324" i="45"/>
  <c r="I2324" i="45"/>
  <c r="O2323" i="45"/>
  <c r="I2323" i="45"/>
  <c r="O2322" i="45"/>
  <c r="I2322" i="45"/>
  <c r="O2321" i="45"/>
  <c r="I2321" i="45"/>
  <c r="O2320" i="45"/>
  <c r="I2320" i="45"/>
  <c r="O2319" i="45"/>
  <c r="I2319" i="45"/>
  <c r="O2318" i="45"/>
  <c r="I2318" i="45"/>
  <c r="O2317" i="45"/>
  <c r="I2317" i="45"/>
  <c r="O2316" i="45"/>
  <c r="I2316" i="45"/>
  <c r="O2315" i="45"/>
  <c r="I2315" i="45"/>
  <c r="O2314" i="45"/>
  <c r="I2314" i="45"/>
  <c r="O2313" i="45"/>
  <c r="I2313" i="45"/>
  <c r="O2312" i="45"/>
  <c r="I2312" i="45"/>
  <c r="O2311" i="45"/>
  <c r="I2311" i="45"/>
  <c r="O2310" i="45"/>
  <c r="I2310" i="45"/>
  <c r="O2309" i="45"/>
  <c r="I2309" i="45"/>
  <c r="O2308" i="45"/>
  <c r="I2308" i="45"/>
  <c r="O2307" i="45"/>
  <c r="I2307" i="45"/>
  <c r="O2306" i="45"/>
  <c r="I2306" i="45"/>
  <c r="O2305" i="45"/>
  <c r="I2305" i="45"/>
  <c r="O2304" i="45"/>
  <c r="I2304" i="45"/>
  <c r="O2303" i="45"/>
  <c r="I2303" i="45"/>
  <c r="O2302" i="45"/>
  <c r="I2302" i="45"/>
  <c r="O2301" i="45"/>
  <c r="I2301" i="45"/>
  <c r="O2300" i="45"/>
  <c r="I2300" i="45"/>
  <c r="O2299" i="45"/>
  <c r="I2299" i="45"/>
  <c r="O2298" i="45"/>
  <c r="I2298" i="45"/>
  <c r="O2297" i="45"/>
  <c r="I2297" i="45"/>
  <c r="O2296" i="45"/>
  <c r="I2296" i="45"/>
  <c r="O2295" i="45"/>
  <c r="I2295" i="45"/>
  <c r="O2294" i="45"/>
  <c r="I2294" i="45"/>
  <c r="O2293" i="45"/>
  <c r="I2293" i="45"/>
  <c r="O2292" i="45"/>
  <c r="I2292" i="45"/>
  <c r="O2291" i="45"/>
  <c r="I2291" i="45"/>
  <c r="O2290" i="45"/>
  <c r="I2290" i="45"/>
  <c r="O2289" i="45"/>
  <c r="I2289" i="45"/>
  <c r="O2288" i="45"/>
  <c r="I2288" i="45"/>
  <c r="O2287" i="45"/>
  <c r="I2287" i="45"/>
  <c r="O2286" i="45"/>
  <c r="I2286" i="45"/>
  <c r="O2285" i="45"/>
  <c r="I2285" i="45"/>
  <c r="O2284" i="45"/>
  <c r="I2284" i="45"/>
  <c r="O2283" i="45"/>
  <c r="I2283" i="45"/>
  <c r="O2282" i="45"/>
  <c r="I2282" i="45"/>
  <c r="O2281" i="45"/>
  <c r="I2281" i="45"/>
  <c r="O2280" i="45"/>
  <c r="I2280" i="45"/>
  <c r="O2279" i="45"/>
  <c r="I2279" i="45"/>
  <c r="O2278" i="45"/>
  <c r="I2278" i="45"/>
  <c r="O2277" i="45"/>
  <c r="I2277" i="45"/>
  <c r="O2276" i="45"/>
  <c r="I2276" i="45"/>
  <c r="O2275" i="45"/>
  <c r="I2275" i="45"/>
  <c r="O2274" i="45"/>
  <c r="I2274" i="45"/>
  <c r="O2273" i="45"/>
  <c r="I2273" i="45"/>
  <c r="O2272" i="45"/>
  <c r="I2272" i="45"/>
  <c r="O2271" i="45"/>
  <c r="I2271" i="45"/>
  <c r="O2270" i="45"/>
  <c r="I2270" i="45"/>
  <c r="O2269" i="45"/>
  <c r="I2269" i="45"/>
  <c r="O2268" i="45"/>
  <c r="I2268" i="45"/>
  <c r="O2267" i="45"/>
  <c r="I2267" i="45"/>
  <c r="O2266" i="45"/>
  <c r="I2266" i="45"/>
  <c r="O2265" i="45"/>
  <c r="I2265" i="45"/>
  <c r="O2264" i="45"/>
  <c r="I2264" i="45"/>
  <c r="O2263" i="45"/>
  <c r="I2263" i="45"/>
  <c r="O2262" i="45"/>
  <c r="I2262" i="45"/>
  <c r="O2261" i="45"/>
  <c r="I2261" i="45"/>
  <c r="O2260" i="45"/>
  <c r="I2260" i="45"/>
  <c r="O2259" i="45"/>
  <c r="I2259" i="45"/>
  <c r="O2258" i="45"/>
  <c r="I2258" i="45"/>
  <c r="O2257" i="45"/>
  <c r="I2257" i="45"/>
  <c r="O2256" i="45"/>
  <c r="I2256" i="45"/>
  <c r="O2255" i="45"/>
  <c r="I2255" i="45"/>
  <c r="O2254" i="45"/>
  <c r="I2254" i="45"/>
  <c r="O2253" i="45"/>
  <c r="I2253" i="45"/>
  <c r="O2252" i="45"/>
  <c r="I2252" i="45"/>
  <c r="O2251" i="45"/>
  <c r="I2251" i="45"/>
  <c r="O2250" i="45"/>
  <c r="I2250" i="45"/>
  <c r="O2249" i="45"/>
  <c r="I2249" i="45"/>
  <c r="O2248" i="45"/>
  <c r="I2248" i="45"/>
  <c r="O2247" i="45"/>
  <c r="I2247" i="45"/>
  <c r="O2246" i="45"/>
  <c r="I2246" i="45"/>
  <c r="O2245" i="45"/>
  <c r="I2245" i="45"/>
  <c r="O2244" i="45"/>
  <c r="I2244" i="45"/>
  <c r="O2243" i="45"/>
  <c r="I2243" i="45"/>
  <c r="O2242" i="45"/>
  <c r="I2242" i="45"/>
  <c r="O2241" i="45"/>
  <c r="I2241" i="45"/>
  <c r="O2240" i="45"/>
  <c r="I2240" i="45"/>
  <c r="O2239" i="45"/>
  <c r="I2239" i="45"/>
  <c r="O2238" i="45"/>
  <c r="I2238" i="45"/>
  <c r="O2237" i="45"/>
  <c r="I2237" i="45"/>
  <c r="O2236" i="45"/>
  <c r="I2236" i="45"/>
  <c r="O2235" i="45"/>
  <c r="I2235" i="45"/>
  <c r="O2234" i="45"/>
  <c r="I2234" i="45"/>
  <c r="O2233" i="45"/>
  <c r="I2233" i="45"/>
  <c r="O2232" i="45"/>
  <c r="I2232" i="45"/>
  <c r="O2231" i="45"/>
  <c r="I2231" i="45"/>
  <c r="O2230" i="45"/>
  <c r="I2230" i="45"/>
  <c r="O2229" i="45"/>
  <c r="I2229" i="45"/>
  <c r="O2228" i="45"/>
  <c r="I2228" i="45"/>
  <c r="O2227" i="45"/>
  <c r="I2227" i="45"/>
  <c r="O2226" i="45"/>
  <c r="I2226" i="45"/>
  <c r="O2225" i="45"/>
  <c r="I2225" i="45"/>
  <c r="O2224" i="45"/>
  <c r="I2224" i="45"/>
  <c r="O2223" i="45"/>
  <c r="I2223" i="45"/>
  <c r="O2222" i="45"/>
  <c r="I2222" i="45"/>
  <c r="O2221" i="45"/>
  <c r="I2221" i="45"/>
  <c r="O2220" i="45"/>
  <c r="I2220" i="45"/>
  <c r="O2219" i="45"/>
  <c r="I2219" i="45"/>
  <c r="O2218" i="45"/>
  <c r="I2218" i="45"/>
  <c r="O2217" i="45"/>
  <c r="I2217" i="45"/>
  <c r="O2216" i="45"/>
  <c r="I2216" i="45"/>
  <c r="O2215" i="45"/>
  <c r="I2215" i="45"/>
  <c r="O2214" i="45"/>
  <c r="I2214" i="45"/>
  <c r="O2213" i="45"/>
  <c r="I2213" i="45"/>
  <c r="O2212" i="45"/>
  <c r="I2212" i="45"/>
  <c r="O2211" i="45"/>
  <c r="I2211" i="45"/>
  <c r="O2210" i="45"/>
  <c r="I2210" i="45"/>
  <c r="O2209" i="45"/>
  <c r="I2209" i="45"/>
  <c r="O2208" i="45"/>
  <c r="I2208" i="45"/>
  <c r="O2207" i="45"/>
  <c r="I2207" i="45"/>
  <c r="O2206" i="45"/>
  <c r="I2206" i="45"/>
  <c r="O2205" i="45"/>
  <c r="I2205" i="45"/>
  <c r="O2204" i="45"/>
  <c r="I2204" i="45"/>
  <c r="O2203" i="45"/>
  <c r="I2203" i="45"/>
  <c r="O2202" i="45"/>
  <c r="I2202" i="45"/>
  <c r="O2201" i="45"/>
  <c r="I2201" i="45"/>
  <c r="O2200" i="45"/>
  <c r="I2200" i="45"/>
  <c r="O2199" i="45"/>
  <c r="I2199" i="45"/>
  <c r="O2198" i="45"/>
  <c r="I2198" i="45"/>
  <c r="O2197" i="45"/>
  <c r="I2197" i="45"/>
  <c r="O2196" i="45"/>
  <c r="I2196" i="45"/>
  <c r="O2195" i="45"/>
  <c r="I2195" i="45"/>
  <c r="O2194" i="45"/>
  <c r="I2194" i="45"/>
  <c r="O2193" i="45"/>
  <c r="I2193" i="45"/>
  <c r="O2192" i="45"/>
  <c r="I2192" i="45"/>
  <c r="O2191" i="45"/>
  <c r="I2191" i="45"/>
  <c r="O2190" i="45"/>
  <c r="I2190" i="45"/>
  <c r="O2189" i="45"/>
  <c r="I2189" i="45"/>
  <c r="O2188" i="45"/>
  <c r="I2188" i="45"/>
  <c r="O2187" i="45"/>
  <c r="I2187" i="45"/>
  <c r="O2186" i="45"/>
  <c r="I2186" i="45"/>
  <c r="O2185" i="45"/>
  <c r="I2185" i="45"/>
  <c r="O2184" i="45"/>
  <c r="I2184" i="45"/>
  <c r="O2183" i="45"/>
  <c r="I2183" i="45"/>
  <c r="O2182" i="45"/>
  <c r="I2182" i="45"/>
  <c r="O2181" i="45"/>
  <c r="I2181" i="45"/>
  <c r="O2180" i="45"/>
  <c r="I2180" i="45"/>
  <c r="O2179" i="45"/>
  <c r="I2179" i="45"/>
  <c r="O2178" i="45"/>
  <c r="I2178" i="45"/>
  <c r="O2177" i="45"/>
  <c r="I2177" i="45"/>
  <c r="O2176" i="45"/>
  <c r="I2176" i="45"/>
  <c r="O2175" i="45"/>
  <c r="I2175" i="45"/>
  <c r="O2174" i="45"/>
  <c r="I2174" i="45"/>
  <c r="O2173" i="45"/>
  <c r="I2173" i="45"/>
  <c r="O2172" i="45"/>
  <c r="I2172" i="45"/>
  <c r="O2171" i="45"/>
  <c r="I2171" i="45"/>
  <c r="O2170" i="45"/>
  <c r="I2170" i="45"/>
  <c r="O2169" i="45"/>
  <c r="I2169" i="45"/>
  <c r="O2168" i="45"/>
  <c r="I2168" i="45"/>
  <c r="O2167" i="45"/>
  <c r="I2167" i="45"/>
  <c r="O2166" i="45"/>
  <c r="I2166" i="45"/>
  <c r="O2165" i="45"/>
  <c r="I2165" i="45"/>
  <c r="O2164" i="45"/>
  <c r="I2164" i="45"/>
  <c r="O2163" i="45"/>
  <c r="I2163" i="45"/>
  <c r="O2162" i="45"/>
  <c r="I2162" i="45"/>
  <c r="O2161" i="45"/>
  <c r="I2161" i="45"/>
  <c r="O2160" i="45"/>
  <c r="I2160" i="45"/>
  <c r="O2159" i="45"/>
  <c r="I2159" i="45"/>
  <c r="O2158" i="45"/>
  <c r="I2158" i="45"/>
  <c r="O2157" i="45"/>
  <c r="I2157" i="45"/>
  <c r="O2156" i="45"/>
  <c r="I2156" i="45"/>
  <c r="O2155" i="45"/>
  <c r="I2155" i="45"/>
  <c r="O2154" i="45"/>
  <c r="I2154" i="45"/>
  <c r="O2153" i="45"/>
  <c r="I2153" i="45"/>
  <c r="O2152" i="45"/>
  <c r="I2152" i="45"/>
  <c r="O2151" i="45"/>
  <c r="I2151" i="45"/>
  <c r="O2150" i="45"/>
  <c r="I2150" i="45"/>
  <c r="O2149" i="45"/>
  <c r="I2149" i="45"/>
  <c r="O2148" i="45"/>
  <c r="I2148" i="45"/>
  <c r="O2147" i="45"/>
  <c r="I2147" i="45"/>
  <c r="O2146" i="45"/>
  <c r="I2146" i="45"/>
  <c r="O2145" i="45"/>
  <c r="I2145" i="45"/>
  <c r="O2144" i="45"/>
  <c r="I2144" i="45"/>
  <c r="O2143" i="45"/>
  <c r="I2143" i="45"/>
  <c r="O2142" i="45"/>
  <c r="I2142" i="45"/>
  <c r="O2141" i="45"/>
  <c r="I2141" i="45"/>
  <c r="O2140" i="45"/>
  <c r="I2140" i="45"/>
  <c r="O2139" i="45"/>
  <c r="I2139" i="45"/>
  <c r="O2138" i="45"/>
  <c r="I2138" i="45"/>
  <c r="O2137" i="45"/>
  <c r="I2137" i="45"/>
  <c r="O2136" i="45"/>
  <c r="I2136" i="45"/>
  <c r="O2135" i="45"/>
  <c r="I2135" i="45"/>
  <c r="O2134" i="45"/>
  <c r="I2134" i="45"/>
  <c r="O2133" i="45"/>
  <c r="I2133" i="45"/>
  <c r="O2132" i="45"/>
  <c r="I2132" i="45"/>
  <c r="O2131" i="45"/>
  <c r="I2131" i="45"/>
  <c r="O2130" i="45"/>
  <c r="I2130" i="45"/>
  <c r="O2129" i="45"/>
  <c r="I2129" i="45"/>
  <c r="O2128" i="45"/>
  <c r="I2128" i="45"/>
  <c r="O2127" i="45"/>
  <c r="I2127" i="45"/>
  <c r="O2126" i="45"/>
  <c r="I2126" i="45"/>
  <c r="O2125" i="45"/>
  <c r="I2125" i="45"/>
  <c r="O2124" i="45"/>
  <c r="I2124" i="45"/>
  <c r="O2123" i="45"/>
  <c r="I2123" i="45"/>
  <c r="O2122" i="45"/>
  <c r="I2122" i="45"/>
  <c r="O2121" i="45"/>
  <c r="I2121" i="45"/>
  <c r="O2120" i="45"/>
  <c r="I2120" i="45"/>
  <c r="O2119" i="45"/>
  <c r="I2119" i="45"/>
  <c r="O2118" i="45"/>
  <c r="I2118" i="45"/>
  <c r="O2117" i="45"/>
  <c r="I2117" i="45"/>
  <c r="O2116" i="45"/>
  <c r="I2116" i="45"/>
  <c r="O2115" i="45"/>
  <c r="I2115" i="45"/>
  <c r="O2114" i="45"/>
  <c r="I2114" i="45"/>
  <c r="O2113" i="45"/>
  <c r="I2113" i="45"/>
  <c r="O2112" i="45"/>
  <c r="I2112" i="45"/>
  <c r="O2111" i="45"/>
  <c r="I2111" i="45"/>
  <c r="O2110" i="45"/>
  <c r="I2110" i="45"/>
  <c r="O2109" i="45"/>
  <c r="I2109" i="45"/>
  <c r="O2108" i="45"/>
  <c r="I2108" i="45"/>
  <c r="O2107" i="45"/>
  <c r="I2107" i="45"/>
  <c r="O2106" i="45"/>
  <c r="I2106" i="45"/>
  <c r="O2105" i="45"/>
  <c r="I2105" i="45"/>
  <c r="O2104" i="45"/>
  <c r="I2104" i="45"/>
  <c r="O2103" i="45"/>
  <c r="I2103" i="45"/>
  <c r="O2102" i="45"/>
  <c r="I2102" i="45"/>
  <c r="O2101" i="45"/>
  <c r="I2101" i="45"/>
  <c r="O2100" i="45"/>
  <c r="I2100" i="45"/>
  <c r="O2099" i="45"/>
  <c r="I2099" i="45"/>
  <c r="O2098" i="45"/>
  <c r="I2098" i="45"/>
  <c r="O2097" i="45"/>
  <c r="I2097" i="45"/>
  <c r="O2096" i="45"/>
  <c r="I2096" i="45"/>
  <c r="O2095" i="45"/>
  <c r="I2095" i="45"/>
  <c r="O2094" i="45"/>
  <c r="I2094" i="45"/>
  <c r="O2093" i="45"/>
  <c r="I2093" i="45"/>
  <c r="O2092" i="45"/>
  <c r="I2092" i="45"/>
  <c r="O2091" i="45"/>
  <c r="I2091" i="45"/>
  <c r="O2090" i="45"/>
  <c r="I2090" i="45"/>
  <c r="O2089" i="45"/>
  <c r="I2089" i="45"/>
  <c r="O2088" i="45"/>
  <c r="I2088" i="45"/>
  <c r="O2087" i="45"/>
  <c r="I2087" i="45"/>
  <c r="O2086" i="45"/>
  <c r="I2086" i="45"/>
  <c r="O2085" i="45"/>
  <c r="I2085" i="45"/>
  <c r="O2084" i="45"/>
  <c r="I2084" i="45"/>
  <c r="O2083" i="45"/>
  <c r="I2083" i="45"/>
  <c r="O2082" i="45"/>
  <c r="I2082" i="45"/>
  <c r="O2081" i="45"/>
  <c r="I2081" i="45"/>
  <c r="O2080" i="45"/>
  <c r="I2080" i="45"/>
  <c r="O2079" i="45"/>
  <c r="I2079" i="45"/>
  <c r="O2078" i="45"/>
  <c r="I2078" i="45"/>
  <c r="O2077" i="45"/>
  <c r="I2077" i="45"/>
  <c r="O2076" i="45"/>
  <c r="I2076" i="45"/>
  <c r="O2075" i="45"/>
  <c r="I2075" i="45"/>
  <c r="O2074" i="45"/>
  <c r="I2074" i="45"/>
  <c r="O2073" i="45"/>
  <c r="I2073" i="45"/>
  <c r="O2072" i="45"/>
  <c r="I2072" i="45"/>
  <c r="O2071" i="45"/>
  <c r="I2071" i="45"/>
  <c r="O2070" i="45"/>
  <c r="I2070" i="45"/>
  <c r="O2069" i="45"/>
  <c r="I2069" i="45"/>
  <c r="O2068" i="45"/>
  <c r="I2068" i="45"/>
  <c r="O2067" i="45"/>
  <c r="I2067" i="45"/>
  <c r="O2066" i="45"/>
  <c r="I2066" i="45"/>
  <c r="O2065" i="45"/>
  <c r="I2065" i="45"/>
  <c r="O2064" i="45"/>
  <c r="I2064" i="45"/>
  <c r="O2063" i="45"/>
  <c r="I2063" i="45"/>
  <c r="O2062" i="45"/>
  <c r="I2062" i="45"/>
  <c r="O2061" i="45"/>
  <c r="I2061" i="45"/>
  <c r="O2060" i="45"/>
  <c r="I2060" i="45"/>
  <c r="O2059" i="45"/>
  <c r="I2059" i="45"/>
  <c r="O2058" i="45"/>
  <c r="I2058" i="45"/>
  <c r="O2057" i="45"/>
  <c r="I2057" i="45"/>
  <c r="O2056" i="45"/>
  <c r="I2056" i="45"/>
  <c r="O2055" i="45"/>
  <c r="I2055" i="45"/>
  <c r="O2054" i="45"/>
  <c r="I2054" i="45"/>
  <c r="O2053" i="45"/>
  <c r="I2053" i="45"/>
  <c r="O2052" i="45"/>
  <c r="I2052" i="45"/>
  <c r="O2051" i="45"/>
  <c r="I2051" i="45"/>
  <c r="O2050" i="45"/>
  <c r="I2050" i="45"/>
  <c r="O2049" i="45"/>
  <c r="I2049" i="45"/>
  <c r="O2048" i="45"/>
  <c r="I2048" i="45"/>
  <c r="O2047" i="45"/>
  <c r="I2047" i="45"/>
  <c r="O2046" i="45"/>
  <c r="I2046" i="45"/>
  <c r="O2045" i="45"/>
  <c r="I2045" i="45"/>
  <c r="O2044" i="45"/>
  <c r="I2044" i="45"/>
  <c r="O2043" i="45"/>
  <c r="I2043" i="45"/>
  <c r="O2042" i="45"/>
  <c r="I2042" i="45"/>
  <c r="O2041" i="45"/>
  <c r="I2041" i="45"/>
  <c r="O2040" i="45"/>
  <c r="I2040" i="45"/>
  <c r="O2039" i="45"/>
  <c r="I2039" i="45"/>
  <c r="O2038" i="45"/>
  <c r="I2038" i="45"/>
  <c r="O2037" i="45"/>
  <c r="I2037" i="45"/>
  <c r="O2036" i="45"/>
  <c r="I2036" i="45"/>
  <c r="O2035" i="45"/>
  <c r="I2035" i="45"/>
  <c r="O2034" i="45"/>
  <c r="I2034" i="45"/>
  <c r="O2033" i="45"/>
  <c r="I2033" i="45"/>
  <c r="O2032" i="45"/>
  <c r="I2032" i="45"/>
  <c r="O2031" i="45"/>
  <c r="I2031" i="45"/>
  <c r="O2030" i="45"/>
  <c r="I2030" i="45"/>
  <c r="O2029" i="45"/>
  <c r="I2029" i="45"/>
  <c r="O2028" i="45"/>
  <c r="I2028" i="45"/>
  <c r="O2027" i="45"/>
  <c r="I2027" i="45"/>
  <c r="O2026" i="45"/>
  <c r="I2026" i="45"/>
  <c r="O2025" i="45"/>
  <c r="I2025" i="45"/>
  <c r="O2024" i="45"/>
  <c r="I2024" i="45"/>
  <c r="O2023" i="45"/>
  <c r="I2023" i="45"/>
  <c r="O2022" i="45"/>
  <c r="I2022" i="45"/>
  <c r="O2021" i="45"/>
  <c r="I2021" i="45"/>
  <c r="O2020" i="45"/>
  <c r="I2020" i="45"/>
  <c r="O2019" i="45"/>
  <c r="I2019" i="45"/>
  <c r="O2018" i="45"/>
  <c r="I2018" i="45"/>
  <c r="O2017" i="45"/>
  <c r="I2017" i="45"/>
  <c r="O2016" i="45"/>
  <c r="I2016" i="45"/>
  <c r="O2015" i="45"/>
  <c r="I2015" i="45"/>
  <c r="O2014" i="45"/>
  <c r="I2014" i="45"/>
  <c r="O2013" i="45"/>
  <c r="I2013" i="45"/>
  <c r="O2012" i="45"/>
  <c r="I2012" i="45"/>
  <c r="O2011" i="45"/>
  <c r="I2011" i="45"/>
  <c r="O2010" i="45"/>
  <c r="I2010" i="45"/>
  <c r="O2009" i="45"/>
  <c r="I2009" i="45"/>
  <c r="O2008" i="45"/>
  <c r="I2008" i="45"/>
  <c r="O2007" i="45"/>
  <c r="I2007" i="45"/>
  <c r="O2006" i="45"/>
  <c r="I2006" i="45"/>
  <c r="O2005" i="45"/>
  <c r="I2005" i="45"/>
  <c r="O2004" i="45"/>
  <c r="I2004" i="45"/>
  <c r="O2003" i="45"/>
  <c r="I2003" i="45"/>
  <c r="O2002" i="45"/>
  <c r="I2002" i="45"/>
  <c r="O2001" i="45"/>
  <c r="I2001" i="45"/>
  <c r="O2000" i="45"/>
  <c r="I2000" i="45"/>
  <c r="O1999" i="45"/>
  <c r="I1999" i="45"/>
  <c r="O1998" i="45"/>
  <c r="I1998" i="45"/>
  <c r="O1997" i="45"/>
  <c r="I1997" i="45"/>
  <c r="O1996" i="45"/>
  <c r="I1996" i="45"/>
  <c r="O1995" i="45"/>
  <c r="I1995" i="45"/>
  <c r="O1994" i="45"/>
  <c r="I1994" i="45"/>
  <c r="O1993" i="45"/>
  <c r="I1993" i="45"/>
  <c r="O1992" i="45"/>
  <c r="I1992" i="45"/>
  <c r="O1991" i="45"/>
  <c r="I1991" i="45"/>
  <c r="O1990" i="45"/>
  <c r="I1990" i="45"/>
  <c r="O1989" i="45"/>
  <c r="I1989" i="45"/>
  <c r="O1988" i="45"/>
  <c r="I1988" i="45"/>
  <c r="O1987" i="45"/>
  <c r="I1987" i="45"/>
  <c r="O1986" i="45"/>
  <c r="I1986" i="45"/>
  <c r="O1985" i="45"/>
  <c r="I1985" i="45"/>
  <c r="O1984" i="45"/>
  <c r="I1984" i="45"/>
  <c r="O1983" i="45"/>
  <c r="I1983" i="45"/>
  <c r="O1982" i="45"/>
  <c r="I1982" i="45"/>
  <c r="O1981" i="45"/>
  <c r="I1981" i="45"/>
  <c r="O1980" i="45"/>
  <c r="I1980" i="45"/>
  <c r="O1979" i="45"/>
  <c r="I1979" i="45"/>
  <c r="O1978" i="45"/>
  <c r="I1978" i="45"/>
  <c r="O1977" i="45"/>
  <c r="I1977" i="45"/>
  <c r="O1976" i="45"/>
  <c r="I1976" i="45"/>
  <c r="O1975" i="45"/>
  <c r="I1975" i="45"/>
  <c r="O1974" i="45"/>
  <c r="I1974" i="45"/>
  <c r="O1973" i="45"/>
  <c r="I1973" i="45"/>
  <c r="O1972" i="45"/>
  <c r="I1972" i="45"/>
  <c r="O1971" i="45"/>
  <c r="I1971" i="45"/>
  <c r="O1970" i="45"/>
  <c r="I1970" i="45"/>
  <c r="O1969" i="45"/>
  <c r="I1969" i="45"/>
  <c r="O1968" i="45"/>
  <c r="I1968" i="45"/>
  <c r="O1967" i="45"/>
  <c r="I1967" i="45"/>
  <c r="O1966" i="45"/>
  <c r="I1966" i="45"/>
  <c r="O1965" i="45"/>
  <c r="I1965" i="45"/>
  <c r="O1964" i="45"/>
  <c r="I1964" i="45"/>
  <c r="O1963" i="45"/>
  <c r="I1963" i="45"/>
  <c r="O1962" i="45"/>
  <c r="I1962" i="45"/>
  <c r="O1961" i="45"/>
  <c r="I1961" i="45"/>
  <c r="O1960" i="45"/>
  <c r="I1960" i="45"/>
  <c r="O1959" i="45"/>
  <c r="I1959" i="45"/>
  <c r="O1958" i="45"/>
  <c r="I1958" i="45"/>
  <c r="O1957" i="45"/>
  <c r="I1957" i="45"/>
  <c r="O1956" i="45"/>
  <c r="I1956" i="45"/>
  <c r="O1955" i="45"/>
  <c r="I1955" i="45"/>
  <c r="O1954" i="45"/>
  <c r="I1954" i="45"/>
  <c r="O1953" i="45"/>
  <c r="I1953" i="45"/>
  <c r="O1952" i="45"/>
  <c r="I1952" i="45"/>
  <c r="O1951" i="45"/>
  <c r="I1951" i="45"/>
  <c r="O1950" i="45"/>
  <c r="I1950" i="45"/>
  <c r="O1949" i="45"/>
  <c r="I1949" i="45"/>
  <c r="O1948" i="45"/>
  <c r="I1948" i="45"/>
  <c r="O1947" i="45"/>
  <c r="I1947" i="45"/>
  <c r="O1946" i="45"/>
  <c r="I1946" i="45"/>
  <c r="O1945" i="45"/>
  <c r="I1945" i="45"/>
  <c r="O1944" i="45"/>
  <c r="I1944" i="45"/>
  <c r="O1943" i="45"/>
  <c r="I1943" i="45"/>
  <c r="O1942" i="45"/>
  <c r="I1942" i="45"/>
  <c r="O1941" i="45"/>
  <c r="I1941" i="45"/>
  <c r="O1940" i="45"/>
  <c r="I1940" i="45"/>
  <c r="O1939" i="45"/>
  <c r="I1939" i="45"/>
  <c r="O1938" i="45"/>
  <c r="I1938" i="45"/>
  <c r="O1937" i="45"/>
  <c r="I1937" i="45"/>
  <c r="O1936" i="45"/>
  <c r="I1936" i="45"/>
  <c r="O1935" i="45"/>
  <c r="I1935" i="45"/>
  <c r="O1934" i="45"/>
  <c r="I1934" i="45"/>
  <c r="O1933" i="45"/>
  <c r="I1933" i="45"/>
  <c r="O1932" i="45"/>
  <c r="I1932" i="45"/>
  <c r="O1931" i="45"/>
  <c r="I1931" i="45"/>
  <c r="O1930" i="45"/>
  <c r="I1930" i="45"/>
  <c r="O1929" i="45"/>
  <c r="I1929" i="45"/>
  <c r="O1928" i="45"/>
  <c r="I1928" i="45"/>
  <c r="O1927" i="45"/>
  <c r="I1927" i="45"/>
  <c r="O1926" i="45"/>
  <c r="I1926" i="45"/>
  <c r="O1925" i="45"/>
  <c r="I1925" i="45"/>
  <c r="O1924" i="45"/>
  <c r="I1924" i="45"/>
  <c r="O1923" i="45"/>
  <c r="I1923" i="45"/>
  <c r="O1922" i="45"/>
  <c r="I1922" i="45"/>
  <c r="O1921" i="45"/>
  <c r="I1921" i="45"/>
  <c r="O1920" i="45"/>
  <c r="I1920" i="45"/>
  <c r="O1919" i="45"/>
  <c r="I1919" i="45"/>
  <c r="O1918" i="45"/>
  <c r="I1918" i="45"/>
  <c r="O1917" i="45"/>
  <c r="I1917" i="45"/>
  <c r="O1916" i="45"/>
  <c r="I1916" i="45"/>
  <c r="O1915" i="45"/>
  <c r="I1915" i="45"/>
  <c r="O1914" i="45"/>
  <c r="I1914" i="45"/>
  <c r="O1913" i="45"/>
  <c r="I1913" i="45"/>
  <c r="O1912" i="45"/>
  <c r="I1912" i="45"/>
  <c r="O1911" i="45"/>
  <c r="I1911" i="45"/>
  <c r="O1910" i="45"/>
  <c r="I1910" i="45"/>
  <c r="O1909" i="45"/>
  <c r="I1909" i="45"/>
  <c r="O1908" i="45"/>
  <c r="I1908" i="45"/>
  <c r="O1907" i="45"/>
  <c r="I1907" i="45"/>
  <c r="O1906" i="45"/>
  <c r="I1906" i="45"/>
  <c r="O1905" i="45"/>
  <c r="I1905" i="45"/>
  <c r="O1904" i="45"/>
  <c r="I1904" i="45"/>
  <c r="O1903" i="45"/>
  <c r="I1903" i="45"/>
  <c r="O1902" i="45"/>
  <c r="I1902" i="45"/>
  <c r="O1901" i="45"/>
  <c r="I1901" i="45"/>
  <c r="O1900" i="45"/>
  <c r="I1900" i="45"/>
  <c r="O1899" i="45"/>
  <c r="I1899" i="45"/>
  <c r="O1898" i="45"/>
  <c r="I1898" i="45"/>
  <c r="O1897" i="45"/>
  <c r="I1897" i="45"/>
  <c r="O1896" i="45"/>
  <c r="I1896" i="45"/>
  <c r="O1895" i="45"/>
  <c r="I1895" i="45"/>
  <c r="O1894" i="45"/>
  <c r="I1894" i="45"/>
  <c r="O1893" i="45"/>
  <c r="I1893" i="45"/>
  <c r="O1892" i="45"/>
  <c r="I1892" i="45"/>
  <c r="O1891" i="45"/>
  <c r="I1891" i="45"/>
  <c r="O1890" i="45"/>
  <c r="I1890" i="45"/>
  <c r="O1889" i="45"/>
  <c r="I1889" i="45"/>
  <c r="O1888" i="45"/>
  <c r="I1888" i="45"/>
  <c r="O1887" i="45"/>
  <c r="I1887" i="45"/>
  <c r="O1886" i="45"/>
  <c r="I1886" i="45"/>
  <c r="O1885" i="45"/>
  <c r="I1885" i="45"/>
  <c r="O1884" i="45"/>
  <c r="I1884" i="45"/>
  <c r="O1883" i="45"/>
  <c r="I1883" i="45"/>
  <c r="O1882" i="45"/>
  <c r="I1882" i="45"/>
  <c r="O1881" i="45"/>
  <c r="I1881" i="45"/>
  <c r="O1880" i="45"/>
  <c r="I1880" i="45"/>
  <c r="O1879" i="45"/>
  <c r="I1879" i="45"/>
  <c r="O1878" i="45"/>
  <c r="I1878" i="45"/>
  <c r="O1877" i="45"/>
  <c r="I1877" i="45"/>
  <c r="O1876" i="45"/>
  <c r="I1876" i="45"/>
  <c r="O1875" i="45"/>
  <c r="I1875" i="45"/>
  <c r="O1874" i="45"/>
  <c r="I1874" i="45"/>
  <c r="O1873" i="45"/>
  <c r="I1873" i="45"/>
  <c r="O1872" i="45"/>
  <c r="I1872" i="45"/>
  <c r="O1871" i="45"/>
  <c r="I1871" i="45"/>
  <c r="O1870" i="45"/>
  <c r="I1870" i="45"/>
  <c r="O1869" i="45"/>
  <c r="I1869" i="45"/>
  <c r="O1868" i="45"/>
  <c r="I1868" i="45"/>
  <c r="O1867" i="45"/>
  <c r="I1867" i="45"/>
  <c r="O1866" i="45"/>
  <c r="I1866" i="45"/>
  <c r="O1865" i="45"/>
  <c r="I1865" i="45"/>
  <c r="O1864" i="45"/>
  <c r="I1864" i="45"/>
  <c r="O1863" i="45"/>
  <c r="I1863" i="45"/>
  <c r="O1862" i="45"/>
  <c r="I1862" i="45"/>
  <c r="O1861" i="45"/>
  <c r="I1861" i="45"/>
  <c r="O1860" i="45"/>
  <c r="I1860" i="45"/>
  <c r="O1859" i="45"/>
  <c r="I1859" i="45"/>
  <c r="O1858" i="45"/>
  <c r="I1858" i="45"/>
  <c r="O1857" i="45"/>
  <c r="I1857" i="45"/>
  <c r="O1856" i="45"/>
  <c r="I1856" i="45"/>
  <c r="O1855" i="45"/>
  <c r="I1855" i="45"/>
  <c r="O1854" i="45"/>
  <c r="I1854" i="45"/>
  <c r="O1853" i="45"/>
  <c r="I1853" i="45"/>
  <c r="O1852" i="45"/>
  <c r="I1852" i="45"/>
  <c r="O1851" i="45"/>
  <c r="I1851" i="45"/>
  <c r="O1850" i="45"/>
  <c r="I1850" i="45"/>
  <c r="O1849" i="45"/>
  <c r="I1849" i="45"/>
  <c r="O1848" i="45"/>
  <c r="I1848" i="45"/>
  <c r="O1847" i="45"/>
  <c r="I1847" i="45"/>
  <c r="O1846" i="45"/>
  <c r="I1846" i="45"/>
  <c r="O1845" i="45"/>
  <c r="I1845" i="45"/>
  <c r="O1844" i="45"/>
  <c r="I1844" i="45"/>
  <c r="O1843" i="45"/>
  <c r="I1843" i="45"/>
  <c r="O1842" i="45"/>
  <c r="I1842" i="45"/>
  <c r="O1841" i="45"/>
  <c r="I1841" i="45"/>
  <c r="O1840" i="45"/>
  <c r="I1840" i="45"/>
  <c r="O1839" i="45"/>
  <c r="I1839" i="45"/>
  <c r="O1838" i="45"/>
  <c r="I1838" i="45"/>
  <c r="O1837" i="45"/>
  <c r="I1837" i="45"/>
  <c r="O1836" i="45"/>
  <c r="I1836" i="45"/>
  <c r="O1835" i="45"/>
  <c r="I1835" i="45"/>
  <c r="O1834" i="45"/>
  <c r="I1834" i="45"/>
  <c r="O1833" i="45"/>
  <c r="I1833" i="45"/>
  <c r="O1832" i="45"/>
  <c r="I1832" i="45"/>
  <c r="O1831" i="45"/>
  <c r="I1831" i="45"/>
  <c r="O1830" i="45"/>
  <c r="I1830" i="45"/>
  <c r="O1829" i="45"/>
  <c r="I1829" i="45"/>
  <c r="O1828" i="45"/>
  <c r="I1828" i="45"/>
  <c r="O1827" i="45"/>
  <c r="I1827" i="45"/>
  <c r="O1826" i="45"/>
  <c r="I1826" i="45"/>
  <c r="O1825" i="45"/>
  <c r="I1825" i="45"/>
  <c r="O1824" i="45"/>
  <c r="I1824" i="45"/>
  <c r="O1823" i="45"/>
  <c r="I1823" i="45"/>
  <c r="O1822" i="45"/>
  <c r="I1822" i="45"/>
  <c r="O1821" i="45"/>
  <c r="I1821" i="45"/>
  <c r="O1820" i="45"/>
  <c r="I1820" i="45"/>
  <c r="O1819" i="45"/>
  <c r="I1819" i="45"/>
  <c r="O1818" i="45"/>
  <c r="I1818" i="45"/>
  <c r="O1817" i="45"/>
  <c r="I1817" i="45"/>
  <c r="O1816" i="45"/>
  <c r="I1816" i="45"/>
  <c r="O1815" i="45"/>
  <c r="O1814" i="45"/>
  <c r="O1813" i="45"/>
  <c r="O1812" i="45"/>
  <c r="O1811" i="45"/>
  <c r="O1810" i="45"/>
  <c r="O1809" i="45"/>
  <c r="O1808" i="45"/>
  <c r="O1807" i="45"/>
  <c r="O1806" i="45"/>
  <c r="O1805" i="45"/>
  <c r="O1804" i="45"/>
  <c r="O1803" i="45"/>
  <c r="O1802" i="45"/>
  <c r="O1801" i="45"/>
  <c r="O1800" i="45"/>
  <c r="O1799" i="45"/>
  <c r="O1798" i="45"/>
  <c r="O1797" i="45"/>
  <c r="O1796" i="45"/>
  <c r="O1795" i="45"/>
  <c r="I1795" i="45"/>
  <c r="O1794" i="45"/>
  <c r="I1794" i="45"/>
  <c r="O1793" i="45"/>
  <c r="I1793" i="45"/>
  <c r="O1792" i="45"/>
  <c r="I1792" i="45"/>
  <c r="O1791" i="45"/>
  <c r="I1791" i="45"/>
  <c r="O1790" i="45"/>
  <c r="I1790" i="45"/>
  <c r="O1789" i="45"/>
  <c r="I1789" i="45"/>
  <c r="O1788" i="45"/>
  <c r="I1788" i="45"/>
  <c r="O1787" i="45"/>
  <c r="I1787" i="45"/>
  <c r="O1786" i="45"/>
  <c r="I1786" i="45"/>
  <c r="O1785" i="45"/>
  <c r="I1785" i="45"/>
  <c r="O1784" i="45"/>
  <c r="I1784" i="45"/>
  <c r="O1783" i="45"/>
  <c r="I1783" i="45"/>
  <c r="O1782" i="45"/>
  <c r="I1782" i="45"/>
  <c r="O1781" i="45"/>
  <c r="I1781" i="45"/>
  <c r="O1780" i="45"/>
  <c r="I1780" i="45"/>
  <c r="O1779" i="45"/>
  <c r="I1779" i="45"/>
  <c r="O1778" i="45"/>
  <c r="I1778" i="45"/>
  <c r="O1777" i="45"/>
  <c r="I1777" i="45"/>
  <c r="O1776" i="45"/>
  <c r="I1776" i="45"/>
  <c r="O1775" i="45"/>
  <c r="I1775" i="45"/>
  <c r="O1774" i="45"/>
  <c r="I1774" i="45"/>
  <c r="O1773" i="45"/>
  <c r="I1773" i="45"/>
  <c r="O1772" i="45"/>
  <c r="I1772" i="45"/>
  <c r="O1771" i="45"/>
  <c r="I1771" i="45"/>
  <c r="O1770" i="45"/>
  <c r="I1770" i="45"/>
  <c r="O1769" i="45"/>
  <c r="I1769" i="45"/>
  <c r="O1768" i="45"/>
  <c r="I1768" i="45"/>
  <c r="O1767" i="45"/>
  <c r="I1767" i="45"/>
  <c r="O1766" i="45"/>
  <c r="I1766" i="45"/>
  <c r="O1765" i="45"/>
  <c r="I1765" i="45"/>
  <c r="O1764" i="45"/>
  <c r="I1764" i="45"/>
  <c r="O1763" i="45"/>
  <c r="I1763" i="45"/>
  <c r="O1762" i="45"/>
  <c r="I1762" i="45"/>
  <c r="O1761" i="45"/>
  <c r="I1761" i="45"/>
  <c r="O1760" i="45"/>
  <c r="I1760" i="45"/>
  <c r="O1759" i="45"/>
  <c r="I1759" i="45"/>
  <c r="O1758" i="45"/>
  <c r="I1758" i="45"/>
  <c r="O1757" i="45"/>
  <c r="I1757" i="45"/>
  <c r="O1756" i="45"/>
  <c r="I1756" i="45"/>
  <c r="O1755" i="45"/>
  <c r="I1755" i="45"/>
  <c r="O1754" i="45"/>
  <c r="I1754" i="45"/>
  <c r="O1753" i="45"/>
  <c r="I1753" i="45"/>
  <c r="O1752" i="45"/>
  <c r="I1752" i="45"/>
  <c r="O1751" i="45"/>
  <c r="I1751" i="45"/>
  <c r="O1750" i="45"/>
  <c r="I1750" i="45"/>
  <c r="O1749" i="45"/>
  <c r="I1749" i="45"/>
  <c r="O1748" i="45"/>
  <c r="I1748" i="45"/>
  <c r="O1747" i="45"/>
  <c r="I1747" i="45"/>
  <c r="O1746" i="45"/>
  <c r="I1746" i="45"/>
  <c r="O1745" i="45"/>
  <c r="I1745" i="45"/>
  <c r="O1744" i="45"/>
  <c r="I1744" i="45"/>
  <c r="O1743" i="45"/>
  <c r="I1743" i="45"/>
  <c r="O1742" i="45"/>
  <c r="I1742" i="45"/>
  <c r="O1741" i="45"/>
  <c r="I1741" i="45"/>
  <c r="O1740" i="45"/>
  <c r="I1740" i="45"/>
  <c r="O1739" i="45"/>
  <c r="I1739" i="45"/>
  <c r="O1738" i="45"/>
  <c r="I1738" i="45"/>
  <c r="O1737" i="45"/>
  <c r="O1736" i="45"/>
  <c r="O1735" i="45"/>
  <c r="I1735" i="45"/>
  <c r="O1734" i="45"/>
  <c r="I1734" i="45"/>
  <c r="O1733" i="45"/>
  <c r="I1733" i="45"/>
  <c r="O1732" i="45"/>
  <c r="I1732" i="45"/>
  <c r="O1731" i="45"/>
  <c r="I1731" i="45"/>
  <c r="O1730" i="45"/>
  <c r="I1730" i="45"/>
  <c r="O1729" i="45"/>
  <c r="I1729" i="45"/>
  <c r="O1728" i="45"/>
  <c r="I1728" i="45"/>
  <c r="O1727" i="45"/>
  <c r="I1727" i="45"/>
  <c r="O1726" i="45"/>
  <c r="I1726" i="45"/>
  <c r="O1725" i="45"/>
  <c r="I1725" i="45"/>
  <c r="O1724" i="45"/>
  <c r="I1724" i="45"/>
  <c r="O1723" i="45"/>
  <c r="I1723" i="45"/>
  <c r="O1722" i="45"/>
  <c r="I1722" i="45"/>
  <c r="O1721" i="45"/>
  <c r="I1721" i="45"/>
  <c r="O1720" i="45"/>
  <c r="I1720" i="45"/>
  <c r="O1719" i="45"/>
  <c r="I1719" i="45"/>
  <c r="O1718" i="45"/>
  <c r="I1718" i="45"/>
  <c r="O1717" i="45"/>
  <c r="I1717" i="45"/>
  <c r="O1716" i="45"/>
  <c r="I1716" i="45"/>
  <c r="O1715" i="45"/>
  <c r="I1715" i="45"/>
  <c r="O1714" i="45"/>
  <c r="I1714" i="45"/>
  <c r="O1713" i="45"/>
  <c r="I1713" i="45"/>
  <c r="O1712" i="45"/>
  <c r="I1712" i="45"/>
  <c r="O1711" i="45"/>
  <c r="I1711" i="45"/>
  <c r="O1710" i="45"/>
  <c r="I1710" i="45"/>
  <c r="O1709" i="45"/>
  <c r="I1709" i="45"/>
  <c r="O1708" i="45"/>
  <c r="I1708" i="45"/>
  <c r="O1707" i="45"/>
  <c r="I1707" i="45"/>
  <c r="O1706" i="45"/>
  <c r="I1706" i="45"/>
  <c r="O1705" i="45"/>
  <c r="I1705" i="45"/>
  <c r="O1704" i="45"/>
  <c r="I1704" i="45"/>
  <c r="O1703" i="45"/>
  <c r="I1703" i="45"/>
  <c r="O1702" i="45"/>
  <c r="I1702" i="45"/>
  <c r="O1701" i="45"/>
  <c r="I1701" i="45"/>
  <c r="O1700" i="45"/>
  <c r="I1700" i="45"/>
  <c r="O1699" i="45"/>
  <c r="I1699" i="45"/>
  <c r="O1698" i="45"/>
  <c r="I1698" i="45"/>
  <c r="O1697" i="45"/>
  <c r="I1697" i="45"/>
  <c r="O1696" i="45"/>
  <c r="I1696" i="45"/>
  <c r="O1695" i="45"/>
  <c r="I1695" i="45"/>
  <c r="O1694" i="45"/>
  <c r="I1694" i="45"/>
  <c r="O1693" i="45"/>
  <c r="I1693" i="45"/>
  <c r="O1692" i="45"/>
  <c r="I1692" i="45"/>
  <c r="O1691" i="45"/>
  <c r="I1691" i="45"/>
  <c r="O1690" i="45"/>
  <c r="I1690" i="45"/>
  <c r="O1689" i="45"/>
  <c r="I1689" i="45"/>
  <c r="O1688" i="45"/>
  <c r="I1688" i="45"/>
  <c r="O1687" i="45"/>
  <c r="I1687" i="45"/>
  <c r="O1686" i="45"/>
  <c r="I1686" i="45"/>
  <c r="O1685" i="45"/>
  <c r="I1685" i="45"/>
  <c r="O1684" i="45"/>
  <c r="I1684" i="45"/>
  <c r="O1683" i="45"/>
  <c r="I1683" i="45"/>
  <c r="O1682" i="45"/>
  <c r="I1682" i="45"/>
  <c r="O1681" i="45"/>
  <c r="I1681" i="45"/>
  <c r="O1680" i="45"/>
  <c r="I1680" i="45"/>
  <c r="O1679" i="45"/>
  <c r="I1679" i="45"/>
  <c r="O1678" i="45"/>
  <c r="I1678" i="45"/>
  <c r="O1677" i="45"/>
  <c r="I1677" i="45"/>
  <c r="O1676" i="45"/>
  <c r="I1676" i="45"/>
  <c r="O1675" i="45"/>
  <c r="I1675" i="45"/>
  <c r="O1674" i="45"/>
  <c r="I1674" i="45"/>
  <c r="O1673" i="45"/>
  <c r="I1673" i="45"/>
  <c r="O1672" i="45"/>
  <c r="I1672" i="45"/>
  <c r="O1671" i="45"/>
  <c r="I1671" i="45"/>
  <c r="O1670" i="45"/>
  <c r="I1670" i="45"/>
  <c r="O1669" i="45"/>
  <c r="I1669" i="45"/>
  <c r="O1668" i="45"/>
  <c r="I1668" i="45"/>
  <c r="O1667" i="45"/>
  <c r="I1667" i="45"/>
  <c r="O1666" i="45"/>
  <c r="I1666" i="45"/>
  <c r="O1665" i="45"/>
  <c r="I1665" i="45"/>
  <c r="O1664" i="45"/>
  <c r="I1664" i="45"/>
  <c r="O1663" i="45"/>
  <c r="I1663" i="45"/>
  <c r="O1662" i="45"/>
  <c r="I1662" i="45"/>
  <c r="O1661" i="45"/>
  <c r="I1661" i="45"/>
  <c r="O1660" i="45"/>
  <c r="I1660" i="45"/>
  <c r="O1659" i="45"/>
  <c r="I1659" i="45"/>
  <c r="O1658" i="45"/>
  <c r="I1658" i="45"/>
  <c r="O1657" i="45"/>
  <c r="I1657" i="45"/>
  <c r="O1656" i="45"/>
  <c r="I1656" i="45"/>
  <c r="O1655" i="45"/>
  <c r="I1655" i="45"/>
  <c r="O1654" i="45"/>
  <c r="I1654" i="45"/>
  <c r="O1653" i="45"/>
  <c r="I1653" i="45"/>
  <c r="O1652" i="45"/>
  <c r="I1652" i="45"/>
  <c r="O1651" i="45"/>
  <c r="I1651" i="45"/>
  <c r="O1650" i="45"/>
  <c r="I1650" i="45"/>
  <c r="O1649" i="45"/>
  <c r="I1649" i="45"/>
  <c r="O1648" i="45"/>
  <c r="I1648" i="45"/>
  <c r="O1647" i="45"/>
  <c r="I1647" i="45"/>
  <c r="O1646" i="45"/>
  <c r="I1646" i="45"/>
  <c r="O1645" i="45"/>
  <c r="I1645" i="45"/>
  <c r="O1644" i="45"/>
  <c r="I1644" i="45"/>
  <c r="O1643" i="45"/>
  <c r="I1643" i="45"/>
  <c r="O1642" i="45"/>
  <c r="I1642" i="45"/>
  <c r="O1641" i="45"/>
  <c r="I1641" i="45"/>
  <c r="O1640" i="45"/>
  <c r="I1640" i="45"/>
  <c r="O1639" i="45"/>
  <c r="I1639" i="45"/>
  <c r="O1638" i="45"/>
  <c r="I1638" i="45"/>
  <c r="O1637" i="45"/>
  <c r="I1637" i="45"/>
  <c r="O1636" i="45"/>
  <c r="I1636" i="45"/>
  <c r="O1635" i="45"/>
  <c r="I1635" i="45"/>
  <c r="O1634" i="45"/>
  <c r="I1634" i="45"/>
  <c r="O1633" i="45"/>
  <c r="I1633" i="45"/>
  <c r="O1632" i="45"/>
  <c r="I1632" i="45"/>
  <c r="O1631" i="45"/>
  <c r="I1631" i="45"/>
  <c r="O1630" i="45"/>
  <c r="I1630" i="45"/>
  <c r="O1629" i="45"/>
  <c r="I1629" i="45"/>
  <c r="O1628" i="45"/>
  <c r="I1628" i="45"/>
  <c r="O1627" i="45"/>
  <c r="I1627" i="45"/>
  <c r="O1626" i="45"/>
  <c r="I1626" i="45"/>
  <c r="O1625" i="45"/>
  <c r="I1625" i="45"/>
  <c r="O1624" i="45"/>
  <c r="I1624" i="45"/>
  <c r="O1623" i="45"/>
  <c r="I1623" i="45"/>
  <c r="O1622" i="45"/>
  <c r="I1622" i="45"/>
  <c r="O1621" i="45"/>
  <c r="I1621" i="45"/>
  <c r="O1620" i="45"/>
  <c r="I1620" i="45"/>
  <c r="O1619" i="45"/>
  <c r="I1619" i="45"/>
  <c r="O1618" i="45"/>
  <c r="I1618" i="45"/>
  <c r="O1617" i="45"/>
  <c r="I1617" i="45"/>
  <c r="O1616" i="45"/>
  <c r="I1616" i="45"/>
  <c r="O1615" i="45"/>
  <c r="I1615" i="45"/>
  <c r="O1614" i="45"/>
  <c r="I1614" i="45"/>
  <c r="O1613" i="45"/>
  <c r="I1613" i="45"/>
  <c r="O1612" i="45"/>
  <c r="I1612" i="45"/>
  <c r="O1611" i="45"/>
  <c r="I1611" i="45"/>
  <c r="O1610" i="45"/>
  <c r="I1610" i="45"/>
  <c r="O1609" i="45"/>
  <c r="I1609" i="45"/>
  <c r="O1608" i="45"/>
  <c r="I1608" i="45"/>
  <c r="O1607" i="45"/>
  <c r="I1607" i="45"/>
  <c r="O1606" i="45"/>
  <c r="I1606" i="45"/>
  <c r="O1605" i="45"/>
  <c r="I1605" i="45"/>
  <c r="O1604" i="45"/>
  <c r="I1604" i="45"/>
  <c r="O1603" i="45"/>
  <c r="I1603" i="45"/>
  <c r="O1602" i="45"/>
  <c r="I1602" i="45"/>
  <c r="O1601" i="45"/>
  <c r="I1601" i="45"/>
  <c r="O1600" i="45"/>
  <c r="I1600" i="45"/>
  <c r="O1599" i="45"/>
  <c r="I1599" i="45"/>
  <c r="O1598" i="45"/>
  <c r="I1598" i="45"/>
  <c r="O1597" i="45"/>
  <c r="I1597" i="45"/>
  <c r="O1596" i="45"/>
  <c r="I1596" i="45"/>
  <c r="O1595" i="45"/>
  <c r="I1595" i="45"/>
  <c r="O1594" i="45"/>
  <c r="I1594" i="45"/>
  <c r="O1593" i="45"/>
  <c r="I1593" i="45"/>
  <c r="O1592" i="45"/>
  <c r="I1592" i="45"/>
  <c r="O1591" i="45"/>
  <c r="I1591" i="45"/>
  <c r="O1590" i="45"/>
  <c r="I1590" i="45"/>
  <c r="O1589" i="45"/>
  <c r="I1589" i="45"/>
  <c r="O1588" i="45"/>
  <c r="I1588" i="45"/>
  <c r="O1587" i="45"/>
  <c r="I1587" i="45"/>
  <c r="O1586" i="45"/>
  <c r="I1586" i="45"/>
  <c r="O1585" i="45"/>
  <c r="I1585" i="45"/>
  <c r="O1584" i="45"/>
  <c r="I1584" i="45"/>
  <c r="O1583" i="45"/>
  <c r="I1583" i="45"/>
  <c r="O1582" i="45"/>
  <c r="I1582" i="45"/>
  <c r="O1581" i="45"/>
  <c r="I1581" i="45"/>
  <c r="O1580" i="45"/>
  <c r="I1580" i="45"/>
  <c r="O1579" i="45"/>
  <c r="I1579" i="45"/>
  <c r="O1578" i="45"/>
  <c r="I1578" i="45"/>
  <c r="O1577" i="45"/>
  <c r="I1577" i="45"/>
  <c r="O1576" i="45"/>
  <c r="I1576" i="45"/>
  <c r="O1575" i="45"/>
  <c r="I1575" i="45"/>
  <c r="O1574" i="45"/>
  <c r="I1574" i="45"/>
  <c r="O1573" i="45"/>
  <c r="I1573" i="45"/>
  <c r="O1572" i="45"/>
  <c r="I1572" i="45"/>
  <c r="O1571" i="45"/>
  <c r="I1571" i="45"/>
  <c r="O1570" i="45"/>
  <c r="I1570" i="45"/>
  <c r="O1569" i="45"/>
  <c r="I1569" i="45"/>
  <c r="O1568" i="45"/>
  <c r="I1568" i="45"/>
  <c r="O1567" i="45"/>
  <c r="I1567" i="45"/>
  <c r="O1566" i="45"/>
  <c r="I1566" i="45"/>
  <c r="O1565" i="45"/>
  <c r="I1565" i="45"/>
  <c r="O1564" i="45"/>
  <c r="I1564" i="45"/>
  <c r="O1563" i="45"/>
  <c r="I1563" i="45"/>
  <c r="O1562" i="45"/>
  <c r="I1562" i="45"/>
  <c r="O1561" i="45"/>
  <c r="I1561" i="45"/>
  <c r="O1560" i="45"/>
  <c r="I1560" i="45"/>
  <c r="O1559" i="45"/>
  <c r="I1559" i="45"/>
  <c r="O1558" i="45"/>
  <c r="I1558" i="45"/>
  <c r="O1557" i="45"/>
  <c r="I1557" i="45"/>
  <c r="O1556" i="45"/>
  <c r="I1556" i="45"/>
  <c r="O1555" i="45"/>
  <c r="I1555" i="45"/>
  <c r="O1554" i="45"/>
  <c r="I1554" i="45"/>
  <c r="O1553" i="45"/>
  <c r="I1553" i="45"/>
  <c r="O1552" i="45"/>
  <c r="I1552" i="45"/>
  <c r="O1551" i="45"/>
  <c r="I1551" i="45"/>
  <c r="O1550" i="45"/>
  <c r="I1550" i="45"/>
  <c r="O1549" i="45"/>
  <c r="I1549" i="45"/>
  <c r="O1548" i="45"/>
  <c r="I1548" i="45"/>
  <c r="O1547" i="45"/>
  <c r="I1547" i="45"/>
  <c r="O1546" i="45"/>
  <c r="I1546" i="45"/>
  <c r="O1545" i="45"/>
  <c r="I1545" i="45"/>
  <c r="O1544" i="45"/>
  <c r="I1544" i="45"/>
  <c r="O1543" i="45"/>
  <c r="I1543" i="45"/>
  <c r="O1542" i="45"/>
  <c r="I1542" i="45"/>
  <c r="O1541" i="45"/>
  <c r="I1541" i="45"/>
  <c r="O1540" i="45"/>
  <c r="I1540" i="45"/>
  <c r="O1539" i="45"/>
  <c r="I1539" i="45"/>
  <c r="O1538" i="45"/>
  <c r="I1538" i="45"/>
  <c r="O1537" i="45"/>
  <c r="I1537" i="45"/>
  <c r="O1536" i="45"/>
  <c r="I1536" i="45"/>
  <c r="O1535" i="45"/>
  <c r="I1535" i="45"/>
  <c r="O1534" i="45"/>
  <c r="I1534" i="45"/>
  <c r="O1533" i="45"/>
  <c r="I1533" i="45"/>
  <c r="O1532" i="45"/>
  <c r="I1532" i="45"/>
  <c r="O1531" i="45"/>
  <c r="I1531" i="45"/>
  <c r="O1530" i="45"/>
  <c r="I1530" i="45"/>
  <c r="O1529" i="45"/>
  <c r="I1529" i="45"/>
  <c r="O1528" i="45"/>
  <c r="I1528" i="45"/>
  <c r="O1527" i="45"/>
  <c r="I1527" i="45"/>
  <c r="O1526" i="45"/>
  <c r="I1526" i="45"/>
  <c r="O1525" i="45"/>
  <c r="I1525" i="45"/>
  <c r="O1524" i="45"/>
  <c r="I1524" i="45"/>
  <c r="O1523" i="45"/>
  <c r="I1523" i="45"/>
  <c r="J1522" i="45"/>
  <c r="O1522" i="45" s="1"/>
  <c r="I1522" i="45"/>
  <c r="J1521" i="45"/>
  <c r="O1521" i="45" s="1"/>
  <c r="I1521" i="45"/>
  <c r="O1520" i="45"/>
  <c r="I1520" i="45"/>
  <c r="O1519" i="45"/>
  <c r="I1519" i="45"/>
  <c r="O1518" i="45"/>
  <c r="I1518" i="45"/>
  <c r="O1517" i="45"/>
  <c r="I1517" i="45"/>
  <c r="O1516" i="45"/>
  <c r="I1516" i="45"/>
  <c r="O1515" i="45"/>
  <c r="I1515" i="45"/>
  <c r="O1514" i="45"/>
  <c r="I1514" i="45"/>
  <c r="O1513" i="45"/>
  <c r="I1513" i="45"/>
  <c r="O1512" i="45"/>
  <c r="I1512" i="45"/>
  <c r="O1511" i="45"/>
  <c r="I1511" i="45"/>
  <c r="O1510" i="45"/>
  <c r="I1510" i="45"/>
  <c r="O1509" i="45"/>
  <c r="I1509" i="45"/>
  <c r="O1508" i="45"/>
  <c r="I1508" i="45"/>
  <c r="O1507" i="45"/>
  <c r="I1507" i="45"/>
  <c r="O1506" i="45"/>
  <c r="I1506" i="45"/>
  <c r="O1505" i="45"/>
  <c r="I1505" i="45"/>
  <c r="O1504" i="45"/>
  <c r="I1504" i="45"/>
  <c r="O1503" i="45"/>
  <c r="I1503" i="45"/>
  <c r="O1502" i="45"/>
  <c r="I1502" i="45"/>
  <c r="O1501" i="45"/>
  <c r="I1501" i="45"/>
  <c r="O1500" i="45"/>
  <c r="I1500" i="45"/>
  <c r="O1499" i="45"/>
  <c r="I1499" i="45"/>
  <c r="O1498" i="45"/>
  <c r="I1498" i="45"/>
  <c r="O1497" i="45"/>
  <c r="I1497" i="45"/>
  <c r="O1496" i="45"/>
  <c r="I1496" i="45"/>
  <c r="O1495" i="45"/>
  <c r="I1495" i="45"/>
  <c r="O1494" i="45"/>
  <c r="I1494" i="45"/>
  <c r="O1493" i="45"/>
  <c r="I1493" i="45"/>
  <c r="O1492" i="45"/>
  <c r="I1492" i="45"/>
  <c r="O1491" i="45"/>
  <c r="I1491" i="45"/>
  <c r="O1490" i="45"/>
  <c r="I1490" i="45"/>
  <c r="O1489" i="45"/>
  <c r="I1489" i="45"/>
  <c r="O1488" i="45"/>
  <c r="I1488" i="45"/>
  <c r="O1487" i="45"/>
  <c r="I1487" i="45"/>
  <c r="O1486" i="45"/>
  <c r="I1486" i="45"/>
  <c r="O1485" i="45"/>
  <c r="I1485" i="45"/>
  <c r="O1484" i="45"/>
  <c r="I1484" i="45"/>
  <c r="O1483" i="45"/>
  <c r="I1483" i="45"/>
  <c r="O1482" i="45"/>
  <c r="I1482" i="45"/>
  <c r="O1481" i="45"/>
  <c r="I1481" i="45"/>
  <c r="O1480" i="45"/>
  <c r="I1480" i="45"/>
  <c r="O1479" i="45"/>
  <c r="I1479" i="45"/>
  <c r="O1478" i="45"/>
  <c r="I1478" i="45"/>
  <c r="O1477" i="45"/>
  <c r="I1477" i="45"/>
  <c r="O1476" i="45"/>
  <c r="I1476" i="45"/>
  <c r="O1475" i="45"/>
  <c r="I1475" i="45"/>
  <c r="O1474" i="45"/>
  <c r="I1474" i="45"/>
  <c r="O1473" i="45"/>
  <c r="I1473" i="45"/>
  <c r="O1472" i="45"/>
  <c r="I1472" i="45"/>
  <c r="O1471" i="45"/>
  <c r="I1471" i="45"/>
  <c r="O1470" i="45"/>
  <c r="I1470" i="45"/>
  <c r="O1469" i="45"/>
  <c r="I1469" i="45"/>
  <c r="O1468" i="45"/>
  <c r="I1468" i="45"/>
  <c r="O1467" i="45"/>
  <c r="I1467" i="45"/>
  <c r="O1466" i="45"/>
  <c r="I1466" i="45"/>
  <c r="O1465" i="45"/>
  <c r="I1465" i="45"/>
  <c r="O1464" i="45"/>
  <c r="I1464" i="45"/>
  <c r="O1463" i="45"/>
  <c r="I1463" i="45"/>
  <c r="O1462" i="45"/>
  <c r="I1462" i="45"/>
  <c r="O1461" i="45"/>
  <c r="I1461" i="45"/>
  <c r="O1460" i="45"/>
  <c r="I1460" i="45"/>
  <c r="O1459" i="45"/>
  <c r="I1459" i="45"/>
  <c r="O1458" i="45"/>
  <c r="I1458" i="45"/>
  <c r="O1457" i="45"/>
  <c r="I1457" i="45"/>
  <c r="O1456" i="45"/>
  <c r="I1456" i="45"/>
  <c r="O1455" i="45"/>
  <c r="I1455" i="45"/>
  <c r="O1454" i="45"/>
  <c r="I1454" i="45"/>
  <c r="O1453" i="45"/>
  <c r="I1453" i="45"/>
  <c r="O1452" i="45"/>
  <c r="I1452" i="45"/>
  <c r="O1451" i="45"/>
  <c r="I1451" i="45"/>
  <c r="O1450" i="45"/>
  <c r="I1450" i="45"/>
  <c r="O1449" i="45"/>
  <c r="I1449" i="45"/>
  <c r="O1448" i="45"/>
  <c r="I1448" i="45"/>
  <c r="O1447" i="45"/>
  <c r="I1447" i="45"/>
  <c r="O1446" i="45"/>
  <c r="I1446" i="45"/>
  <c r="O1445" i="45"/>
  <c r="I1445" i="45"/>
  <c r="O1444" i="45"/>
  <c r="I1444" i="45"/>
  <c r="O1443" i="45"/>
  <c r="I1443" i="45"/>
  <c r="O1442" i="45"/>
  <c r="I1442" i="45"/>
  <c r="O1441" i="45"/>
  <c r="I1441" i="45"/>
  <c r="O1440" i="45"/>
  <c r="I1440" i="45"/>
  <c r="O1439" i="45"/>
  <c r="I1439" i="45"/>
  <c r="O1438" i="45"/>
  <c r="I1438" i="45"/>
  <c r="O1437" i="45"/>
  <c r="I1437" i="45"/>
  <c r="O1436" i="45"/>
  <c r="I1436" i="45"/>
  <c r="O1435" i="45"/>
  <c r="I1435" i="45"/>
  <c r="O1434" i="45"/>
  <c r="I1434" i="45"/>
  <c r="O1433" i="45"/>
  <c r="I1433" i="45"/>
  <c r="O1432" i="45"/>
  <c r="I1432" i="45"/>
  <c r="O1431" i="45"/>
  <c r="I1431" i="45"/>
  <c r="O1430" i="45"/>
  <c r="I1430" i="45"/>
  <c r="O1429" i="45"/>
  <c r="I1429" i="45"/>
  <c r="O1428" i="45"/>
  <c r="I1428" i="45"/>
  <c r="O1427" i="45"/>
  <c r="I1427" i="45"/>
  <c r="O1426" i="45"/>
  <c r="I1426" i="45"/>
  <c r="O1425" i="45"/>
  <c r="I1425" i="45"/>
  <c r="O1424" i="45"/>
  <c r="I1424" i="45"/>
  <c r="O1423" i="45"/>
  <c r="I1423" i="45"/>
  <c r="O1422" i="45"/>
  <c r="I1422" i="45"/>
  <c r="O1421" i="45"/>
  <c r="I1421" i="45"/>
  <c r="O1420" i="45"/>
  <c r="I1420" i="45"/>
  <c r="O1419" i="45"/>
  <c r="I1419" i="45"/>
  <c r="O1418" i="45"/>
  <c r="I1418" i="45"/>
  <c r="O1417" i="45"/>
  <c r="I1417" i="45"/>
  <c r="O1416" i="45"/>
  <c r="I1416" i="45"/>
  <c r="O1415" i="45"/>
  <c r="I1415" i="45"/>
  <c r="O1414" i="45"/>
  <c r="I1414" i="45"/>
  <c r="O1413" i="45"/>
  <c r="I1413" i="45"/>
  <c r="O1412" i="45"/>
  <c r="I1412" i="45"/>
  <c r="O1411" i="45"/>
  <c r="I1411" i="45"/>
  <c r="O1410" i="45"/>
  <c r="I1410" i="45"/>
  <c r="O1409" i="45"/>
  <c r="I1409" i="45"/>
  <c r="O1408" i="45"/>
  <c r="I1408" i="45"/>
  <c r="O1407" i="45"/>
  <c r="I1407" i="45"/>
  <c r="O1406" i="45"/>
  <c r="I1406" i="45"/>
  <c r="O1405" i="45"/>
  <c r="I1405" i="45"/>
  <c r="O1404" i="45"/>
  <c r="I1404" i="45"/>
  <c r="O1403" i="45"/>
  <c r="I1403" i="45"/>
  <c r="O1402" i="45"/>
  <c r="I1402" i="45"/>
  <c r="O1401" i="45"/>
  <c r="I1401" i="45"/>
  <c r="O1400" i="45"/>
  <c r="I1400" i="45"/>
  <c r="O1399" i="45"/>
  <c r="I1399" i="45"/>
  <c r="O1398" i="45"/>
  <c r="I1398" i="45"/>
  <c r="O1397" i="45"/>
  <c r="I1397" i="45"/>
  <c r="O1396" i="45"/>
  <c r="I1396" i="45"/>
  <c r="O1395" i="45"/>
  <c r="I1395" i="45"/>
  <c r="O1394" i="45"/>
  <c r="I1394" i="45"/>
  <c r="O1393" i="45"/>
  <c r="I1393" i="45"/>
  <c r="O1392" i="45"/>
  <c r="I1392" i="45"/>
  <c r="O1391" i="45"/>
  <c r="I1391" i="45"/>
  <c r="O1390" i="45"/>
  <c r="I1390" i="45"/>
  <c r="O1389" i="45"/>
  <c r="I1389" i="45"/>
  <c r="O1388" i="45"/>
  <c r="I1388" i="45"/>
  <c r="O1387" i="45"/>
  <c r="I1387" i="45"/>
  <c r="O1386" i="45"/>
  <c r="I1386" i="45"/>
  <c r="O1385" i="45"/>
  <c r="I1385" i="45"/>
  <c r="O1384" i="45"/>
  <c r="I1384" i="45"/>
  <c r="O1383" i="45"/>
  <c r="I1383" i="45"/>
  <c r="O1382" i="45"/>
  <c r="I1382" i="45"/>
  <c r="O1381" i="45"/>
  <c r="I1381" i="45"/>
  <c r="O1380" i="45"/>
  <c r="I1380" i="45"/>
  <c r="O1379" i="45"/>
  <c r="I1379" i="45"/>
  <c r="O1378" i="45"/>
  <c r="I1378" i="45"/>
  <c r="O1377" i="45"/>
  <c r="I1377" i="45"/>
  <c r="O1376" i="45"/>
  <c r="I1376" i="45"/>
  <c r="O1375" i="45"/>
  <c r="I1375" i="45"/>
  <c r="O1374" i="45"/>
  <c r="I1374" i="45"/>
  <c r="O1373" i="45"/>
  <c r="I1373" i="45"/>
  <c r="O1372" i="45"/>
  <c r="I1372" i="45"/>
  <c r="O1371" i="45"/>
  <c r="I1371" i="45"/>
  <c r="O1370" i="45"/>
  <c r="I1370" i="45"/>
  <c r="O1369" i="45"/>
  <c r="I1369" i="45"/>
  <c r="O1368" i="45"/>
  <c r="I1368" i="45"/>
  <c r="O1367" i="45"/>
  <c r="I1367" i="45"/>
  <c r="O1366" i="45"/>
  <c r="I1366" i="45"/>
  <c r="O1365" i="45"/>
  <c r="I1365" i="45"/>
  <c r="O1364" i="45"/>
  <c r="I1364" i="45"/>
  <c r="O1363" i="45"/>
  <c r="I1363" i="45"/>
  <c r="O1362" i="45"/>
  <c r="I1362" i="45"/>
  <c r="O1361" i="45"/>
  <c r="I1361" i="45"/>
  <c r="O1360" i="45"/>
  <c r="I1360" i="45"/>
  <c r="O1359" i="45"/>
  <c r="I1359" i="45"/>
  <c r="O1358" i="45"/>
  <c r="I1358" i="45"/>
  <c r="O1357" i="45"/>
  <c r="I1357" i="45"/>
  <c r="O1356" i="45"/>
  <c r="I1356" i="45"/>
  <c r="O1355" i="45"/>
  <c r="I1355" i="45"/>
  <c r="O1354" i="45"/>
  <c r="I1354" i="45"/>
  <c r="O1353" i="45"/>
  <c r="I1353" i="45"/>
  <c r="O1352" i="45"/>
  <c r="I1352" i="45"/>
  <c r="O1351" i="45"/>
  <c r="I1351" i="45"/>
  <c r="O1350" i="45"/>
  <c r="I1350" i="45"/>
  <c r="O1349" i="45"/>
  <c r="I1349" i="45"/>
  <c r="O1348" i="45"/>
  <c r="I1348" i="45"/>
  <c r="O1347" i="45"/>
  <c r="I1347" i="45"/>
  <c r="O1346" i="45"/>
  <c r="I1346" i="45"/>
  <c r="O1345" i="45"/>
  <c r="I1345" i="45"/>
  <c r="O1344" i="45"/>
  <c r="I1344" i="45"/>
  <c r="O1343" i="45"/>
  <c r="I1343" i="45"/>
  <c r="O1342" i="45"/>
  <c r="I1342" i="45"/>
  <c r="O1341" i="45"/>
  <c r="I1341" i="45"/>
  <c r="O1340" i="45"/>
  <c r="I1340" i="45"/>
  <c r="O1339" i="45"/>
  <c r="I1339" i="45"/>
  <c r="O1338" i="45"/>
  <c r="I1338" i="45"/>
  <c r="O1337" i="45"/>
  <c r="I1337" i="45"/>
  <c r="O1336" i="45"/>
  <c r="I1336" i="45"/>
  <c r="O1335" i="45"/>
  <c r="I1335" i="45"/>
  <c r="O1334" i="45"/>
  <c r="I1334" i="45"/>
  <c r="O1333" i="45"/>
  <c r="I1333" i="45"/>
  <c r="O1332" i="45"/>
  <c r="I1332" i="45"/>
  <c r="O1331" i="45"/>
  <c r="I1331" i="45"/>
  <c r="O1330" i="45"/>
  <c r="I1330" i="45"/>
  <c r="O1329" i="45"/>
  <c r="I1329" i="45"/>
  <c r="O1328" i="45"/>
  <c r="I1328" i="45"/>
  <c r="O1327" i="45"/>
  <c r="I1327" i="45"/>
  <c r="O1326" i="45"/>
  <c r="I1326" i="45"/>
  <c r="O1325" i="45"/>
  <c r="I1325" i="45"/>
  <c r="O1324" i="45"/>
  <c r="I1324" i="45"/>
  <c r="O1323" i="45"/>
  <c r="I1323" i="45"/>
  <c r="O1322" i="45"/>
  <c r="I1322" i="45"/>
  <c r="O1321" i="45"/>
  <c r="I1321" i="45"/>
  <c r="O1320" i="45"/>
  <c r="I1320" i="45"/>
  <c r="O1319" i="45"/>
  <c r="I1319" i="45"/>
  <c r="O1318" i="45"/>
  <c r="I1318" i="45"/>
  <c r="O1317" i="45"/>
  <c r="I1317" i="45"/>
  <c r="O1316" i="45"/>
  <c r="I1316" i="45"/>
  <c r="O1315" i="45"/>
  <c r="I1315" i="45"/>
  <c r="O1314" i="45"/>
  <c r="I1314" i="45"/>
  <c r="O1313" i="45"/>
  <c r="I1313" i="45"/>
  <c r="O1312" i="45"/>
  <c r="I1312" i="45"/>
  <c r="O1311" i="45"/>
  <c r="I1311" i="45"/>
  <c r="O1310" i="45"/>
  <c r="I1310" i="45"/>
  <c r="O1309" i="45"/>
  <c r="I1309" i="45"/>
  <c r="O1308" i="45"/>
  <c r="I1308" i="45"/>
  <c r="O1307" i="45"/>
  <c r="I1307" i="45"/>
  <c r="O1306" i="45"/>
  <c r="I1306" i="45"/>
  <c r="O1305" i="45"/>
  <c r="I1305" i="45"/>
  <c r="O1304" i="45"/>
  <c r="I1304" i="45"/>
  <c r="O1303" i="45"/>
  <c r="I1303" i="45"/>
  <c r="O1302" i="45"/>
  <c r="I1302" i="45"/>
  <c r="O1301" i="45"/>
  <c r="I1301" i="45"/>
  <c r="O1300" i="45"/>
  <c r="I1300" i="45"/>
  <c r="O1299" i="45"/>
  <c r="I1299" i="45"/>
  <c r="O1298" i="45"/>
  <c r="I1298" i="45"/>
  <c r="O1297" i="45"/>
  <c r="I1297" i="45"/>
  <c r="O1296" i="45"/>
  <c r="I1296" i="45"/>
  <c r="O1295" i="45"/>
  <c r="I1295" i="45"/>
  <c r="O1294" i="45"/>
  <c r="I1294" i="45"/>
  <c r="O1293" i="45"/>
  <c r="I1293" i="45"/>
  <c r="O1292" i="45"/>
  <c r="I1292" i="45"/>
  <c r="O1291" i="45"/>
  <c r="I1291" i="45"/>
  <c r="O1290" i="45"/>
  <c r="I1290" i="45"/>
  <c r="O1289" i="45"/>
  <c r="I1289" i="45"/>
  <c r="O1288" i="45"/>
  <c r="I1288" i="45"/>
  <c r="O1287" i="45"/>
  <c r="I1287" i="45"/>
  <c r="O1286" i="45"/>
  <c r="I1286" i="45"/>
  <c r="O1285" i="45"/>
  <c r="I1285" i="45"/>
  <c r="O1284" i="45"/>
  <c r="I1284" i="45"/>
  <c r="O1283" i="45"/>
  <c r="I1283" i="45"/>
  <c r="O1282" i="45"/>
  <c r="I1282" i="45"/>
  <c r="O1281" i="45"/>
  <c r="I1281" i="45"/>
  <c r="O1280" i="45"/>
  <c r="I1280" i="45"/>
  <c r="O1279" i="45"/>
  <c r="I1279" i="45"/>
  <c r="O1278" i="45"/>
  <c r="I1278" i="45"/>
  <c r="O1277" i="45"/>
  <c r="I1277" i="45"/>
  <c r="O1276" i="45"/>
  <c r="I1276" i="45"/>
  <c r="O1275" i="45"/>
  <c r="I1275" i="45"/>
  <c r="O1274" i="45"/>
  <c r="I1274" i="45"/>
  <c r="O1273" i="45"/>
  <c r="I1273" i="45"/>
  <c r="O1272" i="45"/>
  <c r="I1272" i="45"/>
  <c r="O1271" i="45"/>
  <c r="I1271" i="45"/>
  <c r="O1270" i="45"/>
  <c r="I1270" i="45"/>
  <c r="O1269" i="45"/>
  <c r="I1269" i="45"/>
  <c r="O1268" i="45"/>
  <c r="I1268" i="45"/>
  <c r="O1267" i="45"/>
  <c r="I1267" i="45"/>
  <c r="O1266" i="45"/>
  <c r="I1266" i="45"/>
  <c r="O1265" i="45"/>
  <c r="I1265" i="45"/>
  <c r="O1264" i="45"/>
  <c r="I1264" i="45"/>
  <c r="O1263" i="45"/>
  <c r="I1263" i="45"/>
  <c r="O1262" i="45"/>
  <c r="I1262" i="45"/>
  <c r="O1261" i="45"/>
  <c r="I1261" i="45"/>
  <c r="O1260" i="45"/>
  <c r="I1260" i="45"/>
  <c r="O1259" i="45"/>
  <c r="I1259" i="45"/>
  <c r="O1258" i="45"/>
  <c r="I1258" i="45"/>
  <c r="O1257" i="45"/>
  <c r="I1257" i="45"/>
  <c r="O1256" i="45"/>
  <c r="I1256" i="45"/>
  <c r="O1255" i="45"/>
  <c r="I1255" i="45"/>
  <c r="O1254" i="45"/>
  <c r="I1254" i="45"/>
  <c r="O1253" i="45"/>
  <c r="I1253" i="45"/>
  <c r="O1252" i="45"/>
  <c r="I1252" i="45"/>
  <c r="O1251" i="45"/>
  <c r="I1251" i="45"/>
  <c r="O1250" i="45"/>
  <c r="I1250" i="45"/>
  <c r="O1249" i="45"/>
  <c r="I1249" i="45"/>
  <c r="O1248" i="45"/>
  <c r="I1248" i="45"/>
  <c r="O1247" i="45"/>
  <c r="I1247" i="45"/>
  <c r="O1246" i="45"/>
  <c r="I1246" i="45"/>
  <c r="O1245" i="45"/>
  <c r="I1245" i="45"/>
  <c r="O1244" i="45"/>
  <c r="I1244" i="45"/>
  <c r="O1243" i="45"/>
  <c r="I1243" i="45"/>
  <c r="O1242" i="45"/>
  <c r="I1242" i="45"/>
  <c r="O1241" i="45"/>
  <c r="I1241" i="45"/>
  <c r="O1240" i="45"/>
  <c r="I1240" i="45"/>
  <c r="O1239" i="45"/>
  <c r="I1239" i="45"/>
  <c r="O1238" i="45"/>
  <c r="I1238" i="45"/>
  <c r="O1237" i="45"/>
  <c r="I1237" i="45"/>
  <c r="O1236" i="45"/>
  <c r="I1236" i="45"/>
  <c r="O1235" i="45"/>
  <c r="I1235" i="45"/>
  <c r="O1234" i="45"/>
  <c r="I1234" i="45"/>
  <c r="O1233" i="45"/>
  <c r="I1233" i="45"/>
  <c r="O1232" i="45"/>
  <c r="I1232" i="45"/>
  <c r="O1231" i="45"/>
  <c r="I1231" i="45"/>
  <c r="O1230" i="45"/>
  <c r="I1230" i="45"/>
  <c r="O1229" i="45"/>
  <c r="I1229" i="45"/>
  <c r="O1228" i="45"/>
  <c r="I1228" i="45"/>
  <c r="O1227" i="45"/>
  <c r="I1227" i="45"/>
  <c r="O1226" i="45"/>
  <c r="I1226" i="45"/>
  <c r="O1225" i="45"/>
  <c r="I1225" i="45"/>
  <c r="O1224" i="45"/>
  <c r="I1224" i="45"/>
  <c r="O1223" i="45"/>
  <c r="I1223" i="45"/>
  <c r="O1222" i="45"/>
  <c r="I1222" i="45"/>
  <c r="O1221" i="45"/>
  <c r="I1221" i="45"/>
  <c r="O1220" i="45"/>
  <c r="I1220" i="45"/>
  <c r="O1219" i="45"/>
  <c r="I1219" i="45"/>
  <c r="O1218" i="45"/>
  <c r="I1218" i="45"/>
  <c r="O1217" i="45"/>
  <c r="I1217" i="45"/>
  <c r="O1216" i="45"/>
  <c r="I1216" i="45"/>
  <c r="O1215" i="45"/>
  <c r="I1215" i="45"/>
  <c r="O1214" i="45"/>
  <c r="I1214" i="45"/>
  <c r="O1213" i="45"/>
  <c r="I1213" i="45"/>
  <c r="O1212" i="45"/>
  <c r="I1212" i="45"/>
  <c r="O1211" i="45"/>
  <c r="I1211" i="45"/>
  <c r="O1210" i="45"/>
  <c r="I1210" i="45"/>
  <c r="O1209" i="45"/>
  <c r="I1209" i="45"/>
  <c r="O1208" i="45"/>
  <c r="I1208" i="45"/>
  <c r="O1207" i="45"/>
  <c r="I1207" i="45"/>
  <c r="O1206" i="45"/>
  <c r="I1206" i="45"/>
  <c r="O1205" i="45"/>
  <c r="I1205" i="45"/>
  <c r="O1204" i="45"/>
  <c r="I1204" i="45"/>
  <c r="O1203" i="45"/>
  <c r="I1203" i="45"/>
  <c r="O1202" i="45"/>
  <c r="I1202" i="45"/>
  <c r="O1201" i="45"/>
  <c r="I1201" i="45"/>
  <c r="O1200" i="45"/>
  <c r="I1200" i="45"/>
  <c r="O1199" i="45"/>
  <c r="I1199" i="45"/>
  <c r="O1198" i="45"/>
  <c r="I1198" i="45"/>
  <c r="O1197" i="45"/>
  <c r="I1197" i="45"/>
  <c r="O1196" i="45"/>
  <c r="I1196" i="45"/>
  <c r="O1195" i="45"/>
  <c r="I1195" i="45"/>
  <c r="O1194" i="45"/>
  <c r="I1194" i="45"/>
  <c r="O1193" i="45"/>
  <c r="I1193" i="45"/>
  <c r="O1192" i="45"/>
  <c r="I1192" i="45"/>
  <c r="O1191" i="45"/>
  <c r="I1191" i="45"/>
  <c r="O1190" i="45"/>
  <c r="I1190" i="45"/>
  <c r="O1189" i="45"/>
  <c r="I1189" i="45"/>
  <c r="O1188" i="45"/>
  <c r="I1188" i="45"/>
  <c r="O1187" i="45"/>
  <c r="I1187" i="45"/>
  <c r="O1186" i="45"/>
  <c r="I1186" i="45"/>
  <c r="O1185" i="45"/>
  <c r="I1185" i="45"/>
  <c r="O1184" i="45"/>
  <c r="I1184" i="45"/>
  <c r="O1183" i="45"/>
  <c r="I1183" i="45"/>
  <c r="O1182" i="45"/>
  <c r="I1182" i="45"/>
  <c r="O1181" i="45"/>
  <c r="I1181" i="45"/>
  <c r="O1180" i="45"/>
  <c r="I1180" i="45"/>
  <c r="O1179" i="45"/>
  <c r="I1179" i="45"/>
  <c r="O1178" i="45"/>
  <c r="I1178" i="45"/>
  <c r="O1177" i="45"/>
  <c r="I1177" i="45"/>
  <c r="O1176" i="45"/>
  <c r="I1176" i="45"/>
  <c r="O1175" i="45"/>
  <c r="I1175" i="45"/>
  <c r="O1174" i="45"/>
  <c r="I1174" i="45"/>
  <c r="O1173" i="45"/>
  <c r="I1173" i="45"/>
  <c r="O1172" i="45"/>
  <c r="I1172" i="45"/>
  <c r="O1171" i="45"/>
  <c r="I1171" i="45"/>
  <c r="O1170" i="45"/>
  <c r="I1170" i="45"/>
  <c r="O1169" i="45"/>
  <c r="I1169" i="45"/>
  <c r="O1168" i="45"/>
  <c r="I1168" i="45"/>
  <c r="O1167" i="45"/>
  <c r="I1167" i="45"/>
  <c r="O1166" i="45"/>
  <c r="I1166" i="45"/>
  <c r="O1165" i="45"/>
  <c r="I1165" i="45"/>
  <c r="O1164" i="45"/>
  <c r="I1164" i="45"/>
  <c r="O1163" i="45"/>
  <c r="I1163" i="45"/>
  <c r="O1162" i="45"/>
  <c r="I1162" i="45"/>
  <c r="O1161" i="45"/>
  <c r="I1161" i="45"/>
  <c r="O1160" i="45"/>
  <c r="I1160" i="45"/>
  <c r="O1159" i="45"/>
  <c r="I1159" i="45"/>
  <c r="O1158" i="45"/>
  <c r="I1158" i="45"/>
  <c r="O1157" i="45"/>
  <c r="I1157" i="45"/>
  <c r="O1156" i="45"/>
  <c r="I1156" i="45"/>
  <c r="O1155" i="45"/>
  <c r="I1155" i="45"/>
  <c r="O1154" i="45"/>
  <c r="I1154" i="45"/>
  <c r="O1153" i="45"/>
  <c r="I1153" i="45"/>
  <c r="O1152" i="45"/>
  <c r="I1152" i="45"/>
  <c r="O1151" i="45"/>
  <c r="I1151" i="45"/>
  <c r="O1150" i="45"/>
  <c r="I1150" i="45"/>
  <c r="O1149" i="45"/>
  <c r="I1149" i="45"/>
  <c r="O1148" i="45"/>
  <c r="I1148" i="45"/>
  <c r="O1147" i="45"/>
  <c r="I1147" i="45"/>
  <c r="O1146" i="45"/>
  <c r="I1146" i="45"/>
  <c r="O1145" i="45"/>
  <c r="I1145" i="45"/>
  <c r="O1144" i="45"/>
  <c r="I1144" i="45"/>
  <c r="O1143" i="45"/>
  <c r="I1143" i="45"/>
  <c r="O1142" i="45"/>
  <c r="I1142" i="45"/>
  <c r="O1141" i="45"/>
  <c r="I1141" i="45"/>
  <c r="O1140" i="45"/>
  <c r="I1140" i="45"/>
  <c r="O1139" i="45"/>
  <c r="I1139" i="45"/>
  <c r="O1138" i="45"/>
  <c r="I1138" i="45"/>
  <c r="O1137" i="45"/>
  <c r="I1137" i="45"/>
  <c r="O1136" i="45"/>
  <c r="I1136" i="45"/>
  <c r="O1135" i="45"/>
  <c r="I1135" i="45"/>
  <c r="O1134" i="45"/>
  <c r="I1134" i="45"/>
  <c r="O1133" i="45"/>
  <c r="I1133" i="45"/>
  <c r="O1132" i="45"/>
  <c r="I1132" i="45"/>
  <c r="O1131" i="45"/>
  <c r="I1131" i="45"/>
  <c r="O1130" i="45"/>
  <c r="I1130" i="45"/>
  <c r="O1129" i="45"/>
  <c r="I1129" i="45"/>
  <c r="O1128" i="45"/>
  <c r="I1128" i="45"/>
  <c r="O1127" i="45"/>
  <c r="I1127" i="45"/>
  <c r="O1126" i="45"/>
  <c r="I1126" i="45"/>
  <c r="O1125" i="45"/>
  <c r="I1125" i="45"/>
  <c r="O1124" i="45"/>
  <c r="I1124" i="45"/>
  <c r="O1123" i="45"/>
  <c r="I1123" i="45"/>
  <c r="O1122" i="45"/>
  <c r="I1122" i="45"/>
  <c r="O1121" i="45"/>
  <c r="I1121" i="45"/>
  <c r="O1120" i="45"/>
  <c r="I1120" i="45"/>
  <c r="O1119" i="45"/>
  <c r="I1119" i="45"/>
  <c r="O1118" i="45"/>
  <c r="I1118" i="45"/>
  <c r="O1117" i="45"/>
  <c r="I1117" i="45"/>
  <c r="O1116" i="45"/>
  <c r="I1116" i="45"/>
  <c r="O1115" i="45"/>
  <c r="I1115" i="45"/>
  <c r="O1114" i="45"/>
  <c r="I1114" i="45"/>
  <c r="O1113" i="45"/>
  <c r="I1113" i="45"/>
  <c r="O1112" i="45"/>
  <c r="I1112" i="45"/>
  <c r="O1111" i="45"/>
  <c r="I1111" i="45"/>
  <c r="O1110" i="45"/>
  <c r="I1110" i="45"/>
  <c r="O1109" i="45"/>
  <c r="I1109" i="45"/>
  <c r="O1108" i="45"/>
  <c r="I1108" i="45"/>
  <c r="O1107" i="45"/>
  <c r="I1107" i="45"/>
  <c r="O1106" i="45"/>
  <c r="I1106" i="45"/>
  <c r="O1105" i="45"/>
  <c r="I1105" i="45"/>
  <c r="O1104" i="45"/>
  <c r="I1104" i="45"/>
  <c r="O1103" i="45"/>
  <c r="I1103" i="45"/>
  <c r="O1102" i="45"/>
  <c r="I1102" i="45"/>
  <c r="O1101" i="45"/>
  <c r="I1101" i="45"/>
  <c r="O1100" i="45"/>
  <c r="I1100" i="45"/>
  <c r="O1099" i="45"/>
  <c r="I1099" i="45"/>
  <c r="O1098" i="45"/>
  <c r="I1098" i="45"/>
  <c r="O1097" i="45"/>
  <c r="I1097" i="45"/>
  <c r="O1096" i="45"/>
  <c r="I1096" i="45"/>
  <c r="O1095" i="45"/>
  <c r="I1095" i="45"/>
  <c r="O1094" i="45"/>
  <c r="I1094" i="45"/>
  <c r="O1093" i="45"/>
  <c r="I1093" i="45"/>
  <c r="O1092" i="45"/>
  <c r="I1092" i="45"/>
  <c r="O1091" i="45"/>
  <c r="I1091" i="45"/>
  <c r="O1090" i="45"/>
  <c r="I1090" i="45"/>
  <c r="O1089" i="45"/>
  <c r="I1089" i="45"/>
  <c r="O1088" i="45"/>
  <c r="I1088" i="45"/>
  <c r="O1087" i="45"/>
  <c r="I1087" i="45"/>
  <c r="O1086" i="45"/>
  <c r="I1086" i="45"/>
  <c r="O1085" i="45"/>
  <c r="I1085" i="45"/>
  <c r="O1084" i="45"/>
  <c r="I1084" i="45"/>
  <c r="O1083" i="45"/>
  <c r="I1083" i="45"/>
  <c r="O1082" i="45"/>
  <c r="I1082" i="45"/>
  <c r="O1081" i="45"/>
  <c r="I1081" i="45"/>
  <c r="O1080" i="45"/>
  <c r="I1080" i="45"/>
  <c r="O1079" i="45"/>
  <c r="I1079" i="45"/>
  <c r="O1078" i="45"/>
  <c r="I1078" i="45"/>
  <c r="O1077" i="45"/>
  <c r="I1077" i="45"/>
  <c r="O1076" i="45"/>
  <c r="I1076" i="45"/>
  <c r="O1075" i="45"/>
  <c r="I1075" i="45"/>
  <c r="O1074" i="45"/>
  <c r="I1074" i="45"/>
  <c r="O1073" i="45"/>
  <c r="I1073" i="45"/>
  <c r="O1072" i="45"/>
  <c r="I1072" i="45"/>
  <c r="O1071" i="45"/>
  <c r="I1071" i="45"/>
  <c r="O1070" i="45"/>
  <c r="I1070" i="45"/>
  <c r="O1069" i="45"/>
  <c r="I1069" i="45"/>
  <c r="O1068" i="45"/>
  <c r="I1068" i="45"/>
  <c r="O1067" i="45"/>
  <c r="I1067" i="45"/>
  <c r="O1066" i="45"/>
  <c r="I1066" i="45"/>
  <c r="O1065" i="45"/>
  <c r="I1065" i="45"/>
  <c r="O1064" i="45"/>
  <c r="I1064" i="45"/>
  <c r="O1063" i="45"/>
  <c r="I1063" i="45"/>
  <c r="O1062" i="45"/>
  <c r="I1062" i="45"/>
  <c r="O1061" i="45"/>
  <c r="I1061" i="45"/>
  <c r="O1060" i="45"/>
  <c r="I1060" i="45"/>
  <c r="O1059" i="45"/>
  <c r="I1059" i="45"/>
  <c r="O1058" i="45"/>
  <c r="I1058" i="45"/>
  <c r="O1057" i="45"/>
  <c r="I1057" i="45"/>
  <c r="O1056" i="45"/>
  <c r="I1056" i="45"/>
  <c r="O1055" i="45"/>
  <c r="I1055" i="45"/>
  <c r="O1054" i="45"/>
  <c r="I1054" i="45"/>
  <c r="O1053" i="45"/>
  <c r="I1053" i="45"/>
  <c r="O1052" i="45"/>
  <c r="I1052" i="45"/>
  <c r="O1051" i="45"/>
  <c r="I1051" i="45"/>
  <c r="O1050" i="45"/>
  <c r="I1050" i="45"/>
  <c r="O1049" i="45"/>
  <c r="I1049" i="45"/>
  <c r="O1048" i="45"/>
  <c r="I1048" i="45"/>
  <c r="O1047" i="45"/>
  <c r="I1047" i="45"/>
  <c r="O1046" i="45"/>
  <c r="I1046" i="45"/>
  <c r="O1045" i="45"/>
  <c r="I1045" i="45"/>
  <c r="O1044" i="45"/>
  <c r="I1044" i="45"/>
  <c r="O1043" i="45"/>
  <c r="I1043" i="45"/>
  <c r="O1042" i="45"/>
  <c r="I1042" i="45"/>
  <c r="O1041" i="45"/>
  <c r="I1041" i="45"/>
  <c r="O1040" i="45"/>
  <c r="I1040" i="45"/>
  <c r="O1039" i="45"/>
  <c r="I1039" i="45"/>
  <c r="O1038" i="45"/>
  <c r="I1038" i="45"/>
  <c r="O1037" i="45"/>
  <c r="I1037" i="45"/>
  <c r="O1036" i="45"/>
  <c r="I1036" i="45"/>
  <c r="O1035" i="45"/>
  <c r="I1035" i="45"/>
  <c r="O1034" i="45"/>
  <c r="I1034" i="45"/>
  <c r="O1033" i="45"/>
  <c r="I1033" i="45"/>
  <c r="O1032" i="45"/>
  <c r="I1032" i="45"/>
  <c r="O1031" i="45"/>
  <c r="I1031" i="45"/>
  <c r="O1030" i="45"/>
  <c r="I1030" i="45"/>
  <c r="O1029" i="45"/>
  <c r="I1029" i="45"/>
  <c r="O1028" i="45"/>
  <c r="I1028" i="45"/>
  <c r="O1027" i="45"/>
  <c r="I1027" i="45"/>
  <c r="O1026" i="45"/>
  <c r="I1026" i="45"/>
  <c r="O1025" i="45"/>
  <c r="I1025" i="45"/>
  <c r="O1024" i="45"/>
  <c r="I1024" i="45"/>
  <c r="O1023" i="45"/>
  <c r="I1023" i="45"/>
  <c r="O1022" i="45"/>
  <c r="I1022" i="45"/>
  <c r="O1021" i="45"/>
  <c r="I1021" i="45"/>
  <c r="O1020" i="45"/>
  <c r="I1020" i="45"/>
  <c r="O1019" i="45"/>
  <c r="I1019" i="45"/>
  <c r="O1018" i="45"/>
  <c r="I1018" i="45"/>
  <c r="O1017" i="45"/>
  <c r="I1017" i="45"/>
  <c r="O1016" i="45"/>
  <c r="I1016" i="45"/>
  <c r="O1015" i="45"/>
  <c r="I1015" i="45"/>
  <c r="O1014" i="45"/>
  <c r="I1014" i="45"/>
  <c r="O1013" i="45"/>
  <c r="I1013" i="45"/>
  <c r="O1012" i="45"/>
  <c r="I1012" i="45"/>
  <c r="O1011" i="45"/>
  <c r="I1011" i="45"/>
  <c r="O1010" i="45"/>
  <c r="I1010" i="45"/>
  <c r="O1009" i="45"/>
  <c r="I1009" i="45"/>
  <c r="O1008" i="45"/>
  <c r="I1008" i="45"/>
  <c r="O1007" i="45"/>
  <c r="I1007" i="45"/>
  <c r="O1006" i="45"/>
  <c r="I1006" i="45"/>
  <c r="O1005" i="45"/>
  <c r="I1005" i="45"/>
  <c r="O1004" i="45"/>
  <c r="I1004" i="45"/>
  <c r="O1003" i="45"/>
  <c r="I1003" i="45"/>
  <c r="O1002" i="45"/>
  <c r="I1002" i="45"/>
  <c r="O1001" i="45"/>
  <c r="I1001" i="45"/>
  <c r="O1000" i="45"/>
  <c r="I1000" i="45"/>
  <c r="O999" i="45"/>
  <c r="I999" i="45"/>
  <c r="O998" i="45"/>
  <c r="I998" i="45"/>
  <c r="O997" i="45"/>
  <c r="I997" i="45"/>
  <c r="O996" i="45"/>
  <c r="I996" i="45"/>
  <c r="O995" i="45"/>
  <c r="I995" i="45"/>
  <c r="O994" i="45"/>
  <c r="I994" i="45"/>
  <c r="O993" i="45"/>
  <c r="I993" i="45"/>
  <c r="O992" i="45"/>
  <c r="I992" i="45"/>
  <c r="O991" i="45"/>
  <c r="I991" i="45"/>
  <c r="O990" i="45"/>
  <c r="I990" i="45"/>
  <c r="O989" i="45"/>
  <c r="I989" i="45"/>
  <c r="O988" i="45"/>
  <c r="I988" i="45"/>
  <c r="O987" i="45"/>
  <c r="I987" i="45"/>
  <c r="O986" i="45"/>
  <c r="I986" i="45"/>
  <c r="O985" i="45"/>
  <c r="I985" i="45"/>
  <c r="O984" i="45"/>
  <c r="I984" i="45"/>
  <c r="O983" i="45"/>
  <c r="I983" i="45"/>
  <c r="O982" i="45"/>
  <c r="I982" i="45"/>
  <c r="O981" i="45"/>
  <c r="I981" i="45"/>
  <c r="O980" i="45"/>
  <c r="I980" i="45"/>
  <c r="O979" i="45"/>
  <c r="I979" i="45"/>
  <c r="O978" i="45"/>
  <c r="I978" i="45"/>
  <c r="O977" i="45"/>
  <c r="I977" i="45"/>
  <c r="O976" i="45"/>
  <c r="I976" i="45"/>
  <c r="O975" i="45"/>
  <c r="I975" i="45"/>
  <c r="O974" i="45"/>
  <c r="I974" i="45"/>
  <c r="O973" i="45"/>
  <c r="I973" i="45"/>
  <c r="O972" i="45"/>
  <c r="I972" i="45"/>
  <c r="O971" i="45"/>
  <c r="I971" i="45"/>
  <c r="O970" i="45"/>
  <c r="I970" i="45"/>
  <c r="O969" i="45"/>
  <c r="I969" i="45"/>
  <c r="O968" i="45"/>
  <c r="I968" i="45"/>
  <c r="O967" i="45"/>
  <c r="I967" i="45"/>
  <c r="O966" i="45"/>
  <c r="I966" i="45"/>
  <c r="O965" i="45"/>
  <c r="I965" i="45"/>
  <c r="O964" i="45"/>
  <c r="I964" i="45"/>
  <c r="O963" i="45"/>
  <c r="I963" i="45"/>
  <c r="O962" i="45"/>
  <c r="I962" i="45"/>
  <c r="O961" i="45"/>
  <c r="I961" i="45"/>
  <c r="O960" i="45"/>
  <c r="I960" i="45"/>
  <c r="O959" i="45"/>
  <c r="I959" i="45"/>
  <c r="O958" i="45"/>
  <c r="I958" i="45"/>
  <c r="O957" i="45"/>
  <c r="I957" i="45"/>
  <c r="O956" i="45"/>
  <c r="I956" i="45"/>
  <c r="O955" i="45"/>
  <c r="I955" i="45"/>
  <c r="O954" i="45"/>
  <c r="I954" i="45"/>
  <c r="O953" i="45"/>
  <c r="I953" i="45"/>
  <c r="O952" i="45"/>
  <c r="I952" i="45"/>
  <c r="O951" i="45"/>
  <c r="I951" i="45"/>
  <c r="O950" i="45"/>
  <c r="I950" i="45"/>
  <c r="O949" i="45"/>
  <c r="I949" i="45"/>
  <c r="O948" i="45"/>
  <c r="I948" i="45"/>
  <c r="O947" i="45"/>
  <c r="I947" i="45"/>
  <c r="O946" i="45"/>
  <c r="I946" i="45"/>
  <c r="O945" i="45"/>
  <c r="I945" i="45"/>
  <c r="O944" i="45"/>
  <c r="I944" i="45"/>
  <c r="O943" i="45"/>
  <c r="I943" i="45"/>
  <c r="O942" i="45"/>
  <c r="I942" i="45"/>
  <c r="O941" i="45"/>
  <c r="I941" i="45"/>
  <c r="O940" i="45"/>
  <c r="I940" i="45"/>
  <c r="O939" i="45"/>
  <c r="I939" i="45"/>
  <c r="O938" i="45"/>
  <c r="I938" i="45"/>
  <c r="O937" i="45"/>
  <c r="I937" i="45"/>
  <c r="O936" i="45"/>
  <c r="I936" i="45"/>
  <c r="O935" i="45"/>
  <c r="I935" i="45"/>
  <c r="O934" i="45"/>
  <c r="I934" i="45"/>
  <c r="O933" i="45"/>
  <c r="I933" i="45"/>
  <c r="O932" i="45"/>
  <c r="I932" i="45"/>
  <c r="O931" i="45"/>
  <c r="I931" i="45"/>
  <c r="O930" i="45"/>
  <c r="I930" i="45"/>
  <c r="O929" i="45"/>
  <c r="I929" i="45"/>
  <c r="O928" i="45"/>
  <c r="O927" i="45"/>
  <c r="I927" i="45"/>
  <c r="O926" i="45"/>
  <c r="I926" i="45"/>
  <c r="O925" i="45"/>
  <c r="I925" i="45"/>
  <c r="O924" i="45"/>
  <c r="I924" i="45"/>
  <c r="O923" i="45"/>
  <c r="I923" i="45"/>
  <c r="O922" i="45"/>
  <c r="I922" i="45"/>
  <c r="O921" i="45"/>
  <c r="I921" i="45"/>
  <c r="O920" i="45"/>
  <c r="I920" i="45"/>
  <c r="O919" i="45"/>
  <c r="I919" i="45"/>
  <c r="O918" i="45"/>
  <c r="I918" i="45"/>
  <c r="O917" i="45"/>
  <c r="I917" i="45"/>
  <c r="O916" i="45"/>
  <c r="I916" i="45"/>
  <c r="O915" i="45"/>
  <c r="I915" i="45"/>
  <c r="O914" i="45"/>
  <c r="I914" i="45"/>
  <c r="O913" i="45"/>
  <c r="O912" i="45"/>
  <c r="I912" i="45"/>
  <c r="O911" i="45"/>
  <c r="I911" i="45"/>
  <c r="O910" i="45"/>
  <c r="I910" i="45"/>
  <c r="O909" i="45"/>
  <c r="I909" i="45"/>
  <c r="O908" i="45"/>
  <c r="I908" i="45"/>
  <c r="O907" i="45"/>
  <c r="I907" i="45"/>
  <c r="O906" i="45"/>
  <c r="I906" i="45"/>
  <c r="O905" i="45"/>
  <c r="I905" i="45"/>
  <c r="O904" i="45"/>
  <c r="I904" i="45"/>
  <c r="O903" i="45"/>
  <c r="I903" i="45"/>
  <c r="O902" i="45"/>
  <c r="I902" i="45"/>
  <c r="O901" i="45"/>
  <c r="I901" i="45"/>
  <c r="O900" i="45"/>
  <c r="I900" i="45"/>
  <c r="O899" i="45"/>
  <c r="I899" i="45"/>
  <c r="O898" i="45"/>
  <c r="I898" i="45"/>
  <c r="O897" i="45"/>
  <c r="I897" i="45"/>
  <c r="O896" i="45"/>
  <c r="I896" i="45"/>
  <c r="O895" i="45"/>
  <c r="I895" i="45"/>
  <c r="O894" i="45"/>
  <c r="O893" i="45"/>
  <c r="I893" i="45"/>
  <c r="O892" i="45"/>
  <c r="I892" i="45"/>
  <c r="O891" i="45"/>
  <c r="I891" i="45"/>
  <c r="O890" i="45"/>
  <c r="I890" i="45"/>
  <c r="O889" i="45"/>
  <c r="I889" i="45"/>
  <c r="O888" i="45"/>
  <c r="I888" i="45"/>
  <c r="O887" i="45"/>
  <c r="I887" i="45"/>
  <c r="O886" i="45"/>
  <c r="I886" i="45"/>
  <c r="O885" i="45"/>
  <c r="I885" i="45"/>
  <c r="O884" i="45"/>
  <c r="I884" i="45"/>
  <c r="O883" i="45"/>
  <c r="I883" i="45"/>
  <c r="O882" i="45"/>
  <c r="I882" i="45"/>
  <c r="O881" i="45"/>
  <c r="I881" i="45"/>
  <c r="O880" i="45"/>
  <c r="I880" i="45"/>
  <c r="O879" i="45"/>
  <c r="I879" i="45"/>
  <c r="O878" i="45"/>
  <c r="I878" i="45"/>
  <c r="O877" i="45"/>
  <c r="I877" i="45"/>
  <c r="O876" i="45"/>
  <c r="I876" i="45"/>
  <c r="O875" i="45"/>
  <c r="I875" i="45"/>
  <c r="O874" i="45"/>
  <c r="I874" i="45"/>
  <c r="O873" i="45"/>
  <c r="I873" i="45"/>
  <c r="O872" i="45"/>
  <c r="I872" i="45"/>
  <c r="O871" i="45"/>
  <c r="I871" i="45"/>
  <c r="O870" i="45"/>
  <c r="I870" i="45"/>
  <c r="O869" i="45"/>
  <c r="I869" i="45"/>
  <c r="O868" i="45"/>
  <c r="I868" i="45"/>
  <c r="O867" i="45"/>
  <c r="I867" i="45"/>
  <c r="O866" i="45"/>
  <c r="I866" i="45"/>
  <c r="O865" i="45"/>
  <c r="I865" i="45"/>
  <c r="O864" i="45"/>
  <c r="I864" i="45"/>
  <c r="O863" i="45"/>
  <c r="I863" i="45"/>
  <c r="O862" i="45"/>
  <c r="I862" i="45"/>
  <c r="O861" i="45"/>
  <c r="I861" i="45"/>
  <c r="O860" i="45"/>
  <c r="I860" i="45"/>
  <c r="O859" i="45"/>
  <c r="I859" i="45"/>
  <c r="O858" i="45"/>
  <c r="I858" i="45"/>
  <c r="O857" i="45"/>
  <c r="I857" i="45"/>
  <c r="O856" i="45"/>
  <c r="I856" i="45"/>
  <c r="O855" i="45"/>
  <c r="I855" i="45"/>
  <c r="O854" i="45"/>
  <c r="I854" i="45"/>
  <c r="O853" i="45"/>
  <c r="I853" i="45"/>
  <c r="O852" i="45"/>
  <c r="I852" i="45"/>
  <c r="O851" i="45"/>
  <c r="I851" i="45"/>
  <c r="O850" i="45"/>
  <c r="I850" i="45"/>
  <c r="O849" i="45"/>
  <c r="I849" i="45"/>
  <c r="O848" i="45"/>
  <c r="I848" i="45"/>
  <c r="O847" i="45"/>
  <c r="I847" i="45"/>
  <c r="O846" i="45"/>
  <c r="I846" i="45"/>
  <c r="O845" i="45"/>
  <c r="I845" i="45"/>
  <c r="O844" i="45"/>
  <c r="I844" i="45"/>
  <c r="O843" i="45"/>
  <c r="I843" i="45"/>
  <c r="O842" i="45"/>
  <c r="I842" i="45"/>
  <c r="O841" i="45"/>
  <c r="I841" i="45"/>
  <c r="O840" i="45"/>
  <c r="I840" i="45"/>
  <c r="O839" i="45"/>
  <c r="I839" i="45"/>
  <c r="O838" i="45"/>
  <c r="I838" i="45"/>
  <c r="O837" i="45"/>
  <c r="I837" i="45"/>
  <c r="O836" i="45"/>
  <c r="I836" i="45"/>
  <c r="O835" i="45"/>
  <c r="I835" i="45"/>
  <c r="O834" i="45"/>
  <c r="I834" i="45"/>
  <c r="O833" i="45"/>
  <c r="I833" i="45"/>
  <c r="O832" i="45"/>
  <c r="I832" i="45"/>
  <c r="O831" i="45"/>
  <c r="I831" i="45"/>
  <c r="O830" i="45"/>
  <c r="I830" i="45"/>
  <c r="O829" i="45"/>
  <c r="I829" i="45"/>
  <c r="O828" i="45"/>
  <c r="I828" i="45"/>
  <c r="O827" i="45"/>
  <c r="I827" i="45"/>
  <c r="O826" i="45"/>
  <c r="I826" i="45"/>
  <c r="O825" i="45"/>
  <c r="I825" i="45"/>
  <c r="O824" i="45"/>
  <c r="I824" i="45"/>
  <c r="O823" i="45"/>
  <c r="I823" i="45"/>
  <c r="O822" i="45"/>
  <c r="I822" i="45"/>
  <c r="O821" i="45"/>
  <c r="I821" i="45"/>
  <c r="O820" i="45"/>
  <c r="I820" i="45"/>
  <c r="O819" i="45"/>
  <c r="I819" i="45"/>
  <c r="O818" i="45"/>
  <c r="I818" i="45"/>
  <c r="O817" i="45"/>
  <c r="I817" i="45"/>
  <c r="O816" i="45"/>
  <c r="I816" i="45"/>
  <c r="O815" i="45"/>
  <c r="I815" i="45"/>
  <c r="O814" i="45"/>
  <c r="I814" i="45"/>
  <c r="O813" i="45"/>
  <c r="I813" i="45"/>
  <c r="O812" i="45"/>
  <c r="I812" i="45"/>
  <c r="O811" i="45"/>
  <c r="I811" i="45"/>
  <c r="O810" i="45"/>
  <c r="I810" i="45"/>
  <c r="O809" i="45"/>
  <c r="I809" i="45"/>
  <c r="O808" i="45"/>
  <c r="I808" i="45"/>
  <c r="O807" i="45"/>
  <c r="I807" i="45"/>
  <c r="O806" i="45"/>
  <c r="I806" i="45"/>
  <c r="O805" i="45"/>
  <c r="I805" i="45"/>
  <c r="O804" i="45"/>
  <c r="I804" i="45"/>
  <c r="O803" i="45"/>
  <c r="I803" i="45"/>
  <c r="O802" i="45"/>
  <c r="I802" i="45"/>
  <c r="O801" i="45"/>
  <c r="I801" i="45"/>
  <c r="O800" i="45"/>
  <c r="I800" i="45"/>
  <c r="O799" i="45"/>
  <c r="I799" i="45"/>
  <c r="O798" i="45"/>
  <c r="I798" i="45"/>
  <c r="O797" i="45"/>
  <c r="I797" i="45"/>
  <c r="O796" i="45"/>
  <c r="I796" i="45"/>
  <c r="O795" i="45"/>
  <c r="I795" i="45"/>
  <c r="O794" i="45"/>
  <c r="I794" i="45"/>
  <c r="O793" i="45"/>
  <c r="I793" i="45"/>
  <c r="O792" i="45"/>
  <c r="I792" i="45"/>
  <c r="O791" i="45"/>
  <c r="I791" i="45"/>
  <c r="O790" i="45"/>
  <c r="I790" i="45"/>
  <c r="O789" i="45"/>
  <c r="I789" i="45"/>
  <c r="O788" i="45"/>
  <c r="I788" i="45"/>
  <c r="O787" i="45"/>
  <c r="I787" i="45"/>
  <c r="O786" i="45"/>
  <c r="I786" i="45"/>
  <c r="O785" i="45"/>
  <c r="I785" i="45"/>
  <c r="O784" i="45"/>
  <c r="I784" i="45"/>
  <c r="O783" i="45"/>
  <c r="I783" i="45"/>
  <c r="O782" i="45"/>
  <c r="I782" i="45"/>
  <c r="O781" i="45"/>
  <c r="I781" i="45"/>
  <c r="O780" i="45"/>
  <c r="I780" i="45"/>
  <c r="O779" i="45"/>
  <c r="I779" i="45"/>
  <c r="O778" i="45"/>
  <c r="I778" i="45"/>
  <c r="O777" i="45"/>
  <c r="I777" i="45"/>
  <c r="O776" i="45"/>
  <c r="I776" i="45"/>
  <c r="O775" i="45"/>
  <c r="I775" i="45"/>
  <c r="O774" i="45"/>
  <c r="I774" i="45"/>
  <c r="O773" i="45"/>
  <c r="I773" i="45"/>
  <c r="O772" i="45"/>
  <c r="I772" i="45"/>
  <c r="O771" i="45"/>
  <c r="I771" i="45"/>
  <c r="O770" i="45"/>
  <c r="I770" i="45"/>
  <c r="O769" i="45"/>
  <c r="I769" i="45"/>
  <c r="O768" i="45"/>
  <c r="I768" i="45"/>
  <c r="O767" i="45"/>
  <c r="I767" i="45"/>
  <c r="O766" i="45"/>
  <c r="I766" i="45"/>
  <c r="O765" i="45"/>
  <c r="I765" i="45"/>
  <c r="O764" i="45"/>
  <c r="I764" i="45"/>
  <c r="O763" i="45"/>
  <c r="I763" i="45"/>
  <c r="O762" i="45"/>
  <c r="I762" i="45"/>
  <c r="O761" i="45"/>
  <c r="I761" i="45"/>
  <c r="O760" i="45"/>
  <c r="I760" i="45"/>
  <c r="O759" i="45"/>
  <c r="I759" i="45"/>
  <c r="O758" i="45"/>
  <c r="I758" i="45"/>
  <c r="O757" i="45"/>
  <c r="I757" i="45"/>
  <c r="O756" i="45"/>
  <c r="I756" i="45"/>
  <c r="O755" i="45"/>
  <c r="I755" i="45"/>
  <c r="O754" i="45"/>
  <c r="I754" i="45"/>
  <c r="O753" i="45"/>
  <c r="I753" i="45"/>
  <c r="O752" i="45"/>
  <c r="I752" i="45"/>
  <c r="O751" i="45"/>
  <c r="I751" i="45"/>
  <c r="O750" i="45"/>
  <c r="I750" i="45"/>
  <c r="B750" i="45"/>
  <c r="C750" i="45" s="1"/>
  <c r="O749" i="45"/>
  <c r="I749" i="45"/>
  <c r="B749" i="45"/>
  <c r="C749" i="45" s="1"/>
  <c r="O748" i="45"/>
  <c r="I748" i="45"/>
  <c r="B748" i="45"/>
  <c r="C748" i="45" s="1"/>
  <c r="O747" i="45"/>
  <c r="I747" i="45"/>
  <c r="B747" i="45"/>
  <c r="C747" i="45" s="1"/>
  <c r="O746" i="45"/>
  <c r="I746" i="45"/>
  <c r="B746" i="45"/>
  <c r="C746" i="45" s="1"/>
  <c r="O745" i="45"/>
  <c r="I745" i="45"/>
  <c r="B745" i="45"/>
  <c r="C745" i="45" s="1"/>
  <c r="O744" i="45"/>
  <c r="I744" i="45"/>
  <c r="B744" i="45"/>
  <c r="C744" i="45" s="1"/>
  <c r="O743" i="45"/>
  <c r="I743" i="45"/>
  <c r="B743" i="45"/>
  <c r="C743" i="45" s="1"/>
  <c r="O742" i="45"/>
  <c r="I742" i="45"/>
  <c r="B742" i="45"/>
  <c r="C742" i="45" s="1"/>
  <c r="O741" i="45"/>
  <c r="I741" i="45"/>
  <c r="B741" i="45"/>
  <c r="C741" i="45" s="1"/>
  <c r="O740" i="45"/>
  <c r="I740" i="45"/>
  <c r="B740" i="45"/>
  <c r="C740" i="45" s="1"/>
  <c r="O739" i="45"/>
  <c r="I739" i="45"/>
  <c r="B739" i="45"/>
  <c r="C739" i="45" s="1"/>
  <c r="O738" i="45"/>
  <c r="I738" i="45"/>
  <c r="B738" i="45"/>
  <c r="C738" i="45" s="1"/>
  <c r="O737" i="45"/>
  <c r="I737" i="45"/>
  <c r="B737" i="45"/>
  <c r="C737" i="45" s="1"/>
  <c r="O736" i="45"/>
  <c r="I736" i="45"/>
  <c r="B736" i="45"/>
  <c r="C736" i="45" s="1"/>
  <c r="O735" i="45"/>
  <c r="I735" i="45"/>
  <c r="B735" i="45"/>
  <c r="C735" i="45" s="1"/>
  <c r="O734" i="45"/>
  <c r="I734" i="45"/>
  <c r="B734" i="45"/>
  <c r="C734" i="45" s="1"/>
  <c r="O733" i="45"/>
  <c r="I733" i="45"/>
  <c r="B733" i="45"/>
  <c r="C733" i="45" s="1"/>
  <c r="O732" i="45"/>
  <c r="I732" i="45"/>
  <c r="B732" i="45"/>
  <c r="C732" i="45" s="1"/>
  <c r="O731" i="45"/>
  <c r="I731" i="45"/>
  <c r="B731" i="45"/>
  <c r="C731" i="45" s="1"/>
  <c r="O730" i="45"/>
  <c r="I730" i="45"/>
  <c r="B730" i="45"/>
  <c r="C730" i="45" s="1"/>
  <c r="O729" i="45"/>
  <c r="I729" i="45"/>
  <c r="B729" i="45"/>
  <c r="C729" i="45" s="1"/>
  <c r="O728" i="45"/>
  <c r="I728" i="45"/>
  <c r="B728" i="45"/>
  <c r="C728" i="45" s="1"/>
  <c r="O727" i="45"/>
  <c r="I727" i="45"/>
  <c r="B727" i="45"/>
  <c r="C727" i="45" s="1"/>
  <c r="O726" i="45"/>
  <c r="I726" i="45"/>
  <c r="B726" i="45"/>
  <c r="C726" i="45" s="1"/>
  <c r="O725" i="45"/>
  <c r="I725" i="45"/>
  <c r="B725" i="45"/>
  <c r="C725" i="45" s="1"/>
  <c r="O724" i="45"/>
  <c r="I724" i="45"/>
  <c r="B724" i="45"/>
  <c r="C724" i="45" s="1"/>
  <c r="O723" i="45"/>
  <c r="I723" i="45"/>
  <c r="B723" i="45"/>
  <c r="C723" i="45" s="1"/>
  <c r="O722" i="45"/>
  <c r="I722" i="45"/>
  <c r="B722" i="45"/>
  <c r="C722" i="45" s="1"/>
  <c r="O721" i="45"/>
  <c r="I721" i="45"/>
  <c r="B721" i="45"/>
  <c r="C721" i="45" s="1"/>
  <c r="O720" i="45"/>
  <c r="I720" i="45"/>
  <c r="B720" i="45"/>
  <c r="C720" i="45" s="1"/>
  <c r="O719" i="45"/>
  <c r="I719" i="45"/>
  <c r="B719" i="45"/>
  <c r="C719" i="45" s="1"/>
  <c r="O718" i="45"/>
  <c r="I718" i="45"/>
  <c r="B718" i="45"/>
  <c r="C718" i="45" s="1"/>
  <c r="O717" i="45"/>
  <c r="I717" i="45"/>
  <c r="B717" i="45"/>
  <c r="C717" i="45" s="1"/>
  <c r="O716" i="45"/>
  <c r="I716" i="45"/>
  <c r="B716" i="45"/>
  <c r="C716" i="45" s="1"/>
  <c r="O715" i="45"/>
  <c r="I715" i="45"/>
  <c r="B715" i="45"/>
  <c r="C715" i="45" s="1"/>
  <c r="O714" i="45"/>
  <c r="I714" i="45"/>
  <c r="B714" i="45"/>
  <c r="C714" i="45" s="1"/>
  <c r="O713" i="45"/>
  <c r="I713" i="45"/>
  <c r="B713" i="45"/>
  <c r="C713" i="45" s="1"/>
  <c r="O712" i="45"/>
  <c r="I712" i="45"/>
  <c r="B712" i="45"/>
  <c r="C712" i="45" s="1"/>
  <c r="O711" i="45"/>
  <c r="I711" i="45"/>
  <c r="B711" i="45"/>
  <c r="C711" i="45" s="1"/>
  <c r="O710" i="45"/>
  <c r="I710" i="45"/>
  <c r="B710" i="45"/>
  <c r="C710" i="45" s="1"/>
  <c r="O709" i="45"/>
  <c r="I709" i="45"/>
  <c r="B709" i="45"/>
  <c r="C709" i="45" s="1"/>
  <c r="O708" i="45"/>
  <c r="I708" i="45"/>
  <c r="B708" i="45"/>
  <c r="C708" i="45" s="1"/>
  <c r="O707" i="45"/>
  <c r="I707" i="45"/>
  <c r="B707" i="45"/>
  <c r="C707" i="45" s="1"/>
  <c r="O706" i="45"/>
  <c r="I706" i="45"/>
  <c r="B706" i="45"/>
  <c r="C706" i="45" s="1"/>
  <c r="O705" i="45"/>
  <c r="I705" i="45"/>
  <c r="B705" i="45"/>
  <c r="C705" i="45" s="1"/>
  <c r="O704" i="45"/>
  <c r="I704" i="45"/>
  <c r="B704" i="45"/>
  <c r="C704" i="45" s="1"/>
  <c r="O703" i="45"/>
  <c r="I703" i="45"/>
  <c r="B703" i="45"/>
  <c r="C703" i="45" s="1"/>
  <c r="O702" i="45"/>
  <c r="I702" i="45"/>
  <c r="B702" i="45"/>
  <c r="C702" i="45" s="1"/>
  <c r="O701" i="45"/>
  <c r="I701" i="45"/>
  <c r="B701" i="45"/>
  <c r="C701" i="45" s="1"/>
  <c r="O700" i="45"/>
  <c r="I700" i="45"/>
  <c r="B700" i="45"/>
  <c r="C700" i="45" s="1"/>
  <c r="O699" i="45"/>
  <c r="I699" i="45"/>
  <c r="B699" i="45"/>
  <c r="C699" i="45" s="1"/>
  <c r="O698" i="45"/>
  <c r="I698" i="45"/>
  <c r="B698" i="45"/>
  <c r="C698" i="45" s="1"/>
  <c r="O697" i="45"/>
  <c r="I697" i="45"/>
  <c r="B697" i="45"/>
  <c r="C697" i="45" s="1"/>
  <c r="O696" i="45"/>
  <c r="I696" i="45"/>
  <c r="B696" i="45"/>
  <c r="C696" i="45" s="1"/>
  <c r="O695" i="45"/>
  <c r="I695" i="45"/>
  <c r="B695" i="45"/>
  <c r="C695" i="45" s="1"/>
  <c r="O694" i="45"/>
  <c r="I694" i="45"/>
  <c r="B694" i="45"/>
  <c r="C694" i="45" s="1"/>
  <c r="O693" i="45"/>
  <c r="I693" i="45"/>
  <c r="B693" i="45"/>
  <c r="C693" i="45" s="1"/>
  <c r="O692" i="45"/>
  <c r="I692" i="45"/>
  <c r="B692" i="45"/>
  <c r="C692" i="45" s="1"/>
  <c r="O691" i="45"/>
  <c r="I691" i="45"/>
  <c r="B691" i="45"/>
  <c r="C691" i="45" s="1"/>
  <c r="O690" i="45"/>
  <c r="I690" i="45"/>
  <c r="B690" i="45"/>
  <c r="C690" i="45" s="1"/>
  <c r="O689" i="45"/>
  <c r="I689" i="45"/>
  <c r="B689" i="45"/>
  <c r="C689" i="45" s="1"/>
  <c r="O688" i="45"/>
  <c r="I688" i="45"/>
  <c r="B688" i="45"/>
  <c r="C688" i="45" s="1"/>
  <c r="O687" i="45"/>
  <c r="I687" i="45"/>
  <c r="B687" i="45"/>
  <c r="C687" i="45" s="1"/>
  <c r="O686" i="45"/>
  <c r="I686" i="45"/>
  <c r="B686" i="45"/>
  <c r="C686" i="45" s="1"/>
  <c r="O685" i="45"/>
  <c r="I685" i="45"/>
  <c r="B685" i="45"/>
  <c r="C685" i="45" s="1"/>
  <c r="O684" i="45"/>
  <c r="I684" i="45"/>
  <c r="B684" i="45"/>
  <c r="C684" i="45" s="1"/>
  <c r="O683" i="45"/>
  <c r="I683" i="45"/>
  <c r="B683" i="45"/>
  <c r="C683" i="45" s="1"/>
  <c r="O682" i="45"/>
  <c r="I682" i="45"/>
  <c r="B682" i="45"/>
  <c r="C682" i="45" s="1"/>
  <c r="O681" i="45"/>
  <c r="I681" i="45"/>
  <c r="B681" i="45"/>
  <c r="C681" i="45" s="1"/>
  <c r="O680" i="45"/>
  <c r="I680" i="45"/>
  <c r="B680" i="45"/>
  <c r="C680" i="45" s="1"/>
  <c r="O679" i="45"/>
  <c r="I679" i="45"/>
  <c r="B679" i="45"/>
  <c r="C679" i="45" s="1"/>
  <c r="O678" i="45"/>
  <c r="I678" i="45"/>
  <c r="B678" i="45"/>
  <c r="C678" i="45" s="1"/>
  <c r="O677" i="45"/>
  <c r="I677" i="45"/>
  <c r="B677" i="45"/>
  <c r="C677" i="45" s="1"/>
  <c r="O676" i="45"/>
  <c r="I676" i="45"/>
  <c r="B676" i="45"/>
  <c r="C676" i="45" s="1"/>
  <c r="O675" i="45"/>
  <c r="I675" i="45"/>
  <c r="B675" i="45"/>
  <c r="C675" i="45" s="1"/>
  <c r="O674" i="45"/>
  <c r="I674" i="45"/>
  <c r="B674" i="45"/>
  <c r="C674" i="45" s="1"/>
  <c r="O673" i="45"/>
  <c r="I673" i="45"/>
  <c r="B673" i="45"/>
  <c r="C673" i="45" s="1"/>
  <c r="O672" i="45"/>
  <c r="I672" i="45"/>
  <c r="B672" i="45"/>
  <c r="C672" i="45" s="1"/>
  <c r="O671" i="45"/>
  <c r="I671" i="45"/>
  <c r="B671" i="45"/>
  <c r="C671" i="45" s="1"/>
  <c r="O670" i="45"/>
  <c r="I670" i="45"/>
  <c r="B670" i="45"/>
  <c r="C670" i="45" s="1"/>
  <c r="O669" i="45"/>
  <c r="I669" i="45"/>
  <c r="B669" i="45"/>
  <c r="C669" i="45" s="1"/>
  <c r="O668" i="45"/>
  <c r="I668" i="45"/>
  <c r="B668" i="45"/>
  <c r="C668" i="45" s="1"/>
  <c r="O667" i="45"/>
  <c r="I667" i="45"/>
  <c r="B667" i="45"/>
  <c r="C667" i="45" s="1"/>
  <c r="O666" i="45"/>
  <c r="I666" i="45"/>
  <c r="B666" i="45"/>
  <c r="C666" i="45" s="1"/>
  <c r="O665" i="45"/>
  <c r="I665" i="45"/>
  <c r="B665" i="45"/>
  <c r="C665" i="45" s="1"/>
  <c r="O664" i="45"/>
  <c r="I664" i="45"/>
  <c r="B664" i="45"/>
  <c r="C664" i="45" s="1"/>
  <c r="O663" i="45"/>
  <c r="I663" i="45"/>
  <c r="B663" i="45"/>
  <c r="C663" i="45" s="1"/>
  <c r="O662" i="45"/>
  <c r="I662" i="45"/>
  <c r="B662" i="45"/>
  <c r="C662" i="45" s="1"/>
  <c r="O661" i="45"/>
  <c r="I661" i="45"/>
  <c r="B661" i="45"/>
  <c r="C661" i="45" s="1"/>
  <c r="O660" i="45"/>
  <c r="I660" i="45"/>
  <c r="B660" i="45"/>
  <c r="C660" i="45" s="1"/>
  <c r="O659" i="45"/>
  <c r="I659" i="45"/>
  <c r="B659" i="45"/>
  <c r="C659" i="45" s="1"/>
  <c r="O658" i="45"/>
  <c r="I658" i="45"/>
  <c r="B658" i="45"/>
  <c r="C658" i="45" s="1"/>
  <c r="O657" i="45"/>
  <c r="I657" i="45"/>
  <c r="B657" i="45"/>
  <c r="C657" i="45" s="1"/>
  <c r="O656" i="45"/>
  <c r="I656" i="45"/>
  <c r="B656" i="45"/>
  <c r="C656" i="45" s="1"/>
  <c r="O655" i="45"/>
  <c r="I655" i="45"/>
  <c r="B655" i="45"/>
  <c r="C655" i="45" s="1"/>
  <c r="O654" i="45"/>
  <c r="I654" i="45"/>
  <c r="B654" i="45"/>
  <c r="C654" i="45" s="1"/>
  <c r="O653" i="45"/>
  <c r="I653" i="45"/>
  <c r="B653" i="45"/>
  <c r="C653" i="45" s="1"/>
  <c r="O652" i="45"/>
  <c r="I652" i="45"/>
  <c r="B652" i="45"/>
  <c r="C652" i="45" s="1"/>
  <c r="O651" i="45"/>
  <c r="I651" i="45"/>
  <c r="B651" i="45"/>
  <c r="C651" i="45" s="1"/>
  <c r="O650" i="45"/>
  <c r="I650" i="45"/>
  <c r="B650" i="45"/>
  <c r="C650" i="45" s="1"/>
  <c r="O649" i="45"/>
  <c r="I649" i="45"/>
  <c r="B649" i="45"/>
  <c r="C649" i="45" s="1"/>
  <c r="O648" i="45"/>
  <c r="I648" i="45"/>
  <c r="B648" i="45"/>
  <c r="C648" i="45" s="1"/>
  <c r="O647" i="45"/>
  <c r="I647" i="45"/>
  <c r="B647" i="45"/>
  <c r="C647" i="45" s="1"/>
  <c r="O646" i="45"/>
  <c r="I646" i="45"/>
  <c r="B646" i="45"/>
  <c r="C646" i="45" s="1"/>
  <c r="O645" i="45"/>
  <c r="I645" i="45"/>
  <c r="B645" i="45"/>
  <c r="C645" i="45" s="1"/>
  <c r="O644" i="45"/>
  <c r="I644" i="45"/>
  <c r="B644" i="45"/>
  <c r="C644" i="45" s="1"/>
  <c r="O643" i="45"/>
  <c r="I643" i="45"/>
  <c r="B643" i="45"/>
  <c r="C643" i="45" s="1"/>
  <c r="O642" i="45"/>
  <c r="I642" i="45"/>
  <c r="B642" i="45"/>
  <c r="C642" i="45" s="1"/>
  <c r="O641" i="45"/>
  <c r="I641" i="45"/>
  <c r="B641" i="45"/>
  <c r="C641" i="45" s="1"/>
  <c r="O640" i="45"/>
  <c r="I640" i="45"/>
  <c r="B640" i="45"/>
  <c r="C640" i="45" s="1"/>
  <c r="O639" i="45"/>
  <c r="I639" i="45"/>
  <c r="B639" i="45"/>
  <c r="C639" i="45" s="1"/>
  <c r="O638" i="45"/>
  <c r="I638" i="45"/>
  <c r="B638" i="45"/>
  <c r="C638" i="45" s="1"/>
  <c r="O637" i="45"/>
  <c r="I637" i="45"/>
  <c r="B637" i="45"/>
  <c r="C637" i="45" s="1"/>
  <c r="O636" i="45"/>
  <c r="I636" i="45"/>
  <c r="B636" i="45"/>
  <c r="C636" i="45" s="1"/>
  <c r="O635" i="45"/>
  <c r="I635" i="45"/>
  <c r="B635" i="45"/>
  <c r="C635" i="45" s="1"/>
  <c r="O634" i="45"/>
  <c r="I634" i="45"/>
  <c r="B634" i="45"/>
  <c r="C634" i="45" s="1"/>
  <c r="O633" i="45"/>
  <c r="I633" i="45"/>
  <c r="B633" i="45"/>
  <c r="C633" i="45" s="1"/>
  <c r="O632" i="45"/>
  <c r="I632" i="45"/>
  <c r="B632" i="45"/>
  <c r="C632" i="45" s="1"/>
  <c r="O631" i="45"/>
  <c r="I631" i="45"/>
  <c r="B631" i="45"/>
  <c r="C631" i="45" s="1"/>
  <c r="O630" i="45"/>
  <c r="I630" i="45"/>
  <c r="B630" i="45"/>
  <c r="C630" i="45" s="1"/>
  <c r="O629" i="45"/>
  <c r="I629" i="45"/>
  <c r="B629" i="45"/>
  <c r="C629" i="45" s="1"/>
  <c r="O628" i="45"/>
  <c r="I628" i="45"/>
  <c r="B628" i="45"/>
  <c r="C628" i="45" s="1"/>
  <c r="O627" i="45"/>
  <c r="I627" i="45"/>
  <c r="B627" i="45"/>
  <c r="C627" i="45" s="1"/>
  <c r="O626" i="45"/>
  <c r="I626" i="45"/>
  <c r="B626" i="45"/>
  <c r="C626" i="45" s="1"/>
  <c r="O625" i="45"/>
  <c r="I625" i="45"/>
  <c r="B625" i="45"/>
  <c r="C625" i="45" s="1"/>
  <c r="O624" i="45"/>
  <c r="I624" i="45"/>
  <c r="B624" i="45"/>
  <c r="C624" i="45" s="1"/>
  <c r="O623" i="45"/>
  <c r="I623" i="45"/>
  <c r="B623" i="45"/>
  <c r="C623" i="45" s="1"/>
  <c r="O622" i="45"/>
  <c r="I622" i="45"/>
  <c r="B622" i="45"/>
  <c r="C622" i="45" s="1"/>
  <c r="O621" i="45"/>
  <c r="I621" i="45"/>
  <c r="B621" i="45"/>
  <c r="C621" i="45" s="1"/>
  <c r="O620" i="45"/>
  <c r="I620" i="45"/>
  <c r="B620" i="45"/>
  <c r="C620" i="45" s="1"/>
  <c r="O619" i="45"/>
  <c r="I619" i="45"/>
  <c r="B619" i="45"/>
  <c r="C619" i="45" s="1"/>
  <c r="O618" i="45"/>
  <c r="I618" i="45"/>
  <c r="B618" i="45"/>
  <c r="C618" i="45" s="1"/>
  <c r="O617" i="45"/>
  <c r="I617" i="45"/>
  <c r="B617" i="45"/>
  <c r="C617" i="45" s="1"/>
  <c r="O616" i="45"/>
  <c r="I616" i="45"/>
  <c r="B616" i="45"/>
  <c r="C616" i="45" s="1"/>
  <c r="O615" i="45"/>
  <c r="I615" i="45"/>
  <c r="B615" i="45"/>
  <c r="C615" i="45" s="1"/>
  <c r="O614" i="45"/>
  <c r="I614" i="45"/>
  <c r="B614" i="45"/>
  <c r="C614" i="45" s="1"/>
  <c r="O613" i="45"/>
  <c r="I613" i="45"/>
  <c r="B613" i="45"/>
  <c r="C613" i="45" s="1"/>
  <c r="O612" i="45"/>
  <c r="I612" i="45"/>
  <c r="B612" i="45"/>
  <c r="C612" i="45" s="1"/>
  <c r="O611" i="45"/>
  <c r="I611" i="45"/>
  <c r="B611" i="45"/>
  <c r="C611" i="45" s="1"/>
  <c r="O610" i="45"/>
  <c r="I610" i="45"/>
  <c r="B610" i="45"/>
  <c r="C610" i="45" s="1"/>
  <c r="O609" i="45"/>
  <c r="I609" i="45"/>
  <c r="B609" i="45"/>
  <c r="C609" i="45" s="1"/>
  <c r="O608" i="45"/>
  <c r="I608" i="45"/>
  <c r="B608" i="45"/>
  <c r="C608" i="45" s="1"/>
  <c r="O607" i="45"/>
  <c r="I607" i="45"/>
  <c r="B607" i="45"/>
  <c r="C607" i="45" s="1"/>
  <c r="O606" i="45"/>
  <c r="I606" i="45"/>
  <c r="B606" i="45"/>
  <c r="C606" i="45" s="1"/>
  <c r="O605" i="45"/>
  <c r="I605" i="45"/>
  <c r="B605" i="45"/>
  <c r="C605" i="45" s="1"/>
  <c r="O604" i="45"/>
  <c r="I604" i="45"/>
  <c r="B604" i="45"/>
  <c r="C604" i="45" s="1"/>
  <c r="O603" i="45"/>
  <c r="I603" i="45"/>
  <c r="B603" i="45"/>
  <c r="C603" i="45" s="1"/>
  <c r="O602" i="45"/>
  <c r="I602" i="45"/>
  <c r="B602" i="45"/>
  <c r="C602" i="45" s="1"/>
  <c r="O601" i="45"/>
  <c r="I601" i="45"/>
  <c r="B601" i="45"/>
  <c r="C601" i="45" s="1"/>
  <c r="O600" i="45"/>
  <c r="I600" i="45"/>
  <c r="B600" i="45"/>
  <c r="C600" i="45" s="1"/>
  <c r="O599" i="45"/>
  <c r="I599" i="45"/>
  <c r="B599" i="45"/>
  <c r="C599" i="45" s="1"/>
  <c r="O598" i="45"/>
  <c r="I598" i="45"/>
  <c r="B598" i="45"/>
  <c r="C598" i="45" s="1"/>
  <c r="O597" i="45"/>
  <c r="I597" i="45"/>
  <c r="B597" i="45"/>
  <c r="C597" i="45" s="1"/>
  <c r="O596" i="45"/>
  <c r="I596" i="45"/>
  <c r="B596" i="45"/>
  <c r="C596" i="45" s="1"/>
  <c r="O595" i="45"/>
  <c r="I595" i="45"/>
  <c r="B595" i="45"/>
  <c r="C595" i="45" s="1"/>
  <c r="O594" i="45"/>
  <c r="I594" i="45"/>
  <c r="B594" i="45"/>
  <c r="C594" i="45" s="1"/>
  <c r="O593" i="45"/>
  <c r="I593" i="45"/>
  <c r="B593" i="45"/>
  <c r="C593" i="45" s="1"/>
  <c r="O592" i="45"/>
  <c r="I592" i="45"/>
  <c r="B592" i="45"/>
  <c r="C592" i="45" s="1"/>
  <c r="O591" i="45"/>
  <c r="I591" i="45"/>
  <c r="B591" i="45"/>
  <c r="C591" i="45" s="1"/>
  <c r="O590" i="45"/>
  <c r="I590" i="45"/>
  <c r="B590" i="45"/>
  <c r="C590" i="45" s="1"/>
  <c r="O589" i="45"/>
  <c r="I589" i="45"/>
  <c r="B589" i="45"/>
  <c r="C589" i="45" s="1"/>
  <c r="O588" i="45"/>
  <c r="I588" i="45"/>
  <c r="B588" i="45"/>
  <c r="C588" i="45" s="1"/>
  <c r="O587" i="45"/>
  <c r="I587" i="45"/>
  <c r="B587" i="45"/>
  <c r="C587" i="45" s="1"/>
  <c r="O586" i="45"/>
  <c r="I586" i="45"/>
  <c r="B586" i="45"/>
  <c r="C586" i="45" s="1"/>
  <c r="O585" i="45"/>
  <c r="I585" i="45"/>
  <c r="B585" i="45"/>
  <c r="C585" i="45" s="1"/>
  <c r="O584" i="45"/>
  <c r="I584" i="45"/>
  <c r="B584" i="45"/>
  <c r="C584" i="45" s="1"/>
  <c r="O583" i="45"/>
  <c r="I583" i="45"/>
  <c r="B583" i="45"/>
  <c r="C583" i="45" s="1"/>
  <c r="O582" i="45"/>
  <c r="I582" i="45"/>
  <c r="B582" i="45"/>
  <c r="C582" i="45" s="1"/>
  <c r="O581" i="45"/>
  <c r="I581" i="45"/>
  <c r="B581" i="45"/>
  <c r="C581" i="45" s="1"/>
  <c r="O580" i="45"/>
  <c r="I580" i="45"/>
  <c r="B580" i="45"/>
  <c r="C580" i="45" s="1"/>
  <c r="O579" i="45"/>
  <c r="I579" i="45"/>
  <c r="B579" i="45"/>
  <c r="C579" i="45" s="1"/>
  <c r="O578" i="45"/>
  <c r="I578" i="45"/>
  <c r="B578" i="45"/>
  <c r="C578" i="45" s="1"/>
  <c r="O577" i="45"/>
  <c r="I577" i="45"/>
  <c r="B577" i="45"/>
  <c r="C577" i="45" s="1"/>
  <c r="O576" i="45"/>
  <c r="I576" i="45"/>
  <c r="B576" i="45"/>
  <c r="C576" i="45" s="1"/>
  <c r="O575" i="45"/>
  <c r="I575" i="45"/>
  <c r="B575" i="45"/>
  <c r="C575" i="45" s="1"/>
  <c r="O574" i="45"/>
  <c r="I574" i="45"/>
  <c r="B574" i="45"/>
  <c r="C574" i="45" s="1"/>
  <c r="O573" i="45"/>
  <c r="I573" i="45"/>
  <c r="B573" i="45"/>
  <c r="C573" i="45" s="1"/>
  <c r="O572" i="45"/>
  <c r="I572" i="45"/>
  <c r="B572" i="45"/>
  <c r="C572" i="45" s="1"/>
  <c r="O571" i="45"/>
  <c r="I571" i="45"/>
  <c r="B571" i="45"/>
  <c r="C571" i="45" s="1"/>
  <c r="O570" i="45"/>
  <c r="I570" i="45"/>
  <c r="B570" i="45"/>
  <c r="C570" i="45" s="1"/>
  <c r="O569" i="45"/>
  <c r="I569" i="45"/>
  <c r="B569" i="45"/>
  <c r="C569" i="45" s="1"/>
  <c r="O568" i="45"/>
  <c r="I568" i="45"/>
  <c r="B568" i="45"/>
  <c r="C568" i="45" s="1"/>
  <c r="O567" i="45"/>
  <c r="I567" i="45"/>
  <c r="B567" i="45"/>
  <c r="C567" i="45" s="1"/>
  <c r="O566" i="45"/>
  <c r="I566" i="45"/>
  <c r="B566" i="45"/>
  <c r="C566" i="45" s="1"/>
  <c r="O565" i="45"/>
  <c r="I565" i="45"/>
  <c r="B565" i="45"/>
  <c r="C565" i="45" s="1"/>
  <c r="O564" i="45"/>
  <c r="I564" i="45"/>
  <c r="B564" i="45"/>
  <c r="C564" i="45" s="1"/>
  <c r="O563" i="45"/>
  <c r="I563" i="45"/>
  <c r="B563" i="45"/>
  <c r="C563" i="45" s="1"/>
  <c r="O562" i="45"/>
  <c r="I562" i="45"/>
  <c r="B562" i="45"/>
  <c r="C562" i="45" s="1"/>
  <c r="O561" i="45"/>
  <c r="I561" i="45"/>
  <c r="B561" i="45"/>
  <c r="C561" i="45" s="1"/>
  <c r="O560" i="45"/>
  <c r="I560" i="45"/>
  <c r="B560" i="45"/>
  <c r="C560" i="45" s="1"/>
  <c r="O559" i="45"/>
  <c r="I559" i="45"/>
  <c r="B559" i="45"/>
  <c r="C559" i="45" s="1"/>
  <c r="O558" i="45"/>
  <c r="I558" i="45"/>
  <c r="B558" i="45"/>
  <c r="C558" i="45" s="1"/>
  <c r="O557" i="45"/>
  <c r="I557" i="45"/>
  <c r="B557" i="45"/>
  <c r="C557" i="45" s="1"/>
  <c r="O556" i="45"/>
  <c r="I556" i="45"/>
  <c r="B556" i="45"/>
  <c r="C556" i="45" s="1"/>
  <c r="O555" i="45"/>
  <c r="I555" i="45"/>
  <c r="B555" i="45"/>
  <c r="C555" i="45" s="1"/>
  <c r="O554" i="45"/>
  <c r="I554" i="45"/>
  <c r="B554" i="45"/>
  <c r="C554" i="45" s="1"/>
  <c r="O553" i="45"/>
  <c r="I553" i="45"/>
  <c r="B553" i="45"/>
  <c r="C553" i="45" s="1"/>
  <c r="O552" i="45"/>
  <c r="I552" i="45"/>
  <c r="B552" i="45"/>
  <c r="C552" i="45" s="1"/>
  <c r="O551" i="45"/>
  <c r="I551" i="45"/>
  <c r="B551" i="45"/>
  <c r="C551" i="45" s="1"/>
  <c r="O550" i="45"/>
  <c r="I550" i="45"/>
  <c r="B550" i="45"/>
  <c r="C550" i="45" s="1"/>
  <c r="O549" i="45"/>
  <c r="I549" i="45"/>
  <c r="B549" i="45"/>
  <c r="C549" i="45" s="1"/>
  <c r="O548" i="45"/>
  <c r="I548" i="45"/>
  <c r="B548" i="45"/>
  <c r="C548" i="45" s="1"/>
  <c r="O547" i="45"/>
  <c r="I547" i="45"/>
  <c r="B547" i="45"/>
  <c r="C547" i="45" s="1"/>
  <c r="O546" i="45"/>
  <c r="I546" i="45"/>
  <c r="B546" i="45"/>
  <c r="C546" i="45" s="1"/>
  <c r="O545" i="45"/>
  <c r="I545" i="45"/>
  <c r="B545" i="45"/>
  <c r="C545" i="45" s="1"/>
  <c r="O544" i="45"/>
  <c r="I544" i="45"/>
  <c r="B544" i="45"/>
  <c r="C544" i="45" s="1"/>
  <c r="O543" i="45"/>
  <c r="I543" i="45"/>
  <c r="B543" i="45"/>
  <c r="C543" i="45" s="1"/>
  <c r="O542" i="45"/>
  <c r="I542" i="45"/>
  <c r="B542" i="45"/>
  <c r="C542" i="45" s="1"/>
  <c r="O541" i="45"/>
  <c r="I541" i="45"/>
  <c r="B541" i="45"/>
  <c r="C541" i="45" s="1"/>
  <c r="O540" i="45"/>
  <c r="I540" i="45"/>
  <c r="B540" i="45"/>
  <c r="C540" i="45" s="1"/>
  <c r="O539" i="45"/>
  <c r="I539" i="45"/>
  <c r="B539" i="45"/>
  <c r="C539" i="45" s="1"/>
  <c r="O538" i="45"/>
  <c r="I538" i="45"/>
  <c r="B538" i="45"/>
  <c r="C538" i="45" s="1"/>
  <c r="O537" i="45"/>
  <c r="I537" i="45"/>
  <c r="B537" i="45"/>
  <c r="C537" i="45" s="1"/>
  <c r="O536" i="45"/>
  <c r="I536" i="45"/>
  <c r="B536" i="45"/>
  <c r="C536" i="45" s="1"/>
  <c r="O535" i="45"/>
  <c r="I535" i="45"/>
  <c r="B535" i="45"/>
  <c r="C535" i="45" s="1"/>
  <c r="O534" i="45"/>
  <c r="I534" i="45"/>
  <c r="B534" i="45"/>
  <c r="C534" i="45" s="1"/>
  <c r="O533" i="45"/>
  <c r="I533" i="45"/>
  <c r="B533" i="45"/>
  <c r="C533" i="45" s="1"/>
  <c r="O532" i="45"/>
  <c r="I532" i="45"/>
  <c r="B532" i="45"/>
  <c r="C532" i="45" s="1"/>
  <c r="O531" i="45"/>
  <c r="I531" i="45"/>
  <c r="B531" i="45"/>
  <c r="C531" i="45" s="1"/>
  <c r="O530" i="45"/>
  <c r="I530" i="45"/>
  <c r="B530" i="45"/>
  <c r="C530" i="45" s="1"/>
  <c r="O529" i="45"/>
  <c r="I529" i="45"/>
  <c r="B529" i="45"/>
  <c r="C529" i="45" s="1"/>
  <c r="O528" i="45"/>
  <c r="I528" i="45"/>
  <c r="B528" i="45"/>
  <c r="C528" i="45" s="1"/>
  <c r="O527" i="45"/>
  <c r="I527" i="45"/>
  <c r="B527" i="45"/>
  <c r="C527" i="45" s="1"/>
  <c r="O526" i="45"/>
  <c r="I526" i="45"/>
  <c r="B526" i="45"/>
  <c r="C526" i="45" s="1"/>
  <c r="O525" i="45"/>
  <c r="I525" i="45"/>
  <c r="B525" i="45"/>
  <c r="C525" i="45" s="1"/>
  <c r="O524" i="45"/>
  <c r="I524" i="45"/>
  <c r="B524" i="45"/>
  <c r="C524" i="45" s="1"/>
  <c r="O523" i="45"/>
  <c r="I523" i="45"/>
  <c r="B523" i="45"/>
  <c r="C523" i="45" s="1"/>
  <c r="O522" i="45"/>
  <c r="I522" i="45"/>
  <c r="B522" i="45"/>
  <c r="C522" i="45" s="1"/>
  <c r="O521" i="45"/>
  <c r="I521" i="45"/>
  <c r="B521" i="45"/>
  <c r="C521" i="45" s="1"/>
  <c r="O520" i="45"/>
  <c r="I520" i="45"/>
  <c r="B520" i="45"/>
  <c r="C520" i="45" s="1"/>
  <c r="O519" i="45"/>
  <c r="I519" i="45"/>
  <c r="B519" i="45"/>
  <c r="C519" i="45" s="1"/>
  <c r="O518" i="45"/>
  <c r="I518" i="45"/>
  <c r="B518" i="45"/>
  <c r="C518" i="45" s="1"/>
  <c r="O517" i="45"/>
  <c r="I517" i="45"/>
  <c r="B517" i="45"/>
  <c r="C517" i="45" s="1"/>
  <c r="O516" i="45"/>
  <c r="I516" i="45"/>
  <c r="B516" i="45"/>
  <c r="C516" i="45" s="1"/>
  <c r="O515" i="45"/>
  <c r="I515" i="45"/>
  <c r="B515" i="45"/>
  <c r="C515" i="45" s="1"/>
  <c r="O514" i="45"/>
  <c r="I514" i="45"/>
  <c r="B514" i="45"/>
  <c r="C514" i="45" s="1"/>
  <c r="O513" i="45"/>
  <c r="I513" i="45"/>
  <c r="B513" i="45"/>
  <c r="C513" i="45" s="1"/>
  <c r="O512" i="45"/>
  <c r="I512" i="45"/>
  <c r="B512" i="45"/>
  <c r="C512" i="45" s="1"/>
  <c r="O511" i="45"/>
  <c r="I511" i="45"/>
  <c r="B511" i="45"/>
  <c r="C511" i="45" s="1"/>
  <c r="O510" i="45"/>
  <c r="I510" i="45"/>
  <c r="B510" i="45"/>
  <c r="C510" i="45" s="1"/>
  <c r="O509" i="45"/>
  <c r="I509" i="45"/>
  <c r="B509" i="45"/>
  <c r="C509" i="45" s="1"/>
  <c r="O508" i="45"/>
  <c r="I508" i="45"/>
  <c r="B508" i="45"/>
  <c r="C508" i="45" s="1"/>
  <c r="O507" i="45"/>
  <c r="I507" i="45"/>
  <c r="B507" i="45"/>
  <c r="C507" i="45" s="1"/>
  <c r="O506" i="45"/>
  <c r="I506" i="45"/>
  <c r="B506" i="45"/>
  <c r="C506" i="45" s="1"/>
  <c r="O505" i="45"/>
  <c r="I505" i="45"/>
  <c r="B505" i="45"/>
  <c r="C505" i="45" s="1"/>
  <c r="O504" i="45"/>
  <c r="I504" i="45"/>
  <c r="B504" i="45"/>
  <c r="C504" i="45" s="1"/>
  <c r="O503" i="45"/>
  <c r="I503" i="45"/>
  <c r="B503" i="45"/>
  <c r="C503" i="45" s="1"/>
  <c r="O502" i="45"/>
  <c r="I502" i="45"/>
  <c r="B502" i="45"/>
  <c r="C502" i="45" s="1"/>
  <c r="O501" i="45"/>
  <c r="I501" i="45"/>
  <c r="B501" i="45"/>
  <c r="C501" i="45" s="1"/>
  <c r="O500" i="45"/>
  <c r="I500" i="45"/>
  <c r="B500" i="45"/>
  <c r="C500" i="45" s="1"/>
  <c r="O499" i="45"/>
  <c r="I499" i="45"/>
  <c r="B499" i="45"/>
  <c r="C499" i="45" s="1"/>
  <c r="O498" i="45"/>
  <c r="I498" i="45"/>
  <c r="B498" i="45"/>
  <c r="C498" i="45" s="1"/>
  <c r="O497" i="45"/>
  <c r="I497" i="45"/>
  <c r="B497" i="45"/>
  <c r="C497" i="45" s="1"/>
  <c r="O496" i="45"/>
  <c r="I496" i="45"/>
  <c r="B496" i="45"/>
  <c r="C496" i="45" s="1"/>
  <c r="O495" i="45"/>
  <c r="I495" i="45"/>
  <c r="B495" i="45"/>
  <c r="C495" i="45" s="1"/>
  <c r="O494" i="45"/>
  <c r="I494" i="45"/>
  <c r="B494" i="45"/>
  <c r="C494" i="45" s="1"/>
  <c r="O493" i="45"/>
  <c r="I493" i="45"/>
  <c r="B493" i="45"/>
  <c r="C493" i="45" s="1"/>
  <c r="O492" i="45"/>
  <c r="I492" i="45"/>
  <c r="B492" i="45"/>
  <c r="C492" i="45" s="1"/>
  <c r="O491" i="45"/>
  <c r="I491" i="45"/>
  <c r="B491" i="45"/>
  <c r="C491" i="45" s="1"/>
  <c r="O490" i="45"/>
  <c r="I490" i="45"/>
  <c r="B490" i="45"/>
  <c r="C490" i="45" s="1"/>
  <c r="O489" i="45"/>
  <c r="I489" i="45"/>
  <c r="B489" i="45"/>
  <c r="C489" i="45" s="1"/>
  <c r="O488" i="45"/>
  <c r="I488" i="45"/>
  <c r="B488" i="45"/>
  <c r="C488" i="45" s="1"/>
  <c r="O487" i="45"/>
  <c r="I487" i="45"/>
  <c r="B487" i="45"/>
  <c r="C487" i="45" s="1"/>
  <c r="O486" i="45"/>
  <c r="I486" i="45"/>
  <c r="B486" i="45"/>
  <c r="C486" i="45" s="1"/>
  <c r="O485" i="45"/>
  <c r="I485" i="45"/>
  <c r="B485" i="45"/>
  <c r="C485" i="45" s="1"/>
  <c r="O484" i="45"/>
  <c r="I484" i="45"/>
  <c r="B484" i="45"/>
  <c r="C484" i="45" s="1"/>
  <c r="O483" i="45"/>
  <c r="I483" i="45"/>
  <c r="B483" i="45"/>
  <c r="C483" i="45" s="1"/>
  <c r="O482" i="45"/>
  <c r="I482" i="45"/>
  <c r="B482" i="45"/>
  <c r="C482" i="45" s="1"/>
  <c r="O481" i="45"/>
  <c r="I481" i="45"/>
  <c r="B481" i="45"/>
  <c r="C481" i="45" s="1"/>
  <c r="O480" i="45"/>
  <c r="I480" i="45"/>
  <c r="B480" i="45"/>
  <c r="C480" i="45" s="1"/>
  <c r="O479" i="45"/>
  <c r="I479" i="45"/>
  <c r="B479" i="45"/>
  <c r="C479" i="45" s="1"/>
  <c r="O478" i="45"/>
  <c r="I478" i="45"/>
  <c r="B478" i="45"/>
  <c r="C478" i="45" s="1"/>
  <c r="O477" i="45"/>
  <c r="I477" i="45"/>
  <c r="B477" i="45"/>
  <c r="C477" i="45" s="1"/>
  <c r="O476" i="45"/>
  <c r="I476" i="45"/>
  <c r="B476" i="45"/>
  <c r="C476" i="45" s="1"/>
  <c r="O475" i="45"/>
  <c r="I475" i="45"/>
  <c r="B475" i="45"/>
  <c r="C475" i="45" s="1"/>
  <c r="O474" i="45"/>
  <c r="I474" i="45"/>
  <c r="B474" i="45"/>
  <c r="C474" i="45" s="1"/>
  <c r="O473" i="45"/>
  <c r="I473" i="45"/>
  <c r="B473" i="45"/>
  <c r="C473" i="45" s="1"/>
  <c r="O472" i="45"/>
  <c r="I472" i="45"/>
  <c r="B472" i="45"/>
  <c r="C472" i="45" s="1"/>
  <c r="O471" i="45"/>
  <c r="I471" i="45"/>
  <c r="B471" i="45"/>
  <c r="C471" i="45" s="1"/>
  <c r="O470" i="45"/>
  <c r="I470" i="45"/>
  <c r="B470" i="45"/>
  <c r="C470" i="45" s="1"/>
  <c r="O469" i="45"/>
  <c r="I469" i="45"/>
  <c r="B469" i="45"/>
  <c r="C469" i="45" s="1"/>
  <c r="O468" i="45"/>
  <c r="I468" i="45"/>
  <c r="B468" i="45"/>
  <c r="C468" i="45" s="1"/>
  <c r="O467" i="45"/>
  <c r="I467" i="45"/>
  <c r="B467" i="45"/>
  <c r="C467" i="45" s="1"/>
  <c r="O466" i="45"/>
  <c r="I466" i="45"/>
  <c r="B466" i="45"/>
  <c r="C466" i="45" s="1"/>
  <c r="O465" i="45"/>
  <c r="I465" i="45"/>
  <c r="B465" i="45"/>
  <c r="C465" i="45" s="1"/>
  <c r="O464" i="45"/>
  <c r="I464" i="45"/>
  <c r="B464" i="45"/>
  <c r="C464" i="45" s="1"/>
  <c r="O463" i="45"/>
  <c r="I463" i="45"/>
  <c r="B463" i="45"/>
  <c r="C463" i="45" s="1"/>
  <c r="O462" i="45"/>
  <c r="I462" i="45"/>
  <c r="B462" i="45"/>
  <c r="C462" i="45" s="1"/>
  <c r="O461" i="45"/>
  <c r="I461" i="45"/>
  <c r="B461" i="45"/>
  <c r="C461" i="45" s="1"/>
  <c r="O460" i="45"/>
  <c r="I460" i="45"/>
  <c r="B460" i="45"/>
  <c r="C460" i="45" s="1"/>
  <c r="O459" i="45"/>
  <c r="I459" i="45"/>
  <c r="B459" i="45"/>
  <c r="C459" i="45" s="1"/>
  <c r="O458" i="45"/>
  <c r="I458" i="45"/>
  <c r="B458" i="45"/>
  <c r="C458" i="45" s="1"/>
  <c r="O457" i="45"/>
  <c r="I457" i="45"/>
  <c r="B457" i="45"/>
  <c r="C457" i="45" s="1"/>
  <c r="O456" i="45"/>
  <c r="I456" i="45"/>
  <c r="B456" i="45"/>
  <c r="C456" i="45" s="1"/>
  <c r="O455" i="45"/>
  <c r="I455" i="45"/>
  <c r="B455" i="45"/>
  <c r="C455" i="45" s="1"/>
  <c r="O454" i="45"/>
  <c r="I454" i="45"/>
  <c r="B454" i="45"/>
  <c r="C454" i="45" s="1"/>
  <c r="O453" i="45"/>
  <c r="I453" i="45"/>
  <c r="B453" i="45"/>
  <c r="C453" i="45" s="1"/>
  <c r="O452" i="45"/>
  <c r="I452" i="45"/>
  <c r="B452" i="45"/>
  <c r="C452" i="45" s="1"/>
  <c r="O451" i="45"/>
  <c r="I451" i="45"/>
  <c r="B451" i="45"/>
  <c r="C451" i="45" s="1"/>
  <c r="O450" i="45"/>
  <c r="I450" i="45"/>
  <c r="B450" i="45"/>
  <c r="C450" i="45" s="1"/>
  <c r="O449" i="45"/>
  <c r="I449" i="45"/>
  <c r="B449" i="45"/>
  <c r="C449" i="45" s="1"/>
  <c r="O448" i="45"/>
  <c r="I448" i="45"/>
  <c r="B448" i="45"/>
  <c r="C448" i="45" s="1"/>
  <c r="O447" i="45"/>
  <c r="I447" i="45"/>
  <c r="B447" i="45"/>
  <c r="C447" i="45" s="1"/>
  <c r="O446" i="45"/>
  <c r="I446" i="45"/>
  <c r="B446" i="45"/>
  <c r="C446" i="45" s="1"/>
  <c r="O445" i="45"/>
  <c r="I445" i="45"/>
  <c r="B445" i="45"/>
  <c r="C445" i="45" s="1"/>
  <c r="O444" i="45"/>
  <c r="I444" i="45"/>
  <c r="B444" i="45"/>
  <c r="C444" i="45" s="1"/>
  <c r="O443" i="45"/>
  <c r="I443" i="45"/>
  <c r="B443" i="45"/>
  <c r="C443" i="45" s="1"/>
  <c r="O442" i="45"/>
  <c r="I442" i="45"/>
  <c r="B442" i="45"/>
  <c r="C442" i="45" s="1"/>
  <c r="O441" i="45"/>
  <c r="I441" i="45"/>
  <c r="B441" i="45"/>
  <c r="C441" i="45" s="1"/>
  <c r="O440" i="45"/>
  <c r="I440" i="45"/>
  <c r="B440" i="45"/>
  <c r="C440" i="45" s="1"/>
  <c r="O439" i="45"/>
  <c r="I439" i="45"/>
  <c r="B439" i="45"/>
  <c r="C439" i="45" s="1"/>
  <c r="O438" i="45"/>
  <c r="I438" i="45"/>
  <c r="B438" i="45"/>
  <c r="C438" i="45" s="1"/>
  <c r="O437" i="45"/>
  <c r="I437" i="45"/>
  <c r="B437" i="45"/>
  <c r="C437" i="45" s="1"/>
  <c r="O436" i="45"/>
  <c r="I436" i="45"/>
  <c r="B436" i="45"/>
  <c r="C436" i="45" s="1"/>
  <c r="O435" i="45"/>
  <c r="I435" i="45"/>
  <c r="B435" i="45"/>
  <c r="C435" i="45" s="1"/>
  <c r="O434" i="45"/>
  <c r="I434" i="45"/>
  <c r="B434" i="45"/>
  <c r="C434" i="45" s="1"/>
  <c r="O433" i="45"/>
  <c r="I433" i="45"/>
  <c r="B433" i="45"/>
  <c r="C433" i="45" s="1"/>
  <c r="O432" i="45"/>
  <c r="I432" i="45"/>
  <c r="B432" i="45"/>
  <c r="C432" i="45" s="1"/>
  <c r="O431" i="45"/>
  <c r="I431" i="45"/>
  <c r="B431" i="45"/>
  <c r="C431" i="45" s="1"/>
  <c r="O430" i="45"/>
  <c r="I430" i="45"/>
  <c r="B430" i="45"/>
  <c r="C430" i="45" s="1"/>
  <c r="O429" i="45"/>
  <c r="I429" i="45"/>
  <c r="B429" i="45"/>
  <c r="C429" i="45" s="1"/>
  <c r="O428" i="45"/>
  <c r="I428" i="45"/>
  <c r="B428" i="45"/>
  <c r="C428" i="45" s="1"/>
  <c r="O427" i="45"/>
  <c r="I427" i="45"/>
  <c r="B427" i="45"/>
  <c r="C427" i="45" s="1"/>
  <c r="O426" i="45"/>
  <c r="I426" i="45"/>
  <c r="B426" i="45"/>
  <c r="C426" i="45" s="1"/>
  <c r="O425" i="45"/>
  <c r="I425" i="45"/>
  <c r="B425" i="45"/>
  <c r="C425" i="45" s="1"/>
  <c r="O424" i="45"/>
  <c r="I424" i="45"/>
  <c r="B424" i="45"/>
  <c r="C424" i="45" s="1"/>
  <c r="O423" i="45"/>
  <c r="I423" i="45"/>
  <c r="B423" i="45"/>
  <c r="C423" i="45" s="1"/>
  <c r="O422" i="45"/>
  <c r="I422" i="45"/>
  <c r="B422" i="45"/>
  <c r="C422" i="45" s="1"/>
  <c r="O421" i="45"/>
  <c r="I421" i="45"/>
  <c r="B421" i="45"/>
  <c r="C421" i="45" s="1"/>
  <c r="O420" i="45"/>
  <c r="I420" i="45"/>
  <c r="B420" i="45"/>
  <c r="C420" i="45" s="1"/>
  <c r="O419" i="45"/>
  <c r="I419" i="45"/>
  <c r="B419" i="45"/>
  <c r="C419" i="45" s="1"/>
  <c r="O418" i="45"/>
  <c r="I418" i="45"/>
  <c r="B418" i="45"/>
  <c r="C418" i="45" s="1"/>
  <c r="O417" i="45"/>
  <c r="I417" i="45"/>
  <c r="B417" i="45"/>
  <c r="C417" i="45" s="1"/>
  <c r="O416" i="45"/>
  <c r="I416" i="45"/>
  <c r="B416" i="45"/>
  <c r="C416" i="45" s="1"/>
  <c r="O415" i="45"/>
  <c r="I415" i="45"/>
  <c r="B415" i="45"/>
  <c r="C415" i="45" s="1"/>
  <c r="O414" i="45"/>
  <c r="I414" i="45"/>
  <c r="B414" i="45"/>
  <c r="C414" i="45" s="1"/>
  <c r="O413" i="45"/>
  <c r="I413" i="45"/>
  <c r="B413" i="45"/>
  <c r="C413" i="45" s="1"/>
  <c r="O412" i="45"/>
  <c r="I412" i="45"/>
  <c r="B412" i="45"/>
  <c r="C412" i="45" s="1"/>
  <c r="O411" i="45"/>
  <c r="I411" i="45"/>
  <c r="B411" i="45"/>
  <c r="C411" i="45" s="1"/>
  <c r="O410" i="45"/>
  <c r="I410" i="45"/>
  <c r="B410" i="45"/>
  <c r="C410" i="45" s="1"/>
  <c r="O409" i="45"/>
  <c r="I409" i="45"/>
  <c r="B409" i="45"/>
  <c r="C409" i="45" s="1"/>
  <c r="O408" i="45"/>
  <c r="I408" i="45"/>
  <c r="B408" i="45"/>
  <c r="C408" i="45" s="1"/>
  <c r="O407" i="45"/>
  <c r="I407" i="45"/>
  <c r="B407" i="45"/>
  <c r="C407" i="45" s="1"/>
  <c r="O406" i="45"/>
  <c r="I406" i="45"/>
  <c r="B406" i="45"/>
  <c r="C406" i="45" s="1"/>
  <c r="O405" i="45"/>
  <c r="I405" i="45"/>
  <c r="B405" i="45"/>
  <c r="C405" i="45" s="1"/>
  <c r="O404" i="45"/>
  <c r="I404" i="45"/>
  <c r="B404" i="45"/>
  <c r="C404" i="45" s="1"/>
  <c r="O403" i="45"/>
  <c r="I403" i="45"/>
  <c r="B403" i="45"/>
  <c r="C403" i="45" s="1"/>
  <c r="O402" i="45"/>
  <c r="I402" i="45"/>
  <c r="B402" i="45"/>
  <c r="C402" i="45" s="1"/>
  <c r="O401" i="45"/>
  <c r="I401" i="45"/>
  <c r="B401" i="45"/>
  <c r="C401" i="45" s="1"/>
  <c r="O400" i="45"/>
  <c r="I400" i="45"/>
  <c r="B400" i="45"/>
  <c r="C400" i="45" s="1"/>
  <c r="O399" i="45"/>
  <c r="I399" i="45"/>
  <c r="B399" i="45"/>
  <c r="C399" i="45" s="1"/>
  <c r="O398" i="45"/>
  <c r="I398" i="45"/>
  <c r="B398" i="45"/>
  <c r="C398" i="45" s="1"/>
  <c r="O397" i="45"/>
  <c r="I397" i="45"/>
  <c r="B397" i="45"/>
  <c r="C397" i="45" s="1"/>
  <c r="O396" i="45"/>
  <c r="I396" i="45"/>
  <c r="B396" i="45"/>
  <c r="C396" i="45" s="1"/>
  <c r="O395" i="45"/>
  <c r="I395" i="45"/>
  <c r="B395" i="45"/>
  <c r="C395" i="45" s="1"/>
  <c r="O394" i="45"/>
  <c r="I394" i="45"/>
  <c r="B394" i="45"/>
  <c r="C394" i="45" s="1"/>
  <c r="O393" i="45"/>
  <c r="I393" i="45"/>
  <c r="B393" i="45"/>
  <c r="C393" i="45" s="1"/>
  <c r="O392" i="45"/>
  <c r="I392" i="45"/>
  <c r="B392" i="45"/>
  <c r="C392" i="45" s="1"/>
  <c r="O391" i="45"/>
  <c r="I391" i="45"/>
  <c r="B391" i="45"/>
  <c r="C391" i="45" s="1"/>
  <c r="O390" i="45"/>
  <c r="I390" i="45"/>
  <c r="B390" i="45"/>
  <c r="C390" i="45" s="1"/>
  <c r="O389" i="45"/>
  <c r="I389" i="45"/>
  <c r="B389" i="45"/>
  <c r="C389" i="45" s="1"/>
  <c r="O388" i="45"/>
  <c r="I388" i="45"/>
  <c r="B388" i="45"/>
  <c r="C388" i="45" s="1"/>
  <c r="O387" i="45"/>
  <c r="I387" i="45"/>
  <c r="B387" i="45"/>
  <c r="C387" i="45" s="1"/>
  <c r="O386" i="45"/>
  <c r="I386" i="45"/>
  <c r="B386" i="45"/>
  <c r="C386" i="45" s="1"/>
  <c r="O385" i="45"/>
  <c r="I385" i="45"/>
  <c r="B385" i="45"/>
  <c r="C385" i="45" s="1"/>
  <c r="O384" i="45"/>
  <c r="I384" i="45"/>
  <c r="B384" i="45"/>
  <c r="C384" i="45" s="1"/>
  <c r="O383" i="45"/>
  <c r="I383" i="45"/>
  <c r="B383" i="45"/>
  <c r="C383" i="45" s="1"/>
  <c r="O382" i="45"/>
  <c r="I382" i="45"/>
  <c r="B382" i="45"/>
  <c r="C382" i="45" s="1"/>
  <c r="O381" i="45"/>
  <c r="I381" i="45"/>
  <c r="B381" i="45"/>
  <c r="C381" i="45" s="1"/>
  <c r="O380" i="45"/>
  <c r="I380" i="45"/>
  <c r="B380" i="45"/>
  <c r="C380" i="45" s="1"/>
  <c r="O379" i="45"/>
  <c r="I379" i="45"/>
  <c r="B379" i="45"/>
  <c r="C379" i="45" s="1"/>
  <c r="O378" i="45"/>
  <c r="I378" i="45"/>
  <c r="B378" i="45"/>
  <c r="C378" i="45" s="1"/>
  <c r="O377" i="45"/>
  <c r="I377" i="45"/>
  <c r="B377" i="45"/>
  <c r="C377" i="45" s="1"/>
  <c r="O376" i="45"/>
  <c r="I376" i="45"/>
  <c r="B376" i="45"/>
  <c r="C376" i="45" s="1"/>
  <c r="O375" i="45"/>
  <c r="I375" i="45"/>
  <c r="B375" i="45"/>
  <c r="C375" i="45" s="1"/>
  <c r="O374" i="45"/>
  <c r="I374" i="45"/>
  <c r="B374" i="45"/>
  <c r="C374" i="45" s="1"/>
  <c r="O373" i="45"/>
  <c r="I373" i="45"/>
  <c r="B373" i="45"/>
  <c r="C373" i="45" s="1"/>
  <c r="O372" i="45"/>
  <c r="I372" i="45"/>
  <c r="B372" i="45"/>
  <c r="C372" i="45" s="1"/>
  <c r="O371" i="45"/>
  <c r="I371" i="45"/>
  <c r="B371" i="45"/>
  <c r="C371" i="45" s="1"/>
  <c r="O370" i="45"/>
  <c r="I370" i="45"/>
  <c r="B370" i="45"/>
  <c r="C370" i="45" s="1"/>
  <c r="O369" i="45"/>
  <c r="I369" i="45"/>
  <c r="B369" i="45"/>
  <c r="C369" i="45" s="1"/>
  <c r="O368" i="45"/>
  <c r="I368" i="45"/>
  <c r="B368" i="45"/>
  <c r="C368" i="45" s="1"/>
  <c r="O367" i="45"/>
  <c r="I367" i="45"/>
  <c r="B367" i="45"/>
  <c r="C367" i="45" s="1"/>
  <c r="O366" i="45"/>
  <c r="I366" i="45"/>
  <c r="B366" i="45"/>
  <c r="C366" i="45" s="1"/>
  <c r="O365" i="45"/>
  <c r="I365" i="45"/>
  <c r="B365" i="45"/>
  <c r="C365" i="45" s="1"/>
  <c r="O364" i="45"/>
  <c r="I364" i="45"/>
  <c r="B364" i="45"/>
  <c r="C364" i="45" s="1"/>
  <c r="O363" i="45"/>
  <c r="I363" i="45"/>
  <c r="B363" i="45"/>
  <c r="C363" i="45" s="1"/>
  <c r="O362" i="45"/>
  <c r="I362" i="45"/>
  <c r="B362" i="45"/>
  <c r="C362" i="45" s="1"/>
  <c r="O361" i="45"/>
  <c r="I361" i="45"/>
  <c r="B361" i="45"/>
  <c r="C361" i="45" s="1"/>
  <c r="O360" i="45"/>
  <c r="I360" i="45"/>
  <c r="B360" i="45"/>
  <c r="C360" i="45" s="1"/>
  <c r="O359" i="45"/>
  <c r="I359" i="45"/>
  <c r="B359" i="45"/>
  <c r="C359" i="45" s="1"/>
  <c r="O358" i="45"/>
  <c r="I358" i="45"/>
  <c r="B358" i="45"/>
  <c r="C358" i="45" s="1"/>
  <c r="O357" i="45"/>
  <c r="I357" i="45"/>
  <c r="B357" i="45"/>
  <c r="C357" i="45" s="1"/>
  <c r="O356" i="45"/>
  <c r="I356" i="45"/>
  <c r="B356" i="45"/>
  <c r="C356" i="45" s="1"/>
  <c r="O355" i="45"/>
  <c r="I355" i="45"/>
  <c r="B355" i="45"/>
  <c r="C355" i="45" s="1"/>
  <c r="O354" i="45"/>
  <c r="I354" i="45"/>
  <c r="B354" i="45"/>
  <c r="C354" i="45" s="1"/>
  <c r="O353" i="45"/>
  <c r="I353" i="45"/>
  <c r="B353" i="45"/>
  <c r="C353" i="45" s="1"/>
  <c r="O352" i="45"/>
  <c r="I352" i="45"/>
  <c r="B352" i="45"/>
  <c r="C352" i="45" s="1"/>
  <c r="O351" i="45"/>
  <c r="I351" i="45"/>
  <c r="B351" i="45"/>
  <c r="C351" i="45" s="1"/>
  <c r="O350" i="45"/>
  <c r="I350" i="45"/>
  <c r="B350" i="45"/>
  <c r="C350" i="45" s="1"/>
  <c r="O349" i="45"/>
  <c r="I349" i="45"/>
  <c r="B349" i="45"/>
  <c r="C349" i="45" s="1"/>
  <c r="O348" i="45"/>
  <c r="I348" i="45"/>
  <c r="B348" i="45"/>
  <c r="C348" i="45" s="1"/>
  <c r="O347" i="45"/>
  <c r="I347" i="45"/>
  <c r="B347" i="45"/>
  <c r="C347" i="45" s="1"/>
  <c r="O346" i="45"/>
  <c r="I346" i="45"/>
  <c r="B346" i="45"/>
  <c r="C346" i="45" s="1"/>
  <c r="O345" i="45"/>
  <c r="I345" i="45"/>
  <c r="B345" i="45"/>
  <c r="C345" i="45" s="1"/>
  <c r="O344" i="45"/>
  <c r="I344" i="45"/>
  <c r="B344" i="45"/>
  <c r="C344" i="45" s="1"/>
  <c r="O343" i="45"/>
  <c r="I343" i="45"/>
  <c r="B343" i="45"/>
  <c r="C343" i="45" s="1"/>
  <c r="O342" i="45"/>
  <c r="I342" i="45"/>
  <c r="B342" i="45"/>
  <c r="C342" i="45" s="1"/>
  <c r="O341" i="45"/>
  <c r="I341" i="45"/>
  <c r="B341" i="45"/>
  <c r="C341" i="45" s="1"/>
  <c r="O340" i="45"/>
  <c r="I340" i="45"/>
  <c r="B340" i="45"/>
  <c r="C340" i="45" s="1"/>
  <c r="O339" i="45"/>
  <c r="I339" i="45"/>
  <c r="B339" i="45"/>
  <c r="C339" i="45" s="1"/>
  <c r="O338" i="45"/>
  <c r="I338" i="45"/>
  <c r="B338" i="45"/>
  <c r="C338" i="45" s="1"/>
  <c r="O337" i="45"/>
  <c r="I337" i="45"/>
  <c r="B337" i="45"/>
  <c r="C337" i="45" s="1"/>
  <c r="O336" i="45"/>
  <c r="I336" i="45"/>
  <c r="B336" i="45"/>
  <c r="C336" i="45" s="1"/>
  <c r="O335" i="45"/>
  <c r="I335" i="45"/>
  <c r="B335" i="45"/>
  <c r="C335" i="45" s="1"/>
  <c r="O334" i="45"/>
  <c r="I334" i="45"/>
  <c r="B334" i="45"/>
  <c r="C334" i="45" s="1"/>
  <c r="O333" i="45"/>
  <c r="I333" i="45"/>
  <c r="B333" i="45"/>
  <c r="C333" i="45" s="1"/>
  <c r="O332" i="45"/>
  <c r="I332" i="45"/>
  <c r="B332" i="45"/>
  <c r="C332" i="45" s="1"/>
  <c r="O331" i="45"/>
  <c r="I331" i="45"/>
  <c r="B331" i="45"/>
  <c r="C331" i="45" s="1"/>
  <c r="O330" i="45"/>
  <c r="I330" i="45"/>
  <c r="B330" i="45"/>
  <c r="C330" i="45" s="1"/>
  <c r="O329" i="45"/>
  <c r="I329" i="45"/>
  <c r="B329" i="45"/>
  <c r="C329" i="45" s="1"/>
  <c r="O328" i="45"/>
  <c r="I328" i="45"/>
  <c r="B328" i="45"/>
  <c r="C328" i="45" s="1"/>
  <c r="O327" i="45"/>
  <c r="I327" i="45"/>
  <c r="B327" i="45"/>
  <c r="C327" i="45" s="1"/>
  <c r="O326" i="45"/>
  <c r="I326" i="45"/>
  <c r="B326" i="45"/>
  <c r="C326" i="45" s="1"/>
  <c r="O325" i="45"/>
  <c r="I325" i="45"/>
  <c r="B325" i="45"/>
  <c r="C325" i="45" s="1"/>
  <c r="O324" i="45"/>
  <c r="I324" i="45"/>
  <c r="B324" i="45"/>
  <c r="C324" i="45" s="1"/>
  <c r="O323" i="45"/>
  <c r="I323" i="45"/>
  <c r="B323" i="45"/>
  <c r="C323" i="45" s="1"/>
  <c r="O322" i="45"/>
  <c r="I322" i="45"/>
  <c r="B322" i="45"/>
  <c r="C322" i="45" s="1"/>
  <c r="O321" i="45"/>
  <c r="I321" i="45"/>
  <c r="B321" i="45"/>
  <c r="C321" i="45" s="1"/>
  <c r="O320" i="45"/>
  <c r="I320" i="45"/>
  <c r="B320" i="45"/>
  <c r="C320" i="45" s="1"/>
  <c r="O319" i="45"/>
  <c r="I319" i="45"/>
  <c r="B319" i="45"/>
  <c r="C319" i="45" s="1"/>
  <c r="O318" i="45"/>
  <c r="I318" i="45"/>
  <c r="B318" i="45"/>
  <c r="C318" i="45" s="1"/>
  <c r="O317" i="45"/>
  <c r="I317" i="45"/>
  <c r="B317" i="45"/>
  <c r="C317" i="45" s="1"/>
  <c r="O316" i="45"/>
  <c r="I316" i="45"/>
  <c r="B316" i="45"/>
  <c r="C316" i="45" s="1"/>
  <c r="O315" i="45"/>
  <c r="I315" i="45"/>
  <c r="B315" i="45"/>
  <c r="C315" i="45" s="1"/>
  <c r="O314" i="45"/>
  <c r="I314" i="45"/>
  <c r="B314" i="45"/>
  <c r="C314" i="45" s="1"/>
  <c r="O313" i="45"/>
  <c r="I313" i="45"/>
  <c r="B313" i="45"/>
  <c r="C313" i="45" s="1"/>
  <c r="O312" i="45"/>
  <c r="I312" i="45"/>
  <c r="B312" i="45"/>
  <c r="C312" i="45" s="1"/>
  <c r="O311" i="45"/>
  <c r="I311" i="45"/>
  <c r="B311" i="45"/>
  <c r="C311" i="45" s="1"/>
  <c r="O310" i="45"/>
  <c r="I310" i="45"/>
  <c r="B310" i="45"/>
  <c r="C310" i="45" s="1"/>
  <c r="O309" i="45"/>
  <c r="I309" i="45"/>
  <c r="B309" i="45"/>
  <c r="C309" i="45" s="1"/>
  <c r="O308" i="45"/>
  <c r="I308" i="45"/>
  <c r="B308" i="45"/>
  <c r="C308" i="45" s="1"/>
  <c r="O307" i="45"/>
  <c r="I307" i="45"/>
  <c r="B307" i="45"/>
  <c r="C307" i="45" s="1"/>
  <c r="O306" i="45"/>
  <c r="I306" i="45"/>
  <c r="B306" i="45"/>
  <c r="C306" i="45" s="1"/>
  <c r="O305" i="45"/>
  <c r="I305" i="45"/>
  <c r="B305" i="45"/>
  <c r="C305" i="45" s="1"/>
  <c r="O304" i="45"/>
  <c r="I304" i="45"/>
  <c r="B304" i="45"/>
  <c r="C304" i="45" s="1"/>
  <c r="O303" i="45"/>
  <c r="I303" i="45"/>
  <c r="B303" i="45"/>
  <c r="C303" i="45" s="1"/>
  <c r="O302" i="45"/>
  <c r="I302" i="45"/>
  <c r="B302" i="45"/>
  <c r="C302" i="45" s="1"/>
  <c r="O301" i="45"/>
  <c r="I301" i="45"/>
  <c r="B301" i="45"/>
  <c r="C301" i="45" s="1"/>
  <c r="O300" i="45"/>
  <c r="I300" i="45"/>
  <c r="B300" i="45"/>
  <c r="C300" i="45" s="1"/>
  <c r="O299" i="45"/>
  <c r="I299" i="45"/>
  <c r="B299" i="45"/>
  <c r="C299" i="45" s="1"/>
  <c r="O298" i="45"/>
  <c r="I298" i="45"/>
  <c r="B298" i="45"/>
  <c r="C298" i="45" s="1"/>
  <c r="O297" i="45"/>
  <c r="I297" i="45"/>
  <c r="B297" i="45"/>
  <c r="C297" i="45" s="1"/>
  <c r="O296" i="45"/>
  <c r="I296" i="45"/>
  <c r="B296" i="45"/>
  <c r="C296" i="45" s="1"/>
  <c r="O295" i="45"/>
  <c r="I295" i="45"/>
  <c r="B295" i="45"/>
  <c r="C295" i="45" s="1"/>
  <c r="O294" i="45"/>
  <c r="I294" i="45"/>
  <c r="B294" i="45"/>
  <c r="C294" i="45" s="1"/>
  <c r="O293" i="45"/>
  <c r="I293" i="45"/>
  <c r="B293" i="45"/>
  <c r="C293" i="45" s="1"/>
  <c r="O292" i="45"/>
  <c r="I292" i="45"/>
  <c r="B292" i="45"/>
  <c r="C292" i="45" s="1"/>
  <c r="O291" i="45"/>
  <c r="I291" i="45"/>
  <c r="B291" i="45"/>
  <c r="C291" i="45" s="1"/>
  <c r="O290" i="45"/>
  <c r="I290" i="45"/>
  <c r="B290" i="45"/>
  <c r="C290" i="45" s="1"/>
  <c r="O289" i="45"/>
  <c r="I289" i="45"/>
  <c r="B289" i="45"/>
  <c r="C289" i="45" s="1"/>
  <c r="O288" i="45"/>
  <c r="I288" i="45"/>
  <c r="B288" i="45"/>
  <c r="C288" i="45" s="1"/>
  <c r="O287" i="45"/>
  <c r="I287" i="45"/>
  <c r="B287" i="45"/>
  <c r="C287" i="45" s="1"/>
  <c r="O286" i="45"/>
  <c r="I286" i="45"/>
  <c r="B286" i="45"/>
  <c r="C286" i="45" s="1"/>
  <c r="O285" i="45"/>
  <c r="I285" i="45"/>
  <c r="B285" i="45"/>
  <c r="C285" i="45" s="1"/>
  <c r="O284" i="45"/>
  <c r="I284" i="45"/>
  <c r="B284" i="45"/>
  <c r="C284" i="45" s="1"/>
  <c r="O283" i="45"/>
  <c r="I283" i="45"/>
  <c r="B283" i="45"/>
  <c r="C283" i="45" s="1"/>
  <c r="O282" i="45"/>
  <c r="I282" i="45"/>
  <c r="B282" i="45"/>
  <c r="C282" i="45" s="1"/>
  <c r="O281" i="45"/>
  <c r="I281" i="45"/>
  <c r="B281" i="45"/>
  <c r="C281" i="45" s="1"/>
  <c r="O280" i="45"/>
  <c r="I280" i="45"/>
  <c r="B280" i="45"/>
  <c r="C280" i="45" s="1"/>
  <c r="O279" i="45"/>
  <c r="I279" i="45"/>
  <c r="B279" i="45"/>
  <c r="C279" i="45" s="1"/>
  <c r="O278" i="45"/>
  <c r="I278" i="45"/>
  <c r="B278" i="45"/>
  <c r="C278" i="45" s="1"/>
  <c r="O277" i="45"/>
  <c r="I277" i="45"/>
  <c r="B277" i="45"/>
  <c r="C277" i="45" s="1"/>
  <c r="O276" i="45"/>
  <c r="I276" i="45"/>
  <c r="B276" i="45"/>
  <c r="C276" i="45" s="1"/>
  <c r="O275" i="45"/>
  <c r="I275" i="45"/>
  <c r="B275" i="45"/>
  <c r="C275" i="45" s="1"/>
  <c r="O274" i="45"/>
  <c r="I274" i="45"/>
  <c r="B274" i="45"/>
  <c r="C274" i="45" s="1"/>
  <c r="O273" i="45"/>
  <c r="I273" i="45"/>
  <c r="B273" i="45"/>
  <c r="C273" i="45" s="1"/>
  <c r="O272" i="45"/>
  <c r="I272" i="45"/>
  <c r="B272" i="45"/>
  <c r="C272" i="45" s="1"/>
  <c r="O271" i="45"/>
  <c r="I271" i="45"/>
  <c r="B271" i="45"/>
  <c r="C271" i="45" s="1"/>
  <c r="O270" i="45"/>
  <c r="I270" i="45"/>
  <c r="B270" i="45"/>
  <c r="C270" i="45" s="1"/>
  <c r="O269" i="45"/>
  <c r="I269" i="45"/>
  <c r="B269" i="45"/>
  <c r="C269" i="45" s="1"/>
  <c r="O268" i="45"/>
  <c r="I268" i="45"/>
  <c r="B268" i="45"/>
  <c r="C268" i="45" s="1"/>
  <c r="O267" i="45"/>
  <c r="I267" i="45"/>
  <c r="B267" i="45"/>
  <c r="C267" i="45" s="1"/>
  <c r="O266" i="45"/>
  <c r="I266" i="45"/>
  <c r="B266" i="45"/>
  <c r="C266" i="45" s="1"/>
  <c r="O265" i="45"/>
  <c r="I265" i="45"/>
  <c r="B265" i="45"/>
  <c r="C265" i="45" s="1"/>
  <c r="O264" i="45"/>
  <c r="I264" i="45"/>
  <c r="B264" i="45"/>
  <c r="C264" i="45" s="1"/>
  <c r="O263" i="45"/>
  <c r="I263" i="45"/>
  <c r="B263" i="45"/>
  <c r="C263" i="45" s="1"/>
  <c r="O262" i="45"/>
  <c r="I262" i="45"/>
  <c r="B262" i="45"/>
  <c r="C262" i="45" s="1"/>
  <c r="O261" i="45"/>
  <c r="I261" i="45"/>
  <c r="B261" i="45"/>
  <c r="C261" i="45" s="1"/>
  <c r="O260" i="45"/>
  <c r="I260" i="45"/>
  <c r="B260" i="45"/>
  <c r="C260" i="45" s="1"/>
  <c r="O259" i="45"/>
  <c r="I259" i="45"/>
  <c r="B259" i="45"/>
  <c r="C259" i="45" s="1"/>
  <c r="O258" i="45"/>
  <c r="I258" i="45"/>
  <c r="B258" i="45"/>
  <c r="C258" i="45" s="1"/>
  <c r="O257" i="45"/>
  <c r="I257" i="45"/>
  <c r="B257" i="45"/>
  <c r="C257" i="45" s="1"/>
  <c r="O256" i="45"/>
  <c r="I256" i="45"/>
  <c r="B256" i="45"/>
  <c r="C256" i="45" s="1"/>
  <c r="O255" i="45"/>
  <c r="I255" i="45"/>
  <c r="B255" i="45"/>
  <c r="C255" i="45" s="1"/>
  <c r="O254" i="45"/>
  <c r="I254" i="45"/>
  <c r="B254" i="45"/>
  <c r="C254" i="45" s="1"/>
  <c r="O253" i="45"/>
  <c r="I253" i="45"/>
  <c r="B253" i="45"/>
  <c r="C253" i="45" s="1"/>
  <c r="O252" i="45"/>
  <c r="I252" i="45"/>
  <c r="B252" i="45"/>
  <c r="C252" i="45" s="1"/>
  <c r="O251" i="45"/>
  <c r="I251" i="45"/>
  <c r="B251" i="45"/>
  <c r="C251" i="45" s="1"/>
  <c r="O250" i="45"/>
  <c r="I250" i="45"/>
  <c r="B250" i="45"/>
  <c r="C250" i="45" s="1"/>
  <c r="O249" i="45"/>
  <c r="I249" i="45"/>
  <c r="B249" i="45"/>
  <c r="C249" i="45" s="1"/>
  <c r="O248" i="45"/>
  <c r="I248" i="45"/>
  <c r="B248" i="45"/>
  <c r="C248" i="45" s="1"/>
  <c r="O247" i="45"/>
  <c r="I247" i="45"/>
  <c r="B247" i="45"/>
  <c r="C247" i="45" s="1"/>
  <c r="O246" i="45"/>
  <c r="I246" i="45"/>
  <c r="B246" i="45"/>
  <c r="C246" i="45" s="1"/>
  <c r="O245" i="45"/>
  <c r="I245" i="45"/>
  <c r="B245" i="45"/>
  <c r="C245" i="45" s="1"/>
  <c r="O244" i="45"/>
  <c r="I244" i="45"/>
  <c r="B244" i="45"/>
  <c r="C244" i="45" s="1"/>
  <c r="O243" i="45"/>
  <c r="I243" i="45"/>
  <c r="B243" i="45"/>
  <c r="C243" i="45" s="1"/>
  <c r="O242" i="45"/>
  <c r="I242" i="45"/>
  <c r="B242" i="45"/>
  <c r="C242" i="45" s="1"/>
  <c r="O241" i="45"/>
  <c r="I241" i="45"/>
  <c r="B241" i="45"/>
  <c r="C241" i="45" s="1"/>
  <c r="O240" i="45"/>
  <c r="I240" i="45"/>
  <c r="B240" i="45"/>
  <c r="C240" i="45" s="1"/>
  <c r="O239" i="45"/>
  <c r="I239" i="45"/>
  <c r="B239" i="45"/>
  <c r="C239" i="45" s="1"/>
  <c r="O238" i="45"/>
  <c r="I238" i="45"/>
  <c r="B238" i="45"/>
  <c r="C238" i="45" s="1"/>
  <c r="O237" i="45"/>
  <c r="I237" i="45"/>
  <c r="B237" i="45"/>
  <c r="C237" i="45" s="1"/>
  <c r="O236" i="45"/>
  <c r="I236" i="45"/>
  <c r="B236" i="45"/>
  <c r="C236" i="45" s="1"/>
  <c r="O235" i="45"/>
  <c r="I235" i="45"/>
  <c r="B235" i="45"/>
  <c r="C235" i="45" s="1"/>
  <c r="O234" i="45"/>
  <c r="I234" i="45"/>
  <c r="B234" i="45"/>
  <c r="C234" i="45" s="1"/>
  <c r="O233" i="45"/>
  <c r="I233" i="45"/>
  <c r="B233" i="45"/>
  <c r="C233" i="45" s="1"/>
  <c r="O232" i="45"/>
  <c r="I232" i="45"/>
  <c r="B232" i="45"/>
  <c r="C232" i="45" s="1"/>
  <c r="O231" i="45"/>
  <c r="I231" i="45"/>
  <c r="B231" i="45"/>
  <c r="C231" i="45" s="1"/>
  <c r="O230" i="45"/>
  <c r="I230" i="45"/>
  <c r="B230" i="45"/>
  <c r="C230" i="45" s="1"/>
  <c r="O229" i="45"/>
  <c r="I229" i="45"/>
  <c r="B229" i="45"/>
  <c r="C229" i="45" s="1"/>
  <c r="O228" i="45"/>
  <c r="I228" i="45"/>
  <c r="B228" i="45"/>
  <c r="C228" i="45" s="1"/>
  <c r="O227" i="45"/>
  <c r="I227" i="45"/>
  <c r="B227" i="45"/>
  <c r="C227" i="45" s="1"/>
  <c r="O226" i="45"/>
  <c r="I226" i="45"/>
  <c r="B226" i="45"/>
  <c r="C226" i="45" s="1"/>
  <c r="O225" i="45"/>
  <c r="I225" i="45"/>
  <c r="B225" i="45"/>
  <c r="C225" i="45" s="1"/>
  <c r="O224" i="45"/>
  <c r="I224" i="45"/>
  <c r="B224" i="45"/>
  <c r="C224" i="45" s="1"/>
  <c r="O223" i="45"/>
  <c r="I223" i="45"/>
  <c r="B223" i="45"/>
  <c r="C223" i="45" s="1"/>
  <c r="O222" i="45"/>
  <c r="I222" i="45"/>
  <c r="B222" i="45"/>
  <c r="C222" i="45" s="1"/>
  <c r="O221" i="45"/>
  <c r="I221" i="45"/>
  <c r="B221" i="45"/>
  <c r="C221" i="45" s="1"/>
  <c r="O220" i="45"/>
  <c r="I220" i="45"/>
  <c r="B220" i="45"/>
  <c r="C220" i="45" s="1"/>
  <c r="O219" i="45"/>
  <c r="I219" i="45"/>
  <c r="B219" i="45"/>
  <c r="C219" i="45" s="1"/>
  <c r="O218" i="45"/>
  <c r="I218" i="45"/>
  <c r="B218" i="45"/>
  <c r="C218" i="45" s="1"/>
  <c r="O217" i="45"/>
  <c r="I217" i="45"/>
  <c r="B217" i="45"/>
  <c r="C217" i="45" s="1"/>
  <c r="O216" i="45"/>
  <c r="I216" i="45"/>
  <c r="B216" i="45"/>
  <c r="C216" i="45" s="1"/>
  <c r="O215" i="45"/>
  <c r="I215" i="45"/>
  <c r="B215" i="45"/>
  <c r="C215" i="45" s="1"/>
  <c r="O214" i="45"/>
  <c r="I214" i="45"/>
  <c r="B214" i="45"/>
  <c r="C214" i="45" s="1"/>
  <c r="O213" i="45"/>
  <c r="I213" i="45"/>
  <c r="B213" i="45"/>
  <c r="C213" i="45" s="1"/>
  <c r="O212" i="45"/>
  <c r="I212" i="45"/>
  <c r="B212" i="45"/>
  <c r="C212" i="45" s="1"/>
  <c r="O211" i="45"/>
  <c r="I211" i="45"/>
  <c r="B211" i="45"/>
  <c r="C211" i="45" s="1"/>
  <c r="O210" i="45"/>
  <c r="I210" i="45"/>
  <c r="B210" i="45"/>
  <c r="C210" i="45" s="1"/>
  <c r="O209" i="45"/>
  <c r="I209" i="45"/>
  <c r="B209" i="45"/>
  <c r="C209" i="45" s="1"/>
  <c r="O208" i="45"/>
  <c r="I208" i="45"/>
  <c r="B208" i="45"/>
  <c r="C208" i="45" s="1"/>
  <c r="O207" i="45"/>
  <c r="I207" i="45"/>
  <c r="B207" i="45"/>
  <c r="C207" i="45" s="1"/>
  <c r="O206" i="45"/>
  <c r="I206" i="45"/>
  <c r="B206" i="45"/>
  <c r="C206" i="45" s="1"/>
  <c r="O205" i="45"/>
  <c r="I205" i="45"/>
  <c r="B205" i="45"/>
  <c r="C205" i="45" s="1"/>
  <c r="O204" i="45"/>
  <c r="I204" i="45"/>
  <c r="B204" i="45"/>
  <c r="C204" i="45" s="1"/>
  <c r="O203" i="45"/>
  <c r="I203" i="45"/>
  <c r="B203" i="45"/>
  <c r="C203" i="45" s="1"/>
  <c r="O202" i="45"/>
  <c r="I202" i="45"/>
  <c r="B202" i="45"/>
  <c r="C202" i="45" s="1"/>
  <c r="O201" i="45"/>
  <c r="I201" i="45"/>
  <c r="B201" i="45"/>
  <c r="C201" i="45" s="1"/>
  <c r="O200" i="45"/>
  <c r="I200" i="45"/>
  <c r="B200" i="45"/>
  <c r="C200" i="45" s="1"/>
  <c r="O199" i="45"/>
  <c r="I199" i="45"/>
  <c r="B199" i="45"/>
  <c r="C199" i="45" s="1"/>
  <c r="O198" i="45"/>
  <c r="I198" i="45"/>
  <c r="B198" i="45"/>
  <c r="C198" i="45" s="1"/>
  <c r="O197" i="45"/>
  <c r="I197" i="45"/>
  <c r="B197" i="45"/>
  <c r="C197" i="45" s="1"/>
  <c r="O196" i="45"/>
  <c r="I196" i="45"/>
  <c r="B196" i="45"/>
  <c r="C196" i="45" s="1"/>
  <c r="O195" i="45"/>
  <c r="I195" i="45"/>
  <c r="B195" i="45"/>
  <c r="C195" i="45" s="1"/>
  <c r="O194" i="45"/>
  <c r="I194" i="45"/>
  <c r="B194" i="45"/>
  <c r="C194" i="45" s="1"/>
  <c r="O193" i="45"/>
  <c r="I193" i="45"/>
  <c r="B193" i="45"/>
  <c r="C193" i="45" s="1"/>
  <c r="O192" i="45"/>
  <c r="I192" i="45"/>
  <c r="B192" i="45"/>
  <c r="C192" i="45" s="1"/>
  <c r="O191" i="45"/>
  <c r="I191" i="45"/>
  <c r="B191" i="45"/>
  <c r="C191" i="45" s="1"/>
  <c r="O190" i="45"/>
  <c r="I190" i="45"/>
  <c r="B190" i="45"/>
  <c r="C190" i="45" s="1"/>
  <c r="O189" i="45"/>
  <c r="I189" i="45"/>
  <c r="B189" i="45"/>
  <c r="C189" i="45" s="1"/>
  <c r="O188" i="45"/>
  <c r="I188" i="45"/>
  <c r="B188" i="45"/>
  <c r="C188" i="45" s="1"/>
  <c r="O187" i="45"/>
  <c r="I187" i="45"/>
  <c r="B187" i="45"/>
  <c r="C187" i="45" s="1"/>
  <c r="O186" i="45"/>
  <c r="I186" i="45"/>
  <c r="B186" i="45"/>
  <c r="C186" i="45" s="1"/>
  <c r="O185" i="45"/>
  <c r="I185" i="45"/>
  <c r="B185" i="45"/>
  <c r="C185" i="45" s="1"/>
  <c r="O184" i="45"/>
  <c r="I184" i="45"/>
  <c r="B184" i="45"/>
  <c r="C184" i="45" s="1"/>
  <c r="O183" i="45"/>
  <c r="I183" i="45"/>
  <c r="B183" i="45"/>
  <c r="C183" i="45" s="1"/>
  <c r="O182" i="45"/>
  <c r="I182" i="45"/>
  <c r="B182" i="45"/>
  <c r="C182" i="45" s="1"/>
  <c r="O181" i="45"/>
  <c r="I181" i="45"/>
  <c r="B181" i="45"/>
  <c r="C181" i="45" s="1"/>
  <c r="O180" i="45"/>
  <c r="I180" i="45"/>
  <c r="B180" i="45"/>
  <c r="C180" i="45" s="1"/>
  <c r="O179" i="45"/>
  <c r="I179" i="45"/>
  <c r="B179" i="45"/>
  <c r="C179" i="45" s="1"/>
  <c r="O178" i="45"/>
  <c r="I178" i="45"/>
  <c r="B178" i="45"/>
  <c r="C178" i="45" s="1"/>
  <c r="O177" i="45"/>
  <c r="I177" i="45"/>
  <c r="B177" i="45"/>
  <c r="C177" i="45" s="1"/>
  <c r="O176" i="45"/>
  <c r="I176" i="45"/>
  <c r="B176" i="45"/>
  <c r="C176" i="45" s="1"/>
  <c r="O175" i="45"/>
  <c r="I175" i="45"/>
  <c r="B175" i="45"/>
  <c r="C175" i="45" s="1"/>
  <c r="O174" i="45"/>
  <c r="I174" i="45"/>
  <c r="B174" i="45"/>
  <c r="C174" i="45" s="1"/>
  <c r="O173" i="45"/>
  <c r="I173" i="45"/>
  <c r="B173" i="45"/>
  <c r="C173" i="45" s="1"/>
  <c r="O172" i="45"/>
  <c r="I172" i="45"/>
  <c r="B172" i="45"/>
  <c r="C172" i="45" s="1"/>
  <c r="O171" i="45"/>
  <c r="I171" i="45"/>
  <c r="B171" i="45"/>
  <c r="C171" i="45" s="1"/>
  <c r="O170" i="45"/>
  <c r="I170" i="45"/>
  <c r="B170" i="45"/>
  <c r="C170" i="45" s="1"/>
  <c r="O169" i="45"/>
  <c r="I169" i="45"/>
  <c r="B169" i="45"/>
  <c r="C169" i="45" s="1"/>
  <c r="O168" i="45"/>
  <c r="I168" i="45"/>
  <c r="B168" i="45"/>
  <c r="C168" i="45" s="1"/>
  <c r="O167" i="45"/>
  <c r="I167" i="45"/>
  <c r="B167" i="45"/>
  <c r="C167" i="45" s="1"/>
  <c r="O166" i="45"/>
  <c r="I166" i="45"/>
  <c r="B166" i="45"/>
  <c r="C166" i="45" s="1"/>
  <c r="O165" i="45"/>
  <c r="I165" i="45"/>
  <c r="B165" i="45"/>
  <c r="C165" i="45" s="1"/>
  <c r="O164" i="45"/>
  <c r="I164" i="45"/>
  <c r="B164" i="45"/>
  <c r="C164" i="45" s="1"/>
  <c r="O163" i="45"/>
  <c r="I163" i="45"/>
  <c r="B163" i="45"/>
  <c r="C163" i="45" s="1"/>
  <c r="O162" i="45"/>
  <c r="I162" i="45"/>
  <c r="B162" i="45"/>
  <c r="C162" i="45" s="1"/>
  <c r="O161" i="45"/>
  <c r="I161" i="45"/>
  <c r="B161" i="45"/>
  <c r="C161" i="45" s="1"/>
  <c r="O160" i="45"/>
  <c r="I160" i="45"/>
  <c r="B160" i="45"/>
  <c r="C160" i="45" s="1"/>
  <c r="O159" i="45"/>
  <c r="I159" i="45"/>
  <c r="B159" i="45"/>
  <c r="C159" i="45" s="1"/>
  <c r="O158" i="45"/>
  <c r="I158" i="45"/>
  <c r="B158" i="45"/>
  <c r="C158" i="45" s="1"/>
  <c r="O157" i="45"/>
  <c r="I157" i="45"/>
  <c r="B157" i="45"/>
  <c r="C157" i="45" s="1"/>
  <c r="O156" i="45"/>
  <c r="I156" i="45"/>
  <c r="B156" i="45"/>
  <c r="C156" i="45" s="1"/>
  <c r="O155" i="45"/>
  <c r="I155" i="45"/>
  <c r="B155" i="45"/>
  <c r="C155" i="45" s="1"/>
  <c r="O154" i="45"/>
  <c r="I154" i="45"/>
  <c r="B154" i="45"/>
  <c r="C154" i="45" s="1"/>
  <c r="O153" i="45"/>
  <c r="I153" i="45"/>
  <c r="B153" i="45"/>
  <c r="C153" i="45" s="1"/>
  <c r="O152" i="45"/>
  <c r="I152" i="45"/>
  <c r="B152" i="45"/>
  <c r="C152" i="45" s="1"/>
  <c r="O151" i="45"/>
  <c r="I151" i="45"/>
  <c r="B151" i="45"/>
  <c r="C151" i="45" s="1"/>
  <c r="O150" i="45"/>
  <c r="I150" i="45"/>
  <c r="B150" i="45"/>
  <c r="C150" i="45" s="1"/>
  <c r="O149" i="45"/>
  <c r="I149" i="45"/>
  <c r="B149" i="45"/>
  <c r="C149" i="45" s="1"/>
  <c r="O148" i="45"/>
  <c r="I148" i="45"/>
  <c r="B148" i="45"/>
  <c r="C148" i="45" s="1"/>
  <c r="O147" i="45"/>
  <c r="I147" i="45"/>
  <c r="B147" i="45"/>
  <c r="C147" i="45" s="1"/>
  <c r="O146" i="45"/>
  <c r="I146" i="45"/>
  <c r="B146" i="45"/>
  <c r="C146" i="45" s="1"/>
  <c r="O145" i="45"/>
  <c r="I145" i="45"/>
  <c r="B145" i="45"/>
  <c r="C145" i="45" s="1"/>
  <c r="O144" i="45"/>
  <c r="I144" i="45"/>
  <c r="B144" i="45"/>
  <c r="C144" i="45" s="1"/>
  <c r="O143" i="45"/>
  <c r="I143" i="45"/>
  <c r="B143" i="45"/>
  <c r="C143" i="45" s="1"/>
  <c r="O142" i="45"/>
  <c r="I142" i="45"/>
  <c r="B142" i="45"/>
  <c r="C142" i="45" s="1"/>
  <c r="O141" i="45"/>
  <c r="I141" i="45"/>
  <c r="B141" i="45"/>
  <c r="C141" i="45" s="1"/>
  <c r="O140" i="45"/>
  <c r="I140" i="45"/>
  <c r="B140" i="45"/>
  <c r="C140" i="45" s="1"/>
  <c r="O139" i="45"/>
  <c r="I139" i="45"/>
  <c r="B139" i="45"/>
  <c r="C139" i="45" s="1"/>
  <c r="O138" i="45"/>
  <c r="I138" i="45"/>
  <c r="B138" i="45"/>
  <c r="C138" i="45" s="1"/>
  <c r="O137" i="45"/>
  <c r="I137" i="45"/>
  <c r="B137" i="45"/>
  <c r="C137" i="45" s="1"/>
  <c r="O136" i="45"/>
  <c r="I136" i="45"/>
  <c r="B136" i="45"/>
  <c r="C136" i="45" s="1"/>
  <c r="O135" i="45"/>
  <c r="I135" i="45"/>
  <c r="B135" i="45"/>
  <c r="C135" i="45" s="1"/>
  <c r="O134" i="45"/>
  <c r="I134" i="45"/>
  <c r="B134" i="45"/>
  <c r="C134" i="45" s="1"/>
  <c r="O133" i="45"/>
  <c r="I133" i="45"/>
  <c r="B133" i="45"/>
  <c r="C133" i="45" s="1"/>
  <c r="O132" i="45"/>
  <c r="I132" i="45"/>
  <c r="B132" i="45"/>
  <c r="C132" i="45" s="1"/>
  <c r="O131" i="45"/>
  <c r="I131" i="45"/>
  <c r="B131" i="45"/>
  <c r="C131" i="45" s="1"/>
  <c r="O130" i="45"/>
  <c r="I130" i="45"/>
  <c r="B130" i="45"/>
  <c r="C130" i="45" s="1"/>
  <c r="O129" i="45"/>
  <c r="I129" i="45"/>
  <c r="B129" i="45"/>
  <c r="C129" i="45" s="1"/>
  <c r="O128" i="45"/>
  <c r="I128" i="45"/>
  <c r="B128" i="45"/>
  <c r="C128" i="45" s="1"/>
  <c r="O127" i="45"/>
  <c r="I127" i="45"/>
  <c r="B127" i="45"/>
  <c r="C127" i="45" s="1"/>
  <c r="O126" i="45"/>
  <c r="I126" i="45"/>
  <c r="B126" i="45"/>
  <c r="C126" i="45" s="1"/>
  <c r="O125" i="45"/>
  <c r="I125" i="45"/>
  <c r="B125" i="45"/>
  <c r="C125" i="45" s="1"/>
  <c r="O124" i="45"/>
  <c r="I124" i="45"/>
  <c r="B124" i="45"/>
  <c r="C124" i="45" s="1"/>
  <c r="O123" i="45"/>
  <c r="I123" i="45"/>
  <c r="B123" i="45"/>
  <c r="C123" i="45" s="1"/>
  <c r="O122" i="45"/>
  <c r="I122" i="45"/>
  <c r="B122" i="45"/>
  <c r="C122" i="45" s="1"/>
  <c r="O121" i="45"/>
  <c r="I121" i="45"/>
  <c r="B121" i="45"/>
  <c r="C121" i="45" s="1"/>
  <c r="O120" i="45"/>
  <c r="I120" i="45"/>
  <c r="B120" i="45"/>
  <c r="C120" i="45" s="1"/>
  <c r="O119" i="45"/>
  <c r="I119" i="45"/>
  <c r="B119" i="45"/>
  <c r="C119" i="45" s="1"/>
  <c r="O118" i="45"/>
  <c r="I118" i="45"/>
  <c r="B118" i="45"/>
  <c r="C118" i="45" s="1"/>
  <c r="O117" i="45"/>
  <c r="I117" i="45"/>
  <c r="B117" i="45"/>
  <c r="C117" i="45" s="1"/>
  <c r="O116" i="45"/>
  <c r="I116" i="45"/>
  <c r="B116" i="45"/>
  <c r="C116" i="45" s="1"/>
  <c r="O115" i="45"/>
  <c r="I115" i="45"/>
  <c r="B115" i="45"/>
  <c r="C115" i="45" s="1"/>
  <c r="O114" i="45"/>
  <c r="I114" i="45"/>
  <c r="B114" i="45"/>
  <c r="C114" i="45" s="1"/>
  <c r="O113" i="45"/>
  <c r="I113" i="45"/>
  <c r="B113" i="45"/>
  <c r="C113" i="45" s="1"/>
  <c r="O112" i="45"/>
  <c r="I112" i="45"/>
  <c r="B112" i="45"/>
  <c r="C112" i="45" s="1"/>
  <c r="O111" i="45"/>
  <c r="I111" i="45"/>
  <c r="B111" i="45"/>
  <c r="C111" i="45" s="1"/>
  <c r="O110" i="45"/>
  <c r="I110" i="45"/>
  <c r="B110" i="45"/>
  <c r="C110" i="45" s="1"/>
  <c r="O109" i="45"/>
  <c r="I109" i="45"/>
  <c r="B109" i="45"/>
  <c r="C109" i="45" s="1"/>
  <c r="O108" i="45"/>
  <c r="I108" i="45"/>
  <c r="B108" i="45"/>
  <c r="C108" i="45" s="1"/>
  <c r="O107" i="45"/>
  <c r="I107" i="45"/>
  <c r="B107" i="45"/>
  <c r="C107" i="45" s="1"/>
  <c r="O106" i="45"/>
  <c r="I106" i="45"/>
  <c r="B106" i="45"/>
  <c r="C106" i="45" s="1"/>
  <c r="O105" i="45"/>
  <c r="I105" i="45"/>
  <c r="B105" i="45"/>
  <c r="C105" i="45" s="1"/>
  <c r="O104" i="45"/>
  <c r="I104" i="45"/>
  <c r="B104" i="45"/>
  <c r="C104" i="45" s="1"/>
  <c r="O103" i="45"/>
  <c r="I103" i="45"/>
  <c r="B103" i="45"/>
  <c r="C103" i="45" s="1"/>
  <c r="O102" i="45"/>
  <c r="I102" i="45"/>
  <c r="B102" i="45"/>
  <c r="C102" i="45" s="1"/>
  <c r="O101" i="45"/>
  <c r="I101" i="45"/>
  <c r="B101" i="45"/>
  <c r="C101" i="45" s="1"/>
  <c r="O100" i="45"/>
  <c r="I100" i="45"/>
  <c r="B100" i="45"/>
  <c r="C100" i="45" s="1"/>
  <c r="O99" i="45"/>
  <c r="I99" i="45"/>
  <c r="B99" i="45"/>
  <c r="C99" i="45" s="1"/>
  <c r="O98" i="45"/>
  <c r="I98" i="45"/>
  <c r="B98" i="45"/>
  <c r="C98" i="45" s="1"/>
  <c r="O97" i="45"/>
  <c r="I97" i="45"/>
  <c r="B97" i="45"/>
  <c r="C97" i="45" s="1"/>
  <c r="O96" i="45"/>
  <c r="I96" i="45"/>
  <c r="B96" i="45"/>
  <c r="C96" i="45" s="1"/>
  <c r="O95" i="45"/>
  <c r="I95" i="45"/>
  <c r="B95" i="45"/>
  <c r="C95" i="45" s="1"/>
  <c r="O94" i="45"/>
  <c r="I94" i="45"/>
  <c r="B94" i="45"/>
  <c r="C94" i="45" s="1"/>
  <c r="O93" i="45"/>
  <c r="I93" i="45"/>
  <c r="B93" i="45"/>
  <c r="C93" i="45" s="1"/>
  <c r="O92" i="45"/>
  <c r="I92" i="45"/>
  <c r="B92" i="45"/>
  <c r="C92" i="45" s="1"/>
  <c r="O91" i="45"/>
  <c r="I91" i="45"/>
  <c r="B91" i="45"/>
  <c r="C91" i="45" s="1"/>
  <c r="O90" i="45"/>
  <c r="I90" i="45"/>
  <c r="B90" i="45"/>
  <c r="C90" i="45" s="1"/>
  <c r="O89" i="45"/>
  <c r="I89" i="45"/>
  <c r="B89" i="45"/>
  <c r="C89" i="45" s="1"/>
  <c r="O88" i="45"/>
  <c r="I88" i="45"/>
  <c r="B88" i="45"/>
  <c r="C88" i="45" s="1"/>
  <c r="O87" i="45"/>
  <c r="I87" i="45"/>
  <c r="B87" i="45"/>
  <c r="C87" i="45" s="1"/>
  <c r="O86" i="45"/>
  <c r="I86" i="45"/>
  <c r="B86" i="45"/>
  <c r="C86" i="45" s="1"/>
  <c r="O85" i="45"/>
  <c r="I85" i="45"/>
  <c r="B85" i="45"/>
  <c r="C85" i="45" s="1"/>
  <c r="O84" i="45"/>
  <c r="I84" i="45"/>
  <c r="B84" i="45"/>
  <c r="C84" i="45" s="1"/>
  <c r="O83" i="45"/>
  <c r="I83" i="45"/>
  <c r="B83" i="45"/>
  <c r="C83" i="45" s="1"/>
  <c r="O82" i="45"/>
  <c r="I82" i="45"/>
  <c r="B82" i="45"/>
  <c r="C82" i="45" s="1"/>
  <c r="O81" i="45"/>
  <c r="I81" i="45"/>
  <c r="B81" i="45"/>
  <c r="C81" i="45" s="1"/>
  <c r="O80" i="45"/>
  <c r="I80" i="45"/>
  <c r="B80" i="45"/>
  <c r="C80" i="45" s="1"/>
  <c r="O79" i="45"/>
  <c r="I79" i="45"/>
  <c r="B79" i="45"/>
  <c r="C79" i="45" s="1"/>
  <c r="O78" i="45"/>
  <c r="I78" i="45"/>
  <c r="B78" i="45"/>
  <c r="C78" i="45" s="1"/>
  <c r="O77" i="45"/>
  <c r="I77" i="45"/>
  <c r="B77" i="45"/>
  <c r="C77" i="45" s="1"/>
  <c r="O76" i="45"/>
  <c r="I76" i="45"/>
  <c r="B76" i="45"/>
  <c r="C76" i="45" s="1"/>
  <c r="O75" i="45"/>
  <c r="I75" i="45"/>
  <c r="B75" i="45"/>
  <c r="C75" i="45" s="1"/>
  <c r="O74" i="45"/>
  <c r="I74" i="45"/>
  <c r="B74" i="45"/>
  <c r="C74" i="45" s="1"/>
  <c r="O73" i="45"/>
  <c r="I73" i="45"/>
  <c r="B73" i="45"/>
  <c r="C73" i="45" s="1"/>
  <c r="O72" i="45"/>
  <c r="I72" i="45"/>
  <c r="B72" i="45"/>
  <c r="C72" i="45" s="1"/>
  <c r="O71" i="45"/>
  <c r="I71" i="45"/>
  <c r="B71" i="45"/>
  <c r="C71" i="45" s="1"/>
  <c r="O70" i="45"/>
  <c r="I70" i="45"/>
  <c r="B70" i="45"/>
  <c r="C70" i="45" s="1"/>
  <c r="O69" i="45"/>
  <c r="I69" i="45"/>
  <c r="B69" i="45"/>
  <c r="C69" i="45" s="1"/>
  <c r="O68" i="45"/>
  <c r="I68" i="45"/>
  <c r="B68" i="45"/>
  <c r="C68" i="45" s="1"/>
  <c r="O67" i="45"/>
  <c r="I67" i="45"/>
  <c r="B67" i="45"/>
  <c r="C67" i="45" s="1"/>
  <c r="O66" i="45"/>
  <c r="I66" i="45"/>
  <c r="B66" i="45"/>
  <c r="C66" i="45" s="1"/>
  <c r="O65" i="45"/>
  <c r="I65" i="45"/>
  <c r="B65" i="45"/>
  <c r="C65" i="45" s="1"/>
  <c r="O64" i="45"/>
  <c r="I64" i="45"/>
  <c r="B64" i="45"/>
  <c r="C64" i="45" s="1"/>
  <c r="O63" i="45"/>
  <c r="I63" i="45"/>
  <c r="B63" i="45"/>
  <c r="C63" i="45" s="1"/>
  <c r="O62" i="45"/>
  <c r="I62" i="45"/>
  <c r="B62" i="45"/>
  <c r="C62" i="45" s="1"/>
  <c r="O61" i="45"/>
  <c r="I61" i="45"/>
  <c r="B61" i="45"/>
  <c r="C61" i="45" s="1"/>
  <c r="O60" i="45"/>
  <c r="I60" i="45"/>
  <c r="B60" i="45"/>
  <c r="C60" i="45" s="1"/>
  <c r="O59" i="45"/>
  <c r="I59" i="45"/>
  <c r="B59" i="45"/>
  <c r="C59" i="45" s="1"/>
  <c r="O58" i="45"/>
  <c r="I58" i="45"/>
  <c r="B58" i="45"/>
  <c r="C58" i="45" s="1"/>
  <c r="O57" i="45"/>
  <c r="I57" i="45"/>
  <c r="B57" i="45"/>
  <c r="C57" i="45" s="1"/>
  <c r="O56" i="45"/>
  <c r="I56" i="45"/>
  <c r="B56" i="45"/>
  <c r="C56" i="45" s="1"/>
  <c r="O55" i="45"/>
  <c r="I55" i="45"/>
  <c r="B55" i="45"/>
  <c r="C55" i="45" s="1"/>
  <c r="O54" i="45"/>
  <c r="I54" i="45"/>
  <c r="B54" i="45"/>
  <c r="C54" i="45" s="1"/>
  <c r="O53" i="45"/>
  <c r="I53" i="45"/>
  <c r="B53" i="45"/>
  <c r="C53" i="45" s="1"/>
  <c r="O52" i="45"/>
  <c r="I52" i="45"/>
  <c r="B52" i="45"/>
  <c r="C52" i="45" s="1"/>
  <c r="O51" i="45"/>
  <c r="I51" i="45"/>
  <c r="B51" i="45"/>
  <c r="C51" i="45" s="1"/>
  <c r="O50" i="45"/>
  <c r="I50" i="45"/>
  <c r="B50" i="45"/>
  <c r="C50" i="45" s="1"/>
  <c r="O49" i="45"/>
  <c r="I49" i="45"/>
  <c r="B49" i="45"/>
  <c r="C49" i="45" s="1"/>
  <c r="O48" i="45"/>
  <c r="I48" i="45"/>
  <c r="B48" i="45"/>
  <c r="C48" i="45" s="1"/>
  <c r="O47" i="45"/>
  <c r="I47" i="45"/>
  <c r="B47" i="45"/>
  <c r="C47" i="45" s="1"/>
  <c r="O46" i="45"/>
  <c r="I46" i="45"/>
  <c r="B46" i="45"/>
  <c r="C46" i="45" s="1"/>
  <c r="O45" i="45"/>
  <c r="I45" i="45"/>
  <c r="B45" i="45"/>
  <c r="C45" i="45" s="1"/>
  <c r="O44" i="45"/>
  <c r="I44" i="45"/>
  <c r="B44" i="45"/>
  <c r="C44" i="45" s="1"/>
  <c r="O43" i="45"/>
  <c r="I43" i="45"/>
  <c r="B43" i="45"/>
  <c r="C43" i="45" s="1"/>
  <c r="O42" i="45"/>
  <c r="I42" i="45"/>
  <c r="B42" i="45"/>
  <c r="C42" i="45" s="1"/>
  <c r="O41" i="45"/>
  <c r="I41" i="45"/>
  <c r="B41" i="45"/>
  <c r="C41" i="45" s="1"/>
  <c r="O40" i="45"/>
  <c r="I40" i="45"/>
  <c r="B40" i="45"/>
  <c r="C40" i="45" s="1"/>
  <c r="O39" i="45"/>
  <c r="I39" i="45"/>
  <c r="B39" i="45"/>
  <c r="C39" i="45" s="1"/>
  <c r="O38" i="45"/>
  <c r="I38" i="45"/>
  <c r="B38" i="45"/>
  <c r="C38" i="45" s="1"/>
  <c r="O37" i="45"/>
  <c r="I37" i="45"/>
  <c r="B37" i="45"/>
  <c r="C37" i="45" s="1"/>
  <c r="O36" i="45"/>
  <c r="I36" i="45"/>
  <c r="B36" i="45"/>
  <c r="C36" i="45" s="1"/>
  <c r="O35" i="45"/>
  <c r="I35" i="45"/>
  <c r="B35" i="45"/>
  <c r="C35" i="45" s="1"/>
  <c r="O34" i="45"/>
  <c r="I34" i="45"/>
  <c r="B34" i="45"/>
  <c r="C34" i="45" s="1"/>
  <c r="O33" i="45"/>
  <c r="I33" i="45"/>
  <c r="B33" i="45"/>
  <c r="C33" i="45" s="1"/>
  <c r="O32" i="45"/>
  <c r="I32" i="45"/>
  <c r="B32" i="45"/>
  <c r="C32" i="45" s="1"/>
  <c r="O31" i="45"/>
  <c r="I31" i="45"/>
  <c r="B31" i="45"/>
  <c r="C31" i="45" s="1"/>
  <c r="O30" i="45"/>
  <c r="I30" i="45"/>
  <c r="B30" i="45"/>
  <c r="C30" i="45" s="1"/>
  <c r="O29" i="45"/>
  <c r="I29" i="45"/>
  <c r="B29" i="45"/>
  <c r="C29" i="45" s="1"/>
  <c r="O28" i="45"/>
  <c r="I28" i="45"/>
  <c r="B28" i="45"/>
  <c r="C28" i="45" s="1"/>
  <c r="O27" i="45"/>
  <c r="I27" i="45"/>
  <c r="B27" i="45"/>
  <c r="C27" i="45" s="1"/>
  <c r="O26" i="45"/>
  <c r="I26" i="45"/>
  <c r="B26" i="45"/>
  <c r="C26" i="45" s="1"/>
  <c r="O25" i="45"/>
  <c r="I25" i="45"/>
  <c r="B25" i="45"/>
  <c r="C25" i="45" s="1"/>
  <c r="O24" i="45"/>
  <c r="I24" i="45"/>
  <c r="B24" i="45"/>
  <c r="C24" i="45" s="1"/>
  <c r="O23" i="45"/>
  <c r="I23" i="45"/>
  <c r="B23" i="45"/>
  <c r="C23" i="45" s="1"/>
  <c r="O22" i="45"/>
  <c r="I22" i="45"/>
  <c r="B22" i="45"/>
  <c r="C22" i="45" s="1"/>
  <c r="O21" i="45"/>
  <c r="I21" i="45"/>
  <c r="B21" i="45"/>
  <c r="C21" i="45" s="1"/>
  <c r="O20" i="45"/>
  <c r="I20" i="45"/>
  <c r="B20" i="45"/>
  <c r="C20" i="45" s="1"/>
  <c r="O19" i="45"/>
  <c r="I19" i="45"/>
  <c r="B19" i="45"/>
  <c r="C19" i="45" s="1"/>
  <c r="O18" i="45"/>
  <c r="I18" i="45"/>
  <c r="B18" i="45"/>
  <c r="C18" i="45" s="1"/>
  <c r="O17" i="45"/>
  <c r="I17" i="45"/>
  <c r="B17" i="45"/>
  <c r="C17" i="45" s="1"/>
  <c r="O16" i="45"/>
  <c r="I16" i="45"/>
  <c r="B16" i="45"/>
  <c r="C16" i="45" s="1"/>
  <c r="O15" i="45"/>
  <c r="I15" i="45"/>
  <c r="B15" i="45"/>
  <c r="C15" i="45" s="1"/>
  <c r="O14" i="45"/>
  <c r="I14" i="45"/>
  <c r="B14" i="45"/>
  <c r="C14" i="45" s="1"/>
  <c r="O13" i="45"/>
  <c r="I13" i="45"/>
  <c r="B13" i="45"/>
  <c r="C13" i="45" s="1"/>
  <c r="O12" i="45"/>
  <c r="I12" i="45"/>
  <c r="B12" i="45"/>
  <c r="C12" i="45" s="1"/>
  <c r="O11" i="45"/>
  <c r="I11" i="45"/>
  <c r="B11" i="45"/>
  <c r="C11" i="45" s="1"/>
  <c r="O10" i="45"/>
  <c r="I10" i="45"/>
  <c r="B10" i="45"/>
  <c r="C10" i="45" s="1"/>
  <c r="O9" i="45"/>
  <c r="I9" i="45"/>
  <c r="B9" i="45"/>
  <c r="C9" i="45" s="1"/>
  <c r="O8" i="45"/>
  <c r="I8" i="45"/>
  <c r="B8" i="45"/>
  <c r="C8" i="45" s="1"/>
  <c r="O7" i="45"/>
  <c r="I7" i="45"/>
  <c r="B7" i="45"/>
  <c r="C7" i="45" s="1"/>
  <c r="O6" i="45"/>
  <c r="I6" i="45"/>
  <c r="B6" i="45"/>
  <c r="C6" i="45" s="1"/>
  <c r="O5" i="45"/>
  <c r="I5" i="45"/>
  <c r="B5" i="45"/>
  <c r="C5" i="45" s="1"/>
  <c r="O4" i="45"/>
  <c r="I4" i="45"/>
  <c r="B4" i="45"/>
  <c r="C4" i="45" s="1"/>
  <c r="O3" i="45"/>
  <c r="I3" i="45"/>
  <c r="B3" i="45"/>
  <c r="C3" i="45" s="1"/>
  <c r="K916" i="23"/>
  <c r="K915" i="23"/>
  <c r="K914" i="23"/>
  <c r="K913" i="23"/>
  <c r="K912" i="23"/>
  <c r="K911" i="23"/>
  <c r="K910" i="23"/>
  <c r="K909" i="23"/>
  <c r="K908" i="23"/>
  <c r="K907" i="23"/>
  <c r="K906" i="23"/>
  <c r="K905" i="23"/>
  <c r="K904" i="23"/>
  <c r="K903" i="23"/>
  <c r="K902" i="23"/>
  <c r="K901" i="23"/>
  <c r="K900" i="23"/>
  <c r="K899" i="23"/>
  <c r="K898" i="23"/>
  <c r="K897" i="23"/>
  <c r="K896" i="23"/>
  <c r="K895" i="23"/>
  <c r="K894" i="23"/>
  <c r="K893" i="23"/>
  <c r="K892" i="23"/>
  <c r="K891" i="23"/>
  <c r="K890" i="23"/>
  <c r="K889" i="23"/>
  <c r="K888" i="23"/>
  <c r="K887" i="23"/>
  <c r="K886" i="23"/>
  <c r="K885" i="23"/>
  <c r="K884" i="23"/>
  <c r="K883" i="23"/>
  <c r="K882" i="23"/>
  <c r="K881" i="23"/>
  <c r="K880" i="23"/>
  <c r="K879" i="23"/>
  <c r="K878" i="23"/>
  <c r="K877" i="23"/>
  <c r="K876" i="23"/>
  <c r="K875" i="23"/>
  <c r="K874" i="23"/>
  <c r="K873" i="23"/>
  <c r="K872" i="23"/>
  <c r="K871" i="23"/>
  <c r="K870" i="23"/>
  <c r="K869" i="23"/>
  <c r="K868" i="23"/>
  <c r="K867" i="23"/>
  <c r="K866" i="23"/>
  <c r="K865" i="23"/>
  <c r="K864" i="23"/>
  <c r="K863" i="23"/>
  <c r="K862" i="23"/>
  <c r="K861" i="23"/>
  <c r="K860" i="23"/>
  <c r="K859" i="23"/>
  <c r="K858" i="23"/>
  <c r="K857" i="23"/>
  <c r="K856" i="23"/>
  <c r="K855" i="23"/>
  <c r="K854" i="23"/>
  <c r="K853" i="23"/>
  <c r="K852" i="23"/>
  <c r="K851" i="23"/>
  <c r="K850" i="23"/>
  <c r="K849" i="23"/>
  <c r="K848" i="23"/>
  <c r="K847" i="23"/>
  <c r="K846" i="23"/>
  <c r="K845" i="23"/>
  <c r="K844" i="23"/>
  <c r="K843" i="23"/>
  <c r="K842" i="23"/>
  <c r="K841" i="23"/>
  <c r="K840" i="23"/>
  <c r="K839" i="23"/>
  <c r="K838" i="23"/>
  <c r="K837" i="23"/>
  <c r="K836" i="23"/>
  <c r="K835" i="23"/>
  <c r="K834" i="23"/>
  <c r="K833" i="23"/>
  <c r="K832" i="23"/>
  <c r="K831" i="23"/>
  <c r="K830" i="23"/>
  <c r="K829" i="23"/>
  <c r="K828" i="23"/>
  <c r="K827" i="23"/>
  <c r="K826" i="23"/>
  <c r="K825" i="23"/>
  <c r="K824" i="23"/>
  <c r="K823" i="23"/>
  <c r="K822" i="23"/>
  <c r="K821" i="23"/>
  <c r="K820" i="23"/>
  <c r="K819" i="23"/>
  <c r="K818" i="23"/>
  <c r="K817" i="23"/>
  <c r="K816" i="23"/>
  <c r="K815" i="23"/>
  <c r="K814" i="23"/>
  <c r="K813" i="23"/>
  <c r="K812" i="23"/>
  <c r="K811" i="23"/>
  <c r="K810" i="23"/>
  <c r="K809" i="23"/>
  <c r="K808" i="23"/>
  <c r="K807" i="23"/>
  <c r="K806" i="23"/>
  <c r="K805" i="23"/>
  <c r="K804" i="23"/>
  <c r="K803" i="23"/>
  <c r="K802" i="23"/>
  <c r="K801" i="23"/>
  <c r="K800" i="23"/>
  <c r="K799" i="23"/>
  <c r="K798" i="23"/>
  <c r="K797" i="23"/>
  <c r="K796" i="23"/>
  <c r="K795" i="23"/>
  <c r="K794" i="23"/>
  <c r="K793" i="23"/>
  <c r="K792" i="23"/>
  <c r="K791" i="23"/>
  <c r="K790" i="23"/>
  <c r="K789" i="23"/>
  <c r="K788" i="23"/>
  <c r="K787" i="23"/>
  <c r="K786" i="23"/>
  <c r="K785" i="23"/>
  <c r="K784" i="23"/>
  <c r="K783" i="23"/>
  <c r="K782" i="23"/>
  <c r="K781" i="23"/>
  <c r="K780" i="23"/>
  <c r="K779" i="23"/>
  <c r="K778" i="23"/>
  <c r="K777" i="23"/>
  <c r="K776" i="23"/>
  <c r="K775" i="23"/>
  <c r="K774" i="23"/>
  <c r="K773" i="23"/>
  <c r="K772" i="23"/>
  <c r="K771" i="23"/>
  <c r="K770" i="23"/>
  <c r="K769" i="23"/>
  <c r="K768" i="23"/>
  <c r="K767" i="23"/>
  <c r="K766" i="23"/>
  <c r="K765" i="23"/>
  <c r="K764" i="23"/>
  <c r="K763" i="23"/>
  <c r="K762" i="23"/>
  <c r="K761" i="23"/>
  <c r="K760" i="23"/>
  <c r="K759" i="23"/>
  <c r="K758" i="23"/>
  <c r="K757" i="23"/>
  <c r="K756" i="23"/>
  <c r="K755" i="23"/>
  <c r="K754" i="23"/>
  <c r="K753" i="23"/>
  <c r="K752" i="23"/>
  <c r="K751" i="23"/>
  <c r="K750" i="23"/>
  <c r="K749" i="23"/>
  <c r="K748" i="23"/>
  <c r="K747" i="23"/>
  <c r="K746" i="23"/>
  <c r="K745" i="23"/>
  <c r="K744" i="23"/>
  <c r="K743" i="23"/>
  <c r="K742" i="23"/>
  <c r="K741" i="23"/>
  <c r="K740" i="23"/>
  <c r="K739" i="23"/>
  <c r="K738" i="23"/>
  <c r="K737" i="23"/>
  <c r="K736" i="23"/>
  <c r="K735" i="23"/>
  <c r="K734" i="23"/>
  <c r="K733" i="23"/>
  <c r="K732" i="23"/>
  <c r="K731" i="23"/>
  <c r="K730" i="23"/>
  <c r="K729" i="23"/>
  <c r="K728" i="23"/>
  <c r="K727" i="23"/>
  <c r="K726" i="23"/>
  <c r="K725" i="23"/>
  <c r="K724" i="23"/>
  <c r="K723" i="23"/>
  <c r="K722" i="23"/>
  <c r="K721" i="23"/>
  <c r="K720" i="23"/>
  <c r="K719" i="23"/>
  <c r="K718" i="23"/>
  <c r="K717" i="23"/>
  <c r="K716" i="23"/>
  <c r="K715" i="23"/>
  <c r="K714" i="23"/>
  <c r="K713" i="23"/>
  <c r="K712" i="23"/>
  <c r="K711" i="23"/>
  <c r="K710" i="23"/>
  <c r="K709" i="23"/>
  <c r="K708" i="23"/>
  <c r="K707" i="23"/>
  <c r="K706" i="23"/>
  <c r="K705" i="23"/>
  <c r="K704" i="23"/>
  <c r="K703" i="23"/>
  <c r="K702" i="23"/>
  <c r="K701" i="23"/>
  <c r="K700" i="23"/>
  <c r="K699" i="23"/>
  <c r="K698" i="23"/>
  <c r="K697" i="23"/>
  <c r="K696" i="23"/>
  <c r="K695" i="23"/>
  <c r="K694" i="23"/>
  <c r="K693" i="23"/>
  <c r="K692" i="23"/>
  <c r="K691" i="23"/>
  <c r="K690" i="23"/>
  <c r="K689" i="23"/>
  <c r="K688" i="23"/>
  <c r="K687" i="23"/>
  <c r="K686" i="23"/>
  <c r="K685" i="23"/>
  <c r="K684" i="23"/>
  <c r="K683" i="23"/>
  <c r="K682" i="23"/>
  <c r="K681" i="23"/>
  <c r="K680" i="23"/>
  <c r="K679" i="23"/>
  <c r="K678" i="23"/>
  <c r="K677" i="23"/>
  <c r="K676" i="23"/>
  <c r="K675" i="23"/>
  <c r="K674" i="23"/>
  <c r="K673" i="23"/>
  <c r="K672" i="23"/>
  <c r="K671" i="23"/>
  <c r="K670" i="23"/>
  <c r="K669" i="23"/>
  <c r="K668" i="23"/>
  <c r="K667" i="23"/>
  <c r="K666" i="23"/>
  <c r="K665" i="23"/>
  <c r="K664" i="23"/>
  <c r="K663" i="23"/>
  <c r="K662" i="23"/>
  <c r="K661" i="23"/>
  <c r="K660" i="23"/>
  <c r="K659" i="23"/>
  <c r="K658" i="23"/>
  <c r="K657" i="23"/>
  <c r="K656" i="23"/>
  <c r="K655" i="23"/>
  <c r="K654" i="23"/>
  <c r="K653" i="23"/>
  <c r="K652" i="23"/>
  <c r="K651" i="23"/>
  <c r="K650" i="23"/>
  <c r="K649" i="23"/>
  <c r="K648" i="23"/>
  <c r="K647" i="23"/>
  <c r="K646" i="23"/>
  <c r="K645" i="23"/>
  <c r="K644" i="23"/>
  <c r="K643" i="23"/>
  <c r="K642" i="23"/>
  <c r="K641" i="23"/>
  <c r="K640" i="23"/>
  <c r="K639" i="23"/>
  <c r="K638" i="23"/>
  <c r="K637" i="23"/>
  <c r="K636" i="23"/>
  <c r="K635" i="23"/>
  <c r="K634" i="23"/>
  <c r="K633" i="23"/>
  <c r="K632" i="23"/>
  <c r="K631" i="23"/>
  <c r="K630" i="23"/>
  <c r="K629" i="23"/>
  <c r="K628" i="23"/>
  <c r="K627" i="23"/>
  <c r="K626" i="23"/>
  <c r="K625" i="23"/>
  <c r="K624" i="23"/>
  <c r="K623" i="23"/>
  <c r="K622" i="23"/>
  <c r="K621" i="23"/>
  <c r="K620" i="23"/>
  <c r="K619" i="23"/>
  <c r="K618" i="23"/>
  <c r="K617" i="23"/>
  <c r="K616" i="23"/>
  <c r="K615" i="23"/>
  <c r="K614" i="23"/>
  <c r="K613" i="23"/>
  <c r="K612" i="23"/>
  <c r="K611" i="23"/>
  <c r="K610" i="23"/>
  <c r="K609" i="23"/>
  <c r="K608" i="23"/>
  <c r="K607" i="23"/>
  <c r="K606" i="23"/>
  <c r="K605" i="23"/>
  <c r="K604" i="23"/>
  <c r="K603" i="23"/>
  <c r="K602" i="23"/>
  <c r="K601" i="23"/>
  <c r="K600" i="23"/>
  <c r="K599" i="23"/>
  <c r="K598" i="23"/>
  <c r="K597" i="23"/>
  <c r="K596" i="23"/>
  <c r="K595" i="23"/>
  <c r="K594" i="23"/>
  <c r="K593" i="23"/>
  <c r="K592" i="23"/>
  <c r="K591" i="23"/>
  <c r="K590" i="23"/>
  <c r="K589" i="23"/>
  <c r="K588" i="23"/>
  <c r="K587" i="23"/>
  <c r="K586" i="23"/>
  <c r="K585" i="23"/>
  <c r="K584" i="23"/>
  <c r="K583" i="23"/>
  <c r="K582" i="23"/>
  <c r="K581" i="23"/>
  <c r="K580" i="23"/>
  <c r="K579" i="23"/>
  <c r="K578" i="23"/>
  <c r="K577" i="23"/>
  <c r="K576" i="23"/>
  <c r="K575" i="23"/>
  <c r="K574" i="23"/>
  <c r="K573" i="23"/>
  <c r="K572" i="23"/>
  <c r="K571" i="23"/>
  <c r="K570" i="23"/>
  <c r="K569" i="23"/>
  <c r="K568" i="23"/>
  <c r="K567" i="23"/>
  <c r="K566" i="23"/>
  <c r="K565" i="23"/>
  <c r="K564" i="23"/>
  <c r="K563" i="23"/>
  <c r="K562" i="23"/>
  <c r="K561" i="23"/>
  <c r="K560" i="23"/>
  <c r="K559" i="23"/>
  <c r="K558" i="23"/>
  <c r="K557" i="23"/>
  <c r="K556" i="23"/>
  <c r="K555" i="23"/>
  <c r="K554" i="23"/>
  <c r="K553" i="23"/>
  <c r="K552" i="23"/>
  <c r="K551" i="23"/>
  <c r="K550" i="23"/>
  <c r="K549" i="23"/>
  <c r="K548" i="23"/>
  <c r="K547" i="23"/>
  <c r="K546" i="23"/>
  <c r="K545" i="23"/>
  <c r="K544" i="23"/>
  <c r="K543" i="23"/>
  <c r="K542" i="23"/>
  <c r="K541" i="23"/>
  <c r="K540" i="23"/>
  <c r="K539" i="23"/>
  <c r="K538" i="23"/>
  <c r="K537" i="23"/>
  <c r="K536" i="23"/>
  <c r="K535" i="23"/>
  <c r="K534" i="23"/>
  <c r="K533" i="23"/>
  <c r="K532" i="23"/>
  <c r="K531" i="23"/>
  <c r="K530" i="23"/>
  <c r="K529" i="23"/>
  <c r="K528" i="23"/>
  <c r="K527" i="23"/>
  <c r="K526" i="23"/>
  <c r="K525" i="23"/>
  <c r="K524" i="23"/>
  <c r="K523" i="23"/>
  <c r="K522" i="23"/>
  <c r="K521" i="23"/>
  <c r="K520" i="23"/>
  <c r="K519" i="23"/>
  <c r="K518" i="23"/>
  <c r="K517" i="23"/>
  <c r="K516" i="23"/>
  <c r="K515" i="23"/>
  <c r="K514" i="23"/>
  <c r="K513" i="23"/>
  <c r="K512" i="23"/>
  <c r="K511" i="23"/>
  <c r="K510" i="23"/>
  <c r="K509" i="23"/>
  <c r="K508" i="23"/>
  <c r="K507" i="23"/>
  <c r="K506" i="23"/>
  <c r="K505" i="23"/>
  <c r="K504" i="23"/>
  <c r="K503" i="23"/>
  <c r="K502" i="23"/>
  <c r="K501" i="23"/>
  <c r="K500" i="23"/>
  <c r="K499" i="23"/>
  <c r="K498" i="23"/>
  <c r="K497" i="23"/>
  <c r="K496" i="23"/>
  <c r="K495" i="23"/>
  <c r="K494" i="23"/>
  <c r="K493" i="23"/>
  <c r="K492" i="23"/>
  <c r="K491" i="23"/>
  <c r="K490" i="23"/>
  <c r="K489" i="23"/>
  <c r="K488" i="23"/>
  <c r="K487" i="23"/>
  <c r="K486" i="23"/>
  <c r="K485" i="23"/>
  <c r="K484" i="23"/>
  <c r="K483" i="23"/>
  <c r="K482" i="23"/>
  <c r="K481" i="23"/>
  <c r="K480" i="23"/>
  <c r="K479" i="23"/>
  <c r="K478" i="23"/>
  <c r="K477" i="23"/>
  <c r="K476" i="23"/>
  <c r="K475" i="23"/>
  <c r="K474" i="23"/>
  <c r="K473" i="23"/>
  <c r="K472" i="23"/>
  <c r="K471" i="23"/>
  <c r="K470" i="23"/>
  <c r="K469" i="23"/>
  <c r="K468" i="23"/>
  <c r="K467" i="23"/>
  <c r="K466" i="23"/>
  <c r="K465" i="23"/>
  <c r="K464" i="23"/>
  <c r="K463" i="23"/>
  <c r="K462" i="23"/>
  <c r="K461" i="23"/>
  <c r="K460" i="23"/>
  <c r="K459" i="23"/>
  <c r="K458" i="23"/>
  <c r="K457" i="23"/>
  <c r="K456" i="23"/>
  <c r="K455" i="23"/>
  <c r="K454" i="23"/>
  <c r="K453" i="23"/>
  <c r="K452" i="23"/>
  <c r="K451" i="23"/>
  <c r="K450" i="23"/>
  <c r="K449" i="23"/>
  <c r="K448" i="23"/>
  <c r="K447" i="23"/>
  <c r="K446" i="23"/>
  <c r="K445" i="23"/>
  <c r="K444" i="23"/>
  <c r="K443" i="23"/>
  <c r="K442" i="23"/>
  <c r="K441" i="23"/>
  <c r="K440" i="23"/>
  <c r="K439" i="23"/>
  <c r="K438" i="23"/>
  <c r="K437" i="23"/>
  <c r="K436" i="23"/>
  <c r="K435" i="23"/>
  <c r="K434" i="23"/>
  <c r="K433" i="23"/>
  <c r="K432" i="23"/>
  <c r="K431" i="23"/>
  <c r="K430" i="23"/>
  <c r="K429" i="23"/>
  <c r="K428" i="23"/>
  <c r="K427" i="23"/>
  <c r="K426" i="23"/>
  <c r="K425" i="23"/>
  <c r="K424" i="23"/>
  <c r="K423" i="23"/>
  <c r="K422" i="23"/>
  <c r="K421" i="23"/>
  <c r="K420" i="23"/>
  <c r="K419" i="23"/>
  <c r="K418" i="23"/>
  <c r="K417" i="23"/>
  <c r="K416" i="23"/>
  <c r="K415" i="23"/>
  <c r="K414" i="23"/>
  <c r="K413" i="23"/>
  <c r="K412" i="23"/>
  <c r="K411" i="23"/>
  <c r="K410" i="23"/>
  <c r="K409" i="23"/>
  <c r="K408" i="23"/>
  <c r="K407" i="23"/>
  <c r="K406" i="23"/>
  <c r="K405" i="23"/>
  <c r="K404" i="23"/>
  <c r="K403" i="23"/>
  <c r="K402" i="23"/>
  <c r="K401" i="23"/>
  <c r="K400" i="23"/>
  <c r="K399" i="23"/>
  <c r="K398" i="23"/>
  <c r="K397" i="23"/>
  <c r="K396" i="23"/>
  <c r="K395" i="23"/>
  <c r="K394" i="23"/>
  <c r="K393" i="23"/>
  <c r="K392" i="23"/>
  <c r="K391" i="23"/>
  <c r="K390" i="23"/>
  <c r="K389" i="23"/>
  <c r="K388" i="23"/>
  <c r="K387" i="23"/>
  <c r="K386" i="23"/>
  <c r="K385" i="23"/>
  <c r="K384" i="23"/>
  <c r="K383" i="23"/>
  <c r="K382" i="23"/>
  <c r="K381" i="23"/>
  <c r="K380" i="23"/>
  <c r="K379" i="23"/>
  <c r="K378" i="23"/>
  <c r="K377" i="23"/>
  <c r="K376" i="23"/>
  <c r="K375" i="23"/>
  <c r="K374" i="23"/>
  <c r="K373" i="23"/>
  <c r="K372" i="23"/>
  <c r="K371" i="23"/>
  <c r="K370" i="23"/>
  <c r="K369" i="23"/>
  <c r="K368" i="23"/>
  <c r="K367" i="23"/>
  <c r="K366" i="23"/>
  <c r="K365" i="23"/>
  <c r="K364" i="23"/>
  <c r="K363" i="23"/>
  <c r="K362" i="23"/>
  <c r="K361" i="23"/>
  <c r="K360" i="23"/>
  <c r="K359" i="23"/>
  <c r="K358" i="23"/>
  <c r="K357" i="23"/>
  <c r="K356" i="23"/>
  <c r="K355" i="23"/>
  <c r="K354" i="23"/>
  <c r="K353" i="23"/>
  <c r="K352" i="23"/>
  <c r="K351" i="23"/>
  <c r="K350" i="23"/>
  <c r="K349" i="23"/>
  <c r="K348" i="23"/>
  <c r="K347" i="23"/>
  <c r="K346" i="23"/>
  <c r="K345" i="23"/>
  <c r="K344" i="23"/>
  <c r="K343" i="23"/>
  <c r="K342" i="23"/>
  <c r="K341" i="23"/>
  <c r="K340" i="23"/>
  <c r="K339" i="23"/>
  <c r="K338" i="23"/>
  <c r="K337" i="23"/>
  <c r="K336" i="23"/>
  <c r="K335" i="23"/>
  <c r="K334" i="23"/>
  <c r="K333" i="23"/>
  <c r="K332" i="23"/>
  <c r="K331" i="23"/>
  <c r="K330" i="23"/>
  <c r="K329" i="23"/>
  <c r="K328" i="23"/>
  <c r="K327" i="23"/>
  <c r="K326" i="23"/>
  <c r="K325" i="23"/>
  <c r="K324" i="23"/>
  <c r="K323" i="23"/>
  <c r="K322" i="23"/>
  <c r="K321" i="23"/>
  <c r="K320" i="23"/>
  <c r="K319" i="23"/>
  <c r="K318" i="23"/>
  <c r="K317" i="23"/>
  <c r="K316" i="23"/>
  <c r="K315" i="23"/>
  <c r="K314" i="23"/>
  <c r="K313" i="23"/>
  <c r="K312" i="23"/>
  <c r="K311" i="23"/>
  <c r="K310" i="23"/>
  <c r="K309" i="23"/>
  <c r="K308" i="23"/>
  <c r="K307" i="23"/>
  <c r="K306" i="23"/>
  <c r="K305" i="23"/>
  <c r="K304" i="23"/>
  <c r="K303" i="23"/>
  <c r="K302" i="23"/>
  <c r="K301" i="23"/>
  <c r="K300" i="23"/>
  <c r="K299" i="23"/>
  <c r="K298" i="23"/>
  <c r="K297" i="23"/>
  <c r="K296" i="23"/>
  <c r="K295" i="23"/>
  <c r="K294" i="23"/>
  <c r="K293" i="23"/>
  <c r="K292" i="23"/>
  <c r="K291" i="23"/>
  <c r="K290" i="23"/>
  <c r="K289" i="23"/>
  <c r="K288" i="23"/>
  <c r="K287" i="23"/>
  <c r="K286" i="23"/>
  <c r="K285" i="23"/>
  <c r="K284" i="23"/>
  <c r="K283" i="23"/>
  <c r="K282" i="23"/>
  <c r="K281" i="23"/>
  <c r="K280" i="23"/>
  <c r="K279" i="23"/>
  <c r="K278" i="23"/>
  <c r="K277" i="23"/>
  <c r="K276" i="23"/>
  <c r="K275" i="23"/>
  <c r="K274" i="23"/>
  <c r="K273" i="23"/>
  <c r="K272" i="23"/>
  <c r="K271" i="23"/>
  <c r="K270" i="23"/>
  <c r="K269" i="23"/>
  <c r="K268" i="23"/>
  <c r="K267" i="23"/>
  <c r="K266" i="23"/>
  <c r="K265" i="23"/>
  <c r="K264" i="23"/>
  <c r="K263" i="23"/>
  <c r="K262" i="23"/>
  <c r="K261" i="23"/>
  <c r="K260" i="23"/>
  <c r="K259" i="23"/>
  <c r="K258" i="23"/>
  <c r="K257" i="23"/>
  <c r="K256" i="23"/>
  <c r="K255" i="23"/>
  <c r="K254" i="23"/>
  <c r="K253" i="23"/>
  <c r="K252" i="23"/>
  <c r="K251" i="23"/>
  <c r="K250" i="23"/>
  <c r="K249" i="23"/>
  <c r="K248" i="23"/>
  <c r="K247" i="23"/>
  <c r="K246" i="23"/>
  <c r="K245" i="23"/>
  <c r="K244" i="23"/>
  <c r="K243" i="23"/>
  <c r="K242" i="23"/>
  <c r="K241" i="23"/>
  <c r="K240" i="23"/>
  <c r="K239" i="23"/>
  <c r="K238" i="23"/>
  <c r="K237" i="23"/>
  <c r="K236" i="23"/>
  <c r="K235" i="23"/>
  <c r="K234" i="23"/>
  <c r="K233" i="23"/>
  <c r="K232" i="23"/>
  <c r="K231" i="23"/>
  <c r="K230" i="23"/>
  <c r="K229" i="23"/>
  <c r="K228" i="23"/>
  <c r="K227" i="23"/>
  <c r="K226" i="23"/>
  <c r="K225" i="23"/>
  <c r="K224" i="23"/>
  <c r="K223" i="23"/>
  <c r="K222" i="23"/>
  <c r="K221" i="23"/>
  <c r="K220" i="23"/>
  <c r="K219" i="23"/>
  <c r="K218" i="23"/>
  <c r="K217" i="23"/>
  <c r="K216" i="23"/>
  <c r="K215" i="23"/>
  <c r="K214" i="23"/>
  <c r="K213" i="23"/>
  <c r="K212" i="23"/>
  <c r="K211" i="23"/>
  <c r="K210" i="23"/>
  <c r="K209" i="23"/>
  <c r="K208" i="23"/>
  <c r="K207" i="23"/>
  <c r="K206" i="23"/>
  <c r="K205" i="23"/>
  <c r="K204" i="23"/>
  <c r="K203" i="23"/>
  <c r="K202" i="23"/>
  <c r="K201" i="23"/>
  <c r="K200" i="23"/>
  <c r="K199" i="23"/>
  <c r="K198" i="23"/>
  <c r="K197" i="23"/>
  <c r="K196" i="23"/>
  <c r="K195" i="23"/>
  <c r="K194" i="23"/>
  <c r="K193" i="23"/>
  <c r="K192" i="23"/>
  <c r="K191" i="23"/>
  <c r="K190" i="23"/>
  <c r="K189" i="23"/>
  <c r="K188" i="23"/>
  <c r="K187" i="23"/>
  <c r="K186" i="23"/>
  <c r="K185" i="23"/>
  <c r="K184" i="23"/>
  <c r="K183" i="23"/>
  <c r="K182" i="23"/>
  <c r="K181" i="23"/>
  <c r="K180" i="23"/>
  <c r="K179" i="23"/>
  <c r="K178" i="23"/>
  <c r="K177" i="23"/>
  <c r="K176" i="23"/>
  <c r="K175" i="23"/>
  <c r="K174" i="23"/>
  <c r="K173" i="23"/>
  <c r="K172" i="23"/>
  <c r="K171" i="23"/>
  <c r="K170" i="23"/>
  <c r="K169" i="23"/>
  <c r="K168" i="23"/>
  <c r="K167" i="23"/>
  <c r="K166" i="23"/>
  <c r="K165" i="23"/>
  <c r="K164" i="23"/>
  <c r="K163" i="23"/>
  <c r="K162" i="23"/>
  <c r="K161" i="23"/>
  <c r="K160" i="23"/>
  <c r="K159" i="23"/>
  <c r="K158" i="23"/>
  <c r="K157" i="23"/>
  <c r="K156" i="23"/>
  <c r="K155" i="23"/>
  <c r="K154" i="23"/>
  <c r="K153" i="23"/>
  <c r="K152" i="23"/>
  <c r="K151" i="23"/>
  <c r="K150" i="23"/>
  <c r="K149" i="23"/>
  <c r="K148" i="23"/>
  <c r="K147" i="23"/>
  <c r="K146" i="23"/>
  <c r="K145" i="23"/>
  <c r="K144" i="23"/>
  <c r="K143" i="23"/>
  <c r="K142" i="23"/>
  <c r="K141" i="23"/>
  <c r="K140" i="23"/>
  <c r="K139" i="23"/>
  <c r="K138" i="23"/>
  <c r="K137" i="23"/>
  <c r="K136" i="23"/>
  <c r="K135" i="23"/>
  <c r="K134" i="23"/>
  <c r="K133" i="23"/>
  <c r="K132" i="23"/>
  <c r="K131" i="23"/>
  <c r="K130" i="23"/>
  <c r="K129" i="23"/>
  <c r="K128" i="23"/>
  <c r="K127" i="23"/>
  <c r="K126" i="23"/>
  <c r="K125" i="23"/>
  <c r="K124" i="23"/>
  <c r="K123" i="23"/>
  <c r="K122" i="23"/>
  <c r="K121" i="23"/>
  <c r="K120" i="23"/>
  <c r="K119" i="23"/>
  <c r="K118" i="23"/>
  <c r="K117" i="23"/>
  <c r="K116" i="23"/>
  <c r="K115" i="23"/>
  <c r="K114" i="23"/>
  <c r="K113" i="23"/>
  <c r="K112" i="23"/>
  <c r="K111" i="23"/>
  <c r="K110" i="23"/>
  <c r="K109" i="23"/>
  <c r="K108" i="23"/>
  <c r="K107" i="23"/>
  <c r="K106" i="23"/>
  <c r="K105" i="23"/>
  <c r="K104" i="23"/>
  <c r="K103" i="23"/>
  <c r="K102" i="23"/>
  <c r="K101" i="23"/>
  <c r="K100" i="23"/>
  <c r="K99" i="23"/>
  <c r="K98" i="23"/>
  <c r="K97" i="23"/>
  <c r="K96" i="23"/>
  <c r="K95" i="23"/>
  <c r="K94" i="23"/>
  <c r="K93" i="23"/>
  <c r="K92" i="23"/>
  <c r="K91" i="23"/>
  <c r="K90" i="23"/>
  <c r="K89" i="23"/>
  <c r="K88" i="23"/>
  <c r="K87" i="23"/>
  <c r="K86" i="23"/>
  <c r="K85"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D15" i="23"/>
  <c r="D14" i="23"/>
  <c r="D13" i="23"/>
  <c r="B9" i="23"/>
  <c r="E84" i="59"/>
  <c r="E83" i="59"/>
  <c r="E58" i="59"/>
  <c r="E203" i="59"/>
  <c r="E202" i="59"/>
  <c r="E195" i="59"/>
  <c r="E194" i="59"/>
  <c r="E206" i="59"/>
  <c r="C206" i="59"/>
  <c r="E169" i="59"/>
  <c r="C169" i="59"/>
  <c r="E175" i="59"/>
  <c r="C175" i="59"/>
  <c r="E156" i="59"/>
  <c r="C156" i="59"/>
  <c r="E159" i="59"/>
  <c r="C159" i="59"/>
  <c r="E168" i="59"/>
  <c r="C168" i="59"/>
  <c r="E174" i="59"/>
  <c r="C174" i="59"/>
  <c r="E155" i="59"/>
  <c r="C155" i="59"/>
  <c r="C158" i="59"/>
  <c r="C97" i="59"/>
  <c r="C96" i="59"/>
  <c r="C95" i="59"/>
  <c r="E93" i="59"/>
  <c r="B93" i="59"/>
  <c r="C93" i="59" s="1"/>
  <c r="E86" i="59"/>
  <c r="B86" i="59"/>
  <c r="C86" i="59" s="1"/>
  <c r="E215" i="59"/>
  <c r="C215" i="59"/>
  <c r="E4" i="59"/>
  <c r="E152" i="59"/>
  <c r="C152" i="59"/>
  <c r="E216" i="59"/>
  <c r="E200" i="59"/>
  <c r="C200" i="59"/>
  <c r="E192" i="59"/>
  <c r="C192" i="59"/>
  <c r="E153" i="59"/>
  <c r="E89" i="59"/>
  <c r="C89" i="59"/>
  <c r="E88" i="59"/>
  <c r="C88" i="59"/>
  <c r="E80" i="59"/>
  <c r="C80" i="59"/>
  <c r="E79" i="59"/>
  <c r="C79" i="59"/>
  <c r="E74" i="59"/>
  <c r="B74" i="59"/>
  <c r="C74" i="59" s="1"/>
  <c r="E73" i="59"/>
  <c r="B73" i="59"/>
  <c r="C73" i="59" s="1"/>
  <c r="E72" i="59"/>
  <c r="B72" i="59"/>
  <c r="C72" i="59" s="1"/>
  <c r="E71" i="59"/>
  <c r="C71" i="59"/>
  <c r="E70" i="59"/>
  <c r="C70" i="59"/>
  <c r="E69" i="59"/>
  <c r="C69" i="59"/>
  <c r="E68" i="59"/>
  <c r="C68" i="59"/>
  <c r="E67" i="59"/>
  <c r="B67" i="59"/>
  <c r="C67" i="59" s="1"/>
  <c r="E185" i="59"/>
  <c r="B185" i="59"/>
  <c r="C185" i="59" s="1"/>
  <c r="E184" i="59"/>
  <c r="B184" i="59"/>
  <c r="C184" i="59" s="1"/>
  <c r="E183" i="59"/>
  <c r="B183" i="59"/>
  <c r="C183" i="59" s="1"/>
  <c r="E208" i="59"/>
  <c r="C208" i="59"/>
  <c r="E198" i="59"/>
  <c r="C198" i="59"/>
  <c r="E3" i="59"/>
  <c r="C3" i="59"/>
  <c r="E199" i="59"/>
  <c r="C199" i="59"/>
  <c r="E182" i="59"/>
  <c r="B182" i="59"/>
  <c r="C182" i="59" s="1"/>
  <c r="E172" i="59"/>
  <c r="B172" i="59"/>
  <c r="C172" i="59" s="1"/>
  <c r="E148" i="59"/>
  <c r="B148" i="59"/>
  <c r="C148" i="59" s="1"/>
  <c r="E101" i="59"/>
  <c r="B101" i="59"/>
  <c r="C101" i="59" s="1"/>
  <c r="E100" i="59"/>
  <c r="B100" i="59"/>
  <c r="C100" i="59" s="1"/>
  <c r="E99" i="59"/>
  <c r="B99" i="59"/>
  <c r="C99" i="59" s="1"/>
  <c r="E53" i="59"/>
  <c r="B53" i="59"/>
  <c r="C53" i="59" s="1"/>
  <c r="E179" i="59"/>
  <c r="B179" i="59"/>
  <c r="C179" i="59" s="1"/>
  <c r="E178" i="59"/>
  <c r="B178" i="59"/>
  <c r="C178" i="59" s="1"/>
  <c r="E50" i="59"/>
  <c r="B50" i="59"/>
  <c r="C50" i="59" s="1"/>
  <c r="E49" i="59"/>
  <c r="B49" i="59"/>
  <c r="C49" i="59" s="1"/>
  <c r="E48" i="59"/>
  <c r="B48" i="59"/>
  <c r="C48" i="59" s="1"/>
  <c r="E47" i="59"/>
  <c r="B47" i="59"/>
  <c r="C47" i="59" s="1"/>
  <c r="E46" i="59"/>
  <c r="B46" i="59"/>
  <c r="C46" i="59" s="1"/>
  <c r="E45" i="59"/>
  <c r="C45" i="59"/>
  <c r="E44" i="59"/>
  <c r="B44" i="59"/>
  <c r="C44" i="59" s="1"/>
  <c r="E43" i="59"/>
  <c r="B43" i="59"/>
  <c r="C43" i="59" s="1"/>
  <c r="E42" i="59"/>
  <c r="B42" i="59"/>
  <c r="C42" i="59" s="1"/>
  <c r="E41" i="59"/>
  <c r="B41" i="59"/>
  <c r="C41" i="59" s="1"/>
  <c r="E40" i="59"/>
  <c r="B40" i="59"/>
  <c r="C40" i="59" s="1"/>
  <c r="E39" i="59"/>
  <c r="B39" i="59"/>
  <c r="C39" i="59" s="1"/>
  <c r="E38" i="59"/>
  <c r="B38" i="59"/>
  <c r="C38" i="59" s="1"/>
  <c r="E37" i="59"/>
  <c r="B37" i="59"/>
  <c r="C37" i="59" s="1"/>
  <c r="M36" i="59"/>
  <c r="E36" i="59"/>
  <c r="C36" i="59"/>
  <c r="E165" i="59"/>
  <c r="C165" i="59"/>
  <c r="E28" i="59"/>
  <c r="B28" i="59"/>
  <c r="C28" i="59" s="1"/>
  <c r="E27" i="59"/>
  <c r="B27" i="59"/>
  <c r="C27" i="59" s="1"/>
  <c r="E26" i="59"/>
  <c r="B26" i="59"/>
  <c r="C26" i="59" s="1"/>
  <c r="E25" i="59"/>
  <c r="B25" i="59"/>
  <c r="C25" i="59" s="1"/>
  <c r="E24" i="59"/>
  <c r="B24" i="59"/>
  <c r="C24" i="59" s="1"/>
  <c r="E23" i="59"/>
  <c r="B23" i="59"/>
  <c r="C23" i="59" s="1"/>
  <c r="O22" i="59"/>
  <c r="E22" i="59"/>
  <c r="C22" i="59"/>
  <c r="E21" i="59"/>
  <c r="B21" i="59"/>
  <c r="C21" i="59" s="1"/>
  <c r="E20" i="59"/>
  <c r="B20" i="59"/>
  <c r="C20" i="59" s="1"/>
  <c r="E19" i="59"/>
  <c r="B19" i="59"/>
  <c r="C19" i="59" s="1"/>
  <c r="E18" i="59"/>
  <c r="B18" i="59"/>
  <c r="C18" i="59" s="1"/>
  <c r="E17" i="59"/>
  <c r="B17" i="59"/>
  <c r="C17" i="59" s="1"/>
  <c r="E16" i="59"/>
  <c r="B16" i="59"/>
  <c r="C16" i="59" s="1"/>
  <c r="E77" i="59"/>
  <c r="C77" i="59"/>
  <c r="E76" i="59"/>
  <c r="C76" i="59"/>
  <c r="E164" i="59"/>
  <c r="C164" i="59"/>
  <c r="E15" i="59"/>
  <c r="C15" i="59"/>
  <c r="Q14" i="59" a="1"/>
  <c r="Q14" i="59" s="1"/>
  <c r="O14" i="59" a="1"/>
  <c r="O14" i="59" s="1"/>
  <c r="M14" i="59" a="1"/>
  <c r="M14" i="59" s="1"/>
  <c r="E14" i="59"/>
  <c r="B14" i="59"/>
  <c r="C14" i="59" s="1"/>
  <c r="E13" i="59"/>
  <c r="B13" i="59"/>
  <c r="Q13" i="59" s="1" a="1"/>
  <c r="Q13" i="59" s="1"/>
  <c r="O12" i="59" a="1"/>
  <c r="O12" i="59" s="1"/>
  <c r="M12" i="59" a="1"/>
  <c r="M12" i="59" s="1"/>
  <c r="E12" i="59"/>
  <c r="B12" i="59"/>
  <c r="C12" i="59" s="1"/>
  <c r="E11" i="59"/>
  <c r="B11" i="59"/>
  <c r="Q11" i="59" s="1" a="1"/>
  <c r="Q11" i="59" s="1"/>
  <c r="O10" i="59" a="1"/>
  <c r="O10" i="59" s="1"/>
  <c r="M10" i="59" a="1"/>
  <c r="M10" i="59" s="1"/>
  <c r="E10" i="59"/>
  <c r="B10" i="59"/>
  <c r="C10" i="59" s="1"/>
  <c r="O9" i="59" a="1"/>
  <c r="O9" i="59" s="1"/>
  <c r="M9" i="59" a="1"/>
  <c r="M9" i="59" s="1"/>
  <c r="E9" i="59"/>
  <c r="B9" i="59"/>
  <c r="Q9" i="59" s="1" a="1"/>
  <c r="Q9" i="59" s="1"/>
  <c r="E75" i="59"/>
  <c r="C75" i="59"/>
  <c r="E60" i="59"/>
  <c r="C60" i="59"/>
  <c r="E163" i="59"/>
  <c r="C163" i="59"/>
  <c r="E8" i="59"/>
  <c r="C8" i="59"/>
  <c r="E92" i="59"/>
  <c r="B92" i="59"/>
  <c r="C92" i="59" s="1"/>
  <c r="E66" i="59"/>
  <c r="B66" i="59"/>
  <c r="C66" i="59" s="1"/>
  <c r="E65" i="59"/>
  <c r="B65" i="59"/>
  <c r="C65" i="59" s="1"/>
  <c r="E162" i="59"/>
  <c r="B162" i="59"/>
  <c r="C162" i="59" s="1"/>
  <c r="E7" i="59"/>
  <c r="C7" i="59"/>
  <c r="E63" i="3"/>
  <c r="G55" i="3"/>
  <c r="E55" i="3"/>
  <c r="G45" i="3"/>
  <c r="E45" i="3"/>
  <c r="I44" i="3"/>
  <c r="I44" i="3" a="1"/>
  <c r="H44" i="3"/>
  <c r="G44" i="3"/>
  <c r="G44" i="3" a="1"/>
  <c r="E44" i="3"/>
  <c r="E44" i="3" a="1"/>
  <c r="I43" i="3"/>
  <c r="I43" i="3" a="1"/>
  <c r="H43" i="3"/>
  <c r="G43" i="3"/>
  <c r="G43" i="3" a="1"/>
  <c r="E43" i="3"/>
  <c r="E43" i="3" a="1"/>
  <c r="I42" i="3"/>
  <c r="I42" i="3" a="1"/>
  <c r="H42" i="3"/>
  <c r="G42" i="3"/>
  <c r="G42" i="3" a="1"/>
  <c r="E42" i="3"/>
  <c r="E42" i="3" a="1"/>
  <c r="I41" i="3"/>
  <c r="I41" i="3" a="1"/>
  <c r="H41" i="3"/>
  <c r="G41" i="3"/>
  <c r="G41" i="3" a="1"/>
  <c r="E41" i="3"/>
  <c r="E41" i="3" a="1"/>
  <c r="I40" i="3"/>
  <c r="I40" i="3" a="1"/>
  <c r="H40" i="3"/>
  <c r="G40" i="3"/>
  <c r="G40" i="3" a="1"/>
  <c r="E40" i="3"/>
  <c r="E40" i="3" a="1"/>
  <c r="I39" i="3"/>
  <c r="I39" i="3" a="1"/>
  <c r="H39" i="3"/>
  <c r="G39" i="3"/>
  <c r="G39" i="3" a="1"/>
  <c r="E39" i="3"/>
  <c r="E39" i="3" a="1"/>
  <c r="I38" i="3"/>
  <c r="I38" i="3" a="1"/>
  <c r="H38" i="3"/>
  <c r="G38" i="3"/>
  <c r="G38" i="3" a="1"/>
  <c r="E38" i="3"/>
  <c r="E38" i="3" a="1"/>
  <c r="I37" i="3"/>
  <c r="I37" i="3" a="1"/>
  <c r="H37" i="3"/>
  <c r="G37" i="3"/>
  <c r="G37" i="3" a="1"/>
  <c r="E37" i="3"/>
  <c r="E37" i="3" a="1"/>
  <c r="I36" i="3"/>
  <c r="I36" i="3" a="1"/>
  <c r="H36" i="3"/>
  <c r="G36" i="3"/>
  <c r="G36" i="3" a="1"/>
  <c r="E36" i="3"/>
  <c r="E36" i="3" a="1"/>
  <c r="I35" i="3"/>
  <c r="H35" i="3"/>
  <c r="G35" i="3"/>
  <c r="E35" i="3"/>
  <c r="B9" i="3"/>
  <c r="G29" i="4"/>
  <c r="F29" i="4"/>
  <c r="G28" i="4"/>
  <c r="F28" i="4"/>
  <c r="G27" i="4"/>
  <c r="F27" i="4"/>
  <c r="G26" i="4"/>
  <c r="F26" i="4"/>
  <c r="G25" i="4"/>
  <c r="F25" i="4"/>
  <c r="G24" i="4"/>
  <c r="F24" i="4"/>
  <c r="G18" i="4"/>
  <c r="F18" i="4"/>
  <c r="G17" i="4"/>
  <c r="F17" i="4"/>
  <c r="G16" i="4"/>
  <c r="F16" i="4"/>
  <c r="G15" i="4"/>
  <c r="F15" i="4"/>
  <c r="G14" i="4"/>
  <c r="F14" i="4"/>
  <c r="G13" i="4"/>
  <c r="F13" i="4"/>
  <c r="G12" i="4"/>
  <c r="F12" i="4"/>
  <c r="G11" i="4"/>
  <c r="F11" i="4"/>
  <c r="G10" i="4"/>
  <c r="F10" i="4"/>
  <c r="G9" i="4"/>
  <c r="F9" i="4"/>
  <c r="G8" i="4"/>
  <c r="F8" i="4"/>
  <c r="G7" i="4"/>
  <c r="F7" i="4"/>
  <c r="J14" i="44"/>
  <c r="I14" i="44"/>
  <c r="H14" i="44"/>
  <c r="G14" i="44"/>
  <c r="G13" i="44"/>
  <c r="G12" i="44"/>
  <c r="W24" i="61"/>
  <c r="V24" i="61"/>
  <c r="T24" i="61"/>
  <c r="W23" i="61"/>
  <c r="V23" i="61"/>
  <c r="S23" i="61"/>
  <c r="K23" i="61"/>
  <c r="W22" i="61"/>
  <c r="K22" i="61"/>
  <c r="V22" i="61" s="1"/>
  <c r="W21" i="61"/>
  <c r="V21" i="61"/>
  <c r="T21" i="61"/>
  <c r="W20" i="61"/>
  <c r="V20" i="61"/>
  <c r="K20" i="61"/>
  <c r="T20" i="61" s="1"/>
  <c r="W19" i="61"/>
  <c r="V19" i="61"/>
  <c r="T19" i="61"/>
  <c r="W18" i="61"/>
  <c r="V18" i="61"/>
  <c r="T18" i="61"/>
  <c r="W17" i="61"/>
  <c r="V17" i="61"/>
  <c r="K17" i="61"/>
  <c r="T17" i="61" s="1"/>
  <c r="W16" i="61"/>
  <c r="T16" i="61"/>
  <c r="K16" i="61"/>
  <c r="V16" i="61" s="1"/>
  <c r="W15" i="61"/>
  <c r="V15" i="61"/>
  <c r="T15" i="61"/>
  <c r="W14" i="61"/>
  <c r="V14" i="61"/>
  <c r="T14" i="61"/>
  <c r="S14" i="61"/>
  <c r="W13" i="61"/>
  <c r="W12" i="61"/>
  <c r="T12" i="61"/>
  <c r="K12" i="61"/>
  <c r="V12" i="61" s="1"/>
  <c r="W11" i="61"/>
  <c r="K11" i="61"/>
  <c r="V11" i="61" s="1"/>
  <c r="W10" i="61"/>
  <c r="T10" i="61"/>
  <c r="K10" i="61"/>
  <c r="V10" i="61" s="1"/>
  <c r="W9" i="61"/>
  <c r="V9" i="61"/>
  <c r="K9" i="61"/>
  <c r="W8" i="61"/>
  <c r="V8" i="61"/>
  <c r="K8" i="61"/>
  <c r="W7" i="61"/>
  <c r="K7" i="61"/>
  <c r="W6" i="61"/>
  <c r="V6" i="61"/>
  <c r="S6" i="61"/>
  <c r="K6" i="61"/>
  <c r="T6" i="61" s="1"/>
  <c r="W5" i="61"/>
  <c r="K5" i="61"/>
  <c r="V5" i="61" s="1"/>
  <c r="W4" i="61"/>
  <c r="K4" i="61"/>
  <c r="V4" i="61" s="1"/>
  <c r="W3" i="61"/>
  <c r="V3" i="61"/>
  <c r="T3" i="61"/>
  <c r="K3" i="61"/>
  <c r="W2" i="61"/>
  <c r="V2" i="61"/>
  <c r="T2" i="61"/>
  <c r="K2" i="61"/>
  <c r="P5" i="55" l="1"/>
  <c r="R57" i="53"/>
  <c r="R33" i="53"/>
  <c r="R4" i="53"/>
  <c r="R9" i="53"/>
  <c r="R5" i="53"/>
  <c r="R48" i="53"/>
  <c r="R8" i="53"/>
  <c r="R49" i="53"/>
  <c r="R14" i="53"/>
  <c r="R15" i="53"/>
  <c r="R41" i="53"/>
  <c r="R23" i="53"/>
  <c r="R3" i="53"/>
  <c r="R25" i="53"/>
  <c r="R35" i="53"/>
  <c r="R40" i="53"/>
  <c r="R16" i="53"/>
  <c r="R51" i="53"/>
  <c r="R17" i="53"/>
  <c r="R27" i="53"/>
  <c r="R32" i="53"/>
  <c r="R13" i="53"/>
  <c r="R53" i="53"/>
  <c r="R19" i="53"/>
  <c r="R24" i="53"/>
  <c r="R29" i="53"/>
  <c r="R18" i="53"/>
  <c r="R22" i="53"/>
  <c r="R55" i="53"/>
  <c r="R10" i="53"/>
  <c r="R31" i="53"/>
  <c r="R39" i="53"/>
  <c r="R47" i="53"/>
  <c r="R6" i="53"/>
  <c r="R56" i="53"/>
  <c r="R38" i="53"/>
  <c r="R50" i="53"/>
  <c r="R7" i="53"/>
  <c r="R11" i="53"/>
  <c r="R28" i="53"/>
  <c r="R36" i="53"/>
  <c r="R44" i="53"/>
  <c r="R52" i="53"/>
  <c r="R26" i="53"/>
  <c r="R42" i="53"/>
  <c r="R20" i="53"/>
  <c r="R12" i="53"/>
  <c r="R30" i="53"/>
  <c r="R21" i="53"/>
  <c r="R37" i="53"/>
  <c r="R45" i="53"/>
  <c r="R34" i="53"/>
  <c r="R46" i="53"/>
  <c r="T11" i="61"/>
  <c r="T22" i="61"/>
  <c r="T4" i="61"/>
  <c r="T8" i="61"/>
  <c r="T5" i="61"/>
  <c r="T9" i="61"/>
  <c r="T23" i="61"/>
  <c r="E7" i="58"/>
  <c r="F3" i="50"/>
  <c r="G66" i="49" a="1"/>
  <c r="G66" i="49" s="1"/>
  <c r="G60" i="49" a="1"/>
  <c r="G60" i="49" s="1"/>
  <c r="G59" i="49" a="1"/>
  <c r="G59" i="49" s="1"/>
  <c r="G67" i="49" a="1"/>
  <c r="G67" i="49" s="1"/>
  <c r="G70" i="49" a="1"/>
  <c r="G70" i="49" s="1"/>
  <c r="G63" i="49" a="1"/>
  <c r="G63" i="49" s="1"/>
  <c r="G74" i="49" a="1"/>
  <c r="G74" i="49" s="1"/>
  <c r="G57" i="49" a="1"/>
  <c r="G57" i="49" s="1"/>
  <c r="G71" i="49" a="1"/>
  <c r="G71" i="49" s="1"/>
  <c r="G54" i="49" a="1"/>
  <c r="G54" i="49" s="1"/>
  <c r="G64" i="49" a="1"/>
  <c r="G64" i="49" s="1"/>
  <c r="G61" i="49" a="1"/>
  <c r="G61" i="49" s="1"/>
  <c r="G68" i="49" a="1"/>
  <c r="G68" i="49" s="1"/>
  <c r="G58" i="49" a="1"/>
  <c r="G58" i="49" s="1"/>
  <c r="G72" i="49" a="1"/>
  <c r="G72" i="49" s="1"/>
  <c r="G55" i="49" a="1"/>
  <c r="G55" i="49" s="1"/>
  <c r="G65" i="49" a="1"/>
  <c r="G65" i="49" s="1"/>
  <c r="G69" i="49" a="1"/>
  <c r="G69" i="49" s="1"/>
  <c r="G62" i="49" a="1"/>
  <c r="G62" i="49" s="1"/>
  <c r="G73" i="49" a="1"/>
  <c r="G73" i="49" s="1"/>
  <c r="G56" i="49" a="1"/>
  <c r="G56" i="49" s="1"/>
  <c r="Q10" i="59" a="1"/>
  <c r="Q10" i="59" s="1"/>
  <c r="P10" i="59" s="1"/>
  <c r="Q12" i="59" a="1"/>
  <c r="Q12" i="59" s="1"/>
  <c r="P12" i="59" s="1"/>
  <c r="M11" i="59" a="1"/>
  <c r="M11" i="59" s="1"/>
  <c r="C11" i="59"/>
  <c r="O11" i="59" a="1"/>
  <c r="O11" i="59" s="1"/>
  <c r="P11" i="59" s="1"/>
  <c r="C9" i="59"/>
  <c r="P163" i="59"/>
  <c r="P9" i="59"/>
  <c r="P14" i="59"/>
  <c r="C13" i="59"/>
  <c r="M13" i="59" a="1"/>
  <c r="M13" i="59" s="1"/>
  <c r="O13" i="59" a="1"/>
  <c r="O13" i="59" s="1"/>
  <c r="P60" i="59"/>
  <c r="I18" i="56"/>
  <c r="I4" i="56"/>
  <c r="F18" i="56"/>
  <c r="F4" i="56"/>
  <c r="F17" i="56"/>
  <c r="F16" i="56"/>
  <c r="I17" i="56"/>
  <c r="I16" i="56"/>
  <c r="F14" i="56"/>
  <c r="I14" i="56" s="1"/>
  <c r="F3" i="56"/>
  <c r="F19" i="56"/>
  <c r="F15" i="56"/>
  <c r="I19" i="56"/>
  <c r="I15" i="56"/>
  <c r="I3" i="56"/>
  <c r="O8" i="59" l="1"/>
  <c r="Q8" i="59"/>
  <c r="M8" i="59"/>
  <c r="G31" i="49" s="1" a="1"/>
  <c r="G31" i="49" s="1"/>
  <c r="P13" i="59"/>
  <c r="G30" i="49" l="1" a="1"/>
  <c r="G30" i="49" s="1"/>
  <c r="G32" i="49" a="1"/>
  <c r="G32" i="49" s="1"/>
  <c r="G27" i="49" a="1"/>
  <c r="G27" i="49" s="1"/>
  <c r="G53" i="49" a="1"/>
  <c r="G53" i="49" s="1"/>
  <c r="P8" i="59"/>
  <c r="G46" i="49" a="1"/>
  <c r="G46" i="49" s="1"/>
  <c r="G37" i="49" a="1"/>
  <c r="G37" i="49" s="1"/>
  <c r="G34" i="49" a="1"/>
  <c r="G34" i="49" s="1"/>
  <c r="G41" i="49" a="1"/>
  <c r="G41" i="49" s="1"/>
  <c r="G40" i="49" a="1"/>
  <c r="G40" i="49" s="1"/>
  <c r="G36" i="49" a="1"/>
  <c r="G36" i="49" s="1"/>
  <c r="G33" i="49" a="1"/>
  <c r="G33" i="49" s="1"/>
  <c r="G48" i="49" a="1"/>
  <c r="G48" i="49" s="1"/>
  <c r="G29" i="49" a="1"/>
  <c r="G29" i="49" s="1"/>
  <c r="G39" i="49" a="1"/>
  <c r="G39" i="49" s="1"/>
  <c r="G35" i="49" a="1"/>
  <c r="G35" i="49" s="1"/>
  <c r="G28" i="49" a="1"/>
  <c r="G28" i="49" s="1"/>
  <c r="G47" i="49" a="1"/>
  <c r="G47" i="49" s="1"/>
  <c r="G44" i="49" a="1"/>
  <c r="G44" i="49" s="1"/>
  <c r="G43" i="49" a="1"/>
  <c r="G43" i="49" s="1"/>
  <c r="G51" i="49" a="1"/>
  <c r="G51" i="49" s="1"/>
  <c r="G38" i="49" a="1"/>
  <c r="G38" i="49" s="1"/>
  <c r="G45" i="49" a="1"/>
  <c r="G45" i="49" s="1"/>
  <c r="G50" i="49" a="1"/>
  <c r="G50" i="49" s="1"/>
  <c r="G49" i="49" a="1"/>
  <c r="G49" i="49" s="1"/>
  <c r="G42" i="49" a="1"/>
  <c r="G42" i="49" s="1"/>
  <c r="G52" i="49" a="1"/>
  <c r="G52" i="49" s="1"/>
  <c r="A47" i="57" l="1"/>
  <c r="A55" i="57"/>
  <c r="A60" i="57"/>
  <c r="A41" i="57"/>
  <c r="A53" i="57"/>
  <c r="A52" i="57"/>
  <c r="A31" i="57"/>
  <c r="A40" i="57"/>
  <c r="A35" i="57"/>
  <c r="A37" i="57"/>
  <c r="A57" i="57"/>
  <c r="A36" i="57"/>
  <c r="A51" i="57"/>
  <c r="A45" i="57"/>
  <c r="A59" i="57"/>
  <c r="A38" i="57"/>
  <c r="A58" i="57"/>
  <c r="A48" i="57"/>
  <c r="A30" i="57"/>
  <c r="A34" i="57"/>
  <c r="A32" i="57"/>
  <c r="A42" i="57"/>
  <c r="A54" i="57"/>
  <c r="A50" i="57"/>
  <c r="A56" i="57"/>
  <c r="A39" i="57"/>
  <c r="A46" i="57"/>
  <c r="A43" i="57"/>
  <c r="A49" i="57"/>
  <c r="A44" i="57"/>
  <c r="A33" i="57"/>
</calcChain>
</file>

<file path=xl/comments1.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0.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1.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2.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13.xml><?xml version="1.0" encoding="utf-8"?>
<comments xmlns="http://schemas.openxmlformats.org/spreadsheetml/2006/main">
  <authors>
    <author>Ana Sofia Omana</author>
    <author>Magda Ferreira Marques</author>
    <author>Rodrigo Taveira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H28" authorId="1" shapeId="0">
      <text>
        <r>
          <rPr>
            <b/>
            <sz val="9"/>
            <color indexed="81"/>
            <rFont val="Tahoma"/>
            <family val="2"/>
          </rPr>
          <t xml:space="preserve">Apenas para compra de serviços
Distância unitária (da origem ao destino). Ferramenta auxiliar para distâncias rodoviárias:
https://www.google.com/maps.
</t>
        </r>
      </text>
    </comment>
    <comment ref="I28" authorId="2" shapeId="0">
      <text>
        <r>
          <rPr>
            <b/>
            <sz val="9"/>
            <color indexed="81"/>
            <rFont val="Tahoma"/>
            <family val="2"/>
          </rPr>
          <t>Rodrigo Taveira:</t>
        </r>
        <r>
          <rPr>
            <sz val="9"/>
            <color indexed="81"/>
            <rFont val="Tahoma"/>
            <family val="2"/>
          </rPr>
          <t xml:space="preserve">
Descrever o tipo de produto ou serviço caso tenha seleccionado a opção Outros na coluna C</t>
        </r>
      </text>
    </comment>
  </commentList>
</comments>
</file>

<file path=xl/comments14.xml><?xml version="1.0" encoding="utf-8"?>
<comments xmlns="http://schemas.openxmlformats.org/spreadsheetml/2006/main">
  <authors>
    <author>Magda Ferreira Marques</author>
    <author>Rodrigo Taveira</author>
  </authors>
  <commentList>
    <comment ref="J1" authorId="0" shapeId="0">
      <text>
        <r>
          <rPr>
            <b/>
            <sz val="9"/>
            <color indexed="81"/>
            <rFont val="Tahoma"/>
            <family val="2"/>
          </rPr>
          <t xml:space="preserve">Apenas para compra de serviços
Distância unitária (da origem ao destino). Ferramenta auxiliar para distâncias rodoviárias:
https://www.google.com/maps.
</t>
        </r>
      </text>
    </comment>
    <comment ref="K1" authorId="1" shapeId="0">
      <text>
        <r>
          <rPr>
            <b/>
            <sz val="9"/>
            <color indexed="81"/>
            <rFont val="Tahoma"/>
            <family val="2"/>
          </rPr>
          <t>Rodrigo Taveira:</t>
        </r>
        <r>
          <rPr>
            <sz val="9"/>
            <color indexed="81"/>
            <rFont val="Tahoma"/>
            <family val="2"/>
          </rPr>
          <t xml:space="preserve">
Descrever o tipo de produto ou serviço caso tenha seleccionado a opção Outros na coluna C</t>
        </r>
      </text>
    </comment>
    <comment ref="M1" authorId="0" shapeId="0">
      <text>
        <r>
          <rPr>
            <b/>
            <sz val="9"/>
            <color indexed="81"/>
            <rFont val="Tahoma"/>
            <family val="2"/>
          </rPr>
          <t xml:space="preserve">Apenas para compra de serviços
Distância unitária (da origem ao destino). Ferramenta auxiliar para distâncias rodoviárias:
https://www.google.com/maps.
</t>
        </r>
      </text>
    </comment>
    <comment ref="N1" authorId="0" shapeId="0">
      <text>
        <r>
          <rPr>
            <b/>
            <sz val="9"/>
            <color indexed="81"/>
            <rFont val="Tahoma"/>
            <family val="2"/>
          </rPr>
          <t xml:space="preserve">Apenas para compra de serviços
Distância unitária (da origem ao destino). Ferramenta auxiliar para distâncias rodoviárias:
https://www.google.com/maps.
</t>
        </r>
      </text>
    </comment>
    <comment ref="O1" authorId="0" shapeId="0">
      <text>
        <r>
          <rPr>
            <b/>
            <sz val="9"/>
            <color indexed="81"/>
            <rFont val="Tahoma"/>
            <family val="2"/>
          </rPr>
          <t xml:space="preserve">Apenas para compra de serviços
Distância unitária (da origem ao destino). Ferramenta auxiliar para distâncias rodoviárias:
https://www.google.com/maps.
</t>
        </r>
      </text>
    </comment>
  </commentList>
</comments>
</file>

<file path=xl/comments15.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D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L28" authorId="1" shapeId="0">
      <text>
        <r>
          <rPr>
            <b/>
            <sz val="9"/>
            <color indexed="81"/>
            <rFont val="Tahoma"/>
            <family val="2"/>
          </rPr>
          <t>Distância unitária (da origem ao destino). Ferramenta auxiliar para distâncias rodoviárias:
https://www.google.com/maps.
Ferramenta auxiliar para distâncias marítimas:
https://www.searates.com/services/distances-time/.</t>
        </r>
      </text>
    </comment>
  </commentList>
</comments>
</file>

<file path=xl/comments16.xml><?xml version="1.0" encoding="utf-8"?>
<comments xmlns="http://schemas.openxmlformats.org/spreadsheetml/2006/main">
  <authors>
    <author>Magda Ferreira Marques</author>
  </authors>
  <commentList>
    <comment ref="F1" authorId="0"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Q1" authorId="0" shapeId="0">
      <text>
        <r>
          <rPr>
            <b/>
            <sz val="9"/>
            <color indexed="81"/>
            <rFont val="Tahoma"/>
            <family val="2"/>
          </rPr>
          <t>Distância unitária (da origem ao destino). Ferramenta auxiliar para distâncias rodoviárias:
https://www.google.com/maps.
Ferramenta auxiliar para distâncias marítimas:
https://www.searates.com/services/distances-time/.</t>
        </r>
      </text>
    </comment>
  </commentList>
</comments>
</file>

<file path=xl/comments17.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E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List>
</comments>
</file>

<file path=xl/comments18.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G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List>
</comments>
</file>

<file path=xl/comments19.xml><?xml version="1.0" encoding="utf-8"?>
<comments xmlns="http://schemas.openxmlformats.org/spreadsheetml/2006/main">
  <authors>
    <author>Magda Ferreira Marques</author>
  </authors>
  <commentList>
    <comment ref="M1" authorId="0"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List>
</comments>
</file>

<file path=xl/comments2.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0.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E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M28" authorId="1" shapeId="0">
      <text>
        <r>
          <rPr>
            <b/>
            <sz val="9"/>
            <color indexed="81"/>
            <rFont val="Tahoma"/>
            <family val="2"/>
          </rPr>
          <t>Distância unitária (da origem ao destino). 
Dados de faturação do serviço.
Ferramenta auxiliar para distâncias rodoviárias:
https://www.google.com/maps.
Ferramenta auxiliar para distâncias marítimas:
https://www.searates.com/services/distances-time/.</t>
        </r>
      </text>
    </comment>
  </commentList>
</comments>
</file>

<file path=xl/comments21.xml><?xml version="1.0" encoding="utf-8"?>
<comments xmlns="http://schemas.openxmlformats.org/spreadsheetml/2006/main">
  <authors>
    <author>Magda Ferreira Marques</author>
  </authors>
  <commentList>
    <comment ref="F1" authorId="0"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P1" authorId="0" shapeId="0">
      <text>
        <r>
          <rPr>
            <b/>
            <sz val="9"/>
            <color indexed="81"/>
            <rFont val="Tahoma"/>
            <family val="2"/>
          </rPr>
          <t>Distância unitária (da origem ao destino). 
Dados de faturação do serviço.
Ferramenta auxiliar para distâncias rodoviárias:
https://www.google.com/maps.
Ferramenta auxiliar para distâncias marítimas:
https://www.searates.com/services/distances-time/.</t>
        </r>
      </text>
    </comment>
  </commentList>
</comments>
</file>

<file path=xl/comments22.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3.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4.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5.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G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M28" authorId="1" shapeId="0">
      <text>
        <r>
          <rPr>
            <b/>
            <sz val="9"/>
            <color indexed="81"/>
            <rFont val="Tahoma"/>
            <family val="2"/>
          </rPr>
          <t>Distância unitária (da origem ao destino). Ferramenta auxiliar para distâncias rodoviárias:
https://www.google.com/maps.
Ferramenta auxiliar para distâncias marítimas:
https://www.searates.com/services/distances-time/.</t>
        </r>
      </text>
    </comment>
  </commentList>
</comments>
</file>

<file path=xl/comments26.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7.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28.xml><?xml version="1.0" encoding="utf-8"?>
<comments xmlns="http://schemas.openxmlformats.org/spreadsheetml/2006/main">
  <authors>
    <author>Ana Sofia Omana</author>
    <author>Magda Ferreira Marques</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 ref="E28" authorId="1" shapeId="0">
      <text>
        <r>
          <rPr>
            <b/>
            <sz val="9"/>
            <color indexed="81"/>
            <rFont val="Tahoma"/>
            <family val="2"/>
          </rPr>
          <t xml:space="preserve">Opções:
</t>
        </r>
        <r>
          <rPr>
            <sz val="9"/>
            <color indexed="81"/>
            <rFont val="Tahoma"/>
            <family val="2"/>
          </rPr>
          <t xml:space="preserve">- LCV/Vans
- Heavy goods vehicle (diesel) - Rigid
- Heavy goods vehicle (diesel) - Articulated
- Heavy goods vehicle (diesel) - Average
- Heavy goods vehicle - refrigerated
- Freight flights
- Rail
- Sea tanker (products tanker)
- Sea tanker (chemical tanker)
- Cargo ship (bulk carrier)
- Cargo ship (general cargo)
- Cargo ship (container ship)
</t>
        </r>
      </text>
    </comment>
    <comment ref="J28" authorId="1" shapeId="0">
      <text>
        <r>
          <rPr>
            <b/>
            <sz val="9"/>
            <color indexed="81"/>
            <rFont val="Tahoma"/>
            <family val="2"/>
          </rPr>
          <t>Distância unitária (da origem ao destino). Ferramenta auxiliar para distâncias rodoviárias:
https://www.google.com/maps.
Ferramenta auxiliar para distâncias marítimas:
https://www.searates.com/services/distances-time/.</t>
        </r>
      </text>
    </comment>
  </commentList>
</comments>
</file>

<file path=xl/comments29.xml><?xml version="1.0" encoding="utf-8"?>
<comments xmlns="http://schemas.openxmlformats.org/spreadsheetml/2006/main">
  <authors>
    <author>AIPC</author>
  </authors>
  <commentList>
    <comment ref="B7" authorId="0" shapeId="0">
      <text>
        <r>
          <rPr>
            <b/>
            <sz val="9"/>
            <color indexed="81"/>
            <rFont val="Tahoma"/>
            <family val="2"/>
          </rPr>
          <t>AIPC:</t>
        </r>
        <r>
          <rPr>
            <sz val="9"/>
            <color indexed="81"/>
            <rFont val="Tahoma"/>
            <family val="2"/>
          </rPr>
          <t xml:space="preserve">
como tratar???</t>
        </r>
      </text>
    </comment>
    <comment ref="B15" authorId="0" shapeId="0">
      <text>
        <r>
          <rPr>
            <b/>
            <sz val="9"/>
            <color indexed="81"/>
            <rFont val="Tahoma"/>
            <family val="2"/>
          </rPr>
          <t>AIPC:</t>
        </r>
        <r>
          <rPr>
            <sz val="9"/>
            <color indexed="81"/>
            <rFont val="Tahoma"/>
            <family val="2"/>
          </rPr>
          <t xml:space="preserve">
DESAGREGAR, VER MAPA
</t>
        </r>
      </text>
    </comment>
    <comment ref="K21" authorId="0" shapeId="0">
      <text>
        <r>
          <rPr>
            <b/>
            <sz val="9"/>
            <color indexed="81"/>
            <rFont val="Tahoma"/>
            <family val="2"/>
          </rPr>
          <t>AIPC:</t>
        </r>
        <r>
          <rPr>
            <sz val="9"/>
            <color indexed="81"/>
            <rFont val="Tahoma"/>
            <family val="2"/>
          </rPr>
          <t xml:space="preserve">
ver discrepancia dados PC vs. RC2022
</t>
        </r>
      </text>
    </comment>
    <comment ref="B42" authorId="0" shapeId="0">
      <text>
        <r>
          <rPr>
            <b/>
            <sz val="9"/>
            <color indexed="81"/>
            <rFont val="Tahoma"/>
            <family val="2"/>
          </rPr>
          <t>AIPC:</t>
        </r>
        <r>
          <rPr>
            <sz val="9"/>
            <color indexed="81"/>
            <rFont val="Tahoma"/>
            <family val="2"/>
          </rPr>
          <t xml:space="preserve">
como tratar???</t>
        </r>
      </text>
    </comment>
  </commentList>
</comments>
</file>

<file path=xl/comments3.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4.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5.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6.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7.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8.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comments9.xml><?xml version="1.0" encoding="utf-8"?>
<comments xmlns="http://schemas.openxmlformats.org/spreadsheetml/2006/main">
  <authors>
    <author>Ana Sofia Omana</author>
  </authors>
  <commentList>
    <comment ref="B7" authorId="0" shapeId="0">
      <text>
        <r>
          <rPr>
            <b/>
            <sz val="9"/>
            <color indexed="81"/>
            <rFont val="Tahoma"/>
            <family val="2"/>
          </rPr>
          <t xml:space="preserve">PwC: </t>
        </r>
        <r>
          <rPr>
            <sz val="9"/>
            <color indexed="81"/>
            <rFont val="Tahoma"/>
            <family val="2"/>
          </rPr>
          <t>por favor registar a data em que os dados foram inseridos.</t>
        </r>
      </text>
    </comment>
    <comment ref="B21" authorId="0" shapeId="0">
      <text>
        <r>
          <rPr>
            <sz val="9"/>
            <color indexed="81"/>
            <rFont val="Tahoma"/>
            <family val="2"/>
          </rPr>
          <t xml:space="preserve">Por favor registar aqui quaisquer notas de exclussões de dados. 
</t>
        </r>
      </text>
    </comment>
    <comment ref="B25" authorId="0" shapeId="0">
      <text>
        <r>
          <rPr>
            <sz val="9"/>
            <color indexed="81"/>
            <rFont val="Tahoma"/>
            <family val="2"/>
          </rPr>
          <t>Por favor registe aqui quaisquer sugestões e potenciais melhorias futuras identificadas.</t>
        </r>
      </text>
    </comment>
  </commentList>
</comments>
</file>

<file path=xl/sharedStrings.xml><?xml version="1.0" encoding="utf-8"?>
<sst xmlns="http://schemas.openxmlformats.org/spreadsheetml/2006/main" count="161936" uniqueCount="6586">
  <si>
    <t>ATIVIDADE</t>
  </si>
  <si>
    <t>ÂMBITO</t>
  </si>
  <si>
    <t>DESCRIÇÃO DOS GEE INCLUÍDOS</t>
  </si>
  <si>
    <t>Compra de bens e serviços</t>
  </si>
  <si>
    <t>Bens de capital</t>
  </si>
  <si>
    <t>Transporte a montante</t>
  </si>
  <si>
    <t>Emissões de GEE associadas ao transporte dos bens adquiridos.</t>
  </si>
  <si>
    <t>Resíduos gerados</t>
  </si>
  <si>
    <t>Viagens pendulares</t>
  </si>
  <si>
    <t>Ativos alugados a montante</t>
  </si>
  <si>
    <t>Transporte a jusante</t>
  </si>
  <si>
    <t>Franchises</t>
  </si>
  <si>
    <t>Investimentos</t>
  </si>
  <si>
    <t>Âmbito 1 - Emissões Diretas</t>
  </si>
  <si>
    <t>Consumo de combustíveis de outros equipamentos</t>
  </si>
  <si>
    <t>Consumo de combustíveis frota produtiva</t>
  </si>
  <si>
    <t>Consumo de combustíveis frota não produtiva</t>
  </si>
  <si>
    <t>Emissões fugitivas de gases fluorados (e.g. gases refrigerantes)</t>
  </si>
  <si>
    <t>Emissões de GEE associadas ao consumo (queima) de combustíveis da frota produtiva</t>
  </si>
  <si>
    <t>Emissões de GEE associadas ao consumo (queima) de combustíveis da frota não produtiva (e.g. viaturas de assistência oficinal, correio interno, viaturas de serviço)</t>
  </si>
  <si>
    <t>Emissões diretas de GEE provenientes de fugas de equipamentos de climatização e de frio/refrigeração (móveis e estacionários)</t>
  </si>
  <si>
    <t>Consumo de energia de fontes secundárias (e.g. energia elétrica)</t>
  </si>
  <si>
    <t>Âmbito 2 - Emissões Indiretas</t>
  </si>
  <si>
    <t>TIPO EMISSÕES</t>
  </si>
  <si>
    <t>Interna</t>
  </si>
  <si>
    <t>Externa, a montante</t>
  </si>
  <si>
    <t>Âmbito 3 - Outras Emissões Indiretas (Cadeia de Valor)</t>
  </si>
  <si>
    <t>Logo</t>
  </si>
  <si>
    <t>Dr. João Santos</t>
  </si>
  <si>
    <t>ID Empresa</t>
  </si>
  <si>
    <t>Uso de combustíveis e energia de atividades relacionadas
(emissões WTT não incluídas nos âmbito 1 e/ou 2)</t>
  </si>
  <si>
    <t>Externa, a jusante</t>
  </si>
  <si>
    <t>Matriz de Materialidades</t>
  </si>
  <si>
    <t>Ativos alugados a justante</t>
  </si>
  <si>
    <t>Sim</t>
  </si>
  <si>
    <t>Uso de produtos vendidos (clientes universo GB)</t>
  </si>
  <si>
    <t>Uso de produtos vendidos (clientes externos ao GB)</t>
  </si>
  <si>
    <t>Fim-de-vida de produtos vendidos (clientes universo GB)</t>
  </si>
  <si>
    <t>Fim-de-vida de produtos vendidos (clientes externos ao GB)</t>
  </si>
  <si>
    <t>Processamento de produtos vendidos (clientes universo GB)</t>
  </si>
  <si>
    <t>Processamento de produtos vendidos (clientes externos ao GB)</t>
  </si>
  <si>
    <t>A avaliar/validar</t>
  </si>
  <si>
    <t>Não</t>
  </si>
  <si>
    <t>Subcontratação de Serviços de Transporte</t>
  </si>
  <si>
    <t>RESPONSÁVEIS DADOS</t>
  </si>
  <si>
    <t>Barraqueiro Transportes, S.A.</t>
  </si>
  <si>
    <t>Setor de Atividade</t>
  </si>
  <si>
    <t>Transporte Rodoviário de Passageiros</t>
  </si>
  <si>
    <t>Emissões de GEE associadas a:
Extração, refinação e transporte do combustível consumido;
Extração, produção e transporte dos combustíveis consumidos na geração da eletricidade consumida pela organização
Perdas da transmissão e distribuição de eletricidade.</t>
  </si>
  <si>
    <t>Não Aplicável em virtude dos limites operacionais definidos</t>
  </si>
  <si>
    <t>Emissões de GEE associados ao abate ou descomissionamento de produtos (potencialmente incluído nas emissões dos resíduos produzidos pelos clientes)</t>
  </si>
  <si>
    <t>Emissões de GEE associada ao uso dos produtos vendidos (tipicamente emissões de Âmbito 1 dos clientes), tais como combustíveis ou gases refrigerantes</t>
  </si>
  <si>
    <t>Não Aplicável em virtude do setor de atividade / tipo de produtos vendidos</t>
  </si>
  <si>
    <t>Emissões de GEE associadas à produção de materiais e serviços adquiridos pela organização nas suas atividades.</t>
  </si>
  <si>
    <t>FONTE DA INFORMÇÃO</t>
  </si>
  <si>
    <t>NIR 2023 APA</t>
  </si>
  <si>
    <t>NIR 2023 APA
DEFRA 2023</t>
  </si>
  <si>
    <t>APA, DEFRA, ERSR, ENTSO-E
Comercializadores de energia</t>
  </si>
  <si>
    <t>DEFRA
APA, ENTSO-E, ERSE, AIE</t>
  </si>
  <si>
    <t>Forncedores
EPDs</t>
  </si>
  <si>
    <t>Emissões de GEE associadas à produção dos bens de capital adquiridos</t>
  </si>
  <si>
    <t>Emissões de GEE associadas ao consumo de combustíveis em outros equipamentos estacionários (como geradores, estufas, esquentadores) e móveis (como empilhadores)</t>
  </si>
  <si>
    <t>Emissões de GEE associadas ao consumo de eletricidade adquirida a fornecedores externos</t>
  </si>
  <si>
    <t>Emissões de GEE associadas às viagens pendulares dos colaboradores (deslocação: casa-trabalho-casa)</t>
  </si>
  <si>
    <t>Não Aplicável em virtude dos limites operacionais definidos. Englobados no âmbito 1.</t>
  </si>
  <si>
    <t>Emissões de GEE associadas ao transporte dos bens adquiridos. Tipicamente não aplicável em virtude da natureza dos bens vendidos</t>
  </si>
  <si>
    <t>Emissões de GEE associadas ao transporte e gestão de resíduos por terceiros, incluindo àguas resíduais (valorização e eliminação).</t>
  </si>
  <si>
    <t>Responsável Gestão de Frota
Controle de Gestão</t>
  </si>
  <si>
    <t>Mapas de Aquisição de Frota
Mapas de Invesimentos
Lista de Frota</t>
  </si>
  <si>
    <t>Faturas de forncedores
Reporte de fornecedores</t>
  </si>
  <si>
    <t>Controle de Gestão
Central de Compras
Responsável Ambiente &amp; Qualidade</t>
  </si>
  <si>
    <t>Responsável Ambiente &amp; Qualidade</t>
  </si>
  <si>
    <t>Faturas de forncedores
Reporte de fornecedores
ERP: Mapas de Consumos</t>
  </si>
  <si>
    <t>Controle de Gestão
Responsável Gestão de Frota
Central de Compras
Responsável Ambiente &amp; Qualidade</t>
  </si>
  <si>
    <t>Mapas MIRR
ERP: Dados Gestão RH</t>
  </si>
  <si>
    <t>ERP: Dados Gestão RH</t>
  </si>
  <si>
    <t>NA</t>
  </si>
  <si>
    <t>Controlo de Gestão
STM
Área de Vendas (Representação AC)</t>
  </si>
  <si>
    <t>Mapas Controle de Gestão
Mapas de Vendas de Combustível
Mapas de Compra / Venda de Gases Fluorados
Mapas de Vendas de ACs</t>
  </si>
  <si>
    <t>Responsável Área Comercial
Controle de Gestão</t>
  </si>
  <si>
    <t>Responsável Ambiente &amp; Qualidade
Responsável DRH</t>
  </si>
  <si>
    <t>Responsável DRH</t>
  </si>
  <si>
    <t>Controle de Gestão
Responsável Manutenção</t>
  </si>
  <si>
    <t>Notas de Encomenda
Guias de Transporte
Mapas de Controle de Gestão</t>
  </si>
  <si>
    <t>DEFRA 2023</t>
  </si>
  <si>
    <t>Mapas de Compra / Venda de Gases Fluorados
Declaração Gases Fluorados APA
ERP: Consumos de Material</t>
  </si>
  <si>
    <t>Mapas dp Controle de Gestão
Notas de Encomenda
Orçamentos e Dados Faturação</t>
  </si>
  <si>
    <r>
      <t xml:space="preserve">Fatores de Emissões 
</t>
    </r>
    <r>
      <rPr>
        <b/>
        <sz val="12"/>
        <color theme="4"/>
        <rFont val="Calibri"/>
        <family val="2"/>
        <scheme val="minor"/>
      </rPr>
      <t>(a preencher pelo Resp. Projecto GB)</t>
    </r>
  </si>
  <si>
    <t>MATERIALIDADE / INCLUSÃO</t>
  </si>
  <si>
    <t>Nome do Responsável Local do Projeto</t>
  </si>
  <si>
    <t>Responsável Local Pegada Carbono Empresa</t>
  </si>
  <si>
    <t>Responsável Projecto Pegada Carbono GB</t>
  </si>
  <si>
    <t>Nome da Empresa</t>
  </si>
  <si>
    <t>Principal setor de atividade operacional</t>
  </si>
  <si>
    <t>A1.1 Consumo de combustíveis frota produtiva</t>
  </si>
  <si>
    <t>A1.2 Consumo de combustíveis frota não produtiva</t>
  </si>
  <si>
    <t>A1.3 Consumo de combustíveis de outros equipamentos</t>
  </si>
  <si>
    <t>A1.4 Emissões fugitivas de gases fluorados (e.g. gases refrigerantes)</t>
  </si>
  <si>
    <t>A2 Consumo de energia de fontes secundárias (e.g. energia elétrica)</t>
  </si>
  <si>
    <t>A3.1 Uso de combustíveis e energia de atividades relacionadas
(emissões WTT não incluídas nos âmbito 1 e/ou 2)</t>
  </si>
  <si>
    <t>A3.2 Bens de capital</t>
  </si>
  <si>
    <t>A3.3 Viagens pendulares</t>
  </si>
  <si>
    <t>A3.4 Compra de bens e serviços</t>
  </si>
  <si>
    <t>A3.5 Transporte a montante</t>
  </si>
  <si>
    <t>A3.6 Ativos alugados a montante</t>
  </si>
  <si>
    <t>A3.7.1.1 Processamento de produtos vendidos (clientes universo GB)</t>
  </si>
  <si>
    <t>A3.7.1.2 Processamento de produtos vendidos (clientes externos ao GB)</t>
  </si>
  <si>
    <t>A3.7.2.1 Uso de produtos vendidos (clientes universo GB)</t>
  </si>
  <si>
    <t>A3.7.2.2 Uso de produtos vendidos (clientes externos ao GB)</t>
  </si>
  <si>
    <t>A3.7.3.1 Fim-de-vida de produtos vendidos (clientes universo GB)</t>
  </si>
  <si>
    <t>A3.7.3.2 Fim-de-vida de produtos vendidos (clientes externos ao GB)</t>
  </si>
  <si>
    <t>A3.8 Subcontratação de Serviços de Transporte</t>
  </si>
  <si>
    <t>A3.9 Resíduos gerados</t>
  </si>
  <si>
    <t>Grupo Barraqueiro</t>
  </si>
  <si>
    <t>Template de recolha de Dados de Atividade</t>
  </si>
  <si>
    <t xml:space="preserve">Versão: </t>
  </si>
  <si>
    <t>01</t>
  </si>
  <si>
    <t xml:space="preserve">Data: </t>
  </si>
  <si>
    <t>Data</t>
  </si>
  <si>
    <t>Categoria</t>
  </si>
  <si>
    <t>Âmbito</t>
  </si>
  <si>
    <t xml:space="preserve">Metodologia para recolha de dados </t>
  </si>
  <si>
    <t>Responsável pela recolha de dados</t>
  </si>
  <si>
    <t>Identificação do responsável local pela recolha de dados</t>
  </si>
  <si>
    <t>Emissões GEE em âmbito 2 incluindo:
.Consumo de energia de fontes secundárias (e.g. energia elétrica)</t>
  </si>
  <si>
    <t>Âmbito 2 - Emissões indiretas de GEE, a montante, associadas à produção de energia comprada</t>
  </si>
  <si>
    <t>PEGADA DE CARBONO</t>
  </si>
  <si>
    <t xml:space="preserve">Âmbito 1 - Emissões diretas (Uso de Combustíveis) </t>
  </si>
  <si>
    <t>Fonte de Informação</t>
  </si>
  <si>
    <t>Identificação das fontes de dados pelo responsável local pela recolha de dados</t>
  </si>
  <si>
    <t>Recolha de dados da atividade:</t>
  </si>
  <si>
    <t>Empresa</t>
  </si>
  <si>
    <t>Fornecedor</t>
  </si>
  <si>
    <t>Consumo (kWh)</t>
  </si>
  <si>
    <t>Observações</t>
  </si>
  <si>
    <t>Exclusões observadas:</t>
  </si>
  <si>
    <t>Melhorias futuras:</t>
  </si>
  <si>
    <t>Uso (Combustão) de combustíveis</t>
  </si>
  <si>
    <t>Tipologia veículos</t>
  </si>
  <si>
    <t>Tipo de combustível</t>
  </si>
  <si>
    <t>Consumo</t>
  </si>
  <si>
    <t>Unidades</t>
  </si>
  <si>
    <t>Tipo Operação.</t>
  </si>
  <si>
    <t>Oferta (km percorridos)</t>
  </si>
  <si>
    <t>Lotação média</t>
  </si>
  <si>
    <t>Listagem de Frota</t>
  </si>
  <si>
    <t>Produção (km percorridos)</t>
  </si>
  <si>
    <t>Lotação</t>
  </si>
  <si>
    <t>Ano Fabrico /        1ª matrícula</t>
  </si>
  <si>
    <t>Norma de Emissões</t>
  </si>
  <si>
    <t>Emissões de GEE em âmbito 1 incluindo:
.Emissões associadas à combustão de combustíveis na frota produtiva</t>
  </si>
  <si>
    <t>Emissões de GEE em âmbito 1 incluindo:
.Emissões associadas à combustão de combustíveis na frota não-produtiva
.Emissões associadas à combustão de combustíveis em equipamentos móveis
.Emissões associadas à combustão de combustíveis em equipamentos estacionários</t>
  </si>
  <si>
    <t>Emissões de GEE em âmbito 1 incluindo:
.Emissões associadas à combustão de combustíveis na frota não-produtiva</t>
  </si>
  <si>
    <t>Emissões de GEE em âmbito 1 incluindo:
.Emissões associadas à combustão de combustíveis em equipamentos móveis e estacionários</t>
  </si>
  <si>
    <t>Listagem de Frota Não-Produtiva (ligeiros e veículos auxiliares, e.g. Oficina)</t>
  </si>
  <si>
    <t>Oferta (lg.km)</t>
  </si>
  <si>
    <t>Listagem de Equipamentos</t>
  </si>
  <si>
    <t>Tipologia de Equipamentos</t>
  </si>
  <si>
    <t>Fontes de Emissão Fugitiva (Equipamentos)</t>
  </si>
  <si>
    <t>Local (opcional)</t>
  </si>
  <si>
    <t>Gás</t>
  </si>
  <si>
    <t>Quantidade adquirida para recarregar equipamentos existentes (kg)</t>
  </si>
  <si>
    <t>Quantidade recuperada para destruição ou reciclagem (kg)</t>
  </si>
  <si>
    <t>Quantidade total perdida (kg)</t>
  </si>
  <si>
    <t>Emissões de GEE em âmbito 1 incluindo:
.Emissões fugitivas de gases fluorados em equipamentos de climatização e frio.</t>
  </si>
  <si>
    <t xml:space="preserve">Âmbito 1 - Emissões diretas (Gases Fluorados) </t>
  </si>
  <si>
    <t>Uso (Perdas) de Gases Fluorados (e.g. gases refrigerantes)</t>
  </si>
  <si>
    <t>Listagem/Invenário de Equipamentos</t>
  </si>
  <si>
    <t>Tipo</t>
  </si>
  <si>
    <t>Tipo de Gás</t>
  </si>
  <si>
    <t>Tipos de Gás</t>
  </si>
  <si>
    <t>CFC</t>
  </si>
  <si>
    <t>HCFC</t>
  </si>
  <si>
    <t>HFC</t>
  </si>
  <si>
    <t>Bromocarbons, Hydrobromocarbons and Halons</t>
  </si>
  <si>
    <t>Fully Fluorinated Species</t>
  </si>
  <si>
    <t>Halogenated Alcohols, Ethers, Furans, Aldehydes and Ketones</t>
  </si>
  <si>
    <t>HFC-23</t>
  </si>
  <si>
    <t>HFC-32</t>
  </si>
  <si>
    <t>HFC-41</t>
  </si>
  <si>
    <t>HFC-215</t>
  </si>
  <si>
    <t>HFC-134</t>
  </si>
  <si>
    <t>HFC-134a</t>
  </si>
  <si>
    <t>HFC-143</t>
  </si>
  <si>
    <t>HFC-143a</t>
  </si>
  <si>
    <t>HFC-152</t>
  </si>
  <si>
    <t>HFC-152a</t>
  </si>
  <si>
    <t>HFC-161</t>
  </si>
  <si>
    <t>HFC-227ca</t>
  </si>
  <si>
    <t>HFC-227ea</t>
  </si>
  <si>
    <t>HFC-236cb</t>
  </si>
  <si>
    <t>HFC-236ea</t>
  </si>
  <si>
    <t>HFC-236fa</t>
  </si>
  <si>
    <t>HFC-245ca</t>
  </si>
  <si>
    <t>HFC-245cb</t>
  </si>
  <si>
    <t>HFC-245ea</t>
  </si>
  <si>
    <t>HFC-245eb</t>
  </si>
  <si>
    <t>HFC-245fa</t>
  </si>
  <si>
    <t>HFC-263fb</t>
  </si>
  <si>
    <t>HFC-272ca</t>
  </si>
  <si>
    <t>HFC-329p</t>
  </si>
  <si>
    <t>HFC-365mfc</t>
  </si>
  <si>
    <t>HFC-43-10mee</t>
  </si>
  <si>
    <t>HFO-1123</t>
  </si>
  <si>
    <t>HFO-1132a</t>
  </si>
  <si>
    <t>HFO-1141</t>
  </si>
  <si>
    <t>HFO-1225ye(Z)</t>
  </si>
  <si>
    <t>HFO-1225ye(E)</t>
  </si>
  <si>
    <t>HFO-1234ze(Z)</t>
  </si>
  <si>
    <t>HFO-1234ze(E)</t>
  </si>
  <si>
    <t>HFO-1234yf</t>
  </si>
  <si>
    <t>HFO-1336mzz(E)</t>
  </si>
  <si>
    <t>HFO-1336mzz(Z)</t>
  </si>
  <si>
    <t>HFO-1243zf</t>
  </si>
  <si>
    <t>HFO-1345zfc</t>
  </si>
  <si>
    <t>3,3,4,4,5,5,6,6,6-nonafluorohex-1-ene</t>
  </si>
  <si>
    <t>3,3,4,4,5,5,6,6,7,7,8,8,8-tridecafluorooct-1-ene</t>
  </si>
  <si>
    <t>3,3,4,4,5,5,6,6,7,7,8,8,9,9,10,10,10-heptadecafluorodec-1-ene</t>
  </si>
  <si>
    <t>3,3,3-trifluoro-2-(trifluoromethyl)prop-1-ene</t>
  </si>
  <si>
    <t>1,1,2,2,3,3-hexafluorocyclopentane</t>
  </si>
  <si>
    <t>1,1,2,2,3,3,4-heptafluorocyclopentane</t>
  </si>
  <si>
    <t>1,3,3,4,4,5,5-heptafluorocyclopentene</t>
  </si>
  <si>
    <t>(4s,5s)-1,1,2,2,3,3,4,5-octafluorocyclopentane</t>
  </si>
  <si>
    <t>HFO-1438ezy(E)</t>
  </si>
  <si>
    <t>HFO-1447fz</t>
  </si>
  <si>
    <t>1,3,3,4,4-pentafluorocyclobutene</t>
  </si>
  <si>
    <t>3,3,4,4-tetrafluorocyclobutene</t>
  </si>
  <si>
    <t>Chlorocarbons and Hydrochlorocarbons</t>
  </si>
  <si>
    <t>HCFC-21</t>
  </si>
  <si>
    <t>HCFC-22</t>
  </si>
  <si>
    <t>HCFC-31</t>
  </si>
  <si>
    <t>HCFC-121</t>
  </si>
  <si>
    <t>HCFC-122</t>
  </si>
  <si>
    <t>HCFC-123</t>
  </si>
  <si>
    <t>HCFC-124</t>
  </si>
  <si>
    <t>HCFC-122a</t>
  </si>
  <si>
    <t>HCFC-123a</t>
  </si>
  <si>
    <t>HCFC-124a</t>
  </si>
  <si>
    <t>HCFC-132</t>
  </si>
  <si>
    <t>HCFC-132a</t>
  </si>
  <si>
    <t>HCFC-132c</t>
  </si>
  <si>
    <t>HCFC-141</t>
  </si>
  <si>
    <t>HCFC-141b</t>
  </si>
  <si>
    <t>HCFC-142b</t>
  </si>
  <si>
    <t>HCFC-225ca</t>
  </si>
  <si>
    <t>HCFC-225cb</t>
  </si>
  <si>
    <t>HCFO-1233zd(E)</t>
  </si>
  <si>
    <t>HCFO-1233zd(Z)</t>
  </si>
  <si>
    <t>(e)-1-chloro-2-fluoroethene</t>
  </si>
  <si>
    <t>CFC-11</t>
  </si>
  <si>
    <t>CFC-12</t>
  </si>
  <si>
    <t>CFC-13</t>
  </si>
  <si>
    <t>CFC-112</t>
  </si>
  <si>
    <t>CFC-112a</t>
  </si>
  <si>
    <t>CFC-113</t>
  </si>
  <si>
    <t>CFC-114</t>
  </si>
  <si>
    <t>CFC-115</t>
  </si>
  <si>
    <t>CFC-113a</t>
  </si>
  <si>
    <t>CFC-114a</t>
  </si>
  <si>
    <t>E-R316c</t>
  </si>
  <si>
    <t>Z-R316c</t>
  </si>
  <si>
    <t>CFC 1112</t>
  </si>
  <si>
    <t>CFC 1112a</t>
  </si>
  <si>
    <t>Methyl chloroform</t>
  </si>
  <si>
    <t>CC &amp; HC</t>
  </si>
  <si>
    <t>Carbon tetrachloride</t>
  </si>
  <si>
    <t>Methyl chloride</t>
  </si>
  <si>
    <t>Methylene chloride</t>
  </si>
  <si>
    <t>Chloroform</t>
  </si>
  <si>
    <t>Chloroethane</t>
  </si>
  <si>
    <t>1,2-dichloroethane</t>
  </si>
  <si>
    <t>1,1,2-trichloroethene</t>
  </si>
  <si>
    <t>1,1,2,2-tetrachloroethene</t>
  </si>
  <si>
    <t>2-chloropropane</t>
  </si>
  <si>
    <t>1-chlorobutane</t>
  </si>
  <si>
    <t>BC, HBC, Halons</t>
  </si>
  <si>
    <t>Methyl bromide</t>
  </si>
  <si>
    <t>Methylene bromide</t>
  </si>
  <si>
    <t>Halon-1201</t>
  </si>
  <si>
    <t>Halon-1202</t>
  </si>
  <si>
    <t>Halon-1211</t>
  </si>
  <si>
    <t>Halon-1301</t>
  </si>
  <si>
    <t>Halon-2301</t>
  </si>
  <si>
    <t>Halon-2311</t>
  </si>
  <si>
    <t>Halon-2401</t>
  </si>
  <si>
    <t>Halon-2402</t>
  </si>
  <si>
    <t>Tribromomethane</t>
  </si>
  <si>
    <t>Halon-1011</t>
  </si>
  <si>
    <t>Bromoethane</t>
  </si>
  <si>
    <t>1,2-dibromoethane</t>
  </si>
  <si>
    <t>1-bromopropane</t>
  </si>
  <si>
    <t>2-bromopropane</t>
  </si>
  <si>
    <t>Nitrogen trifluoride</t>
  </si>
  <si>
    <t>FF</t>
  </si>
  <si>
    <t>Pentadecafluorotriethylamine</t>
  </si>
  <si>
    <t>Perfluorotripropylamine</t>
  </si>
  <si>
    <t>Heptacosafluorotributylamine</t>
  </si>
  <si>
    <t>Perfluorotripentylamine</t>
  </si>
  <si>
    <t>Heptafluoroisobutyronitrile</t>
  </si>
  <si>
    <t>Sulphur hexafluoride</t>
  </si>
  <si>
    <t>Trifluromethylsulfur pentafluoride</t>
  </si>
  <si>
    <t>Sulfuryl fluoride</t>
  </si>
  <si>
    <t>PFC-14</t>
  </si>
  <si>
    <t>PFC-116</t>
  </si>
  <si>
    <t>PFC-218</t>
  </si>
  <si>
    <t>Hexafluorocyclobutene</t>
  </si>
  <si>
    <t>PFC-C-318</t>
  </si>
  <si>
    <t>PFC-31-10</t>
  </si>
  <si>
    <t>Octafluorocyclopentene</t>
  </si>
  <si>
    <t>PFC-41-12</t>
  </si>
  <si>
    <t>PFC-51-14</t>
  </si>
  <si>
    <t>PFC-61-16</t>
  </si>
  <si>
    <t>PFC-71-18</t>
  </si>
  <si>
    <t>PFC-91-18</t>
  </si>
  <si>
    <t>PFC-1114</t>
  </si>
  <si>
    <t>PFC-1216</t>
  </si>
  <si>
    <t>1,1,2,2,3,3,4,4,4a,5,5,6,6,7,7,8,8,8a-octadecafluoronaphthalene-Z</t>
  </si>
  <si>
    <t>1,1,2,2,3,3,4,4,4a,5,5,6,6,7,7,8,8,8a-octadecafluoronaphthalene-E</t>
  </si>
  <si>
    <t>1,1,2,3,4,4-hexafluorobuta-1,3-diene</t>
  </si>
  <si>
    <t>Octafluoro-1-butene</t>
  </si>
  <si>
    <t>Octafluoro-2-butene</t>
  </si>
  <si>
    <t>HaloA, Ethers , Furans, Aldehydes &amp; Ketones</t>
  </si>
  <si>
    <t>HFE-125</t>
  </si>
  <si>
    <t>HFE-134</t>
  </si>
  <si>
    <t>HFE-143a</t>
  </si>
  <si>
    <t>HFE-227ea</t>
  </si>
  <si>
    <t>HCFE-235ca2</t>
  </si>
  <si>
    <t>HCFE-235da2</t>
  </si>
  <si>
    <t>HFE-236ea2</t>
  </si>
  <si>
    <t>HFE-236fa</t>
  </si>
  <si>
    <t>HFE-245fa1</t>
  </si>
  <si>
    <t>HFE-245fa2</t>
  </si>
  <si>
    <t>2,2,3,3,3-pentafluoropropan-1-ol</t>
  </si>
  <si>
    <t>HFE-254cb1</t>
  </si>
  <si>
    <t>HFE-263mf</t>
  </si>
  <si>
    <t>HFE-263m1</t>
  </si>
  <si>
    <t>3,3,3-trifluoropropan-1-ol</t>
  </si>
  <si>
    <t>HFE-329mcc2</t>
  </si>
  <si>
    <t>HFE-338mmz1</t>
  </si>
  <si>
    <t>HFE-338mcf2</t>
  </si>
  <si>
    <t>HFE-347mmz1</t>
  </si>
  <si>
    <t>HFE-347mcc3</t>
  </si>
  <si>
    <t>HFE-347mcf2</t>
  </si>
  <si>
    <t>HFE-347pcf2</t>
  </si>
  <si>
    <t>HFE-347mmy1</t>
  </si>
  <si>
    <t>HFE-356mec3</t>
  </si>
  <si>
    <t>HFE-356mff2</t>
  </si>
  <si>
    <t>HFE-356pcf2</t>
  </si>
  <si>
    <t>HFE-356pcf3</t>
  </si>
  <si>
    <t>HFE-356pcc3</t>
  </si>
  <si>
    <t>HFE-356mmz1</t>
  </si>
  <si>
    <t>HFE-365mcf3</t>
  </si>
  <si>
    <t>HFE-374pc2</t>
  </si>
  <si>
    <t>4,4,4-trifluorobutan-1-ol</t>
  </si>
  <si>
    <t>2,2,3,3,4,4,5,5-octafluorocyclopentan-1-ol</t>
  </si>
  <si>
    <t>HFE-43-10pccc124</t>
  </si>
  <si>
    <t>HFE-449s1</t>
  </si>
  <si>
    <t>n-HFE-7100</t>
  </si>
  <si>
    <t>i-HFE-7100</t>
  </si>
  <si>
    <t>HFE-569sf2</t>
  </si>
  <si>
    <t>i-HFE-7200</t>
  </si>
  <si>
    <t>HFE-7300</t>
  </si>
  <si>
    <t>HFE-7500</t>
  </si>
  <si>
    <t>HFE-236ca12</t>
  </si>
  <si>
    <t>HFE-338pcc13</t>
  </si>
  <si>
    <t>1,1,1,3,3,3-hexafluoropropan-2-ol</t>
  </si>
  <si>
    <t>HG-02</t>
  </si>
  <si>
    <t>HG-03</t>
  </si>
  <si>
    <t>Fluroxene</t>
  </si>
  <si>
    <t>2-ethoxy-3,3,4,4,
5-pentafluorotetrahydro-
2,5-bis[1,2,2,2-tetrafluoro-1-(trifluoromethyl)ethyl]-furan</t>
  </si>
  <si>
    <t>Difluoro (methoxy)methane</t>
  </si>
  <si>
    <t>HG’-01</t>
  </si>
  <si>
    <t>HG’-02</t>
  </si>
  <si>
    <t>HG’-03</t>
  </si>
  <si>
    <t>HFE-329me3</t>
  </si>
  <si>
    <t>3,3,4,4,5,5,6,6,7,7,7-undecafluoroheptan-1-ol</t>
  </si>
  <si>
    <t>3,3,4,4,5,5,6,6,7,7,8,8,9,9,9-pentadecafluorononan-1-ol</t>
  </si>
  <si>
    <t>3,3,4,4,5,5,6,6,7,7,8,8,9,9,10,10,11,11,11-nonadecafluoroundecan-1-ol</t>
  </si>
  <si>
    <t>2-chloro-1,1,2-trifluoro-1-methoxyethane</t>
  </si>
  <si>
    <t>PFPMIE</t>
  </si>
  <si>
    <t>HFE-216</t>
  </si>
  <si>
    <t>Perfluoroethyl formate</t>
  </si>
  <si>
    <t>2,2,2-trifluoroethyl formate</t>
  </si>
  <si>
    <t>Formic acid;1,1,1,3,3,3-hexafluoropropan-2-ol</t>
  </si>
  <si>
    <t>Ethenyl 2,2,2-trifluoroacetate</t>
  </si>
  <si>
    <t>Ethyl 2,2,2-trifluoroacetate</t>
  </si>
  <si>
    <t>Prop-2-enyl 2,2,2-trifluoroacetate</t>
  </si>
  <si>
    <t>Methyl 2,2,2-trifluoroacetate</t>
  </si>
  <si>
    <t>2,2,3,3,4,4,4-heptafluorobutan-1-ol</t>
  </si>
  <si>
    <t>1,1,2-trifluoro-2-(trifluoromethoxy) ethane</t>
  </si>
  <si>
    <t>1-ethoxy-1,1,2,3,3,3-hexafluoropropane</t>
  </si>
  <si>
    <t>1,1,1,2,2,3,3-heptafluoro-3-(1,2,2,2-tetrafluoroethoxy) propane</t>
  </si>
  <si>
    <t>2,2,3,3-tetrafluoropropan-1-ol</t>
  </si>
  <si>
    <t>2,2,3,4,4,4-hexafluorobutan-1-ol</t>
  </si>
  <si>
    <t>1,1,2,2-tetrafluoro-3-methoxypropane</t>
  </si>
  <si>
    <t>1,1,1,2,2,4,5,5,5-nonafluoro-4-(trifluoromethyl)pentan-3-one</t>
  </si>
  <si>
    <t>3,3,3-trifluoropropanal</t>
  </si>
  <si>
    <t>2-fluoroethanol</t>
  </si>
  <si>
    <t>2,2-difluoroethanol</t>
  </si>
  <si>
    <t>2,2,2-trifluoroethanol</t>
  </si>
  <si>
    <t>HG-04</t>
  </si>
  <si>
    <t>Methyl-perfluoroheptene-ethers</t>
  </si>
  <si>
    <t>1,1,1-trifluoropropan-2-one</t>
  </si>
  <si>
    <t>1,1,1-trifluorobutan-2-one</t>
  </si>
  <si>
    <t>1-chloro-2-ethenoxyethane</t>
  </si>
  <si>
    <t>2-methylpentan-3-one</t>
  </si>
  <si>
    <t>Ethyl methyl ether</t>
  </si>
  <si>
    <t>Octafluorooxolane</t>
  </si>
  <si>
    <t>Crotonaldehyde</t>
  </si>
  <si>
    <t>Methyl vinyl ketone</t>
  </si>
  <si>
    <t>Allyl ether</t>
  </si>
  <si>
    <t>Allyl ethyl ether</t>
  </si>
  <si>
    <t>(z)-hex-2-en-1-ol</t>
  </si>
  <si>
    <t>(e)-hex-2-en-1-ol</t>
  </si>
  <si>
    <t>Allyl cyanide</t>
  </si>
  <si>
    <t>Other Misc</t>
  </si>
  <si>
    <t>Hexamethyldisiloxane</t>
  </si>
  <si>
    <t>Octamethyltrisiloxane</t>
  </si>
  <si>
    <t>Decamethyltetrasiloxane</t>
  </si>
  <si>
    <t>Dodecamethylpentasiloxane</t>
  </si>
  <si>
    <t>Hexamethylcyclotrisiloxane</t>
  </si>
  <si>
    <t>Octamethylcyclotetrasiloxane</t>
  </si>
  <si>
    <t>Decamethylcyclopentasiloxane</t>
  </si>
  <si>
    <t>Dodecamethylcyclohexasiloxane</t>
  </si>
  <si>
    <t>Ethane</t>
  </si>
  <si>
    <t>Propane</t>
  </si>
  <si>
    <t>Butane</t>
  </si>
  <si>
    <t>Gases EE</t>
  </si>
  <si>
    <t>Methane</t>
  </si>
  <si>
    <t>Nitrous Oxide</t>
  </si>
  <si>
    <t>Carbon Dioxide</t>
  </si>
  <si>
    <t>Perídodo</t>
  </si>
  <si>
    <t>Emissões GEE em âmbito 3 incluindo:
.Aquisição de bens de capital (as emissões associadas à compra de bens ocorrem no ciclo de vida (extração, produção, transporte) dos bens de capital comprados ou adquiridos, até ao ponto de receção pela organização inventariante (tipicamente capex).</t>
  </si>
  <si>
    <t>Emissões GEE em âmbito 3 incluindo:
.Uso de combustíveis e energia de atividades relacionadas (tipicamentes as emissões associadas à extração de matérias primas (e.g. petróleo), transporte, refinamento de combustíveis e distribuição final)</t>
  </si>
  <si>
    <t>Valor (€)</t>
  </si>
  <si>
    <t>Quantidade</t>
  </si>
  <si>
    <t>Tipologia de Bens comprados/adquiridos</t>
  </si>
  <si>
    <t>Emissões de GEE associadas à cadeia de valor da produção dos bens de capital adquiridos</t>
  </si>
  <si>
    <t>Emissões GEE em âmbito 3 incluindo:
.Emissões de GEE associadas às viagens pendulares dos colaboradores (deslocação: casa-trabalho-casa)</t>
  </si>
  <si>
    <t>Nº de Colaboradores</t>
  </si>
  <si>
    <t>Viagem média (km)</t>
  </si>
  <si>
    <t>Emissões GEE em âmbito 3 incluindo:
.Emissões de GEE associadas à compra de bens e serviços, nomeadamente associadas à cadeia de valor da produção de materiais e serviços adquiridos pela organização nas suas atividades.</t>
  </si>
  <si>
    <t>Tipo de Material/Tipo de serviço</t>
  </si>
  <si>
    <t>Distância (km)</t>
  </si>
  <si>
    <t>Peso (em kg, caso aplicável)</t>
  </si>
  <si>
    <t>Tipo de Transporte</t>
  </si>
  <si>
    <t>Quantidade transportada</t>
  </si>
  <si>
    <t>País de Origem</t>
  </si>
  <si>
    <t>Distância unitária (km)</t>
  </si>
  <si>
    <t>Meio de Transporte</t>
  </si>
  <si>
    <t>Emissões GEE em âmbito 3 incluindo:
.Emissões de GEE a montante associadas ativos alugados</t>
  </si>
  <si>
    <t>Emissões GEE em âmbito 3 incluindo:
.Emissões de GEE associadas ao transporte a montante dos bens adquiridos.</t>
  </si>
  <si>
    <t>Emissões GEE em âmbito 3 incluindo:
.Emissões de GEE a montante associadas a investimentos</t>
  </si>
  <si>
    <t>Emissões GEE em âmbito 3 incluindo:
.Emissões de GEE a montante associadas a operações de Franchise</t>
  </si>
  <si>
    <t>Emissões GEE em âmbito 3 incluindo:
.Emissões de GEE associadas ao transporte a jusante dos produtos vendidos.</t>
  </si>
  <si>
    <t>Emissões GEE em âmbito 3 incluindo:
.Emissões de GEE a jusante associadas a ativos alugados.</t>
  </si>
  <si>
    <t>País de Destino</t>
  </si>
  <si>
    <t>Região/Cidade de Destino</t>
  </si>
  <si>
    <t>Região/Cidade de Origem</t>
  </si>
  <si>
    <t>Tipo de Produto</t>
  </si>
  <si>
    <t>Tipo de produto (detalhe, comentátio)</t>
  </si>
  <si>
    <t>Cliente</t>
  </si>
  <si>
    <t>Cliente Universo GB</t>
  </si>
  <si>
    <t>Emissões GEE em âmbito 3 incluindo:
.Emissões de GEE associadas aos resíduos gerados da organização e geridos por terceiros.</t>
  </si>
  <si>
    <t>Quantidade produzida</t>
  </si>
  <si>
    <t>Tipo de resíduo (Código LER)</t>
  </si>
  <si>
    <t>Tipo de resíduo (descrição)</t>
  </si>
  <si>
    <t>Tratamento final (Código R ou D)</t>
  </si>
  <si>
    <t>Tratamento final (descrição)</t>
  </si>
  <si>
    <t>Tipos de Tratamento</t>
  </si>
  <si>
    <t>Final</t>
  </si>
  <si>
    <t>Código</t>
  </si>
  <si>
    <t>R1</t>
  </si>
  <si>
    <t>R2</t>
  </si>
  <si>
    <t>R3</t>
  </si>
  <si>
    <t>R4</t>
  </si>
  <si>
    <t>R5</t>
  </si>
  <si>
    <t>R6</t>
  </si>
  <si>
    <t>R7</t>
  </si>
  <si>
    <t>R8</t>
  </si>
  <si>
    <t>R9</t>
  </si>
  <si>
    <t>R10</t>
  </si>
  <si>
    <t>R11</t>
  </si>
  <si>
    <t>R12</t>
  </si>
  <si>
    <t>R13</t>
  </si>
  <si>
    <t xml:space="preserve">Troca de resíduos com vista a submetê-los a uma das operações enumeradas de R 1 a R 11 </t>
  </si>
  <si>
    <t xml:space="preserve">Utilização de resíduos obtidos em virtude das operações enumeradas de R 1 a R 10 </t>
  </si>
  <si>
    <t xml:space="preserve">Tratamento no solo em benefício da agricultura ou para melhorar o ambiente </t>
  </si>
  <si>
    <t xml:space="preserve">Recuperação/regeneração de solventes </t>
  </si>
  <si>
    <t xml:space="preserve">Utilização como combustível (que não em incineração directa) ou outros meios de produção de energia/Utilização principal como combustível ou outros meios de produção de energia </t>
  </si>
  <si>
    <t xml:space="preserve">Reciclagem/recuperação de compostos orgânicos que não são utilizados como solventes </t>
  </si>
  <si>
    <t xml:space="preserve">Reciclagem/recuperação de metais e de ligas </t>
  </si>
  <si>
    <t xml:space="preserve">Reciclagem/recuperação de outras matérias inorgânicas </t>
  </si>
  <si>
    <t>D1</t>
  </si>
  <si>
    <t>Eliminação</t>
  </si>
  <si>
    <t>Valorização</t>
  </si>
  <si>
    <t>D2</t>
  </si>
  <si>
    <t>D3</t>
  </si>
  <si>
    <t>D4</t>
  </si>
  <si>
    <t>D5</t>
  </si>
  <si>
    <t>D6</t>
  </si>
  <si>
    <t>D7</t>
  </si>
  <si>
    <t>D8</t>
  </si>
  <si>
    <t>D9</t>
  </si>
  <si>
    <t>D10</t>
  </si>
  <si>
    <t>D11</t>
  </si>
  <si>
    <t>D12</t>
  </si>
  <si>
    <t>D13</t>
  </si>
  <si>
    <t>D14</t>
  </si>
  <si>
    <t>D15</t>
  </si>
  <si>
    <t>Tratamento no solo (por exemplo, biodegradação de efluentes líquidos ou de lamas de depuração nos solos, etc.)</t>
  </si>
  <si>
    <t>Deposição sobre o solo ou no seu interior (por exemplo, aterro sanitário, etc.).</t>
  </si>
  <si>
    <t>Lagunagem (por exemplo, descarga de resíduos líquidos ou de lamas de depuração em poços, lagos naturais ou artificiais, etc.)</t>
  </si>
  <si>
    <t>Injeção em profundidade (por exemplo, injeção de resíduos por bombagem em poços, cúpulas salinas ou depósitos naturais, etc.)</t>
  </si>
  <si>
    <t>Depósitos subterrâneos especialmente concebidos (por exemplo, deposição em alinhamentos de células que são seladas e isoladas umas das outras e do ambiente, etc.)</t>
  </si>
  <si>
    <t>Descarga para massas de águas, com excepção dos mares e dos oceanos</t>
  </si>
  <si>
    <t>Descargas para os mares e/ou oceanos, incluindo inserção nos fundos marinhos</t>
  </si>
  <si>
    <t>Tratamento biológico não especificado em qualquer outra parte da presente lista que produz compostos ou misturas finais que são rejeitados por meio de qualquer uma das operações enumeradas na presente lista</t>
  </si>
  <si>
    <t>Tratamento físico-químico não especificado em qualquer outra parte da presente lista que produz compostos ou misturas finais rejeitados por meio de qualquer uma das operações enumeradas na presente lista (por exemplo, evaporação, secagem, calcinação, etc.)</t>
  </si>
  <si>
    <t>Incineração em terra</t>
  </si>
  <si>
    <t>Incineração no mar</t>
  </si>
  <si>
    <t>Armazenagem permanente (por exemplo, armazenagem de contentores numa mina, etc.)</t>
  </si>
  <si>
    <t>Âmbito 3 - Emissões indiretas de GEE, associadas à cadeia de valor</t>
  </si>
  <si>
    <t>Emissões GEE em âmbito 3 incluindo:
.Emissões de GEE associadas ao uso dos produtos vendidos.
.Emissões de GEE associadas à transformação dos produtos vendidos.
.Emissões de GEE associadas ao abate dos produtos vendidos.</t>
  </si>
  <si>
    <t>Emissões GEE em âmbito 3 incluindo:
.Emissões de GEE associadas à subcontratação de serviços de transporte</t>
  </si>
  <si>
    <t>Fornecedor Universo GB</t>
  </si>
  <si>
    <t>Transporte Dedicado em Exclulsividade</t>
  </si>
  <si>
    <t>Origem</t>
  </si>
  <si>
    <t>Destino</t>
  </si>
  <si>
    <t>Fornecedor/Entidade Subcontratada</t>
  </si>
  <si>
    <t>Emissões GEE em âmbito 3 incluindo:
.Emissões de GEE associadas ao tratamento de águas residuais</t>
  </si>
  <si>
    <t>Fonte de água</t>
  </si>
  <si>
    <t>Quantidade descarregada</t>
  </si>
  <si>
    <t>Quantidade usada</t>
  </si>
  <si>
    <t>Barraqueiro Transportes</t>
  </si>
  <si>
    <t>Ribatejana Verde</t>
  </si>
  <si>
    <t>Citirama</t>
  </si>
  <si>
    <t>Diana Tours / Prime BUS</t>
  </si>
  <si>
    <t>GALP</t>
  </si>
  <si>
    <t>falta fatura jan 2022 e jan 2024</t>
  </si>
  <si>
    <t>Barraqueiro Transportes - Sede</t>
  </si>
  <si>
    <t>Barraqueiro Transportes - Barraqueiro Alugueres</t>
  </si>
  <si>
    <t>Barraqueiro Transportes - Barraqueiro Oeste</t>
  </si>
  <si>
    <t>Barraqueiro Transportes - Boa Viagem</t>
  </si>
  <si>
    <t>Barraqueiro Transportes - Mafrense</t>
  </si>
  <si>
    <t>Barraqueiro Transportes - Estremadura</t>
  </si>
  <si>
    <t>Barraqueiro Transportes - Frota Aul</t>
  </si>
  <si>
    <t>Barraqueiro Transportes - ESEVEL</t>
  </si>
  <si>
    <t>falta fatura jan 2022 e jan 2023; falta dez na santos e castro e guerreiros</t>
  </si>
  <si>
    <t>AC Frota Produtiva Pesada</t>
  </si>
  <si>
    <t>Barraqueiro Transportes Mafrense</t>
  </si>
  <si>
    <t>Barraqueiro Transportes ESEVEL</t>
  </si>
  <si>
    <t>Entrada: 3780kg ; Saída/Venda: 792,6 kg. Fonte Movimentos Gases Fluorados AS400 + Mapa reporte APA</t>
  </si>
  <si>
    <t>Gases Refrigerantes</t>
  </si>
  <si>
    <t>TRANSOL, SA</t>
  </si>
  <si>
    <t>Meios Próprios Cliente</t>
  </si>
  <si>
    <t>Quantidade vendidada/transportada</t>
  </si>
  <si>
    <t>kg (quilos)</t>
  </si>
  <si>
    <t>Não Aplicável</t>
  </si>
  <si>
    <t>ANTÓNIO SILVA CRUZ &amp; FILHOS, LDA.</t>
  </si>
  <si>
    <t>CAETANO AUTO, SA</t>
  </si>
  <si>
    <t>CAETANOBUS-FABRICAÇÃO DE CARROÇARIAS,SA.</t>
  </si>
  <si>
    <t>CAMARA MUNICIPAL LOURES</t>
  </si>
  <si>
    <t>ASSISBUS-ASSISTENCIA MECANICA,LDA.</t>
  </si>
  <si>
    <t>BEAT THE STREET-JOERG PHILIP TOURING SER</t>
  </si>
  <si>
    <t>EVA TRANSPORTES, SA.</t>
  </si>
  <si>
    <t>FROTA AZUL (ALGARVE) TRANSP.TURISMO,LDA.</t>
  </si>
  <si>
    <t>HENRIQUE LEONARDO MOTA, LDA</t>
  </si>
  <si>
    <t>IBEROBUS TRANS PASSAG AUT TURISMO, LDA</t>
  </si>
  <si>
    <t>IRMAOS MOTA - CONSTR.DE CARROÇARIAS SA</t>
  </si>
  <si>
    <t>IVECO PORTUGAL LDA</t>
  </si>
  <si>
    <t>JJ SANTO ANTONIO -TRAN.ROD.PASSAGEIRO UN</t>
  </si>
  <si>
    <t>JOAQUIM DA COSTA FERREIRA &amp; FILHOS, LDA</t>
  </si>
  <si>
    <t>MAN TRUCK &amp; BUS (PORTUGAL) SOC.UNIP.,LDA</t>
  </si>
  <si>
    <t>MUNICIPIO DE ARRUDA DOS VINHOS</t>
  </si>
  <si>
    <t>MUNICIPIO DE POMBAL</t>
  </si>
  <si>
    <t>PETER SMIT THEATER ROCK PORTUGAL LDA</t>
  </si>
  <si>
    <t>RMTEJO-TRANP.ROD.PASS.,UNIP.,LDA</t>
  </si>
  <si>
    <t>RODOVIARIA DO ALENTEJO,S.A.</t>
  </si>
  <si>
    <t>SAFTUR VIAGENS E TURISMO,LDA.</t>
  </si>
  <si>
    <t>SERV.MUNICIP.TRANSP.COLECTIVOS BARREIRO</t>
  </si>
  <si>
    <t>SORECA-SOC.REPARAÇOES DE CARROÇARIAS,LDA</t>
  </si>
  <si>
    <t>TARSIBUS-TRANSP. PAS. NACIONAL E INTERN.</t>
  </si>
  <si>
    <t>TRANSVIAGENS-TRANSPORTES AUTOCARROS,LDA.</t>
  </si>
  <si>
    <t>HDV Avg</t>
  </si>
  <si>
    <t>Equipamentos de AC</t>
  </si>
  <si>
    <t>unidades</t>
  </si>
  <si>
    <t>expedido do fabricante Alemanha</t>
  </si>
  <si>
    <t>Perdas Rede (Eletricidade)</t>
  </si>
  <si>
    <t>kWh</t>
  </si>
  <si>
    <t>Santos e Castro</t>
  </si>
  <si>
    <t>Ramalhal</t>
  </si>
  <si>
    <t>Alenquer</t>
  </si>
  <si>
    <t>Mafra</t>
  </si>
  <si>
    <t>Frielas</t>
  </si>
  <si>
    <t>Salvaterra de Magos</t>
  </si>
  <si>
    <t>Agregado ZOPs</t>
  </si>
  <si>
    <t>Não foram comunicados carregamentos de unidades estacionárias</t>
  </si>
  <si>
    <t>Em apuramento os consumos/carregamento/fugas de gás refrigerante por viatura através das obras de manutenção. A aguardar dados STM.
Os consumos da DT e Cityrama estam incluídos nos consumos internos da BT, pois estas operações são efetuadas na ESEVEL.</t>
  </si>
  <si>
    <t>Propano</t>
  </si>
  <si>
    <t>Aquecimento de Águas</t>
  </si>
  <si>
    <t>Cityrama</t>
  </si>
  <si>
    <t>Diana Tours / Prime Bus</t>
  </si>
  <si>
    <t>AC EB353 32kW 121 kg; 5,5kg r134a</t>
  </si>
  <si>
    <t>AC EB515 15kW 93kg; 2,5kg r134a</t>
  </si>
  <si>
    <t>AC EB520 20kW 167kg; 3,0kg r134a</t>
  </si>
  <si>
    <t>AC_515.pdf (esevel.pt)</t>
  </si>
  <si>
    <t>AC_520.pdf (esevel.pt)</t>
  </si>
  <si>
    <t>Broschure_AC353-5_en.pdf (esevel.pt)</t>
  </si>
  <si>
    <t>https://sanzclima.com/product/dreiha-12sc/?lang=en</t>
  </si>
  <si>
    <t>AC Dreiha 12SC 11kW 38kg; 1,5kg r134a</t>
  </si>
  <si>
    <t>https://sanzclima.com/wp-content/uploads/2021/05/Dreiha12SC.pdf</t>
  </si>
  <si>
    <t>https://sanzclima.com/produto/olmo-plus/?lang=pt-br</t>
  </si>
  <si>
    <t>https://sanzclima.com/wp-content/uploads/2021/05/ElectricACRooftopUnit_KENWAY_DataSheet.pdf</t>
  </si>
  <si>
    <t>AC Olmo 34 SC 34kW 44kg; 3,5kg r134a</t>
  </si>
  <si>
    <t>expedido do fabricante Polonia</t>
  </si>
  <si>
    <t>652 viaturas</t>
  </si>
  <si>
    <t>61 viaturas</t>
  </si>
  <si>
    <t>45 viaturas</t>
  </si>
  <si>
    <t>36 viaturas</t>
  </si>
  <si>
    <t>Gasóleo</t>
  </si>
  <si>
    <t>€ (euros)</t>
  </si>
  <si>
    <t>HLM (BT?; RL?)</t>
  </si>
  <si>
    <t>Ligeiro de Passageiros M1</t>
  </si>
  <si>
    <t>Ligeiro de Mercadorias N1</t>
  </si>
  <si>
    <t>Viaturas Serviço</t>
  </si>
  <si>
    <t>Viaturas Apoio Expl. / Oficina</t>
  </si>
  <si>
    <t>fonte CG GB</t>
  </si>
  <si>
    <t>FE PC2021; Fonte CG GB</t>
  </si>
  <si>
    <t>Pesado de Passageiros M3</t>
  </si>
  <si>
    <t>l (litros)</t>
  </si>
  <si>
    <t>0207</t>
  </si>
  <si>
    <t>0213</t>
  </si>
  <si>
    <t>0214</t>
  </si>
  <si>
    <t>0223</t>
  </si>
  <si>
    <t>0224</t>
  </si>
  <si>
    <t>0245</t>
  </si>
  <si>
    <t>0247</t>
  </si>
  <si>
    <t>0248</t>
  </si>
  <si>
    <t>0277</t>
  </si>
  <si>
    <t>0278</t>
  </si>
  <si>
    <t>0279</t>
  </si>
  <si>
    <t>0291</t>
  </si>
  <si>
    <t>0334</t>
  </si>
  <si>
    <t>0340</t>
  </si>
  <si>
    <t>0342</t>
  </si>
  <si>
    <t>0343</t>
  </si>
  <si>
    <t>0355</t>
  </si>
  <si>
    <t>0377</t>
  </si>
  <si>
    <t>0378</t>
  </si>
  <si>
    <t>0384</t>
  </si>
  <si>
    <t>0389</t>
  </si>
  <si>
    <t>0419</t>
  </si>
  <si>
    <t>0437</t>
  </si>
  <si>
    <t>0442</t>
  </si>
  <si>
    <t>0455</t>
  </si>
  <si>
    <t>0492</t>
  </si>
  <si>
    <t>0503</t>
  </si>
  <si>
    <t>0538</t>
  </si>
  <si>
    <t>0638</t>
  </si>
  <si>
    <t>0644</t>
  </si>
  <si>
    <t>0645</t>
  </si>
  <si>
    <t>0669</t>
  </si>
  <si>
    <t>0677</t>
  </si>
  <si>
    <t>0687</t>
  </si>
  <si>
    <t>0688</t>
  </si>
  <si>
    <t>0689</t>
  </si>
  <si>
    <t>0690</t>
  </si>
  <si>
    <t>0703</t>
  </si>
  <si>
    <t>0710</t>
  </si>
  <si>
    <t>0714</t>
  </si>
  <si>
    <t>0715</t>
  </si>
  <si>
    <t>0719</t>
  </si>
  <si>
    <t>0721</t>
  </si>
  <si>
    <t>0731</t>
  </si>
  <si>
    <t>0762</t>
  </si>
  <si>
    <t>0782</t>
  </si>
  <si>
    <t>0799</t>
  </si>
  <si>
    <t>0810</t>
  </si>
  <si>
    <t>0812</t>
  </si>
  <si>
    <t>0815</t>
  </si>
  <si>
    <t>0818</t>
  </si>
  <si>
    <t>0819</t>
  </si>
  <si>
    <t>0822</t>
  </si>
  <si>
    <t>0823</t>
  </si>
  <si>
    <t>0824</t>
  </si>
  <si>
    <t>0850</t>
  </si>
  <si>
    <t>0856</t>
  </si>
  <si>
    <t>0861</t>
  </si>
  <si>
    <t>0868</t>
  </si>
  <si>
    <t>0871</t>
  </si>
  <si>
    <t>0876</t>
  </si>
  <si>
    <t>0880</t>
  </si>
  <si>
    <t>0898</t>
  </si>
  <si>
    <t>0935</t>
  </si>
  <si>
    <t>0941</t>
  </si>
  <si>
    <t>0950</t>
  </si>
  <si>
    <t>0960</t>
  </si>
  <si>
    <t>0961</t>
  </si>
  <si>
    <t>0962</t>
  </si>
  <si>
    <t>5207</t>
  </si>
  <si>
    <t>5208</t>
  </si>
  <si>
    <t>5209</t>
  </si>
  <si>
    <t>5999</t>
  </si>
  <si>
    <t>6600</t>
  </si>
  <si>
    <t>6625</t>
  </si>
  <si>
    <t>6627</t>
  </si>
  <si>
    <t>6633</t>
  </si>
  <si>
    <t>6635</t>
  </si>
  <si>
    <t>6637</t>
  </si>
  <si>
    <t>6644</t>
  </si>
  <si>
    <t>6646</t>
  </si>
  <si>
    <t>6651</t>
  </si>
  <si>
    <t>6653</t>
  </si>
  <si>
    <t>6654</t>
  </si>
  <si>
    <t>6660</t>
  </si>
  <si>
    <t>6667</t>
  </si>
  <si>
    <t>6668</t>
  </si>
  <si>
    <t>6670</t>
  </si>
  <si>
    <t>6685</t>
  </si>
  <si>
    <t>6686</t>
  </si>
  <si>
    <t>6692</t>
  </si>
  <si>
    <t>6711</t>
  </si>
  <si>
    <t>6734</t>
  </si>
  <si>
    <t>6735</t>
  </si>
  <si>
    <t>6741</t>
  </si>
  <si>
    <t>6742</t>
  </si>
  <si>
    <t>6744</t>
  </si>
  <si>
    <t>6745</t>
  </si>
  <si>
    <t>6747</t>
  </si>
  <si>
    <t>norma de emissões estimada</t>
  </si>
  <si>
    <t>E4</t>
  </si>
  <si>
    <t>E3</t>
  </si>
  <si>
    <t>E6</t>
  </si>
  <si>
    <t>E5</t>
  </si>
  <si>
    <t>E2</t>
  </si>
  <si>
    <t>E1</t>
  </si>
  <si>
    <t>0217</t>
  </si>
  <si>
    <t>0218</t>
  </si>
  <si>
    <t>0240</t>
  </si>
  <si>
    <t>0241</t>
  </si>
  <si>
    <t>0246</t>
  </si>
  <si>
    <t>0253</t>
  </si>
  <si>
    <t>0267</t>
  </si>
  <si>
    <t>0268</t>
  </si>
  <si>
    <t>0271</t>
  </si>
  <si>
    <t>0272</t>
  </si>
  <si>
    <t>0273</t>
  </si>
  <si>
    <t>0274</t>
  </si>
  <si>
    <t>0301</t>
  </si>
  <si>
    <t>0302</t>
  </si>
  <si>
    <t>0314</t>
  </si>
  <si>
    <t>0317</t>
  </si>
  <si>
    <t>0321</t>
  </si>
  <si>
    <t>0322</t>
  </si>
  <si>
    <t>0323</t>
  </si>
  <si>
    <t>0329</t>
  </si>
  <si>
    <t>0330</t>
  </si>
  <si>
    <t>0333</t>
  </si>
  <si>
    <t>0339</t>
  </si>
  <si>
    <t>0345</t>
  </si>
  <si>
    <t>0357</t>
  </si>
  <si>
    <t>0374</t>
  </si>
  <si>
    <t>0375</t>
  </si>
  <si>
    <t>0386</t>
  </si>
  <si>
    <t>0399</t>
  </si>
  <si>
    <t>0409</t>
  </si>
  <si>
    <t>0417</t>
  </si>
  <si>
    <t>0420</t>
  </si>
  <si>
    <t>0432</t>
  </si>
  <si>
    <t>0433</t>
  </si>
  <si>
    <t>0434</t>
  </si>
  <si>
    <t>0438</t>
  </si>
  <si>
    <t>0460</t>
  </si>
  <si>
    <t>0478</t>
  </si>
  <si>
    <t>0479</t>
  </si>
  <si>
    <t>0539</t>
  </si>
  <si>
    <t>0552</t>
  </si>
  <si>
    <t>0553</t>
  </si>
  <si>
    <t>0564</t>
  </si>
  <si>
    <t>0566</t>
  </si>
  <si>
    <t>0576</t>
  </si>
  <si>
    <t>0614</t>
  </si>
  <si>
    <t>0626</t>
  </si>
  <si>
    <t>0628</t>
  </si>
  <si>
    <t>0631</t>
  </si>
  <si>
    <t>0632</t>
  </si>
  <si>
    <t>0637</t>
  </si>
  <si>
    <t>0639</t>
  </si>
  <si>
    <t>0642</t>
  </si>
  <si>
    <t>0643</t>
  </si>
  <si>
    <t>0679</t>
  </si>
  <si>
    <t>0694</t>
  </si>
  <si>
    <t>0695</t>
  </si>
  <si>
    <t>0707</t>
  </si>
  <si>
    <t>0708</t>
  </si>
  <si>
    <t>0716</t>
  </si>
  <si>
    <t>0717</t>
  </si>
  <si>
    <t>0718</t>
  </si>
  <si>
    <t>0723</t>
  </si>
  <si>
    <t>0729</t>
  </si>
  <si>
    <t>0736</t>
  </si>
  <si>
    <t>0752</t>
  </si>
  <si>
    <t>0759</t>
  </si>
  <si>
    <t>0769</t>
  </si>
  <si>
    <t>0774</t>
  </si>
  <si>
    <t>0777</t>
  </si>
  <si>
    <t>0779</t>
  </si>
  <si>
    <t>0780</t>
  </si>
  <si>
    <t>0800</t>
  </si>
  <si>
    <t>0808</t>
  </si>
  <si>
    <t>0813</t>
  </si>
  <si>
    <t>0814</t>
  </si>
  <si>
    <t>0821</t>
  </si>
  <si>
    <t>0851</t>
  </si>
  <si>
    <t>0859</t>
  </si>
  <si>
    <t>0870</t>
  </si>
  <si>
    <t>0874</t>
  </si>
  <si>
    <t>0884</t>
  </si>
  <si>
    <t>0886</t>
  </si>
  <si>
    <t>0891</t>
  </si>
  <si>
    <t>0892</t>
  </si>
  <si>
    <t>0909</t>
  </si>
  <si>
    <t>0916</t>
  </si>
  <si>
    <t>0932</t>
  </si>
  <si>
    <t>0938</t>
  </si>
  <si>
    <t>0939</t>
  </si>
  <si>
    <t>0940</t>
  </si>
  <si>
    <t>0956</t>
  </si>
  <si>
    <t>0963</t>
  </si>
  <si>
    <t>0982</t>
  </si>
  <si>
    <t>0983</t>
  </si>
  <si>
    <t>0995</t>
  </si>
  <si>
    <t>0999</t>
  </si>
  <si>
    <t>3060</t>
  </si>
  <si>
    <t>3061</t>
  </si>
  <si>
    <t>3062</t>
  </si>
  <si>
    <t>5911</t>
  </si>
  <si>
    <t>5913</t>
  </si>
  <si>
    <t>5914</t>
  </si>
  <si>
    <t>6072</t>
  </si>
  <si>
    <t>6085</t>
  </si>
  <si>
    <t>6617</t>
  </si>
  <si>
    <t>6628</t>
  </si>
  <si>
    <t>6634</t>
  </si>
  <si>
    <t>6638</t>
  </si>
  <si>
    <t>6647</t>
  </si>
  <si>
    <t>6648</t>
  </si>
  <si>
    <t>6649</t>
  </si>
  <si>
    <t>6650</t>
  </si>
  <si>
    <t>6652</t>
  </si>
  <si>
    <t>6655</t>
  </si>
  <si>
    <t>6656</t>
  </si>
  <si>
    <t>6657</t>
  </si>
  <si>
    <t>6658</t>
  </si>
  <si>
    <t>6659</t>
  </si>
  <si>
    <t>6672</t>
  </si>
  <si>
    <t>6743</t>
  </si>
  <si>
    <t>6748</t>
  </si>
  <si>
    <t>0110</t>
  </si>
  <si>
    <t>0111</t>
  </si>
  <si>
    <t>0112</t>
  </si>
  <si>
    <t>0113</t>
  </si>
  <si>
    <t>0114</t>
  </si>
  <si>
    <t>0115</t>
  </si>
  <si>
    <t>0116</t>
  </si>
  <si>
    <t>0117</t>
  </si>
  <si>
    <t>0118</t>
  </si>
  <si>
    <t>0119</t>
  </si>
  <si>
    <t>0120</t>
  </si>
  <si>
    <t>0121</t>
  </si>
  <si>
    <t>0122</t>
  </si>
  <si>
    <t>0123</t>
  </si>
  <si>
    <t>0124</t>
  </si>
  <si>
    <t>0125</t>
  </si>
  <si>
    <t>0126</t>
  </si>
  <si>
    <t>0128</t>
  </si>
  <si>
    <t>0129</t>
  </si>
  <si>
    <t>0130</t>
  </si>
  <si>
    <t>0131</t>
  </si>
  <si>
    <t>0132</t>
  </si>
  <si>
    <t>0133</t>
  </si>
  <si>
    <t>0134</t>
  </si>
  <si>
    <t>0135</t>
  </si>
  <si>
    <t>0136</t>
  </si>
  <si>
    <t>0137</t>
  </si>
  <si>
    <t>0138</t>
  </si>
  <si>
    <t>0265</t>
  </si>
  <si>
    <t>0385</t>
  </si>
  <si>
    <t>0404</t>
  </si>
  <si>
    <t>0405</t>
  </si>
  <si>
    <t>0406</t>
  </si>
  <si>
    <t>0412</t>
  </si>
  <si>
    <t>0413</t>
  </si>
  <si>
    <t>0414</t>
  </si>
  <si>
    <t>0415</t>
  </si>
  <si>
    <t>0416</t>
  </si>
  <si>
    <t>0430</t>
  </si>
  <si>
    <t>0436</t>
  </si>
  <si>
    <t>0445</t>
  </si>
  <si>
    <t>0446</t>
  </si>
  <si>
    <t>0447</t>
  </si>
  <si>
    <t>0449</t>
  </si>
  <si>
    <t>0457</t>
  </si>
  <si>
    <t>0458</t>
  </si>
  <si>
    <t>0459</t>
  </si>
  <si>
    <t>0500</t>
  </si>
  <si>
    <t>0501</t>
  </si>
  <si>
    <t>0542</t>
  </si>
  <si>
    <t>0543</t>
  </si>
  <si>
    <t>0627</t>
  </si>
  <si>
    <t>0636</t>
  </si>
  <si>
    <t>0649</t>
  </si>
  <si>
    <t>0650</t>
  </si>
  <si>
    <t>0651</t>
  </si>
  <si>
    <t>0652</t>
  </si>
  <si>
    <t>0653</t>
  </si>
  <si>
    <t>0654</t>
  </si>
  <si>
    <t>0655</t>
  </si>
  <si>
    <t>0656</t>
  </si>
  <si>
    <t>0663</t>
  </si>
  <si>
    <t>0664</t>
  </si>
  <si>
    <t>0704</t>
  </si>
  <si>
    <t>0705</t>
  </si>
  <si>
    <t>0706</t>
  </si>
  <si>
    <t>0711</t>
  </si>
  <si>
    <t>0712</t>
  </si>
  <si>
    <t>0713</t>
  </si>
  <si>
    <t>0737</t>
  </si>
  <si>
    <t>0738</t>
  </si>
  <si>
    <t>0739</t>
  </si>
  <si>
    <t>0742</t>
  </si>
  <si>
    <t>0756</t>
  </si>
  <si>
    <t>0757</t>
  </si>
  <si>
    <t>0763</t>
  </si>
  <si>
    <t>0764</t>
  </si>
  <si>
    <t>0766</t>
  </si>
  <si>
    <t>0772</t>
  </si>
  <si>
    <t>0826</t>
  </si>
  <si>
    <t>0827</t>
  </si>
  <si>
    <t>0828</t>
  </si>
  <si>
    <t>0829</t>
  </si>
  <si>
    <t>0830</t>
  </si>
  <si>
    <t>0831</t>
  </si>
  <si>
    <t>0854</t>
  </si>
  <si>
    <t>0855</t>
  </si>
  <si>
    <t>0906</t>
  </si>
  <si>
    <t>0922</t>
  </si>
  <si>
    <t>0923</t>
  </si>
  <si>
    <t>0924</t>
  </si>
  <si>
    <t>0925</t>
  </si>
  <si>
    <t>0926</t>
  </si>
  <si>
    <t>0927</t>
  </si>
  <si>
    <t>0928</t>
  </si>
  <si>
    <t>0929</t>
  </si>
  <si>
    <t>0930</t>
  </si>
  <si>
    <t>0990</t>
  </si>
  <si>
    <t>6731</t>
  </si>
  <si>
    <t>6733</t>
  </si>
  <si>
    <t>6738</t>
  </si>
  <si>
    <t>6739</t>
  </si>
  <si>
    <t>6750</t>
  </si>
  <si>
    <t>6754</t>
  </si>
  <si>
    <t>6756</t>
  </si>
  <si>
    <t>6773</t>
  </si>
  <si>
    <t>6784</t>
  </si>
  <si>
    <t>6785</t>
  </si>
  <si>
    <t>6786</t>
  </si>
  <si>
    <t>6787</t>
  </si>
  <si>
    <t>6788</t>
  </si>
  <si>
    <t>6789</t>
  </si>
  <si>
    <t>6790</t>
  </si>
  <si>
    <t>6791</t>
  </si>
  <si>
    <t>6820</t>
  </si>
  <si>
    <t>6821</t>
  </si>
  <si>
    <t>6824</t>
  </si>
  <si>
    <t>6825</t>
  </si>
  <si>
    <t>6826</t>
  </si>
  <si>
    <t>6827</t>
  </si>
  <si>
    <t>6828</t>
  </si>
  <si>
    <t>6841</t>
  </si>
  <si>
    <t>6842</t>
  </si>
  <si>
    <t>6843</t>
  </si>
  <si>
    <t>6852</t>
  </si>
  <si>
    <t>6853</t>
  </si>
  <si>
    <t>6870</t>
  </si>
  <si>
    <t>6871</t>
  </si>
  <si>
    <t>6872</t>
  </si>
  <si>
    <t>6873</t>
  </si>
  <si>
    <t>6874</t>
  </si>
  <si>
    <t>6090</t>
  </si>
  <si>
    <t>6091</t>
  </si>
  <si>
    <t>6093</t>
  </si>
  <si>
    <t>6094</t>
  </si>
  <si>
    <t>6095</t>
  </si>
  <si>
    <t>6096</t>
  </si>
  <si>
    <t>6097</t>
  </si>
  <si>
    <t>6098</t>
  </si>
  <si>
    <t>6730</t>
  </si>
  <si>
    <t>6732</t>
  </si>
  <si>
    <t>6807</t>
  </si>
  <si>
    <t>6808</t>
  </si>
  <si>
    <t>6809</t>
  </si>
  <si>
    <t>6810</t>
  </si>
  <si>
    <t>6811</t>
  </si>
  <si>
    <t>6812</t>
  </si>
  <si>
    <t>6813</t>
  </si>
  <si>
    <t>6814</t>
  </si>
  <si>
    <t>6815</t>
  </si>
  <si>
    <t>6816</t>
  </si>
  <si>
    <t>6817</t>
  </si>
  <si>
    <t>6818</t>
  </si>
  <si>
    <t>6819</t>
  </si>
  <si>
    <t>6829</t>
  </si>
  <si>
    <t>6830</t>
  </si>
  <si>
    <t>6844</t>
  </si>
  <si>
    <t>6845</t>
  </si>
  <si>
    <t>6846</t>
  </si>
  <si>
    <t>6847</t>
  </si>
  <si>
    <t>6848</t>
  </si>
  <si>
    <t>6849</t>
  </si>
  <si>
    <t>6850</t>
  </si>
  <si>
    <t>6851</t>
  </si>
  <si>
    <t>6854</t>
  </si>
  <si>
    <t>6855</t>
  </si>
  <si>
    <t>6856</t>
  </si>
  <si>
    <t>6857</t>
  </si>
  <si>
    <t>6858</t>
  </si>
  <si>
    <t>6859</t>
  </si>
  <si>
    <t>6860</t>
  </si>
  <si>
    <t>6861</t>
  </si>
  <si>
    <t>6862</t>
  </si>
  <si>
    <t>6863</t>
  </si>
  <si>
    <t>6864</t>
  </si>
  <si>
    <t>6865</t>
  </si>
  <si>
    <t>6866</t>
  </si>
  <si>
    <t>6867</t>
  </si>
  <si>
    <t>6868</t>
  </si>
  <si>
    <t>6869</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</si>
  <si>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</si>
  <si>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</si>
  <si>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</si>
  <si>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</si>
  <si>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</si>
  <si>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</si>
  <si>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</si>
  <si>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</si>
  <si>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</si>
  <si>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</si>
  <si>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</si>
  <si>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</si>
  <si>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</si>
  <si>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</si>
  <si>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</si>
  <si>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</si>
  <si>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</si>
  <si>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</si>
  <si>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</si>
  <si>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</si>
  <si>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</si>
  <si>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</si>
  <si>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</si>
  <si>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</si>
  <si>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</si>
  <si>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</si>
  <si>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</si>
  <si>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</si>
  <si>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</si>
  <si>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</si>
  <si>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</si>
  <si>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</si>
  <si>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</si>
  <si>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Barraqueiro Transportes - Frota Azul</t>
  </si>
  <si>
    <t>0208</t>
  </si>
  <si>
    <t>0211</t>
  </si>
  <si>
    <t>0212</t>
  </si>
  <si>
    <t>0215</t>
  </si>
  <si>
    <t>0244</t>
  </si>
  <si>
    <t>0249</t>
  </si>
  <si>
    <t>0251</t>
  </si>
  <si>
    <t>0252</t>
  </si>
  <si>
    <t>0254</t>
  </si>
  <si>
    <t>0255</t>
  </si>
  <si>
    <t>0266</t>
  </si>
  <si>
    <t>0275</t>
  </si>
  <si>
    <t>0285</t>
  </si>
  <si>
    <t>0288</t>
  </si>
  <si>
    <t>0290</t>
  </si>
  <si>
    <t>0312</t>
  </si>
  <si>
    <t>0383</t>
  </si>
  <si>
    <t>0393</t>
  </si>
  <si>
    <t>0394</t>
  </si>
  <si>
    <t>0410</t>
  </si>
  <si>
    <t>0431</t>
  </si>
  <si>
    <t>0435</t>
  </si>
  <si>
    <t>0440</t>
  </si>
  <si>
    <t>0486</t>
  </si>
  <si>
    <t>0550</t>
  </si>
  <si>
    <t>0551</t>
  </si>
  <si>
    <t>0577</t>
  </si>
  <si>
    <t>0580</t>
  </si>
  <si>
    <t>0582</t>
  </si>
  <si>
    <t>0589</t>
  </si>
  <si>
    <t>0617</t>
  </si>
  <si>
    <t>0620</t>
  </si>
  <si>
    <t>0624</t>
  </si>
  <si>
    <t>0625</t>
  </si>
  <si>
    <t>0629</t>
  </si>
  <si>
    <t>0658</t>
  </si>
  <si>
    <t>0659</t>
  </si>
  <si>
    <t>0660</t>
  </si>
  <si>
    <t>0661</t>
  </si>
  <si>
    <t>0662</t>
  </si>
  <si>
    <t>0668</t>
  </si>
  <si>
    <t>0686</t>
  </si>
  <si>
    <t>0693</t>
  </si>
  <si>
    <t>0698</t>
  </si>
  <si>
    <t>0699</t>
  </si>
  <si>
    <t>0702</t>
  </si>
  <si>
    <t>0720</t>
  </si>
  <si>
    <t>0730</t>
  </si>
  <si>
    <t>0733</t>
  </si>
  <si>
    <t>0761</t>
  </si>
  <si>
    <t>0781</t>
  </si>
  <si>
    <t>0846</t>
  </si>
  <si>
    <t>0860</t>
  </si>
  <si>
    <t>0875</t>
  </si>
  <si>
    <t>0877</t>
  </si>
  <si>
    <t>0878</t>
  </si>
  <si>
    <t>0887</t>
  </si>
  <si>
    <t>0888</t>
  </si>
  <si>
    <t>0914</t>
  </si>
  <si>
    <t>0915</t>
  </si>
  <si>
    <t>0933</t>
  </si>
  <si>
    <t>0945</t>
  </si>
  <si>
    <t>0947</t>
  </si>
  <si>
    <t>0949</t>
  </si>
  <si>
    <t>0951</t>
  </si>
  <si>
    <t>0957</t>
  </si>
  <si>
    <t>0964</t>
  </si>
  <si>
    <t>0965</t>
  </si>
  <si>
    <t>0975</t>
  </si>
  <si>
    <t>0988</t>
  </si>
  <si>
    <t>1001</t>
  </si>
  <si>
    <t>1002</t>
  </si>
  <si>
    <t>1003</t>
  </si>
  <si>
    <t>1004</t>
  </si>
  <si>
    <t>1005</t>
  </si>
  <si>
    <t>1006</t>
  </si>
  <si>
    <t>1007</t>
  </si>
  <si>
    <t>1008</t>
  </si>
  <si>
    <t>1009</t>
  </si>
  <si>
    <t>1010</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</si>
  <si>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</si>
  <si>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</si>
  <si>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</si>
  <si>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</si>
  <si>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</si>
  <si>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</si>
  <si>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</si>
  <si>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</si>
  <si>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</si>
  <si>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</si>
  <si>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</si>
  <si>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</si>
  <si>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</si>
  <si>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</si>
  <si>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</si>
  <si>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</si>
  <si>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</si>
  <si>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</si>
  <si>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</si>
  <si>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</si>
  <si>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</si>
  <si>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</si>
  <si>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</si>
  <si>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</si>
  <si>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</si>
  <si>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</si>
  <si>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</si>
  <si>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</si>
  <si>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</si>
  <si>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</si>
  <si>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</si>
  <si>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1088</t>
  </si>
  <si>
    <t>1089</t>
  </si>
  <si>
    <t>1093</t>
  </si>
  <si>
    <t>1094</t>
  </si>
  <si>
    <t>1097</t>
  </si>
  <si>
    <t>1098</t>
  </si>
  <si>
    <t>1100</t>
  </si>
  <si>
    <t>1101</t>
  </si>
  <si>
    <t>1102</t>
  </si>
  <si>
    <t>1103</t>
  </si>
  <si>
    <t>1104</t>
  </si>
  <si>
    <t>1105</t>
  </si>
  <si>
    <t>1150</t>
  </si>
  <si>
    <t>1151</t>
  </si>
  <si>
    <t>1201</t>
  </si>
  <si>
    <t>1205</t>
  </si>
  <si>
    <t>1207</t>
  </si>
  <si>
    <t>1215</t>
  </si>
  <si>
    <t>1216</t>
  </si>
  <si>
    <t>1218</t>
  </si>
  <si>
    <t>1252</t>
  </si>
  <si>
    <t>1257</t>
  </si>
  <si>
    <t>5580</t>
  </si>
  <si>
    <t>5586</t>
  </si>
  <si>
    <t>5620</t>
  </si>
  <si>
    <t>5737</t>
  </si>
  <si>
    <t>5898</t>
  </si>
  <si>
    <t>6084</t>
  </si>
  <si>
    <t>6598</t>
  </si>
  <si>
    <t>6602</t>
  </si>
  <si>
    <t>6604</t>
  </si>
  <si>
    <t>6605</t>
  </si>
  <si>
    <t>6671</t>
  </si>
  <si>
    <t>0313</t>
  </si>
  <si>
    <t>5201</t>
  </si>
  <si>
    <t>5210</t>
  </si>
  <si>
    <t>5211</t>
  </si>
  <si>
    <t>5212</t>
  </si>
  <si>
    <t>5213</t>
  </si>
  <si>
    <t>5214</t>
  </si>
  <si>
    <t>5215</t>
  </si>
  <si>
    <t>5216</t>
  </si>
  <si>
    <t>5217</t>
  </si>
  <si>
    <t>5218</t>
  </si>
  <si>
    <t>5219</t>
  </si>
  <si>
    <t>5220</t>
  </si>
  <si>
    <t>5221</t>
  </si>
  <si>
    <t>5222</t>
  </si>
  <si>
    <t>5224</t>
  </si>
  <si>
    <t>5225</t>
  </si>
  <si>
    <t>5227</t>
  </si>
  <si>
    <t>5228</t>
  </si>
  <si>
    <t>5229</t>
  </si>
  <si>
    <t>5230</t>
  </si>
  <si>
    <t>5231</t>
  </si>
  <si>
    <t>5232</t>
  </si>
  <si>
    <t>5233</t>
  </si>
  <si>
    <t>5235</t>
  </si>
  <si>
    <t>5236</t>
  </si>
  <si>
    <t>5237</t>
  </si>
  <si>
    <t>5238</t>
  </si>
  <si>
    <t>5239</t>
  </si>
  <si>
    <t>5240</t>
  </si>
  <si>
    <t>5241</t>
  </si>
  <si>
    <t>5248</t>
  </si>
  <si>
    <t>5249</t>
  </si>
  <si>
    <t>5250</t>
  </si>
  <si>
    <t>5251</t>
  </si>
  <si>
    <t>5252</t>
  </si>
  <si>
    <t>5253</t>
  </si>
  <si>
    <t>5595</t>
  </si>
  <si>
    <t>5596</t>
  </si>
  <si>
    <t>5600</t>
  </si>
  <si>
    <t>5601</t>
  </si>
  <si>
    <t>5602</t>
  </si>
  <si>
    <t>5603</t>
  </si>
  <si>
    <t>5604</t>
  </si>
  <si>
    <t>5605</t>
  </si>
  <si>
    <t>5606</t>
  </si>
  <si>
    <t>5607</t>
  </si>
  <si>
    <t>5608</t>
  </si>
  <si>
    <t>5609</t>
  </si>
  <si>
    <t>5610</t>
  </si>
  <si>
    <t>5611</t>
  </si>
  <si>
    <t>5612</t>
  </si>
  <si>
    <t>5613</t>
  </si>
  <si>
    <t>5614</t>
  </si>
  <si>
    <t>5615</t>
  </si>
  <si>
    <t>5616</t>
  </si>
  <si>
    <t>5617</t>
  </si>
  <si>
    <t>5618</t>
  </si>
  <si>
    <t>5619</t>
  </si>
  <si>
    <t>5621</t>
  </si>
  <si>
    <t>5622</t>
  </si>
  <si>
    <t>5624</t>
  </si>
  <si>
    <t>5625</t>
  </si>
  <si>
    <t>5626</t>
  </si>
  <si>
    <t>5627</t>
  </si>
  <si>
    <t>5628</t>
  </si>
  <si>
    <t>5629</t>
  </si>
  <si>
    <t>5630</t>
  </si>
  <si>
    <t>5631</t>
  </si>
  <si>
    <t>5632</t>
  </si>
  <si>
    <t>5633</t>
  </si>
  <si>
    <t>5634</t>
  </si>
  <si>
    <t>5635</t>
  </si>
  <si>
    <t>5636</t>
  </si>
  <si>
    <t>5637</t>
  </si>
  <si>
    <t>5638</t>
  </si>
  <si>
    <t>5640</t>
  </si>
  <si>
    <t>5641</t>
  </si>
  <si>
    <t>5642</t>
  </si>
  <si>
    <t>5643</t>
  </si>
  <si>
    <t>5644</t>
  </si>
  <si>
    <t>5645</t>
  </si>
  <si>
    <t>5646</t>
  </si>
  <si>
    <t>5647</t>
  </si>
  <si>
    <t>5648</t>
  </si>
  <si>
    <t>5649</t>
  </si>
  <si>
    <t>5650</t>
  </si>
  <si>
    <t>5651</t>
  </si>
  <si>
    <t>5968</t>
  </si>
  <si>
    <t>5969</t>
  </si>
  <si>
    <t>5970</t>
  </si>
  <si>
    <t>5995</t>
  </si>
  <si>
    <t>6083</t>
  </si>
  <si>
    <t>6092</t>
  </si>
  <si>
    <t>6619</t>
  </si>
  <si>
    <t>6621</t>
  </si>
  <si>
    <t>6622</t>
  </si>
  <si>
    <t>6626</t>
  </si>
  <si>
    <t>6661</t>
  </si>
  <si>
    <t>6662</t>
  </si>
  <si>
    <t>6663</t>
  </si>
  <si>
    <t>6664</t>
  </si>
  <si>
    <t>6665</t>
  </si>
  <si>
    <t>6666</t>
  </si>
  <si>
    <t>6673</t>
  </si>
  <si>
    <t>6674</t>
  </si>
  <si>
    <t>6675</t>
  </si>
  <si>
    <t>6676</t>
  </si>
  <si>
    <t>6677</t>
  </si>
  <si>
    <t>6678</t>
  </si>
  <si>
    <t>6679</t>
  </si>
  <si>
    <t>6680</t>
  </si>
  <si>
    <t>6681</t>
  </si>
  <si>
    <t>6682</t>
  </si>
  <si>
    <t>6683</t>
  </si>
  <si>
    <t>6684</t>
  </si>
  <si>
    <t>6695</t>
  </si>
  <si>
    <t>6696</t>
  </si>
  <si>
    <t>6703</t>
  </si>
  <si>
    <t>6721</t>
  </si>
  <si>
    <t>6722</t>
  </si>
  <si>
    <t>6723</t>
  </si>
  <si>
    <t>6724</t>
  </si>
  <si>
    <t>6726</t>
  </si>
  <si>
    <t>6727</t>
  </si>
  <si>
    <t>6728</t>
  </si>
  <si>
    <t>6729</t>
  </si>
  <si>
    <t>6736</t>
  </si>
  <si>
    <t>6740</t>
  </si>
  <si>
    <t>6749</t>
  </si>
  <si>
    <t>6763</t>
  </si>
  <si>
    <t>6764</t>
  </si>
  <si>
    <t>6772</t>
  </si>
  <si>
    <t>6774</t>
  </si>
  <si>
    <t>6775</t>
  </si>
  <si>
    <t>6776</t>
  </si>
  <si>
    <t>6777</t>
  </si>
  <si>
    <t>6797</t>
  </si>
  <si>
    <t>6799</t>
  </si>
  <si>
    <t>6802</t>
  </si>
  <si>
    <t>6805</t>
  </si>
  <si>
    <t>6831</t>
  </si>
  <si>
    <t>6832</t>
  </si>
  <si>
    <t>0225</t>
  </si>
  <si>
    <t>0229</t>
  </si>
  <si>
    <t>0257</t>
  </si>
  <si>
    <t>0276</t>
  </si>
  <si>
    <t>0289</t>
  </si>
  <si>
    <t>0292</t>
  </si>
  <si>
    <t>0293</t>
  </si>
  <si>
    <t>0303</t>
  </si>
  <si>
    <t>0326</t>
  </si>
  <si>
    <t>0328</t>
  </si>
  <si>
    <t>0331</t>
  </si>
  <si>
    <t>0397</t>
  </si>
  <si>
    <t>0400</t>
  </si>
  <si>
    <t>0411</t>
  </si>
  <si>
    <t>0418</t>
  </si>
  <si>
    <t>0481</t>
  </si>
  <si>
    <t>0488</t>
  </si>
  <si>
    <t>0499</t>
  </si>
  <si>
    <t>0537</t>
  </si>
  <si>
    <t>0560</t>
  </si>
  <si>
    <t>0569</t>
  </si>
  <si>
    <t>0585</t>
  </si>
  <si>
    <t>0633</t>
  </si>
  <si>
    <t>0634</t>
  </si>
  <si>
    <t>0666</t>
  </si>
  <si>
    <t>0667</t>
  </si>
  <si>
    <t>0674</t>
  </si>
  <si>
    <t>0681</t>
  </si>
  <si>
    <t>0685</t>
  </si>
  <si>
    <t>0696</t>
  </si>
  <si>
    <t>0700</t>
  </si>
  <si>
    <t>0701</t>
  </si>
  <si>
    <t>0722</t>
  </si>
  <si>
    <t>0724</t>
  </si>
  <si>
    <t>0725</t>
  </si>
  <si>
    <t>0726</t>
  </si>
  <si>
    <t>0728</t>
  </si>
  <si>
    <t>0743</t>
  </si>
  <si>
    <t>0791</t>
  </si>
  <si>
    <t>0807</t>
  </si>
  <si>
    <t>0839</t>
  </si>
  <si>
    <t>0852</t>
  </si>
  <si>
    <t>0879</t>
  </si>
  <si>
    <t>0890</t>
  </si>
  <si>
    <t>0894</t>
  </si>
  <si>
    <t>0896</t>
  </si>
  <si>
    <t>0918</t>
  </si>
  <si>
    <t>0921</t>
  </si>
  <si>
    <t>0942</t>
  </si>
  <si>
    <t>0980</t>
  </si>
  <si>
    <t>0981</t>
  </si>
  <si>
    <t>5202</t>
  </si>
  <si>
    <t>5206</t>
  </si>
  <si>
    <t>5909</t>
  </si>
  <si>
    <t>6588</t>
  </si>
  <si>
    <t>6594</t>
  </si>
  <si>
    <t>6618</t>
  </si>
  <si>
    <t>6620</t>
  </si>
  <si>
    <t>6641</t>
  </si>
  <si>
    <t>2326</t>
  </si>
  <si>
    <t>2325</t>
  </si>
  <si>
    <t>2328</t>
  </si>
  <si>
    <t>2340</t>
  </si>
  <si>
    <t>2310</t>
  </si>
  <si>
    <t>2332</t>
  </si>
  <si>
    <t>2333</t>
  </si>
  <si>
    <t>2334</t>
  </si>
  <si>
    <t>2335</t>
  </si>
  <si>
    <t>2336</t>
  </si>
  <si>
    <t>2337</t>
  </si>
  <si>
    <t>2314</t>
  </si>
  <si>
    <t>2313</t>
  </si>
  <si>
    <t>2349</t>
  </si>
  <si>
    <t>2350</t>
  </si>
  <si>
    <t>2351</t>
  </si>
  <si>
    <t>2317</t>
  </si>
  <si>
    <t>2321</t>
  </si>
  <si>
    <t>2320</t>
  </si>
  <si>
    <t>2322</t>
  </si>
  <si>
    <t>2324</t>
  </si>
  <si>
    <t>2341</t>
  </si>
  <si>
    <t>2342</t>
  </si>
  <si>
    <t>2331</t>
  </si>
  <si>
    <t>2338</t>
  </si>
  <si>
    <t>2339</t>
  </si>
  <si>
    <t>2345</t>
  </si>
  <si>
    <t>2329</t>
  </si>
  <si>
    <t>2330</t>
  </si>
  <si>
    <t>2348</t>
  </si>
  <si>
    <t>3085</t>
  </si>
  <si>
    <t>6087</t>
  </si>
  <si>
    <t>3080</t>
  </si>
  <si>
    <t>0281</t>
  </si>
  <si>
    <t>0282</t>
  </si>
  <si>
    <t>3041</t>
  </si>
  <si>
    <t>0408</t>
  </si>
  <si>
    <t>3042</t>
  </si>
  <si>
    <t>3043</t>
  </si>
  <si>
    <t>3044</t>
  </si>
  <si>
    <t>3045</t>
  </si>
  <si>
    <t>3089</t>
  </si>
  <si>
    <t>3046</t>
  </si>
  <si>
    <t>3047</t>
  </si>
  <si>
    <t>3092</t>
  </si>
  <si>
    <t>3093</t>
  </si>
  <si>
    <t>3048</t>
  </si>
  <si>
    <t>3094</t>
  </si>
  <si>
    <t>3095</t>
  </si>
  <si>
    <t>3096</t>
  </si>
  <si>
    <t>3086</t>
  </si>
  <si>
    <t>3087</t>
  </si>
  <si>
    <t>3097</t>
  </si>
  <si>
    <t>3098</t>
  </si>
  <si>
    <t>3099</t>
  </si>
  <si>
    <t>3053</t>
  </si>
  <si>
    <t>3054</t>
  </si>
  <si>
    <t>6835</t>
  </si>
  <si>
    <t>3051</t>
  </si>
  <si>
    <t>3052</t>
  </si>
  <si>
    <t>3100</t>
  </si>
  <si>
    <t>3103</t>
  </si>
  <si>
    <t>3104</t>
  </si>
  <si>
    <t>3101</t>
  </si>
  <si>
    <t>3102</t>
  </si>
  <si>
    <t>3055</t>
  </si>
  <si>
    <t>3056</t>
  </si>
  <si>
    <t>3105</t>
  </si>
  <si>
    <t>3106</t>
  </si>
  <si>
    <t>3024</t>
  </si>
  <si>
    <t>3025</t>
  </si>
  <si>
    <t>5958</t>
  </si>
  <si>
    <t>mapas STM</t>
  </si>
  <si>
    <t>PowerBI mapa Consumos AS400</t>
  </si>
  <si>
    <t>Oferta (lg.km; viaturas)</t>
  </si>
  <si>
    <t>42 viaturas</t>
  </si>
  <si>
    <t>34 viaturas</t>
  </si>
  <si>
    <t>133 viaturas</t>
  </si>
  <si>
    <t>77 viaturas</t>
  </si>
  <si>
    <t>97 viaturas</t>
  </si>
  <si>
    <t>16 viaturas</t>
  </si>
  <si>
    <t>1 viaturas</t>
  </si>
  <si>
    <t>9 viaturas</t>
  </si>
  <si>
    <t>3 viaturas</t>
  </si>
  <si>
    <t>2 viaturas</t>
  </si>
  <si>
    <t>Barraqueiro Transportes - Esevel</t>
  </si>
  <si>
    <t>0 viaturas</t>
  </si>
  <si>
    <t>6 viaturas</t>
  </si>
  <si>
    <t>7 viaturas</t>
  </si>
  <si>
    <t>4 viaturas</t>
  </si>
  <si>
    <t>17 viaturas</t>
  </si>
  <si>
    <t>57 viaturas</t>
  </si>
  <si>
    <t>124 viaturas</t>
  </si>
  <si>
    <t>718 viaturas</t>
  </si>
  <si>
    <t>151 viaturas</t>
  </si>
  <si>
    <t>135 viaturas</t>
  </si>
  <si>
    <t>Observações II</t>
  </si>
  <si>
    <t>Barraqueiro Transportes - Frielas</t>
  </si>
  <si>
    <t>fonte compras p/ stock AS400; 12506851 l</t>
  </si>
  <si>
    <t>fonte compras p/ stock AS400; 432829 l</t>
  </si>
  <si>
    <t>fonte compras p/ stock AS400; 459036 l</t>
  </si>
  <si>
    <t>fonte compras p/ stock AS400; 2441347 l</t>
  </si>
  <si>
    <t>fonte compras p/ stock AS400; 1152492 l</t>
  </si>
  <si>
    <t>fonte compras p/ stock AS400; 1362708 l</t>
  </si>
  <si>
    <t>fonte compras p/ stock AS400; 772120 l</t>
  </si>
  <si>
    <t>fonte compras p/ stock AS400; 2739302 l</t>
  </si>
  <si>
    <t>fonte compras p/ stock AS400; 563312 l</t>
  </si>
  <si>
    <t>Norma de emissões</t>
  </si>
  <si>
    <t>WTT (combustíveis)</t>
  </si>
  <si>
    <t>Combustíveis</t>
  </si>
  <si>
    <t>Metodologia a descrever pelo responsável local pela recolha de dados</t>
  </si>
  <si>
    <t>Resíduo Perigoso</t>
  </si>
  <si>
    <t>Outros óleos de motores, transmissões e lubrificação)</t>
  </si>
  <si>
    <t>ton (toneladas)</t>
  </si>
  <si>
    <t>Destinatário</t>
  </si>
  <si>
    <t>Transportador</t>
  </si>
  <si>
    <t>(APA00084057) CIRVER SISAV CHAMUSCA</t>
  </si>
  <si>
    <t>EGEO - TECNOLOGIA E AMBIENTE, S.A. (500512884)</t>
  </si>
  <si>
    <t>Embalagens de papel e cartão</t>
  </si>
  <si>
    <t>(APA01138383) CORREIA &amp; CORREIA, LDA - FRIELAS</t>
  </si>
  <si>
    <t>Correia &amp; Correia, Lda (502069732)</t>
  </si>
  <si>
    <t>(APA05735383) Judite Maria Jesus Dias, Lda - Camarate</t>
  </si>
  <si>
    <t>Barraqueiro Transportes, S.A. (500151997)</t>
  </si>
  <si>
    <t>Embalagens contendo ou contaminadas por resíduos de substâncias perigosas</t>
  </si>
  <si>
    <t xml:space="preserve">Regeneração de ácidos ou de bases </t>
  </si>
  <si>
    <t xml:space="preserve">Recuperação de produtos utilizados na luta contra a poluição </t>
  </si>
  <si>
    <t xml:space="preserve">Recuperação de componentes de catalisadores </t>
  </si>
  <si>
    <t xml:space="preserve">Regeneração de óleos e outras reutilizações de óleos </t>
  </si>
  <si>
    <t>Absorventes, materiais filtrantes (incluindo filtros de óleo sem outras especificações), panos de limpeza e vestuário de proteção, contaminados por substâncias perigosas)</t>
  </si>
  <si>
    <t>Embalagens de metal, incluindo recipientes vazios sob pressão, contendo uma matriz porosa sólida perigosa (por exemplo, amianto)</t>
  </si>
  <si>
    <t>Embalagens de metal, incluindo recipientes vazios sob pressão, contendo uma matriz porosa sólida perigosa (por exemplo, amianto))</t>
  </si>
  <si>
    <t>Absorventes, materiais filtrantes, panos de limpeza e vestuário de proteção não abrangidos em 15 02 02</t>
  </si>
  <si>
    <t>Filtros de óleo</t>
  </si>
  <si>
    <t>Pastilhas de travões não abrangidas em 16 01 11</t>
  </si>
  <si>
    <t>Acumulação de resíduos destinados a uma das operações enumeradas de R1 a R12</t>
  </si>
  <si>
    <t>Mistura anterior à execução de uma das operações enumeradas de D1 a D12</t>
  </si>
  <si>
    <t>Reembalagem anterior a uma das operações enumeradas de D1 a D13</t>
  </si>
  <si>
    <t>Armazenagem enquanto se aguarda a execução de uma das operações enumeradas de D1 a D14</t>
  </si>
  <si>
    <t>Metais ferrosos</t>
  </si>
  <si>
    <t>(APA00163565) BGR GESTÃO DE RESÍDUOS LDA.</t>
  </si>
  <si>
    <t>B.G.R. - Gestão de Residuos, Lda. (508597196)</t>
  </si>
  <si>
    <t>Plástico</t>
  </si>
  <si>
    <t>Vidro</t>
  </si>
  <si>
    <t>Resíduos sem outras especificações</t>
  </si>
  <si>
    <t>Acumuladores de chumbo</t>
  </si>
  <si>
    <t>Lâmpadas fluorescentes e outros resíduos contendo mercúrio)</t>
  </si>
  <si>
    <t>Óleos e gorduras alimentares</t>
  </si>
  <si>
    <t>APA00037535) BIOLOGICAL - Loures</t>
  </si>
  <si>
    <t>Higirecolhas Unipessoal Lda (510273564)</t>
  </si>
  <si>
    <t>Equipamento elétrico e eletrónico fora de uso não abrangido em 20 01 21, 20 01 23 ou 20 01 35</t>
  </si>
  <si>
    <t>Lamas provenientes dos separadores óleo/água</t>
  </si>
  <si>
    <t>(APA00941643) Resicorreia, Lda. - Loures</t>
  </si>
  <si>
    <t>Resicorreia Gestão e Serviços de Ambiente Lda (507203992)</t>
  </si>
  <si>
    <t>Água com óleo proveniente dos separadores óleo/água</t>
  </si>
  <si>
    <t>(APA00036026) CORREIA &amp; CORREIA, LDA - SERTÃ</t>
  </si>
  <si>
    <t>Transportes Os Três Mosqueteiros Lda (500478937)</t>
  </si>
  <si>
    <t>Embalagens de plástico</t>
  </si>
  <si>
    <t>Componentes perigosos não abrangidos em 16 01 07 a 16 01 11, 16 01 13 e 16 01 14</t>
  </si>
  <si>
    <t>Lamas do tratamento de águas residuais urbanas</t>
  </si>
  <si>
    <t>Luis Tiago Fernandes Morais Unipessoal Lda (513687190)</t>
  </si>
  <si>
    <t>080117</t>
  </si>
  <si>
    <t>Resíduos da remoção de tintas e vernizes, contendo solventes orgânicos ou outras substâncias perigosas</t>
  </si>
  <si>
    <t>160103</t>
  </si>
  <si>
    <t>Pneus usados</t>
  </si>
  <si>
    <t>160104</t>
  </si>
  <si>
    <t>Veículos em fim de vida</t>
  </si>
  <si>
    <t>(APA00126855) Ambigroup Resíduos SA(Odivelas)</t>
  </si>
  <si>
    <t>Transtruck II, Lda (510076513)</t>
  </si>
  <si>
    <t>160120</t>
  </si>
  <si>
    <t>080317</t>
  </si>
  <si>
    <t>Resíduos de toner de impressão, contendo substâncias perigosas</t>
  </si>
  <si>
    <t>140603</t>
  </si>
  <si>
    <t>Outros solventes e misturas de solventes</t>
  </si>
  <si>
    <t>Veículos em fim de vida que não contenham líquidos nem outros componentes perigosos</t>
  </si>
  <si>
    <t>160106</t>
  </si>
  <si>
    <t>AMBIGROUP SERVIÇOS, S.A. (500730547)</t>
  </si>
  <si>
    <t>(APA06289003) CSFP - GESTÃO DE RESÍDUOS,LDA Armazém G</t>
  </si>
  <si>
    <t>CSFP-GESTÃO DE RESÍDUOS, LDA (513433295)</t>
  </si>
  <si>
    <t>Papel e cartão</t>
  </si>
  <si>
    <t>(APA00036789) ESTR. PRINCIPAL DO OUTEIRO - CASCAIS (SEDE)</t>
  </si>
  <si>
    <t>ABIAM - ENVIRONMENT AND SERVICES, LDA. (515567256)</t>
  </si>
  <si>
    <t>120301</t>
  </si>
  <si>
    <t>Líquidos de lavagem aquosos</t>
  </si>
  <si>
    <t>EGEO - TECNOLOGIA E AMBIENTE, S.A. (500512884); Lourióleo, Comério de Óleos e Sucata, Lda. (507617177)</t>
  </si>
  <si>
    <t>TRIU, S.A. (502550066)</t>
  </si>
  <si>
    <t>150103</t>
  </si>
  <si>
    <t>Embalagens de madeira</t>
  </si>
  <si>
    <t>150104</t>
  </si>
  <si>
    <t>Embalagens de metal</t>
  </si>
  <si>
    <t>TRIU, S.A. (502550066); SRI - GESTÃO DE RESIDUOS LDA (508667917)</t>
  </si>
  <si>
    <t>200301</t>
  </si>
  <si>
    <t>Misturas de resíduos urbanos equiparados</t>
  </si>
  <si>
    <t>data ini</t>
  </si>
  <si>
    <t>data fim</t>
  </si>
  <si>
    <t>Barraqueiro Transportes - Sede + Estremadura</t>
  </si>
  <si>
    <t>Barraqueiro Transportes - CG (Mafrense; BO; BV)</t>
  </si>
  <si>
    <t>Barraqueiro Transportes - Calc. Desterro (Isidoro?)</t>
  </si>
  <si>
    <t>Rede Pública</t>
  </si>
  <si>
    <t>Captação (Furo, Poço, etc.)</t>
  </si>
  <si>
    <t>m3 (metros cúbicos)</t>
  </si>
  <si>
    <t>ETAR Rede Pública</t>
  </si>
  <si>
    <t>ETAR Industrial Propietária</t>
  </si>
  <si>
    <t>Observações (agua fatura)</t>
  </si>
  <si>
    <t>Observações (n dias ano ref)</t>
  </si>
  <si>
    <t>Forncedor Água/TAR</t>
  </si>
  <si>
    <t>Águas de Alenquer</t>
  </si>
  <si>
    <t>SMAS Torres Vedras</t>
  </si>
  <si>
    <t>Águas de Ribatejo</t>
  </si>
  <si>
    <t>SMAS Mafra</t>
  </si>
  <si>
    <t>SMAS Sintra</t>
  </si>
  <si>
    <t>Águas de Cascais</t>
  </si>
  <si>
    <t>Munícipio Arruda dos Vinhos</t>
  </si>
  <si>
    <t>SMAS VF Xira</t>
  </si>
  <si>
    <t>EPAL</t>
  </si>
  <si>
    <t>Mafrense?</t>
  </si>
  <si>
    <t>40;40;20</t>
  </si>
  <si>
    <t>Barraqueiro Transportes - Boa Viagem agr</t>
  </si>
  <si>
    <t>Barraqueiro Transportes - Mafrense agr</t>
  </si>
  <si>
    <t>Autocarro Regional</t>
  </si>
  <si>
    <t>Intouro 12m Aut</t>
  </si>
  <si>
    <t>Intouro 12m Man</t>
  </si>
  <si>
    <t>Intouro 13m Man</t>
  </si>
  <si>
    <t>Atomic Mini Urb</t>
  </si>
  <si>
    <t>Autocarro Urbano Mini</t>
  </si>
  <si>
    <t>Caet.Itrabus Reg.</t>
  </si>
  <si>
    <t>Observações (modelo)</t>
  </si>
  <si>
    <t>Intouro 12m Aut 2021</t>
  </si>
  <si>
    <t>Intouro 13m Man 2021</t>
  </si>
  <si>
    <t>Autocarro Regional 19500</t>
  </si>
  <si>
    <t>Autocarro Urbano 7700</t>
  </si>
  <si>
    <t>MAN Atomic 19360 2021</t>
  </si>
  <si>
    <t>Autocarro Turismo 19000</t>
  </si>
  <si>
    <t>Autocarro Turismo</t>
  </si>
  <si>
    <t>Barraqueiro Transportes - Total</t>
  </si>
  <si>
    <t>Baterias</t>
  </si>
  <si>
    <t>Borrachas e Plásticos</t>
  </si>
  <si>
    <t>Vidros</t>
  </si>
  <si>
    <t>Madeiras e Derivados</t>
  </si>
  <si>
    <t>Químicos, Óleos e Massas</t>
  </si>
  <si>
    <t>Metais</t>
  </si>
  <si>
    <t>Outros</t>
  </si>
  <si>
    <t>Pneus Total</t>
  </si>
  <si>
    <t>Serv. Externo Manutenção</t>
  </si>
  <si>
    <t>Total</t>
  </si>
  <si>
    <t>667 registos</t>
  </si>
  <si>
    <t>38 registos</t>
  </si>
  <si>
    <t>4483 registos</t>
  </si>
  <si>
    <t>126 registsos</t>
  </si>
  <si>
    <t>2 registos</t>
  </si>
  <si>
    <t>47 registos</t>
  </si>
  <si>
    <t>195 registos</t>
  </si>
  <si>
    <t>Transportes de Mercadorias</t>
  </si>
  <si>
    <t>46 registos</t>
  </si>
  <si>
    <t>Preças e Sobresselentes</t>
  </si>
  <si>
    <t>1448 registos</t>
  </si>
  <si>
    <t>96 registos</t>
  </si>
  <si>
    <t>Acessórios Carroçaria</t>
  </si>
  <si>
    <t>670 registos</t>
  </si>
  <si>
    <t>3151 registos</t>
  </si>
  <si>
    <t>482 registos</t>
  </si>
  <si>
    <t>123 registos</t>
  </si>
  <si>
    <t>Contrato Pneus</t>
  </si>
  <si>
    <t>Pneus</t>
  </si>
  <si>
    <t>27 registos</t>
  </si>
  <si>
    <t>197 registos</t>
  </si>
  <si>
    <t>1314 registos</t>
  </si>
  <si>
    <t>847 registos</t>
  </si>
  <si>
    <t>405 registos</t>
  </si>
  <si>
    <t>53 registos</t>
  </si>
  <si>
    <t>58 registos</t>
  </si>
  <si>
    <t>23 registos</t>
  </si>
  <si>
    <t>10 registos</t>
  </si>
  <si>
    <t>24 registos</t>
  </si>
  <si>
    <t>134 registos</t>
  </si>
  <si>
    <t>conta ESEVEL</t>
  </si>
  <si>
    <t>6 registos</t>
  </si>
  <si>
    <t>65 registos</t>
  </si>
  <si>
    <t>209 registos</t>
  </si>
  <si>
    <t>60 registos</t>
  </si>
  <si>
    <t>8 registos</t>
  </si>
  <si>
    <t>16 registos</t>
  </si>
  <si>
    <t>28 registos</t>
  </si>
  <si>
    <t>1 registo</t>
  </si>
  <si>
    <t>59 registos</t>
  </si>
  <si>
    <t>69 registos</t>
  </si>
  <si>
    <t>1646 registos</t>
  </si>
  <si>
    <t>1927 registos</t>
  </si>
  <si>
    <t>1160 registos</t>
  </si>
  <si>
    <t>758 registos</t>
  </si>
  <si>
    <t>981 registos</t>
  </si>
  <si>
    <t>8427 registos</t>
  </si>
  <si>
    <t>63 registos</t>
  </si>
  <si>
    <t>5 registos</t>
  </si>
  <si>
    <t>17 registos</t>
  </si>
  <si>
    <t>225 registos</t>
  </si>
  <si>
    <t>75 registos</t>
  </si>
  <si>
    <t>30 registos</t>
  </si>
  <si>
    <t>138 registos</t>
  </si>
  <si>
    <t>380 registos</t>
  </si>
  <si>
    <t>4152 registos</t>
  </si>
  <si>
    <t>797 registos</t>
  </si>
  <si>
    <t>713 registos</t>
  </si>
  <si>
    <t>2247 registos</t>
  </si>
  <si>
    <t>2373 registos</t>
  </si>
  <si>
    <t>37 registos</t>
  </si>
  <si>
    <t>211 registos</t>
  </si>
  <si>
    <t>222 registos</t>
  </si>
  <si>
    <t>205 registos</t>
  </si>
  <si>
    <t>184 registos</t>
  </si>
  <si>
    <t>3 registos</t>
  </si>
  <si>
    <t>13 registos</t>
  </si>
  <si>
    <t>121 registos</t>
  </si>
  <si>
    <t>536 registos</t>
  </si>
  <si>
    <t>447 registos</t>
  </si>
  <si>
    <t>286 registos</t>
  </si>
  <si>
    <t>92 registos</t>
  </si>
  <si>
    <t>272 registos</t>
  </si>
  <si>
    <t>1204 registos</t>
  </si>
  <si>
    <t>7471 registos</t>
  </si>
  <si>
    <t>2140 registos</t>
  </si>
  <si>
    <t>39 registos</t>
  </si>
  <si>
    <t>2573 registos</t>
  </si>
  <si>
    <t>1816 registos</t>
  </si>
  <si>
    <t>tratamento de resíduos englobados na atividade da ESEVEL</t>
  </si>
  <si>
    <t>Lotação ou Capacidade de Carga do Meio Utilizado</t>
  </si>
  <si>
    <t>falta fatura jan 2022 e jan 2024; falta fatura de dezembro camarate</t>
  </si>
  <si>
    <t>Rodoviário</t>
  </si>
  <si>
    <t>LCV/Van</t>
  </si>
  <si>
    <t>Portugal</t>
  </si>
  <si>
    <t>Lisboa</t>
  </si>
  <si>
    <t>o transporte pode ser associado à aplicação nas viaturas ou às compras …</t>
  </si>
  <si>
    <t>Carclasse</t>
  </si>
  <si>
    <t>Civiparts</t>
  </si>
  <si>
    <t>Europarts</t>
  </si>
  <si>
    <t>Granloures</t>
  </si>
  <si>
    <t>NewOneDrive</t>
  </si>
  <si>
    <t>12V 110Ah</t>
  </si>
  <si>
    <t>12V 92Ah</t>
  </si>
  <si>
    <t>12V 105Ah</t>
  </si>
  <si>
    <t>12V 180Ah</t>
  </si>
  <si>
    <t>12V 225Ah</t>
  </si>
  <si>
    <t>12V 52Ah</t>
  </si>
  <si>
    <t>12V 35Ah</t>
  </si>
  <si>
    <t>12V 60Ah</t>
  </si>
  <si>
    <t>12V 70Ah</t>
  </si>
  <si>
    <t>ALENQUER</t>
  </si>
  <si>
    <t>ALT LISBOA</t>
  </si>
  <si>
    <t>FRIELAS</t>
  </si>
  <si>
    <t>Distâncias armazém/fornecedor</t>
  </si>
  <si>
    <t>Forncedor</t>
  </si>
  <si>
    <t>Peso unit. (kg)</t>
  </si>
  <si>
    <t>Observações (armazém)</t>
  </si>
  <si>
    <t>PNEUS - A LSB 20</t>
  </si>
  <si>
    <t>PNEUS - ALENQ 20</t>
  </si>
  <si>
    <t>PNEUS - MAFRA 20</t>
  </si>
  <si>
    <t>Bridgestone</t>
  </si>
  <si>
    <t>GSPT</t>
  </si>
  <si>
    <t>MEGAPE</t>
  </si>
  <si>
    <t>RECACOR</t>
  </si>
  <si>
    <t>Seiça</t>
  </si>
  <si>
    <t>Sobral Pneus</t>
  </si>
  <si>
    <t>Observações (desc. Artigo)</t>
  </si>
  <si>
    <t>PNEU 235/75</t>
  </si>
  <si>
    <t>PNEU 265/70</t>
  </si>
  <si>
    <t>PNEU 295/80</t>
  </si>
  <si>
    <t>PNEU 315/80</t>
  </si>
  <si>
    <t>PNEU 205/75</t>
  </si>
  <si>
    <t>PNEU 225/75</t>
  </si>
  <si>
    <t>PNEU 255/70</t>
  </si>
  <si>
    <t>PNEU 275/70</t>
  </si>
  <si>
    <t>PNEU 195/75</t>
  </si>
  <si>
    <t>PNEU 275/80</t>
  </si>
  <si>
    <t>Peso (kg)</t>
  </si>
  <si>
    <t>Unidade Transportada</t>
  </si>
  <si>
    <t>VIAÇÃO ALVORADA</t>
  </si>
  <si>
    <t>ATLANTIC CARGO</t>
  </si>
  <si>
    <t>RODOVIÁRIA DE LISBOA</t>
  </si>
  <si>
    <t>MARQUES TRANSPORTES</t>
  </si>
  <si>
    <t>ISIDORO DUARTE</t>
  </si>
  <si>
    <t>RODOVIÁRIA DA LEZIRIA</t>
  </si>
  <si>
    <t>RODOVIÁRIA DO OESTE</t>
  </si>
  <si>
    <t>Folhas A1.1.1 e A1.1.2</t>
  </si>
  <si>
    <t>Dimensão da frota não operacional</t>
  </si>
  <si>
    <t>Dimensão da frota operacional</t>
  </si>
  <si>
    <t>Número de colaboradores</t>
  </si>
  <si>
    <t>Volume de negócios / Receita operacional (€)</t>
  </si>
  <si>
    <t>Caso aplicável, Produção quilométrica (km percorridos)</t>
  </si>
  <si>
    <t>Listagem de Frota (incluindo data 1ª matrícula, peso bruto, tara, norma de emissões e, caso aplicável, 
lotação ou capacidade de carga em unidades padronizadas)</t>
  </si>
  <si>
    <t>Folha A3.3</t>
  </si>
  <si>
    <t>Caso aplicável, Volume de transporte 
(nº de passageiros, toneladas de carga, litros/m3 de carga líquida, nº contentores/unidades (padrão), etc.)</t>
  </si>
  <si>
    <t>Caso aplicável, Capacidade operacional 
(lotação.km, carga útil.km, etc.)</t>
  </si>
  <si>
    <t>Caso aplicável, Produção operacional 
(pax.km transportado, carga.km transportado)</t>
  </si>
  <si>
    <t>Apenas inclui dados financeiros, por falta de informação operacional detalhada. Foram excluídas cedências internas de serviço.</t>
  </si>
  <si>
    <t>Implementar sistema digital associada à subcontratação de serviços, que o fornecedor deverá preencher a fim de avaliar o impacte do serviço prestado, informação essa a usar no processo de certificação e avaliação de fornecedores a implementar no GB.</t>
  </si>
  <si>
    <t>Produção de Resíduos</t>
  </si>
  <si>
    <t>Consumo de Água e THR</t>
  </si>
  <si>
    <t>Ativos alugados a jusante</t>
  </si>
  <si>
    <t>Tranportes a justante</t>
  </si>
  <si>
    <t>Venda de Produtos</t>
  </si>
  <si>
    <t>Aluguer a montante</t>
  </si>
  <si>
    <t>Transportes a montante</t>
  </si>
  <si>
    <t>Aquisição de Bens e serviços</t>
  </si>
  <si>
    <t>Deslocações Pendulares</t>
  </si>
  <si>
    <t>FE PC2021; Fonte CG GB. Não há deslocações pendulares em viatura de serviço</t>
  </si>
  <si>
    <t>FE PC2021; Fonte CG GB. O peso das deslocações pendulares em viatura de serviço residual e desprezada</t>
  </si>
  <si>
    <t>O peso das deslocações pendulares em viatura de serviço residual e desprezada</t>
  </si>
  <si>
    <t>No futuro deverá se realizado um inquérito anual à mobilidade dos colaboradores</t>
  </si>
  <si>
    <t>Outras emissões relacionadas com o uso de energia (exluídas dos âmbitos 1 e 2)</t>
  </si>
  <si>
    <t>Aquisição de Bens de Capital</t>
  </si>
  <si>
    <t>Aquisição de Eletricidade (e outras formas de energias secundárias)</t>
  </si>
  <si>
    <t>No futuro deverão ser investigadas outras fontes, como por exemplo a estufa de Frielas cujo consumo de gasóleo é necessário incluir.
Também o consumo de gás e gasóleo de empilhadores e máquinas de lavagem deverá passar a ser registado de forma detalhada.</t>
  </si>
  <si>
    <t>Não foi considerado o consumo residual de gás e gasóleo de equipamentos auxiliares de oficina (empilhadores, máquina de lavagem, estufa de pintura).</t>
  </si>
  <si>
    <t>37006; 2170; 1200; 857 milhares de km (BR; RV; Cityrama; DT/PB)</t>
  </si>
  <si>
    <t>652; 61; 45; 36
(BR; RV; Cityrama; DT/PB)</t>
  </si>
  <si>
    <t>10 531 milhares de PT (BT + RV)</t>
  </si>
  <si>
    <t>61098; 3598; 8133; 3243 milhares de €  (BR; RV; Cityrama; DT/PB)</t>
  </si>
  <si>
    <t>Não Especificado</t>
  </si>
  <si>
    <t>Bus</t>
  </si>
  <si>
    <t>Outro/NA</t>
  </si>
  <si>
    <t>Só existe detalhe financeiro. Qtd. Transportada em €. Estimar km com base numa valor €/km</t>
  </si>
  <si>
    <t>Cityrama - Camarate</t>
  </si>
  <si>
    <t>SIMAR Loures Odivelas</t>
  </si>
  <si>
    <t>60;40</t>
  </si>
  <si>
    <t>A3.13 Investimentos</t>
  </si>
  <si>
    <t>A3.10 Transporte a jusante</t>
  </si>
  <si>
    <t>A3.11 Ativos alugados a justante</t>
  </si>
  <si>
    <t>A3.12 Franchises</t>
  </si>
  <si>
    <t>Os produtos vendidos não carecem de transporte ou são expedidos maioritariamente pelo OEM.</t>
  </si>
  <si>
    <t>Observações (PB, GVW)</t>
  </si>
  <si>
    <t>falta fatura dez Guerreiros</t>
  </si>
  <si>
    <t>Para a análise final será listada a frota não operacional ao invés de se apresentar uma análise agregada</t>
  </si>
  <si>
    <t>Tipo/Período Operação.</t>
  </si>
  <si>
    <t>Empresa ID</t>
  </si>
  <si>
    <t>ZOP</t>
  </si>
  <si>
    <t>III</t>
  </si>
  <si>
    <t>Tipologia veículos (Categoria)</t>
  </si>
  <si>
    <t>Tipologia veículos (Classe)</t>
  </si>
  <si>
    <t>Ano Dados</t>
  </si>
  <si>
    <t>Tipo*</t>
  </si>
  <si>
    <t>WTT</t>
  </si>
  <si>
    <t>Perdas Rede SEN</t>
  </si>
  <si>
    <t>Unidades*</t>
  </si>
  <si>
    <t>l</t>
  </si>
  <si>
    <t>HFC134a</t>
  </si>
  <si>
    <t>kg</t>
  </si>
  <si>
    <t>Ligeiro de Mercadorias N1: Geral : Gasóleo : Geral</t>
  </si>
  <si>
    <t>150101</t>
  </si>
  <si>
    <t>150202</t>
  </si>
  <si>
    <t>150203</t>
  </si>
  <si>
    <t>Metodologia</t>
  </si>
  <si>
    <t>Qtd.</t>
  </si>
  <si>
    <t>Unidade</t>
  </si>
  <si>
    <t>€</t>
  </si>
  <si>
    <t>Valor</t>
  </si>
  <si>
    <t>Fonte LB</t>
  </si>
  <si>
    <t>AIE</t>
  </si>
  <si>
    <t>fonte</t>
  </si>
  <si>
    <t>Ano FER</t>
  </si>
  <si>
    <t>DEFRA</t>
  </si>
  <si>
    <t>Idx</t>
  </si>
  <si>
    <t>Eléctrica</t>
  </si>
  <si>
    <t>Ano dados</t>
  </si>
  <si>
    <t>Tipo Ref</t>
  </si>
  <si>
    <t>Emissões médias por colaborador</t>
  </si>
  <si>
    <t>Ref</t>
  </si>
  <si>
    <t>Tipo Motor</t>
  </si>
  <si>
    <t>ICE Gasóleo</t>
  </si>
  <si>
    <t>Emissões</t>
  </si>
  <si>
    <t>Produção</t>
  </si>
  <si>
    <t>Autocarro Turismo Std</t>
  </si>
  <si>
    <t>Autocarro Regional Std</t>
  </si>
  <si>
    <t>Por Unidade de Custo Comprador</t>
  </si>
  <si>
    <t>Manutenção Geral M3</t>
  </si>
  <si>
    <t>Rel Peg. Carbono 21</t>
  </si>
  <si>
    <t>Fonte</t>
  </si>
  <si>
    <t>kg.km</t>
  </si>
  <si>
    <t>Nº max unidades / Entrega</t>
  </si>
  <si>
    <t>Qte Unit. FE</t>
  </si>
  <si>
    <t>idx_aux</t>
  </si>
  <si>
    <t>Valor Ref.</t>
  </si>
  <si>
    <t>m3</t>
  </si>
  <si>
    <t>Tipo Resíduo</t>
  </si>
  <si>
    <t>Resíduos Geral</t>
  </si>
  <si>
    <t>Óleo Mineral</t>
  </si>
  <si>
    <t>EPA ? GHG?</t>
  </si>
  <si>
    <t>Papel e cartao</t>
  </si>
  <si>
    <t>Madeira</t>
  </si>
  <si>
    <t>Metal</t>
  </si>
  <si>
    <t>Veiculos fim de vida</t>
  </si>
  <si>
    <t>Residuos urbanos</t>
  </si>
  <si>
    <t>Eq. Eletrónicos</t>
  </si>
  <si>
    <t>Rodoviária de Lisboa, S.A.</t>
  </si>
  <si>
    <t>Marques, Lda</t>
  </si>
  <si>
    <t>Marques, Lda.</t>
  </si>
  <si>
    <t>Rodo Cargo S.A.</t>
  </si>
  <si>
    <t>Rodoviária do Alentejo S.A.</t>
  </si>
  <si>
    <t>Rodo Cargo, S.A.</t>
  </si>
  <si>
    <t>Rodoviária do Alentejo, S.A.</t>
  </si>
  <si>
    <t>LISBOAT</t>
  </si>
  <si>
    <t>Rodoviária do Médio Tejo</t>
  </si>
  <si>
    <t>Pesado de Passageiros M2</t>
  </si>
  <si>
    <t>Pesado de Mercadorias N3</t>
  </si>
  <si>
    <t>319 viaturas</t>
  </si>
  <si>
    <t>Frota RL 2022</t>
  </si>
  <si>
    <t>1 viatura</t>
  </si>
  <si>
    <t>Nm3 (metros cubicos norm.)</t>
  </si>
  <si>
    <t>67 viaturas</t>
  </si>
  <si>
    <t>Auditoria Energética</t>
  </si>
  <si>
    <t>Transporte Rodoviário de Mercadorias</t>
  </si>
  <si>
    <t>259 viaturas</t>
  </si>
  <si>
    <t>59 viaturas</t>
  </si>
  <si>
    <t>54 viaturas</t>
  </si>
  <si>
    <t>25 viaturas</t>
  </si>
  <si>
    <t>20 viaturas</t>
  </si>
  <si>
    <t>Gasolina</t>
  </si>
  <si>
    <t>127 viaturas</t>
  </si>
  <si>
    <t>Ficheiro Abastecim/Kms</t>
  </si>
  <si>
    <t>CONTROLO GESTÃO</t>
  </si>
  <si>
    <t>Gásoleo NAV COS</t>
  </si>
  <si>
    <t>MH2 LUAR</t>
  </si>
  <si>
    <t>MH3 FADISTA</t>
  </si>
  <si>
    <t>MH4 AURORA</t>
  </si>
  <si>
    <t>Alugado Rodocargo</t>
  </si>
  <si>
    <t>Tractores</t>
  </si>
  <si>
    <t>Escavadoras</t>
  </si>
  <si>
    <t>GNC</t>
  </si>
  <si>
    <t>Nm3</t>
  </si>
  <si>
    <t>Data check</t>
  </si>
  <si>
    <t>Alugado Rodocargo 3 viaturas</t>
  </si>
  <si>
    <t>Tractores 4 viaturas</t>
  </si>
  <si>
    <t>Escavadoras 5 viaturas</t>
  </si>
  <si>
    <t>X</t>
  </si>
  <si>
    <t>I</t>
  </si>
  <si>
    <t xml:space="preserve">Scope </t>
  </si>
  <si>
    <t>A1</t>
  </si>
  <si>
    <t>2000</t>
  </si>
  <si>
    <t>L071</t>
  </si>
  <si>
    <t>L072</t>
  </si>
  <si>
    <t>L077</t>
  </si>
  <si>
    <t>L081</t>
  </si>
  <si>
    <t>L083</t>
  </si>
  <si>
    <t>L085</t>
  </si>
  <si>
    <t>L086</t>
  </si>
  <si>
    <t>L087</t>
  </si>
  <si>
    <t>L097</t>
  </si>
  <si>
    <t>L101</t>
  </si>
  <si>
    <t>L102</t>
  </si>
  <si>
    <t>L106</t>
  </si>
  <si>
    <t>L107</t>
  </si>
  <si>
    <t>L108</t>
  </si>
  <si>
    <t>L109</t>
  </si>
  <si>
    <t>L110</t>
  </si>
  <si>
    <t>L117</t>
  </si>
  <si>
    <t>L123</t>
  </si>
  <si>
    <t>L124</t>
  </si>
  <si>
    <t>L125</t>
  </si>
  <si>
    <t>L126</t>
  </si>
  <si>
    <t>L127</t>
  </si>
  <si>
    <t>L130</t>
  </si>
  <si>
    <t>L145</t>
  </si>
  <si>
    <t>L146</t>
  </si>
  <si>
    <t>L148</t>
  </si>
  <si>
    <t>L151</t>
  </si>
  <si>
    <t>L152</t>
  </si>
  <si>
    <t>L153</t>
  </si>
  <si>
    <t>L154</t>
  </si>
  <si>
    <t>L159</t>
  </si>
  <si>
    <t>L160</t>
  </si>
  <si>
    <t>L161</t>
  </si>
  <si>
    <t>L162</t>
  </si>
  <si>
    <t>L165</t>
  </si>
  <si>
    <t>L168</t>
  </si>
  <si>
    <t>L170</t>
  </si>
  <si>
    <t>L171</t>
  </si>
  <si>
    <t>L172</t>
  </si>
  <si>
    <t>L179</t>
  </si>
  <si>
    <t>L180</t>
  </si>
  <si>
    <t>L181</t>
  </si>
  <si>
    <t>L182</t>
  </si>
  <si>
    <t>L183</t>
  </si>
  <si>
    <t>L184</t>
  </si>
  <si>
    <t>L187</t>
  </si>
  <si>
    <t>L188</t>
  </si>
  <si>
    <t>L189</t>
  </si>
  <si>
    <t>L190</t>
  </si>
  <si>
    <t>L195</t>
  </si>
  <si>
    <t>L196</t>
  </si>
  <si>
    <t>L200</t>
  </si>
  <si>
    <t>L201</t>
  </si>
  <si>
    <t>L202</t>
  </si>
  <si>
    <t>L203</t>
  </si>
  <si>
    <t>L210</t>
  </si>
  <si>
    <t>L211</t>
  </si>
  <si>
    <t>L212</t>
  </si>
  <si>
    <t>L213</t>
  </si>
  <si>
    <t>L214</t>
  </si>
  <si>
    <t>L215</t>
  </si>
  <si>
    <t>L216</t>
  </si>
  <si>
    <t>L217</t>
  </si>
  <si>
    <t>L218</t>
  </si>
  <si>
    <t>L220</t>
  </si>
  <si>
    <t>L221</t>
  </si>
  <si>
    <t>L222</t>
  </si>
  <si>
    <t>L223</t>
  </si>
  <si>
    <t>L224</t>
  </si>
  <si>
    <t>L226</t>
  </si>
  <si>
    <t>L227</t>
  </si>
  <si>
    <t>L228</t>
  </si>
  <si>
    <t>L229</t>
  </si>
  <si>
    <t>L230</t>
  </si>
  <si>
    <t>L231</t>
  </si>
  <si>
    <t>L232</t>
  </si>
  <si>
    <t>L234</t>
  </si>
  <si>
    <t>L235</t>
  </si>
  <si>
    <t>L236</t>
  </si>
  <si>
    <t>L250</t>
  </si>
  <si>
    <t>L251</t>
  </si>
  <si>
    <t>L252</t>
  </si>
  <si>
    <t>L253</t>
  </si>
  <si>
    <t>L254</t>
  </si>
  <si>
    <t>L255</t>
  </si>
  <si>
    <t>L256</t>
  </si>
  <si>
    <t>L257</t>
  </si>
  <si>
    <t>L258</t>
  </si>
  <si>
    <t>L259</t>
  </si>
  <si>
    <t>L260</t>
  </si>
  <si>
    <t>L261</t>
  </si>
  <si>
    <t>L262</t>
  </si>
  <si>
    <t>L263</t>
  </si>
  <si>
    <t>L264</t>
  </si>
  <si>
    <t>L265</t>
  </si>
  <si>
    <t>L266</t>
  </si>
  <si>
    <t>L267</t>
  </si>
  <si>
    <t>L268</t>
  </si>
  <si>
    <t>L269</t>
  </si>
  <si>
    <t>L270</t>
  </si>
  <si>
    <t>L271</t>
  </si>
  <si>
    <t>L280</t>
  </si>
  <si>
    <t>L281</t>
  </si>
  <si>
    <t>L282</t>
  </si>
  <si>
    <t>L283</t>
  </si>
  <si>
    <t>L284</t>
  </si>
  <si>
    <t>L285</t>
  </si>
  <si>
    <t>L286</t>
  </si>
  <si>
    <t>L287</t>
  </si>
  <si>
    <t>L290</t>
  </si>
  <si>
    <t>L291</t>
  </si>
  <si>
    <t>L292</t>
  </si>
  <si>
    <t>L293</t>
  </si>
  <si>
    <t>L294</t>
  </si>
  <si>
    <t>L295</t>
  </si>
  <si>
    <t>L296</t>
  </si>
  <si>
    <t>L297</t>
  </si>
  <si>
    <t>L300</t>
  </si>
  <si>
    <t>L301</t>
  </si>
  <si>
    <t>L302</t>
  </si>
  <si>
    <t>L304</t>
  </si>
  <si>
    <t>L305</t>
  </si>
  <si>
    <t>L306</t>
  </si>
  <si>
    <t>L308</t>
  </si>
  <si>
    <t>L309</t>
  </si>
  <si>
    <t>L310</t>
  </si>
  <si>
    <t>L311</t>
  </si>
  <si>
    <t>L313</t>
  </si>
  <si>
    <t>L314</t>
  </si>
  <si>
    <t>L315</t>
  </si>
  <si>
    <t>L316</t>
  </si>
  <si>
    <t>L317</t>
  </si>
  <si>
    <t>L321</t>
  </si>
  <si>
    <t>L322</t>
  </si>
  <si>
    <t>L323</t>
  </si>
  <si>
    <t>L324</t>
  </si>
  <si>
    <t>L325</t>
  </si>
  <si>
    <t>L326</t>
  </si>
  <si>
    <t>L332</t>
  </si>
  <si>
    <t>L333</t>
  </si>
  <si>
    <t>L334</t>
  </si>
  <si>
    <t>L335</t>
  </si>
  <si>
    <t>L336</t>
  </si>
  <si>
    <t>L337</t>
  </si>
  <si>
    <t>L338</t>
  </si>
  <si>
    <t>L339</t>
  </si>
  <si>
    <t>L340</t>
  </si>
  <si>
    <t>L341</t>
  </si>
  <si>
    <t>L342</t>
  </si>
  <si>
    <t>L343</t>
  </si>
  <si>
    <t>L346</t>
  </si>
  <si>
    <t>L347</t>
  </si>
  <si>
    <t>L349</t>
  </si>
  <si>
    <t>L360</t>
  </si>
  <si>
    <t>L361</t>
  </si>
  <si>
    <t>L362</t>
  </si>
  <si>
    <t>L363</t>
  </si>
  <si>
    <t>L365</t>
  </si>
  <si>
    <t>L366</t>
  </si>
  <si>
    <t>L368</t>
  </si>
  <si>
    <t>L369</t>
  </si>
  <si>
    <t>L372</t>
  </si>
  <si>
    <t>L373</t>
  </si>
  <si>
    <t>L374</t>
  </si>
  <si>
    <t>L375</t>
  </si>
  <si>
    <t>L399</t>
  </si>
  <si>
    <t>L403</t>
  </si>
  <si>
    <t>L405</t>
  </si>
  <si>
    <t>L406</t>
  </si>
  <si>
    <t>L408</t>
  </si>
  <si>
    <t>L441</t>
  </si>
  <si>
    <t>L442</t>
  </si>
  <si>
    <t>L443</t>
  </si>
  <si>
    <t>L444</t>
  </si>
  <si>
    <t>L445</t>
  </si>
  <si>
    <t>L446</t>
  </si>
  <si>
    <t>L525</t>
  </si>
  <si>
    <t>L528</t>
  </si>
  <si>
    <t>L529</t>
  </si>
  <si>
    <t>L540</t>
  </si>
  <si>
    <t>L541</t>
  </si>
  <si>
    <t>L581</t>
  </si>
  <si>
    <t>L586</t>
  </si>
  <si>
    <t>L592</t>
  </si>
  <si>
    <t>L594</t>
  </si>
  <si>
    <t>L601</t>
  </si>
  <si>
    <t>L602</t>
  </si>
  <si>
    <t>L603</t>
  </si>
  <si>
    <t>L604</t>
  </si>
  <si>
    <t>L605</t>
  </si>
  <si>
    <t>L606</t>
  </si>
  <si>
    <t>L607</t>
  </si>
  <si>
    <t>L627</t>
  </si>
  <si>
    <t>L633</t>
  </si>
  <si>
    <t>L657</t>
  </si>
  <si>
    <t>L658</t>
  </si>
  <si>
    <t>L659</t>
  </si>
  <si>
    <t>L660</t>
  </si>
  <si>
    <t>L661</t>
  </si>
  <si>
    <t>L662</t>
  </si>
  <si>
    <t>L663</t>
  </si>
  <si>
    <t>L664</t>
  </si>
  <si>
    <t>L665</t>
  </si>
  <si>
    <t>L666</t>
  </si>
  <si>
    <t>L669</t>
  </si>
  <si>
    <t>L672</t>
  </si>
  <si>
    <t>L673</t>
  </si>
  <si>
    <t>L695</t>
  </si>
  <si>
    <t>L702</t>
  </si>
  <si>
    <t>L711</t>
  </si>
  <si>
    <t>L712</t>
  </si>
  <si>
    <t>L715</t>
  </si>
  <si>
    <t>L722</t>
  </si>
  <si>
    <t>L723</t>
  </si>
  <si>
    <t>L728</t>
  </si>
  <si>
    <t>L731</t>
  </si>
  <si>
    <t>L733</t>
  </si>
  <si>
    <t>L736</t>
  </si>
  <si>
    <t>L747</t>
  </si>
  <si>
    <t>L750</t>
  </si>
  <si>
    <t>L767</t>
  </si>
  <si>
    <t>L769</t>
  </si>
  <si>
    <t>L770</t>
  </si>
  <si>
    <t>L771</t>
  </si>
  <si>
    <t>L772</t>
  </si>
  <si>
    <t>L773</t>
  </si>
  <si>
    <t>L774</t>
  </si>
  <si>
    <t>L775</t>
  </si>
  <si>
    <t>L781</t>
  </si>
  <si>
    <t>L782</t>
  </si>
  <si>
    <t>L783</t>
  </si>
  <si>
    <t>L784</t>
  </si>
  <si>
    <t>L790</t>
  </si>
  <si>
    <t>L792</t>
  </si>
  <si>
    <t>L797</t>
  </si>
  <si>
    <t>L799</t>
  </si>
  <si>
    <t>L803</t>
  </si>
  <si>
    <t>L807</t>
  </si>
  <si>
    <t>L818</t>
  </si>
  <si>
    <t>L866</t>
  </si>
  <si>
    <t>L867</t>
  </si>
  <si>
    <t>L869</t>
  </si>
  <si>
    <t>L871</t>
  </si>
  <si>
    <t>L872</t>
  </si>
  <si>
    <t>L875</t>
  </si>
  <si>
    <t>L895</t>
  </si>
  <si>
    <t>Transporte Rodoviário Mercadorias</t>
  </si>
  <si>
    <t>2017</t>
  </si>
  <si>
    <t>2016</t>
  </si>
  <si>
    <t>2008</t>
  </si>
  <si>
    <t>2009</t>
  </si>
  <si>
    <t>1999</t>
  </si>
  <si>
    <t>2001</t>
  </si>
  <si>
    <t>1996</t>
  </si>
  <si>
    <t>1995</t>
  </si>
  <si>
    <t>1997</t>
  </si>
  <si>
    <t>2007</t>
  </si>
  <si>
    <t>2010</t>
  </si>
  <si>
    <t>2013</t>
  </si>
  <si>
    <t>2015</t>
  </si>
  <si>
    <t>1998</t>
  </si>
  <si>
    <t>1990</t>
  </si>
  <si>
    <t>1993</t>
  </si>
  <si>
    <t>1992</t>
  </si>
  <si>
    <t>2005</t>
  </si>
  <si>
    <t>2006</t>
  </si>
  <si>
    <t>2014</t>
  </si>
  <si>
    <t>2004</t>
  </si>
  <si>
    <t>2011</t>
  </si>
  <si>
    <t>2002</t>
  </si>
  <si>
    <t>2012</t>
  </si>
  <si>
    <t>2018</t>
  </si>
  <si>
    <t>2019</t>
  </si>
  <si>
    <t>2003</t>
  </si>
  <si>
    <t>2020</t>
  </si>
  <si>
    <t>E0</t>
  </si>
  <si>
    <t>Geral</t>
  </si>
  <si>
    <t>88NO69</t>
  </si>
  <si>
    <t>88NO70</t>
  </si>
  <si>
    <t>88NO71</t>
  </si>
  <si>
    <t>08RV13</t>
  </si>
  <si>
    <t>19RV00</t>
  </si>
  <si>
    <t>87LG22</t>
  </si>
  <si>
    <t>02LH63</t>
  </si>
  <si>
    <t>46RH09</t>
  </si>
  <si>
    <t>46RH10</t>
  </si>
  <si>
    <t>57RH85</t>
  </si>
  <si>
    <t>57RH86</t>
  </si>
  <si>
    <t>46SZ08</t>
  </si>
  <si>
    <t>46SZ09</t>
  </si>
  <si>
    <t>04XS94</t>
  </si>
  <si>
    <t>04XS95</t>
  </si>
  <si>
    <t>AB92VV</t>
  </si>
  <si>
    <t>AB94VV</t>
  </si>
  <si>
    <t>AB95VV</t>
  </si>
  <si>
    <t>AB96VV</t>
  </si>
  <si>
    <t>AB98VV</t>
  </si>
  <si>
    <t>9481XA</t>
  </si>
  <si>
    <t>8945XC</t>
  </si>
  <si>
    <t>8953XC</t>
  </si>
  <si>
    <t>8943XC</t>
  </si>
  <si>
    <t>8944XC</t>
  </si>
  <si>
    <t>48ND09</t>
  </si>
  <si>
    <t>58PL28</t>
  </si>
  <si>
    <t>47UF58</t>
  </si>
  <si>
    <t>87UQ86</t>
  </si>
  <si>
    <t>88OG85</t>
  </si>
  <si>
    <t>88OG86</t>
  </si>
  <si>
    <t>88OG87</t>
  </si>
  <si>
    <t>77ON31</t>
  </si>
  <si>
    <t>84QS10</t>
  </si>
  <si>
    <t>84QS11</t>
  </si>
  <si>
    <t>84QS12</t>
  </si>
  <si>
    <t>84QS47</t>
  </si>
  <si>
    <t>84QS48</t>
  </si>
  <si>
    <t>42NL27</t>
  </si>
  <si>
    <t>42NL36</t>
  </si>
  <si>
    <t>42NL37</t>
  </si>
  <si>
    <t>42NL38</t>
  </si>
  <si>
    <t>26RB06</t>
  </si>
  <si>
    <t>62RC13</t>
  </si>
  <si>
    <t>62RC14</t>
  </si>
  <si>
    <t>26RB07</t>
  </si>
  <si>
    <t>90QV93</t>
  </si>
  <si>
    <t>81VV85</t>
  </si>
  <si>
    <t>81VV93</t>
  </si>
  <si>
    <t>75XA97</t>
  </si>
  <si>
    <t>76XA19</t>
  </si>
  <si>
    <t>54ZU83</t>
  </si>
  <si>
    <t>54ZU91</t>
  </si>
  <si>
    <t>84QS50</t>
  </si>
  <si>
    <t>84QS39</t>
  </si>
  <si>
    <t>76SI41</t>
  </si>
  <si>
    <t>76SI42</t>
  </si>
  <si>
    <t>76SI43</t>
  </si>
  <si>
    <t>67UC40</t>
  </si>
  <si>
    <t>67UC42</t>
  </si>
  <si>
    <t>67UC49</t>
  </si>
  <si>
    <t>67UC59</t>
  </si>
  <si>
    <t>74XB58</t>
  </si>
  <si>
    <t>74XB59</t>
  </si>
  <si>
    <t>74XB60</t>
  </si>
  <si>
    <t>93XA43</t>
  </si>
  <si>
    <t>93XA48</t>
  </si>
  <si>
    <t>99NN61</t>
  </si>
  <si>
    <t>99NN62</t>
  </si>
  <si>
    <t>88OG67</t>
  </si>
  <si>
    <t>57PL22</t>
  </si>
  <si>
    <t>57PL24</t>
  </si>
  <si>
    <t>57PL23</t>
  </si>
  <si>
    <t>94TG21</t>
  </si>
  <si>
    <t>92LI80</t>
  </si>
  <si>
    <t>13BC26</t>
  </si>
  <si>
    <t>26BC37</t>
  </si>
  <si>
    <t>13BC25</t>
  </si>
  <si>
    <t>17FJ65</t>
  </si>
  <si>
    <t>22BN79</t>
  </si>
  <si>
    <t>22BN80</t>
  </si>
  <si>
    <t>22BN81</t>
  </si>
  <si>
    <t>04FJ02</t>
  </si>
  <si>
    <t>62FM28</t>
  </si>
  <si>
    <t>62FM29</t>
  </si>
  <si>
    <t>62FM30</t>
  </si>
  <si>
    <t>71NP72</t>
  </si>
  <si>
    <t>94TG22</t>
  </si>
  <si>
    <t>80HC19</t>
  </si>
  <si>
    <t>80HC20</t>
  </si>
  <si>
    <t>80HC15</t>
  </si>
  <si>
    <t>80HC22</t>
  </si>
  <si>
    <t>80HC18</t>
  </si>
  <si>
    <t>88OG73</t>
  </si>
  <si>
    <t>47VH45</t>
  </si>
  <si>
    <t>47VH46</t>
  </si>
  <si>
    <t>47VH47</t>
  </si>
  <si>
    <t>84HC43</t>
  </si>
  <si>
    <t>66FO07</t>
  </si>
  <si>
    <t>17FJ64</t>
  </si>
  <si>
    <t>17FJ59</t>
  </si>
  <si>
    <t>66LF19</t>
  </si>
  <si>
    <t>66LF20</t>
  </si>
  <si>
    <t>79LP16</t>
  </si>
  <si>
    <t>90LP64</t>
  </si>
  <si>
    <t>90LP65</t>
  </si>
  <si>
    <t>98MT00</t>
  </si>
  <si>
    <t>80HC17</t>
  </si>
  <si>
    <t>59LO19</t>
  </si>
  <si>
    <t>98MT01</t>
  </si>
  <si>
    <t>98MT03</t>
  </si>
  <si>
    <t>81XB07</t>
  </si>
  <si>
    <t>81XB08</t>
  </si>
  <si>
    <t>81XB11</t>
  </si>
  <si>
    <t>21NQ54</t>
  </si>
  <si>
    <t>76SI35</t>
  </si>
  <si>
    <t>76SI44</t>
  </si>
  <si>
    <t>76SI45</t>
  </si>
  <si>
    <t>76SI46</t>
  </si>
  <si>
    <t>76SI47</t>
  </si>
  <si>
    <t>76SI48</t>
  </si>
  <si>
    <t>85SX00</t>
  </si>
  <si>
    <t>85SX01</t>
  </si>
  <si>
    <t>85SX02</t>
  </si>
  <si>
    <t>99UB87</t>
  </si>
  <si>
    <t>02UC26</t>
  </si>
  <si>
    <t>45XO21</t>
  </si>
  <si>
    <t>45XO28</t>
  </si>
  <si>
    <t>99UB92</t>
  </si>
  <si>
    <t>88XA99</t>
  </si>
  <si>
    <t>89XA11</t>
  </si>
  <si>
    <t>82JR50</t>
  </si>
  <si>
    <t>46OJ82</t>
  </si>
  <si>
    <t>62FM27</t>
  </si>
  <si>
    <t>19NR94</t>
  </si>
  <si>
    <t>6037RM</t>
  </si>
  <si>
    <t>46PS08</t>
  </si>
  <si>
    <t>67UC64</t>
  </si>
  <si>
    <t>67UC67</t>
  </si>
  <si>
    <t>53QV50</t>
  </si>
  <si>
    <t>80HC16</t>
  </si>
  <si>
    <t>28SC27</t>
  </si>
  <si>
    <t>13BC29</t>
  </si>
  <si>
    <t>8951XC</t>
  </si>
  <si>
    <t>3274TL</t>
  </si>
  <si>
    <t>2898XL</t>
  </si>
  <si>
    <t>30JD22</t>
  </si>
  <si>
    <t>53RE24</t>
  </si>
  <si>
    <t>20UD28</t>
  </si>
  <si>
    <t>21NQ56</t>
  </si>
  <si>
    <t>21NQ59</t>
  </si>
  <si>
    <t>21NQ61</t>
  </si>
  <si>
    <t>36PI50</t>
  </si>
  <si>
    <t>68ST51</t>
  </si>
  <si>
    <t>68ST54</t>
  </si>
  <si>
    <t>84QS42</t>
  </si>
  <si>
    <t>88OG68</t>
  </si>
  <si>
    <t>89PM51</t>
  </si>
  <si>
    <t>89PM52</t>
  </si>
  <si>
    <t>21TA34</t>
  </si>
  <si>
    <t>84QS44</t>
  </si>
  <si>
    <t>84QS45</t>
  </si>
  <si>
    <t>80HC24</t>
  </si>
  <si>
    <t>80HC25</t>
  </si>
  <si>
    <t>80HC23</t>
  </si>
  <si>
    <t>84HC58</t>
  </si>
  <si>
    <t>3275TL</t>
  </si>
  <si>
    <t>2899XL</t>
  </si>
  <si>
    <t>95RQ44</t>
  </si>
  <si>
    <t>34RN34</t>
  </si>
  <si>
    <t>7898XG</t>
  </si>
  <si>
    <t>16JF32</t>
  </si>
  <si>
    <t>16JF33</t>
  </si>
  <si>
    <t>21NQ55</t>
  </si>
  <si>
    <t>21NQ57</t>
  </si>
  <si>
    <t>21NQ60</t>
  </si>
  <si>
    <t>11NR30</t>
  </si>
  <si>
    <t>61VI64</t>
  </si>
  <si>
    <t>23VJ60</t>
  </si>
  <si>
    <t>10ZH55</t>
  </si>
  <si>
    <t>10ZH52</t>
  </si>
  <si>
    <t>10ZH54</t>
  </si>
  <si>
    <t>10ZH53</t>
  </si>
  <si>
    <t>AB97VV</t>
  </si>
  <si>
    <t>89LL04</t>
  </si>
  <si>
    <t>89LL05</t>
  </si>
  <si>
    <t>89XA28</t>
  </si>
  <si>
    <t>62NO74</t>
  </si>
  <si>
    <t>62NO75</t>
  </si>
  <si>
    <t>62NO76</t>
  </si>
  <si>
    <t>62NO77</t>
  </si>
  <si>
    <t>64NP59</t>
  </si>
  <si>
    <t>64NP60</t>
  </si>
  <si>
    <t>64NP61</t>
  </si>
  <si>
    <t>64NP62</t>
  </si>
  <si>
    <t>88NO73</t>
  </si>
  <si>
    <t>32UR61</t>
  </si>
  <si>
    <t>32UR65</t>
  </si>
  <si>
    <t>14UV79</t>
  </si>
  <si>
    <t>14UV80</t>
  </si>
  <si>
    <t>61XP86</t>
  </si>
  <si>
    <t>11NR29</t>
  </si>
  <si>
    <t>11NR31</t>
  </si>
  <si>
    <t>24RT91</t>
  </si>
  <si>
    <t>24RT92</t>
  </si>
  <si>
    <t>19TL02</t>
  </si>
  <si>
    <t>19TL03</t>
  </si>
  <si>
    <t>60VI75</t>
  </si>
  <si>
    <t>62VI17</t>
  </si>
  <si>
    <t>63VI04</t>
  </si>
  <si>
    <t>77XO19</t>
  </si>
  <si>
    <t>61XP45</t>
  </si>
  <si>
    <t>63XP21</t>
  </si>
  <si>
    <t>76XO52</t>
  </si>
  <si>
    <t>76XO53</t>
  </si>
  <si>
    <t>77XO52</t>
  </si>
  <si>
    <t>78XO41</t>
  </si>
  <si>
    <t>78XO44</t>
  </si>
  <si>
    <t>79XO75</t>
  </si>
  <si>
    <t>61XP19</t>
  </si>
  <si>
    <t>34PA59</t>
  </si>
  <si>
    <t>95LV74</t>
  </si>
  <si>
    <t>88NO74</t>
  </si>
  <si>
    <t>88NO75</t>
  </si>
  <si>
    <t>88NO72</t>
  </si>
  <si>
    <t>30PL50</t>
  </si>
  <si>
    <t>30PL51</t>
  </si>
  <si>
    <t>30PL52</t>
  </si>
  <si>
    <t>30PL53</t>
  </si>
  <si>
    <t>95JA99</t>
  </si>
  <si>
    <t>22PV51</t>
  </si>
  <si>
    <t>89PT60</t>
  </si>
  <si>
    <t>91XA08</t>
  </si>
  <si>
    <t>89XA10</t>
  </si>
  <si>
    <t>89XA72</t>
  </si>
  <si>
    <t>22PV52</t>
  </si>
  <si>
    <t>22PV53</t>
  </si>
  <si>
    <t>22PV54</t>
  </si>
  <si>
    <t>02NJ28</t>
  </si>
  <si>
    <t>5059XR</t>
  </si>
  <si>
    <t>31OG96</t>
  </si>
  <si>
    <t>52HH64</t>
  </si>
  <si>
    <t>58PI94</t>
  </si>
  <si>
    <t>12PJ34</t>
  </si>
  <si>
    <t>58PL29</t>
  </si>
  <si>
    <t>98RS98</t>
  </si>
  <si>
    <t>23NX29</t>
  </si>
  <si>
    <t>56UV36</t>
  </si>
  <si>
    <t>AD62DE</t>
  </si>
  <si>
    <t>AD63DE</t>
  </si>
  <si>
    <t>AD64DE</t>
  </si>
  <si>
    <t>AD65DE</t>
  </si>
  <si>
    <t>AD66DE</t>
  </si>
  <si>
    <t>AD67DE</t>
  </si>
  <si>
    <t>AD68DE</t>
  </si>
  <si>
    <t>AD69DE</t>
  </si>
  <si>
    <t>AD70DE</t>
  </si>
  <si>
    <t>AD71DE</t>
  </si>
  <si>
    <t>AE11UL</t>
  </si>
  <si>
    <t>AE13UL</t>
  </si>
  <si>
    <t>AE14UL</t>
  </si>
  <si>
    <t>AE15UL</t>
  </si>
  <si>
    <t>AE19UL</t>
  </si>
  <si>
    <t>AF60GO</t>
  </si>
  <si>
    <t>AF61GO</t>
  </si>
  <si>
    <t>AF62GO</t>
  </si>
  <si>
    <t>AF63GO</t>
  </si>
  <si>
    <t>AF64GO</t>
  </si>
  <si>
    <t>AF65GO</t>
  </si>
  <si>
    <t>AF67GO</t>
  </si>
  <si>
    <t>AF68GO</t>
  </si>
  <si>
    <t>AF70GO</t>
  </si>
  <si>
    <t>AF71GO</t>
  </si>
  <si>
    <t>AF72GO</t>
  </si>
  <si>
    <t>AF73GO</t>
  </si>
  <si>
    <t>AF74GO</t>
  </si>
  <si>
    <t>AF76GO</t>
  </si>
  <si>
    <t>AF78GO</t>
  </si>
  <si>
    <t>AE20UL</t>
  </si>
  <si>
    <t>AF79GO</t>
  </si>
  <si>
    <t>54SC79</t>
  </si>
  <si>
    <t>50ST81</t>
  </si>
  <si>
    <t>38ZE63</t>
  </si>
  <si>
    <t>13BC28</t>
  </si>
  <si>
    <t>57VJ50</t>
  </si>
  <si>
    <t>60UR31</t>
  </si>
  <si>
    <t>47RZ08</t>
  </si>
  <si>
    <t>55VJ70</t>
  </si>
  <si>
    <t>35OF71</t>
  </si>
  <si>
    <t>44OF23</t>
  </si>
  <si>
    <t>59OF49</t>
  </si>
  <si>
    <t>85XN65</t>
  </si>
  <si>
    <t>48VP79</t>
  </si>
  <si>
    <t>84VQ08</t>
  </si>
  <si>
    <t>98VM60</t>
  </si>
  <si>
    <t>68VJ59</t>
  </si>
  <si>
    <t>49VP64</t>
  </si>
  <si>
    <t>77SU66</t>
  </si>
  <si>
    <t>34PA60</t>
  </si>
  <si>
    <t>6687XX</t>
  </si>
  <si>
    <t>6688XX</t>
  </si>
  <si>
    <t>30GC22</t>
  </si>
  <si>
    <t>30GC21</t>
  </si>
  <si>
    <t>30GC20</t>
  </si>
  <si>
    <t>36QI52</t>
  </si>
  <si>
    <t>36QI51</t>
  </si>
  <si>
    <t>30QL40</t>
  </si>
  <si>
    <t>83QM29</t>
  </si>
  <si>
    <t>83QM30</t>
  </si>
  <si>
    <t>57QP40</t>
  </si>
  <si>
    <t>85XN77</t>
  </si>
  <si>
    <t>57RZ98</t>
  </si>
  <si>
    <t>42SP58</t>
  </si>
  <si>
    <t>54RI97</t>
  </si>
  <si>
    <t>75RM71</t>
  </si>
  <si>
    <t>57RZ99</t>
  </si>
  <si>
    <t>96RP62</t>
  </si>
  <si>
    <t>70PO72</t>
  </si>
  <si>
    <t>79SZ40</t>
  </si>
  <si>
    <t>11TF62</t>
  </si>
  <si>
    <t>58VS50</t>
  </si>
  <si>
    <t>55VJ45</t>
  </si>
  <si>
    <t>41VO09</t>
  </si>
  <si>
    <t>96VQ51</t>
  </si>
  <si>
    <t>02VL83</t>
  </si>
  <si>
    <t>46TT34</t>
  </si>
  <si>
    <t>37TA82</t>
  </si>
  <si>
    <t>98VM44</t>
  </si>
  <si>
    <t>9485XA</t>
  </si>
  <si>
    <t>21NQ62</t>
  </si>
  <si>
    <t>56UV27</t>
  </si>
  <si>
    <t>56UV28</t>
  </si>
  <si>
    <t>56UV30</t>
  </si>
  <si>
    <t>56UV34</t>
  </si>
  <si>
    <t>58VI00</t>
  </si>
  <si>
    <t>58VI02</t>
  </si>
  <si>
    <t>57VI96</t>
  </si>
  <si>
    <t>36VG58</t>
  </si>
  <si>
    <t>47RU70</t>
  </si>
  <si>
    <t>36TI97</t>
  </si>
  <si>
    <t>14QL98</t>
  </si>
  <si>
    <t>32QJ12</t>
  </si>
  <si>
    <t>19XP41</t>
  </si>
  <si>
    <t>47RU71</t>
  </si>
  <si>
    <t>95MR56</t>
  </si>
  <si>
    <t>95MR57</t>
  </si>
  <si>
    <t>45VC34</t>
  </si>
  <si>
    <t>AE12UL</t>
  </si>
  <si>
    <t>AE16UL</t>
  </si>
  <si>
    <t>AE17UL</t>
  </si>
  <si>
    <t>AE18UL</t>
  </si>
  <si>
    <t>AF66GO</t>
  </si>
  <si>
    <t>AF69GO</t>
  </si>
  <si>
    <t>AF75GO</t>
  </si>
  <si>
    <t>AF77GO</t>
  </si>
  <si>
    <t>17VT32</t>
  </si>
  <si>
    <t>19XL34</t>
  </si>
  <si>
    <t>85TD21</t>
  </si>
  <si>
    <t>85TD22</t>
  </si>
  <si>
    <t>68GU26</t>
  </si>
  <si>
    <t>60LR58</t>
  </si>
  <si>
    <t>53LU32</t>
  </si>
  <si>
    <t>59MB11</t>
  </si>
  <si>
    <t>59MB12</t>
  </si>
  <si>
    <t>21NQ53</t>
  </si>
  <si>
    <t>11NR32</t>
  </si>
  <si>
    <t>11NR28</t>
  </si>
  <si>
    <t>21NQ58</t>
  </si>
  <si>
    <t>AC26AM</t>
  </si>
  <si>
    <t>AC27AM</t>
  </si>
  <si>
    <t>60VI79</t>
  </si>
  <si>
    <t>60VI80</t>
  </si>
  <si>
    <t>60VI88</t>
  </si>
  <si>
    <t>24VJ96</t>
  </si>
  <si>
    <t>99US11</t>
  </si>
  <si>
    <t>89XH48</t>
  </si>
  <si>
    <t>91XH18</t>
  </si>
  <si>
    <t>10ZC06</t>
  </si>
  <si>
    <t>92ZE37</t>
  </si>
  <si>
    <t>65ZQ67 </t>
  </si>
  <si>
    <t>66ZQ42</t>
  </si>
  <si>
    <t>95ZZ75</t>
  </si>
  <si>
    <t>AR44GE</t>
  </si>
  <si>
    <t>AR45GE</t>
  </si>
  <si>
    <t>69UU31</t>
  </si>
  <si>
    <t>18UT68</t>
  </si>
  <si>
    <t>17UP31</t>
  </si>
  <si>
    <t>17UP37</t>
  </si>
  <si>
    <t>17UP39</t>
  </si>
  <si>
    <t>17UP74</t>
  </si>
  <si>
    <t>91UN59</t>
  </si>
  <si>
    <t>92RJ19</t>
  </si>
  <si>
    <t>92RJ21</t>
  </si>
  <si>
    <t>09SX13</t>
  </si>
  <si>
    <t>45SX81</t>
  </si>
  <si>
    <t>3768ZT</t>
  </si>
  <si>
    <t>Mapas STM</t>
  </si>
  <si>
    <t>4031</t>
  </si>
  <si>
    <t>4032</t>
  </si>
  <si>
    <t>4039</t>
  </si>
  <si>
    <t>4049</t>
  </si>
  <si>
    <t>4052</t>
  </si>
  <si>
    <t>4071</t>
  </si>
  <si>
    <t>4075</t>
  </si>
  <si>
    <t>4090</t>
  </si>
  <si>
    <t>4156</t>
  </si>
  <si>
    <t>4173</t>
  </si>
  <si>
    <t>4181</t>
  </si>
  <si>
    <t>4204</t>
  </si>
  <si>
    <t>4205</t>
  </si>
  <si>
    <t>4208</t>
  </si>
  <si>
    <t>4212</t>
  </si>
  <si>
    <t>4214</t>
  </si>
  <si>
    <t>4219</t>
  </si>
  <si>
    <t>4220</t>
  </si>
  <si>
    <t>4225</t>
  </si>
  <si>
    <t>4229</t>
  </si>
  <si>
    <t>4234</t>
  </si>
  <si>
    <t>4235</t>
  </si>
  <si>
    <t>4247</t>
  </si>
  <si>
    <t>4250</t>
  </si>
  <si>
    <t>4269</t>
  </si>
  <si>
    <t>4278</t>
  </si>
  <si>
    <t>4283</t>
  </si>
  <si>
    <t>4286</t>
  </si>
  <si>
    <t>4290</t>
  </si>
  <si>
    <t>4291</t>
  </si>
  <si>
    <t>4293</t>
  </si>
  <si>
    <t>4298</t>
  </si>
  <si>
    <t>4301</t>
  </si>
  <si>
    <t>4303</t>
  </si>
  <si>
    <t>4304</t>
  </si>
  <si>
    <t>4309</t>
  </si>
  <si>
    <t>4310</t>
  </si>
  <si>
    <t>4318</t>
  </si>
  <si>
    <t>4320</t>
  </si>
  <si>
    <t>4337</t>
  </si>
  <si>
    <t>4345</t>
  </si>
  <si>
    <t>4346</t>
  </si>
  <si>
    <t>4348</t>
  </si>
  <si>
    <t>4368</t>
  </si>
  <si>
    <t>4369</t>
  </si>
  <si>
    <t>4370</t>
  </si>
  <si>
    <t>4371</t>
  </si>
  <si>
    <t>4374</t>
  </si>
  <si>
    <t>4382</t>
  </si>
  <si>
    <t>4384</t>
  </si>
  <si>
    <t>4387</t>
  </si>
  <si>
    <t>4398</t>
  </si>
  <si>
    <t>4399</t>
  </si>
  <si>
    <t>4411</t>
  </si>
  <si>
    <t>4413</t>
  </si>
  <si>
    <t>4426</t>
  </si>
  <si>
    <t>4430</t>
  </si>
  <si>
    <t>4432</t>
  </si>
  <si>
    <t>4437</t>
  </si>
  <si>
    <t>4441</t>
  </si>
  <si>
    <t>4442</t>
  </si>
  <si>
    <t>4443</t>
  </si>
  <si>
    <t>4445</t>
  </si>
  <si>
    <t>4448</t>
  </si>
  <si>
    <t>4449</t>
  </si>
  <si>
    <t>4452</t>
  </si>
  <si>
    <t>4453</t>
  </si>
  <si>
    <t>4454</t>
  </si>
  <si>
    <t>4455</t>
  </si>
  <si>
    <t>4456</t>
  </si>
  <si>
    <t>4457</t>
  </si>
  <si>
    <t>4458</t>
  </si>
  <si>
    <t>4460</t>
  </si>
  <si>
    <t>4462</t>
  </si>
  <si>
    <t>4463</t>
  </si>
  <si>
    <t>4464</t>
  </si>
  <si>
    <t>4466</t>
  </si>
  <si>
    <t>4468</t>
  </si>
  <si>
    <t>4469</t>
  </si>
  <si>
    <t>4470</t>
  </si>
  <si>
    <t>4471</t>
  </si>
  <si>
    <t>4472</t>
  </si>
  <si>
    <t>4474</t>
  </si>
  <si>
    <t>4475</t>
  </si>
  <si>
    <t>4491</t>
  </si>
  <si>
    <t>4494</t>
  </si>
  <si>
    <t>4500</t>
  </si>
  <si>
    <t>4501</t>
  </si>
  <si>
    <t>4502</t>
  </si>
  <si>
    <t>4503</t>
  </si>
  <si>
    <t>4505</t>
  </si>
  <si>
    <t>4506</t>
  </si>
  <si>
    <t>4507</t>
  </si>
  <si>
    <t>4508</t>
  </si>
  <si>
    <t>4509</t>
  </si>
  <si>
    <t>4510</t>
  </si>
  <si>
    <t>4511</t>
  </si>
  <si>
    <t>4512</t>
  </si>
  <si>
    <t>4513</t>
  </si>
  <si>
    <t>4514</t>
  </si>
  <si>
    <t>4515</t>
  </si>
  <si>
    <t>4516</t>
  </si>
  <si>
    <t>4517</t>
  </si>
  <si>
    <t>4518</t>
  </si>
  <si>
    <t>4519</t>
  </si>
  <si>
    <t>4521</t>
  </si>
  <si>
    <t>4523</t>
  </si>
  <si>
    <t>4524</t>
  </si>
  <si>
    <t>4525</t>
  </si>
  <si>
    <t>4526</t>
  </si>
  <si>
    <t>4527</t>
  </si>
  <si>
    <t>4528</t>
  </si>
  <si>
    <t>4529</t>
  </si>
  <si>
    <t>4530</t>
  </si>
  <si>
    <t>4531</t>
  </si>
  <si>
    <t>4532</t>
  </si>
  <si>
    <t>4533</t>
  </si>
  <si>
    <t>4534</t>
  </si>
  <si>
    <t>4535</t>
  </si>
  <si>
    <t>4536</t>
  </si>
  <si>
    <t>4537</t>
  </si>
  <si>
    <t>4538</t>
  </si>
  <si>
    <t>4539</t>
  </si>
  <si>
    <t>4541</t>
  </si>
  <si>
    <t>4542</t>
  </si>
  <si>
    <t>4543</t>
  </si>
  <si>
    <t>4544</t>
  </si>
  <si>
    <t>4545</t>
  </si>
  <si>
    <t>4546</t>
  </si>
  <si>
    <t>4547</t>
  </si>
  <si>
    <t>4549</t>
  </si>
  <si>
    <t>4550</t>
  </si>
  <si>
    <t>4552</t>
  </si>
  <si>
    <t>4554</t>
  </si>
  <si>
    <t>4555</t>
  </si>
  <si>
    <t>4556</t>
  </si>
  <si>
    <t>4557</t>
  </si>
  <si>
    <t>4558</t>
  </si>
  <si>
    <t>4560</t>
  </si>
  <si>
    <t>4561</t>
  </si>
  <si>
    <t>4562</t>
  </si>
  <si>
    <t>4563</t>
  </si>
  <si>
    <t>4569</t>
  </si>
  <si>
    <t>4570</t>
  </si>
  <si>
    <t>4573</t>
  </si>
  <si>
    <t>4574</t>
  </si>
  <si>
    <t>4580</t>
  </si>
  <si>
    <t>4581</t>
  </si>
  <si>
    <t>4582</t>
  </si>
  <si>
    <t>4585</t>
  </si>
  <si>
    <t>4586</t>
  </si>
  <si>
    <t>4587</t>
  </si>
  <si>
    <t>4588</t>
  </si>
  <si>
    <t>4590</t>
  </si>
  <si>
    <t>4591</t>
  </si>
  <si>
    <t>4592</t>
  </si>
  <si>
    <t>4594</t>
  </si>
  <si>
    <t>4596</t>
  </si>
  <si>
    <t>4597</t>
  </si>
  <si>
    <t>4598</t>
  </si>
  <si>
    <t>4601</t>
  </si>
  <si>
    <t>4602</t>
  </si>
  <si>
    <t>4603</t>
  </si>
  <si>
    <t>4610</t>
  </si>
  <si>
    <t>4611</t>
  </si>
  <si>
    <t>4612</t>
  </si>
  <si>
    <t>4613</t>
  </si>
  <si>
    <t>4718</t>
  </si>
  <si>
    <t>4720</t>
  </si>
  <si>
    <t>4721</t>
  </si>
  <si>
    <t>4726</t>
  </si>
  <si>
    <t>4727</t>
  </si>
  <si>
    <t>4728</t>
  </si>
  <si>
    <t>4754</t>
  </si>
  <si>
    <t>4823</t>
  </si>
  <si>
    <t>52-63-ZU</t>
  </si>
  <si>
    <t>52-64-ZU</t>
  </si>
  <si>
    <t>52-66-ZU</t>
  </si>
  <si>
    <t>09-FR-39</t>
  </si>
  <si>
    <t>39-NH-33</t>
  </si>
  <si>
    <t>85-90-HM</t>
  </si>
  <si>
    <t>RRR00384</t>
  </si>
  <si>
    <t>K50037</t>
  </si>
  <si>
    <t>Scope</t>
  </si>
  <si>
    <t>A1.1</t>
  </si>
  <si>
    <t>A1.2</t>
  </si>
  <si>
    <t>A1.3</t>
  </si>
  <si>
    <t>A1.4</t>
  </si>
  <si>
    <t>Isidoro Duarte, S.A.</t>
  </si>
  <si>
    <t>Ligeiro de Passageiros M1: Geral : Gasóleo : Geral</t>
  </si>
  <si>
    <t>Pesado de Passageiros M1: Geral : Gasóleo : Geral</t>
  </si>
  <si>
    <t>Pesado de Passageiros M3: III : Gasóleo : E3</t>
  </si>
  <si>
    <t>Viatura Serviço</t>
  </si>
  <si>
    <t>Apoio Oficina</t>
  </si>
  <si>
    <t>Barraqueiro SGPS, S.A.</t>
  </si>
  <si>
    <t>Misto</t>
  </si>
  <si>
    <t>HPGB, SGPS, S.A.</t>
  </si>
  <si>
    <t>Viatura de Serviço</t>
  </si>
  <si>
    <t>Ano Fabrico</t>
  </si>
  <si>
    <t>Norma Emissões</t>
  </si>
  <si>
    <t>Preço Unit max. ~1,97€</t>
  </si>
  <si>
    <t>Gerador Emergência, Empilhadores e equipamentos de lavagem</t>
  </si>
  <si>
    <t>Aquecimento água refeitório e balneários</t>
  </si>
  <si>
    <t>Estufas</t>
  </si>
  <si>
    <t>Geradores</t>
  </si>
  <si>
    <t>GPL</t>
  </si>
  <si>
    <t>1.027 euro</t>
  </si>
  <si>
    <t>Aquecimento da estufa</t>
  </si>
  <si>
    <t>Aquecimento Estufa</t>
  </si>
  <si>
    <t>Refeitório</t>
  </si>
  <si>
    <t>Roçadora/ corta relva</t>
  </si>
  <si>
    <t>Empilhadores</t>
  </si>
  <si>
    <t>Fonte FE</t>
  </si>
  <si>
    <t>DEFRA:2022</t>
  </si>
  <si>
    <t>AC Estacionários</t>
  </si>
  <si>
    <t>Viseu</t>
  </si>
  <si>
    <t>Évora</t>
  </si>
  <si>
    <t>Beja</t>
  </si>
  <si>
    <t>Portalegre</t>
  </si>
  <si>
    <t>Santiago do Cacém</t>
  </si>
  <si>
    <t>Faro</t>
  </si>
  <si>
    <t>Albufeira-Ferreiras</t>
  </si>
  <si>
    <t>Portimão</t>
  </si>
  <si>
    <t>Vila Real Santo António</t>
  </si>
  <si>
    <t>Queluz de Baixo</t>
  </si>
  <si>
    <t>Póoa da Galega</t>
  </si>
  <si>
    <t>Caneças</t>
  </si>
  <si>
    <t>Sta. Iria de Azoia</t>
  </si>
  <si>
    <t>vários</t>
  </si>
  <si>
    <t>Folha de Compra enviada para APA.</t>
  </si>
  <si>
    <t>Equipamento Frio Estacionário</t>
  </si>
  <si>
    <t>Vala do Carregado</t>
  </si>
  <si>
    <t>Escritório P. Alto</t>
  </si>
  <si>
    <t>20 equipamentos / Gás tipo R22</t>
  </si>
  <si>
    <t>1 equipamento / Gás tipo R32</t>
  </si>
  <si>
    <t>16 equipamentos / Gás tipo R22</t>
  </si>
  <si>
    <t>13 equipamentos / Gás tipo R410A</t>
  </si>
  <si>
    <t>15 equipamentos / Gás tipo R134A</t>
  </si>
  <si>
    <t>IPCC AR</t>
  </si>
  <si>
    <t>Rodoviária do Tejo</t>
  </si>
  <si>
    <t>Janeiro</t>
  </si>
  <si>
    <t>Fevereiro</t>
  </si>
  <si>
    <t>Março</t>
  </si>
  <si>
    <t>Abril</t>
  </si>
  <si>
    <t>Maio</t>
  </si>
  <si>
    <t>Junho</t>
  </si>
  <si>
    <t>Julho</t>
  </si>
  <si>
    <t>Agosto</t>
  </si>
  <si>
    <t>Setembro</t>
  </si>
  <si>
    <t>Outubro</t>
  </si>
  <si>
    <t>Novembro</t>
  </si>
  <si>
    <t>Dezembro</t>
  </si>
  <si>
    <t>Falta apurar oficinas de Évora (faturados por Frotimo).</t>
  </si>
  <si>
    <t>Inclui carregamento de 15 viaturas elétricas (10-Vai e Vem e 5-Giro) a partir de setembro</t>
  </si>
  <si>
    <t>Consumo 17 dez a 31 dez 2021 | FATURA Nº FT2022 34/340003220813</t>
  </si>
  <si>
    <t>Consumo 1 jan a 16 jan 2022 | FATURA Nº FT2022 34/340003220813</t>
  </si>
  <si>
    <t>Consumo 18 jan a 16 fev 2022 | FATURA Nº FT2022 34/340007066211</t>
  </si>
  <si>
    <t>Consumo 17 fev a 16 mar 2022 | FATURA Nº FT2022 34/340011458687</t>
  </si>
  <si>
    <t>Consumo 17 mar a 16 abr 2022 | FATURA Nº FT2022 34/340015914610</t>
  </si>
  <si>
    <t>Consumo 17 abr a 16 mai 2022 | FATURA Nº FT2022 34/340020378271</t>
  </si>
  <si>
    <t>Consumo 17 mai a 16 jun 2022 | FATURA Nº FT2022 34/340024705338</t>
  </si>
  <si>
    <t>Consumo 17 jun a 16 jul 2022 | FATURA Nº FT2022 34/340029145663</t>
  </si>
  <si>
    <t>Consumo 17 jul a 16 ago 2022 | FATURA Nº FT2022 34/340033730599</t>
  </si>
  <si>
    <t>Consumo 17 ago a 16 set 2022 | Fatura nº FT2022 34/340038314462</t>
  </si>
  <si>
    <t>Consumo 17 set a 16 out 2022 | Fatura nº FT2022 34/340041575431</t>
  </si>
  <si>
    <t>Consumo 17 out a 16 nov 2022 | Fatura nº FT2022 34/340047305532</t>
  </si>
  <si>
    <t>Consumo 17 nov a 16 dez 2022 | Fatura nº FT2022 34/340051654531</t>
  </si>
  <si>
    <t>Faturas e Mapa de monitorização</t>
  </si>
  <si>
    <t>jan a dez 2022</t>
  </si>
  <si>
    <t>LOJA PRAÇA AFONSO DO PAÇO</t>
  </si>
  <si>
    <t>QUINTA DO SACOUTO</t>
  </si>
  <si>
    <t>CAMPO GRANDE 392 C 3º A</t>
  </si>
  <si>
    <t>MONTE DOS CACHOPOS</t>
  </si>
  <si>
    <t>EDIFICIO CAMPO GRANDE - SGPS</t>
  </si>
  <si>
    <t xml:space="preserve">EDIFICIO FRIELAS </t>
  </si>
  <si>
    <t>EDIFICIO PORTO ALTO - ATLANTIC</t>
  </si>
  <si>
    <t>LOJA AVEIRO</t>
  </si>
  <si>
    <t>GARAGEM FRIELAS - BT</t>
  </si>
  <si>
    <t>EDIFICIO CACEM</t>
  </si>
  <si>
    <t>VALA CARREGADO - RODOCARGO</t>
  </si>
  <si>
    <t>EDIFICIO OLIVAL BASTO - BT</t>
  </si>
  <si>
    <t>LOJA CAMPO GRANDE - BT</t>
  </si>
  <si>
    <t>MAIA I</t>
  </si>
  <si>
    <t>MAIA II</t>
  </si>
  <si>
    <t>INSTALAÇÕES CANEÇAS</t>
  </si>
  <si>
    <t>INSTALAÇÕES BUCELAS</t>
  </si>
  <si>
    <t>SANTA IRIA DE AZOIA</t>
  </si>
  <si>
    <t>SACAVEM E PRIOR VELHO</t>
  </si>
  <si>
    <t>PORTIMÃO</t>
  </si>
  <si>
    <t>EDIFICIO ESEVEL - BT</t>
  </si>
  <si>
    <t>QUINTA DOS ALCOUTINS - R/C DRT</t>
  </si>
  <si>
    <t>QUINTA DO PINHEIRO</t>
  </si>
  <si>
    <t>HERDADE DA CAIADA</t>
  </si>
  <si>
    <t>IMOVEL ÉVORA</t>
  </si>
  <si>
    <t>EDIFICIO CAMPO GRANDE - 1º A</t>
  </si>
  <si>
    <t>EDIFICIO CAMPO GRANDE - 1º B</t>
  </si>
  <si>
    <t>GARAGEM GUERREIROS</t>
  </si>
  <si>
    <t>TERRENO SÃO DOMINGOS DE RANA</t>
  </si>
  <si>
    <t>LOJA AREIAS DE SÃO JOÃO</t>
  </si>
  <si>
    <t>EDIFICIO CAMARATE</t>
  </si>
  <si>
    <t>TERRENO SETUBAL (SAPEC)</t>
  </si>
  <si>
    <t>VIVENDA HERDADE DOS SALGADOS</t>
  </si>
  <si>
    <t>VIVENDA AGUALVA CACÉM</t>
  </si>
  <si>
    <t>ANDAR CASAL RIBEIRO, 44</t>
  </si>
  <si>
    <t>ANDAR RUA FERNANDO LOPES, 3 a 15</t>
  </si>
  <si>
    <t>Loja Albufeira</t>
  </si>
  <si>
    <t>EDP</t>
  </si>
  <si>
    <t xml:space="preserve">EDP </t>
  </si>
  <si>
    <t>Naturgy</t>
  </si>
  <si>
    <t>Fonte MB</t>
  </si>
  <si>
    <t>EDP Empresas</t>
  </si>
  <si>
    <t>GN</t>
  </si>
  <si>
    <t>aux</t>
  </si>
  <si>
    <t>aux2</t>
  </si>
  <si>
    <t>ABA - Autocarros do Baixo Alentejo, S.A.</t>
  </si>
  <si>
    <t>TAA - Transportes do Alto Alentejo, S.A.</t>
  </si>
  <si>
    <t>TAC - Transportes do Alentejo Central, S.A.</t>
  </si>
  <si>
    <t>TRE - Transportes Rodoviários de Évora, S.A.</t>
  </si>
  <si>
    <t>não temos nenhum estudo que indique a viagem média dos colaboradores</t>
  </si>
  <si>
    <t>Deslocações casa-trabalho-casa (motoristas)</t>
  </si>
  <si>
    <t>Deslocações casa-trabalho-casa (oficina)</t>
  </si>
  <si>
    <t>Deslocações viatura serviço (oficina)</t>
  </si>
  <si>
    <t>Deslocações casa-trabalho-casa (escritório)</t>
  </si>
  <si>
    <t>Deslocações viatura serviço (escritório incl. AD)</t>
  </si>
  <si>
    <t>AS400 O peso das deslocações pendulares em viatura de serviço residual e desprezada
22,66  - media de km dos 504 colab. Casa-trab-casa</t>
  </si>
  <si>
    <t>FE PC2022; Fonte CG GB. Não há deslocações pendulares em viatura de serviço</t>
  </si>
  <si>
    <t>Não existem colaboradores com viaturas ligeiras de serviço ou veiculo de trabalho</t>
  </si>
  <si>
    <t xml:space="preserve"> Fonte Controlo Gestão . O peso das deslocações pendulares em viatura de serviço residual e desprezada</t>
  </si>
  <si>
    <t>O peso das deslocações pendulares em viatura de serviço residual e desprezada. 
Não existem dados referentes à mobilidade dos colaboradores.</t>
  </si>
  <si>
    <t>Universo GB: PC2021</t>
  </si>
  <si>
    <t>PXM - Transportes Rodoviários Urbanos Faro</t>
  </si>
  <si>
    <t>Antes da descarga passa por separador HC</t>
  </si>
  <si>
    <t>Consumo médio diário 156L x 365 Dias | Faturanº 202201782580 de 02.08.2022</t>
  </si>
  <si>
    <t>Em fase de encaminhamento - projeto de separação de águas domésticas e pluviais.</t>
  </si>
  <si>
    <t>Ligeiro Passageiros</t>
  </si>
  <si>
    <t>Hibrido ICE Gasóleo Plug-In</t>
  </si>
  <si>
    <t>BMW Touring</t>
  </si>
  <si>
    <t>Temsa (usadas)</t>
  </si>
  <si>
    <t>Usadas</t>
  </si>
  <si>
    <t>Mercedes Intouro (usadas)</t>
  </si>
  <si>
    <t>ZHONG TONG - Elétricas</t>
  </si>
  <si>
    <t>MERCEDES - VITO TOURER</t>
  </si>
  <si>
    <t>RENAULT JL</t>
  </si>
  <si>
    <t>Usados</t>
  </si>
  <si>
    <t>Hibrido</t>
  </si>
  <si>
    <t>3 (comprada dentro do grupo)</t>
  </si>
  <si>
    <t>5 (comprada dentro do grupo)</t>
  </si>
  <si>
    <t>Giro</t>
  </si>
  <si>
    <t>Vai e Vem</t>
  </si>
  <si>
    <t>Usada</t>
  </si>
  <si>
    <t>Autocarro Urbano Midi</t>
  </si>
  <si>
    <t>BEV</t>
  </si>
  <si>
    <t>Autocarro Urbano Std</t>
  </si>
  <si>
    <t>Componentes/Peças</t>
  </si>
  <si>
    <t>Plásticos</t>
  </si>
  <si>
    <t xml:space="preserve">     Peças e Sobressalentes:      - Para Motor (6121111</t>
  </si>
  <si>
    <t xml:space="preserve">     Peças e Sobressalentes:      - Para Direcção Eixos e Travões (6121112)</t>
  </si>
  <si>
    <t xml:space="preserve">     Peças e Sobressalentes:      - Para Transmissão (6121113)</t>
  </si>
  <si>
    <t xml:space="preserve">     Peças e Sobressalentes:      - Para Suspensão (6121114)</t>
  </si>
  <si>
    <t xml:space="preserve">     Peças e Sobressalentes:      - Para Alim. Motor (6121115)</t>
  </si>
  <si>
    <t xml:space="preserve">     Peças e Sobressalentes:      - Para Compressor (6121116)</t>
  </si>
  <si>
    <t xml:space="preserve">     Peças e Sobressalentes:      - Para Sistema Electrico (6121117)</t>
  </si>
  <si>
    <t xml:space="preserve">     Peças e Sobressalentes:      - Outros (6121199)</t>
  </si>
  <si>
    <t xml:space="preserve">     Peças e Sobressalentes:      - Peças e Sobress. p/ V. Explor.  (62261111</t>
  </si>
  <si>
    <t xml:space="preserve">     Materiais p/ Carroçarias (61+62):      - Vidros (6122113</t>
  </si>
  <si>
    <t xml:space="preserve">     Materiais p/ Carroçarias (61+62):      - Produtos Quimicos e Tintas (6122115</t>
  </si>
  <si>
    <t xml:space="preserve">     Materiais p/ Carroçarias (61+62):      - Acess. p/ Carroçarias  (6122214/62261112</t>
  </si>
  <si>
    <t xml:space="preserve">     Materiais p/ Carroçarias (61+62):      - Outros Mater. p/ Carroçarias  (61212xx+6122111/ 4/ 6/ 99/6122212/+213/6231)</t>
  </si>
  <si>
    <t xml:space="preserve">     Outros Custos de Conserv. Reparação::      - Material Eléctrico (6122211)</t>
  </si>
  <si>
    <t xml:space="preserve">     Outros Custos de Conserv. Reparação::      - Material Limpeza Viaturas (6122215</t>
  </si>
  <si>
    <t xml:space="preserve">     Outros Custos de Conserv. Reparação::      - Baterias (612314/.6226131</t>
  </si>
  <si>
    <t xml:space="preserve">     Outros Custos de Conserv. Reparação::      - Mater. Ofic. Cons. Corrente (62261115</t>
  </si>
  <si>
    <t>Motor</t>
  </si>
  <si>
    <t>Direcção, eixos e travões</t>
  </si>
  <si>
    <t>Transmissão</t>
  </si>
  <si>
    <t>Suspensão</t>
  </si>
  <si>
    <t>Alimentação do motor</t>
  </si>
  <si>
    <t>Compressor</t>
  </si>
  <si>
    <t>Sistema elétrico</t>
  </si>
  <si>
    <t>Material de rádio e televisão</t>
  </si>
  <si>
    <t>Limpa vidros</t>
  </si>
  <si>
    <t>Aparelhos sonoros</t>
  </si>
  <si>
    <t>Tacog.e contad.de combustível</t>
  </si>
  <si>
    <t>Madeiras e derivados</t>
  </si>
  <si>
    <t>Produtos químicos e tintas</t>
  </si>
  <si>
    <t>Material de revestimentos</t>
  </si>
  <si>
    <t>Material elétrico</t>
  </si>
  <si>
    <t>Material de soldadura</t>
  </si>
  <si>
    <t>Ferragens</t>
  </si>
  <si>
    <t>Acessórios de carrocaria</t>
  </si>
  <si>
    <t>Material de limpeza de viaturas</t>
  </si>
  <si>
    <t>Ferram.e utens.de desg.rápido</t>
  </si>
  <si>
    <t>Óleos</t>
  </si>
  <si>
    <t>Massas lubrificantes</t>
  </si>
  <si>
    <t>Pneumáticos novos</t>
  </si>
  <si>
    <t>Pneus rechapados</t>
  </si>
  <si>
    <t>Carcaças rechapadas</t>
  </si>
  <si>
    <t>Adblue</t>
  </si>
  <si>
    <t>Fardamentos e equipam.individuais</t>
  </si>
  <si>
    <t>Artigos de higiene e conforto</t>
  </si>
  <si>
    <t>Rodoviária do Alentejo</t>
  </si>
  <si>
    <t>Serviço Manutenção</t>
  </si>
  <si>
    <t>anel ved., camara ar, corr. a/c, corr alternador, manga borracha, mangueira, tubo borracha, vedação, oring, retentor</t>
  </si>
  <si>
    <t>diafragma, jg. Escovas, J pinça e valv. travão</t>
  </si>
  <si>
    <t>filtro ar</t>
  </si>
  <si>
    <t>caixas cartão escritório</t>
  </si>
  <si>
    <t>lâmpadas, blocos tomadas, aspirador, aparafu., carregador, cabos condutores, elétrodos, fichas, fusíveis, gambiarras, sensores, terminais, rele</t>
  </si>
  <si>
    <t>pórtico lavagem, PT</t>
  </si>
  <si>
    <t>Docking Station, eq. Embarcados, Switch, rato, patch</t>
  </si>
  <si>
    <t xml:space="preserve">agrafador, argolas, bolsas A4/A5, elásticos, etiquetas </t>
  </si>
  <si>
    <t>componente viaturas</t>
  </si>
  <si>
    <t xml:space="preserve">garrafas água </t>
  </si>
  <si>
    <t>aglomerado, cabo madeira, contraplacado , MDF</t>
  </si>
  <si>
    <t>adaptador, afinador agrafes, alicates, amortecedor, anilhas, barra de ferro, bobine, braçadeira zinco, radiador, buzina, cabo, caixa ferramentas, canhão, cantoneira, casq barra estab., cavilhas, chapa de cobertura, chapa freio, chapa matricula, chaves, corpo joelho, disco travão, esfera, dobradiça, fechadura, fecho tampa motor, junta, lamela, molas, parafusos, pinças, porcas, rolamento, suportes espelho, tornilho, tubo adm., união rápida, válvulas, etc., caliper, casquilho, chaveta embraiagem, filtros óleo e gasóleo.</t>
  </si>
  <si>
    <t>Chapas e tubos alumínio</t>
  </si>
  <si>
    <t>alternador, apoio barra , apoio motor, automático pisca, Jg juntas, jg maxilas travão, kit peças, sinoblocos, pistola ar e adblue, tubo travão, ventilador</t>
  </si>
  <si>
    <t>anilha cobre, cabo com cobre</t>
  </si>
  <si>
    <t>discos de corte e de lixa, têxtil e napa, mascara pintura</t>
  </si>
  <si>
    <t>envelopes, fita de papel, papel isolante, papel de limpeza, rolos de papel mascarado</t>
  </si>
  <si>
    <t xml:space="preserve">anilha, basem botões caixas, calha, conector, perfis, tampas  da água, tampa óleo, tampa radiador, tubos, ventoinhas, </t>
  </si>
  <si>
    <t>perfil gasóleo</t>
  </si>
  <si>
    <t xml:space="preserve">abraçadeiras </t>
  </si>
  <si>
    <t>sacos plástico</t>
  </si>
  <si>
    <t>chapa matricula, acrílicos</t>
  </si>
  <si>
    <t>farol, farolim</t>
  </si>
  <si>
    <t>espumas esponjas</t>
  </si>
  <si>
    <t xml:space="preserve">vinil, autocolante, sinalética </t>
  </si>
  <si>
    <t>tubos plástico rígido</t>
  </si>
  <si>
    <t xml:space="preserve">tintas, anticongelante, betume, acelerador, colas, diluente, endurecedor, esmalte, massa mãos, massa lubrifica, massa reparação, produtos de limpeza </t>
  </si>
  <si>
    <t xml:space="preserve">Assistência técnica </t>
  </si>
  <si>
    <t xml:space="preserve">Manutenção extintores </t>
  </si>
  <si>
    <t>reparação PSU</t>
  </si>
  <si>
    <t>Reparação de componente de viaturas</t>
  </si>
  <si>
    <t>Vicauto</t>
  </si>
  <si>
    <t>Ignipeças</t>
  </si>
  <si>
    <t>Wurth</t>
  </si>
  <si>
    <t>12V 22Ah</t>
  </si>
  <si>
    <t>Alcabideche</t>
  </si>
  <si>
    <t>Penafiel</t>
  </si>
  <si>
    <t>Malveira</t>
  </si>
  <si>
    <t>Belas</t>
  </si>
  <si>
    <t>Alcochete</t>
  </si>
  <si>
    <t>Castanheira do Ribatejo</t>
  </si>
  <si>
    <t>Loures</t>
  </si>
  <si>
    <t>São João da Talha</t>
  </si>
  <si>
    <t>Sacavém</t>
  </si>
  <si>
    <t>Damaia</t>
  </si>
  <si>
    <t>Porto Salvo</t>
  </si>
  <si>
    <t>Benfica</t>
  </si>
  <si>
    <t>Maia</t>
  </si>
  <si>
    <t>Abrunheira</t>
  </si>
  <si>
    <t>GSProtyres</t>
  </si>
  <si>
    <t>Armazém</t>
  </si>
  <si>
    <t>1x semana (entregas)</t>
  </si>
  <si>
    <t>Nortenha</t>
  </si>
  <si>
    <t>RSM Recauchutagem São Mamede</t>
  </si>
  <si>
    <t>2 x mês (entregas)</t>
  </si>
  <si>
    <t>Expopneu</t>
  </si>
  <si>
    <t>BRIDGESTONE</t>
  </si>
  <si>
    <t>Exide</t>
  </si>
  <si>
    <t>fabrica</t>
  </si>
  <si>
    <t>Tecniamper</t>
  </si>
  <si>
    <t xml:space="preserve">baterias tacógrafos </t>
  </si>
  <si>
    <t>NASACAR</t>
  </si>
  <si>
    <t>deslocações diárias</t>
  </si>
  <si>
    <t>MotorBus</t>
  </si>
  <si>
    <t>1x semana</t>
  </si>
  <si>
    <t>Suripeças</t>
  </si>
  <si>
    <t>Riluber</t>
  </si>
  <si>
    <t>3 x semana</t>
  </si>
  <si>
    <t xml:space="preserve">Cin </t>
  </si>
  <si>
    <t>loja</t>
  </si>
  <si>
    <t>tintas (recolha em loja 2 x mês)</t>
  </si>
  <si>
    <t>tintas (entrega fornecedor 3 x mês)</t>
  </si>
  <si>
    <t>Elefer</t>
  </si>
  <si>
    <t>MPCD</t>
  </si>
  <si>
    <t>km</t>
  </si>
  <si>
    <t>Consumíveis e ferramentas  (entregas 2 x semana</t>
  </si>
  <si>
    <t>Consumíveis e ferramenta entregas 2 x semana</t>
  </si>
  <si>
    <t>FE</t>
  </si>
  <si>
    <t>DEFRA: tonne.km</t>
  </si>
  <si>
    <t>APA: Ligeiro de Mercadorias N1: Geral : Gasóleo : Geral</t>
  </si>
  <si>
    <t>Civipartes</t>
  </si>
  <si>
    <t>GoodYear</t>
  </si>
  <si>
    <t>295/80r22.5</t>
  </si>
  <si>
    <t>Leiria</t>
  </si>
  <si>
    <t>bateria 215Ah</t>
  </si>
  <si>
    <t>bateria 180Ah</t>
  </si>
  <si>
    <t>EXIDE</t>
  </si>
  <si>
    <t>bateria 95Ah</t>
  </si>
  <si>
    <t>bateria 120Ah</t>
  </si>
  <si>
    <t>bateria 110Ah</t>
  </si>
  <si>
    <t>Centro de estudos de Fátima</t>
  </si>
  <si>
    <t>Alfredo Galinha</t>
  </si>
  <si>
    <t>Frota Azul</t>
  </si>
  <si>
    <t>Atlantic Cargo</t>
  </si>
  <si>
    <t>Marques</t>
  </si>
  <si>
    <t>Rodoviária D'Entre Douro e Minho</t>
  </si>
  <si>
    <t>15 AUTOCARROS  VFV ( Veículos Fim de Vida)</t>
  </si>
  <si>
    <t>AMBIGROUP</t>
  </si>
  <si>
    <t>Outro</t>
  </si>
  <si>
    <t>Cartão Navegante (plást. PVC + chip)</t>
  </si>
  <si>
    <t>Óleos e Aditivos</t>
  </si>
  <si>
    <t>Vimeca Transportes, Lda.</t>
  </si>
  <si>
    <t>óleo</t>
  </si>
  <si>
    <t>adblue</t>
  </si>
  <si>
    <t>Ferram.e utens.de desg. Rapido</t>
  </si>
  <si>
    <t>Material de expediente</t>
  </si>
  <si>
    <t>Bilhetes e senhas de despacho</t>
  </si>
  <si>
    <t>Fardamentos e equipamento individual</t>
  </si>
  <si>
    <t>291,81 euro</t>
  </si>
  <si>
    <t>156,23 euro</t>
  </si>
  <si>
    <t>54,29 euro</t>
  </si>
  <si>
    <t>32,28 euro</t>
  </si>
  <si>
    <t>349,90 euro</t>
  </si>
  <si>
    <t>9,6 euro</t>
  </si>
  <si>
    <t>7,75 euro</t>
  </si>
  <si>
    <t>223,03 euro</t>
  </si>
  <si>
    <t>537,13 euro</t>
  </si>
  <si>
    <t>1598,89 euro</t>
  </si>
  <si>
    <t>2130,55 euro</t>
  </si>
  <si>
    <t>70514,58 euro</t>
  </si>
  <si>
    <t>890,08 euro</t>
  </si>
  <si>
    <t>5,39 euro</t>
  </si>
  <si>
    <t>EVB, Lda</t>
  </si>
  <si>
    <t>Não Especificada</t>
  </si>
  <si>
    <t>Transdev, S. A.</t>
  </si>
  <si>
    <t>ModernSelect.Travel/Perfeito 100 Pressa - Algarve Transfers</t>
  </si>
  <si>
    <t>Transviagens - Transporte em Autocarros, LDA</t>
  </si>
  <si>
    <t>Barraqueiro Transportes, SA</t>
  </si>
  <si>
    <t>Auto Bus Andalucia, S.L.</t>
  </si>
  <si>
    <t>Carga Geral Diversos</t>
  </si>
  <si>
    <t>MP TJBarroso</t>
  </si>
  <si>
    <t>HDV Articulated</t>
  </si>
  <si>
    <t>CG</t>
  </si>
  <si>
    <t>Valor médio km de 1,50€</t>
  </si>
  <si>
    <t>CO Consolidado 2022</t>
  </si>
  <si>
    <t>Veículo</t>
  </si>
  <si>
    <t>Pesado de Passageiros M3: III : Gasóleo : Geral</t>
  </si>
  <si>
    <t>Pesado de Mercadorias N3: Geral : Gasóleo : Geral</t>
  </si>
  <si>
    <t>Componentes retirados de equipamento fora de uso não abrangidos em 16 02 15</t>
  </si>
  <si>
    <t xml:space="preserve">Monstros </t>
  </si>
  <si>
    <t>B.G.R. - Gestão de Residuos, Lda.</t>
  </si>
  <si>
    <t>GSPT - PNEUS E SERVIÇOS, S.A.</t>
  </si>
  <si>
    <t>SISAV- Sistema Integrado de Tratamento e Eliminação de Resíduos, SA</t>
  </si>
  <si>
    <t>EGEO - TECNOLOGIA E AMBIENTE, S.A.</t>
  </si>
  <si>
    <t>VIAPETRO, LDA</t>
  </si>
  <si>
    <t>Reboques Amadora, Lda.</t>
  </si>
  <si>
    <t>Correia &amp; Correia, Lda</t>
  </si>
  <si>
    <t>SAFETYKLEEN PORTUGAL-Solventes e Gestão de Resíduos, S.A.</t>
  </si>
  <si>
    <t>Activelabor-Comércio e Reciclagem de Metais, Lda</t>
  </si>
  <si>
    <t>Ecopegões Lda</t>
  </si>
  <si>
    <t>TRATRIS - Tratamento de Resíduos Industriais, S.A.</t>
  </si>
  <si>
    <t>080119</t>
  </si>
  <si>
    <t>130701</t>
  </si>
  <si>
    <t>150106</t>
  </si>
  <si>
    <t>160114</t>
  </si>
  <si>
    <t>SRI - GESTÃO DE RESIDUOS LDA</t>
  </si>
  <si>
    <t>TRIU, S.A.</t>
  </si>
  <si>
    <t>FVSA-Futuro Verde Soluções Ambientais Lda.</t>
  </si>
  <si>
    <t>JC Reciclagem, Lda</t>
  </si>
  <si>
    <t>Jorge &amp; Cortez Reciclagem de Ferros e Metais, Lda</t>
  </si>
  <si>
    <t>Rodoviária do Alentejo, S.A. - Ponte Sor (APA00067113)</t>
  </si>
  <si>
    <t>Rodoviária do Alentejo, S.A. - Portalegre (APA00066454)</t>
  </si>
  <si>
    <t>Transportes Central Pombalense, Lda (500490023)</t>
  </si>
  <si>
    <t>Pires &amp; Martins, Lda (507424883)</t>
  </si>
  <si>
    <t>Rodoviária do Alentejo, S.A.  - ZI Portalegre (APA08355203)</t>
  </si>
  <si>
    <t>Rodoviária do Alentejo, S.A. - Santiago do Cacém (APA00065050)</t>
  </si>
  <si>
    <t>Rodoviária do Alentejo, S.A. - Beja (APA00066322)</t>
  </si>
  <si>
    <t>Rodoviária do Alentejo, S.A. - Elvas (APA00066615)</t>
  </si>
  <si>
    <t>Rodoviária do Alentejo, S.A. - Évora (APA00162329)</t>
  </si>
  <si>
    <t>Rodoviária do Alentejo, S.A. - Odemira (APA00067277)</t>
  </si>
  <si>
    <t>191202</t>
  </si>
  <si>
    <t>150100</t>
  </si>
  <si>
    <t>200139</t>
  </si>
  <si>
    <t>130508</t>
  </si>
  <si>
    <t>Misturas de residuos provenientes de desarenadores e de separadores de óleo/água</t>
  </si>
  <si>
    <t>Ambigroup Reciclagem, S.A. (507168984)</t>
  </si>
  <si>
    <t>Rodoviária do Alentejo, S.A. (502522380)</t>
  </si>
  <si>
    <t>Ambigroup Residuos, S.A. (505371359)</t>
  </si>
  <si>
    <t>Carmona - Sociedade de limpeza e tratamento de combustiveis, S.A. (501741380)</t>
  </si>
  <si>
    <t>A.S.O.R. Unipessoal (506624471)</t>
  </si>
  <si>
    <t>Valorsines - Valorização e gestão de recicláveis, Lda. (506740447)</t>
  </si>
  <si>
    <t>SISAV - Sistema intergado de tratamento e eliminação de residuos, S.A. (507461150)</t>
  </si>
  <si>
    <t>SRE - Sociedade reciclagem de Évora Unipessoal, Lda (507322223)</t>
  </si>
  <si>
    <t>Eva Transportes, S.A.</t>
  </si>
  <si>
    <t>Carmona - Sociedade de Limpeza e Tratamento de Combustíveis, S.A. (501741380)</t>
  </si>
  <si>
    <t>Mistura de resíduoos urbanos e equiparados</t>
  </si>
  <si>
    <t>161002</t>
  </si>
  <si>
    <t>Resíduos liquidos aquosos não abrangidos em 16 10 01</t>
  </si>
  <si>
    <t>Absorventes materiais filtrantes (incluindo filtros de óleo sem outras especificações), panos de limpeza e vestuário de protecção, contaminados por substâncias perigosas.</t>
  </si>
  <si>
    <t>Borrachas contaminadas com óleo</t>
  </si>
  <si>
    <t>Calços travões</t>
  </si>
  <si>
    <t xml:space="preserve">Tinteiros e toners fora de uso </t>
  </si>
  <si>
    <t>Objetos cortantes e perfurantes Grupo IV</t>
  </si>
  <si>
    <t>Resíduos de enfermaria Grupo III</t>
  </si>
  <si>
    <t>Lâmpadas</t>
  </si>
  <si>
    <t>Embalagens de pape e cartão</t>
  </si>
  <si>
    <t>Absorventes, materiasi filtrantes, panos de limpeza e vestuário de proteção não abrangidos em 150202</t>
  </si>
  <si>
    <t>Tintas, produtos adesivos, colas e resinas, contendo substâncias perigosas</t>
  </si>
  <si>
    <t>Plasticos</t>
  </si>
  <si>
    <t>Gases em recipientes sob pressão (incluindo halons) contendo substâncias perigosas</t>
  </si>
  <si>
    <t>Misturas de betão, tijolos, ladrilhos, telhas e materiais cerâmicos, não abrangidas em 17 01 06</t>
  </si>
  <si>
    <t>Resíduos da limpeza de esgotos</t>
  </si>
  <si>
    <t>Metais não ferrosos</t>
  </si>
  <si>
    <t>Misturas betuminosas não abrangidas em 17 03 01</t>
  </si>
  <si>
    <t>Terras e pedras</t>
  </si>
  <si>
    <t>Misturas de resíduos provenientes de desarenadores e de separadores óleo/água</t>
  </si>
  <si>
    <t>Monstros</t>
  </si>
  <si>
    <t>Resíduos urbanos e equiparados, sem outras especificações</t>
  </si>
  <si>
    <t>Outros óleos de motores, transmissões e lubrificação</t>
  </si>
  <si>
    <t>Suspensões aquosas contendo tintas ou vernizes, contendo solventes orgânicos ou outras substâncias perigosas</t>
  </si>
  <si>
    <t>Fluidos anticongelantes contendo substâncias perigosas</t>
  </si>
  <si>
    <t>Misturas de embalagens</t>
  </si>
  <si>
    <t>Fuelóleo e gasóleo</t>
  </si>
  <si>
    <t>Equipamento fora de uso não abrangido em 16 02 09 a 16 02 13</t>
  </si>
  <si>
    <t>Ambigroup residuos, SA (505371359)</t>
  </si>
  <si>
    <t>Ambigroup residuos, SA (505371359) // Eva Transportes, S.A. (502536071)</t>
  </si>
  <si>
    <t>Eva Transportes, S.A. (502536071)</t>
  </si>
  <si>
    <t>Hidrohelp - Serviços Técnicos de Hidroaspiração, Lda. (515916030)</t>
  </si>
  <si>
    <t>Multi Triagem e Valorização de Resíduos, Lda. (507247620)</t>
  </si>
  <si>
    <t>ODAGROM LDA. (507504836)</t>
  </si>
  <si>
    <t>Magenthipótese, Lda. (510634893)</t>
  </si>
  <si>
    <t>ALGAR - Valorização e Tratamento de Resíduos Sólidos, SA (503600270)</t>
  </si>
  <si>
    <t>ESTEVAO &amp; COSTA-CONSTRUÇÃO OBRAS PUBLICAS E TRANSPORTES, Lda (503319481)</t>
  </si>
  <si>
    <t>SISAV- Sistema Integrado de Tratamento e Eliminação de Resíduos, SA (507461150)</t>
  </si>
  <si>
    <t>SAFETYKLEEN PORTUGAL-Solventes e Gestão de Resíduos, S.A. (502006994)</t>
  </si>
  <si>
    <t>RIBEIRO &amp; FILHOS - COMÉRCIO DE SUCATA, Lda. (503849146)</t>
  </si>
  <si>
    <t>Reboques Amadora, Lda. (504081349)</t>
  </si>
  <si>
    <t>ERCI-EMPRESA RECICLAGEM CONSUMIVEIS INFORMATICA, LDA (503350982)</t>
  </si>
  <si>
    <t>EXIDE TECHNOLOGIES, LDA (501672796)</t>
  </si>
  <si>
    <t>Rentokil Initial Portugal - Serviços Protecção Ambiental, Lda. (501351167)</t>
  </si>
  <si>
    <t>SISAV - Sistema Integrado Tratamento e Eliminação Resíduos SA ( 507461150</t>
  </si>
  <si>
    <t>Correia &amp; Correia Lda. (502069732)</t>
  </si>
  <si>
    <t>Ambipombal</t>
  </si>
  <si>
    <t>Silimpa</t>
  </si>
  <si>
    <t>Correia e Correia</t>
  </si>
  <si>
    <t>Transportes Central Pombalense</t>
  </si>
  <si>
    <t>RSA</t>
  </si>
  <si>
    <t>Francisco e Adelaide</t>
  </si>
  <si>
    <t>Alternativas a Granel</t>
  </si>
  <si>
    <t>A Neves Reboques Fátima</t>
  </si>
  <si>
    <t>Manuel Morgado</t>
  </si>
  <si>
    <t>Revalor</t>
  </si>
  <si>
    <t>Sisav</t>
  </si>
  <si>
    <t>EGEO</t>
  </si>
  <si>
    <t>Egeo</t>
  </si>
  <si>
    <t>208 litros</t>
  </si>
  <si>
    <t>16 m3</t>
  </si>
  <si>
    <t>Barraqueiro Transportes, S.A. - Barraqueiro Alugueres</t>
  </si>
  <si>
    <t>Exclusões</t>
  </si>
  <si>
    <t>Comentários</t>
  </si>
  <si>
    <t>Melhorias Futuras</t>
  </si>
  <si>
    <t>Descrição</t>
  </si>
  <si>
    <t>EVA: recolha de dados com referência à frota ativa a 31/12/2022    //   16 viaturas excluidas (elétricas)    
VIA PORTO: A ViaPorto não tem frota produtiva com emissões diretas associadas ao uso de combustivel. A frota é constituida por material circulante movido a energia eletrica.</t>
  </si>
  <si>
    <t>EVA: recolha de dados com referência à frota ativa a 31/12/2022    //   16 viaturas excluidas (elétricas)    
MARQUES: norma de emissões estimada</t>
  </si>
  <si>
    <t>A1.1.1</t>
  </si>
  <si>
    <t>Emissões associadas à combustão de combustíveis na frota produtiva (detalhe)</t>
  </si>
  <si>
    <t xml:space="preserve">Emissões diretas, associadas à combustão de combustíveis na frota produtiva (Uso de Combustíveis) </t>
  </si>
  <si>
    <t>VIA PORTO:  frota automovel constituida por: 6 viaturas de serviço (ligeiro passageiros_gasóleo); 6 viaturas de serviço (ligeiro mercadorias_gasóleo); 7 viaturas de função (ligeiro)</t>
  </si>
  <si>
    <t>Integrar com ERP</t>
  </si>
  <si>
    <t>4 viaturas de função</t>
  </si>
  <si>
    <t>3 viaturas de função</t>
  </si>
  <si>
    <t>L060</t>
  </si>
  <si>
    <t>L073</t>
  </si>
  <si>
    <t>L074</t>
  </si>
  <si>
    <t>L075</t>
  </si>
  <si>
    <t>L092</t>
  </si>
  <si>
    <t>L093</t>
  </si>
  <si>
    <t>L134</t>
  </si>
  <si>
    <t>L135</t>
  </si>
  <si>
    <t>L136</t>
  </si>
  <si>
    <t>L143</t>
  </si>
  <si>
    <t>L147</t>
  </si>
  <si>
    <t>L149</t>
  </si>
  <si>
    <t>L157</t>
  </si>
  <si>
    <t>L164</t>
  </si>
  <si>
    <t>L166</t>
  </si>
  <si>
    <t>L167</t>
  </si>
  <si>
    <t>L178</t>
  </si>
  <si>
    <t>L198</t>
  </si>
  <si>
    <t>L318</t>
  </si>
  <si>
    <t>L319</t>
  </si>
  <si>
    <t>L320</t>
  </si>
  <si>
    <t>L327</t>
  </si>
  <si>
    <t>L328</t>
  </si>
  <si>
    <t>L329</t>
  </si>
  <si>
    <t>L330</t>
  </si>
  <si>
    <t>L331</t>
  </si>
  <si>
    <t>L344</t>
  </si>
  <si>
    <t>L345</t>
  </si>
  <si>
    <t>L364</t>
  </si>
  <si>
    <t>L367</t>
  </si>
  <si>
    <t>L402</t>
  </si>
  <si>
    <t>L404</t>
  </si>
  <si>
    <t>L407</t>
  </si>
  <si>
    <t>L420</t>
  </si>
  <si>
    <t>L440</t>
  </si>
  <si>
    <t>L448</t>
  </si>
  <si>
    <t>L449</t>
  </si>
  <si>
    <t>L470</t>
  </si>
  <si>
    <t>L472</t>
  </si>
  <si>
    <t>L473</t>
  </si>
  <si>
    <t>L474</t>
  </si>
  <si>
    <t>L475</t>
  </si>
  <si>
    <t>L477</t>
  </si>
  <si>
    <t>L514</t>
  </si>
  <si>
    <t>L553</t>
  </si>
  <si>
    <t>L626</t>
  </si>
  <si>
    <t>L652</t>
  </si>
  <si>
    <t>L668</t>
  </si>
  <si>
    <t>L674</t>
  </si>
  <si>
    <t>L675</t>
  </si>
  <si>
    <t>L676</t>
  </si>
  <si>
    <t>L677</t>
  </si>
  <si>
    <t>L678</t>
  </si>
  <si>
    <t>L679</t>
  </si>
  <si>
    <t>L680</t>
  </si>
  <si>
    <t>L681</t>
  </si>
  <si>
    <t>L682</t>
  </si>
  <si>
    <t>L683</t>
  </si>
  <si>
    <t>L684</t>
  </si>
  <si>
    <t>L685</t>
  </si>
  <si>
    <t>L686</t>
  </si>
  <si>
    <t>L687</t>
  </si>
  <si>
    <t>L689</t>
  </si>
  <si>
    <t>L690</t>
  </si>
  <si>
    <t>L691</t>
  </si>
  <si>
    <t>L694</t>
  </si>
  <si>
    <t>L699</t>
  </si>
  <si>
    <t>L700</t>
  </si>
  <si>
    <t>L701</t>
  </si>
  <si>
    <t>L703</t>
  </si>
  <si>
    <t>L727</t>
  </si>
  <si>
    <t>L732</t>
  </si>
  <si>
    <t>L734</t>
  </si>
  <si>
    <t>L735</t>
  </si>
  <si>
    <t>L756</t>
  </si>
  <si>
    <t>L765</t>
  </si>
  <si>
    <t>L766</t>
  </si>
  <si>
    <t>L776</t>
  </si>
  <si>
    <t>L777</t>
  </si>
  <si>
    <t>L778</t>
  </si>
  <si>
    <t>L789</t>
  </si>
  <si>
    <t>L793</t>
  </si>
  <si>
    <t>L794</t>
  </si>
  <si>
    <t>L795</t>
  </si>
  <si>
    <t>AS37GC</t>
  </si>
  <si>
    <t>AS51GC</t>
  </si>
  <si>
    <t>AR94OC</t>
  </si>
  <si>
    <t>AR85OC</t>
  </si>
  <si>
    <t>AR03OD</t>
  </si>
  <si>
    <t>AR01OD</t>
  </si>
  <si>
    <t>AR19VA</t>
  </si>
  <si>
    <t>AR40VA</t>
  </si>
  <si>
    <t>AS11QD</t>
  </si>
  <si>
    <t>AS86OA</t>
  </si>
  <si>
    <t>AS71OA</t>
  </si>
  <si>
    <t>AS84OA</t>
  </si>
  <si>
    <t>AS08FQ</t>
  </si>
  <si>
    <t>AS95OA</t>
  </si>
  <si>
    <t>AL97VS</t>
  </si>
  <si>
    <t>AR74DA</t>
  </si>
  <si>
    <t>AR01HO</t>
  </si>
  <si>
    <t>AR95HN</t>
  </si>
  <si>
    <t>AR70EV</t>
  </si>
  <si>
    <t>AR91LX</t>
  </si>
  <si>
    <t>AR92GV</t>
  </si>
  <si>
    <t>AS84QZ</t>
  </si>
  <si>
    <t>AS67PP</t>
  </si>
  <si>
    <t>AS87QZ</t>
  </si>
  <si>
    <t>AS83PP</t>
  </si>
  <si>
    <t>AS18RO</t>
  </si>
  <si>
    <t>AS18UA</t>
  </si>
  <si>
    <t>AU74DS</t>
  </si>
  <si>
    <t>AU24HS</t>
  </si>
  <si>
    <t>AS88QZ</t>
  </si>
  <si>
    <t>AU85GM</t>
  </si>
  <si>
    <t>AU24FV</t>
  </si>
  <si>
    <t>AR85LX</t>
  </si>
  <si>
    <t>AR46ZS</t>
  </si>
  <si>
    <t>AS36CE</t>
  </si>
  <si>
    <t>AT77FZ</t>
  </si>
  <si>
    <t>AU68DS</t>
  </si>
  <si>
    <t>AS07UA</t>
  </si>
  <si>
    <t>AS27SN</t>
  </si>
  <si>
    <t>AS13UA</t>
  </si>
  <si>
    <t>AT58AJ</t>
  </si>
  <si>
    <t>AT63AJ</t>
  </si>
  <si>
    <t>AT14EM</t>
  </si>
  <si>
    <t>AT41DV</t>
  </si>
  <si>
    <t>11SZ07</t>
  </si>
  <si>
    <t>82PN93</t>
  </si>
  <si>
    <t>3147LC</t>
  </si>
  <si>
    <t>3151LC</t>
  </si>
  <si>
    <t>3143LC</t>
  </si>
  <si>
    <t>AB16EA</t>
  </si>
  <si>
    <t>52ZN58</t>
  </si>
  <si>
    <t>98ZO08</t>
  </si>
  <si>
    <t>64SN28</t>
  </si>
  <si>
    <t>12ST44</t>
  </si>
  <si>
    <t>12ST51</t>
  </si>
  <si>
    <t>21TG87</t>
  </si>
  <si>
    <t>95TN65</t>
  </si>
  <si>
    <t>95TN59</t>
  </si>
  <si>
    <t>95TN62</t>
  </si>
  <si>
    <t>95TN60</t>
  </si>
  <si>
    <t>95TN64</t>
  </si>
  <si>
    <t>15TX18</t>
  </si>
  <si>
    <t>15TX19</t>
  </si>
  <si>
    <t>68UF45</t>
  </si>
  <si>
    <t>50UC03</t>
  </si>
  <si>
    <t>04UF12</t>
  </si>
  <si>
    <t>04AB35</t>
  </si>
  <si>
    <t>04AB38</t>
  </si>
  <si>
    <t>5524PJ</t>
  </si>
  <si>
    <t>17RZ87</t>
  </si>
  <si>
    <t>26FD82</t>
  </si>
  <si>
    <t>3137XV</t>
  </si>
  <si>
    <t>6680ZR</t>
  </si>
  <si>
    <t>00JC55</t>
  </si>
  <si>
    <t>48VB90</t>
  </si>
  <si>
    <t>04VH65</t>
  </si>
  <si>
    <t>35VR50</t>
  </si>
  <si>
    <t>73ZE12</t>
  </si>
  <si>
    <t>71DN79</t>
  </si>
  <si>
    <t>80RS67</t>
  </si>
  <si>
    <t>18XN06</t>
  </si>
  <si>
    <t>79OT07</t>
  </si>
  <si>
    <t>32BO22</t>
  </si>
  <si>
    <t>05NC03</t>
  </si>
  <si>
    <t>19NC78</t>
  </si>
  <si>
    <t>No futuro deverão ser investigadas outras fontes, como por exemplo a estufa de Frielas cujo consumo de gasóleo é necessário incluir. 
Também o consumo de gás e gasóleo de empilhadores e máquinas de lavagem deverá passar a ser registado de forma detalhada.</t>
  </si>
  <si>
    <t>Integrar com ERP
Criar Ficheiro de Frota detalhado com caracterização detalhada</t>
  </si>
  <si>
    <t>Emissões associadas à combustão de combustíveis em equipamentos estacionários
Emissões associadas à combustão de combustíveis em equipamentos móveis</t>
  </si>
  <si>
    <t>Emissões associadas à combustão de combustíveis na frota não-produtiva</t>
  </si>
  <si>
    <t>não existiram abastecimentos em 2022</t>
  </si>
  <si>
    <t>Pintura de Veículos</t>
  </si>
  <si>
    <t>Pintura</t>
  </si>
  <si>
    <t>Emissões fugitivas de gases fluorados em equipamentos de climatização e frio</t>
  </si>
  <si>
    <t>Criação de um listagem/parque de unidades estacionárias e formulário para recolha e centralização da informação relativa à sua gestão e manutenção.
Automatização do apuramento das perdas/carregamentos por viatura com base nas respetivas folhas de obra.
RA: Os consumos da TREVO estão incluidos na Rodoviária do Alentejo,pois todas as operações de manutenção são realizadas pelas oficinas de Évora.
BT: Em apuramento os consumos/carregamento/fugas de gás refrigerante por viatura através das obras de manutenção. A aguardar dados STM. Os consumos da DT e Cityrama estam incluídos nos consumos internos da BT, pois estas operações são efetuadas na ESEVEL.</t>
  </si>
  <si>
    <t>Barraqueiro Transportes, S.A. - Mafrense</t>
  </si>
  <si>
    <t>Barraqueiro Transportes, S.A. - Estremadura</t>
  </si>
  <si>
    <t>Barraqueiro Transportes, S.A. - Frota Azul</t>
  </si>
  <si>
    <t>Barraqueiro Transportes, S.A. - Barraqueiro Oeste</t>
  </si>
  <si>
    <t>Barraqueiro Transportes, S.A. - Boa Viagem</t>
  </si>
  <si>
    <t>PXM - Transportes Rodoviários Urbanos de Faro, S.A.</t>
  </si>
  <si>
    <t>CGDP, S.A.</t>
  </si>
  <si>
    <t>EBGB, S.A.</t>
  </si>
  <si>
    <t>Barraqueiro Transportes, S.A. - Sede</t>
  </si>
  <si>
    <t>Barraqueiro Transportes, S.A. - Esevel</t>
  </si>
  <si>
    <t>R 407C</t>
  </si>
  <si>
    <t>R 410A</t>
  </si>
  <si>
    <t>R 417A</t>
  </si>
  <si>
    <t>Rede Metro e/ou escritórios DAP</t>
  </si>
  <si>
    <t>material circulante - frota EuroTram</t>
  </si>
  <si>
    <t>material circulante - TramTrain</t>
  </si>
  <si>
    <t>HFC-407c</t>
  </si>
  <si>
    <t>HFC-410a</t>
  </si>
  <si>
    <t>HFC-417a</t>
  </si>
  <si>
    <t>A2</t>
  </si>
  <si>
    <t>Iberdrola</t>
  </si>
  <si>
    <t>SU</t>
  </si>
  <si>
    <t>Endesa</t>
  </si>
  <si>
    <t>MT jul a dez 2022</t>
  </si>
  <si>
    <t>MT jan a dez 2022</t>
  </si>
  <si>
    <t>MT jan a jun 2022</t>
  </si>
  <si>
    <t>Iberdrola Genérica</t>
  </si>
  <si>
    <t>Emissões decorrente do consumo de energia de fontes secundárias (e.g. energia elétrica)</t>
  </si>
  <si>
    <t>Criação de um listagem/parque de unidades estacionárias e formulário para recolha e centralização da informação relativa à sua gestão e manutenção.
Melhorar a avaliação detalhada e classificação das emissões A.2 vs. A3.6 no caso de instalações e modo ferroviário</t>
  </si>
  <si>
    <t>A3</t>
  </si>
  <si>
    <t>A3.1</t>
  </si>
  <si>
    <t>A3.2</t>
  </si>
  <si>
    <t>A3.3</t>
  </si>
  <si>
    <t>A3.4</t>
  </si>
  <si>
    <t>A3.5</t>
  </si>
  <si>
    <t>A3.6</t>
  </si>
  <si>
    <t>A3.7</t>
  </si>
  <si>
    <t>A3.8</t>
  </si>
  <si>
    <t>A3.9</t>
  </si>
  <si>
    <t>A3.10</t>
  </si>
  <si>
    <t>A3.11</t>
  </si>
  <si>
    <t>A3.12</t>
  </si>
  <si>
    <t>A3.13</t>
  </si>
  <si>
    <t>Ter em consideração os comentários das fontes A1.1, A1.2, A1.3 e A2</t>
  </si>
  <si>
    <t>Emissões indiretas associadas ao uso de combustíveis e energia de atividades relacionadas (tipicamentes as emissões associadas à extração de matérias primas (e.g. petróleo), transporte, refinamento de combustíveis e distribuição final)</t>
  </si>
  <si>
    <t>VIMECA: Não foram adquiridas viaturas para a Vimeca em 2022</t>
  </si>
  <si>
    <t xml:space="preserve">RA: Faltam apurar consumos relativos á oficina de Évora. Faturados posteriormente por Frotimo. Os consumos electricos da TREVO estão incluidos nos valores da RA uma vez que esta opera nas mesmas instalações. 
</t>
  </si>
  <si>
    <t>VIAPORTO: Recolha de dados da atividade: Eletricidade adquirida da rede para operação da frota de material circulante, propriedade da Metro do Porto + operação e manutenção das infraestruturas do sistema de metro.
VIAPORTO: Frota 2022: 72 veículos do modelo EuroTram e 30 veículos do modelo Tram Train</t>
  </si>
  <si>
    <t>RA: Não foram comunicados carregamentos de unidades estacionárias.
BT: Não foram comunicados carregamentos de unidades estacionárias
VIAPORTO: Recolha de dados da atividade: Viaturas de serviço e função são sujeitas a revisões em oficina externa (sem dados). Material Circulante (102 veículos movidos a electricidade) são sujeitos a manutenções em oficina do subcontratado. 
VIAPORTO: Dados das instalações Fixas - ViaPorto fornece os dados do subcontratado responsavel pela manutenção dos equipamentos de ar condicionado, instalados no DAP/Guifões e rede metro, para reporte à APA pela Metro do Porto.</t>
  </si>
  <si>
    <t>LISBOAT: A frota não possui Ar condicionado</t>
  </si>
  <si>
    <t xml:space="preserve">
ATLANTICARGO: Não foi considerado o consumo residual de gás e gasóleo de equipamentos auxiliares de oficina (empilhadores, máquina de lavagem, estufa de pintura).
RA: Falta apurar o consumo de gás natural da estufa de pintura da oficina de Évora. O imovel pertence à Frotimo e não temos informação nem de consumos nem de custos.
VIA PORTO: Em 2022 não existiram abastecimentos de combustivel para os geradores (num total de 3: DAP + NVT + TRD)).
RA: O aquecimento de águas sanitárias é realizado por paineis solares e/ou termoacumuladores.</t>
  </si>
  <si>
    <t>LISBOAT: Não temos equipamentos estacionarios que consumam combustível
Quando o valor em l/kg não estava disponível este foi estimado com base no valor (€) e preço médio conhecido de outras empresas do GB</t>
  </si>
  <si>
    <t>No futuro deverá se realizado um inquérito anual à mobilidade dos colaboradores das empresas
Paralelamente deverá ser calculado um FE médio para as diferentes localizações geográficas com recurso aos dados do CENSOS e Inquéritos de mobilidade (internos e/ou locais/regionais)</t>
  </si>
  <si>
    <t>TEJO: O peso das deslocações pendulares em viatura de serviço residual e desprezada. Não existem dados referentes à mobilidade dos colaboradores.
ATLANTICARGO: O peso das deslocações pendulares em viatura de serviço residual e desprezada
MARQUES: O peso das deslocações pendulares em viatura de serviço residual e desprezada
VIAPORTO: O peso das deslocações pendulares em viatura de serviço é desprezada - Amostra de 7 colaboradores num universo de 341.</t>
  </si>
  <si>
    <t>Barraqueiro Transportes, S.A. - ESEVEL</t>
  </si>
  <si>
    <t>Barraqueiro Transportes, S.A. - Frota Aul</t>
  </si>
  <si>
    <t>MMC | Contrato</t>
  </si>
  <si>
    <t>MMC | Contrato Limpeza</t>
  </si>
  <si>
    <t>MMC | Serviços Adicionais Limpeza</t>
  </si>
  <si>
    <t>MMC | Serviços Adicionais</t>
  </si>
  <si>
    <t>MIF | Contrato Bilhética</t>
  </si>
  <si>
    <t>MIF | Contrato Catenária, subestações e postos de transformação</t>
  </si>
  <si>
    <t>MIF | Contrato Edifícios, obras de arte e infraestruturas civis</t>
  </si>
  <si>
    <t>MIF | Contrato Elevadores e escadas rolantes</t>
  </si>
  <si>
    <t>MIF | Contrato Iluminação, bombagem e ventilação</t>
  </si>
  <si>
    <t>MIF | Contrato Limpeza e higiene IF</t>
  </si>
  <si>
    <t>MIF | Contrato Paisagismo</t>
  </si>
  <si>
    <t>MIF | Contrato Semaforização</t>
  </si>
  <si>
    <t>MIF | Contrato Sinalização</t>
  </si>
  <si>
    <t>MIF | Contrato Telecomunicações</t>
  </si>
  <si>
    <t>MIF | Contrato Via</t>
  </si>
  <si>
    <t>MIF | Serviços Adicionais Bilhética</t>
  </si>
  <si>
    <t>MIF | Serviços Adicionais Catenária, subestações e postos de transformação</t>
  </si>
  <si>
    <t>MIF | Serviços Adicionais Edifícios, obras de arte e infraestruturas civis</t>
  </si>
  <si>
    <t>MIF | Serviços Adicionais Iluminação, bombagem e ventilação</t>
  </si>
  <si>
    <t>MIF | Serviços Adicionais Limpeza e higiene IF</t>
  </si>
  <si>
    <t>MIF | Serviços Adicionais Sinalização</t>
  </si>
  <si>
    <t>MIF | Serviços Adicionais Via</t>
  </si>
  <si>
    <t>MIF | Peças Bilhética</t>
  </si>
  <si>
    <t>MIF | Peças Edifícios, obras de arte e infraestruturas civis</t>
  </si>
  <si>
    <t>MIF | Peças Sinalização</t>
  </si>
  <si>
    <t>MIF | Peças Telecomunicações</t>
  </si>
  <si>
    <t>MIF | Peças Via</t>
  </si>
  <si>
    <t xml:space="preserve">MMC | Vandalismo Sinalética </t>
  </si>
  <si>
    <t>MMC | Vandalismo MC</t>
  </si>
  <si>
    <t>MIF | Vandalismo IF</t>
  </si>
  <si>
    <t>MIF | Vandalismo Bilhética IF</t>
  </si>
  <si>
    <t>Melhorar a qualidade e detalhes dos dados recolhidos. Potencial integração com ERP e MRP
Determinar FE com melhor qualidade e suporte (e.g. ECOINVENT)</t>
  </si>
  <si>
    <t>Emissões de GEE a montante associadas ativos alugados</t>
  </si>
  <si>
    <t>Melhorar a qualidade e detalhes dos dados recolhidos. Potencial integração com ERP e MRP</t>
  </si>
  <si>
    <t>Emissões de GEE associadas à subcontratação de serviços de transporte</t>
  </si>
  <si>
    <t>Emissões de GEE associadas à compra de bens e serviços, nomeadamente associadas à cadeia de valor da produção de materiais e serviços adquiridos pela organização nas suas atividades</t>
  </si>
  <si>
    <t>Emissões de GEE associadas ao transporte a montante dos bens adquiridos</t>
  </si>
  <si>
    <t>Emissões de GEE associadas ao uso dos produtos vendidos
Emissões de GEE associadas à transformação dos produtos vendidos
Emissões de GEE associadas ao abate dos produtos vendidos</t>
  </si>
  <si>
    <t>Aquisição de bens de capital (as emissões associadas à compra de bens ocorrem no ciclo de vida (extração, produção, transporte) dos bens de capital comprados ou adquiridos, até ao ponto de receção pela organização inventariante (tipicamente capex)</t>
  </si>
  <si>
    <t>Emissões de GEE associadas aos resíduos gerados da organização e geridos por terceiros</t>
  </si>
  <si>
    <t>A3.9.1</t>
  </si>
  <si>
    <t>A3.9.2</t>
  </si>
  <si>
    <t>Emissões de GEE associadas aos resíduos gerados da organização e geridos por terceiros: Resíduos Mapas MIRR</t>
  </si>
  <si>
    <t>Emissões de GEE associadas aos resíduos gerados da organização e geridos por terceiros: Uso e Tratamento de Águas</t>
  </si>
  <si>
    <t>Emissões de GEE associadas ao transporte a jusante dos produtos vendidos</t>
  </si>
  <si>
    <t>Emissões de GEE a jusante associadas a ativos alugados</t>
  </si>
  <si>
    <t>Emissões de GEE a montante associadas a operações de Franchise</t>
  </si>
  <si>
    <t>Emissões de GEE a montante associadas a investimentos</t>
  </si>
  <si>
    <t>Não conseguimos obter esta informação com o detalhe necessário. Só conseguimos obter o numero de encomendas (ou linhas de encomenda)</t>
  </si>
  <si>
    <t>Melhorar a qualidade e detalhes dos dados recolhidos. Potencial integração com ERP e MRP.
Passar a obtenção desta informação para o lado do fornecedor. O fornecedor deve conseguirnos indicar quantas entregas efectuou nas nossas instalações e se estas foram exclusivas
Criação de um portal para integração com os fornecedores (dados reais de emissões e dados sectoriais)</t>
  </si>
  <si>
    <t>VIAPORTO: Recolha de dados da atividade: os dados apresentados incluem, de forma distinta, os resíduos produzidos e geridos diretamente pela ViaPorto, bem como produzidos e gerados pelos subcontratados no âmbito dos contratos celebrados para prestação de serviço de manutenção e limpeza do material circulante (frota 102 veículos) e manutenção e limpeza das infraestruturas do sistema de metro.</t>
  </si>
  <si>
    <t>RA: A Trevo opera em instalações da Rodoviária do Alentejo. A oficina de Évora e correspondente lavagem não estão contabilizadas (Frotimo).</t>
  </si>
  <si>
    <t>VIAPORTO: Recolha de dados da atividade: A ViaPorto utiliza águas subterrâneas (10 furos e 2 minas), com a finalidade de rega de espaços verdes. A água publica utilizada para a rega de espaços verdes é paga pelo subcontratado responsavel pelo paisagismo. Água publica também é usada nas instalações dos sistema de metro, incluindo as ações de limpeza. CP (subcontratado) utiliza água industrial das captações da IP, para lavagem do material circulante.</t>
  </si>
  <si>
    <t>ATLANTICARGO/BT: Os produtos vendidos não carecem de transporte (fornecidos diretamente ao cliente nas instalações) ou são expedidos maioritariamente pelo OEM.</t>
  </si>
  <si>
    <t>Fonte BT</t>
  </si>
  <si>
    <t>Fonte GHG Protocol</t>
  </si>
  <si>
    <t>Baixa Tensão</t>
  </si>
  <si>
    <t>RA: A venda de gás refrigerante é realizada apenas na âmbito de reparação de viaturas do Grupo. Valores desprezáveis.
Foram desprezadas as emissões residuais associadas à venda de fardamento e de cartões físicos navegante</t>
  </si>
  <si>
    <t>Melhorar a qualidade e detalhes dos dados recolhidos. Potencial integração com ERP e com os fornecedores.
Os fornecedores devem fornece dados detalhados relativamente ao serviço prestado, nomeadamente sobre a viatura e produção km.
É importante também distinguir subcontração interna da externa ao grupo a fim de evitar a duplicação da contabilização de emissões.</t>
  </si>
  <si>
    <t>Nos casos em que a informação km não foi detalhada, esta é estimada com base num valor de referência para o serviço em €/km.</t>
  </si>
  <si>
    <t>Ver A3.9.1 e A.3.9.2</t>
  </si>
  <si>
    <t>Automatizar a integração dos mapas MIRR.
Em alguns casos a recolha de resíduos está associada a uma "empresa chapéu", sendo necessário detalhar a empresa geradora de resíduos e/ou as distribuição dos mesmos por empresas que partilham instalações cuja geração de resíduos é monitorizada.
Monitorizar a geração de resíduos das empresas sem tratamento de resíduos especiais, com gestão de terceiros certificados
Refinar os fatores de emissão associados aos diferentes tipos de resíduos (e.g. ECOINVENT)</t>
  </si>
  <si>
    <t>Scope Source</t>
  </si>
  <si>
    <t>Subcontratados da ViaPorto</t>
  </si>
  <si>
    <t>operadores licenciados</t>
  </si>
  <si>
    <t>transportadores licenciados/autorizados</t>
  </si>
  <si>
    <t>R</t>
  </si>
  <si>
    <t>D</t>
  </si>
  <si>
    <t>de acordo com as Egars emitidas</t>
  </si>
  <si>
    <t>Clorofluorcarbonetos, HCFC, HFC</t>
  </si>
  <si>
    <t>Componentes retirados de REEE’s fora de uso não abrangidos em 16 02 09 a 16 02 13</t>
  </si>
  <si>
    <t>Embalagens de vidro</t>
  </si>
  <si>
    <t>Ferro e Aço</t>
  </si>
  <si>
    <t>Mós e materiais de rectificação usados</t>
  </si>
  <si>
    <t>Gases AVAC</t>
  </si>
  <si>
    <t>água rega espaços verdes</t>
  </si>
  <si>
    <t>usada nas infrestruturas do sistema de metro</t>
  </si>
  <si>
    <t>Edificio Administrativo DAP/Guifões</t>
  </si>
  <si>
    <t>PMO - instalações sanitarias (2 ES e 1 LDL)</t>
  </si>
  <si>
    <t>água rega espaços verdes (resp. subcontratado)</t>
  </si>
  <si>
    <t>captações da resp. IP - água uso industrial (subcontratado)</t>
  </si>
  <si>
    <t>Integrar a recolha de dados com o sistema de faturação ou criação de formulários específicos para a automatização da recolha da informação.
Definir métrica para excluir a água consumida e contabilizada nos resíduos dos mapas MIRR (3.9.1) das emissões associadas ao tratamento de água.
Definir métrica para excluir a água utilizada para regas, que não implicam tratamento de águas.</t>
  </si>
  <si>
    <t>Henrique Leonardo Mota</t>
  </si>
  <si>
    <t>Barraqueiro TTransportes, S.A. - Mafrense</t>
  </si>
  <si>
    <t>Empresa/Indicador</t>
  </si>
  <si>
    <t>Caso aplicável, Produção quilométrica (*1000 km percorridos)</t>
  </si>
  <si>
    <t>Dimensão da frota auxiliar e não operacional</t>
  </si>
  <si>
    <t>pkt</t>
  </si>
  <si>
    <t>lko</t>
  </si>
  <si>
    <t>TxO</t>
  </si>
  <si>
    <t>Proveito/km</t>
  </si>
  <si>
    <t>validações/pax</t>
  </si>
  <si>
    <t>Volume de negócios / Receita operacional (k€) + Subs. Exploração</t>
  </si>
  <si>
    <t>Sector Actividade</t>
  </si>
  <si>
    <t>Rodoviária do Tejo - RDL</t>
  </si>
  <si>
    <t>Rodoviária do Tejo - RDO</t>
  </si>
  <si>
    <t>Rodoviária do Tejo - RMT</t>
  </si>
  <si>
    <t>Rodoviária do Tejo - RLZ</t>
  </si>
  <si>
    <t>ver mapas</t>
  </si>
  <si>
    <t>Proveito k€/Veículo Op.</t>
  </si>
  <si>
    <t>Rodoviária do Tejo, S.A.</t>
  </si>
  <si>
    <t xml:space="preserve">RC 27970,888+194,003 // 34540,975 // AC 13705,933+148,521 </t>
  </si>
  <si>
    <t>Eliminar Consolidação</t>
  </si>
  <si>
    <t>Aparelhos de climatização</t>
  </si>
  <si>
    <t>Eliminar acc</t>
  </si>
  <si>
    <t>Barraqueiro Transportes, S.A. - Sede + Estremadura</t>
  </si>
  <si>
    <t>Barraqueiro Transportes, S.A. - CG (Mafrense; BO; BV)</t>
  </si>
  <si>
    <t>Barraqueiro Transportes, S.A. - Calc. Desterro (Isidoro?)</t>
  </si>
  <si>
    <t>Barraqueiro Transportes, S.A. - Boa Viagem agr</t>
  </si>
  <si>
    <t>Barraqueiro Transportes, S.A. - Mafrense agr</t>
  </si>
  <si>
    <t>TRANSOL - TRANSPORTES E TURISMO, S.A.</t>
  </si>
  <si>
    <t>km/Veículo Op.</t>
  </si>
  <si>
    <t>Best Transfers 4U</t>
  </si>
  <si>
    <t>Follow Me Tours</t>
  </si>
  <si>
    <t>Distância</t>
  </si>
  <si>
    <t>02HV26</t>
  </si>
  <si>
    <t>53LL88</t>
  </si>
  <si>
    <t>78XA03</t>
  </si>
  <si>
    <t>78XA04</t>
  </si>
  <si>
    <t>61FH34</t>
  </si>
  <si>
    <t>61FH35</t>
  </si>
  <si>
    <t>61FH36</t>
  </si>
  <si>
    <t>61FH37</t>
  </si>
  <si>
    <t>61FH38</t>
  </si>
  <si>
    <t>94TG18</t>
  </si>
  <si>
    <t>6945OX</t>
  </si>
  <si>
    <t>04HJ41</t>
  </si>
  <si>
    <t>78XA08</t>
  </si>
  <si>
    <t>04HJ42</t>
  </si>
  <si>
    <t>3879ZE</t>
  </si>
  <si>
    <t>6467ZE</t>
  </si>
  <si>
    <t>54IX86</t>
  </si>
  <si>
    <t>78XA14</t>
  </si>
  <si>
    <t>62FN69</t>
  </si>
  <si>
    <t>59FL05</t>
  </si>
  <si>
    <t>53LL90</t>
  </si>
  <si>
    <t>86RM58</t>
  </si>
  <si>
    <t>52ZV78</t>
  </si>
  <si>
    <t>52ZV80</t>
  </si>
  <si>
    <t>41ZM91</t>
  </si>
  <si>
    <t>78XA17</t>
  </si>
  <si>
    <t>77SA52</t>
  </si>
  <si>
    <t>62FN70</t>
  </si>
  <si>
    <t>89PM57</t>
  </si>
  <si>
    <t>80ZR16</t>
  </si>
  <si>
    <t>80ZR30</t>
  </si>
  <si>
    <t>94TG15</t>
  </si>
  <si>
    <t>94TG16</t>
  </si>
  <si>
    <t>86RM83</t>
  </si>
  <si>
    <t>86RM84</t>
  </si>
  <si>
    <t>38RO85</t>
  </si>
  <si>
    <t>52ZV81</t>
  </si>
  <si>
    <t>76ZV31</t>
  </si>
  <si>
    <t>89XA20</t>
  </si>
  <si>
    <t>94RO40</t>
  </si>
  <si>
    <t>46VC08</t>
  </si>
  <si>
    <t>56FP33</t>
  </si>
  <si>
    <t>56FP34</t>
  </si>
  <si>
    <t>56FP35</t>
  </si>
  <si>
    <t>56FP36</t>
  </si>
  <si>
    <t>56FP37</t>
  </si>
  <si>
    <t>2619XL</t>
  </si>
  <si>
    <t>2747ZN</t>
  </si>
  <si>
    <t>2749ZN</t>
  </si>
  <si>
    <t>11CV71</t>
  </si>
  <si>
    <t>27DA92</t>
  </si>
  <si>
    <t>89XA53</t>
  </si>
  <si>
    <t>00UA72</t>
  </si>
  <si>
    <t>97FA45</t>
  </si>
  <si>
    <t>47OQ04</t>
  </si>
  <si>
    <t>46PC72</t>
  </si>
  <si>
    <t>59PI86</t>
  </si>
  <si>
    <t>59PI87</t>
  </si>
  <si>
    <t>73PI24</t>
  </si>
  <si>
    <t>19PR67</t>
  </si>
  <si>
    <t>91XA00</t>
  </si>
  <si>
    <t>81VV75</t>
  </si>
  <si>
    <t>94TG19</t>
  </si>
  <si>
    <t>94TG20</t>
  </si>
  <si>
    <t>17FJ60</t>
  </si>
  <si>
    <t>17FJ62</t>
  </si>
  <si>
    <t>35QT59</t>
  </si>
  <si>
    <t>29RC44</t>
  </si>
  <si>
    <t>20RB92</t>
  </si>
  <si>
    <t>63RE72</t>
  </si>
  <si>
    <t>63RE73</t>
  </si>
  <si>
    <t>31RF74</t>
  </si>
  <si>
    <t>31RF77</t>
  </si>
  <si>
    <t>04RG27</t>
  </si>
  <si>
    <t>04RG25</t>
  </si>
  <si>
    <t>00SR77</t>
  </si>
  <si>
    <t>00SR78</t>
  </si>
  <si>
    <t>00SR79</t>
  </si>
  <si>
    <t>73SX88</t>
  </si>
  <si>
    <t>86SX23</t>
  </si>
  <si>
    <t>22TE92</t>
  </si>
  <si>
    <t>66TG59</t>
  </si>
  <si>
    <t>01UF32</t>
  </si>
  <si>
    <t>10PQ62</t>
  </si>
  <si>
    <t>10PQ64</t>
  </si>
  <si>
    <t>87ST60</t>
  </si>
  <si>
    <t>87ST61</t>
  </si>
  <si>
    <t>09SX14</t>
  </si>
  <si>
    <t>84UO50</t>
  </si>
  <si>
    <t>65ZQ44</t>
  </si>
  <si>
    <t>65ZQ55</t>
  </si>
  <si>
    <t>65ZQ78</t>
  </si>
  <si>
    <t>66ZQ00</t>
  </si>
  <si>
    <t>66ZQ07</t>
  </si>
  <si>
    <t>66ZQ10</t>
  </si>
  <si>
    <t>66ZQ26</t>
  </si>
  <si>
    <t>66ZQ62</t>
  </si>
  <si>
    <t>41ZQ84</t>
  </si>
  <si>
    <t>10PQ63</t>
  </si>
  <si>
    <t>10PQ65</t>
  </si>
  <si>
    <t>21ZQ84</t>
  </si>
  <si>
    <t>22RO60</t>
  </si>
  <si>
    <t>22ZQ68</t>
  </si>
  <si>
    <t>23ZQ02</t>
  </si>
  <si>
    <t>23ZQ27</t>
  </si>
  <si>
    <t>23ZQ59</t>
  </si>
  <si>
    <t>23ZQ65</t>
  </si>
  <si>
    <t>24ZQ34</t>
  </si>
  <si>
    <t>24ZQ44</t>
  </si>
  <si>
    <t>24ZQ73</t>
  </si>
  <si>
    <t>62ZP96</t>
  </si>
  <si>
    <t>63ZP12</t>
  </si>
  <si>
    <t>63ZP13</t>
  </si>
  <si>
    <t>63ZP58</t>
  </si>
  <si>
    <t>63ZP59</t>
  </si>
  <si>
    <t>63ZP69</t>
  </si>
  <si>
    <t>63ZP83</t>
  </si>
  <si>
    <t>63ZP86</t>
  </si>
  <si>
    <t>63ZP92</t>
  </si>
  <si>
    <t>64ZP23</t>
  </si>
  <si>
    <t>65ZQ40</t>
  </si>
  <si>
    <t>65ZQ41</t>
  </si>
  <si>
    <t>65ZQ42</t>
  </si>
  <si>
    <t>65ZQ81</t>
  </si>
  <si>
    <t>65ZQ96</t>
  </si>
  <si>
    <t>66ZQ14</t>
  </si>
  <si>
    <t>66ZQ24</t>
  </si>
  <si>
    <t>66ZQ48</t>
  </si>
  <si>
    <t>66ZQ49</t>
  </si>
  <si>
    <t>66ZQ66</t>
  </si>
  <si>
    <t>66ZQ78</t>
  </si>
  <si>
    <t>66ZQ81</t>
  </si>
  <si>
    <t>66ZQ95</t>
  </si>
  <si>
    <t>67MO82</t>
  </si>
  <si>
    <t>75ST63</t>
  </si>
  <si>
    <t>75ST64</t>
  </si>
  <si>
    <t>85U038</t>
  </si>
  <si>
    <t>93SS62</t>
  </si>
  <si>
    <t>93SS63</t>
  </si>
  <si>
    <t>31LI39</t>
  </si>
  <si>
    <t>98NM77</t>
  </si>
  <si>
    <t>70PO51</t>
  </si>
  <si>
    <t>11QU33</t>
  </si>
  <si>
    <t>11QU34</t>
  </si>
  <si>
    <t>17RE71</t>
  </si>
  <si>
    <t>99SP58</t>
  </si>
  <si>
    <t>99SP57</t>
  </si>
  <si>
    <t>20UJ15</t>
  </si>
  <si>
    <t>88UJ43</t>
  </si>
  <si>
    <t>80ZR13</t>
  </si>
  <si>
    <t>94RE82</t>
  </si>
  <si>
    <t>65ZQ47</t>
  </si>
  <si>
    <t>65ZQ83</t>
  </si>
  <si>
    <t>66ZQ04</t>
  </si>
  <si>
    <t>65QI64</t>
  </si>
  <si>
    <t>22RP78</t>
  </si>
  <si>
    <t>Viatura de Assistência</t>
  </si>
  <si>
    <t>Viaturas Promoção Comercial</t>
  </si>
  <si>
    <t>oficina - Balneario</t>
  </si>
  <si>
    <t>ano 2022</t>
  </si>
  <si>
    <t>Mercedes Travego (usado)</t>
  </si>
  <si>
    <t>Irizar I6 (usado)</t>
  </si>
  <si>
    <t>transol + follow me tours + bestransfer4u</t>
  </si>
  <si>
    <t>Fertagus - Travessia do Tejo, Transportes, S.A.</t>
  </si>
  <si>
    <t>Viatura de apoio a manutenção</t>
  </si>
  <si>
    <t>Viatura de apoio à produção, transporte de pessoal</t>
  </si>
  <si>
    <t>Fertagus - Complexo Ferroviário de Coina</t>
  </si>
  <si>
    <t>Complexo Ferroviário de Coina</t>
  </si>
  <si>
    <t>Sede</t>
  </si>
  <si>
    <t>Estação de Palmela</t>
  </si>
  <si>
    <t>Estação de Venda do Alcaide</t>
  </si>
  <si>
    <t>Não ocorreram fugas/carregamentos</t>
  </si>
  <si>
    <t>Fertagus - UQE</t>
  </si>
  <si>
    <t>Fertagus - Estações Fertagus</t>
  </si>
  <si>
    <t>Fertagus - Parques Fertagus</t>
  </si>
  <si>
    <t>Fertagus - Estações Norte e Sul</t>
  </si>
  <si>
    <t>Fertagus - PMC</t>
  </si>
  <si>
    <t>Emissões de GEE associadas às viagens pendulares dos colaboradores (deslocação: casa-trabalho-casa)
Fertagus: O peso das deslocações pendulares em viatura de serviço é residual pois o transporte é maioritariamente em viaturas elétricas</t>
  </si>
  <si>
    <t>Serviços Externos de Manutenção</t>
  </si>
  <si>
    <t>Lubrificantes</t>
  </si>
  <si>
    <t>Oleos</t>
  </si>
  <si>
    <t>Tintas e Solventes</t>
  </si>
  <si>
    <t>Total de materiais consumidos</t>
  </si>
  <si>
    <t>Sulfertagus</t>
  </si>
  <si>
    <t>Descaga Específica</t>
  </si>
  <si>
    <t>Taxa descarga</t>
  </si>
  <si>
    <t>Fertagus - Estação Coina</t>
  </si>
  <si>
    <t>(*) Outros óleos de motores, transmissões e lubrificação</t>
  </si>
  <si>
    <t>(*) Embalagens de metal, incluindo recipientes vazios sob pressão, contendo uma matriz porosa sólida perigosa (por exemplo, amianto)</t>
  </si>
  <si>
    <t>(*) Absorventes, materiais filtrantes (incluindo filtros de óleo sem outras especificações), panos de limpeza e vestuário de proteção, contaminados por substâncias perigosas</t>
  </si>
  <si>
    <t>(*) Filtros de óleo</t>
  </si>
  <si>
    <t>(*) Componentes perigosos não abrangidos em 16 01 07 a 16 01 11, 16 01 13 e 16 01 14</t>
  </si>
  <si>
    <t>Componentes sem outras especificações</t>
  </si>
  <si>
    <t>Têxteis</t>
  </si>
  <si>
    <t>(*) Lâmpadas fluorescentes e outros resíduos contendo mercúrio</t>
  </si>
  <si>
    <t>Madeira não abrangida em 20 01 37</t>
  </si>
  <si>
    <t>Carmona</t>
  </si>
  <si>
    <t>Mundirecicla, lda</t>
  </si>
  <si>
    <t>Limpersado</t>
  </si>
  <si>
    <t>Carmona/Ecosourcing II</t>
  </si>
  <si>
    <t xml:space="preserve">Carmona </t>
  </si>
  <si>
    <t>Ecosourcing II</t>
  </si>
  <si>
    <t>Ambigroup</t>
  </si>
  <si>
    <t>Componatura</t>
  </si>
  <si>
    <t>Hidrotrans</t>
  </si>
  <si>
    <t>SGR</t>
  </si>
  <si>
    <t>Jocate</t>
  </si>
  <si>
    <t>MTS - METRO, TRANSPORTES DO SUL , S.A.</t>
  </si>
  <si>
    <t>Viatura de Socorro Unimog</t>
  </si>
  <si>
    <t>Viatura Multiusos com Barquinha</t>
  </si>
  <si>
    <t>SF6</t>
  </si>
  <si>
    <t>SF6 (vassilhame)</t>
  </si>
  <si>
    <t>MTS - ILD's Inclui todas as instalações fixas (Parque de Material e Oficinas, Subestações, Postos de Atendimento e Paragens)</t>
  </si>
  <si>
    <t>MTS-MC Energia de tração</t>
  </si>
  <si>
    <t>Lampadas</t>
  </si>
  <si>
    <t>Aparas e limalhas de metais ferrosos</t>
  </si>
  <si>
    <t>(*) Água com óleo proveniente dos separadores óleo/água</t>
  </si>
  <si>
    <t>(*) Embalagens contendo ou contaminadas por resíduos de substâncias perigosas</t>
  </si>
  <si>
    <t>Transucatas</t>
  </si>
  <si>
    <t>SISAV</t>
  </si>
  <si>
    <t>Safetykleen</t>
  </si>
  <si>
    <t>Jose da Silva Crispim &amp; Filhos</t>
  </si>
  <si>
    <t>GRILUS II</t>
  </si>
  <si>
    <t>Soarvamil</t>
  </si>
  <si>
    <t>TRIU</t>
  </si>
  <si>
    <t>00PN65</t>
  </si>
  <si>
    <t>00PV87</t>
  </si>
  <si>
    <t>00PV88</t>
  </si>
  <si>
    <t>00QI20</t>
  </si>
  <si>
    <t>00ZH80</t>
  </si>
  <si>
    <t>01MC11</t>
  </si>
  <si>
    <t>0232IQ</t>
  </si>
  <si>
    <t>0234IQ</t>
  </si>
  <si>
    <t>0240IQ</t>
  </si>
  <si>
    <t>0242IQ</t>
  </si>
  <si>
    <t>02QG47</t>
  </si>
  <si>
    <t>02QG48</t>
  </si>
  <si>
    <t>02ZH18</t>
  </si>
  <si>
    <t>02ZP57</t>
  </si>
  <si>
    <t>03SM37</t>
  </si>
  <si>
    <t>03SM38</t>
  </si>
  <si>
    <t>03SM40</t>
  </si>
  <si>
    <t>0434JD</t>
  </si>
  <si>
    <t>0435JD</t>
  </si>
  <si>
    <t>0437JD</t>
  </si>
  <si>
    <t>0438JD</t>
  </si>
  <si>
    <t>0450JD</t>
  </si>
  <si>
    <t>0454JD</t>
  </si>
  <si>
    <t>0456JD</t>
  </si>
  <si>
    <t>04AB33</t>
  </si>
  <si>
    <t>04AB36</t>
  </si>
  <si>
    <t>04AB37</t>
  </si>
  <si>
    <t>04AB39</t>
  </si>
  <si>
    <t>04DG44</t>
  </si>
  <si>
    <t>04HX43</t>
  </si>
  <si>
    <t>04UF04</t>
  </si>
  <si>
    <t>05NN71</t>
  </si>
  <si>
    <t>05SQ62</t>
  </si>
  <si>
    <t>05SQ63</t>
  </si>
  <si>
    <t>05SQ65</t>
  </si>
  <si>
    <t>05UF73</t>
  </si>
  <si>
    <t>07IT92</t>
  </si>
  <si>
    <t>07XS81</t>
  </si>
  <si>
    <t>07ZG86</t>
  </si>
  <si>
    <t>0809XS</t>
  </si>
  <si>
    <t>0813XS</t>
  </si>
  <si>
    <t>08FO39</t>
  </si>
  <si>
    <t>08GN27</t>
  </si>
  <si>
    <t>08ZG94</t>
  </si>
  <si>
    <t>09RI82</t>
  </si>
  <si>
    <t>10GU52</t>
  </si>
  <si>
    <t>10LO15</t>
  </si>
  <si>
    <t>11SZ04</t>
  </si>
  <si>
    <t>11SZ08</t>
  </si>
  <si>
    <t>12ST41</t>
  </si>
  <si>
    <t>13JT11</t>
  </si>
  <si>
    <t>1405JT</t>
  </si>
  <si>
    <t>1406JT</t>
  </si>
  <si>
    <t>1408JT</t>
  </si>
  <si>
    <t>1435JB</t>
  </si>
  <si>
    <t>1446JB</t>
  </si>
  <si>
    <t>1448JB</t>
  </si>
  <si>
    <t>1450JQ</t>
  </si>
  <si>
    <t>1453JQ</t>
  </si>
  <si>
    <t>1457JQ</t>
  </si>
  <si>
    <t>15TX20</t>
  </si>
  <si>
    <t>16XN52</t>
  </si>
  <si>
    <t>17AC97</t>
  </si>
  <si>
    <t>17NH85</t>
  </si>
  <si>
    <t>17PI91</t>
  </si>
  <si>
    <t>17PI92</t>
  </si>
  <si>
    <t>17RQ86</t>
  </si>
  <si>
    <t>17UF00</t>
  </si>
  <si>
    <t>19UA45</t>
  </si>
  <si>
    <t>19UA48</t>
  </si>
  <si>
    <t>19XP79</t>
  </si>
  <si>
    <t>21AO38</t>
  </si>
  <si>
    <t>22TE95</t>
  </si>
  <si>
    <t>22ZH45</t>
  </si>
  <si>
    <t>22ZH98</t>
  </si>
  <si>
    <t>23HP54</t>
  </si>
  <si>
    <t>23ZH79</t>
  </si>
  <si>
    <t>24UV97</t>
  </si>
  <si>
    <t>25ZF53</t>
  </si>
  <si>
    <t>26FD81</t>
  </si>
  <si>
    <t>26NM48</t>
  </si>
  <si>
    <t>26NM49</t>
  </si>
  <si>
    <t>26NM50</t>
  </si>
  <si>
    <t>26RT14</t>
  </si>
  <si>
    <t>27NO79</t>
  </si>
  <si>
    <t>27NO80</t>
  </si>
  <si>
    <t>28TQ60</t>
  </si>
  <si>
    <t>28TQ62</t>
  </si>
  <si>
    <t>28ZE38</t>
  </si>
  <si>
    <t>28ZE78</t>
  </si>
  <si>
    <t>29DN05</t>
  </si>
  <si>
    <t>29SS98</t>
  </si>
  <si>
    <t>29ZE35</t>
  </si>
  <si>
    <t>29ZE58</t>
  </si>
  <si>
    <t>30GQ69</t>
  </si>
  <si>
    <t>30MZ06</t>
  </si>
  <si>
    <t>30SS00</t>
  </si>
  <si>
    <t>3146LC</t>
  </si>
  <si>
    <t>3153LC</t>
  </si>
  <si>
    <t>3156LC</t>
  </si>
  <si>
    <t>32BO18</t>
  </si>
  <si>
    <t>32BO21</t>
  </si>
  <si>
    <t>32LM38</t>
  </si>
  <si>
    <t>32XN11</t>
  </si>
  <si>
    <t>33GH61</t>
  </si>
  <si>
    <t>33UX99</t>
  </si>
  <si>
    <t>34ZG42</t>
  </si>
  <si>
    <t>34ZG44</t>
  </si>
  <si>
    <t>34ZG75</t>
  </si>
  <si>
    <t>35UC89</t>
  </si>
  <si>
    <t>36SF02</t>
  </si>
  <si>
    <t>36SG45</t>
  </si>
  <si>
    <t>36UC01</t>
  </si>
  <si>
    <t>36VR93</t>
  </si>
  <si>
    <t>36ZF46</t>
  </si>
  <si>
    <t>37SN14</t>
  </si>
  <si>
    <t>37ST55</t>
  </si>
  <si>
    <t>38QS13</t>
  </si>
  <si>
    <t>38QS14</t>
  </si>
  <si>
    <t>38QS15</t>
  </si>
  <si>
    <t>38ZE38</t>
  </si>
  <si>
    <t>40ZE86</t>
  </si>
  <si>
    <t>40ZE96</t>
  </si>
  <si>
    <t>41CB30</t>
  </si>
  <si>
    <t>41TP63</t>
  </si>
  <si>
    <t>43ZH77</t>
  </si>
  <si>
    <t>4431JG</t>
  </si>
  <si>
    <t>4434JG</t>
  </si>
  <si>
    <t>44RM74</t>
  </si>
  <si>
    <t>44ZO26</t>
  </si>
  <si>
    <t>45TV43</t>
  </si>
  <si>
    <t>45TV45</t>
  </si>
  <si>
    <t>45TV46</t>
  </si>
  <si>
    <t>45TV47</t>
  </si>
  <si>
    <t>47RU72</t>
  </si>
  <si>
    <t>47TG41</t>
  </si>
  <si>
    <t>47TG42</t>
  </si>
  <si>
    <t>47TG43</t>
  </si>
  <si>
    <t>47UV32</t>
  </si>
  <si>
    <t>48SI28</t>
  </si>
  <si>
    <t>48UP24</t>
  </si>
  <si>
    <t>49ZF71</t>
  </si>
  <si>
    <t>5140IL</t>
  </si>
  <si>
    <t>5145IL</t>
  </si>
  <si>
    <t>51ZF11</t>
  </si>
  <si>
    <t>53CE01</t>
  </si>
  <si>
    <t>53IG95</t>
  </si>
  <si>
    <t>53MU41</t>
  </si>
  <si>
    <t>53MU43</t>
  </si>
  <si>
    <t>53TR02</t>
  </si>
  <si>
    <t>53TR03</t>
  </si>
  <si>
    <t>53ZN02</t>
  </si>
  <si>
    <t>5471JM</t>
  </si>
  <si>
    <t>54XV85</t>
  </si>
  <si>
    <t>54ZH32</t>
  </si>
  <si>
    <t>5541SM</t>
  </si>
  <si>
    <t>5542SM</t>
  </si>
  <si>
    <t>5593SM</t>
  </si>
  <si>
    <t>5594SM</t>
  </si>
  <si>
    <t>5595SM</t>
  </si>
  <si>
    <t>5597SM</t>
  </si>
  <si>
    <t>55FI31</t>
  </si>
  <si>
    <t>55FO26</t>
  </si>
  <si>
    <t>55FO29</t>
  </si>
  <si>
    <t>55IO56</t>
  </si>
  <si>
    <t>55SJ91</t>
  </si>
  <si>
    <t>55UZ86</t>
  </si>
  <si>
    <t>56GL17</t>
  </si>
  <si>
    <t>56RU45</t>
  </si>
  <si>
    <t>56US92</t>
  </si>
  <si>
    <t>57BG28</t>
  </si>
  <si>
    <t>57UR20</t>
  </si>
  <si>
    <t>57XS19</t>
  </si>
  <si>
    <t>58IQ12</t>
  </si>
  <si>
    <t>58IQ13</t>
  </si>
  <si>
    <t>58IX45</t>
  </si>
  <si>
    <t>58LO19</t>
  </si>
  <si>
    <t>58US86</t>
  </si>
  <si>
    <t>59NA38</t>
  </si>
  <si>
    <t>60US19</t>
  </si>
  <si>
    <t>62ZB48</t>
  </si>
  <si>
    <t>6327ZX</t>
  </si>
  <si>
    <t>63FZ22</t>
  </si>
  <si>
    <t>64RJ87</t>
  </si>
  <si>
    <t>64SN30</t>
  </si>
  <si>
    <t>64SV73</t>
  </si>
  <si>
    <t>64SV74</t>
  </si>
  <si>
    <t>65TQ44</t>
  </si>
  <si>
    <t>65TX80</t>
  </si>
  <si>
    <t>65TX81</t>
  </si>
  <si>
    <t>65TX82</t>
  </si>
  <si>
    <t>66BN38</t>
  </si>
  <si>
    <t>66BN39</t>
  </si>
  <si>
    <t>66BN41</t>
  </si>
  <si>
    <t>67ZH47</t>
  </si>
  <si>
    <t>68HC79</t>
  </si>
  <si>
    <t>68QS37</t>
  </si>
  <si>
    <t>68QS38</t>
  </si>
  <si>
    <t>68XV84</t>
  </si>
  <si>
    <t>68ZH89</t>
  </si>
  <si>
    <t>70IQ12</t>
  </si>
  <si>
    <t>70IQ13</t>
  </si>
  <si>
    <t>70IQ14</t>
  </si>
  <si>
    <t>70IQ15</t>
  </si>
  <si>
    <t>70ST27</t>
  </si>
  <si>
    <t>71JA65</t>
  </si>
  <si>
    <t>72HN41</t>
  </si>
  <si>
    <t>72RS82</t>
  </si>
  <si>
    <t>72TG48</t>
  </si>
  <si>
    <t>72ZE64</t>
  </si>
  <si>
    <t>73ZE15</t>
  </si>
  <si>
    <t>73ZE24</t>
  </si>
  <si>
    <t>73ZE57</t>
  </si>
  <si>
    <t>73ZE62</t>
  </si>
  <si>
    <t>74ZB21</t>
  </si>
  <si>
    <t>75ZB65</t>
  </si>
  <si>
    <t>76FB94</t>
  </si>
  <si>
    <t>76FE00</t>
  </si>
  <si>
    <t>76IG10</t>
  </si>
  <si>
    <t>76IO15</t>
  </si>
  <si>
    <t>76PH39</t>
  </si>
  <si>
    <t>76PH41</t>
  </si>
  <si>
    <t>76PH44</t>
  </si>
  <si>
    <t>77TR40</t>
  </si>
  <si>
    <t>77TR41</t>
  </si>
  <si>
    <t>78FP74</t>
  </si>
  <si>
    <t>78HN41</t>
  </si>
  <si>
    <t>79OT06</t>
  </si>
  <si>
    <t>79UG05</t>
  </si>
  <si>
    <t>79ZH06</t>
  </si>
  <si>
    <t>80IQ73</t>
  </si>
  <si>
    <t>80VU79</t>
  </si>
  <si>
    <t>80ZR18</t>
  </si>
  <si>
    <t>80ZR40</t>
  </si>
  <si>
    <t>82DL28</t>
  </si>
  <si>
    <t>82PN92</t>
  </si>
  <si>
    <t>82PN94</t>
  </si>
  <si>
    <t>82PN95</t>
  </si>
  <si>
    <t>83RF21</t>
  </si>
  <si>
    <t>8448XQ</t>
  </si>
  <si>
    <t>84DC25</t>
  </si>
  <si>
    <t>84SJ12</t>
  </si>
  <si>
    <t>84ZF75</t>
  </si>
  <si>
    <t>85SR01</t>
  </si>
  <si>
    <t>85SR03</t>
  </si>
  <si>
    <t>85SR04</t>
  </si>
  <si>
    <t>85SR08</t>
  </si>
  <si>
    <t>85ZF57</t>
  </si>
  <si>
    <t>85ZF90</t>
  </si>
  <si>
    <t>86EQ75</t>
  </si>
  <si>
    <t>86ID41</t>
  </si>
  <si>
    <t>86ID42</t>
  </si>
  <si>
    <t>86QT83</t>
  </si>
  <si>
    <t>86ZF05</t>
  </si>
  <si>
    <t>86ZF75</t>
  </si>
  <si>
    <t>87ZF10</t>
  </si>
  <si>
    <t>87ZF53</t>
  </si>
  <si>
    <t>87ZF61</t>
  </si>
  <si>
    <t>87ZF66</t>
  </si>
  <si>
    <t>89BN30</t>
  </si>
  <si>
    <t>89BN31</t>
  </si>
  <si>
    <t>90NA09</t>
  </si>
  <si>
    <t>90XA39</t>
  </si>
  <si>
    <t>90XA79</t>
  </si>
  <si>
    <t>91ZG27</t>
  </si>
  <si>
    <t>93UR65</t>
  </si>
  <si>
    <t>94LE37</t>
  </si>
  <si>
    <t>94LE38</t>
  </si>
  <si>
    <t>94LE40</t>
  </si>
  <si>
    <t>94LE41</t>
  </si>
  <si>
    <t>94LE42</t>
  </si>
  <si>
    <t>94NE16</t>
  </si>
  <si>
    <t>95ES74</t>
  </si>
  <si>
    <t>95FB62</t>
  </si>
  <si>
    <t>95JA93</t>
  </si>
  <si>
    <t>95RA00</t>
  </si>
  <si>
    <t>95RA02</t>
  </si>
  <si>
    <t>95SG24</t>
  </si>
  <si>
    <t>95TN58</t>
  </si>
  <si>
    <t>96GJ06</t>
  </si>
  <si>
    <t>97XU29</t>
  </si>
  <si>
    <t>97ZE67</t>
  </si>
  <si>
    <t>98FF02</t>
  </si>
  <si>
    <t>98LX98</t>
  </si>
  <si>
    <t>98QS10</t>
  </si>
  <si>
    <t>98SQ87</t>
  </si>
  <si>
    <t>AB15EA</t>
  </si>
  <si>
    <t>AB17EA</t>
  </si>
  <si>
    <t>AB18EA</t>
  </si>
  <si>
    <t>AB19EA</t>
  </si>
  <si>
    <t>AC34SL</t>
  </si>
  <si>
    <t>AF51NB</t>
  </si>
  <si>
    <t>AL01VT</t>
  </si>
  <si>
    <t>AL03VT</t>
  </si>
  <si>
    <t>AL09VT</t>
  </si>
  <si>
    <t>AL10VT</t>
  </si>
  <si>
    <t>AL12VT</t>
  </si>
  <si>
    <t>AL14VT</t>
  </si>
  <si>
    <t>AL16VT</t>
  </si>
  <si>
    <t>AL24VT</t>
  </si>
  <si>
    <t>AL25VT</t>
  </si>
  <si>
    <t>AL26VT</t>
  </si>
  <si>
    <t>AL29VT</t>
  </si>
  <si>
    <t>AL31VT</t>
  </si>
  <si>
    <t>AL32VT</t>
  </si>
  <si>
    <t>AL33VT</t>
  </si>
  <si>
    <t>AL44VT</t>
  </si>
  <si>
    <t>AL48VT</t>
  </si>
  <si>
    <t>AL49VT</t>
  </si>
  <si>
    <t>AL50VT</t>
  </si>
  <si>
    <t>AL57VT</t>
  </si>
  <si>
    <t>AL61VT</t>
  </si>
  <si>
    <t>AL62VT</t>
  </si>
  <si>
    <t>AL63VT</t>
  </si>
  <si>
    <t>AL64VT</t>
  </si>
  <si>
    <t>AL65VT</t>
  </si>
  <si>
    <t>AL67VT</t>
  </si>
  <si>
    <t>AL69VT</t>
  </si>
  <si>
    <t>AL74VS</t>
  </si>
  <si>
    <t>AL77VS</t>
  </si>
  <si>
    <t>AL81VS</t>
  </si>
  <si>
    <t>AL83VS</t>
  </si>
  <si>
    <t>AL85VS</t>
  </si>
  <si>
    <t>AL89VS</t>
  </si>
  <si>
    <t>AL94VS</t>
  </si>
  <si>
    <t>AQ19FI</t>
  </si>
  <si>
    <t>AQ23ME</t>
  </si>
  <si>
    <t>AQ54QI</t>
  </si>
  <si>
    <t>AQ58QI</t>
  </si>
  <si>
    <t>AQ60QI</t>
  </si>
  <si>
    <t>AQ61QI</t>
  </si>
  <si>
    <t>AQ64QI</t>
  </si>
  <si>
    <t>AQ66QI</t>
  </si>
  <si>
    <t>AQ79DS</t>
  </si>
  <si>
    <t>AQ80DS</t>
  </si>
  <si>
    <t>AQ81DS</t>
  </si>
  <si>
    <t>AQ83DS</t>
  </si>
  <si>
    <t>AR00HO</t>
  </si>
  <si>
    <t>AR00PH</t>
  </si>
  <si>
    <t>AR01GX</t>
  </si>
  <si>
    <t>AR02HO</t>
  </si>
  <si>
    <t>AR03HO</t>
  </si>
  <si>
    <t>AR03PH</t>
  </si>
  <si>
    <t>AR04PH</t>
  </si>
  <si>
    <t>AR09PH</t>
  </si>
  <si>
    <t>AR10GX</t>
  </si>
  <si>
    <t>AR10PH</t>
  </si>
  <si>
    <t>AR12GX</t>
  </si>
  <si>
    <t>AR16VA</t>
  </si>
  <si>
    <t>AR21VA</t>
  </si>
  <si>
    <t>AR26ZS</t>
  </si>
  <si>
    <t>AR26ZX</t>
  </si>
  <si>
    <t>AR29ZS</t>
  </si>
  <si>
    <t>AR30.GI</t>
  </si>
  <si>
    <t>AR30ZS</t>
  </si>
  <si>
    <t>AR32ZS</t>
  </si>
  <si>
    <t>AR34GI</t>
  </si>
  <si>
    <t>AR35ZS</t>
  </si>
  <si>
    <t>AR37VA</t>
  </si>
  <si>
    <t>AR38GI</t>
  </si>
  <si>
    <t>AR42GI</t>
  </si>
  <si>
    <t>AR48GI</t>
  </si>
  <si>
    <t>AR48TF</t>
  </si>
  <si>
    <t>AR48ZS</t>
  </si>
  <si>
    <t>AR50GI</t>
  </si>
  <si>
    <t>AR51GI</t>
  </si>
  <si>
    <t>AR53GI</t>
  </si>
  <si>
    <t>AR54GI</t>
  </si>
  <si>
    <t>AR55TF</t>
  </si>
  <si>
    <t>AR58LX</t>
  </si>
  <si>
    <t>AR59LX</t>
  </si>
  <si>
    <t>AR60EV</t>
  </si>
  <si>
    <t>AR64EV</t>
  </si>
  <si>
    <t>AR64RA</t>
  </si>
  <si>
    <t>AR66EV</t>
  </si>
  <si>
    <t>AR66NL</t>
  </si>
  <si>
    <t>AR66RA</t>
  </si>
  <si>
    <t>AR67LX</t>
  </si>
  <si>
    <t>AR68LX</t>
  </si>
  <si>
    <t>AR69EV</t>
  </si>
  <si>
    <t>AR70DA</t>
  </si>
  <si>
    <t>AR72LX</t>
  </si>
  <si>
    <t>AR74LX</t>
  </si>
  <si>
    <t>AR74NL</t>
  </si>
  <si>
    <t>AR76DA</t>
  </si>
  <si>
    <t>AR76EV</t>
  </si>
  <si>
    <t>AR76LX</t>
  </si>
  <si>
    <t>AR77DA</t>
  </si>
  <si>
    <t>AR77EV</t>
  </si>
  <si>
    <t>AR78AG</t>
  </si>
  <si>
    <t>AR78LX</t>
  </si>
  <si>
    <t>AR80AG</t>
  </si>
  <si>
    <t>AR80DA</t>
  </si>
  <si>
    <t>AR80EV</t>
  </si>
  <si>
    <t>AR81AG</t>
  </si>
  <si>
    <t>AR81DA</t>
  </si>
  <si>
    <t>AR82AG</t>
  </si>
  <si>
    <t>AR83AG</t>
  </si>
  <si>
    <t>AR84AG</t>
  </si>
  <si>
    <t>AR85AG</t>
  </si>
  <si>
    <t>AR86LX</t>
  </si>
  <si>
    <t>AR87AG</t>
  </si>
  <si>
    <t>AR87LX</t>
  </si>
  <si>
    <t>AR89AG</t>
  </si>
  <si>
    <t>AR91AG</t>
  </si>
  <si>
    <t>AR92LX</t>
  </si>
  <si>
    <t>AR93GV</t>
  </si>
  <si>
    <t>AR94AG</t>
  </si>
  <si>
    <t>AR94GV</t>
  </si>
  <si>
    <t>AR95AG</t>
  </si>
  <si>
    <t>AR95PG</t>
  </si>
  <si>
    <t>AR96HN</t>
  </si>
  <si>
    <t>AR96OC</t>
  </si>
  <si>
    <t>AR97AG</t>
  </si>
  <si>
    <t>AR97GV</t>
  </si>
  <si>
    <t>AR97HN</t>
  </si>
  <si>
    <t>AR98GV</t>
  </si>
  <si>
    <t>AR99OC</t>
  </si>
  <si>
    <t>AS00FQ</t>
  </si>
  <si>
    <t>AS00PA</t>
  </si>
  <si>
    <t>AS01FQ</t>
  </si>
  <si>
    <t>AS02PA</t>
  </si>
  <si>
    <t>AS03FQ</t>
  </si>
  <si>
    <t>AS05FQ</t>
  </si>
  <si>
    <t>AS05UA</t>
  </si>
  <si>
    <t>AS06FQ</t>
  </si>
  <si>
    <t>AS06MU</t>
  </si>
  <si>
    <t>AS06UA</t>
  </si>
  <si>
    <t>AS07FQ</t>
  </si>
  <si>
    <t>AS07RO</t>
  </si>
  <si>
    <t>AS08MU</t>
  </si>
  <si>
    <t>AS08UA</t>
  </si>
  <si>
    <t>AS09UA</t>
  </si>
  <si>
    <t>AS10FQ</t>
  </si>
  <si>
    <t>AS10UA</t>
  </si>
  <si>
    <t>AS11FQ</t>
  </si>
  <si>
    <t>AS11UA</t>
  </si>
  <si>
    <t>AS12FQ</t>
  </si>
  <si>
    <t>AS12QD</t>
  </si>
  <si>
    <t>AS12UA</t>
  </si>
  <si>
    <t>AS15UA</t>
  </si>
  <si>
    <t>AS16UA</t>
  </si>
  <si>
    <t>AS20UA</t>
  </si>
  <si>
    <t>AS21UA</t>
  </si>
  <si>
    <t>AS22UA</t>
  </si>
  <si>
    <t>AS23UA</t>
  </si>
  <si>
    <t>AS26SN</t>
  </si>
  <si>
    <t>AS29RL</t>
  </si>
  <si>
    <t>AS30GC</t>
  </si>
  <si>
    <t>AS30RL</t>
  </si>
  <si>
    <t>AS32CE</t>
  </si>
  <si>
    <t>AS32RL</t>
  </si>
  <si>
    <t>AS32SN</t>
  </si>
  <si>
    <t>AS33GC</t>
  </si>
  <si>
    <t>AS33SN</t>
  </si>
  <si>
    <t>AS34GC</t>
  </si>
  <si>
    <t>AS34SN</t>
  </si>
  <si>
    <t>AS35SN</t>
  </si>
  <si>
    <t>AS40CE</t>
  </si>
  <si>
    <t>AS42GC</t>
  </si>
  <si>
    <t>AS43GC</t>
  </si>
  <si>
    <t>AS44GC</t>
  </si>
  <si>
    <t>AS45GC</t>
  </si>
  <si>
    <t>AS47GC</t>
  </si>
  <si>
    <t>AS48GC</t>
  </si>
  <si>
    <t>AS55NL</t>
  </si>
  <si>
    <t>AS61NL</t>
  </si>
  <si>
    <t>AS64PP</t>
  </si>
  <si>
    <t>AS68PP</t>
  </si>
  <si>
    <t>AS70PP</t>
  </si>
  <si>
    <t>AS72OA</t>
  </si>
  <si>
    <t>AS73PP</t>
  </si>
  <si>
    <t>AS74CT</t>
  </si>
  <si>
    <t>AS74OA</t>
  </si>
  <si>
    <t>AS75OA</t>
  </si>
  <si>
    <t>AS79OA</t>
  </si>
  <si>
    <t>AS80OA</t>
  </si>
  <si>
    <t>AS81OA</t>
  </si>
  <si>
    <t>AS82QZ</t>
  </si>
  <si>
    <t>AS83QZ</t>
  </si>
  <si>
    <t>AS85OA</t>
  </si>
  <si>
    <t>AS85PP</t>
  </si>
  <si>
    <t>AS85QZ</t>
  </si>
  <si>
    <t>AS86QZ</t>
  </si>
  <si>
    <t>AS87OA</t>
  </si>
  <si>
    <t>AS88OA</t>
  </si>
  <si>
    <t>AS89OA</t>
  </si>
  <si>
    <t>AS89QZ</t>
  </si>
  <si>
    <t>AS90OA</t>
  </si>
  <si>
    <t>AS90OO</t>
  </si>
  <si>
    <t>AS92BL</t>
  </si>
  <si>
    <t>AS93OA</t>
  </si>
  <si>
    <t>AS94OA</t>
  </si>
  <si>
    <t>AS95OO</t>
  </si>
  <si>
    <t>AS96OA</t>
  </si>
  <si>
    <t>AS96OO</t>
  </si>
  <si>
    <t>AS96OZ</t>
  </si>
  <si>
    <t>AS97FP</t>
  </si>
  <si>
    <t>AS97OZ</t>
  </si>
  <si>
    <t>AS98FP</t>
  </si>
  <si>
    <t>AS99OA</t>
  </si>
  <si>
    <t>AS99OZ</t>
  </si>
  <si>
    <t>AT13EM</t>
  </si>
  <si>
    <t>AT59AJ</t>
  </si>
  <si>
    <t>AT61AJ</t>
  </si>
  <si>
    <t>AT74FZ</t>
  </si>
  <si>
    <t>AT76FZ</t>
  </si>
  <si>
    <t>AT78FZ</t>
  </si>
  <si>
    <t>AT79FZ</t>
  </si>
  <si>
    <t>AU12TX</t>
  </si>
  <si>
    <t>AU17FV</t>
  </si>
  <si>
    <t>AU21HS</t>
  </si>
  <si>
    <t>AU22FV</t>
  </si>
  <si>
    <t>AU23HS</t>
  </si>
  <si>
    <t>AU25HS</t>
  </si>
  <si>
    <t>AU27FV</t>
  </si>
  <si>
    <t>AU29FV</t>
  </si>
  <si>
    <t>AU32CH</t>
  </si>
  <si>
    <t>AU34CH</t>
  </si>
  <si>
    <t>AU37CH</t>
  </si>
  <si>
    <t>AU69DS</t>
  </si>
  <si>
    <t>AU71DS</t>
  </si>
  <si>
    <t>AU86GM</t>
  </si>
  <si>
    <t>AU87GM</t>
  </si>
  <si>
    <t>AU88GM</t>
  </si>
  <si>
    <t>543</t>
  </si>
  <si>
    <t>3692</t>
  </si>
  <si>
    <t>9209</t>
  </si>
  <si>
    <t>9210</t>
  </si>
  <si>
    <t>9211</t>
  </si>
  <si>
    <t>9212</t>
  </si>
  <si>
    <t>9414</t>
  </si>
  <si>
    <t>9415</t>
  </si>
  <si>
    <t>2520</t>
  </si>
  <si>
    <t>2524</t>
  </si>
  <si>
    <t>2523</t>
  </si>
  <si>
    <t>2514</t>
  </si>
  <si>
    <t>2515</t>
  </si>
  <si>
    <t>2512</t>
  </si>
  <si>
    <t>2513</t>
  </si>
  <si>
    <t>2516</t>
  </si>
  <si>
    <t>2521</t>
  </si>
  <si>
    <t>2517</t>
  </si>
  <si>
    <t>2522</t>
  </si>
  <si>
    <t>2527</t>
  </si>
  <si>
    <t>2528</t>
  </si>
  <si>
    <t>2529</t>
  </si>
  <si>
    <t>2530</t>
  </si>
  <si>
    <t>2525</t>
  </si>
  <si>
    <t>2526</t>
  </si>
  <si>
    <t>2550</t>
  </si>
  <si>
    <t>2346</t>
  </si>
  <si>
    <t>2556</t>
  </si>
  <si>
    <t>2540</t>
  </si>
  <si>
    <t>2033</t>
  </si>
  <si>
    <t>2545</t>
  </si>
  <si>
    <t>2544</t>
  </si>
  <si>
    <t>2032</t>
  </si>
  <si>
    <t>2354</t>
  </si>
  <si>
    <t>2344</t>
  </si>
  <si>
    <t>2554</t>
  </si>
  <si>
    <t>2034</t>
  </si>
  <si>
    <t>2036</t>
  </si>
  <si>
    <t>2037</t>
  </si>
  <si>
    <t>2751</t>
  </si>
  <si>
    <t>2356</t>
  </si>
  <si>
    <t>2359</t>
  </si>
  <si>
    <t>2361</t>
  </si>
  <si>
    <t>2557</t>
  </si>
  <si>
    <t>2360</t>
  </si>
  <si>
    <t>2035</t>
  </si>
  <si>
    <t>2551</t>
  </si>
  <si>
    <t>2038</t>
  </si>
  <si>
    <t>2558</t>
  </si>
  <si>
    <t>2752</t>
  </si>
  <si>
    <t>2559</t>
  </si>
  <si>
    <t>2352</t>
  </si>
  <si>
    <t>2538</t>
  </si>
  <si>
    <t>2560</t>
  </si>
  <si>
    <t>2347</t>
  </si>
  <si>
    <t>2700</t>
  </si>
  <si>
    <t>2547</t>
  </si>
  <si>
    <t>2561</t>
  </si>
  <si>
    <t>2537</t>
  </si>
  <si>
    <t>2756</t>
  </si>
  <si>
    <t>2327</t>
  </si>
  <si>
    <t>2535</t>
  </si>
  <si>
    <t>2531</t>
  </si>
  <si>
    <t>2532</t>
  </si>
  <si>
    <t>2750</t>
  </si>
  <si>
    <t>2031</t>
  </si>
  <si>
    <t>2536</t>
  </si>
  <si>
    <t>2562</t>
  </si>
  <si>
    <t>2563</t>
  </si>
  <si>
    <t>2552</t>
  </si>
  <si>
    <t>2323</t>
  </si>
  <si>
    <t>2030</t>
  </si>
  <si>
    <t>2534</t>
  </si>
  <si>
    <t>2553</t>
  </si>
  <si>
    <t>2353</t>
  </si>
  <si>
    <t>2533</t>
  </si>
  <si>
    <t>2343</t>
  </si>
  <si>
    <t>2542</t>
  </si>
  <si>
    <t>2555</t>
  </si>
  <si>
    <t>2052</t>
  </si>
  <si>
    <t>2101</t>
  </si>
  <si>
    <t>2209</t>
  </si>
  <si>
    <t>2203</t>
  </si>
  <si>
    <t>2372</t>
  </si>
  <si>
    <t>2210</t>
  </si>
  <si>
    <t>2585</t>
  </si>
  <si>
    <t>2100</t>
  </si>
  <si>
    <t>2577</t>
  </si>
  <si>
    <t>2770</t>
  </si>
  <si>
    <t>2206</t>
  </si>
  <si>
    <t>2373</t>
  </si>
  <si>
    <t>2589</t>
  </si>
  <si>
    <t>2205</t>
  </si>
  <si>
    <t>2763</t>
  </si>
  <si>
    <t>2204</t>
  </si>
  <si>
    <t>2102</t>
  </si>
  <si>
    <t>2103</t>
  </si>
  <si>
    <t>2376</t>
  </si>
  <si>
    <t>2772</t>
  </si>
  <si>
    <t>2375</t>
  </si>
  <si>
    <t>2586</t>
  </si>
  <si>
    <t>2575</t>
  </si>
  <si>
    <t>2587</t>
  </si>
  <si>
    <t>2591</t>
  </si>
  <si>
    <t>2379</t>
  </si>
  <si>
    <t>2374</t>
  </si>
  <si>
    <t>2588</t>
  </si>
  <si>
    <t>2581</t>
  </si>
  <si>
    <t>2771</t>
  </si>
  <si>
    <t>2021</t>
  </si>
  <si>
    <t>2582</t>
  </si>
  <si>
    <t>2753</t>
  </si>
  <si>
    <t>2755</t>
  </si>
  <si>
    <t>2565</t>
  </si>
  <si>
    <t>2564</t>
  </si>
  <si>
    <t>2377</t>
  </si>
  <si>
    <t>2572</t>
  </si>
  <si>
    <t>2378</t>
  </si>
  <si>
    <t>2570</t>
  </si>
  <si>
    <t>2113</t>
  </si>
  <si>
    <t>2213</t>
  </si>
  <si>
    <t>2579</t>
  </si>
  <si>
    <t>2754</t>
  </si>
  <si>
    <t>2212</t>
  </si>
  <si>
    <t>2104</t>
  </si>
  <si>
    <t>2220</t>
  </si>
  <si>
    <t>2214</t>
  </si>
  <si>
    <t>2107</t>
  </si>
  <si>
    <t>2574</t>
  </si>
  <si>
    <t>2580</t>
  </si>
  <si>
    <t>2114</t>
  </si>
  <si>
    <t>2571</t>
  </si>
  <si>
    <t>2111</t>
  </si>
  <si>
    <t>2583</t>
  </si>
  <si>
    <t>2576</t>
  </si>
  <si>
    <t>2110</t>
  </si>
  <si>
    <t>2578</t>
  </si>
  <si>
    <t>2221</t>
  </si>
  <si>
    <t>2573</t>
  </si>
  <si>
    <t>2115</t>
  </si>
  <si>
    <t>2598</t>
  </si>
  <si>
    <t>2215</t>
  </si>
  <si>
    <t>2584</t>
  </si>
  <si>
    <t>2217</t>
  </si>
  <si>
    <t>2569</t>
  </si>
  <si>
    <t>2050</t>
  </si>
  <si>
    <t>2108</t>
  </si>
  <si>
    <t>2216</t>
  </si>
  <si>
    <t>2218</t>
  </si>
  <si>
    <t>2566</t>
  </si>
  <si>
    <t>2219</t>
  </si>
  <si>
    <t>2567</t>
  </si>
  <si>
    <t>2208</t>
  </si>
  <si>
    <t>2207</t>
  </si>
  <si>
    <t>2211</t>
  </si>
  <si>
    <t>2778</t>
  </si>
  <si>
    <t>2775</t>
  </si>
  <si>
    <t>2780</t>
  </si>
  <si>
    <t>2773</t>
  </si>
  <si>
    <t>2721</t>
  </si>
  <si>
    <t>2776</t>
  </si>
  <si>
    <t>2774</t>
  </si>
  <si>
    <t>2764</t>
  </si>
  <si>
    <t>2777</t>
  </si>
  <si>
    <t>2768</t>
  </si>
  <si>
    <t>2766</t>
  </si>
  <si>
    <t>2779</t>
  </si>
  <si>
    <t>2722</t>
  </si>
  <si>
    <t>2710</t>
  </si>
  <si>
    <t>2596</t>
  </si>
  <si>
    <t>2709</t>
  </si>
  <si>
    <t>2784</t>
  </si>
  <si>
    <t>2720</t>
  </si>
  <si>
    <t>2595</t>
  </si>
  <si>
    <t>2593</t>
  </si>
  <si>
    <t>2711</t>
  </si>
  <si>
    <t>2712</t>
  </si>
  <si>
    <t>2708</t>
  </si>
  <si>
    <t>2783</t>
  </si>
  <si>
    <t>2782</t>
  </si>
  <si>
    <t>2769</t>
  </si>
  <si>
    <t>2781</t>
  </si>
  <si>
    <t>2707</t>
  </si>
  <si>
    <t>2592</t>
  </si>
  <si>
    <t>2713</t>
  </si>
  <si>
    <t>2594</t>
  </si>
  <si>
    <t>2785</t>
  </si>
  <si>
    <t>2787</t>
  </si>
  <si>
    <t>2597</t>
  </si>
  <si>
    <t>Ribatejana Verde - Transportes Rodoviários de Passageiros, Unipessoal LDA.</t>
  </si>
  <si>
    <t>CITIRAMA - Viagens e Turismo,  S.A.</t>
  </si>
  <si>
    <t>DIANATOURS - Viagens e Turismo, LDA.</t>
  </si>
  <si>
    <t>EVA - Transportes, S.A.</t>
  </si>
  <si>
    <t>Frota Azul Algarve - Transportes e Turismo, LDA.</t>
  </si>
  <si>
    <t>Sandbus Transportes, Unipessoal LDA.</t>
  </si>
  <si>
    <t>Translagos - Transportes Publicos, LDA.</t>
  </si>
  <si>
    <t>Vizur Transportes, Unipessoal LDA.</t>
  </si>
  <si>
    <t>Mundial Turismo, S.A.</t>
  </si>
  <si>
    <t>LISBOAT, Lda.</t>
  </si>
  <si>
    <t>Vimeca Transporte - Viação Mecânica de Carnaxide, LDA.</t>
  </si>
  <si>
    <t>Atlantic Cargo - Sociedade de Transportes, S.A.</t>
  </si>
  <si>
    <t>RDO - Rodoviária do Oeste, LDA.</t>
  </si>
  <si>
    <t>RDL - Rodoviária do Lis, LDA.</t>
  </si>
  <si>
    <t>Rodolezíria - Transportes Rodoviários de Passageiros, Unipessoal LDA.</t>
  </si>
  <si>
    <t>RMTejo - Transportes Rodoviários de Passageiros, Unipessoal LDA.</t>
  </si>
  <si>
    <t>Transportes Central de Santa Apolónia, LDA.</t>
  </si>
  <si>
    <t>SOTAC - Sociedade de Turismo e Agricultura S.A.</t>
  </si>
  <si>
    <t>Transol - Transportes e Turismo, S.A.</t>
  </si>
  <si>
    <t>ViaNorbus - Transporte Rodoviário de Passageiros, LDA.</t>
  </si>
  <si>
    <t>MTS - Metro, Transportes do Sul, S.A.</t>
  </si>
  <si>
    <t>FERTAGUS - Travessia do Tejo, Transportes, S. A.</t>
  </si>
  <si>
    <t>Viaporto - Operação e Manutenção de Transportes, Unipessoal LDA.</t>
  </si>
  <si>
    <t>FROTIMO - Frota Imobiliária, LDA.</t>
  </si>
  <si>
    <t>ROTAGUS – SGPS, S.A.</t>
  </si>
  <si>
    <t>RODINFORM – Informática aplicada aos Transportes, S.A.</t>
  </si>
  <si>
    <t>Outvalue, LDA.</t>
  </si>
  <si>
    <t>ADMIL - Sociedade Civil de Administração S.A.</t>
  </si>
  <si>
    <t>EVA - Transportes, S.A. - oficina LOULÉ</t>
  </si>
  <si>
    <t>EVA - Transportes, S.A. - oficina LAGOS</t>
  </si>
  <si>
    <t>EVA - Transportes, S.A. - oficina GAMBELAS</t>
  </si>
  <si>
    <t>EVA - Transportes, S.A. - oficina FERREIRAS</t>
  </si>
  <si>
    <t>EVA - Transportes, S.A. - oficina PORTIMAO</t>
  </si>
  <si>
    <t>EVA - Transportes, S.A. - oficina VRSA</t>
  </si>
  <si>
    <t>MixIP</t>
  </si>
  <si>
    <t>RNE - Rede Nacional de Expressos, Lda.</t>
  </si>
  <si>
    <t>Energia Elétrica Terminal Sete Rios</t>
  </si>
  <si>
    <t>Eva Transportes</t>
  </si>
  <si>
    <t>Isidoro Duarte</t>
  </si>
  <si>
    <t>Transviagens</t>
  </si>
  <si>
    <t>Rodoviária Beira Litoral</t>
  </si>
  <si>
    <t>Rodoviária Beira Interior</t>
  </si>
  <si>
    <t>Transdev Interior</t>
  </si>
  <si>
    <t>Transdev Douro</t>
  </si>
  <si>
    <t>Transdev Norte</t>
  </si>
  <si>
    <t>RMTejo</t>
  </si>
  <si>
    <t>RDL - Rodoviária do Lis</t>
  </si>
  <si>
    <t>RDO - Rodoviária do Oeste</t>
  </si>
  <si>
    <t>Rodolezíria</t>
  </si>
  <si>
    <t>Auto Viação Aveirense</t>
  </si>
  <si>
    <t>Resende</t>
  </si>
  <si>
    <t>Frota Azul Algarve</t>
  </si>
  <si>
    <t>António dos Prazeres Silva &amp; Filhos</t>
  </si>
  <si>
    <t>Auto Viação Cura</t>
  </si>
  <si>
    <t>Auto Viação do Tâmega</t>
  </si>
  <si>
    <t>Rodonorte</t>
  </si>
  <si>
    <t>Empresa Berrelhas</t>
  </si>
  <si>
    <t>Ovnitur</t>
  </si>
  <si>
    <t>Lopes &amp; Filhos</t>
  </si>
  <si>
    <t>Vale do Ave</t>
  </si>
  <si>
    <t>Pesado de Passageiros M3: III : Gasóleo : E6</t>
  </si>
  <si>
    <t>Só existem dados dos kms</t>
  </si>
  <si>
    <t>FOLLOW ME TOURS, UNIPESSOAL, LDA.</t>
  </si>
  <si>
    <t>BEST TRANSFERS 4 U - VIAGENS E TURISMO, S.A.</t>
  </si>
  <si>
    <t>ISIDORO DUARTE SA</t>
  </si>
  <si>
    <t>Sotac - Sociedade de Turismo e Agricultura S.A.</t>
  </si>
  <si>
    <t>ROLLER TOWN, S.A.</t>
  </si>
  <si>
    <t>DIVERSOS (ANTÓNIO DA SILVA CRUZ, ADMIL, RECITUR, SOTAC, FROTIMO, RODINFORM)</t>
  </si>
  <si>
    <t>EDP Comercial</t>
  </si>
  <si>
    <t>AXPO</t>
  </si>
  <si>
    <t>BRASIL</t>
  </si>
  <si>
    <t>Ano</t>
  </si>
  <si>
    <t>Mês</t>
  </si>
  <si>
    <t>Set - Dez</t>
  </si>
  <si>
    <t>BT</t>
  </si>
  <si>
    <t>FROTIMO</t>
  </si>
  <si>
    <t>Inclui todas as instalações fixas (Parque de Material e Oficinas, Subestações, Postos de Atendimento e Paragens)</t>
  </si>
  <si>
    <t>Energia de tração</t>
  </si>
  <si>
    <t>EEA</t>
  </si>
  <si>
    <t>EMBER Energy</t>
  </si>
  <si>
    <t>SUBrasil</t>
  </si>
  <si>
    <t>E-Bus, S.A.</t>
  </si>
  <si>
    <t>Instalações</t>
  </si>
  <si>
    <t>Viaturas</t>
  </si>
  <si>
    <t>Finalidade</t>
  </si>
  <si>
    <t>12 meses Queluz Baixo</t>
  </si>
  <si>
    <t>out, nov dez Queluz Baixo</t>
  </si>
  <si>
    <t>12 meses Adroana</t>
  </si>
  <si>
    <t>Viação Alvorada, Lda</t>
  </si>
  <si>
    <t>Auto Viação São José, Lda</t>
  </si>
  <si>
    <t>RMTejo II - Transportes Rodoviários de Passageiros, Unipessoal LDA.</t>
  </si>
  <si>
    <t>Henrique Leonardo Mota, LDA.</t>
  </si>
  <si>
    <t>Vega Manaus, Lda</t>
  </si>
  <si>
    <t>Roller Town - Transportes Turísticos Citadinos, S.A.</t>
  </si>
  <si>
    <t>Repetido?</t>
  </si>
  <si>
    <t>ViaPorto/subcontratado</t>
  </si>
  <si>
    <t>Póvoa da Galega</t>
  </si>
  <si>
    <t>Complexo Formação, Coina</t>
  </si>
  <si>
    <t>Sede, Pragal</t>
  </si>
  <si>
    <t>Estação Palmela</t>
  </si>
  <si>
    <t>Estação Venda do Alcaide</t>
  </si>
  <si>
    <t>R410-A (não tem correspondência na tabela disponível)
HFC-125 (50%) + HFC-32 (50%)
Não ocorreram fugas</t>
  </si>
  <si>
    <t>Não ocorreram fugas</t>
  </si>
  <si>
    <t>R-407C (não tem correspondência na tabela)
HFC-134a (52%) + HFC-125 (25%) + HFC-32 (23%)
Não ocorreram fugas</t>
  </si>
  <si>
    <t>Entrada: 4740kg ; Saída/Venda: 925,65 kg. Fonte Movimentos Gases Fluorados AS400 + Mapa reporte APA</t>
  </si>
  <si>
    <t>DEFRA:2023</t>
  </si>
  <si>
    <t>Único</t>
  </si>
  <si>
    <t>Única</t>
  </si>
  <si>
    <t>1060 euro (2,66 euro/kg)</t>
  </si>
  <si>
    <t>Refeitório (refeições e aquecimento agua)</t>
  </si>
  <si>
    <t>não existiram abastecimentos em 2023</t>
  </si>
  <si>
    <t>Consumo Interno</t>
  </si>
  <si>
    <t>empilhadores, geradores e máquinas lavagem peças</t>
  </si>
  <si>
    <t>balneários e refeitório</t>
  </si>
  <si>
    <t>Oficina - balneário</t>
  </si>
  <si>
    <t>geradores</t>
  </si>
  <si>
    <t>Viaturas de serviço</t>
  </si>
  <si>
    <t>Obs II</t>
  </si>
  <si>
    <t>11 viaturas</t>
  </si>
  <si>
    <t>8 viaturas</t>
  </si>
  <si>
    <t>5 viaturas (hibridos plug-in)</t>
  </si>
  <si>
    <t>Frota de Apoio à Produção</t>
  </si>
  <si>
    <t>Viatura de serviço</t>
  </si>
  <si>
    <t>Viaturas serviço apoio</t>
  </si>
  <si>
    <t>Frota Não-Operacional</t>
  </si>
  <si>
    <t>7 viaturas de função</t>
  </si>
  <si>
    <t>6 viaturas de serviço</t>
  </si>
  <si>
    <t>-</t>
  </si>
  <si>
    <t>23-40-EH</t>
  </si>
  <si>
    <t>54-76-ZO</t>
  </si>
  <si>
    <t>05-AV-47</t>
  </si>
  <si>
    <t>54-78-ZO</t>
  </si>
  <si>
    <t>28-AV-28</t>
  </si>
  <si>
    <t>AF-29-HP</t>
  </si>
  <si>
    <t>85-TX-63</t>
  </si>
  <si>
    <t>00-UD-59</t>
  </si>
  <si>
    <t>84-UG-40</t>
  </si>
  <si>
    <t>30-PI-40</t>
  </si>
  <si>
    <t>30-PI-42</t>
  </si>
  <si>
    <t>30-PI-27</t>
  </si>
  <si>
    <t>58-RM-97</t>
  </si>
  <si>
    <t>59-SP-70</t>
  </si>
  <si>
    <t>89-UP-33</t>
  </si>
  <si>
    <t>AZ-39-GR</t>
  </si>
  <si>
    <t>AZ-38-GR</t>
  </si>
  <si>
    <t>54-MC-93</t>
  </si>
  <si>
    <t>68-PL-14</t>
  </si>
  <si>
    <t>13-PO-59</t>
  </si>
  <si>
    <t>13-PO-60</t>
  </si>
  <si>
    <t>69-QV-74</t>
  </si>
  <si>
    <t>58-ZM-15</t>
  </si>
  <si>
    <t>76-ZS-73</t>
  </si>
  <si>
    <t>76-ZS-79</t>
  </si>
  <si>
    <t>76-ZS-81</t>
  </si>
  <si>
    <t>45-ZX-12</t>
  </si>
  <si>
    <t>BC-61-XH</t>
  </si>
  <si>
    <t>BF-82-AB</t>
  </si>
  <si>
    <t>99-71-EI</t>
  </si>
  <si>
    <t>4008</t>
  </si>
  <si>
    <t>4009</t>
  </si>
  <si>
    <t>4011</t>
  </si>
  <si>
    <t>4019</t>
  </si>
  <si>
    <t>4691</t>
  </si>
  <si>
    <t>4790</t>
  </si>
  <si>
    <t>4792</t>
  </si>
  <si>
    <t>4793</t>
  </si>
  <si>
    <t>4794</t>
  </si>
  <si>
    <t>4797</t>
  </si>
  <si>
    <t>4798</t>
  </si>
  <si>
    <t>4000</t>
  </si>
  <si>
    <t>4795</t>
  </si>
  <si>
    <t>4796</t>
  </si>
  <si>
    <t>4799</t>
  </si>
  <si>
    <t>4957</t>
  </si>
  <si>
    <t>4958</t>
  </si>
  <si>
    <t>4964</t>
  </si>
  <si>
    <t>4001</t>
  </si>
  <si>
    <t>4004</t>
  </si>
  <si>
    <t>4005</t>
  </si>
  <si>
    <t>4007</t>
  </si>
  <si>
    <t>4013</t>
  </si>
  <si>
    <t>4014</t>
  </si>
  <si>
    <t>4017</t>
  </si>
  <si>
    <t>4018</t>
  </si>
  <si>
    <t>4696</t>
  </si>
  <si>
    <t>4015</t>
  </si>
  <si>
    <t>4695</t>
  </si>
  <si>
    <t>4908</t>
  </si>
  <si>
    <t>12-RV-48</t>
  </si>
  <si>
    <t>25-50-QD</t>
  </si>
  <si>
    <t>32-EA-68</t>
  </si>
  <si>
    <t>BD-38-GZ</t>
  </si>
  <si>
    <t>41-BZ-43</t>
  </si>
  <si>
    <t>71-BL-41</t>
  </si>
  <si>
    <t>81-TQ-32</t>
  </si>
  <si>
    <t>AF-15-SU</t>
  </si>
  <si>
    <t>42-SH-81</t>
  </si>
  <si>
    <t>87-VI-73</t>
  </si>
  <si>
    <t>BG-64-MC</t>
  </si>
  <si>
    <t>57-UA-16</t>
  </si>
  <si>
    <t>31-UB-16</t>
  </si>
  <si>
    <t>69-TA-01</t>
  </si>
  <si>
    <t>78-IX-37</t>
  </si>
  <si>
    <t>78-IX-38</t>
  </si>
  <si>
    <t>78-IX-39</t>
  </si>
  <si>
    <t>78-IX-41</t>
  </si>
  <si>
    <t>78-IX-42</t>
  </si>
  <si>
    <t>78-IX-43</t>
  </si>
  <si>
    <t>81-OP-49</t>
  </si>
  <si>
    <t>86-VB-69</t>
  </si>
  <si>
    <t>91-RI-60</t>
  </si>
  <si>
    <t>AO-28-XT</t>
  </si>
  <si>
    <t>AD-69-JP</t>
  </si>
  <si>
    <t>AX-26-LL</t>
  </si>
  <si>
    <t>BG-15-DS</t>
  </si>
  <si>
    <t>BG-33-DS</t>
  </si>
  <si>
    <t>BI-02-PQ</t>
  </si>
  <si>
    <t>BJ-30-QC</t>
  </si>
  <si>
    <t>09-SV-22</t>
  </si>
  <si>
    <t>AJ-12-IA</t>
  </si>
  <si>
    <t>BM-55-EM</t>
  </si>
  <si>
    <t>AV-98-JT</t>
  </si>
  <si>
    <t>BF-27-SC</t>
  </si>
  <si>
    <t>BN-77-SF</t>
  </si>
  <si>
    <t>96-82-QL</t>
  </si>
  <si>
    <t>98-EA-36</t>
  </si>
  <si>
    <t>16-MO-37</t>
  </si>
  <si>
    <t>22-FJ-77</t>
  </si>
  <si>
    <t>39-PV-47</t>
  </si>
  <si>
    <t>60-VU-27</t>
  </si>
  <si>
    <t>96-83-PM</t>
  </si>
  <si>
    <t>AG-51-NS</t>
  </si>
  <si>
    <t>69-JU-95</t>
  </si>
  <si>
    <t>88-MJ-54</t>
  </si>
  <si>
    <t>BC-82-PQ</t>
  </si>
  <si>
    <t>BH-01-FL</t>
  </si>
  <si>
    <t xml:space="preserve">          </t>
  </si>
  <si>
    <t>Viatura de apoio a manutenção e exploração</t>
  </si>
  <si>
    <t xml:space="preserve">Viatura de apoio a manutenção </t>
  </si>
  <si>
    <t>Viatura de Apoio a Emergência</t>
  </si>
  <si>
    <t>Vaitura de apoio à manutenção de infraestrutura</t>
  </si>
  <si>
    <t>Híbrido Gasolina</t>
  </si>
  <si>
    <t>JJ Ferrovia, SA</t>
  </si>
  <si>
    <t>Serviço misto</t>
  </si>
  <si>
    <t>Serviço Comercial Exclusivo</t>
  </si>
  <si>
    <t>SPTP Exclusivo</t>
  </si>
  <si>
    <t>Expressos Exclusivo</t>
  </si>
  <si>
    <t>Eletrico Baterias</t>
  </si>
  <si>
    <t>Pesado de Passageiros M4</t>
  </si>
  <si>
    <t>MH1 MARUJO</t>
  </si>
  <si>
    <t>Transporte Fluvial de Passageiros</t>
  </si>
  <si>
    <t>E7</t>
  </si>
  <si>
    <t>88-NO-69</t>
  </si>
  <si>
    <t>88-NO-70</t>
  </si>
  <si>
    <t>88-NO-71</t>
  </si>
  <si>
    <t>88-NO-72</t>
  </si>
  <si>
    <t>47-TG-42</t>
  </si>
  <si>
    <t>30-SS-00</t>
  </si>
  <si>
    <t>35-UC-89</t>
  </si>
  <si>
    <t>05-UF-73</t>
  </si>
  <si>
    <t>88-NO-74</t>
  </si>
  <si>
    <t>88-NO-75</t>
  </si>
  <si>
    <t>08-RV-13</t>
  </si>
  <si>
    <t>19-RV-00</t>
  </si>
  <si>
    <t>87-LG-22</t>
  </si>
  <si>
    <t>02-LH-63</t>
  </si>
  <si>
    <t>46-RH-09</t>
  </si>
  <si>
    <t>46-RH-10</t>
  </si>
  <si>
    <t>57-RH-85</t>
  </si>
  <si>
    <t>57-RH-86</t>
  </si>
  <si>
    <t>46-SZ-08</t>
  </si>
  <si>
    <t>46-SZ-09</t>
  </si>
  <si>
    <t>04-XS-94</t>
  </si>
  <si>
    <t>04-XS-95</t>
  </si>
  <si>
    <t>AB-92-VV</t>
  </si>
  <si>
    <t>AB-94-VV</t>
  </si>
  <si>
    <t>AB-95-VV</t>
  </si>
  <si>
    <t>AB-96-VV</t>
  </si>
  <si>
    <t>AB-98-VV</t>
  </si>
  <si>
    <t>94-81-XA</t>
  </si>
  <si>
    <t>89-45-XC</t>
  </si>
  <si>
    <t>89-53-XC</t>
  </si>
  <si>
    <t>89-43-XC</t>
  </si>
  <si>
    <t>89-44-XC</t>
  </si>
  <si>
    <t>47-UF-58</t>
  </si>
  <si>
    <t>87-UQ-86</t>
  </si>
  <si>
    <t>88-OG-85</t>
  </si>
  <si>
    <t>88-OG-86</t>
  </si>
  <si>
    <t>88-OG-87</t>
  </si>
  <si>
    <t>77-ON-31</t>
  </si>
  <si>
    <t>84-QS-10</t>
  </si>
  <si>
    <t>84-QS-11</t>
  </si>
  <si>
    <t>84-QS-12</t>
  </si>
  <si>
    <t>84-QS-47</t>
  </si>
  <si>
    <t>84-QS-48</t>
  </si>
  <si>
    <t>42-NL-27</t>
  </si>
  <si>
    <t>42-NL-36</t>
  </si>
  <si>
    <t>42-NL-37</t>
  </si>
  <si>
    <t>42-NL-38</t>
  </si>
  <si>
    <t>26-RB-06</t>
  </si>
  <si>
    <t>62-RC-13</t>
  </si>
  <si>
    <t>62-RC-14</t>
  </si>
  <si>
    <t>26-RB-07</t>
  </si>
  <si>
    <t>90-QV-93</t>
  </si>
  <si>
    <t>81-VV-85</t>
  </si>
  <si>
    <t>81-VV-93</t>
  </si>
  <si>
    <t>75-XA-97</t>
  </si>
  <si>
    <t>76-XA-19</t>
  </si>
  <si>
    <t>54-ZU-83</t>
  </si>
  <si>
    <t>54-ZU-91</t>
  </si>
  <si>
    <t>AZ-40-JH</t>
  </si>
  <si>
    <t>AZ-41-JH</t>
  </si>
  <si>
    <t>AX-07-CO</t>
  </si>
  <si>
    <t>AX-08-CO</t>
  </si>
  <si>
    <t>AX-09-CO</t>
  </si>
  <si>
    <t>AX-10-CO</t>
  </si>
  <si>
    <t>AX-12-CO</t>
  </si>
  <si>
    <t>AX-13-CO</t>
  </si>
  <si>
    <t>AX-14-CO</t>
  </si>
  <si>
    <t>84-QS-50</t>
  </si>
  <si>
    <t>84-QS-39</t>
  </si>
  <si>
    <t>76-SI-41</t>
  </si>
  <si>
    <t>76-SI-42</t>
  </si>
  <si>
    <t>76-SI-43</t>
  </si>
  <si>
    <t>67-UC-40</t>
  </si>
  <si>
    <t>67-UC-42</t>
  </si>
  <si>
    <t>67-UC-49</t>
  </si>
  <si>
    <t>67-UC-59</t>
  </si>
  <si>
    <t>74-XB-58</t>
  </si>
  <si>
    <t>74-XB-59</t>
  </si>
  <si>
    <t>74-XB-60</t>
  </si>
  <si>
    <t>93-XA-43</t>
  </si>
  <si>
    <t>93-XA-48</t>
  </si>
  <si>
    <t>99-NN-61</t>
  </si>
  <si>
    <t>99-NN-62</t>
  </si>
  <si>
    <t>88-OG-67</t>
  </si>
  <si>
    <t>57-PL-22</t>
  </si>
  <si>
    <t>57-PL-24</t>
  </si>
  <si>
    <t>57-PL-23</t>
  </si>
  <si>
    <t>94-TG-21</t>
  </si>
  <si>
    <t>92-LI-80</t>
  </si>
  <si>
    <t>13-BC-26</t>
  </si>
  <si>
    <t>26-BC-37</t>
  </si>
  <si>
    <t>13-BC-25</t>
  </si>
  <si>
    <t>17-FJ-65</t>
  </si>
  <si>
    <t>22-BN-79</t>
  </si>
  <si>
    <t>22-BN-80</t>
  </si>
  <si>
    <t>22-BN-81</t>
  </si>
  <si>
    <t>04-FJ-02</t>
  </si>
  <si>
    <t>62-FM-28</t>
  </si>
  <si>
    <t>62-FM-29</t>
  </si>
  <si>
    <t>62-FM-30</t>
  </si>
  <si>
    <t>71-NP-72</t>
  </si>
  <si>
    <t>94-TG-22</t>
  </si>
  <si>
    <t>80-HC-19</t>
  </si>
  <si>
    <t>80-HC-20</t>
  </si>
  <si>
    <t>80-HC-15</t>
  </si>
  <si>
    <t>80-HC-22</t>
  </si>
  <si>
    <t>80-HC-18</t>
  </si>
  <si>
    <t>88-OG-73</t>
  </si>
  <si>
    <t>47-VH-45</t>
  </si>
  <si>
    <t>47-VH-46</t>
  </si>
  <si>
    <t>47-VH-47</t>
  </si>
  <si>
    <t>84-HC-43</t>
  </si>
  <si>
    <t>66-FO-07</t>
  </si>
  <si>
    <t>17-FJ-64</t>
  </si>
  <si>
    <t>17-FJ-59</t>
  </si>
  <si>
    <t>66-LF-19</t>
  </si>
  <si>
    <t>66-LF-20</t>
  </si>
  <si>
    <t>79-LP-16</t>
  </si>
  <si>
    <t>90-LP-64</t>
  </si>
  <si>
    <t>90-LP-65</t>
  </si>
  <si>
    <t>98-MT-00</t>
  </si>
  <si>
    <t>80-HC-17</t>
  </si>
  <si>
    <t>59-LO-19</t>
  </si>
  <si>
    <t>98-MT-01</t>
  </si>
  <si>
    <t>98-MT-03</t>
  </si>
  <si>
    <t>BA-22-QV</t>
  </si>
  <si>
    <t>BA-28-QV</t>
  </si>
  <si>
    <t>84-QS-32</t>
  </si>
  <si>
    <t>84-QS-31</t>
  </si>
  <si>
    <t>81-XB-07</t>
  </si>
  <si>
    <t>81-XB-08</t>
  </si>
  <si>
    <t>81-XB-11</t>
  </si>
  <si>
    <t>99-US-11</t>
  </si>
  <si>
    <t>75-ST-63</t>
  </si>
  <si>
    <t>76-SI-35</t>
  </si>
  <si>
    <t>76-SI-44</t>
  </si>
  <si>
    <t>76-SI-45</t>
  </si>
  <si>
    <t>76-SI-46</t>
  </si>
  <si>
    <t>76-SI-47</t>
  </si>
  <si>
    <t>76-SI-48</t>
  </si>
  <si>
    <t>85-SX-00</t>
  </si>
  <si>
    <t>85-SX-01</t>
  </si>
  <si>
    <t>85-SX-02</t>
  </si>
  <si>
    <t>99-UB-87</t>
  </si>
  <si>
    <t>02-UC-26</t>
  </si>
  <si>
    <t>45-XO-21</t>
  </si>
  <si>
    <t>45-XO-28</t>
  </si>
  <si>
    <t>99-UB-92</t>
  </si>
  <si>
    <t>88-XA-99</t>
  </si>
  <si>
    <t>89-XA-11</t>
  </si>
  <si>
    <t>82-JR-50</t>
  </si>
  <si>
    <t>46-OJ-82</t>
  </si>
  <si>
    <t>62-FM-27</t>
  </si>
  <si>
    <t>46-PS-08</t>
  </si>
  <si>
    <t>67-UC-64</t>
  </si>
  <si>
    <t>67-UC-67</t>
  </si>
  <si>
    <t>AX-05-CO</t>
  </si>
  <si>
    <t>53-QV-50</t>
  </si>
  <si>
    <t>80-HC-16</t>
  </si>
  <si>
    <t>28-SC-27</t>
  </si>
  <si>
    <t>13-BC-29</t>
  </si>
  <si>
    <t>89-51-XC</t>
  </si>
  <si>
    <t>28-98-XL</t>
  </si>
  <si>
    <t>53-RE-24</t>
  </si>
  <si>
    <t>20-UD-28</t>
  </si>
  <si>
    <t>21-NQ-56</t>
  </si>
  <si>
    <t>21-NQ-59</t>
  </si>
  <si>
    <t>21-NQ-61</t>
  </si>
  <si>
    <t>36-PI-50</t>
  </si>
  <si>
    <t>68-ST-51</t>
  </si>
  <si>
    <t>68-ST-54</t>
  </si>
  <si>
    <t>84-QS-42</t>
  </si>
  <si>
    <t>88-OG-68</t>
  </si>
  <si>
    <t>89-PM-51</t>
  </si>
  <si>
    <t>89-PM-52</t>
  </si>
  <si>
    <t>21-TA-34</t>
  </si>
  <si>
    <t>84-QS-44</t>
  </si>
  <si>
    <t>84-QS-45</t>
  </si>
  <si>
    <t>80-HC-24</t>
  </si>
  <si>
    <t>80-HC-25</t>
  </si>
  <si>
    <t>80-HC-23</t>
  </si>
  <si>
    <t>84-HC-58</t>
  </si>
  <si>
    <t>28-99-XL</t>
  </si>
  <si>
    <t>95-RQ-44</t>
  </si>
  <si>
    <t>34-RN-34</t>
  </si>
  <si>
    <t>78-98-XG</t>
  </si>
  <si>
    <t>16-JF-32</t>
  </si>
  <si>
    <t>16-JF-33</t>
  </si>
  <si>
    <t>89-XH-48</t>
  </si>
  <si>
    <t>91 XH 18</t>
  </si>
  <si>
    <t>10-ZC-06</t>
  </si>
  <si>
    <t>92-ZE-37</t>
  </si>
  <si>
    <t>65-ZQ-67 </t>
  </si>
  <si>
    <t>66-ZQ-42</t>
  </si>
  <si>
    <t>95-ZZ-75</t>
  </si>
  <si>
    <t>AZ-36-EZ</t>
  </si>
  <si>
    <t>AZ-40-EZ</t>
  </si>
  <si>
    <t>AZ-57-EZ</t>
  </si>
  <si>
    <t>AZ-78-EZ</t>
  </si>
  <si>
    <t>69-UU-31</t>
  </si>
  <si>
    <t>18-UT-68</t>
  </si>
  <si>
    <t>17-UP-31</t>
  </si>
  <si>
    <t>17-UP-37</t>
  </si>
  <si>
    <t>17-UP-39</t>
  </si>
  <si>
    <t>17-UP-74</t>
  </si>
  <si>
    <t>AR-44-GE</t>
  </si>
  <si>
    <t>91-UN-59</t>
  </si>
  <si>
    <t>AR-45-GE</t>
  </si>
  <si>
    <t>Eletrico</t>
  </si>
  <si>
    <t>21-NQ-55</t>
  </si>
  <si>
    <t>21-NQ-57</t>
  </si>
  <si>
    <t>21-NQ-60</t>
  </si>
  <si>
    <t>11-NR-30</t>
  </si>
  <si>
    <t>61-VI-64</t>
  </si>
  <si>
    <t>23-VJ-60</t>
  </si>
  <si>
    <t>10-ZH-55</t>
  </si>
  <si>
    <t>10-ZH-52</t>
  </si>
  <si>
    <t>10-ZH-54</t>
  </si>
  <si>
    <t>10-ZH-53</t>
  </si>
  <si>
    <t>AB-97-VV</t>
  </si>
  <si>
    <t>89-LL-04</t>
  </si>
  <si>
    <t>89-LL-05</t>
  </si>
  <si>
    <t>89-XA-28</t>
  </si>
  <si>
    <t>62-NO-74</t>
  </si>
  <si>
    <t>62-NO-75</t>
  </si>
  <si>
    <t>62-NO-76</t>
  </si>
  <si>
    <t>62-NO-77</t>
  </si>
  <si>
    <t>64-NP-59</t>
  </si>
  <si>
    <t>64-NP-60</t>
  </si>
  <si>
    <t>64-NP-61</t>
  </si>
  <si>
    <t>64-NP-62</t>
  </si>
  <si>
    <t>32-UR-61</t>
  </si>
  <si>
    <t>32-UR-65</t>
  </si>
  <si>
    <t>14-UV-79</t>
  </si>
  <si>
    <t>14-UV-80</t>
  </si>
  <si>
    <t>AZ-12-ZE</t>
  </si>
  <si>
    <t>AZ-16-ZJ</t>
  </si>
  <si>
    <t>AZ-97-ZD</t>
  </si>
  <si>
    <t>34-PA-59</t>
  </si>
  <si>
    <t>95-LV-74</t>
  </si>
  <si>
    <t>AS-11-JB</t>
  </si>
  <si>
    <t>AS-29-MN</t>
  </si>
  <si>
    <t>22-PV-51</t>
  </si>
  <si>
    <t>AS-20-NQ</t>
  </si>
  <si>
    <t>AS-39-MO</t>
  </si>
  <si>
    <t>AS-66-MN</t>
  </si>
  <si>
    <t>22-PV-53</t>
  </si>
  <si>
    <t>22-PV-54</t>
  </si>
  <si>
    <t>AZ-82-TB</t>
  </si>
  <si>
    <t>AZ-21-TE</t>
  </si>
  <si>
    <t>AZ-19-TD</t>
  </si>
  <si>
    <t>AZ-08-TC</t>
  </si>
  <si>
    <t>AZ-11-XA</t>
  </si>
  <si>
    <t>AZ-62-TA</t>
  </si>
  <si>
    <t>AZ-37-VU</t>
  </si>
  <si>
    <t>AZ-44-VV</t>
  </si>
  <si>
    <t>AZ-10-XP</t>
  </si>
  <si>
    <t>AZ-47-XM</t>
  </si>
  <si>
    <t>AZ-08-VX</t>
  </si>
  <si>
    <t>BA-92-AZ</t>
  </si>
  <si>
    <t>AZ-51-ZH</t>
  </si>
  <si>
    <t>AZ-02-ZF</t>
  </si>
  <si>
    <t>AZ-00-ZF</t>
  </si>
  <si>
    <t>AZ-62-ZF</t>
  </si>
  <si>
    <t>AZ-86-ZD</t>
  </si>
  <si>
    <t>AZ-89-ZI</t>
  </si>
  <si>
    <t>24-RT-91</t>
  </si>
  <si>
    <t>24-RT-92</t>
  </si>
  <si>
    <t>19-TL-02</t>
  </si>
  <si>
    <t>19-TL-03</t>
  </si>
  <si>
    <t>60-VI-75</t>
  </si>
  <si>
    <t>62-VI-17</t>
  </si>
  <si>
    <t>63-VI-04</t>
  </si>
  <si>
    <t>77-XO-19</t>
  </si>
  <si>
    <t>61-XP-45</t>
  </si>
  <si>
    <t>61-XP-86</t>
  </si>
  <si>
    <t>63-XP-21</t>
  </si>
  <si>
    <t>76-XO-52</t>
  </si>
  <si>
    <t>76-XO-53</t>
  </si>
  <si>
    <t>77-XO-52</t>
  </si>
  <si>
    <t>78-XO-41</t>
  </si>
  <si>
    <t>78-XO-44</t>
  </si>
  <si>
    <t>79-XO-75</t>
  </si>
  <si>
    <t>61-XP-19</t>
  </si>
  <si>
    <t>50-59-XR</t>
  </si>
  <si>
    <t>52-HH-64</t>
  </si>
  <si>
    <t>58-PI-94</t>
  </si>
  <si>
    <t>56-UV-36</t>
  </si>
  <si>
    <t>AD-62-DE</t>
  </si>
  <si>
    <t>AD-63-DE</t>
  </si>
  <si>
    <t>AD-64-DE</t>
  </si>
  <si>
    <t>AD-65-DE</t>
  </si>
  <si>
    <t>AD-66-DE</t>
  </si>
  <si>
    <t>AD-67-DE</t>
  </si>
  <si>
    <t>AD-68-DE</t>
  </si>
  <si>
    <t>AD-69-DE</t>
  </si>
  <si>
    <t>AD-70-DE</t>
  </si>
  <si>
    <t>AD-71-DE</t>
  </si>
  <si>
    <t>AE-11-UL</t>
  </si>
  <si>
    <t>AE-13-UL</t>
  </si>
  <si>
    <t>AE-14-UL</t>
  </si>
  <si>
    <t>AE-15-UL</t>
  </si>
  <si>
    <t>AE-19-UL</t>
  </si>
  <si>
    <t>AF-60-GO</t>
  </si>
  <si>
    <t>AF-61-GO</t>
  </si>
  <si>
    <t>AF-62-GO</t>
  </si>
  <si>
    <t>AF-63-GO</t>
  </si>
  <si>
    <t>AF-64-GO</t>
  </si>
  <si>
    <t>AF-65-GO</t>
  </si>
  <si>
    <t>AF-67-GO</t>
  </si>
  <si>
    <t>AF-68-GO</t>
  </si>
  <si>
    <t>AF-70-GO</t>
  </si>
  <si>
    <t>AF-71-GO</t>
  </si>
  <si>
    <t>AF-72-GO</t>
  </si>
  <si>
    <t>AF-73-GO</t>
  </si>
  <si>
    <t>AF-74-GO</t>
  </si>
  <si>
    <t>AF-76-GO</t>
  </si>
  <si>
    <t>AF-78-GO</t>
  </si>
  <si>
    <t>AE-20-UL</t>
  </si>
  <si>
    <t>AF-79-GO</t>
  </si>
  <si>
    <t>54-SC-79</t>
  </si>
  <si>
    <t>50-ST-81</t>
  </si>
  <si>
    <t>38-ZE-63</t>
  </si>
  <si>
    <t>13-BC-28</t>
  </si>
  <si>
    <t>57-VJ-50</t>
  </si>
  <si>
    <t>60-UR-31</t>
  </si>
  <si>
    <t>47-RZ-08</t>
  </si>
  <si>
    <t>55-VJ-70</t>
  </si>
  <si>
    <t>35-OF-71</t>
  </si>
  <si>
    <t>44-OF-23</t>
  </si>
  <si>
    <t>59-OF-49</t>
  </si>
  <si>
    <t>85-XN-65</t>
  </si>
  <si>
    <t>48-VP-79</t>
  </si>
  <si>
    <t>84-VQ-08</t>
  </si>
  <si>
    <t>98-VM-60</t>
  </si>
  <si>
    <t>68-VJ-59</t>
  </si>
  <si>
    <t>49-VP-64</t>
  </si>
  <si>
    <t>77-SU-66</t>
  </si>
  <si>
    <t>BA-83-FF</t>
  </si>
  <si>
    <t>34-PA-60</t>
  </si>
  <si>
    <t>66-87-XX</t>
  </si>
  <si>
    <t>66-88-XX</t>
  </si>
  <si>
    <t>BA-83-FB</t>
  </si>
  <si>
    <t>BA-24-MQ</t>
  </si>
  <si>
    <t>30-GC-22</t>
  </si>
  <si>
    <t>30-GC-21</t>
  </si>
  <si>
    <t>30-GC-20</t>
  </si>
  <si>
    <t>36-QI-52</t>
  </si>
  <si>
    <t>36-QI-51</t>
  </si>
  <si>
    <t>30-QL-40</t>
  </si>
  <si>
    <t>83-QM-29</t>
  </si>
  <si>
    <t>83-QM-30</t>
  </si>
  <si>
    <t>57-QP-40</t>
  </si>
  <si>
    <t>85-XN-77</t>
  </si>
  <si>
    <t>57-RZ-98</t>
  </si>
  <si>
    <t>42-SP-58</t>
  </si>
  <si>
    <t>54-RI-97</t>
  </si>
  <si>
    <t>75-RM-71</t>
  </si>
  <si>
    <t>57-RZ-99</t>
  </si>
  <si>
    <t>96-RP-62</t>
  </si>
  <si>
    <t>70-PO-72</t>
  </si>
  <si>
    <t>79-SZ-40</t>
  </si>
  <si>
    <t>11-TF-62</t>
  </si>
  <si>
    <t>58-VS-50</t>
  </si>
  <si>
    <t>55-VJ-45</t>
  </si>
  <si>
    <t>41-VO-09</t>
  </si>
  <si>
    <t>96-VQ-51</t>
  </si>
  <si>
    <t>02-VL-83</t>
  </si>
  <si>
    <t>46-TT-34</t>
  </si>
  <si>
    <t>37-TA-82</t>
  </si>
  <si>
    <t>98-VM-44</t>
  </si>
  <si>
    <t>94-85-XA</t>
  </si>
  <si>
    <t>21-NQ-62</t>
  </si>
  <si>
    <t>56-UV-27</t>
  </si>
  <si>
    <t>56-UV-28</t>
  </si>
  <si>
    <t>56-UV-30</t>
  </si>
  <si>
    <t>56-UV-34</t>
  </si>
  <si>
    <t>58-VI-00</t>
  </si>
  <si>
    <t>58-VI-02</t>
  </si>
  <si>
    <t>57-VI-96</t>
  </si>
  <si>
    <t>91-XA-08</t>
  </si>
  <si>
    <t>89-XA-10</t>
  </si>
  <si>
    <t>89-XA-72</t>
  </si>
  <si>
    <t>22-PV-52</t>
  </si>
  <si>
    <t>36-VG-58</t>
  </si>
  <si>
    <t>47-RU-70</t>
  </si>
  <si>
    <t>36-TI-97</t>
  </si>
  <si>
    <t>14-QL-98</t>
  </si>
  <si>
    <t>32-QJ-12</t>
  </si>
  <si>
    <t>19-XP-41</t>
  </si>
  <si>
    <t>47-RU-71</t>
  </si>
  <si>
    <t>95-MR-56</t>
  </si>
  <si>
    <t>95-MR-57</t>
  </si>
  <si>
    <t>45-VC-34</t>
  </si>
  <si>
    <t>AE-12-UL</t>
  </si>
  <si>
    <t>AE-16-UL</t>
  </si>
  <si>
    <t>AE-17-UL</t>
  </si>
  <si>
    <t>AE-18-UL</t>
  </si>
  <si>
    <t>AF-66-GO</t>
  </si>
  <si>
    <t>AF-69-GO</t>
  </si>
  <si>
    <t>AF-75-GO</t>
  </si>
  <si>
    <t>AF-77-GO</t>
  </si>
  <si>
    <t>AS-22-IV</t>
  </si>
  <si>
    <t>AS-29-JB</t>
  </si>
  <si>
    <t>AS-41-IZ</t>
  </si>
  <si>
    <t>AS-45-IX</t>
  </si>
  <si>
    <t>AS-47-IX</t>
  </si>
  <si>
    <t>17-VT-32</t>
  </si>
  <si>
    <t>AS-48-IV</t>
  </si>
  <si>
    <t>AS-55-IX</t>
  </si>
  <si>
    <t>AS-58-JA</t>
  </si>
  <si>
    <t>AS-90-JB</t>
  </si>
  <si>
    <t>AS-96-JB</t>
  </si>
  <si>
    <t>AZ-72-TQ</t>
  </si>
  <si>
    <t>19-XL-34</t>
  </si>
  <si>
    <t>AZ-39-TC</t>
  </si>
  <si>
    <t>AZ-44-TD</t>
  </si>
  <si>
    <t>AZ-08-TR</t>
  </si>
  <si>
    <t>AZ-22-TA</t>
  </si>
  <si>
    <t>AZ-33-TD</t>
  </si>
  <si>
    <t>AZ-89-TA</t>
  </si>
  <si>
    <t>AZ-24-TB</t>
  </si>
  <si>
    <t>85-TD-22</t>
  </si>
  <si>
    <t>AC-26-AM</t>
  </si>
  <si>
    <t>AC-27-AM</t>
  </si>
  <si>
    <t>60-VI-79</t>
  </si>
  <si>
    <t>60-VI-80</t>
  </si>
  <si>
    <t>60-VI-88</t>
  </si>
  <si>
    <t>24-VJ-96</t>
  </si>
  <si>
    <t>2022</t>
  </si>
  <si>
    <t>2024</t>
  </si>
  <si>
    <t>2023</t>
  </si>
  <si>
    <t>4048</t>
  </si>
  <si>
    <t>4054</t>
  </si>
  <si>
    <t>4060</t>
  </si>
  <si>
    <t>4070</t>
  </si>
  <si>
    <t>4078</t>
  </si>
  <si>
    <t>4088</t>
  </si>
  <si>
    <t>4089</t>
  </si>
  <si>
    <t>4107</t>
  </si>
  <si>
    <t>4112</t>
  </si>
  <si>
    <t>4118</t>
  </si>
  <si>
    <t>4119</t>
  </si>
  <si>
    <t>4120</t>
  </si>
  <si>
    <t>4123</t>
  </si>
  <si>
    <t>4125</t>
  </si>
  <si>
    <t>4127</t>
  </si>
  <si>
    <t>4128</t>
  </si>
  <si>
    <t>4129</t>
  </si>
  <si>
    <t>4131</t>
  </si>
  <si>
    <t>4132</t>
  </si>
  <si>
    <t>4133</t>
  </si>
  <si>
    <t>4134</t>
  </si>
  <si>
    <t>4140</t>
  </si>
  <si>
    <t>4141</t>
  </si>
  <si>
    <t>4144</t>
  </si>
  <si>
    <t>4147</t>
  </si>
  <si>
    <t>4151</t>
  </si>
  <si>
    <t>4175</t>
  </si>
  <si>
    <t>4176</t>
  </si>
  <si>
    <t>4182</t>
  </si>
  <si>
    <t>4183</t>
  </si>
  <si>
    <t>4184</t>
  </si>
  <si>
    <t>4185</t>
  </si>
  <si>
    <t>4189</t>
  </si>
  <si>
    <t>4190</t>
  </si>
  <si>
    <t>4191</t>
  </si>
  <si>
    <t>4192</t>
  </si>
  <si>
    <t>4193</t>
  </si>
  <si>
    <t>4198</t>
  </si>
  <si>
    <t>4199</t>
  </si>
  <si>
    <t>4201</t>
  </si>
  <si>
    <t>4203</t>
  </si>
  <si>
    <t>4211</t>
  </si>
  <si>
    <t>4213</t>
  </si>
  <si>
    <t>4221</t>
  </si>
  <si>
    <t>4227</t>
  </si>
  <si>
    <t>4237</t>
  </si>
  <si>
    <t>4242</t>
  </si>
  <si>
    <t>4252</t>
  </si>
  <si>
    <t>4263</t>
  </si>
  <si>
    <t>4271</t>
  </si>
  <si>
    <t>4272</t>
  </si>
  <si>
    <t>4277</t>
  </si>
  <si>
    <t>4284</t>
  </si>
  <si>
    <t>4299</t>
  </si>
  <si>
    <t>4340</t>
  </si>
  <si>
    <t>4356</t>
  </si>
  <si>
    <t>4361</t>
  </si>
  <si>
    <t>4365</t>
  </si>
  <si>
    <t>4388</t>
  </si>
  <si>
    <t>4389</t>
  </si>
  <si>
    <t>4390</t>
  </si>
  <si>
    <t>4391</t>
  </si>
  <si>
    <t>4392</t>
  </si>
  <si>
    <t>4393</t>
  </si>
  <si>
    <t>4397</t>
  </si>
  <si>
    <t>4404</t>
  </si>
  <si>
    <t>4406</t>
  </si>
  <si>
    <t>4420</t>
  </si>
  <si>
    <t>4431</t>
  </si>
  <si>
    <t>4473</t>
  </si>
  <si>
    <t>4476</t>
  </si>
  <si>
    <t>4477</t>
  </si>
  <si>
    <t>4483</t>
  </si>
  <si>
    <t>4484</t>
  </si>
  <si>
    <t>4485</t>
  </si>
  <si>
    <t>4495</t>
  </si>
  <si>
    <t>4497</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</si>
  <si>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</si>
  <si>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</si>
  <si>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</si>
  <si>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</si>
  <si>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</si>
  <si>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</si>
  <si>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</si>
  <si>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</si>
  <si>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</si>
  <si>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</si>
  <si>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</si>
  <si>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</si>
  <si>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</si>
  <si>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</si>
  <si>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</si>
  <si>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</si>
  <si>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</si>
  <si>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</si>
  <si>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</si>
  <si>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</si>
  <si>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</si>
  <si>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</si>
  <si>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</si>
  <si>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</si>
  <si>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</si>
  <si>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</si>
  <si>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</si>
  <si>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</si>
  <si>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</si>
  <si>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</si>
  <si>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</si>
  <si>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</si>
  <si>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</si>
  <si>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</si>
  <si>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</si>
  <si>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</si>
  <si>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</si>
  <si>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</si>
  <si>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</si>
  <si>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</si>
  <si>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</si>
  <si>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</si>
  <si>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</si>
  <si>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</si>
  <si>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</si>
  <si>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</si>
  <si>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</si>
  <si>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</si>
  <si>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</si>
  <si>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</si>
  <si>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</si>
  <si>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4674</t>
  </si>
  <si>
    <t>4675</t>
  </si>
  <si>
    <t>4676</t>
  </si>
  <si>
    <t>4677</t>
  </si>
  <si>
    <t>4678</t>
  </si>
  <si>
    <t>4705</t>
  </si>
  <si>
    <t>4755</t>
  </si>
  <si>
    <t>4761</t>
  </si>
  <si>
    <t>4763</t>
  </si>
  <si>
    <t>4917</t>
  </si>
  <si>
    <t>4918</t>
  </si>
  <si>
    <t>4919</t>
  </si>
  <si>
    <t>4202</t>
  </si>
  <si>
    <t>4207</t>
  </si>
  <si>
    <t>4209</t>
  </si>
  <si>
    <t>4215</t>
  </si>
  <si>
    <t>4261</t>
  </si>
  <si>
    <t>4262</t>
  </si>
  <si>
    <t>4274</t>
  </si>
  <si>
    <t>4275</t>
  </si>
  <si>
    <t>4504</t>
  </si>
  <si>
    <t>4540</t>
  </si>
  <si>
    <t>4551</t>
  </si>
  <si>
    <t>4564</t>
  </si>
  <si>
    <t>4565</t>
  </si>
  <si>
    <t>4567</t>
  </si>
  <si>
    <t>4568</t>
  </si>
  <si>
    <t>4571</t>
  </si>
  <si>
    <t>4576</t>
  </si>
  <si>
    <t>4577</t>
  </si>
  <si>
    <t>4578</t>
  </si>
  <si>
    <t>4579</t>
  </si>
  <si>
    <t>4583</t>
  </si>
  <si>
    <t>4593</t>
  </si>
  <si>
    <t>4604</t>
  </si>
  <si>
    <t>4605</t>
  </si>
  <si>
    <t>4606</t>
  </si>
  <si>
    <t>4607</t>
  </si>
  <si>
    <t>4608</t>
  </si>
  <si>
    <t>4609</t>
  </si>
  <si>
    <t>4668</t>
  </si>
  <si>
    <t>4669</t>
  </si>
  <si>
    <t>4670</t>
  </si>
  <si>
    <t>4671</t>
  </si>
  <si>
    <t>4672</t>
  </si>
  <si>
    <t>4673</t>
  </si>
  <si>
    <t>4722</t>
  </si>
  <si>
    <t>4723</t>
  </si>
  <si>
    <t>4746</t>
  </si>
  <si>
    <t>4747</t>
  </si>
  <si>
    <t>4748</t>
  </si>
  <si>
    <t>4749</t>
  </si>
  <si>
    <t>4901</t>
  </si>
  <si>
    <t>4902</t>
  </si>
  <si>
    <t>4903</t>
  </si>
  <si>
    <t>4904</t>
  </si>
  <si>
    <t>4905</t>
  </si>
  <si>
    <t>4906</t>
  </si>
  <si>
    <t>4907</t>
  </si>
  <si>
    <t>4909</t>
  </si>
  <si>
    <t>4910</t>
  </si>
  <si>
    <t>4912</t>
  </si>
  <si>
    <t>4920</t>
  </si>
  <si>
    <t>4921</t>
  </si>
  <si>
    <t>4922</t>
  </si>
  <si>
    <t>4924</t>
  </si>
  <si>
    <t>4925</t>
  </si>
  <si>
    <t>4927</t>
  </si>
  <si>
    <t>4928</t>
  </si>
  <si>
    <t>4929</t>
  </si>
  <si>
    <t>4930</t>
  </si>
  <si>
    <t>4931</t>
  </si>
  <si>
    <t>4932</t>
  </si>
  <si>
    <t>4933</t>
  </si>
  <si>
    <t>4934</t>
  </si>
  <si>
    <t>4935</t>
  </si>
  <si>
    <t>4936</t>
  </si>
  <si>
    <t>4937</t>
  </si>
  <si>
    <t>4938</t>
  </si>
  <si>
    <t>4939</t>
  </si>
  <si>
    <t>4940</t>
  </si>
  <si>
    <t>4941</t>
  </si>
  <si>
    <t>4942</t>
  </si>
  <si>
    <t>4950</t>
  </si>
  <si>
    <t>4952</t>
  </si>
  <si>
    <t>4953</t>
  </si>
  <si>
    <t>4955</t>
  </si>
  <si>
    <t>4040</t>
  </si>
  <si>
    <t>4042</t>
  </si>
  <si>
    <t>4043</t>
  </si>
  <si>
    <t>4044</t>
  </si>
  <si>
    <t>4045</t>
  </si>
  <si>
    <t>4047</t>
  </si>
  <si>
    <t>4050</t>
  </si>
  <si>
    <t>4053</t>
  </si>
  <si>
    <t>4055</t>
  </si>
  <si>
    <t>4056</t>
  </si>
  <si>
    <t>4057</t>
  </si>
  <si>
    <t>4058</t>
  </si>
  <si>
    <t>4059</t>
  </si>
  <si>
    <t>4073</t>
  </si>
  <si>
    <t>4076</t>
  </si>
  <si>
    <t>4082</t>
  </si>
  <si>
    <t>4086</t>
  </si>
  <si>
    <t>4093</t>
  </si>
  <si>
    <t>4094</t>
  </si>
  <si>
    <t>4095</t>
  </si>
  <si>
    <t>4096</t>
  </si>
  <si>
    <t>4097</t>
  </si>
  <si>
    <t>4098</t>
  </si>
  <si>
    <t>4099</t>
  </si>
  <si>
    <t>4100</t>
  </si>
  <si>
    <t>4101</t>
  </si>
  <si>
    <t>4102</t>
  </si>
  <si>
    <t>4103</t>
  </si>
  <si>
    <t>4104</t>
  </si>
  <si>
    <t>4105</t>
  </si>
  <si>
    <t>4106</t>
  </si>
  <si>
    <t>4110</t>
  </si>
  <si>
    <t>4137</t>
  </si>
  <si>
    <t>4157</t>
  </si>
  <si>
    <t>4159</t>
  </si>
  <si>
    <t>4161</t>
  </si>
  <si>
    <t>4166</t>
  </si>
  <si>
    <t>4168</t>
  </si>
  <si>
    <t>4169</t>
  </si>
  <si>
    <t>4170</t>
  </si>
  <si>
    <t>4171</t>
  </si>
  <si>
    <t>4172</t>
  </si>
  <si>
    <t>4174</t>
  </si>
  <si>
    <t>4178</t>
  </si>
  <si>
    <t>4179</t>
  </si>
  <si>
    <t>4180</t>
  </si>
  <si>
    <t>4210</t>
  </si>
  <si>
    <t>4222</t>
  </si>
  <si>
    <t>4254</t>
  </si>
  <si>
    <t>4255</t>
  </si>
  <si>
    <t>4256</t>
  </si>
  <si>
    <t>4257</t>
  </si>
  <si>
    <t>4258</t>
  </si>
  <si>
    <t>4259</t>
  </si>
  <si>
    <t>4260</t>
  </si>
  <si>
    <t>4273</t>
  </si>
  <si>
    <t>4281</t>
  </si>
  <si>
    <t>4282</t>
  </si>
  <si>
    <t>4287</t>
  </si>
  <si>
    <t>4292</t>
  </si>
  <si>
    <t>4305</t>
  </si>
  <si>
    <t>4308</t>
  </si>
  <si>
    <t>4363</t>
  </si>
  <si>
    <t>4376</t>
  </si>
  <si>
    <t>4378</t>
  </si>
  <si>
    <t>4379</t>
  </si>
  <si>
    <t>4383</t>
  </si>
  <si>
    <t>4407</t>
  </si>
  <si>
    <t>4415</t>
  </si>
  <si>
    <t>4438</t>
  </si>
  <si>
    <t>4439</t>
  </si>
  <si>
    <t>4440</t>
  </si>
  <si>
    <t>4444</t>
  </si>
  <si>
    <t>4446</t>
  </si>
  <si>
    <t>4450</t>
  </si>
  <si>
    <t>4490</t>
  </si>
  <si>
    <t>4499</t>
  </si>
  <si>
    <t>4553</t>
  </si>
  <si>
    <t>4641</t>
  </si>
  <si>
    <t>4701</t>
  </si>
  <si>
    <t>4702</t>
  </si>
  <si>
    <t>4706</t>
  </si>
  <si>
    <t>4800</t>
  </si>
  <si>
    <t>4801</t>
  </si>
  <si>
    <t>4802</t>
  </si>
  <si>
    <t>4803</t>
  </si>
  <si>
    <t>4807</t>
  </si>
  <si>
    <t>4808</t>
  </si>
  <si>
    <t>4809</t>
  </si>
  <si>
    <t>4810</t>
  </si>
  <si>
    <t>4811</t>
  </si>
  <si>
    <t>4812</t>
  </si>
  <si>
    <t>4813</t>
  </si>
  <si>
    <t>4814</t>
  </si>
  <si>
    <t>4815</t>
  </si>
  <si>
    <t>4816</t>
  </si>
  <si>
    <t>4817</t>
  </si>
  <si>
    <t>4818</t>
  </si>
  <si>
    <t>4819</t>
  </si>
  <si>
    <t>4820</t>
  </si>
  <si>
    <t>4821</t>
  </si>
  <si>
    <t>4822</t>
  </si>
  <si>
    <t>4824</t>
  </si>
  <si>
    <t>4825</t>
  </si>
  <si>
    <t>4826</t>
  </si>
  <si>
    <t>4827</t>
  </si>
  <si>
    <t>4830</t>
  </si>
  <si>
    <t>4831</t>
  </si>
  <si>
    <t>4832</t>
  </si>
  <si>
    <t>4833</t>
  </si>
  <si>
    <t>4834</t>
  </si>
  <si>
    <t>4835</t>
  </si>
  <si>
    <t>4837</t>
  </si>
  <si>
    <t>4838</t>
  </si>
  <si>
    <t>4843</t>
  </si>
  <si>
    <t>4844</t>
  </si>
  <si>
    <t>4845</t>
  </si>
  <si>
    <t>4846</t>
  </si>
  <si>
    <t>4847</t>
  </si>
  <si>
    <t>4849</t>
  </si>
  <si>
    <t>4850</t>
  </si>
  <si>
    <t>4851</t>
  </si>
  <si>
    <t>4852</t>
  </si>
  <si>
    <t>4853</t>
  </si>
  <si>
    <t>4854</t>
  </si>
  <si>
    <t>4855</t>
  </si>
  <si>
    <t>4859</t>
  </si>
  <si>
    <t>4860</t>
  </si>
  <si>
    <t>4861</t>
  </si>
  <si>
    <t>4862</t>
  </si>
  <si>
    <t>4863</t>
  </si>
  <si>
    <t>4864</t>
  </si>
  <si>
    <t>4865</t>
  </si>
  <si>
    <t>4866</t>
  </si>
  <si>
    <t>4867</t>
  </si>
  <si>
    <t>4868</t>
  </si>
  <si>
    <t>4869</t>
  </si>
  <si>
    <t>4870</t>
  </si>
  <si>
    <t>4872</t>
  </si>
  <si>
    <t>4873</t>
  </si>
  <si>
    <t>4874</t>
  </si>
  <si>
    <t>4875</t>
  </si>
  <si>
    <t>4876</t>
  </si>
  <si>
    <t>4877</t>
  </si>
  <si>
    <t>4878</t>
  </si>
  <si>
    <t>4879</t>
  </si>
  <si>
    <t>4880</t>
  </si>
  <si>
    <t>4881</t>
  </si>
  <si>
    <t>4882</t>
  </si>
  <si>
    <t>4883</t>
  </si>
  <si>
    <t>4884</t>
  </si>
  <si>
    <t>4885</t>
  </si>
  <si>
    <t>4886</t>
  </si>
  <si>
    <t>4887</t>
  </si>
  <si>
    <t>4888</t>
  </si>
  <si>
    <t>4889</t>
  </si>
  <si>
    <t>4890</t>
  </si>
  <si>
    <t>4894</t>
  </si>
  <si>
    <t>4899</t>
  </si>
  <si>
    <t>4035</t>
  </si>
  <si>
    <t>4600</t>
  </si>
  <si>
    <t>4700</t>
  </si>
  <si>
    <t>4737</t>
  </si>
  <si>
    <t>4033</t>
  </si>
  <si>
    <t>4051</t>
  </si>
  <si>
    <t>4063</t>
  </si>
  <si>
    <t>4077</t>
  </si>
  <si>
    <t>4083</t>
  </si>
  <si>
    <t>4108</t>
  </si>
  <si>
    <t>4109</t>
  </si>
  <si>
    <t>4113</t>
  </si>
  <si>
    <t>4116</t>
  </si>
  <si>
    <t>4117</t>
  </si>
  <si>
    <t>4135</t>
  </si>
  <si>
    <t>4136</t>
  </si>
  <si>
    <t>4177</t>
  </si>
  <si>
    <t>4188</t>
  </si>
  <si>
    <t>4196</t>
  </si>
  <si>
    <t>4197</t>
  </si>
  <si>
    <t>4206</t>
  </si>
  <si>
    <t>4223</t>
  </si>
  <si>
    <t>4224</t>
  </si>
  <si>
    <t>4232</t>
  </si>
  <si>
    <t>4233</t>
  </si>
  <si>
    <t>4236</t>
  </si>
  <si>
    <t>4238</t>
  </si>
  <si>
    <t>4239</t>
  </si>
  <si>
    <t>4240</t>
  </si>
  <si>
    <t>4241</t>
  </si>
  <si>
    <t>4243</t>
  </si>
  <si>
    <t>4244</t>
  </si>
  <si>
    <t>4245</t>
  </si>
  <si>
    <t>4246</t>
  </si>
  <si>
    <t>4267</t>
  </si>
  <si>
    <t>4268</t>
  </si>
  <si>
    <t>4270</t>
  </si>
  <si>
    <t>4279</t>
  </si>
  <si>
    <t>4285</t>
  </si>
  <si>
    <t>4288</t>
  </si>
  <si>
    <t>4289</t>
  </si>
  <si>
    <t>4297</t>
  </si>
  <si>
    <t>4300</t>
  </si>
  <si>
    <t>4302</t>
  </si>
  <si>
    <t>4306</t>
  </si>
  <si>
    <t>4311</t>
  </si>
  <si>
    <t>4314</t>
  </si>
  <si>
    <t>4315</t>
  </si>
  <si>
    <t>4317</t>
  </si>
  <si>
    <t>4323</t>
  </si>
  <si>
    <t>4325</t>
  </si>
  <si>
    <t>4326</t>
  </si>
  <si>
    <t>4328</t>
  </si>
  <si>
    <t>4329</t>
  </si>
  <si>
    <t>4330</t>
  </si>
  <si>
    <t>4331</t>
  </si>
  <si>
    <t>4332</t>
  </si>
  <si>
    <t>4333</t>
  </si>
  <si>
    <t>4335</t>
  </si>
  <si>
    <t>4336</t>
  </si>
  <si>
    <t>4338</t>
  </si>
  <si>
    <t>4339</t>
  </si>
  <si>
    <t>4342</t>
  </si>
  <si>
    <t>4343</t>
  </si>
  <si>
    <t>4349</t>
  </si>
  <si>
    <t>4350</t>
  </si>
  <si>
    <t>4351</t>
  </si>
  <si>
    <t>4352</t>
  </si>
  <si>
    <t>4354</t>
  </si>
  <si>
    <t>4355</t>
  </si>
  <si>
    <t>4357</t>
  </si>
  <si>
    <t>4358</t>
  </si>
  <si>
    <t>4359</t>
  </si>
  <si>
    <t>4360</t>
  </si>
  <si>
    <t>4362</t>
  </si>
  <si>
    <t>4364</t>
  </si>
  <si>
    <t>4366</t>
  </si>
  <si>
    <t>4367</t>
  </si>
  <si>
    <t>4375</t>
  </si>
  <si>
    <t>4386</t>
  </si>
  <si>
    <t>4394</t>
  </si>
  <si>
    <t>4396</t>
  </si>
  <si>
    <t>4400</t>
  </si>
  <si>
    <t>4401</t>
  </si>
  <si>
    <t>4402</t>
  </si>
  <si>
    <t>4403</t>
  </si>
  <si>
    <t>4418</t>
  </si>
  <si>
    <t>4433</t>
  </si>
  <si>
    <t>4436</t>
  </si>
  <si>
    <t>4447</t>
  </si>
  <si>
    <t>4451</t>
  </si>
  <si>
    <t>4461</t>
  </si>
  <si>
    <t>4486</t>
  </si>
  <si>
    <t>4496</t>
  </si>
  <si>
    <t>4640</t>
  </si>
  <si>
    <t>4703</t>
  </si>
  <si>
    <t>4704</t>
  </si>
  <si>
    <t>4707</t>
  </si>
  <si>
    <t>4708</t>
  </si>
  <si>
    <t>4709</t>
  </si>
  <si>
    <t>4710</t>
  </si>
  <si>
    <t>4711</t>
  </si>
  <si>
    <t>4712</t>
  </si>
  <si>
    <t>4713</t>
  </si>
  <si>
    <t>4714</t>
  </si>
  <si>
    <t>4716</t>
  </si>
  <si>
    <t>4717</t>
  </si>
  <si>
    <t>4762</t>
  </si>
  <si>
    <t>4764</t>
  </si>
  <si>
    <t>4765</t>
  </si>
  <si>
    <t>4772</t>
  </si>
  <si>
    <t>4773</t>
  </si>
  <si>
    <t>4774</t>
  </si>
  <si>
    <t>4775</t>
  </si>
  <si>
    <t>4828</t>
  </si>
  <si>
    <t>4741</t>
  </si>
  <si>
    <t>4743</t>
  </si>
  <si>
    <t>4777</t>
  </si>
  <si>
    <t>4520</t>
  </si>
  <si>
    <t>4744</t>
  </si>
  <si>
    <t>4745</t>
  </si>
  <si>
    <t>4752</t>
  </si>
  <si>
    <t>4753</t>
  </si>
  <si>
    <t>4030</t>
  </si>
  <si>
    <t>4034</t>
  </si>
  <si>
    <t>4046</t>
  </si>
  <si>
    <t>4061</t>
  </si>
  <si>
    <t>4066</t>
  </si>
  <si>
    <t>4079</t>
  </si>
  <si>
    <t>4080</t>
  </si>
  <si>
    <t>4081</t>
  </si>
  <si>
    <t>4084</t>
  </si>
  <si>
    <t>4294</t>
  </si>
  <si>
    <t>4295</t>
  </si>
  <si>
    <t>4324</t>
  </si>
  <si>
    <t>4395</t>
  </si>
  <si>
    <t>4408</t>
  </si>
  <si>
    <t>4421</t>
  </si>
  <si>
    <t>4422</t>
  </si>
  <si>
    <t>4423</t>
  </si>
  <si>
    <t>4424</t>
  </si>
  <si>
    <t>4429</t>
  </si>
  <si>
    <t>4434</t>
  </si>
  <si>
    <t>4435</t>
  </si>
  <si>
    <t>4459</t>
  </si>
  <si>
    <t>4478</t>
  </si>
  <si>
    <t>4479</t>
  </si>
  <si>
    <t>4480</t>
  </si>
  <si>
    <t>4481</t>
  </si>
  <si>
    <t>4482</t>
  </si>
  <si>
    <t>4559</t>
  </si>
  <si>
    <t>4575</t>
  </si>
  <si>
    <t>4751</t>
  </si>
  <si>
    <t>4756</t>
  </si>
  <si>
    <t>4757</t>
  </si>
  <si>
    <t>4758</t>
  </si>
  <si>
    <t>4759</t>
  </si>
  <si>
    <t>4760</t>
  </si>
  <si>
    <t>4766</t>
  </si>
  <si>
    <t>4767</t>
  </si>
  <si>
    <t>4768</t>
  </si>
  <si>
    <t>4769</t>
  </si>
  <si>
    <t>4770</t>
  </si>
  <si>
    <t>4771</t>
  </si>
  <si>
    <t>4776</t>
  </si>
  <si>
    <t>4778</t>
  </si>
  <si>
    <t>4779</t>
  </si>
  <si>
    <t>4841</t>
  </si>
  <si>
    <t>4842</t>
  </si>
  <si>
    <t>4848</t>
  </si>
  <si>
    <t>4856</t>
  </si>
  <si>
    <t>4857</t>
  </si>
  <si>
    <t>4858</t>
  </si>
  <si>
    <t>4871</t>
  </si>
  <si>
    <t>4891</t>
  </si>
  <si>
    <t>4892</t>
  </si>
  <si>
    <t>4893</t>
  </si>
  <si>
    <t>4951</t>
  </si>
  <si>
    <t>E6 D/E E7</t>
  </si>
  <si>
    <t>Alugado Rodocargo 52-63-ZU</t>
  </si>
  <si>
    <t>Alugado Rodocargo 52-64-ZU</t>
  </si>
  <si>
    <t>Alugado Rodocargo 52-66-ZU</t>
  </si>
  <si>
    <t>QUELUZ BX</t>
  </si>
  <si>
    <t>ADROANA</t>
  </si>
  <si>
    <t>LISGRÁFICA</t>
  </si>
  <si>
    <t xml:space="preserve">Circuitos </t>
  </si>
  <si>
    <t>Comercial</t>
  </si>
  <si>
    <t xml:space="preserve">Operação </t>
  </si>
  <si>
    <t>Acessoria</t>
  </si>
  <si>
    <t xml:space="preserve">Movimento </t>
  </si>
  <si>
    <t>Panoramicos 2 Pisos</t>
  </si>
  <si>
    <t>Panoramicos 1 Pisos</t>
  </si>
  <si>
    <t>Carga</t>
  </si>
  <si>
    <t>Sem abastecimentos</t>
  </si>
  <si>
    <t>EURO3</t>
  </si>
  <si>
    <t>EURO6</t>
  </si>
  <si>
    <t>EURO4</t>
  </si>
  <si>
    <t>56RU48;0499</t>
  </si>
  <si>
    <t>55FI29;0303</t>
  </si>
  <si>
    <t>71PF74;0722</t>
  </si>
  <si>
    <t>02VG16;0852</t>
  </si>
  <si>
    <t>21MP59;0890</t>
  </si>
  <si>
    <t>47OG17;0701</t>
  </si>
  <si>
    <t>54RP50;0488</t>
  </si>
  <si>
    <t>11NO84;0667</t>
  </si>
  <si>
    <t>09OF82;0685</t>
  </si>
  <si>
    <t>69TN59;0743</t>
  </si>
  <si>
    <t>43SD84;0537</t>
  </si>
  <si>
    <t>20PG91;0724</t>
  </si>
  <si>
    <t>44UV90;0879</t>
  </si>
  <si>
    <t>79OT06;0674</t>
  </si>
  <si>
    <t>75PG21;0725</t>
  </si>
  <si>
    <t>55XV45;0397</t>
  </si>
  <si>
    <t>93HC84;0411</t>
  </si>
  <si>
    <t>05NZ92;0681</t>
  </si>
  <si>
    <t>94PF93;0726</t>
  </si>
  <si>
    <t>47OG21;0699</t>
  </si>
  <si>
    <t>93HC86;0418</t>
  </si>
  <si>
    <t>84UC41;0942</t>
  </si>
  <si>
    <t>02EX67;0275</t>
  </si>
  <si>
    <t>69CS37;0257</t>
  </si>
  <si>
    <t>98MU14;0633</t>
  </si>
  <si>
    <t>7665ZV;0980</t>
  </si>
  <si>
    <t>8948XC;6618</t>
  </si>
  <si>
    <t>7667ZV;0981</t>
  </si>
  <si>
    <t>94PF94;0728</t>
  </si>
  <si>
    <t>47OG14;0700</t>
  </si>
  <si>
    <t>79OT07;0696</t>
  </si>
  <si>
    <t>47RH83;0481</t>
  </si>
  <si>
    <t>47OG15;0698</t>
  </si>
  <si>
    <t>08MV82;0634</t>
  </si>
  <si>
    <t>4333XD;0693</t>
  </si>
  <si>
    <t>1767RT;0585</t>
  </si>
  <si>
    <t>09VU64;0774</t>
  </si>
  <si>
    <t>55IO50;0918</t>
  </si>
  <si>
    <t>74QQ13;0331</t>
  </si>
  <si>
    <t>27FT66;0276</t>
  </si>
  <si>
    <t>7894XG;6641</t>
  </si>
  <si>
    <t>89RU53;0400</t>
  </si>
  <si>
    <t>53IH29;0432</t>
  </si>
  <si>
    <t>26NM49;0143</t>
  </si>
  <si>
    <t>29FC17;0289</t>
  </si>
  <si>
    <t>91NG61;0660</t>
  </si>
  <si>
    <t>0784RL;0807</t>
  </si>
  <si>
    <t>80IQ74;0921</t>
  </si>
  <si>
    <t>29FC22;0293</t>
  </si>
  <si>
    <t>91NG63;0662</t>
  </si>
  <si>
    <t>9986RG;5909</t>
  </si>
  <si>
    <t>49PL83;0756</t>
  </si>
  <si>
    <t>91NG59;0658</t>
  </si>
  <si>
    <t>17GE66;0777</t>
  </si>
  <si>
    <t>91NG62;0661</t>
  </si>
  <si>
    <t>54SP33;0219</t>
  </si>
  <si>
    <t>88FE29;0791</t>
  </si>
  <si>
    <t>4736ZQ;5206</t>
  </si>
  <si>
    <t>2895MU;0569</t>
  </si>
  <si>
    <t>8952XC;?</t>
  </si>
  <si>
    <t>29FC20;0292</t>
  </si>
  <si>
    <t>2174PF;0839</t>
  </si>
  <si>
    <t>3630UQ;0328</t>
  </si>
  <si>
    <t>2178PF;0666</t>
  </si>
  <si>
    <t>4784LG;0560</t>
  </si>
  <si>
    <t>58MQ95;0627</t>
  </si>
  <si>
    <t>BF15LJ;0237</t>
  </si>
  <si>
    <t>0467ZQ;5202</t>
  </si>
  <si>
    <t>7896PE;6594</t>
  </si>
  <si>
    <t xml:space="preserve">Translagos - Transportes Publicos, LDA. - GIRO </t>
  </si>
  <si>
    <t xml:space="preserve">Translagos - Transportes Publicos, LDA. - ONDA </t>
  </si>
  <si>
    <t>Eletrico  Baterias</t>
  </si>
  <si>
    <t>130 viaturas</t>
  </si>
  <si>
    <t>326 viaturas</t>
  </si>
  <si>
    <t>Jan-Ago , 24 viaturas</t>
  </si>
  <si>
    <t>4 embarcações</t>
  </si>
  <si>
    <t>Set-Dez , 23 viaturas</t>
  </si>
  <si>
    <t>76 viaturas</t>
  </si>
  <si>
    <t>Serviço Comercial</t>
  </si>
  <si>
    <t>Tranporte Rodoviário de Passageiros</t>
  </si>
  <si>
    <t xml:space="preserve">Viação Alvorada, Lda - Queluz de Baixo </t>
  </si>
  <si>
    <t>Viação Alvorada, Lda - Adroana</t>
  </si>
  <si>
    <t>5 viaturas</t>
  </si>
  <si>
    <t>Parque Queluz - Sede</t>
  </si>
  <si>
    <t>Parque Adroana</t>
  </si>
  <si>
    <t>203 viaturas</t>
  </si>
  <si>
    <t>29 Viaturas</t>
  </si>
  <si>
    <t>11 Viaturas</t>
  </si>
  <si>
    <t>3 Viaturas</t>
  </si>
  <si>
    <t>16 Viaturas</t>
  </si>
  <si>
    <t>Esstado</t>
  </si>
  <si>
    <t>Novo</t>
  </si>
  <si>
    <t>Usado</t>
  </si>
  <si>
    <t>Electricas</t>
  </si>
  <si>
    <t>MAN RR4</t>
  </si>
  <si>
    <t>MERCEDES BENZ</t>
  </si>
  <si>
    <t>MAN R10</t>
  </si>
  <si>
    <t>VOLKSWAGEN</t>
  </si>
  <si>
    <t>RENAULT</t>
  </si>
  <si>
    <t>ATOMIC</t>
  </si>
  <si>
    <t>Mercedes Tourismo</t>
  </si>
  <si>
    <t>Mercedes Vito</t>
  </si>
  <si>
    <t>Autocarro Turismo 3E</t>
  </si>
  <si>
    <t>MB Intouro 12/13</t>
  </si>
  <si>
    <t>MB Tourismo</t>
  </si>
  <si>
    <t>Setra 519HD</t>
  </si>
  <si>
    <t>RDL II - Rodoviária do Lis, LDA.</t>
  </si>
  <si>
    <t>AIE/APA NIR 2024</t>
  </si>
  <si>
    <t>Barraqueiro Transportes, S.A. - ESEVEL + BA</t>
  </si>
  <si>
    <t>Barraqueiro Transportes, S.A. - Estremadura + Sede</t>
  </si>
  <si>
    <t xml:space="preserve">Follow Me Tours </t>
  </si>
  <si>
    <t>Automóvel Próprio</t>
  </si>
  <si>
    <t>viatura própria</t>
  </si>
  <si>
    <t>Teletrabalho</t>
  </si>
  <si>
    <t>Automóvel Próprio:Automóvel próprio</t>
  </si>
  <si>
    <t>Trotinete Electrica:Trotinete elétrica</t>
  </si>
  <si>
    <t>Autocarro:Autocarro</t>
  </si>
  <si>
    <t>Comboio:Autocarro + comboio + metro (comboio era o utilizado mais tempo)</t>
  </si>
  <si>
    <t>Comboio:Comboio + metro (comboio mais tempo)</t>
  </si>
  <si>
    <t>Metro:Autocarro + metro (metro mais tempo)</t>
  </si>
  <si>
    <t>Barco:Metro + Barco (barco mais tempo)</t>
  </si>
  <si>
    <t>Automóvel Próprio:O peso das deslocações pendulares em viatura de serviço residual e desprezada</t>
  </si>
  <si>
    <t>O peso das deslocações pendulares em viatura de serviço residual e desprezada
20,55  - media de km por dia dos 994 colab. Casa-trab-casa</t>
  </si>
  <si>
    <t>O peso das deslocações pendulares em viatura de serviço é residual pois o transporte é maioritariamente em viaturas elétricas</t>
  </si>
  <si>
    <t>Office Equipment:DEFRA: 2024</t>
  </si>
  <si>
    <t>AMLP PT: APA Calculadora 2024</t>
  </si>
  <si>
    <t>Resto PT PT: APA Calculadora 2024</t>
  </si>
  <si>
    <t>Autocarros e camionetas: APA Calculadora 2024</t>
  </si>
  <si>
    <t>Comboio: APA Calculadora 2024</t>
  </si>
  <si>
    <t>Barco: APA Calculadora 2024</t>
  </si>
  <si>
    <t>Modos Suaves: APA Calculadora 2024</t>
  </si>
  <si>
    <t>VP: APA Calculadora 2024</t>
  </si>
  <si>
    <t>997 ou 1001, dependendo das fontes. O peso das deslocações pendulares em viatura de serviço residual e desprezada</t>
  </si>
  <si>
    <t>Vimeca</t>
  </si>
  <si>
    <t>18.250 HOCL-NL E5</t>
  </si>
  <si>
    <t>OC 500LE 1830</t>
  </si>
  <si>
    <t>Scotturb</t>
  </si>
  <si>
    <t>OC 500 LE</t>
  </si>
  <si>
    <t>14.250 HOCL-NL E6</t>
  </si>
  <si>
    <t>CITARO K</t>
  </si>
  <si>
    <t>CONECTO</t>
  </si>
  <si>
    <t>519 CDI - 23 L</t>
  </si>
  <si>
    <t>519 CDI - 25 L</t>
  </si>
  <si>
    <t>19.250 HOCL-NL E6</t>
  </si>
  <si>
    <t>Valor aluguer</t>
  </si>
  <si>
    <t>Tipo Período</t>
  </si>
  <si>
    <t>Mensal</t>
  </si>
  <si>
    <t>Anual</t>
  </si>
  <si>
    <t>Todas a Frota Alugada</t>
  </si>
  <si>
    <t>Ano dos Dados</t>
  </si>
  <si>
    <t>Consolidação no GB</t>
  </si>
  <si>
    <t>Notas</t>
  </si>
  <si>
    <t>Mas deveriam estar na emissões de alugados a jusante da Vimeca</t>
  </si>
  <si>
    <t>Mas deveriam estar na emissões de alugados a jusante da Scotturb</t>
  </si>
  <si>
    <t>TRANSPORTES SUL DO TEJO, S.A.</t>
  </si>
  <si>
    <t>ALFREDO FRANCISCO GALINHA</t>
  </si>
  <si>
    <t>BARRAQUEIRO TRANSPORTES , SA</t>
  </si>
  <si>
    <t>CENTRO DE ESTUDOS DE FÁTIMA</t>
  </si>
  <si>
    <t>FROTA AZUL - TRANSP.TURISMO, L</t>
  </si>
  <si>
    <t>RODOVIARIA DO ALENTEJO, SA</t>
  </si>
  <si>
    <t>TRANSOL - TRANSPORTES E TURISM</t>
  </si>
  <si>
    <t>ALFREDO GALINHA S.A</t>
  </si>
  <si>
    <t>BARRAQUEIRO TRANSPORTES</t>
  </si>
  <si>
    <t>ISABEL MARTINS FILIPE</t>
  </si>
  <si>
    <t>BARRAQUEIRO TRANSPORTES, S.A</t>
  </si>
  <si>
    <t>C.E.F. - CENTRO DE ESTUDOS DE</t>
  </si>
  <si>
    <t>EVA TRANSPORTES, S.A.</t>
  </si>
  <si>
    <t>MARQUES LDA</t>
  </si>
  <si>
    <t>RODOVIARIA DO ALENTEJO, S.A.</t>
  </si>
  <si>
    <t>TRANSDEV EXPRESSOS UNIPESSOAL,</t>
  </si>
  <si>
    <t>TRANSOL</t>
  </si>
  <si>
    <t>universo GB</t>
  </si>
  <si>
    <t>Acessórios de carroçarias</t>
  </si>
  <si>
    <t>Fardamentos e equipam. Individual</t>
  </si>
  <si>
    <t>Veículos em Fim de Vida (VFV)</t>
  </si>
  <si>
    <t>gerou mais valia de 78.482,71 euro</t>
  </si>
  <si>
    <t>RDL-RODOVIARIA DO LIS, LDA.</t>
  </si>
  <si>
    <t>RODOVIARIA DE LISBOA SA</t>
  </si>
  <si>
    <t>MUNICIPIO DA AMADORA</t>
  </si>
  <si>
    <t>CÂMARA MUNICIPAL DE MOURA</t>
  </si>
  <si>
    <t>AUTOBUSES DE DÉNIA</t>
  </si>
  <si>
    <t>LALA VOYAGES</t>
  </si>
  <si>
    <t>AUTOCASARES CAUSERA,SL</t>
  </si>
  <si>
    <t>AUTOCARES BUSTELO</t>
  </si>
  <si>
    <t>ALCANÇODROMO</t>
  </si>
  <si>
    <t>RODOLEZIRIA-TRANSP.ROD.PASS.,UNIP.,LDA.</t>
  </si>
  <si>
    <t>RESENDE-ACTIVIDADES TURISTICAS, SA</t>
  </si>
  <si>
    <t>MUNICIPIO DE AZAMBUJA</t>
  </si>
  <si>
    <t>CECD-CENTRO ED. CIDADAO COM DEFECIENCIA</t>
  </si>
  <si>
    <t>INTER 2000</t>
  </si>
  <si>
    <t>RODOVIARIA DO TEJO, S.A.</t>
  </si>
  <si>
    <t>EBERSPAECHER CLIMATE CONTROL SYSTEMS SP</t>
  </si>
  <si>
    <t>ATLETICO CLUBE DE PORTUGAL</t>
  </si>
  <si>
    <t>CAMARA MUNICIPAL DE PAÇOS DE FERREIRA</t>
  </si>
  <si>
    <t>MAIEUTICA-COOPERATIVA ENSINO SUPERIOR</t>
  </si>
  <si>
    <t>U.B.S.I.EUROPA UNIP.LDA.</t>
  </si>
  <si>
    <t>ROLLER TOWN</t>
  </si>
  <si>
    <t>EBGB</t>
  </si>
  <si>
    <t>JJ</t>
  </si>
  <si>
    <t>Masrques Transportes</t>
  </si>
  <si>
    <t>RDO-RODOVIARIA DO OESTE, LDA.</t>
  </si>
  <si>
    <t>Outros  (não especificado)</t>
  </si>
  <si>
    <t>expedido do fabricante</t>
  </si>
  <si>
    <t>Vários</t>
  </si>
  <si>
    <t>Observações Transporte (ton.km)</t>
  </si>
  <si>
    <t>Combustíveis: Gasóleo</t>
  </si>
  <si>
    <t>Abate</t>
  </si>
  <si>
    <t>MP_TJBarroso</t>
  </si>
  <si>
    <t>Carga Geral_Diversos</t>
  </si>
  <si>
    <t>AS Cruz (Maia Transportes)</t>
  </si>
  <si>
    <t>Valpi</t>
  </si>
  <si>
    <t>Viúiva Monteiro</t>
  </si>
  <si>
    <t>Transdev Expressos</t>
  </si>
  <si>
    <t>TUI Portugal</t>
  </si>
  <si>
    <t>VÀRIOS</t>
  </si>
  <si>
    <t>Aliviagens - 8947245</t>
  </si>
  <si>
    <t>Barr Frielas - 88</t>
  </si>
  <si>
    <t>Boa Viagem</t>
  </si>
  <si>
    <t>Bt Cascais 102</t>
  </si>
  <si>
    <t>Deambulare - 8889889</t>
  </si>
  <si>
    <t>DIANATOURS - 8889781</t>
  </si>
  <si>
    <t>Estremadura - 8889666</t>
  </si>
  <si>
    <t>Isidoro Duarte - 8889894</t>
  </si>
  <si>
    <t>Mafrense 1</t>
  </si>
  <si>
    <t>Primebus - 8947251</t>
  </si>
  <si>
    <t>Ribatejana - 8943351</t>
  </si>
  <si>
    <t>Rodoviária do Oeste - 8889920</t>
  </si>
  <si>
    <t>Scotturb - 8889914</t>
  </si>
  <si>
    <t>Speciallimo - 8947241</t>
  </si>
  <si>
    <t>Transjamor - 8947242</t>
  </si>
  <si>
    <t>Transol I</t>
  </si>
  <si>
    <t>passageiros</t>
  </si>
  <si>
    <t>CLC/Aveiras</t>
  </si>
  <si>
    <t>Diversos</t>
  </si>
  <si>
    <t>VARIAS</t>
  </si>
  <si>
    <t xml:space="preserve">António Silva Cruz &amp; Filhos, Lda   </t>
  </si>
  <si>
    <t xml:space="preserve">Cityrama - Viagens e Turismo, Sa   </t>
  </si>
  <si>
    <t>DianaTours - Viagens e Turismo, Lda</t>
  </si>
  <si>
    <t xml:space="preserve">Eva Transportes, S.A.              </t>
  </si>
  <si>
    <t>Frota Azul Algarve-Trans. e Turismo</t>
  </si>
  <si>
    <t xml:space="preserve">Isidoro Duarte, Sa                 </t>
  </si>
  <si>
    <t xml:space="preserve">Marques, Lda                       </t>
  </si>
  <si>
    <t xml:space="preserve">RDL - Rodoviária do Lis, Lda       </t>
  </si>
  <si>
    <t xml:space="preserve">RDO – Rodoviária do Oeste, Lda     </t>
  </si>
  <si>
    <t xml:space="preserve">Ribatejana Verde - Unipessoal Lda  </t>
  </si>
  <si>
    <t xml:space="preserve">RM Tejo - Transp Rodo Passag Unip, </t>
  </si>
  <si>
    <t>Rodolezíria - Transp Rod Passag Uni</t>
  </si>
  <si>
    <t xml:space="preserve">Rodoviária do Alentejo, S.A.       </t>
  </si>
  <si>
    <t xml:space="preserve">Rodoviária do Tejo, S.A.           </t>
  </si>
  <si>
    <t>Transol - Transportes e Turismo, S.</t>
  </si>
  <si>
    <t>Transviagens - Transp. em Autocarro</t>
  </si>
  <si>
    <t xml:space="preserve">1001 Lugares, Lda.                 </t>
  </si>
  <si>
    <t>Agênc. de Viagens Sandinense, Unip,</t>
  </si>
  <si>
    <t xml:space="preserve">Agência De Viagens Rodrigues Nunes </t>
  </si>
  <si>
    <t>Alfario - Gest. Soluç.Integr.Transp</t>
  </si>
  <si>
    <t xml:space="preserve">Alliance4 – Transportes e Turismo  </t>
  </si>
  <si>
    <t xml:space="preserve">Arlindo Silva Longo                </t>
  </si>
  <si>
    <t>ATF - Auto Transportes do Fundão, S</t>
  </si>
  <si>
    <t xml:space="preserve">Auto Andalucia Bus S.L.            </t>
  </si>
  <si>
    <t xml:space="preserve">Auto Viação Cura, Lda.             </t>
  </si>
  <si>
    <t xml:space="preserve">Autocares Izaro, S.A               </t>
  </si>
  <si>
    <t xml:space="preserve">Autocares Rias Baixas, S.L.        </t>
  </si>
  <si>
    <t xml:space="preserve">Autocares Transvia, S.L.           </t>
  </si>
  <si>
    <t xml:space="preserve">Autotransportes Moreno, S.L.       </t>
  </si>
  <si>
    <t xml:space="preserve">Avant Group Bardet, SLU            </t>
  </si>
  <si>
    <t xml:space="preserve">Bist Servicios Turisticos, S.L     </t>
  </si>
  <si>
    <t xml:space="preserve">BusUp Portugal Mobility, Lda       </t>
  </si>
  <si>
    <t xml:space="preserve">BusUp Technologies S.L.            </t>
  </si>
  <si>
    <t xml:space="preserve">Canasbus – Transporte Terrestre de </t>
  </si>
  <si>
    <t xml:space="preserve">Car Tour, S.A.                     </t>
  </si>
  <si>
    <t>Crescer no Campo - Multi-Serviços L</t>
  </si>
  <si>
    <t>Deltabus-Transporte de Passageiros,</t>
  </si>
  <si>
    <t xml:space="preserve">Dirodastours, Lda                  </t>
  </si>
  <si>
    <t xml:space="preserve">DisBus 21, S.L.                    </t>
  </si>
  <si>
    <t>Empresa de Transporte Luísa Todi, L</t>
  </si>
  <si>
    <t xml:space="preserve">Etac - Emp. Transp. António Cunha, </t>
  </si>
  <si>
    <t>Evolus - Transportes de Turismo, Ld</t>
  </si>
  <si>
    <t xml:space="preserve">Ghali Alaoui                       </t>
  </si>
  <si>
    <t>Gold Limousine - Automóv de Turismo</t>
  </si>
  <si>
    <t>Gtur-Transp.de Passageiros Unip Lda</t>
  </si>
  <si>
    <t xml:space="preserve">Heleno e Correia                   </t>
  </si>
  <si>
    <t xml:space="preserve">J. Espírito Santo &amp; Irmãos, Lda.   </t>
  </si>
  <si>
    <t>Joaquim da Costa Ferreira &amp; Filhos,</t>
  </si>
  <si>
    <t xml:space="preserve">JOSE MENDES OLIVEIRA               </t>
  </si>
  <si>
    <t xml:space="preserve">Lanebus Unipessoal, Lda.           </t>
  </si>
  <si>
    <t>Little Bus - Transp. Passageiros, L</t>
  </si>
  <si>
    <t>Longdrivebus - Transp. Passageiros,</t>
  </si>
  <si>
    <t xml:space="preserve">Luminosatour - Aluguer Autocarros, </t>
  </si>
  <si>
    <t xml:space="preserve">MLOPESTUR Viagens e Turismo,Lda    </t>
  </si>
  <si>
    <t>Movimento Viagens e Turismo, Unip.,</t>
  </si>
  <si>
    <t xml:space="preserve">Ninfatur - Viagens e Turismo, Lda. </t>
  </si>
  <si>
    <t>Optima - Aluguer de Automóveis, Lda</t>
  </si>
  <si>
    <t xml:space="preserve">Ovnitur - Viagens e Turismo, Lda.  </t>
  </si>
  <si>
    <t xml:space="preserve">Ovnitur - Viagens e Turismo, S.A.  </t>
  </si>
  <si>
    <t>Pjtours, Transporte de Passageiros,</t>
  </si>
  <si>
    <t xml:space="preserve">Planeta Bus Unipessoal, Lda        </t>
  </si>
  <si>
    <t>Planeta Tours - Transp. Rod. Int. P</t>
  </si>
  <si>
    <t>Portas de Espanha - Hotelaria Unip,</t>
  </si>
  <si>
    <t xml:space="preserve">Presidencial Tours                 </t>
  </si>
  <si>
    <t xml:space="preserve">Red Lider Unipessoal, Lda          </t>
  </si>
  <si>
    <t>Resende - Actividades Turísticas, S</t>
  </si>
  <si>
    <t>Ricardo Morales Garcia Autos-Morale</t>
  </si>
  <si>
    <t>Rodonorte - Transportes Portugueses</t>
  </si>
  <si>
    <t xml:space="preserve">Rui Miguel Vilhena Santos          </t>
  </si>
  <si>
    <t xml:space="preserve">Saftur Viagens e Turismo, Lda.     </t>
  </si>
  <si>
    <t xml:space="preserve">Soarestour Transporte Passageiros, </t>
  </si>
  <si>
    <t>Space Tour - Transportes Unipessoal</t>
  </si>
  <si>
    <t>Spain Bus, S.A. Alquiler de Autocar</t>
  </si>
  <si>
    <t xml:space="preserve">Specialimo, Unipessoal, Lda.       </t>
  </si>
  <si>
    <t>Sulbus - G.E.T.P.Passag. e Merc., S</t>
  </si>
  <si>
    <t>Teresa Y Jose Plana, Empresa Plana,</t>
  </si>
  <si>
    <t xml:space="preserve">Timeless - Think Large, Lda.       </t>
  </si>
  <si>
    <t>Transaloia - Transport Passageiros,</t>
  </si>
  <si>
    <t xml:space="preserve">Transdev Interior, S.A.            </t>
  </si>
  <si>
    <t xml:space="preserve">Transjamor - Transp. Passag., Lda. </t>
  </si>
  <si>
    <t>Transmolpor - Viag e Turismo, Unip.</t>
  </si>
  <si>
    <t xml:space="preserve">Transportes Chapin                 </t>
  </si>
  <si>
    <t>TRN-Rodoviária Internac. e Nacional</t>
  </si>
  <si>
    <t xml:space="preserve">Turilux Viagens e Turismo, Lda.    </t>
  </si>
  <si>
    <t>Turispraia - Empresa de Transportes</t>
  </si>
  <si>
    <t xml:space="preserve">Turistejo - Ag. Viagens e Turismo, </t>
  </si>
  <si>
    <t>União de Transportes dos Carvalhos,</t>
  </si>
  <si>
    <t>V P L - Viagens Povoa de Lanhoso, L</t>
  </si>
  <si>
    <t xml:space="preserve">Vale do Ave – Transportes , Lda    </t>
  </si>
  <si>
    <t xml:space="preserve">Velozsatisfação - Unipessoal, Lda. </t>
  </si>
  <si>
    <t xml:space="preserve">Victor Manuel Miranda Mourato      </t>
  </si>
  <si>
    <t xml:space="preserve">Viúva Monteiro e Irmão, Lda        </t>
  </si>
  <si>
    <t xml:space="preserve">Weekend Target, S.A.               </t>
  </si>
  <si>
    <t>Cadeiras Costa Alta + Braços</t>
  </si>
  <si>
    <t>Veículos pesado de mercadorias</t>
  </si>
  <si>
    <t>Águeda</t>
  </si>
  <si>
    <t>Baltexport</t>
  </si>
  <si>
    <t>veículos ligeiros mercadorias</t>
  </si>
  <si>
    <t>Espanha</t>
  </si>
  <si>
    <t>Instalação central incêndios</t>
  </si>
  <si>
    <t>Algés</t>
  </si>
  <si>
    <t>Extinalgés</t>
  </si>
  <si>
    <t>Instalação Central Incêndios</t>
  </si>
  <si>
    <t>Ar Condicionado - Sala das Escalas</t>
  </si>
  <si>
    <t>Queijas</t>
  </si>
  <si>
    <t>FrioDiogo</t>
  </si>
  <si>
    <t>Reabilitação das Lojas: AMADORA ESTAÇÃO</t>
  </si>
  <si>
    <t>ALMV</t>
  </si>
  <si>
    <t>Reabilitação das Lojas: BAIRRO BOSQUE</t>
  </si>
  <si>
    <t>Reabilitação das Lojas: CARNAXIDE</t>
  </si>
  <si>
    <t>Reabilitação das Lojas: OEI</t>
  </si>
  <si>
    <t>Reabilitação das Lojas: PORTELA SINTRA</t>
  </si>
  <si>
    <t>Reabilitação das Lojas: QUELUZ</t>
  </si>
  <si>
    <t>Reabilitação das Lojas: RIO DE MOURO</t>
  </si>
  <si>
    <t>Maquina Recuperação e Recicl. Twin Turbo</t>
  </si>
  <si>
    <t>Sta Iria da Azoia</t>
  </si>
  <si>
    <t>Aldifrio</t>
  </si>
  <si>
    <t>Balança Mod. 98210-A Mastercool</t>
  </si>
  <si>
    <t>Bomba de Vacuo</t>
  </si>
  <si>
    <t>Instalação de Controlo da Acessos CCTV</t>
  </si>
  <si>
    <t>Amadora</t>
  </si>
  <si>
    <t>MecanaPlus</t>
  </si>
  <si>
    <t>Audiómetro Sibelsound Dua A + Licença Software</t>
  </si>
  <si>
    <t>Braga</t>
  </si>
  <si>
    <t>Utilmédica</t>
  </si>
  <si>
    <t>Renault Express Van Comercial - AZ-38-GR - Viatura Nº 069</t>
  </si>
  <si>
    <t>Vila Franca de Xira</t>
  </si>
  <si>
    <t>Renaut</t>
  </si>
  <si>
    <t>Renault Express Van Comercial - AZ-39-GR - Viatura Nº 068</t>
  </si>
  <si>
    <t>Cadeira Rodada Job</t>
  </si>
  <si>
    <t>Movixira</t>
  </si>
  <si>
    <t>Ar Condicionado - Adroana - Sala Servidores</t>
  </si>
  <si>
    <t>Pórtico de Lavagem Automática - Adoana</t>
  </si>
  <si>
    <t>Guimarães</t>
  </si>
  <si>
    <t>Equiwash</t>
  </si>
  <si>
    <t>EQUIPAMENTO DE DEPOSITO DE VALORES</t>
  </si>
  <si>
    <t>Lavradio</t>
  </si>
  <si>
    <t>neves e Neves</t>
  </si>
  <si>
    <t>Mercedes Vans Sprinter Furgão - BC-61-XH</t>
  </si>
  <si>
    <t>Covilã</t>
  </si>
  <si>
    <t>Caetano Star</t>
  </si>
  <si>
    <t>Elevador coluna independente</t>
  </si>
  <si>
    <t>Lusiletra</t>
  </si>
  <si>
    <t>Ar Condicionado - Sala Monitores Formação</t>
  </si>
  <si>
    <t>Ar Condicionado - Refeitorio das Oficinas</t>
  </si>
  <si>
    <t>veículos ligeiros passageiros</t>
  </si>
  <si>
    <t>Mercedes Vans Sprinter Furgão - BF-82-AB</t>
  </si>
  <si>
    <t>Impressora 3D modular 3 em 1 c/ laser e cnc</t>
  </si>
  <si>
    <t>MAUSER</t>
  </si>
  <si>
    <t>Televisão Samsung 65"</t>
  </si>
  <si>
    <t>Rodinform</t>
  </si>
  <si>
    <t>Televisão Samsung 75"</t>
  </si>
  <si>
    <t>INTERIOR DA VIATURA Nº 74 BC-61-XH</t>
  </si>
  <si>
    <t>Jacinto &amp; Filhos</t>
  </si>
  <si>
    <t>INTERIOR VIATURA Nº 75 BF-82-AB</t>
  </si>
  <si>
    <t>Computador Intel I9</t>
  </si>
  <si>
    <t>Queluz</t>
  </si>
  <si>
    <t>IT4U</t>
  </si>
  <si>
    <t>Instalação Software Controle Contas (Maquina de deposito 11)</t>
  </si>
  <si>
    <t>Instalação Software Controle Contas (Maquina de deposito 12)</t>
  </si>
  <si>
    <t>Instalação Software Controle Contas (Maquina de deposito 13)</t>
  </si>
  <si>
    <t>os dados não se enquadram no scope … deveria estar na aquisição de bens e serviços!</t>
  </si>
  <si>
    <t>Universo GB</t>
  </si>
  <si>
    <t>PT</t>
  </si>
  <si>
    <t>ton.km</t>
  </si>
  <si>
    <t>Unidade Transporte</t>
  </si>
  <si>
    <t>HGV/Truck</t>
  </si>
  <si>
    <t>Alemanha</t>
  </si>
  <si>
    <t>Polónia</t>
  </si>
  <si>
    <t>Tipo Análse</t>
  </si>
  <si>
    <t>Combinada</t>
  </si>
  <si>
    <t>Componentes</t>
  </si>
  <si>
    <t>Metodologia 1</t>
  </si>
  <si>
    <t>Metodologia 2</t>
  </si>
  <si>
    <t>Consumo médio diário 222L x 93 Dias | Faturanº 20230/00780631 de 04.04.2023 | Consumo de 01.01.23 a 03.04.23</t>
  </si>
  <si>
    <t>Consumo médio diário 216L x 245 Dias | Faturanº 20230/02868287 de 05.12.2023 | Consumo de 04.04.23 a 04.12.23</t>
  </si>
  <si>
    <t>Consumo médio diário 233L x 28 Dias | Faturanº 20240/00038249 de 05.01.2024 | Consumo de 05.12.23 a 05.01.24</t>
  </si>
  <si>
    <t>água rega espaços verdes - resp. subcontratado</t>
  </si>
  <si>
    <t>captações da resp. IP - água uso industrial</t>
  </si>
  <si>
    <t>Lavagem de viaturas</t>
  </si>
  <si>
    <t>Instalações sanitárias</t>
  </si>
  <si>
    <t>FERTAGUS - Travessia do Tejo, Transportes, S. A. - Estações</t>
  </si>
  <si>
    <t>FERTAGUS - Travessia do Tejo, Transportes, S. A. - Rega</t>
  </si>
  <si>
    <t>FERTAGUS - Travessia do Tejo, Transportes, S. A. - Parques</t>
  </si>
  <si>
    <t>FERTAGUS - Travessia do Tejo, Transportes, S. A. - Complexo Ferroviário de Coina</t>
  </si>
  <si>
    <t>FERTAGUS - Travessia do Tejo, Transportes, S. A. - Pragal</t>
  </si>
  <si>
    <t>FERTAGUS - Travessia do Tejo, Transportes, S. A. - Corroios</t>
  </si>
  <si>
    <t>Viaporto - Operação e Manutenção de Transportes, Unipessoal LDA. - (subcontratado)</t>
  </si>
  <si>
    <t xml:space="preserve">Resicorreia Gestão e Serviços de Ambiente Lda </t>
  </si>
  <si>
    <t>Aparas de matérias plasticas</t>
  </si>
  <si>
    <t>Mistura de embalagens</t>
  </si>
  <si>
    <t>Ácidos de decapagem</t>
  </si>
  <si>
    <t xml:space="preserve">Gases em recipientes sob pressão, não abrangidos em 16 05 04 </t>
  </si>
  <si>
    <t xml:space="preserve">Misturas de resíduos de construção e demolição não abrangidos em 17 09 01, 17 09 02 e 17 09 03 </t>
  </si>
  <si>
    <t xml:space="preserve">Resíduos biodegradáveis </t>
  </si>
  <si>
    <t>Lamas ou resíduos sólidos, contendo outros solventes</t>
  </si>
  <si>
    <t xml:space="preserve">Papel e Cartão </t>
  </si>
  <si>
    <t>Lamas provenientes da lavagem e limpeza</t>
  </si>
  <si>
    <t>(*) Resíduos de tintas e vernizes, contendo solventes orgânicos ou outras substâncias perigosas</t>
  </si>
  <si>
    <t>(*) Misturas de resíduos provenientes de desarenadores e de separadores óleo/água</t>
  </si>
  <si>
    <t>Gradados</t>
  </si>
  <si>
    <t>(*) Resíduos de toner de impressão, contendo substâncias perigosas</t>
  </si>
  <si>
    <t>d15</t>
  </si>
  <si>
    <t xml:space="preserve">Refinação de óleos e outras reutilizações de óleos </t>
  </si>
  <si>
    <t>Troca de resíduos com vista a submete-los a uma das operações enumeradas de R! a R11</t>
  </si>
  <si>
    <t>Carmona - Sociedade de Limpeza e Tratamento de Combustíveis, S.A (501741380)</t>
  </si>
  <si>
    <t>EGEO - Tecnologia e Ambiente S.A. (500512884)</t>
  </si>
  <si>
    <t>EGEO - Tecnologia e Ambiente S.A. (500512884) / Transportes Central Pombalense, Lda. (500490023)</t>
  </si>
  <si>
    <t>A.S.O.R. Auto Serviço Organizado de Reboque Transportes Unipessoal, Lda (506624471)</t>
  </si>
  <si>
    <t>SISAV - Sistema Integrado de Tratamento e Eliminação de Resíduos, S.A. (507461150)</t>
  </si>
  <si>
    <t>SRE - Sociedade de Reciclagem de Évora Unipessoal, Lda (507322223)</t>
  </si>
  <si>
    <t>SRE - Sociedade de Reciclagem de Évora Unipessoal, Lda (507322223) / Rodoviária do Alentejo S.A. (502522380)</t>
  </si>
  <si>
    <t>Reciclomad, Unipessoal Lda. (508716209)</t>
  </si>
  <si>
    <t>Pires &amp; Martins - Comércio de Sucatas, Lda (507424883)</t>
  </si>
  <si>
    <t>Rodoviária do Alentejo S.A. (502522380)</t>
  </si>
  <si>
    <t>VIAPETRO, Lda (504283626)</t>
  </si>
  <si>
    <t>Transportes Central Pombalense, Lda. (500490023)</t>
  </si>
  <si>
    <t>A.S.O.R. Auto Serviço Organizado de Reboque Transportes Unipessoal, Lda (506624471) / Rodoviária do Alentejo S.A. (502522380)</t>
  </si>
  <si>
    <t>Recurso Inesgotável, Lda (509172377)</t>
  </si>
  <si>
    <t>Gândara - Papel Velho e Sucatas, Lda (502604522)</t>
  </si>
  <si>
    <t>ECOLUB</t>
  </si>
  <si>
    <t>Europontal - Mateiais de Construção, Lda (504498657)</t>
  </si>
  <si>
    <t>Deposicão na Worten</t>
  </si>
  <si>
    <t>Recolha por serviço camarário</t>
  </si>
  <si>
    <t>Deposicão na Worten ou entrega Helpdesk GB</t>
  </si>
  <si>
    <t>Resicorreira Gestão e Serviços Ambiente lda (507203992</t>
  </si>
  <si>
    <t>Ambigroup Residuos Lda (500730547)</t>
  </si>
  <si>
    <t>Ava Transportes</t>
  </si>
  <si>
    <t>RSA Transportes</t>
  </si>
  <si>
    <t>Reciprémio</t>
  </si>
  <si>
    <t>Transportes Piçarra  &amp; Irmão</t>
  </si>
  <si>
    <t>ABIAM - ENVIRONMENT AND SERVICES, LDA.</t>
  </si>
  <si>
    <t>Francisco Marques Rodrigues, S.A.</t>
  </si>
  <si>
    <t>Transrecicla-Transportes, Lda</t>
  </si>
  <si>
    <t>Ambigroup residuos, SA</t>
  </si>
  <si>
    <t>Carmona - Sociedade de Limpeza e Tratamento de Combustíveis, S.A</t>
  </si>
  <si>
    <t>Ribeiro &amp; Filhos Lda</t>
  </si>
  <si>
    <t>B.G.R. - Gestão de Residuos, Lda</t>
  </si>
  <si>
    <t>EXIDE TECHNOLOGIES, LDA</t>
  </si>
  <si>
    <t>Transportes António Simões, Unipessoal, Lda.</t>
  </si>
  <si>
    <t>Cannon Hygiene Portugal, Lda.</t>
  </si>
  <si>
    <t>Rentokil Initial Portugal - Serviços Protecção Ambiental, Lda.</t>
  </si>
  <si>
    <t>Tratolixo</t>
  </si>
  <si>
    <t>Verdesboço - Unipessoal, Lda</t>
  </si>
  <si>
    <t>BO</t>
  </si>
  <si>
    <t>Biological - Gestão de Resíduos Industriais Lda.</t>
  </si>
  <si>
    <t>Luis Tiago Fernandes Morais Unipessoal Lda</t>
  </si>
  <si>
    <t>BV</t>
  </si>
  <si>
    <t>ESEVEL</t>
  </si>
  <si>
    <t>BA</t>
  </si>
  <si>
    <t>AMBIGROUP SERVIÇOS, S.A.</t>
  </si>
  <si>
    <t>Mafrense</t>
  </si>
  <si>
    <t>Estremadura</t>
  </si>
  <si>
    <t>Carmona - Sociedade de Limpeza e Tratamento de Combustíveis, S.A.</t>
  </si>
  <si>
    <t>Hidrohelp - Serviços Técnicos de Hidroaspiração, Lda.</t>
  </si>
  <si>
    <t>Judite Maria - Operações de Gestão de Resíduos, Lda</t>
  </si>
  <si>
    <t>Higirecolhas Unipessoal Lda</t>
  </si>
  <si>
    <t>Transtruck II, Lda</t>
  </si>
  <si>
    <t>Abate VFV</t>
  </si>
  <si>
    <t>Viaporto - Operação e Manutenção de Transportes, Unipessoal LDA. - Subcontratados da ViaPorto</t>
  </si>
  <si>
    <t>EVA - Transportes, S.A. - oficina Olhão</t>
  </si>
  <si>
    <t>Rodoviária do Alentejo, S.A. - ZI Portalegre (APA08355203)</t>
  </si>
  <si>
    <t>(*) Ácido clorídrico</t>
  </si>
  <si>
    <t>(*) Hidróxidos de sódio e de potássio</t>
  </si>
  <si>
    <t>Resíduos Borracha sem outras especificações</t>
  </si>
  <si>
    <t>(*) Suspensões aquosas contendo tintas ou vernizes, contendo solventes orgânicos ou outras substâncias perigosas</t>
  </si>
  <si>
    <t>Resíduos de vidro não abrangidos em 10 11 11</t>
  </si>
  <si>
    <t>Resíduos de soldadura</t>
  </si>
  <si>
    <t>(*) Líquidos de lavagem aquosos</t>
  </si>
  <si>
    <t>(*) Lamas provenientes dos separadores óleo/água</t>
  </si>
  <si>
    <t>(*) Fuelóleo e gasóleo</t>
  </si>
  <si>
    <t>(*)Resíduos sem outras especificações</t>
  </si>
  <si>
    <t>(*) Fluidos anticongelantes contendo substâncias perigosas</t>
  </si>
  <si>
    <t>(*) Equipamento fora de uso contendo clorofluorcarbonetos, HCFC, HFC</t>
  </si>
  <si>
    <t>(*) Equipamento fora de uso, contendo componentes perigosos</t>
  </si>
  <si>
    <t>(*) Resíduos inorgânicos contendo substâncias perigosas</t>
  </si>
  <si>
    <t>Resíduos orgânicos não abrangidos em 16 03 05</t>
  </si>
  <si>
    <t>(*) Acumuladores de chumbo</t>
  </si>
  <si>
    <t>(*) Acumuladores de níquel-cádmio</t>
  </si>
  <si>
    <t>(*) Resíduos contendo hidrocarbonetos</t>
  </si>
  <si>
    <t>Betão</t>
  </si>
  <si>
    <t>Mistura de metais</t>
  </si>
  <si>
    <t>Cabos não abrangidos em 17 04 10</t>
  </si>
  <si>
    <t>(*) Solos e rochas, contendo substâncias perigosas</t>
  </si>
  <si>
    <t>Solos e rochas não abrangidos em 17 05 03</t>
  </si>
  <si>
    <t>Materiais de construção à base de gesso não abrangidos em 17 08 01</t>
  </si>
  <si>
    <t>Roupas</t>
  </si>
  <si>
    <t>(*) Pilhas e acumuladores abrangidos em 16 06 01, 16 06 02 ou 16 06 03 e pilhas e acumuladores não triados contendo desses acumuladores ou pilhas</t>
  </si>
  <si>
    <t>Pilhas e acumuladores não abrangidos em 20 01 33</t>
  </si>
  <si>
    <t>(*) Equipamento elétrico e eletrónico fora de uso, não abrangido em 20 01 21 ou 20 01 23, contendo componentes perigosos</t>
  </si>
  <si>
    <t>Outras frações, sem outras especificações</t>
  </si>
  <si>
    <t>Resíduos da limpeza de ruas</t>
  </si>
  <si>
    <t>Papel</t>
  </si>
  <si>
    <t xml:space="preserve">                              981 373,69 € </t>
  </si>
  <si>
    <t xml:space="preserve">                                  3 039,91 € </t>
  </si>
  <si>
    <t xml:space="preserve">                                  1 208,54 € </t>
  </si>
  <si>
    <t xml:space="preserve">                                13 950,82 € </t>
  </si>
  <si>
    <t xml:space="preserve">                                13 932,39 € </t>
  </si>
  <si>
    <t xml:space="preserve">                                  3 806,44 € </t>
  </si>
  <si>
    <t xml:space="preserve">                              382 700,59 € </t>
  </si>
  <si>
    <t>de Metal</t>
  </si>
  <si>
    <t>Baterias de Chumbo</t>
  </si>
  <si>
    <t>alicate, absorvente, baldes, apoio de braço, EPI's, cinto segurança, disco de corte, disco de lixa, esponjas, lixas, trapos, trinchas e vassouras</t>
  </si>
  <si>
    <t>Válvulas, base com fole, jg reparação válvulas</t>
  </si>
  <si>
    <t xml:space="preserve">Alternador, Aparafusadora, arrancador, avisador de pastilhas, avisador sonoro, cabelagem, caixa derivação, electroválvula, farol, farolim, ficha, fio de instalação, interruptores, lâmpadas, regulador alternador, sensores, sonda, terminais </t>
  </si>
  <si>
    <t>abraçadeiras, escovas limpa vidros, sinoblocos</t>
  </si>
  <si>
    <t>Filtros</t>
  </si>
  <si>
    <t>matriculas acrílico</t>
  </si>
  <si>
    <t xml:space="preserve">tintas, acelerador, álcool, anti gravilha, acetileno, betume, azoto, colas, detergentes, diluentes, gás, oxigénio, sal em pastilhas, </t>
  </si>
  <si>
    <t>MIF | Peças Limpeza e higiene IF</t>
  </si>
  <si>
    <t>MIF | Peças Semaforização</t>
  </si>
  <si>
    <t>Detalhe pelos diversos Tipos de Material / Tipo de Serviço não se encontra disponível</t>
  </si>
  <si>
    <t>Peças e Sobressalentes</t>
  </si>
  <si>
    <t>379 registos</t>
  </si>
  <si>
    <t>36 registos</t>
  </si>
  <si>
    <t>762 registos</t>
  </si>
  <si>
    <t>887 registos</t>
  </si>
  <si>
    <t>234 registos</t>
  </si>
  <si>
    <t>990 registos</t>
  </si>
  <si>
    <t>Barraqueiro Transportes, S.A. - Barraqueiro Alugueres + ESEVEL</t>
  </si>
  <si>
    <t>241 registos</t>
  </si>
  <si>
    <t>732 registos</t>
  </si>
  <si>
    <t>34 registos</t>
  </si>
  <si>
    <t>128 registos</t>
  </si>
  <si>
    <t>4891 registos</t>
  </si>
  <si>
    <t>1534 registos</t>
  </si>
  <si>
    <t>44 registos</t>
  </si>
  <si>
    <t>817 registos</t>
  </si>
  <si>
    <t>2650 registos</t>
  </si>
  <si>
    <t>74 registos</t>
  </si>
  <si>
    <t>1819 registos</t>
  </si>
  <si>
    <t>2670 registos</t>
  </si>
  <si>
    <t>290 registos</t>
  </si>
  <si>
    <t>463 registos</t>
  </si>
  <si>
    <t>1371 registos</t>
  </si>
  <si>
    <t>136 registos</t>
  </si>
  <si>
    <t>55 registos</t>
  </si>
  <si>
    <t>1964 registos</t>
  </si>
  <si>
    <t>2341 registos</t>
  </si>
  <si>
    <t>91 registos</t>
  </si>
  <si>
    <t>373 registos</t>
  </si>
  <si>
    <t>1844 registos</t>
  </si>
  <si>
    <t>148 registos</t>
  </si>
  <si>
    <t>754 registos</t>
  </si>
  <si>
    <t>12 registos</t>
  </si>
  <si>
    <t>120 registos</t>
  </si>
  <si>
    <t>3890 registos</t>
  </si>
  <si>
    <t>608 registos</t>
  </si>
  <si>
    <t>567 registos</t>
  </si>
  <si>
    <t>792 registos</t>
  </si>
  <si>
    <t>1441 registos</t>
  </si>
  <si>
    <t>162 registos</t>
  </si>
  <si>
    <t>126 registos</t>
  </si>
  <si>
    <t>8371 registos</t>
  </si>
  <si>
    <t>14 registos</t>
  </si>
  <si>
    <t>210 registos</t>
  </si>
  <si>
    <t>1216 registos</t>
  </si>
  <si>
    <t>4324 registos</t>
  </si>
  <si>
    <t>1056 registos</t>
  </si>
  <si>
    <t>15 registos</t>
  </si>
  <si>
    <t>217 registos</t>
  </si>
  <si>
    <t>EPA GHG Supply Chain 1.3: Pneus:: Por Unidade de Custo Comprador: 2022</t>
  </si>
  <si>
    <t>Vendedores Peças Grossistas</t>
  </si>
  <si>
    <t>EPA GHG Supply Chain 1.3: Vendedores Peças Grossistas:: Por Unidade de Custo Comprador: 2022</t>
  </si>
  <si>
    <t>Bateria Primaria</t>
  </si>
  <si>
    <t>EPA GHG Supply Chain 1.3: Bateria Primaria:: Por Unidade de Custo Comprador: 2022</t>
  </si>
  <si>
    <t>Peças Metal</t>
  </si>
  <si>
    <t>EPA GHG Supply Chain 1.3: Peças Metal:: Por Unidade de Custo Comprador: 2022</t>
  </si>
  <si>
    <t>EPA GHG Supply Chain 1.3: Lubrificantes:: Por Unidade de Custo Comprador: 2022</t>
  </si>
  <si>
    <t>Vidro Plano</t>
  </si>
  <si>
    <t>EPA GHG Supply Chain 1.3: Vidro Plano:: Por Unidade de Custo Comprador: 2022</t>
  </si>
  <si>
    <t>Manutenção Serviços</t>
  </si>
  <si>
    <t>EPA GHG Supply Chain 1.3: Manutenção Serviços:: Por Unidade de Custo Comprador: 2022</t>
  </si>
  <si>
    <t>Manutenção Geral</t>
  </si>
  <si>
    <t>EPA GHG Supply Chain 1.3: Manutenção Geral:: Por Unidade de Custo Comprador: 2022</t>
  </si>
  <si>
    <t>Peças Carroçaria e Interiores</t>
  </si>
  <si>
    <t>EPA GHG Supply Chain 1.3: Peças Carroçaria e Interiores:: Por Unidade de Custo Comprador: 2022</t>
  </si>
  <si>
    <t>Rodovária do Tejo</t>
  </si>
  <si>
    <t>Outras peças</t>
  </si>
  <si>
    <t>Borracha e plástico</t>
  </si>
  <si>
    <t>Outras</t>
  </si>
  <si>
    <t>Quimicos</t>
  </si>
  <si>
    <t>Meios Própios Empresa</t>
  </si>
  <si>
    <t>Adroana</t>
  </si>
  <si>
    <t>Carnaxide</t>
  </si>
  <si>
    <t>outros</t>
  </si>
  <si>
    <t>Alfragide</t>
  </si>
  <si>
    <t>Pedroso</t>
  </si>
  <si>
    <t>Sintra</t>
  </si>
  <si>
    <t>Linhó</t>
  </si>
  <si>
    <t>Famões</t>
  </si>
  <si>
    <t>São Domingos de Rana</t>
  </si>
  <si>
    <t>Pinhal Novo</t>
  </si>
  <si>
    <t xml:space="preserve">Várias calculo da media </t>
  </si>
  <si>
    <t>Carclass</t>
  </si>
  <si>
    <t>LEIRIA</t>
  </si>
  <si>
    <t>Bateria 95A</t>
  </si>
  <si>
    <t>CALDAS (RDO)</t>
  </si>
  <si>
    <t>Bateria 230A</t>
  </si>
  <si>
    <t>Bateria 180 A</t>
  </si>
  <si>
    <t>TORRES NOVAS</t>
  </si>
  <si>
    <t>Autopeças Entrocamento</t>
  </si>
  <si>
    <t>SANTAREM</t>
  </si>
  <si>
    <t>Bateria 120A</t>
  </si>
  <si>
    <t>Bateria 110A</t>
  </si>
  <si>
    <t>Sodicentro</t>
  </si>
  <si>
    <t>Mercedes Alverca</t>
  </si>
  <si>
    <t>Nasacar</t>
  </si>
  <si>
    <t>STA. IRIA AZOIA</t>
  </si>
  <si>
    <t>Bandague</t>
  </si>
  <si>
    <t xml:space="preserve"> RECAUCHUTAGEM SAO MAMEDE, LDA</t>
  </si>
  <si>
    <t>QUELUZ DE BAIXO</t>
  </si>
  <si>
    <t xml:space="preserve">Pneus novos viaturas pesadas </t>
  </si>
  <si>
    <t>GSPT-PNEUS E SERVICOS, SA</t>
  </si>
  <si>
    <t>Pneus novos pesadas mini</t>
  </si>
  <si>
    <t>pneus novos ligeiros</t>
  </si>
  <si>
    <t>Pneus recauchutados pesados</t>
  </si>
  <si>
    <t>Pneus recauchutados mini</t>
  </si>
  <si>
    <t>CSANTOS VEICULOS E PECAS, SA</t>
  </si>
  <si>
    <t>ELEFER -FERRAGENS E UTILIDADES, LDA</t>
  </si>
  <si>
    <t>Consumíveis e ferramentas
 (entregas 2 x semana</t>
  </si>
  <si>
    <t>MARQUE JA UNIPESSOAL, LDA</t>
  </si>
  <si>
    <t>NASACAR-SOC IMP COMERCIO PECAS AUTO, LDA</t>
  </si>
  <si>
    <t xml:space="preserve">SURIPECAS LDA </t>
  </si>
  <si>
    <t xml:space="preserve">
deslocações diárias</t>
  </si>
  <si>
    <t xml:space="preserve"> CSANTOS VEICULOS E PECAS, SA</t>
  </si>
  <si>
    <t>IRMAOS MOTA-CONSTRUCAO DE CARROCARIAS, SA</t>
  </si>
  <si>
    <t>abraçad plást serrilha 300MM
deslocações diárias</t>
  </si>
  <si>
    <t>WURTHPORTUGAL TECNICA DE MONTAGEM, LDA</t>
  </si>
  <si>
    <t xml:space="preserve">abraçad plást serrilha 300MM
</t>
  </si>
  <si>
    <t>GAMAVANCADA LDA</t>
  </si>
  <si>
    <t>HY-SISTEMAS DE HIGIENE, LDA</t>
  </si>
  <si>
    <t>sacos plásticos diversos</t>
  </si>
  <si>
    <t>LISGAZ-GASES EQUIPAMENTOS SOLDADURA, LDA</t>
  </si>
  <si>
    <t>ROLO PAPEL MASCARAR</t>
  </si>
  <si>
    <t xml:space="preserve"> ALVARO DE SOUSA BORREGO, SA</t>
  </si>
  <si>
    <t>betume, desengordurante diluente, massa polir</t>
  </si>
  <si>
    <t xml:space="preserve">colas, massa pneus, spray, </t>
  </si>
  <si>
    <t xml:space="preserve"> CIN INDUSTRIAL COATINGS, SA</t>
  </si>
  <si>
    <t>Tinta, esmalte acrilico, endurecedor, diluente</t>
  </si>
  <si>
    <t>anticongelante</t>
  </si>
  <si>
    <t>PINHAL QUIMICA -PROD HIG MANUT IND, LDA</t>
  </si>
  <si>
    <t>liquido limpeza viaturas</t>
  </si>
  <si>
    <t>triangulos, lamela, kit dedante, torneiras, coletes</t>
  </si>
  <si>
    <t>DIVERSOS</t>
  </si>
  <si>
    <t xml:space="preserve">(papel higienico,trapos, toalhetes, EPI's, </t>
  </si>
  <si>
    <t>José Lopes</t>
  </si>
  <si>
    <t>Dimensão da frota de apoio à operação (movimento, tráfego, oficinas, serviço, etc)</t>
  </si>
  <si>
    <t>Volume de negócios (soma das contas 71, 72 e 78)</t>
  </si>
  <si>
    <t>Notas:</t>
  </si>
  <si>
    <t>TAC</t>
  </si>
  <si>
    <t>TAA</t>
  </si>
  <si>
    <t>ABA</t>
  </si>
  <si>
    <t>€/km</t>
  </si>
  <si>
    <t>Trevo / Eubs (RH?)</t>
  </si>
  <si>
    <t xml:space="preserve"> LISBOAT LDA</t>
  </si>
  <si>
    <t>Transporte Marítimi/Fluvial de Passageiros</t>
  </si>
  <si>
    <t>Agostinho Ferreira</t>
  </si>
  <si>
    <t>€/Colab</t>
  </si>
  <si>
    <t>km/Frota Op.</t>
  </si>
  <si>
    <t>VIAMOVE</t>
  </si>
  <si>
    <t>Subsetor</t>
  </si>
  <si>
    <t>SPTP</t>
  </si>
  <si>
    <t>VIANORBUS</t>
  </si>
  <si>
    <t>André Rodrigues</t>
  </si>
  <si>
    <t>RNE-Rede Nacional de Expressos, Lda</t>
  </si>
  <si>
    <t>SPTP; SPTP Expressos; Comercial</t>
  </si>
  <si>
    <t>SPTP Expressos</t>
  </si>
  <si>
    <t>Beatriz Ferreira</t>
  </si>
  <si>
    <t>EVA (Grupo)</t>
  </si>
  <si>
    <t>Outvalue, Lda</t>
  </si>
  <si>
    <t>Consultoria, outsourcing e fornecimento de recursos humanos</t>
  </si>
  <si>
    <t>NUNO CARDOSO/AMÂNDIO MIGUEL</t>
  </si>
  <si>
    <t>António Almeida</t>
  </si>
  <si>
    <t>Transol (Grupo)</t>
  </si>
  <si>
    <t>Ricardo Marzagão</t>
  </si>
  <si>
    <t>Cristina Dourado</t>
  </si>
  <si>
    <t>Viaporto, Operação e Manutenção de Transportes, Unipessoal Lda</t>
  </si>
  <si>
    <t>Transporte Metro/Ferroviário de Passageiros</t>
  </si>
  <si>
    <t>São José - Brasil</t>
  </si>
  <si>
    <t>€/pkt</t>
  </si>
  <si>
    <t xml:space="preserve">Cityrama </t>
  </si>
  <si>
    <t>Veja Manaus</t>
  </si>
  <si>
    <t>RollerTown</t>
  </si>
  <si>
    <t>Cristina Vasconcelos</t>
  </si>
  <si>
    <t>Mercadorias; Transporte Especializado; Combustíveis</t>
  </si>
  <si>
    <t>Mercadorias; Transporte Espcializado; Veículos</t>
  </si>
  <si>
    <t>Carlos Julião</t>
  </si>
  <si>
    <t>5400000+AML?</t>
  </si>
  <si>
    <t>Cristina Gervásio</t>
  </si>
  <si>
    <t>SPTP; Comercial</t>
  </si>
  <si>
    <t>994 mapa RH</t>
  </si>
  <si>
    <t>transol+BT4U+FMT 191 no mapa RH</t>
  </si>
  <si>
    <t>TRANSOL - TRANSPORTES E TURISMO, S.A. (Grupo)</t>
  </si>
  <si>
    <t>Eva Transportes, S.A. (Grupo)</t>
  </si>
  <si>
    <t>Viamove - Soluções de Mobilidade, Lda.</t>
  </si>
  <si>
    <t>Proveito €/colaborador</t>
  </si>
  <si>
    <t>AXPO Portugal</t>
  </si>
  <si>
    <t>Vimeca+Scotturb</t>
  </si>
  <si>
    <t>EPA emission factors hub 2024</t>
  </si>
  <si>
    <t>Barraqueiro Oeste</t>
  </si>
  <si>
    <t>Barraqueiro Alugueres</t>
  </si>
  <si>
    <t>Idx2</t>
  </si>
  <si>
    <t>Gases Refrigerantes: HFC134a</t>
  </si>
  <si>
    <t>Autocarro Std</t>
  </si>
  <si>
    <t>Ano Ref</t>
  </si>
  <si>
    <t>Rel Peg. Carbono 21: Manutenção Geral M3:: Por Unidade de Custo Comprador: 2022</t>
  </si>
  <si>
    <t>Manutenção Geral N3</t>
  </si>
  <si>
    <t>Maia Transportes</t>
  </si>
  <si>
    <t>Luísa Oliveira</t>
  </si>
  <si>
    <t>Pesado passageiros M2</t>
  </si>
  <si>
    <t>Pesado passageiros M3</t>
  </si>
  <si>
    <t>Maia Transportes - ASC, Lda</t>
  </si>
  <si>
    <t>Transviagens - Transportes Em Autocarros, Lda.</t>
  </si>
  <si>
    <t>MAN  AT-08-TP</t>
  </si>
  <si>
    <t>Outros Serviços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</si>
</sst>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8" formatCode="#,##0.00\ &quot;€&quot;;[Red]\-#,##0.00\ &quot;€&quot;"/>
    <numFmt numFmtId="41" formatCode="_-* #,##0_-;\-* #,##0_-;_-* &quot;-&quot;_-;_-@_-"/>
    <numFmt numFmtId="44" formatCode="_-* #,##0.00\ &quot;€&quot;_-;\-* #,##0.00\ &quot;€&quot;_-;_-* &quot;-&quot;??\ &quot;€&quot;_-;_-@_-"/>
    <numFmt numFmtId="164" formatCode="_-* #,##0.00\ _€_-;\-* #,##0.00\ _€_-;_-* &quot;-&quot;??\ _€_-;_-@_-"/>
    <numFmt numFmtId="165" formatCode="0.0"/>
    <numFmt numFmtId="166" formatCode="_-* #,##0.0\ _€_-;\-* #,##0.0\ _€_-;_-* &quot;-&quot;??\ _€_-;_-@_-"/>
    <numFmt numFmtId="167" formatCode="_-* #,##0\ _€_-;\-* #,##0\ _€_-;_-* &quot;-&quot;??\ _€_-;_-@_-"/>
    <numFmt numFmtId="168" formatCode="0.000"/>
    <numFmt numFmtId="169" formatCode="_-* #,##0.0\ _C_F_A_-;\-* #,##0.0\ _C_F_A_-;_-* &quot;-&quot;?\ _C_F_A_-;_-@_-"/>
    <numFmt numFmtId="170" formatCode="_-* #,##0.0\ _€_-;\-* #,##0.0\ _€_-;_-* &quot;-&quot;?\ _€_-;_-@_-"/>
    <numFmt numFmtId="171" formatCode="#,##0.00\ &quot;€&quot;"/>
    <numFmt numFmtId="172" formatCode="_-* #,##0.000\ &quot;€&quot;_-;\-* #,##0.000\ &quot;€&quot;_-;_-* &quot;-&quot;??\ &quot;€&quot;_-;_-@_-"/>
    <numFmt numFmtId="173" formatCode="#,##0.0"/>
    <numFmt numFmtId="174" formatCode="0.0%"/>
    <numFmt numFmtId="175" formatCode="_-* #,##0\ &quot;€&quot;_-;\-* #,##0\ &quot;€&quot;_-;_-* &quot;-&quot;??\ &quot;€&quot;_-;_-@_-"/>
    <numFmt numFmtId="176" formatCode="_-* #,##0.00\ [$€-816]_-;\-* #,##0.00\ [$€-816]_-;_-* &quot;-&quot;??\ [$€-816]_-;_-@_-"/>
    <numFmt numFmtId="177" formatCode="_-* #,##0.0\ &quot;€&quot;_-;\-* #,##0.0\ &quot;€&quot;_-;_-* &quot;-&quot;??\ &quot;€&quot;_-;_-@_-"/>
    <numFmt numFmtId="178" formatCode="#,##0.000\ &quot;€&quot;"/>
    <numFmt numFmtId="179" formatCode="_-* #,##0.0\ &quot;€&quot;_-;\-* #,##0.0\ &quot;€&quot;_-;_-* &quot;-&quot;?\ &quot;€&quot;_-;_-@_-"/>
  </numFmts>
  <fonts count="39" x14ac:knownFonts="1">
    <font>
      <sz val="11"/>
      <color theme="1"/>
      <name val="Calibri"/>
      <family val="2"/>
      <scheme val="minor"/>
    </font>
    <font>
      <b/>
      <sz val="12"/>
      <color theme="0"/>
      <name val="Calibri"/>
      <family val="2"/>
      <scheme val="minor"/>
    </font>
    <font>
      <sz val="12"/>
      <color theme="1"/>
      <name val="Calibri"/>
      <family val="2"/>
      <scheme val="minor"/>
    </font>
    <font>
      <b/>
      <sz val="20"/>
      <color theme="0"/>
      <name val="Calibri"/>
      <family val="2"/>
      <scheme val="minor"/>
    </font>
    <font>
      <sz val="11"/>
      <name val="Calibri"/>
      <family val="2"/>
      <scheme val="minor"/>
    </font>
    <font>
      <b/>
      <sz val="26"/>
      <color theme="0"/>
      <name val="Calibri"/>
      <family val="2"/>
      <scheme val="minor"/>
    </font>
    <font>
      <b/>
      <sz val="12"/>
      <color theme="1"/>
      <name val="Calibri"/>
      <family val="2"/>
      <scheme val="minor"/>
    </font>
    <font>
      <sz val="10"/>
      <color theme="1"/>
      <name val="Calibri"/>
      <family val="2"/>
      <scheme val="minor"/>
    </font>
    <font>
      <b/>
      <sz val="12"/>
      <color theme="4"/>
      <name val="Calibri"/>
      <family val="2"/>
      <scheme val="minor"/>
    </font>
    <font>
      <b/>
      <sz val="11"/>
      <color theme="0"/>
      <name val="Calibri"/>
      <family val="2"/>
      <scheme val="minor"/>
    </font>
    <font>
      <sz val="11"/>
      <color theme="0"/>
      <name val="Calibri"/>
      <family val="2"/>
      <scheme val="minor"/>
    </font>
    <font>
      <sz val="10"/>
      <color rgb="FF000000"/>
      <name val="Calibri"/>
      <family val="2"/>
    </font>
    <font>
      <sz val="10"/>
      <color theme="1"/>
      <name val="Calibri"/>
      <family val="2"/>
    </font>
    <font>
      <b/>
      <i/>
      <sz val="28"/>
      <color rgb="FF002060"/>
      <name val="Calibri"/>
      <family val="2"/>
    </font>
    <font>
      <sz val="28"/>
      <color theme="1"/>
      <name val="Calibri"/>
      <family val="2"/>
    </font>
    <font>
      <b/>
      <sz val="20"/>
      <color rgb="FF002060"/>
      <name val="Calibri"/>
      <family val="2"/>
      <scheme val="minor"/>
    </font>
    <font>
      <sz val="11"/>
      <color rgb="FF002060"/>
      <name val="Calibri"/>
      <family val="2"/>
      <scheme val="minor"/>
    </font>
    <font>
      <b/>
      <sz val="11"/>
      <color rgb="FF002060"/>
      <name val="Calibri"/>
      <family val="2"/>
      <scheme val="minor"/>
    </font>
    <font>
      <sz val="9"/>
      <color theme="1"/>
      <name val="Calibri"/>
      <family val="2"/>
      <scheme val="minor"/>
    </font>
    <font>
      <sz val="9"/>
      <name val="Calibri"/>
      <family val="2"/>
      <scheme val="minor"/>
    </font>
    <font>
      <b/>
      <sz val="9"/>
      <color indexed="81"/>
      <name val="Tahoma"/>
      <family val="2"/>
    </font>
    <font>
      <sz val="9"/>
      <color indexed="81"/>
      <name val="Tahoma"/>
      <family val="2"/>
    </font>
    <font>
      <sz val="11"/>
      <color theme="1"/>
      <name val="Calibri"/>
      <family val="2"/>
      <scheme val="minor"/>
    </font>
    <font>
      <u/>
      <sz val="11"/>
      <color theme="10"/>
      <name val="Calibri"/>
      <family val="2"/>
      <scheme val="minor"/>
    </font>
    <font>
      <b/>
      <sz val="11"/>
      <name val="Calibri"/>
      <family val="2"/>
      <scheme val="minor"/>
    </font>
    <font>
      <sz val="10"/>
      <color theme="1"/>
      <name val="Symbol"/>
      <family val="1"/>
      <charset val="2"/>
    </font>
    <font>
      <u/>
      <sz val="10"/>
      <color theme="10"/>
      <name val="Calibri"/>
      <family val="2"/>
      <scheme val="minor"/>
    </font>
    <font>
      <b/>
      <sz val="12"/>
      <name val="Calibri"/>
      <family val="2"/>
      <scheme val="minor"/>
    </font>
    <font>
      <sz val="12"/>
      <name val="Calibri"/>
      <family val="2"/>
      <scheme val="minor"/>
    </font>
    <font>
      <sz val="8"/>
      <color rgb="FF000000"/>
      <name val="Arial"/>
      <family val="2"/>
    </font>
    <font>
      <sz val="11"/>
      <color rgb="FFFF0000"/>
      <name val="Calibri"/>
      <family val="2"/>
      <scheme val="minor"/>
    </font>
    <font>
      <b/>
      <sz val="11"/>
      <color theme="1"/>
      <name val="Calibri"/>
      <family val="2"/>
      <scheme val="minor"/>
    </font>
    <font>
      <sz val="11"/>
      <color rgb="FFC00000"/>
      <name val="Calibri"/>
      <family val="2"/>
      <scheme val="minor"/>
    </font>
    <font>
      <b/>
      <sz val="11"/>
      <color rgb="FFC00000"/>
      <name val="Calibri"/>
      <family val="2"/>
      <scheme val="minor"/>
    </font>
    <font>
      <sz val="11"/>
      <color rgb="FF000000"/>
      <name val="Calibri"/>
      <family val="2"/>
      <scheme val="minor"/>
    </font>
    <font>
      <sz val="10"/>
      <name val="Calibri"/>
      <family val="2"/>
      <scheme val="minor"/>
    </font>
    <font>
      <sz val="10"/>
      <name val="Symbol"/>
      <family val="1"/>
      <charset val="2"/>
    </font>
    <font>
      <b/>
      <sz val="10"/>
      <color theme="0"/>
      <name val="Calibri"/>
      <family val="2"/>
      <scheme val="minor"/>
    </font>
    <font>
      <b/>
      <sz val="10"/>
      <color theme="1"/>
      <name val="Calibri"/>
      <family val="2"/>
      <scheme val="minor"/>
    </font>
  </fonts>
  <fills count="30">
    <fill>
      <patternFill patternType="none"/>
    </fill>
    <fill>
      <patternFill patternType="gray125"/>
    </fill>
    <fill>
      <patternFill patternType="solid">
        <fgColor theme="8" tint="-0.249977111117893"/>
        <bgColor indexed="64"/>
      </patternFill>
    </fill>
    <fill>
      <patternFill patternType="solid">
        <fgColor theme="8" tint="-0.499984740745262"/>
        <bgColor indexed="64"/>
      </patternFill>
    </fill>
    <fill>
      <patternFill patternType="solid">
        <fgColor theme="9" tint="0.79998168889431442"/>
        <bgColor indexed="64"/>
      </patternFill>
    </fill>
    <fill>
      <patternFill patternType="solid">
        <fgColor theme="0"/>
        <bgColor indexed="64"/>
      </patternFill>
    </fill>
    <fill>
      <patternFill patternType="solid">
        <fgColor rgb="FF002060"/>
        <bgColor indexed="64"/>
      </patternFill>
    </fill>
    <fill>
      <patternFill patternType="solid">
        <fgColor theme="8" tint="0.79998168889431442"/>
        <bgColor indexed="64"/>
      </patternFill>
    </fill>
    <fill>
      <patternFill patternType="solid">
        <fgColor rgb="FF0070C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5"/>
        <bgColor indexed="64"/>
      </patternFill>
    </fill>
    <fill>
      <patternFill patternType="solid">
        <fgColor rgb="FFC00000"/>
        <bgColor indexed="64"/>
      </patternFill>
    </fill>
    <fill>
      <patternFill patternType="solid">
        <fgColor theme="5" tint="0.59999389629810485"/>
        <bgColor indexed="64"/>
      </patternFill>
    </fill>
    <fill>
      <patternFill patternType="solid">
        <fgColor theme="8"/>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7" tint="0.79998168889431442"/>
        <bgColor indexed="64"/>
      </patternFill>
    </fill>
    <fill>
      <patternFill patternType="solid">
        <fgColor rgb="FFD9E1F2"/>
        <bgColor rgb="FF000000"/>
      </patternFill>
    </fill>
    <fill>
      <patternFill patternType="solid">
        <fgColor theme="2" tint="-0.89999084444715716"/>
        <bgColor indexed="64"/>
      </patternFill>
    </fill>
    <fill>
      <patternFill patternType="solid">
        <fgColor rgb="FFFFC000"/>
        <bgColor indexed="64"/>
      </patternFill>
    </fill>
  </fills>
  <borders count="127">
    <border>
      <left/>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top style="dashed">
        <color indexed="64"/>
      </top>
      <bottom style="medium">
        <color theme="8" tint="-0.24994659260841701"/>
      </bottom>
      <diagonal/>
    </border>
    <border>
      <left/>
      <right/>
      <top/>
      <bottom style="medium">
        <color theme="8" tint="-0.24994659260841701"/>
      </bottom>
      <diagonal/>
    </border>
    <border>
      <left style="thick">
        <color theme="8" tint="-0.499984740745262"/>
      </left>
      <right/>
      <top style="thick">
        <color theme="8" tint="-0.499984740745262"/>
      </top>
      <bottom/>
      <diagonal/>
    </border>
    <border>
      <left/>
      <right/>
      <top style="thick">
        <color theme="8" tint="-0.499984740745262"/>
      </top>
      <bottom/>
      <diagonal/>
    </border>
    <border>
      <left style="thick">
        <color theme="8" tint="-0.499984740745262"/>
      </left>
      <right/>
      <top/>
      <bottom/>
      <diagonal/>
    </border>
    <border>
      <left/>
      <right style="thick">
        <color theme="8" tint="-0.499984740745262"/>
      </right>
      <top/>
      <bottom/>
      <diagonal/>
    </border>
    <border>
      <left style="thick">
        <color theme="8" tint="-0.499984740745262"/>
      </left>
      <right/>
      <top/>
      <bottom style="dashed">
        <color indexed="64"/>
      </bottom>
      <diagonal/>
    </border>
    <border>
      <left/>
      <right style="thick">
        <color theme="8" tint="-0.499984740745262"/>
      </right>
      <top/>
      <bottom style="dashed">
        <color indexed="64"/>
      </bottom>
      <diagonal/>
    </border>
    <border>
      <left style="thick">
        <color theme="8" tint="-0.499984740745262"/>
      </left>
      <right/>
      <top style="dashed">
        <color indexed="64"/>
      </top>
      <bottom style="dashed">
        <color indexed="64"/>
      </bottom>
      <diagonal/>
    </border>
    <border>
      <left/>
      <right style="thick">
        <color theme="8" tint="-0.499984740745262"/>
      </right>
      <top style="dashed">
        <color indexed="64"/>
      </top>
      <bottom style="dashed">
        <color indexed="64"/>
      </bottom>
      <diagonal/>
    </border>
    <border>
      <left style="thick">
        <color theme="8" tint="-0.499984740745262"/>
      </left>
      <right/>
      <top style="dashed">
        <color indexed="64"/>
      </top>
      <bottom style="medium">
        <color theme="8" tint="-0.24994659260841701"/>
      </bottom>
      <diagonal/>
    </border>
    <border>
      <left/>
      <right style="thick">
        <color theme="8" tint="-0.499984740745262"/>
      </right>
      <top style="dashed">
        <color indexed="64"/>
      </top>
      <bottom style="medium">
        <color theme="8" tint="-0.24994659260841701"/>
      </bottom>
      <diagonal/>
    </border>
    <border>
      <left style="thick">
        <color theme="8" tint="-0.499984740745262"/>
      </left>
      <right/>
      <top/>
      <bottom style="medium">
        <color theme="8" tint="-0.24994659260841701"/>
      </bottom>
      <diagonal/>
    </border>
    <border>
      <left/>
      <right style="thick">
        <color theme="8" tint="-0.499984740745262"/>
      </right>
      <top/>
      <bottom style="medium">
        <color theme="8" tint="-0.24994659260841701"/>
      </bottom>
      <diagonal/>
    </border>
    <border>
      <left/>
      <right/>
      <top/>
      <bottom style="medium">
        <color theme="8" tint="-0.499984740745262"/>
      </bottom>
      <diagonal/>
    </border>
    <border>
      <left/>
      <right style="thick">
        <color theme="8" tint="-0.499984740745262"/>
      </right>
      <top style="thick">
        <color theme="8" tint="-0.499984740745262"/>
      </top>
      <bottom/>
      <diagonal/>
    </border>
    <border>
      <left/>
      <right style="thick">
        <color theme="8" tint="-0.499984740745262"/>
      </right>
      <top/>
      <bottom style="medium">
        <color theme="8" tint="-0.499984740745262"/>
      </bottom>
      <diagonal/>
    </border>
    <border>
      <left/>
      <right style="dotted">
        <color theme="8" tint="-0.499984740745262"/>
      </right>
      <top style="dotted">
        <color theme="8" tint="-0.499984740745262"/>
      </top>
      <bottom style="dotted">
        <color theme="8" tint="-0.499984740745262"/>
      </bottom>
      <diagonal/>
    </border>
    <border>
      <left/>
      <right style="dotted">
        <color theme="8" tint="-0.499984740745262"/>
      </right>
      <top style="dotted">
        <color theme="8" tint="-0.499984740745262"/>
      </top>
      <bottom style="medium">
        <color theme="8" tint="-0.499984740745262"/>
      </bottom>
      <diagonal/>
    </border>
    <border>
      <left style="dashed">
        <color indexed="64"/>
      </left>
      <right/>
      <top style="medium">
        <color theme="8" tint="-0.499984740745262"/>
      </top>
      <bottom/>
      <diagonal/>
    </border>
    <border>
      <left/>
      <right style="dashed">
        <color indexed="64"/>
      </right>
      <top style="medium">
        <color theme="8" tint="-0.499984740745262"/>
      </top>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theme="8" tint="-0.24994659260841701"/>
      </bottom>
      <diagonal/>
    </border>
    <border>
      <left/>
      <right style="dashed">
        <color indexed="64"/>
      </right>
      <top style="dashed">
        <color indexed="64"/>
      </top>
      <bottom style="medium">
        <color theme="8" tint="-0.24994659260841701"/>
      </bottom>
      <diagonal/>
    </border>
    <border>
      <left style="dashed">
        <color indexed="64"/>
      </left>
      <right/>
      <top/>
      <bottom style="medium">
        <color theme="8" tint="-0.24994659260841701"/>
      </bottom>
      <diagonal/>
    </border>
    <border>
      <left/>
      <right style="dashed">
        <color indexed="64"/>
      </right>
      <top/>
      <bottom style="medium">
        <color theme="8" tint="-0.24994659260841701"/>
      </bottom>
      <diagonal/>
    </border>
    <border>
      <left/>
      <right style="medium">
        <color theme="8" tint="-0.499984740745262"/>
      </right>
      <top style="thick">
        <color theme="8" tint="-0.499984740745262"/>
      </top>
      <bottom/>
      <diagonal/>
    </border>
    <border>
      <left/>
      <right style="medium">
        <color theme="8" tint="-0.499984740745262"/>
      </right>
      <top/>
      <bottom/>
      <diagonal/>
    </border>
    <border>
      <left style="thick">
        <color theme="8" tint="-0.499984740745262"/>
      </left>
      <right/>
      <top style="dashed">
        <color theme="8" tint="-0.499984740745262"/>
      </top>
      <bottom style="medium">
        <color theme="8" tint="-0.499984740745262"/>
      </bottom>
      <diagonal/>
    </border>
    <border>
      <left/>
      <right/>
      <top style="dashed">
        <color theme="8" tint="-0.499984740745262"/>
      </top>
      <bottom style="medium">
        <color theme="8" tint="-0.499984740745262"/>
      </bottom>
      <diagonal/>
    </border>
    <border>
      <left/>
      <right style="medium">
        <color theme="8" tint="-0.499984740745262"/>
      </right>
      <top style="dashed">
        <color theme="8" tint="-0.499984740745262"/>
      </top>
      <bottom style="medium">
        <color theme="8" tint="-0.499984740745262"/>
      </bottom>
      <diagonal/>
    </border>
    <border>
      <left style="medium">
        <color theme="8" tint="-0.499984740745262"/>
      </left>
      <right/>
      <top style="thick">
        <color theme="8" tint="-0.499984740745262"/>
      </top>
      <bottom/>
      <diagonal/>
    </border>
    <border>
      <left/>
      <right style="dotted">
        <color theme="8" tint="-0.499984740745262"/>
      </right>
      <top style="thick">
        <color theme="8" tint="-0.499984740745262"/>
      </top>
      <bottom/>
      <diagonal/>
    </border>
    <border>
      <left/>
      <right style="dotted">
        <color theme="8" tint="-0.499984740745262"/>
      </right>
      <top/>
      <bottom style="dotted">
        <color theme="8" tint="-0.499984740745262"/>
      </bottom>
      <diagonal/>
    </border>
    <border>
      <left/>
      <right/>
      <top style="dotted">
        <color theme="8" tint="-0.499984740745262"/>
      </top>
      <bottom/>
      <diagonal/>
    </border>
    <border>
      <left/>
      <right/>
      <top style="medium">
        <color theme="8" tint="-0.499984740745262"/>
      </top>
      <bottom/>
      <diagonal/>
    </border>
    <border>
      <left style="medium">
        <color theme="8" tint="-0.499984740745262"/>
      </left>
      <right/>
      <top style="dotted">
        <color theme="8" tint="-0.499984740745262"/>
      </top>
      <bottom/>
      <diagonal/>
    </border>
    <border>
      <left style="medium">
        <color theme="8" tint="-0.499984740745262"/>
      </left>
      <right/>
      <top/>
      <bottom style="medium">
        <color theme="8" tint="-0.499984740745262"/>
      </bottom>
      <diagonal/>
    </border>
    <border>
      <left style="medium">
        <color theme="8" tint="-0.499984740745262"/>
      </left>
      <right/>
      <top/>
      <bottom style="dotted">
        <color theme="8" tint="-0.499984740745262"/>
      </bottom>
      <diagonal/>
    </border>
    <border>
      <left/>
      <right/>
      <top/>
      <bottom style="dotted">
        <color theme="8" tint="-0.499984740745262"/>
      </bottom>
      <diagonal/>
    </border>
    <border>
      <left style="thick">
        <color theme="8" tint="-0.499984740745262"/>
      </left>
      <right/>
      <top style="medium">
        <color theme="8" tint="-0.24994659260841701"/>
      </top>
      <bottom style="dashed">
        <color theme="8" tint="-0.499984740745262"/>
      </bottom>
      <diagonal/>
    </border>
    <border>
      <left/>
      <right/>
      <top style="medium">
        <color theme="8" tint="-0.24994659260841701"/>
      </top>
      <bottom style="dashed">
        <color theme="8" tint="-0.499984740745262"/>
      </bottom>
      <diagonal/>
    </border>
    <border>
      <left style="dashed">
        <color indexed="64"/>
      </left>
      <right/>
      <top style="medium">
        <color theme="8" tint="-0.24994659260841701"/>
      </top>
      <bottom style="dashed">
        <color theme="8" tint="-0.499984740745262"/>
      </bottom>
      <diagonal/>
    </border>
    <border>
      <left/>
      <right style="dashed">
        <color indexed="64"/>
      </right>
      <top style="medium">
        <color theme="8" tint="-0.24994659260841701"/>
      </top>
      <bottom style="dashed">
        <color theme="8" tint="-0.499984740745262"/>
      </bottom>
      <diagonal/>
    </border>
    <border>
      <left/>
      <right style="thick">
        <color theme="8" tint="-0.499984740745262"/>
      </right>
      <top style="medium">
        <color theme="8" tint="-0.24994659260841701"/>
      </top>
      <bottom style="dashed">
        <color theme="8" tint="-0.499984740745262"/>
      </bottom>
      <diagonal/>
    </border>
    <border>
      <left style="thick">
        <color theme="8" tint="-0.499984740745262"/>
      </left>
      <right/>
      <top style="dashed">
        <color theme="8" tint="-0.499984740745262"/>
      </top>
      <bottom style="dashed">
        <color theme="8" tint="-0.499984740745262"/>
      </bottom>
      <diagonal/>
    </border>
    <border>
      <left/>
      <right/>
      <top style="dashed">
        <color theme="8" tint="-0.499984740745262"/>
      </top>
      <bottom style="dashed">
        <color theme="8" tint="-0.499984740745262"/>
      </bottom>
      <diagonal/>
    </border>
    <border>
      <left style="dashed">
        <color indexed="64"/>
      </left>
      <right/>
      <top style="dashed">
        <color theme="8" tint="-0.499984740745262"/>
      </top>
      <bottom style="dashed">
        <color theme="8" tint="-0.499984740745262"/>
      </bottom>
      <diagonal/>
    </border>
    <border>
      <left/>
      <right style="dashed">
        <color indexed="64"/>
      </right>
      <top style="dashed">
        <color theme="8" tint="-0.499984740745262"/>
      </top>
      <bottom style="dashed">
        <color theme="8" tint="-0.499984740745262"/>
      </bottom>
      <diagonal/>
    </border>
    <border>
      <left/>
      <right style="thick">
        <color theme="8" tint="-0.499984740745262"/>
      </right>
      <top style="dashed">
        <color theme="8" tint="-0.499984740745262"/>
      </top>
      <bottom style="dashed">
        <color theme="8" tint="-0.499984740745262"/>
      </bottom>
      <diagonal/>
    </border>
    <border>
      <left style="thick">
        <color theme="8" tint="-0.499984740745262"/>
      </left>
      <right/>
      <top style="dashed">
        <color theme="8" tint="-0.499984740745262"/>
      </top>
      <bottom style="thick">
        <color theme="8" tint="-0.499984740745262"/>
      </bottom>
      <diagonal/>
    </border>
    <border>
      <left/>
      <right/>
      <top style="dashed">
        <color theme="8" tint="-0.499984740745262"/>
      </top>
      <bottom style="thick">
        <color theme="8" tint="-0.499984740745262"/>
      </bottom>
      <diagonal/>
    </border>
    <border>
      <left style="dashed">
        <color indexed="64"/>
      </left>
      <right/>
      <top style="dashed">
        <color theme="8" tint="-0.499984740745262"/>
      </top>
      <bottom style="thick">
        <color theme="8" tint="-0.499984740745262"/>
      </bottom>
      <diagonal/>
    </border>
    <border>
      <left/>
      <right style="dashed">
        <color indexed="64"/>
      </right>
      <top style="dashed">
        <color theme="8" tint="-0.499984740745262"/>
      </top>
      <bottom style="thick">
        <color theme="8" tint="-0.499984740745262"/>
      </bottom>
      <diagonal/>
    </border>
    <border>
      <left/>
      <right style="thick">
        <color theme="8" tint="-0.499984740745262"/>
      </right>
      <top style="dashed">
        <color theme="8" tint="-0.499984740745262"/>
      </top>
      <bottom style="thick">
        <color theme="8" tint="-0.499984740745262"/>
      </bottom>
      <diagonal/>
    </border>
    <border>
      <left style="dotted">
        <color theme="8" tint="-0.499984740745262"/>
      </left>
      <right/>
      <top style="thick">
        <color theme="8" tint="-0.499984740745262"/>
      </top>
      <bottom/>
      <diagonal/>
    </border>
    <border>
      <left style="dotted">
        <color theme="8" tint="-0.499984740745262"/>
      </left>
      <right/>
      <top/>
      <bottom/>
      <diagonal/>
    </border>
    <border>
      <left style="dotted">
        <color theme="8" tint="-0.499984740745262"/>
      </left>
      <right/>
      <top/>
      <bottom style="medium">
        <color theme="8"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medium">
        <color theme="0"/>
      </left>
      <right/>
      <top style="medium">
        <color theme="0"/>
      </top>
      <bottom/>
      <diagonal/>
    </border>
    <border>
      <left style="dashed">
        <color rgb="FF0166A4"/>
      </left>
      <right style="dashed">
        <color rgb="FF0166A4"/>
      </right>
      <top style="dashed">
        <color rgb="FF0166A4"/>
      </top>
      <bottom style="dashed">
        <color rgb="FF0166A4"/>
      </bottom>
      <diagonal/>
    </border>
    <border>
      <left style="thin">
        <color indexed="64"/>
      </left>
      <right style="thin">
        <color indexed="64"/>
      </right>
      <top style="thin">
        <color indexed="64"/>
      </top>
      <bottom style="thin">
        <color indexed="64"/>
      </bottom>
      <diagonal/>
    </border>
    <border>
      <left/>
      <right style="thin">
        <color theme="1" tint="0.499984740745262"/>
      </right>
      <top style="medium">
        <color theme="1" tint="0.499984740745262"/>
      </top>
      <bottom style="medium">
        <color theme="1" tint="0.499984740745262"/>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medium">
        <color theme="1" tint="0.499984740745262"/>
      </right>
      <top style="medium">
        <color theme="1" tint="0.499984740745262"/>
      </top>
      <bottom style="medium">
        <color theme="1" tint="0.499984740745262"/>
      </bottom>
      <diagonal/>
    </border>
    <border>
      <left style="thin">
        <color indexed="64"/>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bottom/>
      <diagonal/>
    </border>
    <border>
      <left style="medium">
        <color theme="0"/>
      </left>
      <right style="medium">
        <color theme="0"/>
      </right>
      <top/>
      <bottom/>
      <diagonal/>
    </border>
    <border>
      <left/>
      <right/>
      <top style="dashed">
        <color theme="8" tint="-0.499984740745262"/>
      </top>
      <bottom/>
      <diagonal/>
    </border>
    <border>
      <left/>
      <right/>
      <top/>
      <bottom style="dashed">
        <color theme="8" tint="-0.499984740745262"/>
      </bottom>
      <diagonal/>
    </border>
    <border>
      <left/>
      <right style="dashed">
        <color indexed="64"/>
      </right>
      <top style="dashed">
        <color theme="8" tint="-0.499984740745262"/>
      </top>
      <bottom/>
      <diagonal/>
    </border>
    <border>
      <left/>
      <right style="dashed">
        <color indexed="64"/>
      </right>
      <top/>
      <bottom/>
      <diagonal/>
    </border>
    <border>
      <left/>
      <right style="dashed">
        <color indexed="64"/>
      </right>
      <top/>
      <bottom style="dashed">
        <color theme="8" tint="-0.499984740745262"/>
      </bottom>
      <diagonal/>
    </border>
    <border>
      <left/>
      <right style="medium">
        <color theme="1" tint="0.499984740745262"/>
      </right>
      <top style="medium">
        <color theme="1" tint="0.499984740745262"/>
      </top>
      <bottom style="medium">
        <color theme="1"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auto="1"/>
      </right>
      <top/>
      <bottom style="dotted">
        <color auto="1"/>
      </bottom>
      <diagonal/>
    </border>
    <border>
      <left style="dotted">
        <color auto="1"/>
      </left>
      <right style="dotted">
        <color auto="1"/>
      </right>
      <top/>
      <bottom style="dotted">
        <color auto="1"/>
      </bottom>
      <diagonal/>
    </border>
    <border>
      <left style="dotted">
        <color auto="1"/>
      </left>
      <right/>
      <top/>
      <bottom style="dotted">
        <color auto="1"/>
      </bottom>
      <diagonal/>
    </border>
    <border>
      <left style="medium">
        <color indexed="64"/>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medium">
        <color indexed="64"/>
      </left>
      <right style="dotted">
        <color auto="1"/>
      </right>
      <top style="dotted">
        <color auto="1"/>
      </top>
      <bottom/>
      <diagonal/>
    </border>
    <border>
      <left style="dotted">
        <color auto="1"/>
      </left>
      <right style="dotted">
        <color auto="1"/>
      </right>
      <top style="dotted">
        <color auto="1"/>
      </top>
      <bottom/>
      <diagonal/>
    </border>
    <border>
      <left style="dotted">
        <color auto="1"/>
      </left>
      <right/>
      <top style="dotted">
        <color auto="1"/>
      </top>
      <bottom/>
      <diagonal/>
    </border>
    <border>
      <left/>
      <right style="dotted">
        <color theme="8" tint="-0.499984740745262"/>
      </right>
      <top style="medium">
        <color indexed="64"/>
      </top>
      <bottom/>
      <diagonal/>
    </border>
    <border>
      <left style="dotted">
        <color theme="8" tint="-0.499984740745262"/>
      </left>
      <right/>
      <top style="medium">
        <color indexed="64"/>
      </top>
      <bottom/>
      <diagonal/>
    </border>
    <border>
      <left style="medium">
        <color indexed="64"/>
      </left>
      <right/>
      <top/>
      <bottom style="dotted">
        <color theme="8" tint="-0.499984740745262"/>
      </bottom>
      <diagonal/>
    </border>
    <border>
      <left style="medium">
        <color indexed="64"/>
      </left>
      <right/>
      <top style="dotted">
        <color theme="8" tint="-0.499984740745262"/>
      </top>
      <bottom/>
      <diagonal/>
    </border>
    <border>
      <left style="medium">
        <color indexed="64"/>
      </left>
      <right/>
      <top/>
      <bottom style="medium">
        <color theme="8" tint="-0.499984740745262"/>
      </bottom>
      <diagonal/>
    </border>
    <border>
      <left/>
      <right style="medium">
        <color indexed="64"/>
      </right>
      <top/>
      <bottom style="medium">
        <color theme="8" tint="-0.499984740745262"/>
      </bottom>
      <diagonal/>
    </border>
    <border>
      <left style="medium">
        <color indexed="64"/>
      </left>
      <right/>
      <top style="medium">
        <color theme="8" tint="-0.499984740745262"/>
      </top>
      <bottom style="medium">
        <color indexed="64"/>
      </bottom>
      <diagonal/>
    </border>
    <border>
      <left/>
      <right/>
      <top style="medium">
        <color theme="8" tint="-0.499984740745262"/>
      </top>
      <bottom style="medium">
        <color indexed="64"/>
      </bottom>
      <diagonal/>
    </border>
    <border>
      <left/>
      <right style="dashed">
        <color indexed="64"/>
      </right>
      <top style="medium">
        <color theme="8" tint="-0.499984740745262"/>
      </top>
      <bottom style="medium">
        <color indexed="64"/>
      </bottom>
      <diagonal/>
    </border>
    <border>
      <left style="dotted">
        <color indexed="64"/>
      </left>
      <right/>
      <top style="medium">
        <color indexed="64"/>
      </top>
      <bottom/>
      <diagonal/>
    </border>
    <border>
      <left/>
      <right style="medium">
        <color indexed="64"/>
      </right>
      <top/>
      <bottom style="dotted">
        <color auto="1"/>
      </bottom>
      <diagonal/>
    </border>
    <border>
      <left/>
      <right style="medium">
        <color indexed="64"/>
      </right>
      <top style="dotted">
        <color auto="1"/>
      </top>
      <bottom style="dotted">
        <color auto="1"/>
      </bottom>
      <diagonal/>
    </border>
    <border>
      <left/>
      <right style="medium">
        <color indexed="64"/>
      </right>
      <top style="dotted">
        <color auto="1"/>
      </top>
      <bottom/>
      <diagonal/>
    </border>
    <border>
      <left style="dotted">
        <color indexed="64"/>
      </left>
      <right/>
      <top/>
      <bottom style="medium">
        <color indexed="64"/>
      </bottom>
      <diagonal/>
    </border>
    <border>
      <left style="thin">
        <color indexed="64"/>
      </left>
      <right style="thin">
        <color indexed="64"/>
      </right>
      <top/>
      <bottom/>
      <diagonal/>
    </border>
    <border>
      <left style="medium">
        <color theme="0"/>
      </left>
      <right style="medium">
        <color theme="0"/>
      </right>
      <top style="medium">
        <color theme="0"/>
      </top>
      <bottom style="thin">
        <color theme="4" tint="0.39997558519241921"/>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top style="thin">
        <color indexed="64"/>
      </top>
      <bottom/>
      <diagonal/>
    </border>
  </borders>
  <cellStyleXfs count="7">
    <xf numFmtId="0" fontId="0" fillId="0" borderId="0"/>
    <xf numFmtId="164" fontId="22" fillId="0" borderId="0" applyFont="0" applyFill="0" applyBorder="0" applyAlignment="0" applyProtection="0"/>
    <xf numFmtId="0" fontId="23" fillId="0" borderId="0" applyNumberFormat="0" applyFill="0" applyBorder="0" applyAlignment="0" applyProtection="0"/>
    <xf numFmtId="44" fontId="22" fillId="0" borderId="0" applyFont="0" applyFill="0" applyBorder="0" applyAlignment="0" applyProtection="0"/>
    <xf numFmtId="41"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cellStyleXfs>
  <cellXfs count="837">
    <xf numFmtId="0" fontId="0" fillId="0" borderId="0" xfId="0"/>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vertical="center"/>
    </xf>
    <xf numFmtId="0" fontId="0" fillId="0" borderId="0" xfId="0" applyBorder="1" applyAlignment="1">
      <alignment horizontal="center" vertical="center"/>
    </xf>
    <xf numFmtId="0" fontId="4" fillId="0" borderId="0" xfId="0" applyFont="1" applyAlignment="1">
      <alignment horizontal="center" vertical="center"/>
    </xf>
    <xf numFmtId="0" fontId="1" fillId="2" borderId="1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0" xfId="0" applyFont="1" applyFill="1" applyBorder="1" applyAlignment="1">
      <alignment horizontal="center" vertical="center"/>
    </xf>
    <xf numFmtId="0" fontId="0" fillId="0" borderId="23" xfId="0" applyBorder="1" applyAlignment="1">
      <alignment horizontal="center" vertical="center"/>
    </xf>
    <xf numFmtId="0" fontId="1" fillId="2" borderId="24" xfId="0" applyFont="1" applyFill="1" applyBorder="1" applyAlignment="1">
      <alignment horizontal="center" vertical="center"/>
    </xf>
    <xf numFmtId="0" fontId="1" fillId="2" borderId="25" xfId="0" applyFont="1" applyFill="1" applyBorder="1" applyAlignment="1">
      <alignment horizontal="center" vertical="center"/>
    </xf>
    <xf numFmtId="0" fontId="0" fillId="0" borderId="35" xfId="0" applyBorder="1" applyAlignment="1">
      <alignment horizontal="center" vertical="center"/>
    </xf>
    <xf numFmtId="0" fontId="0" fillId="0" borderId="22" xfId="0" applyBorder="1" applyAlignment="1">
      <alignment horizontal="center" vertical="center"/>
    </xf>
    <xf numFmtId="0" fontId="6" fillId="0" borderId="6" xfId="0" applyFont="1" applyBorder="1" applyAlignment="1">
      <alignment horizontal="left" vertical="center"/>
    </xf>
    <xf numFmtId="0" fontId="2" fillId="0" borderId="1" xfId="0" applyFont="1" applyBorder="1" applyAlignment="1">
      <alignment horizontal="center"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9" xfId="0" applyFont="1" applyBorder="1" applyAlignment="1">
      <alignment horizontal="center" vertical="center"/>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7" fillId="0" borderId="16" xfId="0" applyFont="1" applyBorder="1" applyAlignment="1">
      <alignment horizontal="left" vertical="center" wrapText="1"/>
    </xf>
    <xf numFmtId="0" fontId="7" fillId="0" borderId="18" xfId="0" applyFont="1" applyBorder="1" applyAlignment="1">
      <alignment horizontal="left" vertical="center" wrapText="1"/>
    </xf>
    <xf numFmtId="0" fontId="0" fillId="0" borderId="8" xfId="0" applyBorder="1" applyAlignment="1">
      <alignment horizontal="center" vertical="center"/>
    </xf>
    <xf numFmtId="0" fontId="0" fillId="0" borderId="19" xfId="0" applyBorder="1" applyAlignment="1">
      <alignment horizontal="center" vertical="center"/>
    </xf>
    <xf numFmtId="0" fontId="1" fillId="2" borderId="40" xfId="0" applyFont="1" applyFill="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8" xfId="0" applyFont="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6" fillId="0" borderId="46" xfId="0" applyFont="1" applyBorder="1" applyAlignment="1">
      <alignment horizontal="left" vertical="center"/>
    </xf>
    <xf numFmtId="0" fontId="6" fillId="0" borderId="46" xfId="0" applyFont="1" applyBorder="1" applyAlignment="1">
      <alignment vertical="center" wrapText="1"/>
    </xf>
    <xf numFmtId="0" fontId="2" fillId="0" borderId="47" xfId="0" applyFont="1" applyBorder="1" applyAlignment="1">
      <alignment horizontal="center" vertical="center"/>
    </xf>
    <xf numFmtId="0" fontId="2" fillId="0" borderId="46" xfId="0" applyFont="1" applyBorder="1" applyAlignment="1">
      <alignment horizontal="center" vertical="center" wrapText="1"/>
    </xf>
    <xf numFmtId="0" fontId="2" fillId="0" borderId="48" xfId="0" applyFont="1" applyBorder="1" applyAlignment="1">
      <alignment horizontal="center" vertical="center" wrapText="1"/>
    </xf>
    <xf numFmtId="0" fontId="7" fillId="0" borderId="49" xfId="0" applyFont="1" applyBorder="1" applyAlignment="1">
      <alignment horizontal="left" vertical="center" wrapText="1"/>
    </xf>
    <xf numFmtId="0" fontId="6" fillId="0" borderId="51" xfId="0" applyFont="1" applyBorder="1" applyAlignment="1">
      <alignment horizontal="left" vertical="center"/>
    </xf>
    <xf numFmtId="0" fontId="6" fillId="0" borderId="51" xfId="0" applyFont="1" applyBorder="1" applyAlignment="1">
      <alignment vertical="center" wrapText="1"/>
    </xf>
    <xf numFmtId="0" fontId="2" fillId="0" borderId="52" xfId="0" applyFont="1" applyBorder="1" applyAlignment="1">
      <alignment horizontal="center" vertical="center"/>
    </xf>
    <xf numFmtId="0" fontId="2" fillId="0" borderId="51" xfId="0" applyFont="1" applyBorder="1" applyAlignment="1">
      <alignment horizontal="center" vertical="center" wrapText="1"/>
    </xf>
    <xf numFmtId="0" fontId="2" fillId="0" borderId="53" xfId="0" applyFont="1" applyBorder="1" applyAlignment="1">
      <alignment horizontal="center" vertical="center" wrapText="1"/>
    </xf>
    <xf numFmtId="0" fontId="7" fillId="0" borderId="54" xfId="0" applyFont="1" applyBorder="1" applyAlignment="1">
      <alignment horizontal="left" vertical="center"/>
    </xf>
    <xf numFmtId="0" fontId="2" fillId="0" borderId="51" xfId="0" applyFont="1" applyBorder="1" applyAlignment="1">
      <alignment horizontal="center" vertical="center"/>
    </xf>
    <xf numFmtId="0" fontId="2" fillId="0" borderId="53" xfId="0" applyFont="1" applyBorder="1" applyAlignment="1">
      <alignment horizontal="center" vertical="center"/>
    </xf>
    <xf numFmtId="0" fontId="7" fillId="0" borderId="54" xfId="0" applyFont="1" applyBorder="1" applyAlignment="1">
      <alignment horizontal="left" vertical="center" wrapText="1"/>
    </xf>
    <xf numFmtId="0" fontId="7" fillId="0" borderId="54" xfId="0" applyFont="1" applyBorder="1" applyAlignment="1">
      <alignment horizontal="center" vertical="center"/>
    </xf>
    <xf numFmtId="0" fontId="6" fillId="0" borderId="56" xfId="0" applyFont="1" applyBorder="1" applyAlignment="1">
      <alignment horizontal="left" vertical="center"/>
    </xf>
    <xf numFmtId="0" fontId="2" fillId="0" borderId="57" xfId="0" applyFont="1" applyBorder="1" applyAlignment="1">
      <alignment horizontal="center" vertical="center"/>
    </xf>
    <xf numFmtId="0" fontId="2" fillId="0" borderId="56" xfId="0" applyFont="1" applyBorder="1" applyAlignment="1">
      <alignment horizontal="center" vertical="center"/>
    </xf>
    <xf numFmtId="0" fontId="2" fillId="0" borderId="58" xfId="0" applyFont="1" applyBorder="1" applyAlignment="1">
      <alignment horizontal="center" vertical="center"/>
    </xf>
    <xf numFmtId="0" fontId="7" fillId="0" borderId="59" xfId="0" applyFont="1" applyBorder="1" applyAlignment="1">
      <alignment horizontal="left" vertical="center"/>
    </xf>
    <xf numFmtId="0" fontId="2" fillId="0" borderId="5" xfId="0" applyFont="1" applyBorder="1" applyAlignment="1">
      <alignment horizontal="center" vertical="center" wrapText="1"/>
    </xf>
    <xf numFmtId="0" fontId="1" fillId="2" borderId="0" xfId="0" applyFont="1" applyFill="1" applyBorder="1" applyAlignment="1">
      <alignment horizontal="center" vertical="center" wrapText="1"/>
    </xf>
    <xf numFmtId="0" fontId="6" fillId="0" borderId="2" xfId="0" applyFont="1" applyBorder="1" applyAlignment="1">
      <alignment vertical="center" wrapText="1"/>
    </xf>
    <xf numFmtId="0" fontId="6" fillId="0" borderId="4" xfId="0" applyFont="1" applyBorder="1" applyAlignment="1">
      <alignment vertical="center" wrapText="1"/>
    </xf>
    <xf numFmtId="0" fontId="6" fillId="0" borderId="5" xfId="0" applyFont="1" applyBorder="1" applyAlignment="1">
      <alignment vertical="center" wrapText="1"/>
    </xf>
    <xf numFmtId="0" fontId="6" fillId="0" borderId="6" xfId="0" applyFont="1" applyBorder="1" applyAlignment="1">
      <alignment vertical="center" wrapText="1"/>
    </xf>
    <xf numFmtId="0" fontId="6" fillId="0" borderId="56" xfId="0" applyFont="1" applyBorder="1" applyAlignment="1">
      <alignment horizontal="left" vertical="center" wrapText="1"/>
    </xf>
    <xf numFmtId="0" fontId="6" fillId="0" borderId="17"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59" xfId="0" applyFont="1" applyBorder="1" applyAlignment="1">
      <alignment horizontal="left" vertical="center" wrapText="1"/>
    </xf>
    <xf numFmtId="0" fontId="0" fillId="5" borderId="0" xfId="0" applyFill="1"/>
    <xf numFmtId="0" fontId="11" fillId="5" borderId="0" xfId="0" applyFont="1" applyFill="1"/>
    <xf numFmtId="0" fontId="11" fillId="0" borderId="0" xfId="0" applyFont="1"/>
    <xf numFmtId="0" fontId="11" fillId="5" borderId="63" xfId="0" applyFont="1" applyFill="1" applyBorder="1"/>
    <xf numFmtId="0" fontId="12" fillId="5" borderId="64" xfId="0" applyFont="1" applyFill="1" applyBorder="1"/>
    <xf numFmtId="0" fontId="13" fillId="5" borderId="0" xfId="0" applyFont="1" applyFill="1" applyAlignment="1">
      <alignment vertical="center"/>
    </xf>
    <xf numFmtId="0" fontId="14" fillId="5" borderId="0" xfId="0" applyFont="1" applyFill="1"/>
    <xf numFmtId="0" fontId="15" fillId="5" borderId="0" xfId="0" applyFont="1" applyFill="1"/>
    <xf numFmtId="0" fontId="16" fillId="5" borderId="0" xfId="0" applyFont="1" applyFill="1"/>
    <xf numFmtId="0" fontId="17" fillId="5" borderId="0" xfId="0" applyFont="1" applyFill="1" applyAlignment="1">
      <alignment horizontal="right"/>
    </xf>
    <xf numFmtId="0" fontId="16" fillId="5" borderId="0" xfId="0" quotePrefix="1" applyFont="1" applyFill="1" applyAlignment="1">
      <alignment horizontal="left"/>
    </xf>
    <xf numFmtId="17" fontId="16" fillId="5" borderId="0" xfId="0" applyNumberFormat="1" applyFont="1" applyFill="1" applyAlignment="1">
      <alignment horizontal="left"/>
    </xf>
    <xf numFmtId="0" fontId="9" fillId="6" borderId="65" xfId="0" applyFont="1" applyFill="1" applyBorder="1" applyAlignment="1">
      <alignment vertical="center" wrapText="1"/>
    </xf>
    <xf numFmtId="0" fontId="0" fillId="0" borderId="66" xfId="0" applyBorder="1"/>
    <xf numFmtId="14" fontId="0" fillId="0" borderId="66" xfId="0" applyNumberFormat="1" applyBorder="1"/>
    <xf numFmtId="0" fontId="10" fillId="2" borderId="0" xfId="0" applyFont="1" applyFill="1"/>
    <xf numFmtId="0" fontId="0" fillId="7" borderId="74" xfId="0" applyFill="1" applyBorder="1" applyAlignment="1">
      <alignment horizontal="left" vertical="center" wrapText="1"/>
    </xf>
    <xf numFmtId="0" fontId="0" fillId="7" borderId="74" xfId="0" applyFill="1" applyBorder="1" applyAlignment="1">
      <alignment horizontal="left" vertical="center"/>
    </xf>
    <xf numFmtId="3" fontId="0" fillId="7" borderId="75" xfId="0" applyNumberFormat="1" applyFill="1" applyBorder="1" applyAlignment="1">
      <alignment horizontal="right" vertical="center"/>
    </xf>
    <xf numFmtId="0" fontId="0" fillId="7" borderId="75" xfId="0" applyFill="1" applyBorder="1" applyAlignment="1">
      <alignment vertical="center"/>
    </xf>
    <xf numFmtId="0" fontId="10" fillId="3" borderId="0" xfId="0" applyFont="1" applyFill="1"/>
    <xf numFmtId="0" fontId="0" fillId="6" borderId="0" xfId="0" applyFill="1"/>
    <xf numFmtId="0" fontId="10" fillId="3" borderId="0" xfId="0" applyFont="1" applyFill="1" applyAlignment="1">
      <alignment horizontal="center"/>
    </xf>
    <xf numFmtId="0" fontId="0" fillId="0" borderId="0" xfId="0" applyAlignment="1">
      <alignment horizontal="center"/>
    </xf>
    <xf numFmtId="0" fontId="0" fillId="0" borderId="0" xfId="0" applyAlignment="1">
      <alignment horizontal="center" wrapText="1"/>
    </xf>
    <xf numFmtId="0" fontId="0" fillId="7" borderId="75" xfId="0" applyFill="1" applyBorder="1" applyAlignment="1">
      <alignment horizontal="left" vertical="center"/>
    </xf>
    <xf numFmtId="0" fontId="0" fillId="0" borderId="0" xfId="0" applyAlignment="1">
      <alignment wrapText="1"/>
    </xf>
    <xf numFmtId="0" fontId="0" fillId="0" borderId="0" xfId="0" applyBorder="1"/>
    <xf numFmtId="0" fontId="0" fillId="0" borderId="0" xfId="0" applyAlignment="1">
      <alignment horizontal="left"/>
    </xf>
    <xf numFmtId="0" fontId="0" fillId="0" borderId="0" xfId="0" applyFont="1" applyAlignment="1">
      <alignment horizontal="justify" vertical="center"/>
    </xf>
    <xf numFmtId="0" fontId="0" fillId="0" borderId="0" xfId="0" applyFont="1" applyAlignment="1">
      <alignment horizontal="left" vertical="center"/>
    </xf>
    <xf numFmtId="0" fontId="0" fillId="0" borderId="0" xfId="0" applyFont="1" applyAlignment="1">
      <alignment horizontal="left" vertical="center" wrapText="1"/>
    </xf>
    <xf numFmtId="0" fontId="0" fillId="0" borderId="22" xfId="0" applyBorder="1" applyAlignment="1">
      <alignment vertical="center"/>
    </xf>
    <xf numFmtId="0" fontId="0" fillId="0" borderId="23" xfId="0" applyBorder="1" applyAlignment="1">
      <alignment vertical="center"/>
    </xf>
    <xf numFmtId="0" fontId="1" fillId="2" borderId="40" xfId="0" applyFont="1" applyFill="1" applyBorder="1" applyAlignment="1">
      <alignment vertical="center"/>
    </xf>
    <xf numFmtId="0" fontId="1" fillId="2" borderId="25" xfId="0" applyFont="1" applyFill="1" applyBorder="1" applyAlignment="1">
      <alignment vertical="center"/>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28" xfId="0" applyFont="1" applyBorder="1" applyAlignment="1">
      <alignment vertical="center" wrapText="1"/>
    </xf>
    <xf numFmtId="0" fontId="2" fillId="0" borderId="6" xfId="0" applyFont="1" applyBorder="1" applyAlignment="1">
      <alignment vertical="center" wrapText="1"/>
    </xf>
    <xf numFmtId="0" fontId="2" fillId="0" borderId="30" xfId="0" applyFont="1" applyBorder="1" applyAlignment="1">
      <alignment vertical="center" wrapText="1"/>
    </xf>
    <xf numFmtId="0" fontId="2" fillId="0" borderId="46" xfId="0" applyFont="1" applyBorder="1" applyAlignment="1">
      <alignment vertical="center" wrapText="1"/>
    </xf>
    <xf numFmtId="0" fontId="2" fillId="0" borderId="48" xfId="0" applyFont="1" applyBorder="1" applyAlignment="1">
      <alignment vertical="center" wrapText="1"/>
    </xf>
    <xf numFmtId="0" fontId="2" fillId="0" borderId="51" xfId="0" applyFont="1" applyBorder="1" applyAlignment="1">
      <alignment vertical="center" wrapText="1"/>
    </xf>
    <xf numFmtId="0" fontId="2" fillId="0" borderId="53" xfId="0" applyFont="1" applyBorder="1" applyAlignment="1">
      <alignment vertical="center" wrapText="1"/>
    </xf>
    <xf numFmtId="0" fontId="2" fillId="0" borderId="56" xfId="0" applyFont="1" applyBorder="1" applyAlignment="1">
      <alignment vertical="center" wrapText="1"/>
    </xf>
    <xf numFmtId="0" fontId="2" fillId="0" borderId="58" xfId="0" applyFont="1" applyBorder="1" applyAlignment="1">
      <alignment vertical="center" wrapText="1"/>
    </xf>
    <xf numFmtId="0" fontId="0" fillId="10" borderId="74" xfId="0" applyFill="1" applyBorder="1" applyAlignment="1">
      <alignment horizontal="left" vertical="center" wrapText="1"/>
    </xf>
    <xf numFmtId="0" fontId="0" fillId="10" borderId="74" xfId="0" applyFill="1" applyBorder="1" applyAlignment="1">
      <alignment horizontal="left" vertical="center"/>
    </xf>
    <xf numFmtId="3" fontId="0" fillId="10" borderId="75" xfId="0" applyNumberFormat="1" applyFill="1" applyBorder="1" applyAlignment="1">
      <alignment horizontal="right" vertical="center"/>
    </xf>
    <xf numFmtId="0" fontId="0" fillId="10" borderId="75" xfId="0" applyFill="1" applyBorder="1" applyAlignment="1">
      <alignment vertical="center"/>
    </xf>
    <xf numFmtId="165" fontId="0" fillId="7" borderId="75" xfId="0" applyNumberFormat="1" applyFill="1" applyBorder="1" applyAlignment="1">
      <alignment vertical="center"/>
    </xf>
    <xf numFmtId="0" fontId="0" fillId="7" borderId="74" xfId="0" applyFont="1" applyFill="1" applyBorder="1" applyAlignment="1">
      <alignment horizontal="left" vertical="center"/>
    </xf>
    <xf numFmtId="165" fontId="0" fillId="7" borderId="74" xfId="0" applyNumberFormat="1" applyFill="1" applyBorder="1" applyAlignment="1">
      <alignment horizontal="center" vertical="center"/>
    </xf>
    <xf numFmtId="1" fontId="0" fillId="10" borderId="74" xfId="0" applyNumberFormat="1" applyFill="1" applyBorder="1" applyAlignment="1">
      <alignment horizontal="center" vertical="center"/>
    </xf>
    <xf numFmtId="3" fontId="0" fillId="7" borderId="75" xfId="0" applyNumberFormat="1" applyFill="1" applyBorder="1" applyAlignment="1">
      <alignment horizontal="left" vertical="center"/>
    </xf>
    <xf numFmtId="0" fontId="0" fillId="7" borderId="74" xfId="0" applyFill="1" applyBorder="1" applyAlignment="1">
      <alignment horizontal="center" vertical="center"/>
    </xf>
    <xf numFmtId="3" fontId="0" fillId="7" borderId="75" xfId="0" applyNumberFormat="1" applyFill="1" applyBorder="1" applyAlignment="1">
      <alignment horizontal="center" vertical="center"/>
    </xf>
    <xf numFmtId="0" fontId="0" fillId="7" borderId="75" xfId="0" applyFill="1" applyBorder="1" applyAlignment="1">
      <alignment horizontal="center" vertical="center"/>
    </xf>
    <xf numFmtId="0" fontId="23" fillId="0" borderId="0" xfId="2"/>
    <xf numFmtId="166" fontId="0" fillId="7" borderId="75" xfId="1" applyNumberFormat="1" applyFont="1" applyFill="1" applyBorder="1" applyAlignment="1">
      <alignment vertical="center"/>
    </xf>
    <xf numFmtId="167" fontId="0" fillId="7" borderId="75" xfId="1" applyNumberFormat="1" applyFont="1" applyFill="1" applyBorder="1" applyAlignment="1">
      <alignment vertical="center"/>
    </xf>
    <xf numFmtId="2" fontId="0" fillId="7" borderId="75" xfId="0" applyNumberFormat="1" applyFill="1" applyBorder="1" applyAlignment="1">
      <alignment vertical="center"/>
    </xf>
    <xf numFmtId="1" fontId="0" fillId="7" borderId="75" xfId="0" applyNumberFormat="1" applyFill="1" applyBorder="1" applyAlignment="1">
      <alignment horizontal="center" vertical="center"/>
    </xf>
    <xf numFmtId="167" fontId="0" fillId="0" borderId="0" xfId="1" applyNumberFormat="1" applyFont="1"/>
    <xf numFmtId="166" fontId="0" fillId="7" borderId="75" xfId="0" applyNumberFormat="1" applyFill="1" applyBorder="1" applyAlignment="1">
      <alignment vertical="center"/>
    </xf>
    <xf numFmtId="2" fontId="0" fillId="7" borderId="75" xfId="0" applyNumberFormat="1" applyFill="1" applyBorder="1" applyAlignment="1">
      <alignment horizontal="center" vertical="center"/>
    </xf>
    <xf numFmtId="165" fontId="0" fillId="7" borderId="74" xfId="1" applyNumberFormat="1" applyFont="1" applyFill="1" applyBorder="1" applyAlignment="1">
      <alignment horizontal="center" vertical="center"/>
    </xf>
    <xf numFmtId="165" fontId="0" fillId="10" borderId="74" xfId="0" applyNumberFormat="1" applyFill="1" applyBorder="1" applyAlignment="1">
      <alignment horizontal="center" vertical="center"/>
    </xf>
    <xf numFmtId="0" fontId="0" fillId="10" borderId="75" xfId="0" applyFill="1" applyBorder="1" applyAlignment="1">
      <alignment horizontal="left" vertical="center"/>
    </xf>
    <xf numFmtId="0" fontId="0" fillId="11" borderId="74" xfId="0" applyFill="1" applyBorder="1" applyAlignment="1">
      <alignment horizontal="left" vertical="center" wrapText="1"/>
    </xf>
    <xf numFmtId="0" fontId="0" fillId="10" borderId="74" xfId="0" applyFill="1" applyBorder="1" applyAlignment="1">
      <alignment horizontal="center" vertical="center" wrapText="1"/>
    </xf>
    <xf numFmtId="168" fontId="0" fillId="7" borderId="75" xfId="0" applyNumberFormat="1" applyFill="1" applyBorder="1" applyAlignment="1">
      <alignment horizontal="center" vertical="center"/>
    </xf>
    <xf numFmtId="168" fontId="0" fillId="10" borderId="74" xfId="0" applyNumberFormat="1" applyFill="1" applyBorder="1" applyAlignment="1">
      <alignment horizontal="center" vertical="center" wrapText="1"/>
    </xf>
    <xf numFmtId="0" fontId="0" fillId="11" borderId="74" xfId="0" applyFill="1" applyBorder="1" applyAlignment="1">
      <alignment horizontal="left" vertical="center"/>
    </xf>
    <xf numFmtId="49" fontId="0" fillId="7" borderId="74" xfId="0" applyNumberFormat="1" applyFill="1" applyBorder="1" applyAlignment="1">
      <alignment horizontal="center" vertical="center"/>
    </xf>
    <xf numFmtId="49" fontId="0" fillId="11" borderId="74" xfId="0" applyNumberFormat="1" applyFill="1" applyBorder="1" applyAlignment="1">
      <alignment horizontal="center" vertical="center" wrapText="1"/>
    </xf>
    <xf numFmtId="49" fontId="0" fillId="10" borderId="74" xfId="0" applyNumberFormat="1" applyFill="1" applyBorder="1" applyAlignment="1">
      <alignment horizontal="center" vertical="center" wrapText="1"/>
    </xf>
    <xf numFmtId="0" fontId="4" fillId="10" borderId="74" xfId="0" applyFont="1" applyFill="1" applyBorder="1" applyAlignment="1">
      <alignment horizontal="center" vertical="center" wrapText="1"/>
    </xf>
    <xf numFmtId="0" fontId="0" fillId="0" borderId="0" xfId="0" applyAlignment="1"/>
    <xf numFmtId="49" fontId="0" fillId="0" borderId="86" xfId="0" applyNumberFormat="1" applyFill="1" applyBorder="1" applyAlignment="1">
      <alignment horizontal="center" vertical="center"/>
    </xf>
    <xf numFmtId="0" fontId="0" fillId="0" borderId="87" xfId="0" applyFill="1" applyBorder="1" applyAlignment="1">
      <alignment horizontal="left" vertical="center"/>
    </xf>
    <xf numFmtId="0" fontId="24" fillId="0" borderId="88" xfId="0" applyFont="1" applyFill="1" applyBorder="1" applyAlignment="1">
      <alignment horizontal="left" vertical="center" wrapText="1"/>
    </xf>
    <xf numFmtId="0" fontId="24" fillId="0" borderId="76" xfId="0" applyFont="1" applyFill="1" applyBorder="1" applyAlignment="1">
      <alignment horizontal="left" vertical="center"/>
    </xf>
    <xf numFmtId="168" fontId="0" fillId="0" borderId="0" xfId="0" applyNumberFormat="1" applyAlignment="1">
      <alignment horizontal="center" vertical="center"/>
    </xf>
    <xf numFmtId="168" fontId="0" fillId="7" borderId="74" xfId="0" applyNumberFormat="1" applyFill="1" applyBorder="1" applyAlignment="1">
      <alignment horizontal="center" vertical="center"/>
    </xf>
    <xf numFmtId="14" fontId="0" fillId="7" borderId="75" xfId="0" applyNumberFormat="1" applyFill="1" applyBorder="1" applyAlignment="1">
      <alignment horizontal="center" vertical="center"/>
    </xf>
    <xf numFmtId="0" fontId="0" fillId="12" borderId="74" xfId="0" applyFill="1" applyBorder="1" applyAlignment="1">
      <alignment horizontal="left" vertical="center" wrapText="1"/>
    </xf>
    <xf numFmtId="0" fontId="0" fillId="12" borderId="74" xfId="0" applyFill="1" applyBorder="1" applyAlignment="1">
      <alignment horizontal="left" vertical="center"/>
    </xf>
    <xf numFmtId="0" fontId="0" fillId="12" borderId="75" xfId="0" applyFill="1" applyBorder="1" applyAlignment="1">
      <alignment horizontal="left" vertical="center"/>
    </xf>
    <xf numFmtId="0" fontId="4" fillId="10" borderId="74" xfId="0" applyFont="1" applyFill="1" applyBorder="1" applyAlignment="1">
      <alignment horizontal="left" vertical="center" wrapText="1"/>
    </xf>
    <xf numFmtId="0" fontId="4" fillId="10" borderId="74" xfId="0" applyFont="1" applyFill="1" applyBorder="1" applyAlignment="1">
      <alignment horizontal="left" vertical="center"/>
    </xf>
    <xf numFmtId="0" fontId="4" fillId="10" borderId="75" xfId="0" applyFont="1" applyFill="1" applyBorder="1" applyAlignment="1">
      <alignment horizontal="left" vertical="center"/>
    </xf>
    <xf numFmtId="44" fontId="0" fillId="7" borderId="74" xfId="3" applyFont="1" applyFill="1" applyBorder="1" applyAlignment="1">
      <alignment horizontal="left" vertical="center"/>
    </xf>
    <xf numFmtId="0" fontId="0" fillId="13" borderId="74" xfId="0" applyFill="1" applyBorder="1" applyAlignment="1">
      <alignment horizontal="left" vertical="center" wrapText="1"/>
    </xf>
    <xf numFmtId="0" fontId="0" fillId="13" borderId="74" xfId="0" applyFill="1" applyBorder="1" applyAlignment="1">
      <alignment horizontal="left" vertical="center"/>
    </xf>
    <xf numFmtId="0" fontId="0" fillId="13" borderId="75" xfId="0" applyFill="1" applyBorder="1" applyAlignment="1">
      <alignment vertical="center"/>
    </xf>
    <xf numFmtId="44" fontId="0" fillId="13" borderId="74" xfId="3" applyFont="1" applyFill="1" applyBorder="1" applyAlignment="1">
      <alignment horizontal="left" vertical="center"/>
    </xf>
    <xf numFmtId="44" fontId="0" fillId="7" borderId="74" xfId="0" applyNumberFormat="1" applyFill="1" applyBorder="1" applyAlignment="1">
      <alignment horizontal="left" vertical="center"/>
    </xf>
    <xf numFmtId="17" fontId="0" fillId="7" borderId="75" xfId="0" applyNumberFormat="1" applyFill="1" applyBorder="1" applyAlignment="1">
      <alignment vertical="center"/>
    </xf>
    <xf numFmtId="0" fontId="0" fillId="0" borderId="0" xfId="0" applyAlignment="1">
      <alignment horizontal="left" wrapText="1"/>
    </xf>
    <xf numFmtId="0" fontId="0" fillId="0" borderId="0" xfId="0" applyNumberFormat="1" applyAlignment="1">
      <alignment wrapText="1"/>
    </xf>
    <xf numFmtId="0" fontId="0" fillId="0" borderId="0" xfId="0" applyAlignment="1">
      <alignment horizontal="center" vertical="center" wrapText="1"/>
    </xf>
    <xf numFmtId="0" fontId="0" fillId="0" borderId="0" xfId="0" applyNumberFormat="1" applyAlignment="1">
      <alignment horizontal="center" vertical="center" wrapText="1"/>
    </xf>
    <xf numFmtId="166" fontId="0" fillId="7" borderId="74" xfId="1" applyNumberFormat="1" applyFont="1" applyFill="1" applyBorder="1" applyAlignment="1">
      <alignment horizontal="left" vertical="center" wrapText="1"/>
    </xf>
    <xf numFmtId="165" fontId="0" fillId="0" borderId="0" xfId="0" applyNumberFormat="1" applyAlignment="1">
      <alignment horizontal="center" vertical="center"/>
    </xf>
    <xf numFmtId="165" fontId="0" fillId="7" borderId="74" xfId="0" applyNumberFormat="1" applyFill="1" applyBorder="1" applyAlignment="1">
      <alignment horizontal="center" vertical="center" wrapText="1"/>
    </xf>
    <xf numFmtId="165" fontId="0" fillId="0" borderId="0" xfId="0" applyNumberFormat="1" applyAlignment="1">
      <alignment horizontal="center"/>
    </xf>
    <xf numFmtId="165" fontId="0" fillId="7" borderId="75" xfId="0" applyNumberFormat="1" applyFill="1" applyBorder="1" applyAlignment="1">
      <alignment horizontal="center" vertical="center"/>
    </xf>
    <xf numFmtId="166" fontId="0" fillId="0" borderId="0" xfId="0" applyNumberFormat="1"/>
    <xf numFmtId="165" fontId="0" fillId="0" borderId="0" xfId="0" applyNumberFormat="1"/>
    <xf numFmtId="0" fontId="7" fillId="0" borderId="0" xfId="0" applyFont="1"/>
    <xf numFmtId="0" fontId="0" fillId="0" borderId="89" xfId="0" applyBorder="1"/>
    <xf numFmtId="0" fontId="0" fillId="0" borderId="90" xfId="0" applyBorder="1"/>
    <xf numFmtId="0" fontId="0" fillId="0" borderId="93" xfId="0" applyBorder="1"/>
    <xf numFmtId="0" fontId="0" fillId="0" borderId="94" xfId="0" applyBorder="1"/>
    <xf numFmtId="0" fontId="1" fillId="2" borderId="111" xfId="0" applyFont="1" applyFill="1" applyBorder="1" applyAlignment="1">
      <alignment horizontal="center" vertical="center"/>
    </xf>
    <xf numFmtId="0" fontId="1" fillId="2" borderId="112" xfId="0" applyFont="1" applyFill="1" applyBorder="1" applyAlignment="1">
      <alignment vertical="center"/>
    </xf>
    <xf numFmtId="0" fontId="1" fillId="2" borderId="113" xfId="0" applyFont="1" applyFill="1" applyBorder="1" applyAlignment="1">
      <alignment vertical="center"/>
    </xf>
    <xf numFmtId="0" fontId="1" fillId="2" borderId="94" xfId="0" applyFont="1" applyFill="1" applyBorder="1" applyAlignment="1">
      <alignment horizontal="center" vertical="center" wrapText="1"/>
    </xf>
    <xf numFmtId="0" fontId="1" fillId="2" borderId="95" xfId="0" applyFont="1" applyFill="1" applyBorder="1" applyAlignment="1">
      <alignment horizontal="center" vertical="center"/>
    </xf>
    <xf numFmtId="0" fontId="27" fillId="0" borderId="2" xfId="2" applyFont="1" applyBorder="1" applyAlignment="1">
      <alignment vertical="center" wrapText="1"/>
    </xf>
    <xf numFmtId="0" fontId="27" fillId="0" borderId="4" xfId="2" applyFont="1" applyBorder="1" applyAlignment="1">
      <alignment vertical="center" wrapText="1"/>
    </xf>
    <xf numFmtId="0" fontId="27" fillId="0" borderId="5" xfId="2" applyFont="1" applyBorder="1" applyAlignment="1">
      <alignment vertical="center" wrapText="1"/>
    </xf>
    <xf numFmtId="0" fontId="28" fillId="0" borderId="6" xfId="2" applyFont="1" applyBorder="1" applyAlignment="1">
      <alignment vertical="center" wrapText="1"/>
    </xf>
    <xf numFmtId="0" fontId="28" fillId="0" borderId="46" xfId="2" applyFont="1" applyBorder="1" applyAlignment="1">
      <alignment vertical="center" wrapText="1"/>
    </xf>
    <xf numFmtId="0" fontId="28" fillId="0" borderId="51" xfId="2" applyFont="1" applyBorder="1" applyAlignment="1">
      <alignment vertical="center" wrapText="1"/>
    </xf>
    <xf numFmtId="0" fontId="28" fillId="0" borderId="56" xfId="2" applyFont="1" applyBorder="1" applyAlignment="1">
      <alignment horizontal="left" vertical="center" wrapText="1"/>
    </xf>
    <xf numFmtId="3" fontId="29" fillId="0" borderId="0" xfId="0" applyNumberFormat="1" applyFont="1" applyAlignment="1">
      <alignment horizontal="right" vertical="center"/>
    </xf>
    <xf numFmtId="0" fontId="29" fillId="0" borderId="0" xfId="0" applyFont="1" applyAlignment="1">
      <alignment horizontal="right" vertical="center"/>
    </xf>
    <xf numFmtId="0" fontId="0" fillId="0" borderId="114" xfId="0" applyBorder="1" applyAlignment="1">
      <alignment vertical="center"/>
    </xf>
    <xf numFmtId="0" fontId="0" fillId="0" borderId="91" xfId="0" applyBorder="1" applyAlignment="1">
      <alignment vertical="center"/>
    </xf>
    <xf numFmtId="0" fontId="0" fillId="0" borderId="118" xfId="0" applyBorder="1" applyAlignment="1">
      <alignment vertical="center"/>
    </xf>
    <xf numFmtId="0" fontId="0" fillId="0" borderId="95" xfId="0" applyBorder="1" applyAlignment="1">
      <alignment vertical="center"/>
    </xf>
    <xf numFmtId="46" fontId="0" fillId="7" borderId="75" xfId="0" applyNumberFormat="1" applyFill="1" applyBorder="1" applyAlignment="1">
      <alignment horizontal="left" vertical="center"/>
    </xf>
    <xf numFmtId="0" fontId="9" fillId="6" borderId="73" xfId="0" applyFont="1" applyFill="1" applyBorder="1" applyAlignment="1">
      <alignment horizontal="left" vertical="center" wrapText="1"/>
    </xf>
    <xf numFmtId="0" fontId="9" fillId="6" borderId="75" xfId="0" applyFont="1" applyFill="1" applyBorder="1" applyAlignment="1">
      <alignment horizontal="left" vertical="center" wrapText="1"/>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0" fontId="9" fillId="6" borderId="73" xfId="0" applyFont="1" applyFill="1" applyBorder="1" applyAlignment="1">
      <alignment vertical="center" wrapText="1"/>
    </xf>
    <xf numFmtId="0" fontId="9" fillId="6" borderId="75" xfId="0" applyFont="1" applyFill="1" applyBorder="1" applyAlignment="1">
      <alignment vertical="center" wrapText="1"/>
    </xf>
    <xf numFmtId="0" fontId="9" fillId="6" borderId="77" xfId="0" applyFont="1" applyFill="1" applyBorder="1" applyAlignment="1">
      <alignment horizontal="left" vertical="center" wrapText="1"/>
    </xf>
    <xf numFmtId="0" fontId="9" fillId="6" borderId="73" xfId="0" applyFont="1" applyFill="1" applyBorder="1" applyAlignment="1">
      <alignment horizontal="left" vertical="center" wrapText="1"/>
    </xf>
    <xf numFmtId="0" fontId="9" fillId="6" borderId="75" xfId="0" applyFont="1" applyFill="1" applyBorder="1" applyAlignment="1">
      <alignment horizontal="left" vertical="center" wrapText="1"/>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0" fontId="9" fillId="6" borderId="77" xfId="0" applyFont="1" applyFill="1" applyBorder="1" applyAlignment="1">
      <alignment horizontal="left" vertical="center" wrapText="1"/>
    </xf>
    <xf numFmtId="0" fontId="0" fillId="14" borderId="0" xfId="0" applyFill="1"/>
    <xf numFmtId="3" fontId="0" fillId="14" borderId="75" xfId="0" applyNumberFormat="1" applyFill="1" applyBorder="1" applyAlignment="1">
      <alignment horizontal="left" vertical="center"/>
    </xf>
    <xf numFmtId="0" fontId="0" fillId="14" borderId="74" xfId="0" applyFill="1" applyBorder="1" applyAlignment="1">
      <alignment horizontal="left" vertical="center" wrapText="1"/>
    </xf>
    <xf numFmtId="0" fontId="0" fillId="14" borderId="75" xfId="0" applyFill="1" applyBorder="1" applyAlignment="1">
      <alignment vertical="center"/>
    </xf>
    <xf numFmtId="3" fontId="0" fillId="14" borderId="75" xfId="0" applyNumberFormat="1" applyFill="1" applyBorder="1" applyAlignment="1">
      <alignment horizontal="right" vertical="center"/>
    </xf>
    <xf numFmtId="0" fontId="9" fillId="6" borderId="73" xfId="0" applyFont="1" applyFill="1" applyBorder="1" applyAlignment="1">
      <alignment horizontal="left" vertical="center" wrapText="1"/>
    </xf>
    <xf numFmtId="0" fontId="9" fillId="6" borderId="75" xfId="0" applyFont="1" applyFill="1" applyBorder="1" applyAlignment="1">
      <alignment horizontal="left" vertical="center" wrapText="1"/>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0" fontId="9" fillId="8" borderId="76" xfId="0" applyFont="1" applyFill="1" applyBorder="1" applyAlignment="1">
      <alignment vertical="center"/>
    </xf>
    <xf numFmtId="0" fontId="9" fillId="6" borderId="73" xfId="0" applyFont="1" applyFill="1" applyBorder="1" applyAlignment="1">
      <alignment vertical="center" wrapText="1"/>
    </xf>
    <xf numFmtId="0" fontId="9" fillId="6" borderId="75" xfId="0" applyFont="1" applyFill="1" applyBorder="1" applyAlignment="1">
      <alignment vertical="center" wrapText="1"/>
    </xf>
    <xf numFmtId="0" fontId="9" fillId="6" borderId="77" xfId="0" applyFont="1" applyFill="1" applyBorder="1" applyAlignment="1">
      <alignment horizontal="left" vertical="center" wrapText="1"/>
    </xf>
    <xf numFmtId="0" fontId="0" fillId="15" borderId="0" xfId="0" applyFill="1"/>
    <xf numFmtId="0" fontId="0" fillId="15" borderId="74" xfId="0" applyFill="1" applyBorder="1" applyAlignment="1">
      <alignment horizontal="left" vertical="center" wrapText="1"/>
    </xf>
    <xf numFmtId="0" fontId="0" fillId="15" borderId="74" xfId="0" applyFill="1" applyBorder="1" applyAlignment="1">
      <alignment horizontal="left" vertical="center"/>
    </xf>
    <xf numFmtId="0" fontId="7" fillId="0" borderId="0" xfId="0" applyFont="1" applyAlignment="1">
      <alignment horizontal="center"/>
    </xf>
    <xf numFmtId="168" fontId="0" fillId="15" borderId="75" xfId="0" applyNumberFormat="1" applyFill="1" applyBorder="1" applyAlignment="1">
      <alignment horizontal="center" vertical="center"/>
    </xf>
    <xf numFmtId="0" fontId="9" fillId="6" borderId="73" xfId="0" applyFont="1" applyFill="1" applyBorder="1" applyAlignment="1">
      <alignment horizontal="center" vertical="center" wrapText="1"/>
    </xf>
    <xf numFmtId="169" fontId="0" fillId="7" borderId="75" xfId="0" applyNumberFormat="1" applyFill="1" applyBorder="1" applyAlignment="1">
      <alignment vertical="center"/>
    </xf>
    <xf numFmtId="1" fontId="0" fillId="7" borderId="75" xfId="0" applyNumberFormat="1" applyFill="1" applyBorder="1" applyAlignment="1">
      <alignment vertical="center"/>
    </xf>
    <xf numFmtId="170" fontId="0" fillId="7" borderId="75" xfId="0" applyNumberFormat="1" applyFill="1" applyBorder="1" applyAlignment="1">
      <alignment horizontal="center" vertical="center"/>
    </xf>
    <xf numFmtId="3" fontId="0" fillId="7" borderId="75" xfId="0" applyNumberFormat="1" applyFill="1" applyBorder="1" applyAlignment="1">
      <alignment vertical="center"/>
    </xf>
    <xf numFmtId="167" fontId="0" fillId="7" borderId="75" xfId="1" applyNumberFormat="1" applyFont="1" applyFill="1" applyBorder="1" applyAlignment="1">
      <alignment horizontal="left" vertical="center"/>
    </xf>
    <xf numFmtId="0" fontId="0" fillId="16" borderId="0" xfId="0" applyFill="1"/>
    <xf numFmtId="0" fontId="0" fillId="11" borderId="0" xfId="0" applyFill="1"/>
    <xf numFmtId="0" fontId="0" fillId="7" borderId="0" xfId="0" applyFill="1"/>
    <xf numFmtId="166" fontId="0" fillId="17" borderId="75" xfId="1" applyNumberFormat="1" applyFont="1" applyFill="1" applyBorder="1" applyAlignment="1">
      <alignment vertical="center"/>
    </xf>
    <xf numFmtId="0" fontId="0" fillId="17" borderId="75" xfId="0" applyFill="1" applyBorder="1" applyAlignment="1">
      <alignment vertical="center"/>
    </xf>
    <xf numFmtId="167" fontId="0" fillId="17" borderId="75" xfId="1" applyNumberFormat="1" applyFont="1" applyFill="1" applyBorder="1" applyAlignment="1">
      <alignment vertical="center"/>
    </xf>
    <xf numFmtId="0" fontId="0" fillId="15" borderId="0" xfId="0" applyFill="1" applyBorder="1" applyAlignment="1">
      <alignment horizontal="left" vertical="center" wrapText="1"/>
    </xf>
    <xf numFmtId="2" fontId="0" fillId="7" borderId="75" xfId="1" applyNumberFormat="1" applyFont="1" applyFill="1" applyBorder="1" applyAlignment="1">
      <alignment horizontal="center" vertical="center"/>
    </xf>
    <xf numFmtId="2" fontId="0" fillId="7" borderId="74" xfId="0" applyNumberFormat="1" applyFill="1" applyBorder="1" applyAlignment="1">
      <alignment horizontal="center" vertical="center"/>
    </xf>
    <xf numFmtId="2" fontId="0" fillId="0" borderId="0" xfId="0" applyNumberFormat="1" applyAlignment="1">
      <alignment horizontal="center"/>
    </xf>
    <xf numFmtId="0" fontId="0" fillId="15" borderId="75" xfId="0" applyFill="1" applyBorder="1" applyAlignment="1">
      <alignment horizontal="left" vertical="center"/>
    </xf>
    <xf numFmtId="0" fontId="0" fillId="15" borderId="75" xfId="0" applyFill="1" applyBorder="1" applyAlignment="1">
      <alignment horizontal="center" vertical="center"/>
    </xf>
    <xf numFmtId="0" fontId="0" fillId="15" borderId="0" xfId="0" applyFill="1" applyAlignment="1">
      <alignment horizontal="center"/>
    </xf>
    <xf numFmtId="0" fontId="0" fillId="15" borderId="77" xfId="0" applyFill="1" applyBorder="1" applyAlignment="1">
      <alignment horizontal="left" vertical="center"/>
    </xf>
    <xf numFmtId="0" fontId="0" fillId="16" borderId="75" xfId="0" applyFill="1" applyBorder="1" applyAlignment="1">
      <alignment horizontal="center" vertical="center"/>
    </xf>
    <xf numFmtId="0" fontId="0" fillId="15" borderId="77" xfId="0" applyFill="1" applyBorder="1" applyAlignment="1">
      <alignment horizontal="center" vertical="center"/>
    </xf>
    <xf numFmtId="0" fontId="0" fillId="7" borderId="67" xfId="0" applyFill="1" applyBorder="1" applyAlignment="1">
      <alignment horizontal="center" vertical="center"/>
    </xf>
    <xf numFmtId="0" fontId="0" fillId="7" borderId="119" xfId="0" applyFill="1" applyBorder="1" applyAlignment="1">
      <alignment horizontal="center" vertical="center"/>
    </xf>
    <xf numFmtId="0" fontId="0" fillId="16" borderId="77" xfId="0" applyFill="1" applyBorder="1" applyAlignment="1">
      <alignment horizontal="left" vertical="center"/>
    </xf>
    <xf numFmtId="0" fontId="0" fillId="17" borderId="75" xfId="0" applyFill="1" applyBorder="1" applyAlignment="1">
      <alignment horizontal="center" vertical="center"/>
    </xf>
    <xf numFmtId="1" fontId="0" fillId="7" borderId="75" xfId="0" applyNumberFormat="1" applyFill="1" applyBorder="1" applyAlignment="1">
      <alignment horizontal="right" vertical="center"/>
    </xf>
    <xf numFmtId="2" fontId="0" fillId="0" borderId="0" xfId="0" applyNumberFormat="1"/>
    <xf numFmtId="0" fontId="0" fillId="14" borderId="0" xfId="0" applyFill="1" applyBorder="1" applyAlignment="1">
      <alignment vertical="center"/>
    </xf>
    <xf numFmtId="0" fontId="0" fillId="7" borderId="0" xfId="0" applyFill="1" applyAlignment="1">
      <alignment vertical="center"/>
    </xf>
    <xf numFmtId="0" fontId="30" fillId="7" borderId="74" xfId="0" applyFont="1" applyFill="1" applyBorder="1" applyAlignment="1">
      <alignment horizontal="left" vertical="center"/>
    </xf>
    <xf numFmtId="0" fontId="0" fillId="17" borderId="74" xfId="0" applyFill="1" applyBorder="1" applyAlignment="1">
      <alignment horizontal="left" vertical="center"/>
    </xf>
    <xf numFmtId="0" fontId="0" fillId="18" borderId="74" xfId="0" applyFill="1" applyBorder="1" applyAlignment="1">
      <alignment horizontal="left" vertical="center" wrapText="1"/>
    </xf>
    <xf numFmtId="1" fontId="0" fillId="7" borderId="74" xfId="0" applyNumberFormat="1" applyFill="1" applyBorder="1" applyAlignment="1">
      <alignment horizontal="center" vertical="center"/>
    </xf>
    <xf numFmtId="0" fontId="0" fillId="17" borderId="75" xfId="0" applyFill="1" applyBorder="1" applyAlignment="1">
      <alignment horizontal="left" vertical="center"/>
    </xf>
    <xf numFmtId="0" fontId="0" fillId="10" borderId="77" xfId="0" applyFill="1" applyBorder="1" applyAlignment="1">
      <alignment horizontal="left" vertical="center"/>
    </xf>
    <xf numFmtId="4" fontId="0" fillId="7" borderId="75" xfId="0" applyNumberFormat="1" applyFill="1" applyBorder="1" applyAlignment="1">
      <alignment horizontal="right" vertical="center"/>
    </xf>
    <xf numFmtId="41" fontId="0" fillId="7" borderId="75" xfId="4" applyFont="1" applyFill="1" applyBorder="1" applyAlignment="1">
      <alignment horizontal="left" vertical="center"/>
    </xf>
    <xf numFmtId="41" fontId="0" fillId="7" borderId="75" xfId="4" applyFont="1" applyFill="1" applyBorder="1" applyAlignment="1">
      <alignment horizontal="right" vertical="center"/>
    </xf>
    <xf numFmtId="0" fontId="0" fillId="15" borderId="0" xfId="0" applyFill="1" applyBorder="1" applyAlignment="1">
      <alignment horizontal="left" vertical="center"/>
    </xf>
    <xf numFmtId="0" fontId="0" fillId="7" borderId="74" xfId="0" applyFill="1" applyBorder="1" applyAlignment="1">
      <alignment horizontal="center" vertical="center" wrapText="1"/>
    </xf>
    <xf numFmtId="171" fontId="0" fillId="7" borderId="74" xfId="0" applyNumberFormat="1" applyFill="1" applyBorder="1" applyAlignment="1">
      <alignment horizontal="center" vertical="center" wrapText="1"/>
    </xf>
    <xf numFmtId="0" fontId="0" fillId="10" borderId="120" xfId="0" applyFont="1" applyFill="1" applyBorder="1" applyAlignment="1">
      <alignment horizontal="left" vertical="center" wrapText="1"/>
    </xf>
    <xf numFmtId="0" fontId="0" fillId="10" borderId="74" xfId="0" applyFont="1" applyFill="1" applyBorder="1" applyAlignment="1">
      <alignment horizontal="left" vertical="center" wrapText="1"/>
    </xf>
    <xf numFmtId="0" fontId="0" fillId="17" borderId="74" xfId="0" applyFill="1" applyBorder="1" applyAlignment="1">
      <alignment horizontal="left" vertical="center" wrapText="1"/>
    </xf>
    <xf numFmtId="166" fontId="0" fillId="7" borderId="77" xfId="1" applyNumberFormat="1" applyFont="1" applyFill="1" applyBorder="1" applyAlignment="1">
      <alignment horizontal="left" vertical="center" wrapText="1"/>
    </xf>
    <xf numFmtId="166" fontId="33" fillId="7" borderId="77" xfId="1" applyNumberFormat="1" applyFont="1" applyFill="1" applyBorder="1" applyAlignment="1">
      <alignment horizontal="left" vertical="center" wrapText="1"/>
    </xf>
    <xf numFmtId="0" fontId="32" fillId="15" borderId="0" xfId="0" applyFont="1" applyFill="1"/>
    <xf numFmtId="165" fontId="0" fillId="17" borderId="75" xfId="0" applyNumberFormat="1" applyFill="1" applyBorder="1" applyAlignment="1">
      <alignment horizontal="center" vertical="center"/>
    </xf>
    <xf numFmtId="165" fontId="0" fillId="17" borderId="74" xfId="0" applyNumberFormat="1" applyFill="1" applyBorder="1" applyAlignment="1">
      <alignment horizontal="center" vertical="center" wrapText="1"/>
    </xf>
    <xf numFmtId="0" fontId="0" fillId="17" borderId="74" xfId="0" applyFill="1" applyBorder="1" applyAlignment="1">
      <alignment horizontal="center" vertical="center"/>
    </xf>
    <xf numFmtId="0" fontId="0" fillId="17" borderId="0" xfId="0" applyFill="1"/>
    <xf numFmtId="165" fontId="0" fillId="17" borderId="0" xfId="0" applyNumberFormat="1" applyFill="1" applyAlignment="1">
      <alignment horizontal="center" vertical="center"/>
    </xf>
    <xf numFmtId="0" fontId="0" fillId="17" borderId="0" xfId="0" applyFill="1" applyAlignment="1">
      <alignment horizontal="center" vertical="center"/>
    </xf>
    <xf numFmtId="165" fontId="33" fillId="7" borderId="74" xfId="0" quotePrefix="1" applyNumberFormat="1" applyFont="1" applyFill="1" applyBorder="1" applyAlignment="1">
      <alignment horizontal="center" vertical="center" wrapText="1"/>
    </xf>
    <xf numFmtId="0" fontId="0" fillId="7" borderId="77" xfId="0" applyFill="1" applyBorder="1" applyAlignment="1">
      <alignment horizontal="left" vertical="center"/>
    </xf>
    <xf numFmtId="4" fontId="0" fillId="7" borderId="74" xfId="0" applyNumberFormat="1" applyFill="1" applyBorder="1" applyAlignment="1">
      <alignment horizontal="center" vertical="center"/>
    </xf>
    <xf numFmtId="0" fontId="9" fillId="6" borderId="0" xfId="0" applyFont="1" applyFill="1" applyBorder="1" applyAlignment="1">
      <alignment horizontal="left" vertical="center" wrapText="1"/>
    </xf>
    <xf numFmtId="165" fontId="0" fillId="17" borderId="0" xfId="0" applyNumberFormat="1" applyFill="1"/>
    <xf numFmtId="165" fontId="0" fillId="17" borderId="74" xfId="0" applyNumberFormat="1" applyFill="1" applyBorder="1" applyAlignment="1">
      <alignment horizontal="center" vertical="center"/>
    </xf>
    <xf numFmtId="0" fontId="0" fillId="17" borderId="0" xfId="0" applyFill="1" applyBorder="1" applyAlignment="1">
      <alignment horizontal="left" vertical="center"/>
    </xf>
    <xf numFmtId="4" fontId="0" fillId="17" borderId="74" xfId="0" applyNumberFormat="1" applyFill="1" applyBorder="1" applyAlignment="1">
      <alignment horizontal="center" vertical="center"/>
    </xf>
    <xf numFmtId="172" fontId="0" fillId="7" borderId="74" xfId="3" applyNumberFormat="1" applyFont="1" applyFill="1" applyBorder="1" applyAlignment="1">
      <alignment horizontal="left" vertical="center"/>
    </xf>
    <xf numFmtId="172" fontId="0" fillId="17" borderId="0" xfId="3" applyNumberFormat="1" applyFont="1" applyFill="1"/>
    <xf numFmtId="172" fontId="0" fillId="0" borderId="0" xfId="3" applyNumberFormat="1" applyFont="1"/>
    <xf numFmtId="49" fontId="0" fillId="0" borderId="86" xfId="0" quotePrefix="1" applyNumberFormat="1" applyFill="1" applyBorder="1" applyAlignment="1">
      <alignment horizontal="center" vertical="center"/>
    </xf>
    <xf numFmtId="2" fontId="0" fillId="10" borderId="74" xfId="0" applyNumberFormat="1" applyFill="1" applyBorder="1" applyAlignment="1">
      <alignment horizontal="center" vertical="center" wrapText="1"/>
    </xf>
    <xf numFmtId="2" fontId="0" fillId="17" borderId="75" xfId="0" applyNumberFormat="1" applyFill="1" applyBorder="1" applyAlignment="1">
      <alignment horizontal="center" vertical="center"/>
    </xf>
    <xf numFmtId="2" fontId="0" fillId="17" borderId="75" xfId="0" applyNumberFormat="1" applyFill="1" applyBorder="1" applyAlignment="1">
      <alignment horizontal="right" vertical="center"/>
    </xf>
    <xf numFmtId="2" fontId="0" fillId="17" borderId="75" xfId="0" applyNumberFormat="1" applyFill="1" applyBorder="1" applyAlignment="1">
      <alignment horizontal="right" vertical="center" indent="1"/>
    </xf>
    <xf numFmtId="0" fontId="0" fillId="7" borderId="74" xfId="0" applyNumberFormat="1" applyFill="1" applyBorder="1" applyAlignment="1">
      <alignment horizontal="center" vertical="center"/>
    </xf>
    <xf numFmtId="0" fontId="0" fillId="0" borderId="0" xfId="0" applyAlignment="1">
      <alignment vertical="center" wrapText="1"/>
    </xf>
    <xf numFmtId="1" fontId="0" fillId="7" borderId="122" xfId="0" applyNumberFormat="1" applyFill="1" applyBorder="1" applyAlignment="1">
      <alignment horizontal="center" vertical="center"/>
    </xf>
    <xf numFmtId="0" fontId="9" fillId="6" borderId="121" xfId="0" applyFont="1" applyFill="1" applyBorder="1" applyAlignment="1">
      <alignment horizontal="center" vertical="center" wrapText="1"/>
    </xf>
    <xf numFmtId="0" fontId="9" fillId="6" borderId="123" xfId="0" applyFont="1" applyFill="1" applyBorder="1" applyAlignment="1">
      <alignment horizontal="center" vertical="center" wrapText="1"/>
    </xf>
    <xf numFmtId="0" fontId="0" fillId="14" borderId="123" xfId="0" applyFill="1" applyBorder="1" applyAlignment="1">
      <alignment horizontal="center" vertical="center"/>
    </xf>
    <xf numFmtId="0" fontId="0" fillId="15" borderId="123" xfId="0" applyFill="1" applyBorder="1" applyAlignment="1">
      <alignment horizontal="center" vertical="center"/>
    </xf>
    <xf numFmtId="0" fontId="0" fillId="17" borderId="123" xfId="0" applyFont="1" applyFill="1" applyBorder="1" applyAlignment="1">
      <alignment horizontal="center" vertical="center"/>
    </xf>
    <xf numFmtId="0" fontId="0" fillId="17" borderId="123" xfId="0" applyFill="1" applyBorder="1" applyAlignment="1">
      <alignment horizontal="center" vertical="center"/>
    </xf>
    <xf numFmtId="0" fontId="0" fillId="15" borderId="88" xfId="0"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xf numFmtId="0" fontId="30" fillId="0" borderId="0" xfId="0" applyFont="1" applyFill="1" applyBorder="1" applyAlignment="1">
      <alignment horizontal="center" vertical="center"/>
    </xf>
    <xf numFmtId="0" fontId="0" fillId="0" borderId="0" xfId="0" applyFill="1" applyBorder="1" applyAlignment="1">
      <alignment vertical="center"/>
    </xf>
    <xf numFmtId="0" fontId="0" fillId="7" borderId="75" xfId="0" applyFill="1" applyBorder="1" applyAlignment="1">
      <alignment vertical="center" wrapText="1"/>
    </xf>
    <xf numFmtId="0" fontId="0" fillId="7" borderId="77" xfId="0" applyFill="1" applyBorder="1" applyAlignment="1">
      <alignment vertical="center"/>
    </xf>
    <xf numFmtId="173" fontId="0" fillId="7" borderId="75" xfId="0" applyNumberFormat="1" applyFill="1" applyBorder="1" applyAlignment="1">
      <alignment horizontal="right" vertical="center"/>
    </xf>
    <xf numFmtId="0" fontId="9" fillId="6" borderId="0" xfId="0" applyFont="1" applyFill="1" applyAlignment="1">
      <alignment horizontal="center" vertical="center"/>
    </xf>
    <xf numFmtId="0" fontId="9" fillId="6" borderId="0" xfId="0" applyFont="1" applyFill="1" applyAlignment="1">
      <alignment vertical="center"/>
    </xf>
    <xf numFmtId="0" fontId="0" fillId="19" borderId="0" xfId="0" applyFill="1" applyAlignment="1">
      <alignment horizontal="center" vertical="center"/>
    </xf>
    <xf numFmtId="0" fontId="0" fillId="15" borderId="0" xfId="0" applyFill="1" applyAlignment="1">
      <alignment horizontal="center" vertical="center"/>
    </xf>
    <xf numFmtId="0" fontId="0" fillId="20" borderId="0" xfId="0" applyFill="1" applyAlignment="1">
      <alignment horizontal="center" vertical="center"/>
    </xf>
    <xf numFmtId="0" fontId="0" fillId="4" borderId="0" xfId="0" applyFill="1" applyAlignment="1">
      <alignment horizontal="center" vertical="center"/>
    </xf>
    <xf numFmtId="0" fontId="0" fillId="14" borderId="0" xfId="0" applyFill="1" applyAlignment="1">
      <alignment horizontal="center" vertical="center"/>
    </xf>
    <xf numFmtId="0" fontId="9" fillId="21" borderId="0" xfId="0" applyFont="1" applyFill="1" applyAlignment="1">
      <alignment horizontal="center" vertical="center"/>
    </xf>
    <xf numFmtId="0" fontId="9" fillId="23" borderId="0" xfId="0" applyFont="1" applyFill="1" applyAlignment="1">
      <alignment horizontal="center" vertical="center"/>
    </xf>
    <xf numFmtId="0" fontId="9" fillId="3" borderId="0" xfId="0" applyFont="1" applyFill="1" applyAlignment="1">
      <alignment horizontal="center" vertical="center"/>
    </xf>
    <xf numFmtId="0" fontId="0" fillId="22" borderId="0" xfId="0" applyFill="1" applyAlignment="1">
      <alignment horizontal="center" vertical="center"/>
    </xf>
    <xf numFmtId="0" fontId="0" fillId="15" borderId="74" xfId="0" applyFont="1" applyFill="1" applyBorder="1" applyAlignment="1">
      <alignment horizontal="left" vertical="center" wrapText="1"/>
    </xf>
    <xf numFmtId="0" fontId="9" fillId="6" borderId="0" xfId="0" applyFont="1" applyFill="1" applyAlignment="1">
      <alignment horizontal="center" vertical="center" wrapText="1"/>
    </xf>
    <xf numFmtId="171" fontId="0" fillId="7" borderId="74" xfId="0" applyNumberFormat="1" applyFill="1" applyBorder="1" applyAlignment="1">
      <alignment horizontal="center" vertical="center"/>
    </xf>
    <xf numFmtId="171" fontId="0" fillId="13" borderId="74" xfId="3" applyNumberFormat="1" applyFont="1" applyFill="1" applyBorder="1" applyAlignment="1">
      <alignment horizontal="center" vertical="center"/>
    </xf>
    <xf numFmtId="171" fontId="0" fillId="7" borderId="74" xfId="3" applyNumberFormat="1" applyFont="1" applyFill="1" applyBorder="1" applyAlignment="1">
      <alignment horizontal="center" vertical="center"/>
    </xf>
    <xf numFmtId="171" fontId="0" fillId="0" borderId="0" xfId="0" applyNumberFormat="1" applyAlignment="1">
      <alignment horizontal="center"/>
    </xf>
    <xf numFmtId="0" fontId="9" fillId="6" borderId="0" xfId="0" applyFont="1" applyFill="1" applyBorder="1" applyAlignment="1">
      <alignment horizontal="center" vertical="center" wrapText="1"/>
    </xf>
    <xf numFmtId="8" fontId="0" fillId="11" borderId="74" xfId="0" applyNumberFormat="1" applyFill="1" applyBorder="1" applyAlignment="1">
      <alignment horizontal="left" vertical="center"/>
    </xf>
    <xf numFmtId="165" fontId="0" fillId="11" borderId="74" xfId="0" applyNumberFormat="1" applyFill="1" applyBorder="1" applyAlignment="1">
      <alignment horizontal="center" vertical="center"/>
    </xf>
    <xf numFmtId="165" fontId="0" fillId="11" borderId="0" xfId="0" applyNumberFormat="1" applyFill="1"/>
    <xf numFmtId="0" fontId="0" fillId="11" borderId="75" xfId="0" applyFill="1" applyBorder="1" applyAlignment="1">
      <alignment horizontal="center" vertical="center"/>
    </xf>
    <xf numFmtId="3" fontId="0" fillId="7" borderId="74" xfId="0" applyNumberFormat="1" applyFill="1" applyBorder="1" applyAlignment="1">
      <alignment horizontal="center" vertical="center"/>
    </xf>
    <xf numFmtId="3" fontId="0" fillId="17" borderId="74" xfId="0" applyNumberFormat="1" applyFill="1" applyBorder="1" applyAlignment="1">
      <alignment horizontal="center" vertical="center"/>
    </xf>
    <xf numFmtId="0" fontId="0" fillId="17" borderId="77" xfId="0" applyFill="1" applyBorder="1" applyAlignment="1">
      <alignment horizontal="left" vertical="center"/>
    </xf>
    <xf numFmtId="0" fontId="4" fillId="7" borderId="75" xfId="0" applyFont="1" applyFill="1" applyBorder="1" applyAlignment="1">
      <alignment horizontal="left" vertical="center"/>
    </xf>
    <xf numFmtId="0" fontId="4" fillId="17" borderId="75" xfId="0" applyFont="1" applyFill="1" applyBorder="1" applyAlignment="1">
      <alignment horizontal="left" vertical="center"/>
    </xf>
    <xf numFmtId="0" fontId="0" fillId="15" borderId="120" xfId="0" applyFont="1" applyFill="1" applyBorder="1" applyAlignment="1">
      <alignment horizontal="left" vertical="center" wrapText="1"/>
    </xf>
    <xf numFmtId="0" fontId="32" fillId="0" borderId="0" xfId="0" applyFont="1" applyBorder="1" applyAlignment="1">
      <alignment horizontal="center" vertical="center"/>
    </xf>
    <xf numFmtId="0" fontId="7" fillId="0" borderId="0" xfId="0" applyFont="1" applyBorder="1" applyAlignment="1">
      <alignment horizontal="center" vertical="center"/>
    </xf>
    <xf numFmtId="174" fontId="7" fillId="0" borderId="0" xfId="5" applyNumberFormat="1" applyFont="1" applyBorder="1" applyAlignment="1">
      <alignment horizontal="center" vertical="center"/>
    </xf>
    <xf numFmtId="3" fontId="7" fillId="0" borderId="0" xfId="0" applyNumberFormat="1" applyFont="1" applyBorder="1" applyAlignment="1">
      <alignment horizontal="center" vertical="center"/>
    </xf>
    <xf numFmtId="4" fontId="7" fillId="0" borderId="0" xfId="0" applyNumberFormat="1" applyFont="1" applyBorder="1" applyAlignment="1">
      <alignment horizontal="center" vertical="center"/>
    </xf>
    <xf numFmtId="0" fontId="0" fillId="17" borderId="0" xfId="0" applyFill="1" applyBorder="1" applyAlignment="1">
      <alignment horizontal="center" vertical="center"/>
    </xf>
    <xf numFmtId="2" fontId="0" fillId="0" borderId="0" xfId="0" applyNumberFormat="1" applyBorder="1" applyAlignment="1">
      <alignment horizontal="center" vertical="center"/>
    </xf>
    <xf numFmtId="3" fontId="0" fillId="0" borderId="0" xfId="0" applyNumberFormat="1" applyBorder="1" applyAlignment="1">
      <alignment horizontal="center" vertical="center"/>
    </xf>
    <xf numFmtId="4" fontId="0" fillId="17" borderId="0" xfId="0" applyNumberFormat="1" applyFill="1" applyBorder="1" applyAlignment="1">
      <alignment horizontal="center" vertical="center"/>
    </xf>
    <xf numFmtId="3" fontId="0" fillId="0" borderId="0" xfId="0" applyNumberFormat="1" applyAlignment="1">
      <alignment horizontal="center" vertical="center"/>
    </xf>
    <xf numFmtId="0" fontId="0" fillId="24" borderId="0" xfId="0" applyFill="1"/>
    <xf numFmtId="0" fontId="32" fillId="24" borderId="0" xfId="0" applyFont="1" applyFill="1"/>
    <xf numFmtId="0" fontId="0" fillId="0" borderId="0" xfId="0" applyBorder="1" applyAlignment="1">
      <alignment horizontal="center"/>
    </xf>
    <xf numFmtId="2" fontId="0" fillId="0" borderId="0" xfId="0" applyNumberFormat="1" applyBorder="1"/>
    <xf numFmtId="0" fontId="0" fillId="17" borderId="0" xfId="0" applyFill="1" applyBorder="1"/>
    <xf numFmtId="0" fontId="9" fillId="6" borderId="73" xfId="0" applyFont="1" applyFill="1" applyBorder="1" applyAlignment="1">
      <alignment horizontal="center" vertical="center" wrapText="1"/>
    </xf>
    <xf numFmtId="1" fontId="0" fillId="0" borderId="0" xfId="0" applyNumberFormat="1" applyBorder="1" applyAlignment="1">
      <alignment horizontal="center" vertical="center"/>
    </xf>
    <xf numFmtId="0" fontId="0" fillId="0" borderId="77" xfId="0" applyFill="1" applyBorder="1" applyAlignment="1">
      <alignment horizontal="left" vertical="center" wrapText="1"/>
    </xf>
    <xf numFmtId="0" fontId="0" fillId="0" borderId="74" xfId="0" applyFill="1" applyBorder="1" applyAlignment="1">
      <alignment horizontal="left" vertical="center" wrapText="1"/>
    </xf>
    <xf numFmtId="0" fontId="0" fillId="0" borderId="0" xfId="0" applyFill="1" applyBorder="1" applyAlignment="1">
      <alignment horizontal="left" vertical="center" wrapText="1"/>
    </xf>
    <xf numFmtId="0" fontId="0" fillId="0" borderId="0" xfId="0" applyFill="1"/>
    <xf numFmtId="1" fontId="0" fillId="7" borderId="75" xfId="1" applyNumberFormat="1" applyFont="1" applyFill="1" applyBorder="1" applyAlignment="1">
      <alignment horizontal="right" vertical="center"/>
    </xf>
    <xf numFmtId="0" fontId="0" fillId="11" borderId="75" xfId="0" applyFill="1" applyBorder="1" applyAlignment="1">
      <alignment horizontal="left" vertical="center"/>
    </xf>
    <xf numFmtId="2" fontId="0" fillId="7" borderId="75" xfId="0" applyNumberFormat="1" applyFill="1" applyBorder="1" applyAlignment="1">
      <alignment horizontal="right" vertical="center"/>
    </xf>
    <xf numFmtId="165" fontId="0" fillId="7" borderId="0" xfId="0" applyNumberFormat="1" applyFill="1" applyBorder="1" applyAlignment="1">
      <alignment horizontal="center" vertical="center"/>
    </xf>
    <xf numFmtId="171" fontId="0" fillId="17" borderId="74" xfId="3" applyNumberFormat="1" applyFont="1" applyFill="1" applyBorder="1" applyAlignment="1">
      <alignment horizontal="center" vertical="center"/>
    </xf>
    <xf numFmtId="172" fontId="0" fillId="17" borderId="74" xfId="3" applyNumberFormat="1" applyFont="1" applyFill="1" applyBorder="1" applyAlignment="1">
      <alignment horizontal="left" vertical="center"/>
    </xf>
    <xf numFmtId="9" fontId="0" fillId="7" borderId="75" xfId="5" applyFont="1" applyFill="1" applyBorder="1" applyAlignment="1">
      <alignment horizontal="center" vertical="center"/>
    </xf>
    <xf numFmtId="0" fontId="4" fillId="16" borderId="75" xfId="0" applyFont="1" applyFill="1" applyBorder="1" applyAlignment="1">
      <alignment horizontal="left" vertical="center"/>
    </xf>
    <xf numFmtId="0" fontId="0" fillId="16" borderId="74" xfId="0" applyFill="1" applyBorder="1" applyAlignment="1">
      <alignment horizontal="left" vertical="center"/>
    </xf>
    <xf numFmtId="3" fontId="0" fillId="16" borderId="75" xfId="0" applyNumberFormat="1" applyFill="1" applyBorder="1" applyAlignment="1">
      <alignment horizontal="left" vertical="center"/>
    </xf>
    <xf numFmtId="168" fontId="0" fillId="11" borderId="75" xfId="0" applyNumberFormat="1" applyFill="1" applyBorder="1" applyAlignment="1">
      <alignment horizontal="center" vertical="center"/>
    </xf>
    <xf numFmtId="0" fontId="0" fillId="25" borderId="75" xfId="0" applyFill="1" applyBorder="1" applyAlignment="1">
      <alignment vertical="center"/>
    </xf>
    <xf numFmtId="167" fontId="0" fillId="7" borderId="75" xfId="1" applyNumberFormat="1" applyFont="1" applyFill="1" applyBorder="1" applyAlignment="1">
      <alignment horizontal="center" vertical="center"/>
    </xf>
    <xf numFmtId="2" fontId="0" fillId="17" borderId="75" xfId="0" applyNumberFormat="1" applyFill="1" applyBorder="1" applyAlignment="1">
      <alignment vertical="center"/>
    </xf>
    <xf numFmtId="0" fontId="0" fillId="7" borderId="74" xfId="0" applyFont="1" applyFill="1" applyBorder="1" applyAlignment="1">
      <alignment horizontal="left" vertical="center" wrapText="1"/>
    </xf>
    <xf numFmtId="0" fontId="0" fillId="7" borderId="77" xfId="0" applyFont="1" applyFill="1" applyBorder="1" applyAlignment="1">
      <alignment horizontal="left" vertical="center" wrapText="1"/>
    </xf>
    <xf numFmtId="0" fontId="0" fillId="0" borderId="0" xfId="0" applyFont="1"/>
    <xf numFmtId="0" fontId="0" fillId="24" borderId="75" xfId="0" applyFill="1" applyBorder="1" applyAlignment="1">
      <alignment horizontal="center" vertical="center"/>
    </xf>
    <xf numFmtId="3" fontId="0" fillId="24" borderId="75" xfId="0" applyNumberFormat="1" applyFill="1" applyBorder="1" applyAlignment="1">
      <alignment horizontal="center" vertical="center"/>
    </xf>
    <xf numFmtId="0" fontId="0" fillId="17" borderId="0" xfId="0" applyFill="1" applyBorder="1" applyAlignment="1">
      <alignment horizontal="left" vertical="center" wrapText="1"/>
    </xf>
    <xf numFmtId="3" fontId="0" fillId="17" borderId="75" xfId="0" applyNumberFormat="1" applyFill="1" applyBorder="1" applyAlignment="1">
      <alignment horizontal="center" vertical="center"/>
    </xf>
    <xf numFmtId="1" fontId="0" fillId="17" borderId="122" xfId="0" applyNumberFormat="1" applyFill="1" applyBorder="1" applyAlignment="1">
      <alignment horizontal="center" vertical="center"/>
    </xf>
    <xf numFmtId="0" fontId="0" fillId="14" borderId="77" xfId="0" applyFill="1" applyBorder="1" applyAlignment="1">
      <alignment horizontal="left" vertical="center" wrapText="1"/>
    </xf>
    <xf numFmtId="3" fontId="0" fillId="7" borderId="77" xfId="0" applyNumberFormat="1" applyFill="1" applyBorder="1" applyAlignment="1">
      <alignment horizontal="center" vertical="center"/>
    </xf>
    <xf numFmtId="4" fontId="0" fillId="7" borderId="77" xfId="0" applyNumberFormat="1" applyFill="1" applyBorder="1" applyAlignment="1">
      <alignment horizontal="right" vertical="center"/>
    </xf>
    <xf numFmtId="2" fontId="0" fillId="17" borderId="0" xfId="0" applyNumberFormat="1" applyFill="1" applyAlignment="1">
      <alignment horizontal="center"/>
    </xf>
    <xf numFmtId="0" fontId="9" fillId="6" borderId="73" xfId="0" applyFont="1" applyFill="1" applyBorder="1" applyAlignment="1">
      <alignment horizontal="center" vertical="center" wrapText="1"/>
    </xf>
    <xf numFmtId="0" fontId="0" fillId="24" borderId="74" xfId="0" applyFill="1" applyBorder="1" applyAlignment="1">
      <alignment horizontal="left" vertical="center" wrapText="1"/>
    </xf>
    <xf numFmtId="0" fontId="0" fillId="14" borderId="0" xfId="0" applyFill="1" applyBorder="1" applyAlignment="1">
      <alignment horizontal="left" vertical="center" wrapText="1"/>
    </xf>
    <xf numFmtId="0" fontId="0" fillId="0" borderId="0" xfId="0" applyFont="1" applyFill="1" applyBorder="1" applyAlignment="1">
      <alignment horizontal="left" vertical="center"/>
    </xf>
    <xf numFmtId="0" fontId="0" fillId="24" borderId="0" xfId="0" applyFill="1" applyBorder="1" applyAlignment="1">
      <alignment horizontal="left" vertical="center" wrapText="1"/>
    </xf>
    <xf numFmtId="3" fontId="0" fillId="24" borderId="75" xfId="0" applyNumberFormat="1" applyFill="1" applyBorder="1" applyAlignment="1">
      <alignment horizontal="right" vertical="center"/>
    </xf>
    <xf numFmtId="0" fontId="0" fillId="24" borderId="0" xfId="0" applyFill="1" applyBorder="1"/>
    <xf numFmtId="3" fontId="0" fillId="14" borderId="75" xfId="0" applyNumberFormat="1" applyFill="1" applyBorder="1" applyAlignment="1">
      <alignment horizontal="center" vertical="center"/>
    </xf>
    <xf numFmtId="3" fontId="0" fillId="14" borderId="0" xfId="0" applyNumberFormat="1" applyFill="1" applyBorder="1" applyAlignment="1">
      <alignment horizontal="center" vertical="center"/>
    </xf>
    <xf numFmtId="3" fontId="0" fillId="24" borderId="0" xfId="0" applyNumberFormat="1" applyFill="1" applyBorder="1" applyAlignment="1">
      <alignment horizontal="center" vertical="center"/>
    </xf>
    <xf numFmtId="0" fontId="0" fillId="26" borderId="77" xfId="0" applyFill="1" applyBorder="1" applyAlignment="1">
      <alignment horizontal="left" vertical="center" wrapText="1"/>
    </xf>
    <xf numFmtId="0" fontId="0" fillId="26" borderId="0" xfId="0" applyFill="1"/>
    <xf numFmtId="0" fontId="0" fillId="26" borderId="0" xfId="0" applyFill="1" applyBorder="1" applyAlignment="1">
      <alignment horizontal="left" vertical="center" wrapText="1"/>
    </xf>
    <xf numFmtId="3" fontId="0" fillId="26" borderId="75" xfId="0" applyNumberFormat="1" applyFill="1" applyBorder="1" applyAlignment="1">
      <alignment horizontal="right" vertical="center"/>
    </xf>
    <xf numFmtId="3" fontId="0" fillId="26" borderId="0" xfId="0" applyNumberFormat="1" applyFill="1" applyBorder="1" applyAlignment="1">
      <alignment horizontal="center" vertical="center"/>
    </xf>
    <xf numFmtId="0" fontId="0" fillId="26" borderId="0" xfId="0" applyFont="1" applyFill="1" applyBorder="1" applyAlignment="1">
      <alignment horizontal="left" vertical="center"/>
    </xf>
    <xf numFmtId="0" fontId="0" fillId="26" borderId="74" xfId="0" applyFill="1" applyBorder="1" applyAlignment="1">
      <alignment horizontal="left" vertical="center" wrapText="1"/>
    </xf>
    <xf numFmtId="3" fontId="0" fillId="24" borderId="77" xfId="0" applyNumberFormat="1" applyFill="1" applyBorder="1" applyAlignment="1">
      <alignment horizontal="right" vertical="center"/>
    </xf>
    <xf numFmtId="0" fontId="30" fillId="7" borderId="75" xfId="0" applyFont="1" applyFill="1" applyBorder="1" applyAlignment="1">
      <alignment vertical="center" wrapText="1"/>
    </xf>
    <xf numFmtId="0" fontId="30" fillId="7" borderId="75" xfId="0" applyFont="1" applyFill="1" applyBorder="1" applyAlignment="1">
      <alignment vertical="center"/>
    </xf>
    <xf numFmtId="0" fontId="30" fillId="7" borderId="74" xfId="0" applyFont="1" applyFill="1" applyBorder="1" applyAlignment="1">
      <alignment horizontal="left" vertical="center" wrapText="1"/>
    </xf>
    <xf numFmtId="2" fontId="0" fillId="7" borderId="75" xfId="0" applyNumberFormat="1" applyFill="1" applyBorder="1" applyAlignment="1">
      <alignment horizontal="left" vertical="center"/>
    </xf>
    <xf numFmtId="0" fontId="34" fillId="27" borderId="124" xfId="0" applyFont="1" applyFill="1" applyBorder="1" applyAlignment="1">
      <alignment horizontal="left" vertical="center"/>
    </xf>
    <xf numFmtId="0" fontId="34" fillId="27" borderId="125" xfId="0" applyFont="1" applyFill="1" applyBorder="1" applyAlignment="1">
      <alignment vertical="center"/>
    </xf>
    <xf numFmtId="0" fontId="0" fillId="7" borderId="75" xfId="0" applyFill="1" applyBorder="1" applyAlignment="1">
      <alignment vertical="center"/>
    </xf>
    <xf numFmtId="165" fontId="0" fillId="7" borderId="75" xfId="0" applyNumberFormat="1" applyFill="1" applyBorder="1" applyAlignment="1">
      <alignment vertical="center"/>
    </xf>
    <xf numFmtId="0" fontId="0" fillId="7" borderId="75" xfId="0" applyFill="1" applyBorder="1" applyAlignment="1">
      <alignment vertical="center"/>
    </xf>
    <xf numFmtId="2" fontId="0" fillId="7" borderId="75" xfId="0" applyNumberFormat="1" applyFill="1" applyBorder="1" applyAlignment="1">
      <alignment vertical="center"/>
    </xf>
    <xf numFmtId="0" fontId="0" fillId="0" borderId="0" xfId="0"/>
    <xf numFmtId="0" fontId="0" fillId="0" borderId="0" xfId="0" applyAlignment="1">
      <alignment vertical="center"/>
    </xf>
    <xf numFmtId="0" fontId="0" fillId="7" borderId="74" xfId="0" applyFill="1" applyBorder="1" applyAlignment="1">
      <alignment horizontal="left" vertical="center" wrapText="1"/>
    </xf>
    <xf numFmtId="0" fontId="0" fillId="7" borderId="74" xfId="0" applyFill="1" applyBorder="1" applyAlignment="1">
      <alignment horizontal="left" vertical="center"/>
    </xf>
    <xf numFmtId="3" fontId="0" fillId="7" borderId="75" xfId="0" applyNumberFormat="1" applyFill="1" applyBorder="1" applyAlignment="1">
      <alignment horizontal="right" vertical="center"/>
    </xf>
    <xf numFmtId="0" fontId="0" fillId="7" borderId="75" xfId="0" applyFill="1" applyBorder="1" applyAlignment="1">
      <alignment vertical="center"/>
    </xf>
    <xf numFmtId="0" fontId="0" fillId="0" borderId="0" xfId="0" applyAlignment="1">
      <alignment horizontal="center"/>
    </xf>
    <xf numFmtId="0" fontId="0" fillId="7" borderId="75" xfId="0" applyFill="1" applyBorder="1" applyAlignment="1">
      <alignment horizontal="left" vertical="center"/>
    </xf>
    <xf numFmtId="165" fontId="0" fillId="7" borderId="75" xfId="0" applyNumberFormat="1" applyFill="1" applyBorder="1" applyAlignment="1">
      <alignment vertical="center"/>
    </xf>
    <xf numFmtId="3" fontId="0" fillId="7" borderId="75" xfId="0" applyNumberFormat="1" applyFill="1" applyBorder="1" applyAlignment="1">
      <alignment horizontal="left" vertical="center"/>
    </xf>
    <xf numFmtId="3" fontId="0" fillId="7" borderId="75" xfId="0" applyNumberFormat="1" applyFill="1" applyBorder="1" applyAlignment="1">
      <alignment horizontal="center" vertical="center"/>
    </xf>
    <xf numFmtId="0" fontId="0" fillId="7" borderId="75" xfId="0" applyFill="1" applyBorder="1" applyAlignment="1">
      <alignment horizontal="center" vertical="center"/>
    </xf>
    <xf numFmtId="167" fontId="0" fillId="7" borderId="75" xfId="1" applyNumberFormat="1" applyFont="1" applyFill="1" applyBorder="1" applyAlignment="1">
      <alignment vertical="center"/>
    </xf>
    <xf numFmtId="1" fontId="0" fillId="7" borderId="75" xfId="0" applyNumberFormat="1" applyFill="1" applyBorder="1" applyAlignment="1">
      <alignment horizontal="center" vertical="center"/>
    </xf>
    <xf numFmtId="167" fontId="0" fillId="0" borderId="0" xfId="1" applyNumberFormat="1" applyFont="1"/>
    <xf numFmtId="2" fontId="0" fillId="7" borderId="75" xfId="0" applyNumberFormat="1" applyFill="1" applyBorder="1" applyAlignment="1">
      <alignment horizontal="center" vertical="center"/>
    </xf>
    <xf numFmtId="0" fontId="34" fillId="27" borderId="124" xfId="0" applyFont="1" applyFill="1" applyBorder="1" applyAlignment="1">
      <alignment horizontal="left" vertical="center"/>
    </xf>
    <xf numFmtId="0" fontId="34" fillId="27" borderId="125" xfId="0" applyFont="1" applyFill="1" applyBorder="1" applyAlignment="1">
      <alignment vertical="center"/>
    </xf>
    <xf numFmtId="1" fontId="0" fillId="7" borderId="75" xfId="0" applyNumberFormat="1" applyFill="1" applyBorder="1" applyAlignment="1">
      <alignment vertical="center"/>
    </xf>
    <xf numFmtId="1" fontId="0" fillId="0" borderId="0" xfId="0" applyNumberFormat="1"/>
    <xf numFmtId="0" fontId="9" fillId="6" borderId="77" xfId="0" applyFont="1" applyFill="1" applyBorder="1" applyAlignment="1">
      <alignment horizontal="left" vertical="center" wrapText="1"/>
    </xf>
    <xf numFmtId="3" fontId="0" fillId="17" borderId="75" xfId="0" applyNumberFormat="1" applyFill="1" applyBorder="1" applyAlignment="1">
      <alignment horizontal="left" vertical="center"/>
    </xf>
    <xf numFmtId="3" fontId="0" fillId="7" borderId="0" xfId="0" applyNumberFormat="1" applyFill="1" applyBorder="1" applyAlignment="1">
      <alignment horizontal="right" vertical="center"/>
    </xf>
    <xf numFmtId="0" fontId="0" fillId="7" borderId="75" xfId="0" applyFont="1" applyFill="1" applyBorder="1" applyAlignment="1">
      <alignment horizontal="left" vertical="center"/>
    </xf>
    <xf numFmtId="165" fontId="0" fillId="0" borderId="0" xfId="0" applyNumberFormat="1" applyAlignment="1">
      <alignment vertical="center"/>
    </xf>
    <xf numFmtId="0" fontId="0" fillId="11" borderId="0" xfId="0" applyFill="1" applyAlignment="1">
      <alignment horizontal="center"/>
    </xf>
    <xf numFmtId="0" fontId="0" fillId="11" borderId="0" xfId="0" applyFill="1" applyBorder="1"/>
    <xf numFmtId="0" fontId="0" fillId="11" borderId="77" xfId="0" applyFill="1" applyBorder="1" applyAlignment="1">
      <alignment horizontal="center" vertical="center"/>
    </xf>
    <xf numFmtId="167" fontId="0" fillId="11" borderId="0" xfId="1" applyNumberFormat="1" applyFont="1" applyFill="1"/>
    <xf numFmtId="0" fontId="30" fillId="0" borderId="0" xfId="0" applyFont="1"/>
    <xf numFmtId="0" fontId="30" fillId="0" borderId="0" xfId="0" applyFont="1" applyAlignment="1">
      <alignment horizontal="center"/>
    </xf>
    <xf numFmtId="0" fontId="30" fillId="0" borderId="0" xfId="0" applyFont="1" applyFill="1" applyBorder="1"/>
    <xf numFmtId="0" fontId="0" fillId="26" borderId="0" xfId="0" applyFill="1" applyAlignment="1">
      <alignment horizontal="center"/>
    </xf>
    <xf numFmtId="0" fontId="0" fillId="26" borderId="0" xfId="0" applyFill="1" applyBorder="1"/>
    <xf numFmtId="167" fontId="0" fillId="26" borderId="0" xfId="1" applyNumberFormat="1" applyFont="1" applyFill="1"/>
    <xf numFmtId="0" fontId="0" fillId="26" borderId="75" xfId="0" applyFill="1" applyBorder="1" applyAlignment="1">
      <alignment vertical="center"/>
    </xf>
    <xf numFmtId="0" fontId="0" fillId="7" borderId="0" xfId="0" applyFill="1" applyBorder="1" applyAlignment="1">
      <alignment horizontal="left" vertical="center"/>
    </xf>
    <xf numFmtId="44" fontId="0" fillId="0" borderId="0" xfId="3" applyFont="1"/>
    <xf numFmtId="0" fontId="0" fillId="12" borderId="74" xfId="0" applyFill="1" applyBorder="1" applyAlignment="1">
      <alignment horizontal="center" vertical="center"/>
    </xf>
    <xf numFmtId="0" fontId="4" fillId="10" borderId="74" xfId="0" applyFont="1" applyFill="1" applyBorder="1" applyAlignment="1">
      <alignment horizontal="center" vertical="center"/>
    </xf>
    <xf numFmtId="0" fontId="0" fillId="10" borderId="74" xfId="0" applyFill="1" applyBorder="1" applyAlignment="1">
      <alignment horizontal="center" vertical="center"/>
    </xf>
    <xf numFmtId="0" fontId="0" fillId="10" borderId="77" xfId="0" applyFill="1" applyBorder="1" applyAlignment="1">
      <alignment horizontal="center" vertical="center"/>
    </xf>
    <xf numFmtId="0" fontId="0" fillId="7" borderId="77" xfId="0" applyFill="1" applyBorder="1" applyAlignment="1">
      <alignment horizontal="center" vertical="center"/>
    </xf>
    <xf numFmtId="0" fontId="30" fillId="7" borderId="74" xfId="0" applyFont="1" applyFill="1" applyBorder="1" applyAlignment="1">
      <alignment horizontal="center" vertical="center"/>
    </xf>
    <xf numFmtId="0" fontId="0" fillId="24" borderId="74" xfId="0" applyFill="1" applyBorder="1" applyAlignment="1">
      <alignment horizontal="center" vertical="center"/>
    </xf>
    <xf numFmtId="0" fontId="0" fillId="26" borderId="74" xfId="0" applyFill="1" applyBorder="1" applyAlignment="1">
      <alignment horizontal="center" vertical="center"/>
    </xf>
    <xf numFmtId="0" fontId="0" fillId="26" borderId="0" xfId="0" applyFill="1" applyAlignment="1">
      <alignment horizontal="center" vertical="center"/>
    </xf>
    <xf numFmtId="0" fontId="0" fillId="26" borderId="0" xfId="0" applyFill="1" applyAlignment="1">
      <alignment vertical="center"/>
    </xf>
    <xf numFmtId="0" fontId="0" fillId="7" borderId="77" xfId="0" applyFont="1" applyFill="1" applyBorder="1" applyAlignment="1">
      <alignment horizontal="center" vertical="center"/>
    </xf>
    <xf numFmtId="175" fontId="0" fillId="7" borderId="74" xfId="0" applyNumberFormat="1" applyFill="1" applyBorder="1" applyAlignment="1">
      <alignment horizontal="left" vertical="center"/>
    </xf>
    <xf numFmtId="176" fontId="0" fillId="7" borderId="74" xfId="0" applyNumberFormat="1" applyFill="1" applyBorder="1" applyAlignment="1">
      <alignment horizontal="left" vertical="center"/>
    </xf>
    <xf numFmtId="175" fontId="0" fillId="0" borderId="0" xfId="0" applyNumberFormat="1"/>
    <xf numFmtId="176" fontId="0" fillId="7" borderId="77" xfId="0" applyNumberForma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horizontal="center"/>
    </xf>
    <xf numFmtId="0" fontId="34" fillId="27" borderId="124" xfId="0" applyFont="1" applyFill="1" applyBorder="1" applyAlignment="1">
      <alignment horizontal="left" vertical="center" wrapText="1"/>
    </xf>
    <xf numFmtId="0" fontId="34" fillId="27" borderId="124" xfId="0" applyFont="1" applyFill="1" applyBorder="1" applyAlignment="1">
      <alignment horizontal="center" vertical="center"/>
    </xf>
    <xf numFmtId="8" fontId="0" fillId="11" borderId="0" xfId="0" applyNumberFormat="1" applyFill="1" applyBorder="1" applyAlignment="1">
      <alignment horizontal="left" vertical="center"/>
    </xf>
    <xf numFmtId="0" fontId="0" fillId="11" borderId="0" xfId="0" applyFill="1" applyBorder="1" applyAlignment="1">
      <alignment horizontal="left" vertical="center"/>
    </xf>
    <xf numFmtId="165" fontId="0" fillId="17" borderId="0" xfId="0" applyNumberFormat="1" applyFill="1" applyAlignment="1">
      <alignment horizontal="center"/>
    </xf>
    <xf numFmtId="0" fontId="0" fillId="17" borderId="0" xfId="0" applyFill="1" applyAlignment="1">
      <alignment horizontal="center"/>
    </xf>
    <xf numFmtId="44" fontId="0" fillId="0" borderId="0" xfId="3" applyFont="1" applyAlignment="1">
      <alignment horizontal="center" vertical="center"/>
    </xf>
    <xf numFmtId="1" fontId="0" fillId="4" borderId="74" xfId="0" applyNumberFormat="1" applyFill="1" applyBorder="1" applyAlignment="1">
      <alignment horizontal="center" vertical="center"/>
    </xf>
    <xf numFmtId="1" fontId="0" fillId="17" borderId="74" xfId="0" applyNumberFormat="1" applyFill="1" applyBorder="1" applyAlignment="1">
      <alignment horizontal="center" vertical="center"/>
    </xf>
    <xf numFmtId="1" fontId="0" fillId="14" borderId="74" xfId="0" applyNumberFormat="1" applyFill="1" applyBorder="1" applyAlignment="1">
      <alignment horizontal="center" vertical="center"/>
    </xf>
    <xf numFmtId="1" fontId="0" fillId="0" borderId="0" xfId="0" applyNumberFormat="1" applyAlignment="1">
      <alignment horizontal="center"/>
    </xf>
    <xf numFmtId="4" fontId="0" fillId="7" borderId="74" xfId="0" applyNumberFormat="1" applyFill="1" applyBorder="1" applyAlignment="1">
      <alignment horizontal="left" vertical="center"/>
    </xf>
    <xf numFmtId="4" fontId="0" fillId="17" borderId="74" xfId="0" applyNumberFormat="1" applyFill="1" applyBorder="1" applyAlignment="1">
      <alignment horizontal="left" vertical="center"/>
    </xf>
    <xf numFmtId="9" fontId="0" fillId="0" borderId="0" xfId="0" applyNumberFormat="1" applyAlignment="1">
      <alignment horizontal="center" vertical="center"/>
    </xf>
    <xf numFmtId="0" fontId="4" fillId="26" borderId="75" xfId="0" applyFont="1" applyFill="1" applyBorder="1" applyAlignment="1">
      <alignment horizontal="left" vertical="center"/>
    </xf>
    <xf numFmtId="0" fontId="4" fillId="26" borderId="77" xfId="0" applyFont="1" applyFill="1" applyBorder="1" applyAlignment="1">
      <alignment horizontal="left" vertical="center"/>
    </xf>
    <xf numFmtId="0" fontId="0" fillId="24" borderId="0" xfId="0" applyFill="1" applyAlignment="1">
      <alignment horizontal="center"/>
    </xf>
    <xf numFmtId="168" fontId="0" fillId="24" borderId="75" xfId="0" applyNumberFormat="1" applyFill="1" applyBorder="1" applyAlignment="1">
      <alignment horizontal="center" vertical="center"/>
    </xf>
    <xf numFmtId="1" fontId="9" fillId="28" borderId="73" xfId="0" applyNumberFormat="1" applyFont="1" applyFill="1" applyBorder="1" applyAlignment="1">
      <alignment horizontal="center" vertical="center" wrapText="1"/>
    </xf>
    <xf numFmtId="0" fontId="9" fillId="28" borderId="73" xfId="0" applyFont="1" applyFill="1" applyBorder="1" applyAlignment="1">
      <alignment horizontal="left" vertical="center"/>
    </xf>
    <xf numFmtId="0" fontId="9" fillId="28" borderId="73" xfId="0" applyFont="1" applyFill="1" applyBorder="1" applyAlignment="1">
      <alignment horizontal="center" vertical="center" wrapText="1"/>
    </xf>
    <xf numFmtId="1" fontId="0" fillId="0" borderId="67" xfId="0" applyNumberFormat="1" applyFill="1" applyBorder="1" applyAlignment="1">
      <alignment horizontal="center"/>
    </xf>
    <xf numFmtId="0" fontId="0" fillId="0" borderId="67" xfId="0" applyFill="1" applyBorder="1" applyAlignment="1"/>
    <xf numFmtId="0" fontId="0" fillId="0" borderId="67" xfId="0" applyFill="1" applyBorder="1" applyAlignment="1">
      <alignment horizontal="center"/>
    </xf>
    <xf numFmtId="0" fontId="0" fillId="0" borderId="67" xfId="0" applyFill="1" applyBorder="1" applyAlignment="1">
      <alignment horizontal="center" vertical="center"/>
    </xf>
    <xf numFmtId="0" fontId="0" fillId="0" borderId="67" xfId="0" applyFill="1" applyBorder="1" applyAlignment="1">
      <alignment horizontal="left" vertical="center"/>
    </xf>
    <xf numFmtId="1" fontId="0" fillId="0" borderId="67" xfId="0" applyNumberFormat="1" applyFill="1" applyBorder="1" applyAlignment="1">
      <alignment horizontal="center" vertical="center"/>
    </xf>
    <xf numFmtId="0" fontId="0" fillId="0" borderId="67" xfId="0" applyFill="1" applyBorder="1"/>
    <xf numFmtId="1" fontId="4" fillId="0" borderId="67" xfId="0" applyNumberFormat="1" applyFont="1" applyFill="1" applyBorder="1" applyAlignment="1">
      <alignment horizontal="center" vertical="center"/>
    </xf>
    <xf numFmtId="0" fontId="4" fillId="0" borderId="67" xfId="0" applyFont="1" applyFill="1" applyBorder="1" applyAlignment="1"/>
    <xf numFmtId="0" fontId="4" fillId="0" borderId="67" xfId="0" applyFont="1" applyFill="1" applyBorder="1" applyAlignment="1">
      <alignment horizontal="center"/>
    </xf>
    <xf numFmtId="1" fontId="4" fillId="0" borderId="67" xfId="0" quotePrefix="1" applyNumberFormat="1" applyFont="1" applyFill="1" applyBorder="1" applyAlignment="1">
      <alignment horizontal="center" vertical="center"/>
    </xf>
    <xf numFmtId="0" fontId="4" fillId="0" borderId="67" xfId="0" applyFont="1" applyFill="1" applyBorder="1" applyAlignment="1">
      <alignment horizontal="left" vertical="center"/>
    </xf>
    <xf numFmtId="0" fontId="4" fillId="0" borderId="67" xfId="0" applyFont="1" applyFill="1" applyBorder="1" applyAlignment="1">
      <alignment horizontal="center" vertical="center"/>
    </xf>
    <xf numFmtId="0" fontId="0" fillId="0" borderId="67" xfId="0" applyBorder="1"/>
    <xf numFmtId="1" fontId="0" fillId="0" borderId="67" xfId="0" applyNumberFormat="1" applyFont="1" applyFill="1" applyBorder="1" applyAlignment="1">
      <alignment horizontal="center" vertical="center"/>
    </xf>
    <xf numFmtId="0" fontId="0" fillId="0" borderId="67" xfId="0" applyFont="1" applyFill="1" applyBorder="1" applyAlignment="1"/>
    <xf numFmtId="0" fontId="0" fillId="0" borderId="67" xfId="0" applyFont="1" applyFill="1" applyBorder="1" applyAlignment="1">
      <alignment horizontal="center"/>
    </xf>
    <xf numFmtId="1" fontId="0" fillId="0" borderId="67" xfId="0" applyNumberFormat="1" applyFont="1" applyFill="1" applyBorder="1" applyAlignment="1">
      <alignment horizontal="center"/>
    </xf>
    <xf numFmtId="0" fontId="0" fillId="0" borderId="67" xfId="0" applyFont="1" applyFill="1" applyBorder="1" applyAlignment="1">
      <alignment horizontal="left" vertical="center"/>
    </xf>
    <xf numFmtId="0" fontId="0" fillId="0" borderId="67" xfId="0" applyFont="1" applyFill="1" applyBorder="1" applyAlignment="1">
      <alignment horizontal="center" vertical="center"/>
    </xf>
    <xf numFmtId="0" fontId="0" fillId="0" borderId="67" xfId="0" applyFont="1" applyBorder="1"/>
    <xf numFmtId="1" fontId="4" fillId="0" borderId="67" xfId="0" applyNumberFormat="1" applyFont="1" applyFill="1" applyBorder="1" applyAlignment="1">
      <alignment horizontal="center"/>
    </xf>
    <xf numFmtId="1" fontId="0" fillId="0" borderId="0" xfId="0" applyNumberFormat="1" applyFill="1" applyAlignment="1">
      <alignment horizontal="center"/>
    </xf>
    <xf numFmtId="0" fontId="0" fillId="0" borderId="0" xfId="0" applyFill="1" applyAlignment="1"/>
    <xf numFmtId="1" fontId="0" fillId="0" borderId="0" xfId="0" applyNumberFormat="1" applyBorder="1" applyAlignment="1">
      <alignment horizontal="center"/>
    </xf>
    <xf numFmtId="0" fontId="0" fillId="0" borderId="0" xfId="0" applyNumberFormat="1" applyAlignment="1">
      <alignment horizontal="center"/>
    </xf>
    <xf numFmtId="0" fontId="0" fillId="0" borderId="0" xfId="0" applyNumberFormat="1" applyBorder="1" applyAlignment="1">
      <alignment horizontal="center"/>
    </xf>
    <xf numFmtId="0" fontId="0" fillId="10" borderId="74" xfId="0" quotePrefix="1" applyNumberFormat="1" applyFill="1" applyBorder="1" applyAlignment="1">
      <alignment horizontal="center" vertical="center" wrapText="1"/>
    </xf>
    <xf numFmtId="0" fontId="0" fillId="11" borderId="74" xfId="0" quotePrefix="1" applyNumberFormat="1" applyFill="1" applyBorder="1" applyAlignment="1">
      <alignment horizontal="center" vertical="center" wrapText="1"/>
    </xf>
    <xf numFmtId="0" fontId="0" fillId="0" borderId="74" xfId="0" applyBorder="1"/>
    <xf numFmtId="0" fontId="0" fillId="10" borderId="0" xfId="0" applyFill="1" applyBorder="1" applyAlignment="1">
      <alignment horizontal="left" vertical="center" wrapText="1"/>
    </xf>
    <xf numFmtId="0" fontId="0" fillId="7" borderId="0" xfId="0" applyFill="1" applyBorder="1" applyAlignment="1">
      <alignment horizontal="left" vertical="center" wrapText="1"/>
    </xf>
    <xf numFmtId="1" fontId="0" fillId="0" borderId="74" xfId="0" applyNumberFormat="1" applyBorder="1" applyAlignment="1">
      <alignment horizontal="center"/>
    </xf>
    <xf numFmtId="0" fontId="0" fillId="7" borderId="0" xfId="0" applyNumberFormat="1" applyFill="1" applyBorder="1" applyAlignment="1">
      <alignment horizontal="center" vertical="center"/>
    </xf>
    <xf numFmtId="1" fontId="0" fillId="7" borderId="0" xfId="0" applyNumberFormat="1" applyFill="1" applyBorder="1" applyAlignment="1">
      <alignment horizontal="center" vertical="center"/>
    </xf>
    <xf numFmtId="0" fontId="0" fillId="0" borderId="74" xfId="0" applyNumberFormat="1" applyBorder="1" applyAlignment="1">
      <alignment horizontal="center"/>
    </xf>
    <xf numFmtId="0" fontId="0" fillId="0" borderId="75" xfId="0" applyBorder="1" applyAlignment="1">
      <alignment horizontal="center"/>
    </xf>
    <xf numFmtId="0" fontId="0" fillId="7" borderId="0" xfId="0" applyFill="1" applyBorder="1" applyAlignment="1">
      <alignment horizontal="center" vertical="center"/>
    </xf>
    <xf numFmtId="2" fontId="0" fillId="0" borderId="75" xfId="0" applyNumberFormat="1" applyBorder="1"/>
    <xf numFmtId="2" fontId="0" fillId="10" borderId="75" xfId="0" applyNumberFormat="1" applyFill="1" applyBorder="1" applyAlignment="1">
      <alignment horizontal="center" vertical="center" wrapText="1"/>
    </xf>
    <xf numFmtId="168" fontId="0" fillId="7" borderId="0" xfId="0" applyNumberFormat="1" applyFill="1" applyBorder="1" applyAlignment="1">
      <alignment horizontal="center" vertical="center"/>
    </xf>
    <xf numFmtId="0" fontId="0" fillId="10" borderId="75" xfId="0" applyFill="1" applyBorder="1" applyAlignment="1">
      <alignment horizontal="center" vertical="center" wrapText="1"/>
    </xf>
    <xf numFmtId="0" fontId="0" fillId="0" borderId="75" xfId="0" applyBorder="1"/>
    <xf numFmtId="168" fontId="0" fillId="15" borderId="0" xfId="0" applyNumberFormat="1" applyFill="1" applyBorder="1" applyAlignment="1">
      <alignment horizontal="center" vertical="center"/>
    </xf>
    <xf numFmtId="0" fontId="0" fillId="0" borderId="75" xfId="0" applyBorder="1" applyAlignment="1">
      <alignment horizontal="left"/>
    </xf>
    <xf numFmtId="0" fontId="0" fillId="10" borderId="75" xfId="0" applyFill="1" applyBorder="1" applyAlignment="1">
      <alignment horizontal="left" vertical="center" wrapText="1"/>
    </xf>
    <xf numFmtId="0" fontId="0" fillId="0" borderId="0" xfId="0" applyBorder="1" applyAlignment="1">
      <alignment horizontal="left"/>
    </xf>
    <xf numFmtId="44" fontId="0" fillId="7" borderId="74" xfId="0" applyNumberFormat="1" applyFill="1" applyBorder="1" applyAlignment="1">
      <alignment horizontal="center" vertical="center"/>
    </xf>
    <xf numFmtId="171" fontId="0" fillId="7" borderId="74" xfId="0" applyNumberFormat="1" applyFill="1" applyBorder="1" applyAlignment="1">
      <alignment horizontal="right" vertical="center"/>
    </xf>
    <xf numFmtId="0" fontId="0" fillId="26" borderId="74" xfId="0" applyFill="1" applyBorder="1" applyAlignment="1">
      <alignment horizontal="left" vertical="center"/>
    </xf>
    <xf numFmtId="44" fontId="0" fillId="26" borderId="74" xfId="0" applyNumberFormat="1" applyFill="1" applyBorder="1" applyAlignment="1">
      <alignment horizontal="left" vertical="center"/>
    </xf>
    <xf numFmtId="0" fontId="0" fillId="26" borderId="0" xfId="0" applyFill="1" applyBorder="1" applyAlignment="1">
      <alignment horizontal="left" vertical="center"/>
    </xf>
    <xf numFmtId="44" fontId="0" fillId="17" borderId="74" xfId="0" applyNumberFormat="1" applyFill="1" applyBorder="1" applyAlignment="1">
      <alignment horizontal="center" vertical="center"/>
    </xf>
    <xf numFmtId="44" fontId="30" fillId="7" borderId="74" xfId="0" applyNumberFormat="1" applyFont="1" applyFill="1" applyBorder="1" applyAlignment="1">
      <alignment horizontal="left" vertical="center"/>
    </xf>
    <xf numFmtId="0" fontId="30" fillId="15" borderId="0" xfId="0" applyFont="1" applyFill="1" applyBorder="1" applyAlignment="1">
      <alignment horizontal="left" vertical="center"/>
    </xf>
    <xf numFmtId="0" fontId="30" fillId="15" borderId="0" xfId="0" applyFont="1" applyFill="1"/>
    <xf numFmtId="0" fontId="30" fillId="15" borderId="0" xfId="0" applyFont="1" applyFill="1" applyAlignment="1">
      <alignment horizontal="center"/>
    </xf>
    <xf numFmtId="0" fontId="0" fillId="13" borderId="0" xfId="0" applyFill="1" applyBorder="1" applyAlignment="1">
      <alignment horizontal="left" vertical="center"/>
    </xf>
    <xf numFmtId="0" fontId="0" fillId="20" borderId="74" xfId="0" applyFill="1" applyBorder="1" applyAlignment="1">
      <alignment horizontal="left" vertical="center" wrapText="1"/>
    </xf>
    <xf numFmtId="0" fontId="0" fillId="20" borderId="0" xfId="0" applyFill="1"/>
    <xf numFmtId="0" fontId="0" fillId="20" borderId="74" xfId="0" applyFill="1" applyBorder="1" applyAlignment="1">
      <alignment horizontal="left" vertical="center"/>
    </xf>
    <xf numFmtId="44" fontId="0" fillId="20" borderId="74" xfId="0" applyNumberFormat="1" applyFill="1" applyBorder="1" applyAlignment="1">
      <alignment horizontal="left" vertical="center"/>
    </xf>
    <xf numFmtId="0" fontId="0" fillId="20" borderId="0" xfId="0" applyFill="1" applyBorder="1" applyAlignment="1">
      <alignment horizontal="left" vertical="center"/>
    </xf>
    <xf numFmtId="0" fontId="0" fillId="20" borderId="0" xfId="0" applyFill="1" applyAlignment="1">
      <alignment horizontal="center"/>
    </xf>
    <xf numFmtId="0" fontId="0" fillId="13" borderId="0" xfId="0" applyFill="1" applyBorder="1" applyAlignment="1">
      <alignment horizontal="left" vertical="center" wrapText="1"/>
    </xf>
    <xf numFmtId="0" fontId="0" fillId="10" borderId="0" xfId="0" applyFont="1" applyFill="1" applyBorder="1" applyAlignment="1">
      <alignment horizontal="left" vertical="center" wrapText="1"/>
    </xf>
    <xf numFmtId="0" fontId="0" fillId="7" borderId="120" xfId="0" applyFill="1" applyBorder="1" applyAlignment="1">
      <alignment horizontal="left" vertical="center" wrapText="1"/>
    </xf>
    <xf numFmtId="0" fontId="0" fillId="20" borderId="74" xfId="0" applyFill="1" applyBorder="1"/>
    <xf numFmtId="0" fontId="30" fillId="0" borderId="74" xfId="0" applyFont="1" applyBorder="1"/>
    <xf numFmtId="3" fontId="0" fillId="7" borderId="0" xfId="0" applyNumberFormat="1" applyFill="1" applyBorder="1" applyAlignment="1">
      <alignment horizontal="left" vertical="center"/>
    </xf>
    <xf numFmtId="0" fontId="30" fillId="7" borderId="0" xfId="0" applyFont="1" applyFill="1" applyBorder="1" applyAlignment="1">
      <alignment horizontal="left" vertical="center"/>
    </xf>
    <xf numFmtId="0" fontId="0" fillId="13" borderId="0" xfId="0" applyFill="1" applyBorder="1" applyAlignment="1">
      <alignment vertical="center"/>
    </xf>
    <xf numFmtId="0" fontId="0" fillId="7" borderId="0" xfId="0" applyFill="1" applyBorder="1" applyAlignment="1">
      <alignment vertical="center"/>
    </xf>
    <xf numFmtId="0" fontId="0" fillId="13" borderId="74" xfId="0" applyFill="1" applyBorder="1" applyAlignment="1">
      <alignment vertical="center"/>
    </xf>
    <xf numFmtId="0" fontId="30" fillId="7" borderId="0" xfId="0" applyFont="1" applyFill="1" applyBorder="1" applyAlignment="1">
      <alignment vertical="center"/>
    </xf>
    <xf numFmtId="0" fontId="0" fillId="7" borderId="0" xfId="0" applyFill="1" applyBorder="1" applyAlignment="1">
      <alignment horizontal="left" wrapText="1"/>
    </xf>
    <xf numFmtId="0" fontId="0" fillId="17" borderId="74" xfId="0" applyFill="1" applyBorder="1"/>
    <xf numFmtId="0" fontId="0" fillId="20" borderId="0" xfId="0" applyFill="1" applyBorder="1"/>
    <xf numFmtId="0" fontId="30" fillId="0" borderId="0" xfId="0" applyFont="1" applyBorder="1"/>
    <xf numFmtId="0" fontId="30" fillId="13" borderId="74" xfId="0" applyFont="1" applyFill="1" applyBorder="1" applyAlignment="1">
      <alignment horizontal="left" vertical="center"/>
    </xf>
    <xf numFmtId="44" fontId="30" fillId="13" borderId="74" xfId="3" applyFont="1" applyFill="1" applyBorder="1" applyAlignment="1">
      <alignment horizontal="left" vertical="center"/>
    </xf>
    <xf numFmtId="0" fontId="0" fillId="20" borderId="0" xfId="0" applyFill="1" applyBorder="1" applyAlignment="1">
      <alignment horizontal="left" vertical="center" wrapText="1"/>
    </xf>
    <xf numFmtId="0" fontId="0" fillId="7" borderId="74" xfId="0" applyFill="1" applyBorder="1" applyAlignment="1">
      <alignment vertical="center"/>
    </xf>
    <xf numFmtId="0" fontId="0" fillId="20" borderId="0" xfId="0" applyFill="1" applyBorder="1" applyAlignment="1">
      <alignment vertical="center"/>
    </xf>
    <xf numFmtId="0" fontId="30" fillId="13" borderId="0" xfId="0" applyFont="1" applyFill="1" applyBorder="1" applyAlignment="1">
      <alignment horizontal="left" vertical="center" wrapText="1"/>
    </xf>
    <xf numFmtId="0" fontId="0" fillId="17" borderId="120" xfId="0" applyFill="1" applyBorder="1" applyAlignment="1">
      <alignment horizontal="left" vertical="center" wrapText="1"/>
    </xf>
    <xf numFmtId="0" fontId="30" fillId="13" borderId="0" xfId="0" applyFont="1" applyFill="1" applyBorder="1" applyAlignment="1">
      <alignment horizontal="left" vertical="center"/>
    </xf>
    <xf numFmtId="0" fontId="30" fillId="13" borderId="0" xfId="0" applyFont="1" applyFill="1" applyBorder="1" applyAlignment="1">
      <alignment vertical="center"/>
    </xf>
    <xf numFmtId="0" fontId="9" fillId="6" borderId="73" xfId="0" applyFont="1" applyFill="1" applyBorder="1" applyAlignment="1">
      <alignment horizontal="left" vertical="center" wrapText="1"/>
    </xf>
    <xf numFmtId="0" fontId="9" fillId="6" borderId="74" xfId="0" applyFont="1" applyFill="1" applyBorder="1" applyAlignment="1">
      <alignment horizontal="center" vertical="center" wrapText="1"/>
    </xf>
    <xf numFmtId="0" fontId="9" fillId="6" borderId="73" xfId="0" applyFont="1" applyFill="1" applyBorder="1" applyAlignment="1">
      <alignment horizontal="center" vertical="center" wrapText="1"/>
    </xf>
    <xf numFmtId="0" fontId="9" fillId="6" borderId="73" xfId="0" applyFont="1" applyFill="1" applyBorder="1" applyAlignment="1">
      <alignment vertical="center" wrapText="1"/>
    </xf>
    <xf numFmtId="165" fontId="0" fillId="24" borderId="0" xfId="0" applyNumberFormat="1" applyFill="1" applyAlignment="1">
      <alignment horizontal="center"/>
    </xf>
    <xf numFmtId="165" fontId="0" fillId="24" borderId="0" xfId="0" applyNumberFormat="1" applyFill="1" applyAlignment="1">
      <alignment horizontal="center" vertical="center"/>
    </xf>
    <xf numFmtId="0" fontId="0" fillId="24" borderId="0" xfId="0" applyFill="1" applyAlignment="1">
      <alignment horizontal="center" vertical="center"/>
    </xf>
    <xf numFmtId="3" fontId="0" fillId="7" borderId="74" xfId="0" applyNumberFormat="1" applyFill="1" applyBorder="1" applyAlignment="1">
      <alignment horizontal="center" vertical="center" wrapText="1"/>
    </xf>
    <xf numFmtId="0" fontId="35" fillId="0" borderId="0" xfId="0" applyFont="1" applyFill="1" applyBorder="1" applyAlignment="1">
      <alignment horizontal="left" vertical="center"/>
    </xf>
    <xf numFmtId="0" fontId="35" fillId="0" borderId="0" xfId="0" applyFont="1" applyFill="1" applyBorder="1" applyAlignment="1">
      <alignment vertical="center"/>
    </xf>
    <xf numFmtId="167" fontId="0" fillId="0" borderId="0" xfId="1" applyNumberFormat="1" applyFont="1" applyBorder="1"/>
    <xf numFmtId="0" fontId="37" fillId="19" borderId="0" xfId="0" applyFont="1" applyFill="1" applyBorder="1" applyAlignment="1">
      <alignment vertical="center" wrapText="1"/>
    </xf>
    <xf numFmtId="0" fontId="37" fillId="19" borderId="0" xfId="0" applyFont="1" applyFill="1" applyBorder="1" applyAlignment="1">
      <alignment horizontal="center" vertical="center" wrapText="1"/>
    </xf>
    <xf numFmtId="0" fontId="38" fillId="0" borderId="0" xfId="0" applyFont="1" applyBorder="1" applyAlignment="1">
      <alignment wrapText="1"/>
    </xf>
    <xf numFmtId="164" fontId="0" fillId="0" borderId="0" xfId="1" applyNumberFormat="1" applyFont="1" applyBorder="1"/>
    <xf numFmtId="167" fontId="0" fillId="17" borderId="0" xfId="1" applyNumberFormat="1" applyFont="1" applyFill="1" applyBorder="1"/>
    <xf numFmtId="167" fontId="36" fillId="0" borderId="0" xfId="1" applyNumberFormat="1" applyFont="1" applyFill="1" applyBorder="1" applyAlignment="1">
      <alignment vertical="center" wrapText="1"/>
    </xf>
    <xf numFmtId="177" fontId="0" fillId="0" borderId="0" xfId="3" applyNumberFormat="1" applyFont="1" applyBorder="1"/>
    <xf numFmtId="172" fontId="0" fillId="0" borderId="0" xfId="3" applyNumberFormat="1" applyFont="1" applyBorder="1"/>
    <xf numFmtId="172" fontId="0" fillId="0" borderId="0" xfId="3" applyNumberFormat="1" applyFont="1" applyFill="1" applyBorder="1"/>
    <xf numFmtId="164" fontId="0" fillId="0" borderId="0" xfId="1" applyNumberFormat="1" applyFont="1" applyFill="1" applyBorder="1"/>
    <xf numFmtId="167" fontId="0" fillId="0" borderId="0" xfId="0" applyNumberFormat="1" applyBorder="1"/>
    <xf numFmtId="172" fontId="0" fillId="17" borderId="0" xfId="3" applyNumberFormat="1" applyFont="1" applyFill="1" applyBorder="1"/>
    <xf numFmtId="3" fontId="0" fillId="0" borderId="0" xfId="0" applyNumberFormat="1" applyBorder="1"/>
    <xf numFmtId="174" fontId="0" fillId="0" borderId="0" xfId="5" applyNumberFormat="1" applyFont="1" applyBorder="1"/>
    <xf numFmtId="0" fontId="35" fillId="17" borderId="0" xfId="0" applyFont="1" applyFill="1" applyBorder="1" applyAlignment="1">
      <alignment horizontal="left" vertical="center"/>
    </xf>
    <xf numFmtId="0" fontId="0" fillId="0" borderId="126" xfId="0" applyBorder="1" applyAlignment="1">
      <alignment horizontal="center" vertical="center"/>
    </xf>
    <xf numFmtId="0" fontId="35" fillId="0" borderId="126" xfId="0" applyFont="1" applyFill="1" applyBorder="1" applyAlignment="1">
      <alignment horizontal="left" vertical="center"/>
    </xf>
    <xf numFmtId="177" fontId="0" fillId="29" borderId="0" xfId="3" applyNumberFormat="1" applyFont="1" applyFill="1" applyBorder="1"/>
    <xf numFmtId="177" fontId="0" fillId="0" borderId="126" xfId="3" applyNumberFormat="1" applyFont="1" applyBorder="1"/>
    <xf numFmtId="167" fontId="0" fillId="0" borderId="126" xfId="1" applyNumberFormat="1" applyFont="1" applyBorder="1"/>
    <xf numFmtId="172" fontId="0" fillId="0" borderId="126" xfId="3" applyNumberFormat="1" applyFont="1" applyBorder="1" applyAlignment="1">
      <alignment horizontal="center" vertical="center"/>
    </xf>
    <xf numFmtId="172" fontId="0" fillId="0" borderId="0" xfId="3" applyNumberFormat="1" applyFont="1" applyAlignment="1">
      <alignment horizontal="center" vertical="center"/>
    </xf>
    <xf numFmtId="178" fontId="0" fillId="0" borderId="0" xfId="0" applyNumberFormat="1" applyBorder="1" applyAlignment="1">
      <alignment horizontal="center" vertical="center"/>
    </xf>
    <xf numFmtId="178" fontId="0" fillId="0" borderId="0" xfId="0" applyNumberFormat="1" applyAlignment="1">
      <alignment horizontal="center" vertical="center"/>
    </xf>
    <xf numFmtId="172" fontId="0" fillId="29" borderId="0" xfId="3" applyNumberFormat="1" applyFont="1" applyFill="1" applyAlignment="1">
      <alignment horizontal="center" vertical="center"/>
    </xf>
    <xf numFmtId="167" fontId="0" fillId="0" borderId="126" xfId="0" applyNumberFormat="1" applyBorder="1" applyAlignment="1">
      <alignment horizontal="center" vertical="center"/>
    </xf>
    <xf numFmtId="167" fontId="0" fillId="0" borderId="0" xfId="0" applyNumberFormat="1" applyAlignment="1">
      <alignment horizontal="center" vertical="center"/>
    </xf>
    <xf numFmtId="177" fontId="0" fillId="0" borderId="0" xfId="3" applyNumberFormat="1" applyFont="1" applyBorder="1" applyAlignment="1">
      <alignment horizontal="center" vertical="center"/>
    </xf>
    <xf numFmtId="177" fontId="0" fillId="0" borderId="0" xfId="3" applyNumberFormat="1" applyFont="1" applyAlignment="1">
      <alignment horizontal="center" vertical="center"/>
    </xf>
    <xf numFmtId="177" fontId="0" fillId="0" borderId="126" xfId="3" applyNumberFormat="1" applyFont="1" applyBorder="1" applyAlignment="1">
      <alignment horizontal="center" vertical="center"/>
    </xf>
    <xf numFmtId="3" fontId="0" fillId="0" borderId="126" xfId="0" applyNumberFormat="1" applyBorder="1" applyAlignment="1">
      <alignment horizontal="center" vertical="center"/>
    </xf>
    <xf numFmtId="0" fontId="38" fillId="0" borderId="0" xfId="0" applyFont="1" applyBorder="1" applyAlignment="1">
      <alignment horizontal="center" vertical="center" wrapText="1"/>
    </xf>
    <xf numFmtId="2" fontId="0" fillId="0" borderId="126" xfId="0" applyNumberFormat="1" applyBorder="1" applyAlignment="1">
      <alignment horizontal="center" vertical="center"/>
    </xf>
    <xf numFmtId="2" fontId="0" fillId="0" borderId="0" xfId="0" applyNumberFormat="1" applyAlignment="1">
      <alignment horizontal="center" vertical="center"/>
    </xf>
    <xf numFmtId="179" fontId="0" fillId="0" borderId="0" xfId="0" applyNumberFormat="1" applyAlignment="1">
      <alignment horizontal="center" vertical="center"/>
    </xf>
    <xf numFmtId="0" fontId="0" fillId="0" borderId="120" xfId="0" applyBorder="1"/>
    <xf numFmtId="0" fontId="0" fillId="15" borderId="0" xfId="0" applyFont="1" applyFill="1" applyBorder="1" applyAlignment="1">
      <alignment horizontal="left" vertical="center" wrapText="1"/>
    </xf>
    <xf numFmtId="0" fontId="0" fillId="11" borderId="0" xfId="0" applyFill="1" applyBorder="1" applyAlignment="1">
      <alignment horizontal="left" vertical="center" wrapText="1"/>
    </xf>
    <xf numFmtId="0" fontId="0" fillId="11" borderId="77" xfId="0" applyFill="1" applyBorder="1" applyAlignment="1">
      <alignment horizontal="left" vertical="center" wrapText="1"/>
    </xf>
    <xf numFmtId="0" fontId="0" fillId="17" borderId="77" xfId="0" applyFill="1" applyBorder="1" applyAlignment="1">
      <alignment horizontal="left" vertical="center" wrapText="1"/>
    </xf>
    <xf numFmtId="0" fontId="0" fillId="15" borderId="77" xfId="0" applyFill="1" applyBorder="1" applyAlignment="1">
      <alignment horizontal="left" vertical="center" wrapText="1"/>
    </xf>
    <xf numFmtId="3" fontId="0" fillId="0" borderId="0" xfId="0" applyNumberFormat="1" applyFill="1" applyBorder="1" applyAlignment="1">
      <alignment horizontal="center" vertical="center"/>
    </xf>
    <xf numFmtId="166" fontId="0" fillId="7" borderId="0" xfId="1" applyNumberFormat="1" applyFont="1" applyFill="1" applyBorder="1" applyAlignment="1">
      <alignment vertical="center"/>
    </xf>
    <xf numFmtId="166" fontId="0" fillId="17" borderId="0" xfId="1" applyNumberFormat="1" applyFont="1" applyFill="1" applyBorder="1" applyAlignment="1">
      <alignment vertical="center"/>
    </xf>
    <xf numFmtId="167" fontId="0" fillId="7" borderId="0" xfId="1" applyNumberFormat="1" applyFont="1" applyFill="1" applyBorder="1" applyAlignment="1">
      <alignment vertical="center"/>
    </xf>
    <xf numFmtId="0" fontId="0" fillId="17" borderId="0" xfId="0" applyFill="1" applyBorder="1" applyAlignment="1">
      <alignment vertical="center"/>
    </xf>
    <xf numFmtId="167" fontId="0" fillId="7" borderId="0" xfId="1" applyNumberFormat="1" applyFont="1" applyFill="1" applyBorder="1" applyAlignment="1">
      <alignment horizontal="left" vertical="center"/>
    </xf>
    <xf numFmtId="167" fontId="0" fillId="17" borderId="0" xfId="1" applyNumberFormat="1" applyFont="1" applyFill="1" applyBorder="1" applyAlignment="1">
      <alignment vertical="center"/>
    </xf>
    <xf numFmtId="2" fontId="0" fillId="0" borderId="75" xfId="0" applyNumberFormat="1" applyBorder="1" applyAlignment="1">
      <alignment horizontal="center"/>
    </xf>
    <xf numFmtId="2" fontId="0" fillId="7" borderId="0" xfId="0" applyNumberFormat="1" applyFill="1" applyBorder="1" applyAlignment="1">
      <alignment horizontal="center" vertical="center"/>
    </xf>
    <xf numFmtId="2" fontId="0" fillId="17" borderId="0" xfId="0" applyNumberFormat="1" applyFill="1" applyBorder="1" applyAlignment="1">
      <alignment horizontal="center" vertical="center"/>
    </xf>
    <xf numFmtId="169" fontId="0" fillId="7" borderId="0" xfId="0" applyNumberFormat="1" applyFill="1" applyBorder="1" applyAlignment="1">
      <alignment vertical="center"/>
    </xf>
    <xf numFmtId="1" fontId="0" fillId="7" borderId="0" xfId="0" applyNumberFormat="1" applyFill="1" applyBorder="1" applyAlignment="1">
      <alignment vertical="center"/>
    </xf>
    <xf numFmtId="0" fontId="0" fillId="7" borderId="0" xfId="1" applyNumberFormat="1" applyFont="1" applyFill="1" applyBorder="1" applyAlignment="1">
      <alignment horizontal="center" vertical="center"/>
    </xf>
    <xf numFmtId="167" fontId="0" fillId="7" borderId="0" xfId="0" applyNumberFormat="1" applyFill="1" applyBorder="1" applyAlignment="1">
      <alignment vertical="center"/>
    </xf>
    <xf numFmtId="0" fontId="0" fillId="17" borderId="75" xfId="0" applyFill="1" applyBorder="1"/>
    <xf numFmtId="0" fontId="31" fillId="7" borderId="75" xfId="0" applyFont="1" applyFill="1" applyBorder="1" applyAlignment="1">
      <alignment horizontal="left" vertical="center" wrapText="1"/>
    </xf>
    <xf numFmtId="0" fontId="0" fillId="0" borderId="74" xfId="0" applyFont="1" applyBorder="1" applyAlignment="1">
      <alignment horizontal="left" vertical="center" wrapText="1"/>
    </xf>
    <xf numFmtId="0" fontId="0" fillId="10" borderId="0" xfId="0" quotePrefix="1" applyNumberFormat="1" applyFill="1" applyBorder="1" applyAlignment="1">
      <alignment horizontal="center" vertical="center" wrapText="1"/>
    </xf>
    <xf numFmtId="1" fontId="0" fillId="7" borderId="0" xfId="0" quotePrefix="1" applyNumberFormat="1" applyFill="1" applyBorder="1" applyAlignment="1">
      <alignment horizontal="center" vertical="center"/>
    </xf>
    <xf numFmtId="0" fontId="4" fillId="17" borderId="0" xfId="0" quotePrefix="1" applyNumberFormat="1" applyFont="1" applyFill="1" applyBorder="1" applyAlignment="1">
      <alignment horizontal="center" vertical="center"/>
    </xf>
    <xf numFmtId="0" fontId="0" fillId="17" borderId="0" xfId="0" applyNumberFormat="1" applyFill="1" applyBorder="1" applyAlignment="1">
      <alignment horizontal="center" vertical="center"/>
    </xf>
    <xf numFmtId="0" fontId="4" fillId="17" borderId="0" xfId="0" applyNumberFormat="1" applyFont="1" applyFill="1" applyBorder="1" applyAlignment="1">
      <alignment horizontal="center" vertical="center"/>
    </xf>
    <xf numFmtId="0" fontId="0" fillId="7" borderId="0" xfId="0" quotePrefix="1" applyNumberFormat="1" applyFill="1" applyBorder="1" applyAlignment="1">
      <alignment horizontal="center" vertical="center"/>
    </xf>
    <xf numFmtId="2" fontId="0" fillId="0" borderId="74" xfId="0" applyNumberFormat="1" applyBorder="1"/>
    <xf numFmtId="3" fontId="0" fillId="7" borderId="0" xfId="0" applyNumberFormat="1" applyFill="1" applyBorder="1" applyAlignment="1">
      <alignment horizontal="center" vertical="center"/>
    </xf>
    <xf numFmtId="0" fontId="0" fillId="10" borderId="0" xfId="0" applyFill="1" applyBorder="1" applyAlignment="1">
      <alignment horizontal="center" vertical="center" wrapText="1"/>
    </xf>
    <xf numFmtId="0" fontId="0" fillId="0" borderId="74" xfId="0" applyBorder="1" applyAlignment="1">
      <alignment horizontal="center"/>
    </xf>
    <xf numFmtId="0" fontId="4" fillId="10" borderId="75" xfId="0" applyFont="1" applyFill="1" applyBorder="1" applyAlignment="1">
      <alignment horizontal="center" vertical="center" wrapText="1"/>
    </xf>
    <xf numFmtId="49" fontId="0" fillId="7" borderId="0" xfId="0" applyNumberFormat="1" applyFill="1" applyBorder="1" applyAlignment="1">
      <alignment horizontal="center" vertical="center"/>
    </xf>
    <xf numFmtId="0" fontId="0" fillId="0" borderId="74" xfId="0" applyBorder="1" applyAlignment="1">
      <alignment horizontal="left"/>
    </xf>
    <xf numFmtId="0" fontId="0" fillId="10" borderId="0" xfId="0" applyFill="1" applyBorder="1" applyAlignment="1">
      <alignment horizontal="left" vertical="center"/>
    </xf>
    <xf numFmtId="49" fontId="0" fillId="7" borderId="0" xfId="0" applyNumberFormat="1" applyFill="1" applyBorder="1" applyAlignment="1">
      <alignment horizontal="left" vertical="center"/>
    </xf>
    <xf numFmtId="0" fontId="0" fillId="24" borderId="75" xfId="0" applyFill="1" applyBorder="1" applyAlignment="1">
      <alignment horizontal="left"/>
    </xf>
    <xf numFmtId="0" fontId="0" fillId="24" borderId="75" xfId="0" applyFill="1" applyBorder="1"/>
    <xf numFmtId="0" fontId="0" fillId="7" borderId="75" xfId="0" applyFill="1" applyBorder="1" applyAlignment="1">
      <alignment horizontal="left" vertical="center" wrapText="1"/>
    </xf>
    <xf numFmtId="0" fontId="0" fillId="0" borderId="73" xfId="0" applyBorder="1"/>
    <xf numFmtId="0" fontId="0" fillId="24" borderId="74" xfId="0" applyFill="1" applyBorder="1"/>
    <xf numFmtId="1" fontId="0" fillId="24" borderId="74" xfId="0" applyNumberFormat="1" applyFill="1" applyBorder="1" applyAlignment="1">
      <alignment horizontal="center"/>
    </xf>
    <xf numFmtId="2" fontId="0" fillId="10" borderId="0" xfId="0" applyNumberFormat="1" applyFill="1" applyBorder="1" applyAlignment="1">
      <alignment horizontal="center" vertical="center" wrapText="1"/>
    </xf>
    <xf numFmtId="2" fontId="0" fillId="24" borderId="75" xfId="0" applyNumberFormat="1" applyFill="1" applyBorder="1"/>
    <xf numFmtId="0" fontId="0" fillId="24" borderId="75" xfId="0" applyFill="1" applyBorder="1" applyAlignment="1">
      <alignment horizontal="center"/>
    </xf>
    <xf numFmtId="177" fontId="0" fillId="0" borderId="0" xfId="3" applyNumberFormat="1" applyFont="1" applyFill="1" applyBorder="1"/>
    <xf numFmtId="0" fontId="0" fillId="7" borderId="77" xfId="0" applyFill="1" applyBorder="1" applyAlignment="1">
      <alignment horizontal="left" vertical="center" wrapText="1"/>
    </xf>
    <xf numFmtId="165" fontId="0" fillId="7" borderId="77" xfId="0" applyNumberFormat="1" applyFill="1" applyBorder="1" applyAlignment="1">
      <alignment vertical="center"/>
    </xf>
    <xf numFmtId="1" fontId="0" fillId="7" borderId="77" xfId="0" applyNumberFormat="1" applyFill="1" applyBorder="1" applyAlignment="1">
      <alignment vertical="center"/>
    </xf>
    <xf numFmtId="0" fontId="0" fillId="15" borderId="0" xfId="0" applyFill="1" applyBorder="1"/>
    <xf numFmtId="0" fontId="7" fillId="0" borderId="101" xfId="0" applyFont="1" applyBorder="1" applyAlignment="1">
      <alignment horizontal="center" vertical="center"/>
    </xf>
    <xf numFmtId="0" fontId="7" fillId="0" borderId="116" xfId="0" applyFont="1" applyBorder="1" applyAlignment="1">
      <alignment horizontal="center" vertical="center"/>
    </xf>
    <xf numFmtId="0" fontId="7" fillId="0" borderId="104" xfId="0" applyFont="1" applyBorder="1" applyAlignment="1">
      <alignment horizontal="center" vertical="center"/>
    </xf>
    <xf numFmtId="0" fontId="7" fillId="0" borderId="117" xfId="0" applyFont="1" applyBorder="1" applyAlignment="1">
      <alignment horizontal="center" vertical="center"/>
    </xf>
    <xf numFmtId="0" fontId="7" fillId="0" borderId="99" xfId="0" applyFont="1" applyBorder="1" applyAlignment="1">
      <alignment vertical="center"/>
    </xf>
    <xf numFmtId="0" fontId="25" fillId="0" borderId="100" xfId="0" applyFont="1" applyBorder="1" applyAlignment="1">
      <alignment vertical="center"/>
    </xf>
    <xf numFmtId="0" fontId="25" fillId="0" borderId="101" xfId="0" applyFont="1" applyBorder="1" applyAlignment="1">
      <alignment vertical="center"/>
    </xf>
    <xf numFmtId="0" fontId="7" fillId="0" borderId="99" xfId="0" applyFont="1" applyBorder="1" applyAlignment="1">
      <alignment vertical="center" wrapText="1"/>
    </xf>
    <xf numFmtId="0" fontId="25" fillId="0" borderId="100" xfId="0" applyFont="1" applyBorder="1" applyAlignment="1">
      <alignment vertical="center" wrapText="1"/>
    </xf>
    <xf numFmtId="0" fontId="25" fillId="0" borderId="101" xfId="0" applyFont="1" applyBorder="1" applyAlignment="1">
      <alignment vertical="center" wrapText="1"/>
    </xf>
    <xf numFmtId="0" fontId="7" fillId="0" borderId="100" xfId="0" applyFont="1" applyBorder="1" applyAlignment="1">
      <alignment vertical="center"/>
    </xf>
    <xf numFmtId="0" fontId="7" fillId="0" borderId="101" xfId="0" applyFont="1" applyBorder="1" applyAlignment="1">
      <alignment vertical="center"/>
    </xf>
    <xf numFmtId="0" fontId="7" fillId="0" borderId="102" xfId="0" applyFont="1" applyBorder="1" applyAlignment="1">
      <alignment vertical="center" wrapText="1"/>
    </xf>
    <xf numFmtId="0" fontId="7" fillId="0" borderId="103" xfId="0" applyFont="1" applyBorder="1" applyAlignment="1">
      <alignment vertical="center"/>
    </xf>
    <xf numFmtId="0" fontId="7" fillId="0" borderId="104" xfId="0" applyFont="1" applyBorder="1" applyAlignment="1">
      <alignment vertical="center"/>
    </xf>
    <xf numFmtId="0" fontId="7" fillId="0" borderId="101"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98" xfId="0" applyFont="1" applyBorder="1" applyAlignment="1">
      <alignment horizontal="center" vertical="center" wrapText="1"/>
    </xf>
    <xf numFmtId="0" fontId="7" fillId="0" borderId="115" xfId="0" applyFont="1" applyBorder="1" applyAlignment="1">
      <alignment horizontal="center" vertical="center" wrapText="1"/>
    </xf>
    <xf numFmtId="0" fontId="26" fillId="0" borderId="101" xfId="2" applyFont="1" applyBorder="1" applyAlignment="1">
      <alignment horizontal="center" vertical="center"/>
    </xf>
    <xf numFmtId="0" fontId="26" fillId="0" borderId="116" xfId="2" applyFont="1" applyBorder="1" applyAlignment="1">
      <alignment horizontal="center" vertical="center"/>
    </xf>
    <xf numFmtId="0" fontId="7" fillId="0" borderId="96" xfId="0" applyFont="1" applyBorder="1" applyAlignment="1">
      <alignment horizontal="left" vertical="center"/>
    </xf>
    <xf numFmtId="0" fontId="25" fillId="0" borderId="97" xfId="0" applyFont="1" applyBorder="1" applyAlignment="1">
      <alignment horizontal="left" vertical="center"/>
    </xf>
    <xf numFmtId="0" fontId="25" fillId="0" borderId="98" xfId="0" applyFont="1" applyBorder="1" applyAlignment="1">
      <alignment horizontal="left" vertical="center"/>
    </xf>
    <xf numFmtId="0" fontId="3" fillId="2" borderId="89" xfId="0" applyFont="1" applyFill="1" applyBorder="1" applyAlignment="1">
      <alignment horizontal="center" vertical="center"/>
    </xf>
    <xf numFmtId="0" fontId="3" fillId="2" borderId="90" xfId="0" applyFont="1" applyFill="1" applyBorder="1" applyAlignment="1">
      <alignment horizontal="center" vertical="center"/>
    </xf>
    <xf numFmtId="0" fontId="3" fillId="2" borderId="107" xfId="0" applyFont="1" applyFill="1" applyBorder="1" applyAlignment="1">
      <alignment horizontal="center" vertical="center"/>
    </xf>
    <xf numFmtId="0" fontId="3" fillId="2" borderId="44" xfId="0" applyFont="1" applyFill="1" applyBorder="1" applyAlignment="1">
      <alignment horizontal="center" vertical="center"/>
    </xf>
    <xf numFmtId="0" fontId="0" fillId="0" borderId="105" xfId="0" applyBorder="1" applyAlignment="1">
      <alignment vertical="center"/>
    </xf>
    <xf numFmtId="0" fontId="0" fillId="0" borderId="38" xfId="0" applyBorder="1" applyAlignment="1">
      <alignment vertical="center"/>
    </xf>
    <xf numFmtId="0" fontId="0" fillId="0" borderId="106" xfId="0" applyBorder="1" applyAlignment="1">
      <alignment horizontal="center" vertical="center"/>
    </xf>
    <xf numFmtId="0" fontId="0" fillId="0" borderId="61" xfId="0" applyBorder="1" applyAlignment="1">
      <alignment horizontal="center" vertical="center"/>
    </xf>
    <xf numFmtId="0" fontId="0" fillId="0" borderId="62" xfId="0" applyBorder="1" applyAlignment="1">
      <alignment horizontal="center" vertical="center"/>
    </xf>
    <xf numFmtId="0" fontId="4" fillId="3" borderId="91" xfId="0" applyFont="1" applyFill="1" applyBorder="1" applyAlignment="1">
      <alignment horizontal="center" vertical="center"/>
    </xf>
    <xf numFmtId="0" fontId="4" fillId="3" borderId="92" xfId="0" applyFont="1" applyFill="1" applyBorder="1" applyAlignment="1">
      <alignment horizontal="center" vertical="center"/>
    </xf>
    <xf numFmtId="0" fontId="4" fillId="3" borderId="110" xfId="0" applyFont="1" applyFill="1" applyBorder="1" applyAlignment="1">
      <alignment horizontal="center" vertical="center"/>
    </xf>
    <xf numFmtId="0" fontId="1" fillId="2" borderId="108" xfId="0" applyFont="1" applyFill="1" applyBorder="1" applyAlignment="1">
      <alignment horizontal="center" vertical="center"/>
    </xf>
    <xf numFmtId="0" fontId="1" fillId="2" borderId="39" xfId="0" applyFont="1" applyFill="1" applyBorder="1" applyAlignment="1">
      <alignment horizontal="center" vertical="center"/>
    </xf>
    <xf numFmtId="0" fontId="1" fillId="2" borderId="109" xfId="0" applyFont="1" applyFill="1" applyBorder="1" applyAlignment="1">
      <alignment horizontal="center" vertical="center"/>
    </xf>
    <xf numFmtId="0" fontId="1" fillId="2" borderId="19" xfId="0" applyFont="1" applyFill="1" applyBorder="1" applyAlignment="1">
      <alignment horizontal="center" vertical="center"/>
    </xf>
    <xf numFmtId="0" fontId="4" fillId="3" borderId="2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21" xfId="0" applyFont="1" applyFill="1" applyBorder="1" applyAlignment="1">
      <alignment horizontal="center" vertical="center"/>
    </xf>
    <xf numFmtId="0" fontId="1" fillId="2" borderId="41" xfId="0" applyFont="1" applyFill="1" applyBorder="1" applyAlignment="1">
      <alignment horizontal="center" vertical="center"/>
    </xf>
    <xf numFmtId="0" fontId="1" fillId="3" borderId="33" xfId="0" applyFont="1" applyFill="1" applyBorder="1" applyAlignment="1">
      <alignment horizontal="center" vertical="center"/>
    </xf>
    <xf numFmtId="0" fontId="1" fillId="3" borderId="34" xfId="0" applyFont="1" applyFill="1" applyBorder="1" applyAlignment="1">
      <alignment horizontal="center" vertical="center"/>
    </xf>
    <xf numFmtId="0" fontId="1" fillId="2" borderId="42" xfId="0" applyFont="1" applyFill="1" applyBorder="1" applyAlignment="1">
      <alignment horizontal="center" vertical="center"/>
    </xf>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6" fillId="0" borderId="45"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55" xfId="0" applyFont="1" applyBorder="1" applyAlignment="1">
      <alignment horizontal="center" vertical="center" wrapText="1"/>
    </xf>
    <xf numFmtId="0" fontId="0" fillId="0" borderId="60" xfId="0"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31"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32" xfId="0" applyFont="1" applyFill="1" applyBorder="1" applyAlignment="1">
      <alignment horizontal="center" vertical="center"/>
    </xf>
    <xf numFmtId="0" fontId="3" fillId="2" borderId="3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43" xfId="0" applyFont="1" applyFill="1" applyBorder="1" applyAlignment="1">
      <alignment horizontal="center" vertical="center"/>
    </xf>
    <xf numFmtId="0" fontId="0" fillId="0" borderId="37" xfId="0" applyBorder="1" applyAlignment="1">
      <alignment vertical="center"/>
    </xf>
    <xf numFmtId="0" fontId="2" fillId="0" borderId="78" xfId="0" applyFont="1" applyBorder="1" applyAlignment="1">
      <alignment vertical="center" wrapText="1"/>
    </xf>
    <xf numFmtId="0" fontId="2" fillId="0" borderId="0" xfId="0" applyFont="1" applyBorder="1" applyAlignment="1">
      <alignment vertical="center" wrapText="1"/>
    </xf>
    <xf numFmtId="0" fontId="2" fillId="0" borderId="79" xfId="0" applyFont="1" applyBorder="1" applyAlignment="1">
      <alignment vertical="center" wrapText="1"/>
    </xf>
    <xf numFmtId="0" fontId="2" fillId="0" borderId="80" xfId="0" applyFont="1" applyBorder="1" applyAlignment="1">
      <alignment vertical="center" wrapText="1"/>
    </xf>
    <xf numFmtId="0" fontId="2" fillId="0" borderId="81" xfId="0" applyFont="1" applyBorder="1" applyAlignment="1">
      <alignment vertical="center" wrapText="1"/>
    </xf>
    <xf numFmtId="0" fontId="2" fillId="0" borderId="82" xfId="0" applyFont="1" applyBorder="1" applyAlignment="1">
      <alignment vertical="center" wrapText="1"/>
    </xf>
    <xf numFmtId="0" fontId="9" fillId="6" borderId="73" xfId="0" applyFont="1" applyFill="1" applyBorder="1" applyAlignment="1">
      <alignment horizontal="left" vertical="center" wrapText="1"/>
    </xf>
    <xf numFmtId="0" fontId="9" fillId="6" borderId="75" xfId="0" applyFont="1" applyFill="1" applyBorder="1" applyAlignment="1">
      <alignment horizontal="left" vertical="center" wrapText="1"/>
    </xf>
    <xf numFmtId="0" fontId="9" fillId="6" borderId="74" xfId="0" applyFont="1" applyFill="1" applyBorder="1" applyAlignment="1">
      <alignment horizontal="left" vertical="center" wrapText="1"/>
    </xf>
    <xf numFmtId="0" fontId="9" fillId="8" borderId="76" xfId="0" applyFont="1" applyFill="1" applyBorder="1" applyAlignment="1">
      <alignment horizontal="left" vertical="center"/>
    </xf>
    <xf numFmtId="0" fontId="9" fillId="2" borderId="67" xfId="0" applyFont="1" applyFill="1" applyBorder="1" applyAlignment="1">
      <alignment horizontal="center" vertical="center" wrapText="1"/>
    </xf>
    <xf numFmtId="0" fontId="19" fillId="4" borderId="68" xfId="0" applyFont="1" applyFill="1" applyBorder="1" applyAlignment="1">
      <alignment horizontal="left" vertical="center" wrapText="1"/>
    </xf>
    <xf numFmtId="0" fontId="19" fillId="4" borderId="69" xfId="0" applyFont="1" applyFill="1" applyBorder="1" applyAlignment="1">
      <alignment horizontal="left" vertical="center"/>
    </xf>
    <xf numFmtId="0" fontId="19" fillId="4" borderId="70" xfId="0" applyFont="1" applyFill="1" applyBorder="1" applyAlignment="1">
      <alignment horizontal="left" vertical="center"/>
    </xf>
    <xf numFmtId="0" fontId="9" fillId="6" borderId="0" xfId="0" applyFont="1" applyFill="1" applyAlignment="1">
      <alignment horizontal="left" vertical="center"/>
    </xf>
    <xf numFmtId="0" fontId="0" fillId="7" borderId="0" xfId="0" applyFill="1" applyAlignment="1">
      <alignment horizontal="left" vertical="center" wrapText="1"/>
    </xf>
    <xf numFmtId="0" fontId="18" fillId="0" borderId="68" xfId="0" applyFont="1" applyBorder="1" applyAlignment="1">
      <alignment horizontal="left" vertical="center"/>
    </xf>
    <xf numFmtId="0" fontId="18" fillId="0" borderId="69" xfId="0" applyFont="1" applyBorder="1" applyAlignment="1">
      <alignment horizontal="left" vertical="center"/>
    </xf>
    <xf numFmtId="0" fontId="18" fillId="0" borderId="70" xfId="0" applyFont="1" applyBorder="1" applyAlignment="1">
      <alignment horizontal="left" vertical="center"/>
    </xf>
    <xf numFmtId="0" fontId="19" fillId="0" borderId="68" xfId="0" applyFont="1" applyBorder="1" applyAlignment="1">
      <alignment horizontal="left" vertical="center" wrapText="1"/>
    </xf>
    <xf numFmtId="0" fontId="19" fillId="0" borderId="69" xfId="0" applyFont="1" applyBorder="1" applyAlignment="1">
      <alignment horizontal="left" vertical="center"/>
    </xf>
    <xf numFmtId="0" fontId="19" fillId="0" borderId="70" xfId="0" applyFont="1" applyBorder="1" applyAlignment="1">
      <alignment horizontal="left" vertical="center"/>
    </xf>
    <xf numFmtId="0" fontId="0" fillId="0" borderId="37" xfId="0" applyBorder="1" applyAlignment="1">
      <alignment horizontal="center" vertical="center"/>
    </xf>
    <xf numFmtId="0" fontId="0" fillId="0" borderId="38" xfId="0" applyBorder="1" applyAlignment="1">
      <alignment horizontal="center" vertical="center"/>
    </xf>
    <xf numFmtId="2" fontId="9" fillId="6" borderId="73" xfId="0" applyNumberFormat="1" applyFont="1" applyFill="1" applyBorder="1" applyAlignment="1">
      <alignment horizontal="center" vertical="center" wrapText="1"/>
    </xf>
    <xf numFmtId="2" fontId="9" fillId="6" borderId="75" xfId="0" applyNumberFormat="1" applyFont="1" applyFill="1" applyBorder="1" applyAlignment="1">
      <alignment horizontal="center" vertical="center" wrapText="1"/>
    </xf>
    <xf numFmtId="0" fontId="9" fillId="6" borderId="74" xfId="0" applyFont="1" applyFill="1" applyBorder="1" applyAlignment="1">
      <alignment horizontal="center" vertical="center" wrapText="1"/>
    </xf>
    <xf numFmtId="0" fontId="9" fillId="6" borderId="73" xfId="0" applyFont="1" applyFill="1" applyBorder="1" applyAlignment="1">
      <alignment horizontal="center" vertical="center" wrapText="1"/>
    </xf>
    <xf numFmtId="0" fontId="9" fillId="6" borderId="75" xfId="0" applyFont="1" applyFill="1" applyBorder="1" applyAlignment="1">
      <alignment horizontal="center" vertical="center" wrapText="1"/>
    </xf>
    <xf numFmtId="0" fontId="9" fillId="8" borderId="77" xfId="0" applyFont="1" applyFill="1" applyBorder="1" applyAlignment="1">
      <alignment horizontal="left" vertical="center"/>
    </xf>
    <xf numFmtId="0" fontId="9" fillId="8" borderId="76" xfId="0" applyFont="1" applyFill="1" applyBorder="1" applyAlignment="1">
      <alignment horizontal="center" vertical="center"/>
    </xf>
    <xf numFmtId="167" fontId="9" fillId="6" borderId="73" xfId="1" applyNumberFormat="1" applyFont="1" applyFill="1" applyBorder="1" applyAlignment="1">
      <alignment horizontal="center" vertical="center" wrapText="1"/>
    </xf>
    <xf numFmtId="167" fontId="9" fillId="6" borderId="75" xfId="1" applyNumberFormat="1" applyFont="1" applyFill="1" applyBorder="1" applyAlignment="1">
      <alignment horizontal="center" vertical="center" wrapText="1"/>
    </xf>
    <xf numFmtId="0" fontId="19" fillId="7" borderId="68" xfId="0" applyFont="1" applyFill="1" applyBorder="1" applyAlignment="1">
      <alignment horizontal="left" vertical="center" wrapText="1"/>
    </xf>
    <xf numFmtId="0" fontId="19" fillId="7" borderId="69" xfId="0" applyFont="1" applyFill="1" applyBorder="1" applyAlignment="1">
      <alignment horizontal="left" vertical="center"/>
    </xf>
    <xf numFmtId="0" fontId="19" fillId="7" borderId="70" xfId="0" applyFont="1" applyFill="1" applyBorder="1" applyAlignment="1">
      <alignment horizontal="left" vertical="center"/>
    </xf>
    <xf numFmtId="0" fontId="9" fillId="14" borderId="73" xfId="0" applyFont="1" applyFill="1" applyBorder="1" applyAlignment="1">
      <alignment horizontal="center" vertical="center" wrapText="1"/>
    </xf>
    <xf numFmtId="0" fontId="9" fillId="14" borderId="75" xfId="0" applyFont="1" applyFill="1" applyBorder="1" applyAlignment="1">
      <alignment horizontal="center" vertical="center" wrapText="1"/>
    </xf>
    <xf numFmtId="0" fontId="9" fillId="6" borderId="65" xfId="0" applyFont="1" applyFill="1" applyBorder="1" applyAlignment="1">
      <alignment horizontal="center" vertical="center" wrapText="1"/>
    </xf>
    <xf numFmtId="0" fontId="9" fillId="6" borderId="122"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8" borderId="76" xfId="0" applyFont="1" applyFill="1" applyBorder="1" applyAlignment="1">
      <alignment vertical="center"/>
    </xf>
    <xf numFmtId="0" fontId="9" fillId="6" borderId="73" xfId="0" applyFont="1" applyFill="1" applyBorder="1" applyAlignment="1">
      <alignment vertical="center" wrapText="1"/>
    </xf>
    <xf numFmtId="0" fontId="9" fillId="6" borderId="75" xfId="0" applyFont="1" applyFill="1" applyBorder="1" applyAlignment="1">
      <alignment vertical="center" wrapText="1"/>
    </xf>
    <xf numFmtId="0" fontId="9" fillId="6" borderId="74" xfId="0" applyFont="1" applyFill="1" applyBorder="1" applyAlignment="1">
      <alignment vertical="center" wrapText="1"/>
    </xf>
    <xf numFmtId="165" fontId="9" fillId="6" borderId="74" xfId="0" applyNumberFormat="1" applyFont="1" applyFill="1" applyBorder="1" applyAlignment="1">
      <alignment vertical="center" wrapText="1"/>
    </xf>
    <xf numFmtId="0" fontId="9" fillId="6" borderId="77" xfId="0" applyFont="1" applyFill="1" applyBorder="1" applyAlignment="1">
      <alignment horizontal="center" vertical="center" wrapText="1"/>
    </xf>
    <xf numFmtId="0" fontId="19" fillId="4" borderId="71" xfId="0" applyFont="1" applyFill="1" applyBorder="1" applyAlignment="1">
      <alignment horizontal="left" vertical="center" wrapText="1"/>
    </xf>
    <xf numFmtId="0" fontId="19" fillId="4" borderId="72" xfId="0" applyFont="1" applyFill="1" applyBorder="1" applyAlignment="1">
      <alignment horizontal="left" vertical="center" wrapText="1"/>
    </xf>
    <xf numFmtId="0" fontId="9" fillId="2" borderId="84" xfId="0" applyFont="1" applyFill="1" applyBorder="1" applyAlignment="1">
      <alignment horizontal="center" vertical="center" wrapText="1"/>
    </xf>
    <xf numFmtId="0" fontId="9" fillId="2" borderId="85" xfId="0" applyFont="1" applyFill="1" applyBorder="1" applyAlignment="1">
      <alignment horizontal="center" vertical="center" wrapText="1"/>
    </xf>
    <xf numFmtId="0" fontId="18" fillId="0" borderId="71" xfId="0" applyFont="1" applyBorder="1" applyAlignment="1">
      <alignment horizontal="left" vertical="center"/>
    </xf>
    <xf numFmtId="0" fontId="18" fillId="0" borderId="72" xfId="0" applyFont="1" applyBorder="1" applyAlignment="1">
      <alignment horizontal="left" vertical="center"/>
    </xf>
    <xf numFmtId="0" fontId="18" fillId="0" borderId="83" xfId="0" applyFont="1" applyBorder="1" applyAlignment="1">
      <alignment horizontal="left" vertical="center"/>
    </xf>
    <xf numFmtId="0" fontId="19" fillId="0" borderId="71" xfId="0" applyFont="1" applyBorder="1" applyAlignment="1">
      <alignment horizontal="left" vertical="center" wrapText="1"/>
    </xf>
    <xf numFmtId="0" fontId="19" fillId="0" borderId="72" xfId="0" applyFont="1" applyBorder="1" applyAlignment="1">
      <alignment horizontal="left" vertical="center" wrapText="1"/>
    </xf>
    <xf numFmtId="0" fontId="19" fillId="0" borderId="83" xfId="0" applyFont="1" applyBorder="1" applyAlignment="1">
      <alignment horizontal="left" vertical="center" wrapText="1"/>
    </xf>
    <xf numFmtId="0" fontId="19" fillId="4" borderId="83" xfId="0" applyFont="1" applyFill="1" applyBorder="1" applyAlignment="1">
      <alignment horizontal="left" vertical="center" wrapText="1"/>
    </xf>
    <xf numFmtId="0" fontId="9" fillId="6" borderId="77" xfId="0" applyFont="1" applyFill="1" applyBorder="1" applyAlignment="1">
      <alignment horizontal="left" vertical="center" wrapText="1"/>
    </xf>
    <xf numFmtId="171" fontId="9" fillId="6" borderId="73" xfId="0" applyNumberFormat="1" applyFont="1" applyFill="1" applyBorder="1" applyAlignment="1">
      <alignment horizontal="center" vertical="center" wrapText="1"/>
    </xf>
    <xf numFmtId="171" fontId="9" fillId="6" borderId="77" xfId="0" applyNumberFormat="1" applyFont="1" applyFill="1" applyBorder="1" applyAlignment="1">
      <alignment horizontal="center" vertical="center" wrapText="1"/>
    </xf>
    <xf numFmtId="165" fontId="9" fillId="6" borderId="74" xfId="0" applyNumberFormat="1" applyFont="1" applyFill="1" applyBorder="1" applyAlignment="1">
      <alignment horizontal="center" vertical="center" wrapText="1"/>
    </xf>
    <xf numFmtId="165" fontId="9" fillId="6" borderId="73" xfId="0" applyNumberFormat="1" applyFont="1" applyFill="1" applyBorder="1" applyAlignment="1">
      <alignment horizontal="center" vertical="center" wrapText="1"/>
    </xf>
    <xf numFmtId="165" fontId="9" fillId="6" borderId="75" xfId="0" applyNumberFormat="1" applyFont="1" applyFill="1" applyBorder="1" applyAlignment="1">
      <alignment horizontal="center" vertical="center" wrapText="1"/>
    </xf>
    <xf numFmtId="0" fontId="19" fillId="9" borderId="68" xfId="0" applyFont="1" applyFill="1" applyBorder="1" applyAlignment="1">
      <alignment horizontal="left" vertical="center" wrapText="1"/>
    </xf>
    <xf numFmtId="0" fontId="19" fillId="9" borderId="69" xfId="0" applyFont="1" applyFill="1" applyBorder="1" applyAlignment="1">
      <alignment horizontal="left" vertical="center"/>
    </xf>
    <xf numFmtId="0" fontId="19" fillId="9" borderId="70" xfId="0" applyFont="1" applyFill="1" applyBorder="1" applyAlignment="1">
      <alignment horizontal="left" vertical="center"/>
    </xf>
    <xf numFmtId="0" fontId="19" fillId="9" borderId="71" xfId="0" applyFont="1" applyFill="1" applyBorder="1" applyAlignment="1">
      <alignment horizontal="left" vertical="center" wrapText="1"/>
    </xf>
    <xf numFmtId="0" fontId="19" fillId="9" borderId="72" xfId="0" applyFont="1" applyFill="1" applyBorder="1" applyAlignment="1">
      <alignment horizontal="left" vertical="center" wrapText="1"/>
    </xf>
    <xf numFmtId="0" fontId="0" fillId="0" borderId="76" xfId="0" applyBorder="1" applyAlignment="1">
      <alignment horizontal="center" vertical="center" wrapText="1"/>
    </xf>
    <xf numFmtId="165" fontId="9" fillId="6" borderId="74" xfId="0" applyNumberFormat="1" applyFont="1" applyFill="1" applyBorder="1" applyAlignment="1">
      <alignment horizontal="left" vertical="center" wrapText="1"/>
    </xf>
    <xf numFmtId="165" fontId="9" fillId="6" borderId="73" xfId="0" applyNumberFormat="1" applyFont="1" applyFill="1" applyBorder="1" applyAlignment="1">
      <alignment horizontal="left" vertical="center" wrapText="1"/>
    </xf>
    <xf numFmtId="171" fontId="9" fillId="6" borderId="74" xfId="0" applyNumberFormat="1" applyFont="1" applyFill="1" applyBorder="1" applyAlignment="1">
      <alignment horizontal="center" vertical="center" wrapText="1"/>
    </xf>
    <xf numFmtId="1" fontId="9" fillId="6" borderId="74" xfId="0" applyNumberFormat="1" applyFont="1" applyFill="1" applyBorder="1" applyAlignment="1">
      <alignment horizontal="center" vertical="center" wrapText="1"/>
    </xf>
    <xf numFmtId="1" fontId="9" fillId="6" borderId="73" xfId="0" applyNumberFormat="1" applyFont="1" applyFill="1" applyBorder="1" applyAlignment="1">
      <alignment horizontal="center" vertical="center" wrapText="1"/>
    </xf>
    <xf numFmtId="0" fontId="9" fillId="6" borderId="73" xfId="0" applyFont="1" applyFill="1" applyBorder="1" applyAlignment="1">
      <alignment horizontal="left" vertical="center"/>
    </xf>
    <xf numFmtId="0" fontId="9" fillId="6" borderId="75" xfId="0" applyFont="1" applyFill="1" applyBorder="1" applyAlignment="1">
      <alignment horizontal="left" vertical="center"/>
    </xf>
    <xf numFmtId="1" fontId="9" fillId="6" borderId="75" xfId="0" applyNumberFormat="1" applyFont="1" applyFill="1" applyBorder="1" applyAlignment="1">
      <alignment horizontal="center" vertical="center" wrapText="1"/>
    </xf>
    <xf numFmtId="2" fontId="9" fillId="6" borderId="73" xfId="0" applyNumberFormat="1" applyFont="1" applyFill="1" applyBorder="1" applyAlignment="1">
      <alignment horizontal="left" vertical="center" wrapText="1"/>
    </xf>
    <xf numFmtId="2" fontId="9" fillId="6" borderId="75" xfId="0" applyNumberFormat="1" applyFont="1" applyFill="1" applyBorder="1" applyAlignment="1">
      <alignment horizontal="left" vertical="center" wrapText="1"/>
    </xf>
    <xf numFmtId="168" fontId="9" fillId="6" borderId="73" xfId="0" applyNumberFormat="1" applyFont="1" applyFill="1" applyBorder="1" applyAlignment="1">
      <alignment horizontal="left" vertical="center" wrapText="1"/>
    </xf>
    <xf numFmtId="168" fontId="9" fillId="6" borderId="75" xfId="0" applyNumberFormat="1" applyFont="1" applyFill="1" applyBorder="1" applyAlignment="1">
      <alignment horizontal="left" vertical="center" wrapText="1"/>
    </xf>
    <xf numFmtId="168" fontId="9" fillId="6" borderId="73" xfId="0" applyNumberFormat="1" applyFont="1" applyFill="1" applyBorder="1" applyAlignment="1">
      <alignment horizontal="center" vertical="center" wrapText="1"/>
    </xf>
    <xf numFmtId="168" fontId="9" fillId="6" borderId="75" xfId="0" applyNumberFormat="1" applyFont="1" applyFill="1" applyBorder="1" applyAlignment="1">
      <alignment horizontal="center" vertical="center" wrapText="1"/>
    </xf>
    <xf numFmtId="4" fontId="9" fillId="6" borderId="74" xfId="0" applyNumberFormat="1" applyFont="1" applyFill="1" applyBorder="1" applyAlignment="1">
      <alignment horizontal="left" vertical="center" wrapText="1"/>
    </xf>
    <xf numFmtId="4" fontId="9" fillId="6" borderId="73" xfId="0" applyNumberFormat="1" applyFont="1" applyFill="1" applyBorder="1" applyAlignment="1">
      <alignment horizontal="left" vertical="center" wrapText="1"/>
    </xf>
  </cellXfs>
  <cellStyles count="7">
    <cellStyle name="Hiperligação" xfId="2" builtinId="8"/>
    <cellStyle name="Moeda" xfId="3" builtinId="4"/>
    <cellStyle name="Moeda 2" xfId="6"/>
    <cellStyle name="Normal" xfId="0" builtinId="0"/>
    <cellStyle name="Percentagem" xfId="5" builtinId="5"/>
    <cellStyle name="Separador de milhares [0]" xfId="4" builtinId="6"/>
    <cellStyle name="Vírgula" xfId="1" builtinId="3"/>
  </cellStyles>
  <dxfs count="15">
    <dxf>
      <fill>
        <patternFill patternType="none">
          <fgColor indexed="64"/>
          <bgColor auto="1"/>
        </patternFill>
      </fill>
      <alignment horizontal="left" vertical="center" textRotation="0" wrapText="0" indent="0" justifyLastLine="0" shrinkToFit="0" readingOrder="0"/>
      <border diagonalUp="0" diagonalDown="0" outline="0">
        <left style="medium">
          <color theme="0"/>
        </left>
        <right/>
        <top style="medium">
          <color theme="0"/>
        </top>
        <bottom style="medium">
          <color theme="0"/>
        </bottom>
      </border>
    </dxf>
    <dxf>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medium">
          <color theme="0"/>
        </right>
        <top style="medium">
          <color theme="0"/>
        </top>
        <bottom style="medium">
          <color theme="0"/>
        </bottom>
      </border>
    </dxf>
    <dxf>
      <border outline="0">
        <left style="medium">
          <color theme="0"/>
        </left>
        <right style="medium">
          <color theme="0"/>
        </right>
        <top style="medium">
          <color theme="0"/>
        </top>
        <bottom style="medium">
          <color theme="0"/>
        </bottom>
      </border>
    </dxf>
    <dxf>
      <fill>
        <patternFill patternType="none">
          <fgColor indexed="64"/>
          <bgColor auto="1"/>
        </patternFill>
      </fill>
    </dxf>
    <dxf>
      <font>
        <strike val="0"/>
        <outline val="0"/>
        <shadow val="0"/>
        <u val="none"/>
        <vertAlign val="baseline"/>
        <sz val="11"/>
        <color auto="1"/>
        <name val="Calibri"/>
        <scheme val="minor"/>
      </font>
      <fill>
        <patternFill patternType="none">
          <fgColor indexed="64"/>
          <bgColor auto="1"/>
        </patternFill>
      </fill>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solid">
          <fgColor indexed="64"/>
          <bgColor theme="8" tint="-0.499984740745262"/>
        </patternFill>
      </fill>
      <alignment horizontal="center" vertical="bottom"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solid">
          <fgColor indexed="64"/>
          <bgColor theme="8" tint="-0.499984740745262"/>
        </patternFill>
      </fill>
    </dxf>
  </dxfs>
  <tableStyles count="0" defaultTableStyle="TableStyleMedium2" defaultPivotStyle="PivotStyleLight16"/>
  <colors>
    <mruColors>
      <color rgb="FFE3B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540447</xdr:colOff>
      <xdr:row>10</xdr:row>
      <xdr:rowOff>67310</xdr:rowOff>
    </xdr:from>
    <xdr:to>
      <xdr:col>5</xdr:col>
      <xdr:colOff>169570</xdr:colOff>
      <xdr:row>21</xdr:row>
      <xdr:rowOff>63500</xdr:rowOff>
    </xdr:to>
    <xdr:pic>
      <xdr:nvPicPr>
        <xdr:cNvPr id="2" name="Imagem 6" descr="Barraqueiro - Grupo Barraqueiro sgps">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0997" y="2648585"/>
          <a:ext cx="2067523" cy="2091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917670</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7431"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922153</xdr:colOff>
      <xdr:row>5</xdr:row>
      <xdr:rowOff>83995</xdr:rowOff>
    </xdr:to>
    <xdr:pic>
      <xdr:nvPicPr>
        <xdr:cNvPr id="2" name="Imagem 6" descr="Barraqueiro - Grupo Barraqueiro sgp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4256" cy="856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544285</xdr:colOff>
      <xdr:row>1</xdr:row>
      <xdr:rowOff>81643</xdr:rowOff>
    </xdr:from>
    <xdr:to>
      <xdr:col>7</xdr:col>
      <xdr:colOff>1741712</xdr:colOff>
      <xdr:row>4</xdr:row>
      <xdr:rowOff>309435</xdr:rowOff>
    </xdr:to>
    <xdr:pic>
      <xdr:nvPicPr>
        <xdr:cNvPr id="2" name="Imagem 1"/>
        <xdr:cNvPicPr>
          <a:picLocks noChangeAspect="1"/>
        </xdr:cNvPicPr>
      </xdr:nvPicPr>
      <xdr:blipFill>
        <a:blip xmlns:r="http://schemas.openxmlformats.org/officeDocument/2006/relationships" r:embed="rId1"/>
        <a:stretch>
          <a:fillRect/>
        </a:stretch>
      </xdr:blipFill>
      <xdr:spPr>
        <a:xfrm>
          <a:off x="19118035" y="285750"/>
          <a:ext cx="1197427" cy="11530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57897</xdr:colOff>
      <xdr:row>0</xdr:row>
      <xdr:rowOff>179910</xdr:rowOff>
    </xdr:from>
    <xdr:to>
      <xdr:col>1</xdr:col>
      <xdr:colOff>920845</xdr:colOff>
      <xdr:row>5</xdr:row>
      <xdr:rowOff>87170</xdr:rowOff>
    </xdr:to>
    <xdr:pic>
      <xdr:nvPicPr>
        <xdr:cNvPr id="2" name="Imagem 6" descr="Barraqueiro - Grupo Barraqueiro sgps">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497" y="179910"/>
          <a:ext cx="862948" cy="85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IPC/Desktop/00.1%20-%20Pegada%20de%20Carbono%20Materialidades%20e%20Dados%202022%2024_05_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IPC/Desktop/Dados%20Pegada%20Carbono%20GB/Rodovi&#225;rio/Pegada%20de%20Carbono%20Materialidades%20e%20Dad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IPC/Downloads/Template%20Pegada%20de%20Carbono%20Materialidades%20e%20Dados%202023%20nov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Rosto"/>
      <sheetName val="MM"/>
      <sheetName val="RESUMO BT"/>
      <sheetName val="RESUMO MARQUES"/>
      <sheetName val="RESUMO RODOCARGO"/>
      <sheetName val="RESUMO RA"/>
      <sheetName val="RESUMO EVA"/>
      <sheetName val="RESUMO VIMECA"/>
      <sheetName val="RESUMO OUTVALUE"/>
      <sheetName val="RESUMO ID"/>
      <sheetName val="RESUMO TEJO"/>
      <sheetName val="RESUMO RL"/>
      <sheetName val="MM (ex BT)"/>
      <sheetName val="A1.1"/>
      <sheetName val="A1.1.1"/>
      <sheetName val="A1.2"/>
      <sheetName val="A1.2.1"/>
      <sheetName val="A1.3"/>
      <sheetName val="A1.3.1"/>
      <sheetName val="A1.4"/>
      <sheetName val="A1.4.1"/>
      <sheetName val="A1.4.2"/>
      <sheetName val="A2"/>
      <sheetName val="A3.1"/>
      <sheetName val="A3.2"/>
      <sheetName val="A3.3"/>
      <sheetName val="A3.4"/>
      <sheetName val="A3.5"/>
      <sheetName val="A3.6"/>
      <sheetName val="A3.7"/>
      <sheetName val="A3.8"/>
      <sheetName val="A3.9.1"/>
      <sheetName val="A3.9.1.1"/>
      <sheetName val="A3.9.1.2"/>
      <sheetName val="A3.9.2"/>
      <sheetName val="A3.9.2.1"/>
      <sheetName val="A3.10"/>
      <sheetName val="A3.11"/>
      <sheetName val="A3.12"/>
      <sheetName val="A3.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Rosto"/>
      <sheetName val="Indicadores Económicos e Op."/>
      <sheetName val="Folha1"/>
      <sheetName val="MM"/>
      <sheetName val="MM (ex BT)"/>
      <sheetName val="A1.1"/>
      <sheetName val="A1.1.1"/>
      <sheetName val="A1.2"/>
      <sheetName val="A1.2.1"/>
      <sheetName val="A1.3"/>
      <sheetName val="A1.3.1"/>
      <sheetName val="A1.4"/>
      <sheetName val="A1.4.1"/>
      <sheetName val="A1.4.2"/>
      <sheetName val="A2"/>
      <sheetName val="A3.1"/>
      <sheetName val="A3.2"/>
      <sheetName val="A3.3"/>
      <sheetName val="A3.4"/>
      <sheetName val="A3.5"/>
      <sheetName val="A3.6"/>
      <sheetName val="A3.7"/>
      <sheetName val="A3.8"/>
      <sheetName val="A3.9.1"/>
      <sheetName val="A3.9.1.1"/>
      <sheetName val="A3.9.1.2"/>
      <sheetName val="A3.9.2"/>
      <sheetName val="A3.9.2.1"/>
      <sheetName val="A3.10"/>
      <sheetName val="A3.11"/>
      <sheetName val="A3.12"/>
      <sheetName val="A3.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Rosto"/>
      <sheetName val="MM"/>
      <sheetName val="1 ATLANTICARGO"/>
      <sheetName val="MM (ex BT)"/>
      <sheetName val="2 RODOALENTEJO"/>
      <sheetName val="3 LISBOAT"/>
      <sheetName val="4 MARQUES"/>
      <sheetName val="5 VIAMOVE"/>
      <sheetName val="6 VIANORBUS"/>
      <sheetName val="7 RNE"/>
      <sheetName val="8 EVA"/>
      <sheetName val="9 OUTVALUE"/>
      <sheetName val="10 ID"/>
      <sheetName val="11 TEJO"/>
      <sheetName val="12 RL"/>
      <sheetName val="13 TRANSOL"/>
      <sheetName val="15 VA"/>
      <sheetName val="16 VIAPORTO"/>
      <sheetName val="17 SÃO JOSÉ (BRASIL)"/>
      <sheetName val="18 CITYRAMA"/>
      <sheetName val="19 VEGA (MANAUS)"/>
      <sheetName val="20 ROLLERTOWN"/>
      <sheetName val="21 FERTAGUS"/>
      <sheetName val="22 MTS"/>
      <sheetName val="23 RODOCARGO"/>
      <sheetName val="A1.1"/>
      <sheetName val="A1.1.1"/>
      <sheetName val="A1.2"/>
      <sheetName val="A1.2.1"/>
      <sheetName val="A1.3"/>
      <sheetName val="A1.3.1"/>
      <sheetName val="A1.4"/>
      <sheetName val="A1.4.1"/>
      <sheetName val="A1.4.2"/>
      <sheetName val="A2"/>
      <sheetName val="A3.1"/>
      <sheetName val="A3.2"/>
      <sheetName val="A3.3"/>
      <sheetName val="A3.4"/>
      <sheetName val="A3.5"/>
      <sheetName val="A3.6"/>
      <sheetName val="A3.7"/>
      <sheetName val="A3.8"/>
      <sheetName val="A3.9.1"/>
      <sheetName val="A3.9.1.1"/>
      <sheetName val="A3.9.1.2"/>
      <sheetName val="A3.9.2"/>
      <sheetName val="A3.9.2.1"/>
      <sheetName val="A3.10"/>
      <sheetName val="A3.11"/>
      <sheetName val="A3.12"/>
      <sheetName val="A3.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ables/table1.xml><?xml version="1.0" encoding="utf-8"?>
<table xmlns="http://schemas.openxmlformats.org/spreadsheetml/2006/main" id="1" name="Tabela1" displayName="Tabela1" ref="H1:H9" totalsRowShown="0" headerRowDxfId="14">
  <autoFilter ref="H1:H9"/>
  <tableColumns count="1">
    <tableColumn id="1" name="Tipos de Gás"/>
  </tableColumns>
  <tableStyleInfo showFirstColumn="0" showLastColumn="0" showRowStripes="1" showColumnStripes="0"/>
</table>
</file>

<file path=xl/tables/table2.xml><?xml version="1.0" encoding="utf-8"?>
<table xmlns="http://schemas.openxmlformats.org/spreadsheetml/2006/main" id="2" name="Tabela2" displayName="Tabela2" ref="B1:C248" totalsRowShown="0" headerRowDxfId="13" dataDxfId="12">
  <autoFilter ref="B1:C248"/>
  <tableColumns count="2">
    <tableColumn id="1" name="Gases EE" dataDxfId="11"/>
    <tableColumn id="2" name="Tipo" dataDxfId="10"/>
  </tableColumns>
  <tableStyleInfo name="TableStyleMedium2" showFirstColumn="0" showLastColumn="0" showRowStripes="1" showColumnStripes="0"/>
</table>
</file>

<file path=xl/tables/table3.xml><?xml version="1.0" encoding="utf-8"?>
<table xmlns="http://schemas.openxmlformats.org/spreadsheetml/2006/main" id="3" name="Tabela3" displayName="Tabela3" ref="A1:C29" totalsRowShown="0" headerRowDxfId="9" dataDxfId="8">
  <autoFilter ref="A1:C29"/>
  <tableColumns count="3">
    <tableColumn id="1" name="Tipos de Tratamento" dataDxfId="7"/>
    <tableColumn id="2" name="Final" dataDxfId="6"/>
    <tableColumn id="3" name="Código" dataDxfId="5"/>
  </tableColumns>
  <tableStyleInfo name="TableStyleLight1" showFirstColumn="0" showLastColumn="0" showRowStripes="1" showColumnStripes="0"/>
</table>
</file>

<file path=xl/tables/table4.xml><?xml version="1.0" encoding="utf-8"?>
<table xmlns="http://schemas.openxmlformats.org/spreadsheetml/2006/main" id="4" name="Tabela4" displayName="Tabela4" ref="A1:B67" totalsRowShown="0" headerRowDxfId="4" dataDxfId="3" tableBorderDxfId="2">
  <autoFilter ref="A1:B67"/>
  <sortState ref="A2:B67">
    <sortCondition ref="A1:A67"/>
  </sortState>
  <tableColumns count="2">
    <tableColumn id="1" name="Tipo de resíduo (Código LER)" dataDxfId="1"/>
    <tableColumn id="2" name="Tipo de resíduo (descrição)" dataDxfId="0"/>
  </tableColumns>
  <tableStyleInfo name="TableStyleLight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customProperty" Target="../customProperty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customProperty" Target="../customProperty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customProperty" Target="../customProperty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customProperty" Target="../customProperty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customProperty" Target="../customProperty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customProperty" Target="../customProperty17.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19.bin"/><Relationship Id="rId1" Type="http://schemas.openxmlformats.org/officeDocument/2006/relationships/printerSettings" Target="../printerSettings/printerSettings4.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customProperty" Target="../customProperty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customProperty" Target="../customProperty21.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24.bin"/><Relationship Id="rId1" Type="http://schemas.openxmlformats.org/officeDocument/2006/relationships/printerSettings" Target="../printerSettings/printerSettings7.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customProperty" Target="../customProperty26.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customProperty" Target="../customProperty28.bin"/><Relationship Id="rId4"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customProperty" Target="../customProperty29.bin"/><Relationship Id="rId1" Type="http://schemas.openxmlformats.org/officeDocument/2006/relationships/printerSettings" Target="../printerSettings/printerSettings10.bin"/><Relationship Id="rId4"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customProperty" Target="../customProperty30.bin"/><Relationship Id="rId4"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customProperty" Target="../customProperty31.bin"/><Relationship Id="rId1" Type="http://schemas.openxmlformats.org/officeDocument/2006/relationships/printerSettings" Target="../printerSettings/printerSettings1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customProperty" Target="../customProperty32.bin"/><Relationship Id="rId4"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8" Type="http://schemas.openxmlformats.org/officeDocument/2006/relationships/customProperty" Target="../customProperty33.bin"/><Relationship Id="rId3" Type="http://schemas.openxmlformats.org/officeDocument/2006/relationships/hyperlink" Target="https://esevel.pt/wp-content/uploads/2021/06/Broschure_AC353-5_en.pdf" TargetMode="External"/><Relationship Id="rId7" Type="http://schemas.openxmlformats.org/officeDocument/2006/relationships/hyperlink" Target="https://sanzclima.com/wp-content/uploads/2021/05/ElectricACRooftopUnit_KENWAY_DataSheet.pdf" TargetMode="External"/><Relationship Id="rId2" Type="http://schemas.openxmlformats.org/officeDocument/2006/relationships/hyperlink" Target="https://esevel.pt/wp-content/uploads/2021/05/AC_520.pdf" TargetMode="External"/><Relationship Id="rId1" Type="http://schemas.openxmlformats.org/officeDocument/2006/relationships/hyperlink" Target="https://esevel.pt/wp-content/uploads/2021/05/AC_515.pdf" TargetMode="External"/><Relationship Id="rId6" Type="http://schemas.openxmlformats.org/officeDocument/2006/relationships/hyperlink" Target="https://sanzclima.com/produto/olmo-plus/?lang=pt-br" TargetMode="External"/><Relationship Id="rId11" Type="http://schemas.openxmlformats.org/officeDocument/2006/relationships/comments" Target="../comments18.xml"/><Relationship Id="rId5" Type="http://schemas.openxmlformats.org/officeDocument/2006/relationships/hyperlink" Target="https://sanzclima.com/product/dreiha-12sc/?lang=en" TargetMode="External"/><Relationship Id="rId10" Type="http://schemas.openxmlformats.org/officeDocument/2006/relationships/vmlDrawing" Target="../drawings/vmlDrawing18.vml"/><Relationship Id="rId4" Type="http://schemas.openxmlformats.org/officeDocument/2006/relationships/hyperlink" Target="https://sanzclima.com/wp-content/uploads/2021/05/Dreiha12SC.pdf" TargetMode="External"/><Relationship Id="rId9" Type="http://schemas.openxmlformats.org/officeDocument/2006/relationships/drawing" Target="../drawings/drawing18.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customProperty" Target="../customProperty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customProperty" Target="../customProperty35.bin"/><Relationship Id="rId4"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customProperty" Target="../customProperty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37.bin"/><Relationship Id="rId1" Type="http://schemas.openxmlformats.org/officeDocument/2006/relationships/printerSettings" Target="../printerSettings/printerSettings12.bin"/><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3.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customProperty" Target="../customProperty39.bin"/><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customProperty" Target="../customProperty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customProperty" Target="../customProperty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1.xml"/><Relationship Id="rId1" Type="http://schemas.openxmlformats.org/officeDocument/2006/relationships/customProperty" Target="../customProperty41.bin"/><Relationship Id="rId4"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customProperty" Target="../customProperty42.bin"/></Relationships>
</file>

<file path=xl/worksheets/_rels/sheet43.xml.rels><?xml version="1.0" encoding="UTF-8" standalone="yes"?>
<Relationships xmlns="http://schemas.openxmlformats.org/package/2006/relationships"><Relationship Id="rId1" Type="http://schemas.openxmlformats.org/officeDocument/2006/relationships/customProperty" Target="../customProperty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2.xml"/><Relationship Id="rId1" Type="http://schemas.openxmlformats.org/officeDocument/2006/relationships/customProperty" Target="../customProperty44.bin"/><Relationship Id="rId4"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3.xml"/><Relationship Id="rId1" Type="http://schemas.openxmlformats.org/officeDocument/2006/relationships/customProperty" Target="../customProperty45.bin"/><Relationship Id="rId4"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4.xml"/><Relationship Id="rId1" Type="http://schemas.openxmlformats.org/officeDocument/2006/relationships/customProperty" Target="../customProperty46.bin"/><Relationship Id="rId4"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5.xml"/><Relationship Id="rId1" Type="http://schemas.openxmlformats.org/officeDocument/2006/relationships/customProperty" Target="../customProperty47.bin"/><Relationship Id="rId4"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6.xml"/><Relationship Id="rId1" Type="http://schemas.openxmlformats.org/officeDocument/2006/relationships/customProperty" Target="../customProperty48.bin"/><Relationship Id="rId4" Type="http://schemas.openxmlformats.org/officeDocument/2006/relationships/comments" Target="../comments28.xml"/></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customProperty" Target="../customProperty50.bin"/><Relationship Id="rId1" Type="http://schemas.openxmlformats.org/officeDocument/2006/relationships/printerSettings" Target="../printerSettings/printerSettings16.bin"/><Relationship Id="rId4"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customProperty" Target="../customProperty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dimension ref="B3:M26"/>
  <sheetViews>
    <sheetView topLeftCell="A19" workbookViewId="0"/>
  </sheetViews>
  <sheetFormatPr defaultColWidth="8.85546875" defaultRowHeight="15" x14ac:dyDescent="0.25"/>
  <cols>
    <col min="1" max="7" width="8.85546875" style="66"/>
    <col min="8" max="8" width="13.7109375" style="66" customWidth="1"/>
    <col min="9" max="9" width="16" style="66" customWidth="1"/>
    <col min="10" max="16384" width="8.85546875" style="66"/>
  </cols>
  <sheetData>
    <row r="3" spans="2:13" x14ac:dyDescent="0.25">
      <c r="C3" s="67"/>
      <c r="D3" s="67"/>
      <c r="E3" s="67"/>
      <c r="F3" s="67"/>
      <c r="G3" s="67"/>
      <c r="H3" s="67"/>
      <c r="I3" s="67"/>
      <c r="J3" s="67"/>
      <c r="K3" s="67"/>
      <c r="L3" s="67"/>
      <c r="M3" s="67"/>
    </row>
    <row r="4" spans="2:13" x14ac:dyDescent="0.25">
      <c r="B4" s="68"/>
      <c r="C4" s="69"/>
      <c r="D4" s="70"/>
      <c r="E4" s="70"/>
      <c r="F4" s="70"/>
      <c r="G4" s="70"/>
      <c r="H4" s="70"/>
      <c r="I4" s="70"/>
      <c r="J4" s="70"/>
      <c r="K4" s="70"/>
      <c r="L4" s="70"/>
      <c r="M4" s="70"/>
    </row>
    <row r="5" spans="2:13" ht="36" x14ac:dyDescent="0.25">
      <c r="C5" s="71" t="s">
        <v>113</v>
      </c>
    </row>
    <row r="6" spans="2:13" ht="36" x14ac:dyDescent="0.55000000000000004">
      <c r="C6" s="72" t="s">
        <v>126</v>
      </c>
      <c r="I6" s="71">
        <v>2022</v>
      </c>
    </row>
    <row r="8" spans="2:13" ht="26.25" x14ac:dyDescent="0.4">
      <c r="C8" s="73" t="s">
        <v>114</v>
      </c>
      <c r="D8" s="74"/>
    </row>
    <row r="25" spans="3:4" x14ac:dyDescent="0.25">
      <c r="C25" s="75" t="s">
        <v>115</v>
      </c>
      <c r="D25" s="76" t="s">
        <v>116</v>
      </c>
    </row>
    <row r="26" spans="3:4" x14ac:dyDescent="0.25">
      <c r="C26" s="75" t="s">
        <v>117</v>
      </c>
      <c r="D26" s="77">
        <v>45261</v>
      </c>
    </row>
  </sheetData>
  <pageMargins left="0.7" right="0.7" top="0.75" bottom="0.75" header="0.3" footer="0.3"/>
  <customProperties>
    <customPr name="GUID" r:id="rId1"/>
  </customProperties>
  <ignoredErrors>
    <ignoredError sqref="D25" numberStoredAsText="1"/>
  </ignoredError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1"/>
  <dimension ref="B6:U48"/>
  <sheetViews>
    <sheetView workbookViewId="0"/>
  </sheetViews>
  <sheetFormatPr defaultRowHeight="15" x14ac:dyDescent="0.25"/>
  <cols>
    <col min="2" max="2" width="54.42578125" customWidth="1"/>
    <col min="3" max="3" width="33" customWidth="1"/>
    <col min="4" max="5" width="21.5703125" customWidth="1"/>
    <col min="6" max="6" width="27.140625" bestFit="1" customWidth="1"/>
    <col min="7" max="8" width="28.28515625" customWidth="1"/>
    <col min="9" max="9" width="29.5703125" customWidth="1"/>
    <col min="10" max="11" width="28.28515625" customWidth="1"/>
  </cols>
  <sheetData>
    <row r="6" spans="2:21" ht="15.75" thickBot="1" x14ac:dyDescent="0.3"/>
    <row r="7" spans="2:21" x14ac:dyDescent="0.25">
      <c r="B7" s="78" t="s">
        <v>118</v>
      </c>
      <c r="C7" s="80"/>
    </row>
    <row r="9" spans="2:21" x14ac:dyDescent="0.25">
      <c r="B9" s="765" t="str">
        <f>"Grupo Barraqueiro: "&amp;'Folha de Rosto'!C6&amp;" "&amp;'Folha de Rosto'!I6&amp;" - Emissões de GEE de Âmbito 1"</f>
        <v>Grupo Barraqueiro: PEGADA DE CARBONO 2022 - Emissões de GEE de Âmbito 1</v>
      </c>
      <c r="C9" s="765"/>
      <c r="D9" s="765"/>
      <c r="E9" s="765"/>
      <c r="F9" s="765"/>
      <c r="G9" s="765"/>
      <c r="H9" s="765"/>
      <c r="I9" s="765"/>
      <c r="J9" s="765"/>
      <c r="K9" s="765"/>
      <c r="L9" s="765"/>
      <c r="M9" s="765"/>
      <c r="N9" s="765"/>
      <c r="O9" s="765"/>
      <c r="P9" s="765"/>
      <c r="Q9" s="765"/>
      <c r="R9" s="765"/>
      <c r="S9" s="765"/>
      <c r="T9" s="765"/>
      <c r="U9" s="765"/>
    </row>
    <row r="10" spans="2:21" ht="15.75" thickBot="1" x14ac:dyDescent="0.3"/>
    <row r="11" spans="2:21" ht="33.75" customHeight="1" thickBot="1" x14ac:dyDescent="0.3">
      <c r="B11" s="761" t="s">
        <v>119</v>
      </c>
      <c r="C11" s="761"/>
      <c r="D11" s="767" t="s">
        <v>127</v>
      </c>
      <c r="E11" s="768"/>
      <c r="F11" s="768"/>
      <c r="G11" s="768"/>
      <c r="H11" s="768"/>
      <c r="I11" s="768"/>
      <c r="J11" s="768"/>
      <c r="K11" s="768"/>
      <c r="L11" s="768"/>
      <c r="M11" s="768"/>
      <c r="N11" s="768"/>
      <c r="O11" s="768"/>
      <c r="P11" s="769"/>
    </row>
    <row r="12" spans="2:21" ht="67.5" customHeight="1" thickBot="1" x14ac:dyDescent="0.3">
      <c r="B12" s="761" t="s">
        <v>120</v>
      </c>
      <c r="C12" s="761"/>
      <c r="D12" s="770" t="s">
        <v>151</v>
      </c>
      <c r="E12" s="771"/>
      <c r="F12" s="771"/>
      <c r="G12" s="771"/>
      <c r="H12" s="771"/>
      <c r="I12" s="771"/>
      <c r="J12" s="771"/>
      <c r="K12" s="771"/>
      <c r="L12" s="771"/>
      <c r="M12" s="771"/>
      <c r="N12" s="771"/>
      <c r="O12" s="771"/>
      <c r="P12" s="772"/>
    </row>
    <row r="13" spans="2:21" ht="60" customHeight="1" thickBot="1" x14ac:dyDescent="0.3">
      <c r="B13" s="761" t="s">
        <v>121</v>
      </c>
      <c r="C13" s="761"/>
      <c r="D13" s="762" t="s">
        <v>1529</v>
      </c>
      <c r="E13" s="763"/>
      <c r="F13" s="763"/>
      <c r="G13" s="763"/>
      <c r="H13" s="763"/>
      <c r="I13" s="763"/>
      <c r="J13" s="763"/>
      <c r="K13" s="763"/>
      <c r="L13" s="763"/>
      <c r="M13" s="763"/>
      <c r="N13" s="763"/>
      <c r="O13" s="763"/>
      <c r="P13" s="764"/>
    </row>
    <row r="14" spans="2:21" ht="60" customHeight="1" thickBot="1" x14ac:dyDescent="0.3">
      <c r="B14" s="761" t="s">
        <v>122</v>
      </c>
      <c r="C14" s="761"/>
      <c r="D14" s="762" t="s">
        <v>123</v>
      </c>
      <c r="E14" s="763"/>
      <c r="F14" s="763"/>
      <c r="G14" s="763"/>
      <c r="H14" s="763"/>
      <c r="I14" s="763"/>
      <c r="J14" s="763"/>
      <c r="K14" s="763"/>
      <c r="L14" s="763"/>
      <c r="M14" s="763"/>
      <c r="N14" s="763"/>
      <c r="O14" s="763"/>
      <c r="P14" s="764"/>
    </row>
    <row r="15" spans="2:21" ht="60" customHeight="1" thickBot="1" x14ac:dyDescent="0.3">
      <c r="B15" s="761" t="s">
        <v>128</v>
      </c>
      <c r="C15" s="761"/>
      <c r="D15" s="762" t="s">
        <v>129</v>
      </c>
      <c r="E15" s="763"/>
      <c r="F15" s="763"/>
      <c r="G15" s="763"/>
      <c r="H15" s="763"/>
      <c r="I15" s="763"/>
      <c r="J15" s="763"/>
      <c r="K15" s="763"/>
      <c r="L15" s="763"/>
      <c r="M15" s="763"/>
      <c r="N15" s="763"/>
      <c r="O15" s="763"/>
      <c r="P15" s="764"/>
    </row>
    <row r="17" spans="2:21" x14ac:dyDescent="0.25">
      <c r="B17" s="765" t="s">
        <v>137</v>
      </c>
      <c r="C17" s="765"/>
      <c r="D17" s="765"/>
      <c r="E17" s="765"/>
      <c r="F17" s="765"/>
      <c r="G17" s="765"/>
      <c r="H17" s="765"/>
      <c r="I17" s="765"/>
      <c r="J17" s="765"/>
      <c r="K17" s="765"/>
      <c r="L17" s="765"/>
      <c r="M17" s="765"/>
      <c r="N17" s="765"/>
      <c r="O17" s="765"/>
      <c r="P17" s="765"/>
      <c r="Q17" s="765"/>
      <c r="R17" s="765"/>
      <c r="S17" s="765"/>
      <c r="T17" s="765"/>
      <c r="U17" s="765"/>
    </row>
    <row r="18" spans="2:21" x14ac:dyDescent="0.25">
      <c r="B18" t="s">
        <v>130</v>
      </c>
    </row>
    <row r="20" spans="2:21" x14ac:dyDescent="0.25">
      <c r="B20" s="81" t="s">
        <v>135</v>
      </c>
    </row>
    <row r="21" spans="2:21" x14ac:dyDescent="0.25">
      <c r="B21" s="766"/>
      <c r="C21" s="766"/>
      <c r="D21" s="766"/>
      <c r="E21" s="766"/>
      <c r="F21" s="766"/>
      <c r="G21" s="766"/>
      <c r="H21" s="766"/>
      <c r="I21" s="766"/>
      <c r="J21" s="766"/>
      <c r="K21" s="766"/>
      <c r="L21" s="766"/>
      <c r="M21" s="766"/>
      <c r="N21" s="766"/>
      <c r="O21" s="766"/>
      <c r="P21" s="766"/>
      <c r="Q21" s="766"/>
      <c r="R21" s="766"/>
      <c r="S21" s="766"/>
    </row>
    <row r="22" spans="2:21" x14ac:dyDescent="0.25">
      <c r="B22" s="766"/>
      <c r="C22" s="766"/>
      <c r="D22" s="766"/>
      <c r="E22" s="766"/>
      <c r="F22" s="766"/>
      <c r="G22" s="766"/>
      <c r="H22" s="766"/>
      <c r="I22" s="766"/>
      <c r="J22" s="766"/>
      <c r="K22" s="766"/>
      <c r="L22" s="766"/>
      <c r="M22" s="766"/>
      <c r="N22" s="766"/>
      <c r="O22" s="766"/>
      <c r="P22" s="766"/>
      <c r="Q22" s="766"/>
      <c r="R22" s="766"/>
      <c r="S22" s="766"/>
    </row>
    <row r="24" spans="2:21" x14ac:dyDescent="0.25">
      <c r="B24" s="81" t="s">
        <v>136</v>
      </c>
    </row>
    <row r="25" spans="2:21" x14ac:dyDescent="0.25">
      <c r="B25" s="766"/>
      <c r="C25" s="766"/>
      <c r="D25" s="766"/>
      <c r="E25" s="766"/>
      <c r="F25" s="766"/>
      <c r="G25" s="766"/>
      <c r="H25" s="766"/>
      <c r="I25" s="766"/>
      <c r="J25" s="766"/>
      <c r="K25" s="766"/>
      <c r="L25" s="766"/>
      <c r="M25" s="766"/>
      <c r="N25" s="766"/>
      <c r="O25" s="766"/>
      <c r="P25" s="766"/>
      <c r="Q25" s="766"/>
      <c r="R25" s="766"/>
      <c r="S25" s="766"/>
    </row>
    <row r="26" spans="2:21" x14ac:dyDescent="0.25">
      <c r="B26" s="766"/>
      <c r="C26" s="766"/>
      <c r="D26" s="766"/>
      <c r="E26" s="766"/>
      <c r="F26" s="766"/>
      <c r="G26" s="766"/>
      <c r="H26" s="766"/>
      <c r="I26" s="766"/>
      <c r="J26" s="766"/>
      <c r="K26" s="766"/>
      <c r="L26" s="766"/>
      <c r="M26" s="766"/>
      <c r="N26" s="766"/>
      <c r="O26" s="766"/>
      <c r="P26" s="766"/>
      <c r="Q26" s="766"/>
      <c r="R26" s="766"/>
      <c r="S26" s="766"/>
    </row>
    <row r="27" spans="2:21" ht="15.75" thickBot="1" x14ac:dyDescent="0.3"/>
    <row r="28" spans="2:21" ht="15.75" thickBot="1" x14ac:dyDescent="0.3">
      <c r="B28" s="793" t="s">
        <v>131</v>
      </c>
      <c r="C28" s="795" t="s">
        <v>138</v>
      </c>
      <c r="D28" s="757" t="s">
        <v>139</v>
      </c>
      <c r="E28" s="795" t="s">
        <v>140</v>
      </c>
      <c r="F28" s="793" t="s">
        <v>141</v>
      </c>
      <c r="G28" s="793" t="s">
        <v>143</v>
      </c>
      <c r="H28" s="793" t="s">
        <v>144</v>
      </c>
      <c r="I28" s="793" t="s">
        <v>134</v>
      </c>
      <c r="J28" s="792" t="s">
        <v>142</v>
      </c>
    </row>
    <row r="29" spans="2:21" ht="15.75" thickBot="1" x14ac:dyDescent="0.3">
      <c r="B29" s="794"/>
      <c r="C29" s="795"/>
      <c r="D29" s="758"/>
      <c r="E29" s="795"/>
      <c r="F29" s="794"/>
      <c r="G29" s="794"/>
      <c r="H29" s="794"/>
      <c r="I29" s="794"/>
      <c r="J29" s="792"/>
    </row>
    <row r="30" spans="2:21" ht="15.75" thickBot="1" x14ac:dyDescent="0.3">
      <c r="B30" s="82" t="s">
        <v>536</v>
      </c>
      <c r="C30" s="83" t="s">
        <v>623</v>
      </c>
      <c r="D30" s="122" t="s">
        <v>620</v>
      </c>
      <c r="E30" s="133">
        <v>4364.8</v>
      </c>
      <c r="F30" s="85" t="s">
        <v>621</v>
      </c>
      <c r="G30" s="91"/>
      <c r="H30" s="85"/>
      <c r="I30" s="125" t="s">
        <v>627</v>
      </c>
      <c r="J30" s="91" t="s">
        <v>625</v>
      </c>
    </row>
    <row r="31" spans="2:21" ht="15.75" thickBot="1" x14ac:dyDescent="0.3">
      <c r="B31" s="82" t="s">
        <v>536</v>
      </c>
      <c r="C31" s="83" t="s">
        <v>624</v>
      </c>
      <c r="D31" s="122" t="s">
        <v>620</v>
      </c>
      <c r="E31" s="133">
        <v>3073.93</v>
      </c>
      <c r="F31" s="85" t="s">
        <v>621</v>
      </c>
      <c r="G31" s="91"/>
      <c r="H31" s="85"/>
      <c r="I31" s="125" t="s">
        <v>627</v>
      </c>
      <c r="J31" s="91" t="s">
        <v>626</v>
      </c>
    </row>
    <row r="32" spans="2:21" ht="15.75" thickBot="1" x14ac:dyDescent="0.3">
      <c r="B32" s="82" t="s">
        <v>534</v>
      </c>
      <c r="C32" s="83" t="s">
        <v>623</v>
      </c>
      <c r="D32" s="122" t="s">
        <v>620</v>
      </c>
      <c r="E32" s="133">
        <f>SUM(E36:E43)</f>
        <v>30393.268</v>
      </c>
      <c r="F32" s="85" t="s">
        <v>630</v>
      </c>
      <c r="G32" s="84">
        <f>SUM(G36:G43)</f>
        <v>510894</v>
      </c>
      <c r="H32" s="85" t="s">
        <v>1509</v>
      </c>
      <c r="I32" s="133">
        <f>IFERROR(E32/G32*100,0)</f>
        <v>5.9490360035545535</v>
      </c>
      <c r="J32" s="91" t="s">
        <v>625</v>
      </c>
    </row>
    <row r="33" spans="2:10" ht="15.75" thickBot="1" x14ac:dyDescent="0.3">
      <c r="B33" s="82" t="s">
        <v>535</v>
      </c>
      <c r="C33" s="83" t="s">
        <v>623</v>
      </c>
      <c r="D33" s="122" t="s">
        <v>620</v>
      </c>
      <c r="E33" s="133">
        <v>0</v>
      </c>
      <c r="F33" s="85" t="s">
        <v>630</v>
      </c>
      <c r="G33" s="84">
        <v>0</v>
      </c>
      <c r="H33" s="85" t="s">
        <v>1505</v>
      </c>
      <c r="I33" s="133">
        <f t="shared" ref="I33:I48" si="0">IFERROR(E33/G33*100,0)</f>
        <v>0</v>
      </c>
      <c r="J33" s="91" t="s">
        <v>625</v>
      </c>
    </row>
    <row r="34" spans="2:10" ht="15.75" thickBot="1" x14ac:dyDescent="0.3">
      <c r="B34" s="82" t="s">
        <v>536</v>
      </c>
      <c r="C34" s="83" t="s">
        <v>623</v>
      </c>
      <c r="D34" s="122" t="s">
        <v>620</v>
      </c>
      <c r="E34" s="133">
        <v>20262.43</v>
      </c>
      <c r="F34" s="85" t="s">
        <v>630</v>
      </c>
      <c r="G34" s="84">
        <v>255314</v>
      </c>
      <c r="H34" s="85" t="s">
        <v>1501</v>
      </c>
      <c r="I34" s="133">
        <f t="shared" si="0"/>
        <v>7.9362784649490443</v>
      </c>
      <c r="J34" s="91" t="s">
        <v>625</v>
      </c>
    </row>
    <row r="35" spans="2:10" ht="15.75" thickBot="1" x14ac:dyDescent="0.3">
      <c r="B35" s="82" t="s">
        <v>602</v>
      </c>
      <c r="C35" s="83" t="s">
        <v>623</v>
      </c>
      <c r="D35" s="122" t="s">
        <v>620</v>
      </c>
      <c r="E35" s="133">
        <v>11021.172999999999</v>
      </c>
      <c r="F35" s="85" t="s">
        <v>630</v>
      </c>
      <c r="G35" s="84">
        <v>131411</v>
      </c>
      <c r="H35" s="85" t="s">
        <v>1506</v>
      </c>
      <c r="I35" s="133">
        <f t="shared" si="0"/>
        <v>8.3867963869082498</v>
      </c>
      <c r="J35" s="91" t="s">
        <v>625</v>
      </c>
    </row>
    <row r="36" spans="2:10" ht="15.75" thickBot="1" x14ac:dyDescent="0.3">
      <c r="B36" s="82" t="s">
        <v>544</v>
      </c>
      <c r="C36" s="83" t="s">
        <v>623</v>
      </c>
      <c r="D36" s="122" t="s">
        <v>620</v>
      </c>
      <c r="E36" s="133">
        <v>0</v>
      </c>
      <c r="F36" s="85" t="s">
        <v>630</v>
      </c>
      <c r="G36" s="84">
        <v>0</v>
      </c>
      <c r="H36" s="85" t="s">
        <v>1505</v>
      </c>
      <c r="I36" s="133">
        <f t="shared" si="0"/>
        <v>0</v>
      </c>
      <c r="J36" s="91" t="s">
        <v>625</v>
      </c>
    </row>
    <row r="37" spans="2:10" ht="15.75" thickBot="1" x14ac:dyDescent="0.3">
      <c r="B37" s="82" t="s">
        <v>541</v>
      </c>
      <c r="C37" s="83" t="s">
        <v>623</v>
      </c>
      <c r="D37" s="122" t="s">
        <v>620</v>
      </c>
      <c r="E37" s="133">
        <v>5268.8919999999998</v>
      </c>
      <c r="F37" s="85" t="s">
        <v>630</v>
      </c>
      <c r="G37" s="84">
        <v>81887</v>
      </c>
      <c r="H37" s="85" t="s">
        <v>1502</v>
      </c>
      <c r="I37" s="133">
        <f t="shared" si="0"/>
        <v>6.4343448899092648</v>
      </c>
      <c r="J37" s="91" t="s">
        <v>625</v>
      </c>
    </row>
    <row r="38" spans="2:10" ht="15.75" thickBot="1" x14ac:dyDescent="0.3">
      <c r="B38" s="82" t="s">
        <v>545</v>
      </c>
      <c r="C38" s="83" t="s">
        <v>623</v>
      </c>
      <c r="D38" s="122" t="s">
        <v>620</v>
      </c>
      <c r="E38" s="133">
        <v>3918.99</v>
      </c>
      <c r="F38" s="85" t="s">
        <v>630</v>
      </c>
      <c r="G38" s="84">
        <v>72577</v>
      </c>
      <c r="H38" s="85" t="s">
        <v>1503</v>
      </c>
      <c r="I38" s="133">
        <f t="shared" si="0"/>
        <v>5.3997685217079789</v>
      </c>
      <c r="J38" s="91" t="s">
        <v>625</v>
      </c>
    </row>
    <row r="39" spans="2:10" ht="15.75" thickBot="1" x14ac:dyDescent="0.3">
      <c r="B39" s="82" t="s">
        <v>1072</v>
      </c>
      <c r="C39" s="83" t="s">
        <v>623</v>
      </c>
      <c r="D39" s="122" t="s">
        <v>620</v>
      </c>
      <c r="E39" s="133">
        <v>1052.73</v>
      </c>
      <c r="F39" s="85" t="s">
        <v>630</v>
      </c>
      <c r="G39" s="84">
        <v>13537</v>
      </c>
      <c r="H39" s="85" t="s">
        <v>1500</v>
      </c>
      <c r="I39" s="133">
        <f t="shared" si="0"/>
        <v>7.7766861195242676</v>
      </c>
      <c r="J39" s="91" t="s">
        <v>625</v>
      </c>
    </row>
    <row r="40" spans="2:10" ht="15.75" thickBot="1" x14ac:dyDescent="0.3">
      <c r="B40" s="82" t="s">
        <v>542</v>
      </c>
      <c r="C40" s="83" t="s">
        <v>623</v>
      </c>
      <c r="D40" s="122" t="s">
        <v>620</v>
      </c>
      <c r="E40" s="133">
        <v>3716.3199999999997</v>
      </c>
      <c r="F40" s="85" t="s">
        <v>630</v>
      </c>
      <c r="G40" s="84">
        <v>57990</v>
      </c>
      <c r="H40" s="85" t="s">
        <v>1502</v>
      </c>
      <c r="I40" s="133">
        <f t="shared" si="0"/>
        <v>6.4085531988273843</v>
      </c>
      <c r="J40" s="91" t="s">
        <v>625</v>
      </c>
    </row>
    <row r="41" spans="2:10" ht="15.75" thickBot="1" x14ac:dyDescent="0.3">
      <c r="B41" s="82" t="s">
        <v>543</v>
      </c>
      <c r="C41" s="83" t="s">
        <v>623</v>
      </c>
      <c r="D41" s="122" t="s">
        <v>620</v>
      </c>
      <c r="E41" s="133">
        <v>0</v>
      </c>
      <c r="F41" s="85" t="s">
        <v>630</v>
      </c>
      <c r="G41" s="84">
        <v>0</v>
      </c>
      <c r="H41" s="85" t="s">
        <v>1505</v>
      </c>
      <c r="I41" s="133">
        <f t="shared" si="0"/>
        <v>0</v>
      </c>
      <c r="J41" s="91" t="s">
        <v>625</v>
      </c>
    </row>
    <row r="42" spans="2:10" ht="15.75" thickBot="1" x14ac:dyDescent="0.3">
      <c r="B42" s="82" t="s">
        <v>540</v>
      </c>
      <c r="C42" s="83" t="s">
        <v>623</v>
      </c>
      <c r="D42" s="122" t="s">
        <v>620</v>
      </c>
      <c r="E42" s="133">
        <v>13565.86</v>
      </c>
      <c r="F42" s="85" t="s">
        <v>630</v>
      </c>
      <c r="G42" s="84">
        <v>240825</v>
      </c>
      <c r="H42" s="85" t="s">
        <v>1507</v>
      </c>
      <c r="I42" s="133">
        <f t="shared" si="0"/>
        <v>5.6330779611751272</v>
      </c>
      <c r="J42" s="91" t="s">
        <v>625</v>
      </c>
    </row>
    <row r="43" spans="2:10" ht="15.75" thickBot="1" x14ac:dyDescent="0.3">
      <c r="B43" s="82" t="s">
        <v>1504</v>
      </c>
      <c r="C43" s="83" t="s">
        <v>623</v>
      </c>
      <c r="D43" s="122" t="s">
        <v>620</v>
      </c>
      <c r="E43" s="133">
        <v>2870.4760000000001</v>
      </c>
      <c r="F43" s="85" t="s">
        <v>630</v>
      </c>
      <c r="G43" s="84">
        <v>44078</v>
      </c>
      <c r="H43" s="85" t="s">
        <v>1500</v>
      </c>
      <c r="I43" s="133">
        <f t="shared" si="0"/>
        <v>6.5122646218067972</v>
      </c>
      <c r="J43" s="91" t="s">
        <v>625</v>
      </c>
    </row>
    <row r="44" spans="2:10" ht="15.75" thickBot="1" x14ac:dyDescent="0.3">
      <c r="B44" s="82" t="s">
        <v>534</v>
      </c>
      <c r="C44" s="83" t="s">
        <v>624</v>
      </c>
      <c r="D44" s="122" t="s">
        <v>620</v>
      </c>
      <c r="E44" s="133">
        <f>SUM(E45:E47)</f>
        <v>5016.9610000000002</v>
      </c>
      <c r="F44" s="85" t="s">
        <v>630</v>
      </c>
      <c r="G44" s="84">
        <f>SUM(G45:G47)</f>
        <v>52393</v>
      </c>
      <c r="H44" s="85" t="s">
        <v>1508</v>
      </c>
      <c r="I44" s="133">
        <f t="shared" si="0"/>
        <v>9.5756322409482184</v>
      </c>
      <c r="J44" s="91" t="s">
        <v>626</v>
      </c>
    </row>
    <row r="45" spans="2:10" ht="15.75" thickBot="1" x14ac:dyDescent="0.3">
      <c r="B45" s="82" t="s">
        <v>545</v>
      </c>
      <c r="C45" s="83" t="s">
        <v>624</v>
      </c>
      <c r="D45" s="122" t="s">
        <v>620</v>
      </c>
      <c r="E45" s="133">
        <v>2237.7800000000002</v>
      </c>
      <c r="F45" s="85" t="s">
        <v>630</v>
      </c>
      <c r="G45" s="84">
        <v>27278</v>
      </c>
      <c r="H45" s="85" t="s">
        <v>1503</v>
      </c>
      <c r="I45" s="133">
        <f t="shared" si="0"/>
        <v>8.2036073025881677</v>
      </c>
      <c r="J45" s="91" t="s">
        <v>626</v>
      </c>
    </row>
    <row r="46" spans="2:10" ht="15.75" thickBot="1" x14ac:dyDescent="0.3">
      <c r="B46" s="82" t="s">
        <v>542</v>
      </c>
      <c r="C46" s="83" t="s">
        <v>624</v>
      </c>
      <c r="D46" s="122" t="s">
        <v>620</v>
      </c>
      <c r="E46" s="133">
        <v>476.75</v>
      </c>
      <c r="F46" s="85" t="s">
        <v>630</v>
      </c>
      <c r="G46" s="84">
        <v>5706</v>
      </c>
      <c r="H46" s="85" t="s">
        <v>1500</v>
      </c>
      <c r="I46" s="133">
        <f t="shared" si="0"/>
        <v>8.3552400981423069</v>
      </c>
      <c r="J46" s="91" t="s">
        <v>626</v>
      </c>
    </row>
    <row r="47" spans="2:10" ht="15.75" thickBot="1" x14ac:dyDescent="0.3">
      <c r="B47" s="82" t="s">
        <v>1504</v>
      </c>
      <c r="C47" s="83" t="s">
        <v>624</v>
      </c>
      <c r="D47" s="122" t="s">
        <v>620</v>
      </c>
      <c r="E47" s="133">
        <v>2302.431</v>
      </c>
      <c r="F47" s="85" t="s">
        <v>630</v>
      </c>
      <c r="G47" s="84">
        <v>19409</v>
      </c>
      <c r="H47" s="85" t="s">
        <v>1500</v>
      </c>
      <c r="I47" s="133">
        <f t="shared" si="0"/>
        <v>11.862697717553711</v>
      </c>
      <c r="J47" s="91" t="s">
        <v>626</v>
      </c>
    </row>
    <row r="48" spans="2:10" ht="15.75" thickBot="1" x14ac:dyDescent="0.3">
      <c r="B48" s="82" t="s">
        <v>536</v>
      </c>
      <c r="C48" s="83" t="s">
        <v>624</v>
      </c>
      <c r="D48" s="122" t="s">
        <v>620</v>
      </c>
      <c r="E48" s="133">
        <v>464.12</v>
      </c>
      <c r="F48" s="85" t="s">
        <v>630</v>
      </c>
      <c r="G48" s="84">
        <v>8417</v>
      </c>
      <c r="H48" s="85" t="s">
        <v>1500</v>
      </c>
      <c r="I48" s="133">
        <f t="shared" si="0"/>
        <v>5.5140786503504815</v>
      </c>
      <c r="J48" s="91" t="s">
        <v>626</v>
      </c>
    </row>
  </sheetData>
  <mergeCells count="23">
    <mergeCell ref="B21:S22"/>
    <mergeCell ref="B9:U9"/>
    <mergeCell ref="B11:C11"/>
    <mergeCell ref="D11:P11"/>
    <mergeCell ref="B12:C12"/>
    <mergeCell ref="D12:P12"/>
    <mergeCell ref="B13:C13"/>
    <mergeCell ref="D13:P13"/>
    <mergeCell ref="B14:C14"/>
    <mergeCell ref="D14:P14"/>
    <mergeCell ref="B15:C15"/>
    <mergeCell ref="D15:P15"/>
    <mergeCell ref="B17:U17"/>
    <mergeCell ref="J28:J29"/>
    <mergeCell ref="B25:S26"/>
    <mergeCell ref="B28:B29"/>
    <mergeCell ref="C28:C29"/>
    <mergeCell ref="D28:D29"/>
    <mergeCell ref="E28:E29"/>
    <mergeCell ref="F28:F29"/>
    <mergeCell ref="G28:G29"/>
    <mergeCell ref="H28:H29"/>
    <mergeCell ref="I28:I29"/>
  </mergeCells>
  <dataValidations count="3">
    <dataValidation type="list" allowBlank="1" showInputMessage="1" showErrorMessage="1" sqref="D30:D48">
      <formula1>"Gasóleo, Gasolina, GPL, GNC, GNV, Butano, Propano, H2"</formula1>
    </dataValidation>
    <dataValidation type="list" allowBlank="1" showInputMessage="1" showErrorMessage="1" sqref="C30:C48">
      <formula1>"Pesado de Passageiros M3, Pesado de Passageiros M2, Ligeiro de Passageiros M1, Pesado de Mercadorias N3, Pesado de Mercadorias N2, Ligeiro de Mercadorias N1, Misto"</formula1>
    </dataValidation>
    <dataValidation type="list" allowBlank="1" showInputMessage="1" showErrorMessage="1" sqref="F30:F48">
      <formula1>"l (litros), kg (quilos), Nm3 (metros cubicos norm.), € (euros)"</formula1>
    </dataValidation>
  </dataValidations>
  <pageMargins left="0.7" right="0.7" top="0.75" bottom="0.75" header="0.3" footer="0.3"/>
  <customProperties>
    <customPr name="GUID" r:id="rId1"/>
  </customPropertie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dimension ref="A1:T313"/>
  <sheetViews>
    <sheetView zoomScale="85" zoomScaleNormal="85" workbookViewId="0">
      <pane ySplit="2" topLeftCell="A300" activePane="bottomLeft" state="frozen"/>
      <selection activeCell="C1" sqref="C1"/>
      <selection pane="bottomLeft" activeCell="O331" sqref="A327:O331"/>
    </sheetView>
  </sheetViews>
  <sheetFormatPr defaultRowHeight="15" x14ac:dyDescent="0.25"/>
  <cols>
    <col min="1" max="1" width="72.42578125" customWidth="1"/>
    <col min="2" max="2" width="76" bestFit="1" customWidth="1"/>
    <col min="3" max="4" width="54.42578125" customWidth="1"/>
    <col min="5" max="5" width="33" customWidth="1"/>
    <col min="6" max="6" width="21.5703125" style="428" customWidth="1"/>
    <col min="7" max="8" width="21.5703125" customWidth="1"/>
    <col min="9" max="9" width="56.7109375" bestFit="1" customWidth="1"/>
    <col min="10" max="10" width="21.5703125" style="446" customWidth="1"/>
    <col min="11" max="11" width="27.140625" style="428" bestFit="1" customWidth="1"/>
    <col min="12" max="12" width="28.28515625" customWidth="1"/>
    <col min="13" max="13" width="28.28515625" style="89" customWidth="1"/>
    <col min="14" max="14" width="29.5703125" customWidth="1"/>
    <col min="15" max="15" width="32.85546875" style="422" bestFit="1" customWidth="1"/>
    <col min="16" max="16" width="47.140625" bestFit="1" customWidth="1"/>
    <col min="17" max="17" width="28.28515625" customWidth="1"/>
    <col min="18" max="18" width="14" customWidth="1"/>
    <col min="19" max="19" width="12.28515625" customWidth="1"/>
    <col min="20" max="20" width="14.140625" customWidth="1"/>
  </cols>
  <sheetData>
    <row r="1" spans="1:20" ht="15.75" thickBot="1" x14ac:dyDescent="0.3">
      <c r="A1" s="793" t="s">
        <v>1851</v>
      </c>
      <c r="B1" s="757" t="s">
        <v>131</v>
      </c>
      <c r="C1" s="757" t="s">
        <v>1852</v>
      </c>
      <c r="D1" s="202" t="s">
        <v>1856</v>
      </c>
      <c r="E1" s="795" t="s">
        <v>138</v>
      </c>
      <c r="F1" s="778" t="s">
        <v>139</v>
      </c>
      <c r="G1" s="219" t="s">
        <v>2827</v>
      </c>
      <c r="H1" s="219" t="s">
        <v>2828</v>
      </c>
      <c r="I1" s="202" t="s">
        <v>119</v>
      </c>
      <c r="J1" s="796" t="s">
        <v>140</v>
      </c>
      <c r="K1" s="778" t="s">
        <v>141</v>
      </c>
      <c r="L1" s="793" t="s">
        <v>143</v>
      </c>
      <c r="M1" s="778" t="s">
        <v>144</v>
      </c>
      <c r="N1" s="793" t="s">
        <v>134</v>
      </c>
      <c r="O1" s="797" t="s">
        <v>4697</v>
      </c>
      <c r="P1" s="792" t="s">
        <v>142</v>
      </c>
      <c r="Q1" s="777" t="s">
        <v>1868</v>
      </c>
      <c r="R1" s="777" t="s">
        <v>1870</v>
      </c>
      <c r="S1" s="777" t="s">
        <v>2812</v>
      </c>
      <c r="T1" s="777" t="s">
        <v>3588</v>
      </c>
    </row>
    <row r="2" spans="1:20" ht="15.75" thickBot="1" x14ac:dyDescent="0.3">
      <c r="A2" s="794"/>
      <c r="B2" s="758"/>
      <c r="C2" s="758"/>
      <c r="D2" s="203"/>
      <c r="E2" s="795"/>
      <c r="F2" s="779"/>
      <c r="G2" s="220"/>
      <c r="H2" s="220"/>
      <c r="I2" s="203"/>
      <c r="J2" s="796"/>
      <c r="K2" s="779"/>
      <c r="L2" s="794"/>
      <c r="M2" s="779"/>
      <c r="N2" s="794"/>
      <c r="O2" s="797"/>
      <c r="P2" s="792"/>
      <c r="Q2" s="777"/>
      <c r="R2" s="777"/>
      <c r="S2" s="777"/>
      <c r="T2" s="777"/>
    </row>
    <row r="3" spans="1:20" ht="15.75" thickBot="1" x14ac:dyDescent="0.3">
      <c r="A3" s="82" t="s">
        <v>4581</v>
      </c>
      <c r="B3" s="82" t="s">
        <v>4581</v>
      </c>
      <c r="C3" s="82" t="str">
        <f>IF(A3=B3,"X",RIGHT(A3,LEN(A3)-LEN(B3)-3))</f>
        <v>X</v>
      </c>
      <c r="D3" s="216">
        <v>2022</v>
      </c>
      <c r="E3" s="83" t="s">
        <v>623</v>
      </c>
      <c r="F3" s="432" t="s">
        <v>620</v>
      </c>
      <c r="G3" s="122"/>
      <c r="H3" s="122"/>
      <c r="I3" s="215" t="str">
        <f>IF(H3="",E3&amp;": Geral : "&amp;F3&amp;" : Geral",E3&amp;": Geral : "&amp;F3&amp;" : "&amp;H3)</f>
        <v>Ligeiro de Passageiros M1: Geral : Gasóleo : Geral</v>
      </c>
      <c r="J3" s="430">
        <v>4364.8</v>
      </c>
      <c r="K3" s="433" t="s">
        <v>621</v>
      </c>
      <c r="L3" s="91"/>
      <c r="M3" s="125"/>
      <c r="N3" s="125" t="s">
        <v>627</v>
      </c>
      <c r="O3" s="433"/>
      <c r="P3" s="91" t="s">
        <v>625</v>
      </c>
      <c r="Q3" s="214" t="s">
        <v>1872</v>
      </c>
      <c r="R3" s="214" t="s">
        <v>1871</v>
      </c>
      <c r="S3" t="s">
        <v>1953</v>
      </c>
      <c r="T3" t="s">
        <v>2814</v>
      </c>
    </row>
    <row r="4" spans="1:20" ht="15.75" thickBot="1" x14ac:dyDescent="0.3">
      <c r="A4" s="82" t="s">
        <v>4581</v>
      </c>
      <c r="B4" s="82" t="s">
        <v>4581</v>
      </c>
      <c r="C4" s="82" t="str">
        <f t="shared" ref="C4:C67" si="0">IF(A4=B4,"X",RIGHT(A4,LEN(A4)-LEN(B4)-3))</f>
        <v>X</v>
      </c>
      <c r="D4" s="216">
        <v>2022</v>
      </c>
      <c r="E4" s="83" t="s">
        <v>624</v>
      </c>
      <c r="F4" s="432" t="s">
        <v>620</v>
      </c>
      <c r="G4" s="122"/>
      <c r="H4" s="122"/>
      <c r="I4" s="215" t="str">
        <f t="shared" ref="I4:I67" si="1">IF(H4="",E4&amp;": Geral : "&amp;F4&amp;" : Geral",E4&amp;": Geral : "&amp;F4&amp;" : "&amp;H4)</f>
        <v>Ligeiro de Mercadorias N1: Geral : Gasóleo : Geral</v>
      </c>
      <c r="J4" s="430">
        <v>3073.93</v>
      </c>
      <c r="K4" s="433" t="s">
        <v>621</v>
      </c>
      <c r="L4" s="91"/>
      <c r="M4" s="125"/>
      <c r="N4" s="125" t="s">
        <v>627</v>
      </c>
      <c r="O4" s="433"/>
      <c r="P4" s="91" t="s">
        <v>626</v>
      </c>
      <c r="Q4" s="214" t="s">
        <v>1872</v>
      </c>
      <c r="R4" s="214" t="s">
        <v>1871</v>
      </c>
      <c r="S4" t="s">
        <v>1953</v>
      </c>
      <c r="T4" t="s">
        <v>2814</v>
      </c>
    </row>
    <row r="5" spans="1:20" ht="15.75" thickBot="1" x14ac:dyDescent="0.3">
      <c r="A5" s="82" t="s">
        <v>45</v>
      </c>
      <c r="B5" s="82" t="str">
        <f t="shared" ref="B5:B20" si="2">LEFT(A5,IFERROR(FIND(" - ",A5)-1,LEN(A5)))</f>
        <v>Barraqueiro Transportes, S.A.</v>
      </c>
      <c r="C5" s="82" t="str">
        <f t="shared" si="0"/>
        <v>X</v>
      </c>
      <c r="D5" s="216">
        <v>2022</v>
      </c>
      <c r="E5" s="83" t="s">
        <v>623</v>
      </c>
      <c r="F5" s="432" t="s">
        <v>620</v>
      </c>
      <c r="G5" s="122"/>
      <c r="H5" s="122"/>
      <c r="I5" s="215" t="str">
        <f t="shared" si="1"/>
        <v>Ligeiro de Passageiros M1: Geral : Gasóleo : Geral</v>
      </c>
      <c r="J5" s="430">
        <v>30393.268</v>
      </c>
      <c r="K5" s="433" t="s">
        <v>630</v>
      </c>
      <c r="L5" s="84">
        <f>SUM(L9:L16)</f>
        <v>510894</v>
      </c>
      <c r="M5" s="125" t="s">
        <v>1509</v>
      </c>
      <c r="N5" s="133">
        <f>IFERROR(J5/L5*100,0)</f>
        <v>5.9490360035545535</v>
      </c>
      <c r="O5" s="437"/>
      <c r="P5" s="91" t="s">
        <v>625</v>
      </c>
      <c r="Q5" s="214" t="s">
        <v>1869</v>
      </c>
      <c r="R5" s="214" t="s">
        <v>1861</v>
      </c>
      <c r="S5" t="s">
        <v>1953</v>
      </c>
      <c r="T5" t="s">
        <v>2814</v>
      </c>
    </row>
    <row r="6" spans="1:20" ht="15.75" thickBot="1" x14ac:dyDescent="0.3">
      <c r="A6" s="82" t="s">
        <v>4580</v>
      </c>
      <c r="B6" s="82" t="s">
        <v>4580</v>
      </c>
      <c r="C6" s="82" t="str">
        <f t="shared" si="0"/>
        <v>X</v>
      </c>
      <c r="D6" s="216">
        <v>2022</v>
      </c>
      <c r="E6" s="83" t="s">
        <v>623</v>
      </c>
      <c r="F6" s="432" t="s">
        <v>620</v>
      </c>
      <c r="G6" s="122"/>
      <c r="H6" s="122"/>
      <c r="I6" s="215" t="str">
        <f t="shared" si="1"/>
        <v>Ligeiro de Passageiros M1: Geral : Gasóleo : Geral</v>
      </c>
      <c r="J6" s="430">
        <v>0</v>
      </c>
      <c r="K6" s="433" t="s">
        <v>630</v>
      </c>
      <c r="L6" s="84">
        <v>0</v>
      </c>
      <c r="M6" s="125" t="s">
        <v>1505</v>
      </c>
      <c r="N6" s="133">
        <f t="shared" ref="N6:N69" si="3">IFERROR(J6/L6*100,0)</f>
        <v>0</v>
      </c>
      <c r="O6" s="437"/>
      <c r="P6" s="91" t="s">
        <v>625</v>
      </c>
      <c r="Q6" s="214" t="s">
        <v>1869</v>
      </c>
      <c r="R6" s="214" t="s">
        <v>1861</v>
      </c>
      <c r="S6" t="s">
        <v>1953</v>
      </c>
      <c r="T6" t="s">
        <v>2814</v>
      </c>
    </row>
    <row r="7" spans="1:20" ht="15.75" thickBot="1" x14ac:dyDescent="0.3">
      <c r="A7" s="82" t="s">
        <v>4581</v>
      </c>
      <c r="B7" s="82" t="s">
        <v>4581</v>
      </c>
      <c r="C7" s="82" t="str">
        <f t="shared" si="0"/>
        <v>X</v>
      </c>
      <c r="D7" s="216">
        <v>2022</v>
      </c>
      <c r="E7" s="83" t="s">
        <v>623</v>
      </c>
      <c r="F7" s="432" t="s">
        <v>620</v>
      </c>
      <c r="G7" s="122"/>
      <c r="H7" s="122"/>
      <c r="I7" s="215" t="str">
        <f t="shared" si="1"/>
        <v>Ligeiro de Passageiros M1: Geral : Gasóleo : Geral</v>
      </c>
      <c r="J7" s="430">
        <v>20262.43</v>
      </c>
      <c r="K7" s="433" t="s">
        <v>630</v>
      </c>
      <c r="L7" s="84">
        <v>255314</v>
      </c>
      <c r="M7" s="125" t="s">
        <v>1501</v>
      </c>
      <c r="N7" s="133">
        <f t="shared" si="3"/>
        <v>7.9362784649490443</v>
      </c>
      <c r="O7" s="437"/>
      <c r="P7" s="91" t="s">
        <v>625</v>
      </c>
      <c r="Q7" s="214" t="s">
        <v>1869</v>
      </c>
      <c r="R7" s="214" t="s">
        <v>1861</v>
      </c>
      <c r="S7" t="s">
        <v>1953</v>
      </c>
      <c r="T7" t="s">
        <v>2814</v>
      </c>
    </row>
    <row r="8" spans="1:20" ht="15.75" thickBot="1" x14ac:dyDescent="0.3">
      <c r="A8" s="82" t="s">
        <v>4582</v>
      </c>
      <c r="B8" s="82" t="s">
        <v>4582</v>
      </c>
      <c r="C8" s="82" t="str">
        <f t="shared" si="0"/>
        <v>X</v>
      </c>
      <c r="D8" s="216">
        <v>2022</v>
      </c>
      <c r="E8" s="83" t="s">
        <v>623</v>
      </c>
      <c r="F8" s="432" t="s">
        <v>620</v>
      </c>
      <c r="G8" s="122"/>
      <c r="H8" s="122"/>
      <c r="I8" s="215" t="str">
        <f t="shared" si="1"/>
        <v>Ligeiro de Passageiros M1: Geral : Gasóleo : Geral</v>
      </c>
      <c r="J8" s="430">
        <v>11021.172999999999</v>
      </c>
      <c r="K8" s="433" t="s">
        <v>630</v>
      </c>
      <c r="L8" s="84">
        <v>131411</v>
      </c>
      <c r="M8" s="125" t="s">
        <v>1506</v>
      </c>
      <c r="N8" s="133">
        <f t="shared" si="3"/>
        <v>8.3867963869082498</v>
      </c>
      <c r="O8" s="437"/>
      <c r="P8" s="91" t="s">
        <v>625</v>
      </c>
      <c r="Q8" s="214" t="s">
        <v>1869</v>
      </c>
      <c r="R8" s="214" t="s">
        <v>1861</v>
      </c>
      <c r="S8" t="s">
        <v>1953</v>
      </c>
      <c r="T8" t="s">
        <v>2814</v>
      </c>
    </row>
    <row r="9" spans="1:20" ht="15.75" thickBot="1" x14ac:dyDescent="0.3">
      <c r="A9" s="82" t="s">
        <v>3470</v>
      </c>
      <c r="B9" s="82" t="str">
        <f t="shared" si="2"/>
        <v>Barraqueiro Transportes, S.A.</v>
      </c>
      <c r="C9" s="82" t="str">
        <f t="shared" si="0"/>
        <v>Mafrense</v>
      </c>
      <c r="D9" s="216">
        <v>2022</v>
      </c>
      <c r="E9" s="83" t="s">
        <v>623</v>
      </c>
      <c r="F9" s="432" t="s">
        <v>620</v>
      </c>
      <c r="G9" s="122"/>
      <c r="H9" s="122"/>
      <c r="I9" s="215" t="str">
        <f t="shared" si="1"/>
        <v>Ligeiro de Passageiros M1: Geral : Gasóleo : Geral</v>
      </c>
      <c r="J9" s="430">
        <v>0</v>
      </c>
      <c r="K9" s="433" t="s">
        <v>630</v>
      </c>
      <c r="L9" s="84">
        <v>0</v>
      </c>
      <c r="M9" s="125" t="s">
        <v>1505</v>
      </c>
      <c r="N9" s="133">
        <f t="shared" si="3"/>
        <v>0</v>
      </c>
      <c r="O9" s="437"/>
      <c r="P9" s="91" t="s">
        <v>625</v>
      </c>
      <c r="Q9" s="214" t="s">
        <v>1869</v>
      </c>
      <c r="R9" s="214" t="s">
        <v>1861</v>
      </c>
      <c r="S9" t="s">
        <v>1953</v>
      </c>
      <c r="T9" t="s">
        <v>2814</v>
      </c>
    </row>
    <row r="10" spans="1:20" ht="15.75" thickBot="1" x14ac:dyDescent="0.3">
      <c r="A10" s="82" t="s">
        <v>3278</v>
      </c>
      <c r="B10" s="82" t="str">
        <f t="shared" si="2"/>
        <v>Barraqueiro Transportes, S.A.</v>
      </c>
      <c r="C10" s="82" t="str">
        <f t="shared" si="0"/>
        <v>Barraqueiro Alugueres</v>
      </c>
      <c r="D10" s="216">
        <v>2022</v>
      </c>
      <c r="E10" s="83" t="s">
        <v>623</v>
      </c>
      <c r="F10" s="432" t="s">
        <v>620</v>
      </c>
      <c r="G10" s="122"/>
      <c r="H10" s="122"/>
      <c r="I10" s="215" t="str">
        <f t="shared" si="1"/>
        <v>Ligeiro de Passageiros M1: Geral : Gasóleo : Geral</v>
      </c>
      <c r="J10" s="430">
        <v>5268.8919999999998</v>
      </c>
      <c r="K10" s="433" t="s">
        <v>630</v>
      </c>
      <c r="L10" s="84">
        <v>81887</v>
      </c>
      <c r="M10" s="125" t="s">
        <v>1502</v>
      </c>
      <c r="N10" s="133">
        <f t="shared" si="3"/>
        <v>6.4343448899092648</v>
      </c>
      <c r="O10" s="437"/>
      <c r="P10" s="91" t="s">
        <v>625</v>
      </c>
      <c r="Q10" s="214" t="s">
        <v>1869</v>
      </c>
      <c r="R10" s="214" t="s">
        <v>1861</v>
      </c>
      <c r="S10" t="s">
        <v>1953</v>
      </c>
      <c r="T10" t="s">
        <v>2814</v>
      </c>
    </row>
    <row r="11" spans="1:20" ht="15.75" thickBot="1" x14ac:dyDescent="0.3">
      <c r="A11" s="82" t="s">
        <v>3471</v>
      </c>
      <c r="B11" s="82" t="str">
        <f t="shared" si="2"/>
        <v>Barraqueiro Transportes, S.A.</v>
      </c>
      <c r="C11" s="82" t="str">
        <f t="shared" si="0"/>
        <v>Estremadura</v>
      </c>
      <c r="D11" s="216">
        <v>2022</v>
      </c>
      <c r="E11" s="83" t="s">
        <v>623</v>
      </c>
      <c r="F11" s="432" t="s">
        <v>620</v>
      </c>
      <c r="G11" s="122"/>
      <c r="H11" s="122"/>
      <c r="I11" s="215" t="str">
        <f t="shared" si="1"/>
        <v>Ligeiro de Passageiros M1: Geral : Gasóleo : Geral</v>
      </c>
      <c r="J11" s="430">
        <v>3918.99</v>
      </c>
      <c r="K11" s="433" t="s">
        <v>630</v>
      </c>
      <c r="L11" s="84">
        <v>72577</v>
      </c>
      <c r="M11" s="125" t="s">
        <v>1503</v>
      </c>
      <c r="N11" s="133">
        <f t="shared" si="3"/>
        <v>5.3997685217079789</v>
      </c>
      <c r="O11" s="437"/>
      <c r="P11" s="91" t="s">
        <v>625</v>
      </c>
      <c r="Q11" s="214" t="s">
        <v>1869</v>
      </c>
      <c r="R11" s="214" t="s">
        <v>1861</v>
      </c>
      <c r="S11" t="s">
        <v>1953</v>
      </c>
      <c r="T11" t="s">
        <v>2814</v>
      </c>
    </row>
    <row r="12" spans="1:20" ht="15.75" thickBot="1" x14ac:dyDescent="0.3">
      <c r="A12" s="82" t="s">
        <v>3472</v>
      </c>
      <c r="B12" s="82" t="str">
        <f t="shared" si="2"/>
        <v>Barraqueiro Transportes, S.A.</v>
      </c>
      <c r="C12" s="82" t="str">
        <f t="shared" si="0"/>
        <v>Frota Azul</v>
      </c>
      <c r="D12" s="216">
        <v>2022</v>
      </c>
      <c r="E12" s="83" t="s">
        <v>623</v>
      </c>
      <c r="F12" s="432" t="s">
        <v>620</v>
      </c>
      <c r="G12" s="122"/>
      <c r="H12" s="122"/>
      <c r="I12" s="215" t="str">
        <f t="shared" si="1"/>
        <v>Ligeiro de Passageiros M1: Geral : Gasóleo : Geral</v>
      </c>
      <c r="J12" s="430">
        <v>1052.73</v>
      </c>
      <c r="K12" s="433" t="s">
        <v>630</v>
      </c>
      <c r="L12" s="84">
        <v>13537</v>
      </c>
      <c r="M12" s="125" t="s">
        <v>1500</v>
      </c>
      <c r="N12" s="133">
        <f t="shared" si="3"/>
        <v>7.7766861195242676</v>
      </c>
      <c r="O12" s="437"/>
      <c r="P12" s="91" t="s">
        <v>625</v>
      </c>
      <c r="Q12" s="214" t="s">
        <v>1869</v>
      </c>
      <c r="R12" s="214" t="s">
        <v>1861</v>
      </c>
      <c r="S12" t="s">
        <v>1953</v>
      </c>
      <c r="T12" t="s">
        <v>2814</v>
      </c>
    </row>
    <row r="13" spans="1:20" ht="15.75" thickBot="1" x14ac:dyDescent="0.3">
      <c r="A13" s="82" t="s">
        <v>3473</v>
      </c>
      <c r="B13" s="82" t="str">
        <f t="shared" si="2"/>
        <v>Barraqueiro Transportes, S.A.</v>
      </c>
      <c r="C13" s="82" t="str">
        <f t="shared" si="0"/>
        <v>Barraqueiro Oeste</v>
      </c>
      <c r="D13" s="216">
        <v>2022</v>
      </c>
      <c r="E13" s="83" t="s">
        <v>623</v>
      </c>
      <c r="F13" s="432" t="s">
        <v>620</v>
      </c>
      <c r="G13" s="122"/>
      <c r="H13" s="122"/>
      <c r="I13" s="215" t="str">
        <f t="shared" si="1"/>
        <v>Ligeiro de Passageiros M1: Geral : Gasóleo : Geral</v>
      </c>
      <c r="J13" s="430">
        <v>3716.3199999999997</v>
      </c>
      <c r="K13" s="433" t="s">
        <v>630</v>
      </c>
      <c r="L13" s="84">
        <v>57990</v>
      </c>
      <c r="M13" s="125" t="s">
        <v>1502</v>
      </c>
      <c r="N13" s="133">
        <f t="shared" si="3"/>
        <v>6.4085531988273843</v>
      </c>
      <c r="O13" s="437"/>
      <c r="P13" s="91" t="s">
        <v>625</v>
      </c>
      <c r="Q13" s="214" t="s">
        <v>1869</v>
      </c>
      <c r="R13" s="214" t="s">
        <v>1861</v>
      </c>
      <c r="S13" t="s">
        <v>1953</v>
      </c>
      <c r="T13" t="s">
        <v>2814</v>
      </c>
    </row>
    <row r="14" spans="1:20" ht="15.75" thickBot="1" x14ac:dyDescent="0.3">
      <c r="A14" s="82" t="s">
        <v>3474</v>
      </c>
      <c r="B14" s="82" t="str">
        <f t="shared" si="2"/>
        <v>Barraqueiro Transportes, S.A.</v>
      </c>
      <c r="C14" s="82" t="str">
        <f t="shared" si="0"/>
        <v>Boa Viagem</v>
      </c>
      <c r="D14" s="216">
        <v>2022</v>
      </c>
      <c r="E14" s="83" t="s">
        <v>623</v>
      </c>
      <c r="F14" s="432" t="s">
        <v>620</v>
      </c>
      <c r="G14" s="122"/>
      <c r="H14" s="122"/>
      <c r="I14" s="215" t="str">
        <f t="shared" si="1"/>
        <v>Ligeiro de Passageiros M1: Geral : Gasóleo : Geral</v>
      </c>
      <c r="J14" s="430">
        <v>0</v>
      </c>
      <c r="K14" s="433" t="s">
        <v>630</v>
      </c>
      <c r="L14" s="84">
        <v>0</v>
      </c>
      <c r="M14" s="125" t="s">
        <v>1505</v>
      </c>
      <c r="N14" s="133">
        <f t="shared" si="3"/>
        <v>0</v>
      </c>
      <c r="O14" s="437"/>
      <c r="P14" s="91" t="s">
        <v>625</v>
      </c>
      <c r="Q14" s="214" t="s">
        <v>1869</v>
      </c>
      <c r="R14" s="214" t="s">
        <v>1861</v>
      </c>
      <c r="S14" t="s">
        <v>1953</v>
      </c>
      <c r="T14" t="s">
        <v>2814</v>
      </c>
    </row>
    <row r="15" spans="1:20" ht="15.75" thickBot="1" x14ac:dyDescent="0.3">
      <c r="A15" s="82" t="s">
        <v>3478</v>
      </c>
      <c r="B15" s="82" t="str">
        <f t="shared" si="2"/>
        <v>Barraqueiro Transportes, S.A.</v>
      </c>
      <c r="C15" s="82" t="str">
        <f t="shared" si="0"/>
        <v>Sede</v>
      </c>
      <c r="D15" s="216">
        <v>2022</v>
      </c>
      <c r="E15" s="83" t="s">
        <v>623</v>
      </c>
      <c r="F15" s="432" t="s">
        <v>620</v>
      </c>
      <c r="G15" s="122"/>
      <c r="H15" s="122"/>
      <c r="I15" s="215" t="str">
        <f t="shared" si="1"/>
        <v>Ligeiro de Passageiros M1: Geral : Gasóleo : Geral</v>
      </c>
      <c r="J15" s="430">
        <v>13565.86</v>
      </c>
      <c r="K15" s="433" t="s">
        <v>630</v>
      </c>
      <c r="L15" s="84">
        <v>240825</v>
      </c>
      <c r="M15" s="125" t="s">
        <v>1507</v>
      </c>
      <c r="N15" s="133">
        <f t="shared" si="3"/>
        <v>5.6330779611751272</v>
      </c>
      <c r="O15" s="437"/>
      <c r="P15" s="91" t="s">
        <v>625</v>
      </c>
      <c r="Q15" s="214" t="s">
        <v>1869</v>
      </c>
      <c r="R15" s="214" t="s">
        <v>1861</v>
      </c>
      <c r="S15" t="s">
        <v>1953</v>
      </c>
      <c r="T15" t="s">
        <v>2814</v>
      </c>
    </row>
    <row r="16" spans="1:20" ht="15.75" thickBot="1" x14ac:dyDescent="0.3">
      <c r="A16" s="82" t="s">
        <v>3479</v>
      </c>
      <c r="B16" s="82" t="str">
        <f t="shared" si="2"/>
        <v>Barraqueiro Transportes, S.A.</v>
      </c>
      <c r="C16" s="82" t="str">
        <f t="shared" si="0"/>
        <v>Esevel</v>
      </c>
      <c r="D16" s="216">
        <v>2022</v>
      </c>
      <c r="E16" s="83" t="s">
        <v>623</v>
      </c>
      <c r="F16" s="432" t="s">
        <v>620</v>
      </c>
      <c r="G16" s="122"/>
      <c r="H16" s="122"/>
      <c r="I16" s="215" t="str">
        <f t="shared" si="1"/>
        <v>Ligeiro de Passageiros M1: Geral : Gasóleo : Geral</v>
      </c>
      <c r="J16" s="430">
        <v>2870.4760000000001</v>
      </c>
      <c r="K16" s="433" t="s">
        <v>630</v>
      </c>
      <c r="L16" s="84">
        <v>44078</v>
      </c>
      <c r="M16" s="125" t="s">
        <v>1500</v>
      </c>
      <c r="N16" s="133">
        <f t="shared" si="3"/>
        <v>6.5122646218067972</v>
      </c>
      <c r="O16" s="437"/>
      <c r="P16" s="91" t="s">
        <v>625</v>
      </c>
      <c r="Q16" s="214" t="s">
        <v>1869</v>
      </c>
      <c r="R16" s="214" t="s">
        <v>1861</v>
      </c>
      <c r="S16" t="s">
        <v>1953</v>
      </c>
      <c r="T16" t="s">
        <v>2814</v>
      </c>
    </row>
    <row r="17" spans="1:20" ht="15.75" thickBot="1" x14ac:dyDescent="0.3">
      <c r="A17" s="82" t="s">
        <v>45</v>
      </c>
      <c r="B17" s="82" t="str">
        <f t="shared" si="2"/>
        <v>Barraqueiro Transportes, S.A.</v>
      </c>
      <c r="C17" s="82" t="str">
        <f t="shared" si="0"/>
        <v>X</v>
      </c>
      <c r="D17" s="216">
        <v>2022</v>
      </c>
      <c r="E17" s="83" t="s">
        <v>624</v>
      </c>
      <c r="F17" s="432" t="s">
        <v>620</v>
      </c>
      <c r="G17" s="122"/>
      <c r="H17" s="122"/>
      <c r="I17" s="215" t="str">
        <f t="shared" si="1"/>
        <v>Ligeiro de Mercadorias N1: Geral : Gasóleo : Geral</v>
      </c>
      <c r="J17" s="430">
        <v>5016.9610000000002</v>
      </c>
      <c r="K17" s="433" t="s">
        <v>630</v>
      </c>
      <c r="L17" s="84">
        <f>SUM(L18:L20)</f>
        <v>52393</v>
      </c>
      <c r="M17" s="125" t="s">
        <v>1508</v>
      </c>
      <c r="N17" s="133">
        <f t="shared" si="3"/>
        <v>9.5756322409482184</v>
      </c>
      <c r="O17" s="437"/>
      <c r="P17" s="91" t="s">
        <v>626</v>
      </c>
      <c r="Q17" s="214" t="s">
        <v>1869</v>
      </c>
      <c r="R17" s="214" t="s">
        <v>1861</v>
      </c>
      <c r="S17" t="s">
        <v>1953</v>
      </c>
      <c r="T17" t="s">
        <v>2814</v>
      </c>
    </row>
    <row r="18" spans="1:20" ht="15.75" thickBot="1" x14ac:dyDescent="0.3">
      <c r="A18" s="82" t="s">
        <v>3471</v>
      </c>
      <c r="B18" s="82" t="str">
        <f t="shared" si="2"/>
        <v>Barraqueiro Transportes, S.A.</v>
      </c>
      <c r="C18" s="82" t="str">
        <f t="shared" si="0"/>
        <v>Estremadura</v>
      </c>
      <c r="D18" s="216">
        <v>2022</v>
      </c>
      <c r="E18" s="83" t="s">
        <v>624</v>
      </c>
      <c r="F18" s="432" t="s">
        <v>620</v>
      </c>
      <c r="G18" s="122"/>
      <c r="H18" s="122"/>
      <c r="I18" s="215" t="str">
        <f t="shared" si="1"/>
        <v>Ligeiro de Mercadorias N1: Geral : Gasóleo : Geral</v>
      </c>
      <c r="J18" s="430">
        <v>2237.7800000000002</v>
      </c>
      <c r="K18" s="433" t="s">
        <v>630</v>
      </c>
      <c r="L18" s="84">
        <v>27278</v>
      </c>
      <c r="M18" s="125" t="s">
        <v>1503</v>
      </c>
      <c r="N18" s="133">
        <f t="shared" si="3"/>
        <v>8.2036073025881677</v>
      </c>
      <c r="O18" s="437"/>
      <c r="P18" s="91" t="s">
        <v>626</v>
      </c>
      <c r="Q18" s="214" t="s">
        <v>1869</v>
      </c>
      <c r="R18" s="214" t="s">
        <v>1861</v>
      </c>
      <c r="S18" t="s">
        <v>1953</v>
      </c>
      <c r="T18" t="s">
        <v>2814</v>
      </c>
    </row>
    <row r="19" spans="1:20" ht="15.75" thickBot="1" x14ac:dyDescent="0.3">
      <c r="A19" s="82" t="s">
        <v>3473</v>
      </c>
      <c r="B19" s="82" t="str">
        <f t="shared" si="2"/>
        <v>Barraqueiro Transportes, S.A.</v>
      </c>
      <c r="C19" s="82" t="str">
        <f t="shared" si="0"/>
        <v>Barraqueiro Oeste</v>
      </c>
      <c r="D19" s="216">
        <v>2022</v>
      </c>
      <c r="E19" s="83" t="s">
        <v>624</v>
      </c>
      <c r="F19" s="432" t="s">
        <v>620</v>
      </c>
      <c r="G19" s="122"/>
      <c r="H19" s="122"/>
      <c r="I19" s="215" t="str">
        <f t="shared" si="1"/>
        <v>Ligeiro de Mercadorias N1: Geral : Gasóleo : Geral</v>
      </c>
      <c r="J19" s="430">
        <v>476.75</v>
      </c>
      <c r="K19" s="433" t="s">
        <v>630</v>
      </c>
      <c r="L19" s="84">
        <v>5706</v>
      </c>
      <c r="M19" s="125" t="s">
        <v>1500</v>
      </c>
      <c r="N19" s="133">
        <f t="shared" si="3"/>
        <v>8.3552400981423069</v>
      </c>
      <c r="O19" s="437"/>
      <c r="P19" s="91" t="s">
        <v>626</v>
      </c>
      <c r="Q19" s="214" t="s">
        <v>1869</v>
      </c>
      <c r="R19" s="214" t="s">
        <v>1861</v>
      </c>
      <c r="S19" t="s">
        <v>1953</v>
      </c>
      <c r="T19" t="s">
        <v>2814</v>
      </c>
    </row>
    <row r="20" spans="1:20" ht="15.75" thickBot="1" x14ac:dyDescent="0.3">
      <c r="A20" s="82" t="s">
        <v>3479</v>
      </c>
      <c r="B20" s="82" t="str">
        <f t="shared" si="2"/>
        <v>Barraqueiro Transportes, S.A.</v>
      </c>
      <c r="C20" s="82" t="str">
        <f t="shared" si="0"/>
        <v>Esevel</v>
      </c>
      <c r="D20" s="216">
        <v>2022</v>
      </c>
      <c r="E20" s="83" t="s">
        <v>624</v>
      </c>
      <c r="F20" s="432" t="s">
        <v>620</v>
      </c>
      <c r="G20" s="122"/>
      <c r="H20" s="122"/>
      <c r="I20" s="215" t="str">
        <f t="shared" si="1"/>
        <v>Ligeiro de Mercadorias N1: Geral : Gasóleo : Geral</v>
      </c>
      <c r="J20" s="430">
        <v>2302.431</v>
      </c>
      <c r="K20" s="433" t="s">
        <v>630</v>
      </c>
      <c r="L20" s="84">
        <v>19409</v>
      </c>
      <c r="M20" s="125" t="s">
        <v>1500</v>
      </c>
      <c r="N20" s="133">
        <f t="shared" si="3"/>
        <v>11.862697717553711</v>
      </c>
      <c r="O20" s="437"/>
      <c r="P20" s="91" t="s">
        <v>626</v>
      </c>
      <c r="Q20" s="214" t="s">
        <v>1869</v>
      </c>
      <c r="R20" s="214" t="s">
        <v>1861</v>
      </c>
      <c r="S20" t="s">
        <v>1953</v>
      </c>
      <c r="T20" t="s">
        <v>2814</v>
      </c>
    </row>
    <row r="21" spans="1:20" ht="15.75" thickBot="1" x14ac:dyDescent="0.3">
      <c r="A21" s="82" t="s">
        <v>4581</v>
      </c>
      <c r="B21" s="82" t="s">
        <v>4581</v>
      </c>
      <c r="C21" s="82" t="str">
        <f t="shared" si="0"/>
        <v>X</v>
      </c>
      <c r="D21" s="216">
        <v>2022</v>
      </c>
      <c r="E21" s="83" t="s">
        <v>623</v>
      </c>
      <c r="F21" s="432" t="s">
        <v>620</v>
      </c>
      <c r="G21" s="122"/>
      <c r="H21" s="122"/>
      <c r="I21" s="215" t="str">
        <f t="shared" si="1"/>
        <v>Ligeiro de Passageiros M1: Geral : Gasóleo : Geral</v>
      </c>
      <c r="J21" s="430">
        <v>464.12</v>
      </c>
      <c r="K21" s="433" t="s">
        <v>630</v>
      </c>
      <c r="L21" s="84">
        <v>8417</v>
      </c>
      <c r="M21" s="125" t="s">
        <v>1500</v>
      </c>
      <c r="N21" s="133">
        <f t="shared" si="3"/>
        <v>5.5140786503504815</v>
      </c>
      <c r="O21" s="437"/>
      <c r="P21" s="91" t="s">
        <v>626</v>
      </c>
      <c r="Q21" s="214" t="s">
        <v>1869</v>
      </c>
      <c r="R21" s="214" t="s">
        <v>1861</v>
      </c>
      <c r="S21" t="s">
        <v>1953</v>
      </c>
      <c r="T21" t="s">
        <v>2814</v>
      </c>
    </row>
    <row r="22" spans="1:20" ht="15.75" thickBot="1" x14ac:dyDescent="0.3">
      <c r="A22" s="82" t="s">
        <v>1910</v>
      </c>
      <c r="B22" s="82" t="s">
        <v>1910</v>
      </c>
      <c r="C22" s="82" t="str">
        <f t="shared" si="0"/>
        <v>X</v>
      </c>
      <c r="D22" s="216">
        <v>2022</v>
      </c>
      <c r="E22" s="83" t="s">
        <v>623</v>
      </c>
      <c r="F22" s="428" t="s">
        <v>620</v>
      </c>
      <c r="G22" s="258">
        <v>2015</v>
      </c>
      <c r="H22" t="s">
        <v>733</v>
      </c>
      <c r="I22" s="215" t="str">
        <f t="shared" si="1"/>
        <v>Ligeiro de Passageiros M1: Geral : Gasóleo : E6</v>
      </c>
      <c r="J22" s="446">
        <v>1565</v>
      </c>
      <c r="K22" s="428" t="s">
        <v>630</v>
      </c>
      <c r="L22">
        <v>25409</v>
      </c>
      <c r="M22" s="125">
        <v>4</v>
      </c>
      <c r="N22" s="133">
        <f t="shared" si="3"/>
        <v>6.1592349167617773</v>
      </c>
      <c r="O22" s="437"/>
      <c r="P22" s="85" t="s">
        <v>2821</v>
      </c>
      <c r="Q22" s="214" t="s">
        <v>1869</v>
      </c>
      <c r="R22" s="214" t="s">
        <v>1861</v>
      </c>
      <c r="S22" t="s">
        <v>1953</v>
      </c>
      <c r="T22" t="s">
        <v>2814</v>
      </c>
    </row>
    <row r="23" spans="1:20" ht="15.75" thickBot="1" x14ac:dyDescent="0.3">
      <c r="A23" s="82" t="s">
        <v>1910</v>
      </c>
      <c r="B23" s="82" t="s">
        <v>1910</v>
      </c>
      <c r="C23" s="82" t="str">
        <f t="shared" si="0"/>
        <v>X</v>
      </c>
      <c r="D23" s="216">
        <v>2022</v>
      </c>
      <c r="E23" s="83" t="s">
        <v>623</v>
      </c>
      <c r="F23" s="428" t="s">
        <v>620</v>
      </c>
      <c r="G23" s="258">
        <v>2019</v>
      </c>
      <c r="H23" t="s">
        <v>733</v>
      </c>
      <c r="I23" s="215" t="str">
        <f t="shared" si="1"/>
        <v>Ligeiro de Passageiros M1: Geral : Gasóleo : E6</v>
      </c>
      <c r="J23" s="446">
        <v>406.3</v>
      </c>
      <c r="K23" s="428" t="s">
        <v>630</v>
      </c>
      <c r="L23">
        <v>9261</v>
      </c>
      <c r="M23" s="125">
        <v>4</v>
      </c>
      <c r="N23" s="133">
        <f t="shared" si="3"/>
        <v>4.387215203541734</v>
      </c>
      <c r="O23" s="437"/>
      <c r="P23" s="85" t="s">
        <v>2821</v>
      </c>
      <c r="Q23" s="214" t="s">
        <v>1869</v>
      </c>
      <c r="R23" s="214" t="s">
        <v>1861</v>
      </c>
      <c r="S23" t="s">
        <v>1953</v>
      </c>
      <c r="T23" t="s">
        <v>2814</v>
      </c>
    </row>
    <row r="24" spans="1:20" ht="15.75" thickBot="1" x14ac:dyDescent="0.3">
      <c r="A24" s="82" t="s">
        <v>1910</v>
      </c>
      <c r="B24" s="82" t="s">
        <v>1910</v>
      </c>
      <c r="C24" s="82" t="str">
        <f t="shared" si="0"/>
        <v>X</v>
      </c>
      <c r="D24" s="216">
        <v>2022</v>
      </c>
      <c r="E24" s="83" t="s">
        <v>623</v>
      </c>
      <c r="F24" s="428" t="s">
        <v>620</v>
      </c>
      <c r="G24" s="258">
        <v>2018</v>
      </c>
      <c r="H24" t="s">
        <v>733</v>
      </c>
      <c r="I24" s="215" t="str">
        <f t="shared" si="1"/>
        <v>Ligeiro de Passageiros M1: Geral : Gasóleo : E6</v>
      </c>
      <c r="J24" s="446">
        <v>1419</v>
      </c>
      <c r="K24" s="428" t="s">
        <v>630</v>
      </c>
      <c r="L24">
        <v>28343</v>
      </c>
      <c r="M24" s="125">
        <v>4</v>
      </c>
      <c r="N24" s="133">
        <f t="shared" si="3"/>
        <v>5.0065271848428186</v>
      </c>
      <c r="O24" s="437"/>
      <c r="P24" s="85" t="s">
        <v>2821</v>
      </c>
      <c r="Q24" s="214" t="s">
        <v>1869</v>
      </c>
      <c r="R24" s="214" t="s">
        <v>1861</v>
      </c>
      <c r="S24" t="s">
        <v>1953</v>
      </c>
      <c r="T24" t="s">
        <v>2814</v>
      </c>
    </row>
    <row r="25" spans="1:20" ht="15.75" thickBot="1" x14ac:dyDescent="0.3">
      <c r="A25" s="82" t="s">
        <v>1910</v>
      </c>
      <c r="B25" s="82" t="s">
        <v>1910</v>
      </c>
      <c r="C25" s="82" t="str">
        <f t="shared" si="0"/>
        <v>X</v>
      </c>
      <c r="D25" s="216">
        <v>2022</v>
      </c>
      <c r="E25" s="83" t="s">
        <v>623</v>
      </c>
      <c r="F25" s="428" t="s">
        <v>620</v>
      </c>
      <c r="G25" s="258">
        <v>2018</v>
      </c>
      <c r="H25" t="s">
        <v>733</v>
      </c>
      <c r="I25" s="215" t="str">
        <f t="shared" si="1"/>
        <v>Ligeiro de Passageiros M1: Geral : Gasóleo : E6</v>
      </c>
      <c r="J25" s="446">
        <v>915.2</v>
      </c>
      <c r="K25" s="428" t="s">
        <v>630</v>
      </c>
      <c r="L25">
        <v>20794</v>
      </c>
      <c r="M25" s="125">
        <v>4</v>
      </c>
      <c r="N25" s="133">
        <f t="shared" si="3"/>
        <v>4.4012695969991347</v>
      </c>
      <c r="O25" s="437"/>
      <c r="P25" s="85" t="s">
        <v>2821</v>
      </c>
      <c r="Q25" s="214" t="s">
        <v>1869</v>
      </c>
      <c r="R25" s="214" t="s">
        <v>1861</v>
      </c>
      <c r="S25" t="s">
        <v>1953</v>
      </c>
      <c r="T25" t="s">
        <v>2814</v>
      </c>
    </row>
    <row r="26" spans="1:20" ht="15.75" thickBot="1" x14ac:dyDescent="0.3">
      <c r="A26" s="82" t="s">
        <v>1910</v>
      </c>
      <c r="B26" s="82" t="s">
        <v>1910</v>
      </c>
      <c r="C26" s="82" t="str">
        <f t="shared" si="0"/>
        <v>X</v>
      </c>
      <c r="D26" s="216">
        <v>2022</v>
      </c>
      <c r="E26" s="83" t="s">
        <v>623</v>
      </c>
      <c r="F26" s="428" t="s">
        <v>620</v>
      </c>
      <c r="G26" s="258">
        <v>2022</v>
      </c>
      <c r="H26" t="s">
        <v>733</v>
      </c>
      <c r="I26" s="215" t="str">
        <f t="shared" si="1"/>
        <v>Ligeiro de Passageiros M1: Geral : Gasóleo : E6</v>
      </c>
      <c r="J26" s="446">
        <v>257.5</v>
      </c>
      <c r="K26" s="428" t="s">
        <v>630</v>
      </c>
      <c r="L26">
        <v>16094</v>
      </c>
      <c r="M26" s="125">
        <v>4</v>
      </c>
      <c r="N26" s="133">
        <f t="shared" si="3"/>
        <v>1.5999751460171492</v>
      </c>
      <c r="O26" s="437"/>
      <c r="P26" s="85" t="s">
        <v>2821</v>
      </c>
      <c r="Q26" s="214" t="s">
        <v>1869</v>
      </c>
      <c r="R26" s="214" t="s">
        <v>1861</v>
      </c>
      <c r="S26" t="s">
        <v>1953</v>
      </c>
      <c r="T26" t="s">
        <v>2814</v>
      </c>
    </row>
    <row r="27" spans="1:20" ht="15.75" thickBot="1" x14ac:dyDescent="0.3">
      <c r="A27" s="82" t="s">
        <v>1910</v>
      </c>
      <c r="B27" s="82" t="s">
        <v>1910</v>
      </c>
      <c r="C27" s="82" t="str">
        <f t="shared" si="0"/>
        <v>X</v>
      </c>
      <c r="D27" s="216">
        <v>2022</v>
      </c>
      <c r="E27" s="83" t="s">
        <v>623</v>
      </c>
      <c r="F27" s="428" t="s">
        <v>620</v>
      </c>
      <c r="G27" s="258">
        <v>2017</v>
      </c>
      <c r="H27" t="s">
        <v>733</v>
      </c>
      <c r="I27" s="215" t="str">
        <f t="shared" si="1"/>
        <v>Ligeiro de Passageiros M1: Geral : Gasóleo : E6</v>
      </c>
      <c r="J27" s="446">
        <v>855.3</v>
      </c>
      <c r="K27" s="428" t="s">
        <v>630</v>
      </c>
      <c r="L27">
        <v>16399</v>
      </c>
      <c r="M27" s="125">
        <v>4</v>
      </c>
      <c r="N27" s="133">
        <f t="shared" si="3"/>
        <v>5.2155619245075915</v>
      </c>
      <c r="O27" s="437"/>
      <c r="P27" s="85" t="s">
        <v>2821</v>
      </c>
      <c r="Q27" s="214" t="s">
        <v>1869</v>
      </c>
      <c r="R27" s="214" t="s">
        <v>1861</v>
      </c>
      <c r="S27" t="s">
        <v>1953</v>
      </c>
      <c r="T27" t="s">
        <v>2814</v>
      </c>
    </row>
    <row r="28" spans="1:20" ht="15.75" thickBot="1" x14ac:dyDescent="0.3">
      <c r="A28" s="82" t="s">
        <v>1910</v>
      </c>
      <c r="B28" s="82" t="s">
        <v>1910</v>
      </c>
      <c r="C28" s="82" t="str">
        <f t="shared" si="0"/>
        <v>X</v>
      </c>
      <c r="D28" s="216">
        <v>2022</v>
      </c>
      <c r="E28" s="83" t="s">
        <v>623</v>
      </c>
      <c r="F28" s="428" t="s">
        <v>620</v>
      </c>
      <c r="G28" s="258">
        <v>2019</v>
      </c>
      <c r="H28" t="s">
        <v>733</v>
      </c>
      <c r="I28" s="215" t="str">
        <f t="shared" si="1"/>
        <v>Ligeiro de Passageiros M1: Geral : Gasóleo : E6</v>
      </c>
      <c r="J28" s="446">
        <v>722.6</v>
      </c>
      <c r="K28" s="428" t="s">
        <v>630</v>
      </c>
      <c r="L28">
        <v>10757</v>
      </c>
      <c r="M28" s="125">
        <v>4</v>
      </c>
      <c r="N28" s="133">
        <f t="shared" si="3"/>
        <v>6.7174862879985131</v>
      </c>
      <c r="O28" s="437"/>
      <c r="P28" s="85" t="s">
        <v>2821</v>
      </c>
      <c r="Q28" s="214" t="s">
        <v>1869</v>
      </c>
      <c r="R28" s="214" t="s">
        <v>1861</v>
      </c>
      <c r="S28" t="s">
        <v>1953</v>
      </c>
      <c r="T28" t="s">
        <v>2814</v>
      </c>
    </row>
    <row r="29" spans="1:20" ht="15.75" thickBot="1" x14ac:dyDescent="0.3">
      <c r="A29" s="82" t="s">
        <v>1910</v>
      </c>
      <c r="B29" s="82" t="s">
        <v>1910</v>
      </c>
      <c r="C29" s="82" t="str">
        <f t="shared" si="0"/>
        <v>X</v>
      </c>
      <c r="D29" s="216">
        <v>2022</v>
      </c>
      <c r="E29" s="83" t="s">
        <v>623</v>
      </c>
      <c r="F29" s="428" t="s">
        <v>620</v>
      </c>
      <c r="G29" s="258">
        <v>2000</v>
      </c>
      <c r="I29" s="215" t="str">
        <f t="shared" si="1"/>
        <v>Ligeiro de Passageiros M1: Geral : Gasóleo : Geral</v>
      </c>
      <c r="J29" s="446">
        <v>1039.5999999999999</v>
      </c>
      <c r="K29" s="428" t="s">
        <v>630</v>
      </c>
      <c r="L29">
        <v>16169</v>
      </c>
      <c r="M29" s="125">
        <v>4</v>
      </c>
      <c r="N29" s="133">
        <f t="shared" si="3"/>
        <v>6.4295874822190608</v>
      </c>
      <c r="O29" s="437"/>
      <c r="P29" s="85" t="s">
        <v>2821</v>
      </c>
      <c r="Q29" s="214" t="s">
        <v>1869</v>
      </c>
      <c r="R29" s="214" t="s">
        <v>1861</v>
      </c>
      <c r="S29" t="s">
        <v>1953</v>
      </c>
      <c r="T29" t="s">
        <v>2814</v>
      </c>
    </row>
    <row r="30" spans="1:20" ht="15.75" thickBot="1" x14ac:dyDescent="0.3">
      <c r="A30" s="82" t="s">
        <v>1910</v>
      </c>
      <c r="B30" s="82" t="s">
        <v>1910</v>
      </c>
      <c r="C30" s="82" t="str">
        <f t="shared" si="0"/>
        <v>X</v>
      </c>
      <c r="D30" s="216">
        <v>2022</v>
      </c>
      <c r="E30" s="83" t="s">
        <v>623</v>
      </c>
      <c r="F30" s="428" t="s">
        <v>620</v>
      </c>
      <c r="G30" s="258">
        <v>2018</v>
      </c>
      <c r="H30" t="s">
        <v>733</v>
      </c>
      <c r="I30" s="215" t="str">
        <f t="shared" si="1"/>
        <v>Ligeiro de Passageiros M1: Geral : Gasóleo : E6</v>
      </c>
      <c r="J30" s="446">
        <v>1954.6</v>
      </c>
      <c r="K30" s="428" t="s">
        <v>630</v>
      </c>
      <c r="L30">
        <v>41722</v>
      </c>
      <c r="M30" s="125">
        <v>4</v>
      </c>
      <c r="N30" s="133">
        <f t="shared" si="3"/>
        <v>4.6848185609510571</v>
      </c>
      <c r="O30" s="437"/>
      <c r="P30" s="85" t="s">
        <v>2821</v>
      </c>
      <c r="Q30" s="214" t="s">
        <v>1869</v>
      </c>
      <c r="R30" s="214" t="s">
        <v>1861</v>
      </c>
      <c r="S30" t="s">
        <v>1953</v>
      </c>
      <c r="T30" t="s">
        <v>2814</v>
      </c>
    </row>
    <row r="31" spans="1:20" ht="15.75" thickBot="1" x14ac:dyDescent="0.3">
      <c r="A31" s="82" t="s">
        <v>1910</v>
      </c>
      <c r="B31" s="82" t="s">
        <v>1910</v>
      </c>
      <c r="C31" s="82" t="str">
        <f t="shared" si="0"/>
        <v>X</v>
      </c>
      <c r="D31" s="216">
        <v>2022</v>
      </c>
      <c r="E31" s="83" t="s">
        <v>623</v>
      </c>
      <c r="F31" s="428" t="s">
        <v>620</v>
      </c>
      <c r="G31" s="258">
        <v>2015</v>
      </c>
      <c r="H31" t="s">
        <v>733</v>
      </c>
      <c r="I31" s="215" t="str">
        <f t="shared" si="1"/>
        <v>Ligeiro de Passageiros M1: Geral : Gasóleo : E6</v>
      </c>
      <c r="J31" s="446">
        <v>788.3</v>
      </c>
      <c r="K31" s="428" t="s">
        <v>630</v>
      </c>
      <c r="L31">
        <v>11706</v>
      </c>
      <c r="M31" s="125">
        <v>4</v>
      </c>
      <c r="N31" s="133">
        <f t="shared" si="3"/>
        <v>6.7341534255937123</v>
      </c>
      <c r="O31" s="437"/>
      <c r="P31" s="85" t="s">
        <v>2821</v>
      </c>
      <c r="Q31" s="214" t="s">
        <v>1869</v>
      </c>
      <c r="R31" s="214" t="s">
        <v>1861</v>
      </c>
      <c r="S31" t="s">
        <v>1953</v>
      </c>
      <c r="T31" t="s">
        <v>2814</v>
      </c>
    </row>
    <row r="32" spans="1:20" ht="15.75" thickBot="1" x14ac:dyDescent="0.3">
      <c r="A32" s="82" t="s">
        <v>1910</v>
      </c>
      <c r="B32" s="82" t="s">
        <v>1910</v>
      </c>
      <c r="C32" s="82" t="str">
        <f t="shared" si="0"/>
        <v>X</v>
      </c>
      <c r="D32" s="216">
        <v>2022</v>
      </c>
      <c r="E32" s="83" t="s">
        <v>623</v>
      </c>
      <c r="F32" s="428" t="s">
        <v>620</v>
      </c>
      <c r="G32" s="258">
        <v>2017</v>
      </c>
      <c r="H32" t="s">
        <v>733</v>
      </c>
      <c r="I32" s="215" t="str">
        <f t="shared" si="1"/>
        <v>Ligeiro de Passageiros M1: Geral : Gasóleo : E6</v>
      </c>
      <c r="J32" s="446">
        <v>1242.7</v>
      </c>
      <c r="K32" s="428" t="s">
        <v>630</v>
      </c>
      <c r="L32">
        <v>24109</v>
      </c>
      <c r="M32" s="125">
        <v>4</v>
      </c>
      <c r="N32" s="133">
        <f t="shared" si="3"/>
        <v>5.1545066157866355</v>
      </c>
      <c r="O32" s="437"/>
      <c r="P32" s="85" t="s">
        <v>2821</v>
      </c>
      <c r="Q32" s="214" t="s">
        <v>1869</v>
      </c>
      <c r="R32" s="214" t="s">
        <v>1861</v>
      </c>
      <c r="S32" t="s">
        <v>1953</v>
      </c>
      <c r="T32" t="s">
        <v>2814</v>
      </c>
    </row>
    <row r="33" spans="1:20" ht="15.75" thickBot="1" x14ac:dyDescent="0.3">
      <c r="A33" s="82" t="s">
        <v>1910</v>
      </c>
      <c r="B33" s="82" t="s">
        <v>1910</v>
      </c>
      <c r="C33" s="82" t="str">
        <f t="shared" si="0"/>
        <v>X</v>
      </c>
      <c r="D33" s="216">
        <v>2022</v>
      </c>
      <c r="E33" s="83" t="s">
        <v>623</v>
      </c>
      <c r="F33" s="428" t="s">
        <v>620</v>
      </c>
      <c r="G33" s="258">
        <v>2010</v>
      </c>
      <c r="I33" s="215" t="str">
        <f t="shared" si="1"/>
        <v>Ligeiro de Passageiros M1: Geral : Gasóleo : Geral</v>
      </c>
      <c r="J33" s="446">
        <v>1210.5999999999999</v>
      </c>
      <c r="K33" s="428" t="s">
        <v>630</v>
      </c>
      <c r="L33">
        <v>19222</v>
      </c>
      <c r="M33" s="125">
        <v>4</v>
      </c>
      <c r="N33" s="133">
        <f t="shared" si="3"/>
        <v>6.2979918842992397</v>
      </c>
      <c r="O33" s="437"/>
      <c r="P33" s="85" t="s">
        <v>2821</v>
      </c>
      <c r="Q33" s="214" t="s">
        <v>1869</v>
      </c>
      <c r="R33" s="214" t="s">
        <v>1861</v>
      </c>
      <c r="S33" t="s">
        <v>1953</v>
      </c>
      <c r="T33" t="s">
        <v>2814</v>
      </c>
    </row>
    <row r="34" spans="1:20" ht="15.75" thickBot="1" x14ac:dyDescent="0.3">
      <c r="A34" s="82" t="s">
        <v>1910</v>
      </c>
      <c r="B34" s="82" t="s">
        <v>1910</v>
      </c>
      <c r="C34" s="82" t="str">
        <f t="shared" si="0"/>
        <v>X</v>
      </c>
      <c r="D34" s="216">
        <v>2022</v>
      </c>
      <c r="E34" s="83" t="s">
        <v>623</v>
      </c>
      <c r="F34" s="428" t="s">
        <v>620</v>
      </c>
      <c r="G34" s="258">
        <v>2016</v>
      </c>
      <c r="H34" t="s">
        <v>733</v>
      </c>
      <c r="I34" s="215" t="str">
        <f t="shared" si="1"/>
        <v>Ligeiro de Passageiros M1: Geral : Gasóleo : E6</v>
      </c>
      <c r="J34" s="446">
        <v>789</v>
      </c>
      <c r="K34" s="428" t="s">
        <v>630</v>
      </c>
      <c r="L34">
        <v>11902</v>
      </c>
      <c r="M34" s="125">
        <v>4</v>
      </c>
      <c r="N34" s="133">
        <f t="shared" si="3"/>
        <v>6.6291379600067213</v>
      </c>
      <c r="O34" s="437"/>
      <c r="P34" s="85" t="s">
        <v>2821</v>
      </c>
      <c r="Q34" s="214" t="s">
        <v>1869</v>
      </c>
      <c r="R34" s="214" t="s">
        <v>1861</v>
      </c>
      <c r="S34" t="s">
        <v>1953</v>
      </c>
      <c r="T34" t="s">
        <v>2814</v>
      </c>
    </row>
    <row r="35" spans="1:20" ht="15.75" thickBot="1" x14ac:dyDescent="0.3">
      <c r="A35" s="82" t="s">
        <v>1910</v>
      </c>
      <c r="B35" s="82" t="s">
        <v>1910</v>
      </c>
      <c r="C35" s="82" t="str">
        <f t="shared" si="0"/>
        <v>X</v>
      </c>
      <c r="D35" s="216">
        <v>2022</v>
      </c>
      <c r="E35" s="83" t="s">
        <v>623</v>
      </c>
      <c r="F35" s="428" t="s">
        <v>620</v>
      </c>
      <c r="G35" s="258">
        <v>2019</v>
      </c>
      <c r="H35" t="s">
        <v>733</v>
      </c>
      <c r="I35" s="215" t="str">
        <f t="shared" si="1"/>
        <v>Ligeiro de Passageiros M1: Geral : Gasóleo : E6</v>
      </c>
      <c r="J35" s="446">
        <v>1296.0999999999999</v>
      </c>
      <c r="K35" s="428" t="s">
        <v>630</v>
      </c>
      <c r="L35">
        <v>29419</v>
      </c>
      <c r="M35" s="125">
        <v>4</v>
      </c>
      <c r="N35" s="133">
        <f t="shared" si="3"/>
        <v>4.4056562085726902</v>
      </c>
      <c r="O35" s="437"/>
      <c r="P35" s="85" t="s">
        <v>2821</v>
      </c>
      <c r="Q35" s="214" t="s">
        <v>1869</v>
      </c>
      <c r="R35" s="214" t="s">
        <v>1861</v>
      </c>
      <c r="S35" t="s">
        <v>1953</v>
      </c>
      <c r="T35" t="s">
        <v>2814</v>
      </c>
    </row>
    <row r="36" spans="1:20" ht="15.75" thickBot="1" x14ac:dyDescent="0.3">
      <c r="A36" s="82" t="s">
        <v>1910</v>
      </c>
      <c r="B36" s="82" t="s">
        <v>1910</v>
      </c>
      <c r="C36" s="82" t="str">
        <f t="shared" si="0"/>
        <v>X</v>
      </c>
      <c r="D36" s="216">
        <v>2022</v>
      </c>
      <c r="E36" s="83" t="s">
        <v>623</v>
      </c>
      <c r="F36" s="428" t="s">
        <v>620</v>
      </c>
      <c r="G36" s="258">
        <v>2015</v>
      </c>
      <c r="H36" t="s">
        <v>733</v>
      </c>
      <c r="I36" s="215" t="str">
        <f t="shared" si="1"/>
        <v>Ligeiro de Passageiros M1: Geral : Gasóleo : E6</v>
      </c>
      <c r="J36" s="446">
        <v>1253</v>
      </c>
      <c r="K36" s="428" t="s">
        <v>630</v>
      </c>
      <c r="L36">
        <v>19536</v>
      </c>
      <c r="M36" s="125">
        <v>4</v>
      </c>
      <c r="N36" s="133">
        <f t="shared" si="3"/>
        <v>6.4138001638001638</v>
      </c>
      <c r="O36" s="437"/>
      <c r="P36" s="85" t="s">
        <v>2821</v>
      </c>
      <c r="Q36" s="214" t="s">
        <v>1869</v>
      </c>
      <c r="R36" s="214" t="s">
        <v>1861</v>
      </c>
      <c r="S36" t="s">
        <v>1953</v>
      </c>
      <c r="T36" t="s">
        <v>2814</v>
      </c>
    </row>
    <row r="37" spans="1:20" ht="15.75" thickBot="1" x14ac:dyDescent="0.3">
      <c r="A37" s="82" t="s">
        <v>1910</v>
      </c>
      <c r="B37" s="82" t="s">
        <v>1910</v>
      </c>
      <c r="C37" s="82" t="str">
        <f t="shared" si="0"/>
        <v>X</v>
      </c>
      <c r="D37" s="216">
        <v>2022</v>
      </c>
      <c r="E37" s="83" t="s">
        <v>623</v>
      </c>
      <c r="F37" s="428" t="s">
        <v>620</v>
      </c>
      <c r="G37" s="258">
        <v>2016</v>
      </c>
      <c r="H37" t="s">
        <v>733</v>
      </c>
      <c r="I37" s="215" t="str">
        <f t="shared" si="1"/>
        <v>Ligeiro de Passageiros M1: Geral : Gasóleo : E6</v>
      </c>
      <c r="J37" s="446">
        <v>2073.1</v>
      </c>
      <c r="K37" s="428" t="s">
        <v>630</v>
      </c>
      <c r="L37">
        <v>25908</v>
      </c>
      <c r="M37" s="125">
        <v>2</v>
      </c>
      <c r="N37" s="133">
        <f t="shared" si="3"/>
        <v>8.0017755133549464</v>
      </c>
      <c r="O37" s="437"/>
      <c r="P37" s="85" t="s">
        <v>2822</v>
      </c>
      <c r="Q37" s="214" t="s">
        <v>1869</v>
      </c>
      <c r="R37" s="214" t="s">
        <v>1861</v>
      </c>
      <c r="S37" t="s">
        <v>1953</v>
      </c>
      <c r="T37" t="s">
        <v>2814</v>
      </c>
    </row>
    <row r="38" spans="1:20" ht="15.75" thickBot="1" x14ac:dyDescent="0.3">
      <c r="A38" s="82" t="s">
        <v>1910</v>
      </c>
      <c r="B38" s="82" t="s">
        <v>1910</v>
      </c>
      <c r="C38" s="82" t="str">
        <f t="shared" si="0"/>
        <v>X</v>
      </c>
      <c r="D38" s="216">
        <v>2022</v>
      </c>
      <c r="E38" s="83" t="s">
        <v>623</v>
      </c>
      <c r="F38" s="428" t="s">
        <v>620</v>
      </c>
      <c r="G38" s="258">
        <v>2019</v>
      </c>
      <c r="H38" t="s">
        <v>733</v>
      </c>
      <c r="I38" s="215" t="str">
        <f t="shared" si="1"/>
        <v>Ligeiro de Passageiros M1: Geral : Gasóleo : E6</v>
      </c>
      <c r="J38" s="446">
        <v>2183</v>
      </c>
      <c r="K38" s="428" t="s">
        <v>630</v>
      </c>
      <c r="L38">
        <v>50360</v>
      </c>
      <c r="M38" s="125">
        <v>2</v>
      </c>
      <c r="N38" s="133">
        <f t="shared" si="3"/>
        <v>4.3347895154884828</v>
      </c>
      <c r="O38" s="437"/>
      <c r="P38" s="85" t="s">
        <v>2822</v>
      </c>
      <c r="Q38" s="214" t="s">
        <v>1869</v>
      </c>
      <c r="R38" s="214" t="s">
        <v>1861</v>
      </c>
      <c r="S38" t="s">
        <v>1953</v>
      </c>
      <c r="T38" t="s">
        <v>2814</v>
      </c>
    </row>
    <row r="39" spans="1:20" ht="15.75" thickBot="1" x14ac:dyDescent="0.3">
      <c r="A39" s="82" t="s">
        <v>1910</v>
      </c>
      <c r="B39" s="82" t="s">
        <v>1910</v>
      </c>
      <c r="C39" s="82" t="str">
        <f t="shared" si="0"/>
        <v>X</v>
      </c>
      <c r="D39" s="216">
        <v>2022</v>
      </c>
      <c r="E39" s="83" t="s">
        <v>623</v>
      </c>
      <c r="F39" s="428" t="s">
        <v>620</v>
      </c>
      <c r="G39" s="258">
        <v>2016</v>
      </c>
      <c r="H39" t="s">
        <v>733</v>
      </c>
      <c r="I39" s="215" t="str">
        <f t="shared" si="1"/>
        <v>Ligeiro de Passageiros M1: Geral : Gasóleo : E6</v>
      </c>
      <c r="J39" s="446">
        <v>1327</v>
      </c>
      <c r="K39" s="428" t="s">
        <v>630</v>
      </c>
      <c r="L39">
        <v>15458</v>
      </c>
      <c r="M39" s="125">
        <v>2</v>
      </c>
      <c r="N39" s="133">
        <f t="shared" si="3"/>
        <v>8.5845516884461119</v>
      </c>
      <c r="O39" s="437"/>
      <c r="P39" s="85" t="s">
        <v>2822</v>
      </c>
      <c r="Q39" s="214" t="s">
        <v>1869</v>
      </c>
      <c r="R39" s="214" t="s">
        <v>1861</v>
      </c>
      <c r="S39" t="s">
        <v>1953</v>
      </c>
      <c r="T39" t="s">
        <v>2814</v>
      </c>
    </row>
    <row r="40" spans="1:20" ht="15.75" thickBot="1" x14ac:dyDescent="0.3">
      <c r="A40" s="82" t="s">
        <v>1910</v>
      </c>
      <c r="B40" s="82" t="s">
        <v>1910</v>
      </c>
      <c r="C40" s="82" t="str">
        <f t="shared" si="0"/>
        <v>X</v>
      </c>
      <c r="D40" s="216">
        <v>2022</v>
      </c>
      <c r="E40" s="83" t="s">
        <v>623</v>
      </c>
      <c r="F40" s="428" t="s">
        <v>620</v>
      </c>
      <c r="G40" s="258">
        <v>2010</v>
      </c>
      <c r="I40" s="215" t="str">
        <f t="shared" si="1"/>
        <v>Ligeiro de Passageiros M1: Geral : Gasóleo : Geral</v>
      </c>
      <c r="J40" s="446">
        <v>581</v>
      </c>
      <c r="K40" s="428" t="s">
        <v>630</v>
      </c>
      <c r="L40">
        <v>11076</v>
      </c>
      <c r="M40" s="125">
        <v>4</v>
      </c>
      <c r="N40" s="133">
        <f t="shared" si="3"/>
        <v>5.2455760202239077</v>
      </c>
      <c r="O40" s="437"/>
      <c r="P40" s="85" t="s">
        <v>2821</v>
      </c>
      <c r="Q40" s="214" t="s">
        <v>1869</v>
      </c>
      <c r="R40" s="214" t="s">
        <v>1861</v>
      </c>
      <c r="S40" t="s">
        <v>1953</v>
      </c>
      <c r="T40" t="s">
        <v>2814</v>
      </c>
    </row>
    <row r="41" spans="1:20" ht="15.75" thickBot="1" x14ac:dyDescent="0.3">
      <c r="A41" s="82" t="s">
        <v>1910</v>
      </c>
      <c r="B41" s="82" t="s">
        <v>1910</v>
      </c>
      <c r="C41" s="82" t="str">
        <f t="shared" si="0"/>
        <v>X</v>
      </c>
      <c r="D41" s="216">
        <v>2022</v>
      </c>
      <c r="E41" s="83" t="s">
        <v>623</v>
      </c>
      <c r="F41" s="428" t="s">
        <v>620</v>
      </c>
      <c r="G41" s="258">
        <v>2018</v>
      </c>
      <c r="H41" t="s">
        <v>733</v>
      </c>
      <c r="I41" s="215" t="str">
        <f t="shared" si="1"/>
        <v>Ligeiro de Passageiros M1: Geral : Gasóleo : E6</v>
      </c>
      <c r="J41" s="446">
        <v>1243.2</v>
      </c>
      <c r="K41" s="428" t="s">
        <v>630</v>
      </c>
      <c r="L41">
        <v>18931</v>
      </c>
      <c r="M41" s="125">
        <v>4</v>
      </c>
      <c r="N41" s="133">
        <f t="shared" si="3"/>
        <v>6.5670064972795945</v>
      </c>
      <c r="O41" s="437"/>
      <c r="P41" s="85" t="s">
        <v>2821</v>
      </c>
      <c r="Q41" s="214" t="s">
        <v>1869</v>
      </c>
      <c r="R41" s="214" t="s">
        <v>1861</v>
      </c>
      <c r="S41" t="s">
        <v>1953</v>
      </c>
      <c r="T41" t="s">
        <v>2814</v>
      </c>
    </row>
    <row r="42" spans="1:20" ht="15.75" thickBot="1" x14ac:dyDescent="0.3">
      <c r="A42" s="82" t="s">
        <v>1910</v>
      </c>
      <c r="B42" s="82" t="s">
        <v>1910</v>
      </c>
      <c r="C42" s="82" t="str">
        <f t="shared" si="0"/>
        <v>X</v>
      </c>
      <c r="D42" s="216">
        <v>2022</v>
      </c>
      <c r="E42" s="83" t="s">
        <v>623</v>
      </c>
      <c r="F42" s="428" t="s">
        <v>620</v>
      </c>
      <c r="G42" s="258">
        <v>2011</v>
      </c>
      <c r="I42" s="215" t="str">
        <f t="shared" si="1"/>
        <v>Ligeiro de Passageiros M1: Geral : Gasóleo : Geral</v>
      </c>
      <c r="J42" s="446">
        <v>1319.4</v>
      </c>
      <c r="K42" s="428" t="s">
        <v>630</v>
      </c>
      <c r="L42">
        <v>23761</v>
      </c>
      <c r="M42" s="125">
        <v>4</v>
      </c>
      <c r="N42" s="133">
        <f t="shared" si="3"/>
        <v>5.5527965994697199</v>
      </c>
      <c r="O42" s="437"/>
      <c r="P42" s="85" t="s">
        <v>2821</v>
      </c>
      <c r="Q42" s="214" t="s">
        <v>1869</v>
      </c>
      <c r="R42" s="214" t="s">
        <v>1861</v>
      </c>
      <c r="S42" t="s">
        <v>1953</v>
      </c>
      <c r="T42" t="s">
        <v>2814</v>
      </c>
    </row>
    <row r="43" spans="1:20" ht="15.75" thickBot="1" x14ac:dyDescent="0.3">
      <c r="A43" s="82" t="s">
        <v>1910</v>
      </c>
      <c r="B43" s="82" t="s">
        <v>1910</v>
      </c>
      <c r="C43" s="82" t="str">
        <f t="shared" si="0"/>
        <v>X</v>
      </c>
      <c r="D43" s="216">
        <v>2022</v>
      </c>
      <c r="E43" s="83" t="s">
        <v>623</v>
      </c>
      <c r="F43" s="428" t="s">
        <v>620</v>
      </c>
      <c r="G43" s="258">
        <v>2010</v>
      </c>
      <c r="I43" s="215" t="str">
        <f t="shared" si="1"/>
        <v>Ligeiro de Passageiros M1: Geral : Gasóleo : Geral</v>
      </c>
      <c r="J43" s="446">
        <v>1225.3</v>
      </c>
      <c r="K43" s="428" t="s">
        <v>630</v>
      </c>
      <c r="L43">
        <v>16130</v>
      </c>
      <c r="M43" s="125">
        <v>2</v>
      </c>
      <c r="N43" s="133">
        <f t="shared" si="3"/>
        <v>7.5964042157470546</v>
      </c>
      <c r="O43" s="437"/>
      <c r="P43" s="85" t="s">
        <v>2822</v>
      </c>
      <c r="Q43" s="214" t="s">
        <v>1869</v>
      </c>
      <c r="R43" s="214" t="s">
        <v>1861</v>
      </c>
      <c r="S43" t="s">
        <v>1953</v>
      </c>
      <c r="T43" t="s">
        <v>2814</v>
      </c>
    </row>
    <row r="44" spans="1:20" ht="15.75" thickBot="1" x14ac:dyDescent="0.3">
      <c r="A44" s="82" t="s">
        <v>1910</v>
      </c>
      <c r="B44" s="82" t="s">
        <v>1910</v>
      </c>
      <c r="C44" s="82" t="str">
        <f t="shared" si="0"/>
        <v>X</v>
      </c>
      <c r="D44" s="216">
        <v>2022</v>
      </c>
      <c r="E44" s="83" t="s">
        <v>623</v>
      </c>
      <c r="F44" s="428" t="s">
        <v>620</v>
      </c>
      <c r="G44" s="258">
        <v>2019</v>
      </c>
      <c r="H44" t="s">
        <v>733</v>
      </c>
      <c r="I44" s="215" t="str">
        <f t="shared" si="1"/>
        <v>Ligeiro de Passageiros M1: Geral : Gasóleo : E6</v>
      </c>
      <c r="J44" s="446">
        <v>1133.9000000000001</v>
      </c>
      <c r="K44" s="428" t="s">
        <v>630</v>
      </c>
      <c r="L44">
        <v>23859</v>
      </c>
      <c r="M44" s="125">
        <v>4</v>
      </c>
      <c r="N44" s="133">
        <f t="shared" si="3"/>
        <v>4.752504296072761</v>
      </c>
      <c r="O44" s="437"/>
      <c r="P44" s="85" t="s">
        <v>2821</v>
      </c>
      <c r="Q44" s="214" t="s">
        <v>1869</v>
      </c>
      <c r="R44" s="214" t="s">
        <v>1861</v>
      </c>
      <c r="S44" t="s">
        <v>1953</v>
      </c>
      <c r="T44" t="s">
        <v>2814</v>
      </c>
    </row>
    <row r="45" spans="1:20" ht="15.75" thickBot="1" x14ac:dyDescent="0.3">
      <c r="A45" s="82" t="s">
        <v>1910</v>
      </c>
      <c r="B45" s="82" t="s">
        <v>1910</v>
      </c>
      <c r="C45" s="82" t="str">
        <f t="shared" si="0"/>
        <v>X</v>
      </c>
      <c r="D45" s="216">
        <v>2022</v>
      </c>
      <c r="E45" s="83" t="s">
        <v>623</v>
      </c>
      <c r="F45" s="428" t="s">
        <v>1933</v>
      </c>
      <c r="G45" s="258">
        <v>2014</v>
      </c>
      <c r="I45" s="215" t="str">
        <f t="shared" si="1"/>
        <v>Ligeiro de Passageiros M1: Geral : Gasolina : Geral</v>
      </c>
      <c r="J45" s="446">
        <v>4328.8999999999996</v>
      </c>
      <c r="K45" s="428" t="s">
        <v>630</v>
      </c>
      <c r="L45">
        <v>36004</v>
      </c>
      <c r="M45" s="125">
        <v>2</v>
      </c>
      <c r="N45" s="133">
        <f t="shared" si="3"/>
        <v>12.023386290412176</v>
      </c>
      <c r="O45" s="437"/>
      <c r="P45" s="85" t="s">
        <v>2822</v>
      </c>
      <c r="Q45" s="214" t="s">
        <v>1869</v>
      </c>
      <c r="R45" s="214" t="s">
        <v>1861</v>
      </c>
      <c r="S45" t="s">
        <v>1953</v>
      </c>
      <c r="T45" t="s">
        <v>2814</v>
      </c>
    </row>
    <row r="46" spans="1:20" ht="15.75" thickBot="1" x14ac:dyDescent="0.3">
      <c r="A46" s="82" t="s">
        <v>2823</v>
      </c>
      <c r="B46" s="82" t="s">
        <v>2823</v>
      </c>
      <c r="C46" s="82" t="str">
        <f t="shared" si="0"/>
        <v>X</v>
      </c>
      <c r="D46" s="216">
        <v>2022</v>
      </c>
      <c r="E46" s="83" t="s">
        <v>623</v>
      </c>
      <c r="F46" s="428" t="s">
        <v>1933</v>
      </c>
      <c r="I46" s="215" t="str">
        <f t="shared" si="1"/>
        <v>Ligeiro de Passageiros M1: Geral : Gasolina : Geral</v>
      </c>
      <c r="M46" s="125">
        <v>2</v>
      </c>
      <c r="N46" s="133">
        <f t="shared" si="3"/>
        <v>0</v>
      </c>
      <c r="O46" s="437"/>
      <c r="P46" s="91" t="s">
        <v>625</v>
      </c>
      <c r="Q46" s="214" t="s">
        <v>1869</v>
      </c>
      <c r="R46" s="214" t="s">
        <v>1861</v>
      </c>
      <c r="S46" t="s">
        <v>1953</v>
      </c>
      <c r="T46" t="s">
        <v>2814</v>
      </c>
    </row>
    <row r="47" spans="1:20" ht="15.75" thickBot="1" x14ac:dyDescent="0.3">
      <c r="A47" s="82" t="s">
        <v>2823</v>
      </c>
      <c r="B47" s="82" t="s">
        <v>2823</v>
      </c>
      <c r="C47" s="82" t="str">
        <f t="shared" si="0"/>
        <v>X</v>
      </c>
      <c r="D47" s="216">
        <v>2022</v>
      </c>
      <c r="E47" s="83" t="s">
        <v>623</v>
      </c>
      <c r="F47" s="428" t="s">
        <v>1933</v>
      </c>
      <c r="I47" s="215" t="str">
        <f t="shared" si="1"/>
        <v>Ligeiro de Passageiros M1: Geral : Gasolina : Geral</v>
      </c>
      <c r="M47" s="125">
        <v>5</v>
      </c>
      <c r="N47" s="133">
        <f t="shared" si="3"/>
        <v>0</v>
      </c>
      <c r="O47" s="437"/>
      <c r="P47" s="91" t="s">
        <v>625</v>
      </c>
      <c r="Q47" s="214" t="s">
        <v>1869</v>
      </c>
      <c r="R47" s="214" t="s">
        <v>1861</v>
      </c>
      <c r="S47" t="s">
        <v>1953</v>
      </c>
      <c r="T47" t="s">
        <v>2814</v>
      </c>
    </row>
    <row r="48" spans="1:20" ht="15.75" thickBot="1" x14ac:dyDescent="0.3">
      <c r="A48" s="82" t="s">
        <v>2823</v>
      </c>
      <c r="B48" s="82" t="s">
        <v>2823</v>
      </c>
      <c r="C48" s="82" t="str">
        <f t="shared" si="0"/>
        <v>X</v>
      </c>
      <c r="D48" s="216">
        <v>2022</v>
      </c>
      <c r="E48" s="83" t="s">
        <v>623</v>
      </c>
      <c r="F48" s="428" t="s">
        <v>620</v>
      </c>
      <c r="I48" s="215" t="str">
        <f t="shared" si="1"/>
        <v>Ligeiro de Passageiros M1: Geral : Gasóleo : Geral</v>
      </c>
      <c r="M48" s="125">
        <v>5</v>
      </c>
      <c r="N48" s="133">
        <f t="shared" si="3"/>
        <v>0</v>
      </c>
      <c r="O48" s="437"/>
      <c r="P48" s="91" t="s">
        <v>625</v>
      </c>
      <c r="Q48" s="214" t="s">
        <v>1869</v>
      </c>
      <c r="R48" s="214" t="s">
        <v>1861</v>
      </c>
      <c r="S48" t="s">
        <v>1953</v>
      </c>
      <c r="T48" t="s">
        <v>2814</v>
      </c>
    </row>
    <row r="49" spans="1:20" ht="15.75" thickBot="1" x14ac:dyDescent="0.3">
      <c r="A49" s="82" t="s">
        <v>2823</v>
      </c>
      <c r="B49" s="82" t="s">
        <v>2823</v>
      </c>
      <c r="C49" s="82" t="str">
        <f t="shared" si="0"/>
        <v>X</v>
      </c>
      <c r="D49" s="216">
        <v>2022</v>
      </c>
      <c r="E49" s="83" t="s">
        <v>623</v>
      </c>
      <c r="F49" s="428" t="s">
        <v>620</v>
      </c>
      <c r="I49" s="215" t="str">
        <f t="shared" si="1"/>
        <v>Ligeiro de Passageiros M1: Geral : Gasóleo : Geral</v>
      </c>
      <c r="M49" s="125">
        <v>2</v>
      </c>
      <c r="N49" s="133">
        <f t="shared" si="3"/>
        <v>0</v>
      </c>
      <c r="O49" s="437"/>
      <c r="P49" s="91" t="s">
        <v>625</v>
      </c>
      <c r="Q49" s="214" t="s">
        <v>1869</v>
      </c>
      <c r="R49" s="214" t="s">
        <v>1861</v>
      </c>
      <c r="S49" t="s">
        <v>1953</v>
      </c>
      <c r="T49" t="s">
        <v>2814</v>
      </c>
    </row>
    <row r="50" spans="1:20" ht="15.75" thickBot="1" x14ac:dyDescent="0.3">
      <c r="A50" s="82" t="s">
        <v>2823</v>
      </c>
      <c r="B50" s="82" t="s">
        <v>2823</v>
      </c>
      <c r="C50" s="82" t="str">
        <f t="shared" si="0"/>
        <v>X</v>
      </c>
      <c r="D50" s="216">
        <v>2022</v>
      </c>
      <c r="E50" s="83" t="s">
        <v>623</v>
      </c>
      <c r="F50" s="428" t="s">
        <v>620</v>
      </c>
      <c r="I50" s="215" t="str">
        <f t="shared" si="1"/>
        <v>Ligeiro de Passageiros M1: Geral : Gasóleo : Geral</v>
      </c>
      <c r="M50" s="125">
        <v>5</v>
      </c>
      <c r="N50" s="133">
        <f t="shared" si="3"/>
        <v>0</v>
      </c>
      <c r="O50" s="437"/>
      <c r="P50" s="91" t="s">
        <v>625</v>
      </c>
      <c r="Q50" s="214" t="s">
        <v>1869</v>
      </c>
      <c r="R50" s="214" t="s">
        <v>1861</v>
      </c>
      <c r="S50" t="s">
        <v>1953</v>
      </c>
      <c r="T50" t="s">
        <v>2814</v>
      </c>
    </row>
    <row r="51" spans="1:20" ht="15.75" thickBot="1" x14ac:dyDescent="0.3">
      <c r="A51" s="82" t="s">
        <v>2823</v>
      </c>
      <c r="B51" s="82" t="s">
        <v>2823</v>
      </c>
      <c r="C51" s="82" t="str">
        <f t="shared" si="0"/>
        <v>X</v>
      </c>
      <c r="D51" s="216">
        <v>2022</v>
      </c>
      <c r="E51" s="83" t="s">
        <v>623</v>
      </c>
      <c r="F51" s="428" t="s">
        <v>620</v>
      </c>
      <c r="I51" s="215" t="str">
        <f t="shared" si="1"/>
        <v>Ligeiro de Passageiros M1: Geral : Gasóleo : Geral</v>
      </c>
      <c r="M51" s="125">
        <v>5</v>
      </c>
      <c r="N51" s="133">
        <f t="shared" si="3"/>
        <v>0</v>
      </c>
      <c r="O51" s="437"/>
      <c r="P51" s="91" t="s">
        <v>625</v>
      </c>
      <c r="Q51" s="214" t="s">
        <v>1869</v>
      </c>
      <c r="R51" s="214" t="s">
        <v>1861</v>
      </c>
      <c r="S51" t="s">
        <v>1953</v>
      </c>
      <c r="T51" t="s">
        <v>2814</v>
      </c>
    </row>
    <row r="52" spans="1:20" ht="15.75" thickBot="1" x14ac:dyDescent="0.3">
      <c r="A52" s="82" t="s">
        <v>2823</v>
      </c>
      <c r="B52" s="82" t="s">
        <v>2823</v>
      </c>
      <c r="C52" s="82" t="str">
        <f t="shared" si="0"/>
        <v>X</v>
      </c>
      <c r="D52" s="216">
        <v>2022</v>
      </c>
      <c r="E52" s="83" t="s">
        <v>624</v>
      </c>
      <c r="F52" s="428" t="s">
        <v>620</v>
      </c>
      <c r="I52" s="215" t="str">
        <f t="shared" si="1"/>
        <v>Ligeiro de Mercadorias N1: Geral : Gasóleo : Geral</v>
      </c>
      <c r="M52" s="125">
        <v>5</v>
      </c>
      <c r="N52" s="133">
        <f t="shared" si="3"/>
        <v>0</v>
      </c>
      <c r="O52" s="437"/>
      <c r="P52" s="91" t="s">
        <v>625</v>
      </c>
      <c r="Q52" s="214" t="s">
        <v>1869</v>
      </c>
      <c r="R52" s="214" t="s">
        <v>1861</v>
      </c>
      <c r="S52" t="s">
        <v>1953</v>
      </c>
      <c r="T52" t="s">
        <v>2814</v>
      </c>
    </row>
    <row r="53" spans="1:20" ht="15.75" thickBot="1" x14ac:dyDescent="0.3">
      <c r="A53" s="82" t="s">
        <v>3476</v>
      </c>
      <c r="B53" s="82" t="s">
        <v>3476</v>
      </c>
      <c r="C53" s="82" t="str">
        <f t="shared" si="0"/>
        <v>X</v>
      </c>
      <c r="D53" s="216">
        <v>2022</v>
      </c>
      <c r="E53" s="83" t="s">
        <v>623</v>
      </c>
      <c r="F53" s="428" t="s">
        <v>620</v>
      </c>
      <c r="I53" s="215" t="str">
        <f t="shared" si="1"/>
        <v>Ligeiro de Passageiros M1: Geral : Gasóleo : Geral</v>
      </c>
      <c r="M53" s="125">
        <v>5</v>
      </c>
      <c r="N53" s="133">
        <f t="shared" si="3"/>
        <v>0</v>
      </c>
      <c r="O53" s="437"/>
      <c r="P53" s="91" t="s">
        <v>625</v>
      </c>
      <c r="Q53" s="214" t="s">
        <v>1869</v>
      </c>
      <c r="R53" s="214" t="s">
        <v>1861</v>
      </c>
      <c r="S53" t="s">
        <v>1953</v>
      </c>
      <c r="T53" t="s">
        <v>2814</v>
      </c>
    </row>
    <row r="54" spans="1:20" ht="15.75" thickBot="1" x14ac:dyDescent="0.3">
      <c r="A54" s="82" t="s">
        <v>3477</v>
      </c>
      <c r="B54" s="82" t="s">
        <v>3477</v>
      </c>
      <c r="C54" s="82" t="str">
        <f t="shared" si="0"/>
        <v>X</v>
      </c>
      <c r="D54" s="216">
        <v>2022</v>
      </c>
      <c r="E54" s="83" t="s">
        <v>623</v>
      </c>
      <c r="F54" s="428" t="s">
        <v>620</v>
      </c>
      <c r="I54" s="215" t="str">
        <f t="shared" si="1"/>
        <v>Ligeiro de Passageiros M1: Geral : Gasóleo : Geral</v>
      </c>
      <c r="M54" s="125">
        <v>5</v>
      </c>
      <c r="N54" s="133">
        <f t="shared" si="3"/>
        <v>0</v>
      </c>
      <c r="O54" s="437"/>
      <c r="P54" s="91" t="s">
        <v>625</v>
      </c>
      <c r="Q54" s="214" t="s">
        <v>1869</v>
      </c>
      <c r="R54" s="214" t="s">
        <v>1861</v>
      </c>
      <c r="S54" t="s">
        <v>1953</v>
      </c>
      <c r="T54" t="s">
        <v>2814</v>
      </c>
    </row>
    <row r="55" spans="1:20" ht="15.75" thickBot="1" x14ac:dyDescent="0.3">
      <c r="A55" s="82" t="s">
        <v>3477</v>
      </c>
      <c r="B55" s="82" t="s">
        <v>3477</v>
      </c>
      <c r="C55" s="82" t="str">
        <f t="shared" si="0"/>
        <v>X</v>
      </c>
      <c r="D55" s="216">
        <v>2022</v>
      </c>
      <c r="E55" s="83" t="s">
        <v>623</v>
      </c>
      <c r="F55" s="428" t="s">
        <v>620</v>
      </c>
      <c r="I55" s="215" t="str">
        <f t="shared" si="1"/>
        <v>Ligeiro de Passageiros M1: Geral : Gasóleo : Geral</v>
      </c>
      <c r="M55" s="125">
        <v>5</v>
      </c>
      <c r="N55" s="133">
        <f t="shared" si="3"/>
        <v>0</v>
      </c>
      <c r="O55" s="437"/>
      <c r="P55" s="91" t="s">
        <v>625</v>
      </c>
      <c r="Q55" s="214" t="s">
        <v>1869</v>
      </c>
      <c r="R55" s="214" t="s">
        <v>1861</v>
      </c>
      <c r="S55" t="s">
        <v>1953</v>
      </c>
      <c r="T55" t="s">
        <v>2814</v>
      </c>
    </row>
    <row r="56" spans="1:20" ht="15.75" thickBot="1" x14ac:dyDescent="0.3">
      <c r="A56" s="82" t="s">
        <v>3477</v>
      </c>
      <c r="B56" s="82" t="s">
        <v>3477</v>
      </c>
      <c r="C56" s="82" t="str">
        <f t="shared" si="0"/>
        <v>X</v>
      </c>
      <c r="D56" s="216">
        <v>2022</v>
      </c>
      <c r="E56" s="83" t="s">
        <v>623</v>
      </c>
      <c r="F56" s="428" t="s">
        <v>620</v>
      </c>
      <c r="I56" s="215" t="str">
        <f t="shared" si="1"/>
        <v>Ligeiro de Passageiros M1: Geral : Gasóleo : Geral</v>
      </c>
      <c r="M56" s="125">
        <v>5</v>
      </c>
      <c r="N56" s="133">
        <f t="shared" si="3"/>
        <v>0</v>
      </c>
      <c r="O56" s="437"/>
      <c r="P56" s="91" t="s">
        <v>625</v>
      </c>
      <c r="Q56" s="214" t="s">
        <v>1869</v>
      </c>
      <c r="R56" s="214" t="s">
        <v>1861</v>
      </c>
      <c r="S56" t="s">
        <v>1953</v>
      </c>
      <c r="T56" t="s">
        <v>2814</v>
      </c>
    </row>
    <row r="57" spans="1:20" ht="15.75" thickBot="1" x14ac:dyDescent="0.3">
      <c r="A57" s="82" t="s">
        <v>3477</v>
      </c>
      <c r="B57" s="82" t="s">
        <v>3477</v>
      </c>
      <c r="C57" s="82" t="str">
        <f t="shared" si="0"/>
        <v>X</v>
      </c>
      <c r="D57" s="216">
        <v>2022</v>
      </c>
      <c r="E57" s="83" t="s">
        <v>623</v>
      </c>
      <c r="F57" s="428" t="s">
        <v>620</v>
      </c>
      <c r="I57" s="215" t="str">
        <f t="shared" si="1"/>
        <v>Ligeiro de Passageiros M1: Geral : Gasóleo : Geral</v>
      </c>
      <c r="M57" s="125">
        <v>5</v>
      </c>
      <c r="N57" s="133">
        <f t="shared" si="3"/>
        <v>0</v>
      </c>
      <c r="O57" s="437"/>
      <c r="P57" s="91" t="s">
        <v>625</v>
      </c>
      <c r="Q57" s="214" t="s">
        <v>1869</v>
      </c>
      <c r="R57" s="214" t="s">
        <v>1861</v>
      </c>
      <c r="S57" t="s">
        <v>1953</v>
      </c>
      <c r="T57" t="s">
        <v>2814</v>
      </c>
    </row>
    <row r="58" spans="1:20" ht="15.75" thickBot="1" x14ac:dyDescent="0.3">
      <c r="A58" s="82" t="s">
        <v>3477</v>
      </c>
      <c r="B58" s="82" t="s">
        <v>3477</v>
      </c>
      <c r="C58" s="82" t="str">
        <f t="shared" si="0"/>
        <v>X</v>
      </c>
      <c r="D58" s="216">
        <v>2022</v>
      </c>
      <c r="E58" s="83" t="s">
        <v>623</v>
      </c>
      <c r="F58" s="428" t="s">
        <v>620</v>
      </c>
      <c r="I58" s="215" t="str">
        <f t="shared" si="1"/>
        <v>Ligeiro de Passageiros M1: Geral : Gasóleo : Geral</v>
      </c>
      <c r="M58" s="125">
        <v>5</v>
      </c>
      <c r="N58" s="133">
        <f t="shared" si="3"/>
        <v>0</v>
      </c>
      <c r="O58" s="437"/>
      <c r="P58" s="91" t="s">
        <v>625</v>
      </c>
      <c r="Q58" s="214" t="s">
        <v>1869</v>
      </c>
      <c r="R58" s="214" t="s">
        <v>1861</v>
      </c>
      <c r="S58" t="s">
        <v>1953</v>
      </c>
      <c r="T58" t="s">
        <v>2814</v>
      </c>
    </row>
    <row r="59" spans="1:20" ht="15.75" thickBot="1" x14ac:dyDescent="0.3">
      <c r="A59" s="82" t="s">
        <v>3477</v>
      </c>
      <c r="B59" s="82" t="s">
        <v>3477</v>
      </c>
      <c r="C59" s="82" t="str">
        <f t="shared" si="0"/>
        <v>X</v>
      </c>
      <c r="D59" s="216">
        <v>2022</v>
      </c>
      <c r="E59" s="83" t="s">
        <v>623</v>
      </c>
      <c r="F59" s="428" t="s">
        <v>620</v>
      </c>
      <c r="I59" s="215" t="str">
        <f t="shared" si="1"/>
        <v>Ligeiro de Passageiros M1: Geral : Gasóleo : Geral</v>
      </c>
      <c r="M59" s="125">
        <v>5</v>
      </c>
      <c r="N59" s="133">
        <f t="shared" si="3"/>
        <v>0</v>
      </c>
      <c r="O59" s="437"/>
      <c r="P59" s="91" t="s">
        <v>625</v>
      </c>
      <c r="Q59" s="214" t="s">
        <v>1869</v>
      </c>
      <c r="R59" s="214" t="s">
        <v>1861</v>
      </c>
      <c r="S59" t="s">
        <v>1953</v>
      </c>
      <c r="T59" t="s">
        <v>2814</v>
      </c>
    </row>
    <row r="60" spans="1:20" ht="15.75" thickBot="1" x14ac:dyDescent="0.3">
      <c r="A60" s="82" t="s">
        <v>3477</v>
      </c>
      <c r="B60" s="82" t="s">
        <v>3477</v>
      </c>
      <c r="C60" s="82" t="str">
        <f t="shared" si="0"/>
        <v>X</v>
      </c>
      <c r="D60" s="216">
        <v>2022</v>
      </c>
      <c r="E60" s="83" t="s">
        <v>623</v>
      </c>
      <c r="F60" s="428" t="s">
        <v>620</v>
      </c>
      <c r="I60" s="215" t="str">
        <f t="shared" si="1"/>
        <v>Ligeiro de Passageiros M1: Geral : Gasóleo : Geral</v>
      </c>
      <c r="M60" s="125">
        <v>5</v>
      </c>
      <c r="N60" s="133">
        <f t="shared" si="3"/>
        <v>0</v>
      </c>
      <c r="O60" s="437"/>
      <c r="P60" s="91" t="s">
        <v>625</v>
      </c>
      <c r="Q60" s="214" t="s">
        <v>1869</v>
      </c>
      <c r="R60" s="214" t="s">
        <v>1861</v>
      </c>
      <c r="S60" t="s">
        <v>1953</v>
      </c>
      <c r="T60" t="s">
        <v>2814</v>
      </c>
    </row>
    <row r="61" spans="1:20" ht="15.75" thickBot="1" x14ac:dyDescent="0.3">
      <c r="A61" s="82" t="s">
        <v>3477</v>
      </c>
      <c r="B61" s="82" t="s">
        <v>3477</v>
      </c>
      <c r="C61" s="82" t="str">
        <f t="shared" si="0"/>
        <v>X</v>
      </c>
      <c r="D61" s="216">
        <v>2022</v>
      </c>
      <c r="E61" s="83" t="s">
        <v>623</v>
      </c>
      <c r="F61" s="428" t="s">
        <v>620</v>
      </c>
      <c r="I61" s="215" t="str">
        <f t="shared" si="1"/>
        <v>Ligeiro de Passageiros M1: Geral : Gasóleo : Geral</v>
      </c>
      <c r="M61" s="125">
        <v>5</v>
      </c>
      <c r="N61" s="133">
        <f t="shared" si="3"/>
        <v>0</v>
      </c>
      <c r="O61" s="437"/>
      <c r="P61" s="91" t="s">
        <v>625</v>
      </c>
      <c r="Q61" s="214" t="s">
        <v>1869</v>
      </c>
      <c r="R61" s="214" t="s">
        <v>1861</v>
      </c>
      <c r="S61" t="s">
        <v>1953</v>
      </c>
      <c r="T61" t="s">
        <v>2814</v>
      </c>
    </row>
    <row r="62" spans="1:20" ht="15.75" thickBot="1" x14ac:dyDescent="0.3">
      <c r="A62" s="82" t="s">
        <v>3477</v>
      </c>
      <c r="B62" s="82" t="s">
        <v>3477</v>
      </c>
      <c r="C62" s="82" t="str">
        <f t="shared" si="0"/>
        <v>X</v>
      </c>
      <c r="D62" s="216">
        <v>2022</v>
      </c>
      <c r="E62" s="83" t="s">
        <v>623</v>
      </c>
      <c r="F62" s="428" t="s">
        <v>620</v>
      </c>
      <c r="I62" s="215" t="str">
        <f t="shared" si="1"/>
        <v>Ligeiro de Passageiros M1: Geral : Gasóleo : Geral</v>
      </c>
      <c r="M62" s="125">
        <v>5</v>
      </c>
      <c r="N62" s="133">
        <f t="shared" si="3"/>
        <v>0</v>
      </c>
      <c r="O62" s="437"/>
      <c r="P62" s="91" t="s">
        <v>625</v>
      </c>
      <c r="Q62" s="214" t="s">
        <v>1869</v>
      </c>
      <c r="R62" s="214" t="s">
        <v>1861</v>
      </c>
      <c r="S62" t="s">
        <v>1953</v>
      </c>
      <c r="T62" t="s">
        <v>2814</v>
      </c>
    </row>
    <row r="63" spans="1:20" ht="15.75" thickBot="1" x14ac:dyDescent="0.3">
      <c r="A63" s="82" t="s">
        <v>3477</v>
      </c>
      <c r="B63" s="82" t="s">
        <v>3477</v>
      </c>
      <c r="C63" s="82" t="str">
        <f t="shared" si="0"/>
        <v>X</v>
      </c>
      <c r="D63" s="216">
        <v>2022</v>
      </c>
      <c r="E63" s="83" t="s">
        <v>623</v>
      </c>
      <c r="F63" s="428" t="s">
        <v>620</v>
      </c>
      <c r="I63" s="215" t="str">
        <f t="shared" si="1"/>
        <v>Ligeiro de Passageiros M1: Geral : Gasóleo : Geral</v>
      </c>
      <c r="M63" s="125">
        <v>5</v>
      </c>
      <c r="N63" s="133">
        <f t="shared" si="3"/>
        <v>0</v>
      </c>
      <c r="O63" s="437"/>
      <c r="P63" s="91" t="s">
        <v>625</v>
      </c>
      <c r="Q63" s="214" t="s">
        <v>1869</v>
      </c>
      <c r="R63" s="214" t="s">
        <v>1861</v>
      </c>
      <c r="S63" t="s">
        <v>1953</v>
      </c>
      <c r="T63" t="s">
        <v>2814</v>
      </c>
    </row>
    <row r="64" spans="1:20" ht="15.75" thickBot="1" x14ac:dyDescent="0.3">
      <c r="A64" s="82" t="s">
        <v>3477</v>
      </c>
      <c r="B64" s="82" t="s">
        <v>3477</v>
      </c>
      <c r="C64" s="82" t="str">
        <f t="shared" si="0"/>
        <v>X</v>
      </c>
      <c r="D64" s="216">
        <v>2022</v>
      </c>
      <c r="E64" s="83" t="s">
        <v>623</v>
      </c>
      <c r="F64" s="428" t="s">
        <v>620</v>
      </c>
      <c r="I64" s="215" t="str">
        <f t="shared" si="1"/>
        <v>Ligeiro de Passageiros M1: Geral : Gasóleo : Geral</v>
      </c>
      <c r="M64" s="125">
        <v>5</v>
      </c>
      <c r="N64" s="133">
        <f t="shared" si="3"/>
        <v>0</v>
      </c>
      <c r="O64" s="437"/>
      <c r="P64" s="91" t="s">
        <v>625</v>
      </c>
      <c r="Q64" s="214" t="s">
        <v>1869</v>
      </c>
      <c r="R64" s="214" t="s">
        <v>1861</v>
      </c>
      <c r="S64" t="s">
        <v>1953</v>
      </c>
      <c r="T64" t="s">
        <v>2814</v>
      </c>
    </row>
    <row r="65" spans="1:20" ht="15.75" thickBot="1" x14ac:dyDescent="0.3">
      <c r="A65" s="82" t="s">
        <v>3477</v>
      </c>
      <c r="B65" s="82" t="s">
        <v>3477</v>
      </c>
      <c r="C65" s="82" t="str">
        <f t="shared" si="0"/>
        <v>X</v>
      </c>
      <c r="D65" s="216">
        <v>2022</v>
      </c>
      <c r="E65" s="83" t="s">
        <v>623</v>
      </c>
      <c r="F65" s="428" t="s">
        <v>620</v>
      </c>
      <c r="I65" s="215" t="str">
        <f t="shared" si="1"/>
        <v>Ligeiro de Passageiros M1: Geral : Gasóleo : Geral</v>
      </c>
      <c r="M65" s="125">
        <v>7</v>
      </c>
      <c r="N65" s="133">
        <f t="shared" si="3"/>
        <v>0</v>
      </c>
      <c r="O65" s="437"/>
      <c r="P65" s="91" t="s">
        <v>625</v>
      </c>
      <c r="Q65" s="214" t="s">
        <v>1869</v>
      </c>
      <c r="R65" s="214" t="s">
        <v>1861</v>
      </c>
      <c r="S65" t="s">
        <v>1953</v>
      </c>
      <c r="T65" t="s">
        <v>2814</v>
      </c>
    </row>
    <row r="66" spans="1:20" ht="15.75" thickBot="1" x14ac:dyDescent="0.3">
      <c r="A66" s="82" t="s">
        <v>3477</v>
      </c>
      <c r="B66" s="82" t="s">
        <v>3477</v>
      </c>
      <c r="C66" s="82" t="str">
        <f t="shared" si="0"/>
        <v>X</v>
      </c>
      <c r="D66" s="216">
        <v>2022</v>
      </c>
      <c r="E66" s="83" t="s">
        <v>623</v>
      </c>
      <c r="F66" s="428" t="s">
        <v>620</v>
      </c>
      <c r="I66" s="215" t="str">
        <f t="shared" si="1"/>
        <v>Ligeiro de Passageiros M1: Geral : Gasóleo : Geral</v>
      </c>
      <c r="M66" s="125">
        <v>5</v>
      </c>
      <c r="N66" s="133">
        <f t="shared" si="3"/>
        <v>0</v>
      </c>
      <c r="O66" s="437"/>
      <c r="P66" s="91" t="s">
        <v>625</v>
      </c>
      <c r="Q66" s="214" t="s">
        <v>1869</v>
      </c>
      <c r="R66" s="214" t="s">
        <v>1861</v>
      </c>
      <c r="S66" t="s">
        <v>1953</v>
      </c>
      <c r="T66" t="s">
        <v>2814</v>
      </c>
    </row>
    <row r="67" spans="1:20" ht="15.75" thickBot="1" x14ac:dyDescent="0.3">
      <c r="A67" s="82" t="s">
        <v>3477</v>
      </c>
      <c r="B67" s="82" t="s">
        <v>3477</v>
      </c>
      <c r="C67" s="82" t="str">
        <f t="shared" si="0"/>
        <v>X</v>
      </c>
      <c r="D67" s="216">
        <v>2022</v>
      </c>
      <c r="E67" s="83" t="s">
        <v>623</v>
      </c>
      <c r="F67" s="428" t="s">
        <v>620</v>
      </c>
      <c r="I67" s="215" t="str">
        <f t="shared" si="1"/>
        <v>Ligeiro de Passageiros M1: Geral : Gasóleo : Geral</v>
      </c>
      <c r="M67" s="125">
        <v>5</v>
      </c>
      <c r="N67" s="133">
        <f t="shared" si="3"/>
        <v>0</v>
      </c>
      <c r="O67" s="437"/>
      <c r="P67" s="91" t="s">
        <v>625</v>
      </c>
      <c r="Q67" s="214" t="s">
        <v>1869</v>
      </c>
      <c r="R67" s="214" t="s">
        <v>1861</v>
      </c>
      <c r="S67" t="s">
        <v>1953</v>
      </c>
      <c r="T67" t="s">
        <v>2814</v>
      </c>
    </row>
    <row r="68" spans="1:20" ht="15.75" thickBot="1" x14ac:dyDescent="0.3">
      <c r="A68" s="82" t="s">
        <v>3477</v>
      </c>
      <c r="B68" s="82" t="s">
        <v>3477</v>
      </c>
      <c r="C68" s="82" t="str">
        <f t="shared" ref="C68:C103" si="4">IF(A68=B68,"X",RIGHT(A68,LEN(A68)-LEN(B68)-3))</f>
        <v>X</v>
      </c>
      <c r="D68" s="216">
        <v>2022</v>
      </c>
      <c r="E68" s="83" t="s">
        <v>623</v>
      </c>
      <c r="F68" s="428" t="s">
        <v>620</v>
      </c>
      <c r="I68" s="215" t="str">
        <f t="shared" ref="I68:I109" si="5">IF(H68="",E68&amp;": Geral : "&amp;F68&amp;" : Geral",E68&amp;": Geral : "&amp;F68&amp;" : "&amp;H68)</f>
        <v>Ligeiro de Passageiros M1: Geral : Gasóleo : Geral</v>
      </c>
      <c r="M68" s="125">
        <v>5</v>
      </c>
      <c r="N68" s="133">
        <f t="shared" si="3"/>
        <v>0</v>
      </c>
      <c r="O68" s="437"/>
      <c r="P68" s="91" t="s">
        <v>625</v>
      </c>
      <c r="Q68" s="214" t="s">
        <v>1869</v>
      </c>
      <c r="R68" s="214" t="s">
        <v>1861</v>
      </c>
      <c r="S68" t="s">
        <v>1953</v>
      </c>
      <c r="T68" t="s">
        <v>2814</v>
      </c>
    </row>
    <row r="69" spans="1:20" ht="15.75" thickBot="1" x14ac:dyDescent="0.3">
      <c r="A69" s="82" t="s">
        <v>3477</v>
      </c>
      <c r="B69" s="82" t="s">
        <v>3477</v>
      </c>
      <c r="C69" s="82" t="str">
        <f t="shared" si="4"/>
        <v>X</v>
      </c>
      <c r="D69" s="216">
        <v>2022</v>
      </c>
      <c r="E69" s="83" t="s">
        <v>623</v>
      </c>
      <c r="F69" s="428" t="s">
        <v>1933</v>
      </c>
      <c r="I69" s="215" t="str">
        <f t="shared" si="5"/>
        <v>Ligeiro de Passageiros M1: Geral : Gasolina : Geral</v>
      </c>
      <c r="M69" s="125">
        <v>5</v>
      </c>
      <c r="N69" s="133">
        <f t="shared" si="3"/>
        <v>0</v>
      </c>
      <c r="O69" s="437"/>
      <c r="P69" s="91" t="s">
        <v>625</v>
      </c>
      <c r="Q69" s="214" t="s">
        <v>1869</v>
      </c>
      <c r="R69" s="214" t="s">
        <v>1861</v>
      </c>
      <c r="S69" t="s">
        <v>1953</v>
      </c>
      <c r="T69" t="s">
        <v>2814</v>
      </c>
    </row>
    <row r="70" spans="1:20" ht="15.75" thickBot="1" x14ac:dyDescent="0.3">
      <c r="A70" s="82" t="s">
        <v>3477</v>
      </c>
      <c r="B70" s="82" t="s">
        <v>3477</v>
      </c>
      <c r="C70" s="82" t="str">
        <f t="shared" si="4"/>
        <v>X</v>
      </c>
      <c r="D70" s="216">
        <v>2022</v>
      </c>
      <c r="E70" s="83" t="s">
        <v>623</v>
      </c>
      <c r="F70" s="428" t="s">
        <v>620</v>
      </c>
      <c r="I70" s="215" t="str">
        <f t="shared" si="5"/>
        <v>Ligeiro de Passageiros M1: Geral : Gasóleo : Geral</v>
      </c>
      <c r="M70" s="125">
        <v>5</v>
      </c>
      <c r="N70" s="133">
        <f t="shared" ref="N70:N111" si="6">IFERROR(J70/L70*100,0)</f>
        <v>0</v>
      </c>
      <c r="O70" s="437"/>
      <c r="P70" s="91" t="s">
        <v>625</v>
      </c>
      <c r="Q70" s="214" t="s">
        <v>1869</v>
      </c>
      <c r="R70" s="214" t="s">
        <v>1861</v>
      </c>
      <c r="S70" t="s">
        <v>1953</v>
      </c>
      <c r="T70" t="s">
        <v>2814</v>
      </c>
    </row>
    <row r="71" spans="1:20" ht="15.75" thickBot="1" x14ac:dyDescent="0.3">
      <c r="A71" s="82" t="s">
        <v>4605</v>
      </c>
      <c r="B71" s="82" t="s">
        <v>4605</v>
      </c>
      <c r="C71" s="82" t="str">
        <f t="shared" si="4"/>
        <v>X</v>
      </c>
      <c r="D71" s="216">
        <v>2022</v>
      </c>
      <c r="E71" s="83" t="s">
        <v>623</v>
      </c>
      <c r="F71" s="428" t="s">
        <v>1933</v>
      </c>
      <c r="I71" s="215" t="str">
        <f t="shared" si="5"/>
        <v>Ligeiro de Passageiros M1: Geral : Gasolina : Geral</v>
      </c>
      <c r="M71" s="125">
        <v>5</v>
      </c>
      <c r="N71" s="133">
        <f t="shared" si="6"/>
        <v>0</v>
      </c>
      <c r="O71" s="437"/>
      <c r="P71" s="91" t="s">
        <v>625</v>
      </c>
      <c r="Q71" s="214" t="s">
        <v>1869</v>
      </c>
      <c r="R71" s="214" t="s">
        <v>1861</v>
      </c>
      <c r="S71" t="s">
        <v>1953</v>
      </c>
      <c r="T71" t="s">
        <v>2814</v>
      </c>
    </row>
    <row r="72" spans="1:20" ht="15.75" thickBot="1" x14ac:dyDescent="0.3">
      <c r="A72" s="82" t="s">
        <v>4605</v>
      </c>
      <c r="B72" s="82" t="s">
        <v>4605</v>
      </c>
      <c r="C72" s="82" t="str">
        <f t="shared" si="4"/>
        <v>X</v>
      </c>
      <c r="D72" s="216">
        <v>2022</v>
      </c>
      <c r="E72" s="83" t="s">
        <v>623</v>
      </c>
      <c r="F72" s="428" t="s">
        <v>620</v>
      </c>
      <c r="I72" s="215" t="str">
        <f t="shared" si="5"/>
        <v>Ligeiro de Passageiros M1: Geral : Gasóleo : Geral</v>
      </c>
      <c r="M72" s="125">
        <v>5</v>
      </c>
      <c r="N72" s="133">
        <f t="shared" si="6"/>
        <v>0</v>
      </c>
      <c r="O72" s="437"/>
      <c r="P72" s="91" t="s">
        <v>625</v>
      </c>
      <c r="Q72" s="214" t="s">
        <v>1869</v>
      </c>
      <c r="R72" s="214" t="s">
        <v>1861</v>
      </c>
      <c r="S72" t="s">
        <v>1953</v>
      </c>
      <c r="T72" t="s">
        <v>2814</v>
      </c>
    </row>
    <row r="73" spans="1:20" ht="15.75" thickBot="1" x14ac:dyDescent="0.3">
      <c r="A73" s="82" t="s">
        <v>4604</v>
      </c>
      <c r="B73" s="82" t="s">
        <v>4604</v>
      </c>
      <c r="C73" s="82" t="str">
        <f t="shared" si="4"/>
        <v>X</v>
      </c>
      <c r="D73" s="216">
        <v>2022</v>
      </c>
      <c r="E73" s="83" t="s">
        <v>623</v>
      </c>
      <c r="F73" s="428" t="s">
        <v>1933</v>
      </c>
      <c r="I73" s="215" t="str">
        <f t="shared" si="5"/>
        <v>Ligeiro de Passageiros M1: Geral : Gasolina : Geral</v>
      </c>
      <c r="M73" s="125">
        <v>5</v>
      </c>
      <c r="N73" s="133">
        <f t="shared" si="6"/>
        <v>0</v>
      </c>
      <c r="O73" s="437"/>
      <c r="P73" s="91" t="s">
        <v>625</v>
      </c>
      <c r="Q73" s="214" t="s">
        <v>1869</v>
      </c>
      <c r="R73" s="214" t="s">
        <v>1861</v>
      </c>
      <c r="S73" t="s">
        <v>1953</v>
      </c>
      <c r="T73" t="s">
        <v>2814</v>
      </c>
    </row>
    <row r="74" spans="1:20" ht="15.75" thickBot="1" x14ac:dyDescent="0.3">
      <c r="A74" s="275" t="s">
        <v>4603</v>
      </c>
      <c r="B74" s="275" t="s">
        <v>4603</v>
      </c>
      <c r="C74" s="82" t="str">
        <f t="shared" si="4"/>
        <v>X</v>
      </c>
      <c r="D74" s="216">
        <v>2022</v>
      </c>
      <c r="E74" s="83" t="s">
        <v>623</v>
      </c>
      <c r="F74" s="428" t="s">
        <v>620</v>
      </c>
      <c r="I74" s="215" t="str">
        <f t="shared" si="5"/>
        <v>Ligeiro de Passageiros M1: Geral : Gasóleo : Geral</v>
      </c>
      <c r="M74" s="125">
        <v>5</v>
      </c>
      <c r="N74" s="133">
        <f t="shared" si="6"/>
        <v>0</v>
      </c>
      <c r="O74" s="437"/>
      <c r="P74" s="91" t="s">
        <v>625</v>
      </c>
      <c r="Q74" s="214" t="s">
        <v>1869</v>
      </c>
      <c r="R74" s="214" t="s">
        <v>1861</v>
      </c>
      <c r="S74" t="s">
        <v>1953</v>
      </c>
      <c r="T74" t="s">
        <v>2814</v>
      </c>
    </row>
    <row r="75" spans="1:20" ht="15.75" thickBot="1" x14ac:dyDescent="0.3">
      <c r="A75" s="275" t="s">
        <v>4603</v>
      </c>
      <c r="B75" s="275" t="s">
        <v>4603</v>
      </c>
      <c r="C75" s="82" t="str">
        <f t="shared" si="4"/>
        <v>X</v>
      </c>
      <c r="D75" s="216">
        <v>2022</v>
      </c>
      <c r="E75" s="83" t="s">
        <v>623</v>
      </c>
      <c r="F75" s="428" t="s">
        <v>620</v>
      </c>
      <c r="I75" s="215" t="str">
        <f t="shared" si="5"/>
        <v>Ligeiro de Passageiros M1: Geral : Gasóleo : Geral</v>
      </c>
      <c r="M75" s="125">
        <v>5</v>
      </c>
      <c r="N75" s="133">
        <f t="shared" si="6"/>
        <v>0</v>
      </c>
      <c r="O75" s="437"/>
      <c r="P75" s="91" t="s">
        <v>625</v>
      </c>
      <c r="Q75" s="214" t="s">
        <v>1869</v>
      </c>
      <c r="R75" s="214" t="s">
        <v>1861</v>
      </c>
      <c r="S75" t="s">
        <v>1953</v>
      </c>
      <c r="T75" t="s">
        <v>2814</v>
      </c>
    </row>
    <row r="76" spans="1:20" ht="15.75" thickBot="1" x14ac:dyDescent="0.3">
      <c r="A76" s="275" t="s">
        <v>4603</v>
      </c>
      <c r="B76" s="275" t="s">
        <v>4603</v>
      </c>
      <c r="C76" s="82" t="str">
        <f t="shared" si="4"/>
        <v>X</v>
      </c>
      <c r="D76" s="216">
        <v>2022</v>
      </c>
      <c r="E76" s="83" t="s">
        <v>2824</v>
      </c>
      <c r="F76" s="428" t="s">
        <v>620</v>
      </c>
      <c r="I76" s="215" t="str">
        <f t="shared" si="5"/>
        <v>Misto: Geral : Gasóleo : Geral</v>
      </c>
      <c r="M76" s="125">
        <v>5</v>
      </c>
      <c r="N76" s="133">
        <f t="shared" si="6"/>
        <v>0</v>
      </c>
      <c r="O76" s="437"/>
      <c r="P76" s="91" t="s">
        <v>625</v>
      </c>
      <c r="Q76" s="214" t="s">
        <v>1869</v>
      </c>
      <c r="R76" s="214" t="s">
        <v>1861</v>
      </c>
      <c r="S76" t="s">
        <v>1953</v>
      </c>
      <c r="T76" t="s">
        <v>2814</v>
      </c>
    </row>
    <row r="77" spans="1:20" ht="15.75" thickBot="1" x14ac:dyDescent="0.3">
      <c r="A77" s="82" t="s">
        <v>2825</v>
      </c>
      <c r="B77" s="82" t="s">
        <v>2825</v>
      </c>
      <c r="C77" s="82" t="str">
        <f t="shared" si="4"/>
        <v>X</v>
      </c>
      <c r="D77" s="216">
        <v>2022</v>
      </c>
      <c r="E77" s="83" t="s">
        <v>623</v>
      </c>
      <c r="F77" s="428" t="s">
        <v>620</v>
      </c>
      <c r="I77" s="215" t="str">
        <f t="shared" si="5"/>
        <v>Ligeiro de Passageiros M1: Geral : Gasóleo : Geral</v>
      </c>
      <c r="M77" s="125">
        <v>5</v>
      </c>
      <c r="N77" s="133">
        <f t="shared" si="6"/>
        <v>0</v>
      </c>
      <c r="O77" s="437"/>
      <c r="P77" s="91" t="s">
        <v>625</v>
      </c>
      <c r="Q77" s="214" t="s">
        <v>1869</v>
      </c>
      <c r="R77" s="214" t="s">
        <v>1861</v>
      </c>
      <c r="S77" t="s">
        <v>1953</v>
      </c>
      <c r="T77" t="s">
        <v>2814</v>
      </c>
    </row>
    <row r="78" spans="1:20" ht="15.75" thickBot="1" x14ac:dyDescent="0.3">
      <c r="A78" s="82" t="s">
        <v>2825</v>
      </c>
      <c r="B78" s="82" t="s">
        <v>2825</v>
      </c>
      <c r="C78" s="82" t="str">
        <f t="shared" si="4"/>
        <v>X</v>
      </c>
      <c r="D78" s="216">
        <v>2022</v>
      </c>
      <c r="E78" s="83" t="s">
        <v>623</v>
      </c>
      <c r="F78" s="428" t="s">
        <v>620</v>
      </c>
      <c r="I78" s="215" t="str">
        <f t="shared" si="5"/>
        <v>Ligeiro de Passageiros M1: Geral : Gasóleo : Geral</v>
      </c>
      <c r="M78" s="125">
        <v>5</v>
      </c>
      <c r="N78" s="133">
        <f t="shared" si="6"/>
        <v>0</v>
      </c>
      <c r="O78" s="437"/>
      <c r="P78" s="91" t="s">
        <v>625</v>
      </c>
      <c r="Q78" s="214" t="s">
        <v>1869</v>
      </c>
      <c r="R78" s="214" t="s">
        <v>1861</v>
      </c>
      <c r="S78" t="s">
        <v>1953</v>
      </c>
      <c r="T78" t="s">
        <v>2814</v>
      </c>
    </row>
    <row r="79" spans="1:20" ht="15.75" thickBot="1" x14ac:dyDescent="0.3">
      <c r="A79" s="82" t="s">
        <v>2825</v>
      </c>
      <c r="B79" s="82" t="s">
        <v>2825</v>
      </c>
      <c r="C79" s="82" t="str">
        <f t="shared" si="4"/>
        <v>X</v>
      </c>
      <c r="D79" s="216">
        <v>2022</v>
      </c>
      <c r="E79" s="83" t="s">
        <v>623</v>
      </c>
      <c r="F79" s="428" t="s">
        <v>1933</v>
      </c>
      <c r="I79" s="215" t="str">
        <f t="shared" si="5"/>
        <v>Ligeiro de Passageiros M1: Geral : Gasolina : Geral</v>
      </c>
      <c r="M79" s="125">
        <v>5</v>
      </c>
      <c r="N79" s="133">
        <f t="shared" si="6"/>
        <v>0</v>
      </c>
      <c r="O79" s="437"/>
      <c r="P79" s="91" t="s">
        <v>625</v>
      </c>
      <c r="Q79" s="214" t="s">
        <v>1869</v>
      </c>
      <c r="R79" s="214" t="s">
        <v>1861</v>
      </c>
      <c r="S79" t="s">
        <v>1953</v>
      </c>
      <c r="T79" t="s">
        <v>2814</v>
      </c>
    </row>
    <row r="80" spans="1:20" ht="15.75" thickBot="1" x14ac:dyDescent="0.3">
      <c r="A80" s="82" t="s">
        <v>2825</v>
      </c>
      <c r="B80" s="82" t="s">
        <v>2825</v>
      </c>
      <c r="C80" s="82" t="str">
        <f t="shared" si="4"/>
        <v>X</v>
      </c>
      <c r="D80" s="216">
        <v>2022</v>
      </c>
      <c r="E80" s="83" t="s">
        <v>623</v>
      </c>
      <c r="F80" s="428" t="s">
        <v>1933</v>
      </c>
      <c r="I80" s="215" t="str">
        <f t="shared" si="5"/>
        <v>Ligeiro de Passageiros M1: Geral : Gasolina : Geral</v>
      </c>
      <c r="M80" s="125">
        <v>5</v>
      </c>
      <c r="N80" s="133">
        <f t="shared" si="6"/>
        <v>0</v>
      </c>
      <c r="O80" s="437"/>
      <c r="P80" s="91" t="s">
        <v>625</v>
      </c>
      <c r="Q80" s="214" t="s">
        <v>1869</v>
      </c>
      <c r="R80" s="214" t="s">
        <v>1861</v>
      </c>
      <c r="S80" t="s">
        <v>1953</v>
      </c>
      <c r="T80" t="s">
        <v>2814</v>
      </c>
    </row>
    <row r="81" spans="1:20" ht="15.75" thickBot="1" x14ac:dyDescent="0.3">
      <c r="A81" s="82" t="s">
        <v>2825</v>
      </c>
      <c r="B81" s="82" t="s">
        <v>2825</v>
      </c>
      <c r="C81" s="82" t="str">
        <f t="shared" si="4"/>
        <v>X</v>
      </c>
      <c r="D81" s="216">
        <v>2022</v>
      </c>
      <c r="E81" s="83" t="s">
        <v>623</v>
      </c>
      <c r="F81" s="428" t="s">
        <v>1933</v>
      </c>
      <c r="I81" s="215" t="str">
        <f t="shared" si="5"/>
        <v>Ligeiro de Passageiros M1: Geral : Gasolina : Geral</v>
      </c>
      <c r="M81" s="125">
        <v>5</v>
      </c>
      <c r="N81" s="133">
        <f t="shared" si="6"/>
        <v>0</v>
      </c>
      <c r="O81" s="437"/>
      <c r="P81" s="91" t="s">
        <v>625</v>
      </c>
      <c r="Q81" s="214" t="s">
        <v>1869</v>
      </c>
      <c r="R81" s="214" t="s">
        <v>1861</v>
      </c>
      <c r="S81" t="s">
        <v>1953</v>
      </c>
      <c r="T81" t="s">
        <v>2814</v>
      </c>
    </row>
    <row r="82" spans="1:20" ht="15.75" thickBot="1" x14ac:dyDescent="0.3">
      <c r="A82" s="82" t="s">
        <v>2825</v>
      </c>
      <c r="B82" s="82" t="s">
        <v>2825</v>
      </c>
      <c r="C82" s="82" t="str">
        <f t="shared" si="4"/>
        <v>X</v>
      </c>
      <c r="D82" s="216">
        <v>2022</v>
      </c>
      <c r="E82" s="83" t="s">
        <v>623</v>
      </c>
      <c r="F82" s="428" t="s">
        <v>620</v>
      </c>
      <c r="I82" s="215" t="str">
        <f t="shared" si="5"/>
        <v>Ligeiro de Passageiros M1: Geral : Gasóleo : Geral</v>
      </c>
      <c r="M82" s="125">
        <v>5</v>
      </c>
      <c r="N82" s="133">
        <f t="shared" si="6"/>
        <v>0</v>
      </c>
      <c r="O82" s="437"/>
      <c r="P82" s="91" t="s">
        <v>625</v>
      </c>
      <c r="Q82" s="214" t="s">
        <v>1869</v>
      </c>
      <c r="R82" s="214" t="s">
        <v>1861</v>
      </c>
      <c r="S82" t="s">
        <v>1953</v>
      </c>
      <c r="T82" t="s">
        <v>2814</v>
      </c>
    </row>
    <row r="83" spans="1:20" ht="15.75" thickBot="1" x14ac:dyDescent="0.3">
      <c r="A83" s="82" t="s">
        <v>4597</v>
      </c>
      <c r="B83" s="82" t="s">
        <v>4597</v>
      </c>
      <c r="C83" s="82" t="str">
        <f t="shared" si="4"/>
        <v>X</v>
      </c>
      <c r="D83" s="216">
        <v>2022</v>
      </c>
      <c r="E83" s="83" t="s">
        <v>624</v>
      </c>
      <c r="F83" s="428" t="s">
        <v>620</v>
      </c>
      <c r="I83" s="215" t="str">
        <f t="shared" si="5"/>
        <v>Ligeiro de Mercadorias N1: Geral : Gasóleo : Geral</v>
      </c>
      <c r="M83" s="125">
        <v>5</v>
      </c>
      <c r="N83" s="133">
        <f t="shared" si="6"/>
        <v>0</v>
      </c>
      <c r="O83" s="437"/>
      <c r="P83" s="91" t="s">
        <v>625</v>
      </c>
      <c r="Q83" s="214" t="s">
        <v>1869</v>
      </c>
      <c r="R83" s="214" t="s">
        <v>1861</v>
      </c>
      <c r="S83" t="s">
        <v>1953</v>
      </c>
      <c r="T83" t="s">
        <v>2814</v>
      </c>
    </row>
    <row r="84" spans="1:20" ht="15.75" thickBot="1" x14ac:dyDescent="0.3">
      <c r="A84" s="82" t="s">
        <v>4597</v>
      </c>
      <c r="B84" s="82" t="s">
        <v>4597</v>
      </c>
      <c r="C84" s="82" t="str">
        <f t="shared" si="4"/>
        <v>X</v>
      </c>
      <c r="D84" s="216">
        <v>2022</v>
      </c>
      <c r="E84" s="83" t="s">
        <v>624</v>
      </c>
      <c r="F84" s="428" t="s">
        <v>620</v>
      </c>
      <c r="I84" s="215" t="str">
        <f t="shared" si="5"/>
        <v>Ligeiro de Mercadorias N1: Geral : Gasóleo : Geral</v>
      </c>
      <c r="L84" s="89"/>
      <c r="M84" s="125">
        <v>5</v>
      </c>
      <c r="N84" s="133">
        <f t="shared" si="6"/>
        <v>0</v>
      </c>
      <c r="O84" s="437"/>
      <c r="P84" s="91" t="s">
        <v>625</v>
      </c>
      <c r="Q84" s="214" t="s">
        <v>1869</v>
      </c>
      <c r="R84" s="214" t="s">
        <v>1861</v>
      </c>
      <c r="S84" t="s">
        <v>1953</v>
      </c>
      <c r="T84" t="s">
        <v>2814</v>
      </c>
    </row>
    <row r="85" spans="1:20" ht="15.75" thickBot="1" x14ac:dyDescent="0.3">
      <c r="A85" s="82" t="s">
        <v>4590</v>
      </c>
      <c r="B85" s="82" t="s">
        <v>4590</v>
      </c>
      <c r="C85" s="82" t="str">
        <f t="shared" si="4"/>
        <v>X</v>
      </c>
      <c r="D85" s="216">
        <v>2022</v>
      </c>
      <c r="E85" s="83" t="s">
        <v>624</v>
      </c>
      <c r="F85" s="428" t="s">
        <v>620</v>
      </c>
      <c r="I85" s="215" t="str">
        <f t="shared" si="5"/>
        <v>Ligeiro de Mercadorias N1: Geral : Gasóleo : Geral</v>
      </c>
      <c r="J85" s="430">
        <v>2923.1</v>
      </c>
      <c r="K85" s="433" t="s">
        <v>630</v>
      </c>
      <c r="L85" s="124">
        <v>25897</v>
      </c>
      <c r="M85" s="125">
        <v>2</v>
      </c>
      <c r="N85" s="133">
        <f t="shared" si="6"/>
        <v>11.287407807854191</v>
      </c>
      <c r="O85" s="437"/>
      <c r="P85" s="85" t="s">
        <v>626</v>
      </c>
      <c r="Q85" s="214" t="s">
        <v>1869</v>
      </c>
      <c r="R85" s="214" t="s">
        <v>1861</v>
      </c>
      <c r="S85" t="s">
        <v>1953</v>
      </c>
      <c r="T85" t="s">
        <v>2814</v>
      </c>
    </row>
    <row r="86" spans="1:20" ht="15.75" thickBot="1" x14ac:dyDescent="0.3">
      <c r="A86" s="82" t="s">
        <v>4590</v>
      </c>
      <c r="B86" s="82" t="s">
        <v>4590</v>
      </c>
      <c r="C86" s="82" t="str">
        <f t="shared" si="4"/>
        <v>X</v>
      </c>
      <c r="D86" s="216">
        <v>2022</v>
      </c>
      <c r="E86" s="83" t="s">
        <v>624</v>
      </c>
      <c r="F86" s="428" t="s">
        <v>620</v>
      </c>
      <c r="I86" s="215" t="str">
        <f t="shared" si="5"/>
        <v>Ligeiro de Mercadorias N1: Geral : Gasóleo : Geral</v>
      </c>
      <c r="J86" s="430">
        <v>4070.1</v>
      </c>
      <c r="K86" s="433" t="s">
        <v>630</v>
      </c>
      <c r="L86" s="124">
        <v>32047</v>
      </c>
      <c r="M86" s="125">
        <v>3</v>
      </c>
      <c r="N86" s="133">
        <f t="shared" si="6"/>
        <v>12.700408774612287</v>
      </c>
      <c r="O86" s="437"/>
      <c r="P86" s="85" t="s">
        <v>626</v>
      </c>
      <c r="Q86" s="214" t="s">
        <v>1869</v>
      </c>
      <c r="R86" s="214" t="s">
        <v>1861</v>
      </c>
      <c r="S86" t="s">
        <v>1953</v>
      </c>
      <c r="T86" t="s">
        <v>2814</v>
      </c>
    </row>
    <row r="87" spans="1:20" ht="15.75" thickBot="1" x14ac:dyDescent="0.3">
      <c r="A87" s="82" t="s">
        <v>4590</v>
      </c>
      <c r="B87" s="82" t="s">
        <v>4590</v>
      </c>
      <c r="C87" s="82" t="str">
        <f t="shared" si="4"/>
        <v>X</v>
      </c>
      <c r="D87" s="216">
        <v>2022</v>
      </c>
      <c r="E87" s="83" t="s">
        <v>624</v>
      </c>
      <c r="F87" s="428" t="s">
        <v>620</v>
      </c>
      <c r="I87" s="215" t="str">
        <f t="shared" si="5"/>
        <v>Ligeiro de Mercadorias N1: Geral : Gasóleo : Geral</v>
      </c>
      <c r="J87" s="430">
        <v>1416</v>
      </c>
      <c r="K87" s="433" t="s">
        <v>630</v>
      </c>
      <c r="L87" s="124">
        <v>15626</v>
      </c>
      <c r="M87" s="125">
        <v>3</v>
      </c>
      <c r="N87" s="133">
        <f t="shared" si="6"/>
        <v>9.0618200435172138</v>
      </c>
      <c r="O87" s="437"/>
      <c r="P87" s="85" t="s">
        <v>626</v>
      </c>
      <c r="Q87" s="214" t="s">
        <v>1869</v>
      </c>
      <c r="R87" s="214" t="s">
        <v>1861</v>
      </c>
      <c r="S87" t="s">
        <v>1953</v>
      </c>
      <c r="T87" t="s">
        <v>2814</v>
      </c>
    </row>
    <row r="88" spans="1:20" ht="15.75" thickBot="1" x14ac:dyDescent="0.3">
      <c r="A88" s="82" t="s">
        <v>4590</v>
      </c>
      <c r="B88" s="82" t="s">
        <v>4590</v>
      </c>
      <c r="C88" s="82" t="str">
        <f t="shared" si="4"/>
        <v>X</v>
      </c>
      <c r="D88" s="216">
        <v>2022</v>
      </c>
      <c r="E88" s="83" t="s">
        <v>624</v>
      </c>
      <c r="F88" s="428" t="s">
        <v>620</v>
      </c>
      <c r="I88" s="215" t="str">
        <f t="shared" si="5"/>
        <v>Ligeiro de Mercadorias N1: Geral : Gasóleo : Geral</v>
      </c>
      <c r="J88" s="430">
        <v>1400.7</v>
      </c>
      <c r="K88" s="433" t="s">
        <v>630</v>
      </c>
      <c r="L88" s="124">
        <v>22424</v>
      </c>
      <c r="M88" s="125">
        <v>2</v>
      </c>
      <c r="N88" s="133">
        <f t="shared" si="6"/>
        <v>6.2464323938637181</v>
      </c>
      <c r="O88" s="437"/>
      <c r="P88" s="85" t="s">
        <v>626</v>
      </c>
      <c r="Q88" s="214" t="s">
        <v>1869</v>
      </c>
      <c r="R88" s="214" t="s">
        <v>1861</v>
      </c>
      <c r="S88" t="s">
        <v>1953</v>
      </c>
      <c r="T88" t="s">
        <v>2814</v>
      </c>
    </row>
    <row r="89" spans="1:20" ht="15.75" thickBot="1" x14ac:dyDescent="0.3">
      <c r="A89" s="82" t="s">
        <v>4590</v>
      </c>
      <c r="B89" s="82" t="s">
        <v>4590</v>
      </c>
      <c r="C89" s="82" t="str">
        <f t="shared" si="4"/>
        <v>X</v>
      </c>
      <c r="D89" s="216">
        <v>2022</v>
      </c>
      <c r="E89" s="83" t="s">
        <v>624</v>
      </c>
      <c r="F89" s="428" t="s">
        <v>620</v>
      </c>
      <c r="I89" s="215" t="str">
        <f t="shared" si="5"/>
        <v>Ligeiro de Mercadorias N1: Geral : Gasóleo : Geral</v>
      </c>
      <c r="J89" s="430">
        <v>681.8</v>
      </c>
      <c r="K89" s="433" t="s">
        <v>630</v>
      </c>
      <c r="L89" s="124">
        <v>10621</v>
      </c>
      <c r="M89" s="125">
        <v>2</v>
      </c>
      <c r="N89" s="133">
        <f t="shared" si="6"/>
        <v>6.4193578759062229</v>
      </c>
      <c r="O89" s="437"/>
      <c r="P89" s="85" t="s">
        <v>626</v>
      </c>
      <c r="Q89" s="214" t="s">
        <v>1869</v>
      </c>
      <c r="R89" s="214" t="s">
        <v>1861</v>
      </c>
      <c r="S89" t="s">
        <v>1953</v>
      </c>
      <c r="T89" t="s">
        <v>2814</v>
      </c>
    </row>
    <row r="90" spans="1:20" ht="15.75" thickBot="1" x14ac:dyDescent="0.3">
      <c r="A90" s="82" t="s">
        <v>4590</v>
      </c>
      <c r="B90" s="82" t="s">
        <v>4590</v>
      </c>
      <c r="C90" s="82" t="str">
        <f t="shared" si="4"/>
        <v>X</v>
      </c>
      <c r="D90" s="216">
        <v>2022</v>
      </c>
      <c r="E90" s="83" t="s">
        <v>624</v>
      </c>
      <c r="F90" s="428" t="s">
        <v>620</v>
      </c>
      <c r="I90" s="215" t="str">
        <f t="shared" si="5"/>
        <v>Ligeiro de Mercadorias N1: Geral : Gasóleo : Geral</v>
      </c>
      <c r="J90" s="430">
        <v>1292.8000000000002</v>
      </c>
      <c r="K90" s="433" t="s">
        <v>630</v>
      </c>
      <c r="L90" s="124">
        <v>21589</v>
      </c>
      <c r="M90" s="125">
        <v>2</v>
      </c>
      <c r="N90" s="133">
        <f t="shared" si="6"/>
        <v>5.9882347491778232</v>
      </c>
      <c r="O90" s="437"/>
      <c r="P90" s="85" t="s">
        <v>626</v>
      </c>
      <c r="Q90" s="214" t="s">
        <v>1869</v>
      </c>
      <c r="R90" s="214" t="s">
        <v>1861</v>
      </c>
      <c r="S90" t="s">
        <v>1953</v>
      </c>
      <c r="T90" t="s">
        <v>2814</v>
      </c>
    </row>
    <row r="91" spans="1:20" ht="15.75" thickBot="1" x14ac:dyDescent="0.3">
      <c r="A91" s="82" t="s">
        <v>4590</v>
      </c>
      <c r="B91" s="82" t="s">
        <v>4590</v>
      </c>
      <c r="C91" s="82" t="str">
        <f t="shared" si="4"/>
        <v>X</v>
      </c>
      <c r="D91" s="216">
        <v>2022</v>
      </c>
      <c r="E91" s="83" t="s">
        <v>623</v>
      </c>
      <c r="F91" s="428" t="s">
        <v>620</v>
      </c>
      <c r="I91" s="215" t="str">
        <f t="shared" si="5"/>
        <v>Ligeiro de Passageiros M1: Geral : Gasóleo : Geral</v>
      </c>
      <c r="J91" s="430">
        <v>811.20000000000016</v>
      </c>
      <c r="K91" s="433" t="s">
        <v>630</v>
      </c>
      <c r="L91" s="124">
        <v>10777</v>
      </c>
      <c r="M91" s="125">
        <v>5</v>
      </c>
      <c r="N91" s="133">
        <f t="shared" si="6"/>
        <v>7.5271411338962615</v>
      </c>
      <c r="O91" s="437"/>
      <c r="P91" s="85" t="s">
        <v>626</v>
      </c>
      <c r="Q91" s="214" t="s">
        <v>1869</v>
      </c>
      <c r="R91" s="214" t="s">
        <v>1861</v>
      </c>
      <c r="S91" t="s">
        <v>1953</v>
      </c>
      <c r="T91" t="s">
        <v>2814</v>
      </c>
    </row>
    <row r="92" spans="1:20" ht="15.75" thickBot="1" x14ac:dyDescent="0.3">
      <c r="A92" s="82" t="s">
        <v>4590</v>
      </c>
      <c r="B92" s="82" t="s">
        <v>4590</v>
      </c>
      <c r="C92" s="82" t="str">
        <f t="shared" si="4"/>
        <v>X</v>
      </c>
      <c r="D92" s="216">
        <v>2022</v>
      </c>
      <c r="E92" s="83" t="s">
        <v>623</v>
      </c>
      <c r="F92" s="428" t="s">
        <v>620</v>
      </c>
      <c r="I92" s="215" t="str">
        <f t="shared" si="5"/>
        <v>Ligeiro de Passageiros M1: Geral : Gasóleo : Geral</v>
      </c>
      <c r="J92" s="430">
        <v>2142.6</v>
      </c>
      <c r="K92" s="433" t="s">
        <v>630</v>
      </c>
      <c r="L92" s="124">
        <v>31758</v>
      </c>
      <c r="M92" s="125">
        <v>5</v>
      </c>
      <c r="N92" s="133">
        <f t="shared" si="6"/>
        <v>6.7466465142641221</v>
      </c>
      <c r="O92" s="437"/>
      <c r="P92" s="85" t="s">
        <v>2826</v>
      </c>
      <c r="Q92" s="214" t="s">
        <v>1869</v>
      </c>
      <c r="R92" s="214" t="s">
        <v>1861</v>
      </c>
      <c r="S92" t="s">
        <v>1953</v>
      </c>
      <c r="T92" t="s">
        <v>2814</v>
      </c>
    </row>
    <row r="93" spans="1:20" ht="15.75" thickBot="1" x14ac:dyDescent="0.3">
      <c r="A93" s="82" t="s">
        <v>4590</v>
      </c>
      <c r="B93" s="82" t="s">
        <v>4590</v>
      </c>
      <c r="C93" s="82" t="str">
        <f t="shared" si="4"/>
        <v>X</v>
      </c>
      <c r="D93" s="216">
        <v>2022</v>
      </c>
      <c r="E93" s="83" t="s">
        <v>623</v>
      </c>
      <c r="F93" s="428" t="s">
        <v>620</v>
      </c>
      <c r="I93" s="215" t="str">
        <f t="shared" si="5"/>
        <v>Ligeiro de Passageiros M1: Geral : Gasóleo : Geral</v>
      </c>
      <c r="J93" s="430">
        <v>838.4</v>
      </c>
      <c r="K93" s="433" t="s">
        <v>630</v>
      </c>
      <c r="L93" s="124">
        <v>12467</v>
      </c>
      <c r="M93" s="125">
        <v>5</v>
      </c>
      <c r="N93" s="133">
        <f t="shared" si="6"/>
        <v>6.7249538782385505</v>
      </c>
      <c r="O93" s="437"/>
      <c r="P93" s="85" t="s">
        <v>2826</v>
      </c>
      <c r="Q93" s="214" t="s">
        <v>1869</v>
      </c>
      <c r="R93" s="214" t="s">
        <v>1861</v>
      </c>
      <c r="S93" t="s">
        <v>1953</v>
      </c>
      <c r="T93" t="s">
        <v>2814</v>
      </c>
    </row>
    <row r="94" spans="1:20" ht="15.75" thickBot="1" x14ac:dyDescent="0.3">
      <c r="A94" s="82" t="s">
        <v>4590</v>
      </c>
      <c r="B94" s="82" t="s">
        <v>4590</v>
      </c>
      <c r="C94" s="82" t="str">
        <f t="shared" si="4"/>
        <v>X</v>
      </c>
      <c r="D94" s="216">
        <v>2022</v>
      </c>
      <c r="E94" s="83" t="s">
        <v>623</v>
      </c>
      <c r="F94" s="428" t="s">
        <v>620</v>
      </c>
      <c r="I94" s="215" t="str">
        <f t="shared" si="5"/>
        <v>Ligeiro de Passageiros M1: Geral : Gasóleo : Geral</v>
      </c>
      <c r="J94" s="430">
        <v>1196.5</v>
      </c>
      <c r="K94" s="433" t="s">
        <v>630</v>
      </c>
      <c r="L94" s="124">
        <v>15529</v>
      </c>
      <c r="M94" s="125">
        <v>8</v>
      </c>
      <c r="N94" s="133">
        <f t="shared" si="6"/>
        <v>7.7049391461137224</v>
      </c>
      <c r="O94" s="437"/>
      <c r="P94" s="85" t="s">
        <v>2826</v>
      </c>
      <c r="Q94" s="214" t="s">
        <v>1869</v>
      </c>
      <c r="R94" s="214" t="s">
        <v>1861</v>
      </c>
      <c r="S94" t="s">
        <v>1953</v>
      </c>
      <c r="T94" t="s">
        <v>2814</v>
      </c>
    </row>
    <row r="95" spans="1:20" ht="15.75" thickBot="1" x14ac:dyDescent="0.3">
      <c r="A95" s="82" t="s">
        <v>4590</v>
      </c>
      <c r="B95" s="82" t="s">
        <v>4590</v>
      </c>
      <c r="C95" s="82" t="str">
        <f t="shared" si="4"/>
        <v>X</v>
      </c>
      <c r="D95" s="216">
        <v>2022</v>
      </c>
      <c r="E95" s="83" t="s">
        <v>624</v>
      </c>
      <c r="F95" s="428" t="s">
        <v>620</v>
      </c>
      <c r="I95" s="215" t="str">
        <f t="shared" si="5"/>
        <v>Ligeiro de Mercadorias N1: Geral : Gasóleo : Geral</v>
      </c>
      <c r="J95" s="430">
        <v>1390.8999999999999</v>
      </c>
      <c r="K95" s="433" t="s">
        <v>630</v>
      </c>
      <c r="L95" s="124">
        <v>26564</v>
      </c>
      <c r="M95" s="125">
        <v>2</v>
      </c>
      <c r="N95" s="133">
        <f t="shared" si="6"/>
        <v>5.23603372985996</v>
      </c>
      <c r="O95" s="437"/>
      <c r="P95" s="85" t="s">
        <v>626</v>
      </c>
      <c r="Q95" s="214" t="s">
        <v>1869</v>
      </c>
      <c r="R95" s="214" t="s">
        <v>1861</v>
      </c>
      <c r="S95" t="s">
        <v>1953</v>
      </c>
      <c r="T95" t="s">
        <v>2814</v>
      </c>
    </row>
    <row r="96" spans="1:20" ht="15.75" thickBot="1" x14ac:dyDescent="0.3">
      <c r="A96" s="82" t="s">
        <v>4590</v>
      </c>
      <c r="B96" s="82" t="s">
        <v>4590</v>
      </c>
      <c r="C96" s="82" t="str">
        <f t="shared" si="4"/>
        <v>X</v>
      </c>
      <c r="D96" s="216">
        <v>2022</v>
      </c>
      <c r="E96" s="83" t="s">
        <v>624</v>
      </c>
      <c r="F96" s="428" t="s">
        <v>620</v>
      </c>
      <c r="I96" s="215" t="str">
        <f t="shared" si="5"/>
        <v>Ligeiro de Mercadorias N1: Geral : Gasóleo : Geral</v>
      </c>
      <c r="J96" s="430">
        <v>1143.1999999999998</v>
      </c>
      <c r="K96" s="433" t="s">
        <v>630</v>
      </c>
      <c r="L96" s="124">
        <v>21743</v>
      </c>
      <c r="M96" s="125">
        <v>2</v>
      </c>
      <c r="N96" s="133">
        <f t="shared" si="6"/>
        <v>5.2577841144276309</v>
      </c>
      <c r="O96" s="437"/>
      <c r="P96" s="85" t="s">
        <v>626</v>
      </c>
      <c r="Q96" s="214" t="s">
        <v>1869</v>
      </c>
      <c r="R96" s="214" t="s">
        <v>1861</v>
      </c>
      <c r="S96" t="s">
        <v>1953</v>
      </c>
      <c r="T96" t="s">
        <v>2814</v>
      </c>
    </row>
    <row r="97" spans="1:20" ht="15.75" thickBot="1" x14ac:dyDescent="0.3">
      <c r="A97" s="82" t="s">
        <v>4590</v>
      </c>
      <c r="B97" s="82" t="s">
        <v>4590</v>
      </c>
      <c r="C97" s="82" t="str">
        <f t="shared" si="4"/>
        <v>X</v>
      </c>
      <c r="D97" s="216">
        <v>2022</v>
      </c>
      <c r="E97" s="83" t="s">
        <v>624</v>
      </c>
      <c r="F97" s="428" t="s">
        <v>620</v>
      </c>
      <c r="I97" s="215" t="str">
        <f t="shared" si="5"/>
        <v>Ligeiro de Mercadorias N1: Geral : Gasóleo : Geral</v>
      </c>
      <c r="J97" s="430">
        <v>1582.7000000000003</v>
      </c>
      <c r="K97" s="433" t="s">
        <v>630</v>
      </c>
      <c r="L97" s="124">
        <v>27527</v>
      </c>
      <c r="M97" s="125">
        <v>3</v>
      </c>
      <c r="N97" s="133">
        <f t="shared" si="6"/>
        <v>5.7496276383187421</v>
      </c>
      <c r="O97" s="437"/>
      <c r="P97" s="85" t="s">
        <v>626</v>
      </c>
      <c r="Q97" s="214" t="s">
        <v>1869</v>
      </c>
      <c r="R97" s="214" t="s">
        <v>1861</v>
      </c>
      <c r="S97" t="s">
        <v>1953</v>
      </c>
      <c r="T97" t="s">
        <v>2814</v>
      </c>
    </row>
    <row r="98" spans="1:20" ht="15.75" thickBot="1" x14ac:dyDescent="0.3">
      <c r="A98" s="82" t="s">
        <v>4590</v>
      </c>
      <c r="B98" s="82" t="s">
        <v>4590</v>
      </c>
      <c r="C98" s="82" t="str">
        <f t="shared" si="4"/>
        <v>X</v>
      </c>
      <c r="D98" s="216">
        <v>2022</v>
      </c>
      <c r="E98" s="83" t="s">
        <v>623</v>
      </c>
      <c r="F98" s="428" t="s">
        <v>620</v>
      </c>
      <c r="I98" s="215" t="str">
        <f t="shared" si="5"/>
        <v>Ligeiro de Passageiros M1: Geral : Gasóleo : Geral</v>
      </c>
      <c r="J98" s="430">
        <v>404</v>
      </c>
      <c r="K98" s="433" t="s">
        <v>630</v>
      </c>
      <c r="L98" s="124">
        <v>4324</v>
      </c>
      <c r="M98" s="125">
        <v>3</v>
      </c>
      <c r="N98" s="133">
        <f t="shared" si="6"/>
        <v>9.3432007400555044</v>
      </c>
      <c r="O98" s="437"/>
      <c r="P98" s="85" t="s">
        <v>626</v>
      </c>
      <c r="Q98" s="214" t="s">
        <v>1869</v>
      </c>
      <c r="R98" s="214" t="s">
        <v>1861</v>
      </c>
      <c r="S98" t="s">
        <v>1953</v>
      </c>
      <c r="T98" t="s">
        <v>2814</v>
      </c>
    </row>
    <row r="99" spans="1:20" ht="15.75" thickBot="1" x14ac:dyDescent="0.3">
      <c r="A99" s="82" t="s">
        <v>4590</v>
      </c>
      <c r="B99" s="82" t="s">
        <v>4590</v>
      </c>
      <c r="C99" s="82" t="str">
        <f t="shared" si="4"/>
        <v>X</v>
      </c>
      <c r="D99" s="216">
        <v>2022</v>
      </c>
      <c r="E99" s="83" t="s">
        <v>624</v>
      </c>
      <c r="F99" s="428" t="s">
        <v>620</v>
      </c>
      <c r="I99" s="215" t="str">
        <f t="shared" si="5"/>
        <v>Ligeiro de Mercadorias N1: Geral : Gasóleo : Geral</v>
      </c>
      <c r="J99" s="430">
        <v>1679.2</v>
      </c>
      <c r="K99" s="433" t="s">
        <v>630</v>
      </c>
      <c r="L99" s="124">
        <v>4535</v>
      </c>
      <c r="M99" s="125">
        <v>2</v>
      </c>
      <c r="N99" s="133">
        <f t="shared" si="6"/>
        <v>37.027563395810361</v>
      </c>
      <c r="O99" s="437"/>
      <c r="P99" s="85" t="s">
        <v>626</v>
      </c>
      <c r="Q99" s="214" t="s">
        <v>1869</v>
      </c>
      <c r="R99" s="214" t="s">
        <v>1861</v>
      </c>
      <c r="S99" t="s">
        <v>1953</v>
      </c>
      <c r="T99" t="s">
        <v>2814</v>
      </c>
    </row>
    <row r="100" spans="1:20" ht="15.75" thickBot="1" x14ac:dyDescent="0.3">
      <c r="A100" s="82" t="s">
        <v>4602</v>
      </c>
      <c r="B100" s="82" t="s">
        <v>4602</v>
      </c>
      <c r="C100" s="82" t="str">
        <f t="shared" si="4"/>
        <v>X</v>
      </c>
      <c r="D100" s="216">
        <v>2022</v>
      </c>
      <c r="E100" s="83" t="s">
        <v>623</v>
      </c>
      <c r="F100" s="428" t="s">
        <v>620</v>
      </c>
      <c r="I100" s="215" t="str">
        <f t="shared" si="5"/>
        <v>Ligeiro de Passageiros M1: Geral : Gasóleo : Geral</v>
      </c>
      <c r="J100" s="430">
        <v>10428</v>
      </c>
      <c r="K100" s="433" t="s">
        <v>621</v>
      </c>
      <c r="L100" s="124"/>
      <c r="M100" s="125">
        <v>1</v>
      </c>
      <c r="N100" s="133">
        <f t="shared" si="6"/>
        <v>0</v>
      </c>
      <c r="O100" s="437"/>
      <c r="P100" s="91" t="s">
        <v>3290</v>
      </c>
      <c r="Q100" s="214" t="s">
        <v>1872</v>
      </c>
      <c r="R100" s="214" t="s">
        <v>1871</v>
      </c>
      <c r="S100" t="s">
        <v>1953</v>
      </c>
      <c r="T100" t="s">
        <v>2814</v>
      </c>
    </row>
    <row r="101" spans="1:20" ht="15.75" thickBot="1" x14ac:dyDescent="0.3">
      <c r="A101" s="82" t="s">
        <v>4602</v>
      </c>
      <c r="B101" s="82" t="s">
        <v>4602</v>
      </c>
      <c r="C101" s="82" t="str">
        <f t="shared" si="4"/>
        <v>X</v>
      </c>
      <c r="D101" s="216">
        <v>2022</v>
      </c>
      <c r="E101" s="83" t="s">
        <v>623</v>
      </c>
      <c r="F101" s="428" t="s">
        <v>620</v>
      </c>
      <c r="I101" s="215" t="str">
        <f t="shared" si="5"/>
        <v>Ligeiro de Passageiros M1: Geral : Gasóleo : Geral</v>
      </c>
      <c r="J101" s="430">
        <v>3857</v>
      </c>
      <c r="K101" s="433" t="s">
        <v>630</v>
      </c>
      <c r="L101" s="124">
        <v>62832</v>
      </c>
      <c r="M101" s="125">
        <v>1</v>
      </c>
      <c r="N101" s="133">
        <f t="shared" si="6"/>
        <v>6.1385918003565063</v>
      </c>
      <c r="O101" s="437"/>
      <c r="P101" s="91" t="s">
        <v>3291</v>
      </c>
      <c r="Q101" s="214" t="s">
        <v>1869</v>
      </c>
      <c r="R101" s="214" t="s">
        <v>1861</v>
      </c>
      <c r="S101" t="s">
        <v>1953</v>
      </c>
      <c r="T101" t="s">
        <v>2814</v>
      </c>
    </row>
    <row r="102" spans="1:20" ht="15.75" thickBot="1" x14ac:dyDescent="0.3">
      <c r="A102" s="82" t="s">
        <v>4602</v>
      </c>
      <c r="B102" s="82" t="s">
        <v>4602</v>
      </c>
      <c r="C102" s="82" t="str">
        <f t="shared" si="4"/>
        <v>X</v>
      </c>
      <c r="D102" s="216">
        <v>2022</v>
      </c>
      <c r="E102" s="83" t="s">
        <v>623</v>
      </c>
      <c r="F102" s="428" t="s">
        <v>620</v>
      </c>
      <c r="I102" s="215" t="str">
        <f t="shared" si="5"/>
        <v>Ligeiro de Passageiros M1: Geral : Gasóleo : Geral</v>
      </c>
      <c r="J102" s="430">
        <v>8303.66</v>
      </c>
      <c r="K102" s="433" t="s">
        <v>630</v>
      </c>
      <c r="L102" s="124">
        <v>127770</v>
      </c>
      <c r="M102" s="125">
        <v>5</v>
      </c>
      <c r="N102" s="133">
        <f t="shared" si="6"/>
        <v>6.4989121076935126</v>
      </c>
      <c r="O102" s="437"/>
      <c r="P102" s="85" t="s">
        <v>2826</v>
      </c>
      <c r="Q102" s="214" t="s">
        <v>1869</v>
      </c>
      <c r="R102" s="214" t="s">
        <v>1861</v>
      </c>
      <c r="S102" t="s">
        <v>1953</v>
      </c>
      <c r="T102" t="s">
        <v>2814</v>
      </c>
    </row>
    <row r="103" spans="1:20" ht="15.75" thickBot="1" x14ac:dyDescent="0.3">
      <c r="A103" s="82" t="s">
        <v>4602</v>
      </c>
      <c r="B103" s="82" t="s">
        <v>4602</v>
      </c>
      <c r="C103" s="82" t="str">
        <f t="shared" si="4"/>
        <v>X</v>
      </c>
      <c r="D103" s="216">
        <v>2022</v>
      </c>
      <c r="E103" s="83" t="s">
        <v>624</v>
      </c>
      <c r="F103" s="428" t="s">
        <v>620</v>
      </c>
      <c r="I103" s="215" t="str">
        <f t="shared" si="5"/>
        <v>Ligeiro de Mercadorias N1: Geral : Gasóleo : Geral</v>
      </c>
      <c r="J103" s="430">
        <v>7853.58</v>
      </c>
      <c r="K103" s="433" t="s">
        <v>630</v>
      </c>
      <c r="L103" s="124">
        <v>121434</v>
      </c>
      <c r="M103" s="125">
        <v>2</v>
      </c>
      <c r="N103" s="133">
        <f t="shared" si="6"/>
        <v>6.4673649883887547</v>
      </c>
      <c r="O103" s="437"/>
      <c r="P103" s="85" t="s">
        <v>2826</v>
      </c>
      <c r="Q103" s="214" t="s">
        <v>1869</v>
      </c>
      <c r="R103" s="214" t="s">
        <v>1861</v>
      </c>
      <c r="S103" t="s">
        <v>1953</v>
      </c>
      <c r="T103" t="s">
        <v>2814</v>
      </c>
    </row>
    <row r="104" spans="1:20" ht="15.75" thickBot="1" x14ac:dyDescent="0.3">
      <c r="A104" t="s">
        <v>4598</v>
      </c>
      <c r="B104" t="s">
        <v>4598</v>
      </c>
      <c r="C104" s="82" t="str">
        <f t="shared" ref="C104:C167" si="7">IF(A104=B104,"X",RIGHT(A104,LEN(A104)-LEN(B104)-3))</f>
        <v>X</v>
      </c>
      <c r="D104" s="216">
        <v>2022</v>
      </c>
      <c r="E104" s="83" t="s">
        <v>624</v>
      </c>
      <c r="F104" s="428" t="s">
        <v>620</v>
      </c>
      <c r="H104" s="84" t="s">
        <v>733</v>
      </c>
      <c r="I104" s="215" t="str">
        <f t="shared" si="5"/>
        <v>Ligeiro de Mercadorias N1: Geral : Gasóleo : E6</v>
      </c>
      <c r="J104" s="430">
        <v>1431.15</v>
      </c>
      <c r="K104" s="433" t="s">
        <v>630</v>
      </c>
      <c r="L104" s="124">
        <v>13630</v>
      </c>
      <c r="M104" s="125">
        <v>3</v>
      </c>
      <c r="N104" s="133">
        <f t="shared" si="6"/>
        <v>10.500000000000002</v>
      </c>
      <c r="O104" s="437"/>
      <c r="P104" s="85" t="s">
        <v>3797</v>
      </c>
      <c r="Q104" s="214" t="s">
        <v>1869</v>
      </c>
      <c r="R104" s="214" t="s">
        <v>1861</v>
      </c>
      <c r="S104" t="s">
        <v>1953</v>
      </c>
      <c r="T104" t="s">
        <v>2814</v>
      </c>
    </row>
    <row r="105" spans="1:20" ht="15.75" thickBot="1" x14ac:dyDescent="0.3">
      <c r="A105" t="s">
        <v>4642</v>
      </c>
      <c r="B105" t="s">
        <v>4642</v>
      </c>
      <c r="C105" s="82" t="str">
        <f t="shared" si="7"/>
        <v>X</v>
      </c>
      <c r="D105" s="216">
        <v>2022</v>
      </c>
      <c r="E105" s="83" t="s">
        <v>624</v>
      </c>
      <c r="F105" s="428" t="s">
        <v>620</v>
      </c>
      <c r="H105" s="84" t="s">
        <v>733</v>
      </c>
      <c r="I105" s="215" t="str">
        <f t="shared" si="5"/>
        <v>Ligeiro de Mercadorias N1: Geral : Gasóleo : E6</v>
      </c>
      <c r="J105" s="430">
        <v>1943.38</v>
      </c>
      <c r="K105" s="433" t="s">
        <v>630</v>
      </c>
      <c r="L105" s="124">
        <v>35617</v>
      </c>
      <c r="M105" s="125">
        <v>2</v>
      </c>
      <c r="N105" s="133">
        <f t="shared" si="6"/>
        <v>5.4563270348429125</v>
      </c>
      <c r="O105" s="437"/>
      <c r="P105" s="85" t="s">
        <v>3798</v>
      </c>
      <c r="Q105" s="214" t="s">
        <v>1869</v>
      </c>
      <c r="R105" s="214" t="s">
        <v>1861</v>
      </c>
      <c r="S105" t="s">
        <v>1953</v>
      </c>
      <c r="T105" t="s">
        <v>2814</v>
      </c>
    </row>
    <row r="106" spans="1:20" ht="15.75" thickBot="1" x14ac:dyDescent="0.3">
      <c r="A106" t="s">
        <v>4601</v>
      </c>
      <c r="B106" t="s">
        <v>4601</v>
      </c>
      <c r="C106" s="82" t="str">
        <f t="shared" si="7"/>
        <v>X</v>
      </c>
      <c r="D106" s="216">
        <v>2022</v>
      </c>
      <c r="E106" s="83" t="s">
        <v>623</v>
      </c>
      <c r="F106" s="428" t="s">
        <v>620</v>
      </c>
      <c r="I106" s="215" t="str">
        <f t="shared" si="5"/>
        <v>Ligeiro de Passageiros M1: Geral : Gasóleo : Geral</v>
      </c>
      <c r="J106" s="430">
        <v>490.43</v>
      </c>
      <c r="K106" s="433" t="s">
        <v>630</v>
      </c>
      <c r="L106" s="125">
        <v>9299</v>
      </c>
      <c r="M106" s="125">
        <v>5</v>
      </c>
      <c r="N106" s="133">
        <f t="shared" si="6"/>
        <v>5.2740079578449297</v>
      </c>
      <c r="O106" s="437"/>
      <c r="P106" s="91" t="s">
        <v>3805</v>
      </c>
      <c r="Q106" s="214" t="s">
        <v>1869</v>
      </c>
      <c r="R106" s="214" t="s">
        <v>1861</v>
      </c>
      <c r="S106" t="s">
        <v>1953</v>
      </c>
      <c r="T106" t="s">
        <v>2814</v>
      </c>
    </row>
    <row r="107" spans="1:20" ht="15.75" thickBot="1" x14ac:dyDescent="0.3">
      <c r="A107" t="s">
        <v>4601</v>
      </c>
      <c r="B107" t="s">
        <v>4601</v>
      </c>
      <c r="C107" s="82" t="str">
        <f t="shared" si="7"/>
        <v>X</v>
      </c>
      <c r="D107" s="216">
        <v>2022</v>
      </c>
      <c r="E107" s="83" t="s">
        <v>623</v>
      </c>
      <c r="F107" s="428" t="s">
        <v>620</v>
      </c>
      <c r="I107" s="215" t="str">
        <f t="shared" si="5"/>
        <v>Ligeiro de Passageiros M1: Geral : Gasóleo : Geral</v>
      </c>
      <c r="J107" s="430">
        <v>966.18</v>
      </c>
      <c r="K107" s="433" t="s">
        <v>630</v>
      </c>
      <c r="L107" s="125">
        <v>10187</v>
      </c>
      <c r="M107" s="125">
        <v>6</v>
      </c>
      <c r="N107" s="133">
        <f t="shared" si="6"/>
        <v>9.4844409541572574</v>
      </c>
      <c r="O107" s="437"/>
      <c r="P107" s="91" t="s">
        <v>3806</v>
      </c>
      <c r="Q107" s="214" t="s">
        <v>1869</v>
      </c>
      <c r="R107" s="214" t="s">
        <v>1861</v>
      </c>
      <c r="S107" t="s">
        <v>1953</v>
      </c>
      <c r="T107" t="s">
        <v>2814</v>
      </c>
    </row>
    <row r="108" spans="1:20" ht="15.75" thickBot="1" x14ac:dyDescent="0.3">
      <c r="A108" t="s">
        <v>4600</v>
      </c>
      <c r="B108" t="s">
        <v>4600</v>
      </c>
      <c r="C108" s="82" t="str">
        <f t="shared" si="7"/>
        <v>X</v>
      </c>
      <c r="D108" s="216">
        <v>2022</v>
      </c>
      <c r="E108" s="83" t="s">
        <v>623</v>
      </c>
      <c r="F108" s="428" t="s">
        <v>620</v>
      </c>
      <c r="I108" s="215" t="str">
        <f t="shared" si="5"/>
        <v>Ligeiro de Passageiros M1: Geral : Gasóleo : Geral</v>
      </c>
      <c r="J108" s="430">
        <v>538.02</v>
      </c>
      <c r="K108" s="433" t="s">
        <v>621</v>
      </c>
      <c r="L108" s="385">
        <v>210514</v>
      </c>
      <c r="M108" s="85">
        <v>2</v>
      </c>
      <c r="N108" s="133">
        <f>IFERROR(J108/L108*100,0)</f>
        <v>0.25557445110538968</v>
      </c>
      <c r="O108" s="437"/>
      <c r="P108" s="429"/>
      <c r="Q108" s="214" t="s">
        <v>1872</v>
      </c>
      <c r="R108" s="214" t="s">
        <v>1871</v>
      </c>
      <c r="S108" t="s">
        <v>1953</v>
      </c>
      <c r="T108" t="s">
        <v>2814</v>
      </c>
    </row>
    <row r="109" spans="1:20" ht="15.75" thickBot="1" x14ac:dyDescent="0.3">
      <c r="A109" t="s">
        <v>4600</v>
      </c>
      <c r="B109" t="s">
        <v>4600</v>
      </c>
      <c r="C109" s="82" t="str">
        <f t="shared" si="7"/>
        <v>X</v>
      </c>
      <c r="D109" s="216">
        <v>2022</v>
      </c>
      <c r="E109" s="83" t="s">
        <v>623</v>
      </c>
      <c r="F109" s="428" t="s">
        <v>620</v>
      </c>
      <c r="I109" s="215" t="str">
        <f t="shared" si="5"/>
        <v>Ligeiro de Passageiros M1: Geral : Gasóleo : Geral</v>
      </c>
      <c r="J109" s="430">
        <v>1185.95</v>
      </c>
      <c r="K109" s="433" t="s">
        <v>621</v>
      </c>
      <c r="L109" s="385">
        <v>227342</v>
      </c>
      <c r="M109" s="85">
        <v>5</v>
      </c>
      <c r="N109" s="133">
        <f t="shared" si="6"/>
        <v>0.52165899833730689</v>
      </c>
      <c r="O109" s="437"/>
      <c r="P109" s="429"/>
      <c r="Q109" s="214" t="s">
        <v>1872</v>
      </c>
      <c r="R109" s="214" t="s">
        <v>1871</v>
      </c>
      <c r="S109" t="s">
        <v>1953</v>
      </c>
      <c r="T109" t="s">
        <v>2814</v>
      </c>
    </row>
    <row r="110" spans="1:20" ht="15.75" thickBot="1" x14ac:dyDescent="0.3">
      <c r="A110" t="s">
        <v>4600</v>
      </c>
      <c r="B110" t="s">
        <v>4600</v>
      </c>
      <c r="C110" s="82" t="str">
        <f t="shared" si="7"/>
        <v>X</v>
      </c>
      <c r="D110" s="216">
        <v>2022</v>
      </c>
      <c r="E110" s="376" t="s">
        <v>2824</v>
      </c>
      <c r="F110" s="428" t="s">
        <v>620</v>
      </c>
      <c r="I110" s="377" t="s">
        <v>1864</v>
      </c>
      <c r="J110" s="430">
        <v>0</v>
      </c>
      <c r="K110" s="433" t="s">
        <v>621</v>
      </c>
      <c r="L110" s="386">
        <v>0</v>
      </c>
      <c r="M110" s="85">
        <v>7</v>
      </c>
      <c r="N110" s="133">
        <f t="shared" si="6"/>
        <v>0</v>
      </c>
      <c r="O110" s="437"/>
      <c r="P110" s="415" t="s">
        <v>3849</v>
      </c>
      <c r="Q110" s="214" t="s">
        <v>1872</v>
      </c>
      <c r="R110" s="214" t="s">
        <v>1871</v>
      </c>
      <c r="S110" t="s">
        <v>1953</v>
      </c>
      <c r="T110" t="s">
        <v>2814</v>
      </c>
    </row>
    <row r="111" spans="1:20" ht="15.75" thickBot="1" x14ac:dyDescent="0.3">
      <c r="A111" t="s">
        <v>4600</v>
      </c>
      <c r="B111" t="s">
        <v>4600</v>
      </c>
      <c r="C111" s="424" t="str">
        <f t="shared" si="7"/>
        <v>X</v>
      </c>
      <c r="D111" s="216">
        <v>2022</v>
      </c>
      <c r="E111" s="376" t="s">
        <v>2824</v>
      </c>
      <c r="F111" s="428" t="s">
        <v>620</v>
      </c>
      <c r="I111" s="377" t="s">
        <v>1864</v>
      </c>
      <c r="J111" s="430">
        <v>108.32</v>
      </c>
      <c r="K111" s="433" t="s">
        <v>621</v>
      </c>
      <c r="L111" s="386">
        <v>14599</v>
      </c>
      <c r="M111" s="85">
        <v>2</v>
      </c>
      <c r="N111" s="133">
        <f t="shared" si="6"/>
        <v>0.74196862798821839</v>
      </c>
      <c r="O111" s="437"/>
      <c r="P111" s="415" t="s">
        <v>3850</v>
      </c>
      <c r="Q111" s="214" t="s">
        <v>1872</v>
      </c>
      <c r="R111" s="214" t="s">
        <v>1871</v>
      </c>
      <c r="S111" t="s">
        <v>1953</v>
      </c>
      <c r="T111" t="s">
        <v>2814</v>
      </c>
    </row>
    <row r="112" spans="1:20" ht="15.75" thickBot="1" x14ac:dyDescent="0.3">
      <c r="A112" t="s">
        <v>4615</v>
      </c>
      <c r="B112" t="s">
        <v>4615</v>
      </c>
      <c r="C112" s="424" t="str">
        <f t="shared" si="7"/>
        <v>X</v>
      </c>
      <c r="D112" s="390">
        <v>2022</v>
      </c>
      <c r="E112" s="83" t="s">
        <v>623</v>
      </c>
      <c r="F112" s="428" t="s">
        <v>620</v>
      </c>
      <c r="H112" s="84" t="s">
        <v>733</v>
      </c>
      <c r="I112" s="215" t="str">
        <f t="shared" ref="I112:I175" si="8">IF(H112="",E112&amp;": Geral : "&amp;F112&amp;" : Geral",E112&amp;": Geral : "&amp;F112&amp;" : "&amp;H112)</f>
        <v>Ligeiro de Passageiros M1: Geral : Gasóleo : E6</v>
      </c>
      <c r="J112" s="430">
        <v>8629.9500000000007</v>
      </c>
      <c r="K112" s="433" t="s">
        <v>630</v>
      </c>
      <c r="L112" s="124"/>
      <c r="P112" s="91" t="s">
        <v>625</v>
      </c>
      <c r="Q112" s="214" t="s">
        <v>1869</v>
      </c>
      <c r="R112" s="214" t="s">
        <v>1861</v>
      </c>
      <c r="S112" t="s">
        <v>1953</v>
      </c>
      <c r="T112" t="s">
        <v>2814</v>
      </c>
    </row>
    <row r="113" spans="1:20" ht="15.75" thickBot="1" x14ac:dyDescent="0.3">
      <c r="A113" t="s">
        <v>4615</v>
      </c>
      <c r="B113" t="s">
        <v>4615</v>
      </c>
      <c r="C113" s="424" t="str">
        <f t="shared" si="7"/>
        <v>X</v>
      </c>
      <c r="D113" s="390">
        <v>2022</v>
      </c>
      <c r="E113" s="83" t="s">
        <v>623</v>
      </c>
      <c r="F113" s="428" t="s">
        <v>1933</v>
      </c>
      <c r="H113" s="84" t="s">
        <v>733</v>
      </c>
      <c r="I113" s="215" t="str">
        <f t="shared" si="8"/>
        <v>Ligeiro de Passageiros M1: Geral : Gasolina : E6</v>
      </c>
      <c r="J113" s="430">
        <v>4418.8500000000004</v>
      </c>
      <c r="K113" s="433" t="s">
        <v>630</v>
      </c>
      <c r="L113" s="124"/>
      <c r="P113" s="91" t="s">
        <v>625</v>
      </c>
      <c r="Q113" s="214" t="s">
        <v>1869</v>
      </c>
      <c r="R113" s="214" t="s">
        <v>1861</v>
      </c>
      <c r="S113" t="s">
        <v>1953</v>
      </c>
      <c r="T113" t="s">
        <v>2814</v>
      </c>
    </row>
    <row r="114" spans="1:20" ht="15.75" thickBot="1" x14ac:dyDescent="0.3">
      <c r="A114" s="424" t="s">
        <v>4591</v>
      </c>
      <c r="B114" s="424" t="s">
        <v>4591</v>
      </c>
      <c r="C114" s="424" t="str">
        <f t="shared" si="7"/>
        <v>X</v>
      </c>
      <c r="D114" s="390">
        <v>2023</v>
      </c>
      <c r="E114" s="425" t="s">
        <v>623</v>
      </c>
      <c r="F114" s="428" t="s">
        <v>620</v>
      </c>
      <c r="I114" s="215" t="str">
        <f t="shared" si="8"/>
        <v>Ligeiro de Passageiros M1: Geral : Gasóleo : Geral</v>
      </c>
      <c r="J114" s="430">
        <v>391.75</v>
      </c>
      <c r="K114" s="433" t="s">
        <v>630</v>
      </c>
      <c r="P114" s="445" t="s">
        <v>625</v>
      </c>
      <c r="Q114" s="214" t="s">
        <v>1869</v>
      </c>
      <c r="R114" s="214" t="s">
        <v>1861</v>
      </c>
      <c r="S114" s="422" t="s">
        <v>1953</v>
      </c>
      <c r="T114" s="422" t="s">
        <v>2814</v>
      </c>
    </row>
    <row r="115" spans="1:20" ht="15.75" thickBot="1" x14ac:dyDescent="0.3">
      <c r="A115" s="424" t="s">
        <v>4591</v>
      </c>
      <c r="B115" s="424" t="s">
        <v>4591</v>
      </c>
      <c r="C115" s="424" t="str">
        <f t="shared" si="7"/>
        <v>X</v>
      </c>
      <c r="D115" s="390">
        <v>2023</v>
      </c>
      <c r="E115" s="425" t="s">
        <v>623</v>
      </c>
      <c r="F115" s="428" t="s">
        <v>620</v>
      </c>
      <c r="I115" s="215" t="str">
        <f t="shared" si="8"/>
        <v>Ligeiro de Passageiros M1: Geral : Gasóleo : Geral</v>
      </c>
      <c r="J115" s="430">
        <v>1109.48</v>
      </c>
      <c r="K115" s="433" t="s">
        <v>630</v>
      </c>
      <c r="P115" s="445" t="s">
        <v>625</v>
      </c>
      <c r="Q115" s="214" t="s">
        <v>1869</v>
      </c>
      <c r="R115" s="214" t="s">
        <v>1861</v>
      </c>
      <c r="S115" s="422" t="s">
        <v>1953</v>
      </c>
      <c r="T115" s="422" t="s">
        <v>2814</v>
      </c>
    </row>
    <row r="116" spans="1:20" ht="15.75" thickBot="1" x14ac:dyDescent="0.3">
      <c r="A116" s="424" t="s">
        <v>4591</v>
      </c>
      <c r="B116" s="424" t="s">
        <v>4591</v>
      </c>
      <c r="C116" s="424" t="str">
        <f t="shared" si="7"/>
        <v>X</v>
      </c>
      <c r="D116" s="390">
        <v>2023</v>
      </c>
      <c r="E116" s="425" t="s">
        <v>623</v>
      </c>
      <c r="F116" s="428" t="s">
        <v>620</v>
      </c>
      <c r="I116" s="215" t="str">
        <f t="shared" si="8"/>
        <v>Ligeiro de Passageiros M1: Geral : Gasóleo : Geral</v>
      </c>
      <c r="J116" s="430">
        <v>3279.0500000000011</v>
      </c>
      <c r="K116" s="433" t="s">
        <v>630</v>
      </c>
      <c r="P116" s="445" t="s">
        <v>625</v>
      </c>
      <c r="Q116" s="214" t="s">
        <v>1869</v>
      </c>
      <c r="R116" s="214" t="s">
        <v>1861</v>
      </c>
      <c r="S116" s="422" t="s">
        <v>1953</v>
      </c>
      <c r="T116" s="422" t="s">
        <v>2814</v>
      </c>
    </row>
    <row r="117" spans="1:20" ht="15.75" thickBot="1" x14ac:dyDescent="0.3">
      <c r="A117" t="s">
        <v>4591</v>
      </c>
      <c r="B117" s="424" t="s">
        <v>4591</v>
      </c>
      <c r="C117" s="424" t="str">
        <f t="shared" si="7"/>
        <v>X</v>
      </c>
      <c r="D117" s="390">
        <v>2023</v>
      </c>
      <c r="E117" s="425" t="s">
        <v>623</v>
      </c>
      <c r="F117" s="428" t="s">
        <v>620</v>
      </c>
      <c r="I117" s="215" t="str">
        <f t="shared" si="8"/>
        <v>Ligeiro de Passageiros M1: Geral : Gasóleo : Geral</v>
      </c>
      <c r="J117" s="430">
        <v>1646.9299999999998</v>
      </c>
      <c r="K117" s="433" t="s">
        <v>630</v>
      </c>
      <c r="P117" s="445" t="s">
        <v>625</v>
      </c>
      <c r="Q117" s="214" t="s">
        <v>1869</v>
      </c>
      <c r="R117" s="214" t="s">
        <v>1861</v>
      </c>
      <c r="S117" s="422" t="s">
        <v>1953</v>
      </c>
      <c r="T117" s="422" t="s">
        <v>2814</v>
      </c>
    </row>
    <row r="118" spans="1:20" ht="15.75" thickBot="1" x14ac:dyDescent="0.3">
      <c r="A118" t="s">
        <v>4591</v>
      </c>
      <c r="B118" s="424" t="s">
        <v>4591</v>
      </c>
      <c r="C118" s="424" t="str">
        <f t="shared" si="7"/>
        <v>X</v>
      </c>
      <c r="D118" s="390">
        <v>2023</v>
      </c>
      <c r="E118" s="425" t="s">
        <v>623</v>
      </c>
      <c r="F118" s="428" t="s">
        <v>620</v>
      </c>
      <c r="I118" s="215" t="str">
        <f t="shared" si="8"/>
        <v>Ligeiro de Passageiros M1: Geral : Gasóleo : Geral</v>
      </c>
      <c r="J118" s="430">
        <v>1894.3100000000002</v>
      </c>
      <c r="K118" s="433" t="s">
        <v>630</v>
      </c>
      <c r="P118" s="445" t="s">
        <v>625</v>
      </c>
      <c r="Q118" s="214" t="s">
        <v>1869</v>
      </c>
      <c r="R118" s="214" t="s">
        <v>1861</v>
      </c>
      <c r="S118" s="422" t="s">
        <v>1953</v>
      </c>
      <c r="T118" s="422" t="s">
        <v>2814</v>
      </c>
    </row>
    <row r="119" spans="1:20" ht="15.75" thickBot="1" x14ac:dyDescent="0.3">
      <c r="A119" t="s">
        <v>4591</v>
      </c>
      <c r="B119" s="424" t="s">
        <v>4591</v>
      </c>
      <c r="C119" s="424" t="str">
        <f t="shared" si="7"/>
        <v>X</v>
      </c>
      <c r="D119" s="390">
        <v>2023</v>
      </c>
      <c r="E119" s="425" t="s">
        <v>623</v>
      </c>
      <c r="F119" s="428" t="s">
        <v>620</v>
      </c>
      <c r="I119" s="215" t="str">
        <f t="shared" si="8"/>
        <v>Ligeiro de Passageiros M1: Geral : Gasóleo : Geral</v>
      </c>
      <c r="J119" s="430">
        <v>1477.8399999999997</v>
      </c>
      <c r="K119" s="433" t="s">
        <v>630</v>
      </c>
      <c r="P119" s="445" t="s">
        <v>625</v>
      </c>
      <c r="Q119" s="214" t="s">
        <v>1869</v>
      </c>
      <c r="R119" s="214" t="s">
        <v>1861</v>
      </c>
      <c r="S119" s="422" t="s">
        <v>1953</v>
      </c>
      <c r="T119" s="422" t="s">
        <v>2814</v>
      </c>
    </row>
    <row r="120" spans="1:20" ht="15.75" thickBot="1" x14ac:dyDescent="0.3">
      <c r="A120" t="s">
        <v>4591</v>
      </c>
      <c r="B120" s="424" t="s">
        <v>4591</v>
      </c>
      <c r="C120" s="424" t="str">
        <f t="shared" si="7"/>
        <v>X</v>
      </c>
      <c r="D120" s="390">
        <v>2023</v>
      </c>
      <c r="E120" s="425" t="s">
        <v>623</v>
      </c>
      <c r="F120" s="428" t="s">
        <v>620</v>
      </c>
      <c r="I120" s="215" t="str">
        <f t="shared" si="8"/>
        <v>Ligeiro de Passageiros M1: Geral : Gasóleo : Geral</v>
      </c>
      <c r="J120" s="430">
        <v>2830.3299999999995</v>
      </c>
      <c r="K120" s="433" t="s">
        <v>630</v>
      </c>
      <c r="P120" s="445" t="s">
        <v>625</v>
      </c>
      <c r="Q120" s="214" t="s">
        <v>1869</v>
      </c>
      <c r="R120" s="214" t="s">
        <v>1861</v>
      </c>
      <c r="S120" s="422" t="s">
        <v>1953</v>
      </c>
      <c r="T120" s="422" t="s">
        <v>2814</v>
      </c>
    </row>
    <row r="121" spans="1:20" ht="15.75" thickBot="1" x14ac:dyDescent="0.3">
      <c r="A121" t="s">
        <v>4591</v>
      </c>
      <c r="B121" s="424" t="s">
        <v>4591</v>
      </c>
      <c r="C121" s="424" t="str">
        <f t="shared" si="7"/>
        <v>X</v>
      </c>
      <c r="D121" s="390">
        <v>2023</v>
      </c>
      <c r="E121" s="425" t="s">
        <v>623</v>
      </c>
      <c r="F121" s="428" t="s">
        <v>620</v>
      </c>
      <c r="I121" s="215" t="str">
        <f t="shared" si="8"/>
        <v>Ligeiro de Passageiros M1: Geral : Gasóleo : Geral</v>
      </c>
      <c r="J121" s="430">
        <v>2057.46</v>
      </c>
      <c r="K121" s="433" t="s">
        <v>630</v>
      </c>
      <c r="P121" s="445" t="s">
        <v>625</v>
      </c>
      <c r="Q121" s="214" t="s">
        <v>1869</v>
      </c>
      <c r="R121" s="214" t="s">
        <v>1861</v>
      </c>
      <c r="S121" s="422" t="s">
        <v>1953</v>
      </c>
      <c r="T121" s="422" t="s">
        <v>2814</v>
      </c>
    </row>
    <row r="122" spans="1:20" ht="15.75" thickBot="1" x14ac:dyDescent="0.3">
      <c r="A122" t="s">
        <v>4591</v>
      </c>
      <c r="B122" s="424" t="s">
        <v>4591</v>
      </c>
      <c r="C122" s="424" t="str">
        <f t="shared" si="7"/>
        <v>X</v>
      </c>
      <c r="D122" s="390">
        <v>2023</v>
      </c>
      <c r="E122" s="425" t="s">
        <v>623</v>
      </c>
      <c r="F122" s="428" t="s">
        <v>620</v>
      </c>
      <c r="I122" s="215" t="str">
        <f t="shared" si="8"/>
        <v>Ligeiro de Passageiros M1: Geral : Gasóleo : Geral</v>
      </c>
      <c r="J122" s="430">
        <v>2571.48</v>
      </c>
      <c r="K122" s="433" t="s">
        <v>630</v>
      </c>
      <c r="P122" s="445" t="s">
        <v>625</v>
      </c>
      <c r="Q122" s="214" t="s">
        <v>1869</v>
      </c>
      <c r="R122" s="214" t="s">
        <v>1861</v>
      </c>
      <c r="S122" s="422" t="s">
        <v>1953</v>
      </c>
      <c r="T122" s="422" t="s">
        <v>2814</v>
      </c>
    </row>
    <row r="123" spans="1:20" ht="15.75" thickBot="1" x14ac:dyDescent="0.3">
      <c r="A123" t="s">
        <v>4591</v>
      </c>
      <c r="B123" s="424" t="s">
        <v>4591</v>
      </c>
      <c r="C123" s="424" t="str">
        <f t="shared" si="7"/>
        <v>X</v>
      </c>
      <c r="D123" s="390">
        <v>2023</v>
      </c>
      <c r="E123" s="425" t="s">
        <v>623</v>
      </c>
      <c r="F123" s="428" t="s">
        <v>620</v>
      </c>
      <c r="I123" s="215" t="str">
        <f t="shared" si="8"/>
        <v>Ligeiro de Passageiros M1: Geral : Gasóleo : Geral</v>
      </c>
      <c r="J123" s="430">
        <v>858.26</v>
      </c>
      <c r="K123" s="433" t="s">
        <v>630</v>
      </c>
      <c r="P123" s="445" t="s">
        <v>625</v>
      </c>
      <c r="Q123" s="214" t="s">
        <v>1869</v>
      </c>
      <c r="R123" s="214" t="s">
        <v>1861</v>
      </c>
      <c r="S123" s="422" t="s">
        <v>1953</v>
      </c>
      <c r="T123" s="422" t="s">
        <v>2814</v>
      </c>
    </row>
    <row r="124" spans="1:20" ht="15.75" thickBot="1" x14ac:dyDescent="0.3">
      <c r="A124" t="s">
        <v>4591</v>
      </c>
      <c r="B124" s="424" t="s">
        <v>4591</v>
      </c>
      <c r="C124" s="424" t="str">
        <f t="shared" si="7"/>
        <v>X</v>
      </c>
      <c r="D124" s="390">
        <v>2023</v>
      </c>
      <c r="E124" s="425" t="s">
        <v>623</v>
      </c>
      <c r="F124" s="428" t="s">
        <v>620</v>
      </c>
      <c r="I124" s="215" t="str">
        <f t="shared" si="8"/>
        <v>Ligeiro de Passageiros M1: Geral : Gasóleo : Geral</v>
      </c>
      <c r="J124" s="430">
        <v>1300.6899999999998</v>
      </c>
      <c r="K124" s="433" t="s">
        <v>630</v>
      </c>
      <c r="P124" s="445" t="s">
        <v>625</v>
      </c>
      <c r="Q124" s="214" t="s">
        <v>1869</v>
      </c>
      <c r="R124" s="214" t="s">
        <v>1861</v>
      </c>
      <c r="S124" s="422" t="s">
        <v>1953</v>
      </c>
      <c r="T124" s="422" t="s">
        <v>2814</v>
      </c>
    </row>
    <row r="125" spans="1:20" ht="15.75" thickBot="1" x14ac:dyDescent="0.3">
      <c r="A125" t="s">
        <v>4591</v>
      </c>
      <c r="B125" s="424" t="s">
        <v>4591</v>
      </c>
      <c r="C125" s="424" t="str">
        <f t="shared" si="7"/>
        <v>X</v>
      </c>
      <c r="D125" s="390">
        <v>2023</v>
      </c>
      <c r="E125" s="425" t="s">
        <v>623</v>
      </c>
      <c r="F125" s="432" t="s">
        <v>1933</v>
      </c>
      <c r="I125" s="215" t="str">
        <f t="shared" si="8"/>
        <v>Ligeiro de Passageiros M1: Geral : Gasolina : Geral</v>
      </c>
      <c r="J125" s="430">
        <v>160.19999999999999</v>
      </c>
      <c r="K125" s="433" t="s">
        <v>630</v>
      </c>
      <c r="P125" s="445" t="s">
        <v>626</v>
      </c>
      <c r="Q125" s="214" t="s">
        <v>1869</v>
      </c>
      <c r="R125" s="214" t="s">
        <v>1861</v>
      </c>
      <c r="S125" s="422" t="s">
        <v>1953</v>
      </c>
      <c r="T125" s="422" t="s">
        <v>2814</v>
      </c>
    </row>
    <row r="126" spans="1:20" ht="15.75" thickBot="1" x14ac:dyDescent="0.3">
      <c r="A126" t="s">
        <v>4591</v>
      </c>
      <c r="B126" s="424" t="s">
        <v>4591</v>
      </c>
      <c r="C126" s="424" t="str">
        <f t="shared" si="7"/>
        <v>X</v>
      </c>
      <c r="D126" s="390">
        <v>2023</v>
      </c>
      <c r="E126" s="425" t="s">
        <v>624</v>
      </c>
      <c r="F126" s="428" t="s">
        <v>620</v>
      </c>
      <c r="I126" s="377" t="s">
        <v>1864</v>
      </c>
      <c r="J126" s="430">
        <v>1506.4399999999998</v>
      </c>
      <c r="K126" s="433" t="s">
        <v>630</v>
      </c>
      <c r="P126" s="445" t="s">
        <v>626</v>
      </c>
      <c r="Q126" s="214" t="s">
        <v>1869</v>
      </c>
      <c r="R126" s="214" t="s">
        <v>1861</v>
      </c>
      <c r="S126" s="422" t="s">
        <v>1953</v>
      </c>
      <c r="T126" s="422" t="s">
        <v>2814</v>
      </c>
    </row>
    <row r="127" spans="1:20" ht="15.75" thickBot="1" x14ac:dyDescent="0.3">
      <c r="A127" t="s">
        <v>1916</v>
      </c>
      <c r="B127" s="424" t="s">
        <v>1916</v>
      </c>
      <c r="C127" s="424" t="str">
        <f t="shared" si="7"/>
        <v>X</v>
      </c>
      <c r="D127" s="390">
        <v>2023</v>
      </c>
      <c r="E127" s="425" t="s">
        <v>623</v>
      </c>
      <c r="F127" s="432" t="s">
        <v>620</v>
      </c>
      <c r="I127" s="215" t="str">
        <f t="shared" si="8"/>
        <v>Ligeiro de Passageiros M1: Geral : Gasóleo : Geral</v>
      </c>
      <c r="J127" s="430">
        <v>25523.3</v>
      </c>
      <c r="K127" s="433" t="s">
        <v>630</v>
      </c>
      <c r="L127" s="426">
        <v>437836</v>
      </c>
      <c r="M127" s="427">
        <v>5.9</v>
      </c>
      <c r="N127" s="437">
        <f t="shared" ref="N127:N136" si="9">IFERROR(J127/L127*100,0)</f>
        <v>5.8294201481833374</v>
      </c>
      <c r="O127" s="421" t="s">
        <v>4698</v>
      </c>
      <c r="P127" s="445" t="s">
        <v>4696</v>
      </c>
      <c r="Q127" s="214" t="s">
        <v>1869</v>
      </c>
      <c r="R127" s="214" t="s">
        <v>1861</v>
      </c>
      <c r="S127" s="422" t="s">
        <v>1953</v>
      </c>
      <c r="T127" s="422" t="s">
        <v>2814</v>
      </c>
    </row>
    <row r="128" spans="1:20" ht="15.75" thickBot="1" x14ac:dyDescent="0.3">
      <c r="A128" t="s">
        <v>1916</v>
      </c>
      <c r="B128" s="424" t="s">
        <v>1916</v>
      </c>
      <c r="C128" s="424" t="str">
        <f t="shared" si="7"/>
        <v>X</v>
      </c>
      <c r="D128" s="390">
        <v>2023</v>
      </c>
      <c r="E128" s="425" t="s">
        <v>624</v>
      </c>
      <c r="F128" s="432" t="s">
        <v>620</v>
      </c>
      <c r="I128" s="215" t="str">
        <f t="shared" si="8"/>
        <v>Ligeiro de Mercadorias N1: Geral : Gasóleo : Geral</v>
      </c>
      <c r="J128" s="430">
        <v>17332.82</v>
      </c>
      <c r="K128" s="433" t="s">
        <v>630</v>
      </c>
      <c r="L128" s="426">
        <v>356532</v>
      </c>
      <c r="M128" s="427">
        <v>2.5</v>
      </c>
      <c r="N128" s="437">
        <f t="shared" si="9"/>
        <v>4.8615047176691011</v>
      </c>
      <c r="O128" s="421" t="s">
        <v>4699</v>
      </c>
      <c r="P128" s="445" t="s">
        <v>4696</v>
      </c>
      <c r="Q128" s="214" t="s">
        <v>1869</v>
      </c>
      <c r="R128" s="214" t="s">
        <v>1861</v>
      </c>
      <c r="S128" s="422" t="s">
        <v>1953</v>
      </c>
      <c r="T128" s="422" t="s">
        <v>2814</v>
      </c>
    </row>
    <row r="129" spans="1:20" ht="15.75" thickBot="1" x14ac:dyDescent="0.3">
      <c r="A129" t="s">
        <v>1916</v>
      </c>
      <c r="B129" s="424" t="s">
        <v>1916</v>
      </c>
      <c r="C129" s="424" t="str">
        <f t="shared" si="7"/>
        <v>X</v>
      </c>
      <c r="D129" s="390">
        <v>2023</v>
      </c>
      <c r="E129" s="425" t="s">
        <v>623</v>
      </c>
      <c r="F129" s="432" t="s">
        <v>1933</v>
      </c>
      <c r="I129" s="443" t="str">
        <f t="shared" si="8"/>
        <v>Ligeiro de Passageiros M1: Geral : Gasolina : Geral</v>
      </c>
      <c r="J129" s="430">
        <v>4093.57</v>
      </c>
      <c r="K129" s="433" t="s">
        <v>630</v>
      </c>
      <c r="L129" s="426">
        <v>49927</v>
      </c>
      <c r="M129" s="427">
        <v>5</v>
      </c>
      <c r="N129" s="437">
        <f t="shared" si="9"/>
        <v>8.1991107016243721</v>
      </c>
      <c r="O129" s="421" t="s">
        <v>4700</v>
      </c>
      <c r="P129" s="445" t="s">
        <v>4696</v>
      </c>
      <c r="Q129" s="214" t="s">
        <v>1869</v>
      </c>
      <c r="R129" s="214" t="s">
        <v>1861</v>
      </c>
      <c r="S129" s="422" t="s">
        <v>1953</v>
      </c>
      <c r="T129" s="422" t="s">
        <v>2814</v>
      </c>
    </row>
    <row r="130" spans="1:20" ht="15.75" thickBot="1" x14ac:dyDescent="0.3">
      <c r="A130" t="s">
        <v>1916</v>
      </c>
      <c r="B130" s="424" t="s">
        <v>1916</v>
      </c>
      <c r="C130" s="424" t="str">
        <f t="shared" si="7"/>
        <v>X</v>
      </c>
      <c r="D130" s="390">
        <v>2023</v>
      </c>
      <c r="E130" s="425" t="s">
        <v>624</v>
      </c>
      <c r="F130" s="432" t="s">
        <v>620</v>
      </c>
      <c r="I130" s="215" t="str">
        <f t="shared" si="8"/>
        <v>Ligeiro de Mercadorias N1: Geral : Gasóleo : Geral</v>
      </c>
      <c r="J130" s="430">
        <v>10534.14</v>
      </c>
      <c r="K130" s="433" t="s">
        <v>630</v>
      </c>
      <c r="L130" s="426">
        <v>132261</v>
      </c>
      <c r="M130" s="427">
        <v>2.63</v>
      </c>
      <c r="N130" s="437">
        <f t="shared" si="9"/>
        <v>7.9646607843582</v>
      </c>
      <c r="O130" s="421" t="s">
        <v>1507</v>
      </c>
      <c r="P130" s="445" t="s">
        <v>626</v>
      </c>
      <c r="Q130" s="214" t="s">
        <v>1869</v>
      </c>
      <c r="R130" s="214" t="s">
        <v>1861</v>
      </c>
      <c r="S130" s="422" t="s">
        <v>1953</v>
      </c>
      <c r="T130" s="422" t="s">
        <v>2814</v>
      </c>
    </row>
    <row r="131" spans="1:20" ht="15.75" thickBot="1" x14ac:dyDescent="0.3">
      <c r="A131" t="s">
        <v>1916</v>
      </c>
      <c r="B131" s="424" t="s">
        <v>1916</v>
      </c>
      <c r="C131" s="424" t="str">
        <f t="shared" si="7"/>
        <v>X</v>
      </c>
      <c r="D131" s="390">
        <v>2023</v>
      </c>
      <c r="E131" s="425" t="s">
        <v>623</v>
      </c>
      <c r="F131" s="432" t="s">
        <v>620</v>
      </c>
      <c r="I131" s="215" t="str">
        <f t="shared" si="8"/>
        <v>Ligeiro de Passageiros M1: Geral : Gasóleo : Geral</v>
      </c>
      <c r="J131" s="430">
        <v>8277.23</v>
      </c>
      <c r="K131" s="433" t="s">
        <v>630</v>
      </c>
      <c r="L131" s="426">
        <v>153140</v>
      </c>
      <c r="M131" s="427">
        <v>5</v>
      </c>
      <c r="N131" s="437">
        <f t="shared" si="9"/>
        <v>5.4050084889643459</v>
      </c>
      <c r="O131" s="421" t="s">
        <v>1502</v>
      </c>
      <c r="P131" s="445" t="s">
        <v>626</v>
      </c>
      <c r="Q131" s="214" t="s">
        <v>1869</v>
      </c>
      <c r="R131" s="214" t="s">
        <v>1861</v>
      </c>
      <c r="S131" s="422" t="s">
        <v>1953</v>
      </c>
      <c r="T131" s="422" t="s">
        <v>2814</v>
      </c>
    </row>
    <row r="132" spans="1:20" ht="15.75" thickBot="1" x14ac:dyDescent="0.3">
      <c r="A132" t="s">
        <v>1916</v>
      </c>
      <c r="B132" t="s">
        <v>1916</v>
      </c>
      <c r="C132" s="424" t="str">
        <f t="shared" si="7"/>
        <v>X</v>
      </c>
      <c r="D132" s="390">
        <v>2023</v>
      </c>
      <c r="E132" s="425" t="s">
        <v>624</v>
      </c>
      <c r="F132" s="432" t="s">
        <v>620</v>
      </c>
      <c r="H132" s="426"/>
      <c r="I132" s="215" t="str">
        <f t="shared" si="8"/>
        <v>Ligeiro de Mercadorias N1: Geral : Gasóleo : Geral</v>
      </c>
      <c r="J132" s="430">
        <v>1656.16</v>
      </c>
      <c r="K132" s="433" t="s">
        <v>630</v>
      </c>
      <c r="L132" s="426"/>
      <c r="M132" s="427">
        <v>2</v>
      </c>
      <c r="P132" s="445" t="s">
        <v>626</v>
      </c>
      <c r="Q132" s="214" t="s">
        <v>1869</v>
      </c>
      <c r="R132" s="214" t="s">
        <v>1861</v>
      </c>
      <c r="S132" s="422" t="s">
        <v>1953</v>
      </c>
      <c r="T132" s="422" t="s">
        <v>2814</v>
      </c>
    </row>
    <row r="133" spans="1:20" ht="15.75" thickBot="1" x14ac:dyDescent="0.3">
      <c r="A133" t="s">
        <v>1912</v>
      </c>
      <c r="B133" t="s">
        <v>1912</v>
      </c>
      <c r="C133" s="424" t="str">
        <f t="shared" si="7"/>
        <v>X</v>
      </c>
      <c r="D133" s="390">
        <v>2023</v>
      </c>
      <c r="E133" s="425" t="s">
        <v>623</v>
      </c>
      <c r="F133" s="432" t="s">
        <v>620</v>
      </c>
      <c r="H133" s="426" t="s">
        <v>733</v>
      </c>
      <c r="I133" s="215" t="str">
        <f t="shared" si="8"/>
        <v>Ligeiro de Passageiros M1: Geral : Gasóleo : E6</v>
      </c>
      <c r="J133" s="430">
        <v>3535</v>
      </c>
      <c r="K133" s="433" t="s">
        <v>630</v>
      </c>
      <c r="L133" s="426">
        <v>58295</v>
      </c>
      <c r="M133" s="427">
        <v>2</v>
      </c>
      <c r="N133" s="437">
        <f t="shared" si="9"/>
        <v>6.0639849043657259</v>
      </c>
      <c r="P133" s="445" t="s">
        <v>4701</v>
      </c>
      <c r="Q133" s="214" t="s">
        <v>1869</v>
      </c>
      <c r="R133" s="214" t="s">
        <v>1861</v>
      </c>
      <c r="S133" s="422" t="s">
        <v>1953</v>
      </c>
      <c r="T133" s="422" t="s">
        <v>2814</v>
      </c>
    </row>
    <row r="134" spans="1:20" ht="15.75" thickBot="1" x14ac:dyDescent="0.3">
      <c r="A134" t="s">
        <v>1912</v>
      </c>
      <c r="B134" t="s">
        <v>1912</v>
      </c>
      <c r="C134" s="424" t="str">
        <f t="shared" si="7"/>
        <v>X</v>
      </c>
      <c r="D134" s="390">
        <v>2023</v>
      </c>
      <c r="E134" s="425" t="s">
        <v>623</v>
      </c>
      <c r="F134" s="432" t="s">
        <v>1933</v>
      </c>
      <c r="H134" s="426" t="s">
        <v>733</v>
      </c>
      <c r="I134" s="215" t="str">
        <f t="shared" si="8"/>
        <v>Ligeiro de Passageiros M1: Geral : Gasolina : E6</v>
      </c>
      <c r="J134" s="430">
        <v>1825</v>
      </c>
      <c r="K134" s="433" t="s">
        <v>630</v>
      </c>
      <c r="L134" s="426">
        <v>46340</v>
      </c>
      <c r="M134" s="427">
        <v>5</v>
      </c>
      <c r="N134" s="437">
        <f t="shared" si="9"/>
        <v>3.9382822615451016</v>
      </c>
      <c r="P134" s="445" t="s">
        <v>4701</v>
      </c>
      <c r="Q134" s="214" t="s">
        <v>1869</v>
      </c>
      <c r="R134" s="214" t="s">
        <v>1861</v>
      </c>
      <c r="S134" s="422" t="s">
        <v>1953</v>
      </c>
      <c r="T134" s="422" t="s">
        <v>2814</v>
      </c>
    </row>
    <row r="135" spans="1:20" ht="15.75" thickBot="1" x14ac:dyDescent="0.3">
      <c r="A135" t="s">
        <v>1912</v>
      </c>
      <c r="B135" t="s">
        <v>1912</v>
      </c>
      <c r="C135" s="424" t="str">
        <f t="shared" si="7"/>
        <v>X</v>
      </c>
      <c r="D135" s="390">
        <v>2023</v>
      </c>
      <c r="E135" s="425" t="s">
        <v>624</v>
      </c>
      <c r="F135" s="432" t="s">
        <v>620</v>
      </c>
      <c r="H135" s="444" t="s">
        <v>734</v>
      </c>
      <c r="I135" s="215" t="str">
        <f t="shared" si="8"/>
        <v>Ligeiro de Mercadorias N1: Geral : Gasóleo : E5</v>
      </c>
      <c r="J135" s="430">
        <v>1421</v>
      </c>
      <c r="K135" s="433" t="s">
        <v>630</v>
      </c>
      <c r="L135" s="426">
        <v>25290</v>
      </c>
      <c r="M135" s="427">
        <v>2</v>
      </c>
      <c r="N135" s="437">
        <f t="shared" si="9"/>
        <v>5.6188216686437329</v>
      </c>
      <c r="P135" s="445" t="s">
        <v>4701</v>
      </c>
      <c r="Q135" s="214" t="s">
        <v>1869</v>
      </c>
      <c r="R135" s="214" t="s">
        <v>1861</v>
      </c>
      <c r="S135" s="422" t="s">
        <v>1953</v>
      </c>
      <c r="T135" s="422" t="s">
        <v>2814</v>
      </c>
    </row>
    <row r="136" spans="1:20" ht="15.75" thickBot="1" x14ac:dyDescent="0.3">
      <c r="A136" t="s">
        <v>1912</v>
      </c>
      <c r="B136" t="s">
        <v>1912</v>
      </c>
      <c r="C136" s="424" t="str">
        <f t="shared" si="7"/>
        <v>X</v>
      </c>
      <c r="D136" s="390">
        <v>2023</v>
      </c>
      <c r="E136" s="425" t="s">
        <v>624</v>
      </c>
      <c r="F136" s="432" t="s">
        <v>620</v>
      </c>
      <c r="H136" s="444" t="s">
        <v>734</v>
      </c>
      <c r="I136" s="215" t="str">
        <f t="shared" si="8"/>
        <v>Ligeiro de Mercadorias N1: Geral : Gasóleo : E5</v>
      </c>
      <c r="J136" s="430">
        <v>2625</v>
      </c>
      <c r="K136" s="433" t="s">
        <v>630</v>
      </c>
      <c r="L136" s="426">
        <v>24114</v>
      </c>
      <c r="M136" s="427">
        <v>3</v>
      </c>
      <c r="N136" s="437">
        <f t="shared" si="9"/>
        <v>10.885792485692958</v>
      </c>
      <c r="P136" s="445" t="s">
        <v>4701</v>
      </c>
      <c r="Q136" s="214" t="s">
        <v>1869</v>
      </c>
      <c r="R136" s="214" t="s">
        <v>1861</v>
      </c>
      <c r="S136" s="422" t="s">
        <v>1953</v>
      </c>
      <c r="T136" s="422" t="s">
        <v>2814</v>
      </c>
    </row>
    <row r="137" spans="1:20" ht="15.75" thickBot="1" x14ac:dyDescent="0.3">
      <c r="A137" t="s">
        <v>4615</v>
      </c>
      <c r="B137" s="424" t="s">
        <v>4615</v>
      </c>
      <c r="C137" s="424" t="str">
        <f t="shared" si="7"/>
        <v>X</v>
      </c>
      <c r="D137" s="390">
        <v>2023</v>
      </c>
      <c r="E137" s="425" t="s">
        <v>623</v>
      </c>
      <c r="F137" s="432" t="s">
        <v>620</v>
      </c>
      <c r="I137" s="215" t="str">
        <f t="shared" si="8"/>
        <v>Ligeiro de Passageiros M1: Geral : Gasóleo : Geral</v>
      </c>
      <c r="J137" s="430">
        <v>11331.580000000002</v>
      </c>
      <c r="K137" s="433" t="s">
        <v>630</v>
      </c>
      <c r="P137" s="445" t="s">
        <v>4704</v>
      </c>
      <c r="Q137" s="214" t="s">
        <v>1869</v>
      </c>
      <c r="R137" s="214" t="s">
        <v>1861</v>
      </c>
      <c r="S137" s="422" t="s">
        <v>1953</v>
      </c>
      <c r="T137" s="422" t="s">
        <v>2814</v>
      </c>
    </row>
    <row r="138" spans="1:20" ht="15.75" thickBot="1" x14ac:dyDescent="0.3">
      <c r="A138" t="s">
        <v>4615</v>
      </c>
      <c r="B138" s="424" t="s">
        <v>4615</v>
      </c>
      <c r="C138" s="424" t="str">
        <f t="shared" si="7"/>
        <v>X</v>
      </c>
      <c r="D138" s="390">
        <v>2023</v>
      </c>
      <c r="E138" s="425" t="s">
        <v>623</v>
      </c>
      <c r="F138" s="432" t="s">
        <v>1933</v>
      </c>
      <c r="I138" s="215" t="str">
        <f t="shared" si="8"/>
        <v>Ligeiro de Passageiros M1: Geral : Gasolina : Geral</v>
      </c>
      <c r="J138" s="430">
        <v>3727.5400000000004</v>
      </c>
      <c r="K138" s="433" t="s">
        <v>630</v>
      </c>
      <c r="P138" s="445" t="s">
        <v>4704</v>
      </c>
      <c r="Q138" s="214" t="s">
        <v>1869</v>
      </c>
      <c r="R138" s="214" t="s">
        <v>1861</v>
      </c>
      <c r="S138" s="422" t="s">
        <v>1953</v>
      </c>
      <c r="T138" s="422" t="s">
        <v>2814</v>
      </c>
    </row>
    <row r="139" spans="1:20" ht="15.75" thickBot="1" x14ac:dyDescent="0.3">
      <c r="A139" t="s">
        <v>4583</v>
      </c>
      <c r="B139" s="424" t="s">
        <v>4583</v>
      </c>
      <c r="C139" s="424" t="str">
        <f t="shared" si="7"/>
        <v>X</v>
      </c>
      <c r="D139" s="390">
        <v>2023</v>
      </c>
      <c r="E139" s="425" t="s">
        <v>624</v>
      </c>
      <c r="F139" s="432" t="s">
        <v>620</v>
      </c>
      <c r="I139" s="215" t="str">
        <f t="shared" si="8"/>
        <v>Ligeiro de Mercadorias N1: Geral : Gasóleo : Geral</v>
      </c>
      <c r="J139" s="430">
        <v>16475.689999999999</v>
      </c>
      <c r="K139" s="433" t="s">
        <v>630</v>
      </c>
      <c r="L139" s="426">
        <v>264172</v>
      </c>
      <c r="M139" s="427">
        <v>2</v>
      </c>
      <c r="N139" s="437">
        <f t="shared" ref="N139:N202" si="10">IFERROR(J139/L139*100,0)</f>
        <v>6.2367283436548915</v>
      </c>
      <c r="O139" s="421">
        <v>12</v>
      </c>
      <c r="P139" s="445" t="s">
        <v>4702</v>
      </c>
      <c r="Q139" s="214" t="s">
        <v>1869</v>
      </c>
      <c r="R139" s="214" t="s">
        <v>1861</v>
      </c>
      <c r="S139" s="422" t="s">
        <v>1953</v>
      </c>
      <c r="T139" s="422" t="s">
        <v>2814</v>
      </c>
    </row>
    <row r="140" spans="1:20" ht="15.75" thickBot="1" x14ac:dyDescent="0.3">
      <c r="A140" t="s">
        <v>4583</v>
      </c>
      <c r="B140" s="424" t="s">
        <v>4583</v>
      </c>
      <c r="C140" s="424" t="str">
        <f t="shared" si="7"/>
        <v>X</v>
      </c>
      <c r="D140" s="390">
        <v>2023</v>
      </c>
      <c r="E140" s="425" t="s">
        <v>623</v>
      </c>
      <c r="F140" s="432" t="s">
        <v>620</v>
      </c>
      <c r="I140" s="215" t="str">
        <f t="shared" si="8"/>
        <v>Ligeiro de Passageiros M1: Geral : Gasóleo : Geral</v>
      </c>
      <c r="J140" s="430">
        <v>20292.95</v>
      </c>
      <c r="K140" s="433" t="s">
        <v>630</v>
      </c>
      <c r="L140" s="426">
        <v>310436</v>
      </c>
      <c r="M140" s="427"/>
      <c r="N140" s="437">
        <f t="shared" si="10"/>
        <v>6.5369190428945094</v>
      </c>
      <c r="O140" s="421">
        <v>9</v>
      </c>
      <c r="P140" s="445" t="s">
        <v>4702</v>
      </c>
      <c r="Q140" s="214" t="s">
        <v>1869</v>
      </c>
      <c r="R140" s="214" t="s">
        <v>1861</v>
      </c>
      <c r="S140" s="422" t="s">
        <v>1953</v>
      </c>
      <c r="T140" s="422" t="s">
        <v>2814</v>
      </c>
    </row>
    <row r="141" spans="1:20" ht="15.75" thickBot="1" x14ac:dyDescent="0.3">
      <c r="A141" t="s">
        <v>4584</v>
      </c>
      <c r="B141" s="424" t="s">
        <v>4584</v>
      </c>
      <c r="C141" s="424" t="str">
        <f t="shared" si="7"/>
        <v>X</v>
      </c>
      <c r="D141" s="390">
        <v>2023</v>
      </c>
      <c r="E141" s="425" t="s">
        <v>624</v>
      </c>
      <c r="F141" s="432" t="s">
        <v>620</v>
      </c>
      <c r="I141" s="215" t="str">
        <f t="shared" si="8"/>
        <v>Ligeiro de Mercadorias N1: Geral : Gasóleo : Geral</v>
      </c>
      <c r="J141" s="430">
        <v>457.79</v>
      </c>
      <c r="K141" s="433" t="s">
        <v>630</v>
      </c>
      <c r="L141" s="426">
        <v>5830</v>
      </c>
      <c r="M141" s="427">
        <v>2</v>
      </c>
      <c r="N141" s="437">
        <f t="shared" si="10"/>
        <v>7.8523156089193833</v>
      </c>
      <c r="O141" s="421">
        <v>1</v>
      </c>
      <c r="P141" s="445" t="s">
        <v>4702</v>
      </c>
      <c r="Q141" s="214" t="s">
        <v>1869</v>
      </c>
      <c r="R141" s="214" t="s">
        <v>1861</v>
      </c>
      <c r="S141" s="422" t="s">
        <v>1953</v>
      </c>
      <c r="T141" s="422" t="s">
        <v>2814</v>
      </c>
    </row>
    <row r="142" spans="1:20" ht="15.75" thickBot="1" x14ac:dyDescent="0.3">
      <c r="A142" t="s">
        <v>4584</v>
      </c>
      <c r="B142" s="424" t="s">
        <v>4584</v>
      </c>
      <c r="C142" s="424" t="str">
        <f t="shared" si="7"/>
        <v>X</v>
      </c>
      <c r="D142" s="390">
        <v>2023</v>
      </c>
      <c r="E142" s="425" t="s">
        <v>623</v>
      </c>
      <c r="F142" s="432" t="s">
        <v>620</v>
      </c>
      <c r="I142" s="215" t="str">
        <f t="shared" si="8"/>
        <v>Ligeiro de Passageiros M1: Geral : Gasóleo : Geral</v>
      </c>
      <c r="J142" s="430">
        <v>1787.15</v>
      </c>
      <c r="K142" s="433" t="s">
        <v>630</v>
      </c>
      <c r="L142" s="426">
        <v>19829</v>
      </c>
      <c r="M142" s="427">
        <v>5</v>
      </c>
      <c r="N142" s="437">
        <f t="shared" si="10"/>
        <v>9.0128095214080393</v>
      </c>
      <c r="O142" s="421">
        <v>2</v>
      </c>
      <c r="P142" s="445" t="s">
        <v>4702</v>
      </c>
      <c r="Q142" s="214" t="s">
        <v>1869</v>
      </c>
      <c r="R142" s="214" t="s">
        <v>1861</v>
      </c>
      <c r="S142" s="422" t="s">
        <v>1953</v>
      </c>
      <c r="T142" s="422" t="s">
        <v>2814</v>
      </c>
    </row>
    <row r="143" spans="1:20" ht="15.75" thickBot="1" x14ac:dyDescent="0.3">
      <c r="A143" t="s">
        <v>3475</v>
      </c>
      <c r="B143" s="424" t="s">
        <v>3475</v>
      </c>
      <c r="C143" s="424" t="str">
        <f t="shared" si="7"/>
        <v>X</v>
      </c>
      <c r="D143" s="390">
        <v>2023</v>
      </c>
      <c r="E143" s="425" t="s">
        <v>624</v>
      </c>
      <c r="F143" s="432" t="s">
        <v>620</v>
      </c>
      <c r="I143" s="215" t="str">
        <f t="shared" si="8"/>
        <v>Ligeiro de Mercadorias N1: Geral : Gasóleo : Geral</v>
      </c>
      <c r="J143" s="430">
        <v>863.03</v>
      </c>
      <c r="K143" s="433" t="s">
        <v>630</v>
      </c>
      <c r="L143" s="426">
        <v>15144</v>
      </c>
      <c r="M143" s="427">
        <v>2</v>
      </c>
      <c r="N143" s="437">
        <f t="shared" si="10"/>
        <v>5.698824617010037</v>
      </c>
      <c r="O143" s="421">
        <v>1</v>
      </c>
      <c r="P143" s="445" t="s">
        <v>4702</v>
      </c>
      <c r="Q143" s="214" t="s">
        <v>1869</v>
      </c>
      <c r="R143" s="214" t="s">
        <v>1861</v>
      </c>
      <c r="S143" s="422" t="s">
        <v>1953</v>
      </c>
      <c r="T143" s="422" t="s">
        <v>2814</v>
      </c>
    </row>
    <row r="144" spans="1:20" ht="15.75" thickBot="1" x14ac:dyDescent="0.3">
      <c r="A144" t="s">
        <v>2817</v>
      </c>
      <c r="B144" s="424" t="s">
        <v>2817</v>
      </c>
      <c r="C144" s="424" t="str">
        <f t="shared" si="7"/>
        <v>X</v>
      </c>
      <c r="D144" s="390">
        <v>2023</v>
      </c>
      <c r="E144" s="425" t="s">
        <v>623</v>
      </c>
      <c r="F144" s="432" t="s">
        <v>620</v>
      </c>
      <c r="H144" s="426" t="s">
        <v>733</v>
      </c>
      <c r="I144" s="215" t="str">
        <f t="shared" si="8"/>
        <v>Ligeiro de Passageiros M1: Geral : Gasóleo : E6</v>
      </c>
      <c r="J144" s="430"/>
      <c r="K144" s="433"/>
      <c r="L144" s="426"/>
      <c r="M144" s="427"/>
      <c r="N144" s="437"/>
      <c r="O144" s="421"/>
      <c r="P144" s="445" t="s">
        <v>4703</v>
      </c>
      <c r="Q144" s="214" t="s">
        <v>1869</v>
      </c>
      <c r="R144" s="214" t="s">
        <v>1861</v>
      </c>
      <c r="S144" s="422" t="s">
        <v>1953</v>
      </c>
      <c r="T144" s="422" t="s">
        <v>2814</v>
      </c>
    </row>
    <row r="145" spans="1:20" ht="15.75" thickBot="1" x14ac:dyDescent="0.3">
      <c r="A145" t="s">
        <v>2817</v>
      </c>
      <c r="B145" s="424" t="s">
        <v>2817</v>
      </c>
      <c r="C145" s="424" t="str">
        <f t="shared" si="7"/>
        <v>X</v>
      </c>
      <c r="D145" s="390">
        <v>2023</v>
      </c>
      <c r="E145" s="425" t="s">
        <v>623</v>
      </c>
      <c r="F145" s="432" t="s">
        <v>620</v>
      </c>
      <c r="H145" s="426" t="s">
        <v>733</v>
      </c>
      <c r="I145" s="215" t="str">
        <f t="shared" si="8"/>
        <v>Ligeiro de Passageiros M1: Geral : Gasóleo : E6</v>
      </c>
      <c r="J145" s="430"/>
      <c r="K145" s="433"/>
      <c r="L145" s="426"/>
      <c r="M145" s="427"/>
      <c r="N145" s="437"/>
      <c r="O145" s="421"/>
      <c r="P145" s="445" t="s">
        <v>4703</v>
      </c>
      <c r="Q145" s="214" t="s">
        <v>1869</v>
      </c>
      <c r="R145" s="214" t="s">
        <v>1861</v>
      </c>
      <c r="S145" s="422" t="s">
        <v>1953</v>
      </c>
      <c r="T145" s="422" t="s">
        <v>2814</v>
      </c>
    </row>
    <row r="146" spans="1:20" ht="15.75" thickBot="1" x14ac:dyDescent="0.3">
      <c r="A146" t="s">
        <v>2817</v>
      </c>
      <c r="B146" s="424" t="s">
        <v>2817</v>
      </c>
      <c r="C146" s="424" t="str">
        <f t="shared" si="7"/>
        <v>X</v>
      </c>
      <c r="D146" s="390">
        <v>2023</v>
      </c>
      <c r="E146" s="425" t="s">
        <v>623</v>
      </c>
      <c r="F146" s="432" t="s">
        <v>620</v>
      </c>
      <c r="H146" s="426" t="s">
        <v>733</v>
      </c>
      <c r="I146" s="215" t="str">
        <f t="shared" si="8"/>
        <v>Ligeiro de Passageiros M1: Geral : Gasóleo : E6</v>
      </c>
      <c r="J146" s="430"/>
      <c r="K146" s="433"/>
      <c r="L146" s="426"/>
      <c r="M146" s="427"/>
      <c r="N146" s="437"/>
      <c r="O146" s="421"/>
      <c r="P146" s="445" t="s">
        <v>4703</v>
      </c>
      <c r="Q146" s="214" t="s">
        <v>1869</v>
      </c>
      <c r="R146" s="214" t="s">
        <v>1861</v>
      </c>
      <c r="S146" s="422" t="s">
        <v>1953</v>
      </c>
      <c r="T146" s="422" t="s">
        <v>2814</v>
      </c>
    </row>
    <row r="147" spans="1:20" ht="15.75" thickBot="1" x14ac:dyDescent="0.3">
      <c r="A147" t="s">
        <v>2868</v>
      </c>
      <c r="B147" s="424" t="s">
        <v>2868</v>
      </c>
      <c r="C147" s="424" t="str">
        <f t="shared" si="7"/>
        <v>X</v>
      </c>
      <c r="D147" s="390">
        <v>2023</v>
      </c>
      <c r="E147" s="425" t="s">
        <v>623</v>
      </c>
      <c r="F147" s="432" t="s">
        <v>620</v>
      </c>
      <c r="H147" s="426" t="s">
        <v>733</v>
      </c>
      <c r="I147" s="215" t="str">
        <f t="shared" si="8"/>
        <v>Ligeiro de Passageiros M1: Geral : Gasóleo : E6</v>
      </c>
      <c r="J147" s="430">
        <v>1780.54</v>
      </c>
      <c r="K147" s="433" t="s">
        <v>630</v>
      </c>
      <c r="L147" s="426">
        <v>25654</v>
      </c>
      <c r="M147" s="427">
        <v>5</v>
      </c>
      <c r="N147" s="437">
        <f t="shared" si="10"/>
        <v>6.9405940594059397</v>
      </c>
      <c r="O147" s="421" t="s">
        <v>4738</v>
      </c>
      <c r="P147" s="445" t="s">
        <v>4701</v>
      </c>
      <c r="Q147" s="214" t="s">
        <v>1869</v>
      </c>
      <c r="R147" s="214" t="s">
        <v>1861</v>
      </c>
      <c r="S147" s="422" t="s">
        <v>1953</v>
      </c>
      <c r="T147" s="422" t="s">
        <v>2814</v>
      </c>
    </row>
    <row r="148" spans="1:20" ht="15.75" thickBot="1" x14ac:dyDescent="0.3">
      <c r="A148" t="s">
        <v>2868</v>
      </c>
      <c r="B148" s="424" t="s">
        <v>2868</v>
      </c>
      <c r="C148" s="424" t="str">
        <f t="shared" si="7"/>
        <v>X</v>
      </c>
      <c r="D148" s="390">
        <v>2023</v>
      </c>
      <c r="E148" s="425" t="s">
        <v>623</v>
      </c>
      <c r="F148" s="432" t="s">
        <v>620</v>
      </c>
      <c r="H148" s="426" t="s">
        <v>731</v>
      </c>
      <c r="I148" s="215" t="str">
        <f t="shared" si="8"/>
        <v>Ligeiro de Passageiros M1: Geral : Gasóleo : E4</v>
      </c>
      <c r="J148" s="430">
        <v>2254.4899999999998</v>
      </c>
      <c r="K148" s="433" t="s">
        <v>630</v>
      </c>
      <c r="L148" s="426">
        <v>45376</v>
      </c>
      <c r="M148" s="427">
        <v>5</v>
      </c>
      <c r="N148" s="437">
        <f t="shared" si="10"/>
        <v>4.9684635049365298</v>
      </c>
      <c r="O148" s="421" t="s">
        <v>4739</v>
      </c>
      <c r="P148" s="445" t="s">
        <v>4701</v>
      </c>
      <c r="Q148" s="214" t="s">
        <v>1869</v>
      </c>
      <c r="R148" s="214" t="s">
        <v>1861</v>
      </c>
      <c r="S148" s="422" t="s">
        <v>1953</v>
      </c>
      <c r="T148" s="422" t="s">
        <v>2814</v>
      </c>
    </row>
    <row r="149" spans="1:20" ht="15.75" thickBot="1" x14ac:dyDescent="0.3">
      <c r="A149" t="s">
        <v>2868</v>
      </c>
      <c r="B149" s="424" t="s">
        <v>2868</v>
      </c>
      <c r="C149" s="424" t="str">
        <f t="shared" si="7"/>
        <v>X</v>
      </c>
      <c r="D149" s="390">
        <v>2023</v>
      </c>
      <c r="E149" s="425" t="s">
        <v>623</v>
      </c>
      <c r="F149" s="432" t="s">
        <v>620</v>
      </c>
      <c r="H149" s="426" t="s">
        <v>733</v>
      </c>
      <c r="I149" s="215" t="str">
        <f t="shared" si="8"/>
        <v>Ligeiro de Passageiros M1: Geral : Gasóleo : E6</v>
      </c>
      <c r="J149" s="430">
        <v>129.83000000000001</v>
      </c>
      <c r="K149" s="433" t="s">
        <v>630</v>
      </c>
      <c r="L149" s="426">
        <v>2163</v>
      </c>
      <c r="M149" s="427">
        <v>5</v>
      </c>
      <c r="N149" s="437">
        <f t="shared" si="10"/>
        <v>6.0023116042533529</v>
      </c>
      <c r="O149" s="421" t="s">
        <v>4740</v>
      </c>
      <c r="P149" s="445" t="s">
        <v>4701</v>
      </c>
      <c r="Q149" s="214" t="s">
        <v>1869</v>
      </c>
      <c r="R149" s="214" t="s">
        <v>1861</v>
      </c>
      <c r="S149" s="422" t="s">
        <v>1953</v>
      </c>
      <c r="T149" s="422" t="s">
        <v>2814</v>
      </c>
    </row>
    <row r="150" spans="1:20" ht="15.75" thickBot="1" x14ac:dyDescent="0.3">
      <c r="A150" t="s">
        <v>2868</v>
      </c>
      <c r="B150" s="424" t="s">
        <v>2868</v>
      </c>
      <c r="C150" s="424" t="str">
        <f t="shared" si="7"/>
        <v>X</v>
      </c>
      <c r="D150" s="390">
        <v>2023</v>
      </c>
      <c r="E150" s="425" t="s">
        <v>623</v>
      </c>
      <c r="F150" s="432" t="s">
        <v>620</v>
      </c>
      <c r="H150" s="426" t="s">
        <v>731</v>
      </c>
      <c r="I150" s="215" t="str">
        <f t="shared" si="8"/>
        <v>Ligeiro de Passageiros M1: Geral : Gasóleo : E4</v>
      </c>
      <c r="J150" s="430">
        <v>181.29</v>
      </c>
      <c r="K150" s="433" t="s">
        <v>630</v>
      </c>
      <c r="L150" s="426">
        <v>3442</v>
      </c>
      <c r="M150" s="427">
        <v>5</v>
      </c>
      <c r="N150" s="437">
        <f t="shared" si="10"/>
        <v>5.266995932597327</v>
      </c>
      <c r="O150" s="421" t="s">
        <v>4741</v>
      </c>
      <c r="P150" s="445" t="s">
        <v>4701</v>
      </c>
      <c r="Q150" s="214" t="s">
        <v>1869</v>
      </c>
      <c r="R150" s="214" t="s">
        <v>1861</v>
      </c>
      <c r="S150" s="422" t="s">
        <v>1953</v>
      </c>
      <c r="T150" s="422" t="s">
        <v>2814</v>
      </c>
    </row>
    <row r="151" spans="1:20" ht="15.75" thickBot="1" x14ac:dyDescent="0.3">
      <c r="A151" t="s">
        <v>2868</v>
      </c>
      <c r="B151" s="424" t="s">
        <v>2868</v>
      </c>
      <c r="C151" s="424" t="str">
        <f t="shared" si="7"/>
        <v>X</v>
      </c>
      <c r="D151" s="390">
        <v>2023</v>
      </c>
      <c r="E151" s="425" t="s">
        <v>623</v>
      </c>
      <c r="F151" s="432" t="s">
        <v>620</v>
      </c>
      <c r="H151" s="426" t="s">
        <v>733</v>
      </c>
      <c r="I151" s="215" t="str">
        <f t="shared" si="8"/>
        <v>Ligeiro de Passageiros M1: Geral : Gasóleo : E6</v>
      </c>
      <c r="J151" s="430">
        <v>1728.57</v>
      </c>
      <c r="K151" s="433" t="s">
        <v>630</v>
      </c>
      <c r="L151" s="426">
        <v>19119</v>
      </c>
      <c r="M151" s="427">
        <v>9</v>
      </c>
      <c r="N151" s="437">
        <f t="shared" si="10"/>
        <v>9.0411109367644755</v>
      </c>
      <c r="O151" s="421" t="s">
        <v>4742</v>
      </c>
      <c r="P151" s="445" t="s">
        <v>4701</v>
      </c>
      <c r="Q151" s="214" t="s">
        <v>1869</v>
      </c>
      <c r="R151" s="214" t="s">
        <v>1861</v>
      </c>
      <c r="S151" s="422" t="s">
        <v>1953</v>
      </c>
      <c r="T151" s="422" t="s">
        <v>2814</v>
      </c>
    </row>
    <row r="152" spans="1:20" ht="15.75" thickBot="1" x14ac:dyDescent="0.3">
      <c r="A152" t="s">
        <v>2868</v>
      </c>
      <c r="B152" s="424" t="s">
        <v>2868</v>
      </c>
      <c r="C152" s="424" t="str">
        <f t="shared" si="7"/>
        <v>X</v>
      </c>
      <c r="D152" s="390">
        <v>2023</v>
      </c>
      <c r="E152" s="425" t="s">
        <v>623</v>
      </c>
      <c r="F152" s="432" t="s">
        <v>620</v>
      </c>
      <c r="H152" s="426" t="s">
        <v>733</v>
      </c>
      <c r="I152" s="215" t="str">
        <f t="shared" si="8"/>
        <v>Ligeiro de Passageiros M1: Geral : Gasóleo : E6</v>
      </c>
      <c r="J152" s="430">
        <v>3205.51</v>
      </c>
      <c r="K152" s="433" t="s">
        <v>630</v>
      </c>
      <c r="L152" s="426">
        <v>48388</v>
      </c>
      <c r="M152" s="427">
        <v>7</v>
      </c>
      <c r="N152" s="437">
        <f t="shared" si="10"/>
        <v>6.6245970075225271</v>
      </c>
      <c r="O152" s="421" t="s">
        <v>4743</v>
      </c>
      <c r="P152" s="445" t="s">
        <v>4701</v>
      </c>
      <c r="Q152" s="214" t="s">
        <v>1869</v>
      </c>
      <c r="R152" s="214" t="s">
        <v>1861</v>
      </c>
      <c r="S152" s="422" t="s">
        <v>1953</v>
      </c>
      <c r="T152" s="422" t="s">
        <v>2814</v>
      </c>
    </row>
    <row r="153" spans="1:20" ht="15.75" thickBot="1" x14ac:dyDescent="0.3">
      <c r="A153" t="s">
        <v>2868</v>
      </c>
      <c r="B153" s="424" t="s">
        <v>2868</v>
      </c>
      <c r="C153" s="424" t="str">
        <f t="shared" si="7"/>
        <v>X</v>
      </c>
      <c r="D153" s="390">
        <v>2023</v>
      </c>
      <c r="E153" s="425" t="s">
        <v>623</v>
      </c>
      <c r="F153" s="432" t="s">
        <v>620</v>
      </c>
      <c r="H153" s="426" t="s">
        <v>733</v>
      </c>
      <c r="I153" s="215" t="str">
        <f t="shared" si="8"/>
        <v>Ligeiro de Passageiros M1: Geral : Gasóleo : E6</v>
      </c>
      <c r="J153" s="430">
        <v>1036.99</v>
      </c>
      <c r="K153" s="433" t="s">
        <v>630</v>
      </c>
      <c r="L153" s="426">
        <v>10359</v>
      </c>
      <c r="M153" s="427">
        <v>9</v>
      </c>
      <c r="N153" s="437">
        <f t="shared" si="10"/>
        <v>10.010522251182547</v>
      </c>
      <c r="O153" s="421" t="s">
        <v>4744</v>
      </c>
      <c r="P153" s="445" t="s">
        <v>4701</v>
      </c>
      <c r="Q153" s="214" t="s">
        <v>1869</v>
      </c>
      <c r="R153" s="214" t="s">
        <v>1861</v>
      </c>
      <c r="S153" s="422" t="s">
        <v>1953</v>
      </c>
      <c r="T153" s="422" t="s">
        <v>2814</v>
      </c>
    </row>
    <row r="154" spans="1:20" ht="15.75" thickBot="1" x14ac:dyDescent="0.3">
      <c r="A154" t="s">
        <v>2868</v>
      </c>
      <c r="B154" s="424" t="s">
        <v>2868</v>
      </c>
      <c r="C154" s="424" t="str">
        <f t="shared" si="7"/>
        <v>X</v>
      </c>
      <c r="D154" s="390">
        <v>2023</v>
      </c>
      <c r="E154" s="425" t="s">
        <v>623</v>
      </c>
      <c r="F154" s="432" t="s">
        <v>620</v>
      </c>
      <c r="H154" s="426" t="s">
        <v>733</v>
      </c>
      <c r="I154" s="215" t="str">
        <f t="shared" si="8"/>
        <v>Ligeiro de Passageiros M1: Geral : Gasóleo : E6</v>
      </c>
      <c r="J154" s="430">
        <v>4513.88</v>
      </c>
      <c r="K154" s="433" t="s">
        <v>630</v>
      </c>
      <c r="L154" s="426">
        <v>60766</v>
      </c>
      <c r="M154" s="427">
        <v>9</v>
      </c>
      <c r="N154" s="437">
        <f t="shared" si="10"/>
        <v>7.428298719678768</v>
      </c>
      <c r="O154" s="421" t="s">
        <v>4745</v>
      </c>
      <c r="P154" s="445" t="s">
        <v>4701</v>
      </c>
      <c r="Q154" s="214" t="s">
        <v>1869</v>
      </c>
      <c r="R154" s="214" t="s">
        <v>1861</v>
      </c>
      <c r="S154" s="422" t="s">
        <v>1953</v>
      </c>
      <c r="T154" s="422" t="s">
        <v>2814</v>
      </c>
    </row>
    <row r="155" spans="1:20" ht="15.75" thickBot="1" x14ac:dyDescent="0.3">
      <c r="A155" t="s">
        <v>2868</v>
      </c>
      <c r="B155" s="424" t="s">
        <v>2868</v>
      </c>
      <c r="C155" s="424" t="str">
        <f t="shared" si="7"/>
        <v>X</v>
      </c>
      <c r="D155" s="390">
        <v>2023</v>
      </c>
      <c r="E155" s="425" t="s">
        <v>623</v>
      </c>
      <c r="F155" s="432" t="s">
        <v>2834</v>
      </c>
      <c r="H155" s="426" t="s">
        <v>733</v>
      </c>
      <c r="I155" s="215" t="str">
        <f t="shared" si="8"/>
        <v>Ligeiro de Passageiros M1: Geral : GPL : E6</v>
      </c>
      <c r="J155" s="430">
        <v>199.33</v>
      </c>
      <c r="K155" s="433" t="s">
        <v>630</v>
      </c>
      <c r="L155" s="426">
        <v>2154</v>
      </c>
      <c r="M155" s="427">
        <v>7</v>
      </c>
      <c r="N155" s="437">
        <f t="shared" si="10"/>
        <v>9.2539461467038073</v>
      </c>
      <c r="O155" s="421" t="s">
        <v>4746</v>
      </c>
      <c r="P155" s="445" t="s">
        <v>4701</v>
      </c>
      <c r="Q155" s="214" t="s">
        <v>1869</v>
      </c>
      <c r="R155" s="214" t="s">
        <v>1861</v>
      </c>
      <c r="S155" s="422" t="s">
        <v>1953</v>
      </c>
      <c r="T155" s="422" t="s">
        <v>2814</v>
      </c>
    </row>
    <row r="156" spans="1:20" ht="15.75" thickBot="1" x14ac:dyDescent="0.3">
      <c r="A156" t="s">
        <v>2868</v>
      </c>
      <c r="B156" s="424" t="s">
        <v>2868</v>
      </c>
      <c r="C156" s="424" t="str">
        <f t="shared" si="7"/>
        <v>X</v>
      </c>
      <c r="D156" s="390">
        <v>2023</v>
      </c>
      <c r="E156" s="425" t="s">
        <v>623</v>
      </c>
      <c r="F156" s="432" t="s">
        <v>620</v>
      </c>
      <c r="H156" s="426" t="s">
        <v>731</v>
      </c>
      <c r="I156" s="215" t="str">
        <f t="shared" si="8"/>
        <v>Ligeiro de Passageiros M1: Geral : Gasóleo : E4</v>
      </c>
      <c r="J156" s="430">
        <v>3971.81</v>
      </c>
      <c r="K156" s="433" t="s">
        <v>630</v>
      </c>
      <c r="L156" s="426">
        <v>46669</v>
      </c>
      <c r="M156" s="427">
        <v>9</v>
      </c>
      <c r="N156" s="437">
        <f t="shared" si="10"/>
        <v>8.51059589877649</v>
      </c>
      <c r="O156" s="421" t="s">
        <v>4747</v>
      </c>
      <c r="P156" s="445" t="s">
        <v>4701</v>
      </c>
      <c r="Q156" s="214" t="s">
        <v>1869</v>
      </c>
      <c r="R156" s="214" t="s">
        <v>1861</v>
      </c>
      <c r="S156" s="422" t="s">
        <v>1953</v>
      </c>
      <c r="T156" s="422" t="s">
        <v>2814</v>
      </c>
    </row>
    <row r="157" spans="1:20" ht="15.75" thickBot="1" x14ac:dyDescent="0.3">
      <c r="A157" t="s">
        <v>2868</v>
      </c>
      <c r="B157" s="424" t="s">
        <v>2868</v>
      </c>
      <c r="C157" s="424" t="str">
        <f t="shared" si="7"/>
        <v>X</v>
      </c>
      <c r="D157" s="390">
        <v>2023</v>
      </c>
      <c r="E157" s="425" t="s">
        <v>623</v>
      </c>
      <c r="F157" s="432" t="s">
        <v>620</v>
      </c>
      <c r="H157" s="426" t="s">
        <v>731</v>
      </c>
      <c r="I157" s="215" t="str">
        <f t="shared" si="8"/>
        <v>Ligeiro de Passageiros M1: Geral : Gasóleo : E4</v>
      </c>
      <c r="J157" s="430" t="s">
        <v>4816</v>
      </c>
      <c r="K157" s="433" t="s">
        <v>630</v>
      </c>
      <c r="L157" s="426">
        <v>29927</v>
      </c>
      <c r="M157" s="427">
        <v>9</v>
      </c>
      <c r="N157" s="437">
        <f t="shared" si="10"/>
        <v>0</v>
      </c>
      <c r="O157" s="421" t="s">
        <v>4748</v>
      </c>
      <c r="P157" s="445" t="s">
        <v>4701</v>
      </c>
      <c r="Q157" s="214" t="s">
        <v>1869</v>
      </c>
      <c r="R157" s="214" t="s">
        <v>1861</v>
      </c>
      <c r="S157" s="422" t="s">
        <v>1953</v>
      </c>
      <c r="T157" s="422" t="s">
        <v>2814</v>
      </c>
    </row>
    <row r="158" spans="1:20" ht="15.75" thickBot="1" x14ac:dyDescent="0.3">
      <c r="A158" t="s">
        <v>4594</v>
      </c>
      <c r="B158" s="424" t="s">
        <v>4594</v>
      </c>
      <c r="C158" s="424" t="str">
        <f t="shared" si="7"/>
        <v>X</v>
      </c>
      <c r="D158" s="390">
        <v>2023</v>
      </c>
      <c r="E158" s="425" t="s">
        <v>623</v>
      </c>
      <c r="F158" s="432" t="s">
        <v>620</v>
      </c>
      <c r="H158" s="426" t="s">
        <v>733</v>
      </c>
      <c r="I158" s="215" t="str">
        <f t="shared" si="8"/>
        <v>Ligeiro de Passageiros M1: Geral : Gasóleo : E6</v>
      </c>
      <c r="J158" s="430">
        <v>2393.9699999999998</v>
      </c>
      <c r="K158" s="433" t="s">
        <v>630</v>
      </c>
      <c r="L158" s="426">
        <v>39049</v>
      </c>
      <c r="M158" s="427">
        <v>5</v>
      </c>
      <c r="N158" s="437">
        <f t="shared" si="10"/>
        <v>6.1306819636866496</v>
      </c>
      <c r="O158" s="421" t="s">
        <v>4749</v>
      </c>
      <c r="P158" s="445" t="s">
        <v>4701</v>
      </c>
      <c r="Q158" s="214" t="s">
        <v>1869</v>
      </c>
      <c r="R158" s="214" t="s">
        <v>1861</v>
      </c>
      <c r="S158" s="422" t="s">
        <v>1953</v>
      </c>
      <c r="T158" s="422" t="s">
        <v>2814</v>
      </c>
    </row>
    <row r="159" spans="1:20" ht="15.75" thickBot="1" x14ac:dyDescent="0.3">
      <c r="A159" t="s">
        <v>4594</v>
      </c>
      <c r="B159" s="424" t="s">
        <v>4594</v>
      </c>
      <c r="C159" s="424" t="str">
        <f t="shared" si="7"/>
        <v>X</v>
      </c>
      <c r="D159" s="390">
        <v>2023</v>
      </c>
      <c r="E159" s="425" t="s">
        <v>623</v>
      </c>
      <c r="F159" s="432" t="s">
        <v>620</v>
      </c>
      <c r="H159" s="426" t="s">
        <v>733</v>
      </c>
      <c r="I159" s="215" t="str">
        <f t="shared" si="8"/>
        <v>Ligeiro de Passageiros M1: Geral : Gasóleo : E6</v>
      </c>
      <c r="J159" s="430">
        <v>5541.91</v>
      </c>
      <c r="K159" s="433" t="s">
        <v>630</v>
      </c>
      <c r="L159" s="426">
        <v>60403</v>
      </c>
      <c r="M159" s="427">
        <v>9</v>
      </c>
      <c r="N159" s="437">
        <f t="shared" si="10"/>
        <v>9.1748919755641278</v>
      </c>
      <c r="O159" s="421" t="s">
        <v>4750</v>
      </c>
      <c r="P159" s="445" t="s">
        <v>4701</v>
      </c>
      <c r="Q159" s="214" t="s">
        <v>1869</v>
      </c>
      <c r="R159" s="214" t="s">
        <v>1861</v>
      </c>
      <c r="S159" s="422" t="s">
        <v>1953</v>
      </c>
      <c r="T159" s="422" t="s">
        <v>2814</v>
      </c>
    </row>
    <row r="160" spans="1:20" ht="15.75" thickBot="1" x14ac:dyDescent="0.3">
      <c r="A160" t="s">
        <v>4594</v>
      </c>
      <c r="B160" s="424" t="s">
        <v>4594</v>
      </c>
      <c r="C160" s="424" t="str">
        <f t="shared" si="7"/>
        <v>X</v>
      </c>
      <c r="D160" s="390">
        <v>2023</v>
      </c>
      <c r="E160" s="425" t="s">
        <v>623</v>
      </c>
      <c r="F160" s="432" t="s">
        <v>620</v>
      </c>
      <c r="H160" s="426" t="s">
        <v>733</v>
      </c>
      <c r="I160" s="215" t="str">
        <f t="shared" si="8"/>
        <v>Ligeiro de Passageiros M1: Geral : Gasóleo : E6</v>
      </c>
      <c r="J160" s="430">
        <v>2274.63</v>
      </c>
      <c r="K160" s="433" t="s">
        <v>630</v>
      </c>
      <c r="L160" s="426">
        <v>24586</v>
      </c>
      <c r="M160" s="427">
        <v>9</v>
      </c>
      <c r="N160" s="437">
        <f t="shared" si="10"/>
        <v>9.2517286260473437</v>
      </c>
      <c r="O160" s="421" t="s">
        <v>4751</v>
      </c>
      <c r="P160" s="445" t="s">
        <v>4701</v>
      </c>
      <c r="Q160" s="214" t="s">
        <v>1869</v>
      </c>
      <c r="R160" s="214" t="s">
        <v>1861</v>
      </c>
      <c r="S160" s="422" t="s">
        <v>1953</v>
      </c>
      <c r="T160" s="422" t="s">
        <v>2814</v>
      </c>
    </row>
    <row r="161" spans="1:20" ht="15.75" thickBot="1" x14ac:dyDescent="0.3">
      <c r="A161" t="s">
        <v>4592</v>
      </c>
      <c r="B161" s="424" t="s">
        <v>4592</v>
      </c>
      <c r="C161" s="424" t="str">
        <f t="shared" si="7"/>
        <v>X</v>
      </c>
      <c r="D161" s="390">
        <v>2023</v>
      </c>
      <c r="E161" s="425" t="s">
        <v>623</v>
      </c>
      <c r="F161" s="432" t="s">
        <v>620</v>
      </c>
      <c r="H161" s="426" t="s">
        <v>733</v>
      </c>
      <c r="I161" s="215" t="str">
        <f t="shared" si="8"/>
        <v>Ligeiro de Passageiros M1: Geral : Gasóleo : E6</v>
      </c>
      <c r="J161" s="430">
        <v>82.3</v>
      </c>
      <c r="K161" s="433" t="s">
        <v>630</v>
      </c>
      <c r="L161" s="426">
        <v>685</v>
      </c>
      <c r="M161" s="427">
        <v>9</v>
      </c>
      <c r="N161" s="437">
        <f t="shared" si="10"/>
        <v>12.014598540145984</v>
      </c>
      <c r="O161" s="421" t="s">
        <v>4752</v>
      </c>
      <c r="P161" s="445" t="s">
        <v>4701</v>
      </c>
      <c r="Q161" s="214" t="s">
        <v>1869</v>
      </c>
      <c r="R161" s="214" t="s">
        <v>1861</v>
      </c>
      <c r="S161" s="422" t="s">
        <v>1953</v>
      </c>
      <c r="T161" s="422" t="s">
        <v>2814</v>
      </c>
    </row>
    <row r="162" spans="1:20" ht="15.75" thickBot="1" x14ac:dyDescent="0.3">
      <c r="A162" t="s">
        <v>4592</v>
      </c>
      <c r="B162" s="424" t="s">
        <v>4592</v>
      </c>
      <c r="C162" s="424" t="str">
        <f t="shared" si="7"/>
        <v>X</v>
      </c>
      <c r="D162" s="390">
        <v>2023</v>
      </c>
      <c r="E162" s="425" t="s">
        <v>623</v>
      </c>
      <c r="F162" s="432" t="s">
        <v>620</v>
      </c>
      <c r="H162" s="426" t="s">
        <v>732</v>
      </c>
      <c r="I162" s="215" t="str">
        <f t="shared" si="8"/>
        <v>Ligeiro de Passageiros M1: Geral : Gasóleo : E3</v>
      </c>
      <c r="J162" s="430">
        <v>860.54</v>
      </c>
      <c r="K162" s="433" t="s">
        <v>630</v>
      </c>
      <c r="L162" s="426">
        <v>14398</v>
      </c>
      <c r="M162" s="427">
        <v>5</v>
      </c>
      <c r="N162" s="437">
        <f t="shared" si="10"/>
        <v>5.9768023336574521</v>
      </c>
      <c r="O162" s="421" t="s">
        <v>4753</v>
      </c>
      <c r="P162" s="445" t="s">
        <v>4701</v>
      </c>
      <c r="Q162" s="214" t="s">
        <v>1869</v>
      </c>
      <c r="R162" s="214" t="s">
        <v>1861</v>
      </c>
      <c r="S162" s="422" t="s">
        <v>1953</v>
      </c>
      <c r="T162" s="422" t="s">
        <v>2814</v>
      </c>
    </row>
    <row r="163" spans="1:20" ht="15.75" thickBot="1" x14ac:dyDescent="0.3">
      <c r="A163" t="s">
        <v>4592</v>
      </c>
      <c r="B163" s="424" t="s">
        <v>4592</v>
      </c>
      <c r="C163" s="424" t="str">
        <f t="shared" si="7"/>
        <v>X</v>
      </c>
      <c r="D163" s="390">
        <v>2023</v>
      </c>
      <c r="E163" s="425" t="s">
        <v>623</v>
      </c>
      <c r="F163" s="432" t="s">
        <v>2834</v>
      </c>
      <c r="H163" s="426" t="s">
        <v>731</v>
      </c>
      <c r="I163" s="215" t="str">
        <f t="shared" si="8"/>
        <v>Ligeiro de Passageiros M1: Geral : GPL : E4</v>
      </c>
      <c r="J163" s="430">
        <v>1390.68</v>
      </c>
      <c r="K163" s="433" t="s">
        <v>630</v>
      </c>
      <c r="L163" s="426">
        <v>18967</v>
      </c>
      <c r="M163" s="427">
        <v>7</v>
      </c>
      <c r="N163" s="437">
        <f t="shared" si="10"/>
        <v>7.3321031264828394</v>
      </c>
      <c r="O163" s="421" t="s">
        <v>4754</v>
      </c>
      <c r="P163" s="445" t="s">
        <v>4701</v>
      </c>
      <c r="Q163" s="214" t="s">
        <v>1869</v>
      </c>
      <c r="R163" s="214" t="s">
        <v>1861</v>
      </c>
      <c r="S163" s="422" t="s">
        <v>1953</v>
      </c>
      <c r="T163" s="422" t="s">
        <v>2814</v>
      </c>
    </row>
    <row r="164" spans="1:20" ht="15.75" thickBot="1" x14ac:dyDescent="0.3">
      <c r="A164" t="s">
        <v>4592</v>
      </c>
      <c r="B164" s="424" t="s">
        <v>4592</v>
      </c>
      <c r="C164" s="424" t="str">
        <f t="shared" si="7"/>
        <v>X</v>
      </c>
      <c r="D164" s="390">
        <v>2023</v>
      </c>
      <c r="E164" s="425" t="s">
        <v>623</v>
      </c>
      <c r="F164" s="432" t="s">
        <v>620</v>
      </c>
      <c r="H164" s="426" t="s">
        <v>731</v>
      </c>
      <c r="I164" s="215" t="str">
        <f t="shared" si="8"/>
        <v>Ligeiro de Passageiros M1: Geral : Gasóleo : E4</v>
      </c>
      <c r="J164" s="430">
        <v>1762.78</v>
      </c>
      <c r="K164" s="433" t="s">
        <v>630</v>
      </c>
      <c r="L164" s="426">
        <v>29237</v>
      </c>
      <c r="M164" s="427">
        <v>5</v>
      </c>
      <c r="N164" s="437">
        <f t="shared" si="10"/>
        <v>6.0292779696959329</v>
      </c>
      <c r="O164" s="421" t="s">
        <v>4755</v>
      </c>
      <c r="P164" s="445" t="s">
        <v>4701</v>
      </c>
      <c r="Q164" s="214" t="s">
        <v>1869</v>
      </c>
      <c r="R164" s="214" t="s">
        <v>1861</v>
      </c>
      <c r="S164" s="422" t="s">
        <v>1953</v>
      </c>
      <c r="T164" s="422" t="s">
        <v>2814</v>
      </c>
    </row>
    <row r="165" spans="1:20" ht="15.75" thickBot="1" x14ac:dyDescent="0.3">
      <c r="A165" t="s">
        <v>2868</v>
      </c>
      <c r="B165" s="424" t="s">
        <v>2868</v>
      </c>
      <c r="C165" s="424" t="str">
        <f t="shared" si="7"/>
        <v>X</v>
      </c>
      <c r="D165" s="390">
        <v>2023</v>
      </c>
      <c r="E165" s="425" t="s">
        <v>624</v>
      </c>
      <c r="F165" s="432" t="s">
        <v>620</v>
      </c>
      <c r="H165" s="426" t="s">
        <v>733</v>
      </c>
      <c r="I165" s="215" t="str">
        <f t="shared" si="8"/>
        <v>Ligeiro de Mercadorias N1: Geral : Gasóleo : E6</v>
      </c>
      <c r="J165" s="430">
        <v>2325.56</v>
      </c>
      <c r="K165" s="433" t="s">
        <v>630</v>
      </c>
      <c r="L165" s="426">
        <v>23574</v>
      </c>
      <c r="M165" s="427">
        <v>3</v>
      </c>
      <c r="N165" s="437">
        <f t="shared" si="10"/>
        <v>9.8649359463816069</v>
      </c>
      <c r="O165" s="421" t="s">
        <v>4756</v>
      </c>
      <c r="P165" s="445" t="s">
        <v>4701</v>
      </c>
      <c r="Q165" s="214" t="s">
        <v>1869</v>
      </c>
      <c r="R165" s="214" t="s">
        <v>1861</v>
      </c>
      <c r="S165" s="422" t="s">
        <v>1953</v>
      </c>
      <c r="T165" s="422" t="s">
        <v>2814</v>
      </c>
    </row>
    <row r="166" spans="1:20" ht="15.75" thickBot="1" x14ac:dyDescent="0.3">
      <c r="A166" t="s">
        <v>2868</v>
      </c>
      <c r="B166" s="424" t="s">
        <v>2868</v>
      </c>
      <c r="C166" s="424" t="str">
        <f t="shared" si="7"/>
        <v>X</v>
      </c>
      <c r="D166" s="390">
        <v>2023</v>
      </c>
      <c r="E166" s="425" t="s">
        <v>624</v>
      </c>
      <c r="F166" s="432" t="s">
        <v>620</v>
      </c>
      <c r="H166" s="426" t="s">
        <v>733</v>
      </c>
      <c r="I166" s="215" t="str">
        <f t="shared" si="8"/>
        <v>Ligeiro de Mercadorias N1: Geral : Gasóleo : E6</v>
      </c>
      <c r="J166" s="430">
        <v>1230.33</v>
      </c>
      <c r="K166" s="433" t="s">
        <v>630</v>
      </c>
      <c r="L166" s="426">
        <v>21475</v>
      </c>
      <c r="M166" s="427">
        <v>2</v>
      </c>
      <c r="N166" s="437">
        <f t="shared" si="10"/>
        <v>5.729126891734575</v>
      </c>
      <c r="O166" s="421" t="s">
        <v>4757</v>
      </c>
      <c r="P166" s="445" t="s">
        <v>4701</v>
      </c>
      <c r="Q166" s="214" t="s">
        <v>1869</v>
      </c>
      <c r="R166" s="214" t="s">
        <v>1861</v>
      </c>
      <c r="S166" s="422" t="s">
        <v>1953</v>
      </c>
      <c r="T166" s="422" t="s">
        <v>2814</v>
      </c>
    </row>
    <row r="167" spans="1:20" ht="15.75" thickBot="1" x14ac:dyDescent="0.3">
      <c r="A167" t="s">
        <v>2868</v>
      </c>
      <c r="B167" s="424" t="s">
        <v>2868</v>
      </c>
      <c r="C167" s="424" t="str">
        <f t="shared" si="7"/>
        <v>X</v>
      </c>
      <c r="D167" s="390">
        <v>2023</v>
      </c>
      <c r="E167" s="425" t="s">
        <v>624</v>
      </c>
      <c r="F167" s="432" t="s">
        <v>620</v>
      </c>
      <c r="H167" s="426" t="s">
        <v>733</v>
      </c>
      <c r="I167" s="215" t="str">
        <f t="shared" si="8"/>
        <v>Ligeiro de Mercadorias N1: Geral : Gasóleo : E6</v>
      </c>
      <c r="J167" s="430">
        <v>3719.38</v>
      </c>
      <c r="K167" s="433" t="s">
        <v>630</v>
      </c>
      <c r="L167" s="426">
        <v>28478</v>
      </c>
      <c r="M167" s="427">
        <v>3</v>
      </c>
      <c r="N167" s="437">
        <f t="shared" si="10"/>
        <v>13.060537959126345</v>
      </c>
      <c r="O167" s="421" t="s">
        <v>4758</v>
      </c>
      <c r="P167" s="445" t="s">
        <v>4701</v>
      </c>
      <c r="Q167" s="214" t="s">
        <v>1869</v>
      </c>
      <c r="R167" s="214" t="s">
        <v>1861</v>
      </c>
      <c r="S167" s="422" t="s">
        <v>1953</v>
      </c>
      <c r="T167" s="422" t="s">
        <v>2814</v>
      </c>
    </row>
    <row r="168" spans="1:20" ht="15.75" thickBot="1" x14ac:dyDescent="0.3">
      <c r="A168" t="s">
        <v>2868</v>
      </c>
      <c r="B168" s="424" t="s">
        <v>2868</v>
      </c>
      <c r="C168" s="424" t="str">
        <f t="shared" ref="C168:C231" si="11">IF(A168=B168,"X",RIGHT(A168,LEN(A168)-LEN(B168)-3))</f>
        <v>X</v>
      </c>
      <c r="D168" s="390">
        <v>2023</v>
      </c>
      <c r="E168" s="425" t="s">
        <v>624</v>
      </c>
      <c r="F168" s="432" t="s">
        <v>620</v>
      </c>
      <c r="H168" s="426" t="s">
        <v>733</v>
      </c>
      <c r="I168" s="215" t="str">
        <f t="shared" si="8"/>
        <v>Ligeiro de Mercadorias N1: Geral : Gasóleo : E6</v>
      </c>
      <c r="J168" s="430">
        <v>586.55999999999995</v>
      </c>
      <c r="K168" s="433" t="s">
        <v>630</v>
      </c>
      <c r="L168" s="426">
        <v>6625</v>
      </c>
      <c r="M168" s="427">
        <v>3</v>
      </c>
      <c r="N168" s="437">
        <f t="shared" si="10"/>
        <v>8.8537358490566032</v>
      </c>
      <c r="O168" s="421" t="s">
        <v>4759</v>
      </c>
      <c r="P168" s="445" t="s">
        <v>4701</v>
      </c>
      <c r="Q168" s="214" t="s">
        <v>1869</v>
      </c>
      <c r="R168" s="214" t="s">
        <v>1861</v>
      </c>
      <c r="S168" s="422" t="s">
        <v>1953</v>
      </c>
      <c r="T168" s="422" t="s">
        <v>2814</v>
      </c>
    </row>
    <row r="169" spans="1:20" ht="15.75" thickBot="1" x14ac:dyDescent="0.3">
      <c r="A169" t="s">
        <v>2868</v>
      </c>
      <c r="B169" s="424" t="s">
        <v>2868</v>
      </c>
      <c r="C169" s="424" t="str">
        <f t="shared" si="11"/>
        <v>X</v>
      </c>
      <c r="D169" s="390">
        <v>2023</v>
      </c>
      <c r="E169" s="425" t="s">
        <v>624</v>
      </c>
      <c r="F169" s="432" t="s">
        <v>620</v>
      </c>
      <c r="H169" s="426" t="s">
        <v>733</v>
      </c>
      <c r="I169" s="215" t="str">
        <f t="shared" si="8"/>
        <v>Ligeiro de Mercadorias N1: Geral : Gasóleo : E6</v>
      </c>
      <c r="J169" s="430">
        <v>2540.48</v>
      </c>
      <c r="K169" s="433" t="s">
        <v>630</v>
      </c>
      <c r="L169" s="426">
        <v>42466</v>
      </c>
      <c r="M169" s="427">
        <v>2</v>
      </c>
      <c r="N169" s="437">
        <f t="shared" si="10"/>
        <v>5.9823859087269815</v>
      </c>
      <c r="O169" s="421" t="s">
        <v>4760</v>
      </c>
      <c r="P169" s="445" t="s">
        <v>4701</v>
      </c>
      <c r="Q169" s="214" t="s">
        <v>1869</v>
      </c>
      <c r="R169" s="214" t="s">
        <v>1861</v>
      </c>
      <c r="S169" s="422" t="s">
        <v>1953</v>
      </c>
      <c r="T169" s="422" t="s">
        <v>2814</v>
      </c>
    </row>
    <row r="170" spans="1:20" ht="15.75" thickBot="1" x14ac:dyDescent="0.3">
      <c r="A170" t="s">
        <v>2868</v>
      </c>
      <c r="B170" s="424" t="s">
        <v>2868</v>
      </c>
      <c r="C170" s="424" t="str">
        <f t="shared" si="11"/>
        <v>X</v>
      </c>
      <c r="D170" s="390">
        <v>2023</v>
      </c>
      <c r="E170" s="425" t="s">
        <v>624</v>
      </c>
      <c r="F170" s="432" t="s">
        <v>620</v>
      </c>
      <c r="H170" s="426" t="s">
        <v>733</v>
      </c>
      <c r="I170" s="215" t="str">
        <f t="shared" si="8"/>
        <v>Ligeiro de Mercadorias N1: Geral : Gasóleo : E6</v>
      </c>
      <c r="J170" s="430">
        <v>1482.5</v>
      </c>
      <c r="K170" s="433" t="s">
        <v>630</v>
      </c>
      <c r="L170" s="426">
        <v>22029</v>
      </c>
      <c r="M170" s="427">
        <v>3</v>
      </c>
      <c r="N170" s="437">
        <f t="shared" si="10"/>
        <v>6.7297653093649279</v>
      </c>
      <c r="O170" s="421" t="s">
        <v>4761</v>
      </c>
      <c r="P170" s="445" t="s">
        <v>4701</v>
      </c>
      <c r="Q170" s="214" t="s">
        <v>1869</v>
      </c>
      <c r="R170" s="214" t="s">
        <v>1861</v>
      </c>
      <c r="S170" s="422" t="s">
        <v>1953</v>
      </c>
      <c r="T170" s="422" t="s">
        <v>2814</v>
      </c>
    </row>
    <row r="171" spans="1:20" ht="15.75" thickBot="1" x14ac:dyDescent="0.3">
      <c r="A171" t="s">
        <v>2868</v>
      </c>
      <c r="B171" s="424" t="s">
        <v>2868</v>
      </c>
      <c r="C171" s="424" t="str">
        <f t="shared" si="11"/>
        <v>X</v>
      </c>
      <c r="D171" s="390">
        <v>2023</v>
      </c>
      <c r="E171" s="425" t="s">
        <v>624</v>
      </c>
      <c r="F171" s="432" t="s">
        <v>620</v>
      </c>
      <c r="H171" s="426" t="s">
        <v>733</v>
      </c>
      <c r="I171" s="215" t="str">
        <f t="shared" si="8"/>
        <v>Ligeiro de Mercadorias N1: Geral : Gasóleo : E6</v>
      </c>
      <c r="J171" s="430">
        <v>822.55</v>
      </c>
      <c r="K171" s="433" t="s">
        <v>630</v>
      </c>
      <c r="L171" s="426">
        <v>12769</v>
      </c>
      <c r="M171" s="427">
        <v>2</v>
      </c>
      <c r="N171" s="437">
        <f t="shared" si="10"/>
        <v>6.4417730440911578</v>
      </c>
      <c r="O171" s="421" t="s">
        <v>4762</v>
      </c>
      <c r="P171" s="445" t="s">
        <v>4701</v>
      </c>
      <c r="Q171" s="214" t="s">
        <v>1869</v>
      </c>
      <c r="R171" s="214" t="s">
        <v>1861</v>
      </c>
      <c r="S171" s="422" t="s">
        <v>1953</v>
      </c>
      <c r="T171" s="422" t="s">
        <v>2814</v>
      </c>
    </row>
    <row r="172" spans="1:20" ht="15.75" thickBot="1" x14ac:dyDescent="0.3">
      <c r="A172" t="s">
        <v>2868</v>
      </c>
      <c r="B172" s="424" t="s">
        <v>2868</v>
      </c>
      <c r="C172" s="424" t="str">
        <f t="shared" si="11"/>
        <v>X</v>
      </c>
      <c r="D172" s="390">
        <v>2023</v>
      </c>
      <c r="E172" s="425" t="s">
        <v>624</v>
      </c>
      <c r="F172" s="432" t="s">
        <v>620</v>
      </c>
      <c r="H172" s="426" t="s">
        <v>733</v>
      </c>
      <c r="I172" s="215" t="str">
        <f t="shared" si="8"/>
        <v>Ligeiro de Mercadorias N1: Geral : Gasóleo : E6</v>
      </c>
      <c r="J172" s="430">
        <v>3115.13</v>
      </c>
      <c r="K172" s="433" t="s">
        <v>630</v>
      </c>
      <c r="L172" s="426">
        <v>47120</v>
      </c>
      <c r="M172" s="427">
        <v>2</v>
      </c>
      <c r="N172" s="437">
        <f t="shared" si="10"/>
        <v>6.611056876061121</v>
      </c>
      <c r="O172" s="421" t="s">
        <v>4763</v>
      </c>
      <c r="P172" s="445" t="s">
        <v>4701</v>
      </c>
      <c r="Q172" s="214" t="s">
        <v>1869</v>
      </c>
      <c r="R172" s="214" t="s">
        <v>1861</v>
      </c>
      <c r="S172" s="422" t="s">
        <v>1953</v>
      </c>
      <c r="T172" s="422" t="s">
        <v>2814</v>
      </c>
    </row>
    <row r="173" spans="1:20" ht="15.75" thickBot="1" x14ac:dyDescent="0.3">
      <c r="A173" t="s">
        <v>2868</v>
      </c>
      <c r="B173" s="424" t="s">
        <v>2868</v>
      </c>
      <c r="C173" s="424" t="str">
        <f t="shared" si="11"/>
        <v>X</v>
      </c>
      <c r="D173" s="390">
        <v>2023</v>
      </c>
      <c r="E173" s="425" t="s">
        <v>624</v>
      </c>
      <c r="F173" s="432" t="s">
        <v>620</v>
      </c>
      <c r="H173" s="444" t="s">
        <v>734</v>
      </c>
      <c r="I173" s="215" t="str">
        <f t="shared" si="8"/>
        <v>Ligeiro de Mercadorias N1: Geral : Gasóleo : E5</v>
      </c>
      <c r="J173" s="430">
        <v>946.05</v>
      </c>
      <c r="K173" s="433" t="s">
        <v>630</v>
      </c>
      <c r="L173" s="426">
        <v>15003</v>
      </c>
      <c r="M173" s="427">
        <v>3</v>
      </c>
      <c r="N173" s="437">
        <f t="shared" si="10"/>
        <v>6.3057388522295534</v>
      </c>
      <c r="O173" s="421" t="s">
        <v>4764</v>
      </c>
      <c r="P173" s="445" t="s">
        <v>4701</v>
      </c>
      <c r="Q173" s="214" t="s">
        <v>1869</v>
      </c>
      <c r="R173" s="214" t="s">
        <v>1861</v>
      </c>
      <c r="S173" s="422" t="s">
        <v>1953</v>
      </c>
      <c r="T173" s="422" t="s">
        <v>2814</v>
      </c>
    </row>
    <row r="174" spans="1:20" ht="15.75" thickBot="1" x14ac:dyDescent="0.3">
      <c r="A174" t="s">
        <v>2868</v>
      </c>
      <c r="B174" s="424" t="s">
        <v>2868</v>
      </c>
      <c r="C174" s="424" t="str">
        <f t="shared" si="11"/>
        <v>X</v>
      </c>
      <c r="D174" s="390">
        <v>2023</v>
      </c>
      <c r="E174" s="425" t="s">
        <v>624</v>
      </c>
      <c r="F174" s="432" t="s">
        <v>620</v>
      </c>
      <c r="H174" s="426"/>
      <c r="I174" s="215" t="str">
        <f t="shared" si="8"/>
        <v>Ligeiro de Mercadorias N1: Geral : Gasóleo : Geral</v>
      </c>
      <c r="J174" s="430">
        <v>3659.59</v>
      </c>
      <c r="K174" s="433" t="s">
        <v>630</v>
      </c>
      <c r="L174" s="426">
        <v>54873</v>
      </c>
      <c r="M174" s="427">
        <v>3</v>
      </c>
      <c r="N174" s="437">
        <f t="shared" si="10"/>
        <v>6.6691997886027741</v>
      </c>
      <c r="O174" s="421" t="s">
        <v>4765</v>
      </c>
      <c r="P174" s="445" t="s">
        <v>4701</v>
      </c>
      <c r="Q174" s="214" t="s">
        <v>1869</v>
      </c>
      <c r="R174" s="214" t="s">
        <v>1861</v>
      </c>
      <c r="S174" s="422" t="s">
        <v>1953</v>
      </c>
      <c r="T174" s="422" t="s">
        <v>2814</v>
      </c>
    </row>
    <row r="175" spans="1:20" ht="15.75" thickBot="1" x14ac:dyDescent="0.3">
      <c r="A175" t="s">
        <v>4593</v>
      </c>
      <c r="B175" s="424" t="s">
        <v>4593</v>
      </c>
      <c r="C175" s="424" t="str">
        <f t="shared" si="11"/>
        <v>X</v>
      </c>
      <c r="D175" s="390">
        <v>2023</v>
      </c>
      <c r="E175" s="425" t="s">
        <v>624</v>
      </c>
      <c r="F175" s="432" t="s">
        <v>620</v>
      </c>
      <c r="H175" s="426"/>
      <c r="I175" s="215" t="str">
        <f t="shared" si="8"/>
        <v>Ligeiro de Mercadorias N1: Geral : Gasóleo : Geral</v>
      </c>
      <c r="J175" s="430">
        <v>3920.9900000000002</v>
      </c>
      <c r="K175" s="433" t="s">
        <v>630</v>
      </c>
      <c r="L175" s="426">
        <v>23728</v>
      </c>
      <c r="M175" s="427">
        <v>2</v>
      </c>
      <c r="N175" s="437">
        <f t="shared" si="10"/>
        <v>16.524738705327042</v>
      </c>
      <c r="O175" s="421" t="s">
        <v>4766</v>
      </c>
      <c r="P175" s="445" t="s">
        <v>4701</v>
      </c>
      <c r="Q175" s="214" t="s">
        <v>1869</v>
      </c>
      <c r="R175" s="214" t="s">
        <v>1861</v>
      </c>
      <c r="S175" s="422" t="s">
        <v>1953</v>
      </c>
      <c r="T175" s="422" t="s">
        <v>2814</v>
      </c>
    </row>
    <row r="176" spans="1:20" ht="15.75" thickBot="1" x14ac:dyDescent="0.3">
      <c r="A176" t="s">
        <v>4592</v>
      </c>
      <c r="B176" s="424" t="s">
        <v>4592</v>
      </c>
      <c r="C176" s="424" t="str">
        <f t="shared" si="11"/>
        <v>X</v>
      </c>
      <c r="D176" s="390">
        <v>2023</v>
      </c>
      <c r="E176" s="425" t="s">
        <v>624</v>
      </c>
      <c r="F176" s="432" t="s">
        <v>620</v>
      </c>
      <c r="H176" s="426"/>
      <c r="I176" s="215" t="str">
        <f t="shared" ref="I176:I239" si="12">IF(H176="",E176&amp;": Geral : "&amp;F176&amp;" : Geral",E176&amp;": Geral : "&amp;F176&amp;" : "&amp;H176)</f>
        <v>Ligeiro de Mercadorias N1: Geral : Gasóleo : Geral</v>
      </c>
      <c r="J176" s="430">
        <v>3398.99</v>
      </c>
      <c r="K176" s="433" t="s">
        <v>630</v>
      </c>
      <c r="L176" s="426">
        <v>43580</v>
      </c>
      <c r="M176" s="427">
        <v>3</v>
      </c>
      <c r="N176" s="437">
        <f t="shared" si="10"/>
        <v>7.7994263423588794</v>
      </c>
      <c r="O176" s="440" t="s">
        <v>4767</v>
      </c>
      <c r="P176" s="445" t="s">
        <v>4701</v>
      </c>
      <c r="Q176" s="214" t="s">
        <v>1869</v>
      </c>
      <c r="R176" s="214" t="s">
        <v>1861</v>
      </c>
      <c r="S176" s="422" t="s">
        <v>1953</v>
      </c>
      <c r="T176" s="422" t="s">
        <v>2814</v>
      </c>
    </row>
    <row r="177" spans="1:20" ht="15.75" thickBot="1" x14ac:dyDescent="0.3">
      <c r="A177" s="422" t="s">
        <v>4593</v>
      </c>
      <c r="B177" s="424" t="s">
        <v>4593</v>
      </c>
      <c r="C177" s="424" t="str">
        <f t="shared" si="11"/>
        <v>X</v>
      </c>
      <c r="D177" s="390">
        <v>2023</v>
      </c>
      <c r="E177" s="425" t="s">
        <v>1920</v>
      </c>
      <c r="F177" s="432" t="s">
        <v>620</v>
      </c>
      <c r="H177" s="426"/>
      <c r="I177" s="215" t="str">
        <f t="shared" si="12"/>
        <v>Pesado de Mercadorias N3: Geral : Gasóleo : Geral</v>
      </c>
      <c r="J177" s="430">
        <v>146</v>
      </c>
      <c r="K177" s="433" t="s">
        <v>630</v>
      </c>
      <c r="L177" s="426">
        <v>373</v>
      </c>
      <c r="M177" s="427">
        <v>3</v>
      </c>
      <c r="N177" s="437">
        <f t="shared" si="10"/>
        <v>39.142091152815013</v>
      </c>
      <c r="O177" s="440">
        <v>4689</v>
      </c>
      <c r="P177" s="445" t="s">
        <v>4701</v>
      </c>
      <c r="Q177" s="214" t="s">
        <v>1869</v>
      </c>
      <c r="R177" s="214" t="s">
        <v>1861</v>
      </c>
      <c r="S177" s="422" t="s">
        <v>1953</v>
      </c>
      <c r="T177" s="422" t="s">
        <v>2814</v>
      </c>
    </row>
    <row r="178" spans="1:20" ht="15.75" thickBot="1" x14ac:dyDescent="0.3">
      <c r="A178" s="422" t="s">
        <v>2868</v>
      </c>
      <c r="B178" s="424" t="s">
        <v>2868</v>
      </c>
      <c r="C178" s="424" t="str">
        <f t="shared" si="11"/>
        <v>X</v>
      </c>
      <c r="D178" s="390">
        <v>2023</v>
      </c>
      <c r="E178" s="425" t="s">
        <v>623</v>
      </c>
      <c r="F178" s="432" t="s">
        <v>620</v>
      </c>
      <c r="H178" s="426"/>
      <c r="I178" s="215" t="str">
        <f t="shared" si="12"/>
        <v>Ligeiro de Passageiros M1: Geral : Gasóleo : Geral</v>
      </c>
      <c r="J178" s="430">
        <v>21698</v>
      </c>
      <c r="K178" s="433" t="s">
        <v>630</v>
      </c>
      <c r="L178" s="426">
        <v>294017</v>
      </c>
      <c r="M178" s="427">
        <v>7.2</v>
      </c>
      <c r="N178" s="437">
        <f t="shared" si="10"/>
        <v>7.3798453830900934</v>
      </c>
      <c r="O178" s="421"/>
      <c r="P178" s="445"/>
      <c r="Q178" s="214" t="s">
        <v>1869</v>
      </c>
      <c r="R178" s="214" t="s">
        <v>1861</v>
      </c>
      <c r="S178" s="422" t="s">
        <v>1953</v>
      </c>
      <c r="T178" s="422" t="s">
        <v>2814</v>
      </c>
    </row>
    <row r="179" spans="1:20" ht="15.75" thickBot="1" x14ac:dyDescent="0.3">
      <c r="A179" s="422" t="s">
        <v>2868</v>
      </c>
      <c r="B179" s="424" t="s">
        <v>2868</v>
      </c>
      <c r="C179" s="424" t="str">
        <f t="shared" si="11"/>
        <v>X</v>
      </c>
      <c r="D179" s="390">
        <v>2023</v>
      </c>
      <c r="E179" s="425" t="s">
        <v>624</v>
      </c>
      <c r="F179" s="432" t="s">
        <v>620</v>
      </c>
      <c r="H179" s="426"/>
      <c r="I179" s="215" t="str">
        <f t="shared" si="12"/>
        <v>Ligeiro de Mercadorias N1: Geral : Gasóleo : Geral</v>
      </c>
      <c r="J179" s="430">
        <v>16768</v>
      </c>
      <c r="K179" s="433" t="s">
        <v>630</v>
      </c>
      <c r="L179" s="426">
        <v>219539</v>
      </c>
      <c r="M179" s="427">
        <v>2.5</v>
      </c>
      <c r="N179" s="437">
        <f t="shared" si="10"/>
        <v>7.6378228925156808</v>
      </c>
      <c r="O179" s="421"/>
      <c r="P179" s="445"/>
      <c r="Q179" s="214" t="s">
        <v>1869</v>
      </c>
      <c r="R179" s="214" t="s">
        <v>1861</v>
      </c>
      <c r="S179" s="422" t="s">
        <v>1953</v>
      </c>
      <c r="T179" s="422" t="s">
        <v>2814</v>
      </c>
    </row>
    <row r="180" spans="1:20" ht="15.75" thickBot="1" x14ac:dyDescent="0.3">
      <c r="A180" s="422" t="s">
        <v>4592</v>
      </c>
      <c r="B180" s="424" t="s">
        <v>4592</v>
      </c>
      <c r="C180" s="424" t="str">
        <f t="shared" si="11"/>
        <v>X</v>
      </c>
      <c r="D180" s="390">
        <v>2023</v>
      </c>
      <c r="E180" s="425" t="s">
        <v>623</v>
      </c>
      <c r="F180" s="432" t="s">
        <v>620</v>
      </c>
      <c r="H180" s="426"/>
      <c r="I180" s="215" t="str">
        <f t="shared" si="12"/>
        <v>Ligeiro de Passageiros M1: Geral : Gasóleo : Geral</v>
      </c>
      <c r="J180" s="430">
        <v>4096.3</v>
      </c>
      <c r="K180" s="433" t="s">
        <v>630</v>
      </c>
      <c r="L180" s="426">
        <v>63287</v>
      </c>
      <c r="M180" s="427">
        <v>6.5</v>
      </c>
      <c r="N180" s="437">
        <f t="shared" si="10"/>
        <v>6.4725773065558485</v>
      </c>
      <c r="O180" s="421"/>
      <c r="P180" s="445"/>
      <c r="Q180" s="214" t="s">
        <v>1869</v>
      </c>
      <c r="R180" s="214" t="s">
        <v>1861</v>
      </c>
      <c r="S180" s="422" t="s">
        <v>1953</v>
      </c>
      <c r="T180" s="422" t="s">
        <v>2814</v>
      </c>
    </row>
    <row r="181" spans="1:20" ht="15.75" thickBot="1" x14ac:dyDescent="0.3">
      <c r="A181" s="422" t="s">
        <v>4592</v>
      </c>
      <c r="B181" s="424" t="s">
        <v>4592</v>
      </c>
      <c r="C181" s="424" t="str">
        <f t="shared" si="11"/>
        <v>X</v>
      </c>
      <c r="D181" s="390">
        <v>2023</v>
      </c>
      <c r="E181" s="425" t="s">
        <v>624</v>
      </c>
      <c r="F181" s="432" t="s">
        <v>620</v>
      </c>
      <c r="H181" s="426"/>
      <c r="I181" s="215" t="str">
        <f t="shared" si="12"/>
        <v>Ligeiro de Mercadorias N1: Geral : Gasóleo : Geral</v>
      </c>
      <c r="J181" s="430">
        <v>3398.99</v>
      </c>
      <c r="K181" s="433" t="s">
        <v>630</v>
      </c>
      <c r="L181" s="426">
        <v>43580</v>
      </c>
      <c r="M181" s="427">
        <v>3</v>
      </c>
      <c r="N181" s="437">
        <f t="shared" si="10"/>
        <v>7.7994263423588794</v>
      </c>
      <c r="O181" s="421"/>
      <c r="P181" s="445"/>
      <c r="Q181" s="214" t="s">
        <v>1869</v>
      </c>
      <c r="R181" s="214" t="s">
        <v>1861</v>
      </c>
      <c r="S181" s="422" t="s">
        <v>1953</v>
      </c>
      <c r="T181" s="422" t="s">
        <v>2814</v>
      </c>
    </row>
    <row r="182" spans="1:20" ht="15.75" thickBot="1" x14ac:dyDescent="0.3">
      <c r="A182" t="s">
        <v>4593</v>
      </c>
      <c r="B182" s="424" t="s">
        <v>4593</v>
      </c>
      <c r="C182" s="424" t="str">
        <f t="shared" si="11"/>
        <v>X</v>
      </c>
      <c r="D182" s="390">
        <v>2023</v>
      </c>
      <c r="E182" s="425" t="s">
        <v>624</v>
      </c>
      <c r="F182" s="432" t="s">
        <v>620</v>
      </c>
      <c r="H182" s="426"/>
      <c r="I182" s="215" t="str">
        <f t="shared" si="12"/>
        <v>Ligeiro de Mercadorias N1: Geral : Gasóleo : Geral</v>
      </c>
      <c r="J182" s="430">
        <v>3920.9900000000002</v>
      </c>
      <c r="K182" s="433" t="s">
        <v>630</v>
      </c>
      <c r="L182" s="426">
        <v>23728</v>
      </c>
      <c r="M182" s="427">
        <v>3</v>
      </c>
      <c r="N182" s="437">
        <f t="shared" si="10"/>
        <v>16.524738705327042</v>
      </c>
      <c r="O182" s="421"/>
      <c r="P182" s="445"/>
      <c r="Q182" s="214" t="s">
        <v>1869</v>
      </c>
      <c r="R182" s="214" t="s">
        <v>1861</v>
      </c>
      <c r="S182" s="422" t="s">
        <v>1953</v>
      </c>
      <c r="T182" s="422" t="s">
        <v>2814</v>
      </c>
    </row>
    <row r="183" spans="1:20" ht="15.75" thickBot="1" x14ac:dyDescent="0.3">
      <c r="A183" t="s">
        <v>4593</v>
      </c>
      <c r="B183" s="424" t="s">
        <v>4593</v>
      </c>
      <c r="C183" s="424" t="str">
        <f t="shared" si="11"/>
        <v>X</v>
      </c>
      <c r="D183" s="390">
        <v>2023</v>
      </c>
      <c r="E183" s="425" t="s">
        <v>1920</v>
      </c>
      <c r="F183" s="432" t="s">
        <v>620</v>
      </c>
      <c r="H183" s="426" t="s">
        <v>733</v>
      </c>
      <c r="I183" s="215" t="str">
        <f t="shared" si="12"/>
        <v>Pesado de Mercadorias N3: Geral : Gasóleo : E6</v>
      </c>
      <c r="J183" s="430">
        <v>145.09</v>
      </c>
      <c r="K183" s="433" t="s">
        <v>630</v>
      </c>
      <c r="L183" s="426">
        <v>373</v>
      </c>
      <c r="M183" s="427">
        <v>3</v>
      </c>
      <c r="N183" s="437">
        <f t="shared" si="10"/>
        <v>38.898123324396785</v>
      </c>
      <c r="O183" s="421"/>
      <c r="P183" s="445"/>
      <c r="Q183" s="214" t="s">
        <v>1869</v>
      </c>
      <c r="R183" s="214" t="s">
        <v>1861</v>
      </c>
      <c r="S183" s="422" t="s">
        <v>1953</v>
      </c>
      <c r="T183" s="422" t="s">
        <v>2814</v>
      </c>
    </row>
    <row r="184" spans="1:20" ht="15.75" thickBot="1" x14ac:dyDescent="0.3">
      <c r="A184" s="422" t="s">
        <v>4594</v>
      </c>
      <c r="B184" s="422" t="s">
        <v>4594</v>
      </c>
      <c r="C184" s="424" t="str">
        <f t="shared" si="11"/>
        <v>X</v>
      </c>
      <c r="D184" s="390">
        <v>2023</v>
      </c>
      <c r="E184" s="425" t="s">
        <v>623</v>
      </c>
      <c r="F184" s="432" t="s">
        <v>620</v>
      </c>
      <c r="H184" s="426" t="s">
        <v>733</v>
      </c>
      <c r="I184" s="215" t="str">
        <f t="shared" si="12"/>
        <v>Ligeiro de Passageiros M1: Geral : Gasóleo : E6</v>
      </c>
      <c r="J184" s="430">
        <v>10210</v>
      </c>
      <c r="K184" s="433" t="s">
        <v>630</v>
      </c>
      <c r="L184" s="426">
        <v>124038</v>
      </c>
      <c r="M184" s="427">
        <v>7.7</v>
      </c>
      <c r="N184" s="437">
        <f t="shared" si="10"/>
        <v>8.2313484577306966</v>
      </c>
      <c r="O184" s="421"/>
      <c r="P184" s="445"/>
      <c r="Q184" s="214" t="s">
        <v>1869</v>
      </c>
      <c r="R184" s="214" t="s">
        <v>1861</v>
      </c>
      <c r="S184" s="422" t="s">
        <v>1953</v>
      </c>
      <c r="T184" s="422" t="s">
        <v>2814</v>
      </c>
    </row>
    <row r="185" spans="1:20" ht="15.75" thickBot="1" x14ac:dyDescent="0.3">
      <c r="A185" s="422" t="s">
        <v>4594</v>
      </c>
      <c r="B185" s="422" t="s">
        <v>4594</v>
      </c>
      <c r="C185" s="424" t="str">
        <f t="shared" si="11"/>
        <v>X</v>
      </c>
      <c r="D185" s="390">
        <v>2023</v>
      </c>
      <c r="E185" s="425" t="s">
        <v>624</v>
      </c>
      <c r="F185" s="432" t="s">
        <v>620</v>
      </c>
      <c r="H185" s="426" t="s">
        <v>733</v>
      </c>
      <c r="I185" s="215" t="str">
        <f t="shared" si="12"/>
        <v>Ligeiro de Mercadorias N1: Geral : Gasóleo : E6</v>
      </c>
      <c r="J185" s="430">
        <v>3659.59</v>
      </c>
      <c r="K185" s="433" t="s">
        <v>630</v>
      </c>
      <c r="L185" s="426">
        <v>54873</v>
      </c>
      <c r="M185" s="427">
        <v>3</v>
      </c>
      <c r="N185" s="437">
        <f t="shared" si="10"/>
        <v>6.6691997886027741</v>
      </c>
      <c r="O185" s="421"/>
      <c r="P185" s="445"/>
      <c r="Q185" s="214" t="s">
        <v>1869</v>
      </c>
      <c r="R185" s="214" t="s">
        <v>1861</v>
      </c>
      <c r="S185" s="422" t="s">
        <v>1953</v>
      </c>
      <c r="T185" s="422" t="s">
        <v>2814</v>
      </c>
    </row>
    <row r="186" spans="1:20" ht="15.75" thickBot="1" x14ac:dyDescent="0.3">
      <c r="A186" t="s">
        <v>1910</v>
      </c>
      <c r="B186" s="424" t="s">
        <v>1910</v>
      </c>
      <c r="C186" s="424" t="str">
        <f t="shared" si="11"/>
        <v>X</v>
      </c>
      <c r="D186" s="390">
        <v>2023</v>
      </c>
      <c r="E186" s="425" t="s">
        <v>623</v>
      </c>
      <c r="F186" s="432" t="s">
        <v>620</v>
      </c>
      <c r="H186" s="426" t="s">
        <v>733</v>
      </c>
      <c r="I186" s="215" t="str">
        <f t="shared" si="12"/>
        <v>Ligeiro de Passageiros M1: Geral : Gasóleo : E6</v>
      </c>
      <c r="J186" s="430">
        <v>16697.820000000011</v>
      </c>
      <c r="K186" s="433" t="s">
        <v>630</v>
      </c>
      <c r="L186" s="426">
        <v>324636</v>
      </c>
      <c r="M186" s="427">
        <v>4</v>
      </c>
      <c r="N186" s="437">
        <f t="shared" si="10"/>
        <v>5.1435515469633719</v>
      </c>
      <c r="O186" s="421"/>
      <c r="P186" s="445" t="s">
        <v>2821</v>
      </c>
      <c r="Q186" s="214" t="s">
        <v>1869</v>
      </c>
      <c r="R186" s="214" t="s">
        <v>1861</v>
      </c>
      <c r="S186" s="422" t="s">
        <v>1953</v>
      </c>
      <c r="T186" s="422" t="s">
        <v>2814</v>
      </c>
    </row>
    <row r="187" spans="1:20" ht="15.75" thickBot="1" x14ac:dyDescent="0.3">
      <c r="A187" t="s">
        <v>1910</v>
      </c>
      <c r="B187" s="424" t="s">
        <v>1910</v>
      </c>
      <c r="C187" s="424" t="str">
        <f t="shared" si="11"/>
        <v>X</v>
      </c>
      <c r="D187" s="390">
        <v>2023</v>
      </c>
      <c r="E187" s="425" t="s">
        <v>623</v>
      </c>
      <c r="F187" s="432" t="s">
        <v>1933</v>
      </c>
      <c r="I187" s="215" t="str">
        <f t="shared" si="12"/>
        <v>Ligeiro de Passageiros M1: Geral : Gasolina : Geral</v>
      </c>
      <c r="J187" s="430">
        <v>866.54</v>
      </c>
      <c r="K187" s="433" t="s">
        <v>630</v>
      </c>
      <c r="L187" s="426">
        <v>54155</v>
      </c>
      <c r="M187" s="427">
        <v>5</v>
      </c>
      <c r="N187" s="437">
        <f t="shared" si="10"/>
        <v>1.6001107930938971</v>
      </c>
      <c r="O187" s="421"/>
      <c r="P187" s="445" t="s">
        <v>2821</v>
      </c>
      <c r="Q187" s="214" t="s">
        <v>1869</v>
      </c>
      <c r="R187" s="214" t="s">
        <v>1861</v>
      </c>
      <c r="S187" s="422" t="s">
        <v>1953</v>
      </c>
      <c r="T187" s="422" t="s">
        <v>2814</v>
      </c>
    </row>
    <row r="188" spans="1:20" ht="15.75" thickBot="1" x14ac:dyDescent="0.3">
      <c r="A188" t="s">
        <v>4598</v>
      </c>
      <c r="B188" s="424" t="s">
        <v>4598</v>
      </c>
      <c r="C188" s="424" t="str">
        <f t="shared" si="11"/>
        <v>X</v>
      </c>
      <c r="D188" s="390">
        <v>2023</v>
      </c>
      <c r="E188" s="425" t="s">
        <v>624</v>
      </c>
      <c r="F188" s="432" t="s">
        <v>620</v>
      </c>
      <c r="I188" s="215" t="str">
        <f t="shared" si="12"/>
        <v>Ligeiro de Mercadorias N1: Geral : Gasóleo : Geral</v>
      </c>
      <c r="J188" s="430">
        <v>2355</v>
      </c>
      <c r="K188" s="433" t="s">
        <v>630</v>
      </c>
      <c r="L188" s="426">
        <v>21409</v>
      </c>
      <c r="M188" s="427">
        <v>3</v>
      </c>
      <c r="N188" s="437">
        <f t="shared" si="10"/>
        <v>11.000046709327853</v>
      </c>
      <c r="O188" s="421"/>
      <c r="P188" s="445" t="s">
        <v>4701</v>
      </c>
      <c r="Q188" s="214" t="s">
        <v>1869</v>
      </c>
      <c r="R188" s="214" t="s">
        <v>1861</v>
      </c>
      <c r="S188" s="422" t="s">
        <v>1953</v>
      </c>
      <c r="T188" s="422" t="s">
        <v>2814</v>
      </c>
    </row>
    <row r="189" spans="1:20" ht="15.75" thickBot="1" x14ac:dyDescent="0.3">
      <c r="A189" t="s">
        <v>4642</v>
      </c>
      <c r="B189" s="424" t="s">
        <v>4642</v>
      </c>
      <c r="C189" s="424" t="str">
        <f t="shared" si="11"/>
        <v>X</v>
      </c>
      <c r="D189" s="390">
        <v>2023</v>
      </c>
      <c r="E189" s="425" t="s">
        <v>624</v>
      </c>
      <c r="F189" s="432" t="s">
        <v>620</v>
      </c>
      <c r="I189" s="215" t="str">
        <f t="shared" si="12"/>
        <v>Ligeiro de Mercadorias N1: Geral : Gasóleo : Geral</v>
      </c>
      <c r="J189" s="430">
        <v>1745</v>
      </c>
      <c r="K189" s="433" t="s">
        <v>630</v>
      </c>
      <c r="L189" s="426">
        <v>31289</v>
      </c>
      <c r="M189" s="427">
        <v>2</v>
      </c>
      <c r="N189" s="437">
        <f t="shared" si="10"/>
        <v>5.5770398542618809</v>
      </c>
      <c r="O189" s="421"/>
      <c r="P189" s="445" t="s">
        <v>4701</v>
      </c>
      <c r="Q189" s="214" t="s">
        <v>1869</v>
      </c>
      <c r="R189" s="214" t="s">
        <v>1861</v>
      </c>
      <c r="S189" s="422" t="s">
        <v>1953</v>
      </c>
      <c r="T189" s="422" t="s">
        <v>2814</v>
      </c>
    </row>
    <row r="190" spans="1:20" ht="15.75" thickBot="1" x14ac:dyDescent="0.3">
      <c r="A190" t="s">
        <v>2823</v>
      </c>
      <c r="B190" s="424" t="s">
        <v>2823</v>
      </c>
      <c r="C190" s="424" t="str">
        <f t="shared" si="11"/>
        <v>X</v>
      </c>
      <c r="D190" s="390">
        <v>2023</v>
      </c>
      <c r="E190" s="425" t="s">
        <v>623</v>
      </c>
      <c r="F190" s="432" t="s">
        <v>1933</v>
      </c>
      <c r="I190" s="215" t="str">
        <f t="shared" si="12"/>
        <v>Ligeiro de Passageiros M1: Geral : Gasolina : Geral</v>
      </c>
      <c r="N190" s="437">
        <f t="shared" si="10"/>
        <v>0</v>
      </c>
      <c r="O190" s="421" t="s">
        <v>4768</v>
      </c>
      <c r="P190" s="445" t="s">
        <v>625</v>
      </c>
      <c r="Q190" s="214" t="s">
        <v>1869</v>
      </c>
      <c r="R190" s="214" t="s">
        <v>1861</v>
      </c>
      <c r="S190" s="422" t="s">
        <v>1953</v>
      </c>
      <c r="T190" s="422" t="s">
        <v>2814</v>
      </c>
    </row>
    <row r="191" spans="1:20" ht="15.75" thickBot="1" x14ac:dyDescent="0.3">
      <c r="A191" t="s">
        <v>2823</v>
      </c>
      <c r="B191" s="424" t="s">
        <v>2823</v>
      </c>
      <c r="C191" s="424" t="str">
        <f t="shared" si="11"/>
        <v>X</v>
      </c>
      <c r="D191" s="390">
        <v>2023</v>
      </c>
      <c r="E191" s="425" t="s">
        <v>623</v>
      </c>
      <c r="F191" s="432" t="s">
        <v>1933</v>
      </c>
      <c r="I191" s="215" t="str">
        <f t="shared" si="12"/>
        <v>Ligeiro de Passageiros M1: Geral : Gasolina : Geral</v>
      </c>
      <c r="N191" s="437">
        <f t="shared" si="10"/>
        <v>0</v>
      </c>
      <c r="O191" s="421" t="s">
        <v>4769</v>
      </c>
      <c r="P191" s="445" t="s">
        <v>625</v>
      </c>
      <c r="Q191" s="214" t="s">
        <v>1869</v>
      </c>
      <c r="R191" s="214" t="s">
        <v>1861</v>
      </c>
      <c r="S191" s="422" t="s">
        <v>1953</v>
      </c>
      <c r="T191" s="422" t="s">
        <v>2814</v>
      </c>
    </row>
    <row r="192" spans="1:20" ht="15.75" thickBot="1" x14ac:dyDescent="0.3">
      <c r="A192" t="s">
        <v>2823</v>
      </c>
      <c r="B192" s="424" t="s">
        <v>2823</v>
      </c>
      <c r="C192" s="424" t="str">
        <f t="shared" si="11"/>
        <v>X</v>
      </c>
      <c r="D192" s="390">
        <v>2023</v>
      </c>
      <c r="E192" s="425" t="s">
        <v>623</v>
      </c>
      <c r="F192" s="432" t="s">
        <v>1933</v>
      </c>
      <c r="I192" s="215" t="str">
        <f t="shared" si="12"/>
        <v>Ligeiro de Passageiros M1: Geral : Gasolina : Geral</v>
      </c>
      <c r="N192" s="437">
        <f t="shared" si="10"/>
        <v>0</v>
      </c>
      <c r="O192" s="421" t="s">
        <v>4770</v>
      </c>
      <c r="P192" s="445" t="s">
        <v>625</v>
      </c>
      <c r="Q192" s="214" t="s">
        <v>1869</v>
      </c>
      <c r="R192" s="214" t="s">
        <v>1861</v>
      </c>
      <c r="S192" s="422" t="s">
        <v>1953</v>
      </c>
      <c r="T192" s="422" t="s">
        <v>2814</v>
      </c>
    </row>
    <row r="193" spans="1:20" ht="15.75" thickBot="1" x14ac:dyDescent="0.3">
      <c r="A193" t="s">
        <v>2823</v>
      </c>
      <c r="B193" s="424" t="s">
        <v>2823</v>
      </c>
      <c r="C193" s="424" t="str">
        <f t="shared" si="11"/>
        <v>X</v>
      </c>
      <c r="D193" s="390">
        <v>2023</v>
      </c>
      <c r="E193" s="425" t="s">
        <v>623</v>
      </c>
      <c r="F193" s="432" t="s">
        <v>1933</v>
      </c>
      <c r="I193" s="215" t="str">
        <f t="shared" si="12"/>
        <v>Ligeiro de Passageiros M1: Geral : Gasolina : Geral</v>
      </c>
      <c r="N193" s="437">
        <f t="shared" si="10"/>
        <v>0</v>
      </c>
      <c r="O193" s="421" t="s">
        <v>4771</v>
      </c>
      <c r="P193" s="445" t="s">
        <v>625</v>
      </c>
      <c r="Q193" s="214" t="s">
        <v>1869</v>
      </c>
      <c r="R193" s="214" t="s">
        <v>1861</v>
      </c>
      <c r="S193" s="422" t="s">
        <v>1953</v>
      </c>
      <c r="T193" s="422" t="s">
        <v>2814</v>
      </c>
    </row>
    <row r="194" spans="1:20" ht="15.75" thickBot="1" x14ac:dyDescent="0.3">
      <c r="A194" t="s">
        <v>2823</v>
      </c>
      <c r="B194" s="424" t="s">
        <v>2823</v>
      </c>
      <c r="C194" s="424" t="str">
        <f t="shared" si="11"/>
        <v>X</v>
      </c>
      <c r="D194" s="390">
        <v>2023</v>
      </c>
      <c r="E194" s="425" t="s">
        <v>623</v>
      </c>
      <c r="F194" s="432" t="s">
        <v>620</v>
      </c>
      <c r="I194" s="215" t="str">
        <f t="shared" si="12"/>
        <v>Ligeiro de Passageiros M1: Geral : Gasóleo : Geral</v>
      </c>
      <c r="N194" s="437">
        <f t="shared" si="10"/>
        <v>0</v>
      </c>
      <c r="O194" s="421" t="s">
        <v>4772</v>
      </c>
      <c r="P194" s="445" t="s">
        <v>625</v>
      </c>
      <c r="Q194" s="214" t="s">
        <v>1869</v>
      </c>
      <c r="R194" s="214" t="s">
        <v>1861</v>
      </c>
      <c r="S194" s="422" t="s">
        <v>1953</v>
      </c>
      <c r="T194" s="422" t="s">
        <v>2814</v>
      </c>
    </row>
    <row r="195" spans="1:20" ht="15.75" thickBot="1" x14ac:dyDescent="0.3">
      <c r="A195" t="s">
        <v>2823</v>
      </c>
      <c r="B195" s="424" t="s">
        <v>2823</v>
      </c>
      <c r="C195" s="424" t="str">
        <f t="shared" si="11"/>
        <v>X</v>
      </c>
      <c r="D195" s="390">
        <v>2023</v>
      </c>
      <c r="E195" s="425" t="s">
        <v>623</v>
      </c>
      <c r="F195" s="432" t="s">
        <v>620</v>
      </c>
      <c r="I195" s="215" t="str">
        <f t="shared" si="12"/>
        <v>Ligeiro de Passageiros M1: Geral : Gasóleo : Geral</v>
      </c>
      <c r="N195" s="437">
        <f t="shared" si="10"/>
        <v>0</v>
      </c>
      <c r="O195" s="421" t="s">
        <v>4773</v>
      </c>
      <c r="P195" s="445" t="s">
        <v>625</v>
      </c>
      <c r="Q195" s="214" t="s">
        <v>1869</v>
      </c>
      <c r="R195" s="214" t="s">
        <v>1861</v>
      </c>
      <c r="S195" s="422" t="s">
        <v>1953</v>
      </c>
      <c r="T195" s="422" t="s">
        <v>2814</v>
      </c>
    </row>
    <row r="196" spans="1:20" ht="15.75" thickBot="1" x14ac:dyDescent="0.3">
      <c r="A196" t="s">
        <v>2823</v>
      </c>
      <c r="B196" s="424" t="s">
        <v>2823</v>
      </c>
      <c r="C196" s="424" t="str">
        <f t="shared" si="11"/>
        <v>X</v>
      </c>
      <c r="D196" s="390">
        <v>2023</v>
      </c>
      <c r="E196" s="425" t="s">
        <v>623</v>
      </c>
      <c r="F196" s="432" t="s">
        <v>620</v>
      </c>
      <c r="I196" s="215" t="str">
        <f t="shared" si="12"/>
        <v>Ligeiro de Passageiros M1: Geral : Gasóleo : Geral</v>
      </c>
      <c r="N196" s="437">
        <f t="shared" si="10"/>
        <v>0</v>
      </c>
      <c r="O196" s="421" t="s">
        <v>4774</v>
      </c>
      <c r="P196" s="445" t="s">
        <v>625</v>
      </c>
      <c r="Q196" s="214" t="s">
        <v>1869</v>
      </c>
      <c r="R196" s="214" t="s">
        <v>1861</v>
      </c>
      <c r="S196" s="422" t="s">
        <v>1953</v>
      </c>
      <c r="T196" s="422" t="s">
        <v>2814</v>
      </c>
    </row>
    <row r="197" spans="1:20" ht="15.75" thickBot="1" x14ac:dyDescent="0.3">
      <c r="A197" t="s">
        <v>2823</v>
      </c>
      <c r="B197" s="424" t="s">
        <v>2823</v>
      </c>
      <c r="C197" s="424" t="str">
        <f t="shared" si="11"/>
        <v>X</v>
      </c>
      <c r="D197" s="390">
        <v>2023</v>
      </c>
      <c r="E197" s="425" t="s">
        <v>624</v>
      </c>
      <c r="F197" s="432" t="s">
        <v>620</v>
      </c>
      <c r="I197" s="215" t="str">
        <f t="shared" si="12"/>
        <v>Ligeiro de Mercadorias N1: Geral : Gasóleo : Geral</v>
      </c>
      <c r="N197" s="437">
        <f t="shared" si="10"/>
        <v>0</v>
      </c>
      <c r="O197" s="421" t="s">
        <v>4775</v>
      </c>
      <c r="P197" s="445" t="s">
        <v>625</v>
      </c>
      <c r="Q197" s="214" t="s">
        <v>1869</v>
      </c>
      <c r="R197" s="214" t="s">
        <v>1861</v>
      </c>
      <c r="S197" s="422" t="s">
        <v>1953</v>
      </c>
      <c r="T197" s="422" t="s">
        <v>2814</v>
      </c>
    </row>
    <row r="198" spans="1:20" ht="15.75" thickBot="1" x14ac:dyDescent="0.3">
      <c r="A198" t="s">
        <v>3477</v>
      </c>
      <c r="B198" s="424" t="s">
        <v>3477</v>
      </c>
      <c r="C198" s="424" t="str">
        <f t="shared" si="11"/>
        <v>X</v>
      </c>
      <c r="D198" s="390">
        <v>2023</v>
      </c>
      <c r="E198" s="425" t="s">
        <v>623</v>
      </c>
      <c r="F198" s="432" t="s">
        <v>620</v>
      </c>
      <c r="I198" s="215" t="str">
        <f t="shared" si="12"/>
        <v>Ligeiro de Passageiros M1: Geral : Gasóleo : Geral</v>
      </c>
      <c r="N198" s="437">
        <f t="shared" si="10"/>
        <v>0</v>
      </c>
      <c r="O198" s="421" t="s">
        <v>4776</v>
      </c>
      <c r="P198" s="445" t="s">
        <v>625</v>
      </c>
      <c r="Q198" s="214" t="s">
        <v>1869</v>
      </c>
      <c r="R198" s="214" t="s">
        <v>1861</v>
      </c>
      <c r="S198" s="422" t="s">
        <v>1953</v>
      </c>
      <c r="T198" s="422" t="s">
        <v>2814</v>
      </c>
    </row>
    <row r="199" spans="1:20" ht="15.75" thickBot="1" x14ac:dyDescent="0.3">
      <c r="A199" t="s">
        <v>3477</v>
      </c>
      <c r="B199" s="424" t="s">
        <v>3477</v>
      </c>
      <c r="C199" s="424" t="str">
        <f t="shared" si="11"/>
        <v>X</v>
      </c>
      <c r="D199" s="390">
        <v>2023</v>
      </c>
      <c r="E199" s="425" t="s">
        <v>623</v>
      </c>
      <c r="F199" s="432" t="s">
        <v>1933</v>
      </c>
      <c r="I199" s="215" t="str">
        <f t="shared" si="12"/>
        <v>Ligeiro de Passageiros M1: Geral : Gasolina : Geral</v>
      </c>
      <c r="N199" s="437">
        <f t="shared" si="10"/>
        <v>0</v>
      </c>
      <c r="O199" s="421" t="s">
        <v>4777</v>
      </c>
      <c r="P199" s="445" t="s">
        <v>625</v>
      </c>
      <c r="Q199" s="214" t="s">
        <v>1869</v>
      </c>
      <c r="R199" s="214" t="s">
        <v>1861</v>
      </c>
      <c r="S199" s="422" t="s">
        <v>1953</v>
      </c>
      <c r="T199" s="422" t="s">
        <v>2814</v>
      </c>
    </row>
    <row r="200" spans="1:20" ht="15.75" thickBot="1" x14ac:dyDescent="0.3">
      <c r="A200" t="s">
        <v>3477</v>
      </c>
      <c r="B200" s="424" t="s">
        <v>3477</v>
      </c>
      <c r="C200" s="424" t="str">
        <f t="shared" si="11"/>
        <v>X</v>
      </c>
      <c r="D200" s="390">
        <v>2023</v>
      </c>
      <c r="E200" s="425" t="s">
        <v>623</v>
      </c>
      <c r="F200" s="432" t="s">
        <v>1933</v>
      </c>
      <c r="I200" s="215" t="str">
        <f t="shared" si="12"/>
        <v>Ligeiro de Passageiros M1: Geral : Gasolina : Geral</v>
      </c>
      <c r="N200" s="437">
        <f t="shared" si="10"/>
        <v>0</v>
      </c>
      <c r="O200" s="421" t="s">
        <v>4778</v>
      </c>
      <c r="P200" s="445" t="s">
        <v>625</v>
      </c>
      <c r="Q200" s="214" t="s">
        <v>1869</v>
      </c>
      <c r="R200" s="214" t="s">
        <v>1861</v>
      </c>
      <c r="S200" s="422" t="s">
        <v>1953</v>
      </c>
      <c r="T200" s="422" t="s">
        <v>2814</v>
      </c>
    </row>
    <row r="201" spans="1:20" ht="15.75" thickBot="1" x14ac:dyDescent="0.3">
      <c r="A201" t="s">
        <v>3477</v>
      </c>
      <c r="B201" s="424" t="s">
        <v>3477</v>
      </c>
      <c r="C201" s="424" t="str">
        <f t="shared" si="11"/>
        <v>X</v>
      </c>
      <c r="D201" s="390">
        <v>2023</v>
      </c>
      <c r="E201" s="425" t="s">
        <v>623</v>
      </c>
      <c r="F201" s="432" t="s">
        <v>1933</v>
      </c>
      <c r="I201" s="215" t="str">
        <f t="shared" si="12"/>
        <v>Ligeiro de Passageiros M1: Geral : Gasolina : Geral</v>
      </c>
      <c r="N201" s="437">
        <f t="shared" si="10"/>
        <v>0</v>
      </c>
      <c r="O201" s="421" t="s">
        <v>4778</v>
      </c>
      <c r="P201" s="445" t="s">
        <v>625</v>
      </c>
      <c r="Q201" s="214" t="s">
        <v>1869</v>
      </c>
      <c r="R201" s="214" t="s">
        <v>1861</v>
      </c>
      <c r="S201" s="422" t="s">
        <v>1953</v>
      </c>
      <c r="T201" s="422" t="s">
        <v>2814</v>
      </c>
    </row>
    <row r="202" spans="1:20" ht="15.75" thickBot="1" x14ac:dyDescent="0.3">
      <c r="A202" t="s">
        <v>3477</v>
      </c>
      <c r="B202" s="424" t="s">
        <v>3477</v>
      </c>
      <c r="C202" s="424" t="str">
        <f t="shared" si="11"/>
        <v>X</v>
      </c>
      <c r="D202" s="390">
        <v>2023</v>
      </c>
      <c r="E202" s="425" t="s">
        <v>623</v>
      </c>
      <c r="F202" s="432" t="s">
        <v>620</v>
      </c>
      <c r="I202" s="215" t="str">
        <f t="shared" si="12"/>
        <v>Ligeiro de Passageiros M1: Geral : Gasóleo : Geral</v>
      </c>
      <c r="N202" s="437">
        <f t="shared" si="10"/>
        <v>0</v>
      </c>
      <c r="O202" s="421" t="s">
        <v>4779</v>
      </c>
      <c r="P202" s="445" t="s">
        <v>625</v>
      </c>
      <c r="Q202" s="214" t="s">
        <v>1869</v>
      </c>
      <c r="R202" s="214" t="s">
        <v>1861</v>
      </c>
      <c r="S202" s="422" t="s">
        <v>1953</v>
      </c>
      <c r="T202" s="422" t="s">
        <v>2814</v>
      </c>
    </row>
    <row r="203" spans="1:20" ht="15.75" thickBot="1" x14ac:dyDescent="0.3">
      <c r="A203" t="s">
        <v>3477</v>
      </c>
      <c r="B203" s="424" t="s">
        <v>3477</v>
      </c>
      <c r="C203" s="424" t="str">
        <f t="shared" si="11"/>
        <v>X</v>
      </c>
      <c r="D203" s="390">
        <v>2023</v>
      </c>
      <c r="E203" s="425" t="s">
        <v>623</v>
      </c>
      <c r="F203" s="432" t="s">
        <v>620</v>
      </c>
      <c r="I203" s="215" t="str">
        <f t="shared" si="12"/>
        <v>Ligeiro de Passageiros M1: Geral : Gasóleo : Geral</v>
      </c>
      <c r="N203" s="437">
        <f t="shared" ref="N203:N266" si="13">IFERROR(J203/L203*100,0)</f>
        <v>0</v>
      </c>
      <c r="O203" s="421" t="s">
        <v>4780</v>
      </c>
      <c r="P203" s="445" t="s">
        <v>625</v>
      </c>
      <c r="Q203" s="214" t="s">
        <v>1869</v>
      </c>
      <c r="R203" s="214" t="s">
        <v>1861</v>
      </c>
      <c r="S203" s="422" t="s">
        <v>1953</v>
      </c>
      <c r="T203" s="422" t="s">
        <v>2814</v>
      </c>
    </row>
    <row r="204" spans="1:20" ht="15.75" thickBot="1" x14ac:dyDescent="0.3">
      <c r="A204" t="s">
        <v>3477</v>
      </c>
      <c r="B204" s="424" t="s">
        <v>3477</v>
      </c>
      <c r="C204" s="424" t="str">
        <f t="shared" si="11"/>
        <v>X</v>
      </c>
      <c r="D204" s="390">
        <v>2023</v>
      </c>
      <c r="E204" s="425" t="s">
        <v>623</v>
      </c>
      <c r="F204" s="432" t="s">
        <v>620</v>
      </c>
      <c r="I204" s="215" t="str">
        <f t="shared" si="12"/>
        <v>Ligeiro de Passageiros M1: Geral : Gasóleo : Geral</v>
      </c>
      <c r="N204" s="437">
        <f t="shared" si="13"/>
        <v>0</v>
      </c>
      <c r="O204" s="421" t="s">
        <v>4781</v>
      </c>
      <c r="P204" s="445" t="s">
        <v>625</v>
      </c>
      <c r="Q204" s="214" t="s">
        <v>1869</v>
      </c>
      <c r="R204" s="214" t="s">
        <v>1861</v>
      </c>
      <c r="S204" s="422" t="s">
        <v>1953</v>
      </c>
      <c r="T204" s="422" t="s">
        <v>2814</v>
      </c>
    </row>
    <row r="205" spans="1:20" ht="15.75" thickBot="1" x14ac:dyDescent="0.3">
      <c r="A205" t="s">
        <v>3477</v>
      </c>
      <c r="B205" s="424" t="s">
        <v>3477</v>
      </c>
      <c r="C205" s="424" t="str">
        <f t="shared" si="11"/>
        <v>X</v>
      </c>
      <c r="D205" s="390">
        <v>2023</v>
      </c>
      <c r="E205" s="425" t="s">
        <v>623</v>
      </c>
      <c r="F205" s="432" t="s">
        <v>620</v>
      </c>
      <c r="I205" s="215" t="str">
        <f t="shared" si="12"/>
        <v>Ligeiro de Passageiros M1: Geral : Gasóleo : Geral</v>
      </c>
      <c r="N205" s="437">
        <f t="shared" si="13"/>
        <v>0</v>
      </c>
      <c r="O205" s="421" t="s">
        <v>4782</v>
      </c>
      <c r="P205" s="445" t="s">
        <v>625</v>
      </c>
      <c r="Q205" s="214" t="s">
        <v>1869</v>
      </c>
      <c r="R205" s="214" t="s">
        <v>1861</v>
      </c>
      <c r="S205" s="422" t="s">
        <v>1953</v>
      </c>
      <c r="T205" s="422" t="s">
        <v>2814</v>
      </c>
    </row>
    <row r="206" spans="1:20" ht="15.75" thickBot="1" x14ac:dyDescent="0.3">
      <c r="A206" t="s">
        <v>3477</v>
      </c>
      <c r="B206" s="424" t="s">
        <v>3477</v>
      </c>
      <c r="C206" s="424" t="str">
        <f t="shared" si="11"/>
        <v>X</v>
      </c>
      <c r="D206" s="390">
        <v>2023</v>
      </c>
      <c r="E206" s="425" t="s">
        <v>623</v>
      </c>
      <c r="F206" s="432" t="s">
        <v>620</v>
      </c>
      <c r="I206" s="215" t="str">
        <f t="shared" si="12"/>
        <v>Ligeiro de Passageiros M1: Geral : Gasóleo : Geral</v>
      </c>
      <c r="N206" s="437">
        <f t="shared" si="13"/>
        <v>0</v>
      </c>
      <c r="O206" s="421" t="s">
        <v>4783</v>
      </c>
      <c r="P206" s="445" t="s">
        <v>625</v>
      </c>
      <c r="Q206" s="214" t="s">
        <v>1869</v>
      </c>
      <c r="R206" s="214" t="s">
        <v>1861</v>
      </c>
      <c r="S206" s="422" t="s">
        <v>1953</v>
      </c>
      <c r="T206" s="422" t="s">
        <v>2814</v>
      </c>
    </row>
    <row r="207" spans="1:20" ht="15.75" thickBot="1" x14ac:dyDescent="0.3">
      <c r="A207" t="s">
        <v>3477</v>
      </c>
      <c r="B207" s="424" t="s">
        <v>3477</v>
      </c>
      <c r="C207" s="424" t="str">
        <f t="shared" si="11"/>
        <v>X</v>
      </c>
      <c r="D207" s="390">
        <v>2023</v>
      </c>
      <c r="E207" s="425" t="s">
        <v>623</v>
      </c>
      <c r="F207" s="432" t="s">
        <v>620</v>
      </c>
      <c r="I207" s="215" t="str">
        <f t="shared" si="12"/>
        <v>Ligeiro de Passageiros M1: Geral : Gasóleo : Geral</v>
      </c>
      <c r="N207" s="437">
        <f t="shared" si="13"/>
        <v>0</v>
      </c>
      <c r="O207" s="421" t="s">
        <v>4784</v>
      </c>
      <c r="P207" s="445" t="s">
        <v>625</v>
      </c>
      <c r="Q207" s="214" t="s">
        <v>1869</v>
      </c>
      <c r="R207" s="214" t="s">
        <v>1861</v>
      </c>
      <c r="S207" s="422" t="s">
        <v>1953</v>
      </c>
      <c r="T207" s="422" t="s">
        <v>2814</v>
      </c>
    </row>
    <row r="208" spans="1:20" ht="15.75" thickBot="1" x14ac:dyDescent="0.3">
      <c r="A208" t="s">
        <v>3477</v>
      </c>
      <c r="B208" s="424" t="s">
        <v>3477</v>
      </c>
      <c r="C208" s="424" t="str">
        <f t="shared" si="11"/>
        <v>X</v>
      </c>
      <c r="D208" s="390">
        <v>2023</v>
      </c>
      <c r="E208" s="425" t="s">
        <v>623</v>
      </c>
      <c r="F208" s="432" t="s">
        <v>620</v>
      </c>
      <c r="I208" s="215" t="str">
        <f t="shared" si="12"/>
        <v>Ligeiro de Passageiros M1: Geral : Gasóleo : Geral</v>
      </c>
      <c r="N208" s="437">
        <f t="shared" si="13"/>
        <v>0</v>
      </c>
      <c r="O208" s="421" t="s">
        <v>4785</v>
      </c>
      <c r="P208" s="445" t="s">
        <v>625</v>
      </c>
      <c r="Q208" s="214" t="s">
        <v>1869</v>
      </c>
      <c r="R208" s="214" t="s">
        <v>1861</v>
      </c>
      <c r="S208" s="422" t="s">
        <v>1953</v>
      </c>
      <c r="T208" s="422" t="s">
        <v>2814</v>
      </c>
    </row>
    <row r="209" spans="1:20" ht="15.75" thickBot="1" x14ac:dyDescent="0.3">
      <c r="A209" t="s">
        <v>3477</v>
      </c>
      <c r="B209" s="424" t="s">
        <v>3477</v>
      </c>
      <c r="C209" s="424" t="str">
        <f t="shared" si="11"/>
        <v>X</v>
      </c>
      <c r="D209" s="390">
        <v>2023</v>
      </c>
      <c r="E209" s="425" t="s">
        <v>623</v>
      </c>
      <c r="F209" s="432" t="s">
        <v>620</v>
      </c>
      <c r="I209" s="215" t="str">
        <f t="shared" si="12"/>
        <v>Ligeiro de Passageiros M1: Geral : Gasóleo : Geral</v>
      </c>
      <c r="N209" s="437">
        <f t="shared" si="13"/>
        <v>0</v>
      </c>
      <c r="O209" s="421" t="s">
        <v>4786</v>
      </c>
      <c r="P209" s="445" t="s">
        <v>625</v>
      </c>
      <c r="Q209" s="214" t="s">
        <v>1869</v>
      </c>
      <c r="R209" s="214" t="s">
        <v>1861</v>
      </c>
      <c r="S209" s="422" t="s">
        <v>1953</v>
      </c>
      <c r="T209" s="422" t="s">
        <v>2814</v>
      </c>
    </row>
    <row r="210" spans="1:20" ht="15.75" thickBot="1" x14ac:dyDescent="0.3">
      <c r="A210" t="s">
        <v>3477</v>
      </c>
      <c r="B210" s="424" t="s">
        <v>3477</v>
      </c>
      <c r="C210" s="424" t="str">
        <f t="shared" si="11"/>
        <v>X</v>
      </c>
      <c r="D210" s="390">
        <v>2023</v>
      </c>
      <c r="E210" s="425" t="s">
        <v>623</v>
      </c>
      <c r="F210" s="432" t="s">
        <v>620</v>
      </c>
      <c r="I210" s="215" t="str">
        <f t="shared" si="12"/>
        <v>Ligeiro de Passageiros M1: Geral : Gasóleo : Geral</v>
      </c>
      <c r="N210" s="437">
        <f t="shared" si="13"/>
        <v>0</v>
      </c>
      <c r="O210" s="421" t="s">
        <v>4787</v>
      </c>
      <c r="P210" s="445" t="s">
        <v>625</v>
      </c>
      <c r="Q210" s="214" t="s">
        <v>1869</v>
      </c>
      <c r="R210" s="214" t="s">
        <v>1861</v>
      </c>
      <c r="S210" s="422" t="s">
        <v>1953</v>
      </c>
      <c r="T210" s="422" t="s">
        <v>2814</v>
      </c>
    </row>
    <row r="211" spans="1:20" ht="15.75" thickBot="1" x14ac:dyDescent="0.3">
      <c r="A211" t="s">
        <v>3477</v>
      </c>
      <c r="B211" s="424" t="s">
        <v>3477</v>
      </c>
      <c r="C211" s="424" t="str">
        <f t="shared" si="11"/>
        <v>X</v>
      </c>
      <c r="D211" s="390">
        <v>2023</v>
      </c>
      <c r="E211" s="425" t="s">
        <v>623</v>
      </c>
      <c r="F211" s="432" t="s">
        <v>620</v>
      </c>
      <c r="I211" s="215" t="str">
        <f t="shared" si="12"/>
        <v>Ligeiro de Passageiros M1: Geral : Gasóleo : Geral</v>
      </c>
      <c r="N211" s="437">
        <f t="shared" si="13"/>
        <v>0</v>
      </c>
      <c r="O211" s="421" t="s">
        <v>4788</v>
      </c>
      <c r="P211" s="445" t="s">
        <v>625</v>
      </c>
      <c r="Q211" s="214" t="s">
        <v>1869</v>
      </c>
      <c r="R211" s="214" t="s">
        <v>1861</v>
      </c>
      <c r="S211" s="422" t="s">
        <v>1953</v>
      </c>
      <c r="T211" s="422" t="s">
        <v>2814</v>
      </c>
    </row>
    <row r="212" spans="1:20" ht="15.75" thickBot="1" x14ac:dyDescent="0.3">
      <c r="A212" t="s">
        <v>3477</v>
      </c>
      <c r="B212" s="424" t="s">
        <v>3477</v>
      </c>
      <c r="C212" s="424" t="str">
        <f t="shared" si="11"/>
        <v>X</v>
      </c>
      <c r="D212" s="390">
        <v>2023</v>
      </c>
      <c r="E212" s="425" t="s">
        <v>623</v>
      </c>
      <c r="F212" s="432" t="s">
        <v>620</v>
      </c>
      <c r="I212" s="215" t="str">
        <f t="shared" si="12"/>
        <v>Ligeiro de Passageiros M1: Geral : Gasóleo : Geral</v>
      </c>
      <c r="N212" s="437">
        <f t="shared" si="13"/>
        <v>0</v>
      </c>
      <c r="O212" s="421" t="s">
        <v>4789</v>
      </c>
      <c r="P212" s="445" t="s">
        <v>625</v>
      </c>
      <c r="Q212" s="214" t="s">
        <v>1869</v>
      </c>
      <c r="R212" s="214" t="s">
        <v>1861</v>
      </c>
      <c r="S212" s="422" t="s">
        <v>1953</v>
      </c>
      <c r="T212" s="422" t="s">
        <v>2814</v>
      </c>
    </row>
    <row r="213" spans="1:20" ht="15.75" thickBot="1" x14ac:dyDescent="0.3">
      <c r="A213" t="s">
        <v>3477</v>
      </c>
      <c r="B213" s="424" t="s">
        <v>3477</v>
      </c>
      <c r="C213" s="424" t="str">
        <f t="shared" si="11"/>
        <v>X</v>
      </c>
      <c r="D213" s="390">
        <v>2023</v>
      </c>
      <c r="E213" s="425" t="s">
        <v>623</v>
      </c>
      <c r="F213" s="432" t="s">
        <v>620</v>
      </c>
      <c r="I213" s="215" t="str">
        <f t="shared" si="12"/>
        <v>Ligeiro de Passageiros M1: Geral : Gasóleo : Geral</v>
      </c>
      <c r="N213" s="437">
        <f t="shared" si="13"/>
        <v>0</v>
      </c>
      <c r="O213" s="421" t="s">
        <v>4790</v>
      </c>
      <c r="P213" s="445" t="s">
        <v>625</v>
      </c>
      <c r="Q213" s="214" t="s">
        <v>1869</v>
      </c>
      <c r="R213" s="214" t="s">
        <v>1861</v>
      </c>
      <c r="S213" s="422" t="s">
        <v>1953</v>
      </c>
      <c r="T213" s="422" t="s">
        <v>2814</v>
      </c>
    </row>
    <row r="214" spans="1:20" ht="15.75" thickBot="1" x14ac:dyDescent="0.3">
      <c r="A214" t="s">
        <v>3477</v>
      </c>
      <c r="B214" s="424" t="s">
        <v>3477</v>
      </c>
      <c r="C214" s="424" t="str">
        <f t="shared" si="11"/>
        <v>X</v>
      </c>
      <c r="D214" s="390">
        <v>2023</v>
      </c>
      <c r="E214" s="425" t="s">
        <v>623</v>
      </c>
      <c r="F214" s="432" t="s">
        <v>1933</v>
      </c>
      <c r="I214" s="215" t="str">
        <f t="shared" si="12"/>
        <v>Ligeiro de Passageiros M1: Geral : Gasolina : Geral</v>
      </c>
      <c r="N214" s="437">
        <f t="shared" si="13"/>
        <v>0</v>
      </c>
      <c r="O214" s="421" t="s">
        <v>4791</v>
      </c>
      <c r="P214" s="445" t="s">
        <v>625</v>
      </c>
      <c r="Q214" s="214" t="s">
        <v>1869</v>
      </c>
      <c r="R214" s="214" t="s">
        <v>1861</v>
      </c>
      <c r="S214" s="422" t="s">
        <v>1953</v>
      </c>
      <c r="T214" s="422" t="s">
        <v>2814</v>
      </c>
    </row>
    <row r="215" spans="1:20" ht="15.75" thickBot="1" x14ac:dyDescent="0.3">
      <c r="A215" t="s">
        <v>3477</v>
      </c>
      <c r="B215" s="424" t="s">
        <v>3477</v>
      </c>
      <c r="C215" s="424" t="str">
        <f t="shared" si="11"/>
        <v>X</v>
      </c>
      <c r="D215" s="390">
        <v>2023</v>
      </c>
      <c r="E215" s="425" t="s">
        <v>623</v>
      </c>
      <c r="F215" s="432" t="s">
        <v>1933</v>
      </c>
      <c r="I215" s="215" t="str">
        <f t="shared" si="12"/>
        <v>Ligeiro de Passageiros M1: Geral : Gasolina : Geral</v>
      </c>
      <c r="N215" s="437">
        <f t="shared" si="13"/>
        <v>0</v>
      </c>
      <c r="O215" s="421" t="s">
        <v>4792</v>
      </c>
      <c r="P215" s="445" t="s">
        <v>625</v>
      </c>
      <c r="Q215" s="214" t="s">
        <v>1869</v>
      </c>
      <c r="R215" s="214" t="s">
        <v>1861</v>
      </c>
      <c r="S215" s="422" t="s">
        <v>1953</v>
      </c>
      <c r="T215" s="422" t="s">
        <v>2814</v>
      </c>
    </row>
    <row r="216" spans="1:20" ht="15.75" thickBot="1" x14ac:dyDescent="0.3">
      <c r="A216" t="s">
        <v>3477</v>
      </c>
      <c r="B216" s="424" t="s">
        <v>3477</v>
      </c>
      <c r="C216" s="424" t="str">
        <f t="shared" si="11"/>
        <v>X</v>
      </c>
      <c r="D216" s="390">
        <v>2023</v>
      </c>
      <c r="E216" s="425" t="s">
        <v>623</v>
      </c>
      <c r="F216" s="432" t="s">
        <v>1933</v>
      </c>
      <c r="I216" s="215" t="str">
        <f t="shared" si="12"/>
        <v>Ligeiro de Passageiros M1: Geral : Gasolina : Geral</v>
      </c>
      <c r="N216" s="437">
        <f t="shared" si="13"/>
        <v>0</v>
      </c>
      <c r="O216" s="421" t="s">
        <v>4793</v>
      </c>
      <c r="P216" s="445" t="s">
        <v>625</v>
      </c>
      <c r="Q216" s="214" t="s">
        <v>1869</v>
      </c>
      <c r="R216" s="214" t="s">
        <v>1861</v>
      </c>
      <c r="S216" s="422" t="s">
        <v>1953</v>
      </c>
      <c r="T216" s="422" t="s">
        <v>2814</v>
      </c>
    </row>
    <row r="217" spans="1:20" ht="15.75" thickBot="1" x14ac:dyDescent="0.3">
      <c r="A217" t="s">
        <v>3477</v>
      </c>
      <c r="B217" s="424" t="s">
        <v>3477</v>
      </c>
      <c r="C217" s="424" t="str">
        <f t="shared" si="11"/>
        <v>X</v>
      </c>
      <c r="D217" s="390">
        <v>2023</v>
      </c>
      <c r="E217" s="425" t="s">
        <v>623</v>
      </c>
      <c r="F217" s="432" t="s">
        <v>1933</v>
      </c>
      <c r="I217" s="215" t="str">
        <f t="shared" si="12"/>
        <v>Ligeiro de Passageiros M1: Geral : Gasolina : Geral</v>
      </c>
      <c r="N217" s="437">
        <f t="shared" si="13"/>
        <v>0</v>
      </c>
      <c r="O217" s="421" t="s">
        <v>4794</v>
      </c>
      <c r="P217" s="445" t="s">
        <v>625</v>
      </c>
      <c r="Q217" s="214" t="s">
        <v>1869</v>
      </c>
      <c r="R217" s="214" t="s">
        <v>1861</v>
      </c>
      <c r="S217" s="422" t="s">
        <v>1953</v>
      </c>
      <c r="T217" s="422" t="s">
        <v>2814</v>
      </c>
    </row>
    <row r="218" spans="1:20" ht="15.75" thickBot="1" x14ac:dyDescent="0.3">
      <c r="A218" t="s">
        <v>3477</v>
      </c>
      <c r="B218" s="424" t="s">
        <v>3477</v>
      </c>
      <c r="C218" s="424" t="str">
        <f t="shared" si="11"/>
        <v>X</v>
      </c>
      <c r="D218" s="390">
        <v>2023</v>
      </c>
      <c r="E218" s="425" t="s">
        <v>623</v>
      </c>
      <c r="F218" s="432" t="s">
        <v>1933</v>
      </c>
      <c r="I218" s="215" t="str">
        <f t="shared" si="12"/>
        <v>Ligeiro de Passageiros M1: Geral : Gasolina : Geral</v>
      </c>
      <c r="N218" s="437">
        <f t="shared" si="13"/>
        <v>0</v>
      </c>
      <c r="O218" s="421" t="s">
        <v>4795</v>
      </c>
      <c r="P218" s="445" t="s">
        <v>625</v>
      </c>
      <c r="Q218" s="214" t="s">
        <v>1869</v>
      </c>
      <c r="R218" s="214" t="s">
        <v>1861</v>
      </c>
      <c r="S218" s="422" t="s">
        <v>1953</v>
      </c>
      <c r="T218" s="422" t="s">
        <v>2814</v>
      </c>
    </row>
    <row r="219" spans="1:20" ht="15.75" thickBot="1" x14ac:dyDescent="0.3">
      <c r="A219" t="s">
        <v>3477</v>
      </c>
      <c r="B219" s="424" t="s">
        <v>3477</v>
      </c>
      <c r="C219" s="424" t="str">
        <f t="shared" si="11"/>
        <v>X</v>
      </c>
      <c r="D219" s="390">
        <v>2023</v>
      </c>
      <c r="E219" s="425" t="s">
        <v>623</v>
      </c>
      <c r="F219" s="432" t="s">
        <v>1933</v>
      </c>
      <c r="I219" s="215" t="str">
        <f t="shared" si="12"/>
        <v>Ligeiro de Passageiros M1: Geral : Gasolina : Geral</v>
      </c>
      <c r="N219" s="437">
        <f t="shared" si="13"/>
        <v>0</v>
      </c>
      <c r="O219" s="421" t="s">
        <v>4796</v>
      </c>
      <c r="P219" s="445" t="s">
        <v>625</v>
      </c>
      <c r="Q219" s="214" t="s">
        <v>1869</v>
      </c>
      <c r="R219" s="214" t="s">
        <v>1861</v>
      </c>
      <c r="S219" s="422" t="s">
        <v>1953</v>
      </c>
      <c r="T219" s="422" t="s">
        <v>2814</v>
      </c>
    </row>
    <row r="220" spans="1:20" ht="15.75" thickBot="1" x14ac:dyDescent="0.3">
      <c r="A220" t="s">
        <v>3477</v>
      </c>
      <c r="B220" s="424" t="s">
        <v>3477</v>
      </c>
      <c r="C220" s="424" t="str">
        <f t="shared" si="11"/>
        <v>X</v>
      </c>
      <c r="D220" s="390">
        <v>2023</v>
      </c>
      <c r="E220" s="425" t="s">
        <v>623</v>
      </c>
      <c r="F220" s="432" t="s">
        <v>1933</v>
      </c>
      <c r="I220" s="215" t="str">
        <f t="shared" si="12"/>
        <v>Ligeiro de Passageiros M1: Geral : Gasolina : Geral</v>
      </c>
      <c r="N220" s="437">
        <f t="shared" si="13"/>
        <v>0</v>
      </c>
      <c r="O220" s="421" t="s">
        <v>4797</v>
      </c>
      <c r="P220" s="445" t="s">
        <v>625</v>
      </c>
      <c r="Q220" s="214" t="s">
        <v>1869</v>
      </c>
      <c r="R220" s="214" t="s">
        <v>1861</v>
      </c>
      <c r="S220" s="422" t="s">
        <v>1953</v>
      </c>
      <c r="T220" s="422" t="s">
        <v>2814</v>
      </c>
    </row>
    <row r="221" spans="1:20" ht="15.75" thickBot="1" x14ac:dyDescent="0.3">
      <c r="A221" t="s">
        <v>4605</v>
      </c>
      <c r="B221" s="424" t="s">
        <v>4605</v>
      </c>
      <c r="C221" s="424" t="str">
        <f t="shared" si="11"/>
        <v>X</v>
      </c>
      <c r="D221" s="390">
        <v>2023</v>
      </c>
      <c r="E221" s="425" t="s">
        <v>623</v>
      </c>
      <c r="F221" s="432" t="s">
        <v>620</v>
      </c>
      <c r="I221" s="215" t="str">
        <f t="shared" si="12"/>
        <v>Ligeiro de Passageiros M1: Geral : Gasóleo : Geral</v>
      </c>
      <c r="N221" s="437">
        <f t="shared" si="13"/>
        <v>0</v>
      </c>
      <c r="O221" s="421" t="s">
        <v>4798</v>
      </c>
      <c r="P221" s="445" t="s">
        <v>625</v>
      </c>
      <c r="Q221" s="214" t="s">
        <v>1869</v>
      </c>
      <c r="R221" s="214" t="s">
        <v>1861</v>
      </c>
      <c r="S221" s="422" t="s">
        <v>1953</v>
      </c>
      <c r="T221" s="422" t="s">
        <v>2814</v>
      </c>
    </row>
    <row r="222" spans="1:20" ht="15.75" thickBot="1" x14ac:dyDescent="0.3">
      <c r="A222" t="s">
        <v>4605</v>
      </c>
      <c r="B222" s="424" t="s">
        <v>4605</v>
      </c>
      <c r="C222" s="424" t="str">
        <f t="shared" si="11"/>
        <v>X</v>
      </c>
      <c r="D222" s="390">
        <v>2023</v>
      </c>
      <c r="E222" s="425" t="s">
        <v>623</v>
      </c>
      <c r="F222" s="432" t="s">
        <v>1933</v>
      </c>
      <c r="I222" s="215" t="str">
        <f t="shared" si="12"/>
        <v>Ligeiro de Passageiros M1: Geral : Gasolina : Geral</v>
      </c>
      <c r="N222" s="437">
        <f t="shared" si="13"/>
        <v>0</v>
      </c>
      <c r="O222" s="421" t="s">
        <v>4799</v>
      </c>
      <c r="P222" s="445" t="s">
        <v>625</v>
      </c>
      <c r="Q222" s="214" t="s">
        <v>1869</v>
      </c>
      <c r="R222" s="214" t="s">
        <v>1861</v>
      </c>
      <c r="S222" s="422" t="s">
        <v>1953</v>
      </c>
      <c r="T222" s="422" t="s">
        <v>2814</v>
      </c>
    </row>
    <row r="223" spans="1:20" ht="15.75" thickBot="1" x14ac:dyDescent="0.3">
      <c r="A223" t="s">
        <v>4605</v>
      </c>
      <c r="B223" s="424" t="s">
        <v>4605</v>
      </c>
      <c r="C223" s="424" t="str">
        <f t="shared" si="11"/>
        <v>X</v>
      </c>
      <c r="D223" s="390">
        <v>2023</v>
      </c>
      <c r="E223" s="425" t="s">
        <v>623</v>
      </c>
      <c r="F223" s="432" t="s">
        <v>1933</v>
      </c>
      <c r="I223" s="215" t="str">
        <f t="shared" si="12"/>
        <v>Ligeiro de Passageiros M1: Geral : Gasolina : Geral</v>
      </c>
      <c r="N223" s="437">
        <f t="shared" si="13"/>
        <v>0</v>
      </c>
      <c r="O223" s="421" t="s">
        <v>4800</v>
      </c>
      <c r="P223" s="445" t="s">
        <v>625</v>
      </c>
      <c r="Q223" s="214" t="s">
        <v>1869</v>
      </c>
      <c r="R223" s="214" t="s">
        <v>1861</v>
      </c>
      <c r="S223" s="422" t="s">
        <v>1953</v>
      </c>
      <c r="T223" s="422" t="s">
        <v>2814</v>
      </c>
    </row>
    <row r="224" spans="1:20" ht="15.75" thickBot="1" x14ac:dyDescent="0.3">
      <c r="A224" t="s">
        <v>4605</v>
      </c>
      <c r="B224" s="424" t="s">
        <v>4605</v>
      </c>
      <c r="C224" s="424" t="str">
        <f t="shared" si="11"/>
        <v>X</v>
      </c>
      <c r="D224" s="390">
        <v>2023</v>
      </c>
      <c r="E224" s="425" t="s">
        <v>624</v>
      </c>
      <c r="F224" s="432" t="s">
        <v>620</v>
      </c>
      <c r="I224" s="215" t="str">
        <f t="shared" si="12"/>
        <v>Ligeiro de Mercadorias N1: Geral : Gasóleo : Geral</v>
      </c>
      <c r="N224" s="437">
        <f t="shared" si="13"/>
        <v>0</v>
      </c>
      <c r="O224" s="421" t="s">
        <v>4801</v>
      </c>
      <c r="P224" s="445" t="s">
        <v>625</v>
      </c>
      <c r="Q224" s="214" t="s">
        <v>1869</v>
      </c>
      <c r="R224" s="214" t="s">
        <v>1861</v>
      </c>
      <c r="S224" s="422" t="s">
        <v>1953</v>
      </c>
      <c r="T224" s="422" t="s">
        <v>2814</v>
      </c>
    </row>
    <row r="225" spans="1:20" ht="15.75" thickBot="1" x14ac:dyDescent="0.3">
      <c r="A225" t="s">
        <v>4604</v>
      </c>
      <c r="B225" s="424" t="s">
        <v>4604</v>
      </c>
      <c r="C225" s="424" t="str">
        <f t="shared" si="11"/>
        <v>X</v>
      </c>
      <c r="D225" s="390">
        <v>2023</v>
      </c>
      <c r="E225" s="425" t="s">
        <v>623</v>
      </c>
      <c r="F225" s="432" t="s">
        <v>1933</v>
      </c>
      <c r="I225" s="215" t="str">
        <f t="shared" si="12"/>
        <v>Ligeiro de Passageiros M1: Geral : Gasolina : Geral</v>
      </c>
      <c r="N225" s="437">
        <f t="shared" si="13"/>
        <v>0</v>
      </c>
      <c r="O225" s="421" t="s">
        <v>4802</v>
      </c>
      <c r="P225" s="445" t="s">
        <v>625</v>
      </c>
      <c r="Q225" s="214" t="s">
        <v>1869</v>
      </c>
      <c r="R225" s="214" t="s">
        <v>1861</v>
      </c>
      <c r="S225" s="422" t="s">
        <v>1953</v>
      </c>
      <c r="T225" s="422" t="s">
        <v>2814</v>
      </c>
    </row>
    <row r="226" spans="1:20" ht="15.75" thickBot="1" x14ac:dyDescent="0.3">
      <c r="A226" t="s">
        <v>4604</v>
      </c>
      <c r="B226" s="424" t="s">
        <v>4604</v>
      </c>
      <c r="C226" s="424" t="str">
        <f t="shared" si="11"/>
        <v>X</v>
      </c>
      <c r="D226" s="390">
        <v>2023</v>
      </c>
      <c r="E226" s="425" t="s">
        <v>623</v>
      </c>
      <c r="F226" s="432" t="s">
        <v>1933</v>
      </c>
      <c r="I226" s="215" t="str">
        <f t="shared" si="12"/>
        <v>Ligeiro de Passageiros M1: Geral : Gasolina : Geral</v>
      </c>
      <c r="N226" s="437">
        <f t="shared" si="13"/>
        <v>0</v>
      </c>
      <c r="O226" s="421" t="s">
        <v>4803</v>
      </c>
      <c r="P226" s="445" t="s">
        <v>625</v>
      </c>
      <c r="Q226" s="214" t="s">
        <v>1869</v>
      </c>
      <c r="R226" s="214" t="s">
        <v>1861</v>
      </c>
      <c r="S226" s="422" t="s">
        <v>1953</v>
      </c>
      <c r="T226" s="422" t="s">
        <v>2814</v>
      </c>
    </row>
    <row r="227" spans="1:20" ht="15.75" thickBot="1" x14ac:dyDescent="0.3">
      <c r="A227" t="s">
        <v>4603</v>
      </c>
      <c r="B227" s="424" t="s">
        <v>4603</v>
      </c>
      <c r="C227" s="424" t="str">
        <f t="shared" si="11"/>
        <v>X</v>
      </c>
      <c r="D227" s="390">
        <v>2023</v>
      </c>
      <c r="E227" s="425" t="s">
        <v>623</v>
      </c>
      <c r="F227" s="432" t="s">
        <v>1933</v>
      </c>
      <c r="I227" s="215" t="str">
        <f t="shared" si="12"/>
        <v>Ligeiro de Passageiros M1: Geral : Gasolina : Geral</v>
      </c>
      <c r="N227" s="437">
        <f t="shared" si="13"/>
        <v>0</v>
      </c>
      <c r="O227" s="421" t="s">
        <v>4804</v>
      </c>
      <c r="P227" s="445" t="s">
        <v>625</v>
      </c>
      <c r="Q227" s="214" t="s">
        <v>1869</v>
      </c>
      <c r="R227" s="214" t="s">
        <v>1861</v>
      </c>
      <c r="S227" s="422" t="s">
        <v>1953</v>
      </c>
      <c r="T227" s="422" t="s">
        <v>2814</v>
      </c>
    </row>
    <row r="228" spans="1:20" ht="15.75" thickBot="1" x14ac:dyDescent="0.3">
      <c r="A228" t="s">
        <v>4603</v>
      </c>
      <c r="B228" s="424" t="s">
        <v>4603</v>
      </c>
      <c r="C228" s="424" t="str">
        <f t="shared" si="11"/>
        <v>X</v>
      </c>
      <c r="D228" s="390">
        <v>2023</v>
      </c>
      <c r="E228" s="425" t="s">
        <v>623</v>
      </c>
      <c r="F228" s="432" t="s">
        <v>620</v>
      </c>
      <c r="I228" s="215" t="str">
        <f t="shared" si="12"/>
        <v>Ligeiro de Passageiros M1: Geral : Gasóleo : Geral</v>
      </c>
      <c r="N228" s="437">
        <f t="shared" si="13"/>
        <v>0</v>
      </c>
      <c r="O228" s="421" t="s">
        <v>4805</v>
      </c>
      <c r="P228" s="445" t="s">
        <v>625</v>
      </c>
      <c r="Q228" s="214" t="s">
        <v>1869</v>
      </c>
      <c r="R228" s="214" t="s">
        <v>1861</v>
      </c>
      <c r="S228" s="422" t="s">
        <v>1953</v>
      </c>
      <c r="T228" s="422" t="s">
        <v>2814</v>
      </c>
    </row>
    <row r="229" spans="1:20" ht="15.75" thickBot="1" x14ac:dyDescent="0.3">
      <c r="A229" t="s">
        <v>4603</v>
      </c>
      <c r="B229" s="424" t="s">
        <v>4603</v>
      </c>
      <c r="C229" s="424" t="str">
        <f t="shared" si="11"/>
        <v>X</v>
      </c>
      <c r="D229" s="390">
        <v>2023</v>
      </c>
      <c r="E229" s="425" t="s">
        <v>2824</v>
      </c>
      <c r="F229" s="432" t="s">
        <v>620</v>
      </c>
      <c r="I229" s="215" t="str">
        <f t="shared" si="12"/>
        <v>Misto: Geral : Gasóleo : Geral</v>
      </c>
      <c r="N229" s="437">
        <f t="shared" si="13"/>
        <v>0</v>
      </c>
      <c r="O229" s="421" t="s">
        <v>4806</v>
      </c>
      <c r="P229" s="445" t="s">
        <v>625</v>
      </c>
      <c r="Q229" s="214" t="s">
        <v>1869</v>
      </c>
      <c r="R229" s="214" t="s">
        <v>1861</v>
      </c>
      <c r="S229" s="422" t="s">
        <v>1953</v>
      </c>
      <c r="T229" s="422" t="s">
        <v>2814</v>
      </c>
    </row>
    <row r="230" spans="1:20" ht="15.75" thickBot="1" x14ac:dyDescent="0.3">
      <c r="A230" t="s">
        <v>2825</v>
      </c>
      <c r="B230" s="424" t="s">
        <v>2825</v>
      </c>
      <c r="C230" s="424" t="str">
        <f t="shared" si="11"/>
        <v>X</v>
      </c>
      <c r="D230" s="390">
        <v>2023</v>
      </c>
      <c r="E230" s="425" t="s">
        <v>623</v>
      </c>
      <c r="F230" s="432" t="s">
        <v>620</v>
      </c>
      <c r="I230" s="215" t="str">
        <f t="shared" si="12"/>
        <v>Ligeiro de Passageiros M1: Geral : Gasóleo : Geral</v>
      </c>
      <c r="N230" s="437">
        <f t="shared" si="13"/>
        <v>0</v>
      </c>
      <c r="O230" s="421" t="s">
        <v>4807</v>
      </c>
      <c r="P230" s="445" t="s">
        <v>625</v>
      </c>
      <c r="Q230" s="214" t="s">
        <v>1869</v>
      </c>
      <c r="R230" s="214" t="s">
        <v>1861</v>
      </c>
      <c r="S230" s="422" t="s">
        <v>1953</v>
      </c>
      <c r="T230" s="422" t="s">
        <v>2814</v>
      </c>
    </row>
    <row r="231" spans="1:20" ht="15.75" thickBot="1" x14ac:dyDescent="0.3">
      <c r="A231" t="s">
        <v>2825</v>
      </c>
      <c r="B231" s="424" t="s">
        <v>2825</v>
      </c>
      <c r="C231" s="424" t="str">
        <f t="shared" si="11"/>
        <v>X</v>
      </c>
      <c r="D231" s="390">
        <v>2023</v>
      </c>
      <c r="E231" s="425" t="s">
        <v>623</v>
      </c>
      <c r="F231" s="432" t="s">
        <v>620</v>
      </c>
      <c r="I231" s="215" t="str">
        <f t="shared" si="12"/>
        <v>Ligeiro de Passageiros M1: Geral : Gasóleo : Geral</v>
      </c>
      <c r="N231" s="437">
        <f t="shared" si="13"/>
        <v>0</v>
      </c>
      <c r="O231" s="421" t="s">
        <v>4808</v>
      </c>
      <c r="P231" s="445" t="s">
        <v>625</v>
      </c>
      <c r="Q231" s="214" t="s">
        <v>1869</v>
      </c>
      <c r="R231" s="214" t="s">
        <v>1861</v>
      </c>
      <c r="S231" s="422" t="s">
        <v>1953</v>
      </c>
      <c r="T231" s="422" t="s">
        <v>2814</v>
      </c>
    </row>
    <row r="232" spans="1:20" ht="15.75" thickBot="1" x14ac:dyDescent="0.3">
      <c r="A232" t="s">
        <v>2825</v>
      </c>
      <c r="B232" s="424" t="s">
        <v>2825</v>
      </c>
      <c r="C232" s="424" t="str">
        <f t="shared" ref="C232:C295" si="14">IF(A232=B232,"X",RIGHT(A232,LEN(A232)-LEN(B232)-3))</f>
        <v>X</v>
      </c>
      <c r="D232" s="390">
        <v>2023</v>
      </c>
      <c r="E232" s="425" t="s">
        <v>623</v>
      </c>
      <c r="F232" s="432" t="s">
        <v>620</v>
      </c>
      <c r="I232" s="215" t="str">
        <f t="shared" si="12"/>
        <v>Ligeiro de Passageiros M1: Geral : Gasóleo : Geral</v>
      </c>
      <c r="N232" s="437">
        <f t="shared" si="13"/>
        <v>0</v>
      </c>
      <c r="O232" s="421" t="s">
        <v>4809</v>
      </c>
      <c r="P232" s="445" t="s">
        <v>625</v>
      </c>
      <c r="Q232" s="214" t="s">
        <v>1869</v>
      </c>
      <c r="R232" s="214" t="s">
        <v>1861</v>
      </c>
      <c r="S232" s="422" t="s">
        <v>1953</v>
      </c>
      <c r="T232" s="422" t="s">
        <v>2814</v>
      </c>
    </row>
    <row r="233" spans="1:20" ht="15.75" thickBot="1" x14ac:dyDescent="0.3">
      <c r="A233" t="s">
        <v>2825</v>
      </c>
      <c r="B233" s="424" t="s">
        <v>2825</v>
      </c>
      <c r="C233" s="424" t="str">
        <f t="shared" si="14"/>
        <v>X</v>
      </c>
      <c r="D233" s="390">
        <v>2023</v>
      </c>
      <c r="E233" s="425" t="s">
        <v>623</v>
      </c>
      <c r="F233" s="432" t="s">
        <v>1933</v>
      </c>
      <c r="I233" s="215" t="str">
        <f t="shared" si="12"/>
        <v>Ligeiro de Passageiros M1: Geral : Gasolina : Geral</v>
      </c>
      <c r="N233" s="437">
        <f t="shared" si="13"/>
        <v>0</v>
      </c>
      <c r="O233" s="421" t="s">
        <v>4810</v>
      </c>
      <c r="P233" s="445" t="s">
        <v>625</v>
      </c>
      <c r="Q233" s="214" t="s">
        <v>1869</v>
      </c>
      <c r="R233" s="214" t="s">
        <v>1861</v>
      </c>
      <c r="S233" s="422" t="s">
        <v>1953</v>
      </c>
      <c r="T233" s="422" t="s">
        <v>2814</v>
      </c>
    </row>
    <row r="234" spans="1:20" ht="15.75" thickBot="1" x14ac:dyDescent="0.3">
      <c r="A234" t="s">
        <v>2825</v>
      </c>
      <c r="B234" s="424" t="s">
        <v>2825</v>
      </c>
      <c r="C234" s="424" t="str">
        <f t="shared" si="14"/>
        <v>X</v>
      </c>
      <c r="D234" s="390">
        <v>2023</v>
      </c>
      <c r="E234" s="425" t="s">
        <v>623</v>
      </c>
      <c r="F234" s="432" t="s">
        <v>1933</v>
      </c>
      <c r="I234" s="215" t="str">
        <f t="shared" si="12"/>
        <v>Ligeiro de Passageiros M1: Geral : Gasolina : Geral</v>
      </c>
      <c r="N234" s="437">
        <f t="shared" si="13"/>
        <v>0</v>
      </c>
      <c r="O234" s="421" t="s">
        <v>4811</v>
      </c>
      <c r="P234" s="445" t="s">
        <v>625</v>
      </c>
      <c r="Q234" s="214" t="s">
        <v>1869</v>
      </c>
      <c r="R234" s="214" t="s">
        <v>1861</v>
      </c>
      <c r="S234" s="422" t="s">
        <v>1953</v>
      </c>
      <c r="T234" s="422" t="s">
        <v>2814</v>
      </c>
    </row>
    <row r="235" spans="1:20" ht="15.75" thickBot="1" x14ac:dyDescent="0.3">
      <c r="A235" t="s">
        <v>4597</v>
      </c>
      <c r="B235" s="424" t="s">
        <v>4645</v>
      </c>
      <c r="C235" s="424" t="str">
        <f t="shared" si="14"/>
        <v>X</v>
      </c>
      <c r="D235" s="390">
        <v>2023</v>
      </c>
      <c r="E235" s="425" t="s">
        <v>624</v>
      </c>
      <c r="F235" s="432" t="s">
        <v>620</v>
      </c>
      <c r="I235" s="215" t="str">
        <f t="shared" si="12"/>
        <v>Ligeiro de Mercadorias N1: Geral : Gasóleo : Geral</v>
      </c>
      <c r="N235" s="437">
        <f t="shared" si="13"/>
        <v>0</v>
      </c>
      <c r="O235" s="421" t="s">
        <v>4812</v>
      </c>
      <c r="P235" s="445" t="s">
        <v>625</v>
      </c>
      <c r="Q235" s="214" t="s">
        <v>1869</v>
      </c>
      <c r="R235" s="214" t="s">
        <v>1861</v>
      </c>
      <c r="S235" s="422" t="s">
        <v>1953</v>
      </c>
      <c r="T235" s="422" t="s">
        <v>2814</v>
      </c>
    </row>
    <row r="236" spans="1:20" ht="15.75" thickBot="1" x14ac:dyDescent="0.3">
      <c r="A236" t="s">
        <v>4597</v>
      </c>
      <c r="B236" s="424" t="s">
        <v>4645</v>
      </c>
      <c r="C236" s="424" t="str">
        <f t="shared" si="14"/>
        <v>X</v>
      </c>
      <c r="D236" s="390">
        <v>2023</v>
      </c>
      <c r="E236" s="425" t="s">
        <v>624</v>
      </c>
      <c r="F236" s="432" t="s">
        <v>620</v>
      </c>
      <c r="I236" s="215" t="str">
        <f t="shared" si="12"/>
        <v>Ligeiro de Mercadorias N1: Geral : Gasóleo : Geral</v>
      </c>
      <c r="N236" s="437">
        <f t="shared" si="13"/>
        <v>0</v>
      </c>
      <c r="O236" s="421" t="s">
        <v>4813</v>
      </c>
      <c r="P236" s="445" t="s">
        <v>625</v>
      </c>
      <c r="Q236" s="214" t="s">
        <v>1869</v>
      </c>
      <c r="R236" s="214" t="s">
        <v>1861</v>
      </c>
      <c r="S236" s="422" t="s">
        <v>1953</v>
      </c>
      <c r="T236" s="422" t="s">
        <v>2814</v>
      </c>
    </row>
    <row r="237" spans="1:20" ht="15.75" thickBot="1" x14ac:dyDescent="0.3">
      <c r="A237" t="s">
        <v>4822</v>
      </c>
      <c r="B237" s="424" t="s">
        <v>4822</v>
      </c>
      <c r="C237" s="424" t="str">
        <f t="shared" si="14"/>
        <v>X</v>
      </c>
      <c r="D237" s="390">
        <v>2023</v>
      </c>
      <c r="E237" s="425" t="s">
        <v>623</v>
      </c>
      <c r="F237" s="432" t="s">
        <v>1933</v>
      </c>
      <c r="I237" s="215" t="str">
        <f t="shared" si="12"/>
        <v>Ligeiro de Passageiros M1: Geral : Gasolina : Geral</v>
      </c>
      <c r="N237" s="437">
        <f t="shared" si="13"/>
        <v>0</v>
      </c>
      <c r="O237" s="421" t="s">
        <v>4814</v>
      </c>
      <c r="P237" s="445" t="s">
        <v>625</v>
      </c>
      <c r="Q237" s="214" t="s">
        <v>1869</v>
      </c>
      <c r="R237" s="214" t="s">
        <v>1861</v>
      </c>
      <c r="S237" s="422" t="s">
        <v>1953</v>
      </c>
      <c r="T237" s="422" t="s">
        <v>2814</v>
      </c>
    </row>
    <row r="238" spans="1:20" ht="15.75" thickBot="1" x14ac:dyDescent="0.3">
      <c r="A238" t="s">
        <v>4822</v>
      </c>
      <c r="B238" s="424" t="s">
        <v>4822</v>
      </c>
      <c r="C238" s="424" t="str">
        <f t="shared" si="14"/>
        <v>X</v>
      </c>
      <c r="D238" s="390">
        <v>2023</v>
      </c>
      <c r="E238" s="425" t="s">
        <v>623</v>
      </c>
      <c r="F238" s="432" t="s">
        <v>620</v>
      </c>
      <c r="I238" s="215" t="str">
        <f t="shared" si="12"/>
        <v>Ligeiro de Passageiros M1: Geral : Gasóleo : Geral</v>
      </c>
      <c r="N238" s="437">
        <f t="shared" si="13"/>
        <v>0</v>
      </c>
      <c r="O238" s="421" t="s">
        <v>4815</v>
      </c>
      <c r="P238" s="445" t="s">
        <v>625</v>
      </c>
      <c r="Q238" s="214" t="s">
        <v>1869</v>
      </c>
      <c r="R238" s="214" t="s">
        <v>1861</v>
      </c>
      <c r="S238" s="422" t="s">
        <v>1953</v>
      </c>
      <c r="T238" s="422" t="s">
        <v>2814</v>
      </c>
    </row>
    <row r="239" spans="1:20" ht="15.75" thickBot="1" x14ac:dyDescent="0.3">
      <c r="A239" t="s">
        <v>4668</v>
      </c>
      <c r="B239" s="424" t="s">
        <v>4668</v>
      </c>
      <c r="C239" s="424" t="str">
        <f t="shared" si="14"/>
        <v>X</v>
      </c>
      <c r="D239" s="390">
        <v>2023</v>
      </c>
      <c r="E239" s="425" t="s">
        <v>624</v>
      </c>
      <c r="F239" s="432" t="s">
        <v>620</v>
      </c>
      <c r="I239" s="215" t="str">
        <f t="shared" si="12"/>
        <v>Ligeiro de Mercadorias N1: Geral : Gasóleo : Geral</v>
      </c>
      <c r="J239" s="430">
        <v>380.39</v>
      </c>
      <c r="K239" s="433" t="s">
        <v>630</v>
      </c>
      <c r="L239" s="426">
        <v>889</v>
      </c>
      <c r="M239" s="427">
        <v>2</v>
      </c>
      <c r="N239" s="437">
        <f t="shared" si="13"/>
        <v>42.788526434195724</v>
      </c>
      <c r="O239" s="421" t="s">
        <v>4708</v>
      </c>
      <c r="P239" s="445" t="s">
        <v>4701</v>
      </c>
      <c r="Q239" s="214" t="s">
        <v>1869</v>
      </c>
      <c r="R239" s="214" t="s">
        <v>1861</v>
      </c>
      <c r="S239" s="422" t="s">
        <v>1953</v>
      </c>
      <c r="T239" s="422" t="s">
        <v>2814</v>
      </c>
    </row>
    <row r="240" spans="1:20" ht="15.75" thickBot="1" x14ac:dyDescent="0.3">
      <c r="A240" t="s">
        <v>4668</v>
      </c>
      <c r="B240" s="424" t="s">
        <v>4668</v>
      </c>
      <c r="C240" s="424" t="str">
        <f t="shared" si="14"/>
        <v>X</v>
      </c>
      <c r="D240" s="390">
        <v>2023</v>
      </c>
      <c r="E240" s="425" t="s">
        <v>624</v>
      </c>
      <c r="F240" s="432" t="s">
        <v>620</v>
      </c>
      <c r="I240" s="215" t="str">
        <f t="shared" ref="I240:I282" si="15">IF(H240="",E240&amp;": Geral : "&amp;F240&amp;" : Geral",E240&amp;": Geral : "&amp;F240&amp;" : "&amp;H240)</f>
        <v>Ligeiro de Mercadorias N1: Geral : Gasóleo : Geral</v>
      </c>
      <c r="J240" s="430">
        <v>2577.08</v>
      </c>
      <c r="K240" s="433" t="s">
        <v>630</v>
      </c>
      <c r="L240" s="426">
        <v>22869</v>
      </c>
      <c r="M240" s="427">
        <v>3</v>
      </c>
      <c r="N240" s="437">
        <f t="shared" si="13"/>
        <v>11.268879268879269</v>
      </c>
      <c r="O240" s="421" t="s">
        <v>4709</v>
      </c>
      <c r="P240" s="445" t="s">
        <v>4701</v>
      </c>
      <c r="Q240" s="214" t="s">
        <v>1869</v>
      </c>
      <c r="R240" s="214" t="s">
        <v>1861</v>
      </c>
      <c r="S240" s="422" t="s">
        <v>1953</v>
      </c>
      <c r="T240" s="422" t="s">
        <v>2814</v>
      </c>
    </row>
    <row r="241" spans="1:20" ht="15.75" thickBot="1" x14ac:dyDescent="0.3">
      <c r="A241" t="s">
        <v>4668</v>
      </c>
      <c r="B241" s="424" t="s">
        <v>4668</v>
      </c>
      <c r="C241" s="424" t="str">
        <f t="shared" si="14"/>
        <v>X</v>
      </c>
      <c r="D241" s="390">
        <v>2023</v>
      </c>
      <c r="E241" s="425" t="s">
        <v>624</v>
      </c>
      <c r="F241" s="432" t="s">
        <v>620</v>
      </c>
      <c r="I241" s="215" t="str">
        <f t="shared" si="15"/>
        <v>Ligeiro de Mercadorias N1: Geral : Gasóleo : Geral</v>
      </c>
      <c r="J241" s="430">
        <v>684.89</v>
      </c>
      <c r="K241" s="433" t="s">
        <v>630</v>
      </c>
      <c r="L241" s="426">
        <v>5491</v>
      </c>
      <c r="M241" s="427">
        <v>3</v>
      </c>
      <c r="N241" s="437">
        <f t="shared" si="13"/>
        <v>12.472955745765798</v>
      </c>
      <c r="O241" s="421" t="s">
        <v>4710</v>
      </c>
      <c r="P241" s="445" t="s">
        <v>4701</v>
      </c>
      <c r="Q241" s="214" t="s">
        <v>1869</v>
      </c>
      <c r="R241" s="214" t="s">
        <v>1861</v>
      </c>
      <c r="S241" s="422" t="s">
        <v>1953</v>
      </c>
      <c r="T241" s="422" t="s">
        <v>2814</v>
      </c>
    </row>
    <row r="242" spans="1:20" ht="15.75" thickBot="1" x14ac:dyDescent="0.3">
      <c r="A242" t="s">
        <v>4668</v>
      </c>
      <c r="B242" s="424" t="s">
        <v>4668</v>
      </c>
      <c r="C242" s="424" t="str">
        <f t="shared" si="14"/>
        <v>X</v>
      </c>
      <c r="D242" s="390">
        <v>2023</v>
      </c>
      <c r="E242" s="425" t="s">
        <v>624</v>
      </c>
      <c r="F242" s="432" t="s">
        <v>620</v>
      </c>
      <c r="I242" s="215" t="str">
        <f t="shared" si="15"/>
        <v>Ligeiro de Mercadorias N1: Geral : Gasóleo : Geral</v>
      </c>
      <c r="J242" s="430">
        <v>1314.49</v>
      </c>
      <c r="K242" s="433" t="s">
        <v>630</v>
      </c>
      <c r="L242" s="426">
        <v>10570</v>
      </c>
      <c r="M242" s="427">
        <v>3</v>
      </c>
      <c r="N242" s="437">
        <f t="shared" si="13"/>
        <v>12.4360454115421</v>
      </c>
      <c r="O242" s="421" t="s">
        <v>4711</v>
      </c>
      <c r="P242" s="445" t="s">
        <v>4701</v>
      </c>
      <c r="Q242" s="214" t="s">
        <v>1869</v>
      </c>
      <c r="R242" s="214" t="s">
        <v>1861</v>
      </c>
      <c r="S242" s="422" t="s">
        <v>1953</v>
      </c>
      <c r="T242" s="422" t="s">
        <v>2814</v>
      </c>
    </row>
    <row r="243" spans="1:20" ht="15.75" thickBot="1" x14ac:dyDescent="0.3">
      <c r="A243" t="s">
        <v>4668</v>
      </c>
      <c r="B243" s="424" t="s">
        <v>4668</v>
      </c>
      <c r="C243" s="424" t="str">
        <f t="shared" si="14"/>
        <v>X</v>
      </c>
      <c r="D243" s="390">
        <v>2023</v>
      </c>
      <c r="E243" s="425" t="s">
        <v>624</v>
      </c>
      <c r="F243" s="432" t="s">
        <v>620</v>
      </c>
      <c r="I243" s="215" t="str">
        <f t="shared" si="15"/>
        <v>Ligeiro de Mercadorias N1: Geral : Gasóleo : Geral</v>
      </c>
      <c r="J243" s="430">
        <v>86.35</v>
      </c>
      <c r="K243" s="433" t="s">
        <v>630</v>
      </c>
      <c r="L243" s="426">
        <v>906</v>
      </c>
      <c r="M243" s="427">
        <v>3</v>
      </c>
      <c r="N243" s="437">
        <f t="shared" si="13"/>
        <v>9.5309050772626929</v>
      </c>
      <c r="O243" s="421" t="s">
        <v>4712</v>
      </c>
      <c r="P243" s="445" t="s">
        <v>4701</v>
      </c>
      <c r="Q243" s="214" t="s">
        <v>1869</v>
      </c>
      <c r="R243" s="214" t="s">
        <v>1861</v>
      </c>
      <c r="S243" s="422" t="s">
        <v>1953</v>
      </c>
      <c r="T243" s="422" t="s">
        <v>2814</v>
      </c>
    </row>
    <row r="244" spans="1:20" ht="15.75" thickBot="1" x14ac:dyDescent="0.3">
      <c r="A244" t="s">
        <v>4668</v>
      </c>
      <c r="B244" s="424" t="s">
        <v>4668</v>
      </c>
      <c r="C244" s="424" t="str">
        <f t="shared" si="14"/>
        <v>X</v>
      </c>
      <c r="D244" s="390">
        <v>2023</v>
      </c>
      <c r="E244" s="425" t="s">
        <v>624</v>
      </c>
      <c r="F244" s="432" t="s">
        <v>620</v>
      </c>
      <c r="I244" s="215" t="str">
        <f t="shared" si="15"/>
        <v>Ligeiro de Mercadorias N1: Geral : Gasóleo : Geral</v>
      </c>
      <c r="J244" s="430">
        <v>1448.88</v>
      </c>
      <c r="K244" s="433" t="s">
        <v>630</v>
      </c>
      <c r="L244" s="426">
        <v>38141</v>
      </c>
      <c r="M244" s="427">
        <v>5</v>
      </c>
      <c r="N244" s="437">
        <f t="shared" si="13"/>
        <v>3.7987467554600038</v>
      </c>
      <c r="O244" s="421" t="s">
        <v>4713</v>
      </c>
      <c r="P244" s="445" t="s">
        <v>4701</v>
      </c>
      <c r="Q244" s="214" t="s">
        <v>1869</v>
      </c>
      <c r="R244" s="214" t="s">
        <v>1861</v>
      </c>
      <c r="S244" s="422" t="s">
        <v>1953</v>
      </c>
      <c r="T244" s="422" t="s">
        <v>2814</v>
      </c>
    </row>
    <row r="245" spans="1:20" ht="15.75" thickBot="1" x14ac:dyDescent="0.3">
      <c r="A245" t="s">
        <v>4668</v>
      </c>
      <c r="B245" s="424" t="s">
        <v>4668</v>
      </c>
      <c r="C245" s="424" t="str">
        <f t="shared" si="14"/>
        <v>X</v>
      </c>
      <c r="D245" s="390">
        <v>2023</v>
      </c>
      <c r="E245" s="425" t="s">
        <v>624</v>
      </c>
      <c r="F245" s="432" t="s">
        <v>620</v>
      </c>
      <c r="I245" s="215" t="str">
        <f t="shared" si="15"/>
        <v>Ligeiro de Mercadorias N1: Geral : Gasóleo : Geral</v>
      </c>
      <c r="J245" s="430">
        <v>1537.44</v>
      </c>
      <c r="K245" s="433" t="s">
        <v>630</v>
      </c>
      <c r="L245" s="426">
        <v>27090</v>
      </c>
      <c r="M245" s="427">
        <v>3</v>
      </c>
      <c r="N245" s="437">
        <f t="shared" si="13"/>
        <v>5.6753045404208198</v>
      </c>
      <c r="O245" s="421" t="s">
        <v>4714</v>
      </c>
      <c r="P245" s="445" t="s">
        <v>4701</v>
      </c>
      <c r="Q245" s="214" t="s">
        <v>1869</v>
      </c>
      <c r="R245" s="214" t="s">
        <v>1861</v>
      </c>
      <c r="S245" s="422" t="s">
        <v>1953</v>
      </c>
      <c r="T245" s="422" t="s">
        <v>2814</v>
      </c>
    </row>
    <row r="246" spans="1:20" ht="15.75" thickBot="1" x14ac:dyDescent="0.3">
      <c r="A246" t="s">
        <v>4668</v>
      </c>
      <c r="B246" s="424" t="s">
        <v>4668</v>
      </c>
      <c r="C246" s="424" t="str">
        <f t="shared" si="14"/>
        <v>X</v>
      </c>
      <c r="D246" s="390">
        <v>2023</v>
      </c>
      <c r="E246" s="425" t="s">
        <v>624</v>
      </c>
      <c r="F246" s="432" t="s">
        <v>620</v>
      </c>
      <c r="I246" s="215" t="str">
        <f t="shared" si="15"/>
        <v>Ligeiro de Mercadorias N1: Geral : Gasóleo : Geral</v>
      </c>
      <c r="J246" s="430">
        <v>1131.99</v>
      </c>
      <c r="K246" s="433" t="s">
        <v>630</v>
      </c>
      <c r="L246" s="426">
        <v>18590</v>
      </c>
      <c r="M246" s="427">
        <v>3</v>
      </c>
      <c r="N246" s="437">
        <f t="shared" si="13"/>
        <v>6.0892415277030665</v>
      </c>
      <c r="O246" s="421" t="s">
        <v>4715</v>
      </c>
      <c r="P246" s="445" t="s">
        <v>4701</v>
      </c>
      <c r="Q246" s="214" t="s">
        <v>1869</v>
      </c>
      <c r="R246" s="214" t="s">
        <v>1861</v>
      </c>
      <c r="S246" s="422" t="s">
        <v>1953</v>
      </c>
      <c r="T246" s="422" t="s">
        <v>2814</v>
      </c>
    </row>
    <row r="247" spans="1:20" ht="15.75" thickBot="1" x14ac:dyDescent="0.3">
      <c r="A247" t="s">
        <v>4668</v>
      </c>
      <c r="B247" s="424" t="s">
        <v>4668</v>
      </c>
      <c r="C247" s="424" t="str">
        <f t="shared" si="14"/>
        <v>X</v>
      </c>
      <c r="D247" s="390">
        <v>2023</v>
      </c>
      <c r="E247" s="425" t="s">
        <v>624</v>
      </c>
      <c r="F247" s="432" t="s">
        <v>620</v>
      </c>
      <c r="I247" s="215" t="str">
        <f t="shared" si="15"/>
        <v>Ligeiro de Mercadorias N1: Geral : Gasóleo : Geral</v>
      </c>
      <c r="J247" s="430">
        <v>927.99</v>
      </c>
      <c r="K247" s="433" t="s">
        <v>630</v>
      </c>
      <c r="L247" s="426">
        <v>18144</v>
      </c>
      <c r="M247" s="427">
        <v>3</v>
      </c>
      <c r="N247" s="437">
        <f t="shared" si="13"/>
        <v>5.1145833333333339</v>
      </c>
      <c r="O247" s="421" t="s">
        <v>4716</v>
      </c>
      <c r="P247" s="445" t="s">
        <v>4701</v>
      </c>
      <c r="Q247" s="214" t="s">
        <v>1869</v>
      </c>
      <c r="R247" s="214" t="s">
        <v>1861</v>
      </c>
      <c r="S247" s="422" t="s">
        <v>1953</v>
      </c>
      <c r="T247" s="422" t="s">
        <v>2814</v>
      </c>
    </row>
    <row r="248" spans="1:20" ht="15.75" thickBot="1" x14ac:dyDescent="0.3">
      <c r="A248" t="s">
        <v>4668</v>
      </c>
      <c r="B248" s="424" t="s">
        <v>4668</v>
      </c>
      <c r="C248" s="424" t="str">
        <f t="shared" si="14"/>
        <v>X</v>
      </c>
      <c r="D248" s="390">
        <v>2023</v>
      </c>
      <c r="E248" s="425" t="s">
        <v>624</v>
      </c>
      <c r="F248" s="432" t="s">
        <v>620</v>
      </c>
      <c r="I248" s="215" t="str">
        <f t="shared" si="15"/>
        <v>Ligeiro de Mercadorias N1: Geral : Gasóleo : Geral</v>
      </c>
      <c r="J248" s="430">
        <v>1194.47</v>
      </c>
      <c r="K248" s="433" t="s">
        <v>630</v>
      </c>
      <c r="L248" s="426">
        <v>19027</v>
      </c>
      <c r="M248" s="427">
        <v>2</v>
      </c>
      <c r="N248" s="437">
        <f t="shared" si="13"/>
        <v>6.2777631786408783</v>
      </c>
      <c r="O248" s="421" t="s">
        <v>4717</v>
      </c>
      <c r="P248" s="445" t="s">
        <v>4701</v>
      </c>
      <c r="Q248" s="214" t="s">
        <v>1869</v>
      </c>
      <c r="R248" s="214" t="s">
        <v>1861</v>
      </c>
      <c r="S248" s="422" t="s">
        <v>1953</v>
      </c>
      <c r="T248" s="422" t="s">
        <v>2814</v>
      </c>
    </row>
    <row r="249" spans="1:20" ht="15.75" thickBot="1" x14ac:dyDescent="0.3">
      <c r="A249" t="s">
        <v>4668</v>
      </c>
      <c r="B249" s="424" t="s">
        <v>4668</v>
      </c>
      <c r="C249" s="424" t="str">
        <f t="shared" si="14"/>
        <v>X</v>
      </c>
      <c r="D249" s="390">
        <v>2023</v>
      </c>
      <c r="E249" s="425" t="s">
        <v>624</v>
      </c>
      <c r="F249" s="432" t="s">
        <v>620</v>
      </c>
      <c r="I249" s="215" t="str">
        <f t="shared" si="15"/>
        <v>Ligeiro de Mercadorias N1: Geral : Gasóleo : Geral</v>
      </c>
      <c r="J249" s="430">
        <v>771.08</v>
      </c>
      <c r="K249" s="433" t="s">
        <v>630</v>
      </c>
      <c r="L249" s="426">
        <v>13158</v>
      </c>
      <c r="M249" s="427">
        <v>2</v>
      </c>
      <c r="N249" s="437">
        <f t="shared" si="13"/>
        <v>5.8601611187110505</v>
      </c>
      <c r="O249" s="421" t="s">
        <v>4718</v>
      </c>
      <c r="P249" s="445" t="s">
        <v>4701</v>
      </c>
      <c r="Q249" s="214" t="s">
        <v>1869</v>
      </c>
      <c r="R249" s="214" t="s">
        <v>1861</v>
      </c>
      <c r="S249" s="422" t="s">
        <v>1953</v>
      </c>
      <c r="T249" s="422" t="s">
        <v>2814</v>
      </c>
    </row>
    <row r="250" spans="1:20" ht="15.75" thickBot="1" x14ac:dyDescent="0.3">
      <c r="A250" t="s">
        <v>4668</v>
      </c>
      <c r="B250" s="424" t="s">
        <v>4668</v>
      </c>
      <c r="C250" s="424" t="str">
        <f t="shared" si="14"/>
        <v>X</v>
      </c>
      <c r="D250" s="390">
        <v>2023</v>
      </c>
      <c r="E250" s="425" t="s">
        <v>624</v>
      </c>
      <c r="F250" s="432" t="s">
        <v>620</v>
      </c>
      <c r="I250" s="215" t="str">
        <f t="shared" si="15"/>
        <v>Ligeiro de Mercadorias N1: Geral : Gasóleo : Geral</v>
      </c>
      <c r="J250" s="430">
        <v>472.19</v>
      </c>
      <c r="K250" s="433" t="s">
        <v>630</v>
      </c>
      <c r="L250" s="426">
        <v>9298</v>
      </c>
      <c r="M250" s="427">
        <v>2</v>
      </c>
      <c r="N250" s="437">
        <f t="shared" si="13"/>
        <v>5.0784039578403961</v>
      </c>
      <c r="O250" s="421" t="s">
        <v>4719</v>
      </c>
      <c r="P250" s="445" t="s">
        <v>4701</v>
      </c>
      <c r="Q250" s="214" t="s">
        <v>1869</v>
      </c>
      <c r="R250" s="214" t="s">
        <v>1861</v>
      </c>
      <c r="S250" s="422" t="s">
        <v>1953</v>
      </c>
      <c r="T250" s="422" t="s">
        <v>2814</v>
      </c>
    </row>
    <row r="251" spans="1:20" ht="15.75" thickBot="1" x14ac:dyDescent="0.3">
      <c r="A251" t="s">
        <v>4668</v>
      </c>
      <c r="B251" s="424" t="s">
        <v>4668</v>
      </c>
      <c r="C251" s="424" t="str">
        <f t="shared" si="14"/>
        <v>X</v>
      </c>
      <c r="D251" s="390">
        <v>2023</v>
      </c>
      <c r="E251" s="425" t="s">
        <v>624</v>
      </c>
      <c r="F251" s="432" t="s">
        <v>620</v>
      </c>
      <c r="I251" s="215" t="str">
        <f t="shared" si="15"/>
        <v>Ligeiro de Mercadorias N1: Geral : Gasóleo : Geral</v>
      </c>
      <c r="J251" s="430">
        <v>483.38</v>
      </c>
      <c r="K251" s="433" t="s">
        <v>630</v>
      </c>
      <c r="L251" s="426">
        <v>9229</v>
      </c>
      <c r="M251" s="427">
        <v>2</v>
      </c>
      <c r="N251" s="437">
        <f t="shared" si="13"/>
        <v>5.237620543937588</v>
      </c>
      <c r="O251" s="421" t="s">
        <v>4720</v>
      </c>
      <c r="P251" s="445" t="s">
        <v>4701</v>
      </c>
      <c r="Q251" s="214" t="s">
        <v>1869</v>
      </c>
      <c r="R251" s="214" t="s">
        <v>1861</v>
      </c>
      <c r="S251" s="422" t="s">
        <v>1953</v>
      </c>
      <c r="T251" s="422" t="s">
        <v>2814</v>
      </c>
    </row>
    <row r="252" spans="1:20" ht="15.75" thickBot="1" x14ac:dyDescent="0.3">
      <c r="A252" t="s">
        <v>4668</v>
      </c>
      <c r="B252" s="424" t="s">
        <v>4668</v>
      </c>
      <c r="C252" s="424" t="str">
        <f t="shared" si="14"/>
        <v>X</v>
      </c>
      <c r="D252" s="390">
        <v>2023</v>
      </c>
      <c r="E252" s="425" t="s">
        <v>624</v>
      </c>
      <c r="F252" s="432" t="s">
        <v>620</v>
      </c>
      <c r="I252" s="215" t="str">
        <f t="shared" si="15"/>
        <v>Ligeiro de Mercadorias N1: Geral : Gasóleo : Geral</v>
      </c>
      <c r="J252" s="430">
        <v>1147.26</v>
      </c>
      <c r="K252" s="433" t="s">
        <v>630</v>
      </c>
      <c r="L252" s="426">
        <v>19962</v>
      </c>
      <c r="M252" s="427">
        <v>2</v>
      </c>
      <c r="N252" s="437">
        <f t="shared" si="13"/>
        <v>5.7472197174631798</v>
      </c>
      <c r="O252" s="421" t="s">
        <v>4721</v>
      </c>
      <c r="P252" s="445" t="s">
        <v>4701</v>
      </c>
      <c r="Q252" s="214" t="s">
        <v>1869</v>
      </c>
      <c r="R252" s="214" t="s">
        <v>1861</v>
      </c>
      <c r="S252" s="422" t="s">
        <v>1953</v>
      </c>
      <c r="T252" s="422" t="s">
        <v>2814</v>
      </c>
    </row>
    <row r="253" spans="1:20" ht="15.75" thickBot="1" x14ac:dyDescent="0.3">
      <c r="A253" t="s">
        <v>4668</v>
      </c>
      <c r="B253" s="424" t="s">
        <v>4668</v>
      </c>
      <c r="C253" s="424" t="str">
        <f t="shared" si="14"/>
        <v>X</v>
      </c>
      <c r="D253" s="390">
        <v>2023</v>
      </c>
      <c r="E253" s="425" t="s">
        <v>624</v>
      </c>
      <c r="F253" s="432" t="s">
        <v>620</v>
      </c>
      <c r="I253" s="215" t="str">
        <f t="shared" si="15"/>
        <v>Ligeiro de Mercadorias N1: Geral : Gasóleo : Geral</v>
      </c>
      <c r="J253" s="430">
        <v>1298.47</v>
      </c>
      <c r="K253" s="433" t="s">
        <v>630</v>
      </c>
      <c r="L253" s="426">
        <v>22291</v>
      </c>
      <c r="M253" s="427">
        <v>3</v>
      </c>
      <c r="N253" s="437">
        <f t="shared" si="13"/>
        <v>5.8250863577228484</v>
      </c>
      <c r="O253" s="421" t="s">
        <v>4722</v>
      </c>
      <c r="P253" s="445" t="s">
        <v>4701</v>
      </c>
      <c r="Q253" s="214" t="s">
        <v>1869</v>
      </c>
      <c r="R253" s="214" t="s">
        <v>1861</v>
      </c>
      <c r="S253" s="422" t="s">
        <v>1953</v>
      </c>
      <c r="T253" s="422" t="s">
        <v>2814</v>
      </c>
    </row>
    <row r="254" spans="1:20" ht="15.75" thickBot="1" x14ac:dyDescent="0.3">
      <c r="A254" t="s">
        <v>4668</v>
      </c>
      <c r="B254" s="424" t="s">
        <v>4668</v>
      </c>
      <c r="C254" s="424" t="str">
        <f t="shared" si="14"/>
        <v>X</v>
      </c>
      <c r="D254" s="390">
        <v>2023</v>
      </c>
      <c r="E254" s="425" t="s">
        <v>624</v>
      </c>
      <c r="F254" s="432" t="s">
        <v>620</v>
      </c>
      <c r="I254" s="215" t="str">
        <f t="shared" si="15"/>
        <v>Ligeiro de Mercadorias N1: Geral : Gasóleo : Geral</v>
      </c>
      <c r="J254" s="430">
        <v>947.03</v>
      </c>
      <c r="K254" s="433" t="s">
        <v>630</v>
      </c>
      <c r="L254" s="426">
        <v>15121</v>
      </c>
      <c r="M254" s="427">
        <v>2</v>
      </c>
      <c r="N254" s="437">
        <f t="shared" si="13"/>
        <v>6.2630117055750283</v>
      </c>
      <c r="O254" s="421" t="s">
        <v>4723</v>
      </c>
      <c r="P254" s="445" t="s">
        <v>4701</v>
      </c>
      <c r="Q254" s="214" t="s">
        <v>1869</v>
      </c>
      <c r="R254" s="214" t="s">
        <v>1861</v>
      </c>
      <c r="S254" s="422" t="s">
        <v>1953</v>
      </c>
      <c r="T254" s="422" t="s">
        <v>2814</v>
      </c>
    </row>
    <row r="255" spans="1:20" ht="15.75" thickBot="1" x14ac:dyDescent="0.3">
      <c r="A255" t="s">
        <v>4668</v>
      </c>
      <c r="B255" s="424" t="s">
        <v>4668</v>
      </c>
      <c r="C255" s="424" t="str">
        <f t="shared" si="14"/>
        <v>X</v>
      </c>
      <c r="D255" s="390">
        <v>2023</v>
      </c>
      <c r="E255" s="425" t="s">
        <v>624</v>
      </c>
      <c r="F255" s="432" t="s">
        <v>620</v>
      </c>
      <c r="I255" s="215" t="str">
        <f t="shared" si="15"/>
        <v>Ligeiro de Mercadorias N1: Geral : Gasóleo : Geral</v>
      </c>
      <c r="J255" s="430">
        <v>1075.3399999999999</v>
      </c>
      <c r="K255" s="433" t="s">
        <v>630</v>
      </c>
      <c r="L255" s="426">
        <v>20552</v>
      </c>
      <c r="M255" s="427">
        <v>2</v>
      </c>
      <c r="N255" s="437">
        <f t="shared" si="13"/>
        <v>5.2322888283378743</v>
      </c>
      <c r="O255" s="421" t="s">
        <v>4724</v>
      </c>
      <c r="P255" s="445" t="s">
        <v>4701</v>
      </c>
      <c r="Q255" s="214" t="s">
        <v>1869</v>
      </c>
      <c r="R255" s="214" t="s">
        <v>1861</v>
      </c>
      <c r="S255" s="422" t="s">
        <v>1953</v>
      </c>
      <c r="T255" s="422" t="s">
        <v>2814</v>
      </c>
    </row>
    <row r="256" spans="1:20" ht="15.75" thickBot="1" x14ac:dyDescent="0.3">
      <c r="A256" t="s">
        <v>4668</v>
      </c>
      <c r="B256" s="424" t="s">
        <v>4668</v>
      </c>
      <c r="C256" s="424" t="str">
        <f t="shared" si="14"/>
        <v>X</v>
      </c>
      <c r="D256" s="390">
        <v>2023</v>
      </c>
      <c r="E256" s="425" t="s">
        <v>623</v>
      </c>
      <c r="F256" s="432" t="s">
        <v>620</v>
      </c>
      <c r="I256" s="215" t="str">
        <f t="shared" si="15"/>
        <v>Ligeiro de Passageiros M1: Geral : Gasóleo : Geral</v>
      </c>
      <c r="J256" s="430">
        <v>2132.13</v>
      </c>
      <c r="K256" s="433" t="s">
        <v>630</v>
      </c>
      <c r="L256" s="426">
        <v>21530</v>
      </c>
      <c r="M256" s="427">
        <v>9</v>
      </c>
      <c r="N256" s="437">
        <f t="shared" si="13"/>
        <v>9.903065490013935</v>
      </c>
      <c r="O256" s="421" t="s">
        <v>4725</v>
      </c>
      <c r="P256" s="445" t="s">
        <v>4701</v>
      </c>
      <c r="Q256" s="214" t="s">
        <v>1869</v>
      </c>
      <c r="R256" s="214" t="s">
        <v>1861</v>
      </c>
      <c r="S256" s="422" t="s">
        <v>1953</v>
      </c>
      <c r="T256" s="422" t="s">
        <v>2814</v>
      </c>
    </row>
    <row r="257" spans="1:20" ht="15.75" thickBot="1" x14ac:dyDescent="0.3">
      <c r="A257" t="s">
        <v>4668</v>
      </c>
      <c r="B257" s="424" t="s">
        <v>4668</v>
      </c>
      <c r="C257" s="424" t="str">
        <f t="shared" si="14"/>
        <v>X</v>
      </c>
      <c r="D257" s="390">
        <v>2023</v>
      </c>
      <c r="E257" s="425" t="s">
        <v>623</v>
      </c>
      <c r="F257" s="432" t="s">
        <v>620</v>
      </c>
      <c r="I257" s="215" t="str">
        <f t="shared" si="15"/>
        <v>Ligeiro de Passageiros M1: Geral : Gasóleo : Geral</v>
      </c>
      <c r="J257" s="430">
        <v>272.93</v>
      </c>
      <c r="K257" s="433" t="s">
        <v>630</v>
      </c>
      <c r="L257" s="426">
        <v>4563</v>
      </c>
      <c r="M257" s="427">
        <v>5</v>
      </c>
      <c r="N257" s="437">
        <f t="shared" si="13"/>
        <v>5.9813719044488272</v>
      </c>
      <c r="O257" s="421" t="s">
        <v>4726</v>
      </c>
      <c r="P257" s="445" t="s">
        <v>4701</v>
      </c>
      <c r="Q257" s="214" t="s">
        <v>1869</v>
      </c>
      <c r="R257" s="214" t="s">
        <v>1861</v>
      </c>
      <c r="S257" s="422" t="s">
        <v>1953</v>
      </c>
      <c r="T257" s="422" t="s">
        <v>2814</v>
      </c>
    </row>
    <row r="258" spans="1:20" ht="15.75" thickBot="1" x14ac:dyDescent="0.3">
      <c r="A258" t="s">
        <v>4668</v>
      </c>
      <c r="B258" s="424" t="s">
        <v>4668</v>
      </c>
      <c r="C258" s="424" t="str">
        <f t="shared" si="14"/>
        <v>X</v>
      </c>
      <c r="D258" s="390">
        <v>2023</v>
      </c>
      <c r="E258" s="425" t="s">
        <v>623</v>
      </c>
      <c r="F258" s="432" t="s">
        <v>620</v>
      </c>
      <c r="I258" s="215" t="str">
        <f t="shared" si="15"/>
        <v>Ligeiro de Passageiros M1: Geral : Gasóleo : Geral</v>
      </c>
      <c r="J258" s="430">
        <v>2046.71</v>
      </c>
      <c r="K258" s="433" t="s">
        <v>630</v>
      </c>
      <c r="L258" s="426">
        <v>36373</v>
      </c>
      <c r="M258" s="427">
        <v>5</v>
      </c>
      <c r="N258" s="437">
        <f t="shared" si="13"/>
        <v>5.6270035465867538</v>
      </c>
      <c r="O258" s="421" t="s">
        <v>4727</v>
      </c>
      <c r="P258" s="445" t="s">
        <v>4704</v>
      </c>
      <c r="Q258" s="214" t="s">
        <v>1869</v>
      </c>
      <c r="R258" s="214" t="s">
        <v>1861</v>
      </c>
      <c r="S258" s="422" t="s">
        <v>1953</v>
      </c>
      <c r="T258" s="422" t="s">
        <v>2814</v>
      </c>
    </row>
    <row r="259" spans="1:20" ht="15.75" thickBot="1" x14ac:dyDescent="0.3">
      <c r="A259" t="s">
        <v>4668</v>
      </c>
      <c r="B259" s="424" t="s">
        <v>4668</v>
      </c>
      <c r="C259" s="424" t="str">
        <f t="shared" si="14"/>
        <v>X</v>
      </c>
      <c r="D259" s="390">
        <v>2023</v>
      </c>
      <c r="E259" s="425" t="s">
        <v>623</v>
      </c>
      <c r="F259" s="432" t="s">
        <v>620</v>
      </c>
      <c r="I259" s="215" t="str">
        <f t="shared" si="15"/>
        <v>Ligeiro de Passageiros M1: Geral : Gasóleo : Geral</v>
      </c>
      <c r="J259" s="430">
        <v>964.39</v>
      </c>
      <c r="K259" s="433" t="s">
        <v>630</v>
      </c>
      <c r="L259" s="426">
        <v>13406</v>
      </c>
      <c r="M259" s="427">
        <v>5</v>
      </c>
      <c r="N259" s="437">
        <f t="shared" si="13"/>
        <v>7.1937192301954349</v>
      </c>
      <c r="O259" s="421" t="s">
        <v>4728</v>
      </c>
      <c r="P259" s="445" t="s">
        <v>4704</v>
      </c>
      <c r="Q259" s="214" t="s">
        <v>1869</v>
      </c>
      <c r="R259" s="214" t="s">
        <v>1861</v>
      </c>
      <c r="S259" s="422" t="s">
        <v>1953</v>
      </c>
      <c r="T259" s="422" t="s">
        <v>2814</v>
      </c>
    </row>
    <row r="260" spans="1:20" ht="15.75" thickBot="1" x14ac:dyDescent="0.3">
      <c r="A260" t="s">
        <v>4668</v>
      </c>
      <c r="B260" s="424" t="s">
        <v>4668</v>
      </c>
      <c r="C260" s="424" t="str">
        <f t="shared" si="14"/>
        <v>X</v>
      </c>
      <c r="D260" s="390">
        <v>2023</v>
      </c>
      <c r="E260" s="425" t="s">
        <v>623</v>
      </c>
      <c r="F260" s="432" t="s">
        <v>620</v>
      </c>
      <c r="I260" s="215" t="str">
        <f t="shared" si="15"/>
        <v>Ligeiro de Passageiros M1: Geral : Gasóleo : Geral</v>
      </c>
      <c r="J260" s="430">
        <v>144.86000000000001</v>
      </c>
      <c r="K260" s="433" t="s">
        <v>630</v>
      </c>
      <c r="L260" s="426">
        <v>2272</v>
      </c>
      <c r="M260" s="427">
        <v>8</v>
      </c>
      <c r="N260" s="437">
        <f t="shared" si="13"/>
        <v>6.375880281690141</v>
      </c>
      <c r="O260" s="421" t="s">
        <v>4729</v>
      </c>
      <c r="P260" s="445" t="s">
        <v>4704</v>
      </c>
      <c r="Q260" s="214" t="s">
        <v>1869</v>
      </c>
      <c r="R260" s="214" t="s">
        <v>1861</v>
      </c>
      <c r="S260" s="422" t="s">
        <v>1953</v>
      </c>
      <c r="T260" s="422" t="s">
        <v>2814</v>
      </c>
    </row>
    <row r="261" spans="1:20" ht="15.75" thickBot="1" x14ac:dyDescent="0.3">
      <c r="A261" t="s">
        <v>4668</v>
      </c>
      <c r="B261" s="424" t="s">
        <v>4668</v>
      </c>
      <c r="C261" s="424" t="str">
        <f t="shared" si="14"/>
        <v>X</v>
      </c>
      <c r="D261" s="390">
        <v>2023</v>
      </c>
      <c r="E261" s="425" t="s">
        <v>623</v>
      </c>
      <c r="F261" s="432" t="s">
        <v>620</v>
      </c>
      <c r="I261" s="215" t="str">
        <f t="shared" si="15"/>
        <v>Ligeiro de Passageiros M1: Geral : Gasóleo : Geral</v>
      </c>
      <c r="J261" s="430">
        <v>673.06</v>
      </c>
      <c r="K261" s="433" t="s">
        <v>630</v>
      </c>
      <c r="L261" s="426">
        <v>7142</v>
      </c>
      <c r="M261" s="427">
        <v>3</v>
      </c>
      <c r="N261" s="437">
        <f t="shared" si="13"/>
        <v>9.4239708765051802</v>
      </c>
      <c r="O261" s="421" t="s">
        <v>4730</v>
      </c>
      <c r="P261" s="445" t="s">
        <v>4704</v>
      </c>
      <c r="Q261" s="214" t="s">
        <v>1869</v>
      </c>
      <c r="R261" s="214" t="s">
        <v>1861</v>
      </c>
      <c r="S261" s="422" t="s">
        <v>1953</v>
      </c>
      <c r="T261" s="422" t="s">
        <v>2814</v>
      </c>
    </row>
    <row r="262" spans="1:20" ht="15.75" thickBot="1" x14ac:dyDescent="0.3">
      <c r="A262" t="s">
        <v>4668</v>
      </c>
      <c r="B262" s="424" t="s">
        <v>4668</v>
      </c>
      <c r="C262" s="424" t="str">
        <f t="shared" si="14"/>
        <v>X</v>
      </c>
      <c r="D262" s="390">
        <v>2023</v>
      </c>
      <c r="E262" s="425" t="s">
        <v>623</v>
      </c>
      <c r="F262" s="432" t="s">
        <v>4821</v>
      </c>
      <c r="I262" s="215" t="str">
        <f t="shared" si="15"/>
        <v>Ligeiro de Passageiros M1: Geral : Híbrido Gasolina : Geral</v>
      </c>
      <c r="J262" s="430">
        <v>217.98</v>
      </c>
      <c r="K262" s="433" t="s">
        <v>630</v>
      </c>
      <c r="L262" s="426">
        <v>4725</v>
      </c>
      <c r="M262" s="427">
        <v>5</v>
      </c>
      <c r="N262" s="437">
        <f t="shared" si="13"/>
        <v>4.6133333333333333</v>
      </c>
      <c r="O262" s="421" t="s">
        <v>4731</v>
      </c>
      <c r="P262" s="445" t="s">
        <v>4701</v>
      </c>
      <c r="Q262" s="214" t="s">
        <v>1869</v>
      </c>
      <c r="R262" s="214" t="s">
        <v>1861</v>
      </c>
      <c r="S262" s="422" t="s">
        <v>1953</v>
      </c>
      <c r="T262" s="422" t="s">
        <v>2814</v>
      </c>
    </row>
    <row r="263" spans="1:20" ht="15.75" thickBot="1" x14ac:dyDescent="0.3">
      <c r="A263" t="s">
        <v>4668</v>
      </c>
      <c r="B263" s="424" t="s">
        <v>4668</v>
      </c>
      <c r="C263" s="424" t="str">
        <f t="shared" si="14"/>
        <v>X</v>
      </c>
      <c r="D263" s="390">
        <v>2023</v>
      </c>
      <c r="E263" s="425" t="s">
        <v>623</v>
      </c>
      <c r="F263" s="432" t="s">
        <v>4821</v>
      </c>
      <c r="I263" s="215" t="str">
        <f t="shared" si="15"/>
        <v>Ligeiro de Passageiros M1: Geral : Híbrido Gasolina : Geral</v>
      </c>
      <c r="J263" s="430">
        <v>355.76</v>
      </c>
      <c r="K263" s="433" t="s">
        <v>630</v>
      </c>
      <c r="L263" s="426">
        <v>7712</v>
      </c>
      <c r="M263" s="427">
        <v>5</v>
      </c>
      <c r="N263" s="437">
        <f t="shared" si="13"/>
        <v>4.6130705394190867</v>
      </c>
      <c r="O263" s="421" t="s">
        <v>4732</v>
      </c>
      <c r="P263" s="445" t="s">
        <v>4701</v>
      </c>
      <c r="Q263" s="214" t="s">
        <v>1869</v>
      </c>
      <c r="R263" s="214" t="s">
        <v>1861</v>
      </c>
      <c r="S263" s="422" t="s">
        <v>1953</v>
      </c>
      <c r="T263" s="422" t="s">
        <v>2814</v>
      </c>
    </row>
    <row r="264" spans="1:20" ht="15.75" thickBot="1" x14ac:dyDescent="0.3">
      <c r="A264" t="s">
        <v>4668</v>
      </c>
      <c r="B264" s="424" t="s">
        <v>4668</v>
      </c>
      <c r="C264" s="424" t="str">
        <f t="shared" si="14"/>
        <v>X</v>
      </c>
      <c r="D264" s="390">
        <v>2023</v>
      </c>
      <c r="E264" s="425" t="s">
        <v>623</v>
      </c>
      <c r="F264" s="432" t="s">
        <v>4821</v>
      </c>
      <c r="I264" s="215" t="str">
        <f t="shared" si="15"/>
        <v>Ligeiro de Passageiros M1: Geral : Híbrido Gasolina : Geral</v>
      </c>
      <c r="J264" s="430">
        <v>1014.82</v>
      </c>
      <c r="K264" s="433" t="s">
        <v>630</v>
      </c>
      <c r="L264" s="426">
        <v>22000</v>
      </c>
      <c r="M264" s="427">
        <v>5</v>
      </c>
      <c r="N264" s="437">
        <f t="shared" si="13"/>
        <v>4.6128181818181817</v>
      </c>
      <c r="O264" s="421" t="s">
        <v>4733</v>
      </c>
      <c r="P264" s="445" t="s">
        <v>4701</v>
      </c>
      <c r="Q264" s="214" t="s">
        <v>1869</v>
      </c>
      <c r="R264" s="214" t="s">
        <v>1861</v>
      </c>
      <c r="S264" s="422" t="s">
        <v>1953</v>
      </c>
      <c r="T264" s="422" t="s">
        <v>2814</v>
      </c>
    </row>
    <row r="265" spans="1:20" ht="15.75" thickBot="1" x14ac:dyDescent="0.3">
      <c r="A265" t="s">
        <v>4668</v>
      </c>
      <c r="B265" s="424" t="s">
        <v>4668</v>
      </c>
      <c r="C265" s="424" t="str">
        <f t="shared" si="14"/>
        <v>X</v>
      </c>
      <c r="D265" s="390">
        <v>2023</v>
      </c>
      <c r="E265" s="425" t="s">
        <v>623</v>
      </c>
      <c r="F265" s="432" t="s">
        <v>4821</v>
      </c>
      <c r="I265" s="215" t="str">
        <f t="shared" si="15"/>
        <v>Ligeiro de Passageiros M1: Geral : Híbrido Gasolina : Geral</v>
      </c>
      <c r="J265" s="430">
        <v>455.28</v>
      </c>
      <c r="K265" s="433" t="s">
        <v>630</v>
      </c>
      <c r="L265" s="426">
        <v>9869</v>
      </c>
      <c r="M265" s="427">
        <v>5</v>
      </c>
      <c r="N265" s="437">
        <f t="shared" si="13"/>
        <v>4.6132333569763908</v>
      </c>
      <c r="O265" s="421" t="s">
        <v>4734</v>
      </c>
      <c r="P265" s="445" t="s">
        <v>4701</v>
      </c>
      <c r="Q265" s="214" t="s">
        <v>1869</v>
      </c>
      <c r="R265" s="214" t="s">
        <v>1861</v>
      </c>
      <c r="S265" s="422" t="s">
        <v>1953</v>
      </c>
      <c r="T265" s="422" t="s">
        <v>2814</v>
      </c>
    </row>
    <row r="266" spans="1:20" ht="15.75" thickBot="1" x14ac:dyDescent="0.3">
      <c r="A266" t="s">
        <v>4668</v>
      </c>
      <c r="B266" s="424" t="s">
        <v>4668</v>
      </c>
      <c r="C266" s="424" t="str">
        <f t="shared" si="14"/>
        <v>X</v>
      </c>
      <c r="D266" s="390">
        <v>2023</v>
      </c>
      <c r="E266" s="425" t="s">
        <v>623</v>
      </c>
      <c r="F266" s="432" t="s">
        <v>620</v>
      </c>
      <c r="I266" s="215" t="str">
        <f t="shared" si="15"/>
        <v>Ligeiro de Passageiros M1: Geral : Gasóleo : Geral</v>
      </c>
      <c r="J266" s="430">
        <v>57.17</v>
      </c>
      <c r="K266" s="433" t="s">
        <v>630</v>
      </c>
      <c r="L266" s="426">
        <v>369</v>
      </c>
      <c r="M266" s="427">
        <v>3</v>
      </c>
      <c r="N266" s="437">
        <f t="shared" si="13"/>
        <v>15.493224932249323</v>
      </c>
      <c r="O266" s="421" t="s">
        <v>4735</v>
      </c>
      <c r="P266" s="445" t="s">
        <v>4701</v>
      </c>
      <c r="Q266" s="214" t="s">
        <v>1869</v>
      </c>
      <c r="R266" s="214" t="s">
        <v>1861</v>
      </c>
      <c r="S266" s="422" t="s">
        <v>1953</v>
      </c>
      <c r="T266" s="422" t="s">
        <v>2814</v>
      </c>
    </row>
    <row r="267" spans="1:20" ht="15.75" thickBot="1" x14ac:dyDescent="0.3">
      <c r="A267" t="s">
        <v>4668</v>
      </c>
      <c r="B267" s="424" t="s">
        <v>4668</v>
      </c>
      <c r="C267" s="424" t="str">
        <f t="shared" si="14"/>
        <v>X</v>
      </c>
      <c r="D267" s="390">
        <v>2023</v>
      </c>
      <c r="E267" s="425" t="s">
        <v>623</v>
      </c>
      <c r="F267" s="432" t="s">
        <v>620</v>
      </c>
      <c r="I267" s="215" t="str">
        <f t="shared" si="15"/>
        <v>Ligeiro de Passageiros M1: Geral : Gasóleo : Geral</v>
      </c>
      <c r="J267" s="430">
        <v>59.05</v>
      </c>
      <c r="K267" s="433" t="s">
        <v>630</v>
      </c>
      <c r="L267" s="426">
        <v>364</v>
      </c>
      <c r="M267" s="427">
        <v>3</v>
      </c>
      <c r="N267" s="437">
        <f t="shared" ref="N267:N313" si="16">IFERROR(J267/L267*100,0)</f>
        <v>16.222527472527471</v>
      </c>
      <c r="O267" s="421" t="s">
        <v>4736</v>
      </c>
      <c r="P267" s="445" t="s">
        <v>4701</v>
      </c>
      <c r="Q267" s="214" t="s">
        <v>1869</v>
      </c>
      <c r="R267" s="214" t="s">
        <v>1861</v>
      </c>
      <c r="S267" s="422" t="s">
        <v>1953</v>
      </c>
      <c r="T267" s="422" t="s">
        <v>2814</v>
      </c>
    </row>
    <row r="268" spans="1:20" ht="15.75" thickBot="1" x14ac:dyDescent="0.3">
      <c r="A268" t="s">
        <v>4668</v>
      </c>
      <c r="B268" s="424" t="s">
        <v>4668</v>
      </c>
      <c r="C268" s="424" t="str">
        <f t="shared" si="14"/>
        <v>X</v>
      </c>
      <c r="D268" s="390">
        <v>2023</v>
      </c>
      <c r="E268" s="425" t="s">
        <v>623</v>
      </c>
      <c r="F268" s="432" t="s">
        <v>620</v>
      </c>
      <c r="I268" s="215" t="str">
        <f t="shared" si="15"/>
        <v>Ligeiro de Passageiros M1: Geral : Gasóleo : Geral</v>
      </c>
      <c r="J268" s="430">
        <v>331.08</v>
      </c>
      <c r="K268" s="433" t="s">
        <v>630</v>
      </c>
      <c r="L268" s="426">
        <v>2593</v>
      </c>
      <c r="M268" s="427">
        <v>2</v>
      </c>
      <c r="N268" s="437">
        <f t="shared" si="16"/>
        <v>12.768222136521404</v>
      </c>
      <c r="O268" s="421" t="s">
        <v>4737</v>
      </c>
      <c r="P268" s="445" t="s">
        <v>4701</v>
      </c>
      <c r="Q268" s="214" t="s">
        <v>1869</v>
      </c>
      <c r="R268" s="214" t="s">
        <v>1861</v>
      </c>
      <c r="S268" s="422" t="s">
        <v>1953</v>
      </c>
      <c r="T268" s="422" t="s">
        <v>2814</v>
      </c>
    </row>
    <row r="269" spans="1:20" ht="15.75" thickBot="1" x14ac:dyDescent="0.3">
      <c r="A269" t="s">
        <v>4602</v>
      </c>
      <c r="B269" s="424" t="s">
        <v>4602</v>
      </c>
      <c r="C269" s="424" t="str">
        <f t="shared" si="14"/>
        <v>X</v>
      </c>
      <c r="D269" s="390">
        <v>2023</v>
      </c>
      <c r="E269" s="425" t="s">
        <v>623</v>
      </c>
      <c r="F269" s="432" t="s">
        <v>620</v>
      </c>
      <c r="I269" s="215" t="str">
        <f t="shared" si="15"/>
        <v>Ligeiro de Passageiros M1: Geral : Gasóleo : Geral</v>
      </c>
      <c r="J269" s="430">
        <v>15280.62</v>
      </c>
      <c r="K269" s="433" t="s">
        <v>621</v>
      </c>
      <c r="L269" s="426"/>
      <c r="M269" s="427">
        <v>1</v>
      </c>
      <c r="N269" s="437">
        <f t="shared" si="16"/>
        <v>0</v>
      </c>
      <c r="O269" s="421"/>
      <c r="P269" s="445" t="s">
        <v>4705</v>
      </c>
      <c r="Q269" s="214" t="s">
        <v>1872</v>
      </c>
      <c r="R269" s="214" t="s">
        <v>1871</v>
      </c>
      <c r="S269" s="422" t="s">
        <v>1953</v>
      </c>
      <c r="T269" s="422" t="s">
        <v>2814</v>
      </c>
    </row>
    <row r="270" spans="1:20" ht="15.75" thickBot="1" x14ac:dyDescent="0.3">
      <c r="A270" t="s">
        <v>4602</v>
      </c>
      <c r="B270" s="424" t="s">
        <v>4602</v>
      </c>
      <c r="C270" s="424" t="str">
        <f t="shared" si="14"/>
        <v>X</v>
      </c>
      <c r="D270" s="390">
        <v>2023</v>
      </c>
      <c r="E270" s="425" t="s">
        <v>623</v>
      </c>
      <c r="F270" s="432" t="s">
        <v>620</v>
      </c>
      <c r="I270" s="215" t="str">
        <f t="shared" si="15"/>
        <v>Ligeiro de Passageiros M1: Geral : Gasóleo : Geral</v>
      </c>
      <c r="J270" s="430">
        <v>12377.400000000001</v>
      </c>
      <c r="K270" s="433" t="s">
        <v>621</v>
      </c>
      <c r="L270" s="426">
        <v>125503</v>
      </c>
      <c r="M270" s="427">
        <v>5</v>
      </c>
      <c r="N270" s="437">
        <f t="shared" si="16"/>
        <v>9.8622343688995482</v>
      </c>
      <c r="O270" s="421"/>
      <c r="P270" s="445" t="s">
        <v>4706</v>
      </c>
      <c r="Q270" s="214" t="s">
        <v>1872</v>
      </c>
      <c r="R270" s="214" t="s">
        <v>1871</v>
      </c>
      <c r="S270" s="422" t="s">
        <v>1953</v>
      </c>
      <c r="T270" s="422" t="s">
        <v>2814</v>
      </c>
    </row>
    <row r="271" spans="1:20" ht="15.75" thickBot="1" x14ac:dyDescent="0.3">
      <c r="A271" t="s">
        <v>4602</v>
      </c>
      <c r="B271" s="424" t="s">
        <v>4602</v>
      </c>
      <c r="C271" s="424" t="str">
        <f t="shared" si="14"/>
        <v>X</v>
      </c>
      <c r="D271" s="390">
        <v>2023</v>
      </c>
      <c r="E271" s="425" t="s">
        <v>624</v>
      </c>
      <c r="F271" s="432" t="s">
        <v>620</v>
      </c>
      <c r="I271" s="215" t="str">
        <f t="shared" si="15"/>
        <v>Ligeiro de Mercadorias N1: Geral : Gasóleo : Geral</v>
      </c>
      <c r="J271" s="430">
        <v>10081.07</v>
      </c>
      <c r="K271" s="433" t="s">
        <v>621</v>
      </c>
      <c r="L271" s="426">
        <v>162109</v>
      </c>
      <c r="M271" s="427">
        <v>2</v>
      </c>
      <c r="N271" s="437">
        <f t="shared" si="16"/>
        <v>6.2186985300014186</v>
      </c>
      <c r="O271" s="421"/>
      <c r="P271" s="445" t="s">
        <v>4706</v>
      </c>
      <c r="Q271" s="214" t="s">
        <v>1872</v>
      </c>
      <c r="R271" s="214" t="s">
        <v>1871</v>
      </c>
      <c r="S271" s="422" t="s">
        <v>1953</v>
      </c>
      <c r="T271" s="422" t="s">
        <v>2814</v>
      </c>
    </row>
    <row r="272" spans="1:20" ht="15.75" thickBot="1" x14ac:dyDescent="0.3">
      <c r="A272" t="s">
        <v>4581</v>
      </c>
      <c r="B272" s="424" t="s">
        <v>4581</v>
      </c>
      <c r="C272" s="424" t="str">
        <f t="shared" si="14"/>
        <v>X</v>
      </c>
      <c r="D272" s="390">
        <v>2023</v>
      </c>
      <c r="E272" s="425" t="s">
        <v>624</v>
      </c>
      <c r="F272" s="432" t="s">
        <v>620</v>
      </c>
      <c r="H272" s="422" t="s">
        <v>734</v>
      </c>
      <c r="I272" s="215" t="str">
        <f t="shared" si="15"/>
        <v>Ligeiro de Mercadorias N1: Geral : Gasóleo : E5</v>
      </c>
      <c r="J272" s="430">
        <v>792.83</v>
      </c>
      <c r="K272" s="433" t="s">
        <v>630</v>
      </c>
      <c r="L272" s="426">
        <v>17579</v>
      </c>
      <c r="M272" s="427">
        <v>1</v>
      </c>
      <c r="N272" s="437">
        <f t="shared" si="16"/>
        <v>4.5100972751578583</v>
      </c>
      <c r="O272" s="421"/>
      <c r="P272" s="445" t="s">
        <v>4701</v>
      </c>
      <c r="Q272" s="214" t="s">
        <v>1869</v>
      </c>
      <c r="R272" s="214" t="s">
        <v>1861</v>
      </c>
      <c r="S272" s="422" t="s">
        <v>1953</v>
      </c>
      <c r="T272" s="422" t="s">
        <v>2814</v>
      </c>
    </row>
    <row r="273" spans="1:20" ht="15.75" thickBot="1" x14ac:dyDescent="0.3">
      <c r="A273" t="s">
        <v>4581</v>
      </c>
      <c r="B273" s="424" t="s">
        <v>4581</v>
      </c>
      <c r="C273" s="424" t="str">
        <f t="shared" si="14"/>
        <v>X</v>
      </c>
      <c r="D273" s="390">
        <v>2023</v>
      </c>
      <c r="E273" s="425" t="s">
        <v>624</v>
      </c>
      <c r="F273" s="432" t="s">
        <v>620</v>
      </c>
      <c r="H273" s="422" t="s">
        <v>734</v>
      </c>
      <c r="I273" s="215" t="str">
        <f t="shared" si="15"/>
        <v>Ligeiro de Mercadorias N1: Geral : Gasóleo : E5</v>
      </c>
      <c r="J273" s="430">
        <v>760.23</v>
      </c>
      <c r="K273" s="433" t="s">
        <v>630</v>
      </c>
      <c r="L273" s="426">
        <v>12837</v>
      </c>
      <c r="M273" s="427">
        <v>1</v>
      </c>
      <c r="N273" s="437">
        <f t="shared" si="16"/>
        <v>5.9221780789904184</v>
      </c>
      <c r="O273" s="421"/>
      <c r="P273" s="445" t="s">
        <v>4701</v>
      </c>
      <c r="Q273" s="214" t="s">
        <v>1869</v>
      </c>
      <c r="R273" s="214" t="s">
        <v>1861</v>
      </c>
      <c r="S273" s="422" t="s">
        <v>1953</v>
      </c>
      <c r="T273" s="422" t="s">
        <v>2814</v>
      </c>
    </row>
    <row r="274" spans="1:20" ht="15.75" thickBot="1" x14ac:dyDescent="0.3">
      <c r="A274" t="s">
        <v>4581</v>
      </c>
      <c r="B274" s="424" t="s">
        <v>4581</v>
      </c>
      <c r="C274" s="424" t="str">
        <f t="shared" si="14"/>
        <v>X</v>
      </c>
      <c r="D274" s="390">
        <v>2023</v>
      </c>
      <c r="E274" s="425" t="s">
        <v>624</v>
      </c>
      <c r="F274" s="432" t="s">
        <v>620</v>
      </c>
      <c r="H274" s="422" t="s">
        <v>734</v>
      </c>
      <c r="I274" s="215" t="str">
        <f t="shared" si="15"/>
        <v>Ligeiro de Mercadorias N1: Geral : Gasóleo : E5</v>
      </c>
      <c r="J274" s="430">
        <v>518.81999999999994</v>
      </c>
      <c r="K274" s="433" t="s">
        <v>630</v>
      </c>
      <c r="L274" s="426">
        <v>9623</v>
      </c>
      <c r="M274" s="427">
        <v>1</v>
      </c>
      <c r="N274" s="437">
        <f t="shared" si="16"/>
        <v>5.3914579652914885</v>
      </c>
      <c r="O274" s="421"/>
      <c r="P274" s="445" t="s">
        <v>4701</v>
      </c>
      <c r="Q274" s="214" t="s">
        <v>1869</v>
      </c>
      <c r="R274" s="214" t="s">
        <v>1861</v>
      </c>
      <c r="S274" s="422" t="s">
        <v>1953</v>
      </c>
      <c r="T274" s="422" t="s">
        <v>2814</v>
      </c>
    </row>
    <row r="275" spans="1:20" ht="15.75" thickBot="1" x14ac:dyDescent="0.3">
      <c r="A275" t="s">
        <v>4673</v>
      </c>
      <c r="B275" s="424" t="s">
        <v>4673</v>
      </c>
      <c r="C275" s="424" t="str">
        <f t="shared" si="14"/>
        <v>X</v>
      </c>
      <c r="D275" s="390">
        <v>2023</v>
      </c>
      <c r="E275" s="425" t="s">
        <v>624</v>
      </c>
      <c r="F275" s="432" t="s">
        <v>620</v>
      </c>
      <c r="H275" t="s">
        <v>734</v>
      </c>
      <c r="I275" s="215" t="str">
        <f t="shared" si="15"/>
        <v>Ligeiro de Mercadorias N1: Geral : Gasóleo : E5</v>
      </c>
      <c r="J275" s="430">
        <v>743.67</v>
      </c>
      <c r="K275" s="433" t="s">
        <v>630</v>
      </c>
      <c r="L275" s="426">
        <v>11481</v>
      </c>
      <c r="M275" s="427">
        <v>1</v>
      </c>
      <c r="N275" s="437">
        <f t="shared" si="16"/>
        <v>6.4773974392474525</v>
      </c>
      <c r="O275" s="421"/>
      <c r="P275" s="445" t="s">
        <v>4701</v>
      </c>
      <c r="Q275" s="214" t="s">
        <v>1869</v>
      </c>
      <c r="R275" s="214" t="s">
        <v>1861</v>
      </c>
      <c r="S275" s="422" t="s">
        <v>1953</v>
      </c>
      <c r="T275" s="422" t="s">
        <v>2814</v>
      </c>
    </row>
    <row r="276" spans="1:20" ht="15.75" thickBot="1" x14ac:dyDescent="0.3">
      <c r="A276" t="s">
        <v>4673</v>
      </c>
      <c r="B276" s="424" t="s">
        <v>4673</v>
      </c>
      <c r="C276" s="424" t="str">
        <f t="shared" si="14"/>
        <v>X</v>
      </c>
      <c r="D276" s="390">
        <v>2023</v>
      </c>
      <c r="E276" s="425" t="s">
        <v>623</v>
      </c>
      <c r="F276" s="432" t="s">
        <v>620</v>
      </c>
      <c r="H276" s="426" t="s">
        <v>733</v>
      </c>
      <c r="I276" s="215" t="str">
        <f t="shared" si="15"/>
        <v>Ligeiro de Passageiros M1: Geral : Gasóleo : E6</v>
      </c>
      <c r="J276" s="430">
        <v>713.33</v>
      </c>
      <c r="K276" s="433" t="s">
        <v>630</v>
      </c>
      <c r="L276" s="426"/>
      <c r="M276" s="427">
        <v>1</v>
      </c>
      <c r="N276" s="437">
        <f t="shared" si="16"/>
        <v>0</v>
      </c>
      <c r="O276" s="421"/>
      <c r="P276" s="445" t="s">
        <v>4701</v>
      </c>
      <c r="Q276" s="214" t="s">
        <v>1869</v>
      </c>
      <c r="R276" s="214" t="s">
        <v>1861</v>
      </c>
      <c r="S276" s="422" t="s">
        <v>1953</v>
      </c>
      <c r="T276" s="422" t="s">
        <v>2814</v>
      </c>
    </row>
    <row r="277" spans="1:20" ht="15.75" thickBot="1" x14ac:dyDescent="0.3">
      <c r="A277" t="s">
        <v>4673</v>
      </c>
      <c r="B277" s="424" t="s">
        <v>4673</v>
      </c>
      <c r="C277" s="424" t="str">
        <f t="shared" si="14"/>
        <v>X</v>
      </c>
      <c r="D277" s="390">
        <v>2023</v>
      </c>
      <c r="E277" s="425" t="s">
        <v>623</v>
      </c>
      <c r="F277" s="432" t="s">
        <v>620</v>
      </c>
      <c r="H277" s="426" t="s">
        <v>733</v>
      </c>
      <c r="I277" s="215" t="str">
        <f t="shared" si="15"/>
        <v>Ligeiro de Passageiros M1: Geral : Gasóleo : E6</v>
      </c>
      <c r="J277" s="430">
        <v>873</v>
      </c>
      <c r="K277" s="433" t="s">
        <v>630</v>
      </c>
      <c r="L277" s="426">
        <v>10820</v>
      </c>
      <c r="M277" s="427">
        <v>1</v>
      </c>
      <c r="N277" s="437">
        <f t="shared" si="16"/>
        <v>8.0683918669131245</v>
      </c>
      <c r="O277" s="421"/>
      <c r="P277" s="445" t="s">
        <v>4701</v>
      </c>
      <c r="Q277" s="214" t="s">
        <v>1869</v>
      </c>
      <c r="R277" s="214" t="s">
        <v>1861</v>
      </c>
      <c r="S277" s="422" t="s">
        <v>1953</v>
      </c>
      <c r="T277" s="422" t="s">
        <v>2814</v>
      </c>
    </row>
    <row r="278" spans="1:20" ht="15.75" thickBot="1" x14ac:dyDescent="0.3">
      <c r="A278" t="s">
        <v>4673</v>
      </c>
      <c r="B278" s="424" t="s">
        <v>4673</v>
      </c>
      <c r="C278" s="424" t="str">
        <f t="shared" si="14"/>
        <v>X</v>
      </c>
      <c r="D278" s="390">
        <v>2023</v>
      </c>
      <c r="E278" s="425" t="s">
        <v>623</v>
      </c>
      <c r="F278" s="432" t="s">
        <v>620</v>
      </c>
      <c r="H278" s="426" t="s">
        <v>733</v>
      </c>
      <c r="I278" s="215" t="str">
        <f t="shared" si="15"/>
        <v>Ligeiro de Passageiros M1: Geral : Gasóleo : E6</v>
      </c>
      <c r="J278" s="430">
        <v>1067.7</v>
      </c>
      <c r="K278" s="433" t="s">
        <v>630</v>
      </c>
      <c r="L278" s="426">
        <v>14895</v>
      </c>
      <c r="M278" s="427">
        <v>1</v>
      </c>
      <c r="N278" s="437">
        <f t="shared" si="16"/>
        <v>7.1681772406847939</v>
      </c>
      <c r="O278" s="421"/>
      <c r="P278" s="445" t="s">
        <v>4701</v>
      </c>
      <c r="Q278" s="214" t="s">
        <v>1869</v>
      </c>
      <c r="R278" s="214" t="s">
        <v>1861</v>
      </c>
      <c r="S278" s="422" t="s">
        <v>1953</v>
      </c>
      <c r="T278" s="422" t="s">
        <v>2814</v>
      </c>
    </row>
    <row r="279" spans="1:20" ht="15.75" thickBot="1" x14ac:dyDescent="0.3">
      <c r="A279" t="s">
        <v>4601</v>
      </c>
      <c r="B279" s="424" t="s">
        <v>4601</v>
      </c>
      <c r="C279" s="424" t="str">
        <f t="shared" si="14"/>
        <v>X</v>
      </c>
      <c r="D279" s="390">
        <v>2023</v>
      </c>
      <c r="E279" s="425" t="s">
        <v>623</v>
      </c>
      <c r="F279" s="432" t="s">
        <v>620</v>
      </c>
      <c r="I279" s="215" t="str">
        <f t="shared" si="15"/>
        <v>Ligeiro de Passageiros M1: Geral : Gasóleo : Geral</v>
      </c>
      <c r="J279" s="430">
        <v>454.52</v>
      </c>
      <c r="K279" s="433" t="s">
        <v>630</v>
      </c>
      <c r="L279" s="433">
        <v>7922</v>
      </c>
      <c r="M279" s="427">
        <v>5</v>
      </c>
      <c r="N279" s="437">
        <f t="shared" si="16"/>
        <v>5.7374400403938397</v>
      </c>
      <c r="O279" s="433"/>
      <c r="P279" s="429" t="s">
        <v>3805</v>
      </c>
      <c r="Q279" s="214" t="s">
        <v>1869</v>
      </c>
      <c r="R279" s="214" t="s">
        <v>1861</v>
      </c>
      <c r="S279" s="422" t="s">
        <v>1953</v>
      </c>
      <c r="T279" s="422" t="s">
        <v>2814</v>
      </c>
    </row>
    <row r="280" spans="1:20" ht="15.75" thickBot="1" x14ac:dyDescent="0.3">
      <c r="A280" t="s">
        <v>4601</v>
      </c>
      <c r="B280" s="424" t="s">
        <v>4601</v>
      </c>
      <c r="C280" s="424" t="str">
        <f t="shared" si="14"/>
        <v>X</v>
      </c>
      <c r="D280" s="390">
        <v>2023</v>
      </c>
      <c r="E280" s="425" t="s">
        <v>623</v>
      </c>
      <c r="F280" s="432" t="s">
        <v>620</v>
      </c>
      <c r="I280" s="215" t="str">
        <f t="shared" si="15"/>
        <v>Ligeiro de Passageiros M1: Geral : Gasóleo : Geral</v>
      </c>
      <c r="J280" s="430">
        <v>918.25</v>
      </c>
      <c r="K280" s="433" t="s">
        <v>630</v>
      </c>
      <c r="L280" s="433">
        <v>9414</v>
      </c>
      <c r="M280" s="427">
        <v>6</v>
      </c>
      <c r="N280" s="437">
        <f t="shared" si="16"/>
        <v>9.7540896537072452</v>
      </c>
      <c r="O280" s="433"/>
      <c r="P280" s="429" t="s">
        <v>3806</v>
      </c>
      <c r="Q280" s="214" t="s">
        <v>1869</v>
      </c>
      <c r="R280" s="214" t="s">
        <v>1861</v>
      </c>
      <c r="S280" s="422" t="s">
        <v>1953</v>
      </c>
      <c r="T280" s="422" t="s">
        <v>2814</v>
      </c>
    </row>
    <row r="281" spans="1:20" ht="15.75" thickBot="1" x14ac:dyDescent="0.3">
      <c r="A281" t="s">
        <v>4600</v>
      </c>
      <c r="B281" s="424" t="s">
        <v>4600</v>
      </c>
      <c r="C281" s="424" t="str">
        <f t="shared" si="14"/>
        <v>X</v>
      </c>
      <c r="D281" s="390">
        <v>2023</v>
      </c>
      <c r="E281" s="425" t="s">
        <v>623</v>
      </c>
      <c r="F281" s="432" t="s">
        <v>620</v>
      </c>
      <c r="I281" s="215" t="str">
        <f t="shared" si="15"/>
        <v>Ligeiro de Passageiros M1: Geral : Gasóleo : Geral</v>
      </c>
      <c r="J281" s="430">
        <v>916.96</v>
      </c>
      <c r="K281" s="433" t="s">
        <v>621</v>
      </c>
      <c r="L281" s="435">
        <v>6595</v>
      </c>
      <c r="M281" s="427">
        <v>2</v>
      </c>
      <c r="N281" s="437">
        <f t="shared" si="16"/>
        <v>13.903866565579987</v>
      </c>
      <c r="O281" s="433"/>
      <c r="P281" s="429" t="s">
        <v>4817</v>
      </c>
      <c r="Q281" s="214" t="s">
        <v>1869</v>
      </c>
      <c r="R281" s="214" t="s">
        <v>1861</v>
      </c>
      <c r="S281" s="422" t="s">
        <v>1953</v>
      </c>
      <c r="T281" s="422" t="s">
        <v>2814</v>
      </c>
    </row>
    <row r="282" spans="1:20" ht="15.75" thickBot="1" x14ac:dyDescent="0.3">
      <c r="A282" t="s">
        <v>4600</v>
      </c>
      <c r="B282" s="424" t="s">
        <v>4600</v>
      </c>
      <c r="C282" s="424" t="str">
        <f t="shared" si="14"/>
        <v>X</v>
      </c>
      <c r="D282" s="390">
        <v>2023</v>
      </c>
      <c r="E282" s="425" t="s">
        <v>623</v>
      </c>
      <c r="F282" s="432" t="s">
        <v>620</v>
      </c>
      <c r="I282" s="215" t="str">
        <f t="shared" si="15"/>
        <v>Ligeiro de Passageiros M1: Geral : Gasóleo : Geral</v>
      </c>
      <c r="J282" s="430">
        <v>1243.6199999999999</v>
      </c>
      <c r="K282" s="433" t="s">
        <v>621</v>
      </c>
      <c r="L282" s="435">
        <v>9767</v>
      </c>
      <c r="M282" s="427">
        <v>5</v>
      </c>
      <c r="N282" s="437">
        <f t="shared" si="16"/>
        <v>12.732876011057643</v>
      </c>
      <c r="O282" s="433"/>
      <c r="P282" s="429" t="s">
        <v>4818</v>
      </c>
      <c r="Q282" s="214" t="s">
        <v>1869</v>
      </c>
      <c r="R282" s="214" t="s">
        <v>1861</v>
      </c>
      <c r="S282" s="422" t="s">
        <v>1953</v>
      </c>
      <c r="T282" s="422" t="s">
        <v>2814</v>
      </c>
    </row>
    <row r="283" spans="1:20" ht="15.75" thickBot="1" x14ac:dyDescent="0.3">
      <c r="A283" t="s">
        <v>4600</v>
      </c>
      <c r="B283" s="424" t="s">
        <v>4600</v>
      </c>
      <c r="C283" s="424" t="str">
        <f t="shared" si="14"/>
        <v>X</v>
      </c>
      <c r="D283" s="390">
        <v>2023</v>
      </c>
      <c r="E283" s="425" t="s">
        <v>2824</v>
      </c>
      <c r="F283" s="432" t="s">
        <v>620</v>
      </c>
      <c r="I283" s="377" t="s">
        <v>1864</v>
      </c>
      <c r="J283" s="430"/>
      <c r="K283" s="433" t="s">
        <v>621</v>
      </c>
      <c r="L283" s="435"/>
      <c r="M283" s="427">
        <v>7</v>
      </c>
      <c r="N283" s="437">
        <f t="shared" si="16"/>
        <v>0</v>
      </c>
      <c r="O283" s="437" t="s">
        <v>3849</v>
      </c>
      <c r="P283" s="429" t="s">
        <v>4819</v>
      </c>
      <c r="Q283" s="214" t="s">
        <v>1872</v>
      </c>
      <c r="R283" s="214" t="s">
        <v>1871</v>
      </c>
      <c r="S283" s="422" t="s">
        <v>1953</v>
      </c>
      <c r="T283" s="422" t="s">
        <v>2814</v>
      </c>
    </row>
    <row r="284" spans="1:20" ht="15.75" thickBot="1" x14ac:dyDescent="0.3">
      <c r="A284" t="s">
        <v>4600</v>
      </c>
      <c r="B284" s="424" t="s">
        <v>4600</v>
      </c>
      <c r="C284" s="424" t="str">
        <f t="shared" si="14"/>
        <v>X</v>
      </c>
      <c r="D284" s="390">
        <v>2023</v>
      </c>
      <c r="E284" s="425" t="s">
        <v>2824</v>
      </c>
      <c r="F284" s="432" t="s">
        <v>620</v>
      </c>
      <c r="G284" s="422"/>
      <c r="I284" s="377" t="s">
        <v>1864</v>
      </c>
      <c r="J284" s="430">
        <v>106.1</v>
      </c>
      <c r="K284" s="433" t="s">
        <v>621</v>
      </c>
      <c r="L284" s="435">
        <v>514</v>
      </c>
      <c r="M284" s="427">
        <v>2</v>
      </c>
      <c r="N284" s="437">
        <f t="shared" si="16"/>
        <v>20.6420233463035</v>
      </c>
      <c r="O284" s="437" t="s">
        <v>3850</v>
      </c>
      <c r="P284" s="429" t="s">
        <v>4820</v>
      </c>
      <c r="Q284" s="214" t="s">
        <v>1872</v>
      </c>
      <c r="R284" s="214" t="s">
        <v>1871</v>
      </c>
      <c r="S284" s="422" t="s">
        <v>1953</v>
      </c>
      <c r="T284" s="422" t="s">
        <v>2814</v>
      </c>
    </row>
    <row r="285" spans="1:20" ht="15.75" thickBot="1" x14ac:dyDescent="0.3">
      <c r="A285" t="s">
        <v>4580</v>
      </c>
      <c r="B285" s="424" t="s">
        <v>4580</v>
      </c>
      <c r="C285" s="424" t="str">
        <f t="shared" si="14"/>
        <v>X</v>
      </c>
      <c r="D285" s="390">
        <v>2023</v>
      </c>
      <c r="E285" s="425" t="s">
        <v>623</v>
      </c>
      <c r="F285" s="432" t="s">
        <v>620</v>
      </c>
      <c r="G285" s="422"/>
      <c r="H285" s="422"/>
      <c r="I285" s="215" t="str">
        <f t="shared" ref="I285:I313" si="17">IF(H285="",E285&amp;": Geral : "&amp;F285&amp;" : Geral",E285&amp;": Geral : "&amp;F285&amp;" : "&amp;H285)</f>
        <v>Ligeiro de Passageiros M1: Geral : Gasóleo : Geral</v>
      </c>
      <c r="J285" s="430">
        <v>530.92999999999995</v>
      </c>
      <c r="K285" s="429" t="s">
        <v>630</v>
      </c>
      <c r="L285" s="429">
        <v>9238</v>
      </c>
      <c r="M285" s="427">
        <v>5</v>
      </c>
      <c r="N285" s="437">
        <f t="shared" si="16"/>
        <v>5.7472396622645592</v>
      </c>
      <c r="O285" s="421"/>
      <c r="P285" s="429" t="s">
        <v>4701</v>
      </c>
      <c r="Q285" s="214" t="s">
        <v>1869</v>
      </c>
      <c r="R285" s="214" t="s">
        <v>1861</v>
      </c>
      <c r="S285" s="422" t="s">
        <v>1953</v>
      </c>
      <c r="T285" s="422" t="s">
        <v>2814</v>
      </c>
    </row>
    <row r="286" spans="1:20" ht="15.75" thickBot="1" x14ac:dyDescent="0.3">
      <c r="A286" s="424" t="s">
        <v>3471</v>
      </c>
      <c r="B286" t="s">
        <v>45</v>
      </c>
      <c r="C286" s="424" t="str">
        <f t="shared" si="14"/>
        <v>Estremadura</v>
      </c>
      <c r="D286" s="390">
        <v>2023</v>
      </c>
      <c r="E286" s="425" t="s">
        <v>624</v>
      </c>
      <c r="F286" s="432" t="s">
        <v>620</v>
      </c>
      <c r="G286" s="422"/>
      <c r="I286" s="215" t="str">
        <f t="shared" si="17"/>
        <v>Ligeiro de Mercadorias N1: Geral : Gasóleo : Geral</v>
      </c>
      <c r="J286" s="430">
        <v>675.01199999999994</v>
      </c>
      <c r="K286" s="427" t="s">
        <v>630</v>
      </c>
      <c r="L286" s="426">
        <v>5970</v>
      </c>
      <c r="N286" s="437">
        <f t="shared" si="16"/>
        <v>11.306733668341709</v>
      </c>
      <c r="O286" s="440">
        <v>10</v>
      </c>
      <c r="P286" s="429" t="s">
        <v>4701</v>
      </c>
      <c r="Q286" s="214" t="s">
        <v>1869</v>
      </c>
      <c r="R286" s="214" t="s">
        <v>1861</v>
      </c>
      <c r="S286" s="422" t="s">
        <v>1953</v>
      </c>
      <c r="T286" s="422" t="s">
        <v>2814</v>
      </c>
    </row>
    <row r="287" spans="1:20" ht="15.75" thickBot="1" x14ac:dyDescent="0.3">
      <c r="A287" s="424" t="s">
        <v>3474</v>
      </c>
      <c r="B287" t="s">
        <v>45</v>
      </c>
      <c r="C287" s="424" t="str">
        <f t="shared" si="14"/>
        <v>Boa Viagem</v>
      </c>
      <c r="D287" s="390">
        <v>2023</v>
      </c>
      <c r="E287" s="425" t="s">
        <v>624</v>
      </c>
      <c r="F287" s="432" t="s">
        <v>620</v>
      </c>
      <c r="G287" s="422"/>
      <c r="I287" s="215" t="str">
        <f t="shared" si="17"/>
        <v>Ligeiro de Mercadorias N1: Geral : Gasóleo : Geral</v>
      </c>
      <c r="J287" s="430">
        <v>327.33999999999997</v>
      </c>
      <c r="K287" s="427" t="s">
        <v>630</v>
      </c>
      <c r="L287" s="426">
        <v>6294</v>
      </c>
      <c r="N287" s="437">
        <f t="shared" si="16"/>
        <v>5.200826183666984</v>
      </c>
      <c r="O287" s="440">
        <v>56</v>
      </c>
      <c r="P287" s="429" t="s">
        <v>4701</v>
      </c>
      <c r="Q287" s="214" t="s">
        <v>1869</v>
      </c>
      <c r="R287" s="214" t="s">
        <v>1861</v>
      </c>
      <c r="S287" s="422" t="s">
        <v>1953</v>
      </c>
      <c r="T287" s="422" t="s">
        <v>2814</v>
      </c>
    </row>
    <row r="288" spans="1:20" ht="15.75" thickBot="1" x14ac:dyDescent="0.3">
      <c r="A288" s="424" t="s">
        <v>3471</v>
      </c>
      <c r="B288" t="s">
        <v>45</v>
      </c>
      <c r="C288" s="424" t="str">
        <f t="shared" si="14"/>
        <v>Estremadura</v>
      </c>
      <c r="D288" s="390">
        <v>2023</v>
      </c>
      <c r="E288" s="425" t="s">
        <v>624</v>
      </c>
      <c r="F288" s="432" t="s">
        <v>620</v>
      </c>
      <c r="G288" s="422"/>
      <c r="I288" s="215" t="str">
        <f t="shared" si="17"/>
        <v>Ligeiro de Mercadorias N1: Geral : Gasóleo : Geral</v>
      </c>
      <c r="J288" s="430">
        <v>1687.59</v>
      </c>
      <c r="K288" s="427" t="s">
        <v>630</v>
      </c>
      <c r="L288" s="426">
        <v>22754</v>
      </c>
      <c r="N288" s="437">
        <f t="shared" si="16"/>
        <v>7.4166739913861299</v>
      </c>
      <c r="O288" s="440">
        <v>66</v>
      </c>
      <c r="P288" s="429" t="s">
        <v>4701</v>
      </c>
      <c r="Q288" s="214" t="s">
        <v>1869</v>
      </c>
      <c r="R288" s="214" t="s">
        <v>1861</v>
      </c>
      <c r="S288" s="422" t="s">
        <v>1953</v>
      </c>
      <c r="T288" s="422" t="s">
        <v>2814</v>
      </c>
    </row>
    <row r="289" spans="1:20" ht="15.75" thickBot="1" x14ac:dyDescent="0.3">
      <c r="A289" s="424" t="s">
        <v>3479</v>
      </c>
      <c r="B289" t="s">
        <v>45</v>
      </c>
      <c r="C289" s="424" t="str">
        <f t="shared" si="14"/>
        <v>Esevel</v>
      </c>
      <c r="D289" s="390">
        <v>2023</v>
      </c>
      <c r="E289" s="425" t="s">
        <v>624</v>
      </c>
      <c r="F289" s="432" t="s">
        <v>620</v>
      </c>
      <c r="G289" s="422"/>
      <c r="I289" s="215" t="str">
        <f t="shared" si="17"/>
        <v>Ligeiro de Mercadorias N1: Geral : Gasóleo : Geral</v>
      </c>
      <c r="J289" s="430">
        <v>2281.665</v>
      </c>
      <c r="K289" s="427" t="s">
        <v>630</v>
      </c>
      <c r="L289" s="426">
        <v>18111</v>
      </c>
      <c r="N289" s="437">
        <f t="shared" si="16"/>
        <v>12.598227596488321</v>
      </c>
      <c r="O289" s="440">
        <v>9</v>
      </c>
      <c r="P289" s="429" t="s">
        <v>4701</v>
      </c>
      <c r="Q289" s="214" t="s">
        <v>1869</v>
      </c>
      <c r="R289" s="214" t="s">
        <v>1861</v>
      </c>
      <c r="S289" s="422" t="s">
        <v>1953</v>
      </c>
      <c r="T289" s="422" t="s">
        <v>2814</v>
      </c>
    </row>
    <row r="290" spans="1:20" ht="15.75" thickBot="1" x14ac:dyDescent="0.3">
      <c r="A290" s="424" t="s">
        <v>3473</v>
      </c>
      <c r="B290" t="s">
        <v>45</v>
      </c>
      <c r="C290" s="424" t="str">
        <f t="shared" si="14"/>
        <v>Barraqueiro Oeste</v>
      </c>
      <c r="D290" s="390">
        <v>2023</v>
      </c>
      <c r="E290" s="425" t="s">
        <v>624</v>
      </c>
      <c r="F290" s="432" t="s">
        <v>620</v>
      </c>
      <c r="G290" s="422"/>
      <c r="I290" s="215" t="str">
        <f t="shared" si="17"/>
        <v>Ligeiro de Mercadorias N1: Geral : Gasóleo : Geral</v>
      </c>
      <c r="J290" s="430">
        <v>367.01</v>
      </c>
      <c r="K290" s="427" t="s">
        <v>630</v>
      </c>
      <c r="L290" s="426">
        <v>4267</v>
      </c>
      <c r="N290" s="437">
        <f t="shared" si="16"/>
        <v>8.6011249121162408</v>
      </c>
      <c r="O290" s="440">
        <v>34</v>
      </c>
      <c r="P290" s="429" t="s">
        <v>4701</v>
      </c>
      <c r="Q290" s="214" t="s">
        <v>1869</v>
      </c>
      <c r="R290" s="214" t="s">
        <v>1861</v>
      </c>
      <c r="S290" s="422" t="s">
        <v>1953</v>
      </c>
      <c r="T290" s="422" t="s">
        <v>2814</v>
      </c>
    </row>
    <row r="291" spans="1:20" ht="15.75" thickBot="1" x14ac:dyDescent="0.3">
      <c r="A291" s="424" t="s">
        <v>45</v>
      </c>
      <c r="B291" s="424" t="s">
        <v>45</v>
      </c>
      <c r="C291" s="424" t="str">
        <f t="shared" si="14"/>
        <v>X</v>
      </c>
      <c r="D291" s="390">
        <v>2023</v>
      </c>
      <c r="E291" s="425" t="s">
        <v>624</v>
      </c>
      <c r="F291" s="432" t="s">
        <v>620</v>
      </c>
      <c r="G291" s="422"/>
      <c r="I291" s="215" t="str">
        <f t="shared" si="17"/>
        <v>Ligeiro de Mercadorias N1: Geral : Gasóleo : Geral</v>
      </c>
      <c r="J291" s="430">
        <v>5338.6170000000002</v>
      </c>
      <c r="K291" s="427" t="s">
        <v>630</v>
      </c>
      <c r="L291" s="426">
        <v>57396</v>
      </c>
      <c r="N291" s="437">
        <f t="shared" si="16"/>
        <v>9.3013746602550693</v>
      </c>
      <c r="O291" s="421"/>
      <c r="P291" s="429" t="s">
        <v>4701</v>
      </c>
      <c r="Q291" s="214" t="s">
        <v>1869</v>
      </c>
      <c r="R291" s="214" t="s">
        <v>1861</v>
      </c>
      <c r="S291" s="422" t="s">
        <v>1953</v>
      </c>
      <c r="T291" s="422" t="s">
        <v>2814</v>
      </c>
    </row>
    <row r="292" spans="1:20" ht="15.75" thickBot="1" x14ac:dyDescent="0.3">
      <c r="A292" s="424" t="s">
        <v>3478</v>
      </c>
      <c r="B292" t="s">
        <v>45</v>
      </c>
      <c r="C292" s="424" t="str">
        <f t="shared" si="14"/>
        <v>Sede</v>
      </c>
      <c r="D292" s="390">
        <v>2023</v>
      </c>
      <c r="E292" s="425" t="s">
        <v>623</v>
      </c>
      <c r="F292" s="432" t="s">
        <v>620</v>
      </c>
      <c r="G292" s="422"/>
      <c r="H292" s="426" t="s">
        <v>733</v>
      </c>
      <c r="I292" s="215" t="str">
        <f t="shared" si="17"/>
        <v>Ligeiro de Passageiros M1: Geral : Gasóleo : E6</v>
      </c>
      <c r="J292" s="430">
        <v>1159.1199999999999</v>
      </c>
      <c r="K292" s="427" t="s">
        <v>630</v>
      </c>
      <c r="L292" s="426">
        <v>19882</v>
      </c>
      <c r="N292" s="437">
        <f t="shared" si="16"/>
        <v>5.8299969821949498</v>
      </c>
      <c r="O292" s="440">
        <v>1</v>
      </c>
      <c r="P292" s="445" t="s">
        <v>4704</v>
      </c>
      <c r="Q292" s="214" t="s">
        <v>1869</v>
      </c>
      <c r="R292" s="214" t="s">
        <v>1861</v>
      </c>
      <c r="S292" s="422" t="s">
        <v>1953</v>
      </c>
      <c r="T292" s="422" t="s">
        <v>2814</v>
      </c>
    </row>
    <row r="293" spans="1:20" ht="15.75" thickBot="1" x14ac:dyDescent="0.3">
      <c r="A293" s="424" t="s">
        <v>3478</v>
      </c>
      <c r="B293" t="s">
        <v>45</v>
      </c>
      <c r="C293" s="424" t="str">
        <f t="shared" si="14"/>
        <v>Sede</v>
      </c>
      <c r="D293" s="390">
        <v>2023</v>
      </c>
      <c r="E293" s="425" t="s">
        <v>623</v>
      </c>
      <c r="F293" s="432" t="s">
        <v>620</v>
      </c>
      <c r="G293" s="422"/>
      <c r="H293" s="426" t="s">
        <v>733</v>
      </c>
      <c r="I293" s="215" t="str">
        <f t="shared" si="17"/>
        <v>Ligeiro de Passageiros M1: Geral : Gasóleo : E6</v>
      </c>
      <c r="J293" s="430">
        <v>1564.41</v>
      </c>
      <c r="K293" s="427" t="s">
        <v>630</v>
      </c>
      <c r="L293" s="426">
        <v>25782</v>
      </c>
      <c r="N293" s="437">
        <f t="shared" si="16"/>
        <v>6.0678380265301373</v>
      </c>
      <c r="O293" s="440">
        <v>61</v>
      </c>
      <c r="P293" s="445" t="s">
        <v>4704</v>
      </c>
      <c r="Q293" s="214" t="s">
        <v>1869</v>
      </c>
      <c r="R293" s="214" t="s">
        <v>1861</v>
      </c>
      <c r="S293" s="422" t="s">
        <v>1953</v>
      </c>
      <c r="T293" s="422" t="s">
        <v>2814</v>
      </c>
    </row>
    <row r="294" spans="1:20" ht="15.75" thickBot="1" x14ac:dyDescent="0.3">
      <c r="A294" s="424" t="s">
        <v>3478</v>
      </c>
      <c r="B294" t="s">
        <v>45</v>
      </c>
      <c r="C294" s="424" t="str">
        <f t="shared" si="14"/>
        <v>Sede</v>
      </c>
      <c r="D294" s="390">
        <v>2023</v>
      </c>
      <c r="E294" s="425" t="s">
        <v>623</v>
      </c>
      <c r="F294" s="432" t="s">
        <v>620</v>
      </c>
      <c r="G294" s="422"/>
      <c r="H294" s="426" t="s">
        <v>733</v>
      </c>
      <c r="I294" s="215" t="str">
        <f t="shared" si="17"/>
        <v>Ligeiro de Passageiros M1: Geral : Gasóleo : E6</v>
      </c>
      <c r="J294" s="430">
        <v>1932.54</v>
      </c>
      <c r="K294" s="427" t="s">
        <v>630</v>
      </c>
      <c r="L294" s="426">
        <v>26660</v>
      </c>
      <c r="N294" s="437">
        <f t="shared" si="16"/>
        <v>7.2488372093023248</v>
      </c>
      <c r="O294" s="440">
        <v>84</v>
      </c>
      <c r="P294" s="445" t="s">
        <v>4704</v>
      </c>
      <c r="Q294" s="214" t="s">
        <v>1869</v>
      </c>
      <c r="R294" s="214" t="s">
        <v>1861</v>
      </c>
      <c r="S294" s="422" t="s">
        <v>1953</v>
      </c>
      <c r="T294" s="422" t="s">
        <v>2814</v>
      </c>
    </row>
    <row r="295" spans="1:20" ht="15.75" thickBot="1" x14ac:dyDescent="0.3">
      <c r="A295" s="424" t="s">
        <v>3478</v>
      </c>
      <c r="B295" t="s">
        <v>45</v>
      </c>
      <c r="C295" s="424" t="str">
        <f t="shared" si="14"/>
        <v>Sede</v>
      </c>
      <c r="D295" s="390">
        <v>2023</v>
      </c>
      <c r="E295" s="425" t="s">
        <v>623</v>
      </c>
      <c r="F295" s="432" t="s">
        <v>620</v>
      </c>
      <c r="G295" s="422"/>
      <c r="H295" s="426" t="s">
        <v>733</v>
      </c>
      <c r="I295" s="215" t="str">
        <f t="shared" si="17"/>
        <v>Ligeiro de Passageiros M1: Geral : Gasóleo : E6</v>
      </c>
      <c r="J295" s="430">
        <v>1557.65</v>
      </c>
      <c r="K295" s="427" t="s">
        <v>630</v>
      </c>
      <c r="L295" s="426">
        <v>25716</v>
      </c>
      <c r="N295" s="437">
        <f t="shared" si="16"/>
        <v>6.0571239695131434</v>
      </c>
      <c r="O295" s="440">
        <v>69</v>
      </c>
      <c r="P295" s="445" t="s">
        <v>4704</v>
      </c>
      <c r="Q295" s="214" t="s">
        <v>1869</v>
      </c>
      <c r="R295" s="214" t="s">
        <v>1861</v>
      </c>
      <c r="S295" s="422" t="s">
        <v>1953</v>
      </c>
      <c r="T295" s="422" t="s">
        <v>2814</v>
      </c>
    </row>
    <row r="296" spans="1:20" ht="15.75" thickBot="1" x14ac:dyDescent="0.3">
      <c r="A296" s="424" t="s">
        <v>3478</v>
      </c>
      <c r="B296" t="s">
        <v>45</v>
      </c>
      <c r="C296" s="424" t="str">
        <f t="shared" ref="C296:C311" si="18">IF(A296=B296,"X",RIGHT(A296,LEN(A296)-LEN(B296)-3))</f>
        <v>Sede</v>
      </c>
      <c r="D296" s="390">
        <v>2023</v>
      </c>
      <c r="E296" s="425" t="s">
        <v>623</v>
      </c>
      <c r="F296" s="432" t="s">
        <v>620</v>
      </c>
      <c r="G296" s="422"/>
      <c r="H296" s="426" t="s">
        <v>733</v>
      </c>
      <c r="I296" s="215" t="str">
        <f t="shared" si="17"/>
        <v>Ligeiro de Passageiros M1: Geral : Gasóleo : E6</v>
      </c>
      <c r="J296" s="426">
        <v>3518.82</v>
      </c>
      <c r="K296" s="427" t="s">
        <v>630</v>
      </c>
      <c r="L296" s="426">
        <v>45733</v>
      </c>
      <c r="N296" s="437">
        <f t="shared" si="16"/>
        <v>7.6942689086655154</v>
      </c>
      <c r="O296" s="440">
        <v>18</v>
      </c>
      <c r="P296" s="445" t="s">
        <v>4704</v>
      </c>
      <c r="Q296" s="214" t="s">
        <v>1869</v>
      </c>
      <c r="R296" s="214" t="s">
        <v>1861</v>
      </c>
      <c r="S296" s="422" t="s">
        <v>1953</v>
      </c>
      <c r="T296" s="422" t="s">
        <v>2814</v>
      </c>
    </row>
    <row r="297" spans="1:20" ht="15.75" thickBot="1" x14ac:dyDescent="0.3">
      <c r="A297" s="424" t="s">
        <v>3478</v>
      </c>
      <c r="B297" t="s">
        <v>45</v>
      </c>
      <c r="C297" s="424" t="str">
        <f t="shared" si="18"/>
        <v>Sede</v>
      </c>
      <c r="D297" s="390">
        <v>2023</v>
      </c>
      <c r="E297" s="425" t="s">
        <v>623</v>
      </c>
      <c r="F297" s="432" t="s">
        <v>620</v>
      </c>
      <c r="G297" s="422"/>
      <c r="H297" s="426" t="s">
        <v>733</v>
      </c>
      <c r="I297" s="215" t="str">
        <f t="shared" si="17"/>
        <v>Ligeiro de Passageiros M1: Geral : Gasóleo : E6</v>
      </c>
      <c r="J297" s="426">
        <v>742.08</v>
      </c>
      <c r="K297" s="427" t="s">
        <v>630</v>
      </c>
      <c r="L297" s="426">
        <v>10339</v>
      </c>
      <c r="N297" s="437">
        <f t="shared" si="16"/>
        <v>7.1774833156011226</v>
      </c>
      <c r="O297" s="440">
        <v>70</v>
      </c>
      <c r="P297" s="445" t="s">
        <v>4704</v>
      </c>
      <c r="Q297" s="214" t="s">
        <v>1869</v>
      </c>
      <c r="R297" s="214" t="s">
        <v>1861</v>
      </c>
      <c r="S297" s="422" t="s">
        <v>1953</v>
      </c>
      <c r="T297" s="422" t="s">
        <v>2814</v>
      </c>
    </row>
    <row r="298" spans="1:20" ht="15.75" thickBot="1" x14ac:dyDescent="0.3">
      <c r="A298" s="424" t="s">
        <v>3471</v>
      </c>
      <c r="B298" t="s">
        <v>45</v>
      </c>
      <c r="C298" s="424" t="str">
        <f t="shared" si="18"/>
        <v>Estremadura</v>
      </c>
      <c r="D298" s="390">
        <v>2023</v>
      </c>
      <c r="E298" s="425" t="s">
        <v>623</v>
      </c>
      <c r="F298" s="432" t="s">
        <v>4821</v>
      </c>
      <c r="G298" s="422"/>
      <c r="H298" s="426"/>
      <c r="I298" s="215" t="str">
        <f t="shared" si="17"/>
        <v>Ligeiro de Passageiros M1: Geral : Híbrido Gasolina : Geral</v>
      </c>
      <c r="J298" s="426">
        <v>3022.81</v>
      </c>
      <c r="K298" s="427" t="s">
        <v>630</v>
      </c>
      <c r="L298" s="426">
        <v>46757</v>
      </c>
      <c r="N298" s="437">
        <f t="shared" si="16"/>
        <v>6.4649357315482172</v>
      </c>
      <c r="O298" s="440">
        <v>24</v>
      </c>
      <c r="P298" s="445" t="s">
        <v>4704</v>
      </c>
      <c r="Q298" s="214" t="s">
        <v>1869</v>
      </c>
      <c r="R298" s="214" t="s">
        <v>1861</v>
      </c>
      <c r="S298" s="422" t="s">
        <v>1953</v>
      </c>
      <c r="T298" s="422" t="s">
        <v>2814</v>
      </c>
    </row>
    <row r="299" spans="1:20" ht="15.75" thickBot="1" x14ac:dyDescent="0.3">
      <c r="A299" s="424" t="s">
        <v>3473</v>
      </c>
      <c r="B299" t="s">
        <v>45</v>
      </c>
      <c r="C299" s="424" t="str">
        <f t="shared" si="18"/>
        <v>Barraqueiro Oeste</v>
      </c>
      <c r="D299" s="390">
        <v>2023</v>
      </c>
      <c r="E299" s="425" t="s">
        <v>623</v>
      </c>
      <c r="F299" s="432" t="s">
        <v>620</v>
      </c>
      <c r="G299" s="422"/>
      <c r="H299" s="426" t="s">
        <v>733</v>
      </c>
      <c r="I299" s="215" t="str">
        <f t="shared" si="17"/>
        <v>Ligeiro de Passageiros M1: Geral : Gasóleo : E6</v>
      </c>
      <c r="J299" s="426">
        <v>349.61</v>
      </c>
      <c r="K299" s="427" t="s">
        <v>630</v>
      </c>
      <c r="L299" s="426">
        <v>5361</v>
      </c>
      <c r="N299" s="437">
        <f t="shared" si="16"/>
        <v>6.5213579556052972</v>
      </c>
      <c r="O299" s="440">
        <v>57</v>
      </c>
      <c r="P299" s="445" t="s">
        <v>4704</v>
      </c>
      <c r="Q299" s="214" t="s">
        <v>1869</v>
      </c>
      <c r="R299" s="214" t="s">
        <v>1861</v>
      </c>
      <c r="S299" s="422" t="s">
        <v>1953</v>
      </c>
      <c r="T299" s="422" t="s">
        <v>2814</v>
      </c>
    </row>
    <row r="300" spans="1:20" ht="15.75" thickBot="1" x14ac:dyDescent="0.3">
      <c r="A300" s="424" t="s">
        <v>3473</v>
      </c>
      <c r="B300" t="s">
        <v>45</v>
      </c>
      <c r="C300" s="424" t="str">
        <f t="shared" si="18"/>
        <v>Barraqueiro Oeste</v>
      </c>
      <c r="D300" s="390">
        <v>2023</v>
      </c>
      <c r="E300" s="425" t="s">
        <v>623</v>
      </c>
      <c r="F300" s="432" t="s">
        <v>620</v>
      </c>
      <c r="G300" s="422"/>
      <c r="H300" s="426" t="s">
        <v>733</v>
      </c>
      <c r="I300" s="215" t="str">
        <f t="shared" si="17"/>
        <v>Ligeiro de Passageiros M1: Geral : Gasóleo : E6</v>
      </c>
      <c r="J300" s="426">
        <v>1649.27</v>
      </c>
      <c r="K300" s="427" t="s">
        <v>630</v>
      </c>
      <c r="L300" s="426">
        <v>24615</v>
      </c>
      <c r="N300" s="437">
        <f t="shared" si="16"/>
        <v>6.7002640666260413</v>
      </c>
      <c r="O300" s="440">
        <v>5</v>
      </c>
      <c r="P300" s="445" t="s">
        <v>4704</v>
      </c>
      <c r="Q300" s="214" t="s">
        <v>1869</v>
      </c>
      <c r="R300" s="214" t="s">
        <v>1861</v>
      </c>
      <c r="S300" s="422" t="s">
        <v>1953</v>
      </c>
      <c r="T300" s="422" t="s">
        <v>2814</v>
      </c>
    </row>
    <row r="301" spans="1:20" ht="15.75" thickBot="1" x14ac:dyDescent="0.3">
      <c r="A301" s="424" t="s">
        <v>3473</v>
      </c>
      <c r="B301" t="s">
        <v>45</v>
      </c>
      <c r="C301" s="424" t="str">
        <f t="shared" si="18"/>
        <v>Barraqueiro Oeste</v>
      </c>
      <c r="D301" s="390">
        <v>2023</v>
      </c>
      <c r="E301" s="425" t="s">
        <v>623</v>
      </c>
      <c r="F301" s="432" t="s">
        <v>620</v>
      </c>
      <c r="G301" s="422"/>
      <c r="H301" s="426" t="s">
        <v>733</v>
      </c>
      <c r="I301" s="215" t="str">
        <f t="shared" si="17"/>
        <v>Ligeiro de Passageiros M1: Geral : Gasóleo : E6</v>
      </c>
      <c r="J301" s="426">
        <v>1077.3499999999999</v>
      </c>
      <c r="K301" s="427" t="s">
        <v>630</v>
      </c>
      <c r="L301" s="426">
        <v>14472</v>
      </c>
      <c r="N301" s="437">
        <f t="shared" si="16"/>
        <v>7.4443753454947483</v>
      </c>
      <c r="O301" s="440">
        <v>48</v>
      </c>
      <c r="P301" s="445" t="s">
        <v>4704</v>
      </c>
      <c r="Q301" s="214" t="s">
        <v>1869</v>
      </c>
      <c r="R301" s="214" t="s">
        <v>1861</v>
      </c>
      <c r="S301" s="422" t="s">
        <v>1953</v>
      </c>
      <c r="T301" s="422" t="s">
        <v>2814</v>
      </c>
    </row>
    <row r="302" spans="1:20" ht="15.75" thickBot="1" x14ac:dyDescent="0.3">
      <c r="A302" s="424" t="s">
        <v>3474</v>
      </c>
      <c r="B302" t="s">
        <v>45</v>
      </c>
      <c r="C302" s="424" t="str">
        <f t="shared" si="18"/>
        <v>Boa Viagem</v>
      </c>
      <c r="D302" s="390">
        <v>2023</v>
      </c>
      <c r="E302" s="425" t="s">
        <v>623</v>
      </c>
      <c r="F302" s="432" t="s">
        <v>620</v>
      </c>
      <c r="G302" s="422"/>
      <c r="H302" s="426" t="s">
        <v>733</v>
      </c>
      <c r="I302" s="215" t="str">
        <f t="shared" si="17"/>
        <v>Ligeiro de Passageiros M1: Geral : Gasóleo : E6</v>
      </c>
      <c r="J302" s="426">
        <v>1727.1</v>
      </c>
      <c r="K302" s="427" t="s">
        <v>630</v>
      </c>
      <c r="L302" s="426">
        <v>24114</v>
      </c>
      <c r="N302" s="437">
        <f t="shared" si="16"/>
        <v>7.1622294103010704</v>
      </c>
      <c r="O302" s="440">
        <v>23</v>
      </c>
      <c r="P302" s="445" t="s">
        <v>4704</v>
      </c>
      <c r="Q302" s="214" t="s">
        <v>1869</v>
      </c>
      <c r="R302" s="214" t="s">
        <v>1861</v>
      </c>
      <c r="S302" s="422" t="s">
        <v>1953</v>
      </c>
      <c r="T302" s="422" t="s">
        <v>2814</v>
      </c>
    </row>
    <row r="303" spans="1:20" ht="15.75" thickBot="1" x14ac:dyDescent="0.3">
      <c r="A303" s="424" t="s">
        <v>3474</v>
      </c>
      <c r="B303" t="s">
        <v>45</v>
      </c>
      <c r="C303" s="424" t="str">
        <f t="shared" si="18"/>
        <v>Boa Viagem</v>
      </c>
      <c r="D303" s="390">
        <v>2023</v>
      </c>
      <c r="E303" s="425" t="s">
        <v>623</v>
      </c>
      <c r="F303" s="432" t="s">
        <v>620</v>
      </c>
      <c r="G303" s="422"/>
      <c r="H303" s="426" t="s">
        <v>733</v>
      </c>
      <c r="I303" s="215" t="str">
        <f t="shared" si="17"/>
        <v>Ligeiro de Passageiros M1: Geral : Gasóleo : E6</v>
      </c>
      <c r="J303" s="426">
        <v>1768.08</v>
      </c>
      <c r="K303" s="427" t="s">
        <v>630</v>
      </c>
      <c r="L303" s="426">
        <v>24746</v>
      </c>
      <c r="N303" s="437">
        <f t="shared" si="16"/>
        <v>7.1449123090600501</v>
      </c>
      <c r="O303" s="440">
        <v>19</v>
      </c>
      <c r="P303" s="445" t="s">
        <v>4704</v>
      </c>
      <c r="Q303" s="214" t="s">
        <v>1869</v>
      </c>
      <c r="R303" s="214" t="s">
        <v>1861</v>
      </c>
      <c r="S303" s="422" t="s">
        <v>1953</v>
      </c>
      <c r="T303" s="422" t="s">
        <v>2814</v>
      </c>
    </row>
    <row r="304" spans="1:20" ht="15.75" thickBot="1" x14ac:dyDescent="0.3">
      <c r="A304" s="424" t="s">
        <v>3470</v>
      </c>
      <c r="B304" t="s">
        <v>45</v>
      </c>
      <c r="C304" s="424" t="str">
        <f t="shared" si="18"/>
        <v>Mafrense</v>
      </c>
      <c r="D304" s="390">
        <v>2023</v>
      </c>
      <c r="E304" s="425" t="s">
        <v>623</v>
      </c>
      <c r="F304" s="432" t="s">
        <v>620</v>
      </c>
      <c r="G304" s="422"/>
      <c r="H304" s="426" t="s">
        <v>733</v>
      </c>
      <c r="I304" s="215" t="str">
        <f t="shared" si="17"/>
        <v>Ligeiro de Passageiros M1: Geral : Gasóleo : E6</v>
      </c>
      <c r="J304" s="426">
        <v>1570.28</v>
      </c>
      <c r="K304" s="427" t="s">
        <v>630</v>
      </c>
      <c r="L304" s="426">
        <v>14788</v>
      </c>
      <c r="N304" s="437">
        <f t="shared" si="16"/>
        <v>10.618609683527184</v>
      </c>
      <c r="O304" s="440">
        <v>65</v>
      </c>
      <c r="P304" s="445" t="s">
        <v>4704</v>
      </c>
      <c r="Q304" s="214" t="s">
        <v>1869</v>
      </c>
      <c r="R304" s="214" t="s">
        <v>1861</v>
      </c>
      <c r="S304" s="422" t="s">
        <v>1953</v>
      </c>
      <c r="T304" s="422" t="s">
        <v>2814</v>
      </c>
    </row>
    <row r="305" spans="1:20" ht="15.75" thickBot="1" x14ac:dyDescent="0.3">
      <c r="A305" s="424" t="s">
        <v>3472</v>
      </c>
      <c r="B305" t="s">
        <v>45</v>
      </c>
      <c r="C305" s="424" t="str">
        <f t="shared" si="18"/>
        <v>Frota Azul</v>
      </c>
      <c r="D305" s="390">
        <v>2023</v>
      </c>
      <c r="E305" s="425" t="s">
        <v>623</v>
      </c>
      <c r="F305" s="432" t="s">
        <v>620</v>
      </c>
      <c r="G305" s="422"/>
      <c r="H305" s="426" t="s">
        <v>733</v>
      </c>
      <c r="I305" s="215" t="str">
        <f t="shared" si="17"/>
        <v>Ligeiro de Passageiros M1: Geral : Gasóleo : E6</v>
      </c>
      <c r="J305" s="426">
        <v>1201.24</v>
      </c>
      <c r="K305" s="427" t="s">
        <v>630</v>
      </c>
      <c r="L305" s="426">
        <v>14545</v>
      </c>
      <c r="N305" s="437">
        <f t="shared" si="16"/>
        <v>8.2587830869714676</v>
      </c>
      <c r="O305" s="440">
        <v>4</v>
      </c>
      <c r="P305" s="445" t="s">
        <v>4704</v>
      </c>
      <c r="Q305" s="214" t="s">
        <v>1869</v>
      </c>
      <c r="R305" s="214" t="s">
        <v>1861</v>
      </c>
      <c r="S305" s="422" t="s">
        <v>1953</v>
      </c>
      <c r="T305" s="422" t="s">
        <v>2814</v>
      </c>
    </row>
    <row r="306" spans="1:20" ht="15.75" thickBot="1" x14ac:dyDescent="0.3">
      <c r="A306" s="424" t="s">
        <v>3479</v>
      </c>
      <c r="B306" t="s">
        <v>45</v>
      </c>
      <c r="C306" s="424" t="str">
        <f t="shared" si="18"/>
        <v>Esevel</v>
      </c>
      <c r="D306" s="390">
        <v>2023</v>
      </c>
      <c r="E306" s="425" t="s">
        <v>623</v>
      </c>
      <c r="F306" s="432" t="s">
        <v>4821</v>
      </c>
      <c r="G306" s="422"/>
      <c r="H306" s="426"/>
      <c r="I306" s="215" t="str">
        <f t="shared" si="17"/>
        <v>Ligeiro de Passageiros M1: Geral : Híbrido Gasolina : Geral</v>
      </c>
      <c r="J306" s="426">
        <v>2749.63</v>
      </c>
      <c r="K306" s="427" t="s">
        <v>630</v>
      </c>
      <c r="L306" s="426">
        <v>36286</v>
      </c>
      <c r="N306" s="437">
        <f t="shared" si="16"/>
        <v>7.5776608058204271</v>
      </c>
      <c r="O306" s="440">
        <v>41</v>
      </c>
      <c r="P306" s="445" t="s">
        <v>4704</v>
      </c>
      <c r="Q306" s="214" t="s">
        <v>1869</v>
      </c>
      <c r="R306" s="214" t="s">
        <v>1861</v>
      </c>
      <c r="S306" s="422" t="s">
        <v>1953</v>
      </c>
      <c r="T306" s="422" t="s">
        <v>2814</v>
      </c>
    </row>
    <row r="307" spans="1:20" ht="15.75" thickBot="1" x14ac:dyDescent="0.3">
      <c r="A307" s="424" t="s">
        <v>3278</v>
      </c>
      <c r="B307" t="s">
        <v>45</v>
      </c>
      <c r="C307" s="424" t="str">
        <f t="shared" si="18"/>
        <v>Barraqueiro Alugueres</v>
      </c>
      <c r="D307" s="390">
        <v>2023</v>
      </c>
      <c r="E307" s="425" t="s">
        <v>623</v>
      </c>
      <c r="F307" s="432" t="s">
        <v>620</v>
      </c>
      <c r="G307" s="422"/>
      <c r="H307" s="426" t="s">
        <v>733</v>
      </c>
      <c r="I307" s="215" t="str">
        <f t="shared" si="17"/>
        <v>Ligeiro de Passageiros M1: Geral : Gasóleo : E6</v>
      </c>
      <c r="J307" s="426">
        <v>1617.08</v>
      </c>
      <c r="K307" s="427" t="s">
        <v>630</v>
      </c>
      <c r="L307" s="426">
        <v>22835</v>
      </c>
      <c r="N307" s="437">
        <f t="shared" si="16"/>
        <v>7.0815852857455663</v>
      </c>
      <c r="O307" s="440">
        <v>2</v>
      </c>
      <c r="P307" s="445" t="s">
        <v>4704</v>
      </c>
      <c r="Q307" s="214" t="s">
        <v>1869</v>
      </c>
      <c r="R307" s="214" t="s">
        <v>1861</v>
      </c>
      <c r="S307" s="422" t="s">
        <v>1953</v>
      </c>
      <c r="T307" s="422" t="s">
        <v>2814</v>
      </c>
    </row>
    <row r="308" spans="1:20" ht="15.75" thickBot="1" x14ac:dyDescent="0.3">
      <c r="A308" s="424" t="s">
        <v>3278</v>
      </c>
      <c r="B308" t="s">
        <v>45</v>
      </c>
      <c r="C308" s="424" t="str">
        <f t="shared" si="18"/>
        <v>Barraqueiro Alugueres</v>
      </c>
      <c r="D308" s="390">
        <v>2023</v>
      </c>
      <c r="E308" s="425" t="s">
        <v>623</v>
      </c>
      <c r="F308" s="432" t="s">
        <v>620</v>
      </c>
      <c r="G308" s="422"/>
      <c r="H308" s="426" t="s">
        <v>733</v>
      </c>
      <c r="I308" s="215" t="str">
        <f t="shared" si="17"/>
        <v>Ligeiro de Passageiros M1: Geral : Gasóleo : E6</v>
      </c>
      <c r="J308" s="426">
        <v>2369.0700000000002</v>
      </c>
      <c r="K308" s="427" t="s">
        <v>630</v>
      </c>
      <c r="L308" s="426">
        <v>32381</v>
      </c>
      <c r="N308" s="437">
        <f t="shared" si="16"/>
        <v>7.3162348290664285</v>
      </c>
      <c r="O308" s="440">
        <v>40</v>
      </c>
      <c r="P308" s="445" t="s">
        <v>4704</v>
      </c>
      <c r="Q308" s="214" t="s">
        <v>1869</v>
      </c>
      <c r="R308" s="214" t="s">
        <v>1861</v>
      </c>
      <c r="S308" s="422" t="s">
        <v>1953</v>
      </c>
      <c r="T308" s="422" t="s">
        <v>2814</v>
      </c>
    </row>
    <row r="309" spans="1:20" ht="15.75" thickBot="1" x14ac:dyDescent="0.3">
      <c r="A309" s="424" t="s">
        <v>3278</v>
      </c>
      <c r="B309" t="s">
        <v>45</v>
      </c>
      <c r="C309" s="424" t="str">
        <f t="shared" si="18"/>
        <v>Barraqueiro Alugueres</v>
      </c>
      <c r="D309" s="390">
        <v>2023</v>
      </c>
      <c r="E309" s="425" t="s">
        <v>623</v>
      </c>
      <c r="F309" s="432" t="s">
        <v>620</v>
      </c>
      <c r="G309" s="422"/>
      <c r="H309" s="426" t="s">
        <v>733</v>
      </c>
      <c r="I309" s="215" t="str">
        <f t="shared" si="17"/>
        <v>Ligeiro de Passageiros M1: Geral : Gasóleo : E6</v>
      </c>
      <c r="J309" s="426">
        <v>1352.38</v>
      </c>
      <c r="K309" s="427" t="s">
        <v>630</v>
      </c>
      <c r="L309" s="426">
        <v>17426</v>
      </c>
      <c r="N309" s="437">
        <f t="shared" si="16"/>
        <v>7.7607023987145656</v>
      </c>
      <c r="O309" s="440">
        <v>5047</v>
      </c>
      <c r="P309" s="445" t="s">
        <v>4704</v>
      </c>
      <c r="Q309" s="214" t="s">
        <v>1869</v>
      </c>
      <c r="R309" s="214" t="s">
        <v>1861</v>
      </c>
      <c r="S309" s="422" t="s">
        <v>1953</v>
      </c>
      <c r="T309" s="422" t="s">
        <v>2814</v>
      </c>
    </row>
    <row r="310" spans="1:20" ht="15.75" thickBot="1" x14ac:dyDescent="0.3">
      <c r="A310" s="424" t="s">
        <v>45</v>
      </c>
      <c r="B310" s="424" t="s">
        <v>45</v>
      </c>
      <c r="C310" s="424" t="str">
        <f t="shared" si="18"/>
        <v>X</v>
      </c>
      <c r="D310" s="390">
        <v>2023</v>
      </c>
      <c r="E310" s="425" t="s">
        <v>623</v>
      </c>
      <c r="F310" s="432" t="s">
        <v>620</v>
      </c>
      <c r="G310" s="422"/>
      <c r="H310" s="426" t="s">
        <v>733</v>
      </c>
      <c r="I310" s="215" t="str">
        <f t="shared" si="17"/>
        <v>Ligeiro de Passageiros M1: Geral : Gasóleo : E6</v>
      </c>
      <c r="J310" s="426">
        <v>25156.080000000002</v>
      </c>
      <c r="K310" s="427" t="s">
        <v>630</v>
      </c>
      <c r="L310" s="426">
        <v>349395</v>
      </c>
      <c r="N310" s="437">
        <f t="shared" si="16"/>
        <v>7.1998969647533588</v>
      </c>
      <c r="O310" s="421"/>
      <c r="P310" s="445" t="s">
        <v>4704</v>
      </c>
      <c r="Q310" s="214" t="s">
        <v>1869</v>
      </c>
      <c r="R310" s="214" t="s">
        <v>1861</v>
      </c>
      <c r="S310" s="422" t="s">
        <v>1953</v>
      </c>
      <c r="T310" s="422" t="s">
        <v>2814</v>
      </c>
    </row>
    <row r="311" spans="1:20" ht="15.75" thickBot="1" x14ac:dyDescent="0.3">
      <c r="A311" s="424" t="s">
        <v>45</v>
      </c>
      <c r="B311" s="424" t="s">
        <v>45</v>
      </c>
      <c r="C311" s="424" t="str">
        <f t="shared" si="18"/>
        <v>X</v>
      </c>
      <c r="D311" s="390">
        <v>2023</v>
      </c>
      <c r="E311" s="425" t="s">
        <v>623</v>
      </c>
      <c r="F311" s="432" t="s">
        <v>4821</v>
      </c>
      <c r="G311" s="422"/>
      <c r="H311" s="426"/>
      <c r="I311" s="215" t="str">
        <f t="shared" si="17"/>
        <v>Ligeiro de Passageiros M1: Geral : Híbrido Gasolina : Geral</v>
      </c>
      <c r="J311" s="426">
        <v>5772.4400000000005</v>
      </c>
      <c r="K311" s="427" t="s">
        <v>630</v>
      </c>
      <c r="L311" s="426">
        <v>83043</v>
      </c>
      <c r="N311" s="437">
        <f t="shared" si="16"/>
        <v>6.9511457919391155</v>
      </c>
      <c r="O311" s="421"/>
      <c r="P311" s="445" t="s">
        <v>4704</v>
      </c>
      <c r="Q311" s="214" t="s">
        <v>1869</v>
      </c>
      <c r="R311" s="214" t="s">
        <v>1861</v>
      </c>
      <c r="S311" s="422" t="s">
        <v>1953</v>
      </c>
      <c r="T311" s="422" t="s">
        <v>2814</v>
      </c>
    </row>
    <row r="312" spans="1:20" ht="11.25" customHeight="1" thickBot="1" x14ac:dyDescent="0.3">
      <c r="A312" s="424" t="s">
        <v>6582</v>
      </c>
      <c r="B312" s="424" t="s">
        <v>6582</v>
      </c>
      <c r="C312" t="s">
        <v>1950</v>
      </c>
      <c r="D312" s="390">
        <v>2023</v>
      </c>
      <c r="E312" s="425" t="s">
        <v>623</v>
      </c>
      <c r="F312" s="432" t="s">
        <v>620</v>
      </c>
      <c r="G312" s="422"/>
      <c r="H312" s="432" t="s">
        <v>733</v>
      </c>
      <c r="I312" s="215" t="str">
        <f t="shared" si="17"/>
        <v>Ligeiro de Passageiros M1: Geral : Gasóleo : E6</v>
      </c>
      <c r="J312" s="446">
        <v>2296.37</v>
      </c>
      <c r="K312" s="427" t="s">
        <v>630</v>
      </c>
      <c r="L312">
        <v>40930</v>
      </c>
      <c r="M312" s="89">
        <v>5</v>
      </c>
      <c r="N312" s="437">
        <f t="shared" si="16"/>
        <v>5.6104813095528954</v>
      </c>
      <c r="O312" s="682"/>
      <c r="P312" s="445" t="s">
        <v>4704</v>
      </c>
      <c r="Q312" s="214" t="s">
        <v>1869</v>
      </c>
      <c r="R312" s="214" t="s">
        <v>1861</v>
      </c>
      <c r="S312" s="422" t="s">
        <v>1953</v>
      </c>
      <c r="T312" s="422" t="s">
        <v>2814</v>
      </c>
    </row>
    <row r="313" spans="1:20" ht="15.75" thickBot="1" x14ac:dyDescent="0.3">
      <c r="A313" s="424" t="s">
        <v>6582</v>
      </c>
      <c r="B313" s="424" t="s">
        <v>6582</v>
      </c>
      <c r="C313" t="s">
        <v>1950</v>
      </c>
      <c r="D313" s="390">
        <v>2023</v>
      </c>
      <c r="E313" s="425" t="s">
        <v>624</v>
      </c>
      <c r="F313" s="432" t="s">
        <v>620</v>
      </c>
      <c r="H313" s="433" t="s">
        <v>732</v>
      </c>
      <c r="I313" s="215" t="str">
        <f t="shared" si="17"/>
        <v>Ligeiro de Mercadorias N1: Geral : Gasóleo : E3</v>
      </c>
      <c r="J313" s="446">
        <v>2343.02</v>
      </c>
      <c r="K313" s="427" t="s">
        <v>630</v>
      </c>
      <c r="L313">
        <v>30765</v>
      </c>
      <c r="M313" s="89">
        <v>2</v>
      </c>
      <c r="N313" s="437">
        <f t="shared" si="16"/>
        <v>7.6158621810498941</v>
      </c>
      <c r="O313" s="682"/>
      <c r="P313" s="445" t="s">
        <v>4704</v>
      </c>
      <c r="Q313" s="214" t="s">
        <v>1869</v>
      </c>
      <c r="R313" s="214" t="s">
        <v>1861</v>
      </c>
      <c r="S313" s="422" t="s">
        <v>1953</v>
      </c>
      <c r="T313" s="422" t="s">
        <v>2814</v>
      </c>
    </row>
  </sheetData>
  <mergeCells count="16">
    <mergeCell ref="S1:S2"/>
    <mergeCell ref="T1:T2"/>
    <mergeCell ref="A1:A2"/>
    <mergeCell ref="C1:C2"/>
    <mergeCell ref="Q1:Q2"/>
    <mergeCell ref="R1:R2"/>
    <mergeCell ref="B1:B2"/>
    <mergeCell ref="E1:E2"/>
    <mergeCell ref="F1:F2"/>
    <mergeCell ref="J1:J2"/>
    <mergeCell ref="K1:K2"/>
    <mergeCell ref="L1:L2"/>
    <mergeCell ref="M1:M2"/>
    <mergeCell ref="N1:N2"/>
    <mergeCell ref="P1:P2"/>
    <mergeCell ref="O1:O2"/>
  </mergeCells>
  <dataValidations count="4">
    <dataValidation type="list" allowBlank="1" showInputMessage="1" showErrorMessage="1" sqref="K3:K21 K85:K131 K286:K313 K272:K284">
      <formula1>"l (litros), kg (quilos), Nm3 (metros cubicos norm.), € (euros)"</formula1>
    </dataValidation>
    <dataValidation type="list" allowBlank="1" showInputMessage="1" showErrorMessage="1" sqref="E3:E129 E224:E238 E272:E313">
      <formula1>"Pesado de Passageiros M3, Pesado de Passageiros M2, Ligeiro de Passageiros M1, Pesado de Mercadorias N3, Pesado de Mercadorias N2, Ligeiro de Mercadorias N1, Misto"</formula1>
    </dataValidation>
    <dataValidation type="list" allowBlank="1" showInputMessage="1" showErrorMessage="1" sqref="F3:H21 F125 F127:F129 F138 F224:F238 F299:F305 F307:F310 F272:F297 F312:F313">
      <formula1>"Gasóleo, Gasolina, GPL, GNC, GNV, Butano, Propano, H2"</formula1>
    </dataValidation>
    <dataValidation type="list" allowBlank="1" showInputMessage="1" showErrorMessage="1" sqref="P224:P238 P272:P278 P114:P142 P285:P291">
      <formula1>"Frota Não-Operacional, Frota de Apoio à Produção"</formula1>
    </dataValidation>
  </dataValidations>
  <pageMargins left="0.7" right="0.7" top="0.75" bottom="0.75" header="0.3" footer="0.3"/>
  <customProperties>
    <customPr name="GUID" r:id="rId1"/>
  </customProperti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5"/>
  <dimension ref="B6:V46"/>
  <sheetViews>
    <sheetView workbookViewId="0"/>
  </sheetViews>
  <sheetFormatPr defaultRowHeight="15" x14ac:dyDescent="0.25"/>
  <cols>
    <col min="2" max="2" width="48" customWidth="1"/>
    <col min="3" max="3" width="28.5703125" customWidth="1"/>
    <col min="4" max="7" width="21.5703125" customWidth="1"/>
    <col min="8" max="9" width="28.28515625" customWidth="1"/>
    <col min="10" max="10" width="31.5703125" customWidth="1"/>
    <col min="11" max="12" width="28.28515625" customWidth="1"/>
  </cols>
  <sheetData>
    <row r="6" spans="2:22" ht="15.75" thickBot="1" x14ac:dyDescent="0.3"/>
    <row r="7" spans="2:22" x14ac:dyDescent="0.25">
      <c r="B7" s="78" t="s">
        <v>118</v>
      </c>
      <c r="C7" s="80"/>
    </row>
    <row r="9" spans="2:22" x14ac:dyDescent="0.25">
      <c r="B9" s="765" t="str">
        <f>"Grupo Barraqueiro: "&amp;'Folha de Rosto'!C6&amp;" "&amp;'Folha de Rosto'!I6&amp;" - Emissões de GEE de Âmbito 1"</f>
        <v>Grupo Barraqueiro: PEGADA DE CARBONO 2022 - Emissões de GEE de Âmbito 1</v>
      </c>
      <c r="C9" s="765"/>
      <c r="D9" s="765"/>
      <c r="E9" s="765"/>
      <c r="F9" s="765"/>
      <c r="G9" s="765"/>
      <c r="H9" s="765"/>
      <c r="I9" s="765"/>
      <c r="J9" s="765"/>
      <c r="K9" s="765"/>
      <c r="L9" s="765"/>
      <c r="M9" s="765"/>
      <c r="N9" s="765"/>
      <c r="O9" s="765"/>
      <c r="P9" s="765"/>
      <c r="Q9" s="765"/>
      <c r="R9" s="765"/>
      <c r="S9" s="765"/>
      <c r="T9" s="765"/>
      <c r="U9" s="765"/>
      <c r="V9" s="765"/>
    </row>
    <row r="10" spans="2:22" ht="15.75" thickBot="1" x14ac:dyDescent="0.3"/>
    <row r="11" spans="2:22" ht="33.75" customHeight="1" thickBot="1" x14ac:dyDescent="0.3">
      <c r="B11" s="761" t="s">
        <v>119</v>
      </c>
      <c r="C11" s="761"/>
      <c r="D11" s="767" t="s">
        <v>127</v>
      </c>
      <c r="E11" s="767"/>
      <c r="F11" s="768"/>
      <c r="G11" s="768"/>
      <c r="H11" s="768"/>
      <c r="I11" s="768"/>
      <c r="J11" s="768"/>
      <c r="K11" s="768"/>
      <c r="L11" s="768"/>
      <c r="M11" s="768"/>
      <c r="N11" s="768"/>
      <c r="O11" s="768"/>
      <c r="P11" s="768"/>
      <c r="Q11" s="769"/>
    </row>
    <row r="12" spans="2:22" ht="67.5" customHeight="1" thickBot="1" x14ac:dyDescent="0.3">
      <c r="B12" s="761" t="s">
        <v>120</v>
      </c>
      <c r="C12" s="761"/>
      <c r="D12" s="770" t="s">
        <v>152</v>
      </c>
      <c r="E12" s="770"/>
      <c r="F12" s="771"/>
      <c r="G12" s="771"/>
      <c r="H12" s="771"/>
      <c r="I12" s="771"/>
      <c r="J12" s="771"/>
      <c r="K12" s="771"/>
      <c r="L12" s="771"/>
      <c r="M12" s="771"/>
      <c r="N12" s="771"/>
      <c r="O12" s="771"/>
      <c r="P12" s="771"/>
      <c r="Q12" s="772"/>
    </row>
    <row r="13" spans="2:22" ht="60" customHeight="1" thickBot="1" x14ac:dyDescent="0.3">
      <c r="B13" s="761" t="s">
        <v>121</v>
      </c>
      <c r="C13" s="761"/>
      <c r="D13" s="784" t="str">
        <f>'A1.2'!D13</f>
        <v>Metodologia a descrever pelo responsável local pela recolha de dados</v>
      </c>
      <c r="E13" s="784"/>
      <c r="F13" s="785"/>
      <c r="G13" s="785"/>
      <c r="H13" s="785"/>
      <c r="I13" s="785"/>
      <c r="J13" s="785"/>
      <c r="K13" s="785"/>
      <c r="L13" s="785"/>
      <c r="M13" s="785"/>
      <c r="N13" s="785"/>
      <c r="O13" s="785"/>
      <c r="P13" s="785"/>
      <c r="Q13" s="786"/>
    </row>
    <row r="14" spans="2:22" ht="60" customHeight="1" thickBot="1" x14ac:dyDescent="0.3">
      <c r="B14" s="761" t="s">
        <v>122</v>
      </c>
      <c r="C14" s="761"/>
      <c r="D14" s="784" t="str">
        <f>'A1.2'!D14</f>
        <v>Identificação do responsável local pela recolha de dados</v>
      </c>
      <c r="E14" s="784"/>
      <c r="F14" s="785"/>
      <c r="G14" s="785"/>
      <c r="H14" s="785"/>
      <c r="I14" s="785"/>
      <c r="J14" s="785"/>
      <c r="K14" s="785"/>
      <c r="L14" s="785"/>
      <c r="M14" s="785"/>
      <c r="N14" s="785"/>
      <c r="O14" s="785"/>
      <c r="P14" s="785"/>
      <c r="Q14" s="786"/>
    </row>
    <row r="15" spans="2:22" ht="60" customHeight="1" thickBot="1" x14ac:dyDescent="0.3">
      <c r="B15" s="761" t="s">
        <v>128</v>
      </c>
      <c r="C15" s="761"/>
      <c r="D15" s="784" t="str">
        <f>'A1.2'!D15</f>
        <v>Identificação das fontes de dados pelo responsável local pela recolha de dados</v>
      </c>
      <c r="E15" s="784"/>
      <c r="F15" s="785"/>
      <c r="G15" s="785"/>
      <c r="H15" s="785"/>
      <c r="I15" s="785"/>
      <c r="J15" s="785"/>
      <c r="K15" s="785"/>
      <c r="L15" s="785"/>
      <c r="M15" s="785"/>
      <c r="N15" s="785"/>
      <c r="O15" s="785"/>
      <c r="P15" s="785"/>
      <c r="Q15" s="786"/>
    </row>
    <row r="17" spans="2:22" x14ac:dyDescent="0.25">
      <c r="B17" s="765" t="s">
        <v>154</v>
      </c>
      <c r="C17" s="765"/>
      <c r="D17" s="765"/>
      <c r="E17" s="765"/>
      <c r="F17" s="765"/>
      <c r="G17" s="765"/>
      <c r="H17" s="765"/>
      <c r="I17" s="765"/>
      <c r="J17" s="765"/>
      <c r="K17" s="765"/>
      <c r="L17" s="765"/>
      <c r="M17" s="765"/>
      <c r="N17" s="765"/>
      <c r="O17" s="765"/>
      <c r="P17" s="765"/>
      <c r="Q17" s="765"/>
      <c r="R17" s="765"/>
      <c r="S17" s="765"/>
      <c r="T17" s="765"/>
      <c r="U17" s="765"/>
      <c r="V17" s="765"/>
    </row>
    <row r="18" spans="2:22" x14ac:dyDescent="0.25">
      <c r="B18" t="s">
        <v>130</v>
      </c>
    </row>
    <row r="20" spans="2:22" x14ac:dyDescent="0.25">
      <c r="B20" s="81" t="s">
        <v>135</v>
      </c>
    </row>
    <row r="21" spans="2:22" x14ac:dyDescent="0.25">
      <c r="B21" s="766"/>
      <c r="C21" s="766"/>
      <c r="D21" s="766"/>
      <c r="E21" s="766"/>
      <c r="F21" s="766"/>
      <c r="G21" s="766"/>
      <c r="H21" s="766"/>
      <c r="I21" s="766"/>
      <c r="J21" s="766"/>
      <c r="K21" s="766"/>
      <c r="L21" s="766"/>
      <c r="M21" s="766"/>
      <c r="N21" s="766"/>
      <c r="O21" s="766"/>
      <c r="P21" s="766"/>
      <c r="Q21" s="766"/>
      <c r="R21" s="766"/>
      <c r="S21" s="766"/>
      <c r="T21" s="766"/>
    </row>
    <row r="22" spans="2:22" x14ac:dyDescent="0.25">
      <c r="B22" s="766"/>
      <c r="C22" s="766"/>
      <c r="D22" s="766"/>
      <c r="E22" s="766"/>
      <c r="F22" s="766"/>
      <c r="G22" s="766"/>
      <c r="H22" s="766"/>
      <c r="I22" s="766"/>
      <c r="J22" s="766"/>
      <c r="K22" s="766"/>
      <c r="L22" s="766"/>
      <c r="M22" s="766"/>
      <c r="N22" s="766"/>
      <c r="O22" s="766"/>
      <c r="P22" s="766"/>
      <c r="Q22" s="766"/>
      <c r="R22" s="766"/>
      <c r="S22" s="766"/>
      <c r="T22" s="766"/>
    </row>
    <row r="24" spans="2:22" x14ac:dyDescent="0.25">
      <c r="B24" s="81" t="s">
        <v>136</v>
      </c>
    </row>
    <row r="25" spans="2:22" x14ac:dyDescent="0.25">
      <c r="B25" s="766" t="s">
        <v>1849</v>
      </c>
      <c r="C25" s="766"/>
      <c r="D25" s="766"/>
      <c r="E25" s="766"/>
      <c r="F25" s="766"/>
      <c r="G25" s="766"/>
      <c r="H25" s="766"/>
      <c r="I25" s="766"/>
      <c r="J25" s="766"/>
      <c r="K25" s="766"/>
      <c r="L25" s="766"/>
      <c r="M25" s="766"/>
      <c r="N25" s="766"/>
      <c r="O25" s="766"/>
      <c r="P25" s="766"/>
      <c r="Q25" s="766"/>
      <c r="R25" s="766"/>
      <c r="S25" s="766"/>
      <c r="T25" s="766"/>
    </row>
    <row r="26" spans="2:22" x14ac:dyDescent="0.25">
      <c r="B26" s="766"/>
      <c r="C26" s="766"/>
      <c r="D26" s="766"/>
      <c r="E26" s="766"/>
      <c r="F26" s="766"/>
      <c r="G26" s="766"/>
      <c r="H26" s="766"/>
      <c r="I26" s="766"/>
      <c r="J26" s="766"/>
      <c r="K26" s="766"/>
      <c r="L26" s="766"/>
      <c r="M26" s="766"/>
      <c r="N26" s="766"/>
      <c r="O26" s="766"/>
      <c r="P26" s="766"/>
      <c r="Q26" s="766"/>
      <c r="R26" s="766"/>
      <c r="S26" s="766"/>
      <c r="T26" s="766"/>
    </row>
    <row r="27" spans="2:22" ht="15.75" thickBot="1" x14ac:dyDescent="0.3"/>
    <row r="28" spans="2:22" ht="15.75" customHeight="1" thickBot="1" x14ac:dyDescent="0.3">
      <c r="B28" s="793" t="s">
        <v>131</v>
      </c>
      <c r="C28" s="795" t="s">
        <v>138</v>
      </c>
      <c r="D28" s="793" t="s">
        <v>139</v>
      </c>
      <c r="E28" s="795" t="s">
        <v>1526</v>
      </c>
      <c r="F28" s="795" t="s">
        <v>140</v>
      </c>
      <c r="G28" s="793" t="s">
        <v>141</v>
      </c>
      <c r="H28" s="793" t="s">
        <v>143</v>
      </c>
      <c r="I28" s="793" t="s">
        <v>144</v>
      </c>
      <c r="J28" s="793" t="s">
        <v>134</v>
      </c>
      <c r="K28" s="792" t="s">
        <v>142</v>
      </c>
    </row>
    <row r="29" spans="2:22" ht="15.75" thickBot="1" x14ac:dyDescent="0.3">
      <c r="B29" s="794"/>
      <c r="C29" s="795"/>
      <c r="D29" s="794"/>
      <c r="E29" s="795"/>
      <c r="F29" s="795"/>
      <c r="G29" s="794"/>
      <c r="H29" s="794"/>
      <c r="I29" s="794"/>
      <c r="J29" s="794"/>
      <c r="K29" s="792"/>
    </row>
    <row r="30" spans="2:22" ht="15.75" thickBot="1" x14ac:dyDescent="0.3">
      <c r="B30" s="82"/>
      <c r="C30" s="83"/>
      <c r="D30" s="84"/>
      <c r="E30" s="84"/>
      <c r="F30" s="84"/>
      <c r="G30" s="85"/>
      <c r="H30" s="84"/>
      <c r="I30" s="85"/>
      <c r="J30" s="129"/>
      <c r="K30" s="85"/>
    </row>
    <row r="31" spans="2:22" ht="15.75" thickBot="1" x14ac:dyDescent="0.3">
      <c r="B31" s="82"/>
      <c r="C31" s="83"/>
      <c r="D31" s="84"/>
      <c r="E31" s="84"/>
      <c r="F31" s="84"/>
      <c r="G31" s="85"/>
      <c r="H31" s="84"/>
      <c r="I31" s="85"/>
      <c r="J31" s="129"/>
      <c r="K31" s="85"/>
    </row>
    <row r="32" spans="2:22" ht="15.75" thickBot="1" x14ac:dyDescent="0.3">
      <c r="B32" s="82"/>
      <c r="C32" s="83"/>
      <c r="D32" s="84"/>
      <c r="E32" s="84"/>
      <c r="F32" s="84"/>
      <c r="G32" s="85"/>
      <c r="H32" s="84"/>
      <c r="I32" s="85"/>
      <c r="J32" s="129"/>
      <c r="K32" s="85"/>
    </row>
    <row r="33" spans="2:11" ht="15.75" thickBot="1" x14ac:dyDescent="0.3">
      <c r="B33" s="82"/>
      <c r="C33" s="83"/>
      <c r="D33" s="84"/>
      <c r="E33" s="84"/>
      <c r="F33" s="84"/>
      <c r="G33" s="85"/>
      <c r="H33" s="84"/>
      <c r="I33" s="85"/>
      <c r="J33" s="129"/>
      <c r="K33" s="85"/>
    </row>
    <row r="34" spans="2:11" ht="15.75" thickBot="1" x14ac:dyDescent="0.3">
      <c r="B34" s="82"/>
      <c r="C34" s="83"/>
      <c r="D34" s="84"/>
      <c r="E34" s="84"/>
      <c r="F34" s="84"/>
      <c r="G34" s="85"/>
      <c r="H34" s="84"/>
      <c r="I34" s="85"/>
      <c r="J34" s="129"/>
      <c r="K34" s="85"/>
    </row>
    <row r="35" spans="2:11" ht="15.75" thickBot="1" x14ac:dyDescent="0.3">
      <c r="B35" s="82"/>
      <c r="C35" s="83"/>
      <c r="D35" s="84"/>
      <c r="E35" s="84"/>
      <c r="F35" s="84"/>
      <c r="G35" s="85"/>
      <c r="H35" s="84"/>
      <c r="I35" s="85"/>
      <c r="J35" s="129"/>
      <c r="K35" s="85"/>
    </row>
    <row r="36" spans="2:11" ht="15.75" thickBot="1" x14ac:dyDescent="0.3">
      <c r="B36" s="82"/>
      <c r="C36" s="83"/>
      <c r="D36" s="84"/>
      <c r="E36" s="84"/>
      <c r="F36" s="84"/>
      <c r="G36" s="85"/>
      <c r="H36" s="84"/>
      <c r="I36" s="85"/>
      <c r="J36" s="129"/>
      <c r="K36" s="85"/>
    </row>
    <row r="37" spans="2:11" ht="15.75" thickBot="1" x14ac:dyDescent="0.3">
      <c r="B37" s="82"/>
      <c r="C37" s="83"/>
      <c r="D37" s="84"/>
      <c r="E37" s="84"/>
      <c r="F37" s="84"/>
      <c r="G37" s="85"/>
      <c r="H37" s="84"/>
      <c r="I37" s="85"/>
      <c r="J37" s="129"/>
      <c r="K37" s="85"/>
    </row>
    <row r="38" spans="2:11" ht="15.75" thickBot="1" x14ac:dyDescent="0.3">
      <c r="B38" s="82"/>
      <c r="C38" s="83"/>
      <c r="D38" s="84"/>
      <c r="E38" s="84"/>
      <c r="F38" s="84"/>
      <c r="G38" s="85"/>
      <c r="H38" s="84"/>
      <c r="I38" s="85"/>
      <c r="J38" s="129"/>
      <c r="K38" s="85"/>
    </row>
    <row r="39" spans="2:11" ht="15.75" thickBot="1" x14ac:dyDescent="0.3">
      <c r="B39" s="82"/>
      <c r="C39" s="83"/>
      <c r="D39" s="84"/>
      <c r="E39" s="84"/>
      <c r="F39" s="84"/>
      <c r="G39" s="85"/>
      <c r="H39" s="84"/>
      <c r="I39" s="85"/>
      <c r="J39" s="129"/>
      <c r="K39" s="85"/>
    </row>
    <row r="40" spans="2:11" ht="15.75" thickBot="1" x14ac:dyDescent="0.3">
      <c r="B40" s="82"/>
      <c r="C40" s="83"/>
      <c r="D40" s="84"/>
      <c r="E40" s="84"/>
      <c r="F40" s="84"/>
      <c r="G40" s="85"/>
      <c r="H40" s="84"/>
      <c r="I40" s="85"/>
      <c r="J40" s="129"/>
      <c r="K40" s="85"/>
    </row>
    <row r="41" spans="2:11" ht="15.75" thickBot="1" x14ac:dyDescent="0.3">
      <c r="B41" s="82"/>
      <c r="C41" s="83"/>
      <c r="D41" s="84"/>
      <c r="E41" s="84"/>
      <c r="F41" s="84"/>
      <c r="G41" s="85"/>
      <c r="H41" s="84"/>
      <c r="I41" s="85"/>
      <c r="J41" s="129"/>
      <c r="K41" s="85"/>
    </row>
    <row r="42" spans="2:11" ht="15.75" thickBot="1" x14ac:dyDescent="0.3">
      <c r="B42" s="82"/>
      <c r="C42" s="83"/>
      <c r="D42" s="84"/>
      <c r="E42" s="84"/>
      <c r="F42" s="84"/>
      <c r="G42" s="85"/>
      <c r="H42" s="84"/>
      <c r="I42" s="85"/>
      <c r="J42" s="129"/>
      <c r="K42" s="85"/>
    </row>
    <row r="43" spans="2:11" ht="15.75" thickBot="1" x14ac:dyDescent="0.3">
      <c r="B43" s="82"/>
      <c r="C43" s="83"/>
      <c r="D43" s="84"/>
      <c r="E43" s="84"/>
      <c r="F43" s="84"/>
      <c r="G43" s="85"/>
      <c r="H43" s="84"/>
      <c r="I43" s="85"/>
      <c r="J43" s="129"/>
      <c r="K43" s="85"/>
    </row>
    <row r="44" spans="2:11" ht="15.75" thickBot="1" x14ac:dyDescent="0.3">
      <c r="B44" s="82"/>
      <c r="C44" s="83"/>
      <c r="D44" s="84"/>
      <c r="E44" s="84"/>
      <c r="F44" s="84"/>
      <c r="G44" s="85"/>
      <c r="H44" s="84"/>
      <c r="I44" s="85"/>
      <c r="J44" s="129"/>
      <c r="K44" s="85"/>
    </row>
    <row r="45" spans="2:11" ht="15.75" thickBot="1" x14ac:dyDescent="0.3">
      <c r="B45" s="82"/>
      <c r="C45" s="83"/>
      <c r="D45" s="84"/>
      <c r="E45" s="84"/>
      <c r="F45" s="84"/>
      <c r="G45" s="85"/>
      <c r="H45" s="84"/>
      <c r="I45" s="85"/>
      <c r="J45" s="129"/>
      <c r="K45" s="85"/>
    </row>
    <row r="46" spans="2:11" ht="15.75" thickBot="1" x14ac:dyDescent="0.3">
      <c r="B46" s="82"/>
      <c r="C46" s="83"/>
      <c r="D46" s="84"/>
      <c r="E46" s="84"/>
      <c r="F46" s="84"/>
      <c r="G46" s="85"/>
      <c r="H46" s="84"/>
      <c r="I46" s="85"/>
      <c r="J46" s="129"/>
      <c r="K46" s="85"/>
    </row>
  </sheetData>
  <mergeCells count="24">
    <mergeCell ref="B21:T22"/>
    <mergeCell ref="B9:V9"/>
    <mergeCell ref="B11:C11"/>
    <mergeCell ref="D11:Q11"/>
    <mergeCell ref="B12:C12"/>
    <mergeCell ref="D12:Q12"/>
    <mergeCell ref="B13:C13"/>
    <mergeCell ref="D13:Q13"/>
    <mergeCell ref="B14:C14"/>
    <mergeCell ref="D14:Q14"/>
    <mergeCell ref="B15:C15"/>
    <mergeCell ref="D15:Q15"/>
    <mergeCell ref="B17:V17"/>
    <mergeCell ref="B25:T26"/>
    <mergeCell ref="B28:B29"/>
    <mergeCell ref="C28:C29"/>
    <mergeCell ref="D28:D29"/>
    <mergeCell ref="F28:F29"/>
    <mergeCell ref="G28:G29"/>
    <mergeCell ref="H28:H29"/>
    <mergeCell ref="I28:I29"/>
    <mergeCell ref="J28:J29"/>
    <mergeCell ref="K28:K29"/>
    <mergeCell ref="E28:E29"/>
  </mergeCells>
  <dataValidations count="3">
    <dataValidation type="list" allowBlank="1" showInputMessage="1" showErrorMessage="1" sqref="C30:C46">
      <formula1>"Pesado de Passageiros M3, Pesado de Passageiros M2, Ligeiro de Passageiros M1, Pesado de Mercadorias N3, Pesado de Mercadorias N2, Ligeiro de Mercadorias N1, Misto"</formula1>
    </dataValidation>
    <dataValidation type="list" allowBlank="1" showInputMessage="1" showErrorMessage="1" sqref="D30:D46">
      <formula1>"Gasóleo, Gasolina, GPL, GNC, GNV, Butano, Propano, H2"</formula1>
    </dataValidation>
    <dataValidation type="list" allowBlank="1" showInputMessage="1" showErrorMessage="1" sqref="G30:G46">
      <formula1>"l (litros), kg (quilos), Nm3 (metros cubicos norm.), € (euros)"</formula1>
    </dataValidation>
  </dataValidations>
  <pageMargins left="0.7" right="0.7" top="0.75" bottom="0.75" header="0.3" footer="0.3"/>
  <customProperties>
    <customPr name="GUID" r:id="rId1"/>
  </customPropertie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6"/>
  <dimension ref="B6:U45"/>
  <sheetViews>
    <sheetView workbookViewId="0"/>
  </sheetViews>
  <sheetFormatPr defaultRowHeight="15" x14ac:dyDescent="0.25"/>
  <cols>
    <col min="2" max="2" width="42.85546875" customWidth="1"/>
    <col min="3" max="3" width="25.5703125" customWidth="1"/>
    <col min="4" max="5" width="21.5703125" customWidth="1"/>
    <col min="6" max="6" width="27.140625" bestFit="1" customWidth="1"/>
    <col min="7" max="11" width="28.28515625" customWidth="1"/>
  </cols>
  <sheetData>
    <row r="6" spans="2:21" ht="15.75" thickBot="1" x14ac:dyDescent="0.3"/>
    <row r="7" spans="2:21" x14ac:dyDescent="0.25">
      <c r="B7" s="78" t="s">
        <v>118</v>
      </c>
      <c r="C7" s="80"/>
    </row>
    <row r="9" spans="2:21" x14ac:dyDescent="0.25">
      <c r="B9" s="765" t="str">
        <f>"Grupo Barraqueiro: "&amp;'Folha de Rosto'!C6&amp;" "&amp;'Folha de Rosto'!I6&amp;" - Emissões de GEE de Âmbito 1"</f>
        <v>Grupo Barraqueiro: PEGADA DE CARBONO 2022 - Emissões de GEE de Âmbito 1</v>
      </c>
      <c r="C9" s="765"/>
      <c r="D9" s="765"/>
      <c r="E9" s="765"/>
      <c r="F9" s="765"/>
      <c r="G9" s="765"/>
      <c r="H9" s="765"/>
      <c r="I9" s="765"/>
      <c r="J9" s="765"/>
      <c r="K9" s="765"/>
      <c r="L9" s="765"/>
      <c r="M9" s="765"/>
      <c r="N9" s="765"/>
      <c r="O9" s="765"/>
      <c r="P9" s="765"/>
      <c r="Q9" s="765"/>
      <c r="R9" s="765"/>
      <c r="S9" s="765"/>
      <c r="T9" s="765"/>
      <c r="U9" s="765"/>
    </row>
    <row r="10" spans="2:21" ht="15.75" thickBot="1" x14ac:dyDescent="0.3"/>
    <row r="11" spans="2:21" ht="33.75" customHeight="1" thickBot="1" x14ac:dyDescent="0.3">
      <c r="B11" s="761" t="s">
        <v>119</v>
      </c>
      <c r="C11" s="761"/>
      <c r="D11" s="767" t="s">
        <v>127</v>
      </c>
      <c r="E11" s="768"/>
      <c r="F11" s="768"/>
      <c r="G11" s="768"/>
      <c r="H11" s="768"/>
      <c r="I11" s="768"/>
      <c r="J11" s="768"/>
      <c r="K11" s="768"/>
      <c r="L11" s="768"/>
      <c r="M11" s="768"/>
      <c r="N11" s="768"/>
      <c r="O11" s="768"/>
      <c r="P11" s="769"/>
    </row>
    <row r="12" spans="2:21" ht="67.5" customHeight="1" thickBot="1" x14ac:dyDescent="0.3">
      <c r="B12" s="761" t="s">
        <v>120</v>
      </c>
      <c r="C12" s="761"/>
      <c r="D12" s="770" t="s">
        <v>153</v>
      </c>
      <c r="E12" s="771"/>
      <c r="F12" s="771"/>
      <c r="G12" s="771"/>
      <c r="H12" s="771"/>
      <c r="I12" s="771"/>
      <c r="J12" s="771"/>
      <c r="K12" s="771"/>
      <c r="L12" s="771"/>
      <c r="M12" s="771"/>
      <c r="N12" s="771"/>
      <c r="O12" s="771"/>
      <c r="P12" s="772"/>
    </row>
    <row r="13" spans="2:21" ht="60" customHeight="1" thickBot="1" x14ac:dyDescent="0.3">
      <c r="B13" s="761" t="s">
        <v>121</v>
      </c>
      <c r="C13" s="761"/>
      <c r="D13" s="762" t="s">
        <v>1529</v>
      </c>
      <c r="E13" s="763"/>
      <c r="F13" s="763"/>
      <c r="G13" s="763"/>
      <c r="H13" s="763"/>
      <c r="I13" s="763"/>
      <c r="J13" s="763"/>
      <c r="K13" s="763"/>
      <c r="L13" s="763"/>
      <c r="M13" s="763"/>
      <c r="N13" s="763"/>
      <c r="O13" s="763"/>
      <c r="P13" s="764"/>
    </row>
    <row r="14" spans="2:21" ht="60" customHeight="1" thickBot="1" x14ac:dyDescent="0.3">
      <c r="B14" s="761" t="s">
        <v>122</v>
      </c>
      <c r="C14" s="761"/>
      <c r="D14" s="762" t="s">
        <v>123</v>
      </c>
      <c r="E14" s="763"/>
      <c r="F14" s="763"/>
      <c r="G14" s="763"/>
      <c r="H14" s="763"/>
      <c r="I14" s="763"/>
      <c r="J14" s="763"/>
      <c r="K14" s="763"/>
      <c r="L14" s="763"/>
      <c r="M14" s="763"/>
      <c r="N14" s="763"/>
      <c r="O14" s="763"/>
      <c r="P14" s="764"/>
    </row>
    <row r="15" spans="2:21" ht="60" customHeight="1" thickBot="1" x14ac:dyDescent="0.3">
      <c r="B15" s="761" t="s">
        <v>128</v>
      </c>
      <c r="C15" s="761"/>
      <c r="D15" s="762" t="s">
        <v>129</v>
      </c>
      <c r="E15" s="763"/>
      <c r="F15" s="763"/>
      <c r="G15" s="763"/>
      <c r="H15" s="763"/>
      <c r="I15" s="763"/>
      <c r="J15" s="763"/>
      <c r="K15" s="763"/>
      <c r="L15" s="763"/>
      <c r="M15" s="763"/>
      <c r="N15" s="763"/>
      <c r="O15" s="763"/>
      <c r="P15" s="764"/>
    </row>
    <row r="17" spans="2:21" x14ac:dyDescent="0.25">
      <c r="B17" s="765" t="s">
        <v>137</v>
      </c>
      <c r="C17" s="765"/>
      <c r="D17" s="765"/>
      <c r="E17" s="765"/>
      <c r="F17" s="765"/>
      <c r="G17" s="765"/>
      <c r="H17" s="765"/>
      <c r="I17" s="765"/>
      <c r="J17" s="765"/>
      <c r="K17" s="765"/>
      <c r="L17" s="765"/>
      <c r="M17" s="765"/>
      <c r="N17" s="765"/>
      <c r="O17" s="765"/>
      <c r="P17" s="765"/>
      <c r="Q17" s="765"/>
      <c r="R17" s="765"/>
      <c r="S17" s="765"/>
      <c r="T17" s="765"/>
      <c r="U17" s="765"/>
    </row>
    <row r="18" spans="2:21" x14ac:dyDescent="0.25">
      <c r="B18" t="s">
        <v>130</v>
      </c>
    </row>
    <row r="20" spans="2:21" x14ac:dyDescent="0.25">
      <c r="B20" s="81" t="s">
        <v>135</v>
      </c>
    </row>
    <row r="21" spans="2:21" x14ac:dyDescent="0.25">
      <c r="B21" s="766" t="s">
        <v>1830</v>
      </c>
      <c r="C21" s="766"/>
      <c r="D21" s="766"/>
      <c r="E21" s="766"/>
      <c r="F21" s="766"/>
      <c r="G21" s="766"/>
      <c r="H21" s="766"/>
      <c r="I21" s="766"/>
      <c r="J21" s="766"/>
      <c r="K21" s="766"/>
      <c r="L21" s="766"/>
      <c r="M21" s="766"/>
      <c r="N21" s="766"/>
      <c r="O21" s="766"/>
      <c r="P21" s="766"/>
      <c r="Q21" s="766"/>
      <c r="R21" s="766"/>
      <c r="S21" s="766"/>
    </row>
    <row r="22" spans="2:21" x14ac:dyDescent="0.25">
      <c r="B22" s="766"/>
      <c r="C22" s="766"/>
      <c r="D22" s="766"/>
      <c r="E22" s="766"/>
      <c r="F22" s="766"/>
      <c r="G22" s="766"/>
      <c r="H22" s="766"/>
      <c r="I22" s="766"/>
      <c r="J22" s="766"/>
      <c r="K22" s="766"/>
      <c r="L22" s="766"/>
      <c r="M22" s="766"/>
      <c r="N22" s="766"/>
      <c r="O22" s="766"/>
      <c r="P22" s="766"/>
      <c r="Q22" s="766"/>
      <c r="R22" s="766"/>
      <c r="S22" s="766"/>
    </row>
    <row r="24" spans="2:21" x14ac:dyDescent="0.25">
      <c r="B24" s="81" t="s">
        <v>136</v>
      </c>
    </row>
    <row r="25" spans="2:21" x14ac:dyDescent="0.25">
      <c r="B25" s="766" t="s">
        <v>1829</v>
      </c>
      <c r="C25" s="766"/>
      <c r="D25" s="766"/>
      <c r="E25" s="766"/>
      <c r="F25" s="766"/>
      <c r="G25" s="766"/>
      <c r="H25" s="766"/>
      <c r="I25" s="766"/>
      <c r="J25" s="766"/>
      <c r="K25" s="766"/>
      <c r="L25" s="766"/>
      <c r="M25" s="766"/>
      <c r="N25" s="766"/>
      <c r="O25" s="766"/>
      <c r="P25" s="766"/>
      <c r="Q25" s="766"/>
      <c r="R25" s="766"/>
      <c r="S25" s="766"/>
    </row>
    <row r="26" spans="2:21" x14ac:dyDescent="0.25">
      <c r="B26" s="766"/>
      <c r="C26" s="766"/>
      <c r="D26" s="766"/>
      <c r="E26" s="766"/>
      <c r="F26" s="766"/>
      <c r="G26" s="766"/>
      <c r="H26" s="766"/>
      <c r="I26" s="766"/>
      <c r="J26" s="766"/>
      <c r="K26" s="766"/>
      <c r="L26" s="766"/>
      <c r="M26" s="766"/>
      <c r="N26" s="766"/>
      <c r="O26" s="766"/>
      <c r="P26" s="766"/>
      <c r="Q26" s="766"/>
      <c r="R26" s="766"/>
      <c r="S26" s="766"/>
    </row>
    <row r="27" spans="2:21" ht="15.75" thickBot="1" x14ac:dyDescent="0.3"/>
    <row r="28" spans="2:21" ht="15.75" thickBot="1" x14ac:dyDescent="0.3">
      <c r="B28" s="757" t="s">
        <v>131</v>
      </c>
      <c r="C28" s="795" t="s">
        <v>157</v>
      </c>
      <c r="D28" s="793" t="s">
        <v>139</v>
      </c>
      <c r="E28" s="793" t="s">
        <v>140</v>
      </c>
      <c r="F28" s="793" t="s">
        <v>141</v>
      </c>
      <c r="G28" s="793" t="s">
        <v>134</v>
      </c>
      <c r="H28" s="792" t="s">
        <v>142</v>
      </c>
    </row>
    <row r="29" spans="2:21" ht="15.75" thickBot="1" x14ac:dyDescent="0.3">
      <c r="B29" s="758"/>
      <c r="C29" s="795"/>
      <c r="D29" s="794"/>
      <c r="E29" s="794"/>
      <c r="F29" s="794"/>
      <c r="G29" s="794"/>
      <c r="H29" s="792"/>
    </row>
    <row r="30" spans="2:21" ht="15.75" thickBot="1" x14ac:dyDescent="0.3">
      <c r="B30" s="82" t="s">
        <v>534</v>
      </c>
      <c r="C30" s="83" t="s">
        <v>600</v>
      </c>
      <c r="D30" s="122" t="s">
        <v>599</v>
      </c>
      <c r="E30" s="124">
        <f>E31</f>
        <v>735</v>
      </c>
      <c r="F30" s="91" t="s">
        <v>557</v>
      </c>
      <c r="G30" s="85"/>
      <c r="H30" s="85"/>
    </row>
    <row r="31" spans="2:21" ht="15.75" thickBot="1" x14ac:dyDescent="0.3">
      <c r="B31" s="82" t="s">
        <v>542</v>
      </c>
      <c r="C31" s="83" t="s">
        <v>600</v>
      </c>
      <c r="D31" s="122" t="s">
        <v>599</v>
      </c>
      <c r="E31" s="124">
        <f>'A1.3.1'!E31</f>
        <v>735</v>
      </c>
      <c r="F31" s="91" t="s">
        <v>557</v>
      </c>
      <c r="G31" s="85"/>
      <c r="H31" s="85"/>
    </row>
    <row r="32" spans="2:21" ht="15.75" thickBot="1" x14ac:dyDescent="0.3">
      <c r="B32" s="82"/>
      <c r="C32" s="83"/>
      <c r="D32" s="84"/>
      <c r="E32" s="85"/>
      <c r="F32" s="85"/>
      <c r="G32" s="85"/>
      <c r="H32" s="85"/>
    </row>
    <row r="33" spans="2:8" ht="15.75" thickBot="1" x14ac:dyDescent="0.3">
      <c r="B33" s="82"/>
      <c r="C33" s="83"/>
      <c r="D33" s="84"/>
      <c r="E33" s="85"/>
      <c r="F33" s="85"/>
      <c r="G33" s="85"/>
      <c r="H33" s="85"/>
    </row>
    <row r="34" spans="2:8" ht="15.75" thickBot="1" x14ac:dyDescent="0.3">
      <c r="B34" s="82"/>
      <c r="C34" s="83"/>
      <c r="D34" s="84"/>
      <c r="E34" s="85"/>
      <c r="F34" s="85"/>
      <c r="G34" s="85"/>
      <c r="H34" s="85"/>
    </row>
    <row r="35" spans="2:8" ht="15.75" thickBot="1" x14ac:dyDescent="0.3">
      <c r="B35" s="82"/>
      <c r="C35" s="83"/>
      <c r="D35" s="84"/>
      <c r="E35" s="85"/>
      <c r="F35" s="85"/>
      <c r="G35" s="85"/>
      <c r="H35" s="85"/>
    </row>
    <row r="36" spans="2:8" ht="15.75" thickBot="1" x14ac:dyDescent="0.3">
      <c r="B36" s="82"/>
      <c r="C36" s="83"/>
      <c r="D36" s="84"/>
      <c r="E36" s="85"/>
      <c r="F36" s="85"/>
      <c r="G36" s="85"/>
      <c r="H36" s="85"/>
    </row>
    <row r="37" spans="2:8" ht="15.75" thickBot="1" x14ac:dyDescent="0.3">
      <c r="B37" s="82"/>
      <c r="C37" s="83"/>
      <c r="D37" s="84"/>
      <c r="E37" s="85"/>
      <c r="F37" s="85"/>
      <c r="G37" s="85"/>
      <c r="H37" s="85"/>
    </row>
    <row r="38" spans="2:8" ht="15.75" thickBot="1" x14ac:dyDescent="0.3">
      <c r="B38" s="82"/>
      <c r="C38" s="83"/>
      <c r="D38" s="84"/>
      <c r="E38" s="85"/>
      <c r="F38" s="85"/>
      <c r="G38" s="85"/>
      <c r="H38" s="85"/>
    </row>
    <row r="39" spans="2:8" ht="15.75" thickBot="1" x14ac:dyDescent="0.3">
      <c r="B39" s="82"/>
      <c r="C39" s="83"/>
      <c r="D39" s="84"/>
      <c r="E39" s="85"/>
      <c r="F39" s="85"/>
      <c r="G39" s="85"/>
      <c r="H39" s="85"/>
    </row>
    <row r="40" spans="2:8" ht="15.75" thickBot="1" x14ac:dyDescent="0.3">
      <c r="B40" s="82"/>
      <c r="C40" s="83"/>
      <c r="D40" s="84"/>
      <c r="E40" s="85"/>
      <c r="F40" s="85"/>
      <c r="G40" s="85"/>
      <c r="H40" s="85"/>
    </row>
    <row r="41" spans="2:8" ht="15.75" thickBot="1" x14ac:dyDescent="0.3">
      <c r="B41" s="82"/>
      <c r="C41" s="83"/>
      <c r="D41" s="84"/>
      <c r="E41" s="85"/>
      <c r="F41" s="85"/>
      <c r="G41" s="85"/>
      <c r="H41" s="85"/>
    </row>
    <row r="42" spans="2:8" ht="15.75" thickBot="1" x14ac:dyDescent="0.3">
      <c r="B42" s="82"/>
      <c r="C42" s="83"/>
      <c r="D42" s="84"/>
      <c r="E42" s="85"/>
      <c r="F42" s="85"/>
      <c r="G42" s="85"/>
      <c r="H42" s="85"/>
    </row>
    <row r="43" spans="2:8" ht="15.75" thickBot="1" x14ac:dyDescent="0.3">
      <c r="B43" s="82"/>
      <c r="C43" s="83"/>
      <c r="D43" s="84"/>
      <c r="E43" s="85"/>
      <c r="F43" s="85"/>
      <c r="G43" s="85"/>
      <c r="H43" s="85"/>
    </row>
    <row r="44" spans="2:8" ht="15.75" thickBot="1" x14ac:dyDescent="0.3">
      <c r="B44" s="82"/>
      <c r="C44" s="83"/>
      <c r="D44" s="84"/>
      <c r="E44" s="85"/>
      <c r="F44" s="85"/>
      <c r="G44" s="85"/>
      <c r="H44" s="85"/>
    </row>
    <row r="45" spans="2:8" ht="15.75" thickBot="1" x14ac:dyDescent="0.3">
      <c r="B45" s="82"/>
      <c r="C45" s="83"/>
      <c r="D45" s="84"/>
      <c r="E45" s="85"/>
      <c r="F45" s="85"/>
      <c r="G45" s="85"/>
      <c r="H45" s="85"/>
    </row>
  </sheetData>
  <mergeCells count="21">
    <mergeCell ref="B21:S22"/>
    <mergeCell ref="B9:U9"/>
    <mergeCell ref="B11:C11"/>
    <mergeCell ref="D11:P11"/>
    <mergeCell ref="B12:C12"/>
    <mergeCell ref="D12:P12"/>
    <mergeCell ref="B13:C13"/>
    <mergeCell ref="D13:P13"/>
    <mergeCell ref="B14:C14"/>
    <mergeCell ref="D14:P14"/>
    <mergeCell ref="B15:C15"/>
    <mergeCell ref="D15:P15"/>
    <mergeCell ref="B17:U17"/>
    <mergeCell ref="B25:S26"/>
    <mergeCell ref="B28:B29"/>
    <mergeCell ref="C28:C29"/>
    <mergeCell ref="D28:D29"/>
    <mergeCell ref="E28:E29"/>
    <mergeCell ref="F28:F29"/>
    <mergeCell ref="G28:G29"/>
    <mergeCell ref="H28:H29"/>
  </mergeCells>
  <dataValidations count="5">
    <dataValidation type="list" allowBlank="1" showInputMessage="1" showErrorMessage="1" sqref="F32:F45">
      <formula1>"l (litros), kg (quilos), Nm3 (metros cubicos norm.)"</formula1>
    </dataValidation>
    <dataValidation type="list" allowBlank="1" showInputMessage="1" showErrorMessage="1" sqref="C32:C45">
      <formula1>"Estufas, Geradores, Máquina de Lavagem, Empilhadores, Elevadores, Aquecimente do água, Outros"</formula1>
    </dataValidation>
    <dataValidation type="list" allowBlank="1" showInputMessage="1" showErrorMessage="1" sqref="D30:D45">
      <formula1>"Gasóleo, Gasolina, GPL, GNC, GNV, Butano, Propano, H2"</formula1>
    </dataValidation>
    <dataValidation type="list" allowBlank="1" showInputMessage="1" showErrorMessage="1" sqref="C30:C31">
      <formula1>"Geradores, Aquecimento de Águas, Estufas, Empilhadores, Viaturas, Outros"</formula1>
    </dataValidation>
    <dataValidation type="list" allowBlank="1" showInputMessage="1" showErrorMessage="1" sqref="F30:F31">
      <formula1>"l (litros), kg (quilos), Nm3 (metros cubicos norm.), m3 (metros cúbicos)"</formula1>
    </dataValidation>
  </dataValidations>
  <pageMargins left="0.7" right="0.7" top="0.75" bottom="0.75" header="0.3" footer="0.3"/>
  <customProperties>
    <customPr name="GUID" r:id="rId1"/>
  </customPropertie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dimension ref="A1:O39"/>
  <sheetViews>
    <sheetView workbookViewId="0">
      <selection sqref="A1:A2"/>
    </sheetView>
  </sheetViews>
  <sheetFormatPr defaultRowHeight="15" x14ac:dyDescent="0.25"/>
  <cols>
    <col min="1" max="1" width="64.85546875" customWidth="1"/>
    <col min="2" max="2" width="56.140625" customWidth="1"/>
    <col min="3" max="4" width="42.85546875" customWidth="1"/>
    <col min="5" max="5" width="38.140625" customWidth="1"/>
    <col min="6" max="6" width="21.5703125" customWidth="1"/>
    <col min="7" max="7" width="27.5703125" customWidth="1"/>
    <col min="8" max="8" width="21.5703125" customWidth="1"/>
    <col min="9" max="9" width="27.140625" bestFit="1" customWidth="1"/>
    <col min="10" max="10" width="40.42578125" customWidth="1"/>
    <col min="11" max="15" width="28.28515625" customWidth="1"/>
  </cols>
  <sheetData>
    <row r="1" spans="1:15" ht="15.75" thickBot="1" x14ac:dyDescent="0.3">
      <c r="A1" s="793" t="s">
        <v>1851</v>
      </c>
      <c r="B1" s="757" t="s">
        <v>131</v>
      </c>
      <c r="C1" s="757" t="s">
        <v>1852</v>
      </c>
      <c r="D1" s="202" t="s">
        <v>1856</v>
      </c>
      <c r="E1" s="795" t="s">
        <v>157</v>
      </c>
      <c r="F1" s="793" t="s">
        <v>139</v>
      </c>
      <c r="G1" s="206" t="s">
        <v>119</v>
      </c>
      <c r="H1" s="793" t="s">
        <v>140</v>
      </c>
      <c r="I1" s="793" t="s">
        <v>141</v>
      </c>
      <c r="J1" s="793" t="s">
        <v>134</v>
      </c>
      <c r="K1" s="792" t="s">
        <v>142</v>
      </c>
      <c r="L1" s="223" t="s">
        <v>2841</v>
      </c>
      <c r="M1" s="777" t="s">
        <v>1870</v>
      </c>
      <c r="N1" s="777" t="s">
        <v>2812</v>
      </c>
      <c r="O1" s="777" t="s">
        <v>3588</v>
      </c>
    </row>
    <row r="2" spans="1:15" ht="15.75" thickBot="1" x14ac:dyDescent="0.3">
      <c r="A2" s="794"/>
      <c r="B2" s="758"/>
      <c r="C2" s="758"/>
      <c r="D2" s="203"/>
      <c r="E2" s="795"/>
      <c r="F2" s="794"/>
      <c r="G2" s="207"/>
      <c r="H2" s="794"/>
      <c r="I2" s="794"/>
      <c r="J2" s="794"/>
      <c r="K2" s="792"/>
      <c r="L2" s="223"/>
      <c r="M2" s="777"/>
      <c r="N2" s="777"/>
      <c r="O2" s="777"/>
    </row>
    <row r="3" spans="1:15" ht="15.75" thickBot="1" x14ac:dyDescent="0.3">
      <c r="A3" s="82" t="s">
        <v>45</v>
      </c>
      <c r="B3" s="82" t="str">
        <f>LEFT(A3,IFERROR(FIND(" - ",A3)-1,LEN(A3)))</f>
        <v>Barraqueiro Transportes, S.A.</v>
      </c>
      <c r="C3" s="82" t="str">
        <f>IF(A3=B3,"X",RIGHT(A3,LEN(A3)-LEN(B3)-3))</f>
        <v>X</v>
      </c>
      <c r="D3" s="216">
        <v>2022</v>
      </c>
      <c r="E3" s="83" t="s">
        <v>600</v>
      </c>
      <c r="F3" s="122" t="s">
        <v>599</v>
      </c>
      <c r="G3" s="216" t="str">
        <f>F3&amp;":"&amp;M3&amp;" :: "&amp;L3</f>
        <v>Propano:kg :: DEFRA:2022</v>
      </c>
      <c r="H3" s="124">
        <f>H4</f>
        <v>735</v>
      </c>
      <c r="I3" s="91" t="s">
        <v>557</v>
      </c>
      <c r="J3" s="85" t="s">
        <v>2829</v>
      </c>
      <c r="K3" s="85"/>
      <c r="L3" s="260" t="s">
        <v>2842</v>
      </c>
      <c r="M3" s="214" t="s">
        <v>1863</v>
      </c>
      <c r="N3" s="227" t="s">
        <v>1953</v>
      </c>
      <c r="O3" s="227" t="s">
        <v>2815</v>
      </c>
    </row>
    <row r="4" spans="1:15" ht="15.75" thickBot="1" x14ac:dyDescent="0.3">
      <c r="A4" s="82" t="s">
        <v>3473</v>
      </c>
      <c r="B4" s="82" t="str">
        <f>LEFT(A4,IFERROR(FIND(" - ",A4)-1,LEN(A4)))</f>
        <v>Barraqueiro Transportes, S.A.</v>
      </c>
      <c r="C4" s="82" t="str">
        <f>IF(A4=B4,"X",RIGHT(A4,LEN(A4)-LEN(B4)-3))</f>
        <v>Barraqueiro Oeste</v>
      </c>
      <c r="D4" s="216">
        <v>2022</v>
      </c>
      <c r="E4" s="83" t="s">
        <v>600</v>
      </c>
      <c r="F4" s="122" t="s">
        <v>599</v>
      </c>
      <c r="G4" s="216" t="str">
        <f t="shared" ref="G4:G20" si="0">F4&amp;":"&amp;M4&amp;" :: "&amp;L4</f>
        <v>Propano:kg :: DEFRA:2022</v>
      </c>
      <c r="H4" s="124">
        <f>'A1.3.1'!E31</f>
        <v>735</v>
      </c>
      <c r="I4" s="91" t="s">
        <v>557</v>
      </c>
      <c r="J4" s="85" t="s">
        <v>2829</v>
      </c>
      <c r="K4" s="85"/>
      <c r="L4" s="260" t="s">
        <v>2842</v>
      </c>
      <c r="M4" s="214" t="s">
        <v>1863</v>
      </c>
      <c r="N4" s="227" t="s">
        <v>1953</v>
      </c>
      <c r="O4" s="227" t="s">
        <v>2815</v>
      </c>
    </row>
    <row r="5" spans="1:15" ht="15.75" thickBot="1" x14ac:dyDescent="0.3">
      <c r="A5" s="82" t="s">
        <v>1910</v>
      </c>
      <c r="B5" s="82" t="s">
        <v>1910</v>
      </c>
      <c r="C5" s="82" t="str">
        <f t="shared" ref="C5:C19" si="1">IF(A5=B5,"X",RIGHT(A5,LEN(A5)-LEN(B5)-3))</f>
        <v>X</v>
      </c>
      <c r="D5" s="216">
        <v>2022</v>
      </c>
      <c r="E5" s="83" t="s">
        <v>2830</v>
      </c>
      <c r="F5" s="85" t="s">
        <v>620</v>
      </c>
      <c r="G5" s="216" t="str">
        <f t="shared" si="0"/>
        <v>Gasóleo:l :: DEFRA:2022</v>
      </c>
      <c r="H5" s="125">
        <v>0</v>
      </c>
      <c r="I5" s="85" t="s">
        <v>630</v>
      </c>
      <c r="J5" s="85"/>
      <c r="K5" s="85"/>
      <c r="L5" s="260" t="s">
        <v>2842</v>
      </c>
      <c r="M5" s="214" t="s">
        <v>1861</v>
      </c>
      <c r="N5" s="227" t="s">
        <v>1953</v>
      </c>
      <c r="O5" s="227" t="s">
        <v>2815</v>
      </c>
    </row>
    <row r="6" spans="1:15" ht="15.75" thickBot="1" x14ac:dyDescent="0.3">
      <c r="A6" s="82" t="s">
        <v>1910</v>
      </c>
      <c r="B6" s="82" t="s">
        <v>1910</v>
      </c>
      <c r="C6" s="82" t="str">
        <f t="shared" si="1"/>
        <v>X</v>
      </c>
      <c r="D6" s="216">
        <v>2022</v>
      </c>
      <c r="E6" s="83" t="s">
        <v>2831</v>
      </c>
      <c r="F6" s="122" t="s">
        <v>599</v>
      </c>
      <c r="G6" s="216" t="str">
        <f t="shared" si="0"/>
        <v>Propano:kg :: DEFRA:2022</v>
      </c>
      <c r="H6" s="252">
        <f>15*35</f>
        <v>525</v>
      </c>
      <c r="I6" s="91" t="s">
        <v>557</v>
      </c>
      <c r="J6" s="85" t="s">
        <v>2835</v>
      </c>
      <c r="K6" s="85"/>
      <c r="L6" s="260" t="s">
        <v>2842</v>
      </c>
      <c r="M6" s="214" t="s">
        <v>1863</v>
      </c>
      <c r="N6" s="227" t="s">
        <v>1953</v>
      </c>
      <c r="O6" s="227" t="s">
        <v>2815</v>
      </c>
    </row>
    <row r="7" spans="1:15" ht="15.75" thickBot="1" x14ac:dyDescent="0.3">
      <c r="A7" s="82" t="s">
        <v>1915</v>
      </c>
      <c r="B7" s="82" t="s">
        <v>1915</v>
      </c>
      <c r="C7" s="82" t="str">
        <f t="shared" si="1"/>
        <v>X</v>
      </c>
      <c r="D7" s="216">
        <v>2022</v>
      </c>
      <c r="E7" s="83" t="s">
        <v>2832</v>
      </c>
      <c r="F7" s="122" t="s">
        <v>2834</v>
      </c>
      <c r="G7" s="216" t="str">
        <f t="shared" si="0"/>
        <v>GPL:kg :: DEFRA:2022</v>
      </c>
      <c r="H7" s="124">
        <v>1150</v>
      </c>
      <c r="I7" s="91" t="s">
        <v>557</v>
      </c>
      <c r="J7" s="85"/>
      <c r="K7" s="85" t="s">
        <v>3466</v>
      </c>
      <c r="L7" s="260" t="s">
        <v>2842</v>
      </c>
      <c r="M7" s="214" t="s">
        <v>1863</v>
      </c>
      <c r="N7" s="227" t="s">
        <v>1953</v>
      </c>
      <c r="O7" s="227" t="s">
        <v>2815</v>
      </c>
    </row>
    <row r="8" spans="1:15" ht="15.75" thickBot="1" x14ac:dyDescent="0.3">
      <c r="A8" s="82" t="s">
        <v>1916</v>
      </c>
      <c r="B8" s="82" t="s">
        <v>1916</v>
      </c>
      <c r="C8" s="82" t="str">
        <f t="shared" si="1"/>
        <v>X</v>
      </c>
      <c r="D8" s="216">
        <v>2022</v>
      </c>
      <c r="E8" s="83" t="s">
        <v>2832</v>
      </c>
      <c r="F8" s="122" t="s">
        <v>2940</v>
      </c>
      <c r="G8" s="216" t="str">
        <f t="shared" si="0"/>
        <v>GN:kg :: DEFRA:2022</v>
      </c>
      <c r="H8" s="124">
        <v>0</v>
      </c>
      <c r="I8" s="91" t="s">
        <v>557</v>
      </c>
      <c r="J8" s="85" t="s">
        <v>2836</v>
      </c>
      <c r="K8" s="85" t="s">
        <v>3467</v>
      </c>
      <c r="L8" s="260" t="s">
        <v>2842</v>
      </c>
      <c r="M8" s="214" t="s">
        <v>1863</v>
      </c>
      <c r="N8" s="227" t="s">
        <v>1953</v>
      </c>
      <c r="O8" s="227" t="s">
        <v>2815</v>
      </c>
    </row>
    <row r="9" spans="1:15" ht="15.75" thickBot="1" x14ac:dyDescent="0.3">
      <c r="A9" s="82" t="s">
        <v>4583</v>
      </c>
      <c r="B9" s="82" t="s">
        <v>4583</v>
      </c>
      <c r="C9" s="82" t="str">
        <f t="shared" si="1"/>
        <v>X</v>
      </c>
      <c r="D9" s="216">
        <v>2022</v>
      </c>
      <c r="E9" s="83" t="s">
        <v>2832</v>
      </c>
      <c r="F9" s="122" t="s">
        <v>2940</v>
      </c>
      <c r="G9" s="216" t="str">
        <f t="shared" si="0"/>
        <v>GN:kg :: DEFRA:2022</v>
      </c>
      <c r="H9" s="124">
        <v>2611</v>
      </c>
      <c r="I9" s="266" t="s">
        <v>557</v>
      </c>
      <c r="J9" s="85" t="s">
        <v>2837</v>
      </c>
      <c r="K9" s="85"/>
      <c r="L9" s="260" t="s">
        <v>2842</v>
      </c>
      <c r="M9" s="214" t="s">
        <v>1863</v>
      </c>
      <c r="N9" s="227" t="s">
        <v>1953</v>
      </c>
      <c r="O9" s="227" t="s">
        <v>2815</v>
      </c>
    </row>
    <row r="10" spans="1:15" ht="15.75" thickBot="1" x14ac:dyDescent="0.3">
      <c r="A10" s="82" t="s">
        <v>4591</v>
      </c>
      <c r="B10" s="82" t="s">
        <v>4591</v>
      </c>
      <c r="C10" s="82" t="str">
        <f t="shared" si="1"/>
        <v>X</v>
      </c>
      <c r="D10" s="216">
        <v>2022</v>
      </c>
      <c r="E10" s="83" t="s">
        <v>600</v>
      </c>
      <c r="F10" s="122" t="s">
        <v>599</v>
      </c>
      <c r="G10" s="216" t="str">
        <f t="shared" si="0"/>
        <v>Propano:kg :: DEFRA:2022</v>
      </c>
      <c r="H10" s="124">
        <v>405</v>
      </c>
      <c r="I10" s="91" t="s">
        <v>557</v>
      </c>
      <c r="J10" s="85"/>
      <c r="K10" s="85"/>
      <c r="L10" s="260" t="s">
        <v>2842</v>
      </c>
      <c r="M10" s="214" t="s">
        <v>1863</v>
      </c>
      <c r="N10" s="227" t="s">
        <v>1953</v>
      </c>
      <c r="O10" s="227" t="s">
        <v>2815</v>
      </c>
    </row>
    <row r="11" spans="1:15" ht="15.75" thickBot="1" x14ac:dyDescent="0.3">
      <c r="A11" s="82" t="s">
        <v>4590</v>
      </c>
      <c r="B11" s="82" t="s">
        <v>4590</v>
      </c>
      <c r="C11" s="82" t="str">
        <f t="shared" si="1"/>
        <v>X</v>
      </c>
      <c r="D11" s="216">
        <v>2022</v>
      </c>
      <c r="E11" s="83" t="s">
        <v>600</v>
      </c>
      <c r="F11" s="122" t="s">
        <v>599</v>
      </c>
      <c r="G11" s="216" t="str">
        <f t="shared" si="0"/>
        <v>Propano:kg :: DEFRA:2022</v>
      </c>
      <c r="H11" s="124">
        <v>1432</v>
      </c>
      <c r="I11" s="91" t="s">
        <v>557</v>
      </c>
      <c r="J11" s="85"/>
      <c r="K11" s="85"/>
      <c r="L11" s="260" t="s">
        <v>2842</v>
      </c>
      <c r="M11" s="214" t="s">
        <v>1863</v>
      </c>
      <c r="N11" s="227" t="s">
        <v>1953</v>
      </c>
      <c r="O11" s="227" t="s">
        <v>2815</v>
      </c>
    </row>
    <row r="12" spans="1:15" ht="15.75" thickBot="1" x14ac:dyDescent="0.3">
      <c r="A12" s="82" t="s">
        <v>4590</v>
      </c>
      <c r="B12" s="82" t="s">
        <v>4590</v>
      </c>
      <c r="C12" s="82" t="str">
        <f t="shared" si="1"/>
        <v>X</v>
      </c>
      <c r="D12" s="216">
        <v>2022</v>
      </c>
      <c r="E12" s="83" t="s">
        <v>1659</v>
      </c>
      <c r="F12" s="122" t="s">
        <v>599</v>
      </c>
      <c r="G12" s="216" t="str">
        <f t="shared" si="0"/>
        <v>Propano:kg :: DEFRA:2022</v>
      </c>
      <c r="H12" s="124">
        <v>1100</v>
      </c>
      <c r="I12" s="91" t="s">
        <v>557</v>
      </c>
      <c r="J12" s="85" t="s">
        <v>2838</v>
      </c>
      <c r="K12" s="85"/>
      <c r="L12" s="260" t="s">
        <v>2842</v>
      </c>
      <c r="M12" s="214" t="s">
        <v>1863</v>
      </c>
      <c r="N12" s="227" t="s">
        <v>1953</v>
      </c>
      <c r="O12" s="227" t="s">
        <v>2815</v>
      </c>
    </row>
    <row r="13" spans="1:15" ht="15.75" thickBot="1" x14ac:dyDescent="0.3">
      <c r="A13" s="82" t="s">
        <v>4590</v>
      </c>
      <c r="B13" s="82" t="s">
        <v>4590</v>
      </c>
      <c r="C13" s="82" t="str">
        <f t="shared" si="1"/>
        <v>X</v>
      </c>
      <c r="D13" s="216">
        <v>2022</v>
      </c>
      <c r="E13" s="83" t="s">
        <v>2833</v>
      </c>
      <c r="F13" s="122" t="s">
        <v>620</v>
      </c>
      <c r="G13" s="216" t="str">
        <f t="shared" si="0"/>
        <v>Gasóleo:l :: DEFRA:2022</v>
      </c>
      <c r="H13" s="124">
        <v>60</v>
      </c>
      <c r="I13" s="91" t="s">
        <v>630</v>
      </c>
      <c r="J13" s="85"/>
      <c r="K13" s="85"/>
      <c r="L13" s="260" t="s">
        <v>2842</v>
      </c>
      <c r="M13" s="214" t="s">
        <v>1861</v>
      </c>
      <c r="N13" s="227" t="s">
        <v>1953</v>
      </c>
      <c r="O13" s="227" t="s">
        <v>2815</v>
      </c>
    </row>
    <row r="14" spans="1:15" ht="15.75" thickBot="1" x14ac:dyDescent="0.3">
      <c r="A14" s="82" t="s">
        <v>4590</v>
      </c>
      <c r="B14" s="82" t="s">
        <v>4590</v>
      </c>
      <c r="C14" s="82" t="str">
        <f t="shared" si="1"/>
        <v>X</v>
      </c>
      <c r="D14" s="216">
        <v>2022</v>
      </c>
      <c r="E14" s="83" t="s">
        <v>1659</v>
      </c>
      <c r="F14" s="122" t="s">
        <v>1933</v>
      </c>
      <c r="G14" s="216" t="str">
        <f t="shared" si="0"/>
        <v>Gasolina:l :: DEFRA:2022</v>
      </c>
      <c r="H14" s="124">
        <v>137.88</v>
      </c>
      <c r="I14" s="91" t="s">
        <v>630</v>
      </c>
      <c r="J14" s="85" t="s">
        <v>2839</v>
      </c>
      <c r="K14" s="85"/>
      <c r="L14" s="260" t="s">
        <v>2842</v>
      </c>
      <c r="M14" s="214" t="s">
        <v>1861</v>
      </c>
      <c r="N14" s="227" t="s">
        <v>1953</v>
      </c>
      <c r="O14" s="227" t="s">
        <v>2815</v>
      </c>
    </row>
    <row r="15" spans="1:15" ht="15.75" thickBot="1" x14ac:dyDescent="0.3">
      <c r="A15" s="82" t="s">
        <v>4590</v>
      </c>
      <c r="B15" s="82" t="s">
        <v>4590</v>
      </c>
      <c r="C15" s="82" t="str">
        <f>IF(A15=B15,"X",RIGHT(A15,LEN(A15)-LEN(B15)-3))</f>
        <v>X</v>
      </c>
      <c r="D15" s="216">
        <v>2022</v>
      </c>
      <c r="E15" s="83" t="s">
        <v>2840</v>
      </c>
      <c r="F15" s="122" t="s">
        <v>620</v>
      </c>
      <c r="G15" s="216" t="str">
        <f t="shared" si="0"/>
        <v>Gasóleo:l :: DEFRA:2022</v>
      </c>
      <c r="H15" s="124">
        <v>545</v>
      </c>
      <c r="I15" s="91" t="s">
        <v>630</v>
      </c>
      <c r="J15" s="85" t="s">
        <v>2840</v>
      </c>
      <c r="K15" s="85"/>
      <c r="L15" s="260" t="s">
        <v>2842</v>
      </c>
      <c r="M15" s="214" t="s">
        <v>1861</v>
      </c>
      <c r="N15" s="227" t="s">
        <v>1953</v>
      </c>
      <c r="O15" s="227" t="s">
        <v>2815</v>
      </c>
    </row>
    <row r="16" spans="1:15" ht="15.75" thickBot="1" x14ac:dyDescent="0.3">
      <c r="A16" s="82" t="s">
        <v>2817</v>
      </c>
      <c r="B16" s="82" t="s">
        <v>2817</v>
      </c>
      <c r="C16" s="82" t="str">
        <f t="shared" si="1"/>
        <v>X</v>
      </c>
      <c r="D16" s="216">
        <v>2022</v>
      </c>
      <c r="E16" s="83" t="s">
        <v>600</v>
      </c>
      <c r="F16" s="122" t="s">
        <v>599</v>
      </c>
      <c r="G16" s="216" t="str">
        <f t="shared" si="0"/>
        <v>Propano:kg :: DEFRA:2022</v>
      </c>
      <c r="H16" s="124">
        <v>225</v>
      </c>
      <c r="I16" s="91" t="s">
        <v>557</v>
      </c>
      <c r="J16" s="85"/>
      <c r="K16" s="85"/>
      <c r="L16" s="260" t="s">
        <v>2842</v>
      </c>
      <c r="M16" s="214" t="s">
        <v>1863</v>
      </c>
      <c r="N16" s="227" t="s">
        <v>1953</v>
      </c>
      <c r="O16" s="227" t="s">
        <v>2815</v>
      </c>
    </row>
    <row r="17" spans="1:15" ht="15.75" thickBot="1" x14ac:dyDescent="0.3">
      <c r="A17" s="82" t="s">
        <v>4593</v>
      </c>
      <c r="B17" s="82" t="s">
        <v>4593</v>
      </c>
      <c r="C17" s="82" t="str">
        <f t="shared" si="1"/>
        <v>X</v>
      </c>
      <c r="D17" s="216">
        <v>2022</v>
      </c>
      <c r="E17" s="83" t="s">
        <v>2833</v>
      </c>
      <c r="F17" s="122" t="s">
        <v>620</v>
      </c>
      <c r="G17" s="216" t="str">
        <f t="shared" si="0"/>
        <v>Gasóleo:l :: DEFRA:2022</v>
      </c>
      <c r="H17" s="124">
        <v>9980</v>
      </c>
      <c r="I17" s="91" t="s">
        <v>630</v>
      </c>
      <c r="J17" s="85"/>
      <c r="K17" s="85"/>
      <c r="L17" s="260" t="s">
        <v>2842</v>
      </c>
      <c r="M17" s="214" t="s">
        <v>1861</v>
      </c>
      <c r="N17" s="227" t="s">
        <v>1953</v>
      </c>
      <c r="O17" s="227" t="s">
        <v>2815</v>
      </c>
    </row>
    <row r="18" spans="1:15" ht="30.75" thickBot="1" x14ac:dyDescent="0.3">
      <c r="A18" s="82" t="s">
        <v>4602</v>
      </c>
      <c r="B18" s="82" t="s">
        <v>4602</v>
      </c>
      <c r="C18" s="82" t="str">
        <f t="shared" si="1"/>
        <v>X</v>
      </c>
      <c r="D18" s="216">
        <v>2022</v>
      </c>
      <c r="E18" s="83" t="s">
        <v>2833</v>
      </c>
      <c r="F18" s="122" t="s">
        <v>620</v>
      </c>
      <c r="G18" s="216" t="str">
        <f t="shared" si="0"/>
        <v>Gasóleo:l :: DEFRA:2022</v>
      </c>
      <c r="H18" s="124">
        <v>0</v>
      </c>
      <c r="I18" s="91" t="s">
        <v>630</v>
      </c>
      <c r="J18" s="85" t="s">
        <v>3465</v>
      </c>
      <c r="K18" s="85"/>
      <c r="L18" s="260" t="s">
        <v>2842</v>
      </c>
      <c r="M18" s="214" t="s">
        <v>1861</v>
      </c>
      <c r="N18" s="227" t="s">
        <v>1953</v>
      </c>
      <c r="O18" s="227" t="s">
        <v>2815</v>
      </c>
    </row>
    <row r="19" spans="1:15" ht="15.75" thickBot="1" x14ac:dyDescent="0.3">
      <c r="A19" t="s">
        <v>4598</v>
      </c>
      <c r="B19" t="s">
        <v>4598</v>
      </c>
      <c r="C19" s="82" t="str">
        <f t="shared" si="1"/>
        <v>X</v>
      </c>
      <c r="D19" s="216">
        <v>2022</v>
      </c>
      <c r="E19" s="83" t="s">
        <v>600</v>
      </c>
      <c r="F19" s="122" t="s">
        <v>599</v>
      </c>
      <c r="G19" s="216" t="str">
        <f t="shared" si="0"/>
        <v>Propano:kg :: DEFRA:2022</v>
      </c>
      <c r="H19" s="124">
        <v>32</v>
      </c>
      <c r="I19" s="91" t="s">
        <v>557</v>
      </c>
      <c r="J19" s="85"/>
      <c r="K19" s="85" t="s">
        <v>3799</v>
      </c>
      <c r="L19" s="260" t="s">
        <v>2842</v>
      </c>
      <c r="M19" s="214" t="s">
        <v>1863</v>
      </c>
      <c r="N19" s="227" t="s">
        <v>1953</v>
      </c>
      <c r="O19" s="227" t="s">
        <v>2815</v>
      </c>
    </row>
    <row r="20" spans="1:15" ht="15.75" thickBot="1" x14ac:dyDescent="0.3">
      <c r="A20" t="s">
        <v>4615</v>
      </c>
      <c r="B20" t="s">
        <v>4615</v>
      </c>
      <c r="C20" s="82" t="str">
        <f t="shared" ref="C20" si="2">IF(A20=B20,"X",RIGHT(A20,LEN(A20)-LEN(B20)-3))</f>
        <v>X</v>
      </c>
      <c r="D20" s="216">
        <v>2022</v>
      </c>
      <c r="E20" s="83" t="s">
        <v>2833</v>
      </c>
      <c r="F20" s="122" t="s">
        <v>620</v>
      </c>
      <c r="G20" s="216" t="str">
        <f t="shared" si="0"/>
        <v>Gasóleo:l :: DEFRA:2022</v>
      </c>
      <c r="H20" s="391">
        <v>250</v>
      </c>
      <c r="I20" s="91" t="s">
        <v>630</v>
      </c>
      <c r="J20" s="85"/>
      <c r="K20" s="85"/>
      <c r="L20" s="260" t="s">
        <v>2842</v>
      </c>
      <c r="M20" s="214" t="s">
        <v>1861</v>
      </c>
      <c r="N20" s="227" t="s">
        <v>1953</v>
      </c>
      <c r="O20" s="227" t="s">
        <v>2815</v>
      </c>
    </row>
    <row r="21" spans="1:15" ht="15.75" thickBot="1" x14ac:dyDescent="0.3">
      <c r="A21" s="424" t="s">
        <v>45</v>
      </c>
      <c r="B21" s="424" t="str">
        <f>LEFT(A21,IFERROR(FIND(" - ",A21)-1,LEN(A21)))</f>
        <v>Barraqueiro Transportes, S.A.</v>
      </c>
      <c r="C21" s="424" t="str">
        <f>IF(A21=B21,"X",RIGHT(A21,LEN(A21)-LEN(B21)-3))</f>
        <v>X</v>
      </c>
      <c r="D21" s="390">
        <v>2023</v>
      </c>
      <c r="E21" s="425" t="s">
        <v>600</v>
      </c>
      <c r="F21" s="431" t="s">
        <v>599</v>
      </c>
      <c r="G21" s="216" t="str">
        <f>F21&amp;":"&amp;M21&amp;" :: "&amp;L21</f>
        <v>Propano:kg :: DEFRA:2023</v>
      </c>
      <c r="H21" s="432">
        <v>735</v>
      </c>
      <c r="I21" s="429" t="s">
        <v>557</v>
      </c>
      <c r="J21" s="427"/>
      <c r="K21" s="427"/>
      <c r="L21" s="260" t="s">
        <v>4685</v>
      </c>
      <c r="M21" s="214" t="s">
        <v>1863</v>
      </c>
      <c r="N21" s="227" t="s">
        <v>1953</v>
      </c>
      <c r="O21" s="227" t="s">
        <v>2815</v>
      </c>
    </row>
    <row r="22" spans="1:15" ht="15.75" thickBot="1" x14ac:dyDescent="0.3">
      <c r="A22" s="424" t="s">
        <v>3473</v>
      </c>
      <c r="B22" s="424" t="str">
        <f>LEFT(A22,IFERROR(FIND(" - ",A22)-1,LEN(A22)))</f>
        <v>Barraqueiro Transportes, S.A.</v>
      </c>
      <c r="C22" s="424" t="str">
        <f>IF(A22=B22,"X",RIGHT(A22,LEN(A22)-LEN(B22)-3))</f>
        <v>Barraqueiro Oeste</v>
      </c>
      <c r="D22" s="390">
        <v>2023</v>
      </c>
      <c r="E22" s="425" t="s">
        <v>600</v>
      </c>
      <c r="F22" s="431" t="s">
        <v>599</v>
      </c>
      <c r="G22" s="216" t="str">
        <f t="shared" ref="G22:G39" si="3">F22&amp;":"&amp;M22&amp;" :: "&amp;L22</f>
        <v>Propano:kg :: DEFRA:2023</v>
      </c>
      <c r="H22" s="432">
        <v>735</v>
      </c>
      <c r="I22" s="429" t="s">
        <v>557</v>
      </c>
      <c r="J22" s="427"/>
      <c r="K22" s="427"/>
      <c r="L22" s="260" t="s">
        <v>4685</v>
      </c>
      <c r="M22" s="214" t="s">
        <v>1863</v>
      </c>
      <c r="N22" s="227" t="s">
        <v>1953</v>
      </c>
      <c r="O22" s="227" t="s">
        <v>2815</v>
      </c>
    </row>
    <row r="23" spans="1:15" ht="15.75" thickBot="1" x14ac:dyDescent="0.3">
      <c r="A23" s="424" t="s">
        <v>4591</v>
      </c>
      <c r="B23" t="s">
        <v>4591</v>
      </c>
      <c r="C23" s="424" t="str">
        <f t="shared" ref="C23:C39" si="4">IF(A23=B23,"X",RIGHT(A23,LEN(A23)-LEN(B23)-3))</f>
        <v>X</v>
      </c>
      <c r="D23" s="390">
        <v>2023</v>
      </c>
      <c r="E23" s="425" t="s">
        <v>600</v>
      </c>
      <c r="F23" s="431" t="s">
        <v>599</v>
      </c>
      <c r="G23" s="216" t="str">
        <f t="shared" si="3"/>
        <v>Propano:kg :: DEFRA:2023</v>
      </c>
      <c r="H23" s="432">
        <v>225</v>
      </c>
      <c r="I23" s="429" t="s">
        <v>557</v>
      </c>
      <c r="J23" s="427"/>
      <c r="K23" s="427"/>
      <c r="L23" s="260" t="s">
        <v>4685</v>
      </c>
      <c r="M23" s="214" t="s">
        <v>1863</v>
      </c>
      <c r="N23" s="227" t="s">
        <v>1953</v>
      </c>
      <c r="O23" s="227" t="s">
        <v>2815</v>
      </c>
    </row>
    <row r="24" spans="1:15" ht="15.75" thickBot="1" x14ac:dyDescent="0.3">
      <c r="A24" s="424" t="s">
        <v>1916</v>
      </c>
      <c r="B24" t="s">
        <v>1916</v>
      </c>
      <c r="C24" s="424" t="str">
        <f t="shared" si="4"/>
        <v>X</v>
      </c>
      <c r="D24" s="390">
        <v>2023</v>
      </c>
      <c r="E24" s="425" t="s">
        <v>2832</v>
      </c>
      <c r="F24" s="431" t="s">
        <v>1944</v>
      </c>
      <c r="G24" s="216" t="str">
        <f t="shared" si="3"/>
        <v>GNC:kg :: DEFRA:2023</v>
      </c>
      <c r="H24" s="432">
        <v>0</v>
      </c>
      <c r="I24" s="429" t="s">
        <v>557</v>
      </c>
      <c r="J24" s="427" t="s">
        <v>2836</v>
      </c>
      <c r="K24" s="427" t="s">
        <v>3467</v>
      </c>
      <c r="L24" s="260" t="s">
        <v>4685</v>
      </c>
      <c r="M24" s="214" t="s">
        <v>1863</v>
      </c>
      <c r="N24" s="227" t="s">
        <v>1953</v>
      </c>
      <c r="O24" s="227" t="s">
        <v>2815</v>
      </c>
    </row>
    <row r="25" spans="1:15" ht="15.75" thickBot="1" x14ac:dyDescent="0.3">
      <c r="A25" s="424" t="s">
        <v>4615</v>
      </c>
      <c r="B25" t="s">
        <v>4615</v>
      </c>
      <c r="C25" s="424" t="str">
        <f t="shared" si="4"/>
        <v>X</v>
      </c>
      <c r="D25" s="390">
        <v>2023</v>
      </c>
      <c r="E25" s="425" t="s">
        <v>2833</v>
      </c>
      <c r="F25" s="431" t="s">
        <v>620</v>
      </c>
      <c r="G25" s="216" t="str">
        <f t="shared" si="3"/>
        <v>Gasóleo:kg :: DEFRA:2023</v>
      </c>
      <c r="H25" s="432">
        <v>280</v>
      </c>
      <c r="I25" s="429" t="s">
        <v>630</v>
      </c>
      <c r="J25" s="427"/>
      <c r="K25" s="427" t="s">
        <v>4691</v>
      </c>
      <c r="L25" s="260" t="s">
        <v>4685</v>
      </c>
      <c r="M25" s="214" t="s">
        <v>1863</v>
      </c>
      <c r="N25" s="227" t="s">
        <v>1953</v>
      </c>
      <c r="O25" s="227" t="s">
        <v>2815</v>
      </c>
    </row>
    <row r="26" spans="1:15" ht="15.75" thickBot="1" x14ac:dyDescent="0.3">
      <c r="A26" s="424" t="s">
        <v>4583</v>
      </c>
      <c r="B26" t="s">
        <v>4583</v>
      </c>
      <c r="C26" s="424" t="str">
        <f t="shared" si="4"/>
        <v>X</v>
      </c>
      <c r="D26" s="390">
        <v>2023</v>
      </c>
      <c r="E26" s="425" t="s">
        <v>2832</v>
      </c>
      <c r="F26" s="431" t="s">
        <v>599</v>
      </c>
      <c r="G26" s="216" t="str">
        <f t="shared" si="3"/>
        <v>Propano:kg :: DEFRA:2023</v>
      </c>
      <c r="H26" s="432">
        <v>1305.5</v>
      </c>
      <c r="I26" s="429" t="s">
        <v>557</v>
      </c>
      <c r="J26" s="427" t="s">
        <v>2837</v>
      </c>
      <c r="K26" s="427"/>
      <c r="L26" s="260" t="s">
        <v>4685</v>
      </c>
      <c r="M26" s="214" t="s">
        <v>1863</v>
      </c>
      <c r="N26" s="227" t="s">
        <v>1953</v>
      </c>
      <c r="O26" s="227" t="s">
        <v>2815</v>
      </c>
    </row>
    <row r="27" spans="1:15" ht="15.75" thickBot="1" x14ac:dyDescent="0.3">
      <c r="A27" s="424" t="s">
        <v>2817</v>
      </c>
      <c r="B27" t="s">
        <v>2817</v>
      </c>
      <c r="C27" s="424" t="str">
        <f t="shared" si="4"/>
        <v>X</v>
      </c>
      <c r="D27" s="390">
        <v>2023</v>
      </c>
      <c r="E27" s="425" t="s">
        <v>600</v>
      </c>
      <c r="F27" s="431" t="s">
        <v>599</v>
      </c>
      <c r="G27" s="216" t="str">
        <f t="shared" si="3"/>
        <v>Propano:kg :: DEFRA:2023</v>
      </c>
      <c r="H27" s="432">
        <v>270</v>
      </c>
      <c r="I27" s="429" t="s">
        <v>557</v>
      </c>
      <c r="J27" s="427"/>
      <c r="K27" s="427"/>
      <c r="L27" s="260" t="s">
        <v>4685</v>
      </c>
      <c r="M27" s="214" t="s">
        <v>1863</v>
      </c>
      <c r="N27" s="227" t="s">
        <v>1953</v>
      </c>
      <c r="O27" s="227" t="s">
        <v>2815</v>
      </c>
    </row>
    <row r="28" spans="1:15" ht="15.75" thickBot="1" x14ac:dyDescent="0.3">
      <c r="A28" s="424" t="s">
        <v>3475</v>
      </c>
      <c r="B28" t="s">
        <v>3475</v>
      </c>
      <c r="C28" s="424" t="str">
        <f t="shared" si="4"/>
        <v>X</v>
      </c>
      <c r="D28" s="390">
        <v>2023</v>
      </c>
      <c r="E28" s="425" t="s">
        <v>2833</v>
      </c>
      <c r="F28" s="431" t="s">
        <v>620</v>
      </c>
      <c r="G28" s="216" t="str">
        <f t="shared" si="3"/>
        <v>Gasóleo:kg :: DEFRA:2023</v>
      </c>
      <c r="H28" s="432">
        <v>14187.91</v>
      </c>
      <c r="I28" s="429" t="s">
        <v>630</v>
      </c>
      <c r="J28" s="427" t="s">
        <v>4686</v>
      </c>
      <c r="K28" s="427"/>
      <c r="L28" s="260" t="s">
        <v>4685</v>
      </c>
      <c r="M28" s="214" t="s">
        <v>1863</v>
      </c>
      <c r="N28" s="227" t="s">
        <v>1953</v>
      </c>
      <c r="O28" s="227" t="s">
        <v>2815</v>
      </c>
    </row>
    <row r="29" spans="1:15" ht="15.75" thickBot="1" x14ac:dyDescent="0.3">
      <c r="A29" s="424" t="s">
        <v>4593</v>
      </c>
      <c r="B29" t="s">
        <v>4593</v>
      </c>
      <c r="C29" s="424" t="str">
        <f t="shared" si="4"/>
        <v>X</v>
      </c>
      <c r="D29" s="390">
        <v>2023</v>
      </c>
      <c r="E29" s="425" t="s">
        <v>2832</v>
      </c>
      <c r="F29" s="431" t="s">
        <v>620</v>
      </c>
      <c r="G29" s="216" t="str">
        <f t="shared" si="3"/>
        <v>Gasóleo:kg :: DEFRA:2023</v>
      </c>
      <c r="H29" s="432">
        <v>385</v>
      </c>
      <c r="I29" s="429" t="s">
        <v>630</v>
      </c>
      <c r="J29" s="427" t="s">
        <v>4687</v>
      </c>
      <c r="K29" s="427"/>
      <c r="L29" s="260" t="s">
        <v>4685</v>
      </c>
      <c r="M29" s="214" t="s">
        <v>1863</v>
      </c>
      <c r="N29" s="227" t="s">
        <v>1953</v>
      </c>
      <c r="O29" s="227" t="s">
        <v>2815</v>
      </c>
    </row>
    <row r="30" spans="1:15" ht="15.75" thickBot="1" x14ac:dyDescent="0.3">
      <c r="A30" s="424" t="s">
        <v>1910</v>
      </c>
      <c r="B30" t="s">
        <v>1910</v>
      </c>
      <c r="C30" s="424" t="str">
        <f t="shared" si="4"/>
        <v>X</v>
      </c>
      <c r="D30" s="390">
        <v>2023</v>
      </c>
      <c r="E30" s="425" t="s">
        <v>2840</v>
      </c>
      <c r="F30" s="431" t="s">
        <v>620</v>
      </c>
      <c r="G30" s="216" t="str">
        <f t="shared" si="3"/>
        <v>Gasóleo:kg :: DEFRA:2023</v>
      </c>
      <c r="H30" s="432">
        <v>2313.79</v>
      </c>
      <c r="I30" s="429" t="s">
        <v>630</v>
      </c>
      <c r="J30" s="427"/>
      <c r="K30" s="427" t="s">
        <v>4692</v>
      </c>
      <c r="L30" s="260" t="s">
        <v>4685</v>
      </c>
      <c r="M30" s="214" t="s">
        <v>1863</v>
      </c>
      <c r="N30" s="227" t="s">
        <v>1953</v>
      </c>
      <c r="O30" s="227" t="s">
        <v>2815</v>
      </c>
    </row>
    <row r="31" spans="1:15" ht="15.75" thickBot="1" x14ac:dyDescent="0.3">
      <c r="A31" s="424" t="s">
        <v>1910</v>
      </c>
      <c r="B31" t="s">
        <v>1910</v>
      </c>
      <c r="C31" s="424" t="str">
        <f t="shared" si="4"/>
        <v>X</v>
      </c>
      <c r="D31" s="390">
        <v>2023</v>
      </c>
      <c r="E31" s="425" t="s">
        <v>600</v>
      </c>
      <c r="F31" s="431" t="s">
        <v>599</v>
      </c>
      <c r="G31" s="216" t="str">
        <f t="shared" si="3"/>
        <v>Propano:kg :: DEFRA:2023</v>
      </c>
      <c r="H31" s="432">
        <v>398.49624060150376</v>
      </c>
      <c r="I31" s="429" t="s">
        <v>557</v>
      </c>
      <c r="J31" s="427" t="s">
        <v>4688</v>
      </c>
      <c r="K31" s="427" t="s">
        <v>4693</v>
      </c>
      <c r="L31" s="260" t="s">
        <v>4685</v>
      </c>
      <c r="M31" s="214" t="s">
        <v>1863</v>
      </c>
      <c r="N31" s="227" t="s">
        <v>1953</v>
      </c>
      <c r="O31" s="227" t="s">
        <v>2815</v>
      </c>
    </row>
    <row r="32" spans="1:15" ht="15.75" thickBot="1" x14ac:dyDescent="0.3">
      <c r="A32" s="424" t="s">
        <v>4598</v>
      </c>
      <c r="B32" t="s">
        <v>4598</v>
      </c>
      <c r="C32" s="424" t="str">
        <f t="shared" si="4"/>
        <v>X</v>
      </c>
      <c r="D32" s="390">
        <v>2023</v>
      </c>
      <c r="E32" s="425" t="s">
        <v>600</v>
      </c>
      <c r="F32" s="431" t="s">
        <v>599</v>
      </c>
      <c r="G32" s="216" t="str">
        <f t="shared" si="3"/>
        <v>Propano:kg :: DEFRA:2023</v>
      </c>
      <c r="H32" s="432">
        <v>46</v>
      </c>
      <c r="I32" s="429" t="s">
        <v>557</v>
      </c>
      <c r="J32" s="427"/>
      <c r="K32" s="427" t="s">
        <v>4694</v>
      </c>
      <c r="L32" s="260" t="s">
        <v>4685</v>
      </c>
      <c r="M32" s="214" t="s">
        <v>1863</v>
      </c>
      <c r="N32" s="227" t="s">
        <v>1953</v>
      </c>
      <c r="O32" s="227" t="s">
        <v>2815</v>
      </c>
    </row>
    <row r="33" spans="1:15" ht="15.75" thickBot="1" x14ac:dyDescent="0.3">
      <c r="A33" s="424" t="s">
        <v>4668</v>
      </c>
      <c r="B33" t="s">
        <v>4668</v>
      </c>
      <c r="C33" s="424" t="str">
        <f t="shared" si="4"/>
        <v>X</v>
      </c>
      <c r="D33" s="390">
        <v>2023</v>
      </c>
      <c r="E33" s="425" t="s">
        <v>1659</v>
      </c>
      <c r="F33" s="431" t="s">
        <v>620</v>
      </c>
      <c r="G33" s="216" t="str">
        <f t="shared" si="3"/>
        <v>Gasóleo:kg :: DEFRA:2023</v>
      </c>
      <c r="H33" s="432">
        <v>87.72</v>
      </c>
      <c r="I33" s="429" t="s">
        <v>630</v>
      </c>
      <c r="J33" s="427"/>
      <c r="K33" s="427" t="s">
        <v>4695</v>
      </c>
      <c r="L33" s="260" t="s">
        <v>4685</v>
      </c>
      <c r="M33" s="214" t="s">
        <v>1863</v>
      </c>
      <c r="N33" s="227" t="s">
        <v>1953</v>
      </c>
      <c r="O33" s="227" t="s">
        <v>2815</v>
      </c>
    </row>
    <row r="34" spans="1:15" ht="15.75" thickBot="1" x14ac:dyDescent="0.3">
      <c r="A34" s="424" t="s">
        <v>4668</v>
      </c>
      <c r="B34" t="s">
        <v>4668</v>
      </c>
      <c r="C34" s="424" t="str">
        <f t="shared" si="4"/>
        <v>X</v>
      </c>
      <c r="D34" s="390">
        <v>2023</v>
      </c>
      <c r="E34" s="425" t="s">
        <v>600</v>
      </c>
      <c r="F34" s="431" t="s">
        <v>599</v>
      </c>
      <c r="G34" s="216" t="str">
        <f t="shared" si="3"/>
        <v>Propano:kg :: DEFRA:2023</v>
      </c>
      <c r="H34" s="432">
        <v>2132</v>
      </c>
      <c r="I34" s="429" t="s">
        <v>557</v>
      </c>
      <c r="J34" s="427"/>
      <c r="K34" s="427"/>
      <c r="L34" s="260" t="s">
        <v>4685</v>
      </c>
      <c r="M34" s="214" t="s">
        <v>1863</v>
      </c>
      <c r="N34" s="227" t="s">
        <v>1953</v>
      </c>
      <c r="O34" s="227" t="s">
        <v>2815</v>
      </c>
    </row>
    <row r="35" spans="1:15" ht="15.75" thickBot="1" x14ac:dyDescent="0.3">
      <c r="A35" s="424" t="s">
        <v>4668</v>
      </c>
      <c r="B35" t="s">
        <v>4668</v>
      </c>
      <c r="C35" s="424" t="str">
        <f t="shared" si="4"/>
        <v>X</v>
      </c>
      <c r="D35" s="390">
        <v>2023</v>
      </c>
      <c r="E35" s="425" t="s">
        <v>1659</v>
      </c>
      <c r="F35" s="431" t="s">
        <v>599</v>
      </c>
      <c r="G35" s="216" t="str">
        <f t="shared" si="3"/>
        <v>Propano:kg :: DEFRA:2023</v>
      </c>
      <c r="H35" s="432">
        <v>3500</v>
      </c>
      <c r="I35" s="429" t="s">
        <v>557</v>
      </c>
      <c r="J35" s="427" t="s">
        <v>4689</v>
      </c>
      <c r="K35" s="427"/>
      <c r="L35" s="260" t="s">
        <v>4685</v>
      </c>
      <c r="M35" s="214" t="s">
        <v>1863</v>
      </c>
      <c r="N35" s="227" t="s">
        <v>1953</v>
      </c>
      <c r="O35" s="227" t="s">
        <v>2815</v>
      </c>
    </row>
    <row r="36" spans="1:15" ht="15.75" thickBot="1" x14ac:dyDescent="0.3">
      <c r="A36" s="424" t="s">
        <v>4668</v>
      </c>
      <c r="B36" t="s">
        <v>4668</v>
      </c>
      <c r="C36" s="424" t="str">
        <f t="shared" si="4"/>
        <v>X</v>
      </c>
      <c r="D36" s="390">
        <v>2023</v>
      </c>
      <c r="E36" s="425" t="s">
        <v>2840</v>
      </c>
      <c r="F36" s="431" t="s">
        <v>620</v>
      </c>
      <c r="G36" s="216" t="str">
        <f t="shared" si="3"/>
        <v>Gasóleo:kg :: DEFRA:2023</v>
      </c>
      <c r="H36" s="432">
        <v>12</v>
      </c>
      <c r="I36" s="429" t="s">
        <v>630</v>
      </c>
      <c r="J36" s="427"/>
      <c r="K36" s="427"/>
      <c r="L36" s="260" t="s">
        <v>4685</v>
      </c>
      <c r="M36" s="214" t="s">
        <v>1863</v>
      </c>
      <c r="N36" s="227" t="s">
        <v>1953</v>
      </c>
      <c r="O36" s="227" t="s">
        <v>2815</v>
      </c>
    </row>
    <row r="37" spans="1:15" ht="15.75" thickBot="1" x14ac:dyDescent="0.3">
      <c r="A37" s="424" t="s">
        <v>4668</v>
      </c>
      <c r="B37" t="s">
        <v>4668</v>
      </c>
      <c r="C37" s="424" t="str">
        <f t="shared" si="4"/>
        <v>X</v>
      </c>
      <c r="D37" s="390">
        <v>2023</v>
      </c>
      <c r="E37" s="425" t="s">
        <v>2840</v>
      </c>
      <c r="F37" s="431" t="s">
        <v>620</v>
      </c>
      <c r="G37" s="216" t="str">
        <f t="shared" si="3"/>
        <v>Gasóleo:kg :: DEFRA:2023</v>
      </c>
      <c r="H37" s="432">
        <v>178.91</v>
      </c>
      <c r="I37" s="429" t="s">
        <v>630</v>
      </c>
      <c r="J37" s="427"/>
      <c r="K37" s="427"/>
      <c r="L37" s="260" t="s">
        <v>4685</v>
      </c>
      <c r="M37" s="214" t="s">
        <v>1863</v>
      </c>
      <c r="N37" s="227" t="s">
        <v>1953</v>
      </c>
      <c r="O37" s="227" t="s">
        <v>2815</v>
      </c>
    </row>
    <row r="38" spans="1:15" ht="15.75" thickBot="1" x14ac:dyDescent="0.3">
      <c r="A38" s="424" t="s">
        <v>4602</v>
      </c>
      <c r="B38" s="423" t="s">
        <v>4602</v>
      </c>
      <c r="C38" s="424" t="str">
        <f t="shared" si="4"/>
        <v>X</v>
      </c>
      <c r="D38" s="390">
        <v>2023</v>
      </c>
      <c r="E38" s="425" t="s">
        <v>2833</v>
      </c>
      <c r="F38" s="431" t="s">
        <v>620</v>
      </c>
      <c r="G38" s="216" t="str">
        <f t="shared" si="3"/>
        <v>Gasóleo:kg :: DEFRA:2023</v>
      </c>
      <c r="H38" s="432">
        <v>0</v>
      </c>
      <c r="I38" s="429" t="s">
        <v>630</v>
      </c>
      <c r="J38" s="427" t="s">
        <v>4690</v>
      </c>
      <c r="K38" s="427"/>
      <c r="L38" s="260" t="s">
        <v>4685</v>
      </c>
      <c r="M38" s="214" t="s">
        <v>1863</v>
      </c>
      <c r="N38" s="227" t="s">
        <v>1953</v>
      </c>
      <c r="O38" s="227" t="s">
        <v>2815</v>
      </c>
    </row>
    <row r="39" spans="1:15" ht="15.75" thickBot="1" x14ac:dyDescent="0.3">
      <c r="A39" s="424" t="s">
        <v>1915</v>
      </c>
      <c r="B39" s="424" t="s">
        <v>1915</v>
      </c>
      <c r="C39" s="424" t="str">
        <f t="shared" si="4"/>
        <v>X</v>
      </c>
      <c r="D39" s="390">
        <v>2023</v>
      </c>
      <c r="E39" s="425" t="s">
        <v>2832</v>
      </c>
      <c r="F39" s="431" t="s">
        <v>2834</v>
      </c>
      <c r="G39" s="216" t="str">
        <f t="shared" si="3"/>
        <v>GPL:kg :: DEFRA:2023</v>
      </c>
      <c r="H39" s="432">
        <v>1150</v>
      </c>
      <c r="I39" s="429" t="s">
        <v>557</v>
      </c>
      <c r="J39" s="427"/>
      <c r="K39" s="427" t="s">
        <v>3466</v>
      </c>
      <c r="L39" s="260" t="s">
        <v>4685</v>
      </c>
      <c r="M39" s="214" t="s">
        <v>1863</v>
      </c>
      <c r="N39" s="227" t="s">
        <v>1953</v>
      </c>
      <c r="O39" s="227" t="s">
        <v>2815</v>
      </c>
    </row>
  </sheetData>
  <mergeCells count="12">
    <mergeCell ref="N1:N2"/>
    <mergeCell ref="O1:O2"/>
    <mergeCell ref="A1:A2"/>
    <mergeCell ref="C1:C2"/>
    <mergeCell ref="M1:M2"/>
    <mergeCell ref="B1:B2"/>
    <mergeCell ref="E1:E2"/>
    <mergeCell ref="F1:F2"/>
    <mergeCell ref="H1:H2"/>
    <mergeCell ref="I1:I2"/>
    <mergeCell ref="J1:J2"/>
    <mergeCell ref="K1:K2"/>
  </mergeCells>
  <dataValidations count="6">
    <dataValidation type="list" allowBlank="1" showInputMessage="1" showErrorMessage="1" sqref="I3:I4 I6:I29 I39">
      <formula1>"l (litros), kg (quilos), Nm3 (metros cubicos norm.), m3 (metros cúbicos)"</formula1>
    </dataValidation>
    <dataValidation type="list" allowBlank="1" showInputMessage="1" showErrorMessage="1" sqref="E3:E4 E7:E29 E39">
      <formula1>"Geradores, Aquecimento de Águas, Estufas, Empilhadores, Viaturas, Outros"</formula1>
    </dataValidation>
    <dataValidation type="list" allowBlank="1" showInputMessage="1" showErrorMessage="1" sqref="F3:F18 F20:F22 F39">
      <formula1>"Gasóleo, Gasolina, GPL, GNC, GN, GNL, GNV, Butano, Propano, H2"</formula1>
    </dataValidation>
    <dataValidation type="list" allowBlank="1" showInputMessage="1" showErrorMessage="1" sqref="E5:E6 E30:E38">
      <formula1>"Estufas, Geradores, Máquina de Lavagem, Empilhadores, Elevadores, Aquecimente do água, Outros"</formula1>
    </dataValidation>
    <dataValidation type="list" allowBlank="1" showInputMessage="1" showErrorMessage="1" sqref="I5 I30:I38">
      <formula1>"l (litros), kg (quilos), Nm3 (metros cubicos norm.)"</formula1>
    </dataValidation>
    <dataValidation type="list" allowBlank="1" showInputMessage="1" showErrorMessage="1" sqref="F19 F23:F38">
      <formula1>"Gasóleo, Gasolina, GPL, GNC, GNV, Butano, Propano, H2"</formula1>
    </dataValidation>
  </dataValidations>
  <pageMargins left="0.7" right="0.7" top="0.75" bottom="0.75" header="0.3" footer="0.3"/>
  <customProperties>
    <customPr name="GUID" r:id="rId1"/>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8"/>
  <dimension ref="B6:V45"/>
  <sheetViews>
    <sheetView workbookViewId="0"/>
  </sheetViews>
  <sheetFormatPr defaultRowHeight="15" x14ac:dyDescent="0.25"/>
  <cols>
    <col min="2" max="2" width="42.85546875" customWidth="1"/>
    <col min="3" max="3" width="28.7109375" customWidth="1"/>
    <col min="4" max="7" width="21.5703125" customWidth="1"/>
    <col min="8" max="9" width="28.28515625" customWidth="1"/>
    <col min="10" max="10" width="31.5703125" customWidth="1"/>
    <col min="11" max="12" width="28.28515625" customWidth="1"/>
  </cols>
  <sheetData>
    <row r="6" spans="2:22" ht="15.75" thickBot="1" x14ac:dyDescent="0.3"/>
    <row r="7" spans="2:22" x14ac:dyDescent="0.25">
      <c r="B7" s="78" t="s">
        <v>118</v>
      </c>
      <c r="C7" s="80"/>
    </row>
    <row r="9" spans="2:22" x14ac:dyDescent="0.25">
      <c r="B9" s="765" t="str">
        <f>"Grupo Barraqueiro: "&amp;'Folha de Rosto'!C6&amp;" "&amp;'Folha de Rosto'!I6&amp;" - Emissões de GEE de Âmbito 1"</f>
        <v>Grupo Barraqueiro: PEGADA DE CARBONO 2022 - Emissões de GEE de Âmbito 1</v>
      </c>
      <c r="C9" s="765"/>
      <c r="D9" s="765"/>
      <c r="E9" s="765"/>
      <c r="F9" s="765"/>
      <c r="G9" s="765"/>
      <c r="H9" s="765"/>
      <c r="I9" s="765"/>
      <c r="J9" s="765"/>
      <c r="K9" s="765"/>
      <c r="L9" s="765"/>
      <c r="M9" s="765"/>
      <c r="N9" s="765"/>
      <c r="O9" s="765"/>
      <c r="P9" s="765"/>
      <c r="Q9" s="765"/>
      <c r="R9" s="765"/>
      <c r="S9" s="765"/>
      <c r="T9" s="765"/>
      <c r="U9" s="765"/>
      <c r="V9" s="765"/>
    </row>
    <row r="10" spans="2:22" ht="15.75" thickBot="1" x14ac:dyDescent="0.3"/>
    <row r="11" spans="2:22" ht="33.75" customHeight="1" thickBot="1" x14ac:dyDescent="0.3">
      <c r="B11" s="761" t="s">
        <v>119</v>
      </c>
      <c r="C11" s="761"/>
      <c r="D11" s="767" t="s">
        <v>127</v>
      </c>
      <c r="E11" s="767"/>
      <c r="F11" s="768"/>
      <c r="G11" s="768"/>
      <c r="H11" s="768"/>
      <c r="I11" s="768"/>
      <c r="J11" s="768"/>
      <c r="K11" s="768"/>
      <c r="L11" s="768"/>
      <c r="M11" s="768"/>
      <c r="N11" s="768"/>
      <c r="O11" s="768"/>
      <c r="P11" s="768"/>
      <c r="Q11" s="769"/>
    </row>
    <row r="12" spans="2:22" ht="67.5" customHeight="1" thickBot="1" x14ac:dyDescent="0.3">
      <c r="B12" s="761" t="s">
        <v>120</v>
      </c>
      <c r="C12" s="761"/>
      <c r="D12" s="770" t="s">
        <v>153</v>
      </c>
      <c r="E12" s="770"/>
      <c r="F12" s="771"/>
      <c r="G12" s="771"/>
      <c r="H12" s="771"/>
      <c r="I12" s="771"/>
      <c r="J12" s="771"/>
      <c r="K12" s="771"/>
      <c r="L12" s="771"/>
      <c r="M12" s="771"/>
      <c r="N12" s="771"/>
      <c r="O12" s="771"/>
      <c r="P12" s="771"/>
      <c r="Q12" s="772"/>
    </row>
    <row r="13" spans="2:22" ht="60" customHeight="1" thickBot="1" x14ac:dyDescent="0.3">
      <c r="B13" s="761" t="s">
        <v>121</v>
      </c>
      <c r="C13" s="761"/>
      <c r="D13" s="784" t="str">
        <f>'A1.3'!D13</f>
        <v>Metodologia a descrever pelo responsável local pela recolha de dados</v>
      </c>
      <c r="E13" s="784"/>
      <c r="F13" s="785"/>
      <c r="G13" s="785"/>
      <c r="H13" s="785"/>
      <c r="I13" s="785"/>
      <c r="J13" s="785"/>
      <c r="K13" s="785"/>
      <c r="L13" s="785"/>
      <c r="M13" s="785"/>
      <c r="N13" s="785"/>
      <c r="O13" s="785"/>
      <c r="P13" s="785"/>
      <c r="Q13" s="786"/>
    </row>
    <row r="14" spans="2:22" ht="60" customHeight="1" thickBot="1" x14ac:dyDescent="0.3">
      <c r="B14" s="761" t="s">
        <v>122</v>
      </c>
      <c r="C14" s="761"/>
      <c r="D14" s="784" t="str">
        <f>'A1.3'!D14</f>
        <v>Identificação do responsável local pela recolha de dados</v>
      </c>
      <c r="E14" s="784"/>
      <c r="F14" s="785"/>
      <c r="G14" s="785"/>
      <c r="H14" s="785"/>
      <c r="I14" s="785"/>
      <c r="J14" s="785"/>
      <c r="K14" s="785"/>
      <c r="L14" s="785"/>
      <c r="M14" s="785"/>
      <c r="N14" s="785"/>
      <c r="O14" s="785"/>
      <c r="P14" s="785"/>
      <c r="Q14" s="786"/>
    </row>
    <row r="15" spans="2:22" ht="60" customHeight="1" thickBot="1" x14ac:dyDescent="0.3">
      <c r="B15" s="761" t="s">
        <v>128</v>
      </c>
      <c r="C15" s="761"/>
      <c r="D15" s="784" t="str">
        <f>'A1.3'!D15</f>
        <v>Identificação das fontes de dados pelo responsável local pela recolha de dados</v>
      </c>
      <c r="E15" s="784"/>
      <c r="F15" s="785"/>
      <c r="G15" s="785"/>
      <c r="H15" s="785"/>
      <c r="I15" s="785"/>
      <c r="J15" s="785"/>
      <c r="K15" s="785"/>
      <c r="L15" s="785"/>
      <c r="M15" s="785"/>
      <c r="N15" s="785"/>
      <c r="O15" s="785"/>
      <c r="P15" s="785"/>
      <c r="Q15" s="786"/>
    </row>
    <row r="17" spans="2:22" x14ac:dyDescent="0.25">
      <c r="B17" s="765" t="s">
        <v>156</v>
      </c>
      <c r="C17" s="765"/>
      <c r="D17" s="765"/>
      <c r="E17" s="765"/>
      <c r="F17" s="765"/>
      <c r="G17" s="765"/>
      <c r="H17" s="765"/>
      <c r="I17" s="765"/>
      <c r="J17" s="765"/>
      <c r="K17" s="765"/>
      <c r="L17" s="765"/>
      <c r="M17" s="765"/>
      <c r="N17" s="765"/>
      <c r="O17" s="765"/>
      <c r="P17" s="765"/>
      <c r="Q17" s="765"/>
      <c r="R17" s="765"/>
      <c r="S17" s="765"/>
      <c r="T17" s="765"/>
      <c r="U17" s="765"/>
      <c r="V17" s="765"/>
    </row>
    <row r="18" spans="2:22" x14ac:dyDescent="0.25">
      <c r="B18" t="s">
        <v>130</v>
      </c>
    </row>
    <row r="20" spans="2:22" x14ac:dyDescent="0.25">
      <c r="B20" s="81" t="s">
        <v>135</v>
      </c>
    </row>
    <row r="21" spans="2:22" x14ac:dyDescent="0.25">
      <c r="B21" s="766"/>
      <c r="C21" s="766"/>
      <c r="D21" s="766"/>
      <c r="E21" s="766"/>
      <c r="F21" s="766"/>
      <c r="G21" s="766"/>
      <c r="H21" s="766"/>
      <c r="I21" s="766"/>
      <c r="J21" s="766"/>
      <c r="K21" s="766"/>
      <c r="L21" s="766"/>
      <c r="M21" s="766"/>
      <c r="N21" s="766"/>
      <c r="O21" s="766"/>
      <c r="P21" s="766"/>
      <c r="Q21" s="766"/>
      <c r="R21" s="766"/>
      <c r="S21" s="766"/>
      <c r="T21" s="766"/>
    </row>
    <row r="22" spans="2:22" x14ac:dyDescent="0.25">
      <c r="B22" s="766"/>
      <c r="C22" s="766"/>
      <c r="D22" s="766"/>
      <c r="E22" s="766"/>
      <c r="F22" s="766"/>
      <c r="G22" s="766"/>
      <c r="H22" s="766"/>
      <c r="I22" s="766"/>
      <c r="J22" s="766"/>
      <c r="K22" s="766"/>
      <c r="L22" s="766"/>
      <c r="M22" s="766"/>
      <c r="N22" s="766"/>
      <c r="O22" s="766"/>
      <c r="P22" s="766"/>
      <c r="Q22" s="766"/>
      <c r="R22" s="766"/>
      <c r="S22" s="766"/>
      <c r="T22" s="766"/>
    </row>
    <row r="24" spans="2:22" x14ac:dyDescent="0.25">
      <c r="B24" s="81" t="s">
        <v>136</v>
      </c>
    </row>
    <row r="25" spans="2:22" x14ac:dyDescent="0.25">
      <c r="B25" s="766"/>
      <c r="C25" s="766"/>
      <c r="D25" s="766"/>
      <c r="E25" s="766"/>
      <c r="F25" s="766"/>
      <c r="G25" s="766"/>
      <c r="H25" s="766"/>
      <c r="I25" s="766"/>
      <c r="J25" s="766"/>
      <c r="K25" s="766"/>
      <c r="L25" s="766"/>
      <c r="M25" s="766"/>
      <c r="N25" s="766"/>
      <c r="O25" s="766"/>
      <c r="P25" s="766"/>
      <c r="Q25" s="766"/>
      <c r="R25" s="766"/>
      <c r="S25" s="766"/>
      <c r="T25" s="766"/>
    </row>
    <row r="26" spans="2:22" x14ac:dyDescent="0.25">
      <c r="B26" s="766"/>
      <c r="C26" s="766"/>
      <c r="D26" s="766"/>
      <c r="E26" s="766"/>
      <c r="F26" s="766"/>
      <c r="G26" s="766"/>
      <c r="H26" s="766"/>
      <c r="I26" s="766"/>
      <c r="J26" s="766"/>
      <c r="K26" s="766"/>
      <c r="L26" s="766"/>
      <c r="M26" s="766"/>
      <c r="N26" s="766"/>
      <c r="O26" s="766"/>
      <c r="P26" s="766"/>
      <c r="Q26" s="766"/>
      <c r="R26" s="766"/>
      <c r="S26" s="766"/>
      <c r="T26" s="766"/>
    </row>
    <row r="27" spans="2:22" ht="15.75" thickBot="1" x14ac:dyDescent="0.3"/>
    <row r="28" spans="2:22" ht="15.75" customHeight="1" thickBot="1" x14ac:dyDescent="0.3">
      <c r="B28" s="793" t="s">
        <v>131</v>
      </c>
      <c r="C28" s="795" t="s">
        <v>157</v>
      </c>
      <c r="D28" s="793" t="s">
        <v>139</v>
      </c>
      <c r="E28" s="793" t="s">
        <v>140</v>
      </c>
      <c r="F28" s="793" t="s">
        <v>141</v>
      </c>
      <c r="G28" s="793" t="s">
        <v>134</v>
      </c>
      <c r="H28" s="792" t="s">
        <v>1850</v>
      </c>
    </row>
    <row r="29" spans="2:22" ht="15.75" thickBot="1" x14ac:dyDescent="0.3">
      <c r="B29" s="794"/>
      <c r="C29" s="795"/>
      <c r="D29" s="794"/>
      <c r="E29" s="794"/>
      <c r="F29" s="794"/>
      <c r="G29" s="794"/>
      <c r="H29" s="792"/>
    </row>
    <row r="30" spans="2:22" ht="15.75" thickBot="1" x14ac:dyDescent="0.3">
      <c r="B30" s="82" t="s">
        <v>534</v>
      </c>
      <c r="C30" s="83" t="s">
        <v>600</v>
      </c>
      <c r="D30" s="122" t="s">
        <v>599</v>
      </c>
      <c r="E30" s="124">
        <f>E31</f>
        <v>735</v>
      </c>
      <c r="F30" s="91" t="s">
        <v>557</v>
      </c>
      <c r="G30" s="85"/>
      <c r="H30" s="85"/>
    </row>
    <row r="31" spans="2:22" ht="15.75" thickBot="1" x14ac:dyDescent="0.3">
      <c r="B31" s="82" t="s">
        <v>542</v>
      </c>
      <c r="C31" s="83" t="s">
        <v>600</v>
      </c>
      <c r="D31" s="122" t="s">
        <v>599</v>
      </c>
      <c r="E31" s="124">
        <f>SUM(E32:E43)</f>
        <v>735</v>
      </c>
      <c r="F31" s="91" t="s">
        <v>557</v>
      </c>
      <c r="G31" s="85"/>
      <c r="H31" s="85">
        <v>2022</v>
      </c>
    </row>
    <row r="32" spans="2:22" ht="15.75" thickBot="1" x14ac:dyDescent="0.3">
      <c r="B32" s="82" t="s">
        <v>542</v>
      </c>
      <c r="C32" s="83" t="s">
        <v>600</v>
      </c>
      <c r="D32" s="122" t="s">
        <v>599</v>
      </c>
      <c r="E32" s="124">
        <v>70</v>
      </c>
      <c r="F32" s="91" t="s">
        <v>557</v>
      </c>
      <c r="G32" s="85"/>
      <c r="H32" s="166">
        <v>44562</v>
      </c>
    </row>
    <row r="33" spans="2:8" ht="15.75" thickBot="1" x14ac:dyDescent="0.3">
      <c r="B33" s="82" t="s">
        <v>542</v>
      </c>
      <c r="C33" s="83" t="s">
        <v>600</v>
      </c>
      <c r="D33" s="122" t="s">
        <v>599</v>
      </c>
      <c r="E33" s="124">
        <v>70</v>
      </c>
      <c r="F33" s="91" t="s">
        <v>557</v>
      </c>
      <c r="G33" s="85"/>
      <c r="H33" s="166">
        <v>44593</v>
      </c>
    </row>
    <row r="34" spans="2:8" ht="15.75" thickBot="1" x14ac:dyDescent="0.3">
      <c r="B34" s="82" t="s">
        <v>542</v>
      </c>
      <c r="C34" s="83" t="s">
        <v>600</v>
      </c>
      <c r="D34" s="122" t="s">
        <v>599</v>
      </c>
      <c r="E34" s="124">
        <v>70</v>
      </c>
      <c r="F34" s="91" t="s">
        <v>557</v>
      </c>
      <c r="G34" s="85"/>
      <c r="H34" s="166">
        <v>44621</v>
      </c>
    </row>
    <row r="35" spans="2:8" ht="15.75" thickBot="1" x14ac:dyDescent="0.3">
      <c r="B35" s="82" t="s">
        <v>542</v>
      </c>
      <c r="C35" s="83" t="s">
        <v>600</v>
      </c>
      <c r="D35" s="122" t="s">
        <v>599</v>
      </c>
      <c r="E35" s="124">
        <v>70</v>
      </c>
      <c r="F35" s="91" t="s">
        <v>557</v>
      </c>
      <c r="G35" s="85"/>
      <c r="H35" s="166">
        <v>44652</v>
      </c>
    </row>
    <row r="36" spans="2:8" ht="15.75" thickBot="1" x14ac:dyDescent="0.3">
      <c r="B36" s="82" t="s">
        <v>542</v>
      </c>
      <c r="C36" s="83" t="s">
        <v>600</v>
      </c>
      <c r="D36" s="122" t="s">
        <v>599</v>
      </c>
      <c r="E36" s="124">
        <v>70</v>
      </c>
      <c r="F36" s="91" t="s">
        <v>557</v>
      </c>
      <c r="G36" s="85"/>
      <c r="H36" s="166">
        <v>44682</v>
      </c>
    </row>
    <row r="37" spans="2:8" ht="15.75" thickBot="1" x14ac:dyDescent="0.3">
      <c r="B37" s="82" t="s">
        <v>542</v>
      </c>
      <c r="C37" s="83" t="s">
        <v>600</v>
      </c>
      <c r="D37" s="122" t="s">
        <v>599</v>
      </c>
      <c r="E37" s="124">
        <v>70</v>
      </c>
      <c r="F37" s="91" t="s">
        <v>557</v>
      </c>
      <c r="G37" s="85"/>
      <c r="H37" s="166">
        <v>44713</v>
      </c>
    </row>
    <row r="38" spans="2:8" ht="15.75" thickBot="1" x14ac:dyDescent="0.3">
      <c r="B38" s="82" t="s">
        <v>542</v>
      </c>
      <c r="C38" s="83" t="s">
        <v>600</v>
      </c>
      <c r="D38" s="122" t="s">
        <v>599</v>
      </c>
      <c r="E38" s="124">
        <v>35</v>
      </c>
      <c r="F38" s="91" t="s">
        <v>557</v>
      </c>
      <c r="G38" s="85"/>
      <c r="H38" s="166">
        <v>44743</v>
      </c>
    </row>
    <row r="39" spans="2:8" ht="15.75" thickBot="1" x14ac:dyDescent="0.3">
      <c r="B39" s="82" t="s">
        <v>542</v>
      </c>
      <c r="C39" s="83" t="s">
        <v>600</v>
      </c>
      <c r="D39" s="122" t="s">
        <v>599</v>
      </c>
      <c r="E39" s="124">
        <v>35</v>
      </c>
      <c r="F39" s="91" t="s">
        <v>557</v>
      </c>
      <c r="G39" s="85"/>
      <c r="H39" s="166">
        <v>44774</v>
      </c>
    </row>
    <row r="40" spans="2:8" ht="15.75" thickBot="1" x14ac:dyDescent="0.3">
      <c r="B40" s="82" t="s">
        <v>542</v>
      </c>
      <c r="C40" s="83" t="s">
        <v>600</v>
      </c>
      <c r="D40" s="122" t="s">
        <v>599</v>
      </c>
      <c r="E40" s="124">
        <v>70</v>
      </c>
      <c r="F40" s="91" t="s">
        <v>557</v>
      </c>
      <c r="G40" s="85"/>
      <c r="H40" s="166">
        <v>44805</v>
      </c>
    </row>
    <row r="41" spans="2:8" ht="15.75" thickBot="1" x14ac:dyDescent="0.3">
      <c r="B41" s="82" t="s">
        <v>542</v>
      </c>
      <c r="C41" s="83" t="s">
        <v>600</v>
      </c>
      <c r="D41" s="122" t="s">
        <v>599</v>
      </c>
      <c r="E41" s="124">
        <v>70</v>
      </c>
      <c r="F41" s="91" t="s">
        <v>557</v>
      </c>
      <c r="G41" s="85"/>
      <c r="H41" s="166">
        <v>44835</v>
      </c>
    </row>
    <row r="42" spans="2:8" ht="15.75" thickBot="1" x14ac:dyDescent="0.3">
      <c r="B42" s="82" t="s">
        <v>542</v>
      </c>
      <c r="C42" s="83" t="s">
        <v>600</v>
      </c>
      <c r="D42" s="122" t="s">
        <v>599</v>
      </c>
      <c r="E42" s="124">
        <v>35</v>
      </c>
      <c r="F42" s="91" t="s">
        <v>557</v>
      </c>
      <c r="G42" s="85"/>
      <c r="H42" s="166">
        <v>44866</v>
      </c>
    </row>
    <row r="43" spans="2:8" ht="15.75" thickBot="1" x14ac:dyDescent="0.3">
      <c r="B43" s="82" t="s">
        <v>542</v>
      </c>
      <c r="C43" s="83" t="s">
        <v>600</v>
      </c>
      <c r="D43" s="122" t="s">
        <v>599</v>
      </c>
      <c r="E43" s="124">
        <v>70</v>
      </c>
      <c r="F43" s="91" t="s">
        <v>557</v>
      </c>
      <c r="G43" s="85"/>
      <c r="H43" s="166">
        <v>44896</v>
      </c>
    </row>
    <row r="44" spans="2:8" ht="15.75" thickBot="1" x14ac:dyDescent="0.3">
      <c r="B44" s="82"/>
      <c r="C44" s="83"/>
      <c r="D44" s="84"/>
      <c r="E44" s="84"/>
      <c r="F44" s="85"/>
      <c r="G44" s="85"/>
      <c r="H44" s="85"/>
    </row>
    <row r="45" spans="2:8" ht="15.75" thickBot="1" x14ac:dyDescent="0.3">
      <c r="B45" s="82"/>
      <c r="C45" s="83"/>
      <c r="D45" s="84"/>
      <c r="E45" s="84"/>
      <c r="F45" s="85"/>
      <c r="G45" s="85"/>
      <c r="H45" s="85"/>
    </row>
  </sheetData>
  <mergeCells count="21">
    <mergeCell ref="B21:T22"/>
    <mergeCell ref="B9:V9"/>
    <mergeCell ref="B11:C11"/>
    <mergeCell ref="D11:Q11"/>
    <mergeCell ref="B12:C12"/>
    <mergeCell ref="D12:Q12"/>
    <mergeCell ref="B13:C13"/>
    <mergeCell ref="D13:Q13"/>
    <mergeCell ref="B14:C14"/>
    <mergeCell ref="D14:Q14"/>
    <mergeCell ref="B15:C15"/>
    <mergeCell ref="D15:Q15"/>
    <mergeCell ref="B17:V17"/>
    <mergeCell ref="B25:T26"/>
    <mergeCell ref="B28:B29"/>
    <mergeCell ref="C28:C29"/>
    <mergeCell ref="D28:D29"/>
    <mergeCell ref="E28:E29"/>
    <mergeCell ref="F28:F29"/>
    <mergeCell ref="G28:G29"/>
    <mergeCell ref="H28:H29"/>
  </mergeCells>
  <dataValidations count="4">
    <dataValidation type="list" allowBlank="1" showInputMessage="1" showErrorMessage="1" sqref="C44:C45">
      <formula1>"Estufas, Geradores, Máquina de Lavagem, Empilhadores, Elevadores, Outros"</formula1>
    </dataValidation>
    <dataValidation type="list" allowBlank="1" showInputMessage="1" showErrorMessage="1" sqref="D30:D45">
      <formula1>"Gasóleo, Gasolina, GPL, GNC, GNV, Butano, Propano, H2"</formula1>
    </dataValidation>
    <dataValidation type="list" allowBlank="1" showInputMessage="1" showErrorMessage="1" sqref="C30:C43">
      <formula1>"Geradores, Aquecimento de Águas, Estufas, Empilhadores, Viaturas, Outros"</formula1>
    </dataValidation>
    <dataValidation type="list" allowBlank="1" showInputMessage="1" showErrorMessage="1" sqref="F30:F43">
      <formula1>"l (litros), kg (quilos), Nm3 (metros cubicos norm.), m3 (metros cúbicos)"</formula1>
    </dataValidation>
  </dataValidations>
  <pageMargins left="0.7" right="0.7" top="0.75" bottom="0.75" header="0.3" footer="0.3"/>
  <customProperties>
    <customPr name="GUID" r:id="rId1"/>
  </customPropertie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9"/>
  <dimension ref="B6:V45"/>
  <sheetViews>
    <sheetView workbookViewId="0"/>
  </sheetViews>
  <sheetFormatPr defaultRowHeight="15" x14ac:dyDescent="0.25"/>
  <cols>
    <col min="2" max="2" width="42.85546875" customWidth="1"/>
    <col min="3" max="3" width="29.85546875" customWidth="1"/>
    <col min="4" max="6" width="21.5703125" customWidth="1"/>
    <col min="7" max="7" width="44" customWidth="1"/>
    <col min="8" max="8" width="42.5703125" customWidth="1"/>
    <col min="9" max="9" width="23.28515625" customWidth="1"/>
    <col min="10" max="10" width="104.42578125" bestFit="1" customWidth="1"/>
    <col min="11" max="12" width="28.28515625" customWidth="1"/>
  </cols>
  <sheetData>
    <row r="6" spans="2:22" ht="15.75" thickBot="1" x14ac:dyDescent="0.3"/>
    <row r="7" spans="2:22" x14ac:dyDescent="0.25">
      <c r="B7" s="78" t="s">
        <v>118</v>
      </c>
      <c r="C7" s="80"/>
    </row>
    <row r="9" spans="2:22" x14ac:dyDescent="0.25">
      <c r="B9" s="765" t="str">
        <f>"Grupo Barraqueiro: "&amp;'Folha de Rosto'!C6&amp;" "&amp;'Folha de Rosto'!I6&amp;" - Emissões de GEE de Âmbito 1"</f>
        <v>Grupo Barraqueiro: PEGADA DE CARBONO 2022 - Emissões de GEE de Âmbito 1</v>
      </c>
      <c r="C9" s="765"/>
      <c r="D9" s="765"/>
      <c r="E9" s="765"/>
      <c r="F9" s="765"/>
      <c r="G9" s="765"/>
      <c r="H9" s="765"/>
      <c r="I9" s="765"/>
      <c r="J9" s="765"/>
      <c r="K9" s="765"/>
      <c r="L9" s="765"/>
      <c r="M9" s="765"/>
      <c r="N9" s="765"/>
      <c r="O9" s="765"/>
      <c r="P9" s="765"/>
      <c r="Q9" s="765"/>
      <c r="R9" s="765"/>
      <c r="S9" s="765"/>
      <c r="T9" s="765"/>
      <c r="U9" s="765"/>
      <c r="V9" s="765"/>
    </row>
    <row r="10" spans="2:22" ht="15.75" thickBot="1" x14ac:dyDescent="0.3"/>
    <row r="11" spans="2:22" ht="33.75" customHeight="1" thickBot="1" x14ac:dyDescent="0.3">
      <c r="B11" s="761" t="s">
        <v>119</v>
      </c>
      <c r="C11" s="761"/>
      <c r="D11" s="767" t="s">
        <v>165</v>
      </c>
      <c r="E11" s="767"/>
      <c r="F11" s="768"/>
      <c r="G11" s="768"/>
      <c r="H11" s="768"/>
      <c r="I11" s="768"/>
      <c r="J11" s="768"/>
      <c r="K11" s="768"/>
      <c r="L11" s="768"/>
      <c r="M11" s="768"/>
      <c r="N11" s="768"/>
      <c r="O11" s="768"/>
      <c r="P11" s="768"/>
      <c r="Q11" s="769"/>
    </row>
    <row r="12" spans="2:22" ht="67.5" customHeight="1" thickBot="1" x14ac:dyDescent="0.3">
      <c r="B12" s="761" t="s">
        <v>120</v>
      </c>
      <c r="C12" s="761"/>
      <c r="D12" s="770" t="s">
        <v>164</v>
      </c>
      <c r="E12" s="770"/>
      <c r="F12" s="771"/>
      <c r="G12" s="771"/>
      <c r="H12" s="771"/>
      <c r="I12" s="771"/>
      <c r="J12" s="771"/>
      <c r="K12" s="771"/>
      <c r="L12" s="771"/>
      <c r="M12" s="771"/>
      <c r="N12" s="771"/>
      <c r="O12" s="771"/>
      <c r="P12" s="771"/>
      <c r="Q12" s="772"/>
    </row>
    <row r="13" spans="2:22" ht="60" customHeight="1" thickBot="1" x14ac:dyDescent="0.3">
      <c r="B13" s="761" t="s">
        <v>121</v>
      </c>
      <c r="C13" s="761"/>
      <c r="D13" s="762" t="s">
        <v>1529</v>
      </c>
      <c r="E13" s="762"/>
      <c r="F13" s="763"/>
      <c r="G13" s="763"/>
      <c r="H13" s="763"/>
      <c r="I13" s="763"/>
      <c r="J13" s="763"/>
      <c r="K13" s="763"/>
      <c r="L13" s="763"/>
      <c r="M13" s="763"/>
      <c r="N13" s="763"/>
      <c r="O13" s="763"/>
      <c r="P13" s="763"/>
      <c r="Q13" s="764"/>
    </row>
    <row r="14" spans="2:22" ht="60" customHeight="1" thickBot="1" x14ac:dyDescent="0.3">
      <c r="B14" s="761" t="s">
        <v>122</v>
      </c>
      <c r="C14" s="761"/>
      <c r="D14" s="762" t="s">
        <v>123</v>
      </c>
      <c r="E14" s="762"/>
      <c r="F14" s="763"/>
      <c r="G14" s="763"/>
      <c r="H14" s="763"/>
      <c r="I14" s="763"/>
      <c r="J14" s="763"/>
      <c r="K14" s="763"/>
      <c r="L14" s="763"/>
      <c r="M14" s="763"/>
      <c r="N14" s="763"/>
      <c r="O14" s="763"/>
      <c r="P14" s="763"/>
      <c r="Q14" s="764"/>
    </row>
    <row r="15" spans="2:22" ht="60" customHeight="1" thickBot="1" x14ac:dyDescent="0.3">
      <c r="B15" s="761" t="s">
        <v>128</v>
      </c>
      <c r="C15" s="761"/>
      <c r="D15" s="762" t="s">
        <v>129</v>
      </c>
      <c r="E15" s="762"/>
      <c r="F15" s="763"/>
      <c r="G15" s="763"/>
      <c r="H15" s="763"/>
      <c r="I15" s="763"/>
      <c r="J15" s="763"/>
      <c r="K15" s="763"/>
      <c r="L15" s="763"/>
      <c r="M15" s="763"/>
      <c r="N15" s="763"/>
      <c r="O15" s="763"/>
      <c r="P15" s="763"/>
      <c r="Q15" s="764"/>
    </row>
    <row r="17" spans="2:22" x14ac:dyDescent="0.25">
      <c r="B17" s="765" t="s">
        <v>166</v>
      </c>
      <c r="C17" s="765"/>
      <c r="D17" s="765"/>
      <c r="E17" s="765"/>
      <c r="F17" s="765"/>
      <c r="G17" s="765"/>
      <c r="H17" s="765"/>
      <c r="I17" s="765"/>
      <c r="J17" s="765"/>
      <c r="K17" s="765"/>
      <c r="L17" s="765"/>
      <c r="M17" s="765"/>
      <c r="N17" s="765"/>
      <c r="O17" s="765"/>
      <c r="P17" s="765"/>
      <c r="Q17" s="765"/>
      <c r="R17" s="765"/>
      <c r="S17" s="765"/>
      <c r="T17" s="765"/>
      <c r="U17" s="765"/>
      <c r="V17" s="765"/>
    </row>
    <row r="18" spans="2:22" x14ac:dyDescent="0.25">
      <c r="B18" t="s">
        <v>130</v>
      </c>
    </row>
    <row r="20" spans="2:22" x14ac:dyDescent="0.25">
      <c r="B20" s="81" t="s">
        <v>135</v>
      </c>
    </row>
    <row r="21" spans="2:22" x14ac:dyDescent="0.25">
      <c r="B21" s="766" t="s">
        <v>597</v>
      </c>
      <c r="C21" s="766"/>
      <c r="D21" s="766"/>
      <c r="E21" s="766"/>
      <c r="F21" s="766"/>
      <c r="G21" s="766"/>
      <c r="H21" s="766"/>
      <c r="I21" s="766"/>
      <c r="J21" s="766"/>
      <c r="K21" s="766"/>
      <c r="L21" s="766"/>
      <c r="M21" s="766"/>
      <c r="N21" s="766"/>
      <c r="O21" s="766"/>
      <c r="P21" s="766"/>
      <c r="Q21" s="766"/>
      <c r="R21" s="766"/>
      <c r="S21" s="766"/>
      <c r="T21" s="766"/>
    </row>
    <row r="22" spans="2:22" x14ac:dyDescent="0.25">
      <c r="B22" s="766"/>
      <c r="C22" s="766"/>
      <c r="D22" s="766"/>
      <c r="E22" s="766"/>
      <c r="F22" s="766"/>
      <c r="G22" s="766"/>
      <c r="H22" s="766"/>
      <c r="I22" s="766"/>
      <c r="J22" s="766"/>
      <c r="K22" s="766"/>
      <c r="L22" s="766"/>
      <c r="M22" s="766"/>
      <c r="N22" s="766"/>
      <c r="O22" s="766"/>
      <c r="P22" s="766"/>
      <c r="Q22" s="766"/>
      <c r="R22" s="766"/>
      <c r="S22" s="766"/>
      <c r="T22" s="766"/>
    </row>
    <row r="24" spans="2:22" x14ac:dyDescent="0.25">
      <c r="B24" s="81" t="s">
        <v>136</v>
      </c>
    </row>
    <row r="25" spans="2:22" x14ac:dyDescent="0.25">
      <c r="B25" s="766" t="s">
        <v>598</v>
      </c>
      <c r="C25" s="766"/>
      <c r="D25" s="766"/>
      <c r="E25" s="766"/>
      <c r="F25" s="766"/>
      <c r="G25" s="766"/>
      <c r="H25" s="766"/>
      <c r="I25" s="766"/>
      <c r="J25" s="766"/>
      <c r="K25" s="766"/>
      <c r="L25" s="766"/>
      <c r="M25" s="766"/>
      <c r="N25" s="766"/>
      <c r="O25" s="766"/>
      <c r="P25" s="766"/>
      <c r="Q25" s="766"/>
      <c r="R25" s="766"/>
      <c r="S25" s="766"/>
      <c r="T25" s="766"/>
    </row>
    <row r="26" spans="2:22" x14ac:dyDescent="0.25">
      <c r="B26" s="766"/>
      <c r="C26" s="766"/>
      <c r="D26" s="766"/>
      <c r="E26" s="766"/>
      <c r="F26" s="766"/>
      <c r="G26" s="766"/>
      <c r="H26" s="766"/>
      <c r="I26" s="766"/>
      <c r="J26" s="766"/>
      <c r="K26" s="766"/>
      <c r="L26" s="766"/>
      <c r="M26" s="766"/>
      <c r="N26" s="766"/>
      <c r="O26" s="766"/>
      <c r="P26" s="766"/>
      <c r="Q26" s="766"/>
      <c r="R26" s="766"/>
      <c r="S26" s="766"/>
      <c r="T26" s="766"/>
    </row>
    <row r="27" spans="2:22" ht="15.75" thickBot="1" x14ac:dyDescent="0.3"/>
    <row r="28" spans="2:22" ht="15.75" thickBot="1" x14ac:dyDescent="0.3">
      <c r="B28" s="757" t="s">
        <v>131</v>
      </c>
      <c r="C28" s="759" t="s">
        <v>158</v>
      </c>
      <c r="D28" s="778" t="s">
        <v>169</v>
      </c>
      <c r="E28" s="778" t="s">
        <v>160</v>
      </c>
      <c r="F28" s="757" t="s">
        <v>159</v>
      </c>
      <c r="G28" s="757" t="s">
        <v>161</v>
      </c>
      <c r="H28" s="757" t="s">
        <v>162</v>
      </c>
      <c r="I28" s="757" t="s">
        <v>163</v>
      </c>
      <c r="J28" s="759" t="s">
        <v>134</v>
      </c>
    </row>
    <row r="29" spans="2:22" ht="15.75" thickBot="1" x14ac:dyDescent="0.3">
      <c r="B29" s="758"/>
      <c r="C29" s="759"/>
      <c r="D29" s="779"/>
      <c r="E29" s="779"/>
      <c r="F29" s="758"/>
      <c r="G29" s="758"/>
      <c r="H29" s="758"/>
      <c r="I29" s="758"/>
      <c r="J29" s="759"/>
    </row>
    <row r="30" spans="2:22" ht="15.75" thickBot="1" x14ac:dyDescent="0.3">
      <c r="B30" s="82" t="s">
        <v>534</v>
      </c>
      <c r="C30" s="83" t="s">
        <v>549</v>
      </c>
      <c r="D30" s="85" t="s">
        <v>173</v>
      </c>
      <c r="E30" s="85" t="s">
        <v>182</v>
      </c>
      <c r="F30" s="85" t="s">
        <v>596</v>
      </c>
      <c r="G30" s="85">
        <f>3960-792.6-180</f>
        <v>2987.4</v>
      </c>
      <c r="H30" s="85">
        <v>0</v>
      </c>
      <c r="I30" s="85">
        <f>G30+H30</f>
        <v>2987.4</v>
      </c>
      <c r="J30" s="85" t="s">
        <v>552</v>
      </c>
    </row>
    <row r="31" spans="2:22" ht="15.75" thickBot="1" x14ac:dyDescent="0.3">
      <c r="B31" s="82" t="s">
        <v>535</v>
      </c>
      <c r="C31" s="83" t="s">
        <v>549</v>
      </c>
      <c r="D31" s="85" t="s">
        <v>173</v>
      </c>
      <c r="E31" s="85" t="s">
        <v>182</v>
      </c>
      <c r="F31" s="85" t="s">
        <v>595</v>
      </c>
      <c r="G31" s="118">
        <v>180</v>
      </c>
      <c r="H31" s="85">
        <v>0</v>
      </c>
      <c r="I31" s="85">
        <f>G31+H31</f>
        <v>180</v>
      </c>
      <c r="J31" s="85"/>
    </row>
    <row r="32" spans="2:22" ht="15.75" thickBot="1" x14ac:dyDescent="0.3">
      <c r="B32" s="82"/>
      <c r="C32" s="83"/>
      <c r="D32" s="85"/>
      <c r="E32" s="85"/>
      <c r="F32" s="85"/>
      <c r="G32" s="85"/>
      <c r="H32" s="85"/>
      <c r="I32" s="85"/>
      <c r="J32" s="85"/>
    </row>
    <row r="33" spans="2:10" ht="15.75" thickBot="1" x14ac:dyDescent="0.3">
      <c r="B33" s="82"/>
      <c r="C33" s="83"/>
      <c r="D33" s="85"/>
      <c r="E33" s="85"/>
      <c r="F33" s="85"/>
      <c r="G33" s="85"/>
      <c r="H33" s="85"/>
      <c r="I33" s="85"/>
      <c r="J33" s="85"/>
    </row>
    <row r="34" spans="2:10" ht="15.75" thickBot="1" x14ac:dyDescent="0.3">
      <c r="B34" s="82"/>
      <c r="C34" s="83"/>
      <c r="D34" s="85"/>
      <c r="E34" s="85"/>
      <c r="F34" s="85"/>
      <c r="G34" s="85"/>
      <c r="H34" s="85"/>
      <c r="I34" s="85"/>
      <c r="J34" s="85"/>
    </row>
    <row r="35" spans="2:10" ht="15.75" thickBot="1" x14ac:dyDescent="0.3">
      <c r="B35" s="82"/>
      <c r="C35" s="83"/>
      <c r="D35" s="85"/>
      <c r="E35" s="85"/>
      <c r="F35" s="85"/>
      <c r="G35" s="85"/>
      <c r="H35" s="85"/>
      <c r="I35" s="85"/>
      <c r="J35" s="85"/>
    </row>
    <row r="36" spans="2:10" ht="15.75" thickBot="1" x14ac:dyDescent="0.3">
      <c r="B36" s="82"/>
      <c r="C36" s="83"/>
      <c r="D36" s="85"/>
      <c r="E36" s="85"/>
      <c r="F36" s="85"/>
      <c r="G36" s="85"/>
      <c r="H36" s="85"/>
      <c r="I36" s="85"/>
      <c r="J36" s="85"/>
    </row>
    <row r="37" spans="2:10" ht="15.75" thickBot="1" x14ac:dyDescent="0.3">
      <c r="B37" s="82"/>
      <c r="C37" s="83"/>
      <c r="D37" s="85"/>
      <c r="E37" s="85"/>
      <c r="F37" s="85"/>
      <c r="G37" s="85"/>
      <c r="H37" s="85"/>
      <c r="I37" s="85"/>
      <c r="J37" s="85"/>
    </row>
    <row r="38" spans="2:10" ht="15.75" thickBot="1" x14ac:dyDescent="0.3">
      <c r="B38" s="82"/>
      <c r="C38" s="83"/>
      <c r="D38" s="85"/>
      <c r="E38" s="85"/>
      <c r="F38" s="85"/>
      <c r="G38" s="85"/>
      <c r="H38" s="85"/>
      <c r="I38" s="85"/>
      <c r="J38" s="85"/>
    </row>
    <row r="39" spans="2:10" ht="15.75" thickBot="1" x14ac:dyDescent="0.3">
      <c r="B39" s="82"/>
      <c r="C39" s="83"/>
      <c r="D39" s="85"/>
      <c r="E39" s="85"/>
      <c r="F39" s="85"/>
      <c r="G39" s="85"/>
      <c r="H39" s="85"/>
      <c r="I39" s="85"/>
      <c r="J39" s="85"/>
    </row>
    <row r="40" spans="2:10" ht="15.75" thickBot="1" x14ac:dyDescent="0.3">
      <c r="B40" s="82"/>
      <c r="C40" s="83"/>
      <c r="D40" s="85"/>
      <c r="E40" s="85"/>
      <c r="F40" s="85"/>
      <c r="G40" s="85"/>
      <c r="H40" s="85"/>
      <c r="I40" s="85"/>
      <c r="J40" s="85"/>
    </row>
    <row r="41" spans="2:10" ht="15.75" thickBot="1" x14ac:dyDescent="0.3">
      <c r="B41" s="82"/>
      <c r="C41" s="83"/>
      <c r="D41" s="85"/>
      <c r="E41" s="85"/>
      <c r="F41" s="85"/>
      <c r="G41" s="85"/>
      <c r="H41" s="85"/>
      <c r="I41" s="85"/>
      <c r="J41" s="85"/>
    </row>
    <row r="42" spans="2:10" ht="15.75" thickBot="1" x14ac:dyDescent="0.3">
      <c r="B42" s="82"/>
      <c r="C42" s="83"/>
      <c r="D42" s="85"/>
      <c r="E42" s="85"/>
      <c r="F42" s="85"/>
      <c r="G42" s="85"/>
      <c r="H42" s="85"/>
      <c r="I42" s="85"/>
      <c r="J42" s="85"/>
    </row>
    <row r="43" spans="2:10" ht="15.75" thickBot="1" x14ac:dyDescent="0.3">
      <c r="B43" s="82"/>
      <c r="C43" s="83"/>
      <c r="D43" s="85"/>
      <c r="E43" s="85"/>
      <c r="F43" s="85"/>
      <c r="G43" s="85"/>
      <c r="H43" s="85"/>
      <c r="I43" s="85"/>
      <c r="J43" s="85"/>
    </row>
    <row r="44" spans="2:10" ht="15.75" thickBot="1" x14ac:dyDescent="0.3">
      <c r="B44" s="82"/>
      <c r="C44" s="83"/>
      <c r="D44" s="85"/>
      <c r="E44" s="85"/>
      <c r="F44" s="85"/>
      <c r="G44" s="85"/>
      <c r="H44" s="85"/>
      <c r="I44" s="85"/>
      <c r="J44" s="85"/>
    </row>
    <row r="45" spans="2:10" ht="15.75" thickBot="1" x14ac:dyDescent="0.3">
      <c r="B45" s="82"/>
      <c r="C45" s="83"/>
      <c r="D45" s="85"/>
      <c r="E45" s="85"/>
      <c r="F45" s="85"/>
      <c r="G45" s="85"/>
      <c r="H45" s="85"/>
      <c r="I45" s="85"/>
      <c r="J45" s="85"/>
    </row>
  </sheetData>
  <mergeCells count="23">
    <mergeCell ref="B21:T22"/>
    <mergeCell ref="B9:V9"/>
    <mergeCell ref="B11:C11"/>
    <mergeCell ref="D11:Q11"/>
    <mergeCell ref="B12:C12"/>
    <mergeCell ref="D12:Q12"/>
    <mergeCell ref="B13:C13"/>
    <mergeCell ref="D13:Q13"/>
    <mergeCell ref="B14:C14"/>
    <mergeCell ref="D14:Q14"/>
    <mergeCell ref="B15:C15"/>
    <mergeCell ref="D15:Q15"/>
    <mergeCell ref="B17:V17"/>
    <mergeCell ref="F28:F29"/>
    <mergeCell ref="B25:T26"/>
    <mergeCell ref="B28:B29"/>
    <mergeCell ref="C28:C29"/>
    <mergeCell ref="D28:D29"/>
    <mergeCell ref="G28:G29"/>
    <mergeCell ref="H28:H29"/>
    <mergeCell ref="I28:I29"/>
    <mergeCell ref="J28:J29"/>
    <mergeCell ref="E28:E29"/>
  </mergeCells>
  <dataValidations count="1">
    <dataValidation type="list" allowBlank="1" showInputMessage="1" showErrorMessage="1" sqref="C30:C45">
      <formula1>"AC Frota Produtiva Pesada, AC Frota Produtiva Ligeiros, AC Estacionários, Equipamento Frio Frota, Equipamento Frio Estacionário"</formula1>
    </dataValidation>
  </dataValidations>
  <pageMargins left="0.7" right="0.7" top="0.75" bottom="0.75" header="0.3" footer="0.3"/>
  <customProperties>
    <customPr name="GUID" r:id="rId1"/>
  </customPropertie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'A1.4.2'!$B$2:$B$248</xm:f>
          </x14:formula1>
          <xm:sqref>E30:E45</xm:sqref>
        </x14:dataValidation>
        <x14:dataValidation type="list" allowBlank="1" showInputMessage="1" showErrorMessage="1">
          <x14:formula1>
            <xm:f>'A1.4.2'!$H$2:$H$9</xm:f>
          </x14:formula1>
          <xm:sqref>D30:D45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0"/>
  <dimension ref="B6:W45"/>
  <sheetViews>
    <sheetView workbookViewId="0"/>
  </sheetViews>
  <sheetFormatPr defaultRowHeight="15" x14ac:dyDescent="0.25"/>
  <cols>
    <col min="2" max="2" width="42.85546875" customWidth="1"/>
    <col min="3" max="3" width="36.28515625" customWidth="1"/>
    <col min="4" max="6" width="29.85546875" customWidth="1"/>
    <col min="7" max="7" width="47" customWidth="1"/>
    <col min="8" max="8" width="40.7109375" customWidth="1"/>
    <col min="9" max="9" width="26.140625" customWidth="1"/>
    <col min="10" max="10" width="105.7109375" bestFit="1" customWidth="1"/>
    <col min="11" max="11" width="31.5703125" customWidth="1"/>
    <col min="12" max="13" width="28.28515625" customWidth="1"/>
  </cols>
  <sheetData>
    <row r="6" spans="2:23" ht="15.75" thickBot="1" x14ac:dyDescent="0.3"/>
    <row r="7" spans="2:23" x14ac:dyDescent="0.25">
      <c r="B7" s="78" t="s">
        <v>118</v>
      </c>
      <c r="C7" s="80"/>
    </row>
    <row r="9" spans="2:23" x14ac:dyDescent="0.25">
      <c r="B9" s="765" t="str">
        <f>"Grupo Barraqueiro: "&amp;'Folha de Rosto'!C6&amp;" "&amp;'Folha de Rosto'!I6&amp;" - Emissões de GEE de Âmbito 1"</f>
        <v>Grupo Barraqueiro: PEGADA DE CARBONO 2022 - Emissões de GEE de Âmbito 1</v>
      </c>
      <c r="C9" s="765"/>
      <c r="D9" s="765"/>
      <c r="E9" s="765"/>
      <c r="F9" s="765"/>
      <c r="G9" s="765"/>
      <c r="H9" s="765"/>
      <c r="I9" s="765"/>
      <c r="J9" s="765"/>
      <c r="K9" s="765"/>
      <c r="L9" s="765"/>
      <c r="M9" s="765"/>
      <c r="N9" s="765"/>
      <c r="O9" s="765"/>
      <c r="P9" s="765"/>
      <c r="Q9" s="765"/>
      <c r="R9" s="765"/>
      <c r="S9" s="765"/>
      <c r="T9" s="765"/>
      <c r="U9" s="765"/>
      <c r="V9" s="765"/>
      <c r="W9" s="765"/>
    </row>
    <row r="10" spans="2:23" ht="15.75" thickBot="1" x14ac:dyDescent="0.3"/>
    <row r="11" spans="2:23" ht="33.75" customHeight="1" thickBot="1" x14ac:dyDescent="0.3">
      <c r="B11" s="761" t="s">
        <v>119</v>
      </c>
      <c r="C11" s="761"/>
      <c r="D11" s="767" t="s">
        <v>165</v>
      </c>
      <c r="E11" s="767"/>
      <c r="F11" s="767"/>
      <c r="G11" s="768"/>
      <c r="H11" s="768"/>
      <c r="I11" s="768"/>
      <c r="J11" s="768"/>
      <c r="K11" s="768"/>
      <c r="L11" s="768"/>
      <c r="M11" s="768"/>
      <c r="N11" s="768"/>
      <c r="O11" s="768"/>
      <c r="P11" s="768"/>
      <c r="Q11" s="768"/>
      <c r="R11" s="769"/>
    </row>
    <row r="12" spans="2:23" ht="67.5" customHeight="1" thickBot="1" x14ac:dyDescent="0.3">
      <c r="B12" s="761" t="s">
        <v>120</v>
      </c>
      <c r="C12" s="761"/>
      <c r="D12" s="770" t="s">
        <v>164</v>
      </c>
      <c r="E12" s="770"/>
      <c r="F12" s="770"/>
      <c r="G12" s="771"/>
      <c r="H12" s="771"/>
      <c r="I12" s="771"/>
      <c r="J12" s="771"/>
      <c r="K12" s="771"/>
      <c r="L12" s="771"/>
      <c r="M12" s="771"/>
      <c r="N12" s="771"/>
      <c r="O12" s="771"/>
      <c r="P12" s="771"/>
      <c r="Q12" s="771"/>
      <c r="R12" s="772"/>
    </row>
    <row r="13" spans="2:23" ht="60" customHeight="1" thickBot="1" x14ac:dyDescent="0.3">
      <c r="B13" s="761" t="s">
        <v>121</v>
      </c>
      <c r="C13" s="761"/>
      <c r="D13" s="784" t="str">
        <f>'A1.4'!D13</f>
        <v>Metodologia a descrever pelo responsável local pela recolha de dados</v>
      </c>
      <c r="E13" s="784"/>
      <c r="F13" s="784"/>
      <c r="G13" s="785"/>
      <c r="H13" s="785"/>
      <c r="I13" s="785"/>
      <c r="J13" s="785"/>
      <c r="K13" s="785"/>
      <c r="L13" s="785"/>
      <c r="M13" s="785"/>
      <c r="N13" s="785"/>
      <c r="O13" s="785"/>
      <c r="P13" s="785"/>
      <c r="Q13" s="785"/>
      <c r="R13" s="786"/>
    </row>
    <row r="14" spans="2:23" ht="60" customHeight="1" thickBot="1" x14ac:dyDescent="0.3">
      <c r="B14" s="761" t="s">
        <v>122</v>
      </c>
      <c r="C14" s="761"/>
      <c r="D14" s="784" t="str">
        <f>'A1.4'!D14</f>
        <v>Identificação do responsável local pela recolha de dados</v>
      </c>
      <c r="E14" s="784"/>
      <c r="F14" s="784"/>
      <c r="G14" s="785"/>
      <c r="H14" s="785"/>
      <c r="I14" s="785"/>
      <c r="J14" s="785"/>
      <c r="K14" s="785"/>
      <c r="L14" s="785"/>
      <c r="M14" s="785"/>
      <c r="N14" s="785"/>
      <c r="O14" s="785"/>
      <c r="P14" s="785"/>
      <c r="Q14" s="785"/>
      <c r="R14" s="786"/>
    </row>
    <row r="15" spans="2:23" ht="60" customHeight="1" thickBot="1" x14ac:dyDescent="0.3">
      <c r="B15" s="761" t="s">
        <v>128</v>
      </c>
      <c r="C15" s="761"/>
      <c r="D15" s="784" t="str">
        <f>'A1.4'!D15</f>
        <v>Identificação das fontes de dados pelo responsável local pela recolha de dados</v>
      </c>
      <c r="E15" s="784"/>
      <c r="F15" s="784"/>
      <c r="G15" s="785"/>
      <c r="H15" s="785"/>
      <c r="I15" s="785"/>
      <c r="J15" s="785"/>
      <c r="K15" s="785"/>
      <c r="L15" s="785"/>
      <c r="M15" s="785"/>
      <c r="N15" s="785"/>
      <c r="O15" s="785"/>
      <c r="P15" s="785"/>
      <c r="Q15" s="785"/>
      <c r="R15" s="786"/>
    </row>
    <row r="17" spans="2:23" x14ac:dyDescent="0.25">
      <c r="B17" s="765" t="s">
        <v>167</v>
      </c>
      <c r="C17" s="765"/>
      <c r="D17" s="765"/>
      <c r="E17" s="765"/>
      <c r="F17" s="765"/>
      <c r="G17" s="765"/>
      <c r="H17" s="765"/>
      <c r="I17" s="765"/>
      <c r="J17" s="765"/>
      <c r="K17" s="765"/>
      <c r="L17" s="765"/>
      <c r="M17" s="765"/>
      <c r="N17" s="765"/>
      <c r="O17" s="765"/>
      <c r="P17" s="765"/>
      <c r="Q17" s="765"/>
      <c r="R17" s="765"/>
      <c r="S17" s="765"/>
      <c r="T17" s="765"/>
      <c r="U17" s="765"/>
      <c r="V17" s="765"/>
      <c r="W17" s="765"/>
    </row>
    <row r="18" spans="2:23" x14ac:dyDescent="0.25">
      <c r="B18" t="s">
        <v>130</v>
      </c>
    </row>
    <row r="20" spans="2:23" x14ac:dyDescent="0.25">
      <c r="B20" s="81" t="s">
        <v>135</v>
      </c>
    </row>
    <row r="21" spans="2:23" x14ac:dyDescent="0.25">
      <c r="B21" s="766"/>
      <c r="C21" s="766"/>
      <c r="D21" s="766"/>
      <c r="E21" s="766"/>
      <c r="F21" s="766"/>
      <c r="G21" s="766"/>
      <c r="H21" s="766"/>
      <c r="I21" s="766"/>
      <c r="J21" s="766"/>
      <c r="K21" s="766"/>
      <c r="L21" s="766"/>
      <c r="M21" s="766"/>
      <c r="N21" s="766"/>
      <c r="O21" s="766"/>
      <c r="P21" s="766"/>
      <c r="Q21" s="766"/>
      <c r="R21" s="766"/>
      <c r="S21" s="766"/>
      <c r="T21" s="766"/>
      <c r="U21" s="766"/>
    </row>
    <row r="22" spans="2:23" x14ac:dyDescent="0.25">
      <c r="B22" s="766"/>
      <c r="C22" s="766"/>
      <c r="D22" s="766"/>
      <c r="E22" s="766"/>
      <c r="F22" s="766"/>
      <c r="G22" s="766"/>
      <c r="H22" s="766"/>
      <c r="I22" s="766"/>
      <c r="J22" s="766"/>
      <c r="K22" s="766"/>
      <c r="L22" s="766"/>
      <c r="M22" s="766"/>
      <c r="N22" s="766"/>
      <c r="O22" s="766"/>
      <c r="P22" s="766"/>
      <c r="Q22" s="766"/>
      <c r="R22" s="766"/>
      <c r="S22" s="766"/>
      <c r="T22" s="766"/>
      <c r="U22" s="766"/>
    </row>
    <row r="24" spans="2:23" x14ac:dyDescent="0.25">
      <c r="B24" s="81" t="s">
        <v>136</v>
      </c>
    </row>
    <row r="25" spans="2:23" x14ac:dyDescent="0.25">
      <c r="B25" s="766"/>
      <c r="C25" s="766"/>
      <c r="D25" s="766"/>
      <c r="E25" s="766"/>
      <c r="F25" s="766"/>
      <c r="G25" s="766"/>
      <c r="H25" s="766"/>
      <c r="I25" s="766"/>
      <c r="J25" s="766"/>
      <c r="K25" s="766"/>
      <c r="L25" s="766"/>
      <c r="M25" s="766"/>
      <c r="N25" s="766"/>
      <c r="O25" s="766"/>
      <c r="P25" s="766"/>
      <c r="Q25" s="766"/>
      <c r="R25" s="766"/>
      <c r="S25" s="766"/>
      <c r="T25" s="766"/>
      <c r="U25" s="766"/>
    </row>
    <row r="26" spans="2:23" x14ac:dyDescent="0.25">
      <c r="B26" s="766"/>
      <c r="C26" s="766"/>
      <c r="D26" s="766"/>
      <c r="E26" s="766"/>
      <c r="F26" s="766"/>
      <c r="G26" s="766"/>
      <c r="H26" s="766"/>
      <c r="I26" s="766"/>
      <c r="J26" s="766"/>
      <c r="K26" s="766"/>
      <c r="L26" s="766"/>
      <c r="M26" s="766"/>
      <c r="N26" s="766"/>
      <c r="O26" s="766"/>
      <c r="P26" s="766"/>
      <c r="Q26" s="766"/>
      <c r="R26" s="766"/>
      <c r="S26" s="766"/>
      <c r="T26" s="766"/>
      <c r="U26" s="766"/>
    </row>
    <row r="27" spans="2:23" ht="15.75" thickBot="1" x14ac:dyDescent="0.3"/>
    <row r="28" spans="2:23" ht="15.75" customHeight="1" thickBot="1" x14ac:dyDescent="0.3">
      <c r="B28" s="757" t="s">
        <v>131</v>
      </c>
      <c r="C28" s="759" t="s">
        <v>158</v>
      </c>
      <c r="D28" s="778" t="s">
        <v>169</v>
      </c>
      <c r="E28" s="778" t="s">
        <v>160</v>
      </c>
      <c r="F28" s="757" t="s">
        <v>159</v>
      </c>
      <c r="G28" s="757" t="s">
        <v>161</v>
      </c>
      <c r="H28" s="757" t="s">
        <v>162</v>
      </c>
      <c r="I28" s="757" t="s">
        <v>163</v>
      </c>
      <c r="J28" s="759" t="s">
        <v>134</v>
      </c>
    </row>
    <row r="29" spans="2:23" ht="15.75" thickBot="1" x14ac:dyDescent="0.3">
      <c r="B29" s="758"/>
      <c r="C29" s="759"/>
      <c r="D29" s="779"/>
      <c r="E29" s="779"/>
      <c r="F29" s="758"/>
      <c r="G29" s="758"/>
      <c r="H29" s="758"/>
      <c r="I29" s="758"/>
      <c r="J29" s="759"/>
    </row>
    <row r="30" spans="2:23" ht="15.75" thickBot="1" x14ac:dyDescent="0.3">
      <c r="B30" s="82" t="s">
        <v>534</v>
      </c>
      <c r="C30" s="83" t="s">
        <v>549</v>
      </c>
      <c r="D30" s="85" t="s">
        <v>173</v>
      </c>
      <c r="E30" s="85" t="s">
        <v>182</v>
      </c>
      <c r="F30" s="85" t="s">
        <v>596</v>
      </c>
      <c r="G30" s="85">
        <f>3960-792.6-180</f>
        <v>2987.4</v>
      </c>
      <c r="H30" s="85">
        <v>0</v>
      </c>
      <c r="I30" s="85">
        <f>G30+H30</f>
        <v>2987.4</v>
      </c>
      <c r="J30" s="85" t="s">
        <v>552</v>
      </c>
    </row>
    <row r="31" spans="2:23" ht="15.75" thickBot="1" x14ac:dyDescent="0.3">
      <c r="B31" s="82" t="s">
        <v>545</v>
      </c>
      <c r="C31" s="83" t="s">
        <v>549</v>
      </c>
      <c r="D31" s="85" t="s">
        <v>173</v>
      </c>
      <c r="E31" s="85" t="s">
        <v>182</v>
      </c>
      <c r="F31" s="85" t="s">
        <v>590</v>
      </c>
      <c r="G31" s="118">
        <f>540-10</f>
        <v>530</v>
      </c>
      <c r="H31" s="85">
        <v>0</v>
      </c>
      <c r="I31" s="85">
        <f t="shared" ref="I31:I36" si="0">G31+H31</f>
        <v>530</v>
      </c>
      <c r="J31" s="85"/>
    </row>
    <row r="32" spans="2:23" ht="15.75" thickBot="1" x14ac:dyDescent="0.3">
      <c r="B32" s="82" t="s">
        <v>542</v>
      </c>
      <c r="C32" s="83" t="s">
        <v>549</v>
      </c>
      <c r="D32" s="85" t="s">
        <v>173</v>
      </c>
      <c r="E32" s="85" t="s">
        <v>182</v>
      </c>
      <c r="F32" s="85" t="s">
        <v>591</v>
      </c>
      <c r="G32" s="118">
        <v>240</v>
      </c>
      <c r="H32" s="85">
        <v>0</v>
      </c>
      <c r="I32" s="85">
        <f t="shared" si="0"/>
        <v>240</v>
      </c>
      <c r="J32" s="85"/>
    </row>
    <row r="33" spans="2:10" ht="15.75" thickBot="1" x14ac:dyDescent="0.3">
      <c r="B33" s="82" t="s">
        <v>543</v>
      </c>
      <c r="C33" s="83" t="s">
        <v>549</v>
      </c>
      <c r="D33" s="85" t="s">
        <v>173</v>
      </c>
      <c r="E33" s="85" t="s">
        <v>182</v>
      </c>
      <c r="F33" s="85" t="s">
        <v>592</v>
      </c>
      <c r="G33" s="118">
        <v>480</v>
      </c>
      <c r="H33" s="85">
        <v>0</v>
      </c>
      <c r="I33" s="85">
        <f t="shared" si="0"/>
        <v>480</v>
      </c>
      <c r="J33" s="85">
        <f>3780-792.6+180</f>
        <v>3167.4</v>
      </c>
    </row>
    <row r="34" spans="2:10" ht="15.75" thickBot="1" x14ac:dyDescent="0.3">
      <c r="B34" s="82" t="s">
        <v>550</v>
      </c>
      <c r="C34" s="83" t="s">
        <v>549</v>
      </c>
      <c r="D34" s="85" t="s">
        <v>173</v>
      </c>
      <c r="E34" s="85" t="s">
        <v>182</v>
      </c>
      <c r="F34" s="85" t="s">
        <v>593</v>
      </c>
      <c r="G34" s="118">
        <v>240</v>
      </c>
      <c r="H34" s="85">
        <v>0</v>
      </c>
      <c r="I34" s="85">
        <f t="shared" si="0"/>
        <v>240</v>
      </c>
      <c r="J34" s="85"/>
    </row>
    <row r="35" spans="2:10" ht="15.75" thickBot="1" x14ac:dyDescent="0.3">
      <c r="B35" s="82" t="s">
        <v>551</v>
      </c>
      <c r="C35" s="83" t="s">
        <v>549</v>
      </c>
      <c r="D35" s="85" t="s">
        <v>173</v>
      </c>
      <c r="E35" s="85" t="s">
        <v>182</v>
      </c>
      <c r="F35" s="85" t="s">
        <v>594</v>
      </c>
      <c r="G35" s="118">
        <f>2280-782.6</f>
        <v>1497.4</v>
      </c>
      <c r="H35" s="85">
        <v>0</v>
      </c>
      <c r="I35" s="85">
        <f t="shared" si="0"/>
        <v>1497.4</v>
      </c>
      <c r="J35" s="85"/>
    </row>
    <row r="36" spans="2:10" ht="15.75" thickBot="1" x14ac:dyDescent="0.3">
      <c r="B36" s="82" t="s">
        <v>535</v>
      </c>
      <c r="C36" s="83" t="s">
        <v>549</v>
      </c>
      <c r="D36" s="85" t="s">
        <v>173</v>
      </c>
      <c r="E36" s="85" t="s">
        <v>182</v>
      </c>
      <c r="F36" s="85" t="s">
        <v>595</v>
      </c>
      <c r="G36" s="118">
        <v>180</v>
      </c>
      <c r="H36" s="85">
        <v>0</v>
      </c>
      <c r="I36" s="85">
        <f t="shared" si="0"/>
        <v>180</v>
      </c>
      <c r="J36" s="85"/>
    </row>
    <row r="37" spans="2:10" ht="15.75" thickBot="1" x14ac:dyDescent="0.3">
      <c r="B37" s="82"/>
      <c r="C37" s="83"/>
      <c r="D37" s="85"/>
      <c r="E37" s="85"/>
      <c r="F37" s="85"/>
      <c r="G37" s="85"/>
      <c r="H37" s="85"/>
      <c r="I37" s="85"/>
      <c r="J37" s="85"/>
    </row>
    <row r="38" spans="2:10" ht="15.75" thickBot="1" x14ac:dyDescent="0.3">
      <c r="B38" s="82"/>
      <c r="C38" s="83"/>
      <c r="D38" s="85"/>
      <c r="E38" s="85"/>
      <c r="F38" s="85"/>
      <c r="G38" s="85"/>
      <c r="H38" s="85"/>
      <c r="I38" s="85"/>
      <c r="J38" s="85"/>
    </row>
    <row r="39" spans="2:10" ht="15.75" thickBot="1" x14ac:dyDescent="0.3">
      <c r="B39" s="82"/>
      <c r="C39" s="83"/>
      <c r="D39" s="85"/>
      <c r="E39" s="85"/>
      <c r="F39" s="85"/>
      <c r="G39" s="85"/>
      <c r="H39" s="85"/>
      <c r="I39" s="85"/>
      <c r="J39" s="85"/>
    </row>
    <row r="40" spans="2:10" ht="15.75" thickBot="1" x14ac:dyDescent="0.3">
      <c r="B40" s="82"/>
      <c r="C40" s="83"/>
      <c r="D40" s="85"/>
      <c r="E40" s="85"/>
      <c r="F40" s="85"/>
      <c r="G40" s="85"/>
      <c r="H40" s="85"/>
      <c r="I40" s="85"/>
      <c r="J40" s="85"/>
    </row>
    <row r="41" spans="2:10" ht="15.75" thickBot="1" x14ac:dyDescent="0.3">
      <c r="B41" s="82"/>
      <c r="C41" s="83"/>
      <c r="D41" s="85"/>
      <c r="E41" s="85"/>
      <c r="F41" s="85"/>
      <c r="G41" s="85"/>
      <c r="H41" s="85"/>
      <c r="I41" s="85"/>
      <c r="J41" s="85"/>
    </row>
    <row r="42" spans="2:10" ht="15.75" thickBot="1" x14ac:dyDescent="0.3">
      <c r="B42" s="82"/>
      <c r="C42" s="83"/>
      <c r="D42" s="85"/>
      <c r="E42" s="85"/>
      <c r="F42" s="85"/>
      <c r="G42" s="85"/>
      <c r="H42" s="85"/>
      <c r="I42" s="85"/>
      <c r="J42" s="85"/>
    </row>
    <row r="43" spans="2:10" ht="15.75" thickBot="1" x14ac:dyDescent="0.3">
      <c r="B43" s="82"/>
      <c r="C43" s="83"/>
      <c r="D43" s="85"/>
      <c r="E43" s="85"/>
      <c r="F43" s="85"/>
      <c r="G43" s="85"/>
      <c r="H43" s="85"/>
      <c r="I43" s="85"/>
      <c r="J43" s="85"/>
    </row>
    <row r="44" spans="2:10" ht="15.75" thickBot="1" x14ac:dyDescent="0.3">
      <c r="B44" s="82"/>
      <c r="C44" s="83"/>
      <c r="D44" s="85"/>
      <c r="E44" s="85"/>
      <c r="F44" s="85"/>
      <c r="G44" s="85"/>
      <c r="H44" s="85"/>
      <c r="I44" s="85"/>
      <c r="J44" s="85"/>
    </row>
    <row r="45" spans="2:10" ht="15.75" thickBot="1" x14ac:dyDescent="0.3">
      <c r="B45" s="82"/>
      <c r="C45" s="83"/>
      <c r="D45" s="85"/>
      <c r="E45" s="85"/>
      <c r="F45" s="85"/>
      <c r="G45" s="85"/>
      <c r="H45" s="85"/>
      <c r="I45" s="85"/>
      <c r="J45" s="85"/>
    </row>
  </sheetData>
  <mergeCells count="23">
    <mergeCell ref="B21:U22"/>
    <mergeCell ref="B9:W9"/>
    <mergeCell ref="B11:C11"/>
    <mergeCell ref="D11:R11"/>
    <mergeCell ref="B12:C12"/>
    <mergeCell ref="D12:R12"/>
    <mergeCell ref="B13:C13"/>
    <mergeCell ref="D13:R13"/>
    <mergeCell ref="B14:C14"/>
    <mergeCell ref="D14:R14"/>
    <mergeCell ref="B15:C15"/>
    <mergeCell ref="D15:R15"/>
    <mergeCell ref="B17:W17"/>
    <mergeCell ref="B25:U26"/>
    <mergeCell ref="B28:B29"/>
    <mergeCell ref="C28:C29"/>
    <mergeCell ref="D28:D29"/>
    <mergeCell ref="F28:F29"/>
    <mergeCell ref="G28:G29"/>
    <mergeCell ref="H28:H29"/>
    <mergeCell ref="I28:I29"/>
    <mergeCell ref="J28:J29"/>
    <mergeCell ref="E28:E29"/>
  </mergeCells>
  <dataValidations disablePrompts="1" count="1">
    <dataValidation type="list" allowBlank="1" showInputMessage="1" showErrorMessage="1" sqref="C30:C45">
      <formula1>"AC Frota Produtiva Pesada, AC Frota Produtiva Ligeiros, AC Estacionários, Equipamento Frio Frota, Equipamento Frio Estacionário"</formula1>
    </dataValidation>
  </dataValidations>
  <pageMargins left="0.7" right="0.7" top="0.75" bottom="0.75" header="0.3" footer="0.3"/>
  <customProperties>
    <customPr name="GUID" r:id="rId1"/>
  </customProperties>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'A1.4.2'!$H$2:$H$9</xm:f>
          </x14:formula1>
          <xm:sqref>D30:D45</xm:sqref>
        </x14:dataValidation>
        <x14:dataValidation type="list" allowBlank="1" showInputMessage="1" showErrorMessage="1">
          <x14:formula1>
            <xm:f>'A1.4.2'!$B$2:$B$248</xm:f>
          </x14:formula1>
          <xm:sqref>E30:E45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dimension ref="A1:P90"/>
  <sheetViews>
    <sheetView topLeftCell="A73" zoomScale="85" zoomScaleNormal="85" workbookViewId="0">
      <selection activeCell="A89" sqref="A89:B90"/>
    </sheetView>
  </sheetViews>
  <sheetFormatPr defaultRowHeight="15" x14ac:dyDescent="0.25"/>
  <cols>
    <col min="1" max="1" width="71.5703125" customWidth="1"/>
    <col min="2" max="2" width="72.140625" customWidth="1"/>
    <col min="3" max="3" width="19.140625" bestFit="1" customWidth="1"/>
    <col min="4" max="4" width="15.140625" bestFit="1" customWidth="1"/>
    <col min="5" max="5" width="36.28515625" customWidth="1"/>
    <col min="6" max="6" width="15" bestFit="1" customWidth="1"/>
    <col min="7" max="7" width="21.85546875" customWidth="1"/>
    <col min="8" max="8" width="49.42578125" customWidth="1"/>
    <col min="9" max="9" width="47" customWidth="1"/>
    <col min="10" max="10" width="40.7109375" customWidth="1"/>
    <col min="11" max="11" width="26.140625" customWidth="1"/>
    <col min="12" max="12" width="31.5703125" customWidth="1"/>
    <col min="13" max="13" width="105.7109375" bestFit="1" customWidth="1"/>
    <col min="14" max="14" width="31.5703125" customWidth="1"/>
    <col min="15" max="15" width="28.28515625" customWidth="1"/>
  </cols>
  <sheetData>
    <row r="1" spans="1:16" ht="15.75" thickBot="1" x14ac:dyDescent="0.3">
      <c r="A1" s="793" t="s">
        <v>1851</v>
      </c>
      <c r="B1" s="757" t="s">
        <v>131</v>
      </c>
      <c r="C1" s="757" t="s">
        <v>1852</v>
      </c>
      <c r="D1" s="202" t="s">
        <v>1856</v>
      </c>
      <c r="E1" s="759" t="s">
        <v>158</v>
      </c>
      <c r="F1" s="778" t="s">
        <v>169</v>
      </c>
      <c r="G1" s="778" t="s">
        <v>160</v>
      </c>
      <c r="H1" s="757" t="s">
        <v>159</v>
      </c>
      <c r="I1" s="757" t="s">
        <v>161</v>
      </c>
      <c r="J1" s="757" t="s">
        <v>162</v>
      </c>
      <c r="K1" s="757" t="s">
        <v>163</v>
      </c>
      <c r="L1" s="202" t="s">
        <v>1870</v>
      </c>
      <c r="M1" s="759" t="s">
        <v>134</v>
      </c>
      <c r="N1" s="223" t="s">
        <v>2841</v>
      </c>
      <c r="O1" s="777" t="s">
        <v>2812</v>
      </c>
      <c r="P1" s="777" t="s">
        <v>3588</v>
      </c>
    </row>
    <row r="2" spans="1:16" ht="15.75" thickBot="1" x14ac:dyDescent="0.3">
      <c r="A2" s="794"/>
      <c r="B2" s="758"/>
      <c r="C2" s="758"/>
      <c r="D2" s="203"/>
      <c r="E2" s="759"/>
      <c r="F2" s="779"/>
      <c r="G2" s="779"/>
      <c r="H2" s="758"/>
      <c r="I2" s="758"/>
      <c r="J2" s="758"/>
      <c r="K2" s="758"/>
      <c r="L2" s="203"/>
      <c r="M2" s="759"/>
      <c r="N2" s="223"/>
      <c r="O2" s="777"/>
      <c r="P2" s="777"/>
    </row>
    <row r="3" spans="1:16" ht="15.75" thickBot="1" x14ac:dyDescent="0.3">
      <c r="A3" s="82" t="s">
        <v>45</v>
      </c>
      <c r="B3" s="82" t="str">
        <f t="shared" ref="B3:B8" si="0">LEFT(A3,IFERROR(FIND(" - ",A3)-1,LEN(A3)))</f>
        <v>Barraqueiro Transportes, S.A.</v>
      </c>
      <c r="C3" s="82" t="str">
        <f t="shared" ref="C3:C36" si="1">IF(A3=B3,"X",RIGHT(A3,LEN(A3)-LEN(B3)-3))</f>
        <v>X</v>
      </c>
      <c r="D3" s="216">
        <v>2022</v>
      </c>
      <c r="E3" s="83" t="s">
        <v>549</v>
      </c>
      <c r="F3" s="85" t="s">
        <v>173</v>
      </c>
      <c r="G3" s="85" t="s">
        <v>182</v>
      </c>
      <c r="H3" s="85" t="s">
        <v>596</v>
      </c>
      <c r="I3" s="85">
        <f>3960-792.6-180</f>
        <v>2987.4</v>
      </c>
      <c r="J3" s="85">
        <v>0</v>
      </c>
      <c r="K3" s="85">
        <f>I3-J3</f>
        <v>2987.4</v>
      </c>
      <c r="L3" s="217" t="s">
        <v>1863</v>
      </c>
      <c r="M3" s="85" t="s">
        <v>552</v>
      </c>
      <c r="N3" s="260" t="s">
        <v>2867</v>
      </c>
      <c r="O3" s="227" t="s">
        <v>1953</v>
      </c>
      <c r="P3" s="227" t="s">
        <v>2816</v>
      </c>
    </row>
    <row r="4" spans="1:16" ht="15.75" thickBot="1" x14ac:dyDescent="0.3">
      <c r="A4" s="82" t="s">
        <v>3471</v>
      </c>
      <c r="B4" s="82" t="str">
        <f t="shared" si="0"/>
        <v>Barraqueiro Transportes, S.A.</v>
      </c>
      <c r="C4" s="82" t="str">
        <f t="shared" si="1"/>
        <v>Estremadura</v>
      </c>
      <c r="D4" s="216">
        <v>2022</v>
      </c>
      <c r="E4" s="83" t="s">
        <v>549</v>
      </c>
      <c r="F4" s="85" t="s">
        <v>173</v>
      </c>
      <c r="G4" s="85" t="s">
        <v>182</v>
      </c>
      <c r="H4" s="85" t="s">
        <v>590</v>
      </c>
      <c r="I4" s="118">
        <f>540-10</f>
        <v>530</v>
      </c>
      <c r="J4" s="85">
        <v>0</v>
      </c>
      <c r="K4" s="85">
        <f t="shared" ref="K4:K30" si="2">I4-J4</f>
        <v>530</v>
      </c>
      <c r="L4" s="217" t="s">
        <v>1863</v>
      </c>
      <c r="M4" s="85"/>
      <c r="N4" s="260" t="s">
        <v>2867</v>
      </c>
      <c r="O4" s="227" t="s">
        <v>1953</v>
      </c>
      <c r="P4" s="227" t="s">
        <v>2816</v>
      </c>
    </row>
    <row r="5" spans="1:16" ht="15.75" thickBot="1" x14ac:dyDescent="0.3">
      <c r="A5" s="82" t="s">
        <v>3473</v>
      </c>
      <c r="B5" s="82" t="str">
        <f t="shared" si="0"/>
        <v>Barraqueiro Transportes, S.A.</v>
      </c>
      <c r="C5" s="82" t="str">
        <f t="shared" si="1"/>
        <v>Barraqueiro Oeste</v>
      </c>
      <c r="D5" s="216">
        <v>2022</v>
      </c>
      <c r="E5" s="83" t="s">
        <v>549</v>
      </c>
      <c r="F5" s="85" t="s">
        <v>173</v>
      </c>
      <c r="G5" s="85" t="s">
        <v>182</v>
      </c>
      <c r="H5" s="85" t="s">
        <v>591</v>
      </c>
      <c r="I5" s="118">
        <v>240</v>
      </c>
      <c r="J5" s="85">
        <v>0</v>
      </c>
      <c r="K5" s="85">
        <f t="shared" si="2"/>
        <v>240</v>
      </c>
      <c r="L5" s="217" t="s">
        <v>1863</v>
      </c>
      <c r="M5" s="85"/>
      <c r="N5" s="260" t="s">
        <v>2867</v>
      </c>
      <c r="O5" s="227" t="s">
        <v>1953</v>
      </c>
      <c r="P5" s="227" t="s">
        <v>2816</v>
      </c>
    </row>
    <row r="6" spans="1:16" ht="15.75" thickBot="1" x14ac:dyDescent="0.3">
      <c r="A6" s="82" t="s">
        <v>3474</v>
      </c>
      <c r="B6" s="82" t="str">
        <f t="shared" si="0"/>
        <v>Barraqueiro Transportes, S.A.</v>
      </c>
      <c r="C6" s="82" t="str">
        <f t="shared" si="1"/>
        <v>Boa Viagem</v>
      </c>
      <c r="D6" s="216">
        <v>2022</v>
      </c>
      <c r="E6" s="83" t="s">
        <v>549</v>
      </c>
      <c r="F6" s="85" t="s">
        <v>173</v>
      </c>
      <c r="G6" s="85" t="s">
        <v>182</v>
      </c>
      <c r="H6" s="85" t="s">
        <v>592</v>
      </c>
      <c r="I6" s="118">
        <v>480</v>
      </c>
      <c r="J6" s="85">
        <v>0</v>
      </c>
      <c r="K6" s="85">
        <f t="shared" si="2"/>
        <v>480</v>
      </c>
      <c r="L6" s="217" t="s">
        <v>1863</v>
      </c>
      <c r="M6" s="85">
        <f>3780-792.6+180</f>
        <v>3167.4</v>
      </c>
      <c r="N6" s="260" t="s">
        <v>2867</v>
      </c>
      <c r="O6" s="227" t="s">
        <v>1953</v>
      </c>
      <c r="P6" s="227" t="s">
        <v>2816</v>
      </c>
    </row>
    <row r="7" spans="1:16" ht="15.75" thickBot="1" x14ac:dyDescent="0.3">
      <c r="A7" s="82" t="s">
        <v>3470</v>
      </c>
      <c r="B7" s="82" t="str">
        <f t="shared" si="0"/>
        <v>Barraqueiro Transportes, S.A.</v>
      </c>
      <c r="C7" s="82" t="str">
        <f t="shared" si="1"/>
        <v>Mafrense</v>
      </c>
      <c r="D7" s="216">
        <v>2022</v>
      </c>
      <c r="E7" s="83" t="s">
        <v>549</v>
      </c>
      <c r="F7" s="85" t="s">
        <v>173</v>
      </c>
      <c r="G7" s="85" t="s">
        <v>182</v>
      </c>
      <c r="H7" s="85" t="s">
        <v>593</v>
      </c>
      <c r="I7" s="118">
        <v>240</v>
      </c>
      <c r="J7" s="85">
        <v>0</v>
      </c>
      <c r="K7" s="85">
        <f t="shared" si="2"/>
        <v>240</v>
      </c>
      <c r="L7" s="217" t="s">
        <v>1863</v>
      </c>
      <c r="M7" s="85"/>
      <c r="N7" s="260" t="s">
        <v>2867</v>
      </c>
      <c r="O7" s="227" t="s">
        <v>1953</v>
      </c>
      <c r="P7" s="227" t="s">
        <v>2816</v>
      </c>
    </row>
    <row r="8" spans="1:16" ht="15.75" thickBot="1" x14ac:dyDescent="0.3">
      <c r="A8" s="82" t="s">
        <v>3524</v>
      </c>
      <c r="B8" s="82" t="str">
        <f t="shared" si="0"/>
        <v>Barraqueiro Transportes, S.A.</v>
      </c>
      <c r="C8" s="82" t="str">
        <f t="shared" si="1"/>
        <v>ESEVEL</v>
      </c>
      <c r="D8" s="216">
        <v>2022</v>
      </c>
      <c r="E8" s="83" t="s">
        <v>549</v>
      </c>
      <c r="F8" s="85" t="s">
        <v>173</v>
      </c>
      <c r="G8" s="85" t="s">
        <v>182</v>
      </c>
      <c r="H8" s="85" t="s">
        <v>594</v>
      </c>
      <c r="I8" s="118">
        <f>2280-782.6</f>
        <v>1497.4</v>
      </c>
      <c r="J8" s="85">
        <v>0</v>
      </c>
      <c r="K8" s="85">
        <f t="shared" si="2"/>
        <v>1497.4</v>
      </c>
      <c r="L8" s="217" t="s">
        <v>1863</v>
      </c>
      <c r="M8" s="85"/>
      <c r="N8" s="260" t="s">
        <v>2867</v>
      </c>
      <c r="O8" s="227" t="s">
        <v>1953</v>
      </c>
      <c r="P8" s="227" t="s">
        <v>2816</v>
      </c>
    </row>
    <row r="9" spans="1:16" ht="15.75" thickBot="1" x14ac:dyDescent="0.3">
      <c r="A9" s="82" t="s">
        <v>4580</v>
      </c>
      <c r="B9" s="82" t="s">
        <v>4580</v>
      </c>
      <c r="C9" s="82" t="str">
        <f t="shared" si="1"/>
        <v>X</v>
      </c>
      <c r="D9" s="216">
        <v>2022</v>
      </c>
      <c r="E9" s="83" t="s">
        <v>549</v>
      </c>
      <c r="F9" s="85" t="s">
        <v>173</v>
      </c>
      <c r="G9" s="85" t="s">
        <v>182</v>
      </c>
      <c r="H9" s="85" t="s">
        <v>595</v>
      </c>
      <c r="I9" s="118">
        <v>180</v>
      </c>
      <c r="J9" s="85">
        <v>0</v>
      </c>
      <c r="K9" s="85">
        <f t="shared" si="2"/>
        <v>180</v>
      </c>
      <c r="L9" s="217" t="s">
        <v>1863</v>
      </c>
      <c r="M9" s="85"/>
      <c r="N9" s="260" t="s">
        <v>2867</v>
      </c>
      <c r="O9" s="227" t="s">
        <v>1953</v>
      </c>
      <c r="P9" s="227" t="s">
        <v>2816</v>
      </c>
    </row>
    <row r="10" spans="1:16" ht="15.75" thickBot="1" x14ac:dyDescent="0.3">
      <c r="A10" s="82" t="s">
        <v>1912</v>
      </c>
      <c r="B10" s="82" t="s">
        <v>1912</v>
      </c>
      <c r="C10" s="82" t="str">
        <f t="shared" si="1"/>
        <v>X</v>
      </c>
      <c r="D10" s="216">
        <v>2022</v>
      </c>
      <c r="E10" s="83" t="s">
        <v>549</v>
      </c>
      <c r="F10" s="85" t="s">
        <v>173</v>
      </c>
      <c r="G10" s="85" t="s">
        <v>182</v>
      </c>
      <c r="H10" s="85" t="s">
        <v>2844</v>
      </c>
      <c r="I10" s="85">
        <v>180</v>
      </c>
      <c r="J10" s="85">
        <v>0</v>
      </c>
      <c r="K10" s="85">
        <f t="shared" si="2"/>
        <v>180</v>
      </c>
      <c r="L10" s="217" t="s">
        <v>1863</v>
      </c>
      <c r="M10" s="85"/>
      <c r="N10" s="260" t="s">
        <v>2867</v>
      </c>
      <c r="O10" s="227" t="s">
        <v>1953</v>
      </c>
      <c r="P10" s="227" t="s">
        <v>2816</v>
      </c>
    </row>
    <row r="11" spans="1:16" ht="15.75" thickBot="1" x14ac:dyDescent="0.3">
      <c r="A11" s="82" t="s">
        <v>1916</v>
      </c>
      <c r="B11" s="82" t="s">
        <v>1916</v>
      </c>
      <c r="C11" s="82" t="str">
        <f t="shared" si="1"/>
        <v>X</v>
      </c>
      <c r="D11" s="216">
        <v>2022</v>
      </c>
      <c r="E11" s="83" t="s">
        <v>549</v>
      </c>
      <c r="F11" s="85" t="s">
        <v>173</v>
      </c>
      <c r="G11" s="85" t="s">
        <v>182</v>
      </c>
      <c r="H11" s="85" t="s">
        <v>2845</v>
      </c>
      <c r="I11" s="118">
        <v>420</v>
      </c>
      <c r="J11" s="85">
        <v>0</v>
      </c>
      <c r="K11" s="85">
        <f t="shared" si="2"/>
        <v>420</v>
      </c>
      <c r="L11" s="217" t="s">
        <v>1863</v>
      </c>
      <c r="M11" s="85" t="s">
        <v>2858</v>
      </c>
      <c r="N11" s="260" t="s">
        <v>2867</v>
      </c>
      <c r="O11" s="227" t="s">
        <v>1953</v>
      </c>
      <c r="P11" s="227" t="s">
        <v>2816</v>
      </c>
    </row>
    <row r="12" spans="1:16" ht="15.75" thickBot="1" x14ac:dyDescent="0.3">
      <c r="A12" s="82" t="s">
        <v>1916</v>
      </c>
      <c r="B12" s="82" t="s">
        <v>1916</v>
      </c>
      <c r="C12" s="82" t="str">
        <f t="shared" si="1"/>
        <v>X</v>
      </c>
      <c r="D12" s="216">
        <v>2022</v>
      </c>
      <c r="E12" s="83" t="s">
        <v>549</v>
      </c>
      <c r="F12" s="85" t="s">
        <v>173</v>
      </c>
      <c r="G12" s="85" t="s">
        <v>182</v>
      </c>
      <c r="H12" s="85" t="s">
        <v>2846</v>
      </c>
      <c r="I12" s="118">
        <v>300</v>
      </c>
      <c r="J12" s="85">
        <v>0</v>
      </c>
      <c r="K12" s="85">
        <f t="shared" si="2"/>
        <v>300</v>
      </c>
      <c r="L12" s="217" t="s">
        <v>1863</v>
      </c>
      <c r="M12" s="85" t="s">
        <v>2858</v>
      </c>
      <c r="N12" s="260" t="s">
        <v>2867</v>
      </c>
      <c r="O12" s="227" t="s">
        <v>1953</v>
      </c>
      <c r="P12" s="227" t="s">
        <v>2816</v>
      </c>
    </row>
    <row r="13" spans="1:16" ht="15.75" thickBot="1" x14ac:dyDescent="0.3">
      <c r="A13" s="82" t="s">
        <v>1916</v>
      </c>
      <c r="B13" s="82" t="s">
        <v>1916</v>
      </c>
      <c r="C13" s="82" t="str">
        <f t="shared" si="1"/>
        <v>X</v>
      </c>
      <c r="D13" s="216">
        <v>2022</v>
      </c>
      <c r="E13" s="83" t="s">
        <v>549</v>
      </c>
      <c r="F13" s="85" t="s">
        <v>173</v>
      </c>
      <c r="G13" s="85" t="s">
        <v>182</v>
      </c>
      <c r="H13" s="85" t="s">
        <v>2847</v>
      </c>
      <c r="I13" s="118">
        <v>420</v>
      </c>
      <c r="J13" s="85">
        <v>0</v>
      </c>
      <c r="K13" s="85">
        <f t="shared" si="2"/>
        <v>420</v>
      </c>
      <c r="L13" s="217" t="s">
        <v>1863</v>
      </c>
      <c r="M13" s="85" t="s">
        <v>2858</v>
      </c>
      <c r="N13" s="260" t="s">
        <v>2867</v>
      </c>
      <c r="O13" s="227" t="s">
        <v>1953</v>
      </c>
      <c r="P13" s="227" t="s">
        <v>2816</v>
      </c>
    </row>
    <row r="14" spans="1:16" ht="15.75" thickBot="1" x14ac:dyDescent="0.3">
      <c r="A14" s="82" t="s">
        <v>1916</v>
      </c>
      <c r="B14" s="82" t="s">
        <v>1916</v>
      </c>
      <c r="C14" s="82" t="str">
        <f t="shared" si="1"/>
        <v>X</v>
      </c>
      <c r="D14" s="216">
        <v>2022</v>
      </c>
      <c r="E14" s="83" t="s">
        <v>549</v>
      </c>
      <c r="F14" s="85" t="s">
        <v>173</v>
      </c>
      <c r="G14" s="85" t="s">
        <v>182</v>
      </c>
      <c r="H14" s="85" t="s">
        <v>2848</v>
      </c>
      <c r="I14" s="118">
        <v>240</v>
      </c>
      <c r="J14" s="85">
        <v>0</v>
      </c>
      <c r="K14" s="85">
        <f t="shared" si="2"/>
        <v>240</v>
      </c>
      <c r="L14" s="217" t="s">
        <v>1863</v>
      </c>
      <c r="M14" s="85" t="s">
        <v>2858</v>
      </c>
      <c r="N14" s="260" t="s">
        <v>2867</v>
      </c>
      <c r="O14" s="227" t="s">
        <v>1953</v>
      </c>
      <c r="P14" s="227" t="s">
        <v>2816</v>
      </c>
    </row>
    <row r="15" spans="1:16" ht="15.75" thickBot="1" x14ac:dyDescent="0.3">
      <c r="A15" s="82" t="s">
        <v>4583</v>
      </c>
      <c r="B15" s="82" t="s">
        <v>4583</v>
      </c>
      <c r="C15" s="82" t="str">
        <f t="shared" si="1"/>
        <v>X</v>
      </c>
      <c r="D15" s="216">
        <v>2022</v>
      </c>
      <c r="E15" s="83" t="s">
        <v>549</v>
      </c>
      <c r="F15" s="85" t="s">
        <v>173</v>
      </c>
      <c r="G15" s="85" t="s">
        <v>182</v>
      </c>
      <c r="H15" s="85" t="s">
        <v>2849</v>
      </c>
      <c r="I15" s="85">
        <v>960</v>
      </c>
      <c r="J15" s="85"/>
      <c r="K15" s="85">
        <f t="shared" si="2"/>
        <v>960</v>
      </c>
      <c r="L15" s="217" t="s">
        <v>1863</v>
      </c>
      <c r="M15" s="85"/>
      <c r="N15" s="260" t="s">
        <v>2867</v>
      </c>
      <c r="O15" s="227" t="s">
        <v>1953</v>
      </c>
      <c r="P15" s="227" t="s">
        <v>2816</v>
      </c>
    </row>
    <row r="16" spans="1:16" ht="15.75" thickBot="1" x14ac:dyDescent="0.3">
      <c r="A16" s="82" t="s">
        <v>4583</v>
      </c>
      <c r="B16" s="82" t="s">
        <v>4583</v>
      </c>
      <c r="C16" s="82" t="str">
        <f t="shared" si="1"/>
        <v>X</v>
      </c>
      <c r="D16" s="216">
        <v>2022</v>
      </c>
      <c r="E16" s="83" t="s">
        <v>549</v>
      </c>
      <c r="F16" s="85" t="s">
        <v>173</v>
      </c>
      <c r="G16" s="85" t="s">
        <v>182</v>
      </c>
      <c r="H16" s="85" t="s">
        <v>2850</v>
      </c>
      <c r="I16" s="118">
        <v>240</v>
      </c>
      <c r="J16" s="85"/>
      <c r="K16" s="85">
        <f t="shared" si="2"/>
        <v>240</v>
      </c>
      <c r="L16" s="217" t="s">
        <v>1863</v>
      </c>
      <c r="M16" s="85"/>
      <c r="N16" s="260" t="s">
        <v>2867</v>
      </c>
      <c r="O16" s="227" t="s">
        <v>1953</v>
      </c>
      <c r="P16" s="227" t="s">
        <v>2816</v>
      </c>
    </row>
    <row r="17" spans="1:16" ht="15.75" thickBot="1" x14ac:dyDescent="0.3">
      <c r="A17" s="82" t="s">
        <v>4583</v>
      </c>
      <c r="B17" s="82" t="s">
        <v>4583</v>
      </c>
      <c r="C17" s="82" t="str">
        <f t="shared" si="1"/>
        <v>X</v>
      </c>
      <c r="D17" s="216">
        <v>2022</v>
      </c>
      <c r="E17" s="83" t="s">
        <v>549</v>
      </c>
      <c r="F17" s="85" t="s">
        <v>173</v>
      </c>
      <c r="G17" s="85" t="s">
        <v>182</v>
      </c>
      <c r="H17" s="85" t="s">
        <v>2851</v>
      </c>
      <c r="I17" s="118">
        <v>780</v>
      </c>
      <c r="J17" s="85"/>
      <c r="K17" s="85">
        <f t="shared" si="2"/>
        <v>780</v>
      </c>
      <c r="L17" s="217" t="s">
        <v>1863</v>
      </c>
      <c r="M17" s="85"/>
      <c r="N17" s="260" t="s">
        <v>2867</v>
      </c>
      <c r="O17" s="227" t="s">
        <v>1953</v>
      </c>
      <c r="P17" s="227" t="s">
        <v>2816</v>
      </c>
    </row>
    <row r="18" spans="1:16" ht="15.75" thickBot="1" x14ac:dyDescent="0.3">
      <c r="A18" s="82" t="s">
        <v>4583</v>
      </c>
      <c r="B18" s="82" t="s">
        <v>4583</v>
      </c>
      <c r="C18" s="82" t="str">
        <f t="shared" si="1"/>
        <v>X</v>
      </c>
      <c r="D18" s="216">
        <v>2022</v>
      </c>
      <c r="E18" s="83" t="s">
        <v>549</v>
      </c>
      <c r="F18" s="85" t="s">
        <v>173</v>
      </c>
      <c r="G18" s="85" t="s">
        <v>182</v>
      </c>
      <c r="H18" s="85" t="s">
        <v>2852</v>
      </c>
      <c r="I18" s="118">
        <v>180</v>
      </c>
      <c r="J18" s="85"/>
      <c r="K18" s="85">
        <f t="shared" si="2"/>
        <v>180</v>
      </c>
      <c r="L18" s="217" t="s">
        <v>1863</v>
      </c>
      <c r="M18" s="85"/>
      <c r="N18" s="260" t="s">
        <v>2867</v>
      </c>
      <c r="O18" s="227" t="s">
        <v>1953</v>
      </c>
      <c r="P18" s="227" t="s">
        <v>2816</v>
      </c>
    </row>
    <row r="19" spans="1:16" ht="15.75" thickBot="1" x14ac:dyDescent="0.3">
      <c r="A19" s="82" t="s">
        <v>4590</v>
      </c>
      <c r="B19" s="82" t="s">
        <v>4590</v>
      </c>
      <c r="C19" s="82" t="str">
        <f t="shared" si="1"/>
        <v>X</v>
      </c>
      <c r="D19" s="216">
        <v>2022</v>
      </c>
      <c r="E19" s="83" t="s">
        <v>549</v>
      </c>
      <c r="F19" s="85" t="s">
        <v>173</v>
      </c>
      <c r="G19" s="85" t="s">
        <v>182</v>
      </c>
      <c r="H19" s="85" t="s">
        <v>2853</v>
      </c>
      <c r="I19" s="85">
        <v>420</v>
      </c>
      <c r="J19" s="85">
        <v>0</v>
      </c>
      <c r="K19" s="85">
        <f t="shared" si="2"/>
        <v>420</v>
      </c>
      <c r="L19" s="217" t="s">
        <v>1863</v>
      </c>
      <c r="M19" s="85"/>
      <c r="N19" s="260" t="s">
        <v>2867</v>
      </c>
      <c r="O19" s="227" t="s">
        <v>1953</v>
      </c>
      <c r="P19" s="227" t="s">
        <v>2816</v>
      </c>
    </row>
    <row r="20" spans="1:16" ht="15.75" thickBot="1" x14ac:dyDescent="0.3">
      <c r="A20" s="82" t="s">
        <v>2817</v>
      </c>
      <c r="B20" s="82" t="s">
        <v>2817</v>
      </c>
      <c r="C20" s="82" t="str">
        <f t="shared" si="1"/>
        <v>X</v>
      </c>
      <c r="D20" s="216">
        <v>2022</v>
      </c>
      <c r="E20" s="83" t="s">
        <v>549</v>
      </c>
      <c r="F20" s="85" t="s">
        <v>173</v>
      </c>
      <c r="G20" s="85" t="s">
        <v>182</v>
      </c>
      <c r="H20" s="85" t="s">
        <v>2854</v>
      </c>
      <c r="I20" s="85">
        <v>180</v>
      </c>
      <c r="J20" s="85">
        <v>0</v>
      </c>
      <c r="K20" s="85">
        <f t="shared" si="2"/>
        <v>180</v>
      </c>
      <c r="L20" s="217" t="s">
        <v>1863</v>
      </c>
      <c r="M20" s="85"/>
      <c r="N20" s="260" t="s">
        <v>2867</v>
      </c>
      <c r="O20" s="227" t="s">
        <v>1953</v>
      </c>
      <c r="P20" s="227" t="s">
        <v>2816</v>
      </c>
    </row>
    <row r="21" spans="1:16" ht="15.75" thickBot="1" x14ac:dyDescent="0.3">
      <c r="A21" s="82" t="s">
        <v>4592</v>
      </c>
      <c r="B21" s="82" t="s">
        <v>4592</v>
      </c>
      <c r="C21" s="82" t="str">
        <f t="shared" si="1"/>
        <v>X</v>
      </c>
      <c r="D21" s="216">
        <v>2022</v>
      </c>
      <c r="E21" s="83" t="s">
        <v>549</v>
      </c>
      <c r="F21" s="85" t="s">
        <v>173</v>
      </c>
      <c r="G21" s="85" t="s">
        <v>182</v>
      </c>
      <c r="H21" s="85"/>
      <c r="I21" s="85">
        <v>120</v>
      </c>
      <c r="J21" s="85">
        <v>0</v>
      </c>
      <c r="K21" s="85">
        <f t="shared" si="2"/>
        <v>120</v>
      </c>
      <c r="L21" s="217" t="s">
        <v>1863</v>
      </c>
      <c r="M21" s="85"/>
      <c r="N21" s="260" t="s">
        <v>2867</v>
      </c>
      <c r="O21" s="227" t="s">
        <v>1953</v>
      </c>
      <c r="P21" s="227" t="s">
        <v>2816</v>
      </c>
    </row>
    <row r="22" spans="1:16" ht="15.75" thickBot="1" x14ac:dyDescent="0.3">
      <c r="A22" s="82" t="s">
        <v>1910</v>
      </c>
      <c r="B22" s="82" t="s">
        <v>1910</v>
      </c>
      <c r="C22" s="82" t="str">
        <f t="shared" si="1"/>
        <v>X</v>
      </c>
      <c r="D22" s="216">
        <v>2022</v>
      </c>
      <c r="E22" s="83" t="s">
        <v>549</v>
      </c>
      <c r="F22" s="85" t="s">
        <v>173</v>
      </c>
      <c r="G22" s="85" t="s">
        <v>182</v>
      </c>
      <c r="H22" s="85" t="s">
        <v>2855</v>
      </c>
      <c r="I22" s="85">
        <v>274.60000000000002</v>
      </c>
      <c r="J22" s="85">
        <v>36.445</v>
      </c>
      <c r="K22" s="85">
        <f t="shared" si="2"/>
        <v>238.15500000000003</v>
      </c>
      <c r="L22" s="217" t="s">
        <v>1863</v>
      </c>
      <c r="M22" s="85"/>
      <c r="N22" s="260" t="s">
        <v>2867</v>
      </c>
      <c r="O22" s="227" t="s">
        <v>1953</v>
      </c>
      <c r="P22" s="227" t="s">
        <v>2816</v>
      </c>
    </row>
    <row r="23" spans="1:16" ht="15.75" thickBot="1" x14ac:dyDescent="0.3">
      <c r="A23" s="82" t="s">
        <v>1910</v>
      </c>
      <c r="B23" s="82" t="s">
        <v>1910</v>
      </c>
      <c r="C23" s="82" t="str">
        <f t="shared" si="1"/>
        <v>X</v>
      </c>
      <c r="D23" s="216">
        <v>2022</v>
      </c>
      <c r="E23" s="83" t="s">
        <v>549</v>
      </c>
      <c r="F23" s="85" t="s">
        <v>173</v>
      </c>
      <c r="G23" s="85" t="s">
        <v>182</v>
      </c>
      <c r="H23" s="85" t="s">
        <v>2856</v>
      </c>
      <c r="I23" s="118">
        <v>187.4</v>
      </c>
      <c r="J23" s="85">
        <v>27.114999999999998</v>
      </c>
      <c r="K23" s="85">
        <f t="shared" si="2"/>
        <v>160.285</v>
      </c>
      <c r="L23" s="217" t="s">
        <v>1863</v>
      </c>
      <c r="M23" s="85"/>
      <c r="N23" s="260" t="s">
        <v>2867</v>
      </c>
      <c r="O23" s="227" t="s">
        <v>1953</v>
      </c>
      <c r="P23" s="227" t="s">
        <v>2816</v>
      </c>
    </row>
    <row r="24" spans="1:16" ht="15.75" thickBot="1" x14ac:dyDescent="0.3">
      <c r="A24" s="82" t="s">
        <v>1910</v>
      </c>
      <c r="B24" s="82" t="s">
        <v>1910</v>
      </c>
      <c r="C24" s="82" t="str">
        <f t="shared" si="1"/>
        <v>X</v>
      </c>
      <c r="D24" s="216">
        <v>2022</v>
      </c>
      <c r="E24" s="83" t="s">
        <v>2843</v>
      </c>
      <c r="F24" s="85" t="s">
        <v>173</v>
      </c>
      <c r="G24" s="317" t="s">
        <v>3487</v>
      </c>
      <c r="H24" s="85" t="s">
        <v>2857</v>
      </c>
      <c r="I24" s="85">
        <v>2.5499999999999998</v>
      </c>
      <c r="J24" s="85">
        <v>0.5</v>
      </c>
      <c r="K24" s="85">
        <f t="shared" si="2"/>
        <v>2.0499999999999998</v>
      </c>
      <c r="L24" s="217" t="s">
        <v>1863</v>
      </c>
      <c r="M24" s="85"/>
      <c r="N24" s="260" t="s">
        <v>2867</v>
      </c>
      <c r="O24" s="227" t="s">
        <v>1953</v>
      </c>
      <c r="P24" s="227" t="s">
        <v>2816</v>
      </c>
    </row>
    <row r="25" spans="1:16" ht="15.75" thickBot="1" x14ac:dyDescent="0.3">
      <c r="A25" s="82" t="s">
        <v>1910</v>
      </c>
      <c r="B25" s="82" t="s">
        <v>1910</v>
      </c>
      <c r="C25" s="82" t="str">
        <f t="shared" si="1"/>
        <v>X</v>
      </c>
      <c r="D25" s="216">
        <v>2022</v>
      </c>
      <c r="E25" s="83" t="s">
        <v>2843</v>
      </c>
      <c r="F25" s="85" t="s">
        <v>173</v>
      </c>
      <c r="G25" s="85" t="s">
        <v>178</v>
      </c>
      <c r="H25" s="85" t="s">
        <v>2857</v>
      </c>
      <c r="I25" s="85">
        <f>0.55+0.55+0.55</f>
        <v>1.6500000000000001</v>
      </c>
      <c r="J25" s="85">
        <v>0.8</v>
      </c>
      <c r="K25" s="85">
        <f t="shared" si="2"/>
        <v>0.85000000000000009</v>
      </c>
      <c r="L25" s="217" t="s">
        <v>1863</v>
      </c>
      <c r="M25" s="85"/>
      <c r="N25" s="260" t="s">
        <v>2867</v>
      </c>
      <c r="O25" s="227" t="s">
        <v>1953</v>
      </c>
      <c r="P25" s="227" t="s">
        <v>2816</v>
      </c>
    </row>
    <row r="26" spans="1:16" ht="15.75" thickBot="1" x14ac:dyDescent="0.3">
      <c r="A26" s="82" t="s">
        <v>1915</v>
      </c>
      <c r="B26" s="82" t="s">
        <v>1915</v>
      </c>
      <c r="C26" s="82" t="str">
        <f t="shared" si="1"/>
        <v>X</v>
      </c>
      <c r="D26" s="216">
        <v>2022</v>
      </c>
      <c r="E26" s="83" t="s">
        <v>2843</v>
      </c>
      <c r="F26" s="85" t="s">
        <v>172</v>
      </c>
      <c r="G26" s="85" t="s">
        <v>229</v>
      </c>
      <c r="H26" s="85" t="s">
        <v>2860</v>
      </c>
      <c r="I26" s="85">
        <v>0</v>
      </c>
      <c r="J26" s="85">
        <v>0</v>
      </c>
      <c r="K26" s="85">
        <f t="shared" si="2"/>
        <v>0</v>
      </c>
      <c r="L26" s="217" t="s">
        <v>1863</v>
      </c>
      <c r="M26" s="85" t="s">
        <v>2864</v>
      </c>
      <c r="N26" s="260" t="s">
        <v>2867</v>
      </c>
      <c r="O26" s="227" t="s">
        <v>1953</v>
      </c>
      <c r="P26" s="227" t="s">
        <v>2816</v>
      </c>
    </row>
    <row r="27" spans="1:16" ht="15.75" thickBot="1" x14ac:dyDescent="0.3">
      <c r="A27" s="82" t="s">
        <v>1915</v>
      </c>
      <c r="B27" s="82" t="s">
        <v>1915</v>
      </c>
      <c r="C27" s="82" t="str">
        <f t="shared" si="1"/>
        <v>X</v>
      </c>
      <c r="D27" s="216">
        <v>2022</v>
      </c>
      <c r="E27" s="83" t="s">
        <v>2843</v>
      </c>
      <c r="F27" s="85" t="s">
        <v>173</v>
      </c>
      <c r="G27" s="317" t="s">
        <v>3487</v>
      </c>
      <c r="H27" s="85" t="s">
        <v>2860</v>
      </c>
      <c r="I27" s="85">
        <v>0</v>
      </c>
      <c r="J27" s="85">
        <v>0</v>
      </c>
      <c r="K27" s="85">
        <f>I27-J27</f>
        <v>0</v>
      </c>
      <c r="L27" s="217" t="s">
        <v>1863</v>
      </c>
      <c r="M27" s="242" t="s">
        <v>2865</v>
      </c>
      <c r="N27" s="260" t="s">
        <v>2867</v>
      </c>
      <c r="O27" s="227" t="s">
        <v>1953</v>
      </c>
      <c r="P27" s="227" t="s">
        <v>2816</v>
      </c>
    </row>
    <row r="28" spans="1:16" ht="15.75" thickBot="1" x14ac:dyDescent="0.3">
      <c r="A28" s="82" t="s">
        <v>1915</v>
      </c>
      <c r="B28" s="82" t="s">
        <v>1915</v>
      </c>
      <c r="C28" s="82" t="str">
        <f t="shared" si="1"/>
        <v>X</v>
      </c>
      <c r="D28" s="216">
        <v>2022</v>
      </c>
      <c r="E28" s="83" t="s">
        <v>2859</v>
      </c>
      <c r="F28" s="85" t="s">
        <v>173</v>
      </c>
      <c r="G28" s="85" t="s">
        <v>182</v>
      </c>
      <c r="H28" s="85" t="s">
        <v>2860</v>
      </c>
      <c r="I28" s="85">
        <v>0</v>
      </c>
      <c r="J28" s="85">
        <v>0</v>
      </c>
      <c r="K28" s="85">
        <f t="shared" si="2"/>
        <v>0</v>
      </c>
      <c r="L28" s="217" t="s">
        <v>1863</v>
      </c>
      <c r="M28" s="85" t="s">
        <v>2866</v>
      </c>
      <c r="N28" s="260" t="s">
        <v>2867</v>
      </c>
      <c r="O28" s="227" t="s">
        <v>1953</v>
      </c>
      <c r="P28" s="227" t="s">
        <v>2816</v>
      </c>
    </row>
    <row r="29" spans="1:16" ht="15.75" thickBot="1" x14ac:dyDescent="0.3">
      <c r="A29" s="82" t="s">
        <v>4591</v>
      </c>
      <c r="B29" s="82" t="s">
        <v>4591</v>
      </c>
      <c r="C29" s="82" t="str">
        <f t="shared" si="1"/>
        <v>X</v>
      </c>
      <c r="D29" s="216">
        <v>2022</v>
      </c>
      <c r="E29" s="83" t="s">
        <v>2843</v>
      </c>
      <c r="F29" s="85" t="s">
        <v>172</v>
      </c>
      <c r="G29" s="85" t="s">
        <v>229</v>
      </c>
      <c r="H29" s="85" t="s">
        <v>2861</v>
      </c>
      <c r="I29" s="85">
        <v>0</v>
      </c>
      <c r="J29" s="85">
        <v>0</v>
      </c>
      <c r="K29" s="85">
        <f t="shared" si="2"/>
        <v>0</v>
      </c>
      <c r="L29" s="217" t="s">
        <v>1863</v>
      </c>
      <c r="M29" s="85" t="s">
        <v>2862</v>
      </c>
      <c r="N29" s="260" t="s">
        <v>2867</v>
      </c>
      <c r="O29" s="227" t="s">
        <v>1953</v>
      </c>
      <c r="P29" s="227" t="s">
        <v>2816</v>
      </c>
    </row>
    <row r="30" spans="1:16" ht="15.75" thickBot="1" x14ac:dyDescent="0.3">
      <c r="A30" s="82" t="s">
        <v>4591</v>
      </c>
      <c r="B30" s="82" t="s">
        <v>4591</v>
      </c>
      <c r="C30" s="82" t="str">
        <f t="shared" si="1"/>
        <v>X</v>
      </c>
      <c r="D30" s="216">
        <v>2022</v>
      </c>
      <c r="E30" s="83" t="s">
        <v>2843</v>
      </c>
      <c r="F30" s="85" t="s">
        <v>173</v>
      </c>
      <c r="G30" s="85" t="s">
        <v>178</v>
      </c>
      <c r="H30" s="85" t="s">
        <v>2861</v>
      </c>
      <c r="I30" s="85">
        <v>0</v>
      </c>
      <c r="J30" s="85">
        <v>0</v>
      </c>
      <c r="K30" s="85">
        <f t="shared" si="2"/>
        <v>0</v>
      </c>
      <c r="L30" s="217" t="s">
        <v>1863</v>
      </c>
      <c r="M30" s="85" t="s">
        <v>2863</v>
      </c>
      <c r="N30" s="260" t="s">
        <v>2867</v>
      </c>
      <c r="O30" s="227" t="s">
        <v>1953</v>
      </c>
      <c r="P30" s="227" t="s">
        <v>2816</v>
      </c>
    </row>
    <row r="31" spans="1:16" ht="15.75" thickBot="1" x14ac:dyDescent="0.3">
      <c r="A31" t="s">
        <v>4602</v>
      </c>
      <c r="B31" t="s">
        <v>4602</v>
      </c>
      <c r="C31" s="82" t="str">
        <f t="shared" si="1"/>
        <v>X</v>
      </c>
      <c r="D31" s="216">
        <v>2022</v>
      </c>
      <c r="E31" s="83" t="s">
        <v>2843</v>
      </c>
      <c r="F31" s="85" t="s">
        <v>173</v>
      </c>
      <c r="G31" s="317" t="s">
        <v>3486</v>
      </c>
      <c r="H31" s="316" t="s">
        <v>3483</v>
      </c>
      <c r="I31" s="118">
        <v>5</v>
      </c>
      <c r="J31" s="85">
        <v>0</v>
      </c>
      <c r="K31" s="85">
        <v>5</v>
      </c>
      <c r="L31" s="217" t="s">
        <v>1863</v>
      </c>
      <c r="M31" s="85" t="s">
        <v>3480</v>
      </c>
      <c r="N31" s="260" t="s">
        <v>2867</v>
      </c>
      <c r="O31" s="227" t="s">
        <v>1953</v>
      </c>
      <c r="P31" s="227" t="s">
        <v>2816</v>
      </c>
    </row>
    <row r="32" spans="1:16" ht="15.75" thickBot="1" x14ac:dyDescent="0.3">
      <c r="A32" t="s">
        <v>4602</v>
      </c>
      <c r="B32" t="s">
        <v>4602</v>
      </c>
      <c r="C32" s="82" t="str">
        <f t="shared" si="1"/>
        <v>X</v>
      </c>
      <c r="D32" s="216">
        <v>2022</v>
      </c>
      <c r="E32" s="83" t="s">
        <v>2843</v>
      </c>
      <c r="F32" s="85" t="s">
        <v>173</v>
      </c>
      <c r="G32" s="317" t="s">
        <v>3487</v>
      </c>
      <c r="H32" s="316" t="s">
        <v>3483</v>
      </c>
      <c r="I32" s="85">
        <v>44.52</v>
      </c>
      <c r="J32" s="85">
        <v>0</v>
      </c>
      <c r="K32" s="85">
        <v>44.52</v>
      </c>
      <c r="L32" s="217" t="s">
        <v>1863</v>
      </c>
      <c r="M32" s="85" t="s">
        <v>3481</v>
      </c>
      <c r="N32" s="260" t="s">
        <v>2867</v>
      </c>
      <c r="O32" s="227" t="s">
        <v>1953</v>
      </c>
      <c r="P32" s="227" t="s">
        <v>2816</v>
      </c>
    </row>
    <row r="33" spans="1:16" ht="15.75" thickBot="1" x14ac:dyDescent="0.3">
      <c r="A33" t="s">
        <v>4602</v>
      </c>
      <c r="B33" t="s">
        <v>4602</v>
      </c>
      <c r="C33" s="82" t="str">
        <f t="shared" si="1"/>
        <v>X</v>
      </c>
      <c r="D33" s="216">
        <v>2022</v>
      </c>
      <c r="E33" s="83" t="s">
        <v>2843</v>
      </c>
      <c r="F33" s="85" t="s">
        <v>173</v>
      </c>
      <c r="G33" s="317" t="s">
        <v>3488</v>
      </c>
      <c r="H33" s="316" t="s">
        <v>3483</v>
      </c>
      <c r="I33" s="85">
        <v>0</v>
      </c>
      <c r="J33" s="85">
        <v>0</v>
      </c>
      <c r="K33" s="85">
        <v>0</v>
      </c>
      <c r="L33" s="217" t="s">
        <v>1863</v>
      </c>
      <c r="M33" s="85" t="s">
        <v>3482</v>
      </c>
      <c r="N33" s="260" t="s">
        <v>2867</v>
      </c>
      <c r="O33" s="227" t="s">
        <v>1953</v>
      </c>
      <c r="P33" s="227" t="s">
        <v>2816</v>
      </c>
    </row>
    <row r="34" spans="1:16" ht="15.75" thickBot="1" x14ac:dyDescent="0.3">
      <c r="A34" t="s">
        <v>4602</v>
      </c>
      <c r="B34" t="s">
        <v>4602</v>
      </c>
      <c r="C34" s="82" t="str">
        <f t="shared" si="1"/>
        <v>X</v>
      </c>
      <c r="D34" s="216">
        <v>2022</v>
      </c>
      <c r="E34" s="83" t="s">
        <v>2843</v>
      </c>
      <c r="F34" s="85" t="s">
        <v>173</v>
      </c>
      <c r="G34" s="85" t="s">
        <v>178</v>
      </c>
      <c r="H34" s="316" t="s">
        <v>3483</v>
      </c>
      <c r="I34" s="85">
        <v>0</v>
      </c>
      <c r="J34" s="85">
        <v>0</v>
      </c>
      <c r="K34" s="85">
        <v>0</v>
      </c>
      <c r="L34" s="217" t="s">
        <v>1863</v>
      </c>
      <c r="M34" s="85"/>
      <c r="N34" s="260" t="s">
        <v>2867</v>
      </c>
      <c r="O34" s="227" t="s">
        <v>1953</v>
      </c>
      <c r="P34" s="227" t="s">
        <v>2816</v>
      </c>
    </row>
    <row r="35" spans="1:16" ht="15.75" thickBot="1" x14ac:dyDescent="0.3">
      <c r="A35" t="s">
        <v>4602</v>
      </c>
      <c r="B35" t="s">
        <v>4602</v>
      </c>
      <c r="C35" s="82" t="str">
        <f t="shared" si="1"/>
        <v>X</v>
      </c>
      <c r="D35" s="216">
        <v>2022</v>
      </c>
      <c r="E35" s="83" t="s">
        <v>549</v>
      </c>
      <c r="F35" s="85" t="s">
        <v>173</v>
      </c>
      <c r="G35" s="317" t="s">
        <v>3486</v>
      </c>
      <c r="H35" s="316" t="s">
        <v>3484</v>
      </c>
      <c r="I35" s="85">
        <v>761</v>
      </c>
      <c r="J35" s="85">
        <v>0</v>
      </c>
      <c r="K35" s="85">
        <v>535</v>
      </c>
      <c r="L35" s="217" t="s">
        <v>1863</v>
      </c>
      <c r="M35" s="85" t="s">
        <v>3480</v>
      </c>
      <c r="N35" s="260" t="s">
        <v>2867</v>
      </c>
      <c r="O35" s="227" t="s">
        <v>1953</v>
      </c>
      <c r="P35" s="227" t="s">
        <v>2816</v>
      </c>
    </row>
    <row r="36" spans="1:16" ht="15.75" thickBot="1" x14ac:dyDescent="0.3">
      <c r="A36" t="s">
        <v>4602</v>
      </c>
      <c r="B36" t="s">
        <v>4602</v>
      </c>
      <c r="C36" s="82" t="str">
        <f t="shared" si="1"/>
        <v>X</v>
      </c>
      <c r="D36" s="216">
        <v>2022</v>
      </c>
      <c r="E36" s="83" t="s">
        <v>549</v>
      </c>
      <c r="F36" s="85" t="s">
        <v>173</v>
      </c>
      <c r="G36" s="85" t="s">
        <v>182</v>
      </c>
      <c r="H36" s="316" t="s">
        <v>3485</v>
      </c>
      <c r="I36" s="85">
        <v>192</v>
      </c>
      <c r="J36" s="85">
        <v>0</v>
      </c>
      <c r="K36" s="85">
        <v>199</v>
      </c>
      <c r="L36" s="217" t="s">
        <v>1863</v>
      </c>
      <c r="M36" s="85"/>
      <c r="N36" s="260" t="s">
        <v>2867</v>
      </c>
      <c r="O36" s="227" t="s">
        <v>1953</v>
      </c>
      <c r="P36" s="227" t="s">
        <v>2816</v>
      </c>
    </row>
    <row r="37" spans="1:16" ht="15.75" thickBot="1" x14ac:dyDescent="0.3">
      <c r="A37" t="s">
        <v>4598</v>
      </c>
      <c r="B37" t="s">
        <v>4598</v>
      </c>
      <c r="C37" s="82" t="str">
        <f t="shared" ref="C37:C43" si="3">IF(A37=B37,"X",RIGHT(A37,LEN(A37)-LEN(B37)-3))</f>
        <v>X</v>
      </c>
      <c r="D37" s="216">
        <v>2022</v>
      </c>
      <c r="E37" s="83" t="s">
        <v>549</v>
      </c>
      <c r="F37" s="85" t="s">
        <v>173</v>
      </c>
      <c r="G37" s="85" t="s">
        <v>182</v>
      </c>
      <c r="H37" s="85"/>
      <c r="I37" s="85">
        <v>90.9</v>
      </c>
      <c r="J37" s="317">
        <v>0</v>
      </c>
      <c r="K37" s="85">
        <f t="shared" ref="K37:K38" si="4">I37-J37</f>
        <v>90.9</v>
      </c>
      <c r="L37" s="217" t="s">
        <v>1863</v>
      </c>
      <c r="N37" s="260" t="s">
        <v>2867</v>
      </c>
      <c r="O37" s="227" t="s">
        <v>1953</v>
      </c>
      <c r="P37" s="227" t="s">
        <v>2816</v>
      </c>
    </row>
    <row r="38" spans="1:16" ht="15.75" thickBot="1" x14ac:dyDescent="0.3">
      <c r="A38" t="s">
        <v>4642</v>
      </c>
      <c r="B38" t="s">
        <v>4642</v>
      </c>
      <c r="C38" s="82" t="str">
        <f t="shared" si="3"/>
        <v>X</v>
      </c>
      <c r="D38" s="216">
        <v>2022</v>
      </c>
      <c r="E38" s="83" t="s">
        <v>549</v>
      </c>
      <c r="F38" s="85" t="s">
        <v>173</v>
      </c>
      <c r="G38" s="85" t="s">
        <v>182</v>
      </c>
      <c r="H38" s="85"/>
      <c r="I38" s="118">
        <v>12</v>
      </c>
      <c r="J38" s="317">
        <v>0</v>
      </c>
      <c r="K38" s="85">
        <f t="shared" si="4"/>
        <v>12</v>
      </c>
      <c r="L38" s="217" t="s">
        <v>1863</v>
      </c>
      <c r="N38" s="260" t="s">
        <v>2867</v>
      </c>
      <c r="O38" s="227" t="s">
        <v>1953</v>
      </c>
      <c r="P38" s="227" t="s">
        <v>2816</v>
      </c>
    </row>
    <row r="39" spans="1:16" ht="15.75" thickBot="1" x14ac:dyDescent="0.3">
      <c r="A39" t="s">
        <v>4601</v>
      </c>
      <c r="B39" t="s">
        <v>4601</v>
      </c>
      <c r="C39" s="82" t="str">
        <f t="shared" si="3"/>
        <v>X</v>
      </c>
      <c r="D39" s="216">
        <v>2022</v>
      </c>
      <c r="E39" t="s">
        <v>2843</v>
      </c>
      <c r="F39" t="s">
        <v>173</v>
      </c>
      <c r="G39" s="317" t="s">
        <v>3487</v>
      </c>
      <c r="H39" s="82" t="s">
        <v>3808</v>
      </c>
      <c r="I39" s="317">
        <v>0</v>
      </c>
      <c r="J39" s="317">
        <v>0</v>
      </c>
      <c r="K39" s="85">
        <f t="shared" ref="K39:K43" si="5">I39-J39</f>
        <v>0</v>
      </c>
      <c r="L39" s="217" t="s">
        <v>1863</v>
      </c>
      <c r="M39" t="s">
        <v>3812</v>
      </c>
      <c r="N39" s="260" t="s">
        <v>2867</v>
      </c>
      <c r="O39" s="227" t="s">
        <v>1953</v>
      </c>
      <c r="P39" s="227" t="s">
        <v>2816</v>
      </c>
    </row>
    <row r="40" spans="1:16" ht="15.75" thickBot="1" x14ac:dyDescent="0.3">
      <c r="A40" t="s">
        <v>4601</v>
      </c>
      <c r="B40" t="s">
        <v>4601</v>
      </c>
      <c r="C40" s="82" t="str">
        <f t="shared" si="3"/>
        <v>X</v>
      </c>
      <c r="D40" s="216">
        <v>2022</v>
      </c>
      <c r="E40" t="s">
        <v>2843</v>
      </c>
      <c r="F40" t="s">
        <v>173</v>
      </c>
      <c r="G40" s="317" t="s">
        <v>3487</v>
      </c>
      <c r="H40" s="82" t="s">
        <v>3809</v>
      </c>
      <c r="I40" s="317">
        <v>0</v>
      </c>
      <c r="J40" s="317">
        <v>0</v>
      </c>
      <c r="K40" s="85">
        <f t="shared" si="5"/>
        <v>0</v>
      </c>
      <c r="L40" s="217" t="s">
        <v>1863</v>
      </c>
      <c r="M40" t="s">
        <v>3812</v>
      </c>
      <c r="N40" s="260" t="s">
        <v>2867</v>
      </c>
      <c r="O40" s="227" t="s">
        <v>1953</v>
      </c>
      <c r="P40" s="227" t="s">
        <v>2816</v>
      </c>
    </row>
    <row r="41" spans="1:16" ht="15.75" thickBot="1" x14ac:dyDescent="0.3">
      <c r="A41" t="s">
        <v>4601</v>
      </c>
      <c r="B41" t="s">
        <v>4601</v>
      </c>
      <c r="C41" s="82" t="str">
        <f t="shared" si="3"/>
        <v>X</v>
      </c>
      <c r="D41" s="216">
        <v>2022</v>
      </c>
      <c r="E41" t="s">
        <v>2843</v>
      </c>
      <c r="F41" t="s">
        <v>172</v>
      </c>
      <c r="G41" s="85" t="s">
        <v>229</v>
      </c>
      <c r="H41" s="82" t="s">
        <v>3809</v>
      </c>
      <c r="I41" s="317">
        <v>0</v>
      </c>
      <c r="J41" s="317">
        <v>0</v>
      </c>
      <c r="K41" s="85">
        <f t="shared" si="5"/>
        <v>0</v>
      </c>
      <c r="L41" s="217" t="s">
        <v>1863</v>
      </c>
      <c r="M41" t="s">
        <v>3812</v>
      </c>
      <c r="N41" s="260" t="s">
        <v>2867</v>
      </c>
      <c r="O41" s="227" t="s">
        <v>1953</v>
      </c>
      <c r="P41" s="227" t="s">
        <v>2816</v>
      </c>
    </row>
    <row r="42" spans="1:16" ht="15.75" thickBot="1" x14ac:dyDescent="0.3">
      <c r="A42" t="s">
        <v>4601</v>
      </c>
      <c r="B42" t="s">
        <v>4601</v>
      </c>
      <c r="C42" s="82" t="str">
        <f t="shared" si="3"/>
        <v>X</v>
      </c>
      <c r="D42" s="216">
        <v>2022</v>
      </c>
      <c r="E42" t="s">
        <v>2843</v>
      </c>
      <c r="F42" t="s">
        <v>173</v>
      </c>
      <c r="G42" s="317" t="s">
        <v>3486</v>
      </c>
      <c r="H42" s="82" t="s">
        <v>3810</v>
      </c>
      <c r="I42" s="317">
        <v>0</v>
      </c>
      <c r="J42" s="317">
        <v>0</v>
      </c>
      <c r="K42" s="85">
        <f t="shared" si="5"/>
        <v>0</v>
      </c>
      <c r="L42" s="217" t="s">
        <v>1863</v>
      </c>
      <c r="M42" t="s">
        <v>3812</v>
      </c>
      <c r="N42" s="260" t="s">
        <v>2867</v>
      </c>
      <c r="O42" s="227" t="s">
        <v>1953</v>
      </c>
      <c r="P42" s="227" t="s">
        <v>2816</v>
      </c>
    </row>
    <row r="43" spans="1:16" ht="15.75" thickBot="1" x14ac:dyDescent="0.3">
      <c r="A43" t="s">
        <v>4601</v>
      </c>
      <c r="B43" t="s">
        <v>4601</v>
      </c>
      <c r="C43" s="82" t="str">
        <f t="shared" si="3"/>
        <v>X</v>
      </c>
      <c r="D43" s="216">
        <v>2022</v>
      </c>
      <c r="E43" t="s">
        <v>2843</v>
      </c>
      <c r="F43" t="s">
        <v>173</v>
      </c>
      <c r="G43" s="317" t="s">
        <v>3486</v>
      </c>
      <c r="H43" s="82" t="s">
        <v>3811</v>
      </c>
      <c r="I43" s="317">
        <v>0</v>
      </c>
      <c r="J43" s="317">
        <v>0</v>
      </c>
      <c r="K43" s="85">
        <f t="shared" si="5"/>
        <v>0</v>
      </c>
      <c r="L43" s="217" t="s">
        <v>1863</v>
      </c>
      <c r="M43" t="s">
        <v>3812</v>
      </c>
      <c r="N43" s="260" t="s">
        <v>2867</v>
      </c>
      <c r="O43" s="227" t="s">
        <v>1953</v>
      </c>
      <c r="P43" s="227" t="s">
        <v>2816</v>
      </c>
    </row>
    <row r="44" spans="1:16" ht="15.75" thickBot="1" x14ac:dyDescent="0.3">
      <c r="A44" t="s">
        <v>4600</v>
      </c>
      <c r="B44" t="s">
        <v>4600</v>
      </c>
      <c r="C44" s="82" t="str">
        <f t="shared" ref="C44:C46" si="6">IF(A44=B44,"X",RIGHT(A44,LEN(A44)-LEN(B44)-3))</f>
        <v>X</v>
      </c>
      <c r="D44" s="216">
        <v>2022</v>
      </c>
      <c r="E44" s="82" t="s">
        <v>2843</v>
      </c>
      <c r="F44" t="s">
        <v>173</v>
      </c>
      <c r="G44" s="317" t="s">
        <v>3487</v>
      </c>
      <c r="I44" s="317">
        <v>0</v>
      </c>
      <c r="J44" s="317">
        <v>0</v>
      </c>
      <c r="K44" s="85">
        <f t="shared" ref="K44:K59" si="7">I44-J44</f>
        <v>0</v>
      </c>
      <c r="L44" s="217" t="s">
        <v>1863</v>
      </c>
      <c r="N44" s="260" t="s">
        <v>2867</v>
      </c>
      <c r="O44" s="227" t="s">
        <v>1953</v>
      </c>
      <c r="P44" s="227" t="s">
        <v>2816</v>
      </c>
    </row>
    <row r="45" spans="1:16" ht="15.75" thickBot="1" x14ac:dyDescent="0.3">
      <c r="A45" t="s">
        <v>4600</v>
      </c>
      <c r="B45" t="s">
        <v>4600</v>
      </c>
      <c r="C45" s="82" t="str">
        <f t="shared" si="6"/>
        <v>X</v>
      </c>
      <c r="D45" s="216">
        <v>2022</v>
      </c>
      <c r="E45" t="s">
        <v>2843</v>
      </c>
      <c r="F45" t="s">
        <v>173</v>
      </c>
      <c r="G45" s="317" t="s">
        <v>3486</v>
      </c>
      <c r="I45" s="317">
        <v>0</v>
      </c>
      <c r="J45" s="317">
        <v>0</v>
      </c>
      <c r="K45" s="85">
        <f t="shared" si="7"/>
        <v>0</v>
      </c>
      <c r="L45" s="217" t="s">
        <v>1863</v>
      </c>
      <c r="N45" s="260" t="s">
        <v>2867</v>
      </c>
      <c r="O45" s="227" t="s">
        <v>1953</v>
      </c>
      <c r="P45" s="227" t="s">
        <v>2816</v>
      </c>
    </row>
    <row r="46" spans="1:16" ht="15.75" thickBot="1" x14ac:dyDescent="0.3">
      <c r="A46" t="s">
        <v>4600</v>
      </c>
      <c r="B46" t="s">
        <v>4600</v>
      </c>
      <c r="C46" s="82" t="str">
        <f t="shared" si="6"/>
        <v>X</v>
      </c>
      <c r="D46" s="216">
        <v>2022</v>
      </c>
      <c r="E46" t="s">
        <v>1659</v>
      </c>
      <c r="F46" t="s">
        <v>3851</v>
      </c>
      <c r="G46" t="s">
        <v>3851</v>
      </c>
      <c r="I46" s="317">
        <v>0</v>
      </c>
      <c r="J46" s="317">
        <v>0</v>
      </c>
      <c r="K46" s="85">
        <f t="shared" si="7"/>
        <v>0</v>
      </c>
      <c r="L46" s="217" t="s">
        <v>1863</v>
      </c>
      <c r="M46" s="85" t="s">
        <v>3852</v>
      </c>
      <c r="N46" s="260" t="s">
        <v>2867</v>
      </c>
      <c r="O46" s="227" t="s">
        <v>1953</v>
      </c>
      <c r="P46" s="227" t="s">
        <v>2816</v>
      </c>
    </row>
    <row r="47" spans="1:16" ht="15.75" thickBot="1" x14ac:dyDescent="0.3">
      <c r="A47" s="82" t="s">
        <v>4591</v>
      </c>
      <c r="B47" s="82" t="s">
        <v>4591</v>
      </c>
      <c r="C47" s="82" t="s">
        <v>1950</v>
      </c>
      <c r="D47" s="390">
        <v>2023</v>
      </c>
      <c r="E47" t="s">
        <v>2843</v>
      </c>
      <c r="F47" s="85" t="s">
        <v>172</v>
      </c>
      <c r="G47" s="85" t="s">
        <v>229</v>
      </c>
      <c r="H47" s="85" t="s">
        <v>2861</v>
      </c>
      <c r="I47" s="85">
        <v>0</v>
      </c>
      <c r="J47" s="85">
        <v>0</v>
      </c>
      <c r="K47" s="85">
        <f t="shared" si="7"/>
        <v>0</v>
      </c>
      <c r="L47" s="217" t="s">
        <v>1863</v>
      </c>
      <c r="M47" s="85" t="s">
        <v>2862</v>
      </c>
      <c r="N47" s="260" t="s">
        <v>2867</v>
      </c>
      <c r="O47" s="227" t="s">
        <v>1953</v>
      </c>
      <c r="P47" s="227" t="s">
        <v>2816</v>
      </c>
    </row>
    <row r="48" spans="1:16" ht="15.75" thickBot="1" x14ac:dyDescent="0.3">
      <c r="A48" s="82" t="s">
        <v>4591</v>
      </c>
      <c r="B48" s="82" t="s">
        <v>4591</v>
      </c>
      <c r="C48" s="82" t="s">
        <v>1950</v>
      </c>
      <c r="D48" s="390">
        <v>2023</v>
      </c>
      <c r="E48" t="s">
        <v>2843</v>
      </c>
      <c r="F48" s="85" t="s">
        <v>173</v>
      </c>
      <c r="G48" s="85" t="s">
        <v>178</v>
      </c>
      <c r="H48" s="85" t="s">
        <v>2861</v>
      </c>
      <c r="I48" s="85">
        <v>0</v>
      </c>
      <c r="J48" s="85">
        <v>0</v>
      </c>
      <c r="K48" s="85">
        <f t="shared" si="7"/>
        <v>0</v>
      </c>
      <c r="L48" s="217" t="s">
        <v>1863</v>
      </c>
      <c r="M48" s="85" t="s">
        <v>2863</v>
      </c>
      <c r="N48" s="260" t="s">
        <v>2867</v>
      </c>
      <c r="O48" s="227" t="s">
        <v>1953</v>
      </c>
      <c r="P48" s="227" t="s">
        <v>2816</v>
      </c>
    </row>
    <row r="49" spans="1:16" ht="15.75" thickBot="1" x14ac:dyDescent="0.3">
      <c r="A49" s="82" t="s">
        <v>1916</v>
      </c>
      <c r="B49" s="82" t="s">
        <v>1916</v>
      </c>
      <c r="C49" s="82" t="s">
        <v>1950</v>
      </c>
      <c r="D49" s="390">
        <v>2023</v>
      </c>
      <c r="E49" t="s">
        <v>549</v>
      </c>
      <c r="F49" s="85" t="s">
        <v>173</v>
      </c>
      <c r="G49" s="85" t="s">
        <v>182</v>
      </c>
      <c r="H49" s="85" t="s">
        <v>2845</v>
      </c>
      <c r="I49" s="85">
        <v>600</v>
      </c>
      <c r="J49" s="85">
        <v>0</v>
      </c>
      <c r="K49" s="85">
        <f t="shared" si="7"/>
        <v>600</v>
      </c>
      <c r="L49" s="217" t="s">
        <v>1863</v>
      </c>
      <c r="N49" s="260" t="s">
        <v>2867</v>
      </c>
      <c r="O49" s="227" t="s">
        <v>1953</v>
      </c>
      <c r="P49" s="227" t="s">
        <v>2816</v>
      </c>
    </row>
    <row r="50" spans="1:16" ht="15.75" thickBot="1" x14ac:dyDescent="0.3">
      <c r="A50" s="82" t="s">
        <v>1916</v>
      </c>
      <c r="B50" s="82" t="s">
        <v>1916</v>
      </c>
      <c r="C50" s="82" t="s">
        <v>1950</v>
      </c>
      <c r="D50" s="390">
        <v>2023</v>
      </c>
      <c r="E50" t="s">
        <v>549</v>
      </c>
      <c r="F50" s="85" t="s">
        <v>173</v>
      </c>
      <c r="G50" s="85" t="s">
        <v>182</v>
      </c>
      <c r="H50" s="85" t="s">
        <v>2846</v>
      </c>
      <c r="I50" s="85">
        <v>600</v>
      </c>
      <c r="J50" s="85">
        <v>0</v>
      </c>
      <c r="K50" s="85">
        <f t="shared" si="7"/>
        <v>600</v>
      </c>
      <c r="L50" s="217" t="s">
        <v>1863</v>
      </c>
      <c r="N50" s="260" t="s">
        <v>2867</v>
      </c>
      <c r="O50" s="227" t="s">
        <v>1953</v>
      </c>
      <c r="P50" s="227" t="s">
        <v>2816</v>
      </c>
    </row>
    <row r="51" spans="1:16" ht="15.75" thickBot="1" x14ac:dyDescent="0.3">
      <c r="A51" s="82" t="s">
        <v>1916</v>
      </c>
      <c r="B51" s="82" t="s">
        <v>1916</v>
      </c>
      <c r="C51" s="82" t="s">
        <v>1950</v>
      </c>
      <c r="D51" s="390">
        <v>2023</v>
      </c>
      <c r="E51" t="s">
        <v>549</v>
      </c>
      <c r="F51" s="85" t="s">
        <v>173</v>
      </c>
      <c r="G51" s="85" t="s">
        <v>182</v>
      </c>
      <c r="H51" s="85" t="s">
        <v>2847</v>
      </c>
      <c r="I51" s="85">
        <v>600</v>
      </c>
      <c r="J51" s="85">
        <v>0</v>
      </c>
      <c r="K51" s="85">
        <f t="shared" si="7"/>
        <v>600</v>
      </c>
      <c r="L51" s="217" t="s">
        <v>1863</v>
      </c>
      <c r="N51" s="260" t="s">
        <v>2867</v>
      </c>
      <c r="O51" s="227" t="s">
        <v>1953</v>
      </c>
      <c r="P51" s="227" t="s">
        <v>2816</v>
      </c>
    </row>
    <row r="52" spans="1:16" ht="15.75" thickBot="1" x14ac:dyDescent="0.3">
      <c r="A52" s="82" t="s">
        <v>1916</v>
      </c>
      <c r="B52" s="82" t="s">
        <v>1916</v>
      </c>
      <c r="C52" s="82" t="s">
        <v>1950</v>
      </c>
      <c r="D52" s="390">
        <v>2023</v>
      </c>
      <c r="E52" t="s">
        <v>549</v>
      </c>
      <c r="F52" s="85" t="s">
        <v>173</v>
      </c>
      <c r="G52" s="85" t="s">
        <v>182</v>
      </c>
      <c r="H52" s="85" t="s">
        <v>2848</v>
      </c>
      <c r="I52" s="85">
        <v>420</v>
      </c>
      <c r="J52" s="85">
        <v>0</v>
      </c>
      <c r="K52" s="85">
        <f t="shared" si="7"/>
        <v>420</v>
      </c>
      <c r="L52" s="217" t="s">
        <v>1863</v>
      </c>
      <c r="N52" s="260" t="s">
        <v>2867</v>
      </c>
      <c r="O52" s="227" t="s">
        <v>1953</v>
      </c>
      <c r="P52" s="227" t="s">
        <v>2816</v>
      </c>
    </row>
    <row r="53" spans="1:16" ht="15.75" thickBot="1" x14ac:dyDescent="0.3">
      <c r="A53" s="82" t="s">
        <v>4583</v>
      </c>
      <c r="B53" s="82" t="s">
        <v>4583</v>
      </c>
      <c r="C53" s="82" t="s">
        <v>1950</v>
      </c>
      <c r="D53" s="390">
        <v>2023</v>
      </c>
      <c r="E53" t="s">
        <v>549</v>
      </c>
      <c r="F53" s="85" t="s">
        <v>173</v>
      </c>
      <c r="G53" s="85" t="s">
        <v>182</v>
      </c>
      <c r="H53" s="85" t="s">
        <v>2849</v>
      </c>
      <c r="I53" s="85">
        <v>540</v>
      </c>
      <c r="J53" s="85">
        <v>0</v>
      </c>
      <c r="K53" s="85">
        <f t="shared" si="7"/>
        <v>540</v>
      </c>
      <c r="L53" s="217" t="s">
        <v>1863</v>
      </c>
      <c r="N53" s="260" t="s">
        <v>2867</v>
      </c>
      <c r="O53" s="227" t="s">
        <v>1953</v>
      </c>
      <c r="P53" s="227" t="s">
        <v>2816</v>
      </c>
    </row>
    <row r="54" spans="1:16" ht="15.75" thickBot="1" x14ac:dyDescent="0.3">
      <c r="A54" s="82" t="s">
        <v>4583</v>
      </c>
      <c r="B54" s="82" t="s">
        <v>4583</v>
      </c>
      <c r="C54" s="82" t="s">
        <v>1950</v>
      </c>
      <c r="D54" s="390">
        <v>2023</v>
      </c>
      <c r="E54" t="s">
        <v>549</v>
      </c>
      <c r="F54" s="85" t="s">
        <v>173</v>
      </c>
      <c r="G54" s="85" t="s">
        <v>182</v>
      </c>
      <c r="H54" s="85" t="s">
        <v>2850</v>
      </c>
      <c r="I54" s="85">
        <v>300</v>
      </c>
      <c r="J54" s="85">
        <v>0</v>
      </c>
      <c r="K54" s="85">
        <f t="shared" si="7"/>
        <v>300</v>
      </c>
      <c r="L54" s="217" t="s">
        <v>1863</v>
      </c>
      <c r="N54" s="260" t="s">
        <v>2867</v>
      </c>
      <c r="O54" s="227" t="s">
        <v>1953</v>
      </c>
      <c r="P54" s="227" t="s">
        <v>2816</v>
      </c>
    </row>
    <row r="55" spans="1:16" ht="15.75" thickBot="1" x14ac:dyDescent="0.3">
      <c r="A55" s="82" t="s">
        <v>4583</v>
      </c>
      <c r="B55" s="82" t="s">
        <v>4583</v>
      </c>
      <c r="C55" s="82" t="s">
        <v>1950</v>
      </c>
      <c r="D55" s="390">
        <v>2023</v>
      </c>
      <c r="E55" t="s">
        <v>549</v>
      </c>
      <c r="F55" s="85" t="s">
        <v>173</v>
      </c>
      <c r="G55" s="85" t="s">
        <v>182</v>
      </c>
      <c r="H55" s="85" t="s">
        <v>2851</v>
      </c>
      <c r="I55" s="85">
        <v>480</v>
      </c>
      <c r="J55" s="85">
        <v>0</v>
      </c>
      <c r="K55" s="85">
        <f t="shared" si="7"/>
        <v>480</v>
      </c>
      <c r="L55" s="217" t="s">
        <v>1863</v>
      </c>
      <c r="N55" s="260" t="s">
        <v>2867</v>
      </c>
      <c r="O55" s="227" t="s">
        <v>1953</v>
      </c>
      <c r="P55" s="227" t="s">
        <v>2816</v>
      </c>
    </row>
    <row r="56" spans="1:16" ht="15.75" thickBot="1" x14ac:dyDescent="0.3">
      <c r="A56" s="82" t="s">
        <v>4583</v>
      </c>
      <c r="B56" s="82" t="s">
        <v>4583</v>
      </c>
      <c r="C56" s="82" t="s">
        <v>1950</v>
      </c>
      <c r="D56" s="390">
        <v>2023</v>
      </c>
      <c r="E56" t="s">
        <v>549</v>
      </c>
      <c r="F56" s="85" t="s">
        <v>173</v>
      </c>
      <c r="G56" s="85" t="s">
        <v>182</v>
      </c>
      <c r="H56" s="85" t="s">
        <v>2852</v>
      </c>
      <c r="I56" s="85">
        <v>120</v>
      </c>
      <c r="J56" s="85">
        <v>0</v>
      </c>
      <c r="K56" s="85">
        <f t="shared" si="7"/>
        <v>120</v>
      </c>
      <c r="L56" s="217" t="s">
        <v>1863</v>
      </c>
      <c r="N56" s="260" t="s">
        <v>2867</v>
      </c>
      <c r="O56" s="227" t="s">
        <v>1953</v>
      </c>
      <c r="P56" s="227" t="s">
        <v>2816</v>
      </c>
    </row>
    <row r="57" spans="1:16" ht="15.75" thickBot="1" x14ac:dyDescent="0.3">
      <c r="A57" s="82" t="s">
        <v>2817</v>
      </c>
      <c r="B57" s="82" t="s">
        <v>2817</v>
      </c>
      <c r="C57" s="82" t="s">
        <v>1950</v>
      </c>
      <c r="D57" s="390">
        <v>2023</v>
      </c>
      <c r="E57" t="s">
        <v>549</v>
      </c>
      <c r="F57" s="85" t="s">
        <v>173</v>
      </c>
      <c r="G57" s="85" t="s">
        <v>181</v>
      </c>
      <c r="H57" s="85" t="s">
        <v>4676</v>
      </c>
      <c r="I57" s="85">
        <v>121</v>
      </c>
      <c r="J57" s="85">
        <v>0</v>
      </c>
      <c r="K57" s="85">
        <f t="shared" si="7"/>
        <v>121</v>
      </c>
      <c r="L57" s="217" t="s">
        <v>1863</v>
      </c>
      <c r="N57" s="260" t="s">
        <v>2867</v>
      </c>
      <c r="O57" s="227" t="s">
        <v>1953</v>
      </c>
      <c r="P57" s="227" t="s">
        <v>2816</v>
      </c>
    </row>
    <row r="58" spans="1:16" ht="15.75" thickBot="1" x14ac:dyDescent="0.3">
      <c r="A58" s="82" t="s">
        <v>4592</v>
      </c>
      <c r="B58" s="82" t="s">
        <v>4592</v>
      </c>
      <c r="C58" s="82" t="s">
        <v>1950</v>
      </c>
      <c r="D58" s="390">
        <v>2023</v>
      </c>
      <c r="E58" t="s">
        <v>549</v>
      </c>
      <c r="F58" s="85" t="s">
        <v>173</v>
      </c>
      <c r="G58" s="85" t="s">
        <v>182</v>
      </c>
      <c r="H58" s="85"/>
      <c r="I58" s="85">
        <v>300</v>
      </c>
      <c r="J58" s="85">
        <v>0</v>
      </c>
      <c r="K58" s="85">
        <f t="shared" si="7"/>
        <v>300</v>
      </c>
      <c r="L58" s="217" t="s">
        <v>1863</v>
      </c>
      <c r="N58" s="260" t="s">
        <v>2867</v>
      </c>
      <c r="O58" s="227" t="s">
        <v>1953</v>
      </c>
      <c r="P58" s="227" t="s">
        <v>2816</v>
      </c>
    </row>
    <row r="59" spans="1:16" ht="15.75" thickBot="1" x14ac:dyDescent="0.3">
      <c r="A59" s="82" t="s">
        <v>2868</v>
      </c>
      <c r="B59" s="82" t="s">
        <v>2868</v>
      </c>
      <c r="C59" s="82" t="s">
        <v>1950</v>
      </c>
      <c r="D59" s="390">
        <v>2023</v>
      </c>
      <c r="E59" t="s">
        <v>549</v>
      </c>
      <c r="F59" s="85" t="s">
        <v>173</v>
      </c>
      <c r="G59" s="85" t="s">
        <v>182</v>
      </c>
      <c r="H59" s="85"/>
      <c r="I59" s="85">
        <v>420</v>
      </c>
      <c r="J59" s="85">
        <v>0</v>
      </c>
      <c r="K59" s="85">
        <f t="shared" si="7"/>
        <v>420</v>
      </c>
      <c r="L59" s="217" t="s">
        <v>1863</v>
      </c>
      <c r="N59" s="260" t="s">
        <v>2867</v>
      </c>
      <c r="O59" s="227" t="s">
        <v>1953</v>
      </c>
      <c r="P59" s="227" t="s">
        <v>2816</v>
      </c>
    </row>
    <row r="60" spans="1:16" ht="15.75" thickBot="1" x14ac:dyDescent="0.3">
      <c r="A60" s="82" t="s">
        <v>1910</v>
      </c>
      <c r="B60" s="82" t="s">
        <v>1910</v>
      </c>
      <c r="C60" s="82" t="s">
        <v>1950</v>
      </c>
      <c r="D60" s="390">
        <v>2023</v>
      </c>
      <c r="E60" t="s">
        <v>549</v>
      </c>
      <c r="F60" s="85" t="s">
        <v>173</v>
      </c>
      <c r="G60" s="85" t="s">
        <v>182</v>
      </c>
      <c r="H60" s="85" t="s">
        <v>2855</v>
      </c>
      <c r="I60" s="85">
        <v>391.6</v>
      </c>
      <c r="J60" s="85">
        <v>166.29</v>
      </c>
      <c r="K60" s="85">
        <f>I60-J60</f>
        <v>225.31000000000003</v>
      </c>
      <c r="L60" s="217" t="s">
        <v>1863</v>
      </c>
      <c r="N60" s="260" t="s">
        <v>2867</v>
      </c>
      <c r="O60" s="227" t="s">
        <v>1953</v>
      </c>
      <c r="P60" s="227" t="s">
        <v>2816</v>
      </c>
    </row>
    <row r="61" spans="1:16" ht="15.75" thickBot="1" x14ac:dyDescent="0.3">
      <c r="A61" s="82" t="s">
        <v>1910</v>
      </c>
      <c r="B61" s="82" t="s">
        <v>1910</v>
      </c>
      <c r="C61" s="82" t="s">
        <v>1950</v>
      </c>
      <c r="D61" s="390">
        <v>2023</v>
      </c>
      <c r="E61" t="s">
        <v>549</v>
      </c>
      <c r="F61" s="85" t="s">
        <v>173</v>
      </c>
      <c r="G61" s="85" t="s">
        <v>182</v>
      </c>
      <c r="H61" s="85" t="s">
        <v>2856</v>
      </c>
      <c r="I61" s="85">
        <v>961.35</v>
      </c>
      <c r="J61" s="85">
        <v>62.55</v>
      </c>
      <c r="K61" s="85">
        <f t="shared" ref="K61:K64" si="8">I61-J61</f>
        <v>898.80000000000007</v>
      </c>
      <c r="L61" s="217" t="s">
        <v>1863</v>
      </c>
      <c r="N61" s="260" t="s">
        <v>2867</v>
      </c>
      <c r="O61" s="227" t="s">
        <v>1953</v>
      </c>
      <c r="P61" s="227" t="s">
        <v>2816</v>
      </c>
    </row>
    <row r="62" spans="1:16" ht="15.75" thickBot="1" x14ac:dyDescent="0.3">
      <c r="A62" s="82" t="s">
        <v>4598</v>
      </c>
      <c r="B62" s="82" t="s">
        <v>4598</v>
      </c>
      <c r="C62" s="82" t="s">
        <v>1950</v>
      </c>
      <c r="D62" s="390">
        <v>2023</v>
      </c>
      <c r="E62" t="s">
        <v>549</v>
      </c>
      <c r="F62" s="85" t="s">
        <v>173</v>
      </c>
      <c r="G62" s="85" t="s">
        <v>182</v>
      </c>
      <c r="H62" s="85"/>
      <c r="I62" s="85">
        <v>125.55</v>
      </c>
      <c r="J62" s="85">
        <v>0</v>
      </c>
      <c r="K62" s="85">
        <f t="shared" si="8"/>
        <v>125.55</v>
      </c>
      <c r="L62" s="217" t="s">
        <v>1863</v>
      </c>
      <c r="N62" s="260" t="s">
        <v>2867</v>
      </c>
      <c r="O62" s="227" t="s">
        <v>1953</v>
      </c>
      <c r="P62" s="227" t="s">
        <v>2816</v>
      </c>
    </row>
    <row r="63" spans="1:16" ht="15.75" thickBot="1" x14ac:dyDescent="0.3">
      <c r="A63" s="82" t="s">
        <v>4642</v>
      </c>
      <c r="B63" s="82" t="s">
        <v>4642</v>
      </c>
      <c r="C63" s="82" t="s">
        <v>1950</v>
      </c>
      <c r="D63" s="390">
        <v>2023</v>
      </c>
      <c r="E63" t="s">
        <v>549</v>
      </c>
      <c r="F63" s="85" t="s">
        <v>173</v>
      </c>
      <c r="G63" s="85" t="s">
        <v>182</v>
      </c>
      <c r="H63" s="85"/>
      <c r="I63" s="85">
        <v>14</v>
      </c>
      <c r="J63" s="85">
        <v>0</v>
      </c>
      <c r="K63" s="85">
        <f t="shared" si="8"/>
        <v>14</v>
      </c>
      <c r="L63" s="217" t="s">
        <v>1863</v>
      </c>
      <c r="N63" s="260" t="s">
        <v>2867</v>
      </c>
      <c r="O63" s="227" t="s">
        <v>1953</v>
      </c>
      <c r="P63" s="227" t="s">
        <v>2816</v>
      </c>
    </row>
    <row r="64" spans="1:16" ht="15.75" thickBot="1" x14ac:dyDescent="0.3">
      <c r="A64" s="82" t="s">
        <v>4668</v>
      </c>
      <c r="B64" s="82" t="s">
        <v>4668</v>
      </c>
      <c r="C64" s="82" t="s">
        <v>1950</v>
      </c>
      <c r="D64" s="390">
        <v>2023</v>
      </c>
      <c r="E64" t="s">
        <v>549</v>
      </c>
      <c r="F64" s="85" t="s">
        <v>173</v>
      </c>
      <c r="G64" s="85" t="s">
        <v>182</v>
      </c>
      <c r="H64" s="85" t="s">
        <v>2853</v>
      </c>
      <c r="I64" s="85">
        <v>984</v>
      </c>
      <c r="J64" s="85">
        <v>0</v>
      </c>
      <c r="K64" s="85">
        <f t="shared" si="8"/>
        <v>984</v>
      </c>
      <c r="L64" s="217" t="s">
        <v>1863</v>
      </c>
      <c r="N64" s="260" t="s">
        <v>2867</v>
      </c>
      <c r="O64" s="227" t="s">
        <v>1953</v>
      </c>
      <c r="P64" s="227" t="s">
        <v>2816</v>
      </c>
    </row>
    <row r="65" spans="1:16" ht="15.75" thickBot="1" x14ac:dyDescent="0.3">
      <c r="A65" s="82" t="s">
        <v>4602</v>
      </c>
      <c r="B65" s="82" t="s">
        <v>4602</v>
      </c>
      <c r="C65" s="82" t="s">
        <v>1950</v>
      </c>
      <c r="D65" s="390">
        <v>2023</v>
      </c>
      <c r="E65" t="s">
        <v>2843</v>
      </c>
      <c r="F65" s="85" t="s">
        <v>173</v>
      </c>
      <c r="G65" s="317" t="s">
        <v>3486</v>
      </c>
      <c r="H65" s="85" t="s">
        <v>3483</v>
      </c>
      <c r="I65" s="85">
        <v>3.5</v>
      </c>
      <c r="J65" s="85">
        <v>0</v>
      </c>
      <c r="K65" s="85">
        <f t="shared" ref="K65:K70" si="9">I65-J65</f>
        <v>3.5</v>
      </c>
      <c r="L65" s="217" t="s">
        <v>1863</v>
      </c>
      <c r="M65" s="85" t="s">
        <v>4675</v>
      </c>
      <c r="N65" s="260" t="s">
        <v>2867</v>
      </c>
      <c r="O65" s="227" t="s">
        <v>1953</v>
      </c>
      <c r="P65" s="227" t="s">
        <v>2816</v>
      </c>
    </row>
    <row r="66" spans="1:16" ht="15.75" thickBot="1" x14ac:dyDescent="0.3">
      <c r="A66" s="82" t="s">
        <v>4602</v>
      </c>
      <c r="B66" s="82" t="s">
        <v>4602</v>
      </c>
      <c r="C66" s="82" t="s">
        <v>1950</v>
      </c>
      <c r="D66" s="390">
        <v>2023</v>
      </c>
      <c r="E66" t="s">
        <v>2843</v>
      </c>
      <c r="F66" s="85" t="s">
        <v>173</v>
      </c>
      <c r="G66" s="317" t="s">
        <v>3487</v>
      </c>
      <c r="H66" s="85" t="s">
        <v>3483</v>
      </c>
      <c r="I66" s="85">
        <v>0</v>
      </c>
      <c r="J66" s="85">
        <v>0</v>
      </c>
      <c r="K66" s="85">
        <f t="shared" si="9"/>
        <v>0</v>
      </c>
      <c r="L66" s="217" t="s">
        <v>1863</v>
      </c>
      <c r="M66" s="85" t="s">
        <v>4675</v>
      </c>
      <c r="N66" s="260" t="s">
        <v>2867</v>
      </c>
      <c r="O66" s="227" t="s">
        <v>1953</v>
      </c>
      <c r="P66" s="227" t="s">
        <v>2816</v>
      </c>
    </row>
    <row r="67" spans="1:16" ht="15.75" thickBot="1" x14ac:dyDescent="0.3">
      <c r="A67" s="82" t="s">
        <v>4602</v>
      </c>
      <c r="B67" s="82" t="s">
        <v>4602</v>
      </c>
      <c r="C67" s="82" t="s">
        <v>1950</v>
      </c>
      <c r="D67" s="390">
        <v>2023</v>
      </c>
      <c r="E67" t="s">
        <v>2843</v>
      </c>
      <c r="F67" s="85" t="s">
        <v>173</v>
      </c>
      <c r="G67" s="317" t="s">
        <v>3488</v>
      </c>
      <c r="H67" s="85" t="s">
        <v>3483</v>
      </c>
      <c r="I67" s="85">
        <v>0</v>
      </c>
      <c r="J67" s="85">
        <v>0</v>
      </c>
      <c r="K67" s="85">
        <f t="shared" si="9"/>
        <v>0</v>
      </c>
      <c r="L67" s="217" t="s">
        <v>1863</v>
      </c>
      <c r="M67" s="85" t="s">
        <v>4675</v>
      </c>
      <c r="N67" s="260" t="s">
        <v>2867</v>
      </c>
      <c r="O67" s="227" t="s">
        <v>1953</v>
      </c>
      <c r="P67" s="227" t="s">
        <v>2816</v>
      </c>
    </row>
    <row r="68" spans="1:16" ht="15.75" thickBot="1" x14ac:dyDescent="0.3">
      <c r="A68" s="82" t="s">
        <v>4602</v>
      </c>
      <c r="B68" s="82" t="s">
        <v>4602</v>
      </c>
      <c r="C68" s="82" t="s">
        <v>1950</v>
      </c>
      <c r="D68" s="390">
        <v>2023</v>
      </c>
      <c r="E68" t="s">
        <v>2843</v>
      </c>
      <c r="F68" s="85" t="s">
        <v>173</v>
      </c>
      <c r="G68" s="85" t="s">
        <v>178</v>
      </c>
      <c r="H68" s="85" t="s">
        <v>3483</v>
      </c>
      <c r="I68" s="85">
        <v>0</v>
      </c>
      <c r="J68" s="85">
        <v>0</v>
      </c>
      <c r="K68" s="85">
        <f t="shared" si="9"/>
        <v>0</v>
      </c>
      <c r="L68" s="217" t="s">
        <v>1863</v>
      </c>
      <c r="M68" s="85" t="s">
        <v>4675</v>
      </c>
      <c r="N68" s="260" t="s">
        <v>2867</v>
      </c>
      <c r="O68" s="227" t="s">
        <v>1953</v>
      </c>
      <c r="P68" s="227" t="s">
        <v>2816</v>
      </c>
    </row>
    <row r="69" spans="1:16" ht="15.75" thickBot="1" x14ac:dyDescent="0.3">
      <c r="A69" s="82" t="s">
        <v>4602</v>
      </c>
      <c r="B69" s="82" t="s">
        <v>4602</v>
      </c>
      <c r="C69" s="82" t="s">
        <v>1950</v>
      </c>
      <c r="D69" s="390">
        <v>2023</v>
      </c>
      <c r="E69" s="83" t="s">
        <v>549</v>
      </c>
      <c r="F69" s="85" t="s">
        <v>173</v>
      </c>
      <c r="G69" s="317" t="s">
        <v>3486</v>
      </c>
      <c r="H69" s="85" t="s">
        <v>3484</v>
      </c>
      <c r="I69" s="85">
        <v>528</v>
      </c>
      <c r="J69" s="85">
        <v>66</v>
      </c>
      <c r="K69" s="85">
        <f t="shared" si="9"/>
        <v>462</v>
      </c>
      <c r="L69" s="217" t="s">
        <v>1863</v>
      </c>
      <c r="M69" s="85" t="s">
        <v>4675</v>
      </c>
      <c r="N69" s="260" t="s">
        <v>2867</v>
      </c>
      <c r="O69" s="227" t="s">
        <v>1953</v>
      </c>
      <c r="P69" s="227" t="s">
        <v>2816</v>
      </c>
    </row>
    <row r="70" spans="1:16" ht="15.75" thickBot="1" x14ac:dyDescent="0.3">
      <c r="A70" s="82" t="s">
        <v>4602</v>
      </c>
      <c r="B70" s="82" t="s">
        <v>4602</v>
      </c>
      <c r="C70" s="82" t="s">
        <v>1950</v>
      </c>
      <c r="D70" s="390">
        <v>2023</v>
      </c>
      <c r="E70" s="83" t="s">
        <v>549</v>
      </c>
      <c r="F70" s="85" t="s">
        <v>173</v>
      </c>
      <c r="G70" s="85" t="s">
        <v>182</v>
      </c>
      <c r="H70" s="85" t="s">
        <v>3485</v>
      </c>
      <c r="I70" s="85">
        <v>504</v>
      </c>
      <c r="J70" s="85">
        <v>120</v>
      </c>
      <c r="K70" s="85">
        <f t="shared" si="9"/>
        <v>384</v>
      </c>
      <c r="L70" s="217" t="s">
        <v>1863</v>
      </c>
      <c r="M70" s="85" t="s">
        <v>4675</v>
      </c>
      <c r="N70" s="260" t="s">
        <v>2867</v>
      </c>
      <c r="O70" s="227" t="s">
        <v>1953</v>
      </c>
      <c r="P70" s="227" t="s">
        <v>2816</v>
      </c>
    </row>
    <row r="71" spans="1:16" ht="45.75" thickBot="1" x14ac:dyDescent="0.3">
      <c r="A71" t="s">
        <v>4601</v>
      </c>
      <c r="B71" t="s">
        <v>4601</v>
      </c>
      <c r="C71" s="82" t="s">
        <v>1950</v>
      </c>
      <c r="D71" s="390">
        <v>2023</v>
      </c>
      <c r="E71" s="83" t="s">
        <v>2843</v>
      </c>
      <c r="F71" s="85" t="s">
        <v>173</v>
      </c>
      <c r="G71" s="317" t="s">
        <v>3487</v>
      </c>
      <c r="H71" s="412" t="s">
        <v>4677</v>
      </c>
      <c r="I71">
        <v>0</v>
      </c>
      <c r="J71">
        <v>0</v>
      </c>
      <c r="K71">
        <v>0</v>
      </c>
      <c r="L71" s="217" t="s">
        <v>1863</v>
      </c>
      <c r="M71" s="414" t="s">
        <v>4681</v>
      </c>
      <c r="N71" s="260" t="s">
        <v>2867</v>
      </c>
      <c r="O71" s="227" t="s">
        <v>1953</v>
      </c>
      <c r="P71" s="227" t="s">
        <v>2816</v>
      </c>
    </row>
    <row r="72" spans="1:16" ht="45.75" thickBot="1" x14ac:dyDescent="0.3">
      <c r="A72" t="s">
        <v>4601</v>
      </c>
      <c r="B72" t="s">
        <v>4601</v>
      </c>
      <c r="C72" s="82" t="s">
        <v>1950</v>
      </c>
      <c r="D72" s="390">
        <v>2023</v>
      </c>
      <c r="E72" s="83" t="s">
        <v>2843</v>
      </c>
      <c r="F72" s="85" t="s">
        <v>173</v>
      </c>
      <c r="G72" s="317" t="s">
        <v>3487</v>
      </c>
      <c r="H72" s="413" t="s">
        <v>4678</v>
      </c>
      <c r="I72">
        <v>0</v>
      </c>
      <c r="J72">
        <v>0</v>
      </c>
      <c r="K72">
        <v>0</v>
      </c>
      <c r="L72" s="217" t="s">
        <v>1863</v>
      </c>
      <c r="M72" s="414" t="s">
        <v>4681</v>
      </c>
      <c r="N72" s="260" t="s">
        <v>2867</v>
      </c>
      <c r="O72" s="227" t="s">
        <v>1953</v>
      </c>
      <c r="P72" s="227" t="s">
        <v>2816</v>
      </c>
    </row>
    <row r="73" spans="1:16" ht="15.75" thickBot="1" x14ac:dyDescent="0.3">
      <c r="A73" t="s">
        <v>4601</v>
      </c>
      <c r="B73" t="s">
        <v>4601</v>
      </c>
      <c r="C73" s="82" t="s">
        <v>1950</v>
      </c>
      <c r="D73" s="390">
        <v>2023</v>
      </c>
      <c r="E73" s="83" t="s">
        <v>2843</v>
      </c>
      <c r="F73" s="85" t="s">
        <v>172</v>
      </c>
      <c r="G73" s="85" t="s">
        <v>229</v>
      </c>
      <c r="H73" s="413" t="s">
        <v>4678</v>
      </c>
      <c r="I73">
        <v>0</v>
      </c>
      <c r="J73">
        <v>0</v>
      </c>
      <c r="K73">
        <v>0</v>
      </c>
      <c r="L73" s="217" t="s">
        <v>1863</v>
      </c>
      <c r="M73" s="414" t="s">
        <v>4682</v>
      </c>
      <c r="N73" s="260" t="s">
        <v>2867</v>
      </c>
      <c r="O73" s="227" t="s">
        <v>1953</v>
      </c>
      <c r="P73" s="227" t="s">
        <v>2816</v>
      </c>
    </row>
    <row r="74" spans="1:16" ht="45.75" thickBot="1" x14ac:dyDescent="0.3">
      <c r="A74" t="s">
        <v>4601</v>
      </c>
      <c r="B74" t="s">
        <v>4601</v>
      </c>
      <c r="C74" s="82" t="s">
        <v>1950</v>
      </c>
      <c r="D74" s="390">
        <v>2023</v>
      </c>
      <c r="E74" s="83" t="s">
        <v>2843</v>
      </c>
      <c r="F74" s="85" t="s">
        <v>173</v>
      </c>
      <c r="G74" s="317" t="s">
        <v>3486</v>
      </c>
      <c r="H74" s="413" t="s">
        <v>4679</v>
      </c>
      <c r="I74">
        <v>0</v>
      </c>
      <c r="J74">
        <v>0</v>
      </c>
      <c r="K74">
        <v>0</v>
      </c>
      <c r="L74" s="217" t="s">
        <v>1863</v>
      </c>
      <c r="M74" s="414" t="s">
        <v>4683</v>
      </c>
      <c r="N74" s="260" t="s">
        <v>2867</v>
      </c>
      <c r="O74" s="227" t="s">
        <v>1953</v>
      </c>
      <c r="P74" s="227" t="s">
        <v>2816</v>
      </c>
    </row>
    <row r="75" spans="1:16" ht="45.75" thickBot="1" x14ac:dyDescent="0.3">
      <c r="A75" t="s">
        <v>4601</v>
      </c>
      <c r="B75" t="s">
        <v>4601</v>
      </c>
      <c r="C75" s="82" t="s">
        <v>1950</v>
      </c>
      <c r="D75" s="390">
        <v>2023</v>
      </c>
      <c r="E75" s="83" t="s">
        <v>2843</v>
      </c>
      <c r="F75" s="85" t="s">
        <v>173</v>
      </c>
      <c r="G75" s="317" t="s">
        <v>3486</v>
      </c>
      <c r="H75" s="412" t="s">
        <v>4680</v>
      </c>
      <c r="I75">
        <v>0</v>
      </c>
      <c r="J75">
        <v>0</v>
      </c>
      <c r="K75">
        <v>0</v>
      </c>
      <c r="L75" s="217" t="s">
        <v>1863</v>
      </c>
      <c r="M75" s="414" t="s">
        <v>4683</v>
      </c>
      <c r="N75" s="260" t="s">
        <v>2867</v>
      </c>
      <c r="O75" s="227" t="s">
        <v>1953</v>
      </c>
      <c r="P75" s="227" t="s">
        <v>2816</v>
      </c>
    </row>
    <row r="76" spans="1:16" ht="15.75" thickBot="1" x14ac:dyDescent="0.3">
      <c r="A76" t="s">
        <v>4600</v>
      </c>
      <c r="B76" t="s">
        <v>4600</v>
      </c>
      <c r="C76" s="82" t="s">
        <v>1950</v>
      </c>
      <c r="D76" s="390">
        <v>2023</v>
      </c>
      <c r="E76" s="83" t="s">
        <v>2843</v>
      </c>
      <c r="F76" t="s">
        <v>173</v>
      </c>
      <c r="G76" s="317" t="s">
        <v>3487</v>
      </c>
      <c r="I76">
        <v>0</v>
      </c>
      <c r="J76">
        <v>0</v>
      </c>
      <c r="K76">
        <v>0</v>
      </c>
      <c r="L76" s="217" t="s">
        <v>1863</v>
      </c>
      <c r="M76" t="s">
        <v>4681</v>
      </c>
      <c r="N76" s="260" t="s">
        <v>2867</v>
      </c>
      <c r="O76" s="227" t="s">
        <v>1953</v>
      </c>
      <c r="P76" s="227" t="s">
        <v>2816</v>
      </c>
    </row>
    <row r="77" spans="1:16" ht="15.75" thickBot="1" x14ac:dyDescent="0.3">
      <c r="A77" t="s">
        <v>4600</v>
      </c>
      <c r="B77" t="s">
        <v>4600</v>
      </c>
      <c r="C77" s="82" t="s">
        <v>1950</v>
      </c>
      <c r="D77" s="390">
        <v>2023</v>
      </c>
      <c r="E77" s="83" t="s">
        <v>2843</v>
      </c>
      <c r="F77" t="s">
        <v>173</v>
      </c>
      <c r="G77" s="317" t="s">
        <v>3486</v>
      </c>
      <c r="I77">
        <v>0</v>
      </c>
      <c r="J77">
        <v>0</v>
      </c>
      <c r="K77">
        <v>0</v>
      </c>
      <c r="L77" s="217" t="s">
        <v>1863</v>
      </c>
      <c r="M77" t="s">
        <v>4683</v>
      </c>
      <c r="N77" s="260" t="s">
        <v>2867</v>
      </c>
      <c r="O77" s="227" t="s">
        <v>1953</v>
      </c>
      <c r="P77" s="227" t="s">
        <v>2816</v>
      </c>
    </row>
    <row r="78" spans="1:16" ht="15.75" thickBot="1" x14ac:dyDescent="0.3">
      <c r="A78" t="s">
        <v>4600</v>
      </c>
      <c r="B78" t="s">
        <v>4600</v>
      </c>
      <c r="C78" s="82" t="s">
        <v>1950</v>
      </c>
      <c r="D78" s="390">
        <v>2023</v>
      </c>
      <c r="E78" s="83" t="s">
        <v>549</v>
      </c>
      <c r="F78" t="s">
        <v>3851</v>
      </c>
      <c r="G78" s="422" t="s">
        <v>3851</v>
      </c>
      <c r="I78">
        <v>0</v>
      </c>
      <c r="J78">
        <v>0</v>
      </c>
      <c r="K78">
        <v>0</v>
      </c>
      <c r="L78" s="217" t="s">
        <v>1863</v>
      </c>
      <c r="M78" t="s">
        <v>3852</v>
      </c>
      <c r="N78" s="260" t="s">
        <v>2867</v>
      </c>
      <c r="O78" s="227" t="s">
        <v>1953</v>
      </c>
      <c r="P78" s="227" t="s">
        <v>2816</v>
      </c>
    </row>
    <row r="79" spans="1:16" ht="15.75" thickBot="1" x14ac:dyDescent="0.3">
      <c r="A79" t="s">
        <v>1915</v>
      </c>
      <c r="B79" t="s">
        <v>1915</v>
      </c>
      <c r="C79" s="82" t="s">
        <v>1950</v>
      </c>
      <c r="D79" s="390">
        <v>2023</v>
      </c>
      <c r="E79" s="83" t="s">
        <v>2843</v>
      </c>
      <c r="F79" s="85" t="s">
        <v>172</v>
      </c>
      <c r="G79" s="85" t="s">
        <v>229</v>
      </c>
      <c r="H79" s="85" t="s">
        <v>2860</v>
      </c>
      <c r="I79" s="85">
        <v>0</v>
      </c>
      <c r="J79" s="85">
        <v>0</v>
      </c>
      <c r="K79" s="85">
        <v>0</v>
      </c>
      <c r="L79" s="217" t="s">
        <v>1863</v>
      </c>
      <c r="M79" s="85" t="s">
        <v>2864</v>
      </c>
      <c r="N79" s="260" t="s">
        <v>2867</v>
      </c>
      <c r="O79" s="227" t="s">
        <v>1953</v>
      </c>
      <c r="P79" s="227" t="s">
        <v>2816</v>
      </c>
    </row>
    <row r="80" spans="1:16" ht="15.75" thickBot="1" x14ac:dyDescent="0.3">
      <c r="A80" t="s">
        <v>1915</v>
      </c>
      <c r="B80" t="s">
        <v>1915</v>
      </c>
      <c r="C80" s="82" t="s">
        <v>1950</v>
      </c>
      <c r="D80" s="390">
        <v>2023</v>
      </c>
      <c r="E80" s="83" t="s">
        <v>2843</v>
      </c>
      <c r="F80" s="85" t="s">
        <v>173</v>
      </c>
      <c r="G80" s="317" t="s">
        <v>3487</v>
      </c>
      <c r="H80" s="85" t="s">
        <v>2860</v>
      </c>
      <c r="I80" s="118">
        <v>0</v>
      </c>
      <c r="J80" s="85">
        <v>0</v>
      </c>
      <c r="K80" s="85">
        <v>0</v>
      </c>
      <c r="L80" s="217" t="s">
        <v>1863</v>
      </c>
      <c r="M80" s="85" t="s">
        <v>2865</v>
      </c>
      <c r="N80" s="260" t="s">
        <v>2867</v>
      </c>
      <c r="O80" s="227" t="s">
        <v>1953</v>
      </c>
      <c r="P80" s="227" t="s">
        <v>2816</v>
      </c>
    </row>
    <row r="81" spans="1:16" ht="15.75" thickBot="1" x14ac:dyDescent="0.3">
      <c r="A81" t="s">
        <v>1915</v>
      </c>
      <c r="B81" t="s">
        <v>1915</v>
      </c>
      <c r="C81" s="82" t="s">
        <v>1950</v>
      </c>
      <c r="D81" s="390">
        <v>2023</v>
      </c>
      <c r="E81" s="83" t="s">
        <v>2859</v>
      </c>
      <c r="F81" s="85" t="s">
        <v>173</v>
      </c>
      <c r="G81" s="85" t="s">
        <v>182</v>
      </c>
      <c r="H81" s="85" t="s">
        <v>2860</v>
      </c>
      <c r="I81" s="85">
        <v>0</v>
      </c>
      <c r="J81" s="85">
        <v>0</v>
      </c>
      <c r="K81" s="85">
        <v>0</v>
      </c>
      <c r="L81" s="217" t="s">
        <v>1863</v>
      </c>
      <c r="M81" s="85" t="s">
        <v>2866</v>
      </c>
      <c r="N81" s="260" t="s">
        <v>2867</v>
      </c>
      <c r="O81" s="227" t="s">
        <v>1953</v>
      </c>
      <c r="P81" s="227" t="s">
        <v>2816</v>
      </c>
    </row>
    <row r="82" spans="1:16" ht="15.75" thickBot="1" x14ac:dyDescent="0.3">
      <c r="A82" s="82" t="s">
        <v>45</v>
      </c>
      <c r="B82" s="82" t="str">
        <f t="shared" ref="B82:B87" si="10">LEFT(A82,IFERROR(FIND(" - ",A82)-1,LEN(A82)))</f>
        <v>Barraqueiro Transportes, S.A.</v>
      </c>
      <c r="C82" s="82" t="str">
        <f t="shared" ref="C82:C90" si="11">IF(A82=B82,"X",RIGHT(A82,LEN(A82)-LEN(B82)-3))</f>
        <v>X</v>
      </c>
      <c r="D82" s="390">
        <v>2023</v>
      </c>
      <c r="E82" s="416" t="s">
        <v>549</v>
      </c>
      <c r="F82" s="417" t="s">
        <v>173</v>
      </c>
      <c r="G82" s="417" t="s">
        <v>182</v>
      </c>
      <c r="H82" s="417" t="s">
        <v>596</v>
      </c>
      <c r="I82" s="419">
        <v>3994.35</v>
      </c>
      <c r="J82" s="418">
        <v>0</v>
      </c>
      <c r="K82" s="419">
        <v>3994.35</v>
      </c>
      <c r="L82" s="217" t="s">
        <v>1863</v>
      </c>
      <c r="M82" s="420" t="s">
        <v>4684</v>
      </c>
      <c r="N82" s="260" t="s">
        <v>2867</v>
      </c>
      <c r="O82" s="227" t="s">
        <v>1953</v>
      </c>
      <c r="P82" s="227" t="s">
        <v>2816</v>
      </c>
    </row>
    <row r="83" spans="1:16" ht="15.75" thickBot="1" x14ac:dyDescent="0.3">
      <c r="A83" s="82" t="s">
        <v>3471</v>
      </c>
      <c r="B83" s="82" t="str">
        <f t="shared" si="10"/>
        <v>Barraqueiro Transportes, S.A.</v>
      </c>
      <c r="C83" s="82" t="str">
        <f t="shared" si="11"/>
        <v>Estremadura</v>
      </c>
      <c r="D83" s="390">
        <v>2023</v>
      </c>
      <c r="E83" s="416" t="s">
        <v>549</v>
      </c>
      <c r="F83" s="417" t="s">
        <v>173</v>
      </c>
      <c r="G83" s="417" t="s">
        <v>182</v>
      </c>
      <c r="H83" s="417" t="s">
        <v>590</v>
      </c>
      <c r="I83" s="419">
        <v>975</v>
      </c>
      <c r="J83" s="418">
        <v>0</v>
      </c>
      <c r="K83" s="419">
        <v>975</v>
      </c>
      <c r="L83" s="217" t="s">
        <v>1863</v>
      </c>
      <c r="N83" s="260" t="s">
        <v>2867</v>
      </c>
      <c r="O83" s="227" t="s">
        <v>1953</v>
      </c>
      <c r="P83" s="227" t="s">
        <v>2816</v>
      </c>
    </row>
    <row r="84" spans="1:16" ht="15.75" thickBot="1" x14ac:dyDescent="0.3">
      <c r="A84" s="82" t="s">
        <v>3473</v>
      </c>
      <c r="B84" s="82" t="str">
        <f t="shared" si="10"/>
        <v>Barraqueiro Transportes, S.A.</v>
      </c>
      <c r="C84" s="82" t="str">
        <f t="shared" si="11"/>
        <v>Barraqueiro Oeste</v>
      </c>
      <c r="D84" s="390">
        <v>2023</v>
      </c>
      <c r="E84" s="416" t="s">
        <v>549</v>
      </c>
      <c r="F84" s="417" t="s">
        <v>173</v>
      </c>
      <c r="G84" s="417" t="s">
        <v>182</v>
      </c>
      <c r="H84" s="417" t="s">
        <v>591</v>
      </c>
      <c r="I84" s="419">
        <v>600</v>
      </c>
      <c r="J84" s="418">
        <v>0</v>
      </c>
      <c r="K84" s="419">
        <v>600</v>
      </c>
      <c r="L84" s="217" t="s">
        <v>1863</v>
      </c>
      <c r="N84" s="260" t="s">
        <v>2867</v>
      </c>
      <c r="O84" s="227" t="s">
        <v>1953</v>
      </c>
      <c r="P84" s="227" t="s">
        <v>2816</v>
      </c>
    </row>
    <row r="85" spans="1:16" ht="15.75" thickBot="1" x14ac:dyDescent="0.3">
      <c r="A85" s="82" t="s">
        <v>3474</v>
      </c>
      <c r="B85" s="82" t="str">
        <f t="shared" si="10"/>
        <v>Barraqueiro Transportes, S.A.</v>
      </c>
      <c r="C85" s="82" t="str">
        <f t="shared" si="11"/>
        <v>Boa Viagem</v>
      </c>
      <c r="D85" s="390">
        <v>2023</v>
      </c>
      <c r="E85" s="416" t="s">
        <v>549</v>
      </c>
      <c r="F85" s="417" t="s">
        <v>173</v>
      </c>
      <c r="G85" s="417" t="s">
        <v>182</v>
      </c>
      <c r="H85" s="417" t="s">
        <v>592</v>
      </c>
      <c r="I85" s="419">
        <v>360</v>
      </c>
      <c r="J85" s="418">
        <v>0</v>
      </c>
      <c r="K85" s="419">
        <v>360</v>
      </c>
      <c r="L85" s="217" t="s">
        <v>1863</v>
      </c>
      <c r="N85" s="260" t="s">
        <v>2867</v>
      </c>
      <c r="O85" s="227" t="s">
        <v>1953</v>
      </c>
      <c r="P85" s="227" t="s">
        <v>2816</v>
      </c>
    </row>
    <row r="86" spans="1:16" ht="15.75" thickBot="1" x14ac:dyDescent="0.3">
      <c r="A86" s="82" t="s">
        <v>3470</v>
      </c>
      <c r="B86" s="82" t="str">
        <f t="shared" si="10"/>
        <v>Barraqueiro Transportes, S.A.</v>
      </c>
      <c r="C86" s="82" t="str">
        <f t="shared" si="11"/>
        <v>Mafrense</v>
      </c>
      <c r="D86" s="390">
        <v>2023</v>
      </c>
      <c r="E86" s="416" t="s">
        <v>549</v>
      </c>
      <c r="F86" s="417" t="s">
        <v>173</v>
      </c>
      <c r="G86" s="417" t="s">
        <v>182</v>
      </c>
      <c r="H86" s="417" t="s">
        <v>593</v>
      </c>
      <c r="I86" s="419">
        <v>360</v>
      </c>
      <c r="J86" s="418">
        <v>0</v>
      </c>
      <c r="K86" s="419">
        <v>360</v>
      </c>
      <c r="L86" s="217" t="s">
        <v>1863</v>
      </c>
      <c r="N86" s="260" t="s">
        <v>2867</v>
      </c>
      <c r="O86" s="227" t="s">
        <v>1953</v>
      </c>
      <c r="P86" s="227" t="s">
        <v>2816</v>
      </c>
    </row>
    <row r="87" spans="1:16" ht="15.75" thickBot="1" x14ac:dyDescent="0.3">
      <c r="A87" s="82" t="s">
        <v>3524</v>
      </c>
      <c r="B87" s="82" t="str">
        <f t="shared" si="10"/>
        <v>Barraqueiro Transportes, S.A.</v>
      </c>
      <c r="C87" s="82" t="str">
        <f t="shared" si="11"/>
        <v>ESEVEL</v>
      </c>
      <c r="D87" s="390">
        <v>2023</v>
      </c>
      <c r="E87" s="416" t="s">
        <v>549</v>
      </c>
      <c r="F87" s="417" t="s">
        <v>173</v>
      </c>
      <c r="G87" s="417" t="s">
        <v>182</v>
      </c>
      <c r="H87" s="417" t="s">
        <v>594</v>
      </c>
      <c r="I87" s="419">
        <v>1699.35</v>
      </c>
      <c r="J87" s="418">
        <v>0</v>
      </c>
      <c r="K87" s="419">
        <v>1699.35</v>
      </c>
      <c r="L87" s="217" t="s">
        <v>1863</v>
      </c>
      <c r="N87" s="260" t="s">
        <v>2867</v>
      </c>
      <c r="O87" s="227" t="s">
        <v>1953</v>
      </c>
      <c r="P87" s="227" t="s">
        <v>2816</v>
      </c>
    </row>
    <row r="88" spans="1:16" ht="15.75" thickBot="1" x14ac:dyDescent="0.3">
      <c r="A88" s="424" t="s">
        <v>4580</v>
      </c>
      <c r="B88" s="424" t="s">
        <v>4580</v>
      </c>
      <c r="C88" s="424" t="str">
        <f t="shared" si="11"/>
        <v>X</v>
      </c>
      <c r="D88" s="390">
        <v>2023</v>
      </c>
      <c r="E88" s="438" t="s">
        <v>549</v>
      </c>
      <c r="F88" s="439" t="s">
        <v>173</v>
      </c>
      <c r="G88" s="439" t="s">
        <v>182</v>
      </c>
      <c r="H88" s="439" t="s">
        <v>596</v>
      </c>
      <c r="I88" s="430">
        <v>360</v>
      </c>
      <c r="J88" s="427">
        <v>0</v>
      </c>
      <c r="K88" s="430">
        <v>360</v>
      </c>
      <c r="L88" s="217" t="s">
        <v>1863</v>
      </c>
      <c r="N88" s="260" t="s">
        <v>2867</v>
      </c>
      <c r="O88" s="227" t="s">
        <v>1953</v>
      </c>
      <c r="P88" s="227" t="s">
        <v>2816</v>
      </c>
    </row>
    <row r="89" spans="1:16" ht="15.75" thickBot="1" x14ac:dyDescent="0.3">
      <c r="A89" s="680" t="s">
        <v>6582</v>
      </c>
      <c r="B89" s="680" t="s">
        <v>6582</v>
      </c>
      <c r="C89" s="424" t="str">
        <f t="shared" si="11"/>
        <v>X</v>
      </c>
      <c r="D89" s="390">
        <v>2023</v>
      </c>
      <c r="E89" s="438" t="s">
        <v>549</v>
      </c>
      <c r="F89" s="439" t="s">
        <v>173</v>
      </c>
      <c r="G89" s="439" t="s">
        <v>182</v>
      </c>
      <c r="H89" s="439"/>
      <c r="I89" s="681">
        <v>108.25</v>
      </c>
      <c r="J89" s="317">
        <v>0</v>
      </c>
      <c r="K89" s="681">
        <v>108.25</v>
      </c>
      <c r="L89" s="217" t="s">
        <v>1863</v>
      </c>
      <c r="N89" s="260" t="s">
        <v>2867</v>
      </c>
      <c r="O89" s="227" t="s">
        <v>1953</v>
      </c>
      <c r="P89" s="227" t="s">
        <v>2816</v>
      </c>
    </row>
    <row r="90" spans="1:16" ht="15.75" thickBot="1" x14ac:dyDescent="0.3">
      <c r="A90" s="680" t="s">
        <v>6583</v>
      </c>
      <c r="B90" s="680" t="s">
        <v>6583</v>
      </c>
      <c r="C90" s="424" t="str">
        <f t="shared" si="11"/>
        <v>X</v>
      </c>
      <c r="D90" s="390">
        <v>2023</v>
      </c>
      <c r="E90" s="438" t="s">
        <v>549</v>
      </c>
      <c r="F90" s="439" t="s">
        <v>173</v>
      </c>
      <c r="G90" s="439" t="s">
        <v>182</v>
      </c>
      <c r="I90" s="681">
        <v>208.5</v>
      </c>
      <c r="J90" s="317">
        <v>0</v>
      </c>
      <c r="K90" s="681">
        <v>208.5</v>
      </c>
      <c r="L90" s="217" t="s">
        <v>1863</v>
      </c>
      <c r="M90" s="422"/>
      <c r="N90" s="260" t="s">
        <v>2867</v>
      </c>
      <c r="O90" s="227" t="s">
        <v>1953</v>
      </c>
      <c r="P90" s="227" t="s">
        <v>2816</v>
      </c>
    </row>
  </sheetData>
  <mergeCells count="13">
    <mergeCell ref="O1:O2"/>
    <mergeCell ref="P1:P2"/>
    <mergeCell ref="A1:A2"/>
    <mergeCell ref="C1:C2"/>
    <mergeCell ref="B1:B2"/>
    <mergeCell ref="E1:E2"/>
    <mergeCell ref="F1:F2"/>
    <mergeCell ref="M1:M2"/>
    <mergeCell ref="G1:G2"/>
    <mergeCell ref="H1:H2"/>
    <mergeCell ref="I1:I2"/>
    <mergeCell ref="J1:J2"/>
    <mergeCell ref="K1:K2"/>
  </mergeCells>
  <dataValidations disablePrompts="1" count="1">
    <dataValidation type="list" allowBlank="1" showInputMessage="1" showErrorMessage="1" sqref="E3:E38 E69:E81">
      <formula1>"AC Frota Produtiva Pesada, AC Frota Produtiva Ligeiros, AC Estacionários, Equipamento Frio Frota, Equipamento Frio Estacionário"</formula1>
    </dataValidation>
  </dataValidations>
  <pageMargins left="0.7" right="0.7" top="0.75" bottom="0.75" header="0.3" footer="0.3"/>
  <customProperties>
    <customPr name="GUID" r:id="rId1"/>
  </customProperties>
  <extLst>
    <ext xmlns:x14="http://schemas.microsoft.com/office/spreadsheetml/2009/9/main" uri="{CCE6A557-97BC-4b89-ADB6-D9C93CAAB3DF}">
      <x14:dataValidations xmlns:xm="http://schemas.microsoft.com/office/excel/2006/main" disablePrompts="1" count="5">
        <x14:dataValidation type="list" allowBlank="1" showInputMessage="1" showErrorMessage="1">
          <x14:formula1>
            <xm:f>'A1.4.2'!$B$2:$B$248</xm:f>
          </x14:formula1>
          <xm:sqref>G3:G9</xm:sqref>
        </x14:dataValidation>
        <x14:dataValidation type="list" allowBlank="1" showInputMessage="1" showErrorMessage="1">
          <x14:formula1>
            <xm:f>'A1.4.2'!$H$2:$H$9</xm:f>
          </x14:formula1>
          <xm:sqref>F3:F9 F26 F29 F47 F79</xm:sqref>
        </x14:dataValidation>
        <x14:dataValidation type="list" allowBlank="1" showInputMessage="1" showErrorMessage="1">
          <x14:formula1>
            <xm:f>'C:\Users\AIPC\Desktop\[00.1 - Pegada de Carbono Materialidades e Dados 2022 24_05_2024.xlsx]A1.4.2'!#REF!</xm:f>
          </x14:formula1>
          <xm:sqref>F70 F27:F28 F30 F48 F68 F22:F25 G22:G23 G25</xm:sqref>
        </x14:dataValidation>
        <x14:dataValidation type="list" allowBlank="1" showInputMessage="1" showErrorMessage="1">
          <x14:formula1>
            <xm:f>'C:\Users\AIPC\Desktop\Dados Pegada Carbono GB\Rodoviário\[Pegada de Carbono Materialidades e Dados.xlsx]A1.4.2'!#REF!</xm:f>
          </x14:formula1>
          <xm:sqref>F37:G38 G70</xm:sqref>
        </x14:dataValidation>
        <x14:dataValidation type="list" allowBlank="1" showInputMessage="1" showErrorMessage="1">
          <x14:formula1>
            <xm:f>'C:\Users\AIPC\Downloads\[Template Pegada de Carbono Materialidades e Dados 2023 novo.xlsx]A1.4.2'!#REF!</xm:f>
          </x14:formula1>
          <xm:sqref>F58:G59 F49:G53 F61:G64 F80:F81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2"/>
  <dimension ref="B1:H248"/>
  <sheetViews>
    <sheetView workbookViewId="0"/>
  </sheetViews>
  <sheetFormatPr defaultRowHeight="15" x14ac:dyDescent="0.25"/>
  <cols>
    <col min="2" max="2" width="63.5703125" style="89" bestFit="1" customWidth="1"/>
    <col min="3" max="3" width="41.140625" style="89" bestFit="1" customWidth="1"/>
    <col min="4" max="4" width="9.140625" style="89"/>
    <col min="8" max="8" width="57.140625" bestFit="1" customWidth="1"/>
  </cols>
  <sheetData>
    <row r="1" spans="2:8" x14ac:dyDescent="0.25">
      <c r="B1" s="88" t="s">
        <v>427</v>
      </c>
      <c r="C1" s="88" t="s">
        <v>168</v>
      </c>
      <c r="H1" s="86" t="s">
        <v>170</v>
      </c>
    </row>
    <row r="2" spans="2:8" x14ac:dyDescent="0.25">
      <c r="B2" s="89" t="s">
        <v>177</v>
      </c>
      <c r="C2" s="89" t="s">
        <v>173</v>
      </c>
      <c r="H2" t="s">
        <v>171</v>
      </c>
    </row>
    <row r="3" spans="2:8" x14ac:dyDescent="0.25">
      <c r="B3" s="89" t="s">
        <v>178</v>
      </c>
      <c r="C3" s="89" t="s">
        <v>173</v>
      </c>
      <c r="H3" t="s">
        <v>172</v>
      </c>
    </row>
    <row r="4" spans="2:8" x14ac:dyDescent="0.25">
      <c r="B4" s="89" t="s">
        <v>179</v>
      </c>
      <c r="C4" s="89" t="s">
        <v>173</v>
      </c>
      <c r="H4" t="s">
        <v>173</v>
      </c>
    </row>
    <row r="5" spans="2:8" x14ac:dyDescent="0.25">
      <c r="B5" s="89" t="s">
        <v>180</v>
      </c>
      <c r="C5" s="89" t="s">
        <v>173</v>
      </c>
      <c r="H5" t="s">
        <v>174</v>
      </c>
    </row>
    <row r="6" spans="2:8" x14ac:dyDescent="0.25">
      <c r="B6" s="89" t="s">
        <v>181</v>
      </c>
      <c r="C6" s="89" t="s">
        <v>173</v>
      </c>
      <c r="H6" t="s">
        <v>175</v>
      </c>
    </row>
    <row r="7" spans="2:8" x14ac:dyDescent="0.25">
      <c r="B7" s="89" t="s">
        <v>182</v>
      </c>
      <c r="C7" s="89" t="s">
        <v>173</v>
      </c>
      <c r="H7" t="s">
        <v>176</v>
      </c>
    </row>
    <row r="8" spans="2:8" x14ac:dyDescent="0.25">
      <c r="B8" s="89" t="s">
        <v>183</v>
      </c>
      <c r="C8" s="89" t="s">
        <v>173</v>
      </c>
      <c r="H8" t="s">
        <v>227</v>
      </c>
    </row>
    <row r="9" spans="2:8" x14ac:dyDescent="0.25">
      <c r="B9" s="89" t="s">
        <v>184</v>
      </c>
      <c r="C9" s="89" t="s">
        <v>173</v>
      </c>
      <c r="H9" t="s">
        <v>415</v>
      </c>
    </row>
    <row r="10" spans="2:8" x14ac:dyDescent="0.25">
      <c r="B10" s="89" t="s">
        <v>185</v>
      </c>
      <c r="C10" s="89" t="s">
        <v>173</v>
      </c>
    </row>
    <row r="11" spans="2:8" x14ac:dyDescent="0.25">
      <c r="B11" s="89" t="s">
        <v>186</v>
      </c>
      <c r="C11" s="89" t="s">
        <v>173</v>
      </c>
    </row>
    <row r="12" spans="2:8" x14ac:dyDescent="0.25">
      <c r="B12" s="89" t="s">
        <v>187</v>
      </c>
      <c r="C12" s="89" t="s">
        <v>173</v>
      </c>
    </row>
    <row r="13" spans="2:8" x14ac:dyDescent="0.25">
      <c r="B13" s="89" t="s">
        <v>188</v>
      </c>
      <c r="C13" s="89" t="s">
        <v>173</v>
      </c>
    </row>
    <row r="14" spans="2:8" x14ac:dyDescent="0.25">
      <c r="B14" s="89" t="s">
        <v>189</v>
      </c>
      <c r="C14" s="89" t="s">
        <v>173</v>
      </c>
    </row>
    <row r="15" spans="2:8" x14ac:dyDescent="0.25">
      <c r="B15" s="89" t="s">
        <v>190</v>
      </c>
      <c r="C15" s="89" t="s">
        <v>173</v>
      </c>
    </row>
    <row r="16" spans="2:8" x14ac:dyDescent="0.25">
      <c r="B16" s="89" t="s">
        <v>191</v>
      </c>
      <c r="C16" s="89" t="s">
        <v>173</v>
      </c>
    </row>
    <row r="17" spans="2:3" x14ac:dyDescent="0.25">
      <c r="B17" s="89" t="s">
        <v>192</v>
      </c>
      <c r="C17" s="89" t="s">
        <v>173</v>
      </c>
    </row>
    <row r="18" spans="2:3" x14ac:dyDescent="0.25">
      <c r="B18" s="89" t="s">
        <v>193</v>
      </c>
      <c r="C18" s="89" t="s">
        <v>173</v>
      </c>
    </row>
    <row r="19" spans="2:3" x14ac:dyDescent="0.25">
      <c r="B19" s="89" t="s">
        <v>194</v>
      </c>
      <c r="C19" s="89" t="s">
        <v>173</v>
      </c>
    </row>
    <row r="20" spans="2:3" x14ac:dyDescent="0.25">
      <c r="B20" s="89" t="s">
        <v>195</v>
      </c>
      <c r="C20" s="89" t="s">
        <v>173</v>
      </c>
    </row>
    <row r="21" spans="2:3" x14ac:dyDescent="0.25">
      <c r="B21" s="89" t="s">
        <v>196</v>
      </c>
      <c r="C21" s="89" t="s">
        <v>173</v>
      </c>
    </row>
    <row r="22" spans="2:3" x14ac:dyDescent="0.25">
      <c r="B22" s="89" t="s">
        <v>197</v>
      </c>
      <c r="C22" s="89" t="s">
        <v>173</v>
      </c>
    </row>
    <row r="23" spans="2:3" x14ac:dyDescent="0.25">
      <c r="B23" s="89" t="s">
        <v>198</v>
      </c>
      <c r="C23" s="89" t="s">
        <v>173</v>
      </c>
    </row>
    <row r="24" spans="2:3" x14ac:dyDescent="0.25">
      <c r="B24" s="89" t="s">
        <v>199</v>
      </c>
      <c r="C24" s="89" t="s">
        <v>173</v>
      </c>
    </row>
    <row r="25" spans="2:3" x14ac:dyDescent="0.25">
      <c r="B25" s="89" t="s">
        <v>200</v>
      </c>
      <c r="C25" s="89" t="s">
        <v>173</v>
      </c>
    </row>
    <row r="26" spans="2:3" x14ac:dyDescent="0.25">
      <c r="B26" s="89" t="s">
        <v>201</v>
      </c>
      <c r="C26" s="89" t="s">
        <v>173</v>
      </c>
    </row>
    <row r="27" spans="2:3" x14ac:dyDescent="0.25">
      <c r="B27" s="89" t="s">
        <v>202</v>
      </c>
      <c r="C27" s="89" t="s">
        <v>173</v>
      </c>
    </row>
    <row r="28" spans="2:3" x14ac:dyDescent="0.25">
      <c r="B28" s="89" t="s">
        <v>203</v>
      </c>
      <c r="C28" s="89" t="s">
        <v>173</v>
      </c>
    </row>
    <row r="29" spans="2:3" x14ac:dyDescent="0.25">
      <c r="B29" s="89" t="s">
        <v>204</v>
      </c>
      <c r="C29" s="89" t="s">
        <v>173</v>
      </c>
    </row>
    <row r="30" spans="2:3" x14ac:dyDescent="0.25">
      <c r="B30" s="89" t="s">
        <v>205</v>
      </c>
      <c r="C30" s="89" t="s">
        <v>173</v>
      </c>
    </row>
    <row r="31" spans="2:3" x14ac:dyDescent="0.25">
      <c r="B31" s="89" t="s">
        <v>206</v>
      </c>
      <c r="C31" s="89" t="s">
        <v>173</v>
      </c>
    </row>
    <row r="32" spans="2:3" x14ac:dyDescent="0.25">
      <c r="B32" s="89" t="s">
        <v>207</v>
      </c>
      <c r="C32" s="89" t="s">
        <v>173</v>
      </c>
    </row>
    <row r="33" spans="2:3" x14ac:dyDescent="0.25">
      <c r="B33" s="89" t="s">
        <v>208</v>
      </c>
      <c r="C33" s="89" t="s">
        <v>173</v>
      </c>
    </row>
    <row r="34" spans="2:3" x14ac:dyDescent="0.25">
      <c r="B34" s="89" t="s">
        <v>209</v>
      </c>
      <c r="C34" s="89" t="s">
        <v>173</v>
      </c>
    </row>
    <row r="35" spans="2:3" x14ac:dyDescent="0.25">
      <c r="B35" s="89" t="s">
        <v>210</v>
      </c>
      <c r="C35" s="89" t="s">
        <v>173</v>
      </c>
    </row>
    <row r="36" spans="2:3" x14ac:dyDescent="0.25">
      <c r="B36" s="89" t="s">
        <v>211</v>
      </c>
      <c r="C36" s="89" t="s">
        <v>173</v>
      </c>
    </row>
    <row r="37" spans="2:3" x14ac:dyDescent="0.25">
      <c r="B37" s="89" t="s">
        <v>212</v>
      </c>
      <c r="C37" s="89" t="s">
        <v>173</v>
      </c>
    </row>
    <row r="38" spans="2:3" x14ac:dyDescent="0.25">
      <c r="B38" s="89" t="s">
        <v>213</v>
      </c>
      <c r="C38" s="89" t="s">
        <v>173</v>
      </c>
    </row>
    <row r="39" spans="2:3" x14ac:dyDescent="0.25">
      <c r="B39" s="89" t="s">
        <v>214</v>
      </c>
      <c r="C39" s="89" t="s">
        <v>173</v>
      </c>
    </row>
    <row r="40" spans="2:3" x14ac:dyDescent="0.25">
      <c r="B40" s="89" t="s">
        <v>215</v>
      </c>
      <c r="C40" s="89" t="s">
        <v>173</v>
      </c>
    </row>
    <row r="41" spans="2:3" x14ac:dyDescent="0.25">
      <c r="B41" s="89" t="s">
        <v>216</v>
      </c>
      <c r="C41" s="89" t="s">
        <v>173</v>
      </c>
    </row>
    <row r="42" spans="2:3" x14ac:dyDescent="0.25">
      <c r="B42" s="89" t="s">
        <v>217</v>
      </c>
      <c r="C42" s="89" t="s">
        <v>173</v>
      </c>
    </row>
    <row r="43" spans="2:3" x14ac:dyDescent="0.25">
      <c r="B43" s="90" t="s">
        <v>218</v>
      </c>
      <c r="C43" s="89" t="s">
        <v>173</v>
      </c>
    </row>
    <row r="44" spans="2:3" x14ac:dyDescent="0.25">
      <c r="B44" s="89" t="s">
        <v>219</v>
      </c>
      <c r="C44" s="89" t="s">
        <v>173</v>
      </c>
    </row>
    <row r="45" spans="2:3" x14ac:dyDescent="0.25">
      <c r="B45" s="89" t="s">
        <v>220</v>
      </c>
      <c r="C45" s="89" t="s">
        <v>173</v>
      </c>
    </row>
    <row r="46" spans="2:3" x14ac:dyDescent="0.25">
      <c r="B46" s="90" t="s">
        <v>221</v>
      </c>
      <c r="C46" s="89" t="s">
        <v>173</v>
      </c>
    </row>
    <row r="47" spans="2:3" x14ac:dyDescent="0.25">
      <c r="B47" s="89" t="s">
        <v>222</v>
      </c>
      <c r="C47" s="89" t="s">
        <v>173</v>
      </c>
    </row>
    <row r="48" spans="2:3" x14ac:dyDescent="0.25">
      <c r="B48" s="89" t="s">
        <v>223</v>
      </c>
      <c r="C48" s="89" t="s">
        <v>173</v>
      </c>
    </row>
    <row r="49" spans="2:3" x14ac:dyDescent="0.25">
      <c r="B49" s="89" t="s">
        <v>224</v>
      </c>
      <c r="C49" s="89" t="s">
        <v>173</v>
      </c>
    </row>
    <row r="50" spans="2:3" x14ac:dyDescent="0.25">
      <c r="B50" s="89" t="s">
        <v>225</v>
      </c>
      <c r="C50" s="89" t="s">
        <v>173</v>
      </c>
    </row>
    <row r="51" spans="2:3" x14ac:dyDescent="0.25">
      <c r="B51" s="89" t="s">
        <v>226</v>
      </c>
      <c r="C51" s="89" t="s">
        <v>173</v>
      </c>
    </row>
    <row r="52" spans="2:3" x14ac:dyDescent="0.25">
      <c r="B52" s="89" t="s">
        <v>228</v>
      </c>
      <c r="C52" s="89" t="s">
        <v>172</v>
      </c>
    </row>
    <row r="53" spans="2:3" x14ac:dyDescent="0.25">
      <c r="B53" s="89" t="s">
        <v>229</v>
      </c>
      <c r="C53" s="89" t="s">
        <v>172</v>
      </c>
    </row>
    <row r="54" spans="2:3" x14ac:dyDescent="0.25">
      <c r="B54" s="89" t="s">
        <v>230</v>
      </c>
      <c r="C54" s="89" t="s">
        <v>172</v>
      </c>
    </row>
    <row r="55" spans="2:3" x14ac:dyDescent="0.25">
      <c r="B55" s="89" t="s">
        <v>231</v>
      </c>
      <c r="C55" s="89" t="s">
        <v>172</v>
      </c>
    </row>
    <row r="56" spans="2:3" x14ac:dyDescent="0.25">
      <c r="B56" s="89" t="s">
        <v>232</v>
      </c>
      <c r="C56" s="89" t="s">
        <v>172</v>
      </c>
    </row>
    <row r="57" spans="2:3" x14ac:dyDescent="0.25">
      <c r="B57" s="89" t="s">
        <v>233</v>
      </c>
      <c r="C57" s="89" t="s">
        <v>172</v>
      </c>
    </row>
    <row r="58" spans="2:3" x14ac:dyDescent="0.25">
      <c r="B58" s="89" t="s">
        <v>234</v>
      </c>
      <c r="C58" s="89" t="s">
        <v>172</v>
      </c>
    </row>
    <row r="59" spans="2:3" x14ac:dyDescent="0.25">
      <c r="B59" s="89" t="s">
        <v>235</v>
      </c>
      <c r="C59" s="89" t="s">
        <v>172</v>
      </c>
    </row>
    <row r="60" spans="2:3" x14ac:dyDescent="0.25">
      <c r="B60" s="89" t="s">
        <v>236</v>
      </c>
      <c r="C60" s="89" t="s">
        <v>172</v>
      </c>
    </row>
    <row r="61" spans="2:3" x14ac:dyDescent="0.25">
      <c r="B61" s="89" t="s">
        <v>237</v>
      </c>
      <c r="C61" s="89" t="s">
        <v>172</v>
      </c>
    </row>
    <row r="62" spans="2:3" x14ac:dyDescent="0.25">
      <c r="B62" s="89" t="s">
        <v>238</v>
      </c>
      <c r="C62" s="89" t="s">
        <v>172</v>
      </c>
    </row>
    <row r="63" spans="2:3" x14ac:dyDescent="0.25">
      <c r="B63" s="89" t="s">
        <v>239</v>
      </c>
      <c r="C63" s="89" t="s">
        <v>172</v>
      </c>
    </row>
    <row r="64" spans="2:3" x14ac:dyDescent="0.25">
      <c r="B64" s="89" t="s">
        <v>240</v>
      </c>
      <c r="C64" s="89" t="s">
        <v>172</v>
      </c>
    </row>
    <row r="65" spans="2:3" x14ac:dyDescent="0.25">
      <c r="B65" s="89" t="s">
        <v>241</v>
      </c>
      <c r="C65" s="89" t="s">
        <v>172</v>
      </c>
    </row>
    <row r="66" spans="2:3" x14ac:dyDescent="0.25">
      <c r="B66" s="89" t="s">
        <v>242</v>
      </c>
      <c r="C66" s="89" t="s">
        <v>172</v>
      </c>
    </row>
    <row r="67" spans="2:3" x14ac:dyDescent="0.25">
      <c r="B67" s="89" t="s">
        <v>243</v>
      </c>
      <c r="C67" s="89" t="s">
        <v>172</v>
      </c>
    </row>
    <row r="68" spans="2:3" x14ac:dyDescent="0.25">
      <c r="B68" s="89" t="s">
        <v>244</v>
      </c>
      <c r="C68" s="89" t="s">
        <v>172</v>
      </c>
    </row>
    <row r="69" spans="2:3" x14ac:dyDescent="0.25">
      <c r="B69" s="89" t="s">
        <v>245</v>
      </c>
      <c r="C69" s="89" t="s">
        <v>172</v>
      </c>
    </row>
    <row r="70" spans="2:3" x14ac:dyDescent="0.25">
      <c r="B70" s="89" t="s">
        <v>246</v>
      </c>
      <c r="C70" s="89" t="s">
        <v>172</v>
      </c>
    </row>
    <row r="71" spans="2:3" x14ac:dyDescent="0.25">
      <c r="B71" s="89" t="s">
        <v>247</v>
      </c>
      <c r="C71" s="89" t="s">
        <v>172</v>
      </c>
    </row>
    <row r="72" spans="2:3" x14ac:dyDescent="0.25">
      <c r="B72" s="89" t="s">
        <v>248</v>
      </c>
      <c r="C72" s="89" t="s">
        <v>172</v>
      </c>
    </row>
    <row r="73" spans="2:3" x14ac:dyDescent="0.25">
      <c r="B73" s="89" t="s">
        <v>249</v>
      </c>
      <c r="C73" s="89" t="s">
        <v>171</v>
      </c>
    </row>
    <row r="74" spans="2:3" x14ac:dyDescent="0.25">
      <c r="B74" s="89" t="s">
        <v>250</v>
      </c>
      <c r="C74" s="89" t="s">
        <v>171</v>
      </c>
    </row>
    <row r="75" spans="2:3" x14ac:dyDescent="0.25">
      <c r="B75" s="89" t="s">
        <v>251</v>
      </c>
      <c r="C75" s="89" t="s">
        <v>171</v>
      </c>
    </row>
    <row r="76" spans="2:3" x14ac:dyDescent="0.25">
      <c r="B76" s="89" t="s">
        <v>252</v>
      </c>
      <c r="C76" s="89" t="s">
        <v>171</v>
      </c>
    </row>
    <row r="77" spans="2:3" x14ac:dyDescent="0.25">
      <c r="B77" s="89" t="s">
        <v>254</v>
      </c>
      <c r="C77" s="89" t="s">
        <v>171</v>
      </c>
    </row>
    <row r="78" spans="2:3" x14ac:dyDescent="0.25">
      <c r="B78" s="89" t="s">
        <v>255</v>
      </c>
      <c r="C78" s="89" t="s">
        <v>171</v>
      </c>
    </row>
    <row r="79" spans="2:3" x14ac:dyDescent="0.25">
      <c r="B79" s="89" t="s">
        <v>256</v>
      </c>
      <c r="C79" s="89" t="s">
        <v>171</v>
      </c>
    </row>
    <row r="80" spans="2:3" x14ac:dyDescent="0.25">
      <c r="B80" s="89" t="s">
        <v>253</v>
      </c>
      <c r="C80" s="89" t="s">
        <v>171</v>
      </c>
    </row>
    <row r="81" spans="2:3" x14ac:dyDescent="0.25">
      <c r="B81" s="89" t="s">
        <v>257</v>
      </c>
      <c r="C81" s="89" t="s">
        <v>171</v>
      </c>
    </row>
    <row r="82" spans="2:3" x14ac:dyDescent="0.25">
      <c r="B82" s="89" t="s">
        <v>258</v>
      </c>
      <c r="C82" s="89" t="s">
        <v>171</v>
      </c>
    </row>
    <row r="83" spans="2:3" x14ac:dyDescent="0.25">
      <c r="B83" s="89" t="s">
        <v>259</v>
      </c>
      <c r="C83" s="89" t="s">
        <v>171</v>
      </c>
    </row>
    <row r="84" spans="2:3" x14ac:dyDescent="0.25">
      <c r="B84" s="89" t="s">
        <v>260</v>
      </c>
      <c r="C84" s="89" t="s">
        <v>171</v>
      </c>
    </row>
    <row r="85" spans="2:3" x14ac:dyDescent="0.25">
      <c r="B85" s="89" t="s">
        <v>261</v>
      </c>
      <c r="C85" s="89" t="s">
        <v>171</v>
      </c>
    </row>
    <row r="86" spans="2:3" x14ac:dyDescent="0.25">
      <c r="B86" s="89" t="s">
        <v>262</v>
      </c>
      <c r="C86" s="89" t="s">
        <v>171</v>
      </c>
    </row>
    <row r="87" spans="2:3" x14ac:dyDescent="0.25">
      <c r="B87" s="89" t="s">
        <v>263</v>
      </c>
      <c r="C87" s="89" t="s">
        <v>264</v>
      </c>
    </row>
    <row r="88" spans="2:3" x14ac:dyDescent="0.25">
      <c r="B88" s="89" t="s">
        <v>265</v>
      </c>
      <c r="C88" s="89" t="s">
        <v>264</v>
      </c>
    </row>
    <row r="89" spans="2:3" x14ac:dyDescent="0.25">
      <c r="B89" s="89" t="s">
        <v>266</v>
      </c>
      <c r="C89" s="89" t="s">
        <v>264</v>
      </c>
    </row>
    <row r="90" spans="2:3" x14ac:dyDescent="0.25">
      <c r="B90" s="89" t="s">
        <v>267</v>
      </c>
      <c r="C90" s="89" t="s">
        <v>264</v>
      </c>
    </row>
    <row r="91" spans="2:3" x14ac:dyDescent="0.25">
      <c r="B91" s="89" t="s">
        <v>268</v>
      </c>
      <c r="C91" s="89" t="s">
        <v>264</v>
      </c>
    </row>
    <row r="92" spans="2:3" x14ac:dyDescent="0.25">
      <c r="B92" s="89" t="s">
        <v>269</v>
      </c>
      <c r="C92" s="89" t="s">
        <v>264</v>
      </c>
    </row>
    <row r="93" spans="2:3" x14ac:dyDescent="0.25">
      <c r="B93" s="89" t="s">
        <v>270</v>
      </c>
      <c r="C93" s="89" t="s">
        <v>264</v>
      </c>
    </row>
    <row r="94" spans="2:3" x14ac:dyDescent="0.25">
      <c r="B94" s="89" t="s">
        <v>271</v>
      </c>
      <c r="C94" s="89" t="s">
        <v>264</v>
      </c>
    </row>
    <row r="95" spans="2:3" x14ac:dyDescent="0.25">
      <c r="B95" s="89" t="s">
        <v>272</v>
      </c>
      <c r="C95" s="89" t="s">
        <v>264</v>
      </c>
    </row>
    <row r="96" spans="2:3" x14ac:dyDescent="0.25">
      <c r="B96" s="89" t="s">
        <v>273</v>
      </c>
      <c r="C96" s="89" t="s">
        <v>264</v>
      </c>
    </row>
    <row r="97" spans="2:3" x14ac:dyDescent="0.25">
      <c r="B97" s="89" t="s">
        <v>274</v>
      </c>
      <c r="C97" s="89" t="s">
        <v>264</v>
      </c>
    </row>
    <row r="98" spans="2:3" x14ac:dyDescent="0.25">
      <c r="B98" s="89" t="s">
        <v>276</v>
      </c>
      <c r="C98" s="89" t="s">
        <v>275</v>
      </c>
    </row>
    <row r="99" spans="2:3" x14ac:dyDescent="0.25">
      <c r="B99" s="89" t="s">
        <v>277</v>
      </c>
      <c r="C99" s="89" t="s">
        <v>275</v>
      </c>
    </row>
    <row r="100" spans="2:3" x14ac:dyDescent="0.25">
      <c r="B100" s="89" t="s">
        <v>278</v>
      </c>
      <c r="C100" s="89" t="s">
        <v>275</v>
      </c>
    </row>
    <row r="101" spans="2:3" x14ac:dyDescent="0.25">
      <c r="B101" s="89" t="s">
        <v>279</v>
      </c>
      <c r="C101" s="89" t="s">
        <v>275</v>
      </c>
    </row>
    <row r="102" spans="2:3" x14ac:dyDescent="0.25">
      <c r="B102" s="89" t="s">
        <v>280</v>
      </c>
      <c r="C102" s="89" t="s">
        <v>275</v>
      </c>
    </row>
    <row r="103" spans="2:3" x14ac:dyDescent="0.25">
      <c r="B103" s="89" t="s">
        <v>281</v>
      </c>
      <c r="C103" s="89" t="s">
        <v>275</v>
      </c>
    </row>
    <row r="104" spans="2:3" x14ac:dyDescent="0.25">
      <c r="B104" s="89" t="s">
        <v>282</v>
      </c>
      <c r="C104" s="89" t="s">
        <v>275</v>
      </c>
    </row>
    <row r="105" spans="2:3" x14ac:dyDescent="0.25">
      <c r="B105" s="89" t="s">
        <v>283</v>
      </c>
      <c r="C105" s="89" t="s">
        <v>275</v>
      </c>
    </row>
    <row r="106" spans="2:3" x14ac:dyDescent="0.25">
      <c r="B106" s="89" t="s">
        <v>284</v>
      </c>
      <c r="C106" s="89" t="s">
        <v>275</v>
      </c>
    </row>
    <row r="107" spans="2:3" x14ac:dyDescent="0.25">
      <c r="B107" s="89" t="s">
        <v>285</v>
      </c>
      <c r="C107" s="89" t="s">
        <v>275</v>
      </c>
    </row>
    <row r="108" spans="2:3" x14ac:dyDescent="0.25">
      <c r="B108" s="89" t="s">
        <v>286</v>
      </c>
      <c r="C108" s="89" t="s">
        <v>275</v>
      </c>
    </row>
    <row r="109" spans="2:3" x14ac:dyDescent="0.25">
      <c r="B109" s="89" t="s">
        <v>287</v>
      </c>
      <c r="C109" s="89" t="s">
        <v>275</v>
      </c>
    </row>
    <row r="110" spans="2:3" x14ac:dyDescent="0.25">
      <c r="B110" s="89" t="s">
        <v>288</v>
      </c>
      <c r="C110" s="89" t="s">
        <v>275</v>
      </c>
    </row>
    <row r="111" spans="2:3" x14ac:dyDescent="0.25">
      <c r="B111" s="89" t="s">
        <v>289</v>
      </c>
      <c r="C111" s="89" t="s">
        <v>275</v>
      </c>
    </row>
    <row r="112" spans="2:3" x14ac:dyDescent="0.25">
      <c r="B112" s="89" t="s">
        <v>290</v>
      </c>
      <c r="C112" s="89" t="s">
        <v>275</v>
      </c>
    </row>
    <row r="113" spans="2:3" x14ac:dyDescent="0.25">
      <c r="B113" s="89" t="s">
        <v>291</v>
      </c>
      <c r="C113" s="89" t="s">
        <v>275</v>
      </c>
    </row>
    <row r="114" spans="2:3" x14ac:dyDescent="0.25">
      <c r="B114" s="89" t="s">
        <v>292</v>
      </c>
      <c r="C114" s="89" t="s">
        <v>293</v>
      </c>
    </row>
    <row r="115" spans="2:3" x14ac:dyDescent="0.25">
      <c r="B115" s="89" t="s">
        <v>294</v>
      </c>
      <c r="C115" s="89" t="s">
        <v>293</v>
      </c>
    </row>
    <row r="116" spans="2:3" x14ac:dyDescent="0.25">
      <c r="B116" s="89" t="s">
        <v>295</v>
      </c>
      <c r="C116" s="89" t="s">
        <v>293</v>
      </c>
    </row>
    <row r="117" spans="2:3" x14ac:dyDescent="0.25">
      <c r="B117" s="89" t="s">
        <v>296</v>
      </c>
      <c r="C117" s="89" t="s">
        <v>293</v>
      </c>
    </row>
    <row r="118" spans="2:3" x14ac:dyDescent="0.25">
      <c r="B118" s="89" t="s">
        <v>297</v>
      </c>
      <c r="C118" s="89" t="s">
        <v>293</v>
      </c>
    </row>
    <row r="119" spans="2:3" x14ac:dyDescent="0.25">
      <c r="B119" s="89" t="s">
        <v>298</v>
      </c>
      <c r="C119" s="89" t="s">
        <v>293</v>
      </c>
    </row>
    <row r="120" spans="2:3" x14ac:dyDescent="0.25">
      <c r="B120" s="89" t="s">
        <v>299</v>
      </c>
      <c r="C120" s="89" t="s">
        <v>293</v>
      </c>
    </row>
    <row r="121" spans="2:3" x14ac:dyDescent="0.25">
      <c r="B121" s="89" t="s">
        <v>300</v>
      </c>
      <c r="C121" s="89" t="s">
        <v>293</v>
      </c>
    </row>
    <row r="122" spans="2:3" x14ac:dyDescent="0.25">
      <c r="B122" s="89" t="s">
        <v>301</v>
      </c>
      <c r="C122" s="89" t="s">
        <v>293</v>
      </c>
    </row>
    <row r="123" spans="2:3" x14ac:dyDescent="0.25">
      <c r="B123" s="89" t="s">
        <v>302</v>
      </c>
      <c r="C123" s="89" t="s">
        <v>293</v>
      </c>
    </row>
    <row r="124" spans="2:3" x14ac:dyDescent="0.25">
      <c r="B124" s="89" t="s">
        <v>303</v>
      </c>
      <c r="C124" s="89" t="s">
        <v>293</v>
      </c>
    </row>
    <row r="125" spans="2:3" x14ac:dyDescent="0.25">
      <c r="B125" s="89" t="s">
        <v>304</v>
      </c>
      <c r="C125" s="89" t="s">
        <v>293</v>
      </c>
    </row>
    <row r="126" spans="2:3" x14ac:dyDescent="0.25">
      <c r="B126" s="89" t="s">
        <v>305</v>
      </c>
      <c r="C126" s="89" t="s">
        <v>293</v>
      </c>
    </row>
    <row r="127" spans="2:3" x14ac:dyDescent="0.25">
      <c r="B127" s="89" t="s">
        <v>306</v>
      </c>
      <c r="C127" s="89" t="s">
        <v>293</v>
      </c>
    </row>
    <row r="128" spans="2:3" x14ac:dyDescent="0.25">
      <c r="B128" s="89" t="s">
        <v>307</v>
      </c>
      <c r="C128" s="89" t="s">
        <v>293</v>
      </c>
    </row>
    <row r="129" spans="2:3" x14ac:dyDescent="0.25">
      <c r="B129" s="89" t="s">
        <v>308</v>
      </c>
      <c r="C129" s="89" t="s">
        <v>293</v>
      </c>
    </row>
    <row r="130" spans="2:3" x14ac:dyDescent="0.25">
      <c r="B130" s="89" t="s">
        <v>309</v>
      </c>
      <c r="C130" s="89" t="s">
        <v>293</v>
      </c>
    </row>
    <row r="131" spans="2:3" x14ac:dyDescent="0.25">
      <c r="B131" s="89" t="s">
        <v>310</v>
      </c>
      <c r="C131" s="89" t="s">
        <v>293</v>
      </c>
    </row>
    <row r="132" spans="2:3" x14ac:dyDescent="0.25">
      <c r="B132" s="89" t="s">
        <v>311</v>
      </c>
      <c r="C132" s="89" t="s">
        <v>293</v>
      </c>
    </row>
    <row r="133" spans="2:3" x14ac:dyDescent="0.25">
      <c r="B133" s="89" t="s">
        <v>312</v>
      </c>
      <c r="C133" s="89" t="s">
        <v>293</v>
      </c>
    </row>
    <row r="134" spans="2:3" x14ac:dyDescent="0.25">
      <c r="B134" s="89" t="s">
        <v>313</v>
      </c>
      <c r="C134" s="89" t="s">
        <v>293</v>
      </c>
    </row>
    <row r="135" spans="2:3" x14ac:dyDescent="0.25">
      <c r="B135" s="89" t="s">
        <v>314</v>
      </c>
      <c r="C135" s="89" t="s">
        <v>293</v>
      </c>
    </row>
    <row r="136" spans="2:3" x14ac:dyDescent="0.25">
      <c r="B136" s="89" t="s">
        <v>315</v>
      </c>
      <c r="C136" s="89" t="s">
        <v>293</v>
      </c>
    </row>
    <row r="137" spans="2:3" x14ac:dyDescent="0.25">
      <c r="B137" s="89" t="s">
        <v>316</v>
      </c>
      <c r="C137" s="89" t="s">
        <v>293</v>
      </c>
    </row>
    <row r="138" spans="2:3" x14ac:dyDescent="0.25">
      <c r="B138" s="89" t="s">
        <v>317</v>
      </c>
      <c r="C138" s="89" t="s">
        <v>293</v>
      </c>
    </row>
    <row r="139" spans="2:3" x14ac:dyDescent="0.25">
      <c r="B139" s="89" t="s">
        <v>318</v>
      </c>
      <c r="C139" s="89" t="s">
        <v>293</v>
      </c>
    </row>
    <row r="140" spans="2:3" x14ac:dyDescent="0.25">
      <c r="B140" s="89" t="s">
        <v>319</v>
      </c>
      <c r="C140" s="89" t="s">
        <v>293</v>
      </c>
    </row>
    <row r="141" spans="2:3" x14ac:dyDescent="0.25">
      <c r="B141" s="89" t="s">
        <v>320</v>
      </c>
      <c r="C141" s="89" t="s">
        <v>293</v>
      </c>
    </row>
    <row r="142" spans="2:3" x14ac:dyDescent="0.25">
      <c r="B142" s="89" t="s">
        <v>322</v>
      </c>
      <c r="C142" s="89" t="s">
        <v>321</v>
      </c>
    </row>
    <row r="143" spans="2:3" x14ac:dyDescent="0.25">
      <c r="B143" s="89" t="s">
        <v>323</v>
      </c>
      <c r="C143" s="89" t="s">
        <v>321</v>
      </c>
    </row>
    <row r="144" spans="2:3" x14ac:dyDescent="0.25">
      <c r="B144" s="89" t="s">
        <v>324</v>
      </c>
      <c r="C144" s="89" t="s">
        <v>321</v>
      </c>
    </row>
    <row r="145" spans="2:3" x14ac:dyDescent="0.25">
      <c r="B145" s="89" t="s">
        <v>325</v>
      </c>
      <c r="C145" s="89" t="s">
        <v>321</v>
      </c>
    </row>
    <row r="146" spans="2:3" x14ac:dyDescent="0.25">
      <c r="B146" s="89" t="s">
        <v>326</v>
      </c>
      <c r="C146" s="89" t="s">
        <v>321</v>
      </c>
    </row>
    <row r="147" spans="2:3" x14ac:dyDescent="0.25">
      <c r="B147" s="89" t="s">
        <v>327</v>
      </c>
      <c r="C147" s="89" t="s">
        <v>321</v>
      </c>
    </row>
    <row r="148" spans="2:3" x14ac:dyDescent="0.25">
      <c r="B148" s="89" t="s">
        <v>328</v>
      </c>
      <c r="C148" s="89" t="s">
        <v>321</v>
      </c>
    </row>
    <row r="149" spans="2:3" x14ac:dyDescent="0.25">
      <c r="B149" s="89" t="s">
        <v>329</v>
      </c>
      <c r="C149" s="89" t="s">
        <v>321</v>
      </c>
    </row>
    <row r="150" spans="2:3" x14ac:dyDescent="0.25">
      <c r="B150" s="89" t="s">
        <v>330</v>
      </c>
      <c r="C150" s="89" t="s">
        <v>321</v>
      </c>
    </row>
    <row r="151" spans="2:3" x14ac:dyDescent="0.25">
      <c r="B151" s="89" t="s">
        <v>331</v>
      </c>
      <c r="C151" s="89" t="s">
        <v>321</v>
      </c>
    </row>
    <row r="152" spans="2:3" x14ac:dyDescent="0.25">
      <c r="B152" s="89" t="s">
        <v>332</v>
      </c>
      <c r="C152" s="89" t="s">
        <v>321</v>
      </c>
    </row>
    <row r="153" spans="2:3" x14ac:dyDescent="0.25">
      <c r="B153" s="89" t="s">
        <v>333</v>
      </c>
      <c r="C153" s="89" t="s">
        <v>321</v>
      </c>
    </row>
    <row r="154" spans="2:3" x14ac:dyDescent="0.25">
      <c r="B154" s="89" t="s">
        <v>334</v>
      </c>
      <c r="C154" s="89" t="s">
        <v>321</v>
      </c>
    </row>
    <row r="155" spans="2:3" x14ac:dyDescent="0.25">
      <c r="B155" s="89" t="s">
        <v>335</v>
      </c>
      <c r="C155" s="89" t="s">
        <v>321</v>
      </c>
    </row>
    <row r="156" spans="2:3" x14ac:dyDescent="0.25">
      <c r="B156" s="89" t="s">
        <v>336</v>
      </c>
      <c r="C156" s="89" t="s">
        <v>321</v>
      </c>
    </row>
    <row r="157" spans="2:3" x14ac:dyDescent="0.25">
      <c r="B157" s="89" t="s">
        <v>337</v>
      </c>
      <c r="C157" s="89" t="s">
        <v>321</v>
      </c>
    </row>
    <row r="158" spans="2:3" x14ac:dyDescent="0.25">
      <c r="B158" s="89" t="s">
        <v>338</v>
      </c>
      <c r="C158" s="89" t="s">
        <v>321</v>
      </c>
    </row>
    <row r="159" spans="2:3" x14ac:dyDescent="0.25">
      <c r="B159" s="89" t="s">
        <v>339</v>
      </c>
      <c r="C159" s="89" t="s">
        <v>321</v>
      </c>
    </row>
    <row r="160" spans="2:3" x14ac:dyDescent="0.25">
      <c r="B160" s="89" t="s">
        <v>340</v>
      </c>
      <c r="C160" s="89" t="s">
        <v>321</v>
      </c>
    </row>
    <row r="161" spans="2:3" x14ac:dyDescent="0.25">
      <c r="B161" s="89" t="s">
        <v>341</v>
      </c>
      <c r="C161" s="89" t="s">
        <v>321</v>
      </c>
    </row>
    <row r="162" spans="2:3" x14ac:dyDescent="0.25">
      <c r="B162" s="89" t="s">
        <v>342</v>
      </c>
      <c r="C162" s="89" t="s">
        <v>321</v>
      </c>
    </row>
    <row r="163" spans="2:3" x14ac:dyDescent="0.25">
      <c r="B163" s="89" t="s">
        <v>343</v>
      </c>
      <c r="C163" s="89" t="s">
        <v>321</v>
      </c>
    </row>
    <row r="164" spans="2:3" x14ac:dyDescent="0.25">
      <c r="B164" s="89" t="s">
        <v>344</v>
      </c>
      <c r="C164" s="89" t="s">
        <v>321</v>
      </c>
    </row>
    <row r="165" spans="2:3" x14ac:dyDescent="0.25">
      <c r="B165" s="89" t="s">
        <v>345</v>
      </c>
      <c r="C165" s="89" t="s">
        <v>321</v>
      </c>
    </row>
    <row r="166" spans="2:3" x14ac:dyDescent="0.25">
      <c r="B166" s="89" t="s">
        <v>346</v>
      </c>
      <c r="C166" s="89" t="s">
        <v>321</v>
      </c>
    </row>
    <row r="167" spans="2:3" x14ac:dyDescent="0.25">
      <c r="B167" s="89" t="s">
        <v>347</v>
      </c>
      <c r="C167" s="89" t="s">
        <v>321</v>
      </c>
    </row>
    <row r="168" spans="2:3" x14ac:dyDescent="0.25">
      <c r="B168" s="89" t="s">
        <v>348</v>
      </c>
      <c r="C168" s="89" t="s">
        <v>321</v>
      </c>
    </row>
    <row r="169" spans="2:3" x14ac:dyDescent="0.25">
      <c r="B169" s="89" t="s">
        <v>349</v>
      </c>
      <c r="C169" s="89" t="s">
        <v>321</v>
      </c>
    </row>
    <row r="170" spans="2:3" x14ac:dyDescent="0.25">
      <c r="B170" s="89" t="s">
        <v>350</v>
      </c>
      <c r="C170" s="89" t="s">
        <v>321</v>
      </c>
    </row>
    <row r="171" spans="2:3" x14ac:dyDescent="0.25">
      <c r="B171" s="89" t="s">
        <v>351</v>
      </c>
      <c r="C171" s="89" t="s">
        <v>321</v>
      </c>
    </row>
    <row r="172" spans="2:3" x14ac:dyDescent="0.25">
      <c r="B172" s="89" t="s">
        <v>352</v>
      </c>
      <c r="C172" s="89" t="s">
        <v>321</v>
      </c>
    </row>
    <row r="173" spans="2:3" x14ac:dyDescent="0.25">
      <c r="B173" s="89" t="s">
        <v>353</v>
      </c>
      <c r="C173" s="89" t="s">
        <v>321</v>
      </c>
    </row>
    <row r="174" spans="2:3" x14ac:dyDescent="0.25">
      <c r="B174" s="89" t="s">
        <v>354</v>
      </c>
      <c r="C174" s="89" t="s">
        <v>321</v>
      </c>
    </row>
    <row r="175" spans="2:3" x14ac:dyDescent="0.25">
      <c r="B175" s="89" t="s">
        <v>355</v>
      </c>
      <c r="C175" s="89" t="s">
        <v>321</v>
      </c>
    </row>
    <row r="176" spans="2:3" x14ac:dyDescent="0.25">
      <c r="B176" s="89" t="s">
        <v>356</v>
      </c>
      <c r="C176" s="89" t="s">
        <v>321</v>
      </c>
    </row>
    <row r="177" spans="2:3" x14ac:dyDescent="0.25">
      <c r="B177" s="89" t="s">
        <v>357</v>
      </c>
      <c r="C177" s="89" t="s">
        <v>321</v>
      </c>
    </row>
    <row r="178" spans="2:3" x14ac:dyDescent="0.25">
      <c r="B178" s="89" t="s">
        <v>358</v>
      </c>
      <c r="C178" s="89" t="s">
        <v>321</v>
      </c>
    </row>
    <row r="179" spans="2:3" x14ac:dyDescent="0.25">
      <c r="B179" s="89" t="s">
        <v>359</v>
      </c>
      <c r="C179" s="89" t="s">
        <v>321</v>
      </c>
    </row>
    <row r="180" spans="2:3" x14ac:dyDescent="0.25">
      <c r="B180" s="89" t="s">
        <v>360</v>
      </c>
      <c r="C180" s="89" t="s">
        <v>321</v>
      </c>
    </row>
    <row r="181" spans="2:3" x14ac:dyDescent="0.25">
      <c r="B181" s="89" t="s">
        <v>361</v>
      </c>
      <c r="C181" s="89" t="s">
        <v>321</v>
      </c>
    </row>
    <row r="182" spans="2:3" x14ac:dyDescent="0.25">
      <c r="B182" s="89" t="s">
        <v>362</v>
      </c>
      <c r="C182" s="89" t="s">
        <v>321</v>
      </c>
    </row>
    <row r="183" spans="2:3" x14ac:dyDescent="0.25">
      <c r="B183" s="89" t="s">
        <v>363</v>
      </c>
      <c r="C183" s="89" t="s">
        <v>321</v>
      </c>
    </row>
    <row r="184" spans="2:3" x14ac:dyDescent="0.25">
      <c r="B184" s="89" t="s">
        <v>364</v>
      </c>
      <c r="C184" s="89" t="s">
        <v>321</v>
      </c>
    </row>
    <row r="185" spans="2:3" x14ac:dyDescent="0.25">
      <c r="B185" s="89" t="s">
        <v>365</v>
      </c>
      <c r="C185" s="89" t="s">
        <v>321</v>
      </c>
    </row>
    <row r="186" spans="2:3" x14ac:dyDescent="0.25">
      <c r="B186" s="89" t="s">
        <v>366</v>
      </c>
      <c r="C186" s="89" t="s">
        <v>321</v>
      </c>
    </row>
    <row r="187" spans="2:3" x14ac:dyDescent="0.25">
      <c r="B187" s="89" t="s">
        <v>367</v>
      </c>
      <c r="C187" s="89" t="s">
        <v>321</v>
      </c>
    </row>
    <row r="188" spans="2:3" x14ac:dyDescent="0.25">
      <c r="B188" s="89" t="s">
        <v>368</v>
      </c>
      <c r="C188" s="89" t="s">
        <v>321</v>
      </c>
    </row>
    <row r="189" spans="2:3" ht="45" x14ac:dyDescent="0.25">
      <c r="B189" s="90" t="s">
        <v>369</v>
      </c>
      <c r="C189" s="89" t="s">
        <v>321</v>
      </c>
    </row>
    <row r="190" spans="2:3" x14ac:dyDescent="0.25">
      <c r="B190" s="89" t="s">
        <v>370</v>
      </c>
      <c r="C190" s="89" t="s">
        <v>321</v>
      </c>
    </row>
    <row r="191" spans="2:3" x14ac:dyDescent="0.25">
      <c r="B191" s="89" t="s">
        <v>371</v>
      </c>
      <c r="C191" s="89" t="s">
        <v>321</v>
      </c>
    </row>
    <row r="192" spans="2:3" x14ac:dyDescent="0.25">
      <c r="B192" s="89" t="s">
        <v>372</v>
      </c>
      <c r="C192" s="89" t="s">
        <v>321</v>
      </c>
    </row>
    <row r="193" spans="2:3" x14ac:dyDescent="0.25">
      <c r="B193" s="89" t="s">
        <v>373</v>
      </c>
      <c r="C193" s="89" t="s">
        <v>321</v>
      </c>
    </row>
    <row r="194" spans="2:3" x14ac:dyDescent="0.25">
      <c r="B194" s="89" t="s">
        <v>374</v>
      </c>
      <c r="C194" s="89" t="s">
        <v>321</v>
      </c>
    </row>
    <row r="195" spans="2:3" x14ac:dyDescent="0.25">
      <c r="B195" s="89" t="s">
        <v>375</v>
      </c>
      <c r="C195" s="89" t="s">
        <v>321</v>
      </c>
    </row>
    <row r="196" spans="2:3" x14ac:dyDescent="0.25">
      <c r="B196" s="89" t="s">
        <v>376</v>
      </c>
      <c r="C196" s="89" t="s">
        <v>321</v>
      </c>
    </row>
    <row r="197" spans="2:3" x14ac:dyDescent="0.25">
      <c r="B197" s="89" t="s">
        <v>377</v>
      </c>
      <c r="C197" s="89" t="s">
        <v>321</v>
      </c>
    </row>
    <row r="198" spans="2:3" x14ac:dyDescent="0.25">
      <c r="B198" s="89" t="s">
        <v>378</v>
      </c>
      <c r="C198" s="89" t="s">
        <v>321</v>
      </c>
    </row>
    <row r="199" spans="2:3" x14ac:dyDescent="0.25">
      <c r="B199" s="89" t="s">
        <v>379</v>
      </c>
      <c r="C199" s="89" t="s">
        <v>321</v>
      </c>
    </row>
    <row r="200" spans="2:3" x14ac:dyDescent="0.25">
      <c r="B200" s="89" t="s">
        <v>380</v>
      </c>
      <c r="C200" s="89" t="s">
        <v>321</v>
      </c>
    </row>
    <row r="201" spans="2:3" x14ac:dyDescent="0.25">
      <c r="B201" s="89" t="s">
        <v>381</v>
      </c>
      <c r="C201" s="89" t="s">
        <v>321</v>
      </c>
    </row>
    <row r="202" spans="2:3" x14ac:dyDescent="0.25">
      <c r="B202" s="89" t="s">
        <v>382</v>
      </c>
      <c r="C202" s="89" t="s">
        <v>321</v>
      </c>
    </row>
    <row r="203" spans="2:3" x14ac:dyDescent="0.25">
      <c r="B203" s="89" t="s">
        <v>383</v>
      </c>
      <c r="C203" s="89" t="s">
        <v>321</v>
      </c>
    </row>
    <row r="204" spans="2:3" x14ac:dyDescent="0.25">
      <c r="B204" s="89" t="s">
        <v>384</v>
      </c>
      <c r="C204" s="89" t="s">
        <v>321</v>
      </c>
    </row>
    <row r="205" spans="2:3" x14ac:dyDescent="0.25">
      <c r="B205" s="89" t="s">
        <v>385</v>
      </c>
      <c r="C205" s="89" t="s">
        <v>321</v>
      </c>
    </row>
    <row r="206" spans="2:3" x14ac:dyDescent="0.25">
      <c r="B206" s="89" t="s">
        <v>386</v>
      </c>
      <c r="C206" s="89" t="s">
        <v>321</v>
      </c>
    </row>
    <row r="207" spans="2:3" x14ac:dyDescent="0.25">
      <c r="B207" s="89" t="s">
        <v>387</v>
      </c>
      <c r="C207" s="89" t="s">
        <v>321</v>
      </c>
    </row>
    <row r="208" spans="2:3" x14ac:dyDescent="0.25">
      <c r="B208" s="89" t="s">
        <v>388</v>
      </c>
      <c r="C208" s="89" t="s">
        <v>321</v>
      </c>
    </row>
    <row r="209" spans="2:3" x14ac:dyDescent="0.25">
      <c r="B209" s="89" t="s">
        <v>389</v>
      </c>
      <c r="C209" s="89" t="s">
        <v>321</v>
      </c>
    </row>
    <row r="210" spans="2:3" x14ac:dyDescent="0.25">
      <c r="B210" s="89" t="s">
        <v>390</v>
      </c>
      <c r="C210" s="89" t="s">
        <v>321</v>
      </c>
    </row>
    <row r="211" spans="2:3" x14ac:dyDescent="0.25">
      <c r="B211" s="89" t="s">
        <v>391</v>
      </c>
      <c r="C211" s="89" t="s">
        <v>321</v>
      </c>
    </row>
    <row r="212" spans="2:3" x14ac:dyDescent="0.25">
      <c r="B212" s="89" t="s">
        <v>392</v>
      </c>
      <c r="C212" s="89" t="s">
        <v>321</v>
      </c>
    </row>
    <row r="213" spans="2:3" x14ac:dyDescent="0.25">
      <c r="B213" s="89" t="s">
        <v>393</v>
      </c>
      <c r="C213" s="89" t="s">
        <v>321</v>
      </c>
    </row>
    <row r="214" spans="2:3" x14ac:dyDescent="0.25">
      <c r="B214" s="89" t="s">
        <v>394</v>
      </c>
      <c r="C214" s="89" t="s">
        <v>321</v>
      </c>
    </row>
    <row r="215" spans="2:3" x14ac:dyDescent="0.25">
      <c r="B215" s="89" t="s">
        <v>395</v>
      </c>
      <c r="C215" s="89" t="s">
        <v>321</v>
      </c>
    </row>
    <row r="216" spans="2:3" x14ac:dyDescent="0.25">
      <c r="B216" s="89" t="s">
        <v>396</v>
      </c>
      <c r="C216" s="89" t="s">
        <v>321</v>
      </c>
    </row>
    <row r="217" spans="2:3" x14ac:dyDescent="0.25">
      <c r="B217" s="89" t="s">
        <v>397</v>
      </c>
      <c r="C217" s="89" t="s">
        <v>321</v>
      </c>
    </row>
    <row r="218" spans="2:3" x14ac:dyDescent="0.25">
      <c r="B218" s="89" t="s">
        <v>398</v>
      </c>
      <c r="C218" s="89" t="s">
        <v>321</v>
      </c>
    </row>
    <row r="219" spans="2:3" x14ac:dyDescent="0.25">
      <c r="B219" s="89" t="s">
        <v>399</v>
      </c>
      <c r="C219" s="89" t="s">
        <v>321</v>
      </c>
    </row>
    <row r="220" spans="2:3" x14ac:dyDescent="0.25">
      <c r="B220" s="89" t="s">
        <v>400</v>
      </c>
      <c r="C220" s="89" t="s">
        <v>321</v>
      </c>
    </row>
    <row r="221" spans="2:3" x14ac:dyDescent="0.25">
      <c r="B221" s="89" t="s">
        <v>401</v>
      </c>
      <c r="C221" s="89" t="s">
        <v>321</v>
      </c>
    </row>
    <row r="222" spans="2:3" x14ac:dyDescent="0.25">
      <c r="B222" s="89" t="s">
        <v>402</v>
      </c>
      <c r="C222" s="89" t="s">
        <v>321</v>
      </c>
    </row>
    <row r="223" spans="2:3" x14ac:dyDescent="0.25">
      <c r="B223" s="89" t="s">
        <v>403</v>
      </c>
      <c r="C223" s="89" t="s">
        <v>321</v>
      </c>
    </row>
    <row r="224" spans="2:3" x14ac:dyDescent="0.25">
      <c r="B224" s="89" t="s">
        <v>404</v>
      </c>
      <c r="C224" s="89" t="s">
        <v>321</v>
      </c>
    </row>
    <row r="225" spans="2:3" x14ac:dyDescent="0.25">
      <c r="B225" s="89" t="s">
        <v>405</v>
      </c>
      <c r="C225" s="89" t="s">
        <v>321</v>
      </c>
    </row>
    <row r="226" spans="2:3" x14ac:dyDescent="0.25">
      <c r="B226" s="89" t="s">
        <v>406</v>
      </c>
      <c r="C226" s="89" t="s">
        <v>321</v>
      </c>
    </row>
    <row r="227" spans="2:3" x14ac:dyDescent="0.25">
      <c r="B227" s="89" t="s">
        <v>407</v>
      </c>
      <c r="C227" s="89" t="s">
        <v>321</v>
      </c>
    </row>
    <row r="228" spans="2:3" x14ac:dyDescent="0.25">
      <c r="B228" s="89" t="s">
        <v>408</v>
      </c>
      <c r="C228" s="89" t="s">
        <v>321</v>
      </c>
    </row>
    <row r="229" spans="2:3" x14ac:dyDescent="0.25">
      <c r="B229" s="89" t="s">
        <v>409</v>
      </c>
      <c r="C229" s="89" t="s">
        <v>321</v>
      </c>
    </row>
    <row r="230" spans="2:3" x14ac:dyDescent="0.25">
      <c r="B230" s="89" t="s">
        <v>410</v>
      </c>
      <c r="C230" s="89" t="s">
        <v>321</v>
      </c>
    </row>
    <row r="231" spans="2:3" x14ac:dyDescent="0.25">
      <c r="B231" s="89" t="s">
        <v>411</v>
      </c>
      <c r="C231" s="89" t="s">
        <v>321</v>
      </c>
    </row>
    <row r="232" spans="2:3" x14ac:dyDescent="0.25">
      <c r="B232" s="89" t="s">
        <v>412</v>
      </c>
      <c r="C232" s="89" t="s">
        <v>321</v>
      </c>
    </row>
    <row r="233" spans="2:3" x14ac:dyDescent="0.25">
      <c r="B233" s="89" t="s">
        <v>413</v>
      </c>
      <c r="C233" s="89" t="s">
        <v>321</v>
      </c>
    </row>
    <row r="234" spans="2:3" x14ac:dyDescent="0.25">
      <c r="B234" s="89" t="s">
        <v>414</v>
      </c>
      <c r="C234" s="89" t="s">
        <v>415</v>
      </c>
    </row>
    <row r="235" spans="2:3" x14ac:dyDescent="0.25">
      <c r="B235" s="89" t="s">
        <v>416</v>
      </c>
      <c r="C235" s="89" t="s">
        <v>415</v>
      </c>
    </row>
    <row r="236" spans="2:3" x14ac:dyDescent="0.25">
      <c r="B236" s="89" t="s">
        <v>417</v>
      </c>
      <c r="C236" s="89" t="s">
        <v>415</v>
      </c>
    </row>
    <row r="237" spans="2:3" x14ac:dyDescent="0.25">
      <c r="B237" s="89" t="s">
        <v>418</v>
      </c>
      <c r="C237" s="89" t="s">
        <v>415</v>
      </c>
    </row>
    <row r="238" spans="2:3" x14ac:dyDescent="0.25">
      <c r="B238" s="89" t="s">
        <v>419</v>
      </c>
      <c r="C238" s="89" t="s">
        <v>415</v>
      </c>
    </row>
    <row r="239" spans="2:3" x14ac:dyDescent="0.25">
      <c r="B239" s="89" t="s">
        <v>420</v>
      </c>
      <c r="C239" s="89" t="s">
        <v>415</v>
      </c>
    </row>
    <row r="240" spans="2:3" x14ac:dyDescent="0.25">
      <c r="B240" s="89" t="s">
        <v>421</v>
      </c>
      <c r="C240" s="89" t="s">
        <v>415</v>
      </c>
    </row>
    <row r="241" spans="2:3" x14ac:dyDescent="0.25">
      <c r="B241" s="89" t="s">
        <v>422</v>
      </c>
      <c r="C241" s="89" t="s">
        <v>415</v>
      </c>
    </row>
    <row r="242" spans="2:3" x14ac:dyDescent="0.25">
      <c r="B242" s="89" t="s">
        <v>423</v>
      </c>
      <c r="C242" s="89" t="s">
        <v>415</v>
      </c>
    </row>
    <row r="243" spans="2:3" x14ac:dyDescent="0.25">
      <c r="B243" s="89" t="s">
        <v>424</v>
      </c>
      <c r="C243" s="89" t="s">
        <v>415</v>
      </c>
    </row>
    <row r="244" spans="2:3" x14ac:dyDescent="0.25">
      <c r="B244" s="89" t="s">
        <v>425</v>
      </c>
      <c r="C244" s="89" t="s">
        <v>415</v>
      </c>
    </row>
    <row r="245" spans="2:3" x14ac:dyDescent="0.25">
      <c r="B245" s="89" t="s">
        <v>426</v>
      </c>
      <c r="C245" s="89" t="s">
        <v>415</v>
      </c>
    </row>
    <row r="246" spans="2:3" x14ac:dyDescent="0.25">
      <c r="B246" s="89" t="s">
        <v>428</v>
      </c>
      <c r="C246" s="89" t="s">
        <v>415</v>
      </c>
    </row>
    <row r="247" spans="2:3" x14ac:dyDescent="0.25">
      <c r="B247" s="89" t="s">
        <v>429</v>
      </c>
      <c r="C247" s="89" t="s">
        <v>415</v>
      </c>
    </row>
    <row r="248" spans="2:3" x14ac:dyDescent="0.25">
      <c r="B248" s="89" t="s">
        <v>430</v>
      </c>
      <c r="C248" s="89" t="s">
        <v>415</v>
      </c>
    </row>
  </sheetData>
  <pageMargins left="0.7" right="0.7" top="0.75" bottom="0.75" header="0.3" footer="0.3"/>
  <pageSetup paperSize="9" orientation="portrait" r:id="rId1"/>
  <customProperties>
    <customPr name="GUID" r:id="rId2"/>
  </customProperties>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dimension ref="B1:L25"/>
  <sheetViews>
    <sheetView workbookViewId="0"/>
  </sheetViews>
  <sheetFormatPr defaultRowHeight="15" x14ac:dyDescent="0.25"/>
  <cols>
    <col min="2" max="2" width="29.7109375" bestFit="1" customWidth="1"/>
    <col min="3" max="3" width="24" bestFit="1" customWidth="1"/>
    <col min="4" max="4" width="36.85546875" bestFit="1" customWidth="1"/>
    <col min="5" max="5" width="44.85546875" style="2" customWidth="1"/>
    <col min="6" max="6" width="15.42578125" style="2" customWidth="1"/>
  </cols>
  <sheetData>
    <row r="1" spans="2:12" ht="15.75" thickBot="1" x14ac:dyDescent="0.3"/>
    <row r="2" spans="2:12" x14ac:dyDescent="0.25">
      <c r="B2" s="708" t="s">
        <v>29</v>
      </c>
      <c r="C2" s="709"/>
      <c r="D2" s="712" t="s">
        <v>92</v>
      </c>
      <c r="E2" s="714" t="s">
        <v>27</v>
      </c>
      <c r="F2" s="717"/>
    </row>
    <row r="3" spans="2:12" x14ac:dyDescent="0.25">
      <c r="B3" s="710"/>
      <c r="C3" s="711"/>
      <c r="D3" s="713"/>
      <c r="E3" s="715"/>
      <c r="F3" s="718"/>
    </row>
    <row r="4" spans="2:12" ht="15.75" x14ac:dyDescent="0.25">
      <c r="B4" s="720" t="s">
        <v>46</v>
      </c>
      <c r="C4" s="721"/>
      <c r="D4" s="98" t="s">
        <v>93</v>
      </c>
      <c r="E4" s="715"/>
      <c r="F4" s="718"/>
    </row>
    <row r="5" spans="2:12" ht="16.5" thickBot="1" x14ac:dyDescent="0.3">
      <c r="B5" s="722" t="s">
        <v>90</v>
      </c>
      <c r="C5" s="723"/>
      <c r="D5" s="99" t="s">
        <v>89</v>
      </c>
      <c r="E5" s="716"/>
      <c r="F5" s="719"/>
    </row>
    <row r="6" spans="2:12" ht="16.5" thickBot="1" x14ac:dyDescent="0.3">
      <c r="B6" s="183"/>
      <c r="C6" s="184"/>
      <c r="D6" s="185"/>
      <c r="E6" s="186"/>
      <c r="F6" s="187"/>
    </row>
    <row r="7" spans="2:12" ht="7.5" customHeight="1" x14ac:dyDescent="0.25">
      <c r="B7" s="179"/>
      <c r="C7" s="180"/>
      <c r="D7" s="180"/>
      <c r="E7" s="197"/>
      <c r="F7" s="198"/>
    </row>
    <row r="8" spans="2:12" s="178" customFormat="1" ht="33.75" customHeight="1" x14ac:dyDescent="0.2">
      <c r="B8" s="705" t="s">
        <v>1802</v>
      </c>
      <c r="C8" s="706"/>
      <c r="D8" s="707"/>
      <c r="E8" s="701" t="s">
        <v>1832</v>
      </c>
      <c r="F8" s="702"/>
    </row>
    <row r="9" spans="2:12" s="178" customFormat="1" ht="33.75" customHeight="1" x14ac:dyDescent="0.2">
      <c r="B9" s="688" t="s">
        <v>1801</v>
      </c>
      <c r="C9" s="689"/>
      <c r="D9" s="690"/>
      <c r="E9" s="699"/>
      <c r="F9" s="700"/>
    </row>
    <row r="10" spans="2:12" s="178" customFormat="1" ht="33.75" customHeight="1" x14ac:dyDescent="0.2">
      <c r="B10" s="691" t="s">
        <v>1806</v>
      </c>
      <c r="C10" s="692"/>
      <c r="D10" s="693"/>
      <c r="E10" s="703" t="s">
        <v>1800</v>
      </c>
      <c r="F10" s="704"/>
      <c r="K10" s="196"/>
    </row>
    <row r="11" spans="2:12" s="178" customFormat="1" ht="33.75" customHeight="1" x14ac:dyDescent="0.2">
      <c r="B11" s="688" t="s">
        <v>1803</v>
      </c>
      <c r="C11" s="689"/>
      <c r="D11" s="690"/>
      <c r="E11" s="703" t="s">
        <v>1807</v>
      </c>
      <c r="F11" s="704"/>
      <c r="K11" s="196"/>
    </row>
    <row r="12" spans="2:12" s="178" customFormat="1" ht="33.75" customHeight="1" x14ac:dyDescent="0.2">
      <c r="B12" s="688" t="s">
        <v>1804</v>
      </c>
      <c r="C12" s="694"/>
      <c r="D12" s="695"/>
      <c r="E12" s="684" t="s">
        <v>1834</v>
      </c>
      <c r="F12" s="685"/>
      <c r="G12" s="230">
        <f>61098*1000</f>
        <v>61098000</v>
      </c>
      <c r="H12" s="230">
        <v>3598</v>
      </c>
      <c r="I12" s="230">
        <v>8133</v>
      </c>
      <c r="J12" s="230">
        <v>3243</v>
      </c>
      <c r="L12" s="196"/>
    </row>
    <row r="13" spans="2:12" s="178" customFormat="1" ht="33.75" customHeight="1" x14ac:dyDescent="0.2">
      <c r="B13" s="688" t="s">
        <v>1805</v>
      </c>
      <c r="C13" s="689"/>
      <c r="D13" s="690"/>
      <c r="E13" s="699" t="s">
        <v>1831</v>
      </c>
      <c r="F13" s="700"/>
      <c r="G13" s="230">
        <f>37006*1000</f>
        <v>37006000</v>
      </c>
      <c r="H13" s="230">
        <v>2170</v>
      </c>
      <c r="I13" s="230">
        <v>1200</v>
      </c>
      <c r="J13" s="230">
        <v>857</v>
      </c>
      <c r="L13" s="196"/>
    </row>
    <row r="14" spans="2:12" s="178" customFormat="1" ht="33.75" customHeight="1" x14ac:dyDescent="0.2">
      <c r="B14" s="691" t="s">
        <v>1808</v>
      </c>
      <c r="C14" s="692"/>
      <c r="D14" s="693"/>
      <c r="E14" s="684" t="s">
        <v>1833</v>
      </c>
      <c r="F14" s="685"/>
      <c r="G14" s="230">
        <f>G12/G13</f>
        <v>1.6510295627736042</v>
      </c>
      <c r="H14" s="230">
        <f>H12/H13</f>
        <v>1.6580645161290322</v>
      </c>
      <c r="I14" s="230">
        <f>I12/I13</f>
        <v>6.7774999999999999</v>
      </c>
      <c r="J14" s="230">
        <f>J12/J13</f>
        <v>3.7841306884480748</v>
      </c>
    </row>
    <row r="15" spans="2:12" s="178" customFormat="1" ht="33.75" customHeight="1" x14ac:dyDescent="0.2">
      <c r="B15" s="691" t="s">
        <v>1809</v>
      </c>
      <c r="C15" s="694"/>
      <c r="D15" s="695"/>
      <c r="E15" s="684"/>
      <c r="F15" s="685"/>
    </row>
    <row r="16" spans="2:12" s="178" customFormat="1" ht="33.75" customHeight="1" x14ac:dyDescent="0.2">
      <c r="B16" s="696" t="s">
        <v>1810</v>
      </c>
      <c r="C16" s="697"/>
      <c r="D16" s="698"/>
      <c r="E16" s="686"/>
      <c r="F16" s="687"/>
    </row>
    <row r="17" spans="2:8" ht="7.5" customHeight="1" thickBot="1" x14ac:dyDescent="0.3">
      <c r="B17" s="181"/>
      <c r="C17" s="182"/>
      <c r="D17" s="182"/>
      <c r="E17" s="199"/>
      <c r="F17" s="200"/>
    </row>
    <row r="22" spans="2:8" x14ac:dyDescent="0.25">
      <c r="H22" s="195"/>
    </row>
    <row r="23" spans="2:8" x14ac:dyDescent="0.25">
      <c r="H23" s="195"/>
    </row>
    <row r="24" spans="2:8" x14ac:dyDescent="0.25">
      <c r="H24" s="195"/>
    </row>
    <row r="25" spans="2:8" x14ac:dyDescent="0.25">
      <c r="H25" s="195"/>
    </row>
  </sheetData>
  <mergeCells count="24">
    <mergeCell ref="B2:C3"/>
    <mergeCell ref="D2:D3"/>
    <mergeCell ref="E2:E5"/>
    <mergeCell ref="F2:F5"/>
    <mergeCell ref="B4:C4"/>
    <mergeCell ref="B5:C5"/>
    <mergeCell ref="B8:D8"/>
    <mergeCell ref="B9:D9"/>
    <mergeCell ref="B10:D10"/>
    <mergeCell ref="B11:D11"/>
    <mergeCell ref="B12:D12"/>
    <mergeCell ref="E9:F9"/>
    <mergeCell ref="E8:F8"/>
    <mergeCell ref="E11:F11"/>
    <mergeCell ref="E12:F12"/>
    <mergeCell ref="E13:F13"/>
    <mergeCell ref="E10:F10"/>
    <mergeCell ref="E15:F15"/>
    <mergeCell ref="E16:F16"/>
    <mergeCell ref="B13:D13"/>
    <mergeCell ref="B14:D14"/>
    <mergeCell ref="B15:D15"/>
    <mergeCell ref="B16:D16"/>
    <mergeCell ref="E14:F14"/>
  </mergeCells>
  <hyperlinks>
    <hyperlink ref="E10:F10" location="A1.1.1!A1" display="Folhas A1.1.1 e A1.1.2"/>
    <hyperlink ref="E11:F11" location="A3.3!A1" display="Folha A3.3"/>
  </hyperlinks>
  <pageMargins left="0.7" right="0.7" top="0.75" bottom="0.75" header="0.3" footer="0.3"/>
  <pageSetup paperSize="9" orientation="portrait" r:id="rId1"/>
  <customProperties>
    <customPr name="GUID" r:id="rId2"/>
  </customPropertie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3"/>
  <dimension ref="B6:V45"/>
  <sheetViews>
    <sheetView workbookViewId="0"/>
  </sheetViews>
  <sheetFormatPr defaultRowHeight="15" x14ac:dyDescent="0.25"/>
  <cols>
    <col min="2" max="2" width="58.5703125" bestFit="1" customWidth="1"/>
    <col min="3" max="3" width="18" customWidth="1"/>
    <col min="4" max="5" width="21.28515625" customWidth="1"/>
    <col min="6" max="6" width="67.7109375" customWidth="1"/>
  </cols>
  <sheetData>
    <row r="6" spans="2:20" ht="15.75" thickBot="1" x14ac:dyDescent="0.3"/>
    <row r="7" spans="2:20" x14ac:dyDescent="0.25">
      <c r="B7" s="78" t="s">
        <v>118</v>
      </c>
      <c r="C7" s="79"/>
    </row>
    <row r="9" spans="2:20" x14ac:dyDescent="0.25">
      <c r="B9" s="765" t="str">
        <f>"Grupo Barraqueiro: "&amp;'Folha de Rosto'!C6&amp;" "&amp;'Folha de Rosto'!I6&amp;" - Emissões de GEE de Âmbito 2"</f>
        <v>Grupo Barraqueiro: PEGADA DE CARBONO 2022 - Emissões de GEE de Âmbito 2</v>
      </c>
      <c r="C9" s="765"/>
      <c r="D9" s="765"/>
      <c r="E9" s="765"/>
      <c r="F9" s="765"/>
      <c r="G9" s="765"/>
      <c r="H9" s="765"/>
      <c r="I9" s="765"/>
      <c r="J9" s="765"/>
      <c r="K9" s="765"/>
      <c r="L9" s="765"/>
      <c r="M9" s="765"/>
      <c r="N9" s="765"/>
      <c r="O9" s="765"/>
      <c r="P9" s="765"/>
      <c r="Q9" s="765"/>
      <c r="R9" s="765"/>
      <c r="S9" s="765"/>
      <c r="T9" s="765"/>
    </row>
    <row r="10" spans="2:20" ht="15.75" thickBot="1" x14ac:dyDescent="0.3"/>
    <row r="11" spans="2:20" ht="33.6" customHeight="1" thickBot="1" x14ac:dyDescent="0.3">
      <c r="B11" s="761" t="s">
        <v>119</v>
      </c>
      <c r="C11" s="761"/>
      <c r="D11" s="767" t="s">
        <v>125</v>
      </c>
      <c r="E11" s="767"/>
      <c r="F11" s="768"/>
      <c r="G11" s="768"/>
      <c r="H11" s="768"/>
      <c r="I11" s="768"/>
      <c r="J11" s="768"/>
      <c r="K11" s="768"/>
      <c r="L11" s="768"/>
      <c r="M11" s="768"/>
      <c r="N11" s="768"/>
      <c r="O11" s="769"/>
    </row>
    <row r="12" spans="2:20" ht="60.95" customHeight="1" thickBot="1" x14ac:dyDescent="0.3">
      <c r="B12" s="761" t="s">
        <v>120</v>
      </c>
      <c r="C12" s="761"/>
      <c r="D12" s="770" t="s">
        <v>124</v>
      </c>
      <c r="E12" s="770"/>
      <c r="F12" s="771"/>
      <c r="G12" s="771"/>
      <c r="H12" s="771"/>
      <c r="I12" s="771"/>
      <c r="J12" s="771"/>
      <c r="K12" s="771"/>
      <c r="L12" s="771"/>
      <c r="M12" s="771"/>
      <c r="N12" s="771"/>
      <c r="O12" s="772"/>
    </row>
    <row r="13" spans="2:20" ht="60.95" customHeight="1" thickBot="1" x14ac:dyDescent="0.3">
      <c r="B13" s="761" t="s">
        <v>121</v>
      </c>
      <c r="C13" s="761"/>
      <c r="D13" s="762" t="s">
        <v>1529</v>
      </c>
      <c r="E13" s="762"/>
      <c r="F13" s="763"/>
      <c r="G13" s="763"/>
      <c r="H13" s="763"/>
      <c r="I13" s="763"/>
      <c r="J13" s="763"/>
      <c r="K13" s="763"/>
      <c r="L13" s="763"/>
      <c r="M13" s="763"/>
      <c r="N13" s="763"/>
      <c r="O13" s="764"/>
    </row>
    <row r="14" spans="2:20" ht="60.95" customHeight="1" thickBot="1" x14ac:dyDescent="0.3">
      <c r="B14" s="761" t="s">
        <v>122</v>
      </c>
      <c r="C14" s="761"/>
      <c r="D14" s="762" t="s">
        <v>123</v>
      </c>
      <c r="E14" s="762"/>
      <c r="F14" s="763"/>
      <c r="G14" s="763"/>
      <c r="H14" s="763"/>
      <c r="I14" s="763"/>
      <c r="J14" s="763"/>
      <c r="K14" s="763"/>
      <c r="L14" s="763"/>
      <c r="M14" s="763"/>
      <c r="N14" s="763"/>
      <c r="O14" s="764"/>
    </row>
    <row r="15" spans="2:20" ht="60" customHeight="1" thickBot="1" x14ac:dyDescent="0.3">
      <c r="B15" s="761" t="s">
        <v>128</v>
      </c>
      <c r="C15" s="761"/>
      <c r="D15" s="798" t="s">
        <v>129</v>
      </c>
      <c r="E15" s="799"/>
      <c r="F15" s="799"/>
      <c r="G15" s="799"/>
      <c r="H15" s="799"/>
      <c r="I15" s="799"/>
      <c r="J15" s="799"/>
      <c r="K15" s="799"/>
      <c r="L15" s="799"/>
      <c r="M15" s="799"/>
      <c r="N15" s="799"/>
      <c r="O15" s="762"/>
    </row>
    <row r="17" spans="2:22" x14ac:dyDescent="0.25">
      <c r="B17" s="765" t="s">
        <v>1828</v>
      </c>
      <c r="C17" s="765"/>
      <c r="D17" s="765"/>
      <c r="E17" s="765"/>
      <c r="F17" s="765"/>
      <c r="G17" s="765"/>
      <c r="H17" s="765"/>
      <c r="I17" s="765"/>
      <c r="J17" s="765"/>
      <c r="K17" s="765"/>
      <c r="L17" s="765"/>
      <c r="M17" s="765"/>
      <c r="N17" s="765"/>
      <c r="O17" s="765"/>
      <c r="P17" s="765"/>
      <c r="Q17" s="765"/>
      <c r="R17" s="765"/>
      <c r="S17" s="765"/>
      <c r="T17" s="765"/>
      <c r="U17" s="765"/>
      <c r="V17" s="765"/>
    </row>
    <row r="18" spans="2:22" x14ac:dyDescent="0.25">
      <c r="B18" t="s">
        <v>130</v>
      </c>
    </row>
    <row r="20" spans="2:22" x14ac:dyDescent="0.25">
      <c r="B20" s="81" t="s">
        <v>135</v>
      </c>
    </row>
    <row r="21" spans="2:22" x14ac:dyDescent="0.25">
      <c r="B21" s="766"/>
      <c r="C21" s="766"/>
      <c r="D21" s="766"/>
      <c r="E21" s="766"/>
      <c r="F21" s="766"/>
      <c r="G21" s="766"/>
      <c r="H21" s="766"/>
      <c r="I21" s="766"/>
      <c r="J21" s="766"/>
      <c r="K21" s="766"/>
      <c r="L21" s="766"/>
      <c r="M21" s="766"/>
      <c r="N21" s="766"/>
      <c r="O21" s="766"/>
      <c r="P21" s="766"/>
      <c r="Q21" s="766"/>
      <c r="R21" s="766"/>
      <c r="S21" s="766"/>
      <c r="T21" s="766"/>
    </row>
    <row r="22" spans="2:22" x14ac:dyDescent="0.25">
      <c r="B22" s="766"/>
      <c r="C22" s="766"/>
      <c r="D22" s="766"/>
      <c r="E22" s="766"/>
      <c r="F22" s="766"/>
      <c r="G22" s="766"/>
      <c r="H22" s="766"/>
      <c r="I22" s="766"/>
      <c r="J22" s="766"/>
      <c r="K22" s="766"/>
      <c r="L22" s="766"/>
      <c r="M22" s="766"/>
      <c r="N22" s="766"/>
      <c r="O22" s="766"/>
      <c r="P22" s="766"/>
      <c r="Q22" s="766"/>
      <c r="R22" s="766"/>
      <c r="S22" s="766"/>
      <c r="T22" s="766"/>
    </row>
    <row r="24" spans="2:22" ht="15" customHeight="1" x14ac:dyDescent="0.25">
      <c r="B24" s="81" t="s">
        <v>136</v>
      </c>
    </row>
    <row r="25" spans="2:22" x14ac:dyDescent="0.25">
      <c r="B25" s="766"/>
      <c r="C25" s="766"/>
      <c r="D25" s="766"/>
      <c r="E25" s="766"/>
      <c r="F25" s="766"/>
      <c r="G25" s="766"/>
      <c r="H25" s="766"/>
      <c r="I25" s="766"/>
      <c r="J25" s="766"/>
      <c r="K25" s="766"/>
      <c r="L25" s="766"/>
      <c r="M25" s="766"/>
      <c r="N25" s="766"/>
      <c r="O25" s="766"/>
      <c r="P25" s="766"/>
      <c r="Q25" s="766"/>
      <c r="R25" s="766"/>
      <c r="S25" s="766"/>
      <c r="T25" s="766"/>
    </row>
    <row r="26" spans="2:22" x14ac:dyDescent="0.25">
      <c r="B26" s="766"/>
      <c r="C26" s="766"/>
      <c r="D26" s="766"/>
      <c r="E26" s="766"/>
      <c r="F26" s="766"/>
      <c r="G26" s="766"/>
      <c r="H26" s="766"/>
      <c r="I26" s="766"/>
      <c r="J26" s="766"/>
      <c r="K26" s="766"/>
      <c r="L26" s="766"/>
      <c r="M26" s="766"/>
      <c r="N26" s="766"/>
      <c r="O26" s="766"/>
      <c r="P26" s="766"/>
      <c r="Q26" s="766"/>
      <c r="R26" s="766"/>
      <c r="S26" s="766"/>
      <c r="T26" s="766"/>
    </row>
    <row r="27" spans="2:22" ht="15.75" thickBot="1" x14ac:dyDescent="0.3"/>
    <row r="28" spans="2:22" x14ac:dyDescent="0.25">
      <c r="B28" s="757" t="s">
        <v>131</v>
      </c>
      <c r="C28" s="757" t="s">
        <v>132</v>
      </c>
      <c r="D28" s="778" t="s">
        <v>133</v>
      </c>
      <c r="E28" s="778" t="s">
        <v>431</v>
      </c>
      <c r="F28" s="757" t="s">
        <v>134</v>
      </c>
    </row>
    <row r="29" spans="2:22" ht="15" customHeight="1" thickBot="1" x14ac:dyDescent="0.3">
      <c r="B29" s="758"/>
      <c r="C29" s="758"/>
      <c r="D29" s="779"/>
      <c r="E29" s="779"/>
      <c r="F29" s="758"/>
    </row>
    <row r="30" spans="2:22" ht="15.75" thickBot="1" x14ac:dyDescent="0.3">
      <c r="B30" s="82" t="s">
        <v>534</v>
      </c>
      <c r="C30" s="83" t="s">
        <v>538</v>
      </c>
      <c r="D30" s="84">
        <f>SUM(D34:D41)</f>
        <v>591684</v>
      </c>
      <c r="E30" s="84"/>
      <c r="F30" s="85" t="s">
        <v>548</v>
      </c>
    </row>
    <row r="31" spans="2:22" ht="15.75" thickBot="1" x14ac:dyDescent="0.3">
      <c r="B31" s="82" t="s">
        <v>535</v>
      </c>
      <c r="C31" s="83" t="s">
        <v>538</v>
      </c>
      <c r="D31" s="84">
        <f>19823+837</f>
        <v>20660</v>
      </c>
      <c r="E31" s="84"/>
      <c r="F31" s="85" t="s">
        <v>539</v>
      </c>
    </row>
    <row r="32" spans="2:22" ht="15.75" thickBot="1" x14ac:dyDescent="0.3">
      <c r="B32" s="82" t="s">
        <v>536</v>
      </c>
      <c r="C32" s="83" t="s">
        <v>538</v>
      </c>
      <c r="D32" s="84">
        <f>4651+0.6*96138</f>
        <v>62333.799999999996</v>
      </c>
      <c r="E32" s="84"/>
      <c r="F32" s="85" t="s">
        <v>1744</v>
      </c>
    </row>
    <row r="33" spans="2:6" ht="15.75" thickBot="1" x14ac:dyDescent="0.3">
      <c r="B33" s="82" t="s">
        <v>537</v>
      </c>
      <c r="C33" s="83" t="s">
        <v>538</v>
      </c>
      <c r="D33" s="84">
        <f>0.4*96138</f>
        <v>38455.200000000004</v>
      </c>
      <c r="E33" s="84"/>
      <c r="F33" s="85" t="s">
        <v>1744</v>
      </c>
    </row>
    <row r="34" spans="2:6" ht="15.75" thickBot="1" x14ac:dyDescent="0.3">
      <c r="B34" s="114" t="s">
        <v>540</v>
      </c>
      <c r="C34" s="115" t="s">
        <v>538</v>
      </c>
      <c r="D34" s="116">
        <f>0.3*112898</f>
        <v>33869.4</v>
      </c>
      <c r="E34" s="116"/>
      <c r="F34" s="117"/>
    </row>
    <row r="35" spans="2:6" ht="15.75" thickBot="1" x14ac:dyDescent="0.3">
      <c r="B35" s="114" t="s">
        <v>541</v>
      </c>
      <c r="C35" s="115" t="s">
        <v>538</v>
      </c>
      <c r="D35" s="116">
        <f>2384+0.2*193293</f>
        <v>41042.6</v>
      </c>
      <c r="E35" s="116"/>
      <c r="F35" s="117"/>
    </row>
    <row r="36" spans="2:6" ht="15.75" thickBot="1" x14ac:dyDescent="0.3">
      <c r="B36" s="114" t="s">
        <v>542</v>
      </c>
      <c r="C36" s="115" t="s">
        <v>538</v>
      </c>
      <c r="D36" s="116">
        <f>48591+4842+0.4*3896</f>
        <v>54991.4</v>
      </c>
      <c r="E36" s="116"/>
      <c r="F36" s="117"/>
    </row>
    <row r="37" spans="2:6" ht="15.75" thickBot="1" x14ac:dyDescent="0.3">
      <c r="B37" s="114" t="s">
        <v>543</v>
      </c>
      <c r="C37" s="115" t="s">
        <v>538</v>
      </c>
      <c r="D37" s="116">
        <f>92289+0.2*3896</f>
        <v>93068.2</v>
      </c>
      <c r="E37" s="116"/>
      <c r="F37" s="117"/>
    </row>
    <row r="38" spans="2:6" ht="15.75" thickBot="1" x14ac:dyDescent="0.3">
      <c r="B38" s="114" t="s">
        <v>547</v>
      </c>
      <c r="C38" s="115" t="s">
        <v>538</v>
      </c>
      <c r="D38" s="116">
        <f>0.8*193293</f>
        <v>154634.4</v>
      </c>
      <c r="E38" s="116"/>
      <c r="F38" s="117"/>
    </row>
    <row r="39" spans="2:6" ht="15.75" thickBot="1" x14ac:dyDescent="0.3">
      <c r="B39" s="114" t="s">
        <v>545</v>
      </c>
      <c r="C39" s="115" t="s">
        <v>538</v>
      </c>
      <c r="D39" s="116">
        <f>0.7*112898</f>
        <v>79028.599999999991</v>
      </c>
      <c r="E39" s="116"/>
      <c r="F39" s="117"/>
    </row>
    <row r="40" spans="2:6" ht="15.75" thickBot="1" x14ac:dyDescent="0.3">
      <c r="B40" s="114" t="s">
        <v>544</v>
      </c>
      <c r="C40" s="115" t="s">
        <v>538</v>
      </c>
      <c r="D40" s="116">
        <f>20709+0.4*3896+65819</f>
        <v>88086.399999999994</v>
      </c>
      <c r="E40" s="116"/>
      <c r="F40" s="117" t="s">
        <v>1848</v>
      </c>
    </row>
    <row r="41" spans="2:6" ht="15.75" thickBot="1" x14ac:dyDescent="0.3">
      <c r="B41" s="114" t="s">
        <v>546</v>
      </c>
      <c r="C41" s="115" t="s">
        <v>538</v>
      </c>
      <c r="D41" s="116">
        <v>46963</v>
      </c>
      <c r="E41" s="116"/>
      <c r="F41" s="117"/>
    </row>
    <row r="42" spans="2:6" ht="15.75" thickBot="1" x14ac:dyDescent="0.3">
      <c r="B42" s="82"/>
      <c r="C42" s="83"/>
      <c r="D42" s="84"/>
      <c r="E42" s="84"/>
      <c r="F42" s="85"/>
    </row>
    <row r="43" spans="2:6" ht="15.75" thickBot="1" x14ac:dyDescent="0.3">
      <c r="B43" s="82"/>
      <c r="C43" s="83"/>
      <c r="D43" s="84"/>
      <c r="E43" s="84"/>
      <c r="F43" s="85"/>
    </row>
    <row r="44" spans="2:6" ht="15.75" thickBot="1" x14ac:dyDescent="0.3">
      <c r="B44" s="82"/>
      <c r="C44" s="83"/>
      <c r="D44" s="84"/>
      <c r="E44" s="84"/>
      <c r="F44" s="85"/>
    </row>
    <row r="45" spans="2:6" ht="15.75" thickBot="1" x14ac:dyDescent="0.3">
      <c r="B45" s="82"/>
      <c r="C45" s="83"/>
      <c r="D45" s="84"/>
      <c r="E45" s="84"/>
      <c r="F45" s="85"/>
    </row>
  </sheetData>
  <mergeCells count="19">
    <mergeCell ref="B9:T9"/>
    <mergeCell ref="B11:C11"/>
    <mergeCell ref="D11:O11"/>
    <mergeCell ref="B12:C12"/>
    <mergeCell ref="D12:O12"/>
    <mergeCell ref="C28:C29"/>
    <mergeCell ref="D28:D29"/>
    <mergeCell ref="F28:F29"/>
    <mergeCell ref="B13:C13"/>
    <mergeCell ref="D13:O13"/>
    <mergeCell ref="E28:E29"/>
    <mergeCell ref="B14:C14"/>
    <mergeCell ref="D14:O14"/>
    <mergeCell ref="B15:C15"/>
    <mergeCell ref="D15:O15"/>
    <mergeCell ref="B17:V17"/>
    <mergeCell ref="B21:T22"/>
    <mergeCell ref="B25:T26"/>
    <mergeCell ref="B28:B29"/>
  </mergeCells>
  <dataValidations disablePrompts="1" count="1">
    <dataValidation type="list" allowBlank="1" showInputMessage="1" showErrorMessage="1" sqref="E30:E45">
      <formula1>"Ano, Mês"</formula1>
    </dataValidation>
  </dataValidations>
  <pageMargins left="0.7" right="0.7" top="0.75" bottom="0.75" header="0.3" footer="0.3"/>
  <customProperties>
    <customPr name="GUID" r:id="rId1"/>
  </customPropertie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4"/>
  <dimension ref="B6:V53"/>
  <sheetViews>
    <sheetView workbookViewId="0"/>
  </sheetViews>
  <sheetFormatPr defaultRowHeight="15" x14ac:dyDescent="0.25"/>
  <cols>
    <col min="2" max="2" width="48.28515625" bestFit="1" customWidth="1"/>
    <col min="3" max="3" width="32.28515625" customWidth="1"/>
    <col min="4" max="6" width="21.28515625" customWidth="1"/>
  </cols>
  <sheetData>
    <row r="6" spans="2:20" ht="15.75" thickBot="1" x14ac:dyDescent="0.3"/>
    <row r="7" spans="2:20" x14ac:dyDescent="0.25">
      <c r="B7" s="78" t="s">
        <v>118</v>
      </c>
      <c r="C7" s="79"/>
    </row>
    <row r="9" spans="2:20" x14ac:dyDescent="0.25">
      <c r="B9" s="765" t="str">
        <f>"Grupo Barraqueiro: "&amp;'Folha de Rosto'!C6&amp;" "&amp;'Folha de Rosto'!I6&amp;" - Emissões de GEE de Âmbito 3"</f>
        <v>Grupo Barraqueiro: PEGADA DE CARBONO 2022 - Emissões de GEE de Âmbito 3</v>
      </c>
      <c r="C9" s="765"/>
      <c r="D9" s="765"/>
      <c r="E9" s="765"/>
      <c r="F9" s="765"/>
      <c r="G9" s="765"/>
      <c r="H9" s="765"/>
      <c r="I9" s="765"/>
      <c r="J9" s="765"/>
      <c r="K9" s="765"/>
      <c r="L9" s="765"/>
      <c r="M9" s="765"/>
      <c r="N9" s="765"/>
      <c r="O9" s="765"/>
      <c r="P9" s="765"/>
      <c r="Q9" s="765"/>
      <c r="R9" s="765"/>
      <c r="S9" s="765"/>
      <c r="T9" s="765"/>
    </row>
    <row r="10" spans="2:20" ht="15.75" thickBot="1" x14ac:dyDescent="0.3"/>
    <row r="11" spans="2:20" ht="33.6" customHeight="1" thickBot="1" x14ac:dyDescent="0.3">
      <c r="B11" s="761" t="s">
        <v>119</v>
      </c>
      <c r="C11" s="761"/>
      <c r="D11" s="767" t="s">
        <v>522</v>
      </c>
      <c r="E11" s="767"/>
      <c r="F11" s="768"/>
      <c r="G11" s="768"/>
      <c r="H11" s="768"/>
      <c r="I11" s="768"/>
      <c r="J11" s="768"/>
      <c r="K11" s="768"/>
      <c r="L11" s="768"/>
      <c r="M11" s="768"/>
      <c r="N11" s="768"/>
      <c r="O11" s="769"/>
    </row>
    <row r="12" spans="2:20" ht="60.95" customHeight="1" thickBot="1" x14ac:dyDescent="0.3">
      <c r="B12" s="761" t="s">
        <v>120</v>
      </c>
      <c r="C12" s="761"/>
      <c r="D12" s="770" t="s">
        <v>433</v>
      </c>
      <c r="E12" s="770"/>
      <c r="F12" s="771"/>
      <c r="G12" s="771"/>
      <c r="H12" s="771"/>
      <c r="I12" s="771"/>
      <c r="J12" s="771"/>
      <c r="K12" s="771"/>
      <c r="L12" s="771"/>
      <c r="M12" s="771"/>
      <c r="N12" s="771"/>
      <c r="O12" s="772"/>
    </row>
    <row r="13" spans="2:20" ht="60.95" customHeight="1" thickBot="1" x14ac:dyDescent="0.3">
      <c r="B13" s="761" t="s">
        <v>121</v>
      </c>
      <c r="C13" s="761"/>
      <c r="D13" s="762" t="s">
        <v>1529</v>
      </c>
      <c r="E13" s="762"/>
      <c r="F13" s="763"/>
      <c r="G13" s="763"/>
      <c r="H13" s="763"/>
      <c r="I13" s="763"/>
      <c r="J13" s="763"/>
      <c r="K13" s="763"/>
      <c r="L13" s="763"/>
      <c r="M13" s="763"/>
      <c r="N13" s="763"/>
      <c r="O13" s="764"/>
    </row>
    <row r="14" spans="2:20" ht="60.95" customHeight="1" thickBot="1" x14ac:dyDescent="0.3">
      <c r="B14" s="761" t="s">
        <v>122</v>
      </c>
      <c r="C14" s="761"/>
      <c r="D14" s="762" t="s">
        <v>123</v>
      </c>
      <c r="E14" s="762"/>
      <c r="F14" s="763"/>
      <c r="G14" s="763"/>
      <c r="H14" s="763"/>
      <c r="I14" s="763"/>
      <c r="J14" s="763"/>
      <c r="K14" s="763"/>
      <c r="L14" s="763"/>
      <c r="M14" s="763"/>
      <c r="N14" s="763"/>
      <c r="O14" s="764"/>
    </row>
    <row r="15" spans="2:20" ht="60" customHeight="1" thickBot="1" x14ac:dyDescent="0.3">
      <c r="B15" s="761" t="s">
        <v>128</v>
      </c>
      <c r="C15" s="761"/>
      <c r="D15" s="798" t="s">
        <v>129</v>
      </c>
      <c r="E15" s="799"/>
      <c r="F15" s="799"/>
      <c r="G15" s="799"/>
      <c r="H15" s="799"/>
      <c r="I15" s="799"/>
      <c r="J15" s="799"/>
      <c r="K15" s="799"/>
      <c r="L15" s="799"/>
      <c r="M15" s="799"/>
      <c r="N15" s="799"/>
      <c r="O15" s="762"/>
    </row>
    <row r="17" spans="2:22" x14ac:dyDescent="0.25">
      <c r="B17" s="765" t="s">
        <v>1826</v>
      </c>
      <c r="C17" s="765"/>
      <c r="D17" s="765"/>
      <c r="E17" s="765"/>
      <c r="F17" s="765"/>
      <c r="G17" s="765"/>
      <c r="H17" s="765"/>
      <c r="I17" s="765"/>
      <c r="J17" s="765"/>
      <c r="K17" s="765"/>
      <c r="L17" s="765"/>
      <c r="M17" s="765"/>
      <c r="N17" s="765"/>
      <c r="O17" s="765"/>
      <c r="P17" s="765"/>
      <c r="Q17" s="765"/>
      <c r="R17" s="765"/>
      <c r="S17" s="765"/>
      <c r="T17" s="765"/>
      <c r="U17" s="765"/>
      <c r="V17" s="765"/>
    </row>
    <row r="18" spans="2:22" x14ac:dyDescent="0.25">
      <c r="B18" t="s">
        <v>130</v>
      </c>
    </row>
    <row r="20" spans="2:22" x14ac:dyDescent="0.25">
      <c r="B20" s="81" t="s">
        <v>135</v>
      </c>
    </row>
    <row r="21" spans="2:22" x14ac:dyDescent="0.25">
      <c r="B21" s="766"/>
      <c r="C21" s="766"/>
      <c r="D21" s="766"/>
      <c r="E21" s="766"/>
      <c r="F21" s="766"/>
      <c r="G21" s="766"/>
      <c r="H21" s="766"/>
      <c r="I21" s="766"/>
      <c r="J21" s="766"/>
      <c r="K21" s="766"/>
      <c r="L21" s="766"/>
      <c r="M21" s="766"/>
      <c r="N21" s="766"/>
      <c r="O21" s="766"/>
      <c r="P21" s="766"/>
      <c r="Q21" s="766"/>
      <c r="R21" s="766"/>
      <c r="S21" s="766"/>
      <c r="T21" s="766"/>
    </row>
    <row r="22" spans="2:22" x14ac:dyDescent="0.25">
      <c r="B22" s="766"/>
      <c r="C22" s="766"/>
      <c r="D22" s="766"/>
      <c r="E22" s="766"/>
      <c r="F22" s="766"/>
      <c r="G22" s="766"/>
      <c r="H22" s="766"/>
      <c r="I22" s="766"/>
      <c r="J22" s="766"/>
      <c r="K22" s="766"/>
      <c r="L22" s="766"/>
      <c r="M22" s="766"/>
      <c r="N22" s="766"/>
      <c r="O22" s="766"/>
      <c r="P22" s="766"/>
      <c r="Q22" s="766"/>
      <c r="R22" s="766"/>
      <c r="S22" s="766"/>
      <c r="T22" s="766"/>
    </row>
    <row r="24" spans="2:22" ht="15" customHeight="1" x14ac:dyDescent="0.25">
      <c r="B24" s="81" t="s">
        <v>136</v>
      </c>
    </row>
    <row r="25" spans="2:22" x14ac:dyDescent="0.25">
      <c r="B25" s="766"/>
      <c r="C25" s="766"/>
      <c r="D25" s="766"/>
      <c r="E25" s="766"/>
      <c r="F25" s="766"/>
      <c r="G25" s="766"/>
      <c r="H25" s="766"/>
      <c r="I25" s="766"/>
      <c r="J25" s="766"/>
      <c r="K25" s="766"/>
      <c r="L25" s="766"/>
      <c r="M25" s="766"/>
      <c r="N25" s="766"/>
      <c r="O25" s="766"/>
      <c r="P25" s="766"/>
      <c r="Q25" s="766"/>
      <c r="R25" s="766"/>
      <c r="S25" s="766"/>
      <c r="T25" s="766"/>
    </row>
    <row r="26" spans="2:22" x14ac:dyDescent="0.25">
      <c r="B26" s="766"/>
      <c r="C26" s="766"/>
      <c r="D26" s="766"/>
      <c r="E26" s="766"/>
      <c r="F26" s="766"/>
      <c r="G26" s="766"/>
      <c r="H26" s="766"/>
      <c r="I26" s="766"/>
      <c r="J26" s="766"/>
      <c r="K26" s="766"/>
      <c r="L26" s="766"/>
      <c r="M26" s="766"/>
      <c r="N26" s="766"/>
      <c r="O26" s="766"/>
      <c r="P26" s="766"/>
      <c r="Q26" s="766"/>
      <c r="R26" s="766"/>
      <c r="S26" s="766"/>
      <c r="T26" s="766"/>
    </row>
    <row r="27" spans="2:22" ht="15.75" thickBot="1" x14ac:dyDescent="0.3"/>
    <row r="28" spans="2:22" x14ac:dyDescent="0.25">
      <c r="B28" s="793" t="s">
        <v>131</v>
      </c>
      <c r="C28" s="793" t="s">
        <v>168</v>
      </c>
      <c r="D28" s="793" t="s">
        <v>140</v>
      </c>
      <c r="E28" s="793" t="s">
        <v>141</v>
      </c>
      <c r="F28" s="793" t="s">
        <v>134</v>
      </c>
    </row>
    <row r="29" spans="2:22" ht="15" customHeight="1" thickBot="1" x14ac:dyDescent="0.3">
      <c r="B29" s="794"/>
      <c r="C29" s="794"/>
      <c r="D29" s="794"/>
      <c r="E29" s="794"/>
      <c r="F29" s="794"/>
    </row>
    <row r="30" spans="2:22" ht="15.75" thickBot="1" x14ac:dyDescent="0.3">
      <c r="B30" s="82" t="s">
        <v>534</v>
      </c>
      <c r="C30" s="83" t="s">
        <v>588</v>
      </c>
      <c r="D30" s="120">
        <v>591684</v>
      </c>
      <c r="E30" s="85" t="s">
        <v>589</v>
      </c>
      <c r="F30" s="83"/>
    </row>
    <row r="31" spans="2:22" ht="15.75" thickBot="1" x14ac:dyDescent="0.3">
      <c r="B31" s="82" t="s">
        <v>535</v>
      </c>
      <c r="C31" s="83" t="s">
        <v>588</v>
      </c>
      <c r="D31" s="120">
        <v>20660</v>
      </c>
      <c r="E31" s="85" t="s">
        <v>589</v>
      </c>
      <c r="F31" s="83"/>
    </row>
    <row r="32" spans="2:22" ht="15.75" thickBot="1" x14ac:dyDescent="0.3">
      <c r="B32" s="82" t="s">
        <v>536</v>
      </c>
      <c r="C32" s="83" t="s">
        <v>588</v>
      </c>
      <c r="D32" s="120">
        <v>62333.799999999996</v>
      </c>
      <c r="E32" s="85" t="s">
        <v>589</v>
      </c>
      <c r="F32" s="83"/>
    </row>
    <row r="33" spans="2:6" ht="15.75" thickBot="1" x14ac:dyDescent="0.3">
      <c r="B33" s="82" t="s">
        <v>537</v>
      </c>
      <c r="C33" s="83" t="s">
        <v>588</v>
      </c>
      <c r="D33" s="120">
        <v>38455.200000000004</v>
      </c>
      <c r="E33" s="85" t="s">
        <v>589</v>
      </c>
      <c r="F33" s="83"/>
    </row>
    <row r="34" spans="2:6" ht="15.75" thickBot="1" x14ac:dyDescent="0.3">
      <c r="B34" s="114" t="s">
        <v>540</v>
      </c>
      <c r="C34" s="115" t="s">
        <v>588</v>
      </c>
      <c r="D34" s="135">
        <v>33869.4</v>
      </c>
      <c r="E34" s="117" t="s">
        <v>589</v>
      </c>
      <c r="F34" s="121"/>
    </row>
    <row r="35" spans="2:6" ht="15.75" thickBot="1" x14ac:dyDescent="0.3">
      <c r="B35" s="114" t="s">
        <v>541</v>
      </c>
      <c r="C35" s="115" t="s">
        <v>588</v>
      </c>
      <c r="D35" s="135">
        <v>41042.6</v>
      </c>
      <c r="E35" s="117" t="s">
        <v>589</v>
      </c>
      <c r="F35" s="121"/>
    </row>
    <row r="36" spans="2:6" ht="15.75" thickBot="1" x14ac:dyDescent="0.3">
      <c r="B36" s="114" t="s">
        <v>542</v>
      </c>
      <c r="C36" s="115" t="s">
        <v>588</v>
      </c>
      <c r="D36" s="135">
        <v>54991.4</v>
      </c>
      <c r="E36" s="117" t="s">
        <v>589</v>
      </c>
      <c r="F36" s="121"/>
    </row>
    <row r="37" spans="2:6" ht="15.75" thickBot="1" x14ac:dyDescent="0.3">
      <c r="B37" s="114" t="s">
        <v>543</v>
      </c>
      <c r="C37" s="115" t="s">
        <v>588</v>
      </c>
      <c r="D37" s="135">
        <v>93068.2</v>
      </c>
      <c r="E37" s="117" t="s">
        <v>589</v>
      </c>
      <c r="F37" s="121"/>
    </row>
    <row r="38" spans="2:6" ht="15.75" thickBot="1" x14ac:dyDescent="0.3">
      <c r="B38" s="114" t="s">
        <v>547</v>
      </c>
      <c r="C38" s="115" t="s">
        <v>588</v>
      </c>
      <c r="D38" s="135">
        <v>154634.4</v>
      </c>
      <c r="E38" s="117" t="s">
        <v>589</v>
      </c>
      <c r="F38" s="121"/>
    </row>
    <row r="39" spans="2:6" ht="15.75" thickBot="1" x14ac:dyDescent="0.3">
      <c r="B39" s="114" t="s">
        <v>545</v>
      </c>
      <c r="C39" s="115" t="s">
        <v>588</v>
      </c>
      <c r="D39" s="135">
        <v>79028.599999999991</v>
      </c>
      <c r="E39" s="117" t="s">
        <v>589</v>
      </c>
      <c r="F39" s="121"/>
    </row>
    <row r="40" spans="2:6" ht="15.75" thickBot="1" x14ac:dyDescent="0.3">
      <c r="B40" s="114" t="s">
        <v>544</v>
      </c>
      <c r="C40" s="115" t="s">
        <v>588</v>
      </c>
      <c r="D40" s="135">
        <v>88086.399999999994</v>
      </c>
      <c r="E40" s="117" t="s">
        <v>589</v>
      </c>
      <c r="F40" s="121"/>
    </row>
    <row r="41" spans="2:6" ht="15.75" thickBot="1" x14ac:dyDescent="0.3">
      <c r="B41" s="114" t="s">
        <v>546</v>
      </c>
      <c r="C41" s="115" t="s">
        <v>588</v>
      </c>
      <c r="D41" s="135">
        <v>46963</v>
      </c>
      <c r="E41" s="117" t="s">
        <v>589</v>
      </c>
      <c r="F41" s="121"/>
    </row>
    <row r="42" spans="2:6" ht="15.75" thickBot="1" x14ac:dyDescent="0.3">
      <c r="B42" s="82" t="s">
        <v>534</v>
      </c>
      <c r="C42" s="83" t="s">
        <v>1527</v>
      </c>
      <c r="D42" s="134">
        <f>'A1.1'!E45+'A1.1'!E55+'A1.2'!E32+'A1.2'!E44</f>
        <v>11603556.770999998</v>
      </c>
      <c r="E42" s="85" t="s">
        <v>630</v>
      </c>
      <c r="F42" s="83" t="s">
        <v>620</v>
      </c>
    </row>
    <row r="43" spans="2:6" ht="15.75" thickBot="1" x14ac:dyDescent="0.3">
      <c r="B43" s="82" t="s">
        <v>535</v>
      </c>
      <c r="C43" s="83" t="s">
        <v>1527</v>
      </c>
      <c r="D43" s="120">
        <f>'A1.1'!E46+'A1.1'!E62+'A1.2'!E34+'A1.2'!E48</f>
        <v>718078.27299999958</v>
      </c>
      <c r="E43" s="85" t="s">
        <v>630</v>
      </c>
      <c r="F43" s="83" t="s">
        <v>620</v>
      </c>
    </row>
    <row r="44" spans="2:6" ht="15.75" thickBot="1" x14ac:dyDescent="0.3">
      <c r="B44" s="82" t="s">
        <v>536</v>
      </c>
      <c r="C44" s="83" t="s">
        <v>1527</v>
      </c>
      <c r="D44" s="120">
        <f>'A1.1'!E47+'A1.2'!E34+'A1.2'!E44</f>
        <v>346052.67100000003</v>
      </c>
      <c r="E44" s="85" t="s">
        <v>630</v>
      </c>
      <c r="F44" s="83" t="s">
        <v>620</v>
      </c>
    </row>
    <row r="45" spans="2:6" ht="15.75" thickBot="1" x14ac:dyDescent="0.3">
      <c r="B45" s="82" t="s">
        <v>537</v>
      </c>
      <c r="C45" s="83" t="s">
        <v>1527</v>
      </c>
      <c r="D45" s="120">
        <f>'A1.1'!E48+'A1.2'!E35</f>
        <v>263227.19</v>
      </c>
      <c r="E45" s="85" t="s">
        <v>630</v>
      </c>
      <c r="F45" s="83" t="s">
        <v>620</v>
      </c>
    </row>
    <row r="46" spans="2:6" ht="15.75" thickBot="1" x14ac:dyDescent="0.3">
      <c r="B46" s="114" t="s">
        <v>540</v>
      </c>
      <c r="C46" s="115" t="s">
        <v>1527</v>
      </c>
      <c r="D46" s="135">
        <f>'A1.2'!E42</f>
        <v>13565.86</v>
      </c>
      <c r="E46" s="117" t="s">
        <v>630</v>
      </c>
      <c r="F46" s="115" t="s">
        <v>620</v>
      </c>
    </row>
    <row r="47" spans="2:6" ht="15.75" thickBot="1" x14ac:dyDescent="0.3">
      <c r="B47" s="114" t="s">
        <v>541</v>
      </c>
      <c r="C47" s="115" t="s">
        <v>1527</v>
      </c>
      <c r="D47" s="135">
        <f>'A1.1'!E50+'A1.1'!E57+'A1.2'!E37</f>
        <v>1910314.3560000004</v>
      </c>
      <c r="E47" s="117" t="s">
        <v>630</v>
      </c>
      <c r="F47" s="115" t="s">
        <v>620</v>
      </c>
    </row>
    <row r="48" spans="2:6" ht="15.75" thickBot="1" x14ac:dyDescent="0.3">
      <c r="B48" s="114" t="s">
        <v>542</v>
      </c>
      <c r="C48" s="115" t="s">
        <v>1527</v>
      </c>
      <c r="D48" s="135">
        <f>'A1.1'!E53+'A1.1'!E60+'A1.2'!E40+'A1.2'!E46</f>
        <v>1866440.7319999987</v>
      </c>
      <c r="E48" s="117" t="s">
        <v>630</v>
      </c>
      <c r="F48" s="115" t="s">
        <v>620</v>
      </c>
    </row>
    <row r="49" spans="2:6" ht="15.75" thickBot="1" x14ac:dyDescent="0.3">
      <c r="B49" s="114" t="s">
        <v>543</v>
      </c>
      <c r="C49" s="115" t="s">
        <v>1527</v>
      </c>
      <c r="D49" s="135">
        <f>'A1.1'!E54+'A1.1'!E61+'A1.2'!E41</f>
        <v>1821612.0540000002</v>
      </c>
      <c r="E49" s="117" t="s">
        <v>630</v>
      </c>
      <c r="F49" s="115" t="s">
        <v>620</v>
      </c>
    </row>
    <row r="50" spans="2:6" ht="15.75" thickBot="1" x14ac:dyDescent="0.3">
      <c r="B50" s="114" t="s">
        <v>547</v>
      </c>
      <c r="C50" s="115" t="s">
        <v>1527</v>
      </c>
      <c r="D50" s="135">
        <f>'A1.2'!E43+'A1.2'!E47</f>
        <v>5172.9070000000002</v>
      </c>
      <c r="E50" s="117" t="s">
        <v>630</v>
      </c>
      <c r="F50" s="115" t="s">
        <v>620</v>
      </c>
    </row>
    <row r="51" spans="2:6" ht="15.75" thickBot="1" x14ac:dyDescent="0.3">
      <c r="B51" s="114" t="s">
        <v>545</v>
      </c>
      <c r="C51" s="115" t="s">
        <v>1527</v>
      </c>
      <c r="D51" s="135">
        <f>'A1.1'!E51+'A1.1'!E58+'A1.2'!E38+'A1.2'!E45</f>
        <v>3352355.2970000012</v>
      </c>
      <c r="E51" s="117" t="s">
        <v>630</v>
      </c>
      <c r="F51" s="115" t="s">
        <v>620</v>
      </c>
    </row>
    <row r="52" spans="2:6" ht="15.75" thickBot="1" x14ac:dyDescent="0.3">
      <c r="B52" s="114" t="s">
        <v>544</v>
      </c>
      <c r="C52" s="115" t="s">
        <v>1527</v>
      </c>
      <c r="D52" s="135">
        <f>'A1.1'!E56+'A1.1'!E49+'A1.2'!E36</f>
        <v>1544056.3790000002</v>
      </c>
      <c r="E52" s="117" t="s">
        <v>630</v>
      </c>
      <c r="F52" s="115" t="s">
        <v>620</v>
      </c>
    </row>
    <row r="53" spans="2:6" ht="15.75" thickBot="1" x14ac:dyDescent="0.3">
      <c r="B53" s="114" t="s">
        <v>546</v>
      </c>
      <c r="C53" s="115" t="s">
        <v>1527</v>
      </c>
      <c r="D53" s="135">
        <f>'A1.1'!E52+'A1.1'!E59+'A1.2'!E39</f>
        <v>1090039.1860000002</v>
      </c>
      <c r="E53" s="117" t="s">
        <v>630</v>
      </c>
      <c r="F53" s="115" t="s">
        <v>620</v>
      </c>
    </row>
  </sheetData>
  <mergeCells count="19">
    <mergeCell ref="B25:T26"/>
    <mergeCell ref="B28:B29"/>
    <mergeCell ref="D28:D29"/>
    <mergeCell ref="E28:E29"/>
    <mergeCell ref="F28:F29"/>
    <mergeCell ref="C28:C29"/>
    <mergeCell ref="B21:T22"/>
    <mergeCell ref="B9:T9"/>
    <mergeCell ref="B11:C11"/>
    <mergeCell ref="D11:O11"/>
    <mergeCell ref="B12:C12"/>
    <mergeCell ref="D12:O12"/>
    <mergeCell ref="B13:C13"/>
    <mergeCell ref="D13:O13"/>
    <mergeCell ref="B14:C14"/>
    <mergeCell ref="D14:O14"/>
    <mergeCell ref="B15:C15"/>
    <mergeCell ref="D15:O15"/>
    <mergeCell ref="B17:V17"/>
  </mergeCells>
  <dataValidations count="2">
    <dataValidation type="list" allowBlank="1" showInputMessage="1" showErrorMessage="1" sqref="C30 C42">
      <formula1>"WTT (combustíveis), Perdas Rede (Eletricidade)"</formula1>
    </dataValidation>
    <dataValidation type="list" allowBlank="1" showInputMessage="1" showErrorMessage="1" sqref="E30:E53">
      <formula1>"kWh, l (litros), kg (quilos), Nm3 (metros cubicos norm.)"</formula1>
    </dataValidation>
  </dataValidations>
  <pageMargins left="0.7" right="0.7" top="0.75" bottom="0.75" header="0.3" footer="0.3"/>
  <customProperties>
    <customPr name="GUID" r:id="rId1"/>
  </customPropertie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5"/>
  <dimension ref="A1:Q247"/>
  <sheetViews>
    <sheetView topLeftCell="B214" zoomScaleNormal="100" workbookViewId="0">
      <selection activeCell="B246" sqref="B246:B247"/>
    </sheetView>
  </sheetViews>
  <sheetFormatPr defaultRowHeight="15" x14ac:dyDescent="0.25"/>
  <cols>
    <col min="1" max="1" width="83.28515625" customWidth="1"/>
    <col min="2" max="2" width="72.140625" customWidth="1"/>
    <col min="3" max="3" width="22.85546875" bestFit="1" customWidth="1"/>
    <col min="4" max="4" width="22.85546875" customWidth="1"/>
    <col min="5" max="5" width="18" customWidth="1"/>
    <col min="6" max="7" width="21.28515625" customWidth="1"/>
    <col min="8" max="8" width="21.28515625" style="89" customWidth="1"/>
    <col min="9" max="9" width="21.28515625" customWidth="1"/>
    <col min="10" max="10" width="82" customWidth="1"/>
    <col min="11" max="11" width="14.140625" customWidth="1"/>
    <col min="12" max="12" width="18.85546875" bestFit="1" customWidth="1"/>
    <col min="15" max="15" width="22.28515625" customWidth="1"/>
  </cols>
  <sheetData>
    <row r="1" spans="1:15" ht="15.75" customHeight="1" thickBot="1" x14ac:dyDescent="0.3">
      <c r="A1" s="793" t="s">
        <v>1851</v>
      </c>
      <c r="B1" s="757" t="s">
        <v>131</v>
      </c>
      <c r="C1" s="757" t="s">
        <v>1852</v>
      </c>
      <c r="D1" s="202" t="s">
        <v>1856</v>
      </c>
      <c r="E1" s="757" t="s">
        <v>132</v>
      </c>
      <c r="F1" s="778" t="s">
        <v>133</v>
      </c>
      <c r="G1" s="778" t="s">
        <v>1870</v>
      </c>
      <c r="H1" s="778" t="s">
        <v>4664</v>
      </c>
      <c r="I1" s="778" t="s">
        <v>431</v>
      </c>
      <c r="J1" s="757" t="s">
        <v>134</v>
      </c>
      <c r="K1" s="204" t="s">
        <v>1873</v>
      </c>
      <c r="L1" s="221" t="s">
        <v>2938</v>
      </c>
      <c r="M1" s="777" t="s">
        <v>2812</v>
      </c>
      <c r="N1" s="777" t="s">
        <v>3588</v>
      </c>
      <c r="O1" s="777" t="s">
        <v>3628</v>
      </c>
    </row>
    <row r="2" spans="1:15" ht="15" customHeight="1" thickBot="1" x14ac:dyDescent="0.3">
      <c r="A2" s="794"/>
      <c r="B2" s="758"/>
      <c r="C2" s="758"/>
      <c r="D2" s="203"/>
      <c r="E2" s="758"/>
      <c r="F2" s="779"/>
      <c r="G2" s="779"/>
      <c r="H2" s="779"/>
      <c r="I2" s="779"/>
      <c r="J2" s="758"/>
      <c r="K2" s="205"/>
      <c r="L2" s="222"/>
      <c r="M2" s="777"/>
      <c r="N2" s="777"/>
      <c r="O2" s="777"/>
    </row>
    <row r="3" spans="1:15" ht="15.75" thickBot="1" x14ac:dyDescent="0.3">
      <c r="A3" s="82" t="s">
        <v>45</v>
      </c>
      <c r="B3" s="82" t="str">
        <f t="shared" ref="B3:B14" si="0">LEFT(A3,IFERROR(FIND(" - ",A3)-1,LEN(A3)))</f>
        <v>Barraqueiro Transportes, S.A.</v>
      </c>
      <c r="C3" s="82" t="str">
        <f t="shared" ref="C3:C66" si="1">IF(A3=B3,"X",RIGHT(A3,LEN(A3)-LEN(B3)-3))</f>
        <v>X</v>
      </c>
      <c r="D3" s="216">
        <v>2022</v>
      </c>
      <c r="E3" s="83" t="s">
        <v>538</v>
      </c>
      <c r="F3" s="84">
        <f>SUM(F7:F14)</f>
        <v>591684</v>
      </c>
      <c r="G3" s="218" t="s">
        <v>589</v>
      </c>
      <c r="H3" s="401"/>
      <c r="I3" s="84"/>
      <c r="J3" s="85" t="s">
        <v>548</v>
      </c>
      <c r="K3" s="93" t="s">
        <v>1874</v>
      </c>
      <c r="L3" t="str">
        <f>E3</f>
        <v>GALP</v>
      </c>
      <c r="M3" t="s">
        <v>3489</v>
      </c>
      <c r="N3" t="s">
        <v>3489</v>
      </c>
      <c r="O3" t="s">
        <v>42</v>
      </c>
    </row>
    <row r="4" spans="1:15" ht="15.75" thickBot="1" x14ac:dyDescent="0.3">
      <c r="A4" s="82" t="s">
        <v>4580</v>
      </c>
      <c r="B4" s="82" t="s">
        <v>4580</v>
      </c>
      <c r="C4" s="82" t="str">
        <f t="shared" si="1"/>
        <v>X</v>
      </c>
      <c r="D4" s="216">
        <v>2022</v>
      </c>
      <c r="E4" s="83" t="s">
        <v>538</v>
      </c>
      <c r="F4" s="84">
        <f>19823+837</f>
        <v>20660</v>
      </c>
      <c r="G4" s="218" t="s">
        <v>589</v>
      </c>
      <c r="H4" s="401"/>
      <c r="I4" s="84"/>
      <c r="J4" s="85" t="s">
        <v>539</v>
      </c>
      <c r="K4" s="93" t="s">
        <v>1874</v>
      </c>
      <c r="L4" t="str">
        <f t="shared" ref="L4:L67" si="2">E4</f>
        <v>GALP</v>
      </c>
      <c r="M4" t="s">
        <v>3489</v>
      </c>
      <c r="N4" t="s">
        <v>3489</v>
      </c>
      <c r="O4" t="s">
        <v>42</v>
      </c>
    </row>
    <row r="5" spans="1:15" ht="15.75" thickBot="1" x14ac:dyDescent="0.3">
      <c r="A5" s="82" t="s">
        <v>4581</v>
      </c>
      <c r="B5" s="82" t="s">
        <v>4581</v>
      </c>
      <c r="C5" s="82" t="str">
        <f t="shared" si="1"/>
        <v>X</v>
      </c>
      <c r="D5" s="216">
        <v>2022</v>
      </c>
      <c r="E5" s="83" t="s">
        <v>538</v>
      </c>
      <c r="F5" s="84">
        <f>4651+0.6*96138</f>
        <v>62333.799999999996</v>
      </c>
      <c r="G5" s="218" t="s">
        <v>589</v>
      </c>
      <c r="H5" s="401"/>
      <c r="I5" s="84"/>
      <c r="J5" s="85" t="s">
        <v>1744</v>
      </c>
      <c r="K5" s="93" t="s">
        <v>1874</v>
      </c>
      <c r="L5" t="str">
        <f t="shared" si="2"/>
        <v>GALP</v>
      </c>
      <c r="M5" t="s">
        <v>3489</v>
      </c>
      <c r="N5" t="s">
        <v>3489</v>
      </c>
      <c r="O5" t="s">
        <v>42</v>
      </c>
    </row>
    <row r="6" spans="1:15" ht="15.75" thickBot="1" x14ac:dyDescent="0.3">
      <c r="A6" s="82" t="s">
        <v>4582</v>
      </c>
      <c r="B6" s="82" t="s">
        <v>4582</v>
      </c>
      <c r="C6" s="82" t="str">
        <f t="shared" si="1"/>
        <v>X</v>
      </c>
      <c r="D6" s="216">
        <v>2022</v>
      </c>
      <c r="E6" s="83" t="s">
        <v>538</v>
      </c>
      <c r="F6" s="84">
        <f>0.4*96138</f>
        <v>38455.200000000004</v>
      </c>
      <c r="G6" s="218" t="s">
        <v>589</v>
      </c>
      <c r="H6" s="401"/>
      <c r="I6" s="84"/>
      <c r="J6" s="85" t="s">
        <v>1744</v>
      </c>
      <c r="K6" s="93" t="s">
        <v>1874</v>
      </c>
      <c r="L6" t="str">
        <f t="shared" si="2"/>
        <v>GALP</v>
      </c>
      <c r="M6" t="s">
        <v>3489</v>
      </c>
      <c r="N6" t="s">
        <v>3489</v>
      </c>
      <c r="O6" t="s">
        <v>42</v>
      </c>
    </row>
    <row r="7" spans="1:15" ht="15.75" thickBot="1" x14ac:dyDescent="0.3">
      <c r="A7" s="114" t="s">
        <v>3478</v>
      </c>
      <c r="B7" s="82" t="str">
        <f t="shared" si="0"/>
        <v>Barraqueiro Transportes, S.A.</v>
      </c>
      <c r="C7" s="82" t="str">
        <f t="shared" si="1"/>
        <v>Sede</v>
      </c>
      <c r="D7" s="216">
        <v>2022</v>
      </c>
      <c r="E7" s="115" t="s">
        <v>538</v>
      </c>
      <c r="F7" s="116">
        <f>0.3*112898</f>
        <v>33869.4</v>
      </c>
      <c r="G7" s="218" t="s">
        <v>589</v>
      </c>
      <c r="H7" s="401"/>
      <c r="I7" s="116"/>
      <c r="J7" s="117"/>
      <c r="K7" s="93" t="s">
        <v>1874</v>
      </c>
      <c r="L7" t="str">
        <f t="shared" si="2"/>
        <v>GALP</v>
      </c>
      <c r="M7" t="s">
        <v>3489</v>
      </c>
      <c r="N7" t="s">
        <v>3489</v>
      </c>
      <c r="O7" t="s">
        <v>42</v>
      </c>
    </row>
    <row r="8" spans="1:15" ht="15.75" thickBot="1" x14ac:dyDescent="0.3">
      <c r="A8" s="114" t="s">
        <v>3278</v>
      </c>
      <c r="B8" s="82" t="str">
        <f t="shared" si="0"/>
        <v>Barraqueiro Transportes, S.A.</v>
      </c>
      <c r="C8" s="82" t="str">
        <f t="shared" si="1"/>
        <v>Barraqueiro Alugueres</v>
      </c>
      <c r="D8" s="216">
        <v>2022</v>
      </c>
      <c r="E8" s="115" t="s">
        <v>538</v>
      </c>
      <c r="F8" s="116">
        <f>2384+0.2*193293</f>
        <v>41042.6</v>
      </c>
      <c r="G8" s="218" t="s">
        <v>589</v>
      </c>
      <c r="H8" s="401"/>
      <c r="I8" s="116"/>
      <c r="J8" s="117"/>
      <c r="K8" s="93" t="s">
        <v>1874</v>
      </c>
      <c r="L8" t="str">
        <f t="shared" si="2"/>
        <v>GALP</v>
      </c>
      <c r="M8" t="s">
        <v>3489</v>
      </c>
      <c r="N8" t="s">
        <v>3489</v>
      </c>
      <c r="O8" t="s">
        <v>42</v>
      </c>
    </row>
    <row r="9" spans="1:15" ht="15.75" thickBot="1" x14ac:dyDescent="0.3">
      <c r="A9" s="114" t="s">
        <v>3473</v>
      </c>
      <c r="B9" s="82" t="str">
        <f t="shared" si="0"/>
        <v>Barraqueiro Transportes, S.A.</v>
      </c>
      <c r="C9" s="82" t="str">
        <f t="shared" si="1"/>
        <v>Barraqueiro Oeste</v>
      </c>
      <c r="D9" s="216">
        <v>2022</v>
      </c>
      <c r="E9" s="115" t="s">
        <v>538</v>
      </c>
      <c r="F9" s="116">
        <f>48591+4842+0.4*3896</f>
        <v>54991.4</v>
      </c>
      <c r="G9" s="218" t="s">
        <v>589</v>
      </c>
      <c r="H9" s="401"/>
      <c r="I9" s="116"/>
      <c r="J9" s="117"/>
      <c r="K9" s="93" t="s">
        <v>1874</v>
      </c>
      <c r="L9" t="str">
        <f t="shared" si="2"/>
        <v>GALP</v>
      </c>
      <c r="M9" t="s">
        <v>3489</v>
      </c>
      <c r="N9" t="s">
        <v>3489</v>
      </c>
      <c r="O9" t="s">
        <v>42</v>
      </c>
    </row>
    <row r="10" spans="1:15" ht="15.75" thickBot="1" x14ac:dyDescent="0.3">
      <c r="A10" s="114" t="s">
        <v>3474</v>
      </c>
      <c r="B10" s="82" t="str">
        <f t="shared" si="0"/>
        <v>Barraqueiro Transportes, S.A.</v>
      </c>
      <c r="C10" s="82" t="str">
        <f t="shared" si="1"/>
        <v>Boa Viagem</v>
      </c>
      <c r="D10" s="216">
        <v>2022</v>
      </c>
      <c r="E10" s="115" t="s">
        <v>538</v>
      </c>
      <c r="F10" s="116">
        <f>92289+0.2*3896</f>
        <v>93068.2</v>
      </c>
      <c r="G10" s="218" t="s">
        <v>589</v>
      </c>
      <c r="H10" s="401"/>
      <c r="I10" s="116"/>
      <c r="J10" s="117"/>
      <c r="K10" s="93" t="s">
        <v>1874</v>
      </c>
      <c r="L10" t="str">
        <f t="shared" si="2"/>
        <v>GALP</v>
      </c>
      <c r="M10" t="s">
        <v>3489</v>
      </c>
      <c r="N10" t="s">
        <v>3489</v>
      </c>
      <c r="O10" t="s">
        <v>42</v>
      </c>
    </row>
    <row r="11" spans="1:15" ht="15.75" thickBot="1" x14ac:dyDescent="0.3">
      <c r="A11" s="114" t="s">
        <v>3524</v>
      </c>
      <c r="B11" s="82" t="str">
        <f t="shared" si="0"/>
        <v>Barraqueiro Transportes, S.A.</v>
      </c>
      <c r="C11" s="82" t="str">
        <f t="shared" si="1"/>
        <v>ESEVEL</v>
      </c>
      <c r="D11" s="216">
        <v>2022</v>
      </c>
      <c r="E11" s="115" t="s">
        <v>538</v>
      </c>
      <c r="F11" s="116">
        <f>0.8*193293</f>
        <v>154634.4</v>
      </c>
      <c r="G11" s="218" t="s">
        <v>589</v>
      </c>
      <c r="H11" s="401"/>
      <c r="I11" s="116"/>
      <c r="J11" s="117"/>
      <c r="K11" s="93" t="s">
        <v>1874</v>
      </c>
      <c r="L11" t="str">
        <f t="shared" si="2"/>
        <v>GALP</v>
      </c>
      <c r="M11" t="s">
        <v>3489</v>
      </c>
      <c r="N11" t="s">
        <v>3489</v>
      </c>
      <c r="O11" t="s">
        <v>42</v>
      </c>
    </row>
    <row r="12" spans="1:15" ht="15.75" thickBot="1" x14ac:dyDescent="0.3">
      <c r="A12" s="114" t="s">
        <v>3471</v>
      </c>
      <c r="B12" s="82" t="str">
        <f t="shared" si="0"/>
        <v>Barraqueiro Transportes, S.A.</v>
      </c>
      <c r="C12" s="82" t="str">
        <f t="shared" si="1"/>
        <v>Estremadura</v>
      </c>
      <c r="D12" s="216">
        <v>2022</v>
      </c>
      <c r="E12" s="115" t="s">
        <v>538</v>
      </c>
      <c r="F12" s="116">
        <f>0.7*112898</f>
        <v>79028.599999999991</v>
      </c>
      <c r="G12" s="218" t="s">
        <v>589</v>
      </c>
      <c r="H12" s="401"/>
      <c r="I12" s="116"/>
      <c r="J12" s="117"/>
      <c r="K12" s="93" t="s">
        <v>1874</v>
      </c>
      <c r="L12" t="str">
        <f t="shared" si="2"/>
        <v>GALP</v>
      </c>
      <c r="M12" t="s">
        <v>3489</v>
      </c>
      <c r="N12" t="s">
        <v>3489</v>
      </c>
      <c r="O12" t="s">
        <v>42</v>
      </c>
    </row>
    <row r="13" spans="1:15" ht="15.75" thickBot="1" x14ac:dyDescent="0.3">
      <c r="A13" s="114" t="s">
        <v>3609</v>
      </c>
      <c r="B13" s="82" t="str">
        <f t="shared" si="0"/>
        <v>Barraqueiro TTransportes, S.A.</v>
      </c>
      <c r="C13" s="82" t="str">
        <f t="shared" si="1"/>
        <v>Mafrense</v>
      </c>
      <c r="D13" s="216">
        <v>2022</v>
      </c>
      <c r="E13" s="115" t="s">
        <v>538</v>
      </c>
      <c r="F13" s="116">
        <f>20709+0.4*3896+65819</f>
        <v>88086.399999999994</v>
      </c>
      <c r="G13" s="218" t="s">
        <v>589</v>
      </c>
      <c r="H13" s="401"/>
      <c r="I13" s="116"/>
      <c r="J13" s="117" t="s">
        <v>1848</v>
      </c>
      <c r="K13" s="93" t="s">
        <v>1874</v>
      </c>
      <c r="L13" t="str">
        <f t="shared" si="2"/>
        <v>GALP</v>
      </c>
      <c r="M13" t="s">
        <v>3489</v>
      </c>
      <c r="N13" t="s">
        <v>3489</v>
      </c>
      <c r="O13" t="s">
        <v>42</v>
      </c>
    </row>
    <row r="14" spans="1:15" ht="15.75" thickBot="1" x14ac:dyDescent="0.3">
      <c r="A14" s="114" t="s">
        <v>3472</v>
      </c>
      <c r="B14" s="82" t="str">
        <f t="shared" si="0"/>
        <v>Barraqueiro Transportes, S.A.</v>
      </c>
      <c r="C14" s="82" t="str">
        <f t="shared" si="1"/>
        <v>Frota Azul</v>
      </c>
      <c r="D14" s="216">
        <v>2022</v>
      </c>
      <c r="E14" s="115" t="s">
        <v>538</v>
      </c>
      <c r="F14" s="116">
        <v>46963</v>
      </c>
      <c r="G14" s="218" t="s">
        <v>589</v>
      </c>
      <c r="H14" s="401"/>
      <c r="I14" s="116"/>
      <c r="J14" s="117"/>
      <c r="K14" s="93" t="s">
        <v>1874</v>
      </c>
      <c r="L14" t="str">
        <f t="shared" si="2"/>
        <v>GALP</v>
      </c>
      <c r="M14" t="s">
        <v>3489</v>
      </c>
      <c r="N14" t="s">
        <v>3489</v>
      </c>
      <c r="O14" t="s">
        <v>42</v>
      </c>
    </row>
    <row r="15" spans="1:15" ht="15.75" thickBot="1" x14ac:dyDescent="0.3">
      <c r="A15" s="82" t="s">
        <v>1910</v>
      </c>
      <c r="B15" s="82" t="s">
        <v>1910</v>
      </c>
      <c r="C15" s="82" t="str">
        <f t="shared" si="1"/>
        <v>X</v>
      </c>
      <c r="D15" s="216">
        <v>2022</v>
      </c>
      <c r="E15" s="83" t="s">
        <v>538</v>
      </c>
      <c r="F15" s="84">
        <v>61246</v>
      </c>
      <c r="G15" s="218" t="s">
        <v>589</v>
      </c>
      <c r="H15" s="402"/>
      <c r="J15" s="85" t="s">
        <v>2869</v>
      </c>
      <c r="K15" s="93" t="s">
        <v>1874</v>
      </c>
      <c r="L15" t="str">
        <f t="shared" si="2"/>
        <v>GALP</v>
      </c>
      <c r="M15" t="s">
        <v>3489</v>
      </c>
      <c r="N15" t="s">
        <v>3489</v>
      </c>
      <c r="O15" t="s">
        <v>42</v>
      </c>
    </row>
    <row r="16" spans="1:15" ht="15.75" thickBot="1" x14ac:dyDescent="0.3">
      <c r="A16" s="82" t="s">
        <v>1910</v>
      </c>
      <c r="B16" s="82" t="s">
        <v>1910</v>
      </c>
      <c r="C16" s="82" t="str">
        <f t="shared" si="1"/>
        <v>X</v>
      </c>
      <c r="D16" s="216">
        <v>2022</v>
      </c>
      <c r="E16" s="83" t="s">
        <v>538</v>
      </c>
      <c r="F16" s="84">
        <v>73267</v>
      </c>
      <c r="G16" s="218" t="s">
        <v>589</v>
      </c>
      <c r="H16" s="402"/>
      <c r="J16" s="85" t="s">
        <v>2870</v>
      </c>
      <c r="K16" s="93" t="s">
        <v>1874</v>
      </c>
      <c r="L16" t="str">
        <f t="shared" si="2"/>
        <v>GALP</v>
      </c>
      <c r="M16" t="s">
        <v>3489</v>
      </c>
      <c r="N16" t="s">
        <v>3489</v>
      </c>
      <c r="O16" t="s">
        <v>42</v>
      </c>
    </row>
    <row r="17" spans="1:15" ht="15.75" thickBot="1" x14ac:dyDescent="0.3">
      <c r="A17" s="82" t="s">
        <v>1910</v>
      </c>
      <c r="B17" s="82" t="s">
        <v>1910</v>
      </c>
      <c r="C17" s="82" t="str">
        <f t="shared" si="1"/>
        <v>X</v>
      </c>
      <c r="D17" s="216">
        <v>2022</v>
      </c>
      <c r="E17" s="83" t="s">
        <v>538</v>
      </c>
      <c r="F17" s="84">
        <v>72905</v>
      </c>
      <c r="G17" s="218" t="s">
        <v>589</v>
      </c>
      <c r="H17" s="402"/>
      <c r="J17" s="85" t="s">
        <v>2871</v>
      </c>
      <c r="K17" s="93" t="s">
        <v>1874</v>
      </c>
      <c r="L17" t="str">
        <f t="shared" si="2"/>
        <v>GALP</v>
      </c>
      <c r="M17" t="s">
        <v>3489</v>
      </c>
      <c r="N17" t="s">
        <v>3489</v>
      </c>
      <c r="O17" t="s">
        <v>42</v>
      </c>
    </row>
    <row r="18" spans="1:15" ht="15.75" thickBot="1" x14ac:dyDescent="0.3">
      <c r="A18" s="82" t="s">
        <v>1910</v>
      </c>
      <c r="B18" s="82" t="s">
        <v>1910</v>
      </c>
      <c r="C18" s="82" t="str">
        <f t="shared" si="1"/>
        <v>X</v>
      </c>
      <c r="D18" s="216">
        <v>2022</v>
      </c>
      <c r="E18" s="83" t="s">
        <v>538</v>
      </c>
      <c r="F18" s="84">
        <v>58629</v>
      </c>
      <c r="G18" s="218" t="s">
        <v>589</v>
      </c>
      <c r="H18" s="402"/>
      <c r="J18" s="85" t="s">
        <v>2872</v>
      </c>
      <c r="K18" s="93" t="s">
        <v>1874</v>
      </c>
      <c r="L18" t="str">
        <f t="shared" si="2"/>
        <v>GALP</v>
      </c>
      <c r="M18" t="s">
        <v>3489</v>
      </c>
      <c r="N18" t="s">
        <v>3489</v>
      </c>
      <c r="O18" t="s">
        <v>42</v>
      </c>
    </row>
    <row r="19" spans="1:15" ht="15.75" thickBot="1" x14ac:dyDescent="0.3">
      <c r="A19" s="82" t="s">
        <v>1910</v>
      </c>
      <c r="B19" s="82" t="s">
        <v>1910</v>
      </c>
      <c r="C19" s="82" t="str">
        <f t="shared" si="1"/>
        <v>X</v>
      </c>
      <c r="D19" s="216">
        <v>2022</v>
      </c>
      <c r="E19" s="83" t="s">
        <v>538</v>
      </c>
      <c r="F19" s="84">
        <v>68302.5</v>
      </c>
      <c r="G19" s="218" t="s">
        <v>589</v>
      </c>
      <c r="H19" s="402"/>
      <c r="J19" s="85" t="s">
        <v>2873</v>
      </c>
      <c r="K19" s="93" t="s">
        <v>1874</v>
      </c>
      <c r="L19" t="str">
        <f t="shared" si="2"/>
        <v>GALP</v>
      </c>
      <c r="M19" t="s">
        <v>3489</v>
      </c>
      <c r="N19" t="s">
        <v>3489</v>
      </c>
      <c r="O19" t="s">
        <v>42</v>
      </c>
    </row>
    <row r="20" spans="1:15" ht="15.75" thickBot="1" x14ac:dyDescent="0.3">
      <c r="A20" s="82" t="s">
        <v>1910</v>
      </c>
      <c r="B20" s="82" t="s">
        <v>1910</v>
      </c>
      <c r="C20" s="82" t="str">
        <f t="shared" si="1"/>
        <v>X</v>
      </c>
      <c r="D20" s="216">
        <v>2022</v>
      </c>
      <c r="E20" s="83" t="s">
        <v>538</v>
      </c>
      <c r="F20" s="84">
        <v>55283</v>
      </c>
      <c r="G20" s="218" t="s">
        <v>589</v>
      </c>
      <c r="H20" s="402"/>
      <c r="J20" s="85" t="s">
        <v>2874</v>
      </c>
      <c r="K20" s="93" t="s">
        <v>1874</v>
      </c>
      <c r="L20" t="str">
        <f t="shared" si="2"/>
        <v>GALP</v>
      </c>
      <c r="M20" t="s">
        <v>3489</v>
      </c>
      <c r="N20" t="s">
        <v>3489</v>
      </c>
      <c r="O20" t="s">
        <v>42</v>
      </c>
    </row>
    <row r="21" spans="1:15" ht="15.75" thickBot="1" x14ac:dyDescent="0.3">
      <c r="A21" s="82" t="s">
        <v>1910</v>
      </c>
      <c r="B21" s="82" t="s">
        <v>1910</v>
      </c>
      <c r="C21" s="82" t="str">
        <f t="shared" si="1"/>
        <v>X</v>
      </c>
      <c r="D21" s="216">
        <v>2022</v>
      </c>
      <c r="E21" s="83" t="s">
        <v>538</v>
      </c>
      <c r="F21" s="84">
        <v>59733.2</v>
      </c>
      <c r="G21" s="218" t="s">
        <v>589</v>
      </c>
      <c r="H21" s="402"/>
      <c r="J21" s="85" t="s">
        <v>2875</v>
      </c>
      <c r="K21" s="93" t="s">
        <v>1874</v>
      </c>
      <c r="L21" t="str">
        <f t="shared" si="2"/>
        <v>GALP</v>
      </c>
      <c r="M21" t="s">
        <v>3489</v>
      </c>
      <c r="N21" t="s">
        <v>3489</v>
      </c>
      <c r="O21" t="s">
        <v>42</v>
      </c>
    </row>
    <row r="22" spans="1:15" ht="15.75" thickBot="1" x14ac:dyDescent="0.3">
      <c r="A22" s="82" t="s">
        <v>1910</v>
      </c>
      <c r="B22" s="82" t="s">
        <v>1910</v>
      </c>
      <c r="C22" s="82" t="str">
        <f t="shared" si="1"/>
        <v>X</v>
      </c>
      <c r="D22" s="216">
        <v>2022</v>
      </c>
      <c r="E22" s="83" t="s">
        <v>538</v>
      </c>
      <c r="F22" s="84">
        <v>59736</v>
      </c>
      <c r="G22" s="218" t="s">
        <v>589</v>
      </c>
      <c r="H22" s="402"/>
      <c r="J22" s="85" t="s">
        <v>2876</v>
      </c>
      <c r="K22" s="93" t="s">
        <v>1874</v>
      </c>
      <c r="L22" t="str">
        <f t="shared" si="2"/>
        <v>GALP</v>
      </c>
      <c r="M22" t="s">
        <v>3489</v>
      </c>
      <c r="N22" t="s">
        <v>3489</v>
      </c>
      <c r="O22" t="s">
        <v>42</v>
      </c>
    </row>
    <row r="23" spans="1:15" ht="15.75" thickBot="1" x14ac:dyDescent="0.3">
      <c r="A23" s="82" t="s">
        <v>1910</v>
      </c>
      <c r="B23" s="82" t="s">
        <v>1910</v>
      </c>
      <c r="C23" s="82" t="str">
        <f t="shared" si="1"/>
        <v>X</v>
      </c>
      <c r="D23" s="216">
        <v>2022</v>
      </c>
      <c r="E23" s="83" t="s">
        <v>538</v>
      </c>
      <c r="F23" s="84">
        <v>60731</v>
      </c>
      <c r="G23" s="218" t="s">
        <v>589</v>
      </c>
      <c r="H23" s="402"/>
      <c r="J23" s="85" t="s">
        <v>2877</v>
      </c>
      <c r="K23" s="93" t="s">
        <v>1874</v>
      </c>
      <c r="L23" t="str">
        <f t="shared" si="2"/>
        <v>GALP</v>
      </c>
      <c r="M23" t="s">
        <v>3489</v>
      </c>
      <c r="N23" t="s">
        <v>3489</v>
      </c>
      <c r="O23" t="s">
        <v>42</v>
      </c>
    </row>
    <row r="24" spans="1:15" ht="15.75" thickBot="1" x14ac:dyDescent="0.3">
      <c r="A24" s="82" t="s">
        <v>1910</v>
      </c>
      <c r="B24" s="82" t="s">
        <v>1910</v>
      </c>
      <c r="C24" s="82" t="str">
        <f t="shared" si="1"/>
        <v>X</v>
      </c>
      <c r="D24" s="216">
        <v>2022</v>
      </c>
      <c r="E24" s="83" t="s">
        <v>538</v>
      </c>
      <c r="F24" s="84">
        <v>71348</v>
      </c>
      <c r="G24" s="218" t="s">
        <v>589</v>
      </c>
      <c r="H24" s="402"/>
      <c r="J24" s="85" t="s">
        <v>2878</v>
      </c>
      <c r="K24" s="93" t="s">
        <v>1874</v>
      </c>
      <c r="L24" t="str">
        <f t="shared" si="2"/>
        <v>GALP</v>
      </c>
      <c r="M24" t="s">
        <v>3489</v>
      </c>
      <c r="N24" t="s">
        <v>3489</v>
      </c>
      <c r="O24" t="s">
        <v>42</v>
      </c>
    </row>
    <row r="25" spans="1:15" ht="15.75" thickBot="1" x14ac:dyDescent="0.3">
      <c r="A25" s="82" t="s">
        <v>1910</v>
      </c>
      <c r="B25" s="82" t="s">
        <v>1910</v>
      </c>
      <c r="C25" s="82" t="str">
        <f t="shared" si="1"/>
        <v>X</v>
      </c>
      <c r="D25" s="216">
        <v>2022</v>
      </c>
      <c r="E25" s="83" t="s">
        <v>538</v>
      </c>
      <c r="F25" s="84">
        <v>57477</v>
      </c>
      <c r="G25" s="218" t="s">
        <v>589</v>
      </c>
      <c r="H25" s="402"/>
      <c r="J25" s="85" t="s">
        <v>2879</v>
      </c>
      <c r="K25" s="93" t="s">
        <v>1874</v>
      </c>
      <c r="L25" t="str">
        <f t="shared" si="2"/>
        <v>GALP</v>
      </c>
      <c r="M25" t="s">
        <v>3489</v>
      </c>
      <c r="N25" t="s">
        <v>3489</v>
      </c>
      <c r="O25" t="s">
        <v>42</v>
      </c>
    </row>
    <row r="26" spans="1:15" ht="15.75" thickBot="1" x14ac:dyDescent="0.3">
      <c r="A26" s="82" t="s">
        <v>1910</v>
      </c>
      <c r="B26" s="82" t="s">
        <v>1910</v>
      </c>
      <c r="C26" s="82" t="str">
        <f t="shared" si="1"/>
        <v>X</v>
      </c>
      <c r="D26" s="216">
        <v>2022</v>
      </c>
      <c r="E26" s="83" t="s">
        <v>538</v>
      </c>
      <c r="F26" s="84">
        <v>61859</v>
      </c>
      <c r="G26" s="218" t="s">
        <v>589</v>
      </c>
      <c r="H26" s="402"/>
      <c r="J26" s="85" t="s">
        <v>2880</v>
      </c>
      <c r="K26" s="93" t="s">
        <v>1874</v>
      </c>
      <c r="L26" t="str">
        <f t="shared" si="2"/>
        <v>GALP</v>
      </c>
      <c r="M26" t="s">
        <v>3489</v>
      </c>
      <c r="N26" t="s">
        <v>3489</v>
      </c>
      <c r="O26" t="s">
        <v>42</v>
      </c>
    </row>
    <row r="27" spans="1:15" ht="15.75" thickBot="1" x14ac:dyDescent="0.3">
      <c r="A27" s="82" t="s">
        <v>1912</v>
      </c>
      <c r="B27" s="82" t="s">
        <v>1912</v>
      </c>
      <c r="C27" s="82" t="str">
        <f t="shared" si="1"/>
        <v>X</v>
      </c>
      <c r="D27" s="216">
        <v>2022</v>
      </c>
      <c r="E27" s="83" t="s">
        <v>538</v>
      </c>
      <c r="F27" s="84">
        <f>17765.5+3419+8286</f>
        <v>29470.5</v>
      </c>
      <c r="G27" s="218" t="s">
        <v>589</v>
      </c>
      <c r="H27" s="402"/>
      <c r="J27" s="85"/>
      <c r="K27" s="93" t="s">
        <v>1874</v>
      </c>
      <c r="L27" t="str">
        <f t="shared" si="2"/>
        <v>GALP</v>
      </c>
      <c r="M27" t="s">
        <v>3489</v>
      </c>
      <c r="N27" t="s">
        <v>3489</v>
      </c>
      <c r="O27" t="s">
        <v>42</v>
      </c>
    </row>
    <row r="28" spans="1:15" ht="15.75" thickBot="1" x14ac:dyDescent="0.3">
      <c r="A28" s="82" t="s">
        <v>1915</v>
      </c>
      <c r="B28" s="82" t="s">
        <v>1915</v>
      </c>
      <c r="C28" s="82" t="str">
        <f t="shared" si="1"/>
        <v>X</v>
      </c>
      <c r="D28" s="216">
        <v>2022</v>
      </c>
      <c r="E28" s="83" t="s">
        <v>538</v>
      </c>
      <c r="F28" s="84">
        <v>342144</v>
      </c>
      <c r="G28" s="218" t="s">
        <v>589</v>
      </c>
      <c r="H28" s="402"/>
      <c r="J28" s="85">
        <v>2023</v>
      </c>
      <c r="K28" s="93" t="s">
        <v>1874</v>
      </c>
      <c r="L28" t="str">
        <f t="shared" si="2"/>
        <v>GALP</v>
      </c>
      <c r="M28" t="s">
        <v>3489</v>
      </c>
      <c r="N28" t="s">
        <v>3489</v>
      </c>
      <c r="O28" t="s">
        <v>42</v>
      </c>
    </row>
    <row r="29" spans="1:15" ht="15.75" thickBot="1" x14ac:dyDescent="0.3">
      <c r="A29" s="82" t="s">
        <v>1916</v>
      </c>
      <c r="B29" s="82" t="s">
        <v>1916</v>
      </c>
      <c r="C29" s="82" t="str">
        <f t="shared" si="1"/>
        <v>X</v>
      </c>
      <c r="D29" s="216">
        <v>2022</v>
      </c>
      <c r="E29" s="83" t="s">
        <v>538</v>
      </c>
      <c r="F29" s="84">
        <f>374293-6805</f>
        <v>367488</v>
      </c>
      <c r="G29" s="218" t="s">
        <v>589</v>
      </c>
      <c r="H29" s="402"/>
      <c r="J29" s="85" t="s">
        <v>2881</v>
      </c>
      <c r="K29" s="93" t="s">
        <v>1874</v>
      </c>
      <c r="L29" t="str">
        <f t="shared" si="2"/>
        <v>GALP</v>
      </c>
      <c r="M29" t="s">
        <v>3489</v>
      </c>
      <c r="N29" t="s">
        <v>3489</v>
      </c>
      <c r="O29" t="s">
        <v>42</v>
      </c>
    </row>
    <row r="30" spans="1:15" ht="15.75" thickBot="1" x14ac:dyDescent="0.3">
      <c r="A30" s="82" t="s">
        <v>4583</v>
      </c>
      <c r="B30" s="82" t="s">
        <v>4583</v>
      </c>
      <c r="C30" s="82" t="str">
        <f>IF(A30=B30,"X",RIGHT(A30,LEN(A30)-LEN(B30)-3))</f>
        <v>X</v>
      </c>
      <c r="D30" s="216">
        <v>2022</v>
      </c>
      <c r="E30" s="83" t="s">
        <v>538</v>
      </c>
      <c r="F30" s="84">
        <v>764498.36128675716</v>
      </c>
      <c r="G30" s="218" t="s">
        <v>589</v>
      </c>
      <c r="H30" s="402"/>
      <c r="J30" s="85" t="s">
        <v>2882</v>
      </c>
      <c r="K30" s="93" t="s">
        <v>1874</v>
      </c>
      <c r="L30" t="str">
        <f t="shared" si="2"/>
        <v>GALP</v>
      </c>
      <c r="M30" t="s">
        <v>3489</v>
      </c>
      <c r="N30" t="s">
        <v>3489</v>
      </c>
      <c r="O30" t="s">
        <v>42</v>
      </c>
    </row>
    <row r="31" spans="1:15" ht="15.75" thickBot="1" x14ac:dyDescent="0.3">
      <c r="A31" s="82" t="s">
        <v>4584</v>
      </c>
      <c r="B31" s="82" t="s">
        <v>4584</v>
      </c>
      <c r="C31" s="82" t="str">
        <f t="shared" si="1"/>
        <v>X</v>
      </c>
      <c r="D31" s="216">
        <v>2022</v>
      </c>
      <c r="E31" s="83" t="s">
        <v>538</v>
      </c>
      <c r="F31" s="84">
        <v>52838.428859768654</v>
      </c>
      <c r="G31" s="218" t="s">
        <v>589</v>
      </c>
      <c r="H31" s="402"/>
      <c r="J31" s="85"/>
      <c r="K31" s="93" t="s">
        <v>1874</v>
      </c>
      <c r="L31" t="str">
        <f t="shared" si="2"/>
        <v>GALP</v>
      </c>
      <c r="M31" t="s">
        <v>3489</v>
      </c>
      <c r="N31" t="s">
        <v>3489</v>
      </c>
      <c r="O31" t="s">
        <v>42</v>
      </c>
    </row>
    <row r="32" spans="1:15" ht="15.75" thickBot="1" x14ac:dyDescent="0.3">
      <c r="A32" s="82" t="s">
        <v>3475</v>
      </c>
      <c r="B32" s="82" t="s">
        <v>3475</v>
      </c>
      <c r="C32" s="82" t="str">
        <f t="shared" si="1"/>
        <v>X</v>
      </c>
      <c r="D32" s="216">
        <v>2022</v>
      </c>
      <c r="E32" s="83" t="s">
        <v>538</v>
      </c>
      <c r="F32" s="84">
        <v>56619.841628353337</v>
      </c>
      <c r="G32" s="218" t="s">
        <v>589</v>
      </c>
      <c r="H32" s="402"/>
      <c r="J32" s="85"/>
      <c r="K32" s="93" t="s">
        <v>1874</v>
      </c>
      <c r="L32" t="str">
        <f t="shared" si="2"/>
        <v>GALP</v>
      </c>
      <c r="M32" t="s">
        <v>3489</v>
      </c>
      <c r="N32" t="s">
        <v>3489</v>
      </c>
      <c r="O32" t="s">
        <v>42</v>
      </c>
    </row>
    <row r="33" spans="1:15" ht="15.75" thickBot="1" x14ac:dyDescent="0.3">
      <c r="A33" s="82" t="s">
        <v>4591</v>
      </c>
      <c r="B33" s="82" t="s">
        <v>4591</v>
      </c>
      <c r="C33" s="82" t="str">
        <f t="shared" si="1"/>
        <v>X</v>
      </c>
      <c r="D33" s="216">
        <v>2022</v>
      </c>
      <c r="E33" s="263" t="s">
        <v>538</v>
      </c>
      <c r="F33" s="84">
        <v>4514</v>
      </c>
      <c r="G33" s="218" t="s">
        <v>589</v>
      </c>
      <c r="H33" s="402"/>
      <c r="J33" s="85" t="s">
        <v>2869</v>
      </c>
      <c r="K33" s="93" t="s">
        <v>1874</v>
      </c>
      <c r="L33" t="str">
        <f t="shared" si="2"/>
        <v>GALP</v>
      </c>
      <c r="M33" t="s">
        <v>3489</v>
      </c>
      <c r="N33" t="s">
        <v>3489</v>
      </c>
      <c r="O33" t="s">
        <v>42</v>
      </c>
    </row>
    <row r="34" spans="1:15" ht="15.75" thickBot="1" x14ac:dyDescent="0.3">
      <c r="A34" s="82" t="s">
        <v>4591</v>
      </c>
      <c r="B34" s="82" t="s">
        <v>4591</v>
      </c>
      <c r="C34" s="82" t="str">
        <f t="shared" si="1"/>
        <v>X</v>
      </c>
      <c r="D34" s="216">
        <v>2022</v>
      </c>
      <c r="E34" s="83" t="s">
        <v>538</v>
      </c>
      <c r="F34" s="84">
        <v>4667</v>
      </c>
      <c r="G34" s="218" t="s">
        <v>589</v>
      </c>
      <c r="H34" s="402"/>
      <c r="J34" s="85" t="s">
        <v>2870</v>
      </c>
      <c r="K34" s="93" t="s">
        <v>1874</v>
      </c>
      <c r="L34" t="str">
        <f t="shared" si="2"/>
        <v>GALP</v>
      </c>
      <c r="M34" t="s">
        <v>3489</v>
      </c>
      <c r="N34" t="s">
        <v>3489</v>
      </c>
      <c r="O34" t="s">
        <v>42</v>
      </c>
    </row>
    <row r="35" spans="1:15" ht="15.75" thickBot="1" x14ac:dyDescent="0.3">
      <c r="A35" s="82" t="s">
        <v>4591</v>
      </c>
      <c r="B35" s="82" t="s">
        <v>4591</v>
      </c>
      <c r="C35" s="82" t="str">
        <f t="shared" si="1"/>
        <v>X</v>
      </c>
      <c r="D35" s="216">
        <v>2022</v>
      </c>
      <c r="E35" s="83" t="s">
        <v>538</v>
      </c>
      <c r="F35" s="84">
        <v>4434</v>
      </c>
      <c r="G35" s="218" t="s">
        <v>589</v>
      </c>
      <c r="H35" s="402"/>
      <c r="J35" s="85" t="s">
        <v>2871</v>
      </c>
      <c r="K35" s="93" t="s">
        <v>1874</v>
      </c>
      <c r="L35" t="str">
        <f t="shared" si="2"/>
        <v>GALP</v>
      </c>
      <c r="M35" t="s">
        <v>3489</v>
      </c>
      <c r="N35" t="s">
        <v>3489</v>
      </c>
      <c r="O35" t="s">
        <v>42</v>
      </c>
    </row>
    <row r="36" spans="1:15" ht="15.75" thickBot="1" x14ac:dyDescent="0.3">
      <c r="A36" s="82" t="s">
        <v>4591</v>
      </c>
      <c r="B36" s="82" t="s">
        <v>4591</v>
      </c>
      <c r="C36" s="82" t="str">
        <f t="shared" si="1"/>
        <v>X</v>
      </c>
      <c r="D36" s="216">
        <v>2022</v>
      </c>
      <c r="E36" s="83" t="s">
        <v>538</v>
      </c>
      <c r="F36" s="84">
        <v>3925</v>
      </c>
      <c r="G36" s="218" t="s">
        <v>589</v>
      </c>
      <c r="H36" s="402"/>
      <c r="J36" s="85" t="s">
        <v>2872</v>
      </c>
      <c r="K36" s="93" t="s">
        <v>1874</v>
      </c>
      <c r="L36" t="str">
        <f t="shared" si="2"/>
        <v>GALP</v>
      </c>
      <c r="M36" t="s">
        <v>3489</v>
      </c>
      <c r="N36" t="s">
        <v>3489</v>
      </c>
      <c r="O36" t="s">
        <v>42</v>
      </c>
    </row>
    <row r="37" spans="1:15" ht="15.75" thickBot="1" x14ac:dyDescent="0.3">
      <c r="A37" s="82" t="s">
        <v>4591</v>
      </c>
      <c r="B37" s="82" t="s">
        <v>4591</v>
      </c>
      <c r="C37" s="82" t="str">
        <f t="shared" si="1"/>
        <v>X</v>
      </c>
      <c r="D37" s="216">
        <v>2022</v>
      </c>
      <c r="E37" s="83" t="s">
        <v>538</v>
      </c>
      <c r="F37" s="84">
        <v>3575</v>
      </c>
      <c r="G37" s="218" t="s">
        <v>589</v>
      </c>
      <c r="H37" s="402"/>
      <c r="J37" s="85" t="s">
        <v>2873</v>
      </c>
      <c r="K37" s="93" t="s">
        <v>1874</v>
      </c>
      <c r="L37" t="str">
        <f t="shared" si="2"/>
        <v>GALP</v>
      </c>
      <c r="M37" t="s">
        <v>3489</v>
      </c>
      <c r="N37" t="s">
        <v>3489</v>
      </c>
      <c r="O37" t="s">
        <v>42</v>
      </c>
    </row>
    <row r="38" spans="1:15" ht="15.75" thickBot="1" x14ac:dyDescent="0.3">
      <c r="A38" s="82" t="s">
        <v>4591</v>
      </c>
      <c r="B38" s="82" t="s">
        <v>4591</v>
      </c>
      <c r="C38" s="82" t="str">
        <f t="shared" si="1"/>
        <v>X</v>
      </c>
      <c r="D38" s="216">
        <v>2022</v>
      </c>
      <c r="E38" s="83" t="s">
        <v>538</v>
      </c>
      <c r="F38" s="84">
        <v>4118</v>
      </c>
      <c r="G38" s="218" t="s">
        <v>589</v>
      </c>
      <c r="H38" s="402"/>
      <c r="J38" s="85" t="s">
        <v>2874</v>
      </c>
      <c r="K38" s="93" t="s">
        <v>1874</v>
      </c>
      <c r="L38" t="str">
        <f t="shared" si="2"/>
        <v>GALP</v>
      </c>
      <c r="M38" t="s">
        <v>3489</v>
      </c>
      <c r="N38" t="s">
        <v>3489</v>
      </c>
      <c r="O38" t="s">
        <v>42</v>
      </c>
    </row>
    <row r="39" spans="1:15" ht="15.75" thickBot="1" x14ac:dyDescent="0.3">
      <c r="A39" s="82" t="s">
        <v>4591</v>
      </c>
      <c r="B39" s="82" t="s">
        <v>4591</v>
      </c>
      <c r="C39" s="82" t="str">
        <f t="shared" si="1"/>
        <v>X</v>
      </c>
      <c r="D39" s="216">
        <v>2022</v>
      </c>
      <c r="E39" s="83" t="s">
        <v>538</v>
      </c>
      <c r="F39" s="84">
        <v>4489</v>
      </c>
      <c r="G39" s="218" t="s">
        <v>589</v>
      </c>
      <c r="H39" s="402"/>
      <c r="J39" s="85" t="s">
        <v>2875</v>
      </c>
      <c r="K39" s="93" t="s">
        <v>1874</v>
      </c>
      <c r="L39" t="str">
        <f t="shared" si="2"/>
        <v>GALP</v>
      </c>
      <c r="M39" t="s">
        <v>3489</v>
      </c>
      <c r="N39" t="s">
        <v>3489</v>
      </c>
      <c r="O39" t="s">
        <v>42</v>
      </c>
    </row>
    <row r="40" spans="1:15" ht="15.75" thickBot="1" x14ac:dyDescent="0.3">
      <c r="A40" s="82" t="s">
        <v>4591</v>
      </c>
      <c r="B40" s="82" t="s">
        <v>4591</v>
      </c>
      <c r="C40" s="82" t="str">
        <f t="shared" si="1"/>
        <v>X</v>
      </c>
      <c r="D40" s="216">
        <v>2022</v>
      </c>
      <c r="E40" s="83" t="s">
        <v>538</v>
      </c>
      <c r="F40" s="84">
        <v>4745</v>
      </c>
      <c r="G40" s="218" t="s">
        <v>589</v>
      </c>
      <c r="H40" s="402"/>
      <c r="J40" s="85" t="s">
        <v>2876</v>
      </c>
      <c r="K40" s="93" t="s">
        <v>1874</v>
      </c>
      <c r="L40" t="str">
        <f t="shared" si="2"/>
        <v>GALP</v>
      </c>
      <c r="M40" t="s">
        <v>3489</v>
      </c>
      <c r="N40" t="s">
        <v>3489</v>
      </c>
      <c r="O40" t="s">
        <v>42</v>
      </c>
    </row>
    <row r="41" spans="1:15" ht="15.75" thickBot="1" x14ac:dyDescent="0.3">
      <c r="A41" s="82" t="s">
        <v>4591</v>
      </c>
      <c r="B41" s="82" t="s">
        <v>4591</v>
      </c>
      <c r="C41" s="82" t="str">
        <f t="shared" si="1"/>
        <v>X</v>
      </c>
      <c r="D41" s="216">
        <v>2022</v>
      </c>
      <c r="E41" s="83" t="s">
        <v>538</v>
      </c>
      <c r="F41" s="84">
        <v>4767</v>
      </c>
      <c r="G41" s="218" t="s">
        <v>589</v>
      </c>
      <c r="H41" s="402"/>
      <c r="J41" s="85" t="s">
        <v>2877</v>
      </c>
      <c r="K41" s="93" t="s">
        <v>1874</v>
      </c>
      <c r="L41" t="str">
        <f t="shared" si="2"/>
        <v>GALP</v>
      </c>
      <c r="M41" t="s">
        <v>3489</v>
      </c>
      <c r="N41" t="s">
        <v>3489</v>
      </c>
      <c r="O41" t="s">
        <v>42</v>
      </c>
    </row>
    <row r="42" spans="1:15" ht="15.75" thickBot="1" x14ac:dyDescent="0.3">
      <c r="A42" s="82" t="s">
        <v>4591</v>
      </c>
      <c r="B42" s="82" t="s">
        <v>4591</v>
      </c>
      <c r="C42" s="82" t="str">
        <f t="shared" si="1"/>
        <v>X</v>
      </c>
      <c r="D42" s="216">
        <v>2022</v>
      </c>
      <c r="E42" s="83" t="s">
        <v>538</v>
      </c>
      <c r="F42" s="84">
        <v>4481</v>
      </c>
      <c r="G42" s="218" t="s">
        <v>589</v>
      </c>
      <c r="H42" s="402"/>
      <c r="J42" s="85" t="s">
        <v>2878</v>
      </c>
      <c r="K42" s="93" t="s">
        <v>1874</v>
      </c>
      <c r="L42" t="str">
        <f t="shared" si="2"/>
        <v>GALP</v>
      </c>
      <c r="M42" t="s">
        <v>3489</v>
      </c>
      <c r="N42" t="s">
        <v>3489</v>
      </c>
      <c r="O42" t="s">
        <v>42</v>
      </c>
    </row>
    <row r="43" spans="1:15" ht="15.75" thickBot="1" x14ac:dyDescent="0.3">
      <c r="A43" s="82" t="s">
        <v>4591</v>
      </c>
      <c r="B43" s="82" t="s">
        <v>4591</v>
      </c>
      <c r="C43" s="82" t="str">
        <f t="shared" si="1"/>
        <v>X</v>
      </c>
      <c r="D43" s="216">
        <v>2022</v>
      </c>
      <c r="E43" s="83" t="s">
        <v>538</v>
      </c>
      <c r="F43" s="84">
        <v>4211</v>
      </c>
      <c r="G43" s="218" t="s">
        <v>589</v>
      </c>
      <c r="H43" s="402"/>
      <c r="J43" s="85" t="s">
        <v>2879</v>
      </c>
      <c r="K43" s="93" t="s">
        <v>1874</v>
      </c>
      <c r="L43" t="str">
        <f t="shared" si="2"/>
        <v>GALP</v>
      </c>
      <c r="M43" t="s">
        <v>3489</v>
      </c>
      <c r="N43" t="s">
        <v>3489</v>
      </c>
      <c r="O43" t="s">
        <v>42</v>
      </c>
    </row>
    <row r="44" spans="1:15" ht="15.75" thickBot="1" x14ac:dyDescent="0.3">
      <c r="A44" s="82" t="s">
        <v>4591</v>
      </c>
      <c r="B44" s="82" t="s">
        <v>4591</v>
      </c>
      <c r="C44" s="82" t="str">
        <f t="shared" si="1"/>
        <v>X</v>
      </c>
      <c r="D44" s="216">
        <v>2022</v>
      </c>
      <c r="E44" s="83" t="s">
        <v>538</v>
      </c>
      <c r="F44" s="84">
        <v>7920</v>
      </c>
      <c r="G44" s="218" t="s">
        <v>589</v>
      </c>
      <c r="H44" s="402"/>
      <c r="J44" s="85" t="s">
        <v>2880</v>
      </c>
      <c r="K44" s="93" t="s">
        <v>1874</v>
      </c>
      <c r="L44" t="str">
        <f t="shared" si="2"/>
        <v>GALP</v>
      </c>
      <c r="M44" t="s">
        <v>3489</v>
      </c>
      <c r="N44" t="s">
        <v>3489</v>
      </c>
      <c r="O44" t="s">
        <v>42</v>
      </c>
    </row>
    <row r="45" spans="1:15" ht="15.75" thickBot="1" x14ac:dyDescent="0.3">
      <c r="A45" s="82" t="s">
        <v>4590</v>
      </c>
      <c r="B45" s="82" t="s">
        <v>4590</v>
      </c>
      <c r="C45" s="82" t="str">
        <f t="shared" si="1"/>
        <v>X</v>
      </c>
      <c r="D45" s="216">
        <v>2022</v>
      </c>
      <c r="E45" s="83" t="s">
        <v>538</v>
      </c>
      <c r="F45" s="84">
        <v>501470</v>
      </c>
      <c r="G45" s="218" t="s">
        <v>589</v>
      </c>
      <c r="H45" s="402"/>
      <c r="J45" s="85"/>
      <c r="K45" s="93" t="s">
        <v>1874</v>
      </c>
      <c r="L45" t="str">
        <f t="shared" si="2"/>
        <v>GALP</v>
      </c>
      <c r="M45" t="s">
        <v>3489</v>
      </c>
      <c r="N45" t="s">
        <v>3489</v>
      </c>
      <c r="O45" t="s">
        <v>42</v>
      </c>
    </row>
    <row r="46" spans="1:15" ht="15.75" thickBot="1" x14ac:dyDescent="0.3">
      <c r="A46" s="82" t="s">
        <v>4606</v>
      </c>
      <c r="B46" s="82" t="s">
        <v>4606</v>
      </c>
      <c r="C46" s="82" t="str">
        <f t="shared" si="1"/>
        <v>X</v>
      </c>
      <c r="D46" s="216">
        <v>2022</v>
      </c>
      <c r="E46" s="83" t="s">
        <v>2935</v>
      </c>
      <c r="F46" s="124">
        <v>700</v>
      </c>
      <c r="G46" s="218" t="s">
        <v>589</v>
      </c>
      <c r="H46" s="402"/>
      <c r="J46" s="85" t="s">
        <v>2883</v>
      </c>
      <c r="K46" s="93" t="s">
        <v>1874</v>
      </c>
      <c r="L46" t="s">
        <v>2939</v>
      </c>
      <c r="M46" t="s">
        <v>3489</v>
      </c>
      <c r="N46" t="s">
        <v>3489</v>
      </c>
      <c r="O46" t="s">
        <v>42</v>
      </c>
    </row>
    <row r="47" spans="1:15" ht="15.75" thickBot="1" x14ac:dyDescent="0.3">
      <c r="A47" s="82" t="s">
        <v>4606</v>
      </c>
      <c r="B47" s="82" t="s">
        <v>4606</v>
      </c>
      <c r="C47" s="82" t="str">
        <f t="shared" si="1"/>
        <v>X</v>
      </c>
      <c r="D47" s="216">
        <v>2022</v>
      </c>
      <c r="E47" s="83" t="s">
        <v>2935</v>
      </c>
      <c r="F47" s="124">
        <v>750</v>
      </c>
      <c r="G47" s="218" t="s">
        <v>589</v>
      </c>
      <c r="H47" s="402"/>
      <c r="J47" s="85" t="s">
        <v>2884</v>
      </c>
      <c r="K47" s="93" t="s">
        <v>1874</v>
      </c>
      <c r="L47" t="s">
        <v>2939</v>
      </c>
      <c r="M47" t="s">
        <v>3489</v>
      </c>
      <c r="N47" t="s">
        <v>3489</v>
      </c>
      <c r="O47" t="s">
        <v>42</v>
      </c>
    </row>
    <row r="48" spans="1:15" ht="15.75" thickBot="1" x14ac:dyDescent="0.3">
      <c r="A48" s="82" t="s">
        <v>4606</v>
      </c>
      <c r="B48" s="82" t="s">
        <v>4606</v>
      </c>
      <c r="C48" s="82" t="str">
        <f t="shared" si="1"/>
        <v>X</v>
      </c>
      <c r="D48" s="216">
        <v>2022</v>
      </c>
      <c r="E48" s="83" t="s">
        <v>2935</v>
      </c>
      <c r="F48" s="124">
        <v>1636</v>
      </c>
      <c r="G48" s="218" t="s">
        <v>589</v>
      </c>
      <c r="H48" s="402"/>
      <c r="J48" s="85" t="s">
        <v>2885</v>
      </c>
      <c r="K48" s="93" t="s">
        <v>1874</v>
      </c>
      <c r="L48" t="s">
        <v>2939</v>
      </c>
      <c r="M48" t="s">
        <v>3489</v>
      </c>
      <c r="N48" t="s">
        <v>3489</v>
      </c>
      <c r="O48" t="s">
        <v>42</v>
      </c>
    </row>
    <row r="49" spans="1:15" ht="15.75" thickBot="1" x14ac:dyDescent="0.3">
      <c r="A49" s="82" t="s">
        <v>4606</v>
      </c>
      <c r="B49" s="82" t="s">
        <v>4606</v>
      </c>
      <c r="C49" s="82" t="str">
        <f t="shared" si="1"/>
        <v>X</v>
      </c>
      <c r="D49" s="216">
        <v>2022</v>
      </c>
      <c r="E49" s="83" t="s">
        <v>2935</v>
      </c>
      <c r="F49" s="124">
        <v>1229</v>
      </c>
      <c r="G49" s="218" t="s">
        <v>589</v>
      </c>
      <c r="H49" s="402"/>
      <c r="J49" s="85" t="s">
        <v>2886</v>
      </c>
      <c r="K49" s="93" t="s">
        <v>1874</v>
      </c>
      <c r="L49" t="s">
        <v>2939</v>
      </c>
      <c r="M49" t="s">
        <v>3489</v>
      </c>
      <c r="N49" t="s">
        <v>3489</v>
      </c>
      <c r="O49" t="s">
        <v>42</v>
      </c>
    </row>
    <row r="50" spans="1:15" ht="15.75" thickBot="1" x14ac:dyDescent="0.3">
      <c r="A50" s="82" t="s">
        <v>4606</v>
      </c>
      <c r="B50" s="82" t="s">
        <v>4606</v>
      </c>
      <c r="C50" s="82" t="str">
        <f t="shared" si="1"/>
        <v>X</v>
      </c>
      <c r="D50" s="216">
        <v>2022</v>
      </c>
      <c r="E50" s="83" t="s">
        <v>2935</v>
      </c>
      <c r="F50" s="124">
        <v>1383</v>
      </c>
      <c r="G50" s="218" t="s">
        <v>589</v>
      </c>
      <c r="H50" s="402"/>
      <c r="J50" s="85" t="s">
        <v>2887</v>
      </c>
      <c r="K50" s="93" t="s">
        <v>1874</v>
      </c>
      <c r="L50" t="s">
        <v>2939</v>
      </c>
      <c r="M50" t="s">
        <v>3489</v>
      </c>
      <c r="N50" t="s">
        <v>3489</v>
      </c>
      <c r="O50" t="s">
        <v>42</v>
      </c>
    </row>
    <row r="51" spans="1:15" ht="15.75" thickBot="1" x14ac:dyDescent="0.3">
      <c r="A51" s="82" t="s">
        <v>4606</v>
      </c>
      <c r="B51" s="82" t="s">
        <v>4606</v>
      </c>
      <c r="C51" s="82" t="str">
        <f t="shared" si="1"/>
        <v>X</v>
      </c>
      <c r="D51" s="216">
        <v>2022</v>
      </c>
      <c r="E51" s="83" t="s">
        <v>2935</v>
      </c>
      <c r="F51" s="124">
        <v>1150</v>
      </c>
      <c r="G51" s="218" t="s">
        <v>589</v>
      </c>
      <c r="H51" s="402"/>
      <c r="J51" s="85" t="s">
        <v>2888</v>
      </c>
      <c r="K51" s="93" t="s">
        <v>1874</v>
      </c>
      <c r="L51" t="s">
        <v>2939</v>
      </c>
      <c r="M51" t="s">
        <v>3489</v>
      </c>
      <c r="N51" t="s">
        <v>3489</v>
      </c>
      <c r="O51" t="s">
        <v>42</v>
      </c>
    </row>
    <row r="52" spans="1:15" ht="15.75" thickBot="1" x14ac:dyDescent="0.3">
      <c r="A52" s="82" t="s">
        <v>4606</v>
      </c>
      <c r="B52" s="82" t="s">
        <v>4606</v>
      </c>
      <c r="C52" s="82" t="str">
        <f t="shared" si="1"/>
        <v>X</v>
      </c>
      <c r="D52" s="216">
        <v>2022</v>
      </c>
      <c r="E52" s="83" t="s">
        <v>2935</v>
      </c>
      <c r="F52" s="124">
        <v>1372</v>
      </c>
      <c r="G52" s="218" t="s">
        <v>589</v>
      </c>
      <c r="H52" s="402"/>
      <c r="J52" s="85" t="s">
        <v>2889</v>
      </c>
      <c r="K52" s="93" t="s">
        <v>1874</v>
      </c>
      <c r="L52" t="s">
        <v>2939</v>
      </c>
      <c r="M52" t="s">
        <v>3489</v>
      </c>
      <c r="N52" t="s">
        <v>3489</v>
      </c>
      <c r="O52" t="s">
        <v>42</v>
      </c>
    </row>
    <row r="53" spans="1:15" ht="15.75" thickBot="1" x14ac:dyDescent="0.3">
      <c r="A53" s="82" t="s">
        <v>4606</v>
      </c>
      <c r="B53" s="82" t="s">
        <v>4606</v>
      </c>
      <c r="C53" s="82" t="str">
        <f t="shared" si="1"/>
        <v>X</v>
      </c>
      <c r="D53" s="216">
        <v>2022</v>
      </c>
      <c r="E53" s="83" t="s">
        <v>2935</v>
      </c>
      <c r="F53" s="124">
        <v>1613</v>
      </c>
      <c r="G53" s="218" t="s">
        <v>589</v>
      </c>
      <c r="H53" s="402"/>
      <c r="J53" s="85" t="s">
        <v>2890</v>
      </c>
      <c r="K53" s="93" t="s">
        <v>1874</v>
      </c>
      <c r="L53" t="s">
        <v>2939</v>
      </c>
      <c r="M53" t="s">
        <v>3489</v>
      </c>
      <c r="N53" t="s">
        <v>3489</v>
      </c>
      <c r="O53" t="s">
        <v>42</v>
      </c>
    </row>
    <row r="54" spans="1:15" ht="15.75" thickBot="1" x14ac:dyDescent="0.3">
      <c r="A54" s="82" t="s">
        <v>4606</v>
      </c>
      <c r="B54" s="82" t="s">
        <v>4606</v>
      </c>
      <c r="C54" s="82" t="str">
        <f t="shared" si="1"/>
        <v>X</v>
      </c>
      <c r="D54" s="216">
        <v>2022</v>
      </c>
      <c r="E54" s="83" t="s">
        <v>2935</v>
      </c>
      <c r="F54" s="124">
        <v>1399</v>
      </c>
      <c r="G54" s="218" t="s">
        <v>589</v>
      </c>
      <c r="H54" s="402"/>
      <c r="J54" s="85" t="s">
        <v>2891</v>
      </c>
      <c r="K54" s="93" t="s">
        <v>1874</v>
      </c>
      <c r="L54" t="s">
        <v>2939</v>
      </c>
      <c r="M54" t="s">
        <v>3489</v>
      </c>
      <c r="N54" t="s">
        <v>3489</v>
      </c>
      <c r="O54" t="s">
        <v>42</v>
      </c>
    </row>
    <row r="55" spans="1:15" ht="15.75" thickBot="1" x14ac:dyDescent="0.3">
      <c r="A55" s="82" t="s">
        <v>4606</v>
      </c>
      <c r="B55" s="82" t="s">
        <v>4606</v>
      </c>
      <c r="C55" s="82" t="str">
        <f t="shared" si="1"/>
        <v>X</v>
      </c>
      <c r="D55" s="216">
        <v>2022</v>
      </c>
      <c r="E55" s="83" t="s">
        <v>2935</v>
      </c>
      <c r="F55" s="124">
        <v>1158</v>
      </c>
      <c r="G55" s="218" t="s">
        <v>589</v>
      </c>
      <c r="H55" s="402"/>
      <c r="J55" s="85" t="s">
        <v>2892</v>
      </c>
      <c r="K55" s="93" t="s">
        <v>1874</v>
      </c>
      <c r="L55" t="s">
        <v>2939</v>
      </c>
      <c r="M55" t="s">
        <v>3489</v>
      </c>
      <c r="N55" t="s">
        <v>3489</v>
      </c>
      <c r="O55" t="s">
        <v>42</v>
      </c>
    </row>
    <row r="56" spans="1:15" ht="15.75" thickBot="1" x14ac:dyDescent="0.3">
      <c r="A56" s="82" t="s">
        <v>4606</v>
      </c>
      <c r="B56" s="82" t="s">
        <v>4606</v>
      </c>
      <c r="C56" s="82" t="str">
        <f t="shared" si="1"/>
        <v>X</v>
      </c>
      <c r="D56" s="216">
        <v>2022</v>
      </c>
      <c r="E56" s="83" t="s">
        <v>2935</v>
      </c>
      <c r="F56" s="124">
        <v>1066</v>
      </c>
      <c r="G56" s="218" t="s">
        <v>589</v>
      </c>
      <c r="H56" s="402"/>
      <c r="J56" s="85" t="s">
        <v>2893</v>
      </c>
      <c r="K56" s="93" t="s">
        <v>1874</v>
      </c>
      <c r="L56" t="s">
        <v>2939</v>
      </c>
      <c r="M56" t="s">
        <v>3489</v>
      </c>
      <c r="N56" t="s">
        <v>3489</v>
      </c>
      <c r="O56" t="s">
        <v>42</v>
      </c>
    </row>
    <row r="57" spans="1:15" ht="15.75" thickBot="1" x14ac:dyDescent="0.3">
      <c r="A57" s="82" t="s">
        <v>4606</v>
      </c>
      <c r="B57" s="82" t="s">
        <v>4606</v>
      </c>
      <c r="C57" s="82" t="str">
        <f t="shared" si="1"/>
        <v>X</v>
      </c>
      <c r="D57" s="216">
        <v>2022</v>
      </c>
      <c r="E57" s="83" t="s">
        <v>2935</v>
      </c>
      <c r="F57" s="124">
        <v>1106</v>
      </c>
      <c r="G57" s="218" t="s">
        <v>589</v>
      </c>
      <c r="H57" s="402"/>
      <c r="J57" s="85" t="s">
        <v>2894</v>
      </c>
      <c r="K57" s="93" t="s">
        <v>1874</v>
      </c>
      <c r="L57" t="s">
        <v>2939</v>
      </c>
      <c r="M57" t="s">
        <v>3489</v>
      </c>
      <c r="N57" t="s">
        <v>3489</v>
      </c>
      <c r="O57" t="s">
        <v>42</v>
      </c>
    </row>
    <row r="58" spans="1:15" ht="15.75" thickBot="1" x14ac:dyDescent="0.3">
      <c r="A58" s="82" t="s">
        <v>4606</v>
      </c>
      <c r="B58" s="82" t="s">
        <v>4606</v>
      </c>
      <c r="C58" s="82" t="str">
        <f t="shared" si="1"/>
        <v>X</v>
      </c>
      <c r="D58" s="216">
        <v>2022</v>
      </c>
      <c r="E58" s="83" t="s">
        <v>2935</v>
      </c>
      <c r="F58" s="124">
        <v>1821</v>
      </c>
      <c r="G58" s="218" t="s">
        <v>589</v>
      </c>
      <c r="H58" s="402"/>
      <c r="J58" s="85" t="s">
        <v>2895</v>
      </c>
      <c r="K58" s="93" t="s">
        <v>1874</v>
      </c>
      <c r="L58" t="s">
        <v>2939</v>
      </c>
      <c r="M58" t="s">
        <v>3489</v>
      </c>
      <c r="N58" t="s">
        <v>3489</v>
      </c>
      <c r="O58" t="s">
        <v>42</v>
      </c>
    </row>
    <row r="59" spans="1:15" ht="15.75" thickBot="1" x14ac:dyDescent="0.3">
      <c r="A59" s="82" t="s">
        <v>2817</v>
      </c>
      <c r="B59" s="82" t="s">
        <v>2817</v>
      </c>
      <c r="C59" s="82" t="str">
        <f t="shared" si="1"/>
        <v>X</v>
      </c>
      <c r="D59" s="216">
        <v>2022</v>
      </c>
      <c r="E59" s="83" t="s">
        <v>538</v>
      </c>
      <c r="F59" s="84">
        <v>111285</v>
      </c>
      <c r="G59" s="218" t="s">
        <v>589</v>
      </c>
      <c r="H59" s="402"/>
      <c r="J59" s="85" t="s">
        <v>2896</v>
      </c>
      <c r="K59" s="93" t="s">
        <v>1874</v>
      </c>
      <c r="L59" t="str">
        <f t="shared" si="2"/>
        <v>GALP</v>
      </c>
      <c r="M59" t="s">
        <v>3489</v>
      </c>
      <c r="N59" t="s">
        <v>3489</v>
      </c>
      <c r="O59" t="s">
        <v>42</v>
      </c>
    </row>
    <row r="60" spans="1:15" ht="15.75" thickBot="1" x14ac:dyDescent="0.3">
      <c r="A60" s="82" t="s">
        <v>2868</v>
      </c>
      <c r="B60" s="82" t="s">
        <v>2868</v>
      </c>
      <c r="C60" s="82" t="str">
        <f t="shared" si="1"/>
        <v>X</v>
      </c>
      <c r="D60" s="216">
        <v>2022</v>
      </c>
      <c r="E60" s="83" t="s">
        <v>2935</v>
      </c>
      <c r="F60" s="84">
        <f>17170+5980</f>
        <v>23150</v>
      </c>
      <c r="G60" s="218" t="s">
        <v>589</v>
      </c>
      <c r="H60" s="402"/>
      <c r="J60" s="85" t="s">
        <v>2897</v>
      </c>
      <c r="K60" s="93" t="s">
        <v>1874</v>
      </c>
      <c r="L60" t="s">
        <v>2939</v>
      </c>
      <c r="M60" t="s">
        <v>3489</v>
      </c>
      <c r="N60" t="s">
        <v>3489</v>
      </c>
      <c r="O60" t="s">
        <v>42</v>
      </c>
    </row>
    <row r="61" spans="1:15" ht="15.75" thickBot="1" x14ac:dyDescent="0.3">
      <c r="A61" s="82" t="s">
        <v>4592</v>
      </c>
      <c r="B61" s="82" t="s">
        <v>4592</v>
      </c>
      <c r="C61" s="82" t="str">
        <f t="shared" si="1"/>
        <v>X</v>
      </c>
      <c r="D61" s="216">
        <v>2022</v>
      </c>
      <c r="E61" s="83" t="s">
        <v>2936</v>
      </c>
      <c r="F61" s="84">
        <f>25737+1335+11054+331+17839+47176</f>
        <v>103472</v>
      </c>
      <c r="G61" s="218" t="s">
        <v>589</v>
      </c>
      <c r="H61" s="402"/>
      <c r="J61" s="85" t="s">
        <v>2897</v>
      </c>
      <c r="K61" s="93" t="s">
        <v>1874</v>
      </c>
      <c r="L61" t="s">
        <v>2939</v>
      </c>
      <c r="M61" t="s">
        <v>3489</v>
      </c>
      <c r="N61" t="s">
        <v>3489</v>
      </c>
      <c r="O61" t="s">
        <v>42</v>
      </c>
    </row>
    <row r="62" spans="1:15" ht="15.75" thickBot="1" x14ac:dyDescent="0.3">
      <c r="A62" s="82" t="s">
        <v>4592</v>
      </c>
      <c r="B62" s="82" t="s">
        <v>4592</v>
      </c>
      <c r="C62" s="82" t="str">
        <f t="shared" si="1"/>
        <v>X</v>
      </c>
      <c r="D62" s="216">
        <v>2022</v>
      </c>
      <c r="E62" s="83" t="s">
        <v>2937</v>
      </c>
      <c r="F62" s="84">
        <v>84822</v>
      </c>
      <c r="G62" s="218" t="s">
        <v>589</v>
      </c>
      <c r="H62" s="402"/>
      <c r="J62" s="85" t="s">
        <v>2897</v>
      </c>
      <c r="K62" s="93" t="s">
        <v>1874</v>
      </c>
      <c r="L62" t="str">
        <f t="shared" si="2"/>
        <v>Naturgy</v>
      </c>
      <c r="M62" t="s">
        <v>3489</v>
      </c>
      <c r="N62" t="s">
        <v>3489</v>
      </c>
      <c r="O62" t="s">
        <v>42</v>
      </c>
    </row>
    <row r="63" spans="1:15" ht="15.75" thickBot="1" x14ac:dyDescent="0.3">
      <c r="A63" s="82" t="s">
        <v>4593</v>
      </c>
      <c r="B63" s="82" t="s">
        <v>4593</v>
      </c>
      <c r="C63" s="82" t="str">
        <f t="shared" si="1"/>
        <v>X</v>
      </c>
      <c r="D63" s="216">
        <v>2022</v>
      </c>
      <c r="E63" s="83" t="s">
        <v>2935</v>
      </c>
      <c r="F63" s="84">
        <f>15361+32269+6844+29336+6934+32110+41690</f>
        <v>164544</v>
      </c>
      <c r="G63" s="218" t="s">
        <v>589</v>
      </c>
      <c r="H63" s="402"/>
      <c r="J63" s="85" t="s">
        <v>2897</v>
      </c>
      <c r="K63" s="93" t="s">
        <v>1874</v>
      </c>
      <c r="L63" t="s">
        <v>2939</v>
      </c>
      <c r="M63" t="s">
        <v>3489</v>
      </c>
      <c r="N63" t="s">
        <v>3489</v>
      </c>
      <c r="O63" t="s">
        <v>42</v>
      </c>
    </row>
    <row r="64" spans="1:15" ht="15.75" thickBot="1" x14ac:dyDescent="0.3">
      <c r="A64" s="82" t="s">
        <v>4594</v>
      </c>
      <c r="B64" s="82" t="s">
        <v>4594</v>
      </c>
      <c r="C64" s="82" t="str">
        <f t="shared" si="1"/>
        <v>X</v>
      </c>
      <c r="D64" s="216">
        <v>2022</v>
      </c>
      <c r="E64" s="83" t="s">
        <v>2935</v>
      </c>
      <c r="F64" s="84">
        <f>24988+89717+6583+5250+1327+1800+17042</f>
        <v>146707</v>
      </c>
      <c r="G64" s="218" t="s">
        <v>589</v>
      </c>
      <c r="H64" s="402"/>
      <c r="J64" s="85" t="s">
        <v>2897</v>
      </c>
      <c r="K64" s="93" t="s">
        <v>1874</v>
      </c>
      <c r="L64" t="s">
        <v>2939</v>
      </c>
      <c r="M64" t="s">
        <v>3489</v>
      </c>
      <c r="N64" t="s">
        <v>3489</v>
      </c>
      <c r="O64" t="s">
        <v>42</v>
      </c>
    </row>
    <row r="65" spans="1:15" ht="15.75" thickBot="1" x14ac:dyDescent="0.3">
      <c r="A65" s="82" t="s">
        <v>4595</v>
      </c>
      <c r="B65" s="82" t="s">
        <v>4595</v>
      </c>
      <c r="C65" s="82" t="str">
        <f t="shared" si="1"/>
        <v>X</v>
      </c>
      <c r="D65" s="216">
        <v>2022</v>
      </c>
      <c r="E65" s="83" t="s">
        <v>2935</v>
      </c>
      <c r="F65" s="84">
        <f>10089+62543+93123</f>
        <v>165755</v>
      </c>
      <c r="G65" s="218" t="s">
        <v>589</v>
      </c>
      <c r="H65" s="402"/>
      <c r="J65" s="85" t="s">
        <v>2897</v>
      </c>
      <c r="K65" s="93" t="s">
        <v>1874</v>
      </c>
      <c r="L65" t="s">
        <v>2939</v>
      </c>
      <c r="M65" t="s">
        <v>3489</v>
      </c>
      <c r="N65" t="s">
        <v>3489</v>
      </c>
      <c r="O65" t="s">
        <v>42</v>
      </c>
    </row>
    <row r="66" spans="1:15" ht="15.75" thickBot="1" x14ac:dyDescent="0.3">
      <c r="A66" s="82" t="s">
        <v>4607</v>
      </c>
      <c r="B66" s="82" t="s">
        <v>4607</v>
      </c>
      <c r="C66" s="82" t="str">
        <f t="shared" si="1"/>
        <v>X</v>
      </c>
      <c r="D66" s="216">
        <v>2022</v>
      </c>
      <c r="E66" s="83" t="s">
        <v>538</v>
      </c>
      <c r="F66" s="84">
        <v>0</v>
      </c>
      <c r="G66" s="218" t="s">
        <v>589</v>
      </c>
      <c r="H66" s="402"/>
      <c r="J66" s="85" t="s">
        <v>2898</v>
      </c>
      <c r="K66" s="93" t="s">
        <v>1874</v>
      </c>
      <c r="L66" t="str">
        <f t="shared" si="2"/>
        <v>GALP</v>
      </c>
      <c r="M66" t="s">
        <v>3489</v>
      </c>
      <c r="N66" t="s">
        <v>3489</v>
      </c>
      <c r="O66" t="s">
        <v>42</v>
      </c>
    </row>
    <row r="67" spans="1:15" ht="15.75" thickBot="1" x14ac:dyDescent="0.3">
      <c r="A67" s="82" t="s">
        <v>4607</v>
      </c>
      <c r="B67" s="82" t="s">
        <v>4607</v>
      </c>
      <c r="C67" s="82" t="str">
        <f t="shared" ref="C67:C107" si="3">IF(A67=B67,"X",RIGHT(A67,LEN(A67)-LEN(B67)-3))</f>
        <v>X</v>
      </c>
      <c r="D67" s="216">
        <v>2022</v>
      </c>
      <c r="E67" s="83" t="s">
        <v>538</v>
      </c>
      <c r="F67" s="84">
        <v>26816</v>
      </c>
      <c r="G67" s="218" t="s">
        <v>589</v>
      </c>
      <c r="H67" s="402"/>
      <c r="J67" s="85" t="s">
        <v>2899</v>
      </c>
      <c r="K67" s="93" t="s">
        <v>1874</v>
      </c>
      <c r="L67" t="str">
        <f t="shared" si="2"/>
        <v>GALP</v>
      </c>
      <c r="M67" t="s">
        <v>3489</v>
      </c>
      <c r="N67" t="s">
        <v>3489</v>
      </c>
      <c r="O67" t="s">
        <v>42</v>
      </c>
    </row>
    <row r="68" spans="1:15" ht="15.75" thickBot="1" x14ac:dyDescent="0.3">
      <c r="A68" s="82" t="s">
        <v>4607</v>
      </c>
      <c r="B68" s="82" t="s">
        <v>4607</v>
      </c>
      <c r="C68" s="82" t="str">
        <f t="shared" si="3"/>
        <v>X</v>
      </c>
      <c r="D68" s="216">
        <v>2022</v>
      </c>
      <c r="E68" s="83" t="s">
        <v>538</v>
      </c>
      <c r="F68" s="84">
        <v>6989</v>
      </c>
      <c r="G68" s="218" t="s">
        <v>589</v>
      </c>
      <c r="H68" s="402"/>
      <c r="J68" s="85" t="s">
        <v>2900</v>
      </c>
      <c r="K68" s="93" t="s">
        <v>1874</v>
      </c>
      <c r="L68" t="str">
        <f t="shared" ref="L68:L102" si="4">E68</f>
        <v>GALP</v>
      </c>
      <c r="M68" t="s">
        <v>3489</v>
      </c>
      <c r="N68" t="s">
        <v>3489</v>
      </c>
      <c r="O68" t="s">
        <v>42</v>
      </c>
    </row>
    <row r="69" spans="1:15" ht="15.75" thickBot="1" x14ac:dyDescent="0.3">
      <c r="A69" s="82" t="s">
        <v>4597</v>
      </c>
      <c r="B69" s="82" t="s">
        <v>4597</v>
      </c>
      <c r="C69" s="82" t="str">
        <f t="shared" si="3"/>
        <v>X</v>
      </c>
      <c r="D69" s="216">
        <v>2022</v>
      </c>
      <c r="E69" s="83" t="s">
        <v>538</v>
      </c>
      <c r="F69" s="84">
        <v>7997</v>
      </c>
      <c r="G69" s="218" t="s">
        <v>589</v>
      </c>
      <c r="H69" s="402"/>
      <c r="J69" s="85" t="s">
        <v>2901</v>
      </c>
      <c r="K69" s="93" t="s">
        <v>1874</v>
      </c>
      <c r="L69" t="str">
        <f t="shared" si="4"/>
        <v>GALP</v>
      </c>
      <c r="M69" t="s">
        <v>3489</v>
      </c>
      <c r="N69" t="s">
        <v>3489</v>
      </c>
      <c r="O69" t="s">
        <v>42</v>
      </c>
    </row>
    <row r="70" spans="1:15" ht="15.75" thickBot="1" x14ac:dyDescent="0.3">
      <c r="A70" s="275" t="s">
        <v>4603</v>
      </c>
      <c r="B70" s="275" t="s">
        <v>4603</v>
      </c>
      <c r="C70" s="82" t="str">
        <f t="shared" si="3"/>
        <v>X</v>
      </c>
      <c r="D70" s="216">
        <v>2022</v>
      </c>
      <c r="E70" s="83" t="s">
        <v>538</v>
      </c>
      <c r="F70" s="84">
        <v>54493</v>
      </c>
      <c r="G70" s="218" t="s">
        <v>589</v>
      </c>
      <c r="H70" s="402"/>
      <c r="J70" s="85" t="s">
        <v>2902</v>
      </c>
      <c r="K70" s="93" t="s">
        <v>1874</v>
      </c>
      <c r="L70" t="str">
        <f t="shared" si="4"/>
        <v>GALP</v>
      </c>
      <c r="M70" t="s">
        <v>3489</v>
      </c>
      <c r="N70" t="s">
        <v>3489</v>
      </c>
      <c r="O70" t="s">
        <v>42</v>
      </c>
    </row>
    <row r="71" spans="1:15" ht="15.75" thickBot="1" x14ac:dyDescent="0.3">
      <c r="A71" s="275" t="s">
        <v>4603</v>
      </c>
      <c r="B71" s="275" t="s">
        <v>4603</v>
      </c>
      <c r="C71" s="82" t="str">
        <f t="shared" si="3"/>
        <v>X</v>
      </c>
      <c r="D71" s="216">
        <v>2022</v>
      </c>
      <c r="E71" s="83" t="s">
        <v>538</v>
      </c>
      <c r="F71" s="84">
        <v>132360</v>
      </c>
      <c r="G71" s="218" t="s">
        <v>589</v>
      </c>
      <c r="H71" s="402"/>
      <c r="J71" s="85" t="s">
        <v>2903</v>
      </c>
      <c r="K71" s="93" t="s">
        <v>1874</v>
      </c>
      <c r="L71" t="str">
        <f t="shared" si="4"/>
        <v>GALP</v>
      </c>
      <c r="M71" t="s">
        <v>3489</v>
      </c>
      <c r="N71" t="s">
        <v>3489</v>
      </c>
      <c r="O71" t="s">
        <v>34</v>
      </c>
    </row>
    <row r="72" spans="1:15" ht="15.75" thickBot="1" x14ac:dyDescent="0.3">
      <c r="A72" s="275" t="s">
        <v>4603</v>
      </c>
      <c r="B72" s="275" t="s">
        <v>4603</v>
      </c>
      <c r="C72" s="82" t="str">
        <f t="shared" si="3"/>
        <v>X</v>
      </c>
      <c r="D72" s="216">
        <v>2022</v>
      </c>
      <c r="E72" s="83" t="s">
        <v>538</v>
      </c>
      <c r="F72" s="84">
        <v>50727</v>
      </c>
      <c r="G72" s="218" t="s">
        <v>589</v>
      </c>
      <c r="H72" s="402"/>
      <c r="J72" s="85" t="s">
        <v>2904</v>
      </c>
      <c r="K72" s="93" t="s">
        <v>1874</v>
      </c>
      <c r="L72" t="str">
        <f t="shared" si="4"/>
        <v>GALP</v>
      </c>
      <c r="M72" t="s">
        <v>3489</v>
      </c>
      <c r="N72" t="s">
        <v>3489</v>
      </c>
      <c r="O72" s="238" t="s">
        <v>42</v>
      </c>
    </row>
    <row r="73" spans="1:15" ht="15.75" thickBot="1" x14ac:dyDescent="0.3">
      <c r="A73" s="275" t="s">
        <v>4603</v>
      </c>
      <c r="B73" s="275" t="s">
        <v>4603</v>
      </c>
      <c r="C73" s="82" t="str">
        <f t="shared" si="3"/>
        <v>X</v>
      </c>
      <c r="D73" s="216">
        <v>2022</v>
      </c>
      <c r="E73" s="83" t="s">
        <v>538</v>
      </c>
      <c r="F73" s="84">
        <v>0</v>
      </c>
      <c r="G73" s="218" t="s">
        <v>589</v>
      </c>
      <c r="H73" s="402"/>
      <c r="J73" s="85" t="s">
        <v>2905</v>
      </c>
      <c r="K73" s="93" t="s">
        <v>1874</v>
      </c>
      <c r="L73" t="str">
        <f t="shared" si="4"/>
        <v>GALP</v>
      </c>
      <c r="M73" t="s">
        <v>3489</v>
      </c>
      <c r="N73" t="s">
        <v>3489</v>
      </c>
      <c r="O73" t="s">
        <v>42</v>
      </c>
    </row>
    <row r="74" spans="1:15" ht="15.75" thickBot="1" x14ac:dyDescent="0.3">
      <c r="A74" s="275" t="s">
        <v>4603</v>
      </c>
      <c r="B74" s="275" t="s">
        <v>4603</v>
      </c>
      <c r="C74" s="82" t="str">
        <f t="shared" si="3"/>
        <v>X</v>
      </c>
      <c r="D74" s="216">
        <v>2022</v>
      </c>
      <c r="E74" s="83" t="s">
        <v>538</v>
      </c>
      <c r="F74" s="84">
        <v>208555</v>
      </c>
      <c r="G74" s="218" t="s">
        <v>589</v>
      </c>
      <c r="H74" s="402"/>
      <c r="J74" s="85" t="s">
        <v>2906</v>
      </c>
      <c r="K74" s="93" t="s">
        <v>1874</v>
      </c>
      <c r="L74" t="str">
        <f t="shared" si="4"/>
        <v>GALP</v>
      </c>
      <c r="M74" t="s">
        <v>3489</v>
      </c>
      <c r="N74" t="s">
        <v>3489</v>
      </c>
      <c r="O74" t="s">
        <v>34</v>
      </c>
    </row>
    <row r="75" spans="1:15" ht="15.75" thickBot="1" x14ac:dyDescent="0.3">
      <c r="A75" s="275" t="s">
        <v>4603</v>
      </c>
      <c r="B75" s="275" t="s">
        <v>4603</v>
      </c>
      <c r="C75" s="82" t="str">
        <f t="shared" si="3"/>
        <v>X</v>
      </c>
      <c r="D75" s="216">
        <v>2022</v>
      </c>
      <c r="E75" s="83" t="s">
        <v>538</v>
      </c>
      <c r="F75" s="84">
        <v>10483</v>
      </c>
      <c r="G75" s="218" t="s">
        <v>589</v>
      </c>
      <c r="H75" s="402"/>
      <c r="J75" s="85" t="s">
        <v>2907</v>
      </c>
      <c r="K75" s="93" t="s">
        <v>1874</v>
      </c>
      <c r="L75" t="str">
        <f t="shared" si="4"/>
        <v>GALP</v>
      </c>
      <c r="M75" t="s">
        <v>3489</v>
      </c>
      <c r="N75" t="s">
        <v>3489</v>
      </c>
      <c r="O75" s="238" t="s">
        <v>42</v>
      </c>
    </row>
    <row r="76" spans="1:15" ht="15.75" thickBot="1" x14ac:dyDescent="0.3">
      <c r="A76" s="275" t="s">
        <v>4603</v>
      </c>
      <c r="B76" s="275" t="s">
        <v>4603</v>
      </c>
      <c r="C76" s="82" t="str">
        <f t="shared" si="3"/>
        <v>X</v>
      </c>
      <c r="D76" s="216">
        <v>2022</v>
      </c>
      <c r="E76" s="83" t="s">
        <v>538</v>
      </c>
      <c r="F76" s="84">
        <v>305767</v>
      </c>
      <c r="G76" s="218" t="s">
        <v>589</v>
      </c>
      <c r="H76" s="402"/>
      <c r="J76" s="85" t="s">
        <v>2908</v>
      </c>
      <c r="K76" s="93" t="s">
        <v>1874</v>
      </c>
      <c r="L76" t="str">
        <f t="shared" si="4"/>
        <v>GALP</v>
      </c>
      <c r="M76" t="s">
        <v>3489</v>
      </c>
      <c r="N76" t="s">
        <v>3489</v>
      </c>
      <c r="O76" s="238" t="s">
        <v>42</v>
      </c>
    </row>
    <row r="77" spans="1:15" ht="15.75" thickBot="1" x14ac:dyDescent="0.3">
      <c r="A77" s="275" t="s">
        <v>4603</v>
      </c>
      <c r="B77" s="275" t="s">
        <v>4603</v>
      </c>
      <c r="C77" s="82" t="str">
        <f t="shared" si="3"/>
        <v>X</v>
      </c>
      <c r="D77" s="216">
        <v>2022</v>
      </c>
      <c r="E77" s="83" t="s">
        <v>538</v>
      </c>
      <c r="F77" s="84">
        <v>49926</v>
      </c>
      <c r="G77" s="218" t="s">
        <v>589</v>
      </c>
      <c r="H77" s="402"/>
      <c r="J77" s="85" t="s">
        <v>2909</v>
      </c>
      <c r="K77" s="93" t="s">
        <v>1874</v>
      </c>
      <c r="L77" t="str">
        <f t="shared" si="4"/>
        <v>GALP</v>
      </c>
      <c r="M77" t="s">
        <v>3489</v>
      </c>
      <c r="N77" t="s">
        <v>3489</v>
      </c>
      <c r="O77" t="s">
        <v>34</v>
      </c>
    </row>
    <row r="78" spans="1:15" ht="15.75" thickBot="1" x14ac:dyDescent="0.3">
      <c r="A78" s="275" t="s">
        <v>4603</v>
      </c>
      <c r="B78" s="275" t="s">
        <v>4603</v>
      </c>
      <c r="C78" s="82" t="str">
        <f t="shared" si="3"/>
        <v>X</v>
      </c>
      <c r="D78" s="216">
        <v>2022</v>
      </c>
      <c r="E78" s="83" t="s">
        <v>538</v>
      </c>
      <c r="F78" s="84">
        <v>2947</v>
      </c>
      <c r="G78" s="218" t="s">
        <v>589</v>
      </c>
      <c r="H78" s="402"/>
      <c r="J78" s="85" t="s">
        <v>2910</v>
      </c>
      <c r="K78" s="93" t="s">
        <v>1874</v>
      </c>
      <c r="L78" t="str">
        <f t="shared" si="4"/>
        <v>GALP</v>
      </c>
      <c r="M78" t="s">
        <v>3489</v>
      </c>
      <c r="N78" t="s">
        <v>3489</v>
      </c>
      <c r="O78" t="s">
        <v>34</v>
      </c>
    </row>
    <row r="79" spans="1:15" ht="15.75" thickBot="1" x14ac:dyDescent="0.3">
      <c r="A79" s="275" t="s">
        <v>4603</v>
      </c>
      <c r="B79" s="275" t="s">
        <v>4603</v>
      </c>
      <c r="C79" s="82" t="str">
        <f t="shared" si="3"/>
        <v>X</v>
      </c>
      <c r="D79" s="216">
        <v>2022</v>
      </c>
      <c r="E79" s="83" t="s">
        <v>538</v>
      </c>
      <c r="F79" s="84">
        <v>0</v>
      </c>
      <c r="G79" s="218" t="s">
        <v>589</v>
      </c>
      <c r="H79" s="402"/>
      <c r="J79" s="85" t="s">
        <v>2911</v>
      </c>
      <c r="K79" s="93" t="s">
        <v>1874</v>
      </c>
      <c r="L79" t="str">
        <f t="shared" si="4"/>
        <v>GALP</v>
      </c>
      <c r="M79" t="s">
        <v>3489</v>
      </c>
      <c r="N79" t="s">
        <v>3489</v>
      </c>
      <c r="O79" s="238" t="s">
        <v>42</v>
      </c>
    </row>
    <row r="80" spans="1:15" ht="15.75" thickBot="1" x14ac:dyDescent="0.3">
      <c r="A80" s="275" t="s">
        <v>4603</v>
      </c>
      <c r="B80" s="275" t="s">
        <v>4603</v>
      </c>
      <c r="C80" s="82" t="str">
        <f t="shared" si="3"/>
        <v>X</v>
      </c>
      <c r="D80" s="216">
        <v>2022</v>
      </c>
      <c r="E80" s="83" t="s">
        <v>538</v>
      </c>
      <c r="F80" s="84">
        <v>0</v>
      </c>
      <c r="G80" s="218" t="s">
        <v>589</v>
      </c>
      <c r="H80" s="402"/>
      <c r="J80" s="85" t="s">
        <v>2912</v>
      </c>
      <c r="K80" s="93" t="s">
        <v>1874</v>
      </c>
      <c r="L80" t="str">
        <f t="shared" si="4"/>
        <v>GALP</v>
      </c>
      <c r="M80" t="s">
        <v>3489</v>
      </c>
      <c r="N80" t="s">
        <v>3489</v>
      </c>
      <c r="O80" s="238" t="s">
        <v>42</v>
      </c>
    </row>
    <row r="81" spans="1:15" ht="15.75" thickBot="1" x14ac:dyDescent="0.3">
      <c r="A81" s="275" t="s">
        <v>4603</v>
      </c>
      <c r="B81" s="275" t="s">
        <v>4603</v>
      </c>
      <c r="C81" s="82" t="str">
        <f t="shared" si="3"/>
        <v>X</v>
      </c>
      <c r="D81" s="216">
        <v>2022</v>
      </c>
      <c r="E81" s="83" t="s">
        <v>538</v>
      </c>
      <c r="F81" s="84">
        <v>161443</v>
      </c>
      <c r="G81" s="218" t="s">
        <v>589</v>
      </c>
      <c r="H81" s="402"/>
      <c r="J81" s="85" t="s">
        <v>2913</v>
      </c>
      <c r="K81" s="93" t="s">
        <v>1874</v>
      </c>
      <c r="L81" t="str">
        <f t="shared" si="4"/>
        <v>GALP</v>
      </c>
      <c r="M81" t="s">
        <v>3489</v>
      </c>
      <c r="N81" t="s">
        <v>3489</v>
      </c>
      <c r="O81" s="238" t="s">
        <v>42</v>
      </c>
    </row>
    <row r="82" spans="1:15" ht="15.75" thickBot="1" x14ac:dyDescent="0.3">
      <c r="A82" s="275" t="s">
        <v>4603</v>
      </c>
      <c r="B82" s="275" t="s">
        <v>4603</v>
      </c>
      <c r="C82" s="82" t="str">
        <f t="shared" si="3"/>
        <v>X</v>
      </c>
      <c r="D82" s="216">
        <v>2022</v>
      </c>
      <c r="E82" s="83" t="s">
        <v>538</v>
      </c>
      <c r="F82" s="84">
        <v>86247</v>
      </c>
      <c r="G82" s="218" t="s">
        <v>589</v>
      </c>
      <c r="H82" s="402"/>
      <c r="J82" s="85" t="s">
        <v>2914</v>
      </c>
      <c r="K82" s="93" t="s">
        <v>1874</v>
      </c>
      <c r="L82" t="str">
        <f t="shared" si="4"/>
        <v>GALP</v>
      </c>
      <c r="M82" t="s">
        <v>3489</v>
      </c>
      <c r="N82" t="s">
        <v>3489</v>
      </c>
      <c r="O82" s="238" t="s">
        <v>42</v>
      </c>
    </row>
    <row r="83" spans="1:15" ht="15.75" thickBot="1" x14ac:dyDescent="0.3">
      <c r="A83" s="275" t="s">
        <v>4603</v>
      </c>
      <c r="B83" s="275" t="s">
        <v>4603</v>
      </c>
      <c r="C83" s="82" t="str">
        <f t="shared" si="3"/>
        <v>X</v>
      </c>
      <c r="D83" s="216">
        <v>2022</v>
      </c>
      <c r="E83" s="83" t="s">
        <v>538</v>
      </c>
      <c r="F83" s="84">
        <v>324307</v>
      </c>
      <c r="G83" s="218" t="s">
        <v>589</v>
      </c>
      <c r="H83" s="402"/>
      <c r="J83" s="85" t="s">
        <v>2915</v>
      </c>
      <c r="K83" s="93" t="s">
        <v>1874</v>
      </c>
      <c r="L83" t="str">
        <f t="shared" si="4"/>
        <v>GALP</v>
      </c>
      <c r="M83" t="s">
        <v>3489</v>
      </c>
      <c r="N83" t="s">
        <v>3489</v>
      </c>
      <c r="O83" s="238" t="s">
        <v>42</v>
      </c>
    </row>
    <row r="84" spans="1:15" ht="15.75" thickBot="1" x14ac:dyDescent="0.3">
      <c r="A84" s="275" t="s">
        <v>4603</v>
      </c>
      <c r="B84" s="275" t="s">
        <v>4603</v>
      </c>
      <c r="C84" s="82" t="str">
        <f t="shared" si="3"/>
        <v>X</v>
      </c>
      <c r="D84" s="216">
        <v>2022</v>
      </c>
      <c r="E84" s="83" t="s">
        <v>538</v>
      </c>
      <c r="F84" s="84">
        <v>29750</v>
      </c>
      <c r="G84" s="218" t="s">
        <v>589</v>
      </c>
      <c r="H84" s="402"/>
      <c r="J84" s="85" t="s">
        <v>2916</v>
      </c>
      <c r="K84" s="93" t="s">
        <v>1874</v>
      </c>
      <c r="L84" t="str">
        <f t="shared" si="4"/>
        <v>GALP</v>
      </c>
      <c r="M84" t="s">
        <v>3489</v>
      </c>
      <c r="N84" t="s">
        <v>3489</v>
      </c>
      <c r="O84" s="238" t="s">
        <v>42</v>
      </c>
    </row>
    <row r="85" spans="1:15" ht="15.75" thickBot="1" x14ac:dyDescent="0.3">
      <c r="A85" s="275" t="s">
        <v>4603</v>
      </c>
      <c r="B85" s="275" t="s">
        <v>4603</v>
      </c>
      <c r="C85" s="82" t="str">
        <f t="shared" si="3"/>
        <v>X</v>
      </c>
      <c r="D85" s="216">
        <v>2022</v>
      </c>
      <c r="E85" s="83" t="s">
        <v>538</v>
      </c>
      <c r="F85" s="84">
        <v>21994</v>
      </c>
      <c r="G85" s="218" t="s">
        <v>589</v>
      </c>
      <c r="H85" s="402"/>
      <c r="J85" s="85" t="s">
        <v>2917</v>
      </c>
      <c r="K85" s="93" t="s">
        <v>1874</v>
      </c>
      <c r="L85" t="str">
        <f t="shared" si="4"/>
        <v>GALP</v>
      </c>
      <c r="M85" t="s">
        <v>3489</v>
      </c>
      <c r="N85" t="s">
        <v>3489</v>
      </c>
      <c r="O85" s="238" t="s">
        <v>42</v>
      </c>
    </row>
    <row r="86" spans="1:15" ht="15.75" thickBot="1" x14ac:dyDescent="0.3">
      <c r="A86" s="275" t="s">
        <v>4603</v>
      </c>
      <c r="B86" s="275" t="s">
        <v>4603</v>
      </c>
      <c r="C86" s="82" t="str">
        <f t="shared" si="3"/>
        <v>X</v>
      </c>
      <c r="D86" s="216">
        <v>2022</v>
      </c>
      <c r="E86" s="83" t="s">
        <v>538</v>
      </c>
      <c r="F86" s="84">
        <v>0</v>
      </c>
      <c r="G86" s="218" t="s">
        <v>589</v>
      </c>
      <c r="H86" s="402"/>
      <c r="J86" s="85" t="s">
        <v>2918</v>
      </c>
      <c r="K86" s="93" t="s">
        <v>1874</v>
      </c>
      <c r="L86" t="str">
        <f t="shared" si="4"/>
        <v>GALP</v>
      </c>
      <c r="M86" t="s">
        <v>3489</v>
      </c>
      <c r="N86" t="s">
        <v>3489</v>
      </c>
      <c r="O86" t="s">
        <v>34</v>
      </c>
    </row>
    <row r="87" spans="1:15" ht="15.75" thickBot="1" x14ac:dyDescent="0.3">
      <c r="A87" s="275" t="s">
        <v>4603</v>
      </c>
      <c r="B87" s="275" t="s">
        <v>4603</v>
      </c>
      <c r="C87" s="82" t="str">
        <f t="shared" si="3"/>
        <v>X</v>
      </c>
      <c r="D87" s="216">
        <v>2022</v>
      </c>
      <c r="E87" s="83" t="s">
        <v>538</v>
      </c>
      <c r="F87" s="84">
        <v>7579</v>
      </c>
      <c r="G87" s="218" t="s">
        <v>589</v>
      </c>
      <c r="H87" s="402"/>
      <c r="J87" s="85" t="s">
        <v>2919</v>
      </c>
      <c r="K87" s="93" t="s">
        <v>1874</v>
      </c>
      <c r="L87" t="str">
        <f t="shared" si="4"/>
        <v>GALP</v>
      </c>
      <c r="M87" t="s">
        <v>3489</v>
      </c>
      <c r="N87" t="s">
        <v>3489</v>
      </c>
      <c r="O87" t="s">
        <v>42</v>
      </c>
    </row>
    <row r="88" spans="1:15" ht="15.75" thickBot="1" x14ac:dyDescent="0.3">
      <c r="A88" s="275" t="s">
        <v>4603</v>
      </c>
      <c r="B88" s="275" t="s">
        <v>4603</v>
      </c>
      <c r="C88" s="82" t="str">
        <f t="shared" si="3"/>
        <v>X</v>
      </c>
      <c r="D88" s="216">
        <v>2022</v>
      </c>
      <c r="E88" s="83" t="s">
        <v>538</v>
      </c>
      <c r="F88" s="84">
        <v>22183</v>
      </c>
      <c r="G88" s="218" t="s">
        <v>589</v>
      </c>
      <c r="H88" s="402"/>
      <c r="J88" s="85" t="s">
        <v>2920</v>
      </c>
      <c r="K88" s="93" t="s">
        <v>1874</v>
      </c>
      <c r="L88" t="str">
        <f t="shared" si="4"/>
        <v>GALP</v>
      </c>
      <c r="M88" t="s">
        <v>3489</v>
      </c>
      <c r="N88" t="s">
        <v>3489</v>
      </c>
      <c r="O88" t="s">
        <v>42</v>
      </c>
    </row>
    <row r="89" spans="1:15" ht="15.75" thickBot="1" x14ac:dyDescent="0.3">
      <c r="A89" s="275" t="s">
        <v>4603</v>
      </c>
      <c r="B89" s="275" t="s">
        <v>4603</v>
      </c>
      <c r="C89" s="82" t="str">
        <f t="shared" si="3"/>
        <v>X</v>
      </c>
      <c r="D89" s="216">
        <v>2022</v>
      </c>
      <c r="E89" s="83" t="s">
        <v>538</v>
      </c>
      <c r="F89" s="84">
        <v>0</v>
      </c>
      <c r="G89" s="218" t="s">
        <v>589</v>
      </c>
      <c r="H89" s="402"/>
      <c r="J89" s="85" t="s">
        <v>2921</v>
      </c>
      <c r="K89" s="93" t="s">
        <v>1874</v>
      </c>
      <c r="L89" t="str">
        <f t="shared" si="4"/>
        <v>GALP</v>
      </c>
      <c r="M89" t="s">
        <v>3489</v>
      </c>
      <c r="N89" t="s">
        <v>3489</v>
      </c>
      <c r="O89" t="s">
        <v>42</v>
      </c>
    </row>
    <row r="90" spans="1:15" ht="15.75" thickBot="1" x14ac:dyDescent="0.3">
      <c r="A90" s="275" t="s">
        <v>4603</v>
      </c>
      <c r="B90" s="275" t="s">
        <v>4603</v>
      </c>
      <c r="C90" s="82" t="str">
        <f t="shared" si="3"/>
        <v>X</v>
      </c>
      <c r="D90" s="216">
        <v>2022</v>
      </c>
      <c r="E90" s="83" t="s">
        <v>538</v>
      </c>
      <c r="F90" s="84">
        <v>47262</v>
      </c>
      <c r="G90" s="218" t="s">
        <v>589</v>
      </c>
      <c r="H90" s="402"/>
      <c r="J90" s="85" t="s">
        <v>2922</v>
      </c>
      <c r="K90" s="93" t="s">
        <v>1874</v>
      </c>
      <c r="L90" t="str">
        <f t="shared" si="4"/>
        <v>GALP</v>
      </c>
      <c r="M90" t="s">
        <v>3489</v>
      </c>
      <c r="N90" t="s">
        <v>3489</v>
      </c>
      <c r="O90" s="238" t="s">
        <v>42</v>
      </c>
    </row>
    <row r="91" spans="1:15" ht="15.75" thickBot="1" x14ac:dyDescent="0.3">
      <c r="A91" s="275" t="s">
        <v>4603</v>
      </c>
      <c r="B91" s="275" t="s">
        <v>4603</v>
      </c>
      <c r="C91" s="82" t="str">
        <f t="shared" si="3"/>
        <v>X</v>
      </c>
      <c r="D91" s="216">
        <v>2022</v>
      </c>
      <c r="E91" s="83" t="s">
        <v>538</v>
      </c>
      <c r="F91" s="84">
        <v>127750</v>
      </c>
      <c r="G91" s="218" t="s">
        <v>589</v>
      </c>
      <c r="H91" s="402"/>
      <c r="J91" s="85" t="s">
        <v>2923</v>
      </c>
      <c r="K91" s="93" t="s">
        <v>1874</v>
      </c>
      <c r="L91" t="str">
        <f t="shared" si="4"/>
        <v>GALP</v>
      </c>
      <c r="M91" t="s">
        <v>3489</v>
      </c>
      <c r="N91" t="s">
        <v>3489</v>
      </c>
      <c r="O91" t="s">
        <v>42</v>
      </c>
    </row>
    <row r="92" spans="1:15" ht="15.75" thickBot="1" x14ac:dyDescent="0.3">
      <c r="A92" s="275" t="s">
        <v>4603</v>
      </c>
      <c r="B92" s="275" t="s">
        <v>4603</v>
      </c>
      <c r="C92" s="82" t="str">
        <f t="shared" si="3"/>
        <v>X</v>
      </c>
      <c r="D92" s="216">
        <v>2022</v>
      </c>
      <c r="E92" s="83" t="s">
        <v>538</v>
      </c>
      <c r="F92" s="84">
        <v>30831</v>
      </c>
      <c r="G92" s="218" t="s">
        <v>589</v>
      </c>
      <c r="H92" s="402"/>
      <c r="J92" s="85" t="s">
        <v>2924</v>
      </c>
      <c r="K92" s="93" t="s">
        <v>1874</v>
      </c>
      <c r="L92" t="str">
        <f t="shared" si="4"/>
        <v>GALP</v>
      </c>
      <c r="M92" t="s">
        <v>3489</v>
      </c>
      <c r="N92" t="s">
        <v>3489</v>
      </c>
      <c r="O92" t="s">
        <v>42</v>
      </c>
    </row>
    <row r="93" spans="1:15" ht="15.75" thickBot="1" x14ac:dyDescent="0.3">
      <c r="A93" s="275" t="s">
        <v>4603</v>
      </c>
      <c r="B93" s="275" t="s">
        <v>4603</v>
      </c>
      <c r="C93" s="82" t="str">
        <f t="shared" si="3"/>
        <v>X</v>
      </c>
      <c r="D93" s="216">
        <v>2022</v>
      </c>
      <c r="E93" s="83" t="s">
        <v>538</v>
      </c>
      <c r="F93" s="84">
        <v>28569</v>
      </c>
      <c r="G93" s="218" t="s">
        <v>589</v>
      </c>
      <c r="H93" s="402"/>
      <c r="J93" s="85" t="s">
        <v>2925</v>
      </c>
      <c r="K93" s="93" t="s">
        <v>1874</v>
      </c>
      <c r="L93" t="str">
        <f t="shared" si="4"/>
        <v>GALP</v>
      </c>
      <c r="M93" t="s">
        <v>3489</v>
      </c>
      <c r="N93" t="s">
        <v>3489</v>
      </c>
      <c r="O93" t="s">
        <v>34</v>
      </c>
    </row>
    <row r="94" spans="1:15" ht="15.75" thickBot="1" x14ac:dyDescent="0.3">
      <c r="A94" s="275" t="s">
        <v>4603</v>
      </c>
      <c r="B94" s="275" t="s">
        <v>4603</v>
      </c>
      <c r="C94" s="82" t="str">
        <f t="shared" si="3"/>
        <v>X</v>
      </c>
      <c r="D94" s="216">
        <v>2022</v>
      </c>
      <c r="E94" s="83" t="s">
        <v>538</v>
      </c>
      <c r="F94" s="84">
        <v>0</v>
      </c>
      <c r="G94" s="218" t="s">
        <v>589</v>
      </c>
      <c r="H94" s="402"/>
      <c r="J94" s="85" t="s">
        <v>2926</v>
      </c>
      <c r="K94" s="93" t="s">
        <v>1874</v>
      </c>
      <c r="L94" t="str">
        <f t="shared" si="4"/>
        <v>GALP</v>
      </c>
      <c r="M94" t="s">
        <v>3489</v>
      </c>
      <c r="N94" t="s">
        <v>3489</v>
      </c>
      <c r="O94" t="s">
        <v>34</v>
      </c>
    </row>
    <row r="95" spans="1:15" ht="15.75" thickBot="1" x14ac:dyDescent="0.3">
      <c r="A95" s="275" t="s">
        <v>4603</v>
      </c>
      <c r="B95" s="275" t="s">
        <v>4603</v>
      </c>
      <c r="C95" s="82" t="str">
        <f t="shared" si="3"/>
        <v>X</v>
      </c>
      <c r="D95" s="216">
        <v>2022</v>
      </c>
      <c r="E95" s="83" t="s">
        <v>538</v>
      </c>
      <c r="F95" s="84">
        <v>0</v>
      </c>
      <c r="G95" s="218" t="s">
        <v>589</v>
      </c>
      <c r="H95" s="402"/>
      <c r="J95" s="85" t="s">
        <v>2927</v>
      </c>
      <c r="K95" s="93" t="s">
        <v>1874</v>
      </c>
      <c r="L95" t="str">
        <f t="shared" si="4"/>
        <v>GALP</v>
      </c>
      <c r="M95" t="s">
        <v>3489</v>
      </c>
      <c r="N95" t="s">
        <v>3489</v>
      </c>
      <c r="O95" t="s">
        <v>42</v>
      </c>
    </row>
    <row r="96" spans="1:15" ht="15.75" thickBot="1" x14ac:dyDescent="0.3">
      <c r="A96" s="275" t="s">
        <v>4603</v>
      </c>
      <c r="B96" s="275" t="s">
        <v>4603</v>
      </c>
      <c r="C96" s="82" t="str">
        <f t="shared" si="3"/>
        <v>X</v>
      </c>
      <c r="D96" s="216">
        <v>2022</v>
      </c>
      <c r="E96" s="83" t="s">
        <v>538</v>
      </c>
      <c r="F96" s="84">
        <v>106288</v>
      </c>
      <c r="G96" s="218" t="s">
        <v>589</v>
      </c>
      <c r="H96" s="402"/>
      <c r="J96" s="85" t="s">
        <v>2928</v>
      </c>
      <c r="K96" s="93" t="s">
        <v>1874</v>
      </c>
      <c r="L96" t="str">
        <f t="shared" si="4"/>
        <v>GALP</v>
      </c>
      <c r="M96" t="s">
        <v>3489</v>
      </c>
      <c r="N96" t="s">
        <v>3489</v>
      </c>
      <c r="O96" t="s">
        <v>34</v>
      </c>
    </row>
    <row r="97" spans="1:15" ht="15.75" thickBot="1" x14ac:dyDescent="0.3">
      <c r="A97" s="275" t="s">
        <v>4603</v>
      </c>
      <c r="B97" s="275" t="s">
        <v>4603</v>
      </c>
      <c r="C97" s="82" t="str">
        <f t="shared" si="3"/>
        <v>X</v>
      </c>
      <c r="D97" s="216">
        <v>2022</v>
      </c>
      <c r="E97" s="83" t="s">
        <v>538</v>
      </c>
      <c r="F97" s="84">
        <v>59307</v>
      </c>
      <c r="G97" s="218" t="s">
        <v>589</v>
      </c>
      <c r="H97" s="402"/>
      <c r="J97" s="85" t="s">
        <v>2929</v>
      </c>
      <c r="K97" s="93" t="s">
        <v>1874</v>
      </c>
      <c r="L97" t="str">
        <f t="shared" si="4"/>
        <v>GALP</v>
      </c>
      <c r="M97" t="s">
        <v>3489</v>
      </c>
      <c r="N97" t="s">
        <v>3489</v>
      </c>
      <c r="O97" t="s">
        <v>42</v>
      </c>
    </row>
    <row r="98" spans="1:15" ht="15.75" thickBot="1" x14ac:dyDescent="0.3">
      <c r="A98" s="275" t="s">
        <v>4603</v>
      </c>
      <c r="B98" s="275" t="s">
        <v>4603</v>
      </c>
      <c r="C98" s="82" t="str">
        <f t="shared" si="3"/>
        <v>X</v>
      </c>
      <c r="D98" s="216">
        <v>2022</v>
      </c>
      <c r="E98" s="83" t="s">
        <v>538</v>
      </c>
      <c r="F98" s="84">
        <v>16371</v>
      </c>
      <c r="G98" s="218" t="s">
        <v>589</v>
      </c>
      <c r="H98" s="402"/>
      <c r="J98" s="85" t="s">
        <v>2930</v>
      </c>
      <c r="K98" s="93" t="s">
        <v>1874</v>
      </c>
      <c r="L98" t="str">
        <f t="shared" si="4"/>
        <v>GALP</v>
      </c>
      <c r="M98" t="s">
        <v>3489</v>
      </c>
      <c r="N98" t="s">
        <v>3489</v>
      </c>
      <c r="O98" t="s">
        <v>42</v>
      </c>
    </row>
    <row r="99" spans="1:15" ht="15.75" thickBot="1" x14ac:dyDescent="0.3">
      <c r="A99" s="275" t="s">
        <v>4603</v>
      </c>
      <c r="B99" s="275" t="s">
        <v>4603</v>
      </c>
      <c r="C99" s="82" t="str">
        <f t="shared" si="3"/>
        <v>X</v>
      </c>
      <c r="D99" s="216">
        <v>2022</v>
      </c>
      <c r="E99" s="83" t="s">
        <v>538</v>
      </c>
      <c r="F99" s="84">
        <v>0</v>
      </c>
      <c r="G99" s="218" t="s">
        <v>589</v>
      </c>
      <c r="H99" s="402"/>
      <c r="J99" s="85" t="s">
        <v>2931</v>
      </c>
      <c r="K99" s="93" t="s">
        <v>1874</v>
      </c>
      <c r="L99" t="str">
        <f t="shared" si="4"/>
        <v>GALP</v>
      </c>
      <c r="M99" t="s">
        <v>3489</v>
      </c>
      <c r="N99" t="s">
        <v>3489</v>
      </c>
      <c r="O99" t="s">
        <v>42</v>
      </c>
    </row>
    <row r="100" spans="1:15" ht="15.75" thickBot="1" x14ac:dyDescent="0.3">
      <c r="A100" s="275" t="s">
        <v>4603</v>
      </c>
      <c r="B100" s="275" t="s">
        <v>4603</v>
      </c>
      <c r="C100" s="82" t="str">
        <f t="shared" si="3"/>
        <v>X</v>
      </c>
      <c r="D100" s="216">
        <v>2022</v>
      </c>
      <c r="E100" s="83" t="s">
        <v>538</v>
      </c>
      <c r="F100" s="84">
        <v>0</v>
      </c>
      <c r="G100" s="218" t="s">
        <v>589</v>
      </c>
      <c r="H100" s="402"/>
      <c r="J100" s="85" t="s">
        <v>2932</v>
      </c>
      <c r="K100" s="93" t="s">
        <v>1874</v>
      </c>
      <c r="L100" t="str">
        <f t="shared" si="4"/>
        <v>GALP</v>
      </c>
      <c r="M100" t="s">
        <v>3489</v>
      </c>
      <c r="N100" t="s">
        <v>3489</v>
      </c>
      <c r="O100" t="s">
        <v>42</v>
      </c>
    </row>
    <row r="101" spans="1:15" ht="15.75" thickBot="1" x14ac:dyDescent="0.3">
      <c r="A101" s="275" t="s">
        <v>4603</v>
      </c>
      <c r="B101" s="275" t="s">
        <v>4603</v>
      </c>
      <c r="C101" s="82" t="str">
        <f t="shared" si="3"/>
        <v>X</v>
      </c>
      <c r="D101" s="216">
        <v>2022</v>
      </c>
      <c r="E101" s="83" t="s">
        <v>538</v>
      </c>
      <c r="F101" s="84">
        <v>0</v>
      </c>
      <c r="G101" s="218" t="s">
        <v>589</v>
      </c>
      <c r="H101" s="402"/>
      <c r="J101" s="85" t="s">
        <v>2933</v>
      </c>
      <c r="K101" s="93" t="s">
        <v>1874</v>
      </c>
      <c r="L101" t="str">
        <f t="shared" si="4"/>
        <v>GALP</v>
      </c>
      <c r="M101" t="s">
        <v>3489</v>
      </c>
      <c r="N101" t="s">
        <v>3489</v>
      </c>
      <c r="O101" t="s">
        <v>42</v>
      </c>
    </row>
    <row r="102" spans="1:15" ht="15.75" thickBot="1" x14ac:dyDescent="0.3">
      <c r="A102" s="275" t="s">
        <v>4603</v>
      </c>
      <c r="B102" s="275" t="s">
        <v>4603</v>
      </c>
      <c r="C102" s="82" t="str">
        <f t="shared" si="3"/>
        <v>X</v>
      </c>
      <c r="D102" s="216">
        <v>2022</v>
      </c>
      <c r="E102" s="83" t="s">
        <v>538</v>
      </c>
      <c r="F102" s="84">
        <v>5772</v>
      </c>
      <c r="G102" s="218" t="s">
        <v>589</v>
      </c>
      <c r="H102" s="402"/>
      <c r="J102" s="261" t="s">
        <v>2934</v>
      </c>
      <c r="K102" s="93" t="s">
        <v>1874</v>
      </c>
      <c r="L102" t="str">
        <f t="shared" si="4"/>
        <v>GALP</v>
      </c>
      <c r="M102" t="s">
        <v>3489</v>
      </c>
      <c r="N102" t="s">
        <v>3489</v>
      </c>
      <c r="O102" s="238" t="s">
        <v>42</v>
      </c>
    </row>
    <row r="103" spans="1:15" ht="15.75" thickBot="1" x14ac:dyDescent="0.3">
      <c r="A103" s="275" t="s">
        <v>4602</v>
      </c>
      <c r="B103" s="275" t="s">
        <v>4602</v>
      </c>
      <c r="C103" s="82" t="str">
        <f t="shared" si="3"/>
        <v>X</v>
      </c>
      <c r="D103" s="216">
        <v>2022</v>
      </c>
      <c r="E103" s="83" t="s">
        <v>2935</v>
      </c>
      <c r="F103" s="84">
        <v>1433304</v>
      </c>
      <c r="G103" s="218" t="s">
        <v>589</v>
      </c>
      <c r="H103" s="402"/>
      <c r="J103" s="85" t="s">
        <v>3582</v>
      </c>
      <c r="K103" s="93" t="s">
        <v>1874</v>
      </c>
      <c r="L103" t="s">
        <v>2939</v>
      </c>
      <c r="M103" t="s">
        <v>3489</v>
      </c>
      <c r="N103" t="s">
        <v>3489</v>
      </c>
      <c r="O103" t="s">
        <v>42</v>
      </c>
    </row>
    <row r="104" spans="1:15" ht="15.75" thickBot="1" x14ac:dyDescent="0.3">
      <c r="A104" s="275" t="s">
        <v>4602</v>
      </c>
      <c r="B104" s="275" t="s">
        <v>4602</v>
      </c>
      <c r="C104" s="82" t="str">
        <f t="shared" si="3"/>
        <v>X</v>
      </c>
      <c r="D104" s="216">
        <v>2022</v>
      </c>
      <c r="E104" s="83" t="s">
        <v>3490</v>
      </c>
      <c r="F104" s="318">
        <v>18697259.5</v>
      </c>
      <c r="G104" s="218" t="s">
        <v>589</v>
      </c>
      <c r="H104" s="402"/>
      <c r="J104" s="85" t="s">
        <v>3493</v>
      </c>
      <c r="K104" s="93" t="s">
        <v>1874</v>
      </c>
      <c r="L104" t="s">
        <v>3496</v>
      </c>
      <c r="M104" t="s">
        <v>3489</v>
      </c>
      <c r="N104" t="s">
        <v>3489</v>
      </c>
      <c r="O104" t="s">
        <v>42</v>
      </c>
    </row>
    <row r="105" spans="1:15" ht="15.75" thickBot="1" x14ac:dyDescent="0.3">
      <c r="A105" s="275" t="s">
        <v>4602</v>
      </c>
      <c r="B105" s="275" t="s">
        <v>4602</v>
      </c>
      <c r="C105" s="82" t="str">
        <f t="shared" si="3"/>
        <v>X</v>
      </c>
      <c r="D105" s="216">
        <v>2022</v>
      </c>
      <c r="E105" s="83" t="s">
        <v>3491</v>
      </c>
      <c r="F105" s="268">
        <v>15023170.75</v>
      </c>
      <c r="G105" s="218" t="s">
        <v>589</v>
      </c>
      <c r="H105" s="402"/>
      <c r="J105" s="85" t="s">
        <v>3494</v>
      </c>
      <c r="K105" s="93" t="s">
        <v>1874</v>
      </c>
      <c r="L105" t="s">
        <v>3491</v>
      </c>
      <c r="M105" t="s">
        <v>3489</v>
      </c>
      <c r="N105" t="s">
        <v>3489</v>
      </c>
      <c r="O105" t="s">
        <v>42</v>
      </c>
    </row>
    <row r="106" spans="1:15" ht="15.75" thickBot="1" x14ac:dyDescent="0.3">
      <c r="A106" s="275" t="s">
        <v>4602</v>
      </c>
      <c r="B106" s="275" t="s">
        <v>4602</v>
      </c>
      <c r="C106" s="82" t="str">
        <f t="shared" si="3"/>
        <v>X</v>
      </c>
      <c r="D106" s="216">
        <v>2022</v>
      </c>
      <c r="E106" s="83" t="s">
        <v>538</v>
      </c>
      <c r="F106" s="268">
        <v>8672060.25</v>
      </c>
      <c r="G106" s="218" t="s">
        <v>589</v>
      </c>
      <c r="H106" s="402"/>
      <c r="J106" s="85" t="s">
        <v>3495</v>
      </c>
      <c r="K106" s="93" t="s">
        <v>1874</v>
      </c>
      <c r="L106" t="str">
        <f>E106</f>
        <v>GALP</v>
      </c>
      <c r="M106" t="s">
        <v>3489</v>
      </c>
      <c r="N106" t="s">
        <v>3489</v>
      </c>
      <c r="O106" t="s">
        <v>42</v>
      </c>
    </row>
    <row r="107" spans="1:15" ht="15.75" thickBot="1" x14ac:dyDescent="0.3">
      <c r="A107" s="275" t="s">
        <v>4602</v>
      </c>
      <c r="B107" s="275" t="s">
        <v>4602</v>
      </c>
      <c r="C107" s="82" t="str">
        <f t="shared" si="3"/>
        <v>X</v>
      </c>
      <c r="D107" s="216">
        <v>2022</v>
      </c>
      <c r="E107" s="83" t="s">
        <v>3492</v>
      </c>
      <c r="F107" s="84">
        <v>9582024</v>
      </c>
      <c r="G107" s="218" t="s">
        <v>589</v>
      </c>
      <c r="H107" s="402"/>
      <c r="J107" s="85" t="s">
        <v>3495</v>
      </c>
      <c r="K107" s="93" t="s">
        <v>1874</v>
      </c>
      <c r="L107" t="s">
        <v>3492</v>
      </c>
      <c r="M107" t="s">
        <v>3489</v>
      </c>
      <c r="N107" t="s">
        <v>3489</v>
      </c>
      <c r="O107" t="s">
        <v>42</v>
      </c>
    </row>
    <row r="108" spans="1:15" ht="15.75" thickBot="1" x14ac:dyDescent="0.3">
      <c r="A108" s="275" t="s">
        <v>4598</v>
      </c>
      <c r="B108" s="275" t="s">
        <v>4598</v>
      </c>
      <c r="C108" s="82" t="str">
        <f t="shared" ref="C108:C110" si="5">IF(A108=B108,"X",RIGHT(A108,LEN(A108)-LEN(B108)-3))</f>
        <v>X</v>
      </c>
      <c r="D108" s="216">
        <v>2022</v>
      </c>
      <c r="E108" s="83" t="s">
        <v>538</v>
      </c>
      <c r="F108" s="84">
        <v>18052</v>
      </c>
      <c r="G108" s="218" t="s">
        <v>589</v>
      </c>
      <c r="H108" s="402"/>
      <c r="J108" s="317" t="s">
        <v>3800</v>
      </c>
      <c r="K108" s="93" t="s">
        <v>1874</v>
      </c>
      <c r="L108" t="str">
        <f t="shared" ref="L108:L109" si="6">E108</f>
        <v>GALP</v>
      </c>
      <c r="M108" t="s">
        <v>3489</v>
      </c>
      <c r="N108" t="s">
        <v>3489</v>
      </c>
      <c r="O108" t="s">
        <v>42</v>
      </c>
    </row>
    <row r="109" spans="1:15" ht="15.75" thickBot="1" x14ac:dyDescent="0.3">
      <c r="A109" s="275" t="s">
        <v>4643</v>
      </c>
      <c r="B109" s="275" t="s">
        <v>4643</v>
      </c>
      <c r="C109" s="82" t="str">
        <f t="shared" si="5"/>
        <v>X</v>
      </c>
      <c r="D109" s="216">
        <v>2022</v>
      </c>
      <c r="E109" s="83" t="s">
        <v>538</v>
      </c>
      <c r="F109" s="84">
        <v>5856</v>
      </c>
      <c r="G109" s="218" t="s">
        <v>589</v>
      </c>
      <c r="H109" s="402"/>
      <c r="J109" s="317" t="s">
        <v>3800</v>
      </c>
      <c r="K109" s="93" t="s">
        <v>1874</v>
      </c>
      <c r="L109" t="str">
        <f t="shared" si="6"/>
        <v>GALP</v>
      </c>
      <c r="M109" t="s">
        <v>3489</v>
      </c>
      <c r="N109" t="s">
        <v>3489</v>
      </c>
      <c r="O109" t="s">
        <v>42</v>
      </c>
    </row>
    <row r="110" spans="1:15" ht="15.75" thickBot="1" x14ac:dyDescent="0.3">
      <c r="A110" s="275" t="s">
        <v>4642</v>
      </c>
      <c r="B110" s="275" t="s">
        <v>4642</v>
      </c>
      <c r="C110" s="82" t="str">
        <f t="shared" si="5"/>
        <v>X</v>
      </c>
      <c r="D110" s="216">
        <v>2022</v>
      </c>
      <c r="E110" s="83" t="s">
        <v>538</v>
      </c>
      <c r="F110" s="84">
        <v>4980</v>
      </c>
      <c r="G110" s="218" t="s">
        <v>589</v>
      </c>
      <c r="H110" s="402"/>
      <c r="J110" s="317" t="s">
        <v>3800</v>
      </c>
      <c r="K110" s="93" t="s">
        <v>1874</v>
      </c>
      <c r="L110" t="str">
        <f t="shared" ref="L110" si="7">E110</f>
        <v>GALP</v>
      </c>
      <c r="M110" t="s">
        <v>3489</v>
      </c>
      <c r="N110" t="s">
        <v>3489</v>
      </c>
      <c r="O110" t="s">
        <v>42</v>
      </c>
    </row>
    <row r="111" spans="1:15" ht="15.75" thickBot="1" x14ac:dyDescent="0.3">
      <c r="A111" t="s">
        <v>4601</v>
      </c>
      <c r="B111" t="s">
        <v>4601</v>
      </c>
      <c r="C111" s="82" t="str">
        <f t="shared" ref="C111:C115" si="8">IF(A111=B111,"X",RIGHT(A111,LEN(A111)-LEN(B111)-3))</f>
        <v>X</v>
      </c>
      <c r="D111" s="216">
        <v>2022</v>
      </c>
      <c r="E111" s="283" t="s">
        <v>4614</v>
      </c>
      <c r="F111" s="268">
        <v>19925136.66383943</v>
      </c>
      <c r="G111" s="218" t="s">
        <v>589</v>
      </c>
      <c r="H111" s="402"/>
      <c r="J111" s="82" t="s">
        <v>3813</v>
      </c>
      <c r="K111" s="93" t="s">
        <v>1874</v>
      </c>
      <c r="L111" s="283" t="s">
        <v>4614</v>
      </c>
      <c r="M111" t="s">
        <v>3489</v>
      </c>
      <c r="N111" t="s">
        <v>3489</v>
      </c>
      <c r="O111" t="s">
        <v>42</v>
      </c>
    </row>
    <row r="112" spans="1:15" ht="15.75" thickBot="1" x14ac:dyDescent="0.3">
      <c r="A112" t="s">
        <v>4601</v>
      </c>
      <c r="B112" t="s">
        <v>4601</v>
      </c>
      <c r="C112" s="82" t="str">
        <f t="shared" si="8"/>
        <v>X</v>
      </c>
      <c r="D112" s="216">
        <v>2022</v>
      </c>
      <c r="E112" s="83" t="s">
        <v>538</v>
      </c>
      <c r="F112" s="268">
        <v>1190634</v>
      </c>
      <c r="G112" s="218" t="s">
        <v>589</v>
      </c>
      <c r="H112" s="402"/>
      <c r="J112" s="82" t="s">
        <v>3814</v>
      </c>
      <c r="K112" s="93" t="s">
        <v>1874</v>
      </c>
      <c r="L112" s="83" t="s">
        <v>538</v>
      </c>
      <c r="M112" t="s">
        <v>3489</v>
      </c>
      <c r="N112" t="s">
        <v>3489</v>
      </c>
      <c r="O112" t="s">
        <v>42</v>
      </c>
    </row>
    <row r="113" spans="1:15" ht="15.75" thickBot="1" x14ac:dyDescent="0.3">
      <c r="A113" t="s">
        <v>4601</v>
      </c>
      <c r="B113" t="s">
        <v>4601</v>
      </c>
      <c r="C113" s="82" t="str">
        <f t="shared" si="8"/>
        <v>X</v>
      </c>
      <c r="D113" s="216">
        <v>2022</v>
      </c>
      <c r="E113" s="283" t="s">
        <v>538</v>
      </c>
      <c r="F113" s="268">
        <v>292840</v>
      </c>
      <c r="G113" s="218" t="s">
        <v>589</v>
      </c>
      <c r="H113" s="402"/>
      <c r="J113" s="82" t="s">
        <v>3815</v>
      </c>
      <c r="K113" s="93" t="s">
        <v>1874</v>
      </c>
      <c r="L113" s="283" t="s">
        <v>538</v>
      </c>
      <c r="M113" t="s">
        <v>3489</v>
      </c>
      <c r="N113" t="s">
        <v>3489</v>
      </c>
      <c r="O113" t="s">
        <v>42</v>
      </c>
    </row>
    <row r="114" spans="1:15" ht="15.75" thickBot="1" x14ac:dyDescent="0.3">
      <c r="A114" t="s">
        <v>4601</v>
      </c>
      <c r="B114" t="s">
        <v>4601</v>
      </c>
      <c r="C114" s="82" t="str">
        <f t="shared" si="8"/>
        <v>X</v>
      </c>
      <c r="D114" s="216">
        <v>2022</v>
      </c>
      <c r="E114" s="83" t="s">
        <v>538</v>
      </c>
      <c r="F114" s="268">
        <v>38079</v>
      </c>
      <c r="G114" s="218" t="s">
        <v>589</v>
      </c>
      <c r="H114" s="402"/>
      <c r="J114" s="82" t="s">
        <v>3816</v>
      </c>
      <c r="K114" s="93" t="s">
        <v>1874</v>
      </c>
      <c r="L114" s="83" t="s">
        <v>538</v>
      </c>
      <c r="M114" t="s">
        <v>3489</v>
      </c>
      <c r="N114" t="s">
        <v>3489</v>
      </c>
      <c r="O114" t="s">
        <v>42</v>
      </c>
    </row>
    <row r="115" spans="1:15" ht="15.75" thickBot="1" x14ac:dyDescent="0.3">
      <c r="A115" t="s">
        <v>4601</v>
      </c>
      <c r="B115" t="s">
        <v>4601</v>
      </c>
      <c r="C115" s="82" t="str">
        <f t="shared" si="8"/>
        <v>X</v>
      </c>
      <c r="D115" s="216">
        <v>2022</v>
      </c>
      <c r="E115" s="283" t="s">
        <v>538</v>
      </c>
      <c r="F115" s="268">
        <v>300559</v>
      </c>
      <c r="G115" s="218" t="s">
        <v>589</v>
      </c>
      <c r="H115" s="402"/>
      <c r="J115" s="82" t="s">
        <v>3817</v>
      </c>
      <c r="K115" s="93" t="s">
        <v>1874</v>
      </c>
      <c r="L115" s="283" t="s">
        <v>538</v>
      </c>
      <c r="M115" t="s">
        <v>3489</v>
      </c>
      <c r="N115" t="s">
        <v>3489</v>
      </c>
      <c r="O115" t="s">
        <v>42</v>
      </c>
    </row>
    <row r="116" spans="1:15" ht="15.75" thickBot="1" x14ac:dyDescent="0.3">
      <c r="A116" t="s">
        <v>4600</v>
      </c>
      <c r="B116" t="s">
        <v>4600</v>
      </c>
      <c r="C116" s="82" t="str">
        <f t="shared" ref="C116:C117" si="9">IF(A116=B116,"X",RIGHT(A116,LEN(A116)-LEN(B116)-3))</f>
        <v>X</v>
      </c>
      <c r="D116" s="216">
        <v>2022</v>
      </c>
      <c r="E116" s="83" t="s">
        <v>538</v>
      </c>
      <c r="F116" s="268">
        <v>637283</v>
      </c>
      <c r="G116" s="218" t="s">
        <v>589</v>
      </c>
      <c r="H116" s="402"/>
      <c r="J116" t="s">
        <v>3853</v>
      </c>
      <c r="K116" s="93" t="s">
        <v>1874</v>
      </c>
      <c r="L116" s="83" t="s">
        <v>538</v>
      </c>
      <c r="M116" t="s">
        <v>3489</v>
      </c>
      <c r="N116" t="s">
        <v>3489</v>
      </c>
      <c r="O116" t="s">
        <v>42</v>
      </c>
    </row>
    <row r="117" spans="1:15" ht="15.75" thickBot="1" x14ac:dyDescent="0.3">
      <c r="A117" t="s">
        <v>4600</v>
      </c>
      <c r="B117" t="s">
        <v>4600</v>
      </c>
      <c r="C117" s="82" t="str">
        <f t="shared" si="9"/>
        <v>X</v>
      </c>
      <c r="D117" s="216">
        <v>2022</v>
      </c>
      <c r="E117" s="83" t="s">
        <v>538</v>
      </c>
      <c r="F117" s="268">
        <v>612707</v>
      </c>
      <c r="G117" s="218" t="s">
        <v>589</v>
      </c>
      <c r="H117" s="402"/>
      <c r="J117" t="s">
        <v>3854</v>
      </c>
      <c r="K117" s="93" t="s">
        <v>1874</v>
      </c>
      <c r="L117" s="83" t="s">
        <v>538</v>
      </c>
      <c r="M117" t="s">
        <v>3489</v>
      </c>
      <c r="N117" t="s">
        <v>3489</v>
      </c>
      <c r="O117" t="s">
        <v>42</v>
      </c>
    </row>
    <row r="118" spans="1:15" ht="15.75" thickBot="1" x14ac:dyDescent="0.3">
      <c r="A118" t="s">
        <v>4615</v>
      </c>
      <c r="B118" t="s">
        <v>4615</v>
      </c>
      <c r="C118" t="s">
        <v>1950</v>
      </c>
      <c r="D118" s="216">
        <v>2022</v>
      </c>
      <c r="E118" s="83" t="s">
        <v>538</v>
      </c>
      <c r="F118" s="392">
        <v>349836</v>
      </c>
      <c r="G118" s="218" t="s">
        <v>589</v>
      </c>
      <c r="H118" s="402"/>
      <c r="J118" s="85" t="s">
        <v>4616</v>
      </c>
      <c r="K118" s="93" t="s">
        <v>1874</v>
      </c>
      <c r="L118" t="str">
        <f t="shared" ref="L118" si="10">E118</f>
        <v>GALP</v>
      </c>
      <c r="M118" t="s">
        <v>3489</v>
      </c>
      <c r="N118" t="s">
        <v>3489</v>
      </c>
      <c r="O118" t="s">
        <v>42</v>
      </c>
    </row>
    <row r="119" spans="1:15" s="357" customFormat="1" ht="15.75" thickBot="1" x14ac:dyDescent="0.3">
      <c r="A119" s="395" t="s">
        <v>1916</v>
      </c>
      <c r="B119" s="357" t="s">
        <v>1916</v>
      </c>
      <c r="C119" s="357" t="s">
        <v>1950</v>
      </c>
      <c r="D119" s="357">
        <v>2023</v>
      </c>
      <c r="E119" s="357" t="s">
        <v>538</v>
      </c>
      <c r="F119" s="357">
        <v>340376</v>
      </c>
      <c r="G119" s="218" t="s">
        <v>589</v>
      </c>
      <c r="H119" s="402" t="s">
        <v>4662</v>
      </c>
      <c r="I119" s="357" t="s">
        <v>4651</v>
      </c>
      <c r="K119" s="357" t="s">
        <v>4658</v>
      </c>
      <c r="L119" s="357" t="s">
        <v>538</v>
      </c>
      <c r="M119" s="357" t="s">
        <v>3489</v>
      </c>
      <c r="N119" s="357" t="s">
        <v>3489</v>
      </c>
      <c r="O119" s="357" t="s">
        <v>42</v>
      </c>
    </row>
    <row r="120" spans="1:15" ht="15.75" thickBot="1" x14ac:dyDescent="0.3">
      <c r="A120" s="82" t="s">
        <v>4661</v>
      </c>
      <c r="B120" t="s">
        <v>4661</v>
      </c>
      <c r="C120" s="357" t="s">
        <v>1950</v>
      </c>
      <c r="D120" s="396">
        <v>2023</v>
      </c>
      <c r="E120" t="s">
        <v>538</v>
      </c>
      <c r="F120">
        <v>233696</v>
      </c>
      <c r="G120" s="218" t="s">
        <v>589</v>
      </c>
      <c r="H120" s="402" t="s">
        <v>4663</v>
      </c>
      <c r="I120" t="s">
        <v>4651</v>
      </c>
      <c r="J120" t="s">
        <v>4653</v>
      </c>
      <c r="K120" s="313" t="s">
        <v>4658</v>
      </c>
      <c r="L120" t="s">
        <v>538</v>
      </c>
      <c r="M120" t="s">
        <v>3489</v>
      </c>
      <c r="N120" t="s">
        <v>3489</v>
      </c>
      <c r="O120" t="s">
        <v>42</v>
      </c>
    </row>
    <row r="121" spans="1:15" ht="15.75" thickBot="1" x14ac:dyDescent="0.3">
      <c r="A121" s="82" t="s">
        <v>4615</v>
      </c>
      <c r="B121" t="s">
        <v>4615</v>
      </c>
      <c r="C121" s="357" t="s">
        <v>1950</v>
      </c>
      <c r="D121" s="396">
        <v>2023</v>
      </c>
      <c r="E121" t="s">
        <v>538</v>
      </c>
      <c r="F121">
        <v>371162</v>
      </c>
      <c r="G121" s="218" t="s">
        <v>589</v>
      </c>
      <c r="H121" s="402" t="s">
        <v>4662</v>
      </c>
      <c r="I121" t="s">
        <v>4651</v>
      </c>
      <c r="J121" t="s">
        <v>4616</v>
      </c>
      <c r="K121" s="313" t="s">
        <v>4658</v>
      </c>
      <c r="L121" t="s">
        <v>538</v>
      </c>
      <c r="M121" t="s">
        <v>3489</v>
      </c>
      <c r="N121" t="s">
        <v>3489</v>
      </c>
      <c r="O121" t="s">
        <v>42</v>
      </c>
    </row>
    <row r="122" spans="1:15" ht="15.75" thickBot="1" x14ac:dyDescent="0.3">
      <c r="A122" s="82" t="s">
        <v>4583</v>
      </c>
      <c r="B122" t="s">
        <v>4583</v>
      </c>
      <c r="C122" s="357" t="s">
        <v>1950</v>
      </c>
      <c r="D122" s="396">
        <v>2023</v>
      </c>
      <c r="E122" t="s">
        <v>538</v>
      </c>
      <c r="F122">
        <v>1132075</v>
      </c>
      <c r="G122" s="218" t="s">
        <v>589</v>
      </c>
      <c r="H122" s="402" t="s">
        <v>4663</v>
      </c>
      <c r="I122" t="s">
        <v>4651</v>
      </c>
      <c r="K122" s="313" t="s">
        <v>4658</v>
      </c>
      <c r="L122" t="s">
        <v>538</v>
      </c>
      <c r="M122" t="s">
        <v>3489</v>
      </c>
      <c r="N122" t="s">
        <v>3489</v>
      </c>
      <c r="O122" t="s">
        <v>42</v>
      </c>
    </row>
    <row r="123" spans="1:15" ht="15.75" thickBot="1" x14ac:dyDescent="0.3">
      <c r="A123" s="82" t="s">
        <v>4583</v>
      </c>
      <c r="B123" t="s">
        <v>4583</v>
      </c>
      <c r="C123" s="357" t="s">
        <v>1950</v>
      </c>
      <c r="D123" s="396">
        <v>2023</v>
      </c>
      <c r="E123" t="s">
        <v>538</v>
      </c>
      <c r="F123">
        <v>867767.99804401479</v>
      </c>
      <c r="G123" s="218" t="s">
        <v>589</v>
      </c>
      <c r="H123" s="402" t="s">
        <v>4662</v>
      </c>
      <c r="I123" t="s">
        <v>4651</v>
      </c>
      <c r="K123" s="313" t="s">
        <v>4658</v>
      </c>
      <c r="L123" t="s">
        <v>538</v>
      </c>
      <c r="M123" t="s">
        <v>3489</v>
      </c>
      <c r="N123" t="s">
        <v>3489</v>
      </c>
      <c r="O123" t="s">
        <v>42</v>
      </c>
    </row>
    <row r="124" spans="1:15" ht="15.75" thickBot="1" x14ac:dyDescent="0.3">
      <c r="A124" s="82" t="s">
        <v>4584</v>
      </c>
      <c r="B124" t="s">
        <v>4584</v>
      </c>
      <c r="C124" s="357" t="s">
        <v>1950</v>
      </c>
      <c r="D124" s="396">
        <v>2023</v>
      </c>
      <c r="E124" t="s">
        <v>538</v>
      </c>
      <c r="F124">
        <v>43592.054158899708</v>
      </c>
      <c r="G124" s="218" t="s">
        <v>589</v>
      </c>
      <c r="H124" s="402" t="s">
        <v>4662</v>
      </c>
      <c r="I124" t="s">
        <v>4651</v>
      </c>
      <c r="K124" s="313" t="s">
        <v>4658</v>
      </c>
      <c r="L124" t="s">
        <v>538</v>
      </c>
      <c r="M124" t="s">
        <v>3489</v>
      </c>
      <c r="N124" t="s">
        <v>3489</v>
      </c>
      <c r="O124" t="s">
        <v>42</v>
      </c>
    </row>
    <row r="125" spans="1:15" ht="15.75" thickBot="1" x14ac:dyDescent="0.3">
      <c r="A125" s="82" t="s">
        <v>3475</v>
      </c>
      <c r="B125" t="s">
        <v>3475</v>
      </c>
      <c r="C125" s="357" t="s">
        <v>1950</v>
      </c>
      <c r="D125" s="396">
        <v>2023</v>
      </c>
      <c r="E125" t="s">
        <v>538</v>
      </c>
      <c r="F125">
        <v>45690.349493483023</v>
      </c>
      <c r="G125" s="218" t="s">
        <v>589</v>
      </c>
      <c r="H125" s="402" t="s">
        <v>4662</v>
      </c>
      <c r="I125" t="s">
        <v>4651</v>
      </c>
      <c r="K125" s="313" t="s">
        <v>4658</v>
      </c>
      <c r="L125" t="s">
        <v>538</v>
      </c>
      <c r="M125" t="s">
        <v>3489</v>
      </c>
      <c r="N125" t="s">
        <v>3489</v>
      </c>
      <c r="O125" t="s">
        <v>42</v>
      </c>
    </row>
    <row r="126" spans="1:15" ht="15.75" thickBot="1" x14ac:dyDescent="0.3">
      <c r="A126" s="82" t="s">
        <v>4606</v>
      </c>
      <c r="B126" t="s">
        <v>4606</v>
      </c>
      <c r="C126" s="357" t="s">
        <v>1950</v>
      </c>
      <c r="D126" s="396">
        <v>2023</v>
      </c>
      <c r="E126" t="s">
        <v>4648</v>
      </c>
      <c r="F126">
        <v>1021</v>
      </c>
      <c r="G126" s="218" t="s">
        <v>589</v>
      </c>
      <c r="H126" s="402" t="s">
        <v>4662</v>
      </c>
      <c r="I126" t="s">
        <v>4652</v>
      </c>
      <c r="K126" s="313" t="s">
        <v>4658</v>
      </c>
      <c r="L126" t="s">
        <v>2939</v>
      </c>
      <c r="M126" t="s">
        <v>3489</v>
      </c>
      <c r="N126" t="s">
        <v>3489</v>
      </c>
      <c r="O126" t="s">
        <v>42</v>
      </c>
    </row>
    <row r="127" spans="1:15" ht="15.75" thickBot="1" x14ac:dyDescent="0.3">
      <c r="A127" s="82" t="s">
        <v>4606</v>
      </c>
      <c r="B127" t="s">
        <v>4606</v>
      </c>
      <c r="C127" s="357" t="s">
        <v>1950</v>
      </c>
      <c r="D127" s="396">
        <v>2023</v>
      </c>
      <c r="E127" t="s">
        <v>4648</v>
      </c>
      <c r="F127">
        <v>2403</v>
      </c>
      <c r="G127" s="218" t="s">
        <v>589</v>
      </c>
      <c r="H127" s="402" t="s">
        <v>4662</v>
      </c>
      <c r="I127" t="s">
        <v>4652</v>
      </c>
      <c r="K127" s="313" t="s">
        <v>4658</v>
      </c>
      <c r="L127" t="s">
        <v>2939</v>
      </c>
      <c r="M127" t="s">
        <v>3489</v>
      </c>
      <c r="N127" t="s">
        <v>3489</v>
      </c>
      <c r="O127" t="s">
        <v>42</v>
      </c>
    </row>
    <row r="128" spans="1:15" ht="15.75" thickBot="1" x14ac:dyDescent="0.3">
      <c r="A128" s="82" t="s">
        <v>4606</v>
      </c>
      <c r="B128" t="s">
        <v>4606</v>
      </c>
      <c r="C128" s="357" t="s">
        <v>1950</v>
      </c>
      <c r="D128" s="396">
        <v>2023</v>
      </c>
      <c r="E128" t="s">
        <v>4648</v>
      </c>
      <c r="F128">
        <v>1927</v>
      </c>
      <c r="G128" s="218" t="s">
        <v>589</v>
      </c>
      <c r="H128" s="402" t="s">
        <v>4662</v>
      </c>
      <c r="I128" t="s">
        <v>4652</v>
      </c>
      <c r="K128" s="313" t="s">
        <v>4658</v>
      </c>
      <c r="L128" t="s">
        <v>2939</v>
      </c>
      <c r="M128" t="s">
        <v>3489</v>
      </c>
      <c r="N128" t="s">
        <v>3489</v>
      </c>
      <c r="O128" t="s">
        <v>42</v>
      </c>
    </row>
    <row r="129" spans="1:15" ht="15.75" thickBot="1" x14ac:dyDescent="0.3">
      <c r="A129" s="82" t="s">
        <v>4606</v>
      </c>
      <c r="B129" t="s">
        <v>4606</v>
      </c>
      <c r="C129" s="357" t="s">
        <v>1950</v>
      </c>
      <c r="D129" s="396">
        <v>2023</v>
      </c>
      <c r="E129" t="s">
        <v>4648</v>
      </c>
      <c r="F129">
        <v>1411</v>
      </c>
      <c r="G129" s="218" t="s">
        <v>589</v>
      </c>
      <c r="H129" s="402" t="s">
        <v>4662</v>
      </c>
      <c r="I129" t="s">
        <v>4652</v>
      </c>
      <c r="K129" s="313" t="s">
        <v>4658</v>
      </c>
      <c r="L129" t="s">
        <v>2939</v>
      </c>
      <c r="M129" t="s">
        <v>3489</v>
      </c>
      <c r="N129" t="s">
        <v>3489</v>
      </c>
      <c r="O129" t="s">
        <v>42</v>
      </c>
    </row>
    <row r="130" spans="1:15" ht="15.75" thickBot="1" x14ac:dyDescent="0.3">
      <c r="A130" s="82" t="s">
        <v>4606</v>
      </c>
      <c r="B130" t="s">
        <v>4606</v>
      </c>
      <c r="C130" s="357" t="s">
        <v>1950</v>
      </c>
      <c r="D130" s="396">
        <v>2023</v>
      </c>
      <c r="E130" t="s">
        <v>4648</v>
      </c>
      <c r="F130">
        <v>1198</v>
      </c>
      <c r="G130" s="218" t="s">
        <v>589</v>
      </c>
      <c r="H130" s="402" t="s">
        <v>4662</v>
      </c>
      <c r="I130" t="s">
        <v>4652</v>
      </c>
      <c r="K130" s="313" t="s">
        <v>4658</v>
      </c>
      <c r="L130" t="s">
        <v>2939</v>
      </c>
      <c r="M130" t="s">
        <v>3489</v>
      </c>
      <c r="N130" t="s">
        <v>3489</v>
      </c>
      <c r="O130" t="s">
        <v>42</v>
      </c>
    </row>
    <row r="131" spans="1:15" ht="15.75" thickBot="1" x14ac:dyDescent="0.3">
      <c r="A131" s="82" t="s">
        <v>4606</v>
      </c>
      <c r="B131" t="s">
        <v>4606</v>
      </c>
      <c r="C131" s="357" t="s">
        <v>1950</v>
      </c>
      <c r="D131" s="396">
        <v>2023</v>
      </c>
      <c r="E131" t="s">
        <v>4648</v>
      </c>
      <c r="F131">
        <v>1216</v>
      </c>
      <c r="G131" s="218" t="s">
        <v>589</v>
      </c>
      <c r="H131" s="402" t="s">
        <v>4662</v>
      </c>
      <c r="I131" t="s">
        <v>4652</v>
      </c>
      <c r="K131" s="313" t="s">
        <v>4658</v>
      </c>
      <c r="L131" t="s">
        <v>2939</v>
      </c>
      <c r="M131" t="s">
        <v>3489</v>
      </c>
      <c r="N131" t="s">
        <v>3489</v>
      </c>
      <c r="O131" t="s">
        <v>42</v>
      </c>
    </row>
    <row r="132" spans="1:15" ht="15.75" thickBot="1" x14ac:dyDescent="0.3">
      <c r="A132" s="82" t="s">
        <v>4606</v>
      </c>
      <c r="B132" t="s">
        <v>4606</v>
      </c>
      <c r="C132" s="357" t="s">
        <v>1950</v>
      </c>
      <c r="D132" s="396">
        <v>2023</v>
      </c>
      <c r="E132" t="s">
        <v>4648</v>
      </c>
      <c r="F132">
        <v>1729</v>
      </c>
      <c r="G132" s="218" t="s">
        <v>589</v>
      </c>
      <c r="H132" s="402" t="s">
        <v>4662</v>
      </c>
      <c r="I132" t="s">
        <v>4652</v>
      </c>
      <c r="K132" s="313" t="s">
        <v>4658</v>
      </c>
      <c r="L132" t="s">
        <v>2939</v>
      </c>
      <c r="M132" t="s">
        <v>3489</v>
      </c>
      <c r="N132" t="s">
        <v>3489</v>
      </c>
      <c r="O132" t="s">
        <v>42</v>
      </c>
    </row>
    <row r="133" spans="1:15" ht="15.75" thickBot="1" x14ac:dyDescent="0.3">
      <c r="A133" s="82" t="s">
        <v>4606</v>
      </c>
      <c r="B133" t="s">
        <v>4606</v>
      </c>
      <c r="C133" s="357" t="s">
        <v>1950</v>
      </c>
      <c r="D133" s="396">
        <v>2023</v>
      </c>
      <c r="E133" t="s">
        <v>4648</v>
      </c>
      <c r="F133">
        <v>1937</v>
      </c>
      <c r="G133" s="218" t="s">
        <v>589</v>
      </c>
      <c r="H133" s="402" t="s">
        <v>4662</v>
      </c>
      <c r="I133" t="s">
        <v>4652</v>
      </c>
      <c r="K133" s="313" t="s">
        <v>4658</v>
      </c>
      <c r="L133" t="s">
        <v>2939</v>
      </c>
      <c r="M133" t="s">
        <v>3489</v>
      </c>
      <c r="N133" t="s">
        <v>3489</v>
      </c>
      <c r="O133" t="s">
        <v>42</v>
      </c>
    </row>
    <row r="134" spans="1:15" ht="15.75" thickBot="1" x14ac:dyDescent="0.3">
      <c r="A134" s="82" t="s">
        <v>4606</v>
      </c>
      <c r="B134" t="s">
        <v>4606</v>
      </c>
      <c r="C134" s="357" t="s">
        <v>1950</v>
      </c>
      <c r="D134" s="396">
        <v>2023</v>
      </c>
      <c r="E134" t="s">
        <v>4648</v>
      </c>
      <c r="F134">
        <v>1895</v>
      </c>
      <c r="G134" s="218" t="s">
        <v>589</v>
      </c>
      <c r="H134" s="402" t="s">
        <v>4662</v>
      </c>
      <c r="I134" t="s">
        <v>4652</v>
      </c>
      <c r="K134" s="313" t="s">
        <v>4658</v>
      </c>
      <c r="L134" t="s">
        <v>2939</v>
      </c>
      <c r="M134" t="s">
        <v>3489</v>
      </c>
      <c r="N134" t="s">
        <v>3489</v>
      </c>
      <c r="O134" t="s">
        <v>42</v>
      </c>
    </row>
    <row r="135" spans="1:15" ht="15.75" thickBot="1" x14ac:dyDescent="0.3">
      <c r="A135" s="82" t="s">
        <v>4606</v>
      </c>
      <c r="B135" t="s">
        <v>4606</v>
      </c>
      <c r="C135" s="357" t="s">
        <v>1950</v>
      </c>
      <c r="D135" s="396">
        <v>2023</v>
      </c>
      <c r="E135" t="s">
        <v>4648</v>
      </c>
      <c r="F135">
        <v>1970</v>
      </c>
      <c r="G135" s="218" t="s">
        <v>589</v>
      </c>
      <c r="H135" s="402" t="s">
        <v>4662</v>
      </c>
      <c r="I135" t="s">
        <v>4652</v>
      </c>
      <c r="K135" s="313" t="s">
        <v>4658</v>
      </c>
      <c r="L135" t="s">
        <v>2939</v>
      </c>
      <c r="M135" t="s">
        <v>3489</v>
      </c>
      <c r="N135" t="s">
        <v>3489</v>
      </c>
      <c r="O135" t="s">
        <v>42</v>
      </c>
    </row>
    <row r="136" spans="1:15" ht="15.75" thickBot="1" x14ac:dyDescent="0.3">
      <c r="A136" s="82" t="s">
        <v>4606</v>
      </c>
      <c r="B136" t="s">
        <v>4606</v>
      </c>
      <c r="C136" s="357" t="s">
        <v>1950</v>
      </c>
      <c r="D136" s="396">
        <v>2023</v>
      </c>
      <c r="E136" t="s">
        <v>4648</v>
      </c>
      <c r="F136">
        <v>1693</v>
      </c>
      <c r="G136" s="218" t="s">
        <v>589</v>
      </c>
      <c r="H136" s="402" t="s">
        <v>4662</v>
      </c>
      <c r="I136" t="s">
        <v>4652</v>
      </c>
      <c r="K136" s="313" t="s">
        <v>4658</v>
      </c>
      <c r="L136" t="s">
        <v>2939</v>
      </c>
      <c r="M136" t="s">
        <v>3489</v>
      </c>
      <c r="N136" t="s">
        <v>3489</v>
      </c>
      <c r="O136" t="s">
        <v>42</v>
      </c>
    </row>
    <row r="137" spans="1:15" ht="15.75" thickBot="1" x14ac:dyDescent="0.3">
      <c r="A137" s="82" t="s">
        <v>4606</v>
      </c>
      <c r="B137" t="s">
        <v>4606</v>
      </c>
      <c r="C137" s="357" t="s">
        <v>1950</v>
      </c>
      <c r="D137" s="396">
        <v>2023</v>
      </c>
      <c r="E137" t="s">
        <v>4648</v>
      </c>
      <c r="F137">
        <v>1715</v>
      </c>
      <c r="G137" s="218" t="s">
        <v>589</v>
      </c>
      <c r="H137" s="402" t="s">
        <v>4662</v>
      </c>
      <c r="I137" t="s">
        <v>4652</v>
      </c>
      <c r="K137" s="313" t="s">
        <v>4658</v>
      </c>
      <c r="L137" t="s">
        <v>2939</v>
      </c>
      <c r="M137" t="s">
        <v>3489</v>
      </c>
      <c r="N137" t="s">
        <v>3489</v>
      </c>
      <c r="O137" t="s">
        <v>42</v>
      </c>
    </row>
    <row r="138" spans="1:15" ht="15.75" thickBot="1" x14ac:dyDescent="0.3">
      <c r="A138" s="82" t="s">
        <v>4606</v>
      </c>
      <c r="B138" t="s">
        <v>4606</v>
      </c>
      <c r="C138" s="357" t="s">
        <v>1950</v>
      </c>
      <c r="D138" s="396">
        <v>2023</v>
      </c>
      <c r="E138" t="s">
        <v>4648</v>
      </c>
      <c r="F138">
        <v>267</v>
      </c>
      <c r="G138" s="218" t="s">
        <v>589</v>
      </c>
      <c r="H138" s="402" t="s">
        <v>4662</v>
      </c>
      <c r="I138" t="s">
        <v>4652</v>
      </c>
      <c r="K138" s="313" t="s">
        <v>4658</v>
      </c>
      <c r="L138" t="s">
        <v>2939</v>
      </c>
      <c r="M138" t="s">
        <v>3489</v>
      </c>
      <c r="N138" t="s">
        <v>3489</v>
      </c>
      <c r="O138" t="s">
        <v>42</v>
      </c>
    </row>
    <row r="139" spans="1:15" ht="15.75" thickBot="1" x14ac:dyDescent="0.3">
      <c r="A139" s="82" t="s">
        <v>2817</v>
      </c>
      <c r="B139" t="s">
        <v>2817</v>
      </c>
      <c r="C139" s="357" t="s">
        <v>1950</v>
      </c>
      <c r="D139" s="396">
        <v>2023</v>
      </c>
      <c r="E139" t="s">
        <v>538</v>
      </c>
      <c r="F139">
        <v>151417</v>
      </c>
      <c r="G139" s="218" t="s">
        <v>589</v>
      </c>
      <c r="H139" s="402" t="s">
        <v>4662</v>
      </c>
      <c r="I139" t="s">
        <v>4651</v>
      </c>
      <c r="K139" s="313" t="s">
        <v>4658</v>
      </c>
      <c r="L139" t="s">
        <v>538</v>
      </c>
      <c r="M139" t="s">
        <v>3489</v>
      </c>
      <c r="N139" t="s">
        <v>3489</v>
      </c>
      <c r="O139" t="s">
        <v>42</v>
      </c>
    </row>
    <row r="140" spans="1:15" ht="15.75" thickBot="1" x14ac:dyDescent="0.3">
      <c r="A140" s="82" t="s">
        <v>4594</v>
      </c>
      <c r="B140" t="s">
        <v>4594</v>
      </c>
      <c r="C140" s="357" t="s">
        <v>1950</v>
      </c>
      <c r="D140" s="396">
        <v>2023</v>
      </c>
      <c r="E140" t="s">
        <v>4648</v>
      </c>
      <c r="F140">
        <v>115430</v>
      </c>
      <c r="G140" s="218" t="s">
        <v>589</v>
      </c>
      <c r="H140" s="402" t="s">
        <v>4662</v>
      </c>
      <c r="I140" t="s">
        <v>4651</v>
      </c>
      <c r="K140" s="313" t="s">
        <v>4658</v>
      </c>
      <c r="L140" t="s">
        <v>2939</v>
      </c>
      <c r="M140" t="s">
        <v>3489</v>
      </c>
      <c r="N140" t="s">
        <v>3489</v>
      </c>
      <c r="O140" t="s">
        <v>42</v>
      </c>
    </row>
    <row r="141" spans="1:15" ht="15.75" thickBot="1" x14ac:dyDescent="0.3">
      <c r="A141" s="82" t="s">
        <v>4593</v>
      </c>
      <c r="B141" t="s">
        <v>4593</v>
      </c>
      <c r="C141" s="357" t="s">
        <v>1950</v>
      </c>
      <c r="D141" s="396">
        <v>2023</v>
      </c>
      <c r="E141" t="s">
        <v>4648</v>
      </c>
      <c r="F141">
        <v>174244</v>
      </c>
      <c r="G141" s="218" t="s">
        <v>589</v>
      </c>
      <c r="H141" s="402" t="s">
        <v>4662</v>
      </c>
      <c r="I141" t="s">
        <v>4651</v>
      </c>
      <c r="K141" s="313" t="s">
        <v>4658</v>
      </c>
      <c r="L141" t="s">
        <v>2939</v>
      </c>
      <c r="M141" t="s">
        <v>3489</v>
      </c>
      <c r="N141" t="s">
        <v>3489</v>
      </c>
      <c r="O141" t="s">
        <v>42</v>
      </c>
    </row>
    <row r="142" spans="1:15" ht="15.75" thickBot="1" x14ac:dyDescent="0.3">
      <c r="A142" s="82" t="s">
        <v>4592</v>
      </c>
      <c r="B142" t="s">
        <v>4592</v>
      </c>
      <c r="C142" s="357" t="s">
        <v>1950</v>
      </c>
      <c r="D142" s="396">
        <v>2023</v>
      </c>
      <c r="E142" t="s">
        <v>4648</v>
      </c>
      <c r="F142">
        <v>89017</v>
      </c>
      <c r="G142" s="218" t="s">
        <v>589</v>
      </c>
      <c r="H142" s="402" t="s">
        <v>4662</v>
      </c>
      <c r="I142" t="s">
        <v>4651</v>
      </c>
      <c r="K142" s="313" t="s">
        <v>4658</v>
      </c>
      <c r="L142" t="s">
        <v>2939</v>
      </c>
      <c r="M142" t="s">
        <v>3489</v>
      </c>
      <c r="N142" t="s">
        <v>3489</v>
      </c>
      <c r="O142" t="s">
        <v>42</v>
      </c>
    </row>
    <row r="143" spans="1:15" ht="15.75" thickBot="1" x14ac:dyDescent="0.3">
      <c r="A143" s="82" t="s">
        <v>4592</v>
      </c>
      <c r="B143" t="s">
        <v>4592</v>
      </c>
      <c r="C143" s="357" t="s">
        <v>1950</v>
      </c>
      <c r="D143" s="396">
        <v>2023</v>
      </c>
      <c r="E143" t="s">
        <v>538</v>
      </c>
      <c r="F143">
        <v>83756</v>
      </c>
      <c r="G143" s="218" t="s">
        <v>589</v>
      </c>
      <c r="H143" s="402" t="s">
        <v>4662</v>
      </c>
      <c r="I143" t="s">
        <v>4651</v>
      </c>
      <c r="K143" s="313" t="s">
        <v>4658</v>
      </c>
      <c r="L143" t="s">
        <v>538</v>
      </c>
      <c r="M143" t="s">
        <v>3489</v>
      </c>
      <c r="N143" t="s">
        <v>3489</v>
      </c>
      <c r="O143" t="s">
        <v>42</v>
      </c>
    </row>
    <row r="144" spans="1:15" ht="15.75" thickBot="1" x14ac:dyDescent="0.3">
      <c r="A144" s="82" t="s">
        <v>2868</v>
      </c>
      <c r="B144" t="s">
        <v>2868</v>
      </c>
      <c r="C144" s="357" t="s">
        <v>1950</v>
      </c>
      <c r="D144" s="396">
        <v>2023</v>
      </c>
      <c r="E144" t="s">
        <v>4648</v>
      </c>
      <c r="F144">
        <v>93842</v>
      </c>
      <c r="G144" s="218" t="s">
        <v>589</v>
      </c>
      <c r="H144" s="402" t="s">
        <v>4662</v>
      </c>
      <c r="I144" t="s">
        <v>4651</v>
      </c>
      <c r="K144" s="313" t="s">
        <v>4658</v>
      </c>
      <c r="L144" t="s">
        <v>2939</v>
      </c>
      <c r="M144" t="s">
        <v>3489</v>
      </c>
      <c r="N144" t="s">
        <v>3489</v>
      </c>
      <c r="O144" t="s">
        <v>42</v>
      </c>
    </row>
    <row r="145" spans="1:15" ht="15.75" thickBot="1" x14ac:dyDescent="0.3">
      <c r="A145" s="82" t="s">
        <v>4670</v>
      </c>
      <c r="B145" t="s">
        <v>4670</v>
      </c>
      <c r="C145" s="357" t="s">
        <v>1950</v>
      </c>
      <c r="D145" s="396">
        <v>2023</v>
      </c>
      <c r="E145" t="s">
        <v>4648</v>
      </c>
      <c r="F145">
        <v>134269</v>
      </c>
      <c r="G145" s="218" t="s">
        <v>589</v>
      </c>
      <c r="H145" s="402" t="s">
        <v>4662</v>
      </c>
      <c r="I145" t="s">
        <v>4651</v>
      </c>
      <c r="K145" s="313" t="s">
        <v>4658</v>
      </c>
      <c r="L145" t="s">
        <v>2939</v>
      </c>
      <c r="M145" t="s">
        <v>3489</v>
      </c>
      <c r="N145" t="s">
        <v>3489</v>
      </c>
      <c r="O145" t="s">
        <v>42</v>
      </c>
    </row>
    <row r="146" spans="1:15" ht="15.75" thickBot="1" x14ac:dyDescent="0.3">
      <c r="A146" s="82" t="s">
        <v>4593</v>
      </c>
      <c r="B146" t="s">
        <v>4593</v>
      </c>
      <c r="C146" s="357" t="s">
        <v>1950</v>
      </c>
      <c r="D146" s="396">
        <v>2023</v>
      </c>
      <c r="E146" s="357" t="s">
        <v>6567</v>
      </c>
      <c r="F146">
        <v>25670</v>
      </c>
      <c r="G146" s="218" t="s">
        <v>589</v>
      </c>
      <c r="H146" s="402" t="s">
        <v>4663</v>
      </c>
      <c r="I146" t="s">
        <v>4651</v>
      </c>
      <c r="K146" s="313" t="s">
        <v>4658</v>
      </c>
      <c r="L146" s="313" t="s">
        <v>6567</v>
      </c>
      <c r="M146" t="s">
        <v>3489</v>
      </c>
      <c r="N146" t="s">
        <v>3489</v>
      </c>
      <c r="O146" t="s">
        <v>42</v>
      </c>
    </row>
    <row r="147" spans="1:15" ht="15.75" thickBot="1" x14ac:dyDescent="0.3">
      <c r="A147" s="82" t="s">
        <v>4592</v>
      </c>
      <c r="B147" t="s">
        <v>4592</v>
      </c>
      <c r="C147" s="357" t="s">
        <v>1950</v>
      </c>
      <c r="D147" s="396">
        <v>2023</v>
      </c>
      <c r="E147" t="s">
        <v>538</v>
      </c>
      <c r="F147">
        <v>15453.16</v>
      </c>
      <c r="G147" s="218" t="s">
        <v>589</v>
      </c>
      <c r="H147" s="402" t="s">
        <v>4663</v>
      </c>
      <c r="I147" t="s">
        <v>4651</v>
      </c>
      <c r="K147" s="313" t="s">
        <v>4658</v>
      </c>
      <c r="L147" t="s">
        <v>538</v>
      </c>
      <c r="M147" t="s">
        <v>3489</v>
      </c>
      <c r="N147" t="s">
        <v>3489</v>
      </c>
      <c r="O147" t="s">
        <v>42</v>
      </c>
    </row>
    <row r="148" spans="1:15" ht="15.75" thickBot="1" x14ac:dyDescent="0.3">
      <c r="A148" s="82" t="s">
        <v>1910</v>
      </c>
      <c r="B148" t="s">
        <v>1910</v>
      </c>
      <c r="C148" s="357" t="s">
        <v>1950</v>
      </c>
      <c r="D148" s="396">
        <v>2023</v>
      </c>
      <c r="E148" t="s">
        <v>538</v>
      </c>
      <c r="F148">
        <v>282550</v>
      </c>
      <c r="G148" s="218" t="s">
        <v>589</v>
      </c>
      <c r="H148" s="402" t="s">
        <v>4663</v>
      </c>
      <c r="I148" t="s">
        <v>4651</v>
      </c>
      <c r="K148" s="313" t="s">
        <v>4658</v>
      </c>
      <c r="L148" t="s">
        <v>538</v>
      </c>
      <c r="M148" t="s">
        <v>3489</v>
      </c>
      <c r="N148" t="s">
        <v>3489</v>
      </c>
      <c r="O148" t="s">
        <v>42</v>
      </c>
    </row>
    <row r="149" spans="1:15" ht="15.75" thickBot="1" x14ac:dyDescent="0.3">
      <c r="A149" s="82" t="s">
        <v>1910</v>
      </c>
      <c r="B149" t="s">
        <v>1910</v>
      </c>
      <c r="C149" s="357" t="s">
        <v>1950</v>
      </c>
      <c r="D149" s="396">
        <v>2023</v>
      </c>
      <c r="E149" t="s">
        <v>538</v>
      </c>
      <c r="F149">
        <v>10944</v>
      </c>
      <c r="G149" s="218" t="s">
        <v>589</v>
      </c>
      <c r="H149" s="402" t="s">
        <v>4662</v>
      </c>
      <c r="I149" t="s">
        <v>4651</v>
      </c>
      <c r="K149" s="313" t="s">
        <v>4658</v>
      </c>
      <c r="L149" t="s">
        <v>538</v>
      </c>
      <c r="M149" t="s">
        <v>3489</v>
      </c>
      <c r="N149" t="s">
        <v>3489</v>
      </c>
      <c r="O149" t="s">
        <v>42</v>
      </c>
    </row>
    <row r="150" spans="1:15" ht="15.75" thickBot="1" x14ac:dyDescent="0.3">
      <c r="A150" s="82" t="s">
        <v>4598</v>
      </c>
      <c r="B150" t="s">
        <v>4598</v>
      </c>
      <c r="C150" s="357" t="s">
        <v>1950</v>
      </c>
      <c r="D150" s="396">
        <v>2023</v>
      </c>
      <c r="E150" t="s">
        <v>538</v>
      </c>
      <c r="F150">
        <v>0</v>
      </c>
      <c r="G150" s="218" t="s">
        <v>589</v>
      </c>
      <c r="H150" s="402" t="s">
        <v>4662</v>
      </c>
      <c r="I150" t="s">
        <v>4651</v>
      </c>
      <c r="K150" s="313" t="s">
        <v>4658</v>
      </c>
      <c r="L150" t="s">
        <v>538</v>
      </c>
      <c r="M150" t="s">
        <v>3489</v>
      </c>
      <c r="N150" t="s">
        <v>3489</v>
      </c>
      <c r="O150" t="s">
        <v>42</v>
      </c>
    </row>
    <row r="151" spans="1:15" ht="15.75" thickBot="1" x14ac:dyDescent="0.3">
      <c r="A151" s="82" t="s">
        <v>4643</v>
      </c>
      <c r="B151" t="s">
        <v>4643</v>
      </c>
      <c r="C151" s="357" t="s">
        <v>1950</v>
      </c>
      <c r="D151" s="396">
        <v>2023</v>
      </c>
      <c r="E151" t="s">
        <v>538</v>
      </c>
      <c r="F151">
        <v>9179</v>
      </c>
      <c r="G151" s="218" t="s">
        <v>589</v>
      </c>
      <c r="H151" s="402" t="s">
        <v>4662</v>
      </c>
      <c r="I151" t="s">
        <v>4651</v>
      </c>
      <c r="K151" s="313" t="s">
        <v>4658</v>
      </c>
      <c r="L151" t="s">
        <v>538</v>
      </c>
      <c r="M151" t="s">
        <v>3489</v>
      </c>
      <c r="N151" t="s">
        <v>3489</v>
      </c>
      <c r="O151" t="s">
        <v>42</v>
      </c>
    </row>
    <row r="152" spans="1:15" ht="15.75" thickBot="1" x14ac:dyDescent="0.3">
      <c r="A152" s="82" t="s">
        <v>4642</v>
      </c>
      <c r="B152" t="s">
        <v>4642</v>
      </c>
      <c r="C152" s="357" t="s">
        <v>1950</v>
      </c>
      <c r="D152" s="396">
        <v>2023</v>
      </c>
      <c r="E152" t="s">
        <v>538</v>
      </c>
      <c r="F152">
        <v>0</v>
      </c>
      <c r="G152" s="218" t="s">
        <v>589</v>
      </c>
      <c r="H152" s="402" t="s">
        <v>4662</v>
      </c>
      <c r="I152" t="s">
        <v>4651</v>
      </c>
      <c r="K152" s="313" t="s">
        <v>4658</v>
      </c>
      <c r="L152" t="s">
        <v>538</v>
      </c>
      <c r="M152" t="s">
        <v>3489</v>
      </c>
      <c r="N152" t="s">
        <v>3489</v>
      </c>
      <c r="O152" t="s">
        <v>42</v>
      </c>
    </row>
    <row r="153" spans="1:15" ht="15.75" thickBot="1" x14ac:dyDescent="0.3">
      <c r="A153" s="82" t="s">
        <v>4607</v>
      </c>
      <c r="B153" t="s">
        <v>4607</v>
      </c>
      <c r="C153" s="357" t="s">
        <v>1950</v>
      </c>
      <c r="D153" s="396">
        <v>2023</v>
      </c>
      <c r="E153" t="s">
        <v>538</v>
      </c>
      <c r="F153">
        <v>0</v>
      </c>
      <c r="G153" s="218" t="s">
        <v>589</v>
      </c>
      <c r="H153" s="402" t="s">
        <v>4662</v>
      </c>
      <c r="I153" t="s">
        <v>4651</v>
      </c>
      <c r="J153" t="s">
        <v>2898</v>
      </c>
      <c r="K153" s="313" t="s">
        <v>4658</v>
      </c>
      <c r="L153" t="s">
        <v>538</v>
      </c>
      <c r="M153" t="s">
        <v>3489</v>
      </c>
      <c r="N153" t="s">
        <v>3489</v>
      </c>
      <c r="O153" t="s">
        <v>42</v>
      </c>
    </row>
    <row r="154" spans="1:15" ht="15.75" thickBot="1" x14ac:dyDescent="0.3">
      <c r="A154" s="82" t="s">
        <v>4607</v>
      </c>
      <c r="B154" t="s">
        <v>4607</v>
      </c>
      <c r="C154" s="357" t="s">
        <v>1950</v>
      </c>
      <c r="D154" s="396">
        <v>2023</v>
      </c>
      <c r="E154" t="s">
        <v>538</v>
      </c>
      <c r="F154">
        <v>29405</v>
      </c>
      <c r="G154" s="218" t="s">
        <v>589</v>
      </c>
      <c r="H154" s="402" t="s">
        <v>4662</v>
      </c>
      <c r="I154" t="s">
        <v>4651</v>
      </c>
      <c r="J154" t="s">
        <v>2899</v>
      </c>
      <c r="K154" s="313" t="s">
        <v>4658</v>
      </c>
      <c r="L154" t="s">
        <v>538</v>
      </c>
      <c r="M154" t="s">
        <v>3489</v>
      </c>
      <c r="N154" t="s">
        <v>3489</v>
      </c>
      <c r="O154" t="s">
        <v>42</v>
      </c>
    </row>
    <row r="155" spans="1:15" ht="15.75" thickBot="1" x14ac:dyDescent="0.3">
      <c r="A155" s="82" t="s">
        <v>4607</v>
      </c>
      <c r="B155" t="s">
        <v>4607</v>
      </c>
      <c r="C155" s="357" t="s">
        <v>1950</v>
      </c>
      <c r="D155" s="396">
        <v>2023</v>
      </c>
      <c r="E155" t="s">
        <v>538</v>
      </c>
      <c r="F155">
        <v>0</v>
      </c>
      <c r="G155" s="218" t="s">
        <v>589</v>
      </c>
      <c r="H155" s="402" t="s">
        <v>4662</v>
      </c>
      <c r="I155" t="s">
        <v>4651</v>
      </c>
      <c r="J155" t="s">
        <v>2900</v>
      </c>
      <c r="K155" s="313" t="s">
        <v>4658</v>
      </c>
      <c r="L155" t="s">
        <v>538</v>
      </c>
      <c r="M155" t="s">
        <v>3489</v>
      </c>
      <c r="N155" t="s">
        <v>3489</v>
      </c>
      <c r="O155" t="s">
        <v>42</v>
      </c>
    </row>
    <row r="156" spans="1:15" ht="15.75" thickBot="1" x14ac:dyDescent="0.3">
      <c r="A156" s="82" t="s">
        <v>4597</v>
      </c>
      <c r="B156" t="s">
        <v>4597</v>
      </c>
      <c r="C156" s="357" t="s">
        <v>1950</v>
      </c>
      <c r="D156" s="396">
        <v>2023</v>
      </c>
      <c r="E156" t="s">
        <v>538</v>
      </c>
      <c r="F156">
        <v>10861</v>
      </c>
      <c r="G156" s="218" t="s">
        <v>589</v>
      </c>
      <c r="H156" s="402" t="s">
        <v>4662</v>
      </c>
      <c r="I156" t="s">
        <v>4651</v>
      </c>
      <c r="J156" t="s">
        <v>2901</v>
      </c>
      <c r="K156" s="313" t="s">
        <v>4658</v>
      </c>
      <c r="L156" t="s">
        <v>538</v>
      </c>
      <c r="M156" t="s">
        <v>3489</v>
      </c>
      <c r="N156" t="s">
        <v>3489</v>
      </c>
      <c r="O156" t="s">
        <v>42</v>
      </c>
    </row>
    <row r="157" spans="1:15" ht="15.75" thickBot="1" x14ac:dyDescent="0.3">
      <c r="A157" s="82" t="s">
        <v>4603</v>
      </c>
      <c r="B157" t="s">
        <v>4603</v>
      </c>
      <c r="C157" s="357" t="s">
        <v>1950</v>
      </c>
      <c r="D157" s="396">
        <v>2023</v>
      </c>
      <c r="E157" t="s">
        <v>538</v>
      </c>
      <c r="F157">
        <v>94476</v>
      </c>
      <c r="G157" s="218" t="s">
        <v>589</v>
      </c>
      <c r="H157" s="402" t="s">
        <v>4662</v>
      </c>
      <c r="I157" t="s">
        <v>4651</v>
      </c>
      <c r="J157" t="s">
        <v>2902</v>
      </c>
      <c r="K157" s="313" t="s">
        <v>4658</v>
      </c>
      <c r="L157" t="s">
        <v>538</v>
      </c>
      <c r="M157" t="s">
        <v>3489</v>
      </c>
      <c r="N157" t="s">
        <v>3489</v>
      </c>
      <c r="O157" t="s">
        <v>42</v>
      </c>
    </row>
    <row r="158" spans="1:15" ht="15.75" thickBot="1" x14ac:dyDescent="0.3">
      <c r="A158" s="82" t="s">
        <v>4603</v>
      </c>
      <c r="B158" t="s">
        <v>4603</v>
      </c>
      <c r="C158" s="357" t="s">
        <v>1950</v>
      </c>
      <c r="D158" s="396">
        <v>2023</v>
      </c>
      <c r="E158" t="s">
        <v>538</v>
      </c>
      <c r="F158">
        <v>94293</v>
      </c>
      <c r="G158" s="218" t="s">
        <v>589</v>
      </c>
      <c r="H158" s="402" t="s">
        <v>4662</v>
      </c>
      <c r="I158" t="s">
        <v>4651</v>
      </c>
      <c r="J158" t="s">
        <v>2903</v>
      </c>
      <c r="K158" s="313" t="s">
        <v>4658</v>
      </c>
      <c r="L158" t="s">
        <v>538</v>
      </c>
      <c r="M158" t="s">
        <v>3489</v>
      </c>
      <c r="N158" t="s">
        <v>3489</v>
      </c>
      <c r="O158" t="s">
        <v>42</v>
      </c>
    </row>
    <row r="159" spans="1:15" ht="15.75" thickBot="1" x14ac:dyDescent="0.3">
      <c r="A159" s="82" t="s">
        <v>4603</v>
      </c>
      <c r="B159" t="s">
        <v>4603</v>
      </c>
      <c r="C159" s="357" t="s">
        <v>1950</v>
      </c>
      <c r="D159" s="396">
        <v>2023</v>
      </c>
      <c r="E159" t="s">
        <v>538</v>
      </c>
      <c r="F159">
        <v>62073</v>
      </c>
      <c r="G159" s="218" t="s">
        <v>589</v>
      </c>
      <c r="H159" s="402" t="s">
        <v>4662</v>
      </c>
      <c r="I159" t="s">
        <v>4651</v>
      </c>
      <c r="J159" t="s">
        <v>2904</v>
      </c>
      <c r="K159" s="313" t="s">
        <v>4658</v>
      </c>
      <c r="L159" t="s">
        <v>538</v>
      </c>
      <c r="M159" t="s">
        <v>3489</v>
      </c>
      <c r="N159" t="s">
        <v>3489</v>
      </c>
      <c r="O159" t="s">
        <v>42</v>
      </c>
    </row>
    <row r="160" spans="1:15" ht="15.75" thickBot="1" x14ac:dyDescent="0.3">
      <c r="A160" s="82" t="s">
        <v>4603</v>
      </c>
      <c r="B160" t="s">
        <v>4603</v>
      </c>
      <c r="C160" s="357" t="s">
        <v>1950</v>
      </c>
      <c r="D160" s="396">
        <v>2023</v>
      </c>
      <c r="E160" t="s">
        <v>538</v>
      </c>
      <c r="F160">
        <v>0</v>
      </c>
      <c r="G160" s="218" t="s">
        <v>589</v>
      </c>
      <c r="H160" s="402" t="s">
        <v>4662</v>
      </c>
      <c r="I160" t="s">
        <v>4651</v>
      </c>
      <c r="J160" t="s">
        <v>2905</v>
      </c>
      <c r="K160" s="313" t="s">
        <v>4658</v>
      </c>
      <c r="L160" t="s">
        <v>538</v>
      </c>
      <c r="M160" t="s">
        <v>3489</v>
      </c>
      <c r="N160" t="s">
        <v>3489</v>
      </c>
      <c r="O160" t="s">
        <v>42</v>
      </c>
    </row>
    <row r="161" spans="1:15" ht="15.75" thickBot="1" x14ac:dyDescent="0.3">
      <c r="A161" s="82" t="s">
        <v>4603</v>
      </c>
      <c r="B161" t="s">
        <v>4603</v>
      </c>
      <c r="C161" s="357" t="s">
        <v>1950</v>
      </c>
      <c r="D161" s="396">
        <v>2023</v>
      </c>
      <c r="E161" t="s">
        <v>538</v>
      </c>
      <c r="F161">
        <v>198153</v>
      </c>
      <c r="G161" s="218" t="s">
        <v>589</v>
      </c>
      <c r="H161" s="402" t="s">
        <v>4662</v>
      </c>
      <c r="I161" t="s">
        <v>4651</v>
      </c>
      <c r="J161" t="s">
        <v>2906</v>
      </c>
      <c r="K161" s="313" t="s">
        <v>4658</v>
      </c>
      <c r="L161" t="s">
        <v>538</v>
      </c>
      <c r="M161" t="s">
        <v>3489</v>
      </c>
      <c r="N161" t="s">
        <v>3489</v>
      </c>
      <c r="O161" t="s">
        <v>42</v>
      </c>
    </row>
    <row r="162" spans="1:15" ht="15.75" thickBot="1" x14ac:dyDescent="0.3">
      <c r="A162" s="82" t="s">
        <v>4603</v>
      </c>
      <c r="B162" t="s">
        <v>4603</v>
      </c>
      <c r="C162" s="357" t="s">
        <v>1950</v>
      </c>
      <c r="D162" s="396">
        <v>2023</v>
      </c>
      <c r="E162" t="s">
        <v>538</v>
      </c>
      <c r="F162">
        <v>33965</v>
      </c>
      <c r="G162" s="218" t="s">
        <v>589</v>
      </c>
      <c r="H162" s="402" t="s">
        <v>4662</v>
      </c>
      <c r="I162" t="s">
        <v>4651</v>
      </c>
      <c r="J162" t="s">
        <v>2907</v>
      </c>
      <c r="K162" s="313" t="s">
        <v>4658</v>
      </c>
      <c r="L162" t="s">
        <v>538</v>
      </c>
      <c r="M162" t="s">
        <v>3489</v>
      </c>
      <c r="N162" t="s">
        <v>3489</v>
      </c>
      <c r="O162" t="s">
        <v>42</v>
      </c>
    </row>
    <row r="163" spans="1:15" ht="15.75" thickBot="1" x14ac:dyDescent="0.3">
      <c r="A163" s="82" t="s">
        <v>4603</v>
      </c>
      <c r="B163" t="s">
        <v>4603</v>
      </c>
      <c r="C163" s="357" t="s">
        <v>1950</v>
      </c>
      <c r="D163" s="396">
        <v>2023</v>
      </c>
      <c r="E163" t="s">
        <v>538</v>
      </c>
      <c r="F163">
        <v>532647</v>
      </c>
      <c r="G163" s="218" t="s">
        <v>589</v>
      </c>
      <c r="H163" s="402" t="s">
        <v>4662</v>
      </c>
      <c r="I163" t="s">
        <v>4651</v>
      </c>
      <c r="J163" t="s">
        <v>2908</v>
      </c>
      <c r="K163" s="313" t="s">
        <v>4658</v>
      </c>
      <c r="L163" t="s">
        <v>538</v>
      </c>
      <c r="M163" t="s">
        <v>3489</v>
      </c>
      <c r="N163" t="s">
        <v>3489</v>
      </c>
      <c r="O163" t="s">
        <v>42</v>
      </c>
    </row>
    <row r="164" spans="1:15" ht="15.75" thickBot="1" x14ac:dyDescent="0.3">
      <c r="A164" s="82" t="s">
        <v>4603</v>
      </c>
      <c r="B164" t="s">
        <v>4603</v>
      </c>
      <c r="C164" s="357" t="s">
        <v>1950</v>
      </c>
      <c r="D164" s="396">
        <v>2023</v>
      </c>
      <c r="E164" t="s">
        <v>538</v>
      </c>
      <c r="F164">
        <v>58780</v>
      </c>
      <c r="G164" s="218" t="s">
        <v>589</v>
      </c>
      <c r="H164" s="402" t="s">
        <v>4662</v>
      </c>
      <c r="I164" t="s">
        <v>4651</v>
      </c>
      <c r="J164" t="s">
        <v>2909</v>
      </c>
      <c r="K164" s="313" t="s">
        <v>4658</v>
      </c>
      <c r="L164" t="s">
        <v>538</v>
      </c>
      <c r="M164" t="s">
        <v>3489</v>
      </c>
      <c r="N164" t="s">
        <v>3489</v>
      </c>
      <c r="O164" t="s">
        <v>42</v>
      </c>
    </row>
    <row r="165" spans="1:15" ht="15.75" thickBot="1" x14ac:dyDescent="0.3">
      <c r="A165" s="82" t="s">
        <v>4603</v>
      </c>
      <c r="B165" t="s">
        <v>4603</v>
      </c>
      <c r="C165" s="357" t="s">
        <v>1950</v>
      </c>
      <c r="D165" s="396">
        <v>2023</v>
      </c>
      <c r="E165" t="s">
        <v>538</v>
      </c>
      <c r="F165">
        <v>1787</v>
      </c>
      <c r="G165" s="218" t="s">
        <v>589</v>
      </c>
      <c r="H165" s="402" t="s">
        <v>4662</v>
      </c>
      <c r="I165" t="s">
        <v>4651</v>
      </c>
      <c r="J165" t="s">
        <v>2910</v>
      </c>
      <c r="K165" s="313" t="s">
        <v>4658</v>
      </c>
      <c r="L165" t="s">
        <v>538</v>
      </c>
      <c r="M165" t="s">
        <v>3489</v>
      </c>
      <c r="N165" t="s">
        <v>3489</v>
      </c>
      <c r="O165" t="s">
        <v>42</v>
      </c>
    </row>
    <row r="166" spans="1:15" ht="15.75" thickBot="1" x14ac:dyDescent="0.3">
      <c r="A166" s="82" t="s">
        <v>4603</v>
      </c>
      <c r="B166" t="s">
        <v>4603</v>
      </c>
      <c r="C166" s="357" t="s">
        <v>1950</v>
      </c>
      <c r="D166" s="396">
        <v>2023</v>
      </c>
      <c r="E166" t="s">
        <v>538</v>
      </c>
      <c r="F166">
        <v>0</v>
      </c>
      <c r="G166" s="218" t="s">
        <v>589</v>
      </c>
      <c r="H166" s="402" t="s">
        <v>4662</v>
      </c>
      <c r="I166" t="s">
        <v>4651</v>
      </c>
      <c r="J166" t="s">
        <v>2911</v>
      </c>
      <c r="K166" s="313" t="s">
        <v>4658</v>
      </c>
      <c r="L166" t="s">
        <v>538</v>
      </c>
      <c r="M166" t="s">
        <v>3489</v>
      </c>
      <c r="N166" t="s">
        <v>3489</v>
      </c>
      <c r="O166" t="s">
        <v>42</v>
      </c>
    </row>
    <row r="167" spans="1:15" ht="15.75" thickBot="1" x14ac:dyDescent="0.3">
      <c r="A167" s="82" t="s">
        <v>4603</v>
      </c>
      <c r="B167" t="s">
        <v>4603</v>
      </c>
      <c r="C167" s="357" t="s">
        <v>1950</v>
      </c>
      <c r="D167" s="396">
        <v>2023</v>
      </c>
      <c r="E167" t="s">
        <v>538</v>
      </c>
      <c r="F167">
        <v>0</v>
      </c>
      <c r="G167" s="218" t="s">
        <v>589</v>
      </c>
      <c r="H167" s="402" t="s">
        <v>4662</v>
      </c>
      <c r="I167" t="s">
        <v>4651</v>
      </c>
      <c r="J167" t="s">
        <v>2912</v>
      </c>
      <c r="K167" s="313" t="s">
        <v>4658</v>
      </c>
      <c r="L167" t="s">
        <v>538</v>
      </c>
      <c r="M167" t="s">
        <v>3489</v>
      </c>
      <c r="N167" t="s">
        <v>3489</v>
      </c>
      <c r="O167" t="s">
        <v>42</v>
      </c>
    </row>
    <row r="168" spans="1:15" ht="15.75" thickBot="1" x14ac:dyDescent="0.3">
      <c r="A168" s="82" t="s">
        <v>4603</v>
      </c>
      <c r="B168" t="s">
        <v>4603</v>
      </c>
      <c r="C168" s="357" t="s">
        <v>1950</v>
      </c>
      <c r="D168" s="396">
        <v>2023</v>
      </c>
      <c r="E168" t="s">
        <v>538</v>
      </c>
      <c r="F168">
        <v>21545</v>
      </c>
      <c r="G168" s="218" t="s">
        <v>589</v>
      </c>
      <c r="H168" s="402" t="s">
        <v>4662</v>
      </c>
      <c r="I168" t="s">
        <v>4651</v>
      </c>
      <c r="J168" t="s">
        <v>2913</v>
      </c>
      <c r="K168" s="313" t="s">
        <v>4658</v>
      </c>
      <c r="L168" t="s">
        <v>538</v>
      </c>
      <c r="M168" t="s">
        <v>3489</v>
      </c>
      <c r="N168" t="s">
        <v>3489</v>
      </c>
      <c r="O168" t="s">
        <v>42</v>
      </c>
    </row>
    <row r="169" spans="1:15" ht="15.75" thickBot="1" x14ac:dyDescent="0.3">
      <c r="A169" s="82" t="s">
        <v>4603</v>
      </c>
      <c r="B169" t="s">
        <v>4603</v>
      </c>
      <c r="C169" s="357" t="s">
        <v>1950</v>
      </c>
      <c r="D169" s="396">
        <v>2023</v>
      </c>
      <c r="E169" t="s">
        <v>538</v>
      </c>
      <c r="F169">
        <v>72202</v>
      </c>
      <c r="G169" s="218" t="s">
        <v>589</v>
      </c>
      <c r="H169" s="402" t="s">
        <v>4662</v>
      </c>
      <c r="I169" t="s">
        <v>4651</v>
      </c>
      <c r="J169" t="s">
        <v>2914</v>
      </c>
      <c r="K169" s="313" t="s">
        <v>4658</v>
      </c>
      <c r="L169" t="s">
        <v>538</v>
      </c>
      <c r="M169" t="s">
        <v>3489</v>
      </c>
      <c r="N169" t="s">
        <v>3489</v>
      </c>
      <c r="O169" t="s">
        <v>42</v>
      </c>
    </row>
    <row r="170" spans="1:15" ht="15.75" thickBot="1" x14ac:dyDescent="0.3">
      <c r="A170" s="82" t="s">
        <v>4603</v>
      </c>
      <c r="B170" t="s">
        <v>4603</v>
      </c>
      <c r="C170" s="357" t="s">
        <v>1950</v>
      </c>
      <c r="D170" s="396">
        <v>2023</v>
      </c>
      <c r="E170" t="s">
        <v>538</v>
      </c>
      <c r="F170">
        <v>2145718</v>
      </c>
      <c r="G170" s="218" t="s">
        <v>589</v>
      </c>
      <c r="H170" s="402" t="s">
        <v>4662</v>
      </c>
      <c r="I170" t="s">
        <v>4651</v>
      </c>
      <c r="J170" t="s">
        <v>2915</v>
      </c>
      <c r="K170" s="313" t="s">
        <v>4658</v>
      </c>
      <c r="L170" t="s">
        <v>538</v>
      </c>
      <c r="M170" t="s">
        <v>3489</v>
      </c>
      <c r="N170" t="s">
        <v>3489</v>
      </c>
      <c r="O170" t="s">
        <v>42</v>
      </c>
    </row>
    <row r="171" spans="1:15" ht="15.75" thickBot="1" x14ac:dyDescent="0.3">
      <c r="A171" s="82" t="s">
        <v>4603</v>
      </c>
      <c r="B171" t="s">
        <v>4603</v>
      </c>
      <c r="C171" s="357" t="s">
        <v>1950</v>
      </c>
      <c r="D171" s="396">
        <v>2023</v>
      </c>
      <c r="E171" t="s">
        <v>538</v>
      </c>
      <c r="F171">
        <v>31598</v>
      </c>
      <c r="G171" s="218" t="s">
        <v>589</v>
      </c>
      <c r="H171" s="402" t="s">
        <v>4662</v>
      </c>
      <c r="I171" t="s">
        <v>4651</v>
      </c>
      <c r="J171" t="s">
        <v>2916</v>
      </c>
      <c r="K171" s="313" t="s">
        <v>4658</v>
      </c>
      <c r="L171" t="s">
        <v>538</v>
      </c>
      <c r="M171" t="s">
        <v>3489</v>
      </c>
      <c r="N171" t="s">
        <v>3489</v>
      </c>
      <c r="O171" t="s">
        <v>42</v>
      </c>
    </row>
    <row r="172" spans="1:15" ht="15.75" thickBot="1" x14ac:dyDescent="0.3">
      <c r="A172" s="82" t="s">
        <v>4603</v>
      </c>
      <c r="B172" t="s">
        <v>4603</v>
      </c>
      <c r="C172" s="357" t="s">
        <v>1950</v>
      </c>
      <c r="D172" s="396">
        <v>2023</v>
      </c>
      <c r="E172" t="s">
        <v>538</v>
      </c>
      <c r="F172">
        <v>17198</v>
      </c>
      <c r="G172" s="218" t="s">
        <v>589</v>
      </c>
      <c r="H172" s="402" t="s">
        <v>4662</v>
      </c>
      <c r="I172" t="s">
        <v>4651</v>
      </c>
      <c r="J172" t="s">
        <v>2917</v>
      </c>
      <c r="K172" s="313" t="s">
        <v>4658</v>
      </c>
      <c r="L172" t="s">
        <v>538</v>
      </c>
      <c r="M172" t="s">
        <v>3489</v>
      </c>
      <c r="N172" t="s">
        <v>3489</v>
      </c>
      <c r="O172" t="s">
        <v>42</v>
      </c>
    </row>
    <row r="173" spans="1:15" ht="15.75" thickBot="1" x14ac:dyDescent="0.3">
      <c r="A173" s="82" t="s">
        <v>4603</v>
      </c>
      <c r="B173" t="s">
        <v>4603</v>
      </c>
      <c r="C173" s="357" t="s">
        <v>1950</v>
      </c>
      <c r="D173" s="396">
        <v>2023</v>
      </c>
      <c r="E173" t="s">
        <v>538</v>
      </c>
      <c r="F173">
        <v>0</v>
      </c>
      <c r="G173" s="218" t="s">
        <v>589</v>
      </c>
      <c r="H173" s="402" t="s">
        <v>4662</v>
      </c>
      <c r="I173" t="s">
        <v>4651</v>
      </c>
      <c r="J173" t="s">
        <v>2918</v>
      </c>
      <c r="K173" s="313" t="s">
        <v>4658</v>
      </c>
      <c r="L173" t="s">
        <v>538</v>
      </c>
      <c r="M173" t="s">
        <v>3489</v>
      </c>
      <c r="N173" t="s">
        <v>3489</v>
      </c>
      <c r="O173" t="s">
        <v>42</v>
      </c>
    </row>
    <row r="174" spans="1:15" ht="15.75" thickBot="1" x14ac:dyDescent="0.3">
      <c r="A174" s="82" t="s">
        <v>4603</v>
      </c>
      <c r="B174" t="s">
        <v>4603</v>
      </c>
      <c r="C174" s="357" t="s">
        <v>1950</v>
      </c>
      <c r="D174" s="396">
        <v>2023</v>
      </c>
      <c r="E174" t="s">
        <v>538</v>
      </c>
      <c r="F174">
        <v>4135</v>
      </c>
      <c r="G174" s="218" t="s">
        <v>589</v>
      </c>
      <c r="H174" s="402" t="s">
        <v>4662</v>
      </c>
      <c r="I174" t="s">
        <v>4651</v>
      </c>
      <c r="J174" t="s">
        <v>2919</v>
      </c>
      <c r="K174" s="313" t="s">
        <v>4658</v>
      </c>
      <c r="L174" t="s">
        <v>538</v>
      </c>
      <c r="M174" t="s">
        <v>3489</v>
      </c>
      <c r="N174" t="s">
        <v>3489</v>
      </c>
      <c r="O174" t="s">
        <v>42</v>
      </c>
    </row>
    <row r="175" spans="1:15" ht="15.75" thickBot="1" x14ac:dyDescent="0.3">
      <c r="A175" s="82" t="s">
        <v>4603</v>
      </c>
      <c r="B175" t="s">
        <v>4603</v>
      </c>
      <c r="C175" s="357" t="s">
        <v>1950</v>
      </c>
      <c r="D175" s="396">
        <v>2023</v>
      </c>
      <c r="E175" t="s">
        <v>538</v>
      </c>
      <c r="F175">
        <v>29220</v>
      </c>
      <c r="G175" s="218" t="s">
        <v>589</v>
      </c>
      <c r="H175" s="402" t="s">
        <v>4662</v>
      </c>
      <c r="I175" t="s">
        <v>4651</v>
      </c>
      <c r="J175" t="s">
        <v>2920</v>
      </c>
      <c r="K175" s="313" t="s">
        <v>4658</v>
      </c>
      <c r="L175" t="s">
        <v>538</v>
      </c>
      <c r="M175" t="s">
        <v>3489</v>
      </c>
      <c r="N175" t="s">
        <v>3489</v>
      </c>
      <c r="O175" t="s">
        <v>42</v>
      </c>
    </row>
    <row r="176" spans="1:15" ht="15.75" thickBot="1" x14ac:dyDescent="0.3">
      <c r="A176" s="82" t="s">
        <v>4603</v>
      </c>
      <c r="B176" t="s">
        <v>4603</v>
      </c>
      <c r="C176" s="357" t="s">
        <v>1950</v>
      </c>
      <c r="D176" s="396">
        <v>2023</v>
      </c>
      <c r="E176" t="s">
        <v>538</v>
      </c>
      <c r="F176">
        <v>0</v>
      </c>
      <c r="G176" s="218" t="s">
        <v>589</v>
      </c>
      <c r="H176" s="402" t="s">
        <v>4662</v>
      </c>
      <c r="I176" t="s">
        <v>4651</v>
      </c>
      <c r="J176" t="s">
        <v>2921</v>
      </c>
      <c r="K176" s="313" t="s">
        <v>4658</v>
      </c>
      <c r="L176" t="s">
        <v>538</v>
      </c>
      <c r="M176" t="s">
        <v>3489</v>
      </c>
      <c r="N176" t="s">
        <v>3489</v>
      </c>
      <c r="O176" t="s">
        <v>42</v>
      </c>
    </row>
    <row r="177" spans="1:15" ht="15.75" thickBot="1" x14ac:dyDescent="0.3">
      <c r="A177" s="82" t="s">
        <v>4603</v>
      </c>
      <c r="B177" t="s">
        <v>4603</v>
      </c>
      <c r="C177" s="357" t="s">
        <v>1950</v>
      </c>
      <c r="D177" s="396">
        <v>2023</v>
      </c>
      <c r="E177" t="s">
        <v>538</v>
      </c>
      <c r="F177">
        <v>76475</v>
      </c>
      <c r="G177" s="218" t="s">
        <v>589</v>
      </c>
      <c r="H177" s="402" t="s">
        <v>4662</v>
      </c>
      <c r="I177" t="s">
        <v>4651</v>
      </c>
      <c r="J177" t="s">
        <v>2922</v>
      </c>
      <c r="K177" s="313" t="s">
        <v>4658</v>
      </c>
      <c r="L177" t="s">
        <v>538</v>
      </c>
      <c r="M177" t="s">
        <v>3489</v>
      </c>
      <c r="N177" t="s">
        <v>3489</v>
      </c>
      <c r="O177" t="s">
        <v>42</v>
      </c>
    </row>
    <row r="178" spans="1:15" ht="15.75" thickBot="1" x14ac:dyDescent="0.3">
      <c r="A178" s="82" t="s">
        <v>4603</v>
      </c>
      <c r="B178" t="s">
        <v>4603</v>
      </c>
      <c r="C178" s="357" t="s">
        <v>1950</v>
      </c>
      <c r="D178" s="396">
        <v>2023</v>
      </c>
      <c r="E178" t="s">
        <v>538</v>
      </c>
      <c r="F178">
        <v>63368</v>
      </c>
      <c r="G178" s="218" t="s">
        <v>589</v>
      </c>
      <c r="H178" s="402" t="s">
        <v>4662</v>
      </c>
      <c r="I178" t="s">
        <v>4651</v>
      </c>
      <c r="J178" t="s">
        <v>2923</v>
      </c>
      <c r="K178" s="313" t="s">
        <v>4658</v>
      </c>
      <c r="L178" t="s">
        <v>538</v>
      </c>
      <c r="M178" t="s">
        <v>3489</v>
      </c>
      <c r="N178" t="s">
        <v>3489</v>
      </c>
      <c r="O178" t="s">
        <v>42</v>
      </c>
    </row>
    <row r="179" spans="1:15" ht="15.75" thickBot="1" x14ac:dyDescent="0.3">
      <c r="A179" s="82" t="s">
        <v>4603</v>
      </c>
      <c r="B179" t="s">
        <v>4603</v>
      </c>
      <c r="C179" s="357" t="s">
        <v>1950</v>
      </c>
      <c r="D179" s="396">
        <v>2023</v>
      </c>
      <c r="E179" t="s">
        <v>538</v>
      </c>
      <c r="F179">
        <v>19289</v>
      </c>
      <c r="G179" s="218" t="s">
        <v>589</v>
      </c>
      <c r="H179" s="402" t="s">
        <v>4662</v>
      </c>
      <c r="I179" t="s">
        <v>4651</v>
      </c>
      <c r="J179" t="s">
        <v>2924</v>
      </c>
      <c r="K179" s="313" t="s">
        <v>4658</v>
      </c>
      <c r="L179" t="s">
        <v>538</v>
      </c>
      <c r="M179" t="s">
        <v>3489</v>
      </c>
      <c r="N179" t="s">
        <v>3489</v>
      </c>
      <c r="O179" t="s">
        <v>42</v>
      </c>
    </row>
    <row r="180" spans="1:15" ht="15.75" thickBot="1" x14ac:dyDescent="0.3">
      <c r="A180" s="82" t="s">
        <v>4603</v>
      </c>
      <c r="B180" t="s">
        <v>4603</v>
      </c>
      <c r="C180" s="357" t="s">
        <v>1950</v>
      </c>
      <c r="D180" s="396">
        <v>2023</v>
      </c>
      <c r="E180" t="s">
        <v>538</v>
      </c>
      <c r="F180">
        <v>7608</v>
      </c>
      <c r="G180" s="218" t="s">
        <v>589</v>
      </c>
      <c r="H180" s="402" t="s">
        <v>4662</v>
      </c>
      <c r="I180" t="s">
        <v>4651</v>
      </c>
      <c r="J180" t="s">
        <v>2925</v>
      </c>
      <c r="K180" s="313" t="s">
        <v>4658</v>
      </c>
      <c r="L180" t="s">
        <v>538</v>
      </c>
      <c r="M180" t="s">
        <v>3489</v>
      </c>
      <c r="N180" t="s">
        <v>3489</v>
      </c>
      <c r="O180" t="s">
        <v>42</v>
      </c>
    </row>
    <row r="181" spans="1:15" ht="15.75" thickBot="1" x14ac:dyDescent="0.3">
      <c r="A181" s="82" t="s">
        <v>4603</v>
      </c>
      <c r="B181" t="s">
        <v>4603</v>
      </c>
      <c r="C181" s="357" t="s">
        <v>1950</v>
      </c>
      <c r="D181" s="396">
        <v>2023</v>
      </c>
      <c r="E181" t="s">
        <v>538</v>
      </c>
      <c r="F181">
        <v>0</v>
      </c>
      <c r="G181" s="218" t="s">
        <v>589</v>
      </c>
      <c r="H181" s="402" t="s">
        <v>4662</v>
      </c>
      <c r="I181" t="s">
        <v>4651</v>
      </c>
      <c r="J181" t="s">
        <v>2926</v>
      </c>
      <c r="K181" s="313" t="s">
        <v>4658</v>
      </c>
      <c r="L181" t="s">
        <v>538</v>
      </c>
      <c r="M181" t="s">
        <v>3489</v>
      </c>
      <c r="N181" t="s">
        <v>3489</v>
      </c>
      <c r="O181" t="s">
        <v>42</v>
      </c>
    </row>
    <row r="182" spans="1:15" ht="15.75" thickBot="1" x14ac:dyDescent="0.3">
      <c r="A182" s="82" t="s">
        <v>4603</v>
      </c>
      <c r="B182" t="s">
        <v>4603</v>
      </c>
      <c r="C182" s="357" t="s">
        <v>1950</v>
      </c>
      <c r="D182" s="396">
        <v>2023</v>
      </c>
      <c r="E182" t="s">
        <v>538</v>
      </c>
      <c r="F182">
        <v>0</v>
      </c>
      <c r="G182" s="218" t="s">
        <v>589</v>
      </c>
      <c r="H182" s="402" t="s">
        <v>4662</v>
      </c>
      <c r="I182" t="s">
        <v>4651</v>
      </c>
      <c r="J182" t="s">
        <v>2927</v>
      </c>
      <c r="K182" s="313" t="s">
        <v>4658</v>
      </c>
      <c r="L182" t="s">
        <v>538</v>
      </c>
      <c r="M182" t="s">
        <v>3489</v>
      </c>
      <c r="N182" t="s">
        <v>3489</v>
      </c>
      <c r="O182" t="s">
        <v>42</v>
      </c>
    </row>
    <row r="183" spans="1:15" ht="15.75" thickBot="1" x14ac:dyDescent="0.3">
      <c r="A183" s="82" t="s">
        <v>4603</v>
      </c>
      <c r="B183" t="s">
        <v>4603</v>
      </c>
      <c r="C183" s="357" t="s">
        <v>1950</v>
      </c>
      <c r="D183" s="396">
        <v>2023</v>
      </c>
      <c r="E183" t="s">
        <v>538</v>
      </c>
      <c r="F183">
        <v>116795</v>
      </c>
      <c r="G183" s="218" t="s">
        <v>589</v>
      </c>
      <c r="H183" s="402" t="s">
        <v>4662</v>
      </c>
      <c r="I183" t="s">
        <v>4651</v>
      </c>
      <c r="J183" t="s">
        <v>2928</v>
      </c>
      <c r="K183" s="313" t="s">
        <v>4658</v>
      </c>
      <c r="L183" t="s">
        <v>538</v>
      </c>
      <c r="M183" t="s">
        <v>3489</v>
      </c>
      <c r="N183" t="s">
        <v>3489</v>
      </c>
      <c r="O183" t="s">
        <v>42</v>
      </c>
    </row>
    <row r="184" spans="1:15" ht="15.75" thickBot="1" x14ac:dyDescent="0.3">
      <c r="A184" s="82" t="s">
        <v>4603</v>
      </c>
      <c r="B184" t="s">
        <v>4603</v>
      </c>
      <c r="C184" s="357" t="s">
        <v>1950</v>
      </c>
      <c r="D184" s="396">
        <v>2023</v>
      </c>
      <c r="E184" t="s">
        <v>538</v>
      </c>
      <c r="F184">
        <v>226614</v>
      </c>
      <c r="G184" s="218" t="s">
        <v>589</v>
      </c>
      <c r="H184" s="402" t="s">
        <v>4662</v>
      </c>
      <c r="I184" t="s">
        <v>4651</v>
      </c>
      <c r="J184" t="s">
        <v>2929</v>
      </c>
      <c r="K184" s="313" t="s">
        <v>4658</v>
      </c>
      <c r="L184" t="s">
        <v>538</v>
      </c>
      <c r="M184" t="s">
        <v>3489</v>
      </c>
      <c r="N184" t="s">
        <v>3489</v>
      </c>
      <c r="O184" t="s">
        <v>42</v>
      </c>
    </row>
    <row r="185" spans="1:15" ht="15.75" thickBot="1" x14ac:dyDescent="0.3">
      <c r="A185" s="82" t="s">
        <v>4603</v>
      </c>
      <c r="B185" t="s">
        <v>4603</v>
      </c>
      <c r="C185" s="357" t="s">
        <v>1950</v>
      </c>
      <c r="D185" s="396">
        <v>2023</v>
      </c>
      <c r="E185" t="s">
        <v>538</v>
      </c>
      <c r="F185">
        <v>17158</v>
      </c>
      <c r="G185" s="218" t="s">
        <v>589</v>
      </c>
      <c r="H185" s="402" t="s">
        <v>4662</v>
      </c>
      <c r="I185" t="s">
        <v>4651</v>
      </c>
      <c r="J185" t="s">
        <v>2930</v>
      </c>
      <c r="K185" s="313" t="s">
        <v>4658</v>
      </c>
      <c r="L185" t="s">
        <v>538</v>
      </c>
      <c r="M185" t="s">
        <v>3489</v>
      </c>
      <c r="N185" t="s">
        <v>3489</v>
      </c>
      <c r="O185" t="s">
        <v>42</v>
      </c>
    </row>
    <row r="186" spans="1:15" ht="15.75" thickBot="1" x14ac:dyDescent="0.3">
      <c r="A186" s="82" t="s">
        <v>4603</v>
      </c>
      <c r="B186" t="s">
        <v>4603</v>
      </c>
      <c r="C186" s="357" t="s">
        <v>1950</v>
      </c>
      <c r="D186" s="396">
        <v>2023</v>
      </c>
      <c r="E186" t="s">
        <v>538</v>
      </c>
      <c r="F186">
        <v>0</v>
      </c>
      <c r="G186" s="218" t="s">
        <v>589</v>
      </c>
      <c r="H186" s="402" t="s">
        <v>4662</v>
      </c>
      <c r="I186" t="s">
        <v>4651</v>
      </c>
      <c r="J186" t="s">
        <v>2931</v>
      </c>
      <c r="K186" s="313" t="s">
        <v>4658</v>
      </c>
      <c r="L186" t="s">
        <v>538</v>
      </c>
      <c r="M186" t="s">
        <v>3489</v>
      </c>
      <c r="N186" t="s">
        <v>3489</v>
      </c>
      <c r="O186" t="s">
        <v>42</v>
      </c>
    </row>
    <row r="187" spans="1:15" ht="15.75" thickBot="1" x14ac:dyDescent="0.3">
      <c r="A187" s="82" t="s">
        <v>4603</v>
      </c>
      <c r="B187" t="s">
        <v>4603</v>
      </c>
      <c r="C187" s="357" t="s">
        <v>1950</v>
      </c>
      <c r="D187" s="396">
        <v>2023</v>
      </c>
      <c r="E187" t="s">
        <v>538</v>
      </c>
      <c r="F187">
        <v>236</v>
      </c>
      <c r="G187" s="218" t="s">
        <v>589</v>
      </c>
      <c r="H187" s="402" t="s">
        <v>4662</v>
      </c>
      <c r="I187" t="s">
        <v>4651</v>
      </c>
      <c r="J187" t="s">
        <v>2932</v>
      </c>
      <c r="K187" s="313" t="s">
        <v>4658</v>
      </c>
      <c r="L187" t="s">
        <v>538</v>
      </c>
      <c r="M187" t="s">
        <v>3489</v>
      </c>
      <c r="N187" t="s">
        <v>3489</v>
      </c>
      <c r="O187" t="s">
        <v>42</v>
      </c>
    </row>
    <row r="188" spans="1:15" ht="15.75" thickBot="1" x14ac:dyDescent="0.3">
      <c r="A188" s="82" t="s">
        <v>4603</v>
      </c>
      <c r="B188" t="s">
        <v>4603</v>
      </c>
      <c r="C188" s="357" t="s">
        <v>1950</v>
      </c>
      <c r="D188" s="396">
        <v>2023</v>
      </c>
      <c r="E188" t="s">
        <v>538</v>
      </c>
      <c r="F188">
        <v>0</v>
      </c>
      <c r="G188" s="218" t="s">
        <v>589</v>
      </c>
      <c r="H188" s="402" t="s">
        <v>4662</v>
      </c>
      <c r="I188" t="s">
        <v>4651</v>
      </c>
      <c r="J188" t="s">
        <v>2933</v>
      </c>
      <c r="K188" s="313" t="s">
        <v>4658</v>
      </c>
      <c r="L188" t="s">
        <v>538</v>
      </c>
      <c r="M188" t="s">
        <v>3489</v>
      </c>
      <c r="N188" t="s">
        <v>3489</v>
      </c>
      <c r="O188" t="s">
        <v>42</v>
      </c>
    </row>
    <row r="189" spans="1:15" ht="15.75" thickBot="1" x14ac:dyDescent="0.3">
      <c r="A189" s="82" t="s">
        <v>4603</v>
      </c>
      <c r="B189" t="s">
        <v>4603</v>
      </c>
      <c r="C189" s="357" t="s">
        <v>1950</v>
      </c>
      <c r="D189" s="396">
        <v>2023</v>
      </c>
      <c r="E189" t="s">
        <v>538</v>
      </c>
      <c r="F189">
        <v>5528</v>
      </c>
      <c r="G189" s="218" t="s">
        <v>589</v>
      </c>
      <c r="H189" s="402" t="s">
        <v>4662</v>
      </c>
      <c r="I189" t="s">
        <v>4651</v>
      </c>
      <c r="J189" t="s">
        <v>2934</v>
      </c>
      <c r="K189" s="313" t="s">
        <v>4658</v>
      </c>
      <c r="L189" t="s">
        <v>538</v>
      </c>
      <c r="M189" t="s">
        <v>3489</v>
      </c>
      <c r="N189" t="s">
        <v>3489</v>
      </c>
      <c r="O189" t="s">
        <v>42</v>
      </c>
    </row>
    <row r="190" spans="1:15" ht="15.75" thickBot="1" x14ac:dyDescent="0.3">
      <c r="A190" s="82" t="s">
        <v>4668</v>
      </c>
      <c r="B190" t="s">
        <v>4668</v>
      </c>
      <c r="C190" s="357" t="s">
        <v>1950</v>
      </c>
      <c r="D190" s="396">
        <v>2023</v>
      </c>
      <c r="E190" t="s">
        <v>538</v>
      </c>
      <c r="F190">
        <v>581986</v>
      </c>
      <c r="G190" s="218" t="s">
        <v>589</v>
      </c>
      <c r="H190" s="402" t="s">
        <v>4662</v>
      </c>
      <c r="I190" t="s">
        <v>4651</v>
      </c>
      <c r="J190" t="s">
        <v>4665</v>
      </c>
      <c r="K190" s="313" t="s">
        <v>4658</v>
      </c>
      <c r="L190" t="s">
        <v>538</v>
      </c>
      <c r="M190" t="s">
        <v>3489</v>
      </c>
      <c r="N190" t="s">
        <v>3489</v>
      </c>
      <c r="O190" t="s">
        <v>42</v>
      </c>
    </row>
    <row r="191" spans="1:15" ht="15.75" thickBot="1" x14ac:dyDescent="0.3">
      <c r="A191" s="82" t="s">
        <v>4668</v>
      </c>
      <c r="B191" t="s">
        <v>4668</v>
      </c>
      <c r="C191" s="357" t="s">
        <v>1950</v>
      </c>
      <c r="D191" s="396">
        <v>2023</v>
      </c>
      <c r="E191" t="s">
        <v>538</v>
      </c>
      <c r="F191">
        <v>181429</v>
      </c>
      <c r="G191" s="218" t="s">
        <v>589</v>
      </c>
      <c r="H191" s="402" t="s">
        <v>4663</v>
      </c>
      <c r="I191" t="s">
        <v>4651</v>
      </c>
      <c r="J191" t="s">
        <v>4666</v>
      </c>
      <c r="K191" s="313" t="s">
        <v>4658</v>
      </c>
      <c r="L191" t="s">
        <v>538</v>
      </c>
      <c r="M191" t="s">
        <v>3489</v>
      </c>
      <c r="N191" t="s">
        <v>3489</v>
      </c>
      <c r="O191" t="s">
        <v>42</v>
      </c>
    </row>
    <row r="192" spans="1:15" ht="15.75" thickBot="1" x14ac:dyDescent="0.3">
      <c r="A192" s="82" t="s">
        <v>4668</v>
      </c>
      <c r="B192" t="s">
        <v>4668</v>
      </c>
      <c r="C192" s="357" t="s">
        <v>1950</v>
      </c>
      <c r="D192" s="396">
        <v>2023</v>
      </c>
      <c r="E192" t="s">
        <v>538</v>
      </c>
      <c r="F192">
        <v>217559</v>
      </c>
      <c r="G192" s="218" t="s">
        <v>589</v>
      </c>
      <c r="H192" s="402" t="s">
        <v>4662</v>
      </c>
      <c r="I192" t="s">
        <v>4651</v>
      </c>
      <c r="J192" t="s">
        <v>4667</v>
      </c>
      <c r="K192" s="313" t="s">
        <v>4658</v>
      </c>
      <c r="L192" t="s">
        <v>538</v>
      </c>
      <c r="M192" t="s">
        <v>3489</v>
      </c>
      <c r="N192" t="s">
        <v>3489</v>
      </c>
      <c r="O192" t="s">
        <v>42</v>
      </c>
    </row>
    <row r="193" spans="1:15" ht="15.75" thickBot="1" x14ac:dyDescent="0.3">
      <c r="A193" s="82" t="s">
        <v>4668</v>
      </c>
      <c r="B193" t="s">
        <v>4668</v>
      </c>
      <c r="C193" s="357" t="s">
        <v>1950</v>
      </c>
      <c r="D193" s="396">
        <v>2023</v>
      </c>
      <c r="E193" t="s">
        <v>538</v>
      </c>
      <c r="F193">
        <v>29249</v>
      </c>
      <c r="G193" s="218" t="s">
        <v>589</v>
      </c>
      <c r="H193" s="402" t="s">
        <v>4663</v>
      </c>
      <c r="I193" t="s">
        <v>4651</v>
      </c>
      <c r="J193" t="s">
        <v>4667</v>
      </c>
      <c r="K193" s="313" t="s">
        <v>4658</v>
      </c>
      <c r="L193" t="s">
        <v>538</v>
      </c>
      <c r="M193" t="s">
        <v>3489</v>
      </c>
      <c r="N193" t="s">
        <v>3489</v>
      </c>
      <c r="O193" t="s">
        <v>42</v>
      </c>
    </row>
    <row r="194" spans="1:15" ht="15.75" thickBot="1" x14ac:dyDescent="0.3">
      <c r="A194" s="82" t="s">
        <v>4602</v>
      </c>
      <c r="B194" t="s">
        <v>4602</v>
      </c>
      <c r="C194" s="357" t="s">
        <v>1950</v>
      </c>
      <c r="D194" s="396">
        <v>2023</v>
      </c>
      <c r="E194" t="s">
        <v>4648</v>
      </c>
      <c r="F194">
        <v>765775</v>
      </c>
      <c r="G194" s="218" t="s">
        <v>589</v>
      </c>
      <c r="H194" s="402" t="s">
        <v>4662</v>
      </c>
      <c r="I194" t="s">
        <v>4651</v>
      </c>
      <c r="J194" t="s">
        <v>4654</v>
      </c>
      <c r="K194" s="313" t="s">
        <v>4658</v>
      </c>
      <c r="L194" t="s">
        <v>2939</v>
      </c>
      <c r="M194" t="s">
        <v>3489</v>
      </c>
      <c r="N194" t="s">
        <v>3489</v>
      </c>
      <c r="O194" t="s">
        <v>42</v>
      </c>
    </row>
    <row r="195" spans="1:15" ht="15.75" thickBot="1" x14ac:dyDescent="0.3">
      <c r="A195" s="82" t="s">
        <v>4602</v>
      </c>
      <c r="B195" t="s">
        <v>4602</v>
      </c>
      <c r="C195" s="357" t="s">
        <v>1950</v>
      </c>
      <c r="D195" s="396">
        <v>2023</v>
      </c>
      <c r="E195" t="s">
        <v>3490</v>
      </c>
      <c r="F195">
        <v>49578277</v>
      </c>
      <c r="G195" s="218" t="s">
        <v>589</v>
      </c>
      <c r="H195" s="402" t="s">
        <v>4662</v>
      </c>
      <c r="I195" t="s">
        <v>4651</v>
      </c>
      <c r="K195" s="313" t="s">
        <v>4658</v>
      </c>
      <c r="L195" s="397" t="s">
        <v>3496</v>
      </c>
      <c r="M195" t="s">
        <v>3489</v>
      </c>
      <c r="N195" t="s">
        <v>3489</v>
      </c>
      <c r="O195" t="s">
        <v>42</v>
      </c>
    </row>
    <row r="196" spans="1:15" ht="15.75" thickBot="1" x14ac:dyDescent="0.3">
      <c r="A196" s="82" t="s">
        <v>4602</v>
      </c>
      <c r="B196" t="s">
        <v>4602</v>
      </c>
      <c r="C196" s="357" t="s">
        <v>1950</v>
      </c>
      <c r="D196" s="396">
        <v>2023</v>
      </c>
      <c r="E196" t="s">
        <v>3491</v>
      </c>
      <c r="F196">
        <v>3583069.25</v>
      </c>
      <c r="G196" s="218" t="s">
        <v>589</v>
      </c>
      <c r="H196" s="402" t="s">
        <v>4662</v>
      </c>
      <c r="I196" t="s">
        <v>4652</v>
      </c>
      <c r="K196" s="313" t="s">
        <v>4658</v>
      </c>
      <c r="L196" s="397" t="s">
        <v>3491</v>
      </c>
      <c r="M196" t="s">
        <v>3489</v>
      </c>
      <c r="N196" t="s">
        <v>3489</v>
      </c>
      <c r="O196" t="s">
        <v>42</v>
      </c>
    </row>
    <row r="197" spans="1:15" s="405" customFormat="1" ht="15.75" thickBot="1" x14ac:dyDescent="0.3">
      <c r="A197" s="410" t="s">
        <v>4669</v>
      </c>
      <c r="B197" s="405" t="s">
        <v>4669</v>
      </c>
      <c r="C197" s="405" t="s">
        <v>1950</v>
      </c>
      <c r="D197" s="406">
        <v>2023</v>
      </c>
      <c r="E197" s="405" t="s">
        <v>4650</v>
      </c>
      <c r="F197" s="405">
        <v>24013</v>
      </c>
      <c r="G197" s="407" t="s">
        <v>589</v>
      </c>
      <c r="H197" s="408" t="s">
        <v>4662</v>
      </c>
      <c r="I197" s="405" t="s">
        <v>4652</v>
      </c>
      <c r="J197" s="405">
        <v>18368.349999999999</v>
      </c>
      <c r="K197" s="409" t="s">
        <v>4659</v>
      </c>
      <c r="L197" s="409" t="s">
        <v>4660</v>
      </c>
      <c r="M197" s="405" t="s">
        <v>3489</v>
      </c>
      <c r="N197" s="405" t="s">
        <v>3489</v>
      </c>
      <c r="O197" s="405" t="s">
        <v>42</v>
      </c>
    </row>
    <row r="198" spans="1:15" s="405" customFormat="1" ht="15.75" thickBot="1" x14ac:dyDescent="0.3">
      <c r="A198" s="410" t="s">
        <v>4669</v>
      </c>
      <c r="B198" s="405" t="s">
        <v>4669</v>
      </c>
      <c r="C198" s="405" t="s">
        <v>1950</v>
      </c>
      <c r="D198" s="406">
        <v>2023</v>
      </c>
      <c r="E198" s="405" t="s">
        <v>4650</v>
      </c>
      <c r="F198" s="405">
        <v>20795</v>
      </c>
      <c r="G198" s="407" t="s">
        <v>589</v>
      </c>
      <c r="H198" s="408" t="s">
        <v>4662</v>
      </c>
      <c r="I198" s="405" t="s">
        <v>4652</v>
      </c>
      <c r="J198" s="405">
        <v>16638.009999999998</v>
      </c>
      <c r="K198" s="409" t="s">
        <v>4659</v>
      </c>
      <c r="L198" s="409" t="s">
        <v>4660</v>
      </c>
      <c r="M198" s="405" t="s">
        <v>3489</v>
      </c>
      <c r="N198" s="405" t="s">
        <v>3489</v>
      </c>
      <c r="O198" s="405" t="s">
        <v>42</v>
      </c>
    </row>
    <row r="199" spans="1:15" s="405" customFormat="1" ht="15.75" thickBot="1" x14ac:dyDescent="0.3">
      <c r="A199" s="410" t="s">
        <v>4669</v>
      </c>
      <c r="B199" s="405" t="s">
        <v>4669</v>
      </c>
      <c r="C199" s="405" t="s">
        <v>1950</v>
      </c>
      <c r="D199" s="406">
        <v>2023</v>
      </c>
      <c r="E199" s="405" t="s">
        <v>4650</v>
      </c>
      <c r="F199" s="405">
        <v>24063</v>
      </c>
      <c r="G199" s="407" t="s">
        <v>589</v>
      </c>
      <c r="H199" s="408" t="s">
        <v>4662</v>
      </c>
      <c r="I199" s="405" t="s">
        <v>4652</v>
      </c>
      <c r="J199" s="405">
        <v>18377.560000000001</v>
      </c>
      <c r="K199" s="409" t="s">
        <v>4659</v>
      </c>
      <c r="L199" s="409" t="s">
        <v>4660</v>
      </c>
      <c r="M199" s="405" t="s">
        <v>3489</v>
      </c>
      <c r="N199" s="405" t="s">
        <v>3489</v>
      </c>
      <c r="O199" s="405" t="s">
        <v>42</v>
      </c>
    </row>
    <row r="200" spans="1:15" s="405" customFormat="1" ht="15.75" thickBot="1" x14ac:dyDescent="0.3">
      <c r="A200" s="410" t="s">
        <v>4669</v>
      </c>
      <c r="B200" s="405" t="s">
        <v>4669</v>
      </c>
      <c r="C200" s="405" t="s">
        <v>1950</v>
      </c>
      <c r="D200" s="406">
        <v>2023</v>
      </c>
      <c r="E200" s="405" t="s">
        <v>4650</v>
      </c>
      <c r="F200" s="405">
        <v>21753</v>
      </c>
      <c r="G200" s="407" t="s">
        <v>589</v>
      </c>
      <c r="H200" s="408" t="s">
        <v>4662</v>
      </c>
      <c r="I200" s="405" t="s">
        <v>4652</v>
      </c>
      <c r="J200" s="405">
        <v>16299.2</v>
      </c>
      <c r="K200" s="409" t="s">
        <v>4659</v>
      </c>
      <c r="L200" s="409" t="s">
        <v>4660</v>
      </c>
      <c r="M200" s="405" t="s">
        <v>3489</v>
      </c>
      <c r="N200" s="405" t="s">
        <v>3489</v>
      </c>
      <c r="O200" s="405" t="s">
        <v>42</v>
      </c>
    </row>
    <row r="201" spans="1:15" s="405" customFormat="1" ht="15.75" thickBot="1" x14ac:dyDescent="0.3">
      <c r="A201" s="410" t="s">
        <v>4669</v>
      </c>
      <c r="B201" s="405" t="s">
        <v>4669</v>
      </c>
      <c r="C201" s="405" t="s">
        <v>1950</v>
      </c>
      <c r="D201" s="406">
        <v>2023</v>
      </c>
      <c r="E201" s="405" t="s">
        <v>4650</v>
      </c>
      <c r="F201" s="405">
        <v>21753</v>
      </c>
      <c r="G201" s="407" t="s">
        <v>589</v>
      </c>
      <c r="H201" s="408" t="s">
        <v>4662</v>
      </c>
      <c r="I201" s="405" t="s">
        <v>4652</v>
      </c>
      <c r="J201" s="405">
        <v>16299.2</v>
      </c>
      <c r="K201" s="409" t="s">
        <v>4659</v>
      </c>
      <c r="L201" s="409" t="s">
        <v>4660</v>
      </c>
      <c r="M201" s="405" t="s">
        <v>3489</v>
      </c>
      <c r="N201" s="405" t="s">
        <v>3489</v>
      </c>
      <c r="O201" s="405" t="s">
        <v>42</v>
      </c>
    </row>
    <row r="202" spans="1:15" s="405" customFormat="1" ht="15.75" thickBot="1" x14ac:dyDescent="0.3">
      <c r="A202" s="410" t="s">
        <v>4669</v>
      </c>
      <c r="B202" s="405" t="s">
        <v>4669</v>
      </c>
      <c r="C202" s="405" t="s">
        <v>1950</v>
      </c>
      <c r="D202" s="406">
        <v>2023</v>
      </c>
      <c r="E202" s="405" t="s">
        <v>4650</v>
      </c>
      <c r="F202" s="405">
        <v>26816</v>
      </c>
      <c r="G202" s="407" t="s">
        <v>589</v>
      </c>
      <c r="H202" s="408" t="s">
        <v>4662</v>
      </c>
      <c r="I202" s="405" t="s">
        <v>4652</v>
      </c>
      <c r="J202" s="405">
        <v>19753.29</v>
      </c>
      <c r="K202" s="409" t="s">
        <v>4659</v>
      </c>
      <c r="L202" s="409" t="s">
        <v>4660</v>
      </c>
      <c r="M202" s="405" t="s">
        <v>3489</v>
      </c>
      <c r="N202" s="405" t="s">
        <v>3489</v>
      </c>
      <c r="O202" s="405" t="s">
        <v>42</v>
      </c>
    </row>
    <row r="203" spans="1:15" s="405" customFormat="1" ht="15.75" thickBot="1" x14ac:dyDescent="0.3">
      <c r="A203" s="410" t="s">
        <v>4669</v>
      </c>
      <c r="B203" s="405" t="s">
        <v>4669</v>
      </c>
      <c r="C203" s="405" t="s">
        <v>1950</v>
      </c>
      <c r="D203" s="406">
        <v>2023</v>
      </c>
      <c r="E203" s="405" t="s">
        <v>4650</v>
      </c>
      <c r="F203" s="405">
        <v>25346</v>
      </c>
      <c r="G203" s="407" t="s">
        <v>589</v>
      </c>
      <c r="H203" s="408" t="s">
        <v>4662</v>
      </c>
      <c r="I203" s="405" t="s">
        <v>4652</v>
      </c>
      <c r="J203" s="405">
        <v>18669.310000000001</v>
      </c>
      <c r="K203" s="409" t="s">
        <v>4659</v>
      </c>
      <c r="L203" s="409" t="s">
        <v>4660</v>
      </c>
      <c r="M203" s="405" t="s">
        <v>3489</v>
      </c>
      <c r="N203" s="405" t="s">
        <v>3489</v>
      </c>
      <c r="O203" s="405" t="s">
        <v>42</v>
      </c>
    </row>
    <row r="204" spans="1:15" s="405" customFormat="1" ht="15.75" thickBot="1" x14ac:dyDescent="0.3">
      <c r="A204" s="410" t="s">
        <v>4669</v>
      </c>
      <c r="B204" s="405" t="s">
        <v>4669</v>
      </c>
      <c r="C204" s="405" t="s">
        <v>1950</v>
      </c>
      <c r="D204" s="406">
        <v>2023</v>
      </c>
      <c r="E204" s="405" t="s">
        <v>4650</v>
      </c>
      <c r="F204" s="405">
        <v>25712</v>
      </c>
      <c r="G204" s="407" t="s">
        <v>589</v>
      </c>
      <c r="H204" s="408" t="s">
        <v>4662</v>
      </c>
      <c r="I204" s="405" t="s">
        <v>4652</v>
      </c>
      <c r="J204" s="405">
        <v>17738.22</v>
      </c>
      <c r="K204" s="409" t="s">
        <v>4659</v>
      </c>
      <c r="L204" s="409" t="s">
        <v>4660</v>
      </c>
      <c r="M204" s="405" t="s">
        <v>3489</v>
      </c>
      <c r="N204" s="405" t="s">
        <v>3489</v>
      </c>
      <c r="O204" s="405" t="s">
        <v>42</v>
      </c>
    </row>
    <row r="205" spans="1:15" s="405" customFormat="1" ht="15.75" thickBot="1" x14ac:dyDescent="0.3">
      <c r="A205" s="410" t="s">
        <v>4669</v>
      </c>
      <c r="B205" s="405" t="s">
        <v>4669</v>
      </c>
      <c r="C205" s="405" t="s">
        <v>1950</v>
      </c>
      <c r="D205" s="406">
        <v>2023</v>
      </c>
      <c r="E205" s="405" t="s">
        <v>4650</v>
      </c>
      <c r="F205" s="405">
        <v>25573</v>
      </c>
      <c r="G205" s="407" t="s">
        <v>589</v>
      </c>
      <c r="H205" s="408" t="s">
        <v>4662</v>
      </c>
      <c r="I205" s="405" t="s">
        <v>4652</v>
      </c>
      <c r="J205" s="405">
        <v>18873.43</v>
      </c>
      <c r="K205" s="409" t="s">
        <v>4659</v>
      </c>
      <c r="L205" s="409" t="s">
        <v>4660</v>
      </c>
      <c r="M205" s="405" t="s">
        <v>3489</v>
      </c>
      <c r="N205" s="405" t="s">
        <v>3489</v>
      </c>
      <c r="O205" s="405" t="s">
        <v>42</v>
      </c>
    </row>
    <row r="206" spans="1:15" s="405" customFormat="1" ht="15.75" thickBot="1" x14ac:dyDescent="0.3">
      <c r="A206" s="410" t="s">
        <v>4669</v>
      </c>
      <c r="B206" s="405" t="s">
        <v>4669</v>
      </c>
      <c r="C206" s="405" t="s">
        <v>1950</v>
      </c>
      <c r="D206" s="406">
        <v>2023</v>
      </c>
      <c r="E206" s="405" t="s">
        <v>4650</v>
      </c>
      <c r="F206" s="405">
        <v>26868</v>
      </c>
      <c r="G206" s="407" t="s">
        <v>589</v>
      </c>
      <c r="H206" s="408" t="s">
        <v>4662</v>
      </c>
      <c r="I206" s="405" t="s">
        <v>4652</v>
      </c>
      <c r="J206" s="405">
        <v>19308.53</v>
      </c>
      <c r="K206" s="409" t="s">
        <v>4659</v>
      </c>
      <c r="L206" s="409" t="s">
        <v>4660</v>
      </c>
      <c r="M206" s="405" t="s">
        <v>3489</v>
      </c>
      <c r="N206" s="405" t="s">
        <v>3489</v>
      </c>
      <c r="O206" s="405" t="s">
        <v>42</v>
      </c>
    </row>
    <row r="207" spans="1:15" s="405" customFormat="1" ht="15.75" thickBot="1" x14ac:dyDescent="0.3">
      <c r="A207" s="410" t="s">
        <v>4669</v>
      </c>
      <c r="B207" s="405" t="s">
        <v>4669</v>
      </c>
      <c r="C207" s="405" t="s">
        <v>1950</v>
      </c>
      <c r="D207" s="406">
        <v>2023</v>
      </c>
      <c r="E207" s="405" t="s">
        <v>4650</v>
      </c>
      <c r="F207" s="405">
        <v>30088</v>
      </c>
      <c r="G207" s="407" t="s">
        <v>589</v>
      </c>
      <c r="H207" s="408" t="s">
        <v>4662</v>
      </c>
      <c r="I207" s="405" t="s">
        <v>4652</v>
      </c>
      <c r="J207" s="405">
        <v>21233.4</v>
      </c>
      <c r="K207" s="409" t="s">
        <v>4659</v>
      </c>
      <c r="L207" s="409" t="s">
        <v>4660</v>
      </c>
      <c r="M207" s="405" t="s">
        <v>3489</v>
      </c>
      <c r="N207" s="405" t="s">
        <v>3489</v>
      </c>
      <c r="O207" s="405" t="s">
        <v>42</v>
      </c>
    </row>
    <row r="208" spans="1:15" s="405" customFormat="1" ht="15.75" thickBot="1" x14ac:dyDescent="0.3">
      <c r="A208" s="410" t="s">
        <v>4669</v>
      </c>
      <c r="B208" s="405" t="s">
        <v>4669</v>
      </c>
      <c r="C208" s="405" t="s">
        <v>1950</v>
      </c>
      <c r="D208" s="406">
        <v>2023</v>
      </c>
      <c r="E208" s="405" t="s">
        <v>4650</v>
      </c>
      <c r="F208" s="405">
        <v>28615</v>
      </c>
      <c r="G208" s="407" t="s">
        <v>589</v>
      </c>
      <c r="H208" s="408" t="s">
        <v>4662</v>
      </c>
      <c r="I208" s="405" t="s">
        <v>4652</v>
      </c>
      <c r="J208" s="405">
        <v>20629.7</v>
      </c>
      <c r="K208" s="409" t="s">
        <v>4659</v>
      </c>
      <c r="L208" s="409" t="s">
        <v>4660</v>
      </c>
      <c r="M208" s="405" t="s">
        <v>3489</v>
      </c>
      <c r="N208" s="405" t="s">
        <v>3489</v>
      </c>
      <c r="O208" s="405" t="s">
        <v>42</v>
      </c>
    </row>
    <row r="209" spans="1:17" ht="15.75" thickBot="1" x14ac:dyDescent="0.3">
      <c r="A209" s="82" t="s">
        <v>4584</v>
      </c>
      <c r="B209" t="s">
        <v>4584</v>
      </c>
      <c r="C209" s="357" t="s">
        <v>1950</v>
      </c>
      <c r="D209" s="396">
        <v>2023</v>
      </c>
      <c r="E209" t="s">
        <v>538</v>
      </c>
      <c r="F209">
        <v>48329</v>
      </c>
      <c r="G209" s="218" t="s">
        <v>589</v>
      </c>
      <c r="H209" s="402" t="s">
        <v>4662</v>
      </c>
      <c r="I209" t="s">
        <v>4651</v>
      </c>
      <c r="J209" t="s">
        <v>4655</v>
      </c>
      <c r="K209" s="313" t="s">
        <v>4658</v>
      </c>
      <c r="L209" t="s">
        <v>538</v>
      </c>
      <c r="M209" t="s">
        <v>3489</v>
      </c>
      <c r="N209" t="s">
        <v>3489</v>
      </c>
      <c r="O209" t="s">
        <v>42</v>
      </c>
    </row>
    <row r="210" spans="1:17" ht="15.75" thickBot="1" x14ac:dyDescent="0.3">
      <c r="A210" s="82" t="s">
        <v>4581</v>
      </c>
      <c r="B210" t="s">
        <v>4581</v>
      </c>
      <c r="C210" s="357" t="s">
        <v>1950</v>
      </c>
      <c r="D210" s="396">
        <v>2023</v>
      </c>
      <c r="E210" t="s">
        <v>538</v>
      </c>
      <c r="F210">
        <v>8098</v>
      </c>
      <c r="G210" s="218" t="s">
        <v>589</v>
      </c>
      <c r="H210" s="402" t="s">
        <v>4662</v>
      </c>
      <c r="I210" t="s">
        <v>4651</v>
      </c>
      <c r="J210" t="s">
        <v>4655</v>
      </c>
      <c r="K210" s="313" t="s">
        <v>4658</v>
      </c>
      <c r="L210" t="s">
        <v>538</v>
      </c>
      <c r="M210" t="s">
        <v>3489</v>
      </c>
      <c r="N210" t="s">
        <v>3489</v>
      </c>
      <c r="O210" t="s">
        <v>42</v>
      </c>
    </row>
    <row r="211" spans="1:17" ht="15.75" thickBot="1" x14ac:dyDescent="0.3">
      <c r="A211" s="82" t="s">
        <v>4644</v>
      </c>
      <c r="B211" t="s">
        <v>2817</v>
      </c>
      <c r="C211" s="357" t="s">
        <v>1950</v>
      </c>
      <c r="D211" s="396">
        <v>2023</v>
      </c>
      <c r="E211" t="s">
        <v>538</v>
      </c>
      <c r="F211">
        <v>78255</v>
      </c>
      <c r="G211" s="218" t="s">
        <v>589</v>
      </c>
      <c r="H211" s="402" t="s">
        <v>4662</v>
      </c>
      <c r="I211" t="s">
        <v>4651</v>
      </c>
      <c r="J211" t="s">
        <v>4655</v>
      </c>
      <c r="K211" s="313" t="s">
        <v>4658</v>
      </c>
      <c r="L211" t="s">
        <v>538</v>
      </c>
      <c r="M211" t="s">
        <v>3489</v>
      </c>
      <c r="N211" t="s">
        <v>3489</v>
      </c>
      <c r="O211" t="s">
        <v>42</v>
      </c>
    </row>
    <row r="212" spans="1:17" ht="15.75" thickBot="1" x14ac:dyDescent="0.3">
      <c r="A212" s="82" t="s">
        <v>45</v>
      </c>
      <c r="B212" t="s">
        <v>45</v>
      </c>
      <c r="C212" s="357" t="s">
        <v>1950</v>
      </c>
      <c r="D212" s="396">
        <v>2023</v>
      </c>
      <c r="E212" t="s">
        <v>538</v>
      </c>
      <c r="F212">
        <v>393855</v>
      </c>
      <c r="G212" s="218" t="s">
        <v>589</v>
      </c>
      <c r="H212" s="402" t="s">
        <v>4662</v>
      </c>
      <c r="I212" t="s">
        <v>4651</v>
      </c>
      <c r="J212" t="s">
        <v>4655</v>
      </c>
      <c r="K212" s="313" t="s">
        <v>4658</v>
      </c>
      <c r="L212" t="s">
        <v>538</v>
      </c>
      <c r="M212" t="s">
        <v>3489</v>
      </c>
      <c r="N212" t="s">
        <v>3489</v>
      </c>
      <c r="O212" t="s">
        <v>42</v>
      </c>
    </row>
    <row r="213" spans="1:17" ht="15.75" thickBot="1" x14ac:dyDescent="0.3">
      <c r="A213" s="82" t="s">
        <v>4590</v>
      </c>
      <c r="B213" t="s">
        <v>4590</v>
      </c>
      <c r="C213" s="357" t="s">
        <v>1950</v>
      </c>
      <c r="D213" s="396">
        <v>2023</v>
      </c>
      <c r="E213" t="s">
        <v>538</v>
      </c>
      <c r="F213">
        <v>738598</v>
      </c>
      <c r="G213" s="218" t="s">
        <v>589</v>
      </c>
      <c r="H213" s="402" t="s">
        <v>4662</v>
      </c>
      <c r="I213" t="s">
        <v>4651</v>
      </c>
      <c r="J213" t="s">
        <v>4655</v>
      </c>
      <c r="K213" s="313" t="s">
        <v>4658</v>
      </c>
      <c r="L213" t="s">
        <v>538</v>
      </c>
      <c r="M213" t="s">
        <v>3489</v>
      </c>
      <c r="N213" t="s">
        <v>3489</v>
      </c>
      <c r="O213" t="s">
        <v>42</v>
      </c>
    </row>
    <row r="214" spans="1:17" ht="15.75" thickBot="1" x14ac:dyDescent="0.3">
      <c r="A214" s="82" t="s">
        <v>1912</v>
      </c>
      <c r="B214" t="s">
        <v>1912</v>
      </c>
      <c r="C214" s="357" t="s">
        <v>1950</v>
      </c>
      <c r="D214" s="396">
        <v>2023</v>
      </c>
      <c r="E214" t="s">
        <v>538</v>
      </c>
      <c r="F214">
        <v>20173</v>
      </c>
      <c r="G214" s="218" t="s">
        <v>589</v>
      </c>
      <c r="H214" s="402" t="s">
        <v>4662</v>
      </c>
      <c r="I214" t="s">
        <v>4651</v>
      </c>
      <c r="J214" t="s">
        <v>4655</v>
      </c>
      <c r="K214" s="313" t="s">
        <v>4658</v>
      </c>
      <c r="L214" t="s">
        <v>538</v>
      </c>
      <c r="M214" t="s">
        <v>3489</v>
      </c>
      <c r="N214" t="s">
        <v>3489</v>
      </c>
      <c r="O214" t="s">
        <v>42</v>
      </c>
    </row>
    <row r="215" spans="1:17" ht="15.75" thickBot="1" x14ac:dyDescent="0.3">
      <c r="A215" s="82" t="s">
        <v>4671</v>
      </c>
      <c r="B215" t="s">
        <v>4671</v>
      </c>
      <c r="C215" s="357" t="s">
        <v>1950</v>
      </c>
      <c r="D215" s="396">
        <v>2023</v>
      </c>
      <c r="E215" t="s">
        <v>538</v>
      </c>
      <c r="F215">
        <v>904</v>
      </c>
      <c r="G215" s="218" t="s">
        <v>589</v>
      </c>
      <c r="H215" s="402" t="s">
        <v>4662</v>
      </c>
      <c r="I215" t="s">
        <v>4651</v>
      </c>
      <c r="J215" t="s">
        <v>4655</v>
      </c>
      <c r="K215" s="313" t="s">
        <v>4658</v>
      </c>
      <c r="L215" t="s">
        <v>538</v>
      </c>
      <c r="M215" t="s">
        <v>3489</v>
      </c>
      <c r="N215" t="s">
        <v>3489</v>
      </c>
      <c r="O215" t="s">
        <v>42</v>
      </c>
    </row>
    <row r="216" spans="1:17" ht="15.75" thickBot="1" x14ac:dyDescent="0.3">
      <c r="A216" s="82" t="s">
        <v>1916</v>
      </c>
      <c r="B216" t="s">
        <v>1916</v>
      </c>
      <c r="C216" s="357" t="s">
        <v>1950</v>
      </c>
      <c r="D216" s="396">
        <v>2023</v>
      </c>
      <c r="E216" t="s">
        <v>538</v>
      </c>
      <c r="F216">
        <v>552847</v>
      </c>
      <c r="G216" s="218" t="s">
        <v>589</v>
      </c>
      <c r="H216" s="402" t="s">
        <v>4662</v>
      </c>
      <c r="I216" t="s">
        <v>4651</v>
      </c>
      <c r="J216" t="s">
        <v>4655</v>
      </c>
      <c r="K216" s="313" t="s">
        <v>4658</v>
      </c>
      <c r="L216" t="s">
        <v>538</v>
      </c>
      <c r="M216" t="s">
        <v>3489</v>
      </c>
      <c r="N216" t="s">
        <v>3489</v>
      </c>
      <c r="O216" t="s">
        <v>42</v>
      </c>
    </row>
    <row r="217" spans="1:17" ht="15.75" thickBot="1" x14ac:dyDescent="0.3">
      <c r="A217" s="82" t="s">
        <v>4583</v>
      </c>
      <c r="B217" t="s">
        <v>4583</v>
      </c>
      <c r="C217" s="357" t="s">
        <v>1950</v>
      </c>
      <c r="D217" s="396">
        <v>2023</v>
      </c>
      <c r="E217" t="s">
        <v>538</v>
      </c>
      <c r="F217">
        <v>1478273</v>
      </c>
      <c r="G217" s="218" t="s">
        <v>589</v>
      </c>
      <c r="H217" s="402" t="s">
        <v>4662</v>
      </c>
      <c r="I217" t="s">
        <v>4651</v>
      </c>
      <c r="J217" t="s">
        <v>4655</v>
      </c>
      <c r="K217" s="313" t="s">
        <v>4658</v>
      </c>
      <c r="L217" t="s">
        <v>538</v>
      </c>
      <c r="M217" t="s">
        <v>3489</v>
      </c>
      <c r="N217" t="s">
        <v>3489</v>
      </c>
      <c r="O217" t="s">
        <v>42</v>
      </c>
    </row>
    <row r="218" spans="1:17" ht="15.75" thickBot="1" x14ac:dyDescent="0.3">
      <c r="A218" s="82" t="s">
        <v>1910</v>
      </c>
      <c r="B218" t="s">
        <v>1910</v>
      </c>
      <c r="C218" s="357" t="s">
        <v>1950</v>
      </c>
      <c r="D218" s="396">
        <v>2023</v>
      </c>
      <c r="E218" t="s">
        <v>538</v>
      </c>
      <c r="F218">
        <v>13068</v>
      </c>
      <c r="G218" s="218" t="s">
        <v>589</v>
      </c>
      <c r="H218" s="402" t="s">
        <v>4662</v>
      </c>
      <c r="I218" t="s">
        <v>4651</v>
      </c>
      <c r="J218" t="s">
        <v>4655</v>
      </c>
      <c r="K218" s="313" t="s">
        <v>4658</v>
      </c>
      <c r="L218" t="s">
        <v>538</v>
      </c>
      <c r="M218" t="s">
        <v>3489</v>
      </c>
      <c r="N218" t="s">
        <v>3489</v>
      </c>
      <c r="O218" t="s">
        <v>42</v>
      </c>
    </row>
    <row r="219" spans="1:17" ht="15.75" thickBot="1" x14ac:dyDescent="0.3">
      <c r="A219" s="82" t="s">
        <v>4615</v>
      </c>
      <c r="B219" t="s">
        <v>4615</v>
      </c>
      <c r="C219" s="357" t="s">
        <v>1950</v>
      </c>
      <c r="D219" s="396">
        <v>2023</v>
      </c>
      <c r="E219" t="s">
        <v>538</v>
      </c>
      <c r="F219">
        <v>405403</v>
      </c>
      <c r="G219" s="218" t="s">
        <v>589</v>
      </c>
      <c r="H219" s="402" t="s">
        <v>4662</v>
      </c>
      <c r="I219" t="s">
        <v>4651</v>
      </c>
      <c r="J219" t="s">
        <v>4655</v>
      </c>
      <c r="K219" s="313" t="s">
        <v>4658</v>
      </c>
      <c r="L219" t="s">
        <v>538</v>
      </c>
      <c r="M219" t="s">
        <v>3489</v>
      </c>
      <c r="N219" t="s">
        <v>3489</v>
      </c>
      <c r="O219" t="s">
        <v>42</v>
      </c>
    </row>
    <row r="220" spans="1:17" ht="15.75" thickBot="1" x14ac:dyDescent="0.3">
      <c r="A220" s="82" t="s">
        <v>4601</v>
      </c>
      <c r="B220" t="s">
        <v>4601</v>
      </c>
      <c r="C220" s="357" t="s">
        <v>1950</v>
      </c>
      <c r="D220" s="396">
        <v>2023</v>
      </c>
      <c r="E220" t="s">
        <v>538</v>
      </c>
      <c r="F220">
        <v>2107121</v>
      </c>
      <c r="G220" s="218" t="s">
        <v>589</v>
      </c>
      <c r="H220" s="402" t="s">
        <v>4662</v>
      </c>
      <c r="I220" t="s">
        <v>4651</v>
      </c>
      <c r="J220" t="s">
        <v>4655</v>
      </c>
      <c r="K220" s="313" t="s">
        <v>4658</v>
      </c>
      <c r="L220" t="s">
        <v>538</v>
      </c>
      <c r="M220" t="s">
        <v>3489</v>
      </c>
      <c r="N220" t="s">
        <v>3489</v>
      </c>
      <c r="O220" t="s">
        <v>42</v>
      </c>
      <c r="Q220" s="411" t="s">
        <v>4674</v>
      </c>
    </row>
    <row r="221" spans="1:17" ht="15.75" thickBot="1" x14ac:dyDescent="0.3">
      <c r="A221" s="82" t="s">
        <v>4600</v>
      </c>
      <c r="B221" s="82" t="s">
        <v>4600</v>
      </c>
      <c r="C221" s="357" t="s">
        <v>1950</v>
      </c>
      <c r="D221" s="396">
        <v>2023</v>
      </c>
      <c r="E221" t="s">
        <v>538</v>
      </c>
      <c r="F221">
        <v>7572489</v>
      </c>
      <c r="G221" s="218" t="s">
        <v>589</v>
      </c>
      <c r="H221" s="402" t="s">
        <v>4662</v>
      </c>
      <c r="I221" t="s">
        <v>4651</v>
      </c>
      <c r="J221" t="s">
        <v>4655</v>
      </c>
      <c r="K221" s="313" t="s">
        <v>4658</v>
      </c>
      <c r="L221" t="s">
        <v>538</v>
      </c>
      <c r="M221" t="s">
        <v>3489</v>
      </c>
      <c r="N221" t="s">
        <v>3489</v>
      </c>
      <c r="O221" t="s">
        <v>42</v>
      </c>
      <c r="Q221" s="411" t="s">
        <v>4674</v>
      </c>
    </row>
    <row r="222" spans="1:17" ht="15.75" thickBot="1" x14ac:dyDescent="0.3">
      <c r="A222" s="82" t="s">
        <v>3475</v>
      </c>
      <c r="B222" t="s">
        <v>3475</v>
      </c>
      <c r="C222" s="357" t="s">
        <v>1950</v>
      </c>
      <c r="D222" s="396">
        <v>2023</v>
      </c>
      <c r="E222" t="s">
        <v>538</v>
      </c>
      <c r="F222">
        <v>38399</v>
      </c>
      <c r="G222" s="218" t="s">
        <v>589</v>
      </c>
      <c r="H222" s="402" t="s">
        <v>4662</v>
      </c>
      <c r="I222" t="s">
        <v>4651</v>
      </c>
      <c r="J222" t="s">
        <v>4655</v>
      </c>
      <c r="K222" s="313" t="s">
        <v>4658</v>
      </c>
      <c r="L222" t="s">
        <v>538</v>
      </c>
      <c r="M222" t="s">
        <v>3489</v>
      </c>
      <c r="N222" t="s">
        <v>3489</v>
      </c>
      <c r="O222" t="s">
        <v>42</v>
      </c>
    </row>
    <row r="223" spans="1:17" ht="15.75" thickBot="1" x14ac:dyDescent="0.3">
      <c r="A223" s="82" t="s">
        <v>4580</v>
      </c>
      <c r="B223" t="s">
        <v>4580</v>
      </c>
      <c r="C223" s="357" t="s">
        <v>1950</v>
      </c>
      <c r="D223" s="396">
        <v>2023</v>
      </c>
      <c r="E223" t="s">
        <v>538</v>
      </c>
      <c r="F223">
        <v>15271</v>
      </c>
      <c r="G223" s="218" t="s">
        <v>589</v>
      </c>
      <c r="H223" s="402" t="s">
        <v>4662</v>
      </c>
      <c r="I223" t="s">
        <v>4651</v>
      </c>
      <c r="J223" t="s">
        <v>4655</v>
      </c>
      <c r="K223" s="313" t="s">
        <v>4658</v>
      </c>
      <c r="L223" t="s">
        <v>538</v>
      </c>
      <c r="M223" t="s">
        <v>3489</v>
      </c>
      <c r="N223" t="s">
        <v>3489</v>
      </c>
      <c r="O223" t="s">
        <v>42</v>
      </c>
    </row>
    <row r="224" spans="1:17" ht="15.75" thickBot="1" x14ac:dyDescent="0.3">
      <c r="A224" s="82" t="s">
        <v>4643</v>
      </c>
      <c r="B224" t="s">
        <v>4643</v>
      </c>
      <c r="C224" s="357" t="s">
        <v>1950</v>
      </c>
      <c r="D224" s="396">
        <v>2023</v>
      </c>
      <c r="E224" t="s">
        <v>538</v>
      </c>
      <c r="F224">
        <v>6093</v>
      </c>
      <c r="G224" s="218" t="s">
        <v>589</v>
      </c>
      <c r="H224" s="402" t="s">
        <v>4662</v>
      </c>
      <c r="I224" t="s">
        <v>4651</v>
      </c>
      <c r="J224" t="s">
        <v>4655</v>
      </c>
      <c r="K224" s="313" t="s">
        <v>4658</v>
      </c>
      <c r="L224" t="s">
        <v>538</v>
      </c>
      <c r="M224" t="s">
        <v>3489</v>
      </c>
      <c r="N224" t="s">
        <v>3489</v>
      </c>
      <c r="O224" t="s">
        <v>42</v>
      </c>
    </row>
    <row r="225" spans="1:17" ht="15.75" thickBot="1" x14ac:dyDescent="0.3">
      <c r="A225" s="82" t="s">
        <v>4646</v>
      </c>
      <c r="B225" t="s">
        <v>4673</v>
      </c>
      <c r="C225" s="357" t="s">
        <v>1950</v>
      </c>
      <c r="D225" s="396">
        <v>2023</v>
      </c>
      <c r="E225" t="s">
        <v>538</v>
      </c>
      <c r="F225">
        <v>609</v>
      </c>
      <c r="G225" s="218" t="s">
        <v>589</v>
      </c>
      <c r="H225" s="402" t="s">
        <v>4662</v>
      </c>
      <c r="I225" t="s">
        <v>4651</v>
      </c>
      <c r="J225" t="s">
        <v>4655</v>
      </c>
      <c r="K225" s="313" t="s">
        <v>4658</v>
      </c>
      <c r="L225" t="s">
        <v>538</v>
      </c>
      <c r="M225" t="s">
        <v>3489</v>
      </c>
      <c r="N225" t="s">
        <v>3489</v>
      </c>
      <c r="O225" t="s">
        <v>42</v>
      </c>
    </row>
    <row r="226" spans="1:17" ht="15.75" thickBot="1" x14ac:dyDescent="0.3">
      <c r="A226" s="82" t="s">
        <v>4668</v>
      </c>
      <c r="B226" t="s">
        <v>4668</v>
      </c>
      <c r="C226" s="357" t="s">
        <v>1950</v>
      </c>
      <c r="D226" s="396">
        <v>2023</v>
      </c>
      <c r="E226" t="s">
        <v>538</v>
      </c>
      <c r="F226">
        <v>223868</v>
      </c>
      <c r="G226" s="218" t="s">
        <v>589</v>
      </c>
      <c r="H226" s="402" t="s">
        <v>4662</v>
      </c>
      <c r="I226" t="s">
        <v>4651</v>
      </c>
      <c r="J226" t="s">
        <v>4655</v>
      </c>
      <c r="K226" s="313" t="s">
        <v>4658</v>
      </c>
      <c r="L226" t="s">
        <v>538</v>
      </c>
      <c r="M226" t="s">
        <v>3489</v>
      </c>
      <c r="N226" t="s">
        <v>3489</v>
      </c>
      <c r="O226" t="s">
        <v>42</v>
      </c>
    </row>
    <row r="227" spans="1:17" s="357" customFormat="1" ht="15.75" thickBot="1" x14ac:dyDescent="0.3">
      <c r="A227" s="395" t="s">
        <v>4647</v>
      </c>
      <c r="B227" s="357" t="s">
        <v>4603</v>
      </c>
      <c r="C227" s="357" t="s">
        <v>1950</v>
      </c>
      <c r="D227" s="398">
        <v>2023</v>
      </c>
      <c r="E227" s="357" t="s">
        <v>538</v>
      </c>
      <c r="F227" s="357">
        <v>2644448</v>
      </c>
      <c r="G227" s="399" t="s">
        <v>589</v>
      </c>
      <c r="H227" s="403" t="s">
        <v>4662</v>
      </c>
      <c r="I227" s="357" t="s">
        <v>4651</v>
      </c>
      <c r="J227" s="357" t="s">
        <v>4655</v>
      </c>
      <c r="K227" s="400" t="s">
        <v>4658</v>
      </c>
      <c r="L227" s="357" t="s">
        <v>538</v>
      </c>
      <c r="M227" s="357" t="s">
        <v>3489</v>
      </c>
      <c r="N227" s="357" t="s">
        <v>3489</v>
      </c>
      <c r="O227" s="357" t="s">
        <v>42</v>
      </c>
      <c r="Q227"/>
    </row>
    <row r="228" spans="1:17" s="405" customFormat="1" ht="15.75" thickBot="1" x14ac:dyDescent="0.3">
      <c r="A228" s="404" t="s">
        <v>4672</v>
      </c>
      <c r="B228" s="405" t="s">
        <v>4672</v>
      </c>
      <c r="C228" s="405" t="s">
        <v>1950</v>
      </c>
      <c r="D228" s="406">
        <v>2023</v>
      </c>
      <c r="E228" s="405" t="s">
        <v>4650</v>
      </c>
      <c r="F228" s="405">
        <v>339676</v>
      </c>
      <c r="G228" s="407" t="s">
        <v>589</v>
      </c>
      <c r="H228" s="408" t="s">
        <v>4662</v>
      </c>
      <c r="I228" s="405" t="s">
        <v>4651</v>
      </c>
      <c r="J228" s="405" t="s">
        <v>4650</v>
      </c>
      <c r="K228" s="409" t="s">
        <v>4659</v>
      </c>
      <c r="L228" s="409" t="s">
        <v>4660</v>
      </c>
      <c r="M228" s="405" t="s">
        <v>3489</v>
      </c>
      <c r="N228" s="405" t="s">
        <v>3489</v>
      </c>
      <c r="O228" s="405" t="s">
        <v>42</v>
      </c>
      <c r="Q228"/>
    </row>
    <row r="229" spans="1:17" ht="15.75" thickBot="1" x14ac:dyDescent="0.3">
      <c r="A229" s="82" t="s">
        <v>4601</v>
      </c>
      <c r="B229" t="s">
        <v>4601</v>
      </c>
      <c r="C229" s="357" t="s">
        <v>1950</v>
      </c>
      <c r="D229" s="396">
        <v>2023</v>
      </c>
      <c r="E229" t="s">
        <v>4614</v>
      </c>
      <c r="F229">
        <v>20868775.284589697</v>
      </c>
      <c r="G229" s="218" t="s">
        <v>589</v>
      </c>
      <c r="H229" s="402" t="s">
        <v>4663</v>
      </c>
      <c r="I229" t="s">
        <v>4651</v>
      </c>
      <c r="J229" s="82" t="s">
        <v>3813</v>
      </c>
      <c r="K229" s="313" t="s">
        <v>4658</v>
      </c>
      <c r="L229" s="283" t="s">
        <v>4614</v>
      </c>
      <c r="M229" t="s">
        <v>3489</v>
      </c>
      <c r="N229" t="s">
        <v>3489</v>
      </c>
      <c r="O229" t="s">
        <v>42</v>
      </c>
    </row>
    <row r="230" spans="1:17" ht="15.75" thickBot="1" x14ac:dyDescent="0.3">
      <c r="A230" s="82" t="s">
        <v>4601</v>
      </c>
      <c r="B230" t="s">
        <v>4601</v>
      </c>
      <c r="C230" s="357" t="s">
        <v>1950</v>
      </c>
      <c r="D230" s="396">
        <v>2023</v>
      </c>
      <c r="E230" t="s">
        <v>538</v>
      </c>
      <c r="F230">
        <v>1243800</v>
      </c>
      <c r="G230" s="218" t="s">
        <v>589</v>
      </c>
      <c r="H230" s="402" t="s">
        <v>4662</v>
      </c>
      <c r="I230" t="s">
        <v>4651</v>
      </c>
      <c r="J230" s="82" t="s">
        <v>3814</v>
      </c>
      <c r="K230" s="313" t="s">
        <v>4658</v>
      </c>
      <c r="L230" t="s">
        <v>538</v>
      </c>
      <c r="M230" t="s">
        <v>3489</v>
      </c>
      <c r="N230" t="s">
        <v>3489</v>
      </c>
      <c r="O230" t="s">
        <v>42</v>
      </c>
      <c r="Q230" s="411" t="s">
        <v>4674</v>
      </c>
    </row>
    <row r="231" spans="1:17" ht="15.75" thickBot="1" x14ac:dyDescent="0.3">
      <c r="A231" s="82" t="s">
        <v>4601</v>
      </c>
      <c r="B231" t="s">
        <v>4601</v>
      </c>
      <c r="C231" s="357" t="s">
        <v>1950</v>
      </c>
      <c r="D231" s="396">
        <v>2023</v>
      </c>
      <c r="E231" t="s">
        <v>538</v>
      </c>
      <c r="F231">
        <v>271859</v>
      </c>
      <c r="G231" s="218" t="s">
        <v>589</v>
      </c>
      <c r="H231" s="402" t="s">
        <v>4662</v>
      </c>
      <c r="I231" t="s">
        <v>4651</v>
      </c>
      <c r="J231" s="82" t="s">
        <v>3815</v>
      </c>
      <c r="K231" s="313" t="s">
        <v>4658</v>
      </c>
      <c r="L231" t="s">
        <v>538</v>
      </c>
      <c r="M231" t="s">
        <v>3489</v>
      </c>
      <c r="N231" t="s">
        <v>3489</v>
      </c>
      <c r="O231" t="s">
        <v>42</v>
      </c>
      <c r="Q231" s="411" t="s">
        <v>4674</v>
      </c>
    </row>
    <row r="232" spans="1:17" ht="15.75" thickBot="1" x14ac:dyDescent="0.3">
      <c r="A232" s="82" t="s">
        <v>4601</v>
      </c>
      <c r="B232" t="s">
        <v>4601</v>
      </c>
      <c r="C232" s="357" t="s">
        <v>1950</v>
      </c>
      <c r="D232" s="396">
        <v>2023</v>
      </c>
      <c r="E232" t="s">
        <v>538</v>
      </c>
      <c r="F232">
        <v>37099</v>
      </c>
      <c r="G232" s="218" t="s">
        <v>589</v>
      </c>
      <c r="H232" s="402" t="s">
        <v>4662</v>
      </c>
      <c r="I232" t="s">
        <v>4651</v>
      </c>
      <c r="J232" s="82" t="s">
        <v>3816</v>
      </c>
      <c r="K232" s="313" t="s">
        <v>4658</v>
      </c>
      <c r="L232" t="s">
        <v>538</v>
      </c>
      <c r="M232" t="s">
        <v>3489</v>
      </c>
      <c r="N232" t="s">
        <v>3489</v>
      </c>
      <c r="O232" t="s">
        <v>42</v>
      </c>
      <c r="Q232" s="411" t="s">
        <v>4674</v>
      </c>
    </row>
    <row r="233" spans="1:17" ht="15.75" thickBot="1" x14ac:dyDescent="0.3">
      <c r="A233" s="82" t="s">
        <v>4601</v>
      </c>
      <c r="B233" t="s">
        <v>4601</v>
      </c>
      <c r="C233" s="357" t="s">
        <v>1950</v>
      </c>
      <c r="D233" s="396">
        <v>2023</v>
      </c>
      <c r="E233" t="s">
        <v>538</v>
      </c>
      <c r="F233">
        <v>274518</v>
      </c>
      <c r="G233" s="218" t="s">
        <v>589</v>
      </c>
      <c r="H233" s="402" t="s">
        <v>4662</v>
      </c>
      <c r="I233" t="s">
        <v>4651</v>
      </c>
      <c r="J233" s="82" t="s">
        <v>3817</v>
      </c>
      <c r="K233" s="313" t="s">
        <v>4658</v>
      </c>
      <c r="L233" t="s">
        <v>538</v>
      </c>
      <c r="M233" t="s">
        <v>3489</v>
      </c>
      <c r="N233" t="s">
        <v>3489</v>
      </c>
      <c r="O233" t="s">
        <v>42</v>
      </c>
      <c r="Q233" s="411" t="s">
        <v>4674</v>
      </c>
    </row>
    <row r="234" spans="1:17" ht="15.75" thickBot="1" x14ac:dyDescent="0.3">
      <c r="A234" s="82" t="s">
        <v>4600</v>
      </c>
      <c r="B234" t="s">
        <v>4600</v>
      </c>
      <c r="C234" s="357" t="s">
        <v>1950</v>
      </c>
      <c r="D234" s="396">
        <v>2023</v>
      </c>
      <c r="E234" t="s">
        <v>538</v>
      </c>
      <c r="F234">
        <v>635542.02825479885</v>
      </c>
      <c r="G234" s="218" t="s">
        <v>589</v>
      </c>
      <c r="H234" s="402" t="s">
        <v>4662</v>
      </c>
      <c r="I234" t="s">
        <v>4651</v>
      </c>
      <c r="J234" t="s">
        <v>4656</v>
      </c>
      <c r="K234" s="313" t="s">
        <v>4658</v>
      </c>
      <c r="L234" t="s">
        <v>538</v>
      </c>
      <c r="M234" t="s">
        <v>3489</v>
      </c>
      <c r="N234" t="s">
        <v>3489</v>
      </c>
      <c r="O234" t="s">
        <v>42</v>
      </c>
      <c r="Q234" s="411" t="s">
        <v>4674</v>
      </c>
    </row>
    <row r="235" spans="1:17" ht="15.75" thickBot="1" x14ac:dyDescent="0.3">
      <c r="A235" s="82" t="s">
        <v>4600</v>
      </c>
      <c r="B235" t="s">
        <v>4600</v>
      </c>
      <c r="C235" s="357" t="s">
        <v>1950</v>
      </c>
      <c r="D235" s="396">
        <v>2023</v>
      </c>
      <c r="E235" t="s">
        <v>538</v>
      </c>
      <c r="F235">
        <v>6990464.9717452005</v>
      </c>
      <c r="G235" s="218" t="s">
        <v>589</v>
      </c>
      <c r="H235" s="402" t="s">
        <v>4663</v>
      </c>
      <c r="I235" t="s">
        <v>4651</v>
      </c>
      <c r="J235" t="s">
        <v>4657</v>
      </c>
      <c r="K235" s="313" t="s">
        <v>4658</v>
      </c>
      <c r="L235" t="s">
        <v>538</v>
      </c>
      <c r="M235" t="s">
        <v>3489</v>
      </c>
      <c r="N235" t="s">
        <v>3489</v>
      </c>
      <c r="O235" t="s">
        <v>42</v>
      </c>
      <c r="Q235" s="411" t="s">
        <v>4674</v>
      </c>
    </row>
    <row r="236" spans="1:17" ht="15.75" thickBot="1" x14ac:dyDescent="0.3">
      <c r="A236" s="82" t="s">
        <v>1915</v>
      </c>
      <c r="B236" t="s">
        <v>1915</v>
      </c>
      <c r="C236" s="357" t="s">
        <v>1950</v>
      </c>
      <c r="D236" s="396">
        <v>2023</v>
      </c>
      <c r="E236" t="s">
        <v>538</v>
      </c>
      <c r="F236">
        <v>342144</v>
      </c>
      <c r="G236" s="218" t="s">
        <v>589</v>
      </c>
      <c r="H236" s="402" t="s">
        <v>4662</v>
      </c>
      <c r="I236" t="s">
        <v>4651</v>
      </c>
      <c r="K236" s="313" t="s">
        <v>4658</v>
      </c>
      <c r="L236" t="s">
        <v>538</v>
      </c>
      <c r="M236" t="s">
        <v>3489</v>
      </c>
      <c r="N236" t="s">
        <v>3489</v>
      </c>
      <c r="O236" t="s">
        <v>42</v>
      </c>
    </row>
    <row r="237" spans="1:17" ht="15.75" thickBot="1" x14ac:dyDescent="0.3">
      <c r="A237" s="424" t="s">
        <v>45</v>
      </c>
      <c r="B237" s="424" t="str">
        <f t="shared" ref="B237" si="11">LEFT(A237,IFERROR(FIND(" - ",A237)-1,LEN(A237)))</f>
        <v>Barraqueiro Transportes, S.A.</v>
      </c>
      <c r="C237" s="424" t="str">
        <f t="shared" ref="C237:C243" si="12">IF(A237=B237,"X",RIGHT(A237,LEN(A237)-LEN(B237)-3))</f>
        <v>X</v>
      </c>
      <c r="D237" s="396">
        <v>2023</v>
      </c>
      <c r="E237" s="422" t="s">
        <v>538</v>
      </c>
      <c r="F237">
        <v>623151</v>
      </c>
      <c r="G237" s="218" t="s">
        <v>589</v>
      </c>
      <c r="H237" s="402" t="s">
        <v>4662</v>
      </c>
      <c r="I237" s="422" t="s">
        <v>4651</v>
      </c>
      <c r="K237" s="313" t="s">
        <v>4658</v>
      </c>
      <c r="L237" s="422" t="s">
        <v>538</v>
      </c>
      <c r="M237" s="422" t="s">
        <v>3489</v>
      </c>
      <c r="N237" s="422" t="s">
        <v>3489</v>
      </c>
      <c r="O237" s="422" t="s">
        <v>42</v>
      </c>
      <c r="P237" s="422"/>
      <c r="Q237" s="411" t="s">
        <v>4674</v>
      </c>
    </row>
    <row r="238" spans="1:17" ht="15.75" thickBot="1" x14ac:dyDescent="0.3">
      <c r="A238" s="114" t="s">
        <v>3473</v>
      </c>
      <c r="B238" s="424" t="str">
        <f t="shared" ref="B238:B243" si="13">LEFT(A238,IFERROR(FIND(" - ",A238)-1,LEN(A238)))</f>
        <v>Barraqueiro Transportes, S.A.</v>
      </c>
      <c r="C238" s="424" t="str">
        <f t="shared" si="12"/>
        <v>Barraqueiro Oeste</v>
      </c>
      <c r="D238" s="396">
        <v>2023</v>
      </c>
      <c r="E238" s="422" t="s">
        <v>538</v>
      </c>
      <c r="F238">
        <v>53333</v>
      </c>
      <c r="G238" s="218" t="s">
        <v>589</v>
      </c>
      <c r="H238" s="402" t="s">
        <v>4662</v>
      </c>
      <c r="I238" s="422" t="s">
        <v>4651</v>
      </c>
      <c r="K238" s="313" t="s">
        <v>4658</v>
      </c>
      <c r="L238" s="422" t="s">
        <v>538</v>
      </c>
      <c r="M238" s="422" t="s">
        <v>3489</v>
      </c>
      <c r="N238" s="422" t="s">
        <v>3489</v>
      </c>
      <c r="O238" s="422" t="s">
        <v>42</v>
      </c>
      <c r="P238" s="422"/>
      <c r="Q238" s="411" t="s">
        <v>4674</v>
      </c>
    </row>
    <row r="239" spans="1:17" ht="15.75" thickBot="1" x14ac:dyDescent="0.3">
      <c r="A239" s="114" t="s">
        <v>3474</v>
      </c>
      <c r="B239" s="424" t="str">
        <f t="shared" si="13"/>
        <v>Barraqueiro Transportes, S.A.</v>
      </c>
      <c r="C239" s="424" t="str">
        <f t="shared" si="12"/>
        <v>Boa Viagem</v>
      </c>
      <c r="D239" s="396">
        <v>2023</v>
      </c>
      <c r="E239" s="422" t="s">
        <v>538</v>
      </c>
      <c r="F239">
        <v>79713</v>
      </c>
      <c r="G239" s="218" t="s">
        <v>589</v>
      </c>
      <c r="H239" s="402" t="s">
        <v>4662</v>
      </c>
      <c r="I239" s="422" t="s">
        <v>4651</v>
      </c>
      <c r="K239" s="313" t="s">
        <v>4658</v>
      </c>
      <c r="L239" s="422" t="s">
        <v>538</v>
      </c>
      <c r="M239" s="422" t="s">
        <v>3489</v>
      </c>
      <c r="N239" s="422" t="s">
        <v>3489</v>
      </c>
      <c r="O239" s="422" t="s">
        <v>42</v>
      </c>
      <c r="P239" s="422"/>
      <c r="Q239" s="411" t="s">
        <v>4674</v>
      </c>
    </row>
    <row r="240" spans="1:17" ht="15.75" thickBot="1" x14ac:dyDescent="0.3">
      <c r="A240" s="114" t="s">
        <v>5943</v>
      </c>
      <c r="B240" s="424" t="str">
        <f t="shared" si="13"/>
        <v>Barraqueiro Transportes, S.A.</v>
      </c>
      <c r="C240" s="424" t="str">
        <f t="shared" si="12"/>
        <v>ESEVEL + BA</v>
      </c>
      <c r="D240" s="396">
        <v>2023</v>
      </c>
      <c r="E240" s="422" t="s">
        <v>538</v>
      </c>
      <c r="F240">
        <v>197828</v>
      </c>
      <c r="G240" s="218" t="s">
        <v>589</v>
      </c>
      <c r="H240" s="402" t="s">
        <v>4662</v>
      </c>
      <c r="I240" s="422" t="s">
        <v>4651</v>
      </c>
      <c r="K240" s="313" t="s">
        <v>4658</v>
      </c>
      <c r="L240" s="422" t="s">
        <v>538</v>
      </c>
      <c r="M240" s="422" t="s">
        <v>3489</v>
      </c>
      <c r="N240" s="422" t="s">
        <v>3489</v>
      </c>
      <c r="O240" s="422" t="s">
        <v>42</v>
      </c>
      <c r="P240" s="422"/>
      <c r="Q240" s="411" t="s">
        <v>4674</v>
      </c>
    </row>
    <row r="241" spans="1:17" ht="15.75" thickBot="1" x14ac:dyDescent="0.3">
      <c r="A241" s="114" t="s">
        <v>5944</v>
      </c>
      <c r="B241" s="424" t="str">
        <f t="shared" si="13"/>
        <v>Barraqueiro Transportes, S.A.</v>
      </c>
      <c r="C241" s="424" t="str">
        <f t="shared" si="12"/>
        <v>Estremadura + Sede</v>
      </c>
      <c r="D241" s="396">
        <v>2023</v>
      </c>
      <c r="E241" s="422" t="s">
        <v>538</v>
      </c>
      <c r="F241">
        <v>160448</v>
      </c>
      <c r="G241" s="218" t="s">
        <v>589</v>
      </c>
      <c r="H241" s="402" t="s">
        <v>4662</v>
      </c>
      <c r="I241" s="422" t="s">
        <v>4651</v>
      </c>
      <c r="K241" s="313" t="s">
        <v>4658</v>
      </c>
      <c r="L241" s="422" t="s">
        <v>538</v>
      </c>
      <c r="M241" s="422" t="s">
        <v>3489</v>
      </c>
      <c r="N241" s="422" t="s">
        <v>3489</v>
      </c>
      <c r="O241" s="422" t="s">
        <v>42</v>
      </c>
      <c r="P241" s="422"/>
      <c r="Q241" s="411" t="s">
        <v>4674</v>
      </c>
    </row>
    <row r="242" spans="1:17" ht="15.75" thickBot="1" x14ac:dyDescent="0.3">
      <c r="A242" s="114" t="s">
        <v>3609</v>
      </c>
      <c r="B242" s="424" t="str">
        <f t="shared" si="13"/>
        <v>Barraqueiro TTransportes, S.A.</v>
      </c>
      <c r="C242" s="424" t="str">
        <f t="shared" si="12"/>
        <v>Mafrense</v>
      </c>
      <c r="D242" s="396">
        <v>2023</v>
      </c>
      <c r="E242" s="422" t="s">
        <v>538</v>
      </c>
      <c r="F242">
        <v>86801</v>
      </c>
      <c r="G242" s="218" t="s">
        <v>589</v>
      </c>
      <c r="H242" s="402" t="s">
        <v>4662</v>
      </c>
      <c r="I242" s="422" t="s">
        <v>4651</v>
      </c>
      <c r="K242" s="313" t="s">
        <v>4658</v>
      </c>
      <c r="L242" s="422" t="s">
        <v>538</v>
      </c>
      <c r="M242" s="422" t="s">
        <v>3489</v>
      </c>
      <c r="N242" s="422" t="s">
        <v>3489</v>
      </c>
      <c r="O242" s="422" t="s">
        <v>42</v>
      </c>
      <c r="P242" s="422"/>
      <c r="Q242" s="411" t="s">
        <v>4674</v>
      </c>
    </row>
    <row r="243" spans="1:17" ht="15.75" thickBot="1" x14ac:dyDescent="0.3">
      <c r="A243" s="114" t="s">
        <v>3472</v>
      </c>
      <c r="B243" s="424" t="str">
        <f t="shared" si="13"/>
        <v>Barraqueiro Transportes, S.A.</v>
      </c>
      <c r="C243" s="424" t="str">
        <f t="shared" si="12"/>
        <v>Frota Azul</v>
      </c>
      <c r="D243" s="396">
        <v>2023</v>
      </c>
      <c r="E243" s="422" t="s">
        <v>538</v>
      </c>
      <c r="F243">
        <v>45028</v>
      </c>
      <c r="G243" s="218" t="s">
        <v>589</v>
      </c>
      <c r="H243" s="402" t="s">
        <v>4662</v>
      </c>
      <c r="I243" s="422" t="s">
        <v>4651</v>
      </c>
      <c r="K243" s="313" t="s">
        <v>4658</v>
      </c>
      <c r="L243" s="422" t="s">
        <v>538</v>
      </c>
      <c r="M243" s="422" t="s">
        <v>3489</v>
      </c>
      <c r="N243" s="422" t="s">
        <v>3489</v>
      </c>
      <c r="O243" s="422" t="s">
        <v>42</v>
      </c>
      <c r="P243" s="422"/>
      <c r="Q243" s="411" t="s">
        <v>4674</v>
      </c>
    </row>
    <row r="244" spans="1:17" ht="15.75" thickBot="1" x14ac:dyDescent="0.3">
      <c r="A244" s="424" t="s">
        <v>4580</v>
      </c>
      <c r="B244" s="424" t="s">
        <v>4580</v>
      </c>
      <c r="C244" s="424" t="str">
        <f>IF(A244=B244,"X",RIGHT(A244,LEN(A244)-LEN(B244)-3))</f>
        <v>X</v>
      </c>
      <c r="D244" s="396">
        <v>2023</v>
      </c>
      <c r="E244" s="422" t="s">
        <v>538</v>
      </c>
      <c r="F244">
        <v>19543</v>
      </c>
      <c r="G244" s="218" t="s">
        <v>589</v>
      </c>
      <c r="H244" s="402" t="s">
        <v>4662</v>
      </c>
      <c r="I244" s="422" t="s">
        <v>4651</v>
      </c>
      <c r="K244" s="313" t="s">
        <v>4658</v>
      </c>
      <c r="L244" s="422" t="s">
        <v>538</v>
      </c>
      <c r="M244" s="422" t="s">
        <v>3489</v>
      </c>
      <c r="N244" s="422" t="s">
        <v>3489</v>
      </c>
      <c r="O244" s="422" t="s">
        <v>42</v>
      </c>
      <c r="P244" s="422"/>
      <c r="Q244" s="411" t="s">
        <v>4674</v>
      </c>
    </row>
    <row r="245" spans="1:17" ht="15.75" thickBot="1" x14ac:dyDescent="0.3">
      <c r="A245" s="680" t="s">
        <v>6582</v>
      </c>
      <c r="B245" s="680" t="s">
        <v>6582</v>
      </c>
      <c r="C245" t="s">
        <v>1950</v>
      </c>
      <c r="D245" s="396">
        <v>2023</v>
      </c>
      <c r="E245" s="422" t="s">
        <v>538</v>
      </c>
      <c r="F245" s="426">
        <f>SUM(F246:F251)</f>
        <v>395656</v>
      </c>
      <c r="G245" s="218" t="s">
        <v>589</v>
      </c>
      <c r="H245" s="402" t="s">
        <v>4663</v>
      </c>
      <c r="I245" s="422" t="s">
        <v>4651</v>
      </c>
      <c r="K245" s="313" t="s">
        <v>4658</v>
      </c>
      <c r="L245" s="422" t="s">
        <v>538</v>
      </c>
      <c r="M245" s="422" t="s">
        <v>3489</v>
      </c>
      <c r="N245" s="422" t="s">
        <v>3489</v>
      </c>
      <c r="O245" s="422" t="s">
        <v>42</v>
      </c>
    </row>
    <row r="246" spans="1:17" s="422" customFormat="1" ht="15.75" thickBot="1" x14ac:dyDescent="0.3">
      <c r="A246" s="680" t="s">
        <v>6582</v>
      </c>
      <c r="B246" s="680" t="s">
        <v>6582</v>
      </c>
      <c r="C246" s="422" t="s">
        <v>1950</v>
      </c>
      <c r="D246" s="396">
        <v>2023</v>
      </c>
      <c r="E246" s="422" t="s">
        <v>538</v>
      </c>
      <c r="F246" s="426">
        <v>197828</v>
      </c>
      <c r="G246" s="218" t="s">
        <v>589</v>
      </c>
      <c r="H246" s="402" t="s">
        <v>4662</v>
      </c>
      <c r="I246" s="422" t="s">
        <v>4651</v>
      </c>
      <c r="K246" s="313" t="s">
        <v>4658</v>
      </c>
      <c r="L246" s="422" t="s">
        <v>538</v>
      </c>
      <c r="M246" s="422" t="s">
        <v>3489</v>
      </c>
      <c r="N246" s="422" t="s">
        <v>3489</v>
      </c>
      <c r="O246" s="422" t="s">
        <v>42</v>
      </c>
    </row>
    <row r="247" spans="1:17" s="422" customFormat="1" ht="15.75" thickBot="1" x14ac:dyDescent="0.3">
      <c r="A247" s="680" t="s">
        <v>6583</v>
      </c>
      <c r="B247" s="680" t="s">
        <v>6583</v>
      </c>
      <c r="C247" s="422" t="s">
        <v>1950</v>
      </c>
      <c r="D247" s="396">
        <v>2023</v>
      </c>
      <c r="E247" s="422" t="s">
        <v>538</v>
      </c>
      <c r="F247" s="426">
        <v>197828</v>
      </c>
      <c r="G247" s="218" t="s">
        <v>589</v>
      </c>
      <c r="H247" s="402" t="s">
        <v>4662</v>
      </c>
      <c r="I247" s="422" t="s">
        <v>4651</v>
      </c>
      <c r="K247" s="313" t="s">
        <v>4658</v>
      </c>
      <c r="L247" s="422" t="s">
        <v>538</v>
      </c>
      <c r="M247" s="422" t="s">
        <v>3489</v>
      </c>
      <c r="N247" s="422" t="s">
        <v>3489</v>
      </c>
      <c r="O247" s="422" t="s">
        <v>42</v>
      </c>
    </row>
  </sheetData>
  <autoFilter ref="A1:O236"/>
  <mergeCells count="12">
    <mergeCell ref="M1:M2"/>
    <mergeCell ref="N1:N2"/>
    <mergeCell ref="O1:O2"/>
    <mergeCell ref="I1:I2"/>
    <mergeCell ref="J1:J2"/>
    <mergeCell ref="G1:G2"/>
    <mergeCell ref="H1:H2"/>
    <mergeCell ref="A1:A2"/>
    <mergeCell ref="C1:C2"/>
    <mergeCell ref="B1:B2"/>
    <mergeCell ref="E1:E2"/>
    <mergeCell ref="F1:F2"/>
  </mergeCells>
  <dataValidations disablePrompts="1" count="1">
    <dataValidation type="list" allowBlank="1" showInputMessage="1" showErrorMessage="1" sqref="I3:I14">
      <formula1>"Ano, Mês"</formula1>
    </dataValidation>
  </dataValidations>
  <pageMargins left="0.7" right="0.7" top="0.75" bottom="0.75" header="0.3" footer="0.3"/>
  <pageSetup paperSize="9" orientation="portrait" r:id="rId1"/>
  <customProperties>
    <customPr name="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6"/>
  <dimension ref="A1:S297"/>
  <sheetViews>
    <sheetView topLeftCell="A10" zoomScale="55" zoomScaleNormal="55" workbookViewId="0">
      <selection activeCell="O16" sqref="O16"/>
    </sheetView>
  </sheetViews>
  <sheetFormatPr defaultRowHeight="15" x14ac:dyDescent="0.25"/>
  <cols>
    <col min="1" max="1" width="75.28515625" customWidth="1"/>
    <col min="2" max="2" width="74.85546875" customWidth="1"/>
    <col min="3" max="3" width="48.28515625" customWidth="1"/>
    <col min="4" max="6" width="32.28515625" customWidth="1"/>
    <col min="7" max="7" width="21.28515625" style="89" customWidth="1"/>
    <col min="8" max="8" width="21.28515625" customWidth="1"/>
    <col min="9" max="9" width="21.28515625" style="89" customWidth="1"/>
    <col min="10" max="10" width="21.28515625" customWidth="1"/>
    <col min="11" max="11" width="16.5703125" bestFit="1" customWidth="1"/>
    <col min="14" max="14" width="68.140625" bestFit="1" customWidth="1"/>
    <col min="15" max="15" width="12.28515625" customWidth="1"/>
    <col min="16" max="16" width="25.5703125" customWidth="1"/>
    <col min="19" max="19" width="14.140625" customWidth="1"/>
  </cols>
  <sheetData>
    <row r="1" spans="1:19" ht="15.75" thickBot="1" x14ac:dyDescent="0.3">
      <c r="A1" s="793" t="s">
        <v>1851</v>
      </c>
      <c r="B1" s="757" t="s">
        <v>131</v>
      </c>
      <c r="C1" s="757" t="s">
        <v>1852</v>
      </c>
      <c r="D1" s="793" t="s">
        <v>1857</v>
      </c>
      <c r="E1" s="793" t="s">
        <v>168</v>
      </c>
      <c r="F1" s="224" t="s">
        <v>132</v>
      </c>
      <c r="G1" s="778" t="s">
        <v>140</v>
      </c>
      <c r="H1" s="793" t="s">
        <v>1860</v>
      </c>
      <c r="I1" s="778" t="s">
        <v>141</v>
      </c>
      <c r="J1" s="793" t="s">
        <v>134</v>
      </c>
      <c r="K1" s="793" t="s">
        <v>1875</v>
      </c>
      <c r="L1" s="793" t="s">
        <v>1856</v>
      </c>
      <c r="M1" s="793" t="s">
        <v>1876</v>
      </c>
      <c r="N1" s="793" t="s">
        <v>1878</v>
      </c>
      <c r="O1" s="793" t="s">
        <v>2941</v>
      </c>
      <c r="P1" s="793" t="s">
        <v>2942</v>
      </c>
      <c r="Q1" s="777" t="s">
        <v>2812</v>
      </c>
      <c r="R1" s="777" t="s">
        <v>3588</v>
      </c>
      <c r="S1" s="777" t="s">
        <v>3628</v>
      </c>
    </row>
    <row r="2" spans="1:19" ht="15.75" thickBot="1" x14ac:dyDescent="0.3">
      <c r="A2" s="794"/>
      <c r="B2" s="758"/>
      <c r="C2" s="758"/>
      <c r="D2" s="794"/>
      <c r="E2" s="794"/>
      <c r="F2" s="225"/>
      <c r="G2" s="779"/>
      <c r="H2" s="794"/>
      <c r="I2" s="779"/>
      <c r="J2" s="794"/>
      <c r="K2" s="794"/>
      <c r="L2" s="794"/>
      <c r="M2" s="794"/>
      <c r="N2" s="794"/>
      <c r="O2" s="794" t="s">
        <v>2941</v>
      </c>
      <c r="P2" s="794" t="s">
        <v>2942</v>
      </c>
      <c r="Q2" s="777"/>
      <c r="R2" s="777"/>
      <c r="S2" s="777"/>
    </row>
    <row r="3" spans="1:19" ht="15.75" thickBot="1" x14ac:dyDescent="0.3">
      <c r="A3" s="82" t="s">
        <v>45</v>
      </c>
      <c r="B3" s="82" t="str">
        <f>LEFT(A3,IFERROR(FIND(" - ",A3)-1,LEN(A3)))</f>
        <v>Barraqueiro Transportes, S.A.</v>
      </c>
      <c r="C3" s="82" t="str">
        <f>IF(A3=B3,"X",RIGHT(A3,LEN(A3)-LEN(B3)-3))</f>
        <v>X</v>
      </c>
      <c r="D3" s="83" t="s">
        <v>588</v>
      </c>
      <c r="E3" s="83" t="s">
        <v>1859</v>
      </c>
      <c r="F3" s="83" t="s">
        <v>538</v>
      </c>
      <c r="G3" s="120">
        <v>591684</v>
      </c>
      <c r="H3" s="85" t="s">
        <v>589</v>
      </c>
      <c r="I3" s="123" t="s">
        <v>589</v>
      </c>
      <c r="J3" s="83" t="s">
        <v>1879</v>
      </c>
      <c r="K3" t="s">
        <v>1874</v>
      </c>
      <c r="L3" s="227">
        <v>2022</v>
      </c>
      <c r="M3">
        <v>2021</v>
      </c>
      <c r="N3" t="str">
        <f>IF(J3="Eléctrica",K3&amp;": "&amp;J3&amp;": "&amp;E3&amp;": Portugal: "&amp;M3&amp;":: "&amp;I3,K3&amp;": "&amp;J3&amp;": "&amp;E3&amp;": "&amp;M3&amp;":: "&amp;I3)</f>
        <v>AIE: Eléctrica: Perdas Rede SEN: Portugal: 2021:: kWh</v>
      </c>
      <c r="O3" t="str">
        <f>J3</f>
        <v>Eléctrica</v>
      </c>
      <c r="P3" t="str">
        <f>F3</f>
        <v>GALP</v>
      </c>
      <c r="Q3" s="227" t="s">
        <v>3499</v>
      </c>
      <c r="R3" s="227" t="s">
        <v>3500</v>
      </c>
      <c r="S3" t="s">
        <v>42</v>
      </c>
    </row>
    <row r="4" spans="1:19" ht="15.75" thickBot="1" x14ac:dyDescent="0.3">
      <c r="A4" s="82" t="s">
        <v>4580</v>
      </c>
      <c r="B4" s="82" t="s">
        <v>4580</v>
      </c>
      <c r="C4" s="82" t="str">
        <f t="shared" ref="C4:C26" si="0">IF(A4=B4,"X",RIGHT(A4,LEN(A4)-LEN(B4)-3))</f>
        <v>X</v>
      </c>
      <c r="D4" s="83" t="s">
        <v>588</v>
      </c>
      <c r="E4" s="83" t="s">
        <v>1859</v>
      </c>
      <c r="F4" s="83" t="s">
        <v>538</v>
      </c>
      <c r="G4" s="120">
        <v>20660</v>
      </c>
      <c r="H4" s="85" t="s">
        <v>589</v>
      </c>
      <c r="I4" s="123" t="s">
        <v>589</v>
      </c>
      <c r="J4" s="83" t="s">
        <v>1879</v>
      </c>
      <c r="K4" t="s">
        <v>1874</v>
      </c>
      <c r="L4" s="227">
        <v>2022</v>
      </c>
      <c r="M4">
        <v>2021</v>
      </c>
      <c r="N4" t="str">
        <f t="shared" ref="N4:N26" si="1">IF(J4="Eléctrica",K4&amp;": "&amp;J4&amp;": "&amp;E4&amp;": Portugal: "&amp;M4&amp;":: "&amp;I4,K4&amp;": "&amp;J4&amp;": "&amp;E4&amp;": "&amp;M4&amp;":: "&amp;I4)</f>
        <v>AIE: Eléctrica: Perdas Rede SEN: Portugal: 2021:: kWh</v>
      </c>
      <c r="O4" t="str">
        <f t="shared" ref="O4:O67" si="2">J4</f>
        <v>Eléctrica</v>
      </c>
      <c r="P4" t="str">
        <f t="shared" ref="P4:P67" si="3">F4</f>
        <v>GALP</v>
      </c>
      <c r="Q4" s="227" t="s">
        <v>3499</v>
      </c>
      <c r="R4" s="227" t="s">
        <v>3500</v>
      </c>
      <c r="S4" t="s">
        <v>42</v>
      </c>
    </row>
    <row r="5" spans="1:19" ht="15.75" thickBot="1" x14ac:dyDescent="0.3">
      <c r="A5" s="82" t="s">
        <v>4581</v>
      </c>
      <c r="B5" s="82" t="s">
        <v>4581</v>
      </c>
      <c r="C5" s="82" t="str">
        <f t="shared" si="0"/>
        <v>X</v>
      </c>
      <c r="D5" s="83" t="s">
        <v>588</v>
      </c>
      <c r="E5" s="83" t="s">
        <v>1859</v>
      </c>
      <c r="F5" s="83" t="s">
        <v>538</v>
      </c>
      <c r="G5" s="120">
        <v>62333.799999999996</v>
      </c>
      <c r="H5" s="85" t="s">
        <v>589</v>
      </c>
      <c r="I5" s="123" t="s">
        <v>589</v>
      </c>
      <c r="J5" s="83" t="s">
        <v>1879</v>
      </c>
      <c r="K5" t="s">
        <v>1874</v>
      </c>
      <c r="L5" s="227">
        <v>2022</v>
      </c>
      <c r="M5">
        <v>2021</v>
      </c>
      <c r="N5" t="str">
        <f t="shared" si="1"/>
        <v>AIE: Eléctrica: Perdas Rede SEN: Portugal: 2021:: kWh</v>
      </c>
      <c r="O5" t="str">
        <f t="shared" si="2"/>
        <v>Eléctrica</v>
      </c>
      <c r="P5" t="str">
        <f t="shared" si="3"/>
        <v>GALP</v>
      </c>
      <c r="Q5" s="227" t="s">
        <v>3499</v>
      </c>
      <c r="R5" s="227" t="s">
        <v>3500</v>
      </c>
      <c r="S5" t="s">
        <v>42</v>
      </c>
    </row>
    <row r="6" spans="1:19" ht="15.75" thickBot="1" x14ac:dyDescent="0.3">
      <c r="A6" s="82" t="s">
        <v>4582</v>
      </c>
      <c r="B6" s="82" t="s">
        <v>4582</v>
      </c>
      <c r="C6" s="82" t="str">
        <f t="shared" si="0"/>
        <v>X</v>
      </c>
      <c r="D6" s="83" t="s">
        <v>588</v>
      </c>
      <c r="E6" s="83" t="s">
        <v>1859</v>
      </c>
      <c r="F6" s="83" t="s">
        <v>538</v>
      </c>
      <c r="G6" s="120">
        <v>38455.200000000004</v>
      </c>
      <c r="H6" s="85" t="s">
        <v>589</v>
      </c>
      <c r="I6" s="123" t="s">
        <v>589</v>
      </c>
      <c r="J6" s="83" t="s">
        <v>1879</v>
      </c>
      <c r="K6" t="s">
        <v>1874</v>
      </c>
      <c r="L6" s="227">
        <v>2022</v>
      </c>
      <c r="M6">
        <v>2021</v>
      </c>
      <c r="N6" t="str">
        <f t="shared" si="1"/>
        <v>AIE: Eléctrica: Perdas Rede SEN: Portugal: 2021:: kWh</v>
      </c>
      <c r="O6" t="str">
        <f t="shared" si="2"/>
        <v>Eléctrica</v>
      </c>
      <c r="P6" t="str">
        <f t="shared" si="3"/>
        <v>GALP</v>
      </c>
      <c r="Q6" s="227" t="s">
        <v>3499</v>
      </c>
      <c r="R6" s="227" t="s">
        <v>3500</v>
      </c>
      <c r="S6" t="s">
        <v>42</v>
      </c>
    </row>
    <row r="7" spans="1:19" ht="15.75" thickBot="1" x14ac:dyDescent="0.3">
      <c r="A7" s="114" t="s">
        <v>3478</v>
      </c>
      <c r="B7" s="82" t="str">
        <f t="shared" ref="B7:B26" si="4">LEFT(A7,IFERROR(FIND(" - ",A7)-1,LEN(A7)))</f>
        <v>Barraqueiro Transportes, S.A.</v>
      </c>
      <c r="C7" s="82" t="str">
        <f t="shared" si="0"/>
        <v>Sede</v>
      </c>
      <c r="D7" s="115" t="s">
        <v>588</v>
      </c>
      <c r="E7" s="83" t="s">
        <v>1859</v>
      </c>
      <c r="F7" s="83" t="s">
        <v>538</v>
      </c>
      <c r="G7" s="135">
        <v>33869.4</v>
      </c>
      <c r="H7" s="117" t="s">
        <v>589</v>
      </c>
      <c r="I7" s="121" t="s">
        <v>589</v>
      </c>
      <c r="J7" s="121" t="s">
        <v>1879</v>
      </c>
      <c r="K7" t="s">
        <v>1874</v>
      </c>
      <c r="L7" s="227">
        <v>2022</v>
      </c>
      <c r="M7">
        <v>2021</v>
      </c>
      <c r="N7" t="str">
        <f t="shared" si="1"/>
        <v>AIE: Eléctrica: Perdas Rede SEN: Portugal: 2021:: kWh</v>
      </c>
      <c r="O7" t="str">
        <f t="shared" si="2"/>
        <v>Eléctrica</v>
      </c>
      <c r="P7" t="str">
        <f t="shared" si="3"/>
        <v>GALP</v>
      </c>
      <c r="Q7" s="227" t="s">
        <v>3499</v>
      </c>
      <c r="R7" s="227" t="s">
        <v>3500</v>
      </c>
      <c r="S7" t="s">
        <v>42</v>
      </c>
    </row>
    <row r="8" spans="1:19" ht="15.75" thickBot="1" x14ac:dyDescent="0.3">
      <c r="A8" s="114" t="s">
        <v>3278</v>
      </c>
      <c r="B8" s="82" t="str">
        <f t="shared" si="4"/>
        <v>Barraqueiro Transportes, S.A.</v>
      </c>
      <c r="C8" s="82" t="str">
        <f t="shared" si="0"/>
        <v>Barraqueiro Alugueres</v>
      </c>
      <c r="D8" s="115" t="s">
        <v>588</v>
      </c>
      <c r="E8" s="83" t="s">
        <v>1859</v>
      </c>
      <c r="F8" s="83" t="s">
        <v>538</v>
      </c>
      <c r="G8" s="135">
        <v>41042.6</v>
      </c>
      <c r="H8" s="117" t="s">
        <v>589</v>
      </c>
      <c r="I8" s="121" t="s">
        <v>589</v>
      </c>
      <c r="J8" s="121" t="s">
        <v>1879</v>
      </c>
      <c r="K8" t="s">
        <v>1874</v>
      </c>
      <c r="L8" s="227">
        <v>2022</v>
      </c>
      <c r="M8">
        <v>2021</v>
      </c>
      <c r="N8" t="str">
        <f t="shared" si="1"/>
        <v>AIE: Eléctrica: Perdas Rede SEN: Portugal: 2021:: kWh</v>
      </c>
      <c r="O8" t="str">
        <f t="shared" si="2"/>
        <v>Eléctrica</v>
      </c>
      <c r="P8" t="str">
        <f t="shared" si="3"/>
        <v>GALP</v>
      </c>
      <c r="Q8" s="227" t="s">
        <v>3499</v>
      </c>
      <c r="R8" s="227" t="s">
        <v>3500</v>
      </c>
      <c r="S8" t="s">
        <v>42</v>
      </c>
    </row>
    <row r="9" spans="1:19" ht="15.75" thickBot="1" x14ac:dyDescent="0.3">
      <c r="A9" s="114" t="s">
        <v>3473</v>
      </c>
      <c r="B9" s="82" t="str">
        <f t="shared" si="4"/>
        <v>Barraqueiro Transportes, S.A.</v>
      </c>
      <c r="C9" s="82" t="str">
        <f t="shared" si="0"/>
        <v>Barraqueiro Oeste</v>
      </c>
      <c r="D9" s="115" t="s">
        <v>588</v>
      </c>
      <c r="E9" s="83" t="s">
        <v>1859</v>
      </c>
      <c r="F9" s="83" t="s">
        <v>538</v>
      </c>
      <c r="G9" s="135">
        <v>54991.4</v>
      </c>
      <c r="H9" s="117" t="s">
        <v>589</v>
      </c>
      <c r="I9" s="121" t="s">
        <v>589</v>
      </c>
      <c r="J9" s="121" t="s">
        <v>1879</v>
      </c>
      <c r="K9" t="s">
        <v>1874</v>
      </c>
      <c r="L9" s="227">
        <v>2022</v>
      </c>
      <c r="M9">
        <v>2021</v>
      </c>
      <c r="N9" t="str">
        <f t="shared" si="1"/>
        <v>AIE: Eléctrica: Perdas Rede SEN: Portugal: 2021:: kWh</v>
      </c>
      <c r="O9" t="str">
        <f t="shared" si="2"/>
        <v>Eléctrica</v>
      </c>
      <c r="P9" t="str">
        <f t="shared" si="3"/>
        <v>GALP</v>
      </c>
      <c r="Q9" s="227" t="s">
        <v>3499</v>
      </c>
      <c r="R9" s="227" t="s">
        <v>3500</v>
      </c>
      <c r="S9" t="s">
        <v>42</v>
      </c>
    </row>
    <row r="10" spans="1:19" ht="15.75" thickBot="1" x14ac:dyDescent="0.3">
      <c r="A10" s="114" t="s">
        <v>3474</v>
      </c>
      <c r="B10" s="82" t="str">
        <f t="shared" si="4"/>
        <v>Barraqueiro Transportes, S.A.</v>
      </c>
      <c r="C10" s="82" t="str">
        <f t="shared" si="0"/>
        <v>Boa Viagem</v>
      </c>
      <c r="D10" s="115" t="s">
        <v>588</v>
      </c>
      <c r="E10" s="83" t="s">
        <v>1859</v>
      </c>
      <c r="F10" s="83" t="s">
        <v>538</v>
      </c>
      <c r="G10" s="135">
        <v>93068.2</v>
      </c>
      <c r="H10" s="117" t="s">
        <v>589</v>
      </c>
      <c r="I10" s="121" t="s">
        <v>589</v>
      </c>
      <c r="J10" s="121" t="s">
        <v>1879</v>
      </c>
      <c r="K10" t="s">
        <v>1874</v>
      </c>
      <c r="L10" s="227">
        <v>2022</v>
      </c>
      <c r="M10">
        <v>2021</v>
      </c>
      <c r="N10" t="str">
        <f t="shared" si="1"/>
        <v>AIE: Eléctrica: Perdas Rede SEN: Portugal: 2021:: kWh</v>
      </c>
      <c r="O10" t="str">
        <f t="shared" si="2"/>
        <v>Eléctrica</v>
      </c>
      <c r="P10" t="str">
        <f t="shared" si="3"/>
        <v>GALP</v>
      </c>
      <c r="Q10" s="227" t="s">
        <v>3499</v>
      </c>
      <c r="R10" s="227" t="s">
        <v>3500</v>
      </c>
      <c r="S10" t="s">
        <v>42</v>
      </c>
    </row>
    <row r="11" spans="1:19" ht="15.75" thickBot="1" x14ac:dyDescent="0.3">
      <c r="A11" s="114" t="s">
        <v>3524</v>
      </c>
      <c r="B11" s="82" t="str">
        <f t="shared" si="4"/>
        <v>Barraqueiro Transportes, S.A.</v>
      </c>
      <c r="C11" s="82" t="str">
        <f t="shared" si="0"/>
        <v>ESEVEL</v>
      </c>
      <c r="D11" s="115" t="s">
        <v>588</v>
      </c>
      <c r="E11" s="83" t="s">
        <v>1859</v>
      </c>
      <c r="F11" s="83" t="s">
        <v>538</v>
      </c>
      <c r="G11" s="135">
        <v>154634.4</v>
      </c>
      <c r="H11" s="117" t="s">
        <v>589</v>
      </c>
      <c r="I11" s="121" t="s">
        <v>589</v>
      </c>
      <c r="J11" s="121" t="s">
        <v>1879</v>
      </c>
      <c r="K11" t="s">
        <v>1874</v>
      </c>
      <c r="L11" s="227">
        <v>2022</v>
      </c>
      <c r="M11">
        <v>2021</v>
      </c>
      <c r="N11" t="str">
        <f t="shared" si="1"/>
        <v>AIE: Eléctrica: Perdas Rede SEN: Portugal: 2021:: kWh</v>
      </c>
      <c r="O11" t="str">
        <f t="shared" si="2"/>
        <v>Eléctrica</v>
      </c>
      <c r="P11" t="str">
        <f t="shared" si="3"/>
        <v>GALP</v>
      </c>
      <c r="Q11" s="227" t="s">
        <v>3499</v>
      </c>
      <c r="R11" s="227" t="s">
        <v>3500</v>
      </c>
      <c r="S11" t="s">
        <v>42</v>
      </c>
    </row>
    <row r="12" spans="1:19" ht="15.75" thickBot="1" x14ac:dyDescent="0.3">
      <c r="A12" s="114" t="s">
        <v>3471</v>
      </c>
      <c r="B12" s="82" t="str">
        <f t="shared" si="4"/>
        <v>Barraqueiro Transportes, S.A.</v>
      </c>
      <c r="C12" s="82" t="str">
        <f t="shared" si="0"/>
        <v>Estremadura</v>
      </c>
      <c r="D12" s="115" t="s">
        <v>588</v>
      </c>
      <c r="E12" s="83" t="s">
        <v>1859</v>
      </c>
      <c r="F12" s="83" t="s">
        <v>538</v>
      </c>
      <c r="G12" s="135">
        <v>79028.599999999991</v>
      </c>
      <c r="H12" s="117" t="s">
        <v>589</v>
      </c>
      <c r="I12" s="121" t="s">
        <v>589</v>
      </c>
      <c r="J12" s="121" t="s">
        <v>1879</v>
      </c>
      <c r="K12" t="s">
        <v>1874</v>
      </c>
      <c r="L12" s="227">
        <v>2022</v>
      </c>
      <c r="M12">
        <v>2021</v>
      </c>
      <c r="N12" t="str">
        <f t="shared" si="1"/>
        <v>AIE: Eléctrica: Perdas Rede SEN: Portugal: 2021:: kWh</v>
      </c>
      <c r="O12" t="str">
        <f t="shared" si="2"/>
        <v>Eléctrica</v>
      </c>
      <c r="P12" t="str">
        <f t="shared" si="3"/>
        <v>GALP</v>
      </c>
      <c r="Q12" s="227" t="s">
        <v>3499</v>
      </c>
      <c r="R12" s="227" t="s">
        <v>3500</v>
      </c>
      <c r="S12" t="s">
        <v>42</v>
      </c>
    </row>
    <row r="13" spans="1:19" ht="15.75" thickBot="1" x14ac:dyDescent="0.3">
      <c r="A13" s="114" t="s">
        <v>3470</v>
      </c>
      <c r="B13" s="82" t="str">
        <f t="shared" si="4"/>
        <v>Barraqueiro Transportes, S.A.</v>
      </c>
      <c r="C13" s="82" t="str">
        <f t="shared" si="0"/>
        <v>Mafrense</v>
      </c>
      <c r="D13" s="115" t="s">
        <v>588</v>
      </c>
      <c r="E13" s="83" t="s">
        <v>1859</v>
      </c>
      <c r="F13" s="83" t="s">
        <v>538</v>
      </c>
      <c r="G13" s="135">
        <v>88086.399999999994</v>
      </c>
      <c r="H13" s="117" t="s">
        <v>589</v>
      </c>
      <c r="I13" s="121" t="s">
        <v>589</v>
      </c>
      <c r="J13" s="121" t="s">
        <v>1879</v>
      </c>
      <c r="K13" t="s">
        <v>1874</v>
      </c>
      <c r="L13" s="227">
        <v>2022</v>
      </c>
      <c r="M13">
        <v>2021</v>
      </c>
      <c r="N13" t="str">
        <f t="shared" si="1"/>
        <v>AIE: Eléctrica: Perdas Rede SEN: Portugal: 2021:: kWh</v>
      </c>
      <c r="O13" t="str">
        <f t="shared" si="2"/>
        <v>Eléctrica</v>
      </c>
      <c r="P13" t="str">
        <f t="shared" si="3"/>
        <v>GALP</v>
      </c>
      <c r="Q13" s="227" t="s">
        <v>3499</v>
      </c>
      <c r="R13" s="227" t="s">
        <v>3500</v>
      </c>
      <c r="S13" t="s">
        <v>42</v>
      </c>
    </row>
    <row r="14" spans="1:19" ht="15.75" thickBot="1" x14ac:dyDescent="0.3">
      <c r="A14" s="114" t="s">
        <v>3525</v>
      </c>
      <c r="B14" s="82" t="str">
        <f t="shared" si="4"/>
        <v>Barraqueiro Transportes, S.A.</v>
      </c>
      <c r="C14" s="82" t="str">
        <f t="shared" si="0"/>
        <v>Frota Aul</v>
      </c>
      <c r="D14" s="115" t="s">
        <v>588</v>
      </c>
      <c r="E14" s="83" t="s">
        <v>1859</v>
      </c>
      <c r="F14" s="83" t="s">
        <v>538</v>
      </c>
      <c r="G14" s="135">
        <v>46963</v>
      </c>
      <c r="H14" s="117" t="s">
        <v>589</v>
      </c>
      <c r="I14" s="121" t="s">
        <v>589</v>
      </c>
      <c r="J14" s="121" t="s">
        <v>1879</v>
      </c>
      <c r="K14" t="s">
        <v>1874</v>
      </c>
      <c r="L14" s="227">
        <v>2022</v>
      </c>
      <c r="M14">
        <v>2021</v>
      </c>
      <c r="N14" t="str">
        <f t="shared" si="1"/>
        <v>AIE: Eléctrica: Perdas Rede SEN: Portugal: 2021:: kWh</v>
      </c>
      <c r="O14" t="str">
        <f t="shared" si="2"/>
        <v>Eléctrica</v>
      </c>
      <c r="P14" t="str">
        <f t="shared" si="3"/>
        <v>GALP</v>
      </c>
      <c r="Q14" s="227" t="s">
        <v>3499</v>
      </c>
      <c r="R14" s="227" t="s">
        <v>3500</v>
      </c>
      <c r="S14" t="s">
        <v>42</v>
      </c>
    </row>
    <row r="15" spans="1:19" ht="15.75" thickBot="1" x14ac:dyDescent="0.3">
      <c r="A15" s="82" t="s">
        <v>45</v>
      </c>
      <c r="B15" s="82" t="str">
        <f t="shared" si="4"/>
        <v>Barraqueiro Transportes, S.A.</v>
      </c>
      <c r="C15" s="82" t="str">
        <f t="shared" si="0"/>
        <v>X</v>
      </c>
      <c r="D15" s="83" t="s">
        <v>1527</v>
      </c>
      <c r="E15" s="83" t="s">
        <v>1858</v>
      </c>
      <c r="F15" s="83"/>
      <c r="G15" s="134">
        <f>'A1.1'!E45+'A1.1'!E55+'A1.2'!E32+'A1.2'!E44</f>
        <v>11603556.770999998</v>
      </c>
      <c r="H15" s="85" t="s">
        <v>630</v>
      </c>
      <c r="I15" s="123" t="s">
        <v>1861</v>
      </c>
      <c r="J15" s="83" t="s">
        <v>620</v>
      </c>
      <c r="K15" t="s">
        <v>1877</v>
      </c>
      <c r="L15" s="227">
        <v>2022</v>
      </c>
      <c r="M15">
        <v>2022</v>
      </c>
      <c r="N15" t="str">
        <f t="shared" si="1"/>
        <v>DEFRA: Gasóleo: WTT: 2022:: l</v>
      </c>
      <c r="O15" t="str">
        <f t="shared" si="2"/>
        <v>Gasóleo</v>
      </c>
      <c r="P15">
        <f t="shared" si="3"/>
        <v>0</v>
      </c>
      <c r="Q15" s="227" t="s">
        <v>3499</v>
      </c>
      <c r="R15" s="227" t="s">
        <v>3500</v>
      </c>
      <c r="S15" t="s">
        <v>42</v>
      </c>
    </row>
    <row r="16" spans="1:19" ht="15.75" thickBot="1" x14ac:dyDescent="0.3">
      <c r="A16" s="82" t="s">
        <v>4580</v>
      </c>
      <c r="B16" s="82" t="s">
        <v>4580</v>
      </c>
      <c r="C16" s="82" t="str">
        <f t="shared" si="0"/>
        <v>X</v>
      </c>
      <c r="D16" s="83" t="s">
        <v>1527</v>
      </c>
      <c r="E16" s="83" t="s">
        <v>1858</v>
      </c>
      <c r="F16" s="83"/>
      <c r="G16" s="120">
        <f>'A1.1'!E46+'A1.1'!E62+'A1.2'!E34+'A1.2'!E48</f>
        <v>718078.27299999958</v>
      </c>
      <c r="H16" s="85" t="s">
        <v>630</v>
      </c>
      <c r="I16" s="123" t="s">
        <v>1861</v>
      </c>
      <c r="J16" s="83" t="s">
        <v>620</v>
      </c>
      <c r="K16" t="s">
        <v>1877</v>
      </c>
      <c r="L16" s="227">
        <v>2022</v>
      </c>
      <c r="M16">
        <v>2022</v>
      </c>
      <c r="N16" t="str">
        <f t="shared" si="1"/>
        <v>DEFRA: Gasóleo: WTT: 2022:: l</v>
      </c>
      <c r="O16" t="str">
        <f t="shared" si="2"/>
        <v>Gasóleo</v>
      </c>
      <c r="P16">
        <f t="shared" si="3"/>
        <v>0</v>
      </c>
      <c r="Q16" s="227" t="s">
        <v>3499</v>
      </c>
      <c r="R16" s="227" t="s">
        <v>3500</v>
      </c>
      <c r="S16" t="s">
        <v>42</v>
      </c>
    </row>
    <row r="17" spans="1:19" ht="15.75" thickBot="1" x14ac:dyDescent="0.3">
      <c r="A17" s="82" t="s">
        <v>4581</v>
      </c>
      <c r="B17" s="82" t="s">
        <v>4581</v>
      </c>
      <c r="C17" s="82" t="str">
        <f t="shared" si="0"/>
        <v>X</v>
      </c>
      <c r="D17" s="83" t="s">
        <v>1527</v>
      </c>
      <c r="E17" s="83" t="s">
        <v>1858</v>
      </c>
      <c r="F17" s="83"/>
      <c r="G17" s="120">
        <f>'A1.1'!E47+'A1.2'!E34+'A1.2'!E44</f>
        <v>346052.67100000003</v>
      </c>
      <c r="H17" s="85" t="s">
        <v>630</v>
      </c>
      <c r="I17" s="123" t="s">
        <v>1861</v>
      </c>
      <c r="J17" s="83" t="s">
        <v>620</v>
      </c>
      <c r="K17" t="s">
        <v>1877</v>
      </c>
      <c r="L17" s="227">
        <v>2022</v>
      </c>
      <c r="M17">
        <v>2022</v>
      </c>
      <c r="N17" t="str">
        <f t="shared" si="1"/>
        <v>DEFRA: Gasóleo: WTT: 2022:: l</v>
      </c>
      <c r="O17" t="str">
        <f t="shared" si="2"/>
        <v>Gasóleo</v>
      </c>
      <c r="P17">
        <f t="shared" si="3"/>
        <v>0</v>
      </c>
      <c r="Q17" s="227" t="s">
        <v>3499</v>
      </c>
      <c r="R17" s="227" t="s">
        <v>3500</v>
      </c>
      <c r="S17" t="s">
        <v>42</v>
      </c>
    </row>
    <row r="18" spans="1:19" ht="15.75" thickBot="1" x14ac:dyDescent="0.3">
      <c r="A18" s="82" t="s">
        <v>4582</v>
      </c>
      <c r="B18" s="82" t="s">
        <v>4582</v>
      </c>
      <c r="C18" s="82" t="str">
        <f t="shared" si="0"/>
        <v>X</v>
      </c>
      <c r="D18" s="83" t="s">
        <v>1527</v>
      </c>
      <c r="E18" s="83" t="s">
        <v>1858</v>
      </c>
      <c r="F18" s="83"/>
      <c r="G18" s="120">
        <f>'A1.1'!E48+'A1.2'!E35</f>
        <v>263227.19</v>
      </c>
      <c r="H18" s="85" t="s">
        <v>630</v>
      </c>
      <c r="I18" s="123" t="s">
        <v>1861</v>
      </c>
      <c r="J18" s="83" t="s">
        <v>620</v>
      </c>
      <c r="K18" t="s">
        <v>1877</v>
      </c>
      <c r="L18" s="227">
        <v>2022</v>
      </c>
      <c r="M18">
        <v>2022</v>
      </c>
      <c r="N18" t="str">
        <f t="shared" si="1"/>
        <v>DEFRA: Gasóleo: WTT: 2022:: l</v>
      </c>
      <c r="O18" t="str">
        <f t="shared" si="2"/>
        <v>Gasóleo</v>
      </c>
      <c r="P18">
        <f t="shared" si="3"/>
        <v>0</v>
      </c>
      <c r="Q18" s="227" t="s">
        <v>3499</v>
      </c>
      <c r="R18" s="227" t="s">
        <v>3500</v>
      </c>
      <c r="S18" t="s">
        <v>42</v>
      </c>
    </row>
    <row r="19" spans="1:19" ht="15.75" thickBot="1" x14ac:dyDescent="0.3">
      <c r="A19" s="114" t="s">
        <v>3478</v>
      </c>
      <c r="B19" s="82" t="str">
        <f t="shared" si="4"/>
        <v>Barraqueiro Transportes, S.A.</v>
      </c>
      <c r="C19" s="82" t="str">
        <f t="shared" si="0"/>
        <v>Sede</v>
      </c>
      <c r="D19" s="115" t="s">
        <v>1527</v>
      </c>
      <c r="E19" s="83" t="s">
        <v>1858</v>
      </c>
      <c r="F19" s="83"/>
      <c r="G19" s="135">
        <f>'A1.2'!E42</f>
        <v>13565.86</v>
      </c>
      <c r="H19" s="117" t="s">
        <v>630</v>
      </c>
      <c r="I19" s="123" t="s">
        <v>1861</v>
      </c>
      <c r="J19" s="115" t="s">
        <v>620</v>
      </c>
      <c r="K19" t="s">
        <v>1877</v>
      </c>
      <c r="L19" s="227">
        <v>2022</v>
      </c>
      <c r="M19">
        <v>2022</v>
      </c>
      <c r="N19" t="str">
        <f t="shared" si="1"/>
        <v>DEFRA: Gasóleo: WTT: 2022:: l</v>
      </c>
      <c r="O19" t="str">
        <f t="shared" si="2"/>
        <v>Gasóleo</v>
      </c>
      <c r="P19">
        <f t="shared" si="3"/>
        <v>0</v>
      </c>
      <c r="Q19" s="227" t="s">
        <v>3499</v>
      </c>
      <c r="R19" s="227" t="s">
        <v>3500</v>
      </c>
      <c r="S19" t="s">
        <v>42</v>
      </c>
    </row>
    <row r="20" spans="1:19" ht="15.75" thickBot="1" x14ac:dyDescent="0.3">
      <c r="A20" s="114" t="s">
        <v>3278</v>
      </c>
      <c r="B20" s="82" t="str">
        <f t="shared" si="4"/>
        <v>Barraqueiro Transportes, S.A.</v>
      </c>
      <c r="C20" s="82" t="str">
        <f t="shared" si="0"/>
        <v>Barraqueiro Alugueres</v>
      </c>
      <c r="D20" s="115" t="s">
        <v>1527</v>
      </c>
      <c r="E20" s="83" t="s">
        <v>1858</v>
      </c>
      <c r="F20" s="83"/>
      <c r="G20" s="135">
        <f>'A1.1'!E50+'A1.1'!E57+'A1.2'!E37</f>
        <v>1910314.3560000004</v>
      </c>
      <c r="H20" s="117" t="s">
        <v>630</v>
      </c>
      <c r="I20" s="123" t="s">
        <v>1861</v>
      </c>
      <c r="J20" s="115" t="s">
        <v>620</v>
      </c>
      <c r="K20" t="s">
        <v>1877</v>
      </c>
      <c r="L20" s="227">
        <v>2022</v>
      </c>
      <c r="M20">
        <v>2022</v>
      </c>
      <c r="N20" t="str">
        <f t="shared" si="1"/>
        <v>DEFRA: Gasóleo: WTT: 2022:: l</v>
      </c>
      <c r="O20" t="str">
        <f t="shared" si="2"/>
        <v>Gasóleo</v>
      </c>
      <c r="P20">
        <f t="shared" si="3"/>
        <v>0</v>
      </c>
      <c r="Q20" s="227" t="s">
        <v>3499</v>
      </c>
      <c r="R20" s="227" t="s">
        <v>3500</v>
      </c>
      <c r="S20" t="s">
        <v>42</v>
      </c>
    </row>
    <row r="21" spans="1:19" ht="15.75" thickBot="1" x14ac:dyDescent="0.3">
      <c r="A21" s="114" t="s">
        <v>3473</v>
      </c>
      <c r="B21" s="82" t="str">
        <f t="shared" si="4"/>
        <v>Barraqueiro Transportes, S.A.</v>
      </c>
      <c r="C21" s="82" t="str">
        <f t="shared" si="0"/>
        <v>Barraqueiro Oeste</v>
      </c>
      <c r="D21" s="115" t="s">
        <v>1527</v>
      </c>
      <c r="E21" s="83" t="s">
        <v>1858</v>
      </c>
      <c r="F21" s="83"/>
      <c r="G21" s="135">
        <f>'A1.1'!E53+'A1.1'!E60+'A1.2'!E40+'A1.2'!E46</f>
        <v>1866440.7319999987</v>
      </c>
      <c r="H21" s="117" t="s">
        <v>630</v>
      </c>
      <c r="I21" s="123" t="s">
        <v>1861</v>
      </c>
      <c r="J21" s="115" t="s">
        <v>620</v>
      </c>
      <c r="K21" t="s">
        <v>1877</v>
      </c>
      <c r="L21" s="227">
        <v>2022</v>
      </c>
      <c r="M21">
        <v>2022</v>
      </c>
      <c r="N21" t="str">
        <f t="shared" si="1"/>
        <v>DEFRA: Gasóleo: WTT: 2022:: l</v>
      </c>
      <c r="O21" t="str">
        <f t="shared" si="2"/>
        <v>Gasóleo</v>
      </c>
      <c r="P21">
        <f t="shared" si="3"/>
        <v>0</v>
      </c>
      <c r="Q21" s="227" t="s">
        <v>3499</v>
      </c>
      <c r="R21" s="227" t="s">
        <v>3500</v>
      </c>
      <c r="S21" t="s">
        <v>42</v>
      </c>
    </row>
    <row r="22" spans="1:19" ht="15.75" thickBot="1" x14ac:dyDescent="0.3">
      <c r="A22" s="114" t="s">
        <v>3474</v>
      </c>
      <c r="B22" s="82" t="str">
        <f t="shared" si="4"/>
        <v>Barraqueiro Transportes, S.A.</v>
      </c>
      <c r="C22" s="82" t="str">
        <f t="shared" si="0"/>
        <v>Boa Viagem</v>
      </c>
      <c r="D22" s="115" t="s">
        <v>1527</v>
      </c>
      <c r="E22" s="83" t="s">
        <v>1858</v>
      </c>
      <c r="F22" s="83"/>
      <c r="G22" s="135">
        <f>'A1.1'!E54+'A1.1'!E61+'A1.2'!E41</f>
        <v>1821612.0540000002</v>
      </c>
      <c r="H22" s="117" t="s">
        <v>630</v>
      </c>
      <c r="I22" s="123" t="s">
        <v>1861</v>
      </c>
      <c r="J22" s="115" t="s">
        <v>620</v>
      </c>
      <c r="K22" t="s">
        <v>1877</v>
      </c>
      <c r="L22" s="227">
        <v>2022</v>
      </c>
      <c r="M22">
        <v>2022</v>
      </c>
      <c r="N22" t="str">
        <f t="shared" si="1"/>
        <v>DEFRA: Gasóleo: WTT: 2022:: l</v>
      </c>
      <c r="O22" t="str">
        <f t="shared" si="2"/>
        <v>Gasóleo</v>
      </c>
      <c r="P22">
        <f t="shared" si="3"/>
        <v>0</v>
      </c>
      <c r="Q22" s="227" t="s">
        <v>3499</v>
      </c>
      <c r="R22" s="227" t="s">
        <v>3500</v>
      </c>
      <c r="S22" t="s">
        <v>42</v>
      </c>
    </row>
    <row r="23" spans="1:19" ht="15.75" thickBot="1" x14ac:dyDescent="0.3">
      <c r="A23" s="114" t="s">
        <v>3524</v>
      </c>
      <c r="B23" s="82" t="str">
        <f t="shared" si="4"/>
        <v>Barraqueiro Transportes, S.A.</v>
      </c>
      <c r="C23" s="82" t="str">
        <f t="shared" si="0"/>
        <v>ESEVEL</v>
      </c>
      <c r="D23" s="115" t="s">
        <v>1527</v>
      </c>
      <c r="E23" s="83" t="s">
        <v>1858</v>
      </c>
      <c r="F23" s="83"/>
      <c r="G23" s="135">
        <f>'A1.2'!E43+'A1.2'!E47</f>
        <v>5172.9070000000002</v>
      </c>
      <c r="H23" s="117" t="s">
        <v>630</v>
      </c>
      <c r="I23" s="123" t="s">
        <v>1861</v>
      </c>
      <c r="J23" s="115" t="s">
        <v>620</v>
      </c>
      <c r="K23" t="s">
        <v>1877</v>
      </c>
      <c r="L23" s="227">
        <v>2022</v>
      </c>
      <c r="M23">
        <v>2022</v>
      </c>
      <c r="N23" t="str">
        <f t="shared" si="1"/>
        <v>DEFRA: Gasóleo: WTT: 2022:: l</v>
      </c>
      <c r="O23" t="str">
        <f t="shared" si="2"/>
        <v>Gasóleo</v>
      </c>
      <c r="P23">
        <f t="shared" si="3"/>
        <v>0</v>
      </c>
      <c r="Q23" s="227" t="s">
        <v>3499</v>
      </c>
      <c r="R23" s="227" t="s">
        <v>3500</v>
      </c>
      <c r="S23" t="s">
        <v>42</v>
      </c>
    </row>
    <row r="24" spans="1:19" ht="15.75" thickBot="1" x14ac:dyDescent="0.3">
      <c r="A24" s="114" t="s">
        <v>3471</v>
      </c>
      <c r="B24" s="82" t="str">
        <f t="shared" si="4"/>
        <v>Barraqueiro Transportes, S.A.</v>
      </c>
      <c r="C24" s="82" t="str">
        <f t="shared" si="0"/>
        <v>Estremadura</v>
      </c>
      <c r="D24" s="115" t="s">
        <v>1527</v>
      </c>
      <c r="E24" s="83" t="s">
        <v>1858</v>
      </c>
      <c r="F24" s="83"/>
      <c r="G24" s="135">
        <f>'A1.1'!E51+'A1.1'!E58+'A1.2'!E38+'A1.2'!E45</f>
        <v>3352355.2970000012</v>
      </c>
      <c r="H24" s="117" t="s">
        <v>630</v>
      </c>
      <c r="I24" s="123" t="s">
        <v>1861</v>
      </c>
      <c r="J24" s="115" t="s">
        <v>620</v>
      </c>
      <c r="K24" t="s">
        <v>1877</v>
      </c>
      <c r="L24" s="227">
        <v>2022</v>
      </c>
      <c r="M24">
        <v>2022</v>
      </c>
      <c r="N24" t="str">
        <f t="shared" si="1"/>
        <v>DEFRA: Gasóleo: WTT: 2022:: l</v>
      </c>
      <c r="O24" t="str">
        <f t="shared" si="2"/>
        <v>Gasóleo</v>
      </c>
      <c r="P24">
        <f t="shared" si="3"/>
        <v>0</v>
      </c>
      <c r="Q24" s="227" t="s">
        <v>3499</v>
      </c>
      <c r="R24" s="227" t="s">
        <v>3500</v>
      </c>
      <c r="S24" t="s">
        <v>42</v>
      </c>
    </row>
    <row r="25" spans="1:19" ht="15.75" thickBot="1" x14ac:dyDescent="0.3">
      <c r="A25" s="114" t="s">
        <v>3470</v>
      </c>
      <c r="B25" s="82" t="str">
        <f t="shared" si="4"/>
        <v>Barraqueiro Transportes, S.A.</v>
      </c>
      <c r="C25" s="82" t="str">
        <f t="shared" si="0"/>
        <v>Mafrense</v>
      </c>
      <c r="D25" s="115" t="s">
        <v>1527</v>
      </c>
      <c r="E25" s="83" t="s">
        <v>1858</v>
      </c>
      <c r="F25" s="83"/>
      <c r="G25" s="135">
        <f>'A1.1'!E56+'A1.1'!E49+'A1.2'!E36</f>
        <v>1544056.3790000002</v>
      </c>
      <c r="H25" s="117" t="s">
        <v>630</v>
      </c>
      <c r="I25" s="123" t="s">
        <v>1861</v>
      </c>
      <c r="J25" s="115" t="s">
        <v>620</v>
      </c>
      <c r="K25" t="s">
        <v>1877</v>
      </c>
      <c r="L25" s="227">
        <v>2022</v>
      </c>
      <c r="M25">
        <v>2022</v>
      </c>
      <c r="N25" t="str">
        <f t="shared" si="1"/>
        <v>DEFRA: Gasóleo: WTT: 2022:: l</v>
      </c>
      <c r="O25" t="str">
        <f t="shared" si="2"/>
        <v>Gasóleo</v>
      </c>
      <c r="P25">
        <f t="shared" si="3"/>
        <v>0</v>
      </c>
      <c r="Q25" s="227" t="s">
        <v>3499</v>
      </c>
      <c r="R25" s="227" t="s">
        <v>3500</v>
      </c>
      <c r="S25" t="s">
        <v>42</v>
      </c>
    </row>
    <row r="26" spans="1:19" ht="15.75" thickBot="1" x14ac:dyDescent="0.3">
      <c r="A26" s="114" t="s">
        <v>3525</v>
      </c>
      <c r="B26" s="82" t="str">
        <f t="shared" si="4"/>
        <v>Barraqueiro Transportes, S.A.</v>
      </c>
      <c r="C26" s="82" t="str">
        <f t="shared" si="0"/>
        <v>Frota Aul</v>
      </c>
      <c r="D26" s="115" t="s">
        <v>1527</v>
      </c>
      <c r="E26" s="83" t="s">
        <v>1858</v>
      </c>
      <c r="F26" s="83"/>
      <c r="G26" s="135">
        <f>'A1.1'!E52+'A1.1'!E59+'A1.2'!E39</f>
        <v>1090039.1860000002</v>
      </c>
      <c r="H26" s="117" t="s">
        <v>630</v>
      </c>
      <c r="I26" s="123" t="s">
        <v>1861</v>
      </c>
      <c r="J26" s="115" t="s">
        <v>620</v>
      </c>
      <c r="K26" t="s">
        <v>1877</v>
      </c>
      <c r="L26" s="227">
        <v>2022</v>
      </c>
      <c r="M26">
        <v>2022</v>
      </c>
      <c r="N26" t="str">
        <f t="shared" si="1"/>
        <v>DEFRA: Gasóleo: WTT: 2022:: l</v>
      </c>
      <c r="O26" t="str">
        <f t="shared" si="2"/>
        <v>Gasóleo</v>
      </c>
      <c r="P26">
        <f t="shared" si="3"/>
        <v>0</v>
      </c>
      <c r="Q26" s="227" t="s">
        <v>3499</v>
      </c>
      <c r="R26" s="227" t="s">
        <v>3500</v>
      </c>
      <c r="S26" t="s">
        <v>42</v>
      </c>
    </row>
    <row r="27" spans="1:19" ht="15.75" thickBot="1" x14ac:dyDescent="0.3">
      <c r="A27" s="137" t="s">
        <v>1910</v>
      </c>
      <c r="B27" s="137" t="str">
        <f>LEFT(A27,IFERROR(FIND(" - ",A27)-1,LEN(A27)))</f>
        <v>Rodoviária de Lisboa, S.A.</v>
      </c>
      <c r="C27" s="137" t="str">
        <f t="shared" ref="C27:C37" si="5">IF(A27=B27,"X",RIGHT(A27,LEN(A27)-LEN(B27)-3))</f>
        <v>X</v>
      </c>
      <c r="D27" s="115" t="s">
        <v>1527</v>
      </c>
      <c r="E27" s="83" t="s">
        <v>1858</v>
      </c>
      <c r="F27" s="83"/>
      <c r="G27" s="120">
        <f t="array" ref="G27">SUMPRODUCT('A1.1 copy'!$M$2:$M$1001,IF('A1.1 copy'!$A$2:$A$1001=A27,1,0),IF('A1.1 copy'!$H$2:$H$1001=I27,1,0),IF('A1.1 copy'!$L$2:$L$1001=O27,1,0),IF('A1.1 copy'!$D$2:$D$1001=L27,1,0))</f>
        <v>7614235.6999999993</v>
      </c>
      <c r="H27" s="117" t="s">
        <v>630</v>
      </c>
      <c r="I27" s="123" t="s">
        <v>1861</v>
      </c>
      <c r="J27" s="115" t="s">
        <v>620</v>
      </c>
      <c r="K27" t="s">
        <v>1877</v>
      </c>
      <c r="L27" s="227">
        <v>2022</v>
      </c>
      <c r="M27">
        <v>2022</v>
      </c>
      <c r="N27" t="str">
        <f t="shared" ref="N27:N79" si="6">IF(J27="Eléctrica",K27&amp;": "&amp;J27&amp;": "&amp;E27&amp;": Portugal: "&amp;M27&amp;":: "&amp;I27,K27&amp;": "&amp;J27&amp;": "&amp;E27&amp;": "&amp;M27&amp;":: "&amp;I27)</f>
        <v>DEFRA: Gasóleo: WTT: 2022:: l</v>
      </c>
      <c r="O27" t="str">
        <f t="shared" si="2"/>
        <v>Gasóleo</v>
      </c>
      <c r="P27">
        <f t="shared" si="3"/>
        <v>0</v>
      </c>
      <c r="Q27" s="227" t="s">
        <v>3499</v>
      </c>
      <c r="R27" s="227" t="s">
        <v>3500</v>
      </c>
      <c r="S27" t="s">
        <v>42</v>
      </c>
    </row>
    <row r="28" spans="1:19" ht="15.75" thickBot="1" x14ac:dyDescent="0.3">
      <c r="A28" s="137" t="s">
        <v>1910</v>
      </c>
      <c r="B28" s="137" t="str">
        <f>LEFT(A28,IFERROR(FIND(" - ",A28)-1,LEN(A28)))</f>
        <v>Rodoviária de Lisboa, S.A.</v>
      </c>
      <c r="C28" s="137" t="str">
        <f t="shared" si="5"/>
        <v>X</v>
      </c>
      <c r="D28" s="115" t="s">
        <v>1527</v>
      </c>
      <c r="E28" s="83" t="s">
        <v>1858</v>
      </c>
      <c r="F28" s="83"/>
      <c r="G28" s="120">
        <f t="array" ref="G28">SUMPRODUCT('A1.1 copy'!$M$2:$M$1001,IF('A1.1 copy'!$A$2:$A$1001=A28,1,0),IF('A1.1 copy'!$H$2:$H$1001=I28,1,0),IF('A1.1 copy'!$L$2:$L$1001=O28,1,0),IF('A1.1 copy'!$D$2:$D$1001=L28,1,0))</f>
        <v>60588</v>
      </c>
      <c r="H28" s="117" t="s">
        <v>1924</v>
      </c>
      <c r="I28" s="123" t="s">
        <v>1945</v>
      </c>
      <c r="J28" s="263" t="s">
        <v>2940</v>
      </c>
      <c r="K28" t="s">
        <v>1877</v>
      </c>
      <c r="L28" s="227">
        <v>2022</v>
      </c>
      <c r="M28">
        <v>2022</v>
      </c>
      <c r="N28" t="str">
        <f t="shared" si="6"/>
        <v>DEFRA: GN: WTT: 2022:: Nm3</v>
      </c>
      <c r="O28" t="s">
        <v>1944</v>
      </c>
      <c r="P28">
        <f t="shared" si="3"/>
        <v>0</v>
      </c>
      <c r="Q28" s="227" t="s">
        <v>3499</v>
      </c>
      <c r="R28" s="227" t="s">
        <v>3500</v>
      </c>
      <c r="S28" t="s">
        <v>42</v>
      </c>
    </row>
    <row r="29" spans="1:19" ht="15.75" thickBot="1" x14ac:dyDescent="0.3">
      <c r="A29" s="137" t="s">
        <v>1912</v>
      </c>
      <c r="B29" s="137" t="str">
        <f>LEFT(A29,IFERROR(FIND(" - ",A29)-1,LEN(A29)))</f>
        <v>Marques, Lda.</v>
      </c>
      <c r="C29" s="137" t="str">
        <f t="shared" si="5"/>
        <v>X</v>
      </c>
      <c r="D29" s="115" t="s">
        <v>1527</v>
      </c>
      <c r="E29" s="83" t="s">
        <v>1858</v>
      </c>
      <c r="F29" s="83"/>
      <c r="G29" s="120">
        <f t="array" ref="G29">SUMPRODUCT('A1.1 copy'!$M$2:$M$1001,IF('A1.1 copy'!$A$2:$A$1001=A29,1,0),IF('A1.1 copy'!$H$2:$H$1001=I29,1,0),IF('A1.1 copy'!$L$2:$L$1001=O29,1,0),IF('A1.1 copy'!$D$2:$D$1001=L29,1,0))</f>
        <v>1053420.31</v>
      </c>
      <c r="H29" s="117" t="s">
        <v>630</v>
      </c>
      <c r="I29" s="123" t="s">
        <v>1861</v>
      </c>
      <c r="J29" s="115" t="s">
        <v>620</v>
      </c>
      <c r="K29" t="s">
        <v>1877</v>
      </c>
      <c r="L29" s="227">
        <v>2022</v>
      </c>
      <c r="M29">
        <v>2022</v>
      </c>
      <c r="N29" t="str">
        <f t="shared" si="6"/>
        <v>DEFRA: Gasóleo: WTT: 2022:: l</v>
      </c>
      <c r="O29" t="str">
        <f t="shared" si="2"/>
        <v>Gasóleo</v>
      </c>
      <c r="P29">
        <f t="shared" si="3"/>
        <v>0</v>
      </c>
      <c r="Q29" s="227" t="s">
        <v>3499</v>
      </c>
      <c r="R29" s="227" t="s">
        <v>3500</v>
      </c>
      <c r="S29" t="s">
        <v>42</v>
      </c>
    </row>
    <row r="30" spans="1:19" ht="15.75" thickBot="1" x14ac:dyDescent="0.3">
      <c r="A30" s="137" t="s">
        <v>1915</v>
      </c>
      <c r="B30" s="137" t="str">
        <f>LEFT(A30,IFERROR(FIND(" - ",A30)-1,LEN(A30)))</f>
        <v>Rodo Cargo, S.A.</v>
      </c>
      <c r="C30" s="137" t="str">
        <f t="shared" si="5"/>
        <v>X</v>
      </c>
      <c r="D30" s="115" t="s">
        <v>1527</v>
      </c>
      <c r="E30" s="83" t="s">
        <v>1858</v>
      </c>
      <c r="F30" s="83"/>
      <c r="G30" s="120">
        <f t="array" ref="G30">SUMPRODUCT('A1.1 copy'!$M$2:$M$1001,IF('A1.1 copy'!$A$2:$A$1001=A30,1,0),IF('A1.1 copy'!$H$2:$H$1001=I30,1,0),IF('A1.1 copy'!$L$2:$L$1001=O30,1,0),IF('A1.1 copy'!$D$2:$D$1001=L30,1,0))</f>
        <v>6748135</v>
      </c>
      <c r="H30" s="117" t="s">
        <v>630</v>
      </c>
      <c r="I30" s="123" t="s">
        <v>1861</v>
      </c>
      <c r="J30" s="115" t="s">
        <v>620</v>
      </c>
      <c r="K30" t="s">
        <v>1877</v>
      </c>
      <c r="L30" s="227">
        <v>2022</v>
      </c>
      <c r="M30">
        <v>2022</v>
      </c>
      <c r="N30" t="str">
        <f t="shared" si="6"/>
        <v>DEFRA: Gasóleo: WTT: 2022:: l</v>
      </c>
      <c r="O30" t="str">
        <f t="shared" si="2"/>
        <v>Gasóleo</v>
      </c>
      <c r="P30">
        <f t="shared" si="3"/>
        <v>0</v>
      </c>
      <c r="Q30" s="227" t="s">
        <v>3499</v>
      </c>
      <c r="R30" s="227" t="s">
        <v>3500</v>
      </c>
      <c r="S30" t="s">
        <v>42</v>
      </c>
    </row>
    <row r="31" spans="1:19" ht="15.75" thickBot="1" x14ac:dyDescent="0.3">
      <c r="A31" s="137" t="s">
        <v>1916</v>
      </c>
      <c r="B31" s="137" t="str">
        <f>LEFT(A31,IFERROR(FIND(" - ",A31)-1,LEN(A31)))</f>
        <v>Rodoviária do Alentejo, S.A.</v>
      </c>
      <c r="C31" s="137" t="str">
        <f t="shared" si="5"/>
        <v>X</v>
      </c>
      <c r="D31" s="115" t="s">
        <v>1527</v>
      </c>
      <c r="E31" s="83" t="s">
        <v>1858</v>
      </c>
      <c r="F31" s="83"/>
      <c r="G31" s="120">
        <f t="array" ref="G31">SUMPRODUCT('A1.1 copy'!$M$2:$M$1001,IF('A1.1 copy'!$A$2:$A$1001=A31,1,0),IF('A1.1 copy'!$H$2:$H$1001=I31,1,0),IF('A1.1 copy'!$L$2:$L$1001=O31,1,0),IF('A1.1 copy'!$D$2:$D$1001=L31,1,0))</f>
        <v>4172187.33</v>
      </c>
      <c r="H31" s="117" t="s">
        <v>630</v>
      </c>
      <c r="I31" s="123" t="s">
        <v>1861</v>
      </c>
      <c r="J31" s="115" t="s">
        <v>620</v>
      </c>
      <c r="K31" t="s">
        <v>1877</v>
      </c>
      <c r="L31" s="227">
        <v>2022</v>
      </c>
      <c r="M31">
        <v>2022</v>
      </c>
      <c r="N31" t="str">
        <f t="shared" si="6"/>
        <v>DEFRA: Gasóleo: WTT: 2022:: l</v>
      </c>
      <c r="O31" t="str">
        <f t="shared" si="2"/>
        <v>Gasóleo</v>
      </c>
      <c r="P31">
        <f t="shared" si="3"/>
        <v>0</v>
      </c>
      <c r="Q31" s="227" t="s">
        <v>3499</v>
      </c>
      <c r="R31" s="227" t="s">
        <v>3500</v>
      </c>
      <c r="S31" t="s">
        <v>42</v>
      </c>
    </row>
    <row r="32" spans="1:19" ht="15.75" thickBot="1" x14ac:dyDescent="0.3">
      <c r="A32" s="275" t="s">
        <v>2945</v>
      </c>
      <c r="B32" s="275" t="s">
        <v>2945</v>
      </c>
      <c r="C32" s="137" t="str">
        <f t="shared" si="5"/>
        <v>X</v>
      </c>
      <c r="D32" s="115" t="s">
        <v>1527</v>
      </c>
      <c r="E32" s="83" t="s">
        <v>1858</v>
      </c>
      <c r="F32" s="83"/>
      <c r="G32" s="120">
        <f t="array" ref="G32">SUMPRODUCT('A1.1 copy'!$M$2:$M$1001,IF('A1.1 copy'!$A$2:$A$1001=A32,1,0),IF('A1.1 copy'!$H$2:$H$1001=I32,1,0),IF('A1.1 copy'!$L$2:$L$1001=O32,1,0),IF('A1.1 copy'!$D$2:$D$1001=L32,1,0))</f>
        <v>257212</v>
      </c>
      <c r="H32" s="117" t="s">
        <v>630</v>
      </c>
      <c r="I32" s="123" t="s">
        <v>1861</v>
      </c>
      <c r="J32" s="115" t="s">
        <v>620</v>
      </c>
      <c r="K32" t="s">
        <v>1877</v>
      </c>
      <c r="L32" s="227">
        <v>2022</v>
      </c>
      <c r="M32">
        <v>2022</v>
      </c>
      <c r="N32" t="str">
        <f t="shared" si="6"/>
        <v>DEFRA: Gasóleo: WTT: 2022:: l</v>
      </c>
      <c r="O32" t="str">
        <f t="shared" si="2"/>
        <v>Gasóleo</v>
      </c>
      <c r="P32">
        <f t="shared" si="3"/>
        <v>0</v>
      </c>
      <c r="Q32" s="227" t="s">
        <v>3499</v>
      </c>
      <c r="R32" s="227" t="s">
        <v>3500</v>
      </c>
      <c r="S32" t="s">
        <v>42</v>
      </c>
    </row>
    <row r="33" spans="1:19" ht="15.75" thickBot="1" x14ac:dyDescent="0.3">
      <c r="A33" s="275" t="s">
        <v>2943</v>
      </c>
      <c r="B33" s="275" t="s">
        <v>2943</v>
      </c>
      <c r="C33" s="137" t="str">
        <f t="shared" si="5"/>
        <v>X</v>
      </c>
      <c r="D33" s="115" t="s">
        <v>1527</v>
      </c>
      <c r="E33" s="83" t="s">
        <v>1858</v>
      </c>
      <c r="F33" s="83"/>
      <c r="G33" s="120">
        <f t="array" ref="G33">SUMPRODUCT('A1.1 copy'!$M$2:$M$1001,IF('A1.1 copy'!$A$2:$A$1001=A33,1,0),IF('A1.1 copy'!$H$2:$H$1001=I33,1,0),IF('A1.1 copy'!$L$2:$L$1001=O33,1,0),IF('A1.1 copy'!$D$2:$D$1001=L33,1,0))</f>
        <v>683924</v>
      </c>
      <c r="H33" s="117" t="s">
        <v>630</v>
      </c>
      <c r="I33" s="123" t="s">
        <v>1861</v>
      </c>
      <c r="J33" s="115" t="s">
        <v>620</v>
      </c>
      <c r="K33" t="s">
        <v>1877</v>
      </c>
      <c r="L33" s="227">
        <v>2022</v>
      </c>
      <c r="M33">
        <v>2022</v>
      </c>
      <c r="N33" t="str">
        <f t="shared" si="6"/>
        <v>DEFRA: Gasóleo: WTT: 2022:: l</v>
      </c>
      <c r="O33" t="str">
        <f t="shared" si="2"/>
        <v>Gasóleo</v>
      </c>
      <c r="P33">
        <f t="shared" si="3"/>
        <v>0</v>
      </c>
      <c r="Q33" s="227" t="s">
        <v>3499</v>
      </c>
      <c r="R33" s="227" t="s">
        <v>3500</v>
      </c>
      <c r="S33" t="s">
        <v>42</v>
      </c>
    </row>
    <row r="34" spans="1:19" ht="15.75" thickBot="1" x14ac:dyDescent="0.3">
      <c r="A34" s="275" t="s">
        <v>2944</v>
      </c>
      <c r="B34" s="275" t="s">
        <v>2944</v>
      </c>
      <c r="C34" s="137" t="str">
        <f t="shared" si="5"/>
        <v>X</v>
      </c>
      <c r="D34" s="115" t="s">
        <v>1527</v>
      </c>
      <c r="E34" s="83" t="s">
        <v>1858</v>
      </c>
      <c r="F34" s="83"/>
      <c r="G34" s="120">
        <f t="array" ref="G34">SUMPRODUCT('A1.1 copy'!$M$2:$M$1001,IF('A1.1 copy'!$A$2:$A$1001=A34,1,0),IF('A1.1 copy'!$H$2:$H$1001=I34,1,0),IF('A1.1 copy'!$L$2:$L$1001=O34,1,0),IF('A1.1 copy'!$D$2:$D$1001=L34,1,0))</f>
        <v>182410</v>
      </c>
      <c r="H34" s="117" t="s">
        <v>630</v>
      </c>
      <c r="I34" s="123" t="s">
        <v>1861</v>
      </c>
      <c r="J34" s="115" t="s">
        <v>620</v>
      </c>
      <c r="K34" t="s">
        <v>1877</v>
      </c>
      <c r="L34" s="227">
        <v>2022</v>
      </c>
      <c r="M34">
        <v>2022</v>
      </c>
      <c r="N34" t="str">
        <f t="shared" si="6"/>
        <v>DEFRA: Gasóleo: WTT: 2022:: l</v>
      </c>
      <c r="O34" t="str">
        <f t="shared" si="2"/>
        <v>Gasóleo</v>
      </c>
      <c r="P34">
        <f t="shared" si="3"/>
        <v>0</v>
      </c>
      <c r="Q34" s="227" t="s">
        <v>3499</v>
      </c>
      <c r="R34" s="227" t="s">
        <v>3500</v>
      </c>
      <c r="S34" t="s">
        <v>42</v>
      </c>
    </row>
    <row r="35" spans="1:19" ht="15.75" thickBot="1" x14ac:dyDescent="0.3">
      <c r="A35" s="274" t="s">
        <v>2946</v>
      </c>
      <c r="B35" s="274" t="s">
        <v>2946</v>
      </c>
      <c r="C35" s="137" t="str">
        <f t="shared" si="5"/>
        <v>X</v>
      </c>
      <c r="D35" s="115" t="s">
        <v>1527</v>
      </c>
      <c r="E35" s="83" t="s">
        <v>1858</v>
      </c>
      <c r="F35" s="83"/>
      <c r="G35" s="120">
        <f t="array" ref="G35">SUMPRODUCT('A1.1 copy'!$M$2:$M$1001,IF('A1.1 copy'!$A$2:$A$1001=A35,1,0),IF('A1.1 copy'!$H$2:$H$1001=I35,1,0),IF('A1.1 copy'!$L$2:$L$1001=O35,1,0),IF('A1.1 copy'!$D$2:$D$1001=L35,1,0))</f>
        <v>272369.5</v>
      </c>
      <c r="H35" s="117" t="s">
        <v>630</v>
      </c>
      <c r="I35" s="123" t="s">
        <v>1861</v>
      </c>
      <c r="J35" s="115" t="s">
        <v>620</v>
      </c>
      <c r="K35" t="s">
        <v>1877</v>
      </c>
      <c r="L35" s="227">
        <v>2022</v>
      </c>
      <c r="M35">
        <v>2022</v>
      </c>
      <c r="N35" t="str">
        <f t="shared" si="6"/>
        <v>DEFRA: Gasóleo: WTT: 2022:: l</v>
      </c>
      <c r="O35" t="str">
        <f t="shared" si="2"/>
        <v>Gasóleo</v>
      </c>
      <c r="P35">
        <f t="shared" si="3"/>
        <v>0</v>
      </c>
      <c r="Q35" s="227" t="s">
        <v>3499</v>
      </c>
      <c r="R35" s="227" t="s">
        <v>3500</v>
      </c>
      <c r="S35" t="s">
        <v>42</v>
      </c>
    </row>
    <row r="36" spans="1:19" ht="15.75" thickBot="1" x14ac:dyDescent="0.3">
      <c r="A36" s="137" t="s">
        <v>4583</v>
      </c>
      <c r="B36" s="137" t="s">
        <v>4583</v>
      </c>
      <c r="C36" s="137" t="str">
        <f t="shared" si="5"/>
        <v>X</v>
      </c>
      <c r="D36" s="115" t="s">
        <v>1527</v>
      </c>
      <c r="E36" s="83" t="s">
        <v>1858</v>
      </c>
      <c r="F36" s="83"/>
      <c r="G36" s="120">
        <f t="array" ref="G36">SUMPRODUCT('A1.1 copy'!$M$2:$M$1001,IF('A1.1 copy'!$A$2:$A$1001=A36,1,0),IF('A1.1 copy'!$H$2:$H$1001=I36,1,0),IF('A1.1 copy'!$L$2:$L$1001=O36,1,0),IF('A1.1 copy'!$D$2:$D$1001=L36,1,0))</f>
        <v>3519575.733</v>
      </c>
      <c r="H36" s="117" t="s">
        <v>630</v>
      </c>
      <c r="I36" s="123" t="s">
        <v>1861</v>
      </c>
      <c r="J36" s="115" t="s">
        <v>620</v>
      </c>
      <c r="K36" t="s">
        <v>1877</v>
      </c>
      <c r="L36" s="227">
        <v>2022</v>
      </c>
      <c r="M36">
        <v>2022</v>
      </c>
      <c r="N36" t="str">
        <f t="shared" si="6"/>
        <v>DEFRA: Gasóleo: WTT: 2022:: l</v>
      </c>
      <c r="O36" t="str">
        <f t="shared" si="2"/>
        <v>Gasóleo</v>
      </c>
      <c r="P36">
        <f t="shared" si="3"/>
        <v>0</v>
      </c>
      <c r="Q36" s="227" t="s">
        <v>3499</v>
      </c>
      <c r="R36" s="227" t="s">
        <v>3500</v>
      </c>
      <c r="S36" t="s">
        <v>42</v>
      </c>
    </row>
    <row r="37" spans="1:19" ht="15.75" thickBot="1" x14ac:dyDescent="0.3">
      <c r="A37" s="137" t="s">
        <v>4584</v>
      </c>
      <c r="B37" s="137" t="s">
        <v>4584</v>
      </c>
      <c r="C37" s="137" t="str">
        <f t="shared" si="5"/>
        <v>X</v>
      </c>
      <c r="D37" s="115" t="s">
        <v>1527</v>
      </c>
      <c r="E37" s="83" t="s">
        <v>1858</v>
      </c>
      <c r="F37" s="83"/>
      <c r="G37" s="120">
        <f t="array" ref="G37">SUMPRODUCT('A1.1 copy'!$M$2:$M$1001,IF('A1.1 copy'!$A$2:$A$1001=A37,1,0),IF('A1.1 copy'!$H$2:$H$1001=I37,1,0),IF('A1.1 copy'!$L$2:$L$1001=O37,1,0),IF('A1.1 copy'!$D$2:$D$1001=L37,1,0))</f>
        <v>991446.01</v>
      </c>
      <c r="H37" s="117" t="s">
        <v>630</v>
      </c>
      <c r="I37" s="123" t="s">
        <v>1861</v>
      </c>
      <c r="J37" s="115" t="s">
        <v>620</v>
      </c>
      <c r="K37" t="s">
        <v>1877</v>
      </c>
      <c r="L37" s="227">
        <v>2022</v>
      </c>
      <c r="M37">
        <v>2022</v>
      </c>
      <c r="N37" t="str">
        <f t="shared" si="6"/>
        <v>DEFRA: Gasóleo: WTT: 2022:: l</v>
      </c>
      <c r="O37" t="str">
        <f t="shared" si="2"/>
        <v>Gasóleo</v>
      </c>
      <c r="P37">
        <f t="shared" si="3"/>
        <v>0</v>
      </c>
      <c r="Q37" s="227" t="s">
        <v>3499</v>
      </c>
      <c r="R37" s="227" t="s">
        <v>3500</v>
      </c>
      <c r="S37" t="s">
        <v>42</v>
      </c>
    </row>
    <row r="38" spans="1:19" ht="15.75" thickBot="1" x14ac:dyDescent="0.3">
      <c r="A38" s="137" t="s">
        <v>3475</v>
      </c>
      <c r="B38" s="137" t="s">
        <v>3475</v>
      </c>
      <c r="C38" s="137" t="s">
        <v>1950</v>
      </c>
      <c r="D38" s="115" t="s">
        <v>1527</v>
      </c>
      <c r="E38" s="83" t="s">
        <v>1858</v>
      </c>
      <c r="F38" s="83"/>
      <c r="G38" s="120">
        <f t="array" ref="G38">SUMPRODUCT('A1.1 copy'!$M$2:$M$1001,IF('A1.1 copy'!$A$2:$A$1001=A38,1,0),IF('A1.1 copy'!$H$2:$H$1001=I38,1,0),IF('A1.1 copy'!$L$2:$L$1001=O38,1,0),IF('A1.1 copy'!$D$2:$D$1001=L38,1,0))</f>
        <v>344822.06</v>
      </c>
      <c r="H38" s="117" t="s">
        <v>630</v>
      </c>
      <c r="I38" s="123" t="s">
        <v>1861</v>
      </c>
      <c r="J38" s="115" t="s">
        <v>620</v>
      </c>
      <c r="K38" t="s">
        <v>1877</v>
      </c>
      <c r="L38" s="227">
        <v>2022</v>
      </c>
      <c r="M38">
        <v>2022</v>
      </c>
      <c r="N38" t="str">
        <f t="shared" si="6"/>
        <v>DEFRA: Gasóleo: WTT: 2022:: l</v>
      </c>
      <c r="O38" t="str">
        <f t="shared" si="2"/>
        <v>Gasóleo</v>
      </c>
      <c r="P38">
        <f t="shared" si="3"/>
        <v>0</v>
      </c>
      <c r="Q38" s="227" t="s">
        <v>3499</v>
      </c>
      <c r="R38" s="227" t="s">
        <v>3500</v>
      </c>
      <c r="S38" t="s">
        <v>42</v>
      </c>
    </row>
    <row r="39" spans="1:19" ht="15.75" thickBot="1" x14ac:dyDescent="0.3">
      <c r="A39" s="137" t="s">
        <v>4585</v>
      </c>
      <c r="B39" s="137" t="s">
        <v>4585</v>
      </c>
      <c r="C39" s="137" t="str">
        <f>IF(A39=B39,"X",RIGHT(A39,LEN(A39)-LEN(B39)-3))</f>
        <v>X</v>
      </c>
      <c r="D39" s="115" t="s">
        <v>1527</v>
      </c>
      <c r="E39" s="83" t="s">
        <v>1858</v>
      </c>
      <c r="F39" s="83"/>
      <c r="G39" s="120">
        <f t="array" ref="G39">SUMPRODUCT('A1.1 copy'!$M$2:$M$1001,IF('A1.1 copy'!$A$2:$A$1001=A39,1,0),IF('A1.1 copy'!$H$2:$H$1001=I39,1,0),IF('A1.1 copy'!$L$2:$L$1001=O39,1,0),IF('A1.1 copy'!$D$2:$D$1001=L39,1,0))</f>
        <v>182961.86</v>
      </c>
      <c r="H39" s="117" t="s">
        <v>630</v>
      </c>
      <c r="I39" s="123" t="s">
        <v>1861</v>
      </c>
      <c r="J39" s="115" t="s">
        <v>620</v>
      </c>
      <c r="K39" t="s">
        <v>1877</v>
      </c>
      <c r="L39" s="227">
        <v>2022</v>
      </c>
      <c r="M39">
        <v>2022</v>
      </c>
      <c r="N39" t="str">
        <f t="shared" si="6"/>
        <v>DEFRA: Gasóleo: WTT: 2022:: l</v>
      </c>
      <c r="O39" t="str">
        <f t="shared" si="2"/>
        <v>Gasóleo</v>
      </c>
      <c r="P39">
        <f t="shared" si="3"/>
        <v>0</v>
      </c>
      <c r="Q39" s="227" t="s">
        <v>3499</v>
      </c>
      <c r="R39" s="227" t="s">
        <v>3500</v>
      </c>
      <c r="S39" t="s">
        <v>42</v>
      </c>
    </row>
    <row r="40" spans="1:19" ht="15.75" thickBot="1" x14ac:dyDescent="0.3">
      <c r="A40" s="137" t="s">
        <v>4586</v>
      </c>
      <c r="B40" s="137" t="s">
        <v>4586</v>
      </c>
      <c r="C40" s="137" t="str">
        <f>IF(A40=B40,"X",RIGHT(A40,LEN(A40)-LEN(B40)-3))</f>
        <v>X</v>
      </c>
      <c r="D40" s="115" t="s">
        <v>1527</v>
      </c>
      <c r="E40" s="83" t="s">
        <v>1858</v>
      </c>
      <c r="F40" s="83"/>
      <c r="G40" s="120">
        <f t="array" ref="G40">SUMPRODUCT('A1.1 copy'!$M$2:$M$1001,IF('A1.1 copy'!$A$2:$A$1001=A40,1,0),IF('A1.1 copy'!$H$2:$H$1001=I40,1,0),IF('A1.1 copy'!$L$2:$L$1001=O40,1,0),IF('A1.1 copy'!$D$2:$D$1001=L40,1,0))</f>
        <v>205680.44999999995</v>
      </c>
      <c r="H40" s="117" t="s">
        <v>630</v>
      </c>
      <c r="I40" s="123" t="s">
        <v>1861</v>
      </c>
      <c r="J40" s="115" t="s">
        <v>620</v>
      </c>
      <c r="K40" t="s">
        <v>1877</v>
      </c>
      <c r="L40" s="227">
        <v>2022</v>
      </c>
      <c r="M40">
        <v>2022</v>
      </c>
      <c r="N40" t="str">
        <f t="shared" si="6"/>
        <v>DEFRA: Gasóleo: WTT: 2022:: l</v>
      </c>
      <c r="O40" t="str">
        <f t="shared" si="2"/>
        <v>Gasóleo</v>
      </c>
      <c r="P40">
        <f t="shared" si="3"/>
        <v>0</v>
      </c>
      <c r="Q40" s="227" t="s">
        <v>3499</v>
      </c>
      <c r="R40" s="227" t="s">
        <v>3500</v>
      </c>
      <c r="S40" t="s">
        <v>42</v>
      </c>
    </row>
    <row r="41" spans="1:19" ht="15.75" thickBot="1" x14ac:dyDescent="0.3">
      <c r="A41" s="137" t="s">
        <v>4587</v>
      </c>
      <c r="B41" s="137" t="s">
        <v>4587</v>
      </c>
      <c r="C41" s="137" t="s">
        <v>1950</v>
      </c>
      <c r="D41" s="115" t="s">
        <v>1527</v>
      </c>
      <c r="E41" s="83" t="s">
        <v>1858</v>
      </c>
      <c r="F41" s="83"/>
      <c r="G41" s="120">
        <f t="array" ref="G41">SUMPRODUCT('A1.1 copy'!$M$2:$M$1001,IF('A1.1 copy'!$A$2:$A$1001=A41,1,0),IF('A1.1 copy'!$H$2:$H$1001=I41,1,0),IF('A1.1 copy'!$L$2:$L$1001=O41,1,0),IF('A1.1 copy'!$D$2:$D$1001=L41,1,0))</f>
        <v>1931610.9300000009</v>
      </c>
      <c r="H41" s="117" t="s">
        <v>630</v>
      </c>
      <c r="I41" s="123" t="s">
        <v>1861</v>
      </c>
      <c r="J41" s="115" t="s">
        <v>620</v>
      </c>
      <c r="K41" t="s">
        <v>1877</v>
      </c>
      <c r="L41" s="227">
        <v>2022</v>
      </c>
      <c r="M41">
        <v>2022</v>
      </c>
      <c r="N41" t="str">
        <f t="shared" si="6"/>
        <v>DEFRA: Gasóleo: WTT: 2022:: l</v>
      </c>
      <c r="O41" t="str">
        <f t="shared" si="2"/>
        <v>Gasóleo</v>
      </c>
      <c r="P41">
        <f t="shared" si="3"/>
        <v>0</v>
      </c>
      <c r="Q41" s="227" t="s">
        <v>3499</v>
      </c>
      <c r="R41" s="227" t="s">
        <v>3500</v>
      </c>
      <c r="S41" t="s">
        <v>42</v>
      </c>
    </row>
    <row r="42" spans="1:19" ht="15.75" thickBot="1" x14ac:dyDescent="0.3">
      <c r="A42" s="137" t="s">
        <v>4588</v>
      </c>
      <c r="B42" s="137" t="s">
        <v>4588</v>
      </c>
      <c r="C42" s="137" t="str">
        <f>IF(A42=B42,"X",RIGHT(A42,LEN(A42)-LEN(B42)-3))</f>
        <v>X</v>
      </c>
      <c r="D42" s="115" t="s">
        <v>1527</v>
      </c>
      <c r="E42" s="83" t="s">
        <v>1858</v>
      </c>
      <c r="F42" s="83"/>
      <c r="G42" s="120">
        <f t="array" ref="G42">SUMPRODUCT('A1.1 copy'!$M$2:$M$1001,IF('A1.1 copy'!$A$2:$A$1001=A42,1,0),IF('A1.1 copy'!$H$2:$H$1001=I42,1,0),IF('A1.1 copy'!$L$2:$L$1001=O42,1,0),IF('A1.1 copy'!$D$2:$D$1001=L42,1,0))</f>
        <v>3544.9</v>
      </c>
      <c r="H42" s="117" t="s">
        <v>630</v>
      </c>
      <c r="I42" s="123" t="s">
        <v>1861</v>
      </c>
      <c r="J42" s="115" t="s">
        <v>620</v>
      </c>
      <c r="K42" t="s">
        <v>1877</v>
      </c>
      <c r="L42" s="227">
        <v>2022</v>
      </c>
      <c r="M42">
        <v>2022</v>
      </c>
      <c r="N42" t="str">
        <f t="shared" si="6"/>
        <v>DEFRA: Gasóleo: WTT: 2022:: l</v>
      </c>
      <c r="O42" t="str">
        <f t="shared" si="2"/>
        <v>Gasóleo</v>
      </c>
      <c r="P42">
        <f t="shared" si="3"/>
        <v>0</v>
      </c>
      <c r="Q42" s="227" t="s">
        <v>3499</v>
      </c>
      <c r="R42" s="227" t="s">
        <v>3500</v>
      </c>
      <c r="S42" t="s">
        <v>42</v>
      </c>
    </row>
    <row r="43" spans="1:19" ht="15.75" thickBot="1" x14ac:dyDescent="0.3">
      <c r="A43" s="137" t="s">
        <v>4591</v>
      </c>
      <c r="B43" s="137" t="s">
        <v>4591</v>
      </c>
      <c r="C43" s="137" t="s">
        <v>1950</v>
      </c>
      <c r="D43" s="115" t="s">
        <v>1527</v>
      </c>
      <c r="E43" s="83" t="s">
        <v>1858</v>
      </c>
      <c r="F43" s="83"/>
      <c r="G43" s="120">
        <f t="array" ref="G43">SUMPRODUCT('A1.1 copy'!$M$2:$M$1001,IF('A1.1 copy'!$A$2:$A$1001=A43,1,0),IF('A1.1 copy'!$H$2:$H$1001=I43,1,0),IF('A1.1 copy'!$L$2:$L$1001=O43,1,0),IF('A1.1 copy'!$D$2:$D$1001=L43,1,0))</f>
        <v>3299337.7099999995</v>
      </c>
      <c r="H43" s="117" t="s">
        <v>630</v>
      </c>
      <c r="I43" s="123" t="s">
        <v>1861</v>
      </c>
      <c r="J43" s="115" t="s">
        <v>620</v>
      </c>
      <c r="K43" t="s">
        <v>1877</v>
      </c>
      <c r="L43" s="227">
        <v>2022</v>
      </c>
      <c r="M43">
        <v>2022</v>
      </c>
      <c r="N43" t="str">
        <f t="shared" si="6"/>
        <v>DEFRA: Gasóleo: WTT: 2022:: l</v>
      </c>
      <c r="O43" t="str">
        <f t="shared" si="2"/>
        <v>Gasóleo</v>
      </c>
      <c r="P43">
        <f t="shared" si="3"/>
        <v>0</v>
      </c>
      <c r="Q43" s="227" t="s">
        <v>3499</v>
      </c>
      <c r="R43" s="227" t="s">
        <v>3500</v>
      </c>
      <c r="S43" t="s">
        <v>42</v>
      </c>
    </row>
    <row r="44" spans="1:19" ht="15.75" thickBot="1" x14ac:dyDescent="0.3">
      <c r="A44" s="137" t="s">
        <v>4590</v>
      </c>
      <c r="B44" s="137" t="s">
        <v>4590</v>
      </c>
      <c r="C44" s="137" t="str">
        <f t="shared" ref="C44:C51" si="7">IF(A44=B44,"X",RIGHT(A44,LEN(A44)-LEN(B44)-3))</f>
        <v>X</v>
      </c>
      <c r="D44" s="115" t="s">
        <v>1527</v>
      </c>
      <c r="E44" s="83" t="s">
        <v>1858</v>
      </c>
      <c r="F44" s="83"/>
      <c r="G44" s="120">
        <f t="array" ref="G44">SUMPRODUCT('A1.1 copy'!$M$2:$M$1001,IF('A1.1 copy'!$A$2:$A$1001=A44,1,0),IF('A1.1 copy'!$H$2:$H$1001=I44,1,0),IF('A1.1 copy'!$L$2:$L$1001=O44,1,0),IF('A1.1 copy'!$D$2:$D$1001=L44,1,0))</f>
        <v>5417773.4609999964</v>
      </c>
      <c r="H44" s="117" t="s">
        <v>630</v>
      </c>
      <c r="I44" s="123" t="s">
        <v>1861</v>
      </c>
      <c r="J44" s="115" t="s">
        <v>620</v>
      </c>
      <c r="K44" t="s">
        <v>1877</v>
      </c>
      <c r="L44" s="227">
        <v>2022</v>
      </c>
      <c r="M44">
        <v>2022</v>
      </c>
      <c r="N44" t="str">
        <f t="shared" si="6"/>
        <v>DEFRA: Gasóleo: WTT: 2022:: l</v>
      </c>
      <c r="O44" t="str">
        <f t="shared" si="2"/>
        <v>Gasóleo</v>
      </c>
      <c r="P44">
        <f t="shared" si="3"/>
        <v>0</v>
      </c>
      <c r="Q44" s="227" t="s">
        <v>3499</v>
      </c>
      <c r="R44" s="227" t="s">
        <v>3500</v>
      </c>
      <c r="S44" t="s">
        <v>42</v>
      </c>
    </row>
    <row r="45" spans="1:19" ht="15.75" thickBot="1" x14ac:dyDescent="0.3">
      <c r="A45" s="137" t="s">
        <v>2817</v>
      </c>
      <c r="B45" s="137" t="str">
        <f t="shared" ref="B45:B53" si="8">LEFT(A45,IFERROR(FIND(" - ",A45)-1,LEN(A45)))</f>
        <v>Isidoro Duarte, S.A.</v>
      </c>
      <c r="C45" s="137" t="str">
        <f t="shared" si="7"/>
        <v>X</v>
      </c>
      <c r="D45" s="115" t="s">
        <v>1527</v>
      </c>
      <c r="E45" s="83" t="s">
        <v>1858</v>
      </c>
      <c r="F45" s="83"/>
      <c r="G45" s="120">
        <f t="array" ref="G45">SUMPRODUCT('A1.1 copy'!$M$2:$M$1001,IF('A1.1 copy'!$A$2:$A$1001=A45,1,0),IF('A1.1 copy'!$H$2:$H$1001=I45,1,0),IF('A1.1 copy'!$L$2:$L$1001=O45,1,0),IF('A1.1 copy'!$D$2:$D$1001=L45,1,0))</f>
        <v>950961</v>
      </c>
      <c r="H45" s="117" t="s">
        <v>630</v>
      </c>
      <c r="I45" s="123" t="s">
        <v>1861</v>
      </c>
      <c r="J45" s="115" t="s">
        <v>620</v>
      </c>
      <c r="K45" t="s">
        <v>1877</v>
      </c>
      <c r="L45" s="227">
        <v>2022</v>
      </c>
      <c r="M45">
        <v>2022</v>
      </c>
      <c r="N45" t="str">
        <f t="shared" si="6"/>
        <v>DEFRA: Gasóleo: WTT: 2022:: l</v>
      </c>
      <c r="O45" t="str">
        <f t="shared" si="2"/>
        <v>Gasóleo</v>
      </c>
      <c r="P45">
        <f t="shared" si="3"/>
        <v>0</v>
      </c>
      <c r="Q45" s="227" t="s">
        <v>3499</v>
      </c>
      <c r="R45" s="227" t="s">
        <v>3500</v>
      </c>
      <c r="S45" t="s">
        <v>42</v>
      </c>
    </row>
    <row r="46" spans="1:19" ht="15.75" thickBot="1" x14ac:dyDescent="0.3">
      <c r="A46" s="137" t="s">
        <v>4589</v>
      </c>
      <c r="B46" s="137" t="s">
        <v>4589</v>
      </c>
      <c r="C46" s="137" t="str">
        <f t="shared" si="7"/>
        <v>X</v>
      </c>
      <c r="D46" s="115" t="s">
        <v>1527</v>
      </c>
      <c r="E46" s="83" t="s">
        <v>1858</v>
      </c>
      <c r="F46" s="83"/>
      <c r="G46" s="120">
        <f t="array" ref="G46">SUMPRODUCT('A1.1 copy'!$M$2:$M$1001,IF('A1.1 copy'!$A$2:$A$1001=A46,1,0),IF('A1.1 copy'!$H$2:$H$1001=I46,1,0),IF('A1.1 copy'!$L$2:$L$1001=O46,1,0),IF('A1.1 copy'!$D$2:$D$1001=L46,1,0))</f>
        <v>87425</v>
      </c>
      <c r="H46" s="117" t="s">
        <v>630</v>
      </c>
      <c r="I46" s="123" t="s">
        <v>1861</v>
      </c>
      <c r="J46" s="115" t="s">
        <v>620</v>
      </c>
      <c r="K46" t="s">
        <v>1877</v>
      </c>
      <c r="L46" s="227">
        <v>2022</v>
      </c>
      <c r="M46">
        <v>2022</v>
      </c>
      <c r="N46" t="str">
        <f t="shared" si="6"/>
        <v>DEFRA: Gasóleo: WTT: 2022:: l</v>
      </c>
      <c r="O46" t="str">
        <f t="shared" si="2"/>
        <v>Gasóleo</v>
      </c>
      <c r="P46">
        <f t="shared" si="3"/>
        <v>0</v>
      </c>
      <c r="Q46" s="227" t="s">
        <v>3499</v>
      </c>
      <c r="R46" s="227" t="s">
        <v>3500</v>
      </c>
      <c r="S46" t="s">
        <v>42</v>
      </c>
    </row>
    <row r="47" spans="1:19" ht="15.75" thickBot="1" x14ac:dyDescent="0.3">
      <c r="A47" s="137" t="s">
        <v>4592</v>
      </c>
      <c r="B47" s="137" t="s">
        <v>4592</v>
      </c>
      <c r="C47" s="137" t="str">
        <f t="shared" si="7"/>
        <v>X</v>
      </c>
      <c r="D47" s="115" t="s">
        <v>1527</v>
      </c>
      <c r="E47" s="83" t="s">
        <v>1858</v>
      </c>
      <c r="F47" s="83"/>
      <c r="G47" s="120">
        <f t="array" ref="G47">SUMPRODUCT('A1.1 copy'!$M$2:$M$1001,IF('A1.1 copy'!$A$2:$A$1001=A47,1,0),IF('A1.1 copy'!$H$2:$H$1001=I47,1,0),IF('A1.1 copy'!$L$2:$L$1001=O47,1,0),IF('A1.1 copy'!$D$2:$D$1001=L47,1,0))</f>
        <v>2809045.9</v>
      </c>
      <c r="H47" s="117" t="s">
        <v>630</v>
      </c>
      <c r="I47" s="123" t="s">
        <v>1861</v>
      </c>
      <c r="J47" s="115" t="s">
        <v>620</v>
      </c>
      <c r="K47" t="s">
        <v>1877</v>
      </c>
      <c r="L47" s="227">
        <v>2022</v>
      </c>
      <c r="M47">
        <v>2022</v>
      </c>
      <c r="N47" t="str">
        <f t="shared" si="6"/>
        <v>DEFRA: Gasóleo: WTT: 2022:: l</v>
      </c>
      <c r="O47" t="str">
        <f t="shared" si="2"/>
        <v>Gasóleo</v>
      </c>
      <c r="P47">
        <f t="shared" si="3"/>
        <v>0</v>
      </c>
      <c r="Q47" s="227" t="s">
        <v>3499</v>
      </c>
      <c r="R47" s="227" t="s">
        <v>3500</v>
      </c>
      <c r="S47" t="s">
        <v>42</v>
      </c>
    </row>
    <row r="48" spans="1:19" ht="15.75" thickBot="1" x14ac:dyDescent="0.3">
      <c r="A48" s="137" t="s">
        <v>4593</v>
      </c>
      <c r="B48" s="137" t="s">
        <v>4593</v>
      </c>
      <c r="C48" s="137" t="str">
        <f t="shared" si="7"/>
        <v>X</v>
      </c>
      <c r="D48" s="115" t="s">
        <v>1527</v>
      </c>
      <c r="E48" s="83" t="s">
        <v>1858</v>
      </c>
      <c r="F48" s="83"/>
      <c r="G48" s="120">
        <f t="array" ref="G48">SUMPRODUCT('A1.1 copy'!$M$2:$M$1001,IF('A1.1 copy'!$A$2:$A$1001=A48,1,0),IF('A1.1 copy'!$H$2:$H$1001=I48,1,0),IF('A1.1 copy'!$L$2:$L$1001=O48,1,0),IF('A1.1 copy'!$D$2:$D$1001=L48,1,0))</f>
        <v>2402062.9</v>
      </c>
      <c r="H48" s="117" t="s">
        <v>630</v>
      </c>
      <c r="I48" s="123" t="s">
        <v>1861</v>
      </c>
      <c r="J48" s="115" t="s">
        <v>620</v>
      </c>
      <c r="K48" t="s">
        <v>1877</v>
      </c>
      <c r="L48" s="227">
        <v>2022</v>
      </c>
      <c r="M48">
        <v>2022</v>
      </c>
      <c r="N48" t="str">
        <f t="shared" si="6"/>
        <v>DEFRA: Gasóleo: WTT: 2022:: l</v>
      </c>
      <c r="O48" t="str">
        <f t="shared" si="2"/>
        <v>Gasóleo</v>
      </c>
      <c r="P48">
        <f t="shared" si="3"/>
        <v>0</v>
      </c>
      <c r="Q48" s="227" t="s">
        <v>3499</v>
      </c>
      <c r="R48" s="227" t="s">
        <v>3500</v>
      </c>
      <c r="S48" t="s">
        <v>42</v>
      </c>
    </row>
    <row r="49" spans="1:19" ht="15.75" thickBot="1" x14ac:dyDescent="0.3">
      <c r="A49" s="137" t="s">
        <v>4594</v>
      </c>
      <c r="B49" s="137" t="s">
        <v>4594</v>
      </c>
      <c r="C49" s="137" t="str">
        <f t="shared" si="7"/>
        <v>X</v>
      </c>
      <c r="D49" s="115" t="s">
        <v>1527</v>
      </c>
      <c r="E49" s="83" t="s">
        <v>1858</v>
      </c>
      <c r="F49" s="83"/>
      <c r="G49" s="120">
        <f t="array" ref="G49">SUMPRODUCT('A1.1 copy'!$M$2:$M$1001,IF('A1.1 copy'!$A$2:$A$1001=A49,1,0),IF('A1.1 copy'!$H$2:$H$1001=I49,1,0),IF('A1.1 copy'!$L$2:$L$1001=O49,1,0),IF('A1.1 copy'!$D$2:$D$1001=L49,1,0))</f>
        <v>1564043.57</v>
      </c>
      <c r="H49" s="117" t="s">
        <v>630</v>
      </c>
      <c r="I49" s="123" t="s">
        <v>1861</v>
      </c>
      <c r="J49" s="115" t="s">
        <v>620</v>
      </c>
      <c r="K49" t="s">
        <v>1877</v>
      </c>
      <c r="L49" s="227">
        <v>2022</v>
      </c>
      <c r="M49">
        <v>2022</v>
      </c>
      <c r="N49" t="str">
        <f t="shared" si="6"/>
        <v>DEFRA: Gasóleo: WTT: 2022:: l</v>
      </c>
      <c r="O49" t="str">
        <f t="shared" si="2"/>
        <v>Gasóleo</v>
      </c>
      <c r="P49">
        <f t="shared" si="3"/>
        <v>0</v>
      </c>
      <c r="Q49" s="227" t="s">
        <v>3499</v>
      </c>
      <c r="R49" s="227" t="s">
        <v>3500</v>
      </c>
      <c r="S49" t="s">
        <v>42</v>
      </c>
    </row>
    <row r="50" spans="1:19" ht="15.75" thickBot="1" x14ac:dyDescent="0.3">
      <c r="A50" s="137" t="s">
        <v>4595</v>
      </c>
      <c r="B50" s="137" t="s">
        <v>4595</v>
      </c>
      <c r="C50" s="137" t="str">
        <f t="shared" si="7"/>
        <v>X</v>
      </c>
      <c r="D50" s="115" t="s">
        <v>1527</v>
      </c>
      <c r="E50" s="83" t="s">
        <v>1858</v>
      </c>
      <c r="F50" s="83"/>
      <c r="G50" s="120">
        <f t="array" ref="G50">SUMPRODUCT('A1.1 copy'!$M$2:$M$1001,IF('A1.1 copy'!$A$2:$A$1001=A50,1,0),IF('A1.1 copy'!$H$2:$H$1001=I50,1,0),IF('A1.1 copy'!$L$2:$L$1001=O50,1,0),IF('A1.1 copy'!$D$2:$D$1001=L50,1,0))</f>
        <v>1781986.2000000002</v>
      </c>
      <c r="H50" s="117" t="s">
        <v>630</v>
      </c>
      <c r="I50" s="123" t="s">
        <v>1861</v>
      </c>
      <c r="J50" s="115" t="s">
        <v>620</v>
      </c>
      <c r="K50" t="s">
        <v>1877</v>
      </c>
      <c r="L50" s="227">
        <v>2022</v>
      </c>
      <c r="M50">
        <v>2022</v>
      </c>
      <c r="N50" t="str">
        <f t="shared" si="6"/>
        <v>DEFRA: Gasóleo: WTT: 2022:: l</v>
      </c>
      <c r="O50" t="str">
        <f t="shared" si="2"/>
        <v>Gasóleo</v>
      </c>
      <c r="P50">
        <f t="shared" si="3"/>
        <v>0</v>
      </c>
      <c r="Q50" s="227" t="s">
        <v>3499</v>
      </c>
      <c r="R50" s="227" t="s">
        <v>3500</v>
      </c>
      <c r="S50" t="s">
        <v>42</v>
      </c>
    </row>
    <row r="51" spans="1:19" ht="15.75" thickBot="1" x14ac:dyDescent="0.3">
      <c r="A51" s="137" t="s">
        <v>4596</v>
      </c>
      <c r="B51" s="137" t="s">
        <v>4596</v>
      </c>
      <c r="C51" s="137" t="str">
        <f t="shared" si="7"/>
        <v>X</v>
      </c>
      <c r="D51" s="115" t="s">
        <v>1527</v>
      </c>
      <c r="E51" s="83" t="s">
        <v>1858</v>
      </c>
      <c r="F51" s="83"/>
      <c r="G51" s="120">
        <f t="array" ref="G51">SUMPRODUCT('A1.1 copy'!$M$2:$M$1001,IF('A1.1 copy'!$A$2:$A$1001=A51,1,0),IF('A1.1 copy'!$H$2:$H$1001=I51,1,0),IF('A1.1 copy'!$L$2:$L$1001=O51,1,0),IF('A1.1 copy'!$D$2:$D$1001=L51,1,0))</f>
        <v>0</v>
      </c>
      <c r="H51" s="117" t="s">
        <v>630</v>
      </c>
      <c r="I51" s="123" t="s">
        <v>1861</v>
      </c>
      <c r="J51" s="115" t="s">
        <v>620</v>
      </c>
      <c r="K51" t="s">
        <v>1877</v>
      </c>
      <c r="L51" s="227">
        <v>2022</v>
      </c>
      <c r="M51">
        <v>2022</v>
      </c>
      <c r="N51" t="str">
        <f t="shared" si="6"/>
        <v>DEFRA: Gasóleo: WTT: 2022:: l</v>
      </c>
      <c r="O51" t="str">
        <f t="shared" si="2"/>
        <v>Gasóleo</v>
      </c>
      <c r="P51">
        <f t="shared" si="3"/>
        <v>0</v>
      </c>
      <c r="Q51" s="227" t="s">
        <v>3499</v>
      </c>
      <c r="R51" s="227" t="s">
        <v>3500</v>
      </c>
      <c r="S51" t="s">
        <v>42</v>
      </c>
    </row>
    <row r="52" spans="1:19" ht="15.75" thickBot="1" x14ac:dyDescent="0.3">
      <c r="A52" s="137" t="s">
        <v>4597</v>
      </c>
      <c r="B52" s="137" t="s">
        <v>4597</v>
      </c>
      <c r="C52" s="137" t="s">
        <v>1950</v>
      </c>
      <c r="D52" s="115" t="s">
        <v>1527</v>
      </c>
      <c r="E52" s="83" t="s">
        <v>1858</v>
      </c>
      <c r="F52" s="83"/>
      <c r="G52" s="120">
        <f t="array" ref="G52">SUMPRODUCT('A1.1 copy'!$M$2:$M$1001,IF('A1.1 copy'!$A$2:$A$1001=A52,1,0),IF('A1.1 copy'!$H$2:$H$1001=I52,1,0),IF('A1.1 copy'!$L$2:$L$1001=O52,1,0),IF('A1.1 copy'!$D$2:$D$1001=L52,1,0))</f>
        <v>0</v>
      </c>
      <c r="H52" s="117" t="s">
        <v>630</v>
      </c>
      <c r="I52" s="123" t="s">
        <v>1861</v>
      </c>
      <c r="J52" s="115" t="s">
        <v>620</v>
      </c>
      <c r="K52" t="s">
        <v>1877</v>
      </c>
      <c r="L52" s="227">
        <v>2022</v>
      </c>
      <c r="M52">
        <v>2022</v>
      </c>
      <c r="N52" t="str">
        <f t="shared" si="6"/>
        <v>DEFRA: Gasóleo: WTT: 2022:: l</v>
      </c>
      <c r="O52" t="str">
        <f t="shared" si="2"/>
        <v>Gasóleo</v>
      </c>
      <c r="P52">
        <f t="shared" si="3"/>
        <v>0</v>
      </c>
      <c r="Q52" s="227" t="s">
        <v>3499</v>
      </c>
      <c r="R52" s="227" t="s">
        <v>3500</v>
      </c>
      <c r="S52" t="s">
        <v>42</v>
      </c>
    </row>
    <row r="53" spans="1:19" ht="15.75" thickBot="1" x14ac:dyDescent="0.3">
      <c r="A53" s="137" t="s">
        <v>1916</v>
      </c>
      <c r="B53" s="137" t="str">
        <f t="shared" si="8"/>
        <v>Rodoviária do Alentejo, S.A.</v>
      </c>
      <c r="C53" s="137" t="str">
        <f t="shared" ref="C53:C86" si="9">IF(A53=B53,"X",RIGHT(A53,LEN(A53)-LEN(B53)-3))</f>
        <v>X</v>
      </c>
      <c r="D53" s="115" t="s">
        <v>1527</v>
      </c>
      <c r="E53" s="83" t="s">
        <v>1858</v>
      </c>
      <c r="F53" s="83"/>
      <c r="G53" s="120">
        <f t="array" ref="G53">SUMPRODUCT('A1.1 copy'!$M$2:$M$1001,IF('A1.1 copy'!$A$2:$A$1001=A53,1,0),IF('A1.1 copy'!$H$2:$H$1001=I53,1,0),IF('A1.1 copy'!$L$2:$L$1001=O53,1,0),IF('A1.1 copy'!$D$2:$D$1001=L53,1,0))</f>
        <v>3879.17</v>
      </c>
      <c r="H53" s="117" t="s">
        <v>630</v>
      </c>
      <c r="I53" s="123" t="s">
        <v>1861</v>
      </c>
      <c r="J53" s="115" t="s">
        <v>1933</v>
      </c>
      <c r="K53" t="s">
        <v>1877</v>
      </c>
      <c r="L53" s="227">
        <v>2022</v>
      </c>
      <c r="M53">
        <v>2022</v>
      </c>
      <c r="N53" t="str">
        <f t="shared" si="6"/>
        <v>DEFRA: Gasolina: WTT: 2022:: l</v>
      </c>
      <c r="O53" t="str">
        <f t="shared" si="2"/>
        <v>Gasolina</v>
      </c>
      <c r="P53">
        <f t="shared" si="3"/>
        <v>0</v>
      </c>
      <c r="Q53" s="227" t="s">
        <v>3499</v>
      </c>
      <c r="R53" s="227" t="s">
        <v>3500</v>
      </c>
      <c r="S53" t="s">
        <v>42</v>
      </c>
    </row>
    <row r="54" spans="1:19" ht="15.75" thickBot="1" x14ac:dyDescent="0.3">
      <c r="A54" s="264" t="s">
        <v>1910</v>
      </c>
      <c r="B54" s="264" t="s">
        <v>1910</v>
      </c>
      <c r="C54" s="264" t="str">
        <f t="shared" si="9"/>
        <v>X</v>
      </c>
      <c r="D54" s="115" t="s">
        <v>588</v>
      </c>
      <c r="E54" s="83" t="s">
        <v>1859</v>
      </c>
      <c r="F54" s="83" t="s">
        <v>538</v>
      </c>
      <c r="G54" s="120">
        <f t="array" ref="G54">SUMPRODUCT(IF('A2 copy'!$A$2:$A$995=A54,1,0),'A2 copy'!$F$2:$F$995,IF('A2 copy'!$D$2:$D$995=L54,1,0),IF('A2 copy'!$E$2:$E$995=P54,1,0),IF('A2 copy'!$G$2:$G$995=I54,1,0))</f>
        <v>760516.7</v>
      </c>
      <c r="H54" s="85" t="s">
        <v>589</v>
      </c>
      <c r="I54" s="123" t="s">
        <v>589</v>
      </c>
      <c r="J54" s="83" t="s">
        <v>1879</v>
      </c>
      <c r="K54" t="s">
        <v>1874</v>
      </c>
      <c r="L54" s="227">
        <v>2022</v>
      </c>
      <c r="M54">
        <v>2021</v>
      </c>
      <c r="N54" t="str">
        <f t="shared" si="6"/>
        <v>AIE: Eléctrica: Perdas Rede SEN: Portugal: 2021:: kWh</v>
      </c>
      <c r="O54" t="str">
        <f t="shared" si="2"/>
        <v>Eléctrica</v>
      </c>
      <c r="P54" t="str">
        <f t="shared" si="3"/>
        <v>GALP</v>
      </c>
      <c r="Q54" s="227" t="s">
        <v>3499</v>
      </c>
      <c r="R54" s="227" t="s">
        <v>3500</v>
      </c>
      <c r="S54" t="s">
        <v>42</v>
      </c>
    </row>
    <row r="55" spans="1:19" ht="15.75" thickBot="1" x14ac:dyDescent="0.3">
      <c r="A55" s="264" t="s">
        <v>1912</v>
      </c>
      <c r="B55" s="264" t="s">
        <v>1912</v>
      </c>
      <c r="C55" s="264" t="str">
        <f t="shared" si="9"/>
        <v>X</v>
      </c>
      <c r="D55" s="115" t="s">
        <v>588</v>
      </c>
      <c r="E55" s="83" t="s">
        <v>1859</v>
      </c>
      <c r="F55" s="83" t="s">
        <v>538</v>
      </c>
      <c r="G55" s="120">
        <f t="array" ref="G55">SUMPRODUCT(IF('A2 copy'!$A$2:$A$995=A55,1,0),'A2 copy'!$F$2:$F$995,IF('A2 copy'!$D$2:$D$995=L55,1,0),IF('A2 copy'!$E$2:$E$995=P55,1,0),IF('A2 copy'!$G$2:$G$995=I55,1,0))</f>
        <v>29470.5</v>
      </c>
      <c r="H55" s="85" t="s">
        <v>589</v>
      </c>
      <c r="I55" s="123" t="s">
        <v>589</v>
      </c>
      <c r="J55" s="83" t="s">
        <v>1879</v>
      </c>
      <c r="K55" t="s">
        <v>1874</v>
      </c>
      <c r="L55" s="227">
        <v>2022</v>
      </c>
      <c r="M55">
        <v>2021</v>
      </c>
      <c r="N55" t="str">
        <f t="shared" si="6"/>
        <v>AIE: Eléctrica: Perdas Rede SEN: Portugal: 2021:: kWh</v>
      </c>
      <c r="O55" t="str">
        <f t="shared" si="2"/>
        <v>Eléctrica</v>
      </c>
      <c r="P55" t="str">
        <f t="shared" si="3"/>
        <v>GALP</v>
      </c>
      <c r="Q55" s="227" t="s">
        <v>3499</v>
      </c>
      <c r="R55" s="227" t="s">
        <v>3500</v>
      </c>
      <c r="S55" t="s">
        <v>42</v>
      </c>
    </row>
    <row r="56" spans="1:19" ht="15.75" thickBot="1" x14ac:dyDescent="0.3">
      <c r="A56" s="264" t="s">
        <v>1915</v>
      </c>
      <c r="B56" s="264" t="s">
        <v>1915</v>
      </c>
      <c r="C56" s="264" t="str">
        <f t="shared" si="9"/>
        <v>X</v>
      </c>
      <c r="D56" s="115" t="s">
        <v>588</v>
      </c>
      <c r="E56" s="83" t="s">
        <v>1859</v>
      </c>
      <c r="F56" s="83" t="s">
        <v>538</v>
      </c>
      <c r="G56" s="120">
        <f t="array" ref="G56">SUMPRODUCT(IF('A2 copy'!$A$2:$A$995=A56,1,0),'A2 copy'!$F$2:$F$995,IF('A2 copy'!$D$2:$D$995=L56,1,0),IF('A2 copy'!$E$2:$E$995=P56,1,0),IF('A2 copy'!$G$2:$G$995=I56,1,0))</f>
        <v>342144</v>
      </c>
      <c r="H56" s="85" t="s">
        <v>589</v>
      </c>
      <c r="I56" s="123" t="s">
        <v>589</v>
      </c>
      <c r="J56" s="83" t="s">
        <v>1879</v>
      </c>
      <c r="K56" t="s">
        <v>1874</v>
      </c>
      <c r="L56" s="227">
        <v>2022</v>
      </c>
      <c r="M56">
        <v>2021</v>
      </c>
      <c r="N56" t="str">
        <f t="shared" si="6"/>
        <v>AIE: Eléctrica: Perdas Rede SEN: Portugal: 2021:: kWh</v>
      </c>
      <c r="O56" t="str">
        <f t="shared" si="2"/>
        <v>Eléctrica</v>
      </c>
      <c r="P56" t="str">
        <f t="shared" si="3"/>
        <v>GALP</v>
      </c>
      <c r="Q56" s="227" t="s">
        <v>3499</v>
      </c>
      <c r="R56" s="227" t="s">
        <v>3500</v>
      </c>
      <c r="S56" t="s">
        <v>42</v>
      </c>
    </row>
    <row r="57" spans="1:19" ht="15.75" thickBot="1" x14ac:dyDescent="0.3">
      <c r="A57" s="264" t="s">
        <v>1916</v>
      </c>
      <c r="B57" s="264" t="s">
        <v>1916</v>
      </c>
      <c r="C57" s="264" t="str">
        <f t="shared" si="9"/>
        <v>X</v>
      </c>
      <c r="D57" s="115" t="s">
        <v>588</v>
      </c>
      <c r="E57" s="83" t="s">
        <v>1859</v>
      </c>
      <c r="F57" s="83" t="s">
        <v>538</v>
      </c>
      <c r="G57" s="120">
        <f t="array" ref="G57">SUMPRODUCT(IF('A2 copy'!$A$2:$A$995=A57,1,0),'A2 copy'!$F$2:$F$995,IF('A2 copy'!$D$2:$D$995=L57,1,0),IF('A2 copy'!$E$2:$E$995=P57,1,0),IF('A2 copy'!$G$2:$G$995=I57,1,0))</f>
        <v>367488</v>
      </c>
      <c r="H57" s="85" t="s">
        <v>589</v>
      </c>
      <c r="I57" s="123" t="s">
        <v>589</v>
      </c>
      <c r="J57" s="83" t="s">
        <v>1879</v>
      </c>
      <c r="K57" t="s">
        <v>1874</v>
      </c>
      <c r="L57" s="227">
        <v>2022</v>
      </c>
      <c r="M57">
        <v>2021</v>
      </c>
      <c r="N57" t="str">
        <f t="shared" si="6"/>
        <v>AIE: Eléctrica: Perdas Rede SEN: Portugal: 2021:: kWh</v>
      </c>
      <c r="O57" t="str">
        <f t="shared" si="2"/>
        <v>Eléctrica</v>
      </c>
      <c r="P57" t="str">
        <f t="shared" si="3"/>
        <v>GALP</v>
      </c>
      <c r="Q57" s="227" t="s">
        <v>3499</v>
      </c>
      <c r="R57" s="227" t="s">
        <v>3500</v>
      </c>
      <c r="S57" t="s">
        <v>42</v>
      </c>
    </row>
    <row r="58" spans="1:19" ht="15.75" thickBot="1" x14ac:dyDescent="0.3">
      <c r="A58" s="264" t="s">
        <v>4583</v>
      </c>
      <c r="B58" s="264" t="s">
        <v>4583</v>
      </c>
      <c r="C58" s="264" t="str">
        <f t="shared" si="9"/>
        <v>X</v>
      </c>
      <c r="D58" s="115" t="s">
        <v>588</v>
      </c>
      <c r="E58" s="83" t="s">
        <v>1859</v>
      </c>
      <c r="F58" s="83" t="s">
        <v>538</v>
      </c>
      <c r="G58" s="120">
        <f t="array" ref="G58">SUMPRODUCT(IF('A2 copy'!$A$2:$A$995=A58,1,0),'A2 copy'!$F$2:$F$995,IF('A2 copy'!$D$2:$D$995=L58,1,0),IF('A2 copy'!$E$2:$E$995=P58,1,0),IF('A2 copy'!$G$2:$G$995=I58,1,0))</f>
        <v>764498.36128675716</v>
      </c>
      <c r="H58" s="85" t="s">
        <v>589</v>
      </c>
      <c r="I58" s="123" t="s">
        <v>589</v>
      </c>
      <c r="J58" s="83" t="s">
        <v>1879</v>
      </c>
      <c r="K58" t="s">
        <v>1874</v>
      </c>
      <c r="L58" s="227">
        <v>2022</v>
      </c>
      <c r="M58">
        <v>2021</v>
      </c>
      <c r="N58" t="str">
        <f t="shared" si="6"/>
        <v>AIE: Eléctrica: Perdas Rede SEN: Portugal: 2021:: kWh</v>
      </c>
      <c r="O58" t="str">
        <f t="shared" si="2"/>
        <v>Eléctrica</v>
      </c>
      <c r="P58" t="str">
        <f t="shared" si="3"/>
        <v>GALP</v>
      </c>
      <c r="Q58" s="227" t="s">
        <v>3499</v>
      </c>
      <c r="R58" s="227" t="s">
        <v>3500</v>
      </c>
      <c r="S58" t="s">
        <v>42</v>
      </c>
    </row>
    <row r="59" spans="1:19" ht="15.75" thickBot="1" x14ac:dyDescent="0.3">
      <c r="A59" s="264" t="s">
        <v>4584</v>
      </c>
      <c r="B59" s="264" t="s">
        <v>4584</v>
      </c>
      <c r="C59" s="264" t="str">
        <f t="shared" si="9"/>
        <v>X</v>
      </c>
      <c r="D59" s="115" t="s">
        <v>588</v>
      </c>
      <c r="E59" s="83" t="s">
        <v>1859</v>
      </c>
      <c r="F59" s="83" t="s">
        <v>538</v>
      </c>
      <c r="G59" s="120">
        <f t="array" ref="G59">SUMPRODUCT(IF('A2 copy'!$A$2:$A$995=A59,1,0),'A2 copy'!$F$2:$F$995,IF('A2 copy'!$D$2:$D$995=L59,1,0),IF('A2 copy'!$E$2:$E$995=P59,1,0),IF('A2 copy'!$G$2:$G$995=I59,1,0))</f>
        <v>52838.428859768654</v>
      </c>
      <c r="H59" s="85" t="s">
        <v>589</v>
      </c>
      <c r="I59" s="123" t="s">
        <v>589</v>
      </c>
      <c r="J59" s="83" t="s">
        <v>1879</v>
      </c>
      <c r="K59" t="s">
        <v>1874</v>
      </c>
      <c r="L59" s="227">
        <v>2022</v>
      </c>
      <c r="M59">
        <v>2021</v>
      </c>
      <c r="N59" t="str">
        <f t="shared" si="6"/>
        <v>AIE: Eléctrica: Perdas Rede SEN: Portugal: 2021:: kWh</v>
      </c>
      <c r="O59" t="str">
        <f t="shared" si="2"/>
        <v>Eléctrica</v>
      </c>
      <c r="P59" t="str">
        <f t="shared" si="3"/>
        <v>GALP</v>
      </c>
      <c r="Q59" s="227" t="s">
        <v>3499</v>
      </c>
      <c r="R59" s="227" t="s">
        <v>3500</v>
      </c>
      <c r="S59" t="s">
        <v>42</v>
      </c>
    </row>
    <row r="60" spans="1:19" ht="15.75" thickBot="1" x14ac:dyDescent="0.3">
      <c r="A60" s="264" t="s">
        <v>3475</v>
      </c>
      <c r="B60" s="264" t="s">
        <v>3475</v>
      </c>
      <c r="C60" s="264" t="str">
        <f t="shared" si="9"/>
        <v>X</v>
      </c>
      <c r="D60" s="115" t="s">
        <v>588</v>
      </c>
      <c r="E60" s="83" t="s">
        <v>1859</v>
      </c>
      <c r="F60" s="83" t="s">
        <v>538</v>
      </c>
      <c r="G60" s="120">
        <f t="array" ref="G60">SUMPRODUCT(IF('A2 copy'!$A$2:$A$995=A60,1,0),'A2 copy'!$F$2:$F$995,IF('A2 copy'!$D$2:$D$995=L60,1,0),IF('A2 copy'!$E$2:$E$995=P60,1,0),IF('A2 copy'!$G$2:$G$995=I60,1,0))</f>
        <v>56619.841628353337</v>
      </c>
      <c r="H60" s="85" t="s">
        <v>589</v>
      </c>
      <c r="I60" s="123" t="s">
        <v>589</v>
      </c>
      <c r="J60" s="83" t="s">
        <v>1879</v>
      </c>
      <c r="K60" t="s">
        <v>1874</v>
      </c>
      <c r="L60" s="227">
        <v>2022</v>
      </c>
      <c r="M60">
        <v>2021</v>
      </c>
      <c r="N60" t="str">
        <f t="shared" si="6"/>
        <v>AIE: Eléctrica: Perdas Rede SEN: Portugal: 2021:: kWh</v>
      </c>
      <c r="O60" t="str">
        <f t="shared" si="2"/>
        <v>Eléctrica</v>
      </c>
      <c r="P60" t="str">
        <f t="shared" si="3"/>
        <v>GALP</v>
      </c>
      <c r="Q60" s="227" t="s">
        <v>3499</v>
      </c>
      <c r="R60" s="227" t="s">
        <v>3500</v>
      </c>
      <c r="S60" t="s">
        <v>42</v>
      </c>
    </row>
    <row r="61" spans="1:19" ht="15.75" thickBot="1" x14ac:dyDescent="0.3">
      <c r="A61" s="264" t="s">
        <v>4591</v>
      </c>
      <c r="B61" s="264" t="s">
        <v>4591</v>
      </c>
      <c r="C61" s="264" t="str">
        <f t="shared" si="9"/>
        <v>X</v>
      </c>
      <c r="D61" s="115" t="s">
        <v>588</v>
      </c>
      <c r="E61" s="83" t="s">
        <v>1859</v>
      </c>
      <c r="F61" s="263" t="s">
        <v>538</v>
      </c>
      <c r="G61" s="120">
        <f t="array" ref="G61">SUMPRODUCT(IF('A2 copy'!$A$2:$A$995=A61,1,0),'A2 copy'!$F$2:$F$995,IF('A2 copy'!$D$2:$D$995=L61,1,0),IF('A2 copy'!$E$2:$E$995=P61,1,0),IF('A2 copy'!$G$2:$G$995=I61,1,0))</f>
        <v>55846</v>
      </c>
      <c r="H61" s="85" t="s">
        <v>589</v>
      </c>
      <c r="I61" s="123" t="s">
        <v>589</v>
      </c>
      <c r="J61" s="83" t="s">
        <v>1879</v>
      </c>
      <c r="K61" t="s">
        <v>1874</v>
      </c>
      <c r="L61" s="227">
        <v>2022</v>
      </c>
      <c r="M61">
        <v>2021</v>
      </c>
      <c r="N61" t="str">
        <f t="shared" si="6"/>
        <v>AIE: Eléctrica: Perdas Rede SEN: Portugal: 2021:: kWh</v>
      </c>
      <c r="O61" t="str">
        <f t="shared" si="2"/>
        <v>Eléctrica</v>
      </c>
      <c r="P61" t="str">
        <f t="shared" si="3"/>
        <v>GALP</v>
      </c>
      <c r="Q61" s="227" t="s">
        <v>3499</v>
      </c>
      <c r="R61" s="227" t="s">
        <v>3500</v>
      </c>
      <c r="S61" t="s">
        <v>42</v>
      </c>
    </row>
    <row r="62" spans="1:19" ht="15.75" thickBot="1" x14ac:dyDescent="0.3">
      <c r="A62" s="264" t="s">
        <v>4590</v>
      </c>
      <c r="B62" s="264" t="s">
        <v>4590</v>
      </c>
      <c r="C62" s="264" t="str">
        <f t="shared" si="9"/>
        <v>X</v>
      </c>
      <c r="D62" s="115" t="s">
        <v>588</v>
      </c>
      <c r="E62" s="83" t="s">
        <v>1859</v>
      </c>
      <c r="F62" s="83" t="s">
        <v>538</v>
      </c>
      <c r="G62" s="120">
        <f t="array" ref="G62">SUMPRODUCT(IF('A2 copy'!$A$2:$A$995=A62,1,0),'A2 copy'!$F$2:$F$995,IF('A2 copy'!$D$2:$D$995=L62,1,0),IF('A2 copy'!$E$2:$E$995=P62,1,0),IF('A2 copy'!$G$2:$G$995=I62,1,0))</f>
        <v>501470</v>
      </c>
      <c r="H62" s="85" t="s">
        <v>589</v>
      </c>
      <c r="I62" s="123" t="s">
        <v>589</v>
      </c>
      <c r="J62" s="83" t="s">
        <v>1879</v>
      </c>
      <c r="K62" t="s">
        <v>1874</v>
      </c>
      <c r="L62" s="227">
        <v>2022</v>
      </c>
      <c r="M62">
        <v>2021</v>
      </c>
      <c r="N62" t="str">
        <f t="shared" si="6"/>
        <v>AIE: Eléctrica: Perdas Rede SEN: Portugal: 2021:: kWh</v>
      </c>
      <c r="O62" t="str">
        <f t="shared" si="2"/>
        <v>Eléctrica</v>
      </c>
      <c r="P62" t="str">
        <f t="shared" si="3"/>
        <v>GALP</v>
      </c>
      <c r="Q62" s="227" t="s">
        <v>3499</v>
      </c>
      <c r="R62" s="227" t="s">
        <v>3500</v>
      </c>
      <c r="S62" t="s">
        <v>42</v>
      </c>
    </row>
    <row r="63" spans="1:19" ht="15.75" thickBot="1" x14ac:dyDescent="0.3">
      <c r="A63" s="264" t="s">
        <v>4606</v>
      </c>
      <c r="B63" s="264" t="s">
        <v>4606</v>
      </c>
      <c r="C63" s="264" t="str">
        <f t="shared" si="9"/>
        <v>X</v>
      </c>
      <c r="D63" s="115" t="s">
        <v>588</v>
      </c>
      <c r="E63" s="83" t="s">
        <v>1859</v>
      </c>
      <c r="F63" s="83" t="s">
        <v>2939</v>
      </c>
      <c r="G63" s="120">
        <f t="array" ref="G63">SUMPRODUCT(IF('A2 copy'!$A$2:$A$995=A63,1,0),'A2 copy'!$F$2:$F$995,IF('A2 copy'!$D$2:$D$995=L63,1,0),IF('A2 copy'!$E$2:$E$995=P63,1,0),IF('A2 copy'!$G$2:$G$995=I63,1,0))</f>
        <v>16383</v>
      </c>
      <c r="H63" s="85" t="s">
        <v>589</v>
      </c>
      <c r="I63" s="123" t="s">
        <v>589</v>
      </c>
      <c r="J63" s="83" t="s">
        <v>1879</v>
      </c>
      <c r="K63" t="s">
        <v>1874</v>
      </c>
      <c r="L63" s="227">
        <v>2022</v>
      </c>
      <c r="M63">
        <v>2021</v>
      </c>
      <c r="N63" t="str">
        <f t="shared" si="6"/>
        <v>AIE: Eléctrica: Perdas Rede SEN: Portugal: 2021:: kWh</v>
      </c>
      <c r="O63" t="str">
        <f t="shared" si="2"/>
        <v>Eléctrica</v>
      </c>
      <c r="P63" t="s">
        <v>2935</v>
      </c>
      <c r="Q63" s="227" t="s">
        <v>3499</v>
      </c>
      <c r="R63" s="227" t="s">
        <v>3500</v>
      </c>
      <c r="S63" t="s">
        <v>42</v>
      </c>
    </row>
    <row r="64" spans="1:19" ht="15.75" thickBot="1" x14ac:dyDescent="0.3">
      <c r="A64" s="264" t="s">
        <v>2817</v>
      </c>
      <c r="B64" s="264" t="s">
        <v>2817</v>
      </c>
      <c r="C64" s="264" t="str">
        <f t="shared" si="9"/>
        <v>X</v>
      </c>
      <c r="D64" s="115" t="s">
        <v>588</v>
      </c>
      <c r="E64" s="83" t="s">
        <v>1859</v>
      </c>
      <c r="F64" s="83" t="s">
        <v>538</v>
      </c>
      <c r="G64" s="120">
        <f t="array" ref="G64">SUMPRODUCT(IF('A2 copy'!$A$2:$A$995=A64,1,0),'A2 copy'!$F$2:$F$995,IF('A2 copy'!$D$2:$D$995=L64,1,0),IF('A2 copy'!$E$2:$E$995=P64,1,0),IF('A2 copy'!$G$2:$G$995=I64,1,0))</f>
        <v>111285</v>
      </c>
      <c r="H64" s="85" t="s">
        <v>589</v>
      </c>
      <c r="I64" s="123" t="s">
        <v>589</v>
      </c>
      <c r="J64" s="83" t="s">
        <v>1879</v>
      </c>
      <c r="K64" t="s">
        <v>1874</v>
      </c>
      <c r="L64" s="227">
        <v>2022</v>
      </c>
      <c r="M64">
        <v>2021</v>
      </c>
      <c r="N64" t="str">
        <f t="shared" si="6"/>
        <v>AIE: Eléctrica: Perdas Rede SEN: Portugal: 2021:: kWh</v>
      </c>
      <c r="O64" t="str">
        <f t="shared" si="2"/>
        <v>Eléctrica</v>
      </c>
      <c r="P64" t="str">
        <f t="shared" si="3"/>
        <v>GALP</v>
      </c>
      <c r="Q64" s="227" t="s">
        <v>3499</v>
      </c>
      <c r="R64" s="227" t="s">
        <v>3500</v>
      </c>
      <c r="S64" t="s">
        <v>42</v>
      </c>
    </row>
    <row r="65" spans="1:19" ht="15.75" thickBot="1" x14ac:dyDescent="0.3">
      <c r="A65" s="264" t="s">
        <v>2868</v>
      </c>
      <c r="B65" s="264" t="s">
        <v>2868</v>
      </c>
      <c r="C65" s="264" t="str">
        <f t="shared" si="9"/>
        <v>X</v>
      </c>
      <c r="D65" s="115" t="s">
        <v>588</v>
      </c>
      <c r="E65" s="83" t="s">
        <v>1859</v>
      </c>
      <c r="F65" s="83" t="s">
        <v>2939</v>
      </c>
      <c r="G65" s="120">
        <f t="array" ref="G65">SUMPRODUCT(IF('A2 copy'!$A$2:$A$995=A65,1,0),'A2 copy'!$F$2:$F$995,IF('A2 copy'!$D$2:$D$995=L65,1,0),IF('A2 copy'!$E$2:$E$995=P65,1,0),IF('A2 copy'!$G$2:$G$995=I65,1,0))</f>
        <v>23150</v>
      </c>
      <c r="H65" s="85" t="s">
        <v>589</v>
      </c>
      <c r="I65" s="123" t="s">
        <v>589</v>
      </c>
      <c r="J65" s="83" t="s">
        <v>1879</v>
      </c>
      <c r="K65" t="s">
        <v>1874</v>
      </c>
      <c r="L65" s="227">
        <v>2022</v>
      </c>
      <c r="M65">
        <v>2021</v>
      </c>
      <c r="N65" t="str">
        <f t="shared" si="6"/>
        <v>AIE: Eléctrica: Perdas Rede SEN: Portugal: 2021:: kWh</v>
      </c>
      <c r="O65" t="str">
        <f t="shared" si="2"/>
        <v>Eléctrica</v>
      </c>
      <c r="P65" t="s">
        <v>2935</v>
      </c>
      <c r="Q65" s="227" t="s">
        <v>3499</v>
      </c>
      <c r="R65" s="227" t="s">
        <v>3500</v>
      </c>
      <c r="S65" t="s">
        <v>42</v>
      </c>
    </row>
    <row r="66" spans="1:19" ht="15.75" thickBot="1" x14ac:dyDescent="0.3">
      <c r="A66" s="264" t="s">
        <v>4592</v>
      </c>
      <c r="B66" s="264" t="s">
        <v>4592</v>
      </c>
      <c r="C66" s="264" t="str">
        <f t="shared" si="9"/>
        <v>X</v>
      </c>
      <c r="D66" s="115" t="s">
        <v>588</v>
      </c>
      <c r="E66" s="83" t="s">
        <v>1859</v>
      </c>
      <c r="F66" s="83" t="s">
        <v>2939</v>
      </c>
      <c r="G66" s="120">
        <f t="array" ref="G66">SUMPRODUCT(IF('A2 copy'!$A$2:$A$995=A66,1,0),'A2 copy'!$F$2:$F$995,IF('A2 copy'!$D$2:$D$995=L66,1,0),IF('A2 copy'!$E$2:$E$995=P66,1,0),IF('A2 copy'!$G$2:$G$995=I66,1,0))</f>
        <v>0</v>
      </c>
      <c r="H66" s="85" t="s">
        <v>589</v>
      </c>
      <c r="I66" s="123" t="s">
        <v>589</v>
      </c>
      <c r="J66" s="83" t="s">
        <v>1879</v>
      </c>
      <c r="K66" t="s">
        <v>1874</v>
      </c>
      <c r="L66" s="227">
        <v>2022</v>
      </c>
      <c r="M66">
        <v>2021</v>
      </c>
      <c r="N66" t="str">
        <f t="shared" si="6"/>
        <v>AIE: Eléctrica: Perdas Rede SEN: Portugal: 2021:: kWh</v>
      </c>
      <c r="O66" t="str">
        <f t="shared" si="2"/>
        <v>Eléctrica</v>
      </c>
      <c r="P66" t="s">
        <v>2935</v>
      </c>
      <c r="Q66" s="227" t="s">
        <v>3499</v>
      </c>
      <c r="R66" s="227" t="s">
        <v>3500</v>
      </c>
      <c r="S66" t="s">
        <v>42</v>
      </c>
    </row>
    <row r="67" spans="1:19" ht="15.75" thickBot="1" x14ac:dyDescent="0.3">
      <c r="A67" s="264" t="s">
        <v>4592</v>
      </c>
      <c r="B67" s="264" t="s">
        <v>4592</v>
      </c>
      <c r="C67" s="264" t="str">
        <f t="shared" si="9"/>
        <v>X</v>
      </c>
      <c r="D67" s="115" t="s">
        <v>588</v>
      </c>
      <c r="E67" s="83" t="s">
        <v>1859</v>
      </c>
      <c r="F67" s="83" t="s">
        <v>2937</v>
      </c>
      <c r="G67" s="120">
        <f t="array" ref="G67">SUMPRODUCT(IF('A2 copy'!$A$2:$A$995=A67,1,0),'A2 copy'!$F$2:$F$995,IF('A2 copy'!$D$2:$D$995=L67,1,0),IF('A2 copy'!$E$2:$E$995=P67,1,0),IF('A2 copy'!$G$2:$G$995=I67,1,0))</f>
        <v>84822</v>
      </c>
      <c r="H67" s="85" t="s">
        <v>589</v>
      </c>
      <c r="I67" s="123" t="s">
        <v>589</v>
      </c>
      <c r="J67" s="83" t="s">
        <v>1879</v>
      </c>
      <c r="K67" t="s">
        <v>1874</v>
      </c>
      <c r="L67" s="227">
        <v>2022</v>
      </c>
      <c r="M67">
        <v>2021</v>
      </c>
      <c r="N67" t="str">
        <f t="shared" si="6"/>
        <v>AIE: Eléctrica: Perdas Rede SEN: Portugal: 2021:: kWh</v>
      </c>
      <c r="O67" t="str">
        <f t="shared" si="2"/>
        <v>Eléctrica</v>
      </c>
      <c r="P67" t="str">
        <f t="shared" si="3"/>
        <v>Naturgy</v>
      </c>
      <c r="Q67" s="227" t="s">
        <v>3499</v>
      </c>
      <c r="R67" s="227" t="s">
        <v>3500</v>
      </c>
      <c r="S67" t="s">
        <v>42</v>
      </c>
    </row>
    <row r="68" spans="1:19" ht="15.75" thickBot="1" x14ac:dyDescent="0.3">
      <c r="A68" s="264" t="s">
        <v>4593</v>
      </c>
      <c r="B68" s="264" t="s">
        <v>4593</v>
      </c>
      <c r="C68" s="264" t="str">
        <f t="shared" si="9"/>
        <v>X</v>
      </c>
      <c r="D68" s="115" t="s">
        <v>588</v>
      </c>
      <c r="E68" s="83" t="s">
        <v>1859</v>
      </c>
      <c r="F68" s="83" t="s">
        <v>2939</v>
      </c>
      <c r="G68" s="120">
        <f t="array" ref="G68">SUMPRODUCT(IF('A2 copy'!$A$2:$A$995=A68,1,0),'A2 copy'!$F$2:$F$995,IF('A2 copy'!$D$2:$D$995=L68,1,0),IF('A2 copy'!$E$2:$E$995=P68,1,0),IF('A2 copy'!$G$2:$G$995=I68,1,0))</f>
        <v>164544</v>
      </c>
      <c r="H68" s="85" t="s">
        <v>589</v>
      </c>
      <c r="I68" s="123" t="s">
        <v>589</v>
      </c>
      <c r="J68" s="83" t="s">
        <v>1879</v>
      </c>
      <c r="K68" t="s">
        <v>1874</v>
      </c>
      <c r="L68" s="227">
        <v>2022</v>
      </c>
      <c r="M68">
        <v>2021</v>
      </c>
      <c r="N68" t="str">
        <f t="shared" si="6"/>
        <v>AIE: Eléctrica: Perdas Rede SEN: Portugal: 2021:: kWh</v>
      </c>
      <c r="O68" t="str">
        <f t="shared" ref="O68:O81" si="10">J68</f>
        <v>Eléctrica</v>
      </c>
      <c r="P68" t="s">
        <v>2935</v>
      </c>
      <c r="Q68" s="227" t="s">
        <v>3499</v>
      </c>
      <c r="R68" s="227" t="s">
        <v>3500</v>
      </c>
      <c r="S68" t="s">
        <v>42</v>
      </c>
    </row>
    <row r="69" spans="1:19" ht="15.75" thickBot="1" x14ac:dyDescent="0.3">
      <c r="A69" s="264" t="s">
        <v>4594</v>
      </c>
      <c r="B69" s="264" t="s">
        <v>4594</v>
      </c>
      <c r="C69" s="264" t="str">
        <f t="shared" si="9"/>
        <v>X</v>
      </c>
      <c r="D69" s="115" t="s">
        <v>588</v>
      </c>
      <c r="E69" s="83" t="s">
        <v>1859</v>
      </c>
      <c r="F69" s="83" t="s">
        <v>2939</v>
      </c>
      <c r="G69" s="120">
        <f t="array" ref="G69">SUMPRODUCT(IF('A2 copy'!$A$2:$A$995=A69,1,0),'A2 copy'!$F$2:$F$995,IF('A2 copy'!$D$2:$D$995=L69,1,0),IF('A2 copy'!$E$2:$E$995=P69,1,0),IF('A2 copy'!$G$2:$G$995=I69,1,0))</f>
        <v>146707</v>
      </c>
      <c r="H69" s="85" t="s">
        <v>589</v>
      </c>
      <c r="I69" s="123" t="s">
        <v>589</v>
      </c>
      <c r="J69" s="83" t="s">
        <v>1879</v>
      </c>
      <c r="K69" t="s">
        <v>1874</v>
      </c>
      <c r="L69" s="227">
        <v>2022</v>
      </c>
      <c r="M69">
        <v>2021</v>
      </c>
      <c r="N69" t="str">
        <f t="shared" si="6"/>
        <v>AIE: Eléctrica: Perdas Rede SEN: Portugal: 2021:: kWh</v>
      </c>
      <c r="O69" t="str">
        <f t="shared" si="10"/>
        <v>Eléctrica</v>
      </c>
      <c r="P69" t="s">
        <v>2935</v>
      </c>
      <c r="Q69" s="227" t="s">
        <v>3499</v>
      </c>
      <c r="R69" s="227" t="s">
        <v>3500</v>
      </c>
      <c r="S69" t="s">
        <v>42</v>
      </c>
    </row>
    <row r="70" spans="1:19" ht="15.75" thickBot="1" x14ac:dyDescent="0.3">
      <c r="A70" s="264" t="s">
        <v>4595</v>
      </c>
      <c r="B70" s="264" t="s">
        <v>4595</v>
      </c>
      <c r="C70" s="264" t="str">
        <f t="shared" si="9"/>
        <v>X</v>
      </c>
      <c r="D70" s="115" t="s">
        <v>588</v>
      </c>
      <c r="E70" s="83" t="s">
        <v>1859</v>
      </c>
      <c r="F70" s="83" t="s">
        <v>2939</v>
      </c>
      <c r="G70" s="120">
        <f t="array" ref="G70">SUMPRODUCT(IF('A2 copy'!$A$2:$A$995=A70,1,0),'A2 copy'!$F$2:$F$995,IF('A2 copy'!$D$2:$D$995=L70,1,0),IF('A2 copy'!$E$2:$E$995=P70,1,0),IF('A2 copy'!$G$2:$G$995=I70,1,0))</f>
        <v>165755</v>
      </c>
      <c r="H70" s="85" t="s">
        <v>589</v>
      </c>
      <c r="I70" s="123" t="s">
        <v>589</v>
      </c>
      <c r="J70" s="83" t="s">
        <v>1879</v>
      </c>
      <c r="K70" t="s">
        <v>1874</v>
      </c>
      <c r="L70" s="227">
        <v>2022</v>
      </c>
      <c r="M70">
        <v>2021</v>
      </c>
      <c r="N70" t="str">
        <f t="shared" si="6"/>
        <v>AIE: Eléctrica: Perdas Rede SEN: Portugal: 2021:: kWh</v>
      </c>
      <c r="O70" t="str">
        <f t="shared" si="10"/>
        <v>Eléctrica</v>
      </c>
      <c r="P70" t="s">
        <v>2935</v>
      </c>
      <c r="Q70" s="227" t="s">
        <v>3499</v>
      </c>
      <c r="R70" s="227" t="s">
        <v>3500</v>
      </c>
      <c r="S70" t="s">
        <v>42</v>
      </c>
    </row>
    <row r="71" spans="1:19" ht="15.75" thickBot="1" x14ac:dyDescent="0.3">
      <c r="A71" s="264" t="s">
        <v>4607</v>
      </c>
      <c r="B71" s="264" t="s">
        <v>4607</v>
      </c>
      <c r="C71" s="264" t="str">
        <f t="shared" si="9"/>
        <v>X</v>
      </c>
      <c r="D71" s="115" t="s">
        <v>588</v>
      </c>
      <c r="E71" s="83" t="s">
        <v>1859</v>
      </c>
      <c r="F71" s="83" t="s">
        <v>538</v>
      </c>
      <c r="G71" s="120">
        <f t="array" ref="G71">SUMPRODUCT(IF('A2 copy'!$A$2:$A$995=A71,1,0),'A2 copy'!$F$2:$F$995,IF('A2 copy'!$D$2:$D$995=L71,1,0),IF('A2 copy'!$E$2:$E$995=P71,1,0),IF('A2 copy'!$G$2:$G$995=I71,1,0))</f>
        <v>33805</v>
      </c>
      <c r="H71" s="85" t="s">
        <v>589</v>
      </c>
      <c r="I71" s="123" t="s">
        <v>589</v>
      </c>
      <c r="J71" s="83" t="s">
        <v>1879</v>
      </c>
      <c r="K71" t="s">
        <v>1874</v>
      </c>
      <c r="L71" s="227">
        <v>2022</v>
      </c>
      <c r="M71">
        <v>2021</v>
      </c>
      <c r="N71" t="str">
        <f t="shared" si="6"/>
        <v>AIE: Eléctrica: Perdas Rede SEN: Portugal: 2021:: kWh</v>
      </c>
      <c r="O71" t="str">
        <f t="shared" si="10"/>
        <v>Eléctrica</v>
      </c>
      <c r="P71" t="str">
        <f t="shared" ref="P71:P81" si="11">F71</f>
        <v>GALP</v>
      </c>
      <c r="Q71" s="227" t="s">
        <v>3499</v>
      </c>
      <c r="R71" s="227" t="s">
        <v>3500</v>
      </c>
      <c r="S71" t="s">
        <v>42</v>
      </c>
    </row>
    <row r="72" spans="1:19" ht="15.75" thickBot="1" x14ac:dyDescent="0.3">
      <c r="A72" s="264" t="s">
        <v>4597</v>
      </c>
      <c r="B72" s="264" t="s">
        <v>4597</v>
      </c>
      <c r="C72" s="264" t="str">
        <f t="shared" si="9"/>
        <v>X</v>
      </c>
      <c r="D72" s="115" t="s">
        <v>588</v>
      </c>
      <c r="E72" s="83" t="s">
        <v>1859</v>
      </c>
      <c r="F72" s="83" t="s">
        <v>538</v>
      </c>
      <c r="G72" s="120">
        <f t="array" ref="G72">SUMPRODUCT(IF('A2 copy'!$A$2:$A$995=A72,1,0),'A2 copy'!$F$2:$F$995,IF('A2 copy'!$D$2:$D$995=L72,1,0),IF('A2 copy'!$E$2:$E$995=P72,1,0),IF('A2 copy'!$G$2:$G$995=I72,1,0))</f>
        <v>7997</v>
      </c>
      <c r="H72" s="85" t="s">
        <v>589</v>
      </c>
      <c r="I72" s="123" t="s">
        <v>589</v>
      </c>
      <c r="J72" s="83" t="s">
        <v>1879</v>
      </c>
      <c r="K72" t="s">
        <v>1874</v>
      </c>
      <c r="L72" s="227">
        <v>2022</v>
      </c>
      <c r="M72">
        <v>2021</v>
      </c>
      <c r="N72" t="str">
        <f t="shared" si="6"/>
        <v>AIE: Eléctrica: Perdas Rede SEN: Portugal: 2021:: kWh</v>
      </c>
      <c r="O72" t="str">
        <f t="shared" si="10"/>
        <v>Eléctrica</v>
      </c>
      <c r="P72" t="str">
        <f t="shared" si="11"/>
        <v>GALP</v>
      </c>
      <c r="Q72" s="227" t="s">
        <v>3499</v>
      </c>
      <c r="R72" s="227" t="s">
        <v>3500</v>
      </c>
      <c r="S72" t="s">
        <v>42</v>
      </c>
    </row>
    <row r="73" spans="1:19" ht="15.75" thickBot="1" x14ac:dyDescent="0.3">
      <c r="A73" s="264" t="s">
        <v>4603</v>
      </c>
      <c r="B73" s="264" t="s">
        <v>4603</v>
      </c>
      <c r="C73" s="264" t="str">
        <f t="shared" si="9"/>
        <v>X</v>
      </c>
      <c r="D73" s="115" t="s">
        <v>588</v>
      </c>
      <c r="E73" s="83" t="s">
        <v>1859</v>
      </c>
      <c r="F73" s="83" t="s">
        <v>538</v>
      </c>
      <c r="G73" s="120">
        <f t="array" ref="G73">SUMPRODUCT(IF('A2 copy'!$A$2:$A$995=A73,1,0),'A2 copy'!$F$2:$F$995,IF('A2 copy'!$D$2:$D$995=L73,1,0),IF('A2 copy'!$E$2:$E$995=P73,1,0),IF('A2 copy'!$G$2:$G$995=I73,1,0),IF('A2 copy'!$O$2:$O$995=S73,1,0))</f>
        <v>1362266</v>
      </c>
      <c r="H73" s="85" t="s">
        <v>589</v>
      </c>
      <c r="I73" s="123" t="s">
        <v>589</v>
      </c>
      <c r="J73" s="83" t="s">
        <v>1879</v>
      </c>
      <c r="K73" t="s">
        <v>1874</v>
      </c>
      <c r="L73" s="227">
        <v>2022</v>
      </c>
      <c r="M73">
        <v>2021</v>
      </c>
      <c r="N73" t="str">
        <f t="shared" si="6"/>
        <v>AIE: Eléctrica: Perdas Rede SEN: Portugal: 2021:: kWh</v>
      </c>
      <c r="O73" t="str">
        <f t="shared" si="10"/>
        <v>Eléctrica</v>
      </c>
      <c r="P73" t="str">
        <f t="shared" si="11"/>
        <v>GALP</v>
      </c>
      <c r="Q73" s="227" t="s">
        <v>3499</v>
      </c>
      <c r="R73" s="227" t="s">
        <v>3500</v>
      </c>
      <c r="S73" t="s">
        <v>42</v>
      </c>
    </row>
    <row r="74" spans="1:19" ht="15.75" thickBot="1" x14ac:dyDescent="0.3">
      <c r="A74" s="264" t="s">
        <v>4603</v>
      </c>
      <c r="B74" s="264" t="s">
        <v>4603</v>
      </c>
      <c r="C74" s="264" t="str">
        <f>IF(A74=B74,"X",RIGHT(A74,LEN(A74)-LEN(B74)-3))</f>
        <v>X</v>
      </c>
      <c r="D74" s="115" t="s">
        <v>588</v>
      </c>
      <c r="E74" s="83" t="s">
        <v>1859</v>
      </c>
      <c r="F74" s="83" t="s">
        <v>538</v>
      </c>
      <c r="G74" s="120">
        <f t="array" ref="G74">SUMPRODUCT(IF('A2 copy'!$A$2:$A$995=A74,1,0),'A2 copy'!$F$2:$F$995,IF('A2 copy'!$D$2:$D$995=L74,1,0),IF('A2 copy'!$E$2:$E$995=P74,1,0),IF('A2 copy'!$G$2:$G$995=I74,1,0),IF('A2 copy'!$O$2:$O$995=S74,1,0))</f>
        <v>528645</v>
      </c>
      <c r="H74" s="85" t="s">
        <v>589</v>
      </c>
      <c r="I74" s="123" t="s">
        <v>589</v>
      </c>
      <c r="J74" s="83" t="s">
        <v>1879</v>
      </c>
      <c r="K74" t="s">
        <v>1874</v>
      </c>
      <c r="L74" s="227">
        <v>2022</v>
      </c>
      <c r="M74">
        <v>2021</v>
      </c>
      <c r="N74" t="str">
        <f>IF(J74="Eléctrica",K74&amp;": "&amp;J74&amp;": "&amp;E74&amp;": Portugal: "&amp;M74&amp;":: "&amp;I74,K74&amp;": "&amp;J74&amp;": "&amp;E74&amp;": "&amp;M74&amp;":: "&amp;I74)</f>
        <v>AIE: Eléctrica: Perdas Rede SEN: Portugal: 2021:: kWh</v>
      </c>
      <c r="O74" t="str">
        <f>J74</f>
        <v>Eléctrica</v>
      </c>
      <c r="P74" t="str">
        <f>F74</f>
        <v>GALP</v>
      </c>
      <c r="Q74" s="227" t="s">
        <v>3499</v>
      </c>
      <c r="R74" s="227" t="s">
        <v>3500</v>
      </c>
      <c r="S74" t="s">
        <v>34</v>
      </c>
    </row>
    <row r="75" spans="1:19" ht="15.75" thickBot="1" x14ac:dyDescent="0.3">
      <c r="A75" s="82" t="s">
        <v>4602</v>
      </c>
      <c r="B75" s="82" t="s">
        <v>4602</v>
      </c>
      <c r="C75" s="82" t="str">
        <f t="shared" si="9"/>
        <v>X</v>
      </c>
      <c r="D75" s="83" t="s">
        <v>588</v>
      </c>
      <c r="E75" s="83" t="s">
        <v>1859</v>
      </c>
      <c r="F75" t="s">
        <v>2939</v>
      </c>
      <c r="G75" s="120">
        <v>1433304</v>
      </c>
      <c r="H75" s="85" t="s">
        <v>589</v>
      </c>
      <c r="I75" s="123" t="s">
        <v>589</v>
      </c>
      <c r="J75" s="83" t="s">
        <v>1879</v>
      </c>
      <c r="K75" t="s">
        <v>1874</v>
      </c>
      <c r="L75" s="227">
        <v>2022</v>
      </c>
      <c r="M75">
        <v>2021</v>
      </c>
      <c r="N75" t="str">
        <f t="shared" si="6"/>
        <v>AIE: Eléctrica: Perdas Rede SEN: Portugal: 2021:: kWh</v>
      </c>
      <c r="O75" t="str">
        <f t="shared" si="10"/>
        <v>Eléctrica</v>
      </c>
      <c r="P75" t="str">
        <f t="shared" si="11"/>
        <v>EDP Empresas</v>
      </c>
      <c r="Q75" s="227" t="s">
        <v>3499</v>
      </c>
      <c r="R75" s="227" t="s">
        <v>3500</v>
      </c>
      <c r="S75" t="s">
        <v>42</v>
      </c>
    </row>
    <row r="76" spans="1:19" ht="15.75" thickBot="1" x14ac:dyDescent="0.3">
      <c r="A76" s="82" t="s">
        <v>4602</v>
      </c>
      <c r="B76" s="82" t="s">
        <v>4602</v>
      </c>
      <c r="C76" s="82" t="str">
        <f t="shared" si="9"/>
        <v>X</v>
      </c>
      <c r="D76" s="83" t="s">
        <v>588</v>
      </c>
      <c r="E76" s="83" t="s">
        <v>1859</v>
      </c>
      <c r="F76" t="s">
        <v>3496</v>
      </c>
      <c r="G76" s="120">
        <v>18697259.5</v>
      </c>
      <c r="H76" s="85" t="s">
        <v>589</v>
      </c>
      <c r="I76" s="123" t="s">
        <v>589</v>
      </c>
      <c r="J76" s="83" t="s">
        <v>1879</v>
      </c>
      <c r="K76" t="s">
        <v>1874</v>
      </c>
      <c r="L76" s="227">
        <v>2022</v>
      </c>
      <c r="M76">
        <v>2021</v>
      </c>
      <c r="N76" t="str">
        <f t="shared" si="6"/>
        <v>AIE: Eléctrica: Perdas Rede SEN: Portugal: 2021:: kWh</v>
      </c>
      <c r="O76" t="str">
        <f t="shared" si="10"/>
        <v>Eléctrica</v>
      </c>
      <c r="P76" t="str">
        <f t="shared" si="11"/>
        <v>Iberdrola Genérica</v>
      </c>
      <c r="Q76" s="227" t="s">
        <v>3499</v>
      </c>
      <c r="R76" s="227" t="s">
        <v>3500</v>
      </c>
      <c r="S76" t="s">
        <v>42</v>
      </c>
    </row>
    <row r="77" spans="1:19" ht="15.75" thickBot="1" x14ac:dyDescent="0.3">
      <c r="A77" s="82" t="s">
        <v>4602</v>
      </c>
      <c r="B77" s="82" t="s">
        <v>4602</v>
      </c>
      <c r="C77" s="82" t="str">
        <f t="shared" si="9"/>
        <v>X</v>
      </c>
      <c r="D77" s="83" t="s">
        <v>588</v>
      </c>
      <c r="E77" s="83" t="s">
        <v>1859</v>
      </c>
      <c r="F77" t="s">
        <v>3491</v>
      </c>
      <c r="G77" s="120">
        <v>15023170.75</v>
      </c>
      <c r="H77" s="85" t="s">
        <v>589</v>
      </c>
      <c r="I77" s="123" t="s">
        <v>589</v>
      </c>
      <c r="J77" s="83" t="s">
        <v>1879</v>
      </c>
      <c r="K77" t="s">
        <v>1874</v>
      </c>
      <c r="L77" s="227">
        <v>2022</v>
      </c>
      <c r="M77">
        <v>2021</v>
      </c>
      <c r="N77" t="str">
        <f t="shared" si="6"/>
        <v>AIE: Eléctrica: Perdas Rede SEN: Portugal: 2021:: kWh</v>
      </c>
      <c r="O77" t="str">
        <f t="shared" si="10"/>
        <v>Eléctrica</v>
      </c>
      <c r="P77" t="str">
        <f t="shared" si="11"/>
        <v>SU</v>
      </c>
      <c r="Q77" s="227" t="s">
        <v>3499</v>
      </c>
      <c r="R77" s="227" t="s">
        <v>3500</v>
      </c>
      <c r="S77" t="s">
        <v>42</v>
      </c>
    </row>
    <row r="78" spans="1:19" ht="15.75" thickBot="1" x14ac:dyDescent="0.3">
      <c r="A78" s="82" t="s">
        <v>4602</v>
      </c>
      <c r="B78" s="82" t="s">
        <v>4602</v>
      </c>
      <c r="C78" s="82" t="str">
        <f t="shared" si="9"/>
        <v>X</v>
      </c>
      <c r="D78" s="83" t="s">
        <v>588</v>
      </c>
      <c r="E78" s="83" t="s">
        <v>1859</v>
      </c>
      <c r="F78" t="s">
        <v>538</v>
      </c>
      <c r="G78" s="120">
        <v>8672060.25</v>
      </c>
      <c r="H78" s="85" t="s">
        <v>589</v>
      </c>
      <c r="I78" s="123" t="s">
        <v>589</v>
      </c>
      <c r="J78" s="83" t="s">
        <v>1879</v>
      </c>
      <c r="K78" t="s">
        <v>1874</v>
      </c>
      <c r="L78" s="227">
        <v>2022</v>
      </c>
      <c r="M78">
        <v>2021</v>
      </c>
      <c r="N78" t="str">
        <f t="shared" si="6"/>
        <v>AIE: Eléctrica: Perdas Rede SEN: Portugal: 2021:: kWh</v>
      </c>
      <c r="O78" t="str">
        <f t="shared" si="10"/>
        <v>Eléctrica</v>
      </c>
      <c r="P78" t="str">
        <f t="shared" si="11"/>
        <v>GALP</v>
      </c>
      <c r="Q78" s="227" t="s">
        <v>3499</v>
      </c>
      <c r="R78" s="227" t="s">
        <v>3500</v>
      </c>
      <c r="S78" t="s">
        <v>42</v>
      </c>
    </row>
    <row r="79" spans="1:19" ht="15.75" thickBot="1" x14ac:dyDescent="0.3">
      <c r="A79" s="82" t="s">
        <v>4602</v>
      </c>
      <c r="B79" s="82" t="s">
        <v>4602</v>
      </c>
      <c r="C79" s="82" t="str">
        <f t="shared" si="9"/>
        <v>X</v>
      </c>
      <c r="D79" s="83" t="s">
        <v>588</v>
      </c>
      <c r="E79" s="83" t="s">
        <v>1859</v>
      </c>
      <c r="F79" t="s">
        <v>3492</v>
      </c>
      <c r="G79" s="120">
        <v>9582024</v>
      </c>
      <c r="H79" s="85" t="s">
        <v>589</v>
      </c>
      <c r="I79" s="123" t="s">
        <v>589</v>
      </c>
      <c r="J79" s="83" t="s">
        <v>1879</v>
      </c>
      <c r="K79" t="s">
        <v>1874</v>
      </c>
      <c r="L79" s="227">
        <v>2022</v>
      </c>
      <c r="M79">
        <v>2021</v>
      </c>
      <c r="N79" t="str">
        <f t="shared" si="6"/>
        <v>AIE: Eléctrica: Perdas Rede SEN: Portugal: 2021:: kWh</v>
      </c>
      <c r="O79" t="str">
        <f t="shared" si="10"/>
        <v>Eléctrica</v>
      </c>
      <c r="P79" t="str">
        <f t="shared" si="11"/>
        <v>Endesa</v>
      </c>
      <c r="Q79" s="227" t="s">
        <v>3499</v>
      </c>
      <c r="R79" s="227" t="s">
        <v>3500</v>
      </c>
      <c r="S79" t="s">
        <v>42</v>
      </c>
    </row>
    <row r="80" spans="1:19" ht="15.75" thickBot="1" x14ac:dyDescent="0.3">
      <c r="A80" s="82" t="s">
        <v>4598</v>
      </c>
      <c r="B80" s="82" t="s">
        <v>4598</v>
      </c>
      <c r="C80" s="82" t="str">
        <f t="shared" si="9"/>
        <v>X</v>
      </c>
      <c r="D80" s="115" t="s">
        <v>1527</v>
      </c>
      <c r="E80" s="83" t="s">
        <v>1858</v>
      </c>
      <c r="G80" s="120">
        <v>1125970.7869999998</v>
      </c>
      <c r="H80" s="117" t="s">
        <v>630</v>
      </c>
      <c r="I80" s="123" t="s">
        <v>1861</v>
      </c>
      <c r="J80" s="115" t="s">
        <v>620</v>
      </c>
      <c r="K80" t="s">
        <v>1877</v>
      </c>
      <c r="L80" s="227">
        <v>2022</v>
      </c>
      <c r="M80">
        <v>2022</v>
      </c>
      <c r="N80" t="str">
        <f t="shared" ref="N80:N81" si="12">IF(J80="Eléctrica",K80&amp;": "&amp;J80&amp;": "&amp;E80&amp;": Portugal: "&amp;M80&amp;":: "&amp;I80,K80&amp;": "&amp;J80&amp;": "&amp;E80&amp;": "&amp;M80&amp;":: "&amp;I80)</f>
        <v>DEFRA: Gasóleo: WTT: 2022:: l</v>
      </c>
      <c r="O80" t="str">
        <f t="shared" si="10"/>
        <v>Gasóleo</v>
      </c>
      <c r="P80">
        <f t="shared" si="11"/>
        <v>0</v>
      </c>
      <c r="Q80" s="227" t="s">
        <v>3499</v>
      </c>
      <c r="R80" s="227" t="s">
        <v>3500</v>
      </c>
      <c r="S80" t="s">
        <v>42</v>
      </c>
    </row>
    <row r="81" spans="1:19" ht="15.75" thickBot="1" x14ac:dyDescent="0.3">
      <c r="A81" s="82" t="s">
        <v>3638</v>
      </c>
      <c r="B81" s="82" t="s">
        <v>3638</v>
      </c>
      <c r="C81" s="82" t="str">
        <f t="shared" si="9"/>
        <v>X</v>
      </c>
      <c r="D81" s="115" t="s">
        <v>1527</v>
      </c>
      <c r="E81" s="83" t="s">
        <v>1858</v>
      </c>
      <c r="G81" s="120">
        <v>203460.12000000002</v>
      </c>
      <c r="H81" s="117" t="s">
        <v>630</v>
      </c>
      <c r="I81" s="123" t="s">
        <v>1861</v>
      </c>
      <c r="J81" s="115" t="s">
        <v>620</v>
      </c>
      <c r="K81" t="s">
        <v>1877</v>
      </c>
      <c r="L81" s="227">
        <v>2022</v>
      </c>
      <c r="M81">
        <v>2022</v>
      </c>
      <c r="N81" t="str">
        <f t="shared" si="12"/>
        <v>DEFRA: Gasóleo: WTT: 2022:: l</v>
      </c>
      <c r="O81" t="str">
        <f t="shared" si="10"/>
        <v>Gasóleo</v>
      </c>
      <c r="P81">
        <f t="shared" si="11"/>
        <v>0</v>
      </c>
      <c r="Q81" s="227" t="s">
        <v>3499</v>
      </c>
      <c r="R81" s="227" t="s">
        <v>3500</v>
      </c>
      <c r="S81" t="s">
        <v>42</v>
      </c>
    </row>
    <row r="82" spans="1:19" ht="15.75" thickBot="1" x14ac:dyDescent="0.3">
      <c r="A82" s="82" t="s">
        <v>3639</v>
      </c>
      <c r="B82" s="82" t="s">
        <v>3639</v>
      </c>
      <c r="C82" s="82" t="str">
        <f t="shared" ref="C82" si="13">IF(A82=B82,"X",RIGHT(A82,LEN(A82)-LEN(B82)-3))</f>
        <v>X</v>
      </c>
      <c r="D82" s="115" t="s">
        <v>1527</v>
      </c>
      <c r="E82" s="83" t="s">
        <v>1858</v>
      </c>
      <c r="G82" s="371">
        <v>153673.73000000001</v>
      </c>
      <c r="H82" s="117" t="s">
        <v>630</v>
      </c>
      <c r="I82" s="123" t="s">
        <v>1861</v>
      </c>
      <c r="J82" s="115" t="s">
        <v>620</v>
      </c>
      <c r="K82" t="s">
        <v>1877</v>
      </c>
      <c r="L82" s="227">
        <v>2022</v>
      </c>
      <c r="M82">
        <v>2022</v>
      </c>
      <c r="N82" t="str">
        <f t="shared" ref="N82" si="14">IF(J82="Eléctrica",K82&amp;": "&amp;J82&amp;": "&amp;E82&amp;": Portugal: "&amp;M82&amp;":: "&amp;I82,K82&amp;": "&amp;J82&amp;": "&amp;E82&amp;": "&amp;M82&amp;":: "&amp;I82)</f>
        <v>DEFRA: Gasóleo: WTT: 2022:: l</v>
      </c>
      <c r="O82" t="str">
        <f t="shared" ref="O82" si="15">J82</f>
        <v>Gasóleo</v>
      </c>
      <c r="P82">
        <f t="shared" ref="P82" si="16">F82</f>
        <v>0</v>
      </c>
      <c r="Q82" s="227" t="s">
        <v>3499</v>
      </c>
      <c r="R82" s="227" t="s">
        <v>3500</v>
      </c>
      <c r="S82" t="s">
        <v>42</v>
      </c>
    </row>
    <row r="83" spans="1:19" ht="15.75" thickBot="1" x14ac:dyDescent="0.3">
      <c r="A83" s="82" t="s">
        <v>4598</v>
      </c>
      <c r="B83" s="82" t="s">
        <v>4598</v>
      </c>
      <c r="C83" s="82" t="str">
        <f t="shared" si="9"/>
        <v>X</v>
      </c>
      <c r="D83" s="83" t="s">
        <v>588</v>
      </c>
      <c r="E83" s="83" t="s">
        <v>1859</v>
      </c>
      <c r="F83" t="s">
        <v>538</v>
      </c>
      <c r="G83" s="172">
        <v>18052</v>
      </c>
      <c r="H83" s="85" t="s">
        <v>589</v>
      </c>
      <c r="I83" s="123" t="s">
        <v>589</v>
      </c>
      <c r="J83" s="83" t="s">
        <v>1879</v>
      </c>
      <c r="K83" t="s">
        <v>1874</v>
      </c>
      <c r="L83" s="227">
        <v>2022</v>
      </c>
      <c r="M83">
        <v>2021</v>
      </c>
      <c r="N83" t="str">
        <f t="shared" ref="N83:N87" si="17">IF(J83="Eléctrica",K83&amp;": "&amp;J83&amp;": "&amp;E83&amp;": Portugal: "&amp;M83&amp;":: "&amp;I83,K83&amp;": "&amp;J83&amp;": "&amp;E83&amp;": "&amp;M83&amp;":: "&amp;I83)</f>
        <v>AIE: Eléctrica: Perdas Rede SEN: Portugal: 2021:: kWh</v>
      </c>
      <c r="O83" t="str">
        <f t="shared" ref="O83:O87" si="18">J83</f>
        <v>Eléctrica</v>
      </c>
      <c r="P83" t="str">
        <f t="shared" ref="P83:P90" si="19">F83</f>
        <v>GALP</v>
      </c>
      <c r="Q83" s="227" t="s">
        <v>3499</v>
      </c>
      <c r="R83" s="227" t="s">
        <v>3500</v>
      </c>
      <c r="S83" t="s">
        <v>42</v>
      </c>
    </row>
    <row r="84" spans="1:19" ht="15.75" thickBot="1" x14ac:dyDescent="0.3">
      <c r="A84" s="82" t="s">
        <v>4643</v>
      </c>
      <c r="B84" s="82" t="s">
        <v>4643</v>
      </c>
      <c r="C84" s="82" t="str">
        <f t="shared" si="9"/>
        <v>X</v>
      </c>
      <c r="D84" s="83" t="s">
        <v>588</v>
      </c>
      <c r="E84" s="83" t="s">
        <v>1859</v>
      </c>
      <c r="F84" t="s">
        <v>538</v>
      </c>
      <c r="G84" s="172">
        <v>5856</v>
      </c>
      <c r="H84" s="85" t="s">
        <v>589</v>
      </c>
      <c r="I84" s="123" t="s">
        <v>589</v>
      </c>
      <c r="J84" s="83" t="s">
        <v>1879</v>
      </c>
      <c r="K84" t="s">
        <v>1874</v>
      </c>
      <c r="L84" s="227">
        <v>2022</v>
      </c>
      <c r="M84">
        <v>2021</v>
      </c>
      <c r="N84" t="str">
        <f t="shared" si="17"/>
        <v>AIE: Eléctrica: Perdas Rede SEN: Portugal: 2021:: kWh</v>
      </c>
      <c r="O84" t="str">
        <f t="shared" si="18"/>
        <v>Eléctrica</v>
      </c>
      <c r="P84" t="str">
        <f t="shared" si="19"/>
        <v>GALP</v>
      </c>
      <c r="Q84" s="227" t="s">
        <v>3499</v>
      </c>
      <c r="R84" s="227" t="s">
        <v>3500</v>
      </c>
      <c r="S84" t="s">
        <v>42</v>
      </c>
    </row>
    <row r="85" spans="1:19" ht="15.75" thickBot="1" x14ac:dyDescent="0.3">
      <c r="A85" s="82" t="s">
        <v>4642</v>
      </c>
      <c r="B85" s="82" t="s">
        <v>4642</v>
      </c>
      <c r="C85" s="82" t="str">
        <f t="shared" si="9"/>
        <v>X</v>
      </c>
      <c r="D85" s="83" t="s">
        <v>588</v>
      </c>
      <c r="E85" s="83" t="s">
        <v>1859</v>
      </c>
      <c r="F85" t="s">
        <v>538</v>
      </c>
      <c r="G85" s="172">
        <v>4980</v>
      </c>
      <c r="H85" s="85" t="s">
        <v>589</v>
      </c>
      <c r="I85" s="123" t="s">
        <v>589</v>
      </c>
      <c r="J85" s="83" t="s">
        <v>1879</v>
      </c>
      <c r="K85" t="s">
        <v>1874</v>
      </c>
      <c r="L85" s="227">
        <v>2022</v>
      </c>
      <c r="M85">
        <v>2021</v>
      </c>
      <c r="N85" t="str">
        <f t="shared" si="17"/>
        <v>AIE: Eléctrica: Perdas Rede SEN: Portugal: 2021:: kWh</v>
      </c>
      <c r="O85" t="str">
        <f t="shared" si="18"/>
        <v>Eléctrica</v>
      </c>
      <c r="P85" t="str">
        <f t="shared" si="19"/>
        <v>GALP</v>
      </c>
      <c r="Q85" s="227" t="s">
        <v>3499</v>
      </c>
      <c r="R85" s="227" t="s">
        <v>3500</v>
      </c>
      <c r="S85" t="s">
        <v>42</v>
      </c>
    </row>
    <row r="86" spans="1:19" ht="15.75" thickBot="1" x14ac:dyDescent="0.3">
      <c r="A86" t="s">
        <v>4601</v>
      </c>
      <c r="B86" t="s">
        <v>4601</v>
      </c>
      <c r="C86" s="82" t="str">
        <f t="shared" si="9"/>
        <v>X</v>
      </c>
      <c r="D86" s="115" t="s">
        <v>1527</v>
      </c>
      <c r="E86" s="83" t="s">
        <v>1858</v>
      </c>
      <c r="G86" s="89">
        <v>1456.61</v>
      </c>
      <c r="H86" s="117" t="s">
        <v>630</v>
      </c>
      <c r="I86" s="123" t="s">
        <v>1861</v>
      </c>
      <c r="J86" s="115" t="s">
        <v>620</v>
      </c>
      <c r="K86" t="s">
        <v>1877</v>
      </c>
      <c r="L86" s="227">
        <v>2022</v>
      </c>
      <c r="M86">
        <v>2022</v>
      </c>
      <c r="N86" t="str">
        <f t="shared" si="17"/>
        <v>DEFRA: Gasóleo: WTT: 2022:: l</v>
      </c>
      <c r="O86" t="str">
        <f t="shared" si="18"/>
        <v>Gasóleo</v>
      </c>
      <c r="P86">
        <f t="shared" si="19"/>
        <v>0</v>
      </c>
      <c r="Q86" s="227" t="s">
        <v>3499</v>
      </c>
      <c r="R86" s="227" t="s">
        <v>3500</v>
      </c>
      <c r="S86" t="s">
        <v>42</v>
      </c>
    </row>
    <row r="87" spans="1:19" ht="15.75" thickBot="1" x14ac:dyDescent="0.3">
      <c r="A87" t="s">
        <v>4601</v>
      </c>
      <c r="B87" t="s">
        <v>4601</v>
      </c>
      <c r="C87" s="82" t="str">
        <f t="shared" ref="C87:C88" si="20">IF(A87=B87,"X",RIGHT(A87,LEN(A87)-LEN(B87)-3))</f>
        <v>X</v>
      </c>
      <c r="D87" s="83" t="s">
        <v>588</v>
      </c>
      <c r="E87" s="83" t="s">
        <v>1859</v>
      </c>
      <c r="F87" s="283"/>
      <c r="G87" s="174">
        <v>21747248.66383943</v>
      </c>
      <c r="H87" s="85" t="s">
        <v>589</v>
      </c>
      <c r="I87" s="123" t="s">
        <v>589</v>
      </c>
      <c r="J87" s="83" t="s">
        <v>1879</v>
      </c>
      <c r="K87" t="s">
        <v>1874</v>
      </c>
      <c r="L87" s="227">
        <v>2022</v>
      </c>
      <c r="M87" s="422">
        <v>2021</v>
      </c>
      <c r="N87" t="str">
        <f t="shared" si="17"/>
        <v>AIE: Eléctrica: Perdas Rede SEN: Portugal: 2021:: kWh</v>
      </c>
      <c r="O87" t="str">
        <f t="shared" si="18"/>
        <v>Eléctrica</v>
      </c>
      <c r="P87" s="283">
        <f t="shared" si="19"/>
        <v>0</v>
      </c>
      <c r="Q87" s="227" t="s">
        <v>3499</v>
      </c>
      <c r="R87" s="227" t="s">
        <v>3500</v>
      </c>
      <c r="S87" t="s">
        <v>42</v>
      </c>
    </row>
    <row r="88" spans="1:19" ht="15.75" thickBot="1" x14ac:dyDescent="0.3">
      <c r="A88" t="s">
        <v>4600</v>
      </c>
      <c r="B88" t="s">
        <v>4600</v>
      </c>
      <c r="C88" s="82" t="str">
        <f t="shared" si="20"/>
        <v>X</v>
      </c>
      <c r="D88" s="115" t="s">
        <v>1527</v>
      </c>
      <c r="E88" s="83" t="s">
        <v>1858</v>
      </c>
      <c r="G88" s="393">
        <v>1409.4538461538461</v>
      </c>
      <c r="H88" s="117" t="s">
        <v>630</v>
      </c>
      <c r="I88" s="123" t="s">
        <v>1861</v>
      </c>
      <c r="J88" s="115" t="s">
        <v>620</v>
      </c>
      <c r="K88" t="s">
        <v>1877</v>
      </c>
      <c r="L88" s="227">
        <v>2022</v>
      </c>
      <c r="M88">
        <v>2022</v>
      </c>
      <c r="N88" t="str">
        <f t="shared" ref="N88:N90" si="21">IF(J88="Eléctrica",K88&amp;": "&amp;J88&amp;": "&amp;E88&amp;": Portugal: "&amp;M88&amp;":: "&amp;I88,K88&amp;": "&amp;J88&amp;": "&amp;E88&amp;": "&amp;M88&amp;":: "&amp;I88)</f>
        <v>DEFRA: Gasóleo: WTT: 2022:: l</v>
      </c>
      <c r="O88" t="str">
        <f t="shared" ref="O88:O90" si="22">J88</f>
        <v>Gasóleo</v>
      </c>
      <c r="P88">
        <f t="shared" si="19"/>
        <v>0</v>
      </c>
      <c r="Q88" s="227" t="s">
        <v>3499</v>
      </c>
      <c r="R88" s="227" t="s">
        <v>3500</v>
      </c>
      <c r="S88" t="s">
        <v>42</v>
      </c>
    </row>
    <row r="89" spans="1:19" ht="15.75" thickBot="1" x14ac:dyDescent="0.3">
      <c r="A89" t="s">
        <v>4600</v>
      </c>
      <c r="B89" t="s">
        <v>4600</v>
      </c>
      <c r="C89" s="82" t="str">
        <f t="shared" ref="C89" si="23">IF(A89=B89,"X",RIGHT(A89,LEN(A89)-LEN(B89)-3))</f>
        <v>X</v>
      </c>
      <c r="D89" s="83" t="s">
        <v>588</v>
      </c>
      <c r="E89" s="83" t="s">
        <v>1859</v>
      </c>
      <c r="F89" s="283"/>
      <c r="G89" s="120">
        <v>1249990</v>
      </c>
      <c r="H89" s="85" t="s">
        <v>589</v>
      </c>
      <c r="I89" s="123" t="s">
        <v>589</v>
      </c>
      <c r="J89" s="83" t="s">
        <v>1879</v>
      </c>
      <c r="K89" t="s">
        <v>1874</v>
      </c>
      <c r="L89" s="227">
        <v>2022</v>
      </c>
      <c r="M89" s="422">
        <v>2021</v>
      </c>
      <c r="N89" t="str">
        <f t="shared" si="21"/>
        <v>AIE: Eléctrica: Perdas Rede SEN: Portugal: 2021:: kWh</v>
      </c>
      <c r="O89" t="str">
        <f t="shared" si="22"/>
        <v>Eléctrica</v>
      </c>
      <c r="P89" s="283">
        <f t="shared" si="19"/>
        <v>0</v>
      </c>
      <c r="Q89" s="227" t="s">
        <v>3499</v>
      </c>
      <c r="R89" s="227" t="s">
        <v>3500</v>
      </c>
      <c r="S89" t="s">
        <v>42</v>
      </c>
    </row>
    <row r="90" spans="1:19" ht="15.75" thickBot="1" x14ac:dyDescent="0.3">
      <c r="A90" t="s">
        <v>4615</v>
      </c>
      <c r="B90" t="s">
        <v>4615</v>
      </c>
      <c r="C90" t="s">
        <v>1950</v>
      </c>
      <c r="D90" s="115" t="s">
        <v>1527</v>
      </c>
      <c r="E90" s="83" t="s">
        <v>1858</v>
      </c>
      <c r="G90" s="371">
        <v>8629.9500000000007</v>
      </c>
      <c r="H90" s="117" t="s">
        <v>630</v>
      </c>
      <c r="I90" s="123" t="s">
        <v>1861</v>
      </c>
      <c r="J90" s="115" t="s">
        <v>620</v>
      </c>
      <c r="K90" t="s">
        <v>1877</v>
      </c>
      <c r="L90" s="227">
        <v>2022</v>
      </c>
      <c r="M90">
        <v>2022</v>
      </c>
      <c r="N90" t="str">
        <f t="shared" si="21"/>
        <v>DEFRA: Gasóleo: WTT: 2022:: l</v>
      </c>
      <c r="O90" t="str">
        <f t="shared" si="22"/>
        <v>Gasóleo</v>
      </c>
      <c r="P90">
        <f t="shared" si="19"/>
        <v>0</v>
      </c>
      <c r="Q90" s="227" t="s">
        <v>3499</v>
      </c>
      <c r="R90" s="227" t="s">
        <v>3500</v>
      </c>
      <c r="S90" t="s">
        <v>42</v>
      </c>
    </row>
    <row r="91" spans="1:19" ht="15.75" thickBot="1" x14ac:dyDescent="0.3">
      <c r="A91" t="s">
        <v>4615</v>
      </c>
      <c r="B91" t="s">
        <v>4615</v>
      </c>
      <c r="C91" t="s">
        <v>1950</v>
      </c>
      <c r="D91" s="83" t="s">
        <v>588</v>
      </c>
      <c r="E91" s="83" t="s">
        <v>1859</v>
      </c>
      <c r="F91" t="s">
        <v>538</v>
      </c>
      <c r="G91" s="174">
        <v>349836</v>
      </c>
      <c r="H91" s="85" t="s">
        <v>589</v>
      </c>
      <c r="I91" s="123" t="s">
        <v>589</v>
      </c>
      <c r="J91" s="83" t="s">
        <v>1879</v>
      </c>
      <c r="K91" t="s">
        <v>1874</v>
      </c>
      <c r="L91" s="227">
        <v>2022</v>
      </c>
      <c r="M91" s="422">
        <v>2021</v>
      </c>
      <c r="N91" t="str">
        <f t="shared" ref="N91:N93" si="24">IF(J91="Eléctrica",K91&amp;": "&amp;J91&amp;": "&amp;E91&amp;": Portugal: "&amp;M91&amp;":: "&amp;I91,K91&amp;": "&amp;J91&amp;": "&amp;E91&amp;": "&amp;M91&amp;":: "&amp;I91)</f>
        <v>AIE: Eléctrica: Perdas Rede SEN: Portugal: 2021:: kWh</v>
      </c>
      <c r="O91" t="str">
        <f t="shared" ref="O91:O92" si="25">J91</f>
        <v>Eléctrica</v>
      </c>
      <c r="P91" s="283" t="str">
        <f t="shared" ref="P91:P93" si="26">F91</f>
        <v>GALP</v>
      </c>
      <c r="Q91" s="227" t="s">
        <v>3499</v>
      </c>
      <c r="R91" s="227" t="s">
        <v>3500</v>
      </c>
      <c r="S91" t="s">
        <v>42</v>
      </c>
    </row>
    <row r="92" spans="1:19" ht="15.75" thickBot="1" x14ac:dyDescent="0.3">
      <c r="A92" t="s">
        <v>4615</v>
      </c>
      <c r="B92" t="s">
        <v>4615</v>
      </c>
      <c r="C92" t="s">
        <v>1950</v>
      </c>
      <c r="D92" s="115" t="s">
        <v>1527</v>
      </c>
      <c r="E92" s="83" t="s">
        <v>1858</v>
      </c>
      <c r="G92" s="371">
        <v>4418.8500000000004</v>
      </c>
      <c r="H92" s="117" t="s">
        <v>630</v>
      </c>
      <c r="I92" s="123" t="s">
        <v>1861</v>
      </c>
      <c r="J92" s="115" t="s">
        <v>1933</v>
      </c>
      <c r="K92" t="s">
        <v>1877</v>
      </c>
      <c r="L92" s="227">
        <v>2022</v>
      </c>
      <c r="M92">
        <v>2022</v>
      </c>
      <c r="N92" t="str">
        <f t="shared" si="24"/>
        <v>DEFRA: Gasolina: WTT: 2022:: l</v>
      </c>
      <c r="O92" t="str">
        <f t="shared" si="25"/>
        <v>Gasolina</v>
      </c>
      <c r="P92">
        <f t="shared" si="26"/>
        <v>0</v>
      </c>
      <c r="Q92" s="227" t="s">
        <v>3499</v>
      </c>
      <c r="R92" s="227" t="s">
        <v>3500</v>
      </c>
      <c r="S92" t="s">
        <v>42</v>
      </c>
    </row>
    <row r="93" spans="1:19" ht="15.75" thickBot="1" x14ac:dyDescent="0.3">
      <c r="A93" t="s">
        <v>4607</v>
      </c>
      <c r="B93" t="s">
        <v>4607</v>
      </c>
      <c r="C93" s="422" t="s">
        <v>1950</v>
      </c>
      <c r="D93" s="425" t="s">
        <v>588</v>
      </c>
      <c r="E93" s="425" t="s">
        <v>1859</v>
      </c>
      <c r="F93" s="422" t="s">
        <v>538</v>
      </c>
      <c r="G93" s="89">
        <v>29405</v>
      </c>
      <c r="H93" s="427" t="s">
        <v>589</v>
      </c>
      <c r="I93" s="123" t="s">
        <v>589</v>
      </c>
      <c r="J93" s="425" t="s">
        <v>1879</v>
      </c>
      <c r="K93" s="422" t="s">
        <v>5942</v>
      </c>
      <c r="L93" s="227">
        <v>2023</v>
      </c>
      <c r="M93">
        <v>2022</v>
      </c>
      <c r="N93" t="str">
        <f t="shared" si="24"/>
        <v>AIE/APA NIR 2024: Eléctrica: Perdas Rede SEN: Portugal: 2022:: kWh</v>
      </c>
      <c r="P93" s="422" t="str">
        <f t="shared" si="26"/>
        <v>GALP</v>
      </c>
      <c r="Q93" s="227" t="s">
        <v>3499</v>
      </c>
      <c r="R93" s="227" t="s">
        <v>3500</v>
      </c>
      <c r="S93" s="422" t="s">
        <v>42</v>
      </c>
    </row>
    <row r="94" spans="1:19" ht="15.75" thickBot="1" x14ac:dyDescent="0.3">
      <c r="A94" t="s">
        <v>45</v>
      </c>
      <c r="B94" s="424" t="s">
        <v>45</v>
      </c>
      <c r="C94" s="424" t="str">
        <f t="shared" ref="C94:C118" si="27">IF(A94=B94,"X",RIGHT(A94,LEN(A94)-LEN(B94)-3))</f>
        <v>X</v>
      </c>
      <c r="D94" s="425" t="s">
        <v>588</v>
      </c>
      <c r="E94" s="425" t="s">
        <v>1859</v>
      </c>
      <c r="F94" s="422" t="s">
        <v>538</v>
      </c>
      <c r="G94" s="89">
        <v>623151</v>
      </c>
      <c r="H94" s="427" t="s">
        <v>589</v>
      </c>
      <c r="I94" s="123" t="s">
        <v>589</v>
      </c>
      <c r="J94" s="425" t="s">
        <v>1879</v>
      </c>
      <c r="K94" s="422" t="s">
        <v>5942</v>
      </c>
      <c r="L94" s="227">
        <v>2023</v>
      </c>
      <c r="M94" s="422">
        <v>2022</v>
      </c>
      <c r="N94" s="422" t="str">
        <f t="shared" ref="N94:N116" si="28">IF(J94="Eléctrica",K94&amp;": "&amp;J94&amp;": "&amp;E94&amp;": Portugal: "&amp;M94&amp;":: "&amp;I94,K94&amp;": "&amp;J94&amp;": "&amp;E94&amp;": "&amp;M94&amp;":: "&amp;I94)</f>
        <v>AIE/APA NIR 2024: Eléctrica: Perdas Rede SEN: Portugal: 2022:: kWh</v>
      </c>
      <c r="O94" s="422"/>
      <c r="P94" s="422" t="str">
        <f t="shared" ref="P94:P116" si="29">F94</f>
        <v>GALP</v>
      </c>
      <c r="Q94" s="227" t="s">
        <v>3499</v>
      </c>
      <c r="R94" s="227" t="s">
        <v>3500</v>
      </c>
      <c r="S94" s="422" t="s">
        <v>42</v>
      </c>
    </row>
    <row r="95" spans="1:19" ht="15.75" thickBot="1" x14ac:dyDescent="0.3">
      <c r="A95" t="s">
        <v>5943</v>
      </c>
      <c r="B95" s="424" t="s">
        <v>45</v>
      </c>
      <c r="C95" s="424" t="str">
        <f t="shared" si="27"/>
        <v>ESEVEL + BA</v>
      </c>
      <c r="D95" s="425" t="s">
        <v>588</v>
      </c>
      <c r="E95" s="425" t="s">
        <v>1859</v>
      </c>
      <c r="F95" s="422" t="s">
        <v>538</v>
      </c>
      <c r="G95" s="89">
        <v>197828</v>
      </c>
      <c r="H95" s="427" t="s">
        <v>589</v>
      </c>
      <c r="I95" s="123" t="s">
        <v>589</v>
      </c>
      <c r="J95" s="425" t="s">
        <v>1879</v>
      </c>
      <c r="K95" s="422" t="s">
        <v>5942</v>
      </c>
      <c r="L95" s="227">
        <v>2023</v>
      </c>
      <c r="M95" s="422">
        <v>2022</v>
      </c>
      <c r="N95" s="422" t="str">
        <f t="shared" si="28"/>
        <v>AIE/APA NIR 2024: Eléctrica: Perdas Rede SEN: Portugal: 2022:: kWh</v>
      </c>
      <c r="O95" s="422"/>
      <c r="P95" s="422" t="str">
        <f t="shared" si="29"/>
        <v>GALP</v>
      </c>
      <c r="Q95" s="227" t="s">
        <v>3499</v>
      </c>
      <c r="R95" s="227" t="s">
        <v>3500</v>
      </c>
      <c r="S95" s="422" t="s">
        <v>42</v>
      </c>
    </row>
    <row r="96" spans="1:19" ht="15.75" thickBot="1" x14ac:dyDescent="0.3">
      <c r="A96" t="s">
        <v>3525</v>
      </c>
      <c r="B96" s="424" t="s">
        <v>45</v>
      </c>
      <c r="C96" s="424" t="str">
        <f t="shared" si="27"/>
        <v>Frota Aul</v>
      </c>
      <c r="D96" s="425" t="s">
        <v>588</v>
      </c>
      <c r="E96" s="425" t="s">
        <v>1859</v>
      </c>
      <c r="F96" s="422" t="s">
        <v>538</v>
      </c>
      <c r="G96" s="89">
        <v>45028</v>
      </c>
      <c r="H96" s="427" t="s">
        <v>589</v>
      </c>
      <c r="I96" s="123" t="s">
        <v>589</v>
      </c>
      <c r="J96" s="425" t="s">
        <v>1879</v>
      </c>
      <c r="K96" s="422" t="s">
        <v>5942</v>
      </c>
      <c r="L96" s="227">
        <v>2023</v>
      </c>
      <c r="M96" s="422">
        <v>2022</v>
      </c>
      <c r="N96" s="422" t="str">
        <f t="shared" si="28"/>
        <v>AIE/APA NIR 2024: Eléctrica: Perdas Rede SEN: Portugal: 2022:: kWh</v>
      </c>
      <c r="O96" s="422"/>
      <c r="P96" s="422" t="str">
        <f t="shared" si="29"/>
        <v>GALP</v>
      </c>
      <c r="Q96" s="227" t="s">
        <v>3499</v>
      </c>
      <c r="R96" s="227" t="s">
        <v>3500</v>
      </c>
      <c r="S96" s="422" t="s">
        <v>42</v>
      </c>
    </row>
    <row r="97" spans="1:19" ht="15.75" thickBot="1" x14ac:dyDescent="0.3">
      <c r="A97" t="s">
        <v>5944</v>
      </c>
      <c r="B97" s="424" t="s">
        <v>45</v>
      </c>
      <c r="C97" s="424" t="str">
        <f t="shared" si="27"/>
        <v>Estremadura + Sede</v>
      </c>
      <c r="D97" s="425" t="s">
        <v>588</v>
      </c>
      <c r="E97" s="425" t="s">
        <v>1859</v>
      </c>
      <c r="F97" s="422" t="s">
        <v>538</v>
      </c>
      <c r="G97" s="89">
        <v>160448</v>
      </c>
      <c r="H97" s="427" t="s">
        <v>589</v>
      </c>
      <c r="I97" s="123" t="s">
        <v>589</v>
      </c>
      <c r="J97" s="425" t="s">
        <v>1879</v>
      </c>
      <c r="K97" s="422" t="s">
        <v>5942</v>
      </c>
      <c r="L97" s="227">
        <v>2023</v>
      </c>
      <c r="M97" s="422">
        <v>2022</v>
      </c>
      <c r="N97" s="422" t="str">
        <f t="shared" si="28"/>
        <v>AIE/APA NIR 2024: Eléctrica: Perdas Rede SEN: Portugal: 2022:: kWh</v>
      </c>
      <c r="O97" s="422"/>
      <c r="P97" s="422" t="str">
        <f t="shared" si="29"/>
        <v>GALP</v>
      </c>
      <c r="Q97" s="227" t="s">
        <v>3499</v>
      </c>
      <c r="R97" s="227" t="s">
        <v>3500</v>
      </c>
      <c r="S97" s="422" t="s">
        <v>42</v>
      </c>
    </row>
    <row r="98" spans="1:19" ht="15.75" thickBot="1" x14ac:dyDescent="0.3">
      <c r="A98" t="s">
        <v>3473</v>
      </c>
      <c r="B98" s="424" t="s">
        <v>45</v>
      </c>
      <c r="C98" s="424" t="str">
        <f t="shared" si="27"/>
        <v>Barraqueiro Oeste</v>
      </c>
      <c r="D98" s="425" t="s">
        <v>588</v>
      </c>
      <c r="E98" s="425" t="s">
        <v>1859</v>
      </c>
      <c r="F98" s="422" t="s">
        <v>538</v>
      </c>
      <c r="G98" s="89">
        <v>53333</v>
      </c>
      <c r="H98" s="427" t="s">
        <v>589</v>
      </c>
      <c r="I98" s="123" t="s">
        <v>589</v>
      </c>
      <c r="J98" s="425" t="s">
        <v>1879</v>
      </c>
      <c r="K98" s="422" t="s">
        <v>5942</v>
      </c>
      <c r="L98" s="227">
        <v>2023</v>
      </c>
      <c r="M98" s="422">
        <v>2022</v>
      </c>
      <c r="N98" s="422" t="str">
        <f t="shared" si="28"/>
        <v>AIE/APA NIR 2024: Eléctrica: Perdas Rede SEN: Portugal: 2022:: kWh</v>
      </c>
      <c r="O98" s="422"/>
      <c r="P98" s="422" t="str">
        <f t="shared" si="29"/>
        <v>GALP</v>
      </c>
      <c r="Q98" s="227" t="s">
        <v>3499</v>
      </c>
      <c r="R98" s="227" t="s">
        <v>3500</v>
      </c>
      <c r="S98" s="422" t="s">
        <v>42</v>
      </c>
    </row>
    <row r="99" spans="1:19" ht="15.75" thickBot="1" x14ac:dyDescent="0.3">
      <c r="A99" t="s">
        <v>3474</v>
      </c>
      <c r="B99" s="424" t="s">
        <v>45</v>
      </c>
      <c r="C99" s="424" t="str">
        <f t="shared" si="27"/>
        <v>Boa Viagem</v>
      </c>
      <c r="D99" s="425" t="s">
        <v>588</v>
      </c>
      <c r="E99" s="425" t="s">
        <v>1859</v>
      </c>
      <c r="F99" s="422" t="s">
        <v>538</v>
      </c>
      <c r="G99" s="89">
        <v>79713</v>
      </c>
      <c r="H99" s="427" t="s">
        <v>589</v>
      </c>
      <c r="I99" s="123" t="s">
        <v>589</v>
      </c>
      <c r="J99" s="425" t="s">
        <v>1879</v>
      </c>
      <c r="K99" s="422" t="s">
        <v>5942</v>
      </c>
      <c r="L99" s="227">
        <v>2023</v>
      </c>
      <c r="M99" s="422">
        <v>2022</v>
      </c>
      <c r="N99" s="422" t="str">
        <f t="shared" si="28"/>
        <v>AIE/APA NIR 2024: Eléctrica: Perdas Rede SEN: Portugal: 2022:: kWh</v>
      </c>
      <c r="O99" s="422"/>
      <c r="P99" s="422" t="str">
        <f t="shared" si="29"/>
        <v>GALP</v>
      </c>
      <c r="Q99" s="227" t="s">
        <v>3499</v>
      </c>
      <c r="R99" s="227" t="s">
        <v>3500</v>
      </c>
      <c r="S99" s="422" t="s">
        <v>42</v>
      </c>
    </row>
    <row r="100" spans="1:19" ht="15.75" thickBot="1" x14ac:dyDescent="0.3">
      <c r="A100" t="s">
        <v>3470</v>
      </c>
      <c r="B100" s="424" t="s">
        <v>45</v>
      </c>
      <c r="C100" s="424" t="str">
        <f t="shared" si="27"/>
        <v>Mafrense</v>
      </c>
      <c r="D100" s="425" t="s">
        <v>588</v>
      </c>
      <c r="E100" s="425" t="s">
        <v>1859</v>
      </c>
      <c r="F100" s="422" t="s">
        <v>538</v>
      </c>
      <c r="G100" s="89">
        <v>86801</v>
      </c>
      <c r="H100" s="427" t="s">
        <v>589</v>
      </c>
      <c r="I100" s="123" t="s">
        <v>589</v>
      </c>
      <c r="J100" s="425" t="s">
        <v>1879</v>
      </c>
      <c r="K100" s="422" t="s">
        <v>5942</v>
      </c>
      <c r="L100" s="227">
        <v>2023</v>
      </c>
      <c r="M100" s="422">
        <v>2022</v>
      </c>
      <c r="N100" s="422" t="str">
        <f t="shared" si="28"/>
        <v>AIE/APA NIR 2024: Eléctrica: Perdas Rede SEN: Portugal: 2022:: kWh</v>
      </c>
      <c r="O100" s="422"/>
      <c r="P100" s="422" t="str">
        <f t="shared" si="29"/>
        <v>GALP</v>
      </c>
      <c r="Q100" s="227" t="s">
        <v>3499</v>
      </c>
      <c r="R100" s="227" t="s">
        <v>3500</v>
      </c>
      <c r="S100" s="422" t="s">
        <v>42</v>
      </c>
    </row>
    <row r="101" spans="1:19" ht="15.75" thickBot="1" x14ac:dyDescent="0.3">
      <c r="A101" t="s">
        <v>3471</v>
      </c>
      <c r="B101" s="424" t="s">
        <v>45</v>
      </c>
      <c r="C101" s="424" t="str">
        <f t="shared" si="27"/>
        <v>Estremadura</v>
      </c>
      <c r="D101" s="425" t="s">
        <v>1527</v>
      </c>
      <c r="E101" s="425" t="s">
        <v>1858</v>
      </c>
      <c r="G101" s="120">
        <v>3430214.3189999992</v>
      </c>
      <c r="H101" s="117" t="s">
        <v>630</v>
      </c>
      <c r="I101" s="123" t="s">
        <v>1861</v>
      </c>
      <c r="J101" s="438" t="s">
        <v>620</v>
      </c>
      <c r="K101" s="422" t="s">
        <v>1877</v>
      </c>
      <c r="L101" s="227">
        <v>2023</v>
      </c>
      <c r="M101" s="422">
        <v>2023</v>
      </c>
      <c r="N101" s="422" t="str">
        <f t="shared" si="28"/>
        <v>DEFRA: Gasóleo: WTT: 2023:: l</v>
      </c>
      <c r="O101" s="422" t="str">
        <f t="shared" ref="O101:O161" si="30">J101</f>
        <v>Gasóleo</v>
      </c>
      <c r="P101" s="422">
        <f t="shared" si="29"/>
        <v>0</v>
      </c>
      <c r="Q101" s="227" t="s">
        <v>3499</v>
      </c>
      <c r="R101" s="227" t="s">
        <v>3500</v>
      </c>
      <c r="S101" s="422" t="s">
        <v>42</v>
      </c>
    </row>
    <row r="102" spans="1:19" ht="15.75" thickBot="1" x14ac:dyDescent="0.3">
      <c r="A102" t="s">
        <v>3473</v>
      </c>
      <c r="B102" s="424" t="s">
        <v>45</v>
      </c>
      <c r="C102" s="424" t="str">
        <f t="shared" si="27"/>
        <v>Barraqueiro Oeste</v>
      </c>
      <c r="D102" s="425" t="s">
        <v>1527</v>
      </c>
      <c r="E102" s="425" t="s">
        <v>1858</v>
      </c>
      <c r="G102" s="120">
        <v>2030531.3869999996</v>
      </c>
      <c r="H102" s="117" t="s">
        <v>630</v>
      </c>
      <c r="I102" s="123" t="s">
        <v>1861</v>
      </c>
      <c r="J102" s="438" t="s">
        <v>620</v>
      </c>
      <c r="K102" s="422" t="s">
        <v>1877</v>
      </c>
      <c r="L102" s="227">
        <v>2023</v>
      </c>
      <c r="M102" s="422">
        <v>2023</v>
      </c>
      <c r="N102" s="422" t="str">
        <f t="shared" si="28"/>
        <v>DEFRA: Gasóleo: WTT: 2023:: l</v>
      </c>
      <c r="O102" s="422" t="str">
        <f t="shared" si="30"/>
        <v>Gasóleo</v>
      </c>
      <c r="P102" s="422">
        <f t="shared" si="29"/>
        <v>0</v>
      </c>
      <c r="Q102" s="227" t="s">
        <v>3499</v>
      </c>
      <c r="R102" s="227" t="s">
        <v>3500</v>
      </c>
      <c r="S102" s="422" t="s">
        <v>42</v>
      </c>
    </row>
    <row r="103" spans="1:19" ht="15.75" thickBot="1" x14ac:dyDescent="0.3">
      <c r="A103" t="s">
        <v>3474</v>
      </c>
      <c r="B103" s="424" t="s">
        <v>45</v>
      </c>
      <c r="C103" s="424" t="str">
        <f t="shared" si="27"/>
        <v>Boa Viagem</v>
      </c>
      <c r="D103" s="425" t="s">
        <v>1527</v>
      </c>
      <c r="E103" s="425" t="s">
        <v>1858</v>
      </c>
      <c r="G103" s="120">
        <v>1543239.5680000002</v>
      </c>
      <c r="H103" s="117" t="s">
        <v>630</v>
      </c>
      <c r="I103" s="123" t="s">
        <v>1861</v>
      </c>
      <c r="J103" s="438" t="s">
        <v>620</v>
      </c>
      <c r="K103" s="422" t="s">
        <v>1877</v>
      </c>
      <c r="L103" s="227">
        <v>2023</v>
      </c>
      <c r="M103" s="422">
        <v>2023</v>
      </c>
      <c r="N103" s="422" t="str">
        <f t="shared" si="28"/>
        <v>DEFRA: Gasóleo: WTT: 2023:: l</v>
      </c>
      <c r="O103" s="422" t="str">
        <f t="shared" si="30"/>
        <v>Gasóleo</v>
      </c>
      <c r="P103" s="422">
        <f t="shared" si="29"/>
        <v>0</v>
      </c>
      <c r="Q103" s="227" t="s">
        <v>3499</v>
      </c>
      <c r="R103" s="227" t="s">
        <v>3500</v>
      </c>
      <c r="S103" s="422" t="s">
        <v>42</v>
      </c>
    </row>
    <row r="104" spans="1:19" ht="15.75" thickBot="1" x14ac:dyDescent="0.3">
      <c r="A104" t="s">
        <v>3470</v>
      </c>
      <c r="B104" s="424" t="s">
        <v>45</v>
      </c>
      <c r="C104" s="424" t="str">
        <f t="shared" si="27"/>
        <v>Mafrense</v>
      </c>
      <c r="D104" s="425" t="s">
        <v>1527</v>
      </c>
      <c r="E104" s="425" t="s">
        <v>1858</v>
      </c>
      <c r="G104" s="120">
        <v>2448102.3220000011</v>
      </c>
      <c r="H104" s="117" t="s">
        <v>630</v>
      </c>
      <c r="I104" s="123" t="s">
        <v>1861</v>
      </c>
      <c r="J104" s="438" t="s">
        <v>620</v>
      </c>
      <c r="K104" s="422" t="s">
        <v>1877</v>
      </c>
      <c r="L104" s="227">
        <v>2023</v>
      </c>
      <c r="M104" s="422">
        <v>2023</v>
      </c>
      <c r="N104" s="422" t="str">
        <f t="shared" si="28"/>
        <v>DEFRA: Gasóleo: WTT: 2023:: l</v>
      </c>
      <c r="O104" s="422" t="str">
        <f t="shared" si="30"/>
        <v>Gasóleo</v>
      </c>
      <c r="P104" s="422">
        <f t="shared" si="29"/>
        <v>0</v>
      </c>
      <c r="Q104" s="227" t="s">
        <v>3499</v>
      </c>
      <c r="R104" s="227" t="s">
        <v>3500</v>
      </c>
      <c r="S104" s="422" t="s">
        <v>42</v>
      </c>
    </row>
    <row r="105" spans="1:19" ht="15.75" thickBot="1" x14ac:dyDescent="0.3">
      <c r="A105" t="s">
        <v>3472</v>
      </c>
      <c r="B105" s="424" t="s">
        <v>45</v>
      </c>
      <c r="C105" s="424" t="str">
        <f t="shared" si="27"/>
        <v>Frota Azul</v>
      </c>
      <c r="D105" s="425" t="s">
        <v>1527</v>
      </c>
      <c r="E105" s="425" t="s">
        <v>1858</v>
      </c>
      <c r="G105" s="120">
        <v>1821055.5829999992</v>
      </c>
      <c r="H105" s="117" t="s">
        <v>630</v>
      </c>
      <c r="I105" s="123" t="s">
        <v>1861</v>
      </c>
      <c r="J105" s="438" t="s">
        <v>620</v>
      </c>
      <c r="K105" s="422" t="s">
        <v>1877</v>
      </c>
      <c r="L105" s="227">
        <v>2023</v>
      </c>
      <c r="M105" s="422">
        <v>2023</v>
      </c>
      <c r="N105" s="422" t="str">
        <f t="shared" si="28"/>
        <v>DEFRA: Gasóleo: WTT: 2023:: l</v>
      </c>
      <c r="O105" s="422" t="str">
        <f t="shared" si="30"/>
        <v>Gasóleo</v>
      </c>
      <c r="P105" s="422">
        <f t="shared" si="29"/>
        <v>0</v>
      </c>
      <c r="Q105" s="227" t="s">
        <v>3499</v>
      </c>
      <c r="R105" s="227" t="s">
        <v>3500</v>
      </c>
      <c r="S105" s="422" t="s">
        <v>42</v>
      </c>
    </row>
    <row r="106" spans="1:19" ht="15.75" thickBot="1" x14ac:dyDescent="0.3">
      <c r="A106" t="s">
        <v>3278</v>
      </c>
      <c r="B106" s="424" t="s">
        <v>45</v>
      </c>
      <c r="C106" s="424" t="str">
        <f t="shared" si="27"/>
        <v>Barraqueiro Alugueres</v>
      </c>
      <c r="D106" s="425" t="s">
        <v>1527</v>
      </c>
      <c r="E106" s="425" t="s">
        <v>1858</v>
      </c>
      <c r="G106" s="120">
        <v>2139304.8019999997</v>
      </c>
      <c r="H106" s="117" t="s">
        <v>630</v>
      </c>
      <c r="I106" s="123" t="s">
        <v>1861</v>
      </c>
      <c r="J106" s="438" t="s">
        <v>620</v>
      </c>
      <c r="K106" s="422" t="s">
        <v>1877</v>
      </c>
      <c r="L106" s="227">
        <v>2023</v>
      </c>
      <c r="M106" s="422">
        <v>2023</v>
      </c>
      <c r="N106" s="422" t="str">
        <f t="shared" si="28"/>
        <v>DEFRA: Gasóleo: WTT: 2023:: l</v>
      </c>
      <c r="O106" s="422" t="str">
        <f t="shared" si="30"/>
        <v>Gasóleo</v>
      </c>
      <c r="P106" s="422">
        <f t="shared" si="29"/>
        <v>0</v>
      </c>
      <c r="Q106" s="227" t="s">
        <v>3499</v>
      </c>
      <c r="R106" s="227" t="s">
        <v>3500</v>
      </c>
      <c r="S106" s="422" t="s">
        <v>42</v>
      </c>
    </row>
    <row r="107" spans="1:19" ht="15.75" thickBot="1" x14ac:dyDescent="0.3">
      <c r="A107" t="s">
        <v>45</v>
      </c>
      <c r="B107" s="424" t="s">
        <v>45</v>
      </c>
      <c r="C107" s="424" t="str">
        <f t="shared" si="27"/>
        <v>X</v>
      </c>
      <c r="D107" s="425" t="s">
        <v>1527</v>
      </c>
      <c r="E107" s="425" t="s">
        <v>1858</v>
      </c>
      <c r="G107" s="120">
        <v>13412447.981000027</v>
      </c>
      <c r="H107" s="117" t="s">
        <v>630</v>
      </c>
      <c r="I107" s="123" t="s">
        <v>1861</v>
      </c>
      <c r="J107" s="438" t="s">
        <v>620</v>
      </c>
      <c r="K107" s="422" t="s">
        <v>1877</v>
      </c>
      <c r="L107" s="227">
        <v>2023</v>
      </c>
      <c r="M107" s="422">
        <v>2023</v>
      </c>
      <c r="N107" s="422" t="str">
        <f t="shared" si="28"/>
        <v>DEFRA: Gasóleo: WTT: 2023:: l</v>
      </c>
      <c r="O107" s="422" t="str">
        <f t="shared" si="30"/>
        <v>Gasóleo</v>
      </c>
      <c r="P107" s="422">
        <f t="shared" si="29"/>
        <v>0</v>
      </c>
      <c r="Q107" s="227" t="s">
        <v>3499</v>
      </c>
      <c r="R107" s="227" t="s">
        <v>3500</v>
      </c>
      <c r="S107" s="422" t="s">
        <v>42</v>
      </c>
    </row>
    <row r="108" spans="1:19" ht="15.75" thickBot="1" x14ac:dyDescent="0.3">
      <c r="A108" t="s">
        <v>3471</v>
      </c>
      <c r="B108" s="424" t="s">
        <v>45</v>
      </c>
      <c r="C108" s="424" t="str">
        <f t="shared" si="27"/>
        <v>Estremadura</v>
      </c>
      <c r="D108" s="425" t="s">
        <v>1527</v>
      </c>
      <c r="E108" s="425" t="s">
        <v>1858</v>
      </c>
      <c r="G108" s="120">
        <v>7523.4699999999993</v>
      </c>
      <c r="H108" s="117" t="s">
        <v>630</v>
      </c>
      <c r="I108" s="123" t="s">
        <v>1861</v>
      </c>
      <c r="J108" s="438" t="s">
        <v>620</v>
      </c>
      <c r="K108" s="422" t="s">
        <v>1877</v>
      </c>
      <c r="L108" s="227">
        <v>2023</v>
      </c>
      <c r="M108" s="422">
        <v>2023</v>
      </c>
      <c r="N108" s="422" t="str">
        <f t="shared" si="28"/>
        <v>DEFRA: Gasóleo: WTT: 2023:: l</v>
      </c>
      <c r="O108" s="422" t="str">
        <f t="shared" si="30"/>
        <v>Gasóleo</v>
      </c>
      <c r="P108" s="422">
        <f t="shared" si="29"/>
        <v>0</v>
      </c>
      <c r="Q108" s="227" t="s">
        <v>3499</v>
      </c>
      <c r="R108" s="227" t="s">
        <v>3500</v>
      </c>
      <c r="S108" s="422" t="s">
        <v>42</v>
      </c>
    </row>
    <row r="109" spans="1:19" ht="15.75" thickBot="1" x14ac:dyDescent="0.3">
      <c r="A109" t="s">
        <v>3474</v>
      </c>
      <c r="B109" s="424" t="s">
        <v>45</v>
      </c>
      <c r="C109" s="424" t="str">
        <f t="shared" si="27"/>
        <v>Boa Viagem</v>
      </c>
      <c r="D109" s="425" t="s">
        <v>1527</v>
      </c>
      <c r="E109" s="425" t="s">
        <v>1858</v>
      </c>
      <c r="G109" s="120">
        <v>2595.42</v>
      </c>
      <c r="H109" s="117" t="s">
        <v>630</v>
      </c>
      <c r="I109" s="123" t="s">
        <v>1861</v>
      </c>
      <c r="J109" s="438" t="s">
        <v>620</v>
      </c>
      <c r="K109" s="422" t="s">
        <v>1877</v>
      </c>
      <c r="L109" s="227">
        <v>2023</v>
      </c>
      <c r="M109" s="422">
        <v>2023</v>
      </c>
      <c r="N109" s="422" t="str">
        <f t="shared" si="28"/>
        <v>DEFRA: Gasóleo: WTT: 2023:: l</v>
      </c>
      <c r="O109" s="422" t="str">
        <f t="shared" si="30"/>
        <v>Gasóleo</v>
      </c>
      <c r="P109" s="422">
        <f t="shared" si="29"/>
        <v>0</v>
      </c>
      <c r="Q109" s="227" t="s">
        <v>3499</v>
      </c>
      <c r="R109" s="227" t="s">
        <v>3500</v>
      </c>
      <c r="S109" s="422" t="s">
        <v>42</v>
      </c>
    </row>
    <row r="110" spans="1:19" ht="15.75" thickBot="1" x14ac:dyDescent="0.3">
      <c r="A110" t="s">
        <v>3470</v>
      </c>
      <c r="B110" s="424" t="s">
        <v>45</v>
      </c>
      <c r="C110" s="424" t="str">
        <f t="shared" si="27"/>
        <v>Mafrense</v>
      </c>
      <c r="D110" s="425" t="s">
        <v>1527</v>
      </c>
      <c r="E110" s="425" t="s">
        <v>1858</v>
      </c>
      <c r="G110" s="120">
        <v>1451.58</v>
      </c>
      <c r="H110" s="117" t="s">
        <v>630</v>
      </c>
      <c r="I110" s="123" t="s">
        <v>1861</v>
      </c>
      <c r="J110" s="438" t="s">
        <v>620</v>
      </c>
      <c r="K110" s="422" t="s">
        <v>1877</v>
      </c>
      <c r="L110" s="227">
        <v>2023</v>
      </c>
      <c r="M110" s="422">
        <v>2023</v>
      </c>
      <c r="N110" s="422" t="str">
        <f t="shared" si="28"/>
        <v>DEFRA: Gasóleo: WTT: 2023:: l</v>
      </c>
      <c r="O110" s="422" t="str">
        <f t="shared" si="30"/>
        <v>Gasóleo</v>
      </c>
      <c r="P110" s="422">
        <f t="shared" si="29"/>
        <v>0</v>
      </c>
      <c r="Q110" s="227" t="s">
        <v>3499</v>
      </c>
      <c r="R110" s="227" t="s">
        <v>3500</v>
      </c>
      <c r="S110" s="422" t="s">
        <v>42</v>
      </c>
    </row>
    <row r="111" spans="1:19" ht="15.75" thickBot="1" x14ac:dyDescent="0.3">
      <c r="A111" t="s">
        <v>3472</v>
      </c>
      <c r="B111" s="424" t="s">
        <v>45</v>
      </c>
      <c r="C111" s="424" t="str">
        <f t="shared" si="27"/>
        <v>Frota Azul</v>
      </c>
      <c r="D111" s="425" t="s">
        <v>1527</v>
      </c>
      <c r="E111" s="425" t="s">
        <v>1858</v>
      </c>
      <c r="G111" s="120">
        <v>15378.85</v>
      </c>
      <c r="H111" s="117" t="s">
        <v>630</v>
      </c>
      <c r="I111" s="123" t="s">
        <v>1861</v>
      </c>
      <c r="J111" s="438" t="s">
        <v>620</v>
      </c>
      <c r="K111" s="422" t="s">
        <v>1877</v>
      </c>
      <c r="L111" s="227">
        <v>2023</v>
      </c>
      <c r="M111" s="422">
        <v>2023</v>
      </c>
      <c r="N111" s="422" t="str">
        <f t="shared" si="28"/>
        <v>DEFRA: Gasóleo: WTT: 2023:: l</v>
      </c>
      <c r="O111" s="422" t="str">
        <f t="shared" si="30"/>
        <v>Gasóleo</v>
      </c>
      <c r="P111" s="422">
        <f t="shared" si="29"/>
        <v>0</v>
      </c>
      <c r="Q111" s="227" t="s">
        <v>3499</v>
      </c>
      <c r="R111" s="227" t="s">
        <v>3500</v>
      </c>
      <c r="S111" s="422" t="s">
        <v>42</v>
      </c>
    </row>
    <row r="112" spans="1:19" ht="15.75" thickBot="1" x14ac:dyDescent="0.3">
      <c r="A112" t="s">
        <v>3278</v>
      </c>
      <c r="B112" s="424" t="s">
        <v>45</v>
      </c>
      <c r="C112" s="424" t="str">
        <f t="shared" si="27"/>
        <v>Barraqueiro Alugueres</v>
      </c>
      <c r="D112" s="425" t="s">
        <v>1527</v>
      </c>
      <c r="E112" s="425" t="s">
        <v>1858</v>
      </c>
      <c r="G112" s="120">
        <v>13645.01</v>
      </c>
      <c r="H112" s="117" t="s">
        <v>630</v>
      </c>
      <c r="I112" s="123" t="s">
        <v>1861</v>
      </c>
      <c r="J112" s="438" t="s">
        <v>620</v>
      </c>
      <c r="K112" s="422" t="s">
        <v>1877</v>
      </c>
      <c r="L112" s="227">
        <v>2023</v>
      </c>
      <c r="M112" s="422">
        <v>2023</v>
      </c>
      <c r="N112" s="422" t="str">
        <f t="shared" si="28"/>
        <v>DEFRA: Gasóleo: WTT: 2023:: l</v>
      </c>
      <c r="O112" s="422" t="str">
        <f t="shared" si="30"/>
        <v>Gasóleo</v>
      </c>
      <c r="P112" s="422">
        <f t="shared" si="29"/>
        <v>0</v>
      </c>
      <c r="Q112" s="227" t="s">
        <v>3499</v>
      </c>
      <c r="R112" s="227" t="s">
        <v>3500</v>
      </c>
      <c r="S112" s="422" t="s">
        <v>42</v>
      </c>
    </row>
    <row r="113" spans="1:19" ht="15.75" thickBot="1" x14ac:dyDescent="0.3">
      <c r="A113" t="s">
        <v>45</v>
      </c>
      <c r="B113" s="424" t="s">
        <v>45</v>
      </c>
      <c r="C113" s="424" t="str">
        <f t="shared" si="27"/>
        <v>X</v>
      </c>
      <c r="D113" s="425" t="s">
        <v>1527</v>
      </c>
      <c r="E113" s="425" t="s">
        <v>1858</v>
      </c>
      <c r="G113" s="120">
        <v>40594.33</v>
      </c>
      <c r="H113" s="117" t="s">
        <v>630</v>
      </c>
      <c r="I113" s="123" t="s">
        <v>1861</v>
      </c>
      <c r="J113" s="438" t="s">
        <v>620</v>
      </c>
      <c r="K113" s="422" t="s">
        <v>1877</v>
      </c>
      <c r="L113" s="227">
        <v>2023</v>
      </c>
      <c r="M113" s="422">
        <v>2023</v>
      </c>
      <c r="N113" s="422" t="str">
        <f t="shared" si="28"/>
        <v>DEFRA: Gasóleo: WTT: 2023:: l</v>
      </c>
      <c r="O113" s="422" t="str">
        <f t="shared" si="30"/>
        <v>Gasóleo</v>
      </c>
      <c r="P113" s="422">
        <f t="shared" si="29"/>
        <v>0</v>
      </c>
      <c r="Q113" s="227" t="s">
        <v>3499</v>
      </c>
      <c r="R113" s="227" t="s">
        <v>3500</v>
      </c>
      <c r="S113" s="422" t="s">
        <v>42</v>
      </c>
    </row>
    <row r="114" spans="1:19" ht="15.75" thickBot="1" x14ac:dyDescent="0.3">
      <c r="A114" t="s">
        <v>45</v>
      </c>
      <c r="B114" s="424" t="s">
        <v>45</v>
      </c>
      <c r="C114" s="424" t="str">
        <f t="shared" si="27"/>
        <v>X</v>
      </c>
      <c r="D114" s="425" t="s">
        <v>1527</v>
      </c>
      <c r="E114" s="425" t="s">
        <v>1858</v>
      </c>
      <c r="G114" s="120">
        <v>5338.6170000000002</v>
      </c>
      <c r="H114" s="117" t="s">
        <v>630</v>
      </c>
      <c r="I114" s="123" t="s">
        <v>1861</v>
      </c>
      <c r="J114" s="438" t="s">
        <v>620</v>
      </c>
      <c r="K114" s="422" t="s">
        <v>1877</v>
      </c>
      <c r="L114" s="227">
        <v>2023</v>
      </c>
      <c r="M114" s="422">
        <v>2023</v>
      </c>
      <c r="N114" s="422" t="str">
        <f t="shared" si="28"/>
        <v>DEFRA: Gasóleo: WTT: 2023:: l</v>
      </c>
      <c r="O114" s="422" t="str">
        <f t="shared" si="30"/>
        <v>Gasóleo</v>
      </c>
      <c r="P114" s="422">
        <f t="shared" si="29"/>
        <v>0</v>
      </c>
      <c r="Q114" s="227" t="s">
        <v>3499</v>
      </c>
      <c r="R114" s="227" t="s">
        <v>3500</v>
      </c>
      <c r="S114" s="422" t="s">
        <v>42</v>
      </c>
    </row>
    <row r="115" spans="1:19" ht="15.75" thickBot="1" x14ac:dyDescent="0.3">
      <c r="A115" t="s">
        <v>45</v>
      </c>
      <c r="B115" s="424" t="s">
        <v>45</v>
      </c>
      <c r="C115" s="424" t="str">
        <f t="shared" si="27"/>
        <v>X</v>
      </c>
      <c r="D115" s="425" t="s">
        <v>1527</v>
      </c>
      <c r="E115" s="425" t="s">
        <v>1858</v>
      </c>
      <c r="G115" s="120">
        <v>25156.080000000002</v>
      </c>
      <c r="H115" s="117" t="s">
        <v>630</v>
      </c>
      <c r="I115" s="123" t="s">
        <v>1861</v>
      </c>
      <c r="J115" s="438" t="s">
        <v>620</v>
      </c>
      <c r="K115" s="422" t="s">
        <v>1877</v>
      </c>
      <c r="L115" s="227">
        <v>2023</v>
      </c>
      <c r="M115" s="422">
        <v>2023</v>
      </c>
      <c r="N115" s="422" t="str">
        <f t="shared" si="28"/>
        <v>DEFRA: Gasóleo: WTT: 2023:: l</v>
      </c>
      <c r="O115" s="422" t="str">
        <f t="shared" si="30"/>
        <v>Gasóleo</v>
      </c>
      <c r="P115" s="422">
        <f t="shared" si="29"/>
        <v>0</v>
      </c>
      <c r="Q115" s="227" t="s">
        <v>3499</v>
      </c>
      <c r="R115" s="227" t="s">
        <v>3500</v>
      </c>
      <c r="S115" s="422" t="s">
        <v>42</v>
      </c>
    </row>
    <row r="116" spans="1:19" ht="15.75" thickBot="1" x14ac:dyDescent="0.3">
      <c r="A116" t="s">
        <v>45</v>
      </c>
      <c r="B116" s="424" t="s">
        <v>45</v>
      </c>
      <c r="C116" s="424" t="str">
        <f t="shared" si="27"/>
        <v>X</v>
      </c>
      <c r="D116" s="425" t="s">
        <v>1527</v>
      </c>
      <c r="E116" s="425" t="s">
        <v>1858</v>
      </c>
      <c r="G116" s="120">
        <v>5772.4400000000005</v>
      </c>
      <c r="H116" s="117" t="s">
        <v>630</v>
      </c>
      <c r="I116" s="123" t="s">
        <v>1861</v>
      </c>
      <c r="J116" s="438" t="s">
        <v>1933</v>
      </c>
      <c r="K116" s="422" t="s">
        <v>1877</v>
      </c>
      <c r="L116" s="227">
        <v>2023</v>
      </c>
      <c r="M116" s="422">
        <v>2023</v>
      </c>
      <c r="N116" s="422" t="str">
        <f t="shared" si="28"/>
        <v>DEFRA: Gasolina: WTT: 2023:: l</v>
      </c>
      <c r="O116" s="422" t="str">
        <f t="shared" si="30"/>
        <v>Gasolina</v>
      </c>
      <c r="P116" s="422">
        <f t="shared" si="29"/>
        <v>0</v>
      </c>
      <c r="Q116" s="227" t="s">
        <v>3499</v>
      </c>
      <c r="R116" s="227" t="s">
        <v>3500</v>
      </c>
      <c r="S116" s="422" t="s">
        <v>42</v>
      </c>
    </row>
    <row r="117" spans="1:19" ht="15.75" thickBot="1" x14ac:dyDescent="0.3">
      <c r="A117" s="424" t="s">
        <v>4580</v>
      </c>
      <c r="B117" s="424" t="s">
        <v>4580</v>
      </c>
      <c r="C117" s="424" t="str">
        <f t="shared" si="27"/>
        <v>X</v>
      </c>
      <c r="D117" s="425" t="s">
        <v>588</v>
      </c>
      <c r="E117" s="425" t="s">
        <v>1859</v>
      </c>
      <c r="F117" s="425" t="s">
        <v>538</v>
      </c>
      <c r="G117" s="175">
        <v>19543</v>
      </c>
      <c r="H117" s="427" t="s">
        <v>589</v>
      </c>
      <c r="I117" s="123" t="s">
        <v>589</v>
      </c>
      <c r="J117" s="425" t="s">
        <v>1879</v>
      </c>
      <c r="K117" s="422" t="s">
        <v>5942</v>
      </c>
      <c r="L117" s="227">
        <v>2023</v>
      </c>
      <c r="M117" s="422">
        <v>2022</v>
      </c>
      <c r="N117" s="422" t="str">
        <f t="shared" ref="N117" si="31">IF(J117="Eléctrica",K117&amp;": "&amp;J117&amp;": "&amp;E117&amp;": Portugal: "&amp;M117&amp;":: "&amp;I117,K117&amp;": "&amp;J117&amp;": "&amp;E117&amp;": "&amp;M117&amp;":: "&amp;I117)</f>
        <v>AIE/APA NIR 2024: Eléctrica: Perdas Rede SEN: Portugal: 2022:: kWh</v>
      </c>
      <c r="O117" s="422" t="str">
        <f t="shared" si="30"/>
        <v>Eléctrica</v>
      </c>
      <c r="P117" s="422" t="str">
        <f t="shared" ref="P117" si="32">F117</f>
        <v>GALP</v>
      </c>
      <c r="Q117" s="227" t="s">
        <v>3499</v>
      </c>
      <c r="R117" s="227" t="s">
        <v>3500</v>
      </c>
      <c r="S117" s="422" t="s">
        <v>42</v>
      </c>
    </row>
    <row r="118" spans="1:19" ht="15.75" thickBot="1" x14ac:dyDescent="0.3">
      <c r="A118" s="424" t="s">
        <v>4580</v>
      </c>
      <c r="B118" s="424" t="s">
        <v>4580</v>
      </c>
      <c r="C118" s="424" t="str">
        <f t="shared" si="27"/>
        <v>X</v>
      </c>
      <c r="D118" s="425" t="s">
        <v>1527</v>
      </c>
      <c r="E118" s="425" t="s">
        <v>1858</v>
      </c>
      <c r="F118" s="422"/>
      <c r="G118" s="175">
        <v>799326.27600000007</v>
      </c>
      <c r="H118" s="427" t="s">
        <v>630</v>
      </c>
      <c r="I118" s="123" t="s">
        <v>1861</v>
      </c>
      <c r="J118" s="438" t="s">
        <v>620</v>
      </c>
      <c r="K118" s="422" t="s">
        <v>1877</v>
      </c>
      <c r="L118" s="227">
        <v>2023</v>
      </c>
      <c r="M118" s="422">
        <v>2023</v>
      </c>
      <c r="N118" s="422" t="str">
        <f t="shared" ref="N118:N120" si="33">IF(J118="Eléctrica",K118&amp;": "&amp;J118&amp;": "&amp;E118&amp;": Portugal: "&amp;M118&amp;":: "&amp;I118,K118&amp;": "&amp;J118&amp;": "&amp;E118&amp;": "&amp;M118&amp;":: "&amp;I118)</f>
        <v>DEFRA: Gasóleo: WTT: 2023:: l</v>
      </c>
      <c r="O118" s="422" t="str">
        <f t="shared" si="30"/>
        <v>Gasóleo</v>
      </c>
      <c r="P118" s="422">
        <f t="shared" ref="P118:P120" si="34">F118</f>
        <v>0</v>
      </c>
      <c r="Q118" s="227" t="s">
        <v>3499</v>
      </c>
      <c r="R118" s="227" t="s">
        <v>3500</v>
      </c>
      <c r="S118" s="422" t="s">
        <v>42</v>
      </c>
    </row>
    <row r="119" spans="1:19" ht="15.75" thickBot="1" x14ac:dyDescent="0.3">
      <c r="A119" s="424" t="s">
        <v>4580</v>
      </c>
      <c r="B119" s="424" t="s">
        <v>4580</v>
      </c>
      <c r="C119" s="424" t="str">
        <f t="shared" ref="C119:C182" si="35">IF(A119=B119,"X",RIGHT(A119,LEN(A119)-LEN(B119)-3))</f>
        <v>X</v>
      </c>
      <c r="D119" s="425" t="s">
        <v>1527</v>
      </c>
      <c r="E119" s="425" t="s">
        <v>1858</v>
      </c>
      <c r="G119" s="175">
        <v>1693.0409999999999</v>
      </c>
      <c r="H119" s="427" t="s">
        <v>630</v>
      </c>
      <c r="I119" s="123" t="s">
        <v>1861</v>
      </c>
      <c r="J119" s="438" t="s">
        <v>620</v>
      </c>
      <c r="K119" s="422" t="s">
        <v>1877</v>
      </c>
      <c r="L119" s="227">
        <v>2023</v>
      </c>
      <c r="M119" s="422">
        <v>2023</v>
      </c>
      <c r="N119" s="422" t="str">
        <f t="shared" si="33"/>
        <v>DEFRA: Gasóleo: WTT: 2023:: l</v>
      </c>
      <c r="O119" s="422" t="str">
        <f t="shared" si="30"/>
        <v>Gasóleo</v>
      </c>
      <c r="P119" s="422">
        <f t="shared" si="34"/>
        <v>0</v>
      </c>
      <c r="Q119" s="227" t="s">
        <v>3499</v>
      </c>
      <c r="R119" s="227" t="s">
        <v>3500</v>
      </c>
      <c r="S119" s="422" t="s">
        <v>42</v>
      </c>
    </row>
    <row r="120" spans="1:19" ht="15.75" thickBot="1" x14ac:dyDescent="0.3">
      <c r="A120" t="s">
        <v>4669</v>
      </c>
      <c r="B120" t="s">
        <v>4669</v>
      </c>
      <c r="C120" s="424" t="str">
        <f t="shared" si="35"/>
        <v>X</v>
      </c>
      <c r="D120" s="425" t="s">
        <v>588</v>
      </c>
      <c r="E120" s="425" t="s">
        <v>1859</v>
      </c>
      <c r="F120" t="s">
        <v>4660</v>
      </c>
      <c r="G120" s="89">
        <v>301395</v>
      </c>
      <c r="H120" s="427" t="s">
        <v>589</v>
      </c>
      <c r="I120" s="123" t="s">
        <v>589</v>
      </c>
      <c r="J120" s="425" t="s">
        <v>1879</v>
      </c>
      <c r="K120" s="422" t="s">
        <v>5942</v>
      </c>
      <c r="L120" s="227">
        <v>2023</v>
      </c>
      <c r="M120" s="422">
        <v>2022</v>
      </c>
      <c r="N120" s="422" t="str">
        <f t="shared" si="33"/>
        <v>AIE/APA NIR 2024: Eléctrica: Perdas Rede SEN: Portugal: 2022:: kWh</v>
      </c>
      <c r="O120" s="422" t="str">
        <f t="shared" si="30"/>
        <v>Eléctrica</v>
      </c>
      <c r="P120" s="422" t="str">
        <f t="shared" si="34"/>
        <v>SUBrasil</v>
      </c>
      <c r="Q120" s="227" t="s">
        <v>3499</v>
      </c>
      <c r="R120" s="227" t="s">
        <v>3500</v>
      </c>
      <c r="S120" s="422" t="s">
        <v>42</v>
      </c>
    </row>
    <row r="121" spans="1:19" ht="15.75" thickBot="1" x14ac:dyDescent="0.3">
      <c r="A121" t="s">
        <v>4643</v>
      </c>
      <c r="B121" t="s">
        <v>4643</v>
      </c>
      <c r="C121" s="424" t="str">
        <f t="shared" si="35"/>
        <v>X</v>
      </c>
      <c r="D121" s="425" t="s">
        <v>588</v>
      </c>
      <c r="E121" s="425" t="s">
        <v>1859</v>
      </c>
      <c r="F121" s="422" t="s">
        <v>538</v>
      </c>
      <c r="G121" s="89">
        <v>15272</v>
      </c>
      <c r="H121" s="427" t="s">
        <v>589</v>
      </c>
      <c r="I121" s="123" t="s">
        <v>589</v>
      </c>
      <c r="J121" s="425" t="s">
        <v>1879</v>
      </c>
      <c r="K121" s="422" t="s">
        <v>5942</v>
      </c>
      <c r="L121" s="227">
        <v>2023</v>
      </c>
      <c r="M121" s="422">
        <v>2022</v>
      </c>
      <c r="N121" s="422" t="str">
        <f t="shared" ref="N121:N161" si="36">IF(J121="Eléctrica",K121&amp;": "&amp;J121&amp;": "&amp;E121&amp;": Portugal: "&amp;M121&amp;":: "&amp;I121,K121&amp;": "&amp;J121&amp;": "&amp;E121&amp;": "&amp;M121&amp;":: "&amp;I121)</f>
        <v>AIE/APA NIR 2024: Eléctrica: Perdas Rede SEN: Portugal: 2022:: kWh</v>
      </c>
      <c r="O121" s="422" t="str">
        <f t="shared" si="30"/>
        <v>Eléctrica</v>
      </c>
      <c r="P121" s="422" t="str">
        <f t="shared" ref="P121:P161" si="37">F121</f>
        <v>GALP</v>
      </c>
      <c r="Q121" s="227" t="s">
        <v>3499</v>
      </c>
      <c r="R121" s="227" t="s">
        <v>3500</v>
      </c>
      <c r="S121" s="422" t="s">
        <v>42</v>
      </c>
    </row>
    <row r="122" spans="1:19" ht="15.75" thickBot="1" x14ac:dyDescent="0.3">
      <c r="A122" t="s">
        <v>4581</v>
      </c>
      <c r="B122" t="s">
        <v>4581</v>
      </c>
      <c r="C122" s="424" t="str">
        <f t="shared" si="35"/>
        <v>X</v>
      </c>
      <c r="D122" s="425" t="s">
        <v>588</v>
      </c>
      <c r="E122" s="425" t="s">
        <v>1859</v>
      </c>
      <c r="F122" s="422" t="s">
        <v>538</v>
      </c>
      <c r="G122" s="89">
        <v>8098</v>
      </c>
      <c r="H122" s="427" t="s">
        <v>589</v>
      </c>
      <c r="I122" s="123" t="s">
        <v>589</v>
      </c>
      <c r="J122" s="425" t="s">
        <v>1879</v>
      </c>
      <c r="K122" s="422" t="s">
        <v>5942</v>
      </c>
      <c r="L122" s="227">
        <v>2023</v>
      </c>
      <c r="M122" s="422">
        <v>2022</v>
      </c>
      <c r="N122" s="422" t="str">
        <f t="shared" si="36"/>
        <v>AIE/APA NIR 2024: Eléctrica: Perdas Rede SEN: Portugal: 2022:: kWh</v>
      </c>
      <c r="O122" s="422" t="str">
        <f t="shared" si="30"/>
        <v>Eléctrica</v>
      </c>
      <c r="P122" s="422" t="str">
        <f t="shared" si="37"/>
        <v>GALP</v>
      </c>
      <c r="Q122" s="227" t="s">
        <v>3499</v>
      </c>
      <c r="R122" s="227" t="s">
        <v>3500</v>
      </c>
      <c r="S122" s="422" t="s">
        <v>42</v>
      </c>
    </row>
    <row r="123" spans="1:19" ht="15.75" thickBot="1" x14ac:dyDescent="0.3">
      <c r="A123" t="s">
        <v>4661</v>
      </c>
      <c r="B123" t="s">
        <v>4661</v>
      </c>
      <c r="C123" s="424" t="str">
        <f t="shared" si="35"/>
        <v>X</v>
      </c>
      <c r="D123" s="425" t="s">
        <v>588</v>
      </c>
      <c r="E123" s="425" t="s">
        <v>1859</v>
      </c>
      <c r="F123" s="422" t="s">
        <v>538</v>
      </c>
      <c r="G123" s="89">
        <v>233696</v>
      </c>
      <c r="H123" s="427" t="s">
        <v>589</v>
      </c>
      <c r="I123" s="123" t="s">
        <v>589</v>
      </c>
      <c r="J123" s="425" t="s">
        <v>1879</v>
      </c>
      <c r="K123" s="422" t="s">
        <v>5942</v>
      </c>
      <c r="L123" s="227">
        <v>2023</v>
      </c>
      <c r="M123" s="422">
        <v>2022</v>
      </c>
      <c r="N123" s="422" t="str">
        <f t="shared" si="36"/>
        <v>AIE/APA NIR 2024: Eléctrica: Perdas Rede SEN: Portugal: 2022:: kWh</v>
      </c>
      <c r="O123" s="422" t="str">
        <f t="shared" si="30"/>
        <v>Eléctrica</v>
      </c>
      <c r="P123" s="422" t="str">
        <f t="shared" si="37"/>
        <v>GALP</v>
      </c>
      <c r="Q123" s="227" t="s">
        <v>3499</v>
      </c>
      <c r="R123" s="227" t="s">
        <v>3500</v>
      </c>
      <c r="S123" s="422" t="s">
        <v>42</v>
      </c>
    </row>
    <row r="124" spans="1:19" ht="15.75" thickBot="1" x14ac:dyDescent="0.3">
      <c r="A124" t="s">
        <v>4583</v>
      </c>
      <c r="B124" t="s">
        <v>4583</v>
      </c>
      <c r="C124" s="424" t="str">
        <f t="shared" si="35"/>
        <v>X</v>
      </c>
      <c r="D124" s="425" t="s">
        <v>588</v>
      </c>
      <c r="E124" s="425" t="s">
        <v>1859</v>
      </c>
      <c r="F124" s="422" t="s">
        <v>538</v>
      </c>
      <c r="G124" s="89">
        <v>2346040.9980440149</v>
      </c>
      <c r="H124" s="427" t="s">
        <v>589</v>
      </c>
      <c r="I124" s="123" t="s">
        <v>589</v>
      </c>
      <c r="J124" s="425" t="s">
        <v>1879</v>
      </c>
      <c r="K124" s="422" t="s">
        <v>5942</v>
      </c>
      <c r="L124" s="227">
        <v>2023</v>
      </c>
      <c r="M124" s="422">
        <v>2022</v>
      </c>
      <c r="N124" s="422" t="str">
        <f t="shared" si="36"/>
        <v>AIE/APA NIR 2024: Eléctrica: Perdas Rede SEN: Portugal: 2022:: kWh</v>
      </c>
      <c r="O124" s="422" t="str">
        <f t="shared" si="30"/>
        <v>Eléctrica</v>
      </c>
      <c r="P124" s="422" t="str">
        <f t="shared" si="37"/>
        <v>GALP</v>
      </c>
      <c r="Q124" s="227" t="s">
        <v>3499</v>
      </c>
      <c r="R124" s="227" t="s">
        <v>3500</v>
      </c>
      <c r="S124" s="422" t="s">
        <v>42</v>
      </c>
    </row>
    <row r="125" spans="1:19" ht="15.75" thickBot="1" x14ac:dyDescent="0.3">
      <c r="A125" t="s">
        <v>4583</v>
      </c>
      <c r="B125" t="s">
        <v>4583</v>
      </c>
      <c r="C125" s="424" t="str">
        <f t="shared" si="35"/>
        <v>X</v>
      </c>
      <c r="D125" s="425" t="s">
        <v>588</v>
      </c>
      <c r="E125" s="425" t="s">
        <v>1859</v>
      </c>
      <c r="F125" s="422" t="s">
        <v>538</v>
      </c>
      <c r="G125" s="89">
        <v>1132075</v>
      </c>
      <c r="H125" s="427" t="s">
        <v>589</v>
      </c>
      <c r="I125" s="123" t="s">
        <v>589</v>
      </c>
      <c r="J125" s="425" t="s">
        <v>1879</v>
      </c>
      <c r="K125" s="422" t="s">
        <v>5942</v>
      </c>
      <c r="L125" s="227">
        <v>2023</v>
      </c>
      <c r="M125" s="422">
        <v>2022</v>
      </c>
      <c r="N125" s="422" t="str">
        <f t="shared" si="36"/>
        <v>AIE/APA NIR 2024: Eléctrica: Perdas Rede SEN: Portugal: 2022:: kWh</v>
      </c>
      <c r="O125" s="422" t="str">
        <f t="shared" si="30"/>
        <v>Eléctrica</v>
      </c>
      <c r="P125" s="422" t="str">
        <f t="shared" si="37"/>
        <v>GALP</v>
      </c>
      <c r="Q125" s="227" t="s">
        <v>3499</v>
      </c>
      <c r="R125" s="227" t="s">
        <v>3500</v>
      </c>
      <c r="S125" s="422" t="s">
        <v>42</v>
      </c>
    </row>
    <row r="126" spans="1:19" ht="15.75" thickBot="1" x14ac:dyDescent="0.3">
      <c r="A126" t="s">
        <v>4601</v>
      </c>
      <c r="B126" t="s">
        <v>4601</v>
      </c>
      <c r="C126" s="424" t="str">
        <f t="shared" si="35"/>
        <v>X</v>
      </c>
      <c r="D126" s="425" t="s">
        <v>588</v>
      </c>
      <c r="E126" s="425" t="s">
        <v>1859</v>
      </c>
      <c r="F126" s="422" t="s">
        <v>538</v>
      </c>
      <c r="G126" s="89">
        <v>3934397</v>
      </c>
      <c r="H126" s="427" t="s">
        <v>589</v>
      </c>
      <c r="I126" s="123" t="s">
        <v>589</v>
      </c>
      <c r="J126" s="425" t="s">
        <v>1879</v>
      </c>
      <c r="K126" s="422" t="s">
        <v>5942</v>
      </c>
      <c r="L126" s="227">
        <v>2023</v>
      </c>
      <c r="M126" s="422">
        <v>2022</v>
      </c>
      <c r="N126" s="422" t="str">
        <f t="shared" si="36"/>
        <v>AIE/APA NIR 2024: Eléctrica: Perdas Rede SEN: Portugal: 2022:: kWh</v>
      </c>
      <c r="O126" s="422" t="str">
        <f t="shared" si="30"/>
        <v>Eléctrica</v>
      </c>
      <c r="P126" s="422" t="str">
        <f t="shared" si="37"/>
        <v>GALP</v>
      </c>
      <c r="Q126" s="227" t="s">
        <v>3499</v>
      </c>
      <c r="R126" s="227" t="s">
        <v>3500</v>
      </c>
      <c r="S126" s="422" t="s">
        <v>42</v>
      </c>
    </row>
    <row r="127" spans="1:19" ht="15.75" thickBot="1" x14ac:dyDescent="0.3">
      <c r="A127" t="s">
        <v>4601</v>
      </c>
      <c r="B127" s="422" t="s">
        <v>4601</v>
      </c>
      <c r="C127" s="424" t="str">
        <f t="shared" si="35"/>
        <v>X</v>
      </c>
      <c r="D127" s="425" t="s">
        <v>588</v>
      </c>
      <c r="E127" s="425" t="s">
        <v>1859</v>
      </c>
      <c r="F127" s="422" t="s">
        <v>4614</v>
      </c>
      <c r="G127" s="89">
        <v>20868775.284589697</v>
      </c>
      <c r="H127" s="427" t="s">
        <v>589</v>
      </c>
      <c r="I127" s="123" t="s">
        <v>589</v>
      </c>
      <c r="J127" s="425" t="s">
        <v>1879</v>
      </c>
      <c r="K127" s="422" t="s">
        <v>5942</v>
      </c>
      <c r="L127" s="227">
        <v>2023</v>
      </c>
      <c r="M127" s="422">
        <v>2022</v>
      </c>
      <c r="N127" s="422" t="str">
        <f t="shared" si="36"/>
        <v>AIE/APA NIR 2024: Eléctrica: Perdas Rede SEN: Portugal: 2022:: kWh</v>
      </c>
      <c r="O127" s="422" t="str">
        <f t="shared" si="30"/>
        <v>Eléctrica</v>
      </c>
      <c r="P127" s="422" t="str">
        <f t="shared" si="37"/>
        <v>MixIP</v>
      </c>
      <c r="Q127" s="227" t="s">
        <v>3499</v>
      </c>
      <c r="R127" s="227" t="s">
        <v>3500</v>
      </c>
      <c r="S127" s="422" t="s">
        <v>42</v>
      </c>
    </row>
    <row r="128" spans="1:19" ht="15.75" thickBot="1" x14ac:dyDescent="0.3">
      <c r="A128" t="s">
        <v>4642</v>
      </c>
      <c r="B128" t="s">
        <v>4642</v>
      </c>
      <c r="C128" s="424" t="str">
        <f t="shared" si="35"/>
        <v>X</v>
      </c>
      <c r="D128" s="425" t="s">
        <v>588</v>
      </c>
      <c r="E128" s="425" t="s">
        <v>1859</v>
      </c>
      <c r="F128" s="422" t="s">
        <v>538</v>
      </c>
      <c r="H128" s="427" t="s">
        <v>589</v>
      </c>
      <c r="I128" s="123" t="s">
        <v>589</v>
      </c>
      <c r="J128" s="425" t="s">
        <v>1879</v>
      </c>
      <c r="K128" s="422" t="s">
        <v>5942</v>
      </c>
      <c r="L128" s="227">
        <v>2023</v>
      </c>
      <c r="M128" s="422">
        <v>2022</v>
      </c>
      <c r="N128" s="422" t="str">
        <f t="shared" si="36"/>
        <v>AIE/APA NIR 2024: Eléctrica: Perdas Rede SEN: Portugal: 2022:: kWh</v>
      </c>
      <c r="O128" s="422" t="str">
        <f t="shared" si="30"/>
        <v>Eléctrica</v>
      </c>
      <c r="P128" s="422" t="str">
        <f t="shared" si="37"/>
        <v>GALP</v>
      </c>
      <c r="Q128" s="227" t="s">
        <v>3499</v>
      </c>
      <c r="R128" s="227" t="s">
        <v>3500</v>
      </c>
      <c r="S128" s="422" t="s">
        <v>42</v>
      </c>
    </row>
    <row r="129" spans="1:19" ht="15.75" thickBot="1" x14ac:dyDescent="0.3">
      <c r="A129" t="s">
        <v>4584</v>
      </c>
      <c r="B129" t="s">
        <v>4584</v>
      </c>
      <c r="C129" s="424" t="str">
        <f t="shared" si="35"/>
        <v>X</v>
      </c>
      <c r="D129" s="425" t="s">
        <v>588</v>
      </c>
      <c r="E129" s="425" t="s">
        <v>1859</v>
      </c>
      <c r="F129" s="422" t="s">
        <v>538</v>
      </c>
      <c r="G129" s="89">
        <v>91921.0541588997</v>
      </c>
      <c r="H129" s="427" t="s">
        <v>589</v>
      </c>
      <c r="I129" s="123" t="s">
        <v>589</v>
      </c>
      <c r="J129" s="425" t="s">
        <v>1879</v>
      </c>
      <c r="K129" s="422" t="s">
        <v>5942</v>
      </c>
      <c r="L129" s="227">
        <v>2023</v>
      </c>
      <c r="M129" s="422">
        <v>2022</v>
      </c>
      <c r="N129" s="422" t="str">
        <f t="shared" si="36"/>
        <v>AIE/APA NIR 2024: Eléctrica: Perdas Rede SEN: Portugal: 2022:: kWh</v>
      </c>
      <c r="O129" s="422" t="str">
        <f t="shared" si="30"/>
        <v>Eléctrica</v>
      </c>
      <c r="P129" s="422" t="str">
        <f t="shared" si="37"/>
        <v>GALP</v>
      </c>
      <c r="Q129" s="227" t="s">
        <v>3499</v>
      </c>
      <c r="R129" s="227" t="s">
        <v>3500</v>
      </c>
      <c r="S129" s="422" t="s">
        <v>42</v>
      </c>
    </row>
    <row r="130" spans="1:19" ht="15.75" thickBot="1" x14ac:dyDescent="0.3">
      <c r="A130" t="s">
        <v>4603</v>
      </c>
      <c r="B130" t="s">
        <v>4603</v>
      </c>
      <c r="C130" s="424" t="str">
        <f t="shared" si="35"/>
        <v>X</v>
      </c>
      <c r="D130" s="425" t="s">
        <v>588</v>
      </c>
      <c r="E130" s="425" t="s">
        <v>1859</v>
      </c>
      <c r="F130" s="422" t="s">
        <v>538</v>
      </c>
      <c r="G130" s="89">
        <v>6575309</v>
      </c>
      <c r="H130" s="427" t="s">
        <v>589</v>
      </c>
      <c r="I130" s="123" t="s">
        <v>589</v>
      </c>
      <c r="J130" s="425" t="s">
        <v>1879</v>
      </c>
      <c r="K130" s="422" t="s">
        <v>5942</v>
      </c>
      <c r="L130" s="227">
        <v>2023</v>
      </c>
      <c r="M130" s="422">
        <v>2022</v>
      </c>
      <c r="N130" s="422" t="str">
        <f t="shared" si="36"/>
        <v>AIE/APA NIR 2024: Eléctrica: Perdas Rede SEN: Portugal: 2022:: kWh</v>
      </c>
      <c r="O130" s="422" t="str">
        <f t="shared" si="30"/>
        <v>Eléctrica</v>
      </c>
      <c r="P130" s="422" t="str">
        <f t="shared" si="37"/>
        <v>GALP</v>
      </c>
      <c r="Q130" s="227" t="s">
        <v>3499</v>
      </c>
      <c r="R130" s="227" t="s">
        <v>3500</v>
      </c>
      <c r="S130" s="422" t="s">
        <v>42</v>
      </c>
    </row>
    <row r="131" spans="1:19" ht="15.75" thickBot="1" x14ac:dyDescent="0.3">
      <c r="A131" t="s">
        <v>4671</v>
      </c>
      <c r="B131" t="s">
        <v>4671</v>
      </c>
      <c r="C131" s="424" t="str">
        <f t="shared" si="35"/>
        <v>X</v>
      </c>
      <c r="D131" s="425" t="s">
        <v>588</v>
      </c>
      <c r="E131" s="425" t="s">
        <v>1859</v>
      </c>
      <c r="F131" s="422" t="s">
        <v>538</v>
      </c>
      <c r="G131" s="89">
        <v>904</v>
      </c>
      <c r="H131" s="427" t="s">
        <v>589</v>
      </c>
      <c r="I131" s="123" t="s">
        <v>589</v>
      </c>
      <c r="J131" s="425" t="s">
        <v>1879</v>
      </c>
      <c r="K131" s="422" t="s">
        <v>5942</v>
      </c>
      <c r="L131" s="227">
        <v>2023</v>
      </c>
      <c r="M131" s="422">
        <v>2022</v>
      </c>
      <c r="N131" s="422" t="str">
        <f t="shared" si="36"/>
        <v>AIE/APA NIR 2024: Eléctrica: Perdas Rede SEN: Portugal: 2022:: kWh</v>
      </c>
      <c r="O131" s="422" t="str">
        <f t="shared" si="30"/>
        <v>Eléctrica</v>
      </c>
      <c r="P131" s="422" t="str">
        <f t="shared" si="37"/>
        <v>GALP</v>
      </c>
      <c r="Q131" s="227" t="s">
        <v>3499</v>
      </c>
      <c r="R131" s="227" t="s">
        <v>3500</v>
      </c>
      <c r="S131" s="422" t="s">
        <v>42</v>
      </c>
    </row>
    <row r="132" spans="1:19" ht="15.75" thickBot="1" x14ac:dyDescent="0.3">
      <c r="A132" t="s">
        <v>2817</v>
      </c>
      <c r="B132" t="s">
        <v>2817</v>
      </c>
      <c r="C132" s="424" t="str">
        <f t="shared" si="35"/>
        <v>X</v>
      </c>
      <c r="D132" s="425" t="s">
        <v>588</v>
      </c>
      <c r="E132" s="425" t="s">
        <v>1859</v>
      </c>
      <c r="F132" s="422" t="s">
        <v>538</v>
      </c>
      <c r="G132" s="89">
        <v>229672</v>
      </c>
      <c r="H132" s="427" t="s">
        <v>589</v>
      </c>
      <c r="I132" s="123" t="s">
        <v>589</v>
      </c>
      <c r="J132" s="425" t="s">
        <v>1879</v>
      </c>
      <c r="K132" s="422" t="s">
        <v>5942</v>
      </c>
      <c r="L132" s="227">
        <v>2023</v>
      </c>
      <c r="M132" s="422">
        <v>2022</v>
      </c>
      <c r="N132" s="422" t="str">
        <f t="shared" si="36"/>
        <v>AIE/APA NIR 2024: Eléctrica: Perdas Rede SEN: Portugal: 2022:: kWh</v>
      </c>
      <c r="O132" s="422" t="str">
        <f t="shared" si="30"/>
        <v>Eléctrica</v>
      </c>
      <c r="P132" s="422" t="str">
        <f t="shared" si="37"/>
        <v>GALP</v>
      </c>
      <c r="Q132" s="227" t="s">
        <v>3499</v>
      </c>
      <c r="R132" s="227" t="s">
        <v>3500</v>
      </c>
      <c r="S132" s="422" t="s">
        <v>42</v>
      </c>
    </row>
    <row r="133" spans="1:19" ht="15.75" thickBot="1" x14ac:dyDescent="0.3">
      <c r="A133" t="s">
        <v>1912</v>
      </c>
      <c r="B133" t="s">
        <v>1912</v>
      </c>
      <c r="C133" s="424" t="str">
        <f t="shared" si="35"/>
        <v>X</v>
      </c>
      <c r="D133" s="425" t="s">
        <v>588</v>
      </c>
      <c r="E133" s="425" t="s">
        <v>1859</v>
      </c>
      <c r="F133" s="422" t="s">
        <v>538</v>
      </c>
      <c r="G133" s="89">
        <v>20173</v>
      </c>
      <c r="H133" s="427" t="s">
        <v>589</v>
      </c>
      <c r="I133" s="123" t="s">
        <v>589</v>
      </c>
      <c r="J133" s="425" t="s">
        <v>1879</v>
      </c>
      <c r="K133" s="422" t="s">
        <v>5942</v>
      </c>
      <c r="L133" s="227">
        <v>2023</v>
      </c>
      <c r="M133" s="422">
        <v>2022</v>
      </c>
      <c r="N133" s="422" t="str">
        <f t="shared" si="36"/>
        <v>AIE/APA NIR 2024: Eléctrica: Perdas Rede SEN: Portugal: 2022:: kWh</v>
      </c>
      <c r="O133" s="422" t="str">
        <f t="shared" si="30"/>
        <v>Eléctrica</v>
      </c>
      <c r="P133" s="422" t="str">
        <f t="shared" si="37"/>
        <v>GALP</v>
      </c>
      <c r="Q133" s="227" t="s">
        <v>3499</v>
      </c>
      <c r="R133" s="227" t="s">
        <v>3500</v>
      </c>
      <c r="S133" s="422" t="s">
        <v>42</v>
      </c>
    </row>
    <row r="134" spans="1:19" ht="15.75" thickBot="1" x14ac:dyDescent="0.3">
      <c r="A134" t="s">
        <v>4600</v>
      </c>
      <c r="B134" s="422" t="s">
        <v>4600</v>
      </c>
      <c r="C134" s="424" t="str">
        <f t="shared" si="35"/>
        <v>X</v>
      </c>
      <c r="D134" s="425" t="s">
        <v>588</v>
      </c>
      <c r="E134" s="425" t="s">
        <v>1859</v>
      </c>
      <c r="F134" s="422" t="s">
        <v>538</v>
      </c>
      <c r="G134" s="89">
        <v>8208031.0282547986</v>
      </c>
      <c r="H134" s="427" t="s">
        <v>589</v>
      </c>
      <c r="I134" s="123" t="s">
        <v>589</v>
      </c>
      <c r="J134" s="425" t="s">
        <v>1879</v>
      </c>
      <c r="K134" s="422" t="s">
        <v>5942</v>
      </c>
      <c r="L134" s="227">
        <v>2023</v>
      </c>
      <c r="M134" s="422">
        <v>2022</v>
      </c>
      <c r="N134" s="422" t="str">
        <f t="shared" si="36"/>
        <v>AIE/APA NIR 2024: Eléctrica: Perdas Rede SEN: Portugal: 2022:: kWh</v>
      </c>
      <c r="O134" s="422" t="str">
        <f t="shared" si="30"/>
        <v>Eléctrica</v>
      </c>
      <c r="P134" s="422" t="str">
        <f t="shared" si="37"/>
        <v>GALP</v>
      </c>
      <c r="Q134" s="227" t="s">
        <v>3499</v>
      </c>
      <c r="R134" s="227" t="s">
        <v>3500</v>
      </c>
      <c r="S134" s="422" t="s">
        <v>42</v>
      </c>
    </row>
    <row r="135" spans="1:19" ht="15.75" thickBot="1" x14ac:dyDescent="0.3">
      <c r="A135" t="s">
        <v>4600</v>
      </c>
      <c r="B135" s="422" t="s">
        <v>4600</v>
      </c>
      <c r="C135" s="424" t="str">
        <f t="shared" si="35"/>
        <v>X</v>
      </c>
      <c r="D135" s="425" t="s">
        <v>588</v>
      </c>
      <c r="E135" s="425" t="s">
        <v>1859</v>
      </c>
      <c r="F135" s="422" t="s">
        <v>538</v>
      </c>
      <c r="G135" s="89">
        <v>6990464.9717452005</v>
      </c>
      <c r="H135" s="427" t="s">
        <v>589</v>
      </c>
      <c r="I135" s="123" t="s">
        <v>589</v>
      </c>
      <c r="J135" s="425" t="s">
        <v>1879</v>
      </c>
      <c r="K135" s="422" t="s">
        <v>5942</v>
      </c>
      <c r="L135" s="227">
        <v>2023</v>
      </c>
      <c r="M135" s="422">
        <v>2022</v>
      </c>
      <c r="N135" s="422" t="str">
        <f t="shared" si="36"/>
        <v>AIE/APA NIR 2024: Eléctrica: Perdas Rede SEN: Portugal: 2022:: kWh</v>
      </c>
      <c r="O135" s="422" t="str">
        <f t="shared" si="30"/>
        <v>Eléctrica</v>
      </c>
      <c r="P135" s="422" t="str">
        <f t="shared" si="37"/>
        <v>GALP</v>
      </c>
      <c r="Q135" s="227" t="s">
        <v>3499</v>
      </c>
      <c r="R135" s="227" t="s">
        <v>3500</v>
      </c>
      <c r="S135" s="422" t="s">
        <v>42</v>
      </c>
    </row>
    <row r="136" spans="1:19" ht="15.75" thickBot="1" x14ac:dyDescent="0.3">
      <c r="A136" t="s">
        <v>4606</v>
      </c>
      <c r="B136" t="s">
        <v>4606</v>
      </c>
      <c r="C136" s="424" t="str">
        <f t="shared" si="35"/>
        <v>X</v>
      </c>
      <c r="D136" s="425" t="s">
        <v>588</v>
      </c>
      <c r="E136" s="425" t="s">
        <v>1859</v>
      </c>
      <c r="F136" s="425" t="s">
        <v>2939</v>
      </c>
      <c r="G136" s="89">
        <v>20382</v>
      </c>
      <c r="H136" s="427" t="s">
        <v>589</v>
      </c>
      <c r="I136" s="123" t="s">
        <v>589</v>
      </c>
      <c r="J136" s="425" t="s">
        <v>1879</v>
      </c>
      <c r="K136" s="422" t="s">
        <v>5942</v>
      </c>
      <c r="L136" s="227">
        <v>2023</v>
      </c>
      <c r="M136" s="422">
        <v>2022</v>
      </c>
      <c r="N136" s="422" t="str">
        <f t="shared" si="36"/>
        <v>AIE/APA NIR 2024: Eléctrica: Perdas Rede SEN: Portugal: 2022:: kWh</v>
      </c>
      <c r="O136" s="422" t="str">
        <f t="shared" si="30"/>
        <v>Eléctrica</v>
      </c>
      <c r="P136" s="422" t="str">
        <f t="shared" si="37"/>
        <v>EDP Empresas</v>
      </c>
      <c r="Q136" s="227" t="s">
        <v>3499</v>
      </c>
      <c r="R136" s="227" t="s">
        <v>3500</v>
      </c>
      <c r="S136" s="422" t="s">
        <v>42</v>
      </c>
    </row>
    <row r="137" spans="1:19" ht="15.75" thickBot="1" x14ac:dyDescent="0.3">
      <c r="A137" t="s">
        <v>3475</v>
      </c>
      <c r="B137" t="s">
        <v>3475</v>
      </c>
      <c r="C137" s="424" t="str">
        <f t="shared" si="35"/>
        <v>X</v>
      </c>
      <c r="D137" s="425" t="s">
        <v>588</v>
      </c>
      <c r="E137" s="425" t="s">
        <v>1859</v>
      </c>
      <c r="F137" s="422" t="s">
        <v>538</v>
      </c>
      <c r="G137" s="89">
        <v>84089.349493483023</v>
      </c>
      <c r="H137" s="427" t="s">
        <v>589</v>
      </c>
      <c r="I137" s="123" t="s">
        <v>589</v>
      </c>
      <c r="J137" s="425" t="s">
        <v>1879</v>
      </c>
      <c r="K137" s="422" t="s">
        <v>5942</v>
      </c>
      <c r="L137" s="227">
        <v>2023</v>
      </c>
      <c r="M137" s="422">
        <v>2022</v>
      </c>
      <c r="N137" s="422" t="str">
        <f t="shared" si="36"/>
        <v>AIE/APA NIR 2024: Eléctrica: Perdas Rede SEN: Portugal: 2022:: kWh</v>
      </c>
      <c r="O137" s="422" t="str">
        <f t="shared" si="30"/>
        <v>Eléctrica</v>
      </c>
      <c r="P137" s="422" t="str">
        <f t="shared" si="37"/>
        <v>GALP</v>
      </c>
      <c r="Q137" s="227" t="s">
        <v>3499</v>
      </c>
      <c r="R137" s="227" t="s">
        <v>3500</v>
      </c>
      <c r="S137" s="422" t="s">
        <v>42</v>
      </c>
    </row>
    <row r="138" spans="1:19" ht="15.75" thickBot="1" x14ac:dyDescent="0.3">
      <c r="A138" t="s">
        <v>4593</v>
      </c>
      <c r="B138" s="422" t="s">
        <v>4593</v>
      </c>
      <c r="C138" s="424" t="str">
        <f t="shared" si="35"/>
        <v>X</v>
      </c>
      <c r="D138" s="425" t="s">
        <v>588</v>
      </c>
      <c r="E138" s="425" t="s">
        <v>1859</v>
      </c>
      <c r="F138" s="425" t="s">
        <v>2939</v>
      </c>
      <c r="G138" s="89">
        <v>174244</v>
      </c>
      <c r="H138" s="427" t="s">
        <v>589</v>
      </c>
      <c r="I138" s="123" t="s">
        <v>589</v>
      </c>
      <c r="J138" s="425" t="s">
        <v>1879</v>
      </c>
      <c r="K138" s="422" t="s">
        <v>5942</v>
      </c>
      <c r="L138" s="227">
        <v>2023</v>
      </c>
      <c r="M138" s="422">
        <v>2022</v>
      </c>
      <c r="N138" s="422" t="str">
        <f t="shared" si="36"/>
        <v>AIE/APA NIR 2024: Eléctrica: Perdas Rede SEN: Portugal: 2022:: kWh</v>
      </c>
      <c r="O138" s="422" t="str">
        <f t="shared" si="30"/>
        <v>Eléctrica</v>
      </c>
      <c r="P138" s="422" t="str">
        <f t="shared" si="37"/>
        <v>EDP Empresas</v>
      </c>
      <c r="Q138" s="227" t="s">
        <v>3499</v>
      </c>
      <c r="R138" s="227" t="s">
        <v>3500</v>
      </c>
      <c r="S138" s="422" t="s">
        <v>42</v>
      </c>
    </row>
    <row r="139" spans="1:19" ht="15.75" thickBot="1" x14ac:dyDescent="0.3">
      <c r="A139" t="s">
        <v>4593</v>
      </c>
      <c r="B139" s="422" t="s">
        <v>4593</v>
      </c>
      <c r="C139" s="424" t="str">
        <f t="shared" si="35"/>
        <v>X</v>
      </c>
      <c r="D139" s="425" t="s">
        <v>588</v>
      </c>
      <c r="E139" s="425" t="s">
        <v>1859</v>
      </c>
      <c r="F139" t="s">
        <v>4649</v>
      </c>
      <c r="G139" s="89">
        <v>25670</v>
      </c>
      <c r="H139" s="427" t="s">
        <v>589</v>
      </c>
      <c r="I139" s="123" t="s">
        <v>589</v>
      </c>
      <c r="J139" s="425" t="s">
        <v>1879</v>
      </c>
      <c r="K139" s="422" t="s">
        <v>5942</v>
      </c>
      <c r="L139" s="227">
        <v>2023</v>
      </c>
      <c r="M139" s="422">
        <v>2022</v>
      </c>
      <c r="N139" s="422" t="str">
        <f t="shared" si="36"/>
        <v>AIE/APA NIR 2024: Eléctrica: Perdas Rede SEN: Portugal: 2022:: kWh</v>
      </c>
      <c r="O139" s="422" t="str">
        <f t="shared" si="30"/>
        <v>Eléctrica</v>
      </c>
      <c r="P139" s="422" t="str">
        <f t="shared" si="37"/>
        <v>AXPO</v>
      </c>
      <c r="Q139" s="227" t="s">
        <v>3499</v>
      </c>
      <c r="R139" s="227" t="s">
        <v>3500</v>
      </c>
      <c r="S139" s="422" t="s">
        <v>42</v>
      </c>
    </row>
    <row r="140" spans="1:19" ht="15.75" thickBot="1" x14ac:dyDescent="0.3">
      <c r="A140" t="s">
        <v>4592</v>
      </c>
      <c r="B140" s="422" t="s">
        <v>4592</v>
      </c>
      <c r="C140" s="424" t="str">
        <f t="shared" si="35"/>
        <v>X</v>
      </c>
      <c r="D140" s="425" t="s">
        <v>588</v>
      </c>
      <c r="E140" s="425" t="s">
        <v>1859</v>
      </c>
      <c r="F140" s="425" t="s">
        <v>2939</v>
      </c>
      <c r="G140" s="89">
        <v>89017</v>
      </c>
      <c r="H140" s="427" t="s">
        <v>589</v>
      </c>
      <c r="I140" s="123" t="s">
        <v>589</v>
      </c>
      <c r="J140" s="425" t="s">
        <v>1879</v>
      </c>
      <c r="K140" s="422" t="s">
        <v>5942</v>
      </c>
      <c r="L140" s="227">
        <v>2023</v>
      </c>
      <c r="M140" s="422">
        <v>2022</v>
      </c>
      <c r="N140" s="422" t="str">
        <f t="shared" si="36"/>
        <v>AIE/APA NIR 2024: Eléctrica: Perdas Rede SEN: Portugal: 2022:: kWh</v>
      </c>
      <c r="O140" s="422" t="str">
        <f t="shared" si="30"/>
        <v>Eléctrica</v>
      </c>
      <c r="P140" s="422" t="str">
        <f t="shared" si="37"/>
        <v>EDP Empresas</v>
      </c>
      <c r="Q140" s="227" t="s">
        <v>3499</v>
      </c>
      <c r="R140" s="227" t="s">
        <v>3500</v>
      </c>
      <c r="S140" s="422" t="s">
        <v>42</v>
      </c>
    </row>
    <row r="141" spans="1:19" ht="15.75" thickBot="1" x14ac:dyDescent="0.3">
      <c r="A141" t="s">
        <v>4592</v>
      </c>
      <c r="B141" s="422" t="s">
        <v>4592</v>
      </c>
      <c r="C141" s="424" t="str">
        <f t="shared" si="35"/>
        <v>X</v>
      </c>
      <c r="D141" s="425" t="s">
        <v>588</v>
      </c>
      <c r="E141" s="425" t="s">
        <v>1859</v>
      </c>
      <c r="F141" s="422" t="s">
        <v>538</v>
      </c>
      <c r="G141" s="89">
        <v>83756</v>
      </c>
      <c r="H141" s="427" t="s">
        <v>589</v>
      </c>
      <c r="I141" s="123" t="s">
        <v>589</v>
      </c>
      <c r="J141" s="425" t="s">
        <v>1879</v>
      </c>
      <c r="K141" s="422" t="s">
        <v>5942</v>
      </c>
      <c r="L141" s="227">
        <v>2023</v>
      </c>
      <c r="M141" s="422">
        <v>2022</v>
      </c>
      <c r="N141" s="422" t="str">
        <f t="shared" si="36"/>
        <v>AIE/APA NIR 2024: Eléctrica: Perdas Rede SEN: Portugal: 2022:: kWh</v>
      </c>
      <c r="O141" s="422" t="str">
        <f t="shared" si="30"/>
        <v>Eléctrica</v>
      </c>
      <c r="P141" s="422" t="str">
        <f t="shared" si="37"/>
        <v>GALP</v>
      </c>
      <c r="Q141" s="227" t="s">
        <v>3499</v>
      </c>
      <c r="R141" s="227" t="s">
        <v>3500</v>
      </c>
      <c r="S141" s="422" t="s">
        <v>42</v>
      </c>
    </row>
    <row r="142" spans="1:19" ht="15.75" thickBot="1" x14ac:dyDescent="0.3">
      <c r="A142" t="s">
        <v>4592</v>
      </c>
      <c r="B142" s="422" t="s">
        <v>4592</v>
      </c>
      <c r="C142" s="424" t="str">
        <f t="shared" si="35"/>
        <v>X</v>
      </c>
      <c r="D142" s="425" t="s">
        <v>588</v>
      </c>
      <c r="E142" s="425" t="s">
        <v>1859</v>
      </c>
      <c r="F142" s="422" t="s">
        <v>538</v>
      </c>
      <c r="G142" s="89">
        <v>15453.16</v>
      </c>
      <c r="H142" s="427" t="s">
        <v>589</v>
      </c>
      <c r="I142" s="123" t="s">
        <v>589</v>
      </c>
      <c r="J142" s="425" t="s">
        <v>1879</v>
      </c>
      <c r="K142" s="422" t="s">
        <v>5942</v>
      </c>
      <c r="L142" s="227">
        <v>2023</v>
      </c>
      <c r="M142" s="422">
        <v>2022</v>
      </c>
      <c r="N142" s="422" t="str">
        <f t="shared" si="36"/>
        <v>AIE/APA NIR 2024: Eléctrica: Perdas Rede SEN: Portugal: 2022:: kWh</v>
      </c>
      <c r="O142" s="422" t="str">
        <f t="shared" si="30"/>
        <v>Eléctrica</v>
      </c>
      <c r="P142" s="422" t="str">
        <f t="shared" si="37"/>
        <v>GALP</v>
      </c>
      <c r="Q142" s="227" t="s">
        <v>3499</v>
      </c>
      <c r="R142" s="227" t="s">
        <v>3500</v>
      </c>
      <c r="S142" s="422" t="s">
        <v>42</v>
      </c>
    </row>
    <row r="143" spans="1:19" ht="15.75" thickBot="1" x14ac:dyDescent="0.3">
      <c r="A143" t="s">
        <v>4580</v>
      </c>
      <c r="B143" t="s">
        <v>4580</v>
      </c>
      <c r="C143" s="424" t="str">
        <f t="shared" si="35"/>
        <v>X</v>
      </c>
      <c r="D143" s="425" t="s">
        <v>588</v>
      </c>
      <c r="E143" s="425" t="s">
        <v>1859</v>
      </c>
      <c r="F143" s="422" t="s">
        <v>538</v>
      </c>
      <c r="G143" s="89">
        <v>15271</v>
      </c>
      <c r="H143" s="427" t="s">
        <v>589</v>
      </c>
      <c r="I143" s="123" t="s">
        <v>589</v>
      </c>
      <c r="J143" s="425" t="s">
        <v>1879</v>
      </c>
      <c r="K143" s="422" t="s">
        <v>5942</v>
      </c>
      <c r="L143" s="227">
        <v>2023</v>
      </c>
      <c r="M143" s="422">
        <v>2022</v>
      </c>
      <c r="N143" s="422" t="str">
        <f t="shared" si="36"/>
        <v>AIE/APA NIR 2024: Eléctrica: Perdas Rede SEN: Portugal: 2022:: kWh</v>
      </c>
      <c r="O143" s="422" t="str">
        <f t="shared" si="30"/>
        <v>Eléctrica</v>
      </c>
      <c r="P143" s="422" t="str">
        <f t="shared" si="37"/>
        <v>GALP</v>
      </c>
      <c r="Q143" s="227" t="s">
        <v>3499</v>
      </c>
      <c r="R143" s="227" t="s">
        <v>3500</v>
      </c>
      <c r="S143" s="422" t="s">
        <v>42</v>
      </c>
    </row>
    <row r="144" spans="1:19" ht="15.75" thickBot="1" x14ac:dyDescent="0.3">
      <c r="A144" t="s">
        <v>4670</v>
      </c>
      <c r="B144" t="s">
        <v>4670</v>
      </c>
      <c r="C144" s="424" t="str">
        <f t="shared" si="35"/>
        <v>X</v>
      </c>
      <c r="D144" s="425" t="s">
        <v>588</v>
      </c>
      <c r="E144" s="425" t="s">
        <v>1859</v>
      </c>
      <c r="F144" s="425" t="s">
        <v>2939</v>
      </c>
      <c r="G144" s="89">
        <v>134269</v>
      </c>
      <c r="H144" s="427" t="s">
        <v>589</v>
      </c>
      <c r="I144" s="123" t="s">
        <v>589</v>
      </c>
      <c r="J144" s="425" t="s">
        <v>1879</v>
      </c>
      <c r="K144" s="422" t="s">
        <v>5942</v>
      </c>
      <c r="L144" s="227">
        <v>2023</v>
      </c>
      <c r="M144" s="422">
        <v>2022</v>
      </c>
      <c r="N144" s="422" t="str">
        <f t="shared" si="36"/>
        <v>AIE/APA NIR 2024: Eléctrica: Perdas Rede SEN: Portugal: 2022:: kWh</v>
      </c>
      <c r="O144" s="422" t="str">
        <f t="shared" si="30"/>
        <v>Eléctrica</v>
      </c>
      <c r="P144" s="422" t="str">
        <f t="shared" si="37"/>
        <v>EDP Empresas</v>
      </c>
      <c r="Q144" s="227" t="s">
        <v>3499</v>
      </c>
      <c r="R144" s="227" t="s">
        <v>3500</v>
      </c>
      <c r="S144" s="422" t="s">
        <v>42</v>
      </c>
    </row>
    <row r="145" spans="1:19" ht="15.75" thickBot="1" x14ac:dyDescent="0.3">
      <c r="A145" t="s">
        <v>4615</v>
      </c>
      <c r="B145" t="s">
        <v>4615</v>
      </c>
      <c r="C145" s="424" t="str">
        <f t="shared" si="35"/>
        <v>X</v>
      </c>
      <c r="D145" s="425" t="s">
        <v>588</v>
      </c>
      <c r="E145" s="425" t="s">
        <v>1859</v>
      </c>
      <c r="F145" s="422" t="s">
        <v>538</v>
      </c>
      <c r="G145" s="89">
        <v>776565</v>
      </c>
      <c r="H145" s="427" t="s">
        <v>589</v>
      </c>
      <c r="I145" s="123" t="s">
        <v>589</v>
      </c>
      <c r="J145" s="425" t="s">
        <v>1879</v>
      </c>
      <c r="K145" s="422" t="s">
        <v>5942</v>
      </c>
      <c r="L145" s="227">
        <v>2023</v>
      </c>
      <c r="M145" s="422">
        <v>2022</v>
      </c>
      <c r="N145" s="422" t="str">
        <f t="shared" si="36"/>
        <v>AIE/APA NIR 2024: Eléctrica: Perdas Rede SEN: Portugal: 2022:: kWh</v>
      </c>
      <c r="O145" s="422" t="str">
        <f t="shared" si="30"/>
        <v>Eléctrica</v>
      </c>
      <c r="P145" s="422" t="str">
        <f t="shared" si="37"/>
        <v>GALP</v>
      </c>
      <c r="Q145" s="227" t="s">
        <v>3499</v>
      </c>
      <c r="R145" s="227" t="s">
        <v>3500</v>
      </c>
      <c r="S145" s="422" t="s">
        <v>42</v>
      </c>
    </row>
    <row r="146" spans="1:19" ht="15.75" thickBot="1" x14ac:dyDescent="0.3">
      <c r="A146" t="s">
        <v>1915</v>
      </c>
      <c r="B146" t="s">
        <v>1915</v>
      </c>
      <c r="C146" s="424" t="str">
        <f t="shared" si="35"/>
        <v>X</v>
      </c>
      <c r="D146" s="425" t="s">
        <v>588</v>
      </c>
      <c r="E146" s="425" t="s">
        <v>1859</v>
      </c>
      <c r="F146" s="422" t="s">
        <v>538</v>
      </c>
      <c r="G146" s="89">
        <v>342144</v>
      </c>
      <c r="H146" s="427" t="s">
        <v>589</v>
      </c>
      <c r="I146" s="123" t="s">
        <v>589</v>
      </c>
      <c r="J146" s="425" t="s">
        <v>1879</v>
      </c>
      <c r="K146" s="422" t="s">
        <v>5942</v>
      </c>
      <c r="L146" s="227">
        <v>2023</v>
      </c>
      <c r="M146" s="422">
        <v>2022</v>
      </c>
      <c r="N146" s="422" t="str">
        <f t="shared" si="36"/>
        <v>AIE/APA NIR 2024: Eléctrica: Perdas Rede SEN: Portugal: 2022:: kWh</v>
      </c>
      <c r="O146" s="422" t="str">
        <f t="shared" si="30"/>
        <v>Eléctrica</v>
      </c>
      <c r="P146" s="422" t="str">
        <f t="shared" si="37"/>
        <v>GALP</v>
      </c>
      <c r="Q146" s="227" t="s">
        <v>3499</v>
      </c>
      <c r="R146" s="227" t="s">
        <v>3500</v>
      </c>
      <c r="S146" s="422" t="s">
        <v>42</v>
      </c>
    </row>
    <row r="147" spans="1:19" ht="15.75" thickBot="1" x14ac:dyDescent="0.3">
      <c r="A147" t="s">
        <v>4594</v>
      </c>
      <c r="B147" t="s">
        <v>4594</v>
      </c>
      <c r="C147" s="424" t="str">
        <f t="shared" si="35"/>
        <v>X</v>
      </c>
      <c r="D147" s="425" t="s">
        <v>588</v>
      </c>
      <c r="E147" s="425" t="s">
        <v>1859</v>
      </c>
      <c r="F147" s="425" t="s">
        <v>2939</v>
      </c>
      <c r="G147" s="89">
        <v>115430</v>
      </c>
      <c r="H147" s="427" t="s">
        <v>589</v>
      </c>
      <c r="I147" s="123" t="s">
        <v>589</v>
      </c>
      <c r="J147" s="425" t="s">
        <v>1879</v>
      </c>
      <c r="K147" s="422" t="s">
        <v>5942</v>
      </c>
      <c r="L147" s="227">
        <v>2023</v>
      </c>
      <c r="M147" s="422">
        <v>2022</v>
      </c>
      <c r="N147" s="422" t="str">
        <f t="shared" si="36"/>
        <v>AIE/APA NIR 2024: Eléctrica: Perdas Rede SEN: Portugal: 2022:: kWh</v>
      </c>
      <c r="O147" s="422" t="str">
        <f t="shared" si="30"/>
        <v>Eléctrica</v>
      </c>
      <c r="P147" s="422" t="str">
        <f t="shared" si="37"/>
        <v>EDP Empresas</v>
      </c>
      <c r="Q147" s="227" t="s">
        <v>3499</v>
      </c>
      <c r="R147" s="227" t="s">
        <v>3500</v>
      </c>
      <c r="S147" s="422" t="s">
        <v>42</v>
      </c>
    </row>
    <row r="148" spans="1:19" ht="15.75" thickBot="1" x14ac:dyDescent="0.3">
      <c r="A148" t="s">
        <v>1910</v>
      </c>
      <c r="B148" s="422" t="s">
        <v>1910</v>
      </c>
      <c r="C148" s="424" t="str">
        <f t="shared" si="35"/>
        <v>X</v>
      </c>
      <c r="D148" s="425" t="s">
        <v>588</v>
      </c>
      <c r="E148" s="425" t="s">
        <v>1859</v>
      </c>
      <c r="F148" s="422" t="s">
        <v>538</v>
      </c>
      <c r="G148" s="89">
        <v>24012</v>
      </c>
      <c r="H148" s="427" t="s">
        <v>589</v>
      </c>
      <c r="I148" s="123" t="s">
        <v>589</v>
      </c>
      <c r="J148" s="425" t="s">
        <v>1879</v>
      </c>
      <c r="K148" s="422" t="s">
        <v>5942</v>
      </c>
      <c r="L148" s="227">
        <v>2023</v>
      </c>
      <c r="M148" s="422">
        <v>2022</v>
      </c>
      <c r="N148" s="422" t="str">
        <f t="shared" si="36"/>
        <v>AIE/APA NIR 2024: Eléctrica: Perdas Rede SEN: Portugal: 2022:: kWh</v>
      </c>
      <c r="O148" s="422" t="str">
        <f t="shared" si="30"/>
        <v>Eléctrica</v>
      </c>
      <c r="P148" s="422" t="str">
        <f t="shared" si="37"/>
        <v>GALP</v>
      </c>
      <c r="Q148" s="227" t="s">
        <v>3499</v>
      </c>
      <c r="R148" s="227" t="s">
        <v>3500</v>
      </c>
      <c r="S148" s="422" t="s">
        <v>42</v>
      </c>
    </row>
    <row r="149" spans="1:19" ht="15.75" thickBot="1" x14ac:dyDescent="0.3">
      <c r="A149" t="s">
        <v>1910</v>
      </c>
      <c r="B149" s="422" t="s">
        <v>1910</v>
      </c>
      <c r="C149" s="424" t="str">
        <f t="shared" si="35"/>
        <v>X</v>
      </c>
      <c r="D149" s="425" t="s">
        <v>588</v>
      </c>
      <c r="E149" s="425" t="s">
        <v>1859</v>
      </c>
      <c r="F149" s="422" t="s">
        <v>538</v>
      </c>
      <c r="G149" s="89">
        <v>282550</v>
      </c>
      <c r="H149" s="427" t="s">
        <v>589</v>
      </c>
      <c r="I149" s="123" t="s">
        <v>589</v>
      </c>
      <c r="J149" s="425" t="s">
        <v>1879</v>
      </c>
      <c r="K149" s="422" t="s">
        <v>5942</v>
      </c>
      <c r="L149" s="227">
        <v>2023</v>
      </c>
      <c r="M149" s="422">
        <v>2022</v>
      </c>
      <c r="N149" s="422" t="str">
        <f t="shared" si="36"/>
        <v>AIE/APA NIR 2024: Eléctrica: Perdas Rede SEN: Portugal: 2022:: kWh</v>
      </c>
      <c r="O149" s="422" t="str">
        <f t="shared" si="30"/>
        <v>Eléctrica</v>
      </c>
      <c r="P149" s="422" t="str">
        <f t="shared" si="37"/>
        <v>GALP</v>
      </c>
      <c r="Q149" s="227" t="s">
        <v>3499</v>
      </c>
      <c r="R149" s="227" t="s">
        <v>3500</v>
      </c>
      <c r="S149" s="422" t="s">
        <v>42</v>
      </c>
    </row>
    <row r="150" spans="1:19" ht="15.75" thickBot="1" x14ac:dyDescent="0.3">
      <c r="A150" t="s">
        <v>1916</v>
      </c>
      <c r="B150" t="s">
        <v>1916</v>
      </c>
      <c r="C150" s="424" t="str">
        <f t="shared" si="35"/>
        <v>X</v>
      </c>
      <c r="D150" s="425" t="s">
        <v>588</v>
      </c>
      <c r="E150" s="425" t="s">
        <v>1859</v>
      </c>
      <c r="F150" t="s">
        <v>538</v>
      </c>
      <c r="G150" s="89">
        <v>893223</v>
      </c>
      <c r="H150" s="427" t="s">
        <v>589</v>
      </c>
      <c r="I150" s="123" t="s">
        <v>589</v>
      </c>
      <c r="J150" s="425" t="s">
        <v>1879</v>
      </c>
      <c r="K150" s="422" t="s">
        <v>5942</v>
      </c>
      <c r="L150" s="227">
        <v>2023</v>
      </c>
      <c r="M150" s="422">
        <v>2022</v>
      </c>
      <c r="N150" s="422" t="str">
        <f t="shared" si="36"/>
        <v>AIE/APA NIR 2024: Eléctrica: Perdas Rede SEN: Portugal: 2022:: kWh</v>
      </c>
      <c r="O150" s="422" t="str">
        <f t="shared" si="30"/>
        <v>Eléctrica</v>
      </c>
      <c r="P150" s="422" t="str">
        <f t="shared" si="37"/>
        <v>GALP</v>
      </c>
      <c r="Q150" s="227" t="s">
        <v>3499</v>
      </c>
      <c r="R150" s="227" t="s">
        <v>3500</v>
      </c>
      <c r="S150" s="422" t="s">
        <v>42</v>
      </c>
    </row>
    <row r="151" spans="1:19" ht="15.75" thickBot="1" x14ac:dyDescent="0.3">
      <c r="A151" t="s">
        <v>2868</v>
      </c>
      <c r="B151" t="s">
        <v>2868</v>
      </c>
      <c r="C151" s="424" t="str">
        <f t="shared" si="35"/>
        <v>X</v>
      </c>
      <c r="D151" s="425" t="s">
        <v>588</v>
      </c>
      <c r="E151" s="425" t="s">
        <v>1859</v>
      </c>
      <c r="F151" s="425" t="s">
        <v>2939</v>
      </c>
      <c r="G151" s="89">
        <v>93842</v>
      </c>
      <c r="H151" s="427" t="s">
        <v>589</v>
      </c>
      <c r="I151" s="123" t="s">
        <v>589</v>
      </c>
      <c r="J151" s="425" t="s">
        <v>1879</v>
      </c>
      <c r="K151" s="422" t="s">
        <v>5942</v>
      </c>
      <c r="L151" s="227">
        <v>2023</v>
      </c>
      <c r="M151" s="422">
        <v>2022</v>
      </c>
      <c r="N151" s="422" t="str">
        <f t="shared" si="36"/>
        <v>AIE/APA NIR 2024: Eléctrica: Perdas Rede SEN: Portugal: 2022:: kWh</v>
      </c>
      <c r="O151" s="422" t="str">
        <f t="shared" si="30"/>
        <v>Eléctrica</v>
      </c>
      <c r="P151" s="422" t="str">
        <f t="shared" si="37"/>
        <v>EDP Empresas</v>
      </c>
      <c r="Q151" s="227" t="s">
        <v>3499</v>
      </c>
      <c r="R151" s="227" t="s">
        <v>3500</v>
      </c>
      <c r="S151" s="422" t="s">
        <v>42</v>
      </c>
    </row>
    <row r="152" spans="1:19" ht="15.75" thickBot="1" x14ac:dyDescent="0.3">
      <c r="A152" t="s">
        <v>4673</v>
      </c>
      <c r="B152" t="s">
        <v>4673</v>
      </c>
      <c r="C152" s="424" t="str">
        <f t="shared" si="35"/>
        <v>X</v>
      </c>
      <c r="D152" s="425" t="s">
        <v>588</v>
      </c>
      <c r="E152" s="425" t="s">
        <v>1859</v>
      </c>
      <c r="F152" s="422" t="s">
        <v>538</v>
      </c>
      <c r="G152" s="89">
        <v>609</v>
      </c>
      <c r="H152" s="427" t="s">
        <v>589</v>
      </c>
      <c r="I152" s="123" t="s">
        <v>589</v>
      </c>
      <c r="J152" s="425" t="s">
        <v>1879</v>
      </c>
      <c r="K152" s="422" t="s">
        <v>5942</v>
      </c>
      <c r="L152" s="227">
        <v>2023</v>
      </c>
      <c r="M152" s="422">
        <v>2022</v>
      </c>
      <c r="N152" s="422" t="str">
        <f t="shared" si="36"/>
        <v>AIE/APA NIR 2024: Eléctrica: Perdas Rede SEN: Portugal: 2022:: kWh</v>
      </c>
      <c r="O152" s="422" t="str">
        <f t="shared" si="30"/>
        <v>Eléctrica</v>
      </c>
      <c r="P152" s="422" t="str">
        <f t="shared" si="37"/>
        <v>GALP</v>
      </c>
      <c r="Q152" s="227" t="s">
        <v>3499</v>
      </c>
      <c r="R152" s="227" t="s">
        <v>3500</v>
      </c>
      <c r="S152" s="422" t="s">
        <v>42</v>
      </c>
    </row>
    <row r="153" spans="1:19" ht="15.75" thickBot="1" x14ac:dyDescent="0.3">
      <c r="A153" t="s">
        <v>4597</v>
      </c>
      <c r="B153" t="s">
        <v>4597</v>
      </c>
      <c r="C153" s="424" t="str">
        <f t="shared" si="35"/>
        <v>X</v>
      </c>
      <c r="D153" s="425" t="s">
        <v>588</v>
      </c>
      <c r="E153" s="425" t="s">
        <v>1859</v>
      </c>
      <c r="F153" s="422" t="s">
        <v>538</v>
      </c>
      <c r="G153" s="89">
        <v>10861</v>
      </c>
      <c r="H153" s="427" t="s">
        <v>589</v>
      </c>
      <c r="I153" s="123" t="s">
        <v>589</v>
      </c>
      <c r="J153" s="425" t="s">
        <v>1879</v>
      </c>
      <c r="K153" s="422" t="s">
        <v>5942</v>
      </c>
      <c r="L153" s="227">
        <v>2023</v>
      </c>
      <c r="M153" s="422">
        <v>2022</v>
      </c>
      <c r="N153" s="422" t="str">
        <f t="shared" si="36"/>
        <v>AIE/APA NIR 2024: Eléctrica: Perdas Rede SEN: Portugal: 2022:: kWh</v>
      </c>
      <c r="O153" s="422" t="str">
        <f t="shared" si="30"/>
        <v>Eléctrica</v>
      </c>
      <c r="P153" s="422" t="str">
        <f t="shared" si="37"/>
        <v>GALP</v>
      </c>
      <c r="Q153" s="227" t="s">
        <v>3499</v>
      </c>
      <c r="R153" s="227" t="s">
        <v>3500</v>
      </c>
      <c r="S153" s="422" t="s">
        <v>42</v>
      </c>
    </row>
    <row r="154" spans="1:19" ht="15.75" thickBot="1" x14ac:dyDescent="0.3">
      <c r="A154" t="s">
        <v>4598</v>
      </c>
      <c r="B154" t="s">
        <v>4598</v>
      </c>
      <c r="C154" s="424" t="str">
        <f t="shared" si="35"/>
        <v>X</v>
      </c>
      <c r="D154" s="425" t="s">
        <v>588</v>
      </c>
      <c r="E154" s="425" t="s">
        <v>1859</v>
      </c>
      <c r="F154" s="422" t="s">
        <v>538</v>
      </c>
      <c r="H154" s="427" t="s">
        <v>589</v>
      </c>
      <c r="I154" s="123" t="s">
        <v>589</v>
      </c>
      <c r="J154" s="425" t="s">
        <v>1879</v>
      </c>
      <c r="K154" s="422" t="s">
        <v>5942</v>
      </c>
      <c r="L154" s="227">
        <v>2023</v>
      </c>
      <c r="M154" s="422">
        <v>2022</v>
      </c>
      <c r="N154" s="422" t="str">
        <f t="shared" si="36"/>
        <v>AIE/APA NIR 2024: Eléctrica: Perdas Rede SEN: Portugal: 2022:: kWh</v>
      </c>
      <c r="O154" s="422" t="str">
        <f t="shared" si="30"/>
        <v>Eléctrica</v>
      </c>
      <c r="P154" s="422" t="str">
        <f t="shared" si="37"/>
        <v>GALP</v>
      </c>
      <c r="Q154" s="227" t="s">
        <v>3499</v>
      </c>
      <c r="R154" s="227" t="s">
        <v>3500</v>
      </c>
      <c r="S154" s="422" t="s">
        <v>42</v>
      </c>
    </row>
    <row r="155" spans="1:19" ht="15.75" thickBot="1" x14ac:dyDescent="0.3">
      <c r="A155" t="s">
        <v>4672</v>
      </c>
      <c r="B155" t="s">
        <v>4672</v>
      </c>
      <c r="C155" s="424" t="str">
        <f t="shared" si="35"/>
        <v>X</v>
      </c>
      <c r="D155" s="425" t="s">
        <v>588</v>
      </c>
      <c r="E155" s="425" t="s">
        <v>1859</v>
      </c>
      <c r="F155" s="422" t="s">
        <v>4660</v>
      </c>
      <c r="G155" s="89">
        <v>339676</v>
      </c>
      <c r="H155" s="427" t="s">
        <v>589</v>
      </c>
      <c r="I155" s="123" t="s">
        <v>589</v>
      </c>
      <c r="J155" s="425" t="s">
        <v>1879</v>
      </c>
      <c r="K155" s="422" t="s">
        <v>5942</v>
      </c>
      <c r="L155" s="227">
        <v>2023</v>
      </c>
      <c r="M155" s="422">
        <v>2022</v>
      </c>
      <c r="N155" s="422" t="str">
        <f t="shared" si="36"/>
        <v>AIE/APA NIR 2024: Eléctrica: Perdas Rede SEN: Portugal: 2022:: kWh</v>
      </c>
      <c r="O155" s="422" t="str">
        <f t="shared" si="30"/>
        <v>Eléctrica</v>
      </c>
      <c r="P155" s="422" t="str">
        <f t="shared" si="37"/>
        <v>SUBrasil</v>
      </c>
      <c r="Q155" s="227" t="s">
        <v>3499</v>
      </c>
      <c r="R155" s="227" t="s">
        <v>3500</v>
      </c>
      <c r="S155" s="422" t="s">
        <v>42</v>
      </c>
    </row>
    <row r="156" spans="1:19" ht="15.75" thickBot="1" x14ac:dyDescent="0.3">
      <c r="A156" t="s">
        <v>4668</v>
      </c>
      <c r="B156" s="422" t="s">
        <v>4668</v>
      </c>
      <c r="C156" s="424" t="str">
        <f t="shared" si="35"/>
        <v>X</v>
      </c>
      <c r="D156" s="425" t="s">
        <v>588</v>
      </c>
      <c r="E156" s="425" t="s">
        <v>1859</v>
      </c>
      <c r="F156" s="422" t="s">
        <v>538</v>
      </c>
      <c r="G156" s="89">
        <v>1023413</v>
      </c>
      <c r="H156" s="427" t="s">
        <v>589</v>
      </c>
      <c r="I156" s="123" t="s">
        <v>589</v>
      </c>
      <c r="J156" s="425" t="s">
        <v>1879</v>
      </c>
      <c r="K156" s="422" t="s">
        <v>5942</v>
      </c>
      <c r="L156" s="227">
        <v>2023</v>
      </c>
      <c r="M156" s="422">
        <v>2022</v>
      </c>
      <c r="N156" s="422" t="str">
        <f t="shared" si="36"/>
        <v>AIE/APA NIR 2024: Eléctrica: Perdas Rede SEN: Portugal: 2022:: kWh</v>
      </c>
      <c r="O156" s="422" t="str">
        <f t="shared" si="30"/>
        <v>Eléctrica</v>
      </c>
      <c r="P156" s="422" t="str">
        <f t="shared" si="37"/>
        <v>GALP</v>
      </c>
      <c r="Q156" s="227" t="s">
        <v>3499</v>
      </c>
      <c r="R156" s="227" t="s">
        <v>3500</v>
      </c>
      <c r="S156" s="422" t="s">
        <v>42</v>
      </c>
    </row>
    <row r="157" spans="1:19" ht="15.75" thickBot="1" x14ac:dyDescent="0.3">
      <c r="A157" t="s">
        <v>4668</v>
      </c>
      <c r="B157" s="422" t="s">
        <v>4668</v>
      </c>
      <c r="C157" s="424" t="str">
        <f t="shared" si="35"/>
        <v>X</v>
      </c>
      <c r="D157" s="425" t="s">
        <v>588</v>
      </c>
      <c r="E157" s="425" t="s">
        <v>1859</v>
      </c>
      <c r="F157" s="422" t="s">
        <v>538</v>
      </c>
      <c r="G157" s="89">
        <v>210678</v>
      </c>
      <c r="H157" s="427" t="s">
        <v>589</v>
      </c>
      <c r="I157" s="123" t="s">
        <v>589</v>
      </c>
      <c r="J157" s="425" t="s">
        <v>1879</v>
      </c>
      <c r="K157" s="422" t="s">
        <v>5942</v>
      </c>
      <c r="L157" s="227">
        <v>2023</v>
      </c>
      <c r="M157" s="422">
        <v>2022</v>
      </c>
      <c r="N157" s="422" t="str">
        <f t="shared" si="36"/>
        <v>AIE/APA NIR 2024: Eléctrica: Perdas Rede SEN: Portugal: 2022:: kWh</v>
      </c>
      <c r="O157" s="422" t="str">
        <f t="shared" si="30"/>
        <v>Eléctrica</v>
      </c>
      <c r="P157" s="422" t="str">
        <f t="shared" si="37"/>
        <v>GALP</v>
      </c>
      <c r="Q157" s="227" t="s">
        <v>3499</v>
      </c>
      <c r="R157" s="227" t="s">
        <v>3500</v>
      </c>
      <c r="S157" s="422" t="s">
        <v>42</v>
      </c>
    </row>
    <row r="158" spans="1:19" ht="15.75" thickBot="1" x14ac:dyDescent="0.3">
      <c r="A158" t="s">
        <v>4602</v>
      </c>
      <c r="B158" s="422" t="s">
        <v>4602</v>
      </c>
      <c r="C158" s="424" t="str">
        <f t="shared" si="35"/>
        <v>X</v>
      </c>
      <c r="D158" s="425" t="s">
        <v>588</v>
      </c>
      <c r="E158" s="425" t="s">
        <v>1859</v>
      </c>
      <c r="F158" t="s">
        <v>4648</v>
      </c>
      <c r="G158" s="89">
        <v>765775</v>
      </c>
      <c r="H158" s="427" t="s">
        <v>589</v>
      </c>
      <c r="I158" s="123" t="s">
        <v>589</v>
      </c>
      <c r="J158" s="425" t="s">
        <v>1879</v>
      </c>
      <c r="K158" s="422" t="s">
        <v>5942</v>
      </c>
      <c r="L158" s="227">
        <v>2023</v>
      </c>
      <c r="M158" s="422">
        <v>2022</v>
      </c>
      <c r="N158" s="422" t="str">
        <f t="shared" si="36"/>
        <v>AIE/APA NIR 2024: Eléctrica: Perdas Rede SEN: Portugal: 2022:: kWh</v>
      </c>
      <c r="O158" s="422" t="str">
        <f t="shared" si="30"/>
        <v>Eléctrica</v>
      </c>
      <c r="P158" s="422" t="str">
        <f t="shared" si="37"/>
        <v>EDP Comercial</v>
      </c>
      <c r="Q158" s="227" t="s">
        <v>3499</v>
      </c>
      <c r="R158" s="227" t="s">
        <v>3500</v>
      </c>
      <c r="S158" s="422" t="s">
        <v>42</v>
      </c>
    </row>
    <row r="159" spans="1:19" ht="15.75" thickBot="1" x14ac:dyDescent="0.3">
      <c r="A159" t="s">
        <v>4602</v>
      </c>
      <c r="B159" s="422" t="s">
        <v>4602</v>
      </c>
      <c r="C159" s="424" t="str">
        <f t="shared" si="35"/>
        <v>X</v>
      </c>
      <c r="D159" s="425" t="s">
        <v>588</v>
      </c>
      <c r="E159" s="425" t="s">
        <v>1859</v>
      </c>
      <c r="F159" t="s">
        <v>3490</v>
      </c>
      <c r="G159" s="89">
        <v>49578277</v>
      </c>
      <c r="H159" s="427" t="s">
        <v>589</v>
      </c>
      <c r="I159" s="123" t="s">
        <v>589</v>
      </c>
      <c r="J159" s="425" t="s">
        <v>1879</v>
      </c>
      <c r="K159" s="422" t="s">
        <v>5942</v>
      </c>
      <c r="L159" s="227">
        <v>2023</v>
      </c>
      <c r="M159" s="422">
        <v>2022</v>
      </c>
      <c r="N159" s="422" t="str">
        <f t="shared" si="36"/>
        <v>AIE/APA NIR 2024: Eléctrica: Perdas Rede SEN: Portugal: 2022:: kWh</v>
      </c>
      <c r="O159" s="422" t="str">
        <f t="shared" si="30"/>
        <v>Eléctrica</v>
      </c>
      <c r="P159" s="422" t="str">
        <f t="shared" si="37"/>
        <v>Iberdrola</v>
      </c>
      <c r="Q159" s="227" t="s">
        <v>3499</v>
      </c>
      <c r="R159" s="227" t="s">
        <v>3500</v>
      </c>
      <c r="S159" s="422" t="s">
        <v>42</v>
      </c>
    </row>
    <row r="160" spans="1:19" ht="15.75" thickBot="1" x14ac:dyDescent="0.3">
      <c r="A160" t="s">
        <v>4602</v>
      </c>
      <c r="B160" s="422" t="s">
        <v>4602</v>
      </c>
      <c r="C160" s="424" t="str">
        <f t="shared" si="35"/>
        <v>X</v>
      </c>
      <c r="D160" s="425" t="s">
        <v>588</v>
      </c>
      <c r="E160" s="425" t="s">
        <v>1859</v>
      </c>
      <c r="F160" t="s">
        <v>3491</v>
      </c>
      <c r="G160" s="89">
        <v>3583069.25</v>
      </c>
      <c r="H160" s="427" t="s">
        <v>589</v>
      </c>
      <c r="I160" s="123" t="s">
        <v>589</v>
      </c>
      <c r="J160" s="425" t="s">
        <v>1879</v>
      </c>
      <c r="K160" s="422" t="s">
        <v>5942</v>
      </c>
      <c r="L160" s="227">
        <v>2023</v>
      </c>
      <c r="M160" s="422">
        <v>2022</v>
      </c>
      <c r="N160" s="422" t="str">
        <f t="shared" si="36"/>
        <v>AIE/APA NIR 2024: Eléctrica: Perdas Rede SEN: Portugal: 2022:: kWh</v>
      </c>
      <c r="O160" s="422" t="str">
        <f t="shared" si="30"/>
        <v>Eléctrica</v>
      </c>
      <c r="P160" s="422" t="str">
        <f t="shared" si="37"/>
        <v>SU</v>
      </c>
      <c r="Q160" s="227" t="s">
        <v>3499</v>
      </c>
      <c r="R160" s="227" t="s">
        <v>3500</v>
      </c>
      <c r="S160" s="422" t="s">
        <v>42</v>
      </c>
    </row>
    <row r="161" spans="1:19" ht="15.75" thickBot="1" x14ac:dyDescent="0.3">
      <c r="A161" t="s">
        <v>4590</v>
      </c>
      <c r="B161" t="s">
        <v>4590</v>
      </c>
      <c r="C161" s="424" t="str">
        <f t="shared" si="35"/>
        <v>X</v>
      </c>
      <c r="D161" s="425" t="s">
        <v>588</v>
      </c>
      <c r="E161" s="425" t="s">
        <v>1859</v>
      </c>
      <c r="F161" t="s">
        <v>538</v>
      </c>
      <c r="G161" s="89">
        <v>738598</v>
      </c>
      <c r="H161" s="427" t="s">
        <v>589</v>
      </c>
      <c r="I161" s="123" t="s">
        <v>589</v>
      </c>
      <c r="J161" s="425" t="s">
        <v>1879</v>
      </c>
      <c r="K161" s="422" t="s">
        <v>5942</v>
      </c>
      <c r="L161" s="227">
        <v>2023</v>
      </c>
      <c r="M161" s="422">
        <v>2022</v>
      </c>
      <c r="N161" s="422" t="str">
        <f t="shared" si="36"/>
        <v>AIE/APA NIR 2024: Eléctrica: Perdas Rede SEN: Portugal: 2022:: kWh</v>
      </c>
      <c r="O161" s="422" t="str">
        <f t="shared" si="30"/>
        <v>Eléctrica</v>
      </c>
      <c r="P161" s="422" t="str">
        <f t="shared" si="37"/>
        <v>GALP</v>
      </c>
      <c r="Q161" s="227" t="s">
        <v>3499</v>
      </c>
      <c r="R161" s="227" t="s">
        <v>3500</v>
      </c>
      <c r="S161" s="422" t="s">
        <v>42</v>
      </c>
    </row>
    <row r="162" spans="1:19" ht="15.75" thickBot="1" x14ac:dyDescent="0.3">
      <c r="A162" s="422" t="s">
        <v>4591</v>
      </c>
      <c r="B162" s="422" t="s">
        <v>4591</v>
      </c>
      <c r="C162" s="424" t="str">
        <f t="shared" si="35"/>
        <v>X</v>
      </c>
      <c r="D162" s="425" t="s">
        <v>1527</v>
      </c>
      <c r="E162" s="425" t="s">
        <v>1858</v>
      </c>
      <c r="G162" s="89">
        <v>3434187.9299999983</v>
      </c>
      <c r="H162" t="s">
        <v>630</v>
      </c>
      <c r="I162" s="123" t="s">
        <v>1861</v>
      </c>
      <c r="J162" s="428" t="s">
        <v>620</v>
      </c>
      <c r="K162" s="422" t="s">
        <v>1877</v>
      </c>
      <c r="L162" s="227">
        <v>2023</v>
      </c>
      <c r="M162" s="422">
        <v>2023</v>
      </c>
      <c r="N162" s="422" t="str">
        <f t="shared" ref="N162:N224" si="38">IF(J162="Eléctrica",K162&amp;": "&amp;J162&amp;": "&amp;E162&amp;": Portugal: "&amp;M162&amp;":: "&amp;I162,K162&amp;": "&amp;J162&amp;": "&amp;E162&amp;": "&amp;M162&amp;":: "&amp;I162)</f>
        <v>DEFRA: Gasóleo: WTT: 2023:: l</v>
      </c>
      <c r="O162" s="422" t="str">
        <f t="shared" ref="O162:O225" si="39">J162</f>
        <v>Gasóleo</v>
      </c>
      <c r="P162" s="422">
        <f t="shared" ref="P162:P225" si="40">F162</f>
        <v>0</v>
      </c>
      <c r="Q162" s="227" t="s">
        <v>3499</v>
      </c>
      <c r="R162" s="227" t="s">
        <v>3500</v>
      </c>
      <c r="S162" s="422" t="s">
        <v>42</v>
      </c>
    </row>
    <row r="163" spans="1:19" ht="15.75" thickBot="1" x14ac:dyDescent="0.3">
      <c r="A163" s="422" t="s">
        <v>1916</v>
      </c>
      <c r="B163" s="422" t="s">
        <v>1916</v>
      </c>
      <c r="C163" s="424" t="str">
        <f t="shared" si="35"/>
        <v>X</v>
      </c>
      <c r="D163" s="425" t="s">
        <v>1527</v>
      </c>
      <c r="E163" s="425" t="s">
        <v>1858</v>
      </c>
      <c r="G163" s="89">
        <v>5442648.4799999977</v>
      </c>
      <c r="H163" t="s">
        <v>630</v>
      </c>
      <c r="I163" s="123" t="s">
        <v>1861</v>
      </c>
      <c r="J163" s="428" t="s">
        <v>620</v>
      </c>
      <c r="K163" s="422" t="s">
        <v>1877</v>
      </c>
      <c r="L163" s="227">
        <v>2023</v>
      </c>
      <c r="M163" s="422">
        <v>2023</v>
      </c>
      <c r="N163" s="422" t="str">
        <f t="shared" si="38"/>
        <v>DEFRA: Gasóleo: WTT: 2023:: l</v>
      </c>
      <c r="O163" s="422" t="str">
        <f t="shared" si="39"/>
        <v>Gasóleo</v>
      </c>
      <c r="P163" s="422">
        <f t="shared" si="40"/>
        <v>0</v>
      </c>
      <c r="Q163" s="227" t="s">
        <v>3499</v>
      </c>
      <c r="R163" s="227" t="s">
        <v>3500</v>
      </c>
      <c r="S163" s="422" t="s">
        <v>42</v>
      </c>
    </row>
    <row r="164" spans="1:19" ht="15.75" thickBot="1" x14ac:dyDescent="0.3">
      <c r="A164" s="422" t="s">
        <v>2946</v>
      </c>
      <c r="B164" s="422" t="s">
        <v>2946</v>
      </c>
      <c r="C164" s="424" t="str">
        <f t="shared" si="35"/>
        <v>X</v>
      </c>
      <c r="D164" s="425" t="s">
        <v>1527</v>
      </c>
      <c r="E164" s="425" t="s">
        <v>1858</v>
      </c>
      <c r="G164" s="89">
        <v>180285.43000000002</v>
      </c>
      <c r="H164" t="s">
        <v>630</v>
      </c>
      <c r="I164" s="123" t="s">
        <v>1861</v>
      </c>
      <c r="J164" s="428" t="s">
        <v>620</v>
      </c>
      <c r="K164" s="422" t="s">
        <v>1877</v>
      </c>
      <c r="L164" s="227">
        <v>2023</v>
      </c>
      <c r="M164" s="422">
        <v>2023</v>
      </c>
      <c r="N164" s="422" t="str">
        <f t="shared" si="38"/>
        <v>DEFRA: Gasóleo: WTT: 2023:: l</v>
      </c>
      <c r="O164" s="422" t="str">
        <f t="shared" si="39"/>
        <v>Gasóleo</v>
      </c>
      <c r="P164" s="422">
        <f t="shared" si="40"/>
        <v>0</v>
      </c>
      <c r="Q164" s="227" t="s">
        <v>3499</v>
      </c>
      <c r="R164" s="227" t="s">
        <v>3500</v>
      </c>
      <c r="S164" s="422" t="s">
        <v>42</v>
      </c>
    </row>
    <row r="165" spans="1:19" ht="15.75" thickBot="1" x14ac:dyDescent="0.3">
      <c r="A165" s="137" t="s">
        <v>4589</v>
      </c>
      <c r="B165" s="137" t="s">
        <v>4589</v>
      </c>
      <c r="C165" s="424" t="str">
        <f t="shared" si="35"/>
        <v>X</v>
      </c>
      <c r="D165" s="425" t="s">
        <v>1527</v>
      </c>
      <c r="E165" s="425" t="s">
        <v>1858</v>
      </c>
      <c r="G165" s="89">
        <v>110996</v>
      </c>
      <c r="H165" t="s">
        <v>630</v>
      </c>
      <c r="I165" s="123" t="s">
        <v>1861</v>
      </c>
      <c r="J165" s="426" t="s">
        <v>620</v>
      </c>
      <c r="K165" s="422" t="s">
        <v>1877</v>
      </c>
      <c r="L165" s="227">
        <v>2023</v>
      </c>
      <c r="M165" s="422">
        <v>2023</v>
      </c>
      <c r="N165" s="422" t="str">
        <f t="shared" si="38"/>
        <v>DEFRA: Gasóleo: WTT: 2023:: l</v>
      </c>
      <c r="O165" s="422" t="str">
        <f t="shared" si="39"/>
        <v>Gasóleo</v>
      </c>
      <c r="P165" s="422">
        <f t="shared" si="40"/>
        <v>0</v>
      </c>
      <c r="Q165" s="227" t="s">
        <v>3499</v>
      </c>
      <c r="R165" s="227" t="s">
        <v>3500</v>
      </c>
      <c r="S165" s="422" t="s">
        <v>42</v>
      </c>
    </row>
    <row r="166" spans="1:19" ht="15.75" thickBot="1" x14ac:dyDescent="0.3">
      <c r="A166" s="422" t="s">
        <v>1912</v>
      </c>
      <c r="B166" s="422" t="s">
        <v>1912</v>
      </c>
      <c r="C166" s="424" t="str">
        <f t="shared" si="35"/>
        <v>X</v>
      </c>
      <c r="D166" s="425" t="s">
        <v>1527</v>
      </c>
      <c r="E166" s="425" t="s">
        <v>1858</v>
      </c>
      <c r="G166" s="89">
        <v>1223669.1299999999</v>
      </c>
      <c r="H166" t="s">
        <v>630</v>
      </c>
      <c r="I166" s="123" t="s">
        <v>1861</v>
      </c>
      <c r="J166" s="426" t="s">
        <v>620</v>
      </c>
      <c r="K166" s="422" t="s">
        <v>1877</v>
      </c>
      <c r="L166" s="227">
        <v>2023</v>
      </c>
      <c r="M166" s="422">
        <v>2023</v>
      </c>
      <c r="N166" s="422" t="str">
        <f t="shared" si="38"/>
        <v>DEFRA: Gasóleo: WTT: 2023:: l</v>
      </c>
      <c r="O166" s="422" t="str">
        <f t="shared" si="39"/>
        <v>Gasóleo</v>
      </c>
      <c r="P166" s="422">
        <f t="shared" si="40"/>
        <v>0</v>
      </c>
      <c r="Q166" s="227" t="s">
        <v>3499</v>
      </c>
      <c r="R166" s="227" t="s">
        <v>3500</v>
      </c>
      <c r="S166" s="422" t="s">
        <v>42</v>
      </c>
    </row>
    <row r="167" spans="1:19" ht="15.75" thickBot="1" x14ac:dyDescent="0.3">
      <c r="A167" s="422" t="s">
        <v>1912</v>
      </c>
      <c r="B167" s="422" t="s">
        <v>1912</v>
      </c>
      <c r="C167" s="424" t="str">
        <f t="shared" si="35"/>
        <v>X</v>
      </c>
      <c r="D167" s="425" t="s">
        <v>1527</v>
      </c>
      <c r="E167" s="425" t="s">
        <v>1858</v>
      </c>
      <c r="G167" s="89">
        <v>6061.63</v>
      </c>
      <c r="H167" t="s">
        <v>630</v>
      </c>
      <c r="I167" s="123" t="s">
        <v>1861</v>
      </c>
      <c r="J167" s="426" t="s">
        <v>620</v>
      </c>
      <c r="K167" s="422" t="s">
        <v>1877</v>
      </c>
      <c r="L167" s="227">
        <v>2023</v>
      </c>
      <c r="M167" s="422">
        <v>2023</v>
      </c>
      <c r="N167" s="422" t="str">
        <f t="shared" si="38"/>
        <v>DEFRA: Gasóleo: WTT: 2023:: l</v>
      </c>
      <c r="O167" s="422" t="str">
        <f t="shared" si="39"/>
        <v>Gasóleo</v>
      </c>
      <c r="P167" s="422">
        <f t="shared" si="40"/>
        <v>0</v>
      </c>
      <c r="Q167" s="227" t="s">
        <v>3499</v>
      </c>
      <c r="R167" s="227" t="s">
        <v>3500</v>
      </c>
      <c r="S167" s="422" t="s">
        <v>42</v>
      </c>
    </row>
    <row r="168" spans="1:19" ht="15.75" thickBot="1" x14ac:dyDescent="0.3">
      <c r="A168" s="422" t="s">
        <v>1912</v>
      </c>
      <c r="B168" s="422" t="s">
        <v>1912</v>
      </c>
      <c r="C168" s="424" t="str">
        <f t="shared" si="35"/>
        <v>X</v>
      </c>
      <c r="D168" s="425" t="s">
        <v>1527</v>
      </c>
      <c r="E168" s="425" t="s">
        <v>1858</v>
      </c>
      <c r="G168" s="89">
        <v>2236.5300000000002</v>
      </c>
      <c r="H168" t="s">
        <v>630</v>
      </c>
      <c r="I168" s="123" t="s">
        <v>1861</v>
      </c>
      <c r="J168" s="426" t="s">
        <v>620</v>
      </c>
      <c r="K168" s="422" t="s">
        <v>1877</v>
      </c>
      <c r="L168" s="227">
        <v>2023</v>
      </c>
      <c r="M168" s="422">
        <v>2023</v>
      </c>
      <c r="N168" s="422" t="str">
        <f t="shared" si="38"/>
        <v>DEFRA: Gasóleo: WTT: 2023:: l</v>
      </c>
      <c r="O168" s="422" t="str">
        <f t="shared" si="39"/>
        <v>Gasóleo</v>
      </c>
      <c r="P168" s="422">
        <f t="shared" si="40"/>
        <v>0</v>
      </c>
      <c r="Q168" s="227" t="s">
        <v>3499</v>
      </c>
      <c r="R168" s="227" t="s">
        <v>3500</v>
      </c>
      <c r="S168" s="422" t="s">
        <v>42</v>
      </c>
    </row>
    <row r="169" spans="1:19" ht="15.75" thickBot="1" x14ac:dyDescent="0.3">
      <c r="A169" s="422" t="s">
        <v>4599</v>
      </c>
      <c r="B169" s="422" t="s">
        <v>4599</v>
      </c>
      <c r="C169" s="424" t="str">
        <f t="shared" si="35"/>
        <v>X</v>
      </c>
      <c r="D169" s="425" t="s">
        <v>1527</v>
      </c>
      <c r="E169" s="425" t="s">
        <v>1858</v>
      </c>
      <c r="G169" s="89">
        <v>19535.71</v>
      </c>
      <c r="H169" t="s">
        <v>630</v>
      </c>
      <c r="I169" s="123" t="s">
        <v>1861</v>
      </c>
      <c r="J169" s="426" t="s">
        <v>620</v>
      </c>
      <c r="K169" s="422" t="s">
        <v>1877</v>
      </c>
      <c r="L169" s="227">
        <v>2023</v>
      </c>
      <c r="M169" s="422">
        <v>2023</v>
      </c>
      <c r="N169" s="422" t="str">
        <f t="shared" si="38"/>
        <v>DEFRA: Gasóleo: WTT: 2023:: l</v>
      </c>
      <c r="O169" s="422" t="str">
        <f t="shared" si="39"/>
        <v>Gasóleo</v>
      </c>
      <c r="P169" s="422">
        <f t="shared" si="40"/>
        <v>0</v>
      </c>
      <c r="Q169" s="227" t="s">
        <v>3499</v>
      </c>
      <c r="R169" s="227" t="s">
        <v>3500</v>
      </c>
      <c r="S169" s="422" t="s">
        <v>42</v>
      </c>
    </row>
    <row r="170" spans="1:19" ht="15.75" thickBot="1" x14ac:dyDescent="0.3">
      <c r="A170" s="422" t="s">
        <v>4583</v>
      </c>
      <c r="B170" s="422" t="s">
        <v>4583</v>
      </c>
      <c r="C170" s="424" t="str">
        <f t="shared" si="35"/>
        <v>X</v>
      </c>
      <c r="D170" s="425" t="s">
        <v>1527</v>
      </c>
      <c r="E170" s="425" t="s">
        <v>1858</v>
      </c>
      <c r="G170" s="89">
        <v>7019.87</v>
      </c>
      <c r="H170" t="s">
        <v>630</v>
      </c>
      <c r="I170" s="123" t="s">
        <v>1861</v>
      </c>
      <c r="J170" s="426" t="s">
        <v>620</v>
      </c>
      <c r="K170" s="422" t="s">
        <v>1877</v>
      </c>
      <c r="L170" s="227">
        <v>2023</v>
      </c>
      <c r="M170" s="422">
        <v>2023</v>
      </c>
      <c r="N170" s="422" t="str">
        <f t="shared" si="38"/>
        <v>DEFRA: Gasóleo: WTT: 2023:: l</v>
      </c>
      <c r="O170" s="422" t="str">
        <f t="shared" si="39"/>
        <v>Gasóleo</v>
      </c>
      <c r="P170" s="422">
        <f t="shared" si="40"/>
        <v>0</v>
      </c>
      <c r="Q170" s="227" t="s">
        <v>3499</v>
      </c>
      <c r="R170" s="227" t="s">
        <v>3500</v>
      </c>
      <c r="S170" s="422" t="s">
        <v>42</v>
      </c>
    </row>
    <row r="171" spans="1:19" ht="15.75" thickBot="1" x14ac:dyDescent="0.3">
      <c r="A171" s="422" t="s">
        <v>4583</v>
      </c>
      <c r="B171" s="422" t="s">
        <v>4583</v>
      </c>
      <c r="C171" s="424" t="str">
        <f t="shared" si="35"/>
        <v>X</v>
      </c>
      <c r="D171" s="425" t="s">
        <v>1527</v>
      </c>
      <c r="E171" s="425" t="s">
        <v>1858</v>
      </c>
      <c r="G171" s="89">
        <v>3738350.006541911</v>
      </c>
      <c r="H171" t="s">
        <v>630</v>
      </c>
      <c r="I171" s="123" t="s">
        <v>1861</v>
      </c>
      <c r="J171" s="426" t="s">
        <v>620</v>
      </c>
      <c r="K171" s="422" t="s">
        <v>1877</v>
      </c>
      <c r="L171" s="227">
        <v>2023</v>
      </c>
      <c r="M171" s="422">
        <v>2023</v>
      </c>
      <c r="N171" s="422" t="str">
        <f t="shared" si="38"/>
        <v>DEFRA: Gasóleo: WTT: 2023:: l</v>
      </c>
      <c r="O171" s="422" t="str">
        <f t="shared" si="39"/>
        <v>Gasóleo</v>
      </c>
      <c r="P171" s="422">
        <f t="shared" si="40"/>
        <v>0</v>
      </c>
      <c r="Q171" s="227" t="s">
        <v>3499</v>
      </c>
      <c r="R171" s="227" t="s">
        <v>3500</v>
      </c>
      <c r="S171" s="422" t="s">
        <v>42</v>
      </c>
    </row>
    <row r="172" spans="1:19" ht="15.75" thickBot="1" x14ac:dyDescent="0.3">
      <c r="A172" s="422" t="s">
        <v>4584</v>
      </c>
      <c r="B172" s="422" t="s">
        <v>4584</v>
      </c>
      <c r="C172" s="424" t="str">
        <f t="shared" si="35"/>
        <v>X</v>
      </c>
      <c r="D172" s="425" t="s">
        <v>1527</v>
      </c>
      <c r="E172" s="425" t="s">
        <v>1858</v>
      </c>
      <c r="G172" s="89">
        <v>128512.54000000001</v>
      </c>
      <c r="H172" t="s">
        <v>630</v>
      </c>
      <c r="I172" s="123" t="s">
        <v>1861</v>
      </c>
      <c r="J172" s="426" t="s">
        <v>620</v>
      </c>
      <c r="K172" s="422" t="s">
        <v>1877</v>
      </c>
      <c r="L172" s="227">
        <v>2023</v>
      </c>
      <c r="M172" s="422">
        <v>2023</v>
      </c>
      <c r="N172" s="422" t="str">
        <f t="shared" si="38"/>
        <v>DEFRA: Gasóleo: WTT: 2023:: l</v>
      </c>
      <c r="O172" s="422" t="str">
        <f t="shared" si="39"/>
        <v>Gasóleo</v>
      </c>
      <c r="P172" s="422">
        <f t="shared" si="40"/>
        <v>0</v>
      </c>
      <c r="Q172" s="227" t="s">
        <v>3499</v>
      </c>
      <c r="R172" s="227" t="s">
        <v>3500</v>
      </c>
      <c r="S172" s="422" t="s">
        <v>42</v>
      </c>
    </row>
    <row r="173" spans="1:19" ht="15.75" thickBot="1" x14ac:dyDescent="0.3">
      <c r="A173" s="422" t="s">
        <v>4584</v>
      </c>
      <c r="B173" s="422" t="s">
        <v>4584</v>
      </c>
      <c r="C173" s="424" t="str">
        <f t="shared" si="35"/>
        <v>X</v>
      </c>
      <c r="D173" s="425" t="s">
        <v>1527</v>
      </c>
      <c r="E173" s="425" t="s">
        <v>1858</v>
      </c>
      <c r="G173" s="89">
        <v>1195690.4700000007</v>
      </c>
      <c r="H173" t="s">
        <v>630</v>
      </c>
      <c r="I173" s="123" t="s">
        <v>1861</v>
      </c>
      <c r="J173" s="426" t="s">
        <v>620</v>
      </c>
      <c r="K173" s="422" t="s">
        <v>1877</v>
      </c>
      <c r="L173" s="227">
        <v>2023</v>
      </c>
      <c r="M173" s="422">
        <v>2023</v>
      </c>
      <c r="N173" s="422" t="str">
        <f t="shared" si="38"/>
        <v>DEFRA: Gasóleo: WTT: 2023:: l</v>
      </c>
      <c r="O173" s="422" t="str">
        <f t="shared" si="39"/>
        <v>Gasóleo</v>
      </c>
      <c r="P173" s="422">
        <f t="shared" si="40"/>
        <v>0</v>
      </c>
      <c r="Q173" s="227" t="s">
        <v>3499</v>
      </c>
      <c r="R173" s="227" t="s">
        <v>3500</v>
      </c>
      <c r="S173" s="422" t="s">
        <v>42</v>
      </c>
    </row>
    <row r="174" spans="1:19" ht="15.75" thickBot="1" x14ac:dyDescent="0.3">
      <c r="A174" s="422" t="s">
        <v>3475</v>
      </c>
      <c r="B174" s="422" t="s">
        <v>3475</v>
      </c>
      <c r="C174" s="424" t="str">
        <f t="shared" si="35"/>
        <v>X</v>
      </c>
      <c r="D174" s="425" t="s">
        <v>1527</v>
      </c>
      <c r="E174" s="425" t="s">
        <v>1858</v>
      </c>
      <c r="G174" s="89">
        <v>434896.74000000005</v>
      </c>
      <c r="H174" t="s">
        <v>630</v>
      </c>
      <c r="I174" s="123" t="s">
        <v>1861</v>
      </c>
      <c r="J174" s="426" t="s">
        <v>620</v>
      </c>
      <c r="K174" s="422" t="s">
        <v>1877</v>
      </c>
      <c r="L174" s="227">
        <v>2023</v>
      </c>
      <c r="M174" s="422">
        <v>2023</v>
      </c>
      <c r="N174" s="422" t="str">
        <f t="shared" si="38"/>
        <v>DEFRA: Gasóleo: WTT: 2023:: l</v>
      </c>
      <c r="O174" s="422" t="str">
        <f t="shared" si="39"/>
        <v>Gasóleo</v>
      </c>
      <c r="P174" s="422">
        <f t="shared" si="40"/>
        <v>0</v>
      </c>
      <c r="Q174" s="227" t="s">
        <v>3499</v>
      </c>
      <c r="R174" s="227" t="s">
        <v>3500</v>
      </c>
      <c r="S174" s="422" t="s">
        <v>42</v>
      </c>
    </row>
    <row r="175" spans="1:19" ht="15.75" thickBot="1" x14ac:dyDescent="0.3">
      <c r="A175" s="422" t="s">
        <v>4585</v>
      </c>
      <c r="B175" s="422" t="s">
        <v>4585</v>
      </c>
      <c r="C175" s="424" t="str">
        <f t="shared" si="35"/>
        <v>X</v>
      </c>
      <c r="D175" s="425" t="s">
        <v>1527</v>
      </c>
      <c r="E175" s="425" t="s">
        <v>1858</v>
      </c>
      <c r="G175" s="89">
        <v>98355.43</v>
      </c>
      <c r="H175" t="s">
        <v>630</v>
      </c>
      <c r="I175" s="123" t="s">
        <v>1861</v>
      </c>
      <c r="J175" s="426" t="s">
        <v>620</v>
      </c>
      <c r="K175" s="422" t="s">
        <v>1877</v>
      </c>
      <c r="L175" s="227">
        <v>2023</v>
      </c>
      <c r="M175" s="422">
        <v>2023</v>
      </c>
      <c r="N175" s="422" t="str">
        <f t="shared" si="38"/>
        <v>DEFRA: Gasóleo: WTT: 2023:: l</v>
      </c>
      <c r="O175" s="422" t="str">
        <f t="shared" si="39"/>
        <v>Gasóleo</v>
      </c>
      <c r="P175" s="422">
        <f t="shared" si="40"/>
        <v>0</v>
      </c>
      <c r="Q175" s="227" t="s">
        <v>3499</v>
      </c>
      <c r="R175" s="227" t="s">
        <v>3500</v>
      </c>
      <c r="S175" s="422" t="s">
        <v>42</v>
      </c>
    </row>
    <row r="176" spans="1:19" ht="15.75" thickBot="1" x14ac:dyDescent="0.3">
      <c r="A176" s="422" t="s">
        <v>4586</v>
      </c>
      <c r="B176" s="422" t="s">
        <v>4586</v>
      </c>
      <c r="C176" s="424" t="str">
        <f t="shared" si="35"/>
        <v>X</v>
      </c>
      <c r="D176" s="425" t="s">
        <v>1527</v>
      </c>
      <c r="E176" s="425" t="s">
        <v>1858</v>
      </c>
      <c r="G176" s="89">
        <v>427987</v>
      </c>
      <c r="H176" t="s">
        <v>630</v>
      </c>
      <c r="I176" s="123" t="s">
        <v>1861</v>
      </c>
      <c r="J176" s="426" t="s">
        <v>620</v>
      </c>
      <c r="K176" s="422" t="s">
        <v>1877</v>
      </c>
      <c r="L176" s="227">
        <v>2023</v>
      </c>
      <c r="M176" s="422">
        <v>2023</v>
      </c>
      <c r="N176" s="422" t="str">
        <f t="shared" si="38"/>
        <v>DEFRA: Gasóleo: WTT: 2023:: l</v>
      </c>
      <c r="O176" s="422" t="str">
        <f t="shared" si="39"/>
        <v>Gasóleo</v>
      </c>
      <c r="P176" s="422">
        <f t="shared" si="40"/>
        <v>0</v>
      </c>
      <c r="Q176" s="227" t="s">
        <v>3499</v>
      </c>
      <c r="R176" s="227" t="s">
        <v>3500</v>
      </c>
      <c r="S176" s="422" t="s">
        <v>42</v>
      </c>
    </row>
    <row r="177" spans="1:19" ht="15.75" thickBot="1" x14ac:dyDescent="0.3">
      <c r="A177" s="422" t="s">
        <v>4587</v>
      </c>
      <c r="B177" s="422" t="s">
        <v>4587</v>
      </c>
      <c r="C177" s="424" t="str">
        <f t="shared" si="35"/>
        <v>X</v>
      </c>
      <c r="D177" s="425" t="s">
        <v>1527</v>
      </c>
      <c r="E177" s="425" t="s">
        <v>1858</v>
      </c>
      <c r="G177" s="89">
        <v>2025074</v>
      </c>
      <c r="H177" t="s">
        <v>630</v>
      </c>
      <c r="I177" s="123" t="s">
        <v>1861</v>
      </c>
      <c r="J177" s="426" t="s">
        <v>620</v>
      </c>
      <c r="K177" s="422" t="s">
        <v>1877</v>
      </c>
      <c r="L177" s="227">
        <v>2023</v>
      </c>
      <c r="M177" s="422">
        <v>2023</v>
      </c>
      <c r="N177" s="422" t="str">
        <f t="shared" si="38"/>
        <v>DEFRA: Gasóleo: WTT: 2023:: l</v>
      </c>
      <c r="O177" s="422" t="str">
        <f t="shared" si="39"/>
        <v>Gasóleo</v>
      </c>
      <c r="P177" s="422">
        <f t="shared" si="40"/>
        <v>0</v>
      </c>
      <c r="Q177" s="227" t="s">
        <v>3499</v>
      </c>
      <c r="R177" s="227" t="s">
        <v>3500</v>
      </c>
      <c r="S177" s="422" t="s">
        <v>42</v>
      </c>
    </row>
    <row r="178" spans="1:19" ht="15.75" thickBot="1" x14ac:dyDescent="0.3">
      <c r="A178" s="422" t="s">
        <v>2817</v>
      </c>
      <c r="B178" s="422" t="s">
        <v>2817</v>
      </c>
      <c r="C178" s="424" t="str">
        <f t="shared" si="35"/>
        <v>X</v>
      </c>
      <c r="D178" s="425" t="s">
        <v>1527</v>
      </c>
      <c r="E178" s="425" t="s">
        <v>1858</v>
      </c>
      <c r="G178" s="89">
        <v>1053000</v>
      </c>
      <c r="H178" t="s">
        <v>630</v>
      </c>
      <c r="I178" s="123" t="s">
        <v>1861</v>
      </c>
      <c r="J178" s="428" t="s">
        <v>620</v>
      </c>
      <c r="K178" s="422" t="s">
        <v>1877</v>
      </c>
      <c r="L178" s="227">
        <v>2023</v>
      </c>
      <c r="M178" s="422">
        <v>2023</v>
      </c>
      <c r="N178" s="422" t="str">
        <f t="shared" si="38"/>
        <v>DEFRA: Gasóleo: WTT: 2023:: l</v>
      </c>
      <c r="O178" s="422" t="str">
        <f t="shared" si="39"/>
        <v>Gasóleo</v>
      </c>
      <c r="P178" s="422">
        <f t="shared" si="40"/>
        <v>0</v>
      </c>
      <c r="Q178" s="227" t="s">
        <v>3499</v>
      </c>
      <c r="R178" s="227" t="s">
        <v>3500</v>
      </c>
      <c r="S178" s="422" t="s">
        <v>42</v>
      </c>
    </row>
    <row r="179" spans="1:19" ht="15.75" thickBot="1" x14ac:dyDescent="0.3">
      <c r="A179" s="422" t="s">
        <v>4594</v>
      </c>
      <c r="B179" s="422" t="s">
        <v>4594</v>
      </c>
      <c r="C179" s="424" t="str">
        <f t="shared" si="35"/>
        <v>X</v>
      </c>
      <c r="D179" s="425" t="s">
        <v>1527</v>
      </c>
      <c r="E179" s="425" t="s">
        <v>1858</v>
      </c>
      <c r="G179" s="89">
        <v>2162412</v>
      </c>
      <c r="H179" t="s">
        <v>630</v>
      </c>
      <c r="I179" s="123" t="s">
        <v>1861</v>
      </c>
      <c r="J179" s="428" t="s">
        <v>620</v>
      </c>
      <c r="K179" s="422" t="s">
        <v>1877</v>
      </c>
      <c r="L179" s="227">
        <v>2023</v>
      </c>
      <c r="M179" s="422">
        <v>2023</v>
      </c>
      <c r="N179" s="422" t="str">
        <f t="shared" si="38"/>
        <v>DEFRA: Gasóleo: WTT: 2023:: l</v>
      </c>
      <c r="O179" s="422" t="str">
        <f t="shared" si="39"/>
        <v>Gasóleo</v>
      </c>
      <c r="P179" s="422">
        <f t="shared" si="40"/>
        <v>0</v>
      </c>
      <c r="Q179" s="227" t="s">
        <v>3499</v>
      </c>
      <c r="R179" s="227" t="s">
        <v>3500</v>
      </c>
      <c r="S179" s="422" t="s">
        <v>42</v>
      </c>
    </row>
    <row r="180" spans="1:19" ht="15.75" thickBot="1" x14ac:dyDescent="0.3">
      <c r="A180" s="422" t="s">
        <v>4594</v>
      </c>
      <c r="B180" s="422" t="s">
        <v>4594</v>
      </c>
      <c r="C180" s="424" t="str">
        <f t="shared" si="35"/>
        <v>X</v>
      </c>
      <c r="D180" s="425" t="s">
        <v>1527</v>
      </c>
      <c r="E180" s="425" t="s">
        <v>1858</v>
      </c>
      <c r="G180" s="89">
        <v>20870</v>
      </c>
      <c r="H180" t="s">
        <v>630</v>
      </c>
      <c r="I180" s="123" t="s">
        <v>1861</v>
      </c>
      <c r="J180" s="428" t="s">
        <v>620</v>
      </c>
      <c r="K180" s="422" t="s">
        <v>1877</v>
      </c>
      <c r="L180" s="227">
        <v>2023</v>
      </c>
      <c r="M180" s="422">
        <v>2023</v>
      </c>
      <c r="N180" s="422" t="str">
        <f t="shared" si="38"/>
        <v>DEFRA: Gasóleo: WTT: 2023:: l</v>
      </c>
      <c r="O180" s="422" t="str">
        <f t="shared" si="39"/>
        <v>Gasóleo</v>
      </c>
      <c r="P180" s="422">
        <f t="shared" si="40"/>
        <v>0</v>
      </c>
      <c r="Q180" s="227" t="s">
        <v>3499</v>
      </c>
      <c r="R180" s="227" t="s">
        <v>3500</v>
      </c>
      <c r="S180" s="422" t="s">
        <v>42</v>
      </c>
    </row>
    <row r="181" spans="1:19" ht="15.75" thickBot="1" x14ac:dyDescent="0.3">
      <c r="A181" s="422" t="s">
        <v>4593</v>
      </c>
      <c r="B181" s="422" t="s">
        <v>4593</v>
      </c>
      <c r="C181" s="424" t="str">
        <f t="shared" si="35"/>
        <v>X</v>
      </c>
      <c r="D181" s="425" t="s">
        <v>1527</v>
      </c>
      <c r="E181" s="425" t="s">
        <v>1858</v>
      </c>
      <c r="G181" s="89">
        <v>1398503</v>
      </c>
      <c r="H181" t="s">
        <v>630</v>
      </c>
      <c r="I181" s="123" t="s">
        <v>1861</v>
      </c>
      <c r="J181" s="428" t="s">
        <v>620</v>
      </c>
      <c r="K181" s="422" t="s">
        <v>1877</v>
      </c>
      <c r="L181" s="227">
        <v>2023</v>
      </c>
      <c r="M181" s="422">
        <v>2023</v>
      </c>
      <c r="N181" s="422" t="str">
        <f t="shared" si="38"/>
        <v>DEFRA: Gasóleo: WTT: 2023:: l</v>
      </c>
      <c r="O181" s="422" t="str">
        <f t="shared" si="39"/>
        <v>Gasóleo</v>
      </c>
      <c r="P181" s="422">
        <f t="shared" si="40"/>
        <v>0</v>
      </c>
      <c r="Q181" s="227" t="s">
        <v>3499</v>
      </c>
      <c r="R181" s="227" t="s">
        <v>3500</v>
      </c>
      <c r="S181" s="422" t="s">
        <v>42</v>
      </c>
    </row>
    <row r="182" spans="1:19" ht="15.75" thickBot="1" x14ac:dyDescent="0.3">
      <c r="A182" s="422" t="s">
        <v>4670</v>
      </c>
      <c r="B182" s="422" t="s">
        <v>4670</v>
      </c>
      <c r="C182" s="424" t="str">
        <f t="shared" si="35"/>
        <v>X</v>
      </c>
      <c r="D182" s="425" t="s">
        <v>1527</v>
      </c>
      <c r="E182" s="425" t="s">
        <v>1858</v>
      </c>
      <c r="G182" s="89">
        <v>1513725</v>
      </c>
      <c r="H182" t="s">
        <v>630</v>
      </c>
      <c r="I182" s="123" t="s">
        <v>1861</v>
      </c>
      <c r="J182" s="428" t="s">
        <v>620</v>
      </c>
      <c r="K182" s="422" t="s">
        <v>1877</v>
      </c>
      <c r="L182" s="227">
        <v>2023</v>
      </c>
      <c r="M182" s="422">
        <v>2023</v>
      </c>
      <c r="N182" s="422" t="str">
        <f t="shared" si="38"/>
        <v>DEFRA: Gasóleo: WTT: 2023:: l</v>
      </c>
      <c r="O182" s="422" t="str">
        <f t="shared" si="39"/>
        <v>Gasóleo</v>
      </c>
      <c r="P182" s="422">
        <f t="shared" si="40"/>
        <v>0</v>
      </c>
      <c r="Q182" s="227" t="s">
        <v>3499</v>
      </c>
      <c r="R182" s="227" t="s">
        <v>3500</v>
      </c>
      <c r="S182" s="422" t="s">
        <v>42</v>
      </c>
    </row>
    <row r="183" spans="1:19" ht="15.75" thickBot="1" x14ac:dyDescent="0.3">
      <c r="A183" s="422" t="s">
        <v>4670</v>
      </c>
      <c r="B183" s="422" t="s">
        <v>4670</v>
      </c>
      <c r="C183" s="424" t="str">
        <f t="shared" ref="C183:C246" si="41">IF(A183=B183,"X",RIGHT(A183,LEN(A183)-LEN(B183)-3))</f>
        <v>X</v>
      </c>
      <c r="D183" s="425" t="s">
        <v>1527</v>
      </c>
      <c r="E183" s="425" t="s">
        <v>1858</v>
      </c>
      <c r="G183" s="89">
        <v>2867</v>
      </c>
      <c r="H183" t="s">
        <v>630</v>
      </c>
      <c r="I183" s="123" t="s">
        <v>1861</v>
      </c>
      <c r="J183" s="428" t="s">
        <v>620</v>
      </c>
      <c r="K183" s="422" t="s">
        <v>1877</v>
      </c>
      <c r="L183" s="227">
        <v>2023</v>
      </c>
      <c r="M183" s="422">
        <v>2023</v>
      </c>
      <c r="N183" s="422" t="str">
        <f t="shared" si="38"/>
        <v>DEFRA: Gasóleo: WTT: 2023:: l</v>
      </c>
      <c r="O183" s="422" t="str">
        <f t="shared" si="39"/>
        <v>Gasóleo</v>
      </c>
      <c r="P183" s="422">
        <f t="shared" si="40"/>
        <v>0</v>
      </c>
      <c r="Q183" s="227" t="s">
        <v>3499</v>
      </c>
      <c r="R183" s="227" t="s">
        <v>3500</v>
      </c>
      <c r="S183" s="422" t="s">
        <v>42</v>
      </c>
    </row>
    <row r="184" spans="1:19" ht="15.75" thickBot="1" x14ac:dyDescent="0.3">
      <c r="A184" s="422" t="s">
        <v>4592</v>
      </c>
      <c r="B184" s="422" t="s">
        <v>4592</v>
      </c>
      <c r="C184" s="424" t="str">
        <f t="shared" si="41"/>
        <v>X</v>
      </c>
      <c r="D184" s="425" t="s">
        <v>1527</v>
      </c>
      <c r="E184" s="425" t="s">
        <v>1858</v>
      </c>
      <c r="G184" s="89">
        <v>4351785</v>
      </c>
      <c r="H184" t="s">
        <v>630</v>
      </c>
      <c r="I184" s="123" t="s">
        <v>1861</v>
      </c>
      <c r="J184" s="428" t="s">
        <v>620</v>
      </c>
      <c r="K184" s="422" t="s">
        <v>1877</v>
      </c>
      <c r="L184" s="227">
        <v>2023</v>
      </c>
      <c r="M184" s="422">
        <v>2023</v>
      </c>
      <c r="N184" s="422" t="str">
        <f t="shared" si="38"/>
        <v>DEFRA: Gasóleo: WTT: 2023:: l</v>
      </c>
      <c r="O184" s="422" t="str">
        <f t="shared" si="39"/>
        <v>Gasóleo</v>
      </c>
      <c r="P184" s="422">
        <f t="shared" si="40"/>
        <v>0</v>
      </c>
      <c r="Q184" s="227" t="s">
        <v>3499</v>
      </c>
      <c r="R184" s="227" t="s">
        <v>3500</v>
      </c>
      <c r="S184" s="422" t="s">
        <v>42</v>
      </c>
    </row>
    <row r="185" spans="1:19" ht="15.75" thickBot="1" x14ac:dyDescent="0.3">
      <c r="A185" s="422" t="s">
        <v>4592</v>
      </c>
      <c r="B185" s="422" t="s">
        <v>4592</v>
      </c>
      <c r="C185" s="424" t="str">
        <f t="shared" si="41"/>
        <v>X</v>
      </c>
      <c r="D185" s="425" t="s">
        <v>1527</v>
      </c>
      <c r="E185" s="425" t="s">
        <v>1858</v>
      </c>
      <c r="G185" s="89">
        <v>10551</v>
      </c>
      <c r="H185" t="s">
        <v>630</v>
      </c>
      <c r="I185" s="123" t="s">
        <v>1861</v>
      </c>
      <c r="J185" s="428" t="s">
        <v>620</v>
      </c>
      <c r="K185" s="422" t="s">
        <v>1877</v>
      </c>
      <c r="L185" s="227">
        <v>2023</v>
      </c>
      <c r="M185" s="422">
        <v>2023</v>
      </c>
      <c r="N185" s="422" t="str">
        <f t="shared" si="38"/>
        <v>DEFRA: Gasóleo: WTT: 2023:: l</v>
      </c>
      <c r="O185" s="422" t="str">
        <f t="shared" si="39"/>
        <v>Gasóleo</v>
      </c>
      <c r="P185" s="422">
        <f t="shared" si="40"/>
        <v>0</v>
      </c>
      <c r="Q185" s="227" t="s">
        <v>3499</v>
      </c>
      <c r="R185" s="227" t="s">
        <v>3500</v>
      </c>
      <c r="S185" s="422" t="s">
        <v>42</v>
      </c>
    </row>
    <row r="186" spans="1:19" ht="15.75" thickBot="1" x14ac:dyDescent="0.3">
      <c r="A186" s="422" t="s">
        <v>2868</v>
      </c>
      <c r="B186" s="422" t="s">
        <v>2868</v>
      </c>
      <c r="C186" s="424" t="str">
        <f t="shared" si="41"/>
        <v>X</v>
      </c>
      <c r="D186" s="425" t="s">
        <v>1527</v>
      </c>
      <c r="E186" s="425" t="s">
        <v>1858</v>
      </c>
      <c r="G186" s="89">
        <v>2880973.9</v>
      </c>
      <c r="H186" t="s">
        <v>630</v>
      </c>
      <c r="I186" s="123" t="s">
        <v>1861</v>
      </c>
      <c r="J186" s="428" t="s">
        <v>620</v>
      </c>
      <c r="K186" s="422" t="s">
        <v>1877</v>
      </c>
      <c r="L186" s="227">
        <v>2023</v>
      </c>
      <c r="M186" s="422">
        <v>2023</v>
      </c>
      <c r="N186" s="422" t="str">
        <f t="shared" si="38"/>
        <v>DEFRA: Gasóleo: WTT: 2023:: l</v>
      </c>
      <c r="O186" s="422" t="str">
        <f t="shared" si="39"/>
        <v>Gasóleo</v>
      </c>
      <c r="P186" s="422">
        <f t="shared" si="40"/>
        <v>0</v>
      </c>
      <c r="Q186" s="227" t="s">
        <v>3499</v>
      </c>
      <c r="R186" s="227" t="s">
        <v>3500</v>
      </c>
      <c r="S186" s="422" t="s">
        <v>42</v>
      </c>
    </row>
    <row r="187" spans="1:19" ht="15.75" thickBot="1" x14ac:dyDescent="0.3">
      <c r="A187" s="422" t="s">
        <v>2868</v>
      </c>
      <c r="B187" s="422" t="s">
        <v>2868</v>
      </c>
      <c r="C187" s="424" t="str">
        <f t="shared" si="41"/>
        <v>X</v>
      </c>
      <c r="D187" s="425" t="s">
        <v>1527</v>
      </c>
      <c r="E187" s="425" t="s">
        <v>1858</v>
      </c>
      <c r="G187" s="89">
        <v>26086.35</v>
      </c>
      <c r="H187" t="s">
        <v>630</v>
      </c>
      <c r="I187" s="123" t="s">
        <v>1861</v>
      </c>
      <c r="J187" s="428" t="s">
        <v>620</v>
      </c>
      <c r="K187" s="422" t="s">
        <v>1877</v>
      </c>
      <c r="L187" s="227">
        <v>2023</v>
      </c>
      <c r="M187" s="422">
        <v>2023</v>
      </c>
      <c r="N187" s="422" t="str">
        <f t="shared" si="38"/>
        <v>DEFRA: Gasóleo: WTT: 2023:: l</v>
      </c>
      <c r="O187" s="422" t="str">
        <f t="shared" si="39"/>
        <v>Gasóleo</v>
      </c>
      <c r="P187" s="422">
        <f t="shared" si="40"/>
        <v>0</v>
      </c>
      <c r="Q187" s="227" t="s">
        <v>3499</v>
      </c>
      <c r="R187" s="227" t="s">
        <v>3500</v>
      </c>
      <c r="S187" s="422" t="s">
        <v>42</v>
      </c>
    </row>
    <row r="188" spans="1:19" ht="15.75" thickBot="1" x14ac:dyDescent="0.3">
      <c r="A188" s="422" t="s">
        <v>1910</v>
      </c>
      <c r="B188" s="422" t="s">
        <v>1910</v>
      </c>
      <c r="C188" s="424" t="str">
        <f t="shared" si="41"/>
        <v>X</v>
      </c>
      <c r="D188" s="425" t="s">
        <v>1527</v>
      </c>
      <c r="E188" s="425" t="s">
        <v>1858</v>
      </c>
      <c r="G188" s="89">
        <v>8547573.8000000045</v>
      </c>
      <c r="H188" t="s">
        <v>630</v>
      </c>
      <c r="I188" s="123" t="s">
        <v>1861</v>
      </c>
      <c r="J188" s="428" t="s">
        <v>620</v>
      </c>
      <c r="K188" s="422" t="s">
        <v>1877</v>
      </c>
      <c r="L188" s="227">
        <v>2023</v>
      </c>
      <c r="M188" s="422">
        <v>2023</v>
      </c>
      <c r="N188" s="422" t="str">
        <f t="shared" si="38"/>
        <v>DEFRA: Gasóleo: WTT: 2023:: l</v>
      </c>
      <c r="O188" s="422" t="str">
        <f t="shared" si="39"/>
        <v>Gasóleo</v>
      </c>
      <c r="P188" s="422">
        <f t="shared" si="40"/>
        <v>0</v>
      </c>
      <c r="Q188" s="227" t="s">
        <v>3499</v>
      </c>
      <c r="R188" s="227" t="s">
        <v>3500</v>
      </c>
      <c r="S188" s="422" t="s">
        <v>42</v>
      </c>
    </row>
    <row r="189" spans="1:19" ht="15.75" thickBot="1" x14ac:dyDescent="0.3">
      <c r="A189" s="422" t="s">
        <v>1910</v>
      </c>
      <c r="B189" s="422" t="s">
        <v>1910</v>
      </c>
      <c r="C189" s="424" t="str">
        <f t="shared" si="41"/>
        <v>X</v>
      </c>
      <c r="D189" s="425" t="s">
        <v>1527</v>
      </c>
      <c r="E189" s="425" t="s">
        <v>1858</v>
      </c>
      <c r="G189" s="89">
        <v>78654.899999999994</v>
      </c>
      <c r="H189" t="s">
        <v>1924</v>
      </c>
      <c r="I189" s="123" t="s">
        <v>1945</v>
      </c>
      <c r="J189" s="465" t="s">
        <v>2940</v>
      </c>
      <c r="K189" s="422" t="s">
        <v>1877</v>
      </c>
      <c r="L189" s="227">
        <v>2023</v>
      </c>
      <c r="M189" s="422">
        <v>2023</v>
      </c>
      <c r="N189" s="422" t="str">
        <f t="shared" si="38"/>
        <v>DEFRA: GN: WTT: 2023:: Nm3</v>
      </c>
      <c r="O189" s="422" t="str">
        <f t="shared" si="39"/>
        <v>GN</v>
      </c>
      <c r="P189" s="422">
        <f t="shared" si="40"/>
        <v>0</v>
      </c>
      <c r="Q189" s="227" t="s">
        <v>3499</v>
      </c>
      <c r="R189" s="227" t="s">
        <v>3500</v>
      </c>
      <c r="S189" s="422" t="s">
        <v>42</v>
      </c>
    </row>
    <row r="190" spans="1:19" ht="15.75" thickBot="1" x14ac:dyDescent="0.3">
      <c r="A190" s="422" t="s">
        <v>4598</v>
      </c>
      <c r="B190" s="422" t="s">
        <v>4598</v>
      </c>
      <c r="C190" s="424" t="str">
        <f t="shared" si="41"/>
        <v>X</v>
      </c>
      <c r="D190" s="425" t="s">
        <v>1527</v>
      </c>
      <c r="E190" s="425" t="s">
        <v>1858</v>
      </c>
      <c r="G190" s="89">
        <v>1183228.67</v>
      </c>
      <c r="H190" t="s">
        <v>630</v>
      </c>
      <c r="I190" s="123" t="s">
        <v>1861</v>
      </c>
      <c r="J190" s="428" t="s">
        <v>620</v>
      </c>
      <c r="K190" s="422" t="s">
        <v>1877</v>
      </c>
      <c r="L190" s="227">
        <v>2023</v>
      </c>
      <c r="M190" s="422">
        <v>2023</v>
      </c>
      <c r="N190" s="422" t="str">
        <f t="shared" si="38"/>
        <v>DEFRA: Gasóleo: WTT: 2023:: l</v>
      </c>
      <c r="O190" s="422" t="str">
        <f t="shared" si="39"/>
        <v>Gasóleo</v>
      </c>
      <c r="P190" s="422">
        <f t="shared" si="40"/>
        <v>0</v>
      </c>
      <c r="Q190" s="227" t="s">
        <v>3499</v>
      </c>
      <c r="R190" s="227" t="s">
        <v>3500</v>
      </c>
      <c r="S190" s="422" t="s">
        <v>42</v>
      </c>
    </row>
    <row r="191" spans="1:19" ht="15.75" thickBot="1" x14ac:dyDescent="0.3">
      <c r="A191" s="422" t="s">
        <v>4598</v>
      </c>
      <c r="B191" s="422" t="s">
        <v>4598</v>
      </c>
      <c r="C191" s="424" t="str">
        <f t="shared" si="41"/>
        <v>X</v>
      </c>
      <c r="D191" s="425" t="s">
        <v>1527</v>
      </c>
      <c r="E191" s="425" t="s">
        <v>1858</v>
      </c>
      <c r="G191" s="89">
        <v>101103.75</v>
      </c>
      <c r="H191" t="s">
        <v>630</v>
      </c>
      <c r="I191" s="123" t="s">
        <v>1861</v>
      </c>
      <c r="J191" s="428" t="s">
        <v>620</v>
      </c>
      <c r="K191" s="422" t="s">
        <v>1877</v>
      </c>
      <c r="L191" s="227">
        <v>2023</v>
      </c>
      <c r="M191" s="422">
        <v>2023</v>
      </c>
      <c r="N191" s="422" t="str">
        <f t="shared" si="38"/>
        <v>DEFRA: Gasóleo: WTT: 2023:: l</v>
      </c>
      <c r="O191" s="422" t="str">
        <f t="shared" si="39"/>
        <v>Gasóleo</v>
      </c>
      <c r="P191" s="422">
        <f t="shared" si="40"/>
        <v>0</v>
      </c>
      <c r="Q191" s="227" t="s">
        <v>3499</v>
      </c>
      <c r="R191" s="227" t="s">
        <v>3500</v>
      </c>
      <c r="S191" s="422" t="s">
        <v>42</v>
      </c>
    </row>
    <row r="192" spans="1:19" ht="15.75" thickBot="1" x14ac:dyDescent="0.3">
      <c r="A192" s="422" t="s">
        <v>4643</v>
      </c>
      <c r="B192" s="422" t="s">
        <v>4643</v>
      </c>
      <c r="C192" s="424" t="str">
        <f t="shared" si="41"/>
        <v>X</v>
      </c>
      <c r="D192" s="425" t="s">
        <v>1527</v>
      </c>
      <c r="E192" s="425" t="s">
        <v>1858</v>
      </c>
      <c r="G192" s="89">
        <v>283917.75</v>
      </c>
      <c r="H192" t="s">
        <v>630</v>
      </c>
      <c r="I192" s="123" t="s">
        <v>1861</v>
      </c>
      <c r="J192" s="428" t="s">
        <v>620</v>
      </c>
      <c r="K192" s="422" t="s">
        <v>1877</v>
      </c>
      <c r="L192" s="227">
        <v>2023</v>
      </c>
      <c r="M192" s="422">
        <v>2023</v>
      </c>
      <c r="N192" s="422" t="str">
        <f t="shared" si="38"/>
        <v>DEFRA: Gasóleo: WTT: 2023:: l</v>
      </c>
      <c r="O192" s="422" t="str">
        <f t="shared" si="39"/>
        <v>Gasóleo</v>
      </c>
      <c r="P192" s="422">
        <f t="shared" si="40"/>
        <v>0</v>
      </c>
      <c r="Q192" s="227" t="s">
        <v>3499</v>
      </c>
      <c r="R192" s="227" t="s">
        <v>3500</v>
      </c>
      <c r="S192" s="422" t="s">
        <v>42</v>
      </c>
    </row>
    <row r="193" spans="1:19" ht="15.75" thickBot="1" x14ac:dyDescent="0.3">
      <c r="A193" s="422" t="s">
        <v>4642</v>
      </c>
      <c r="B193" s="422" t="s">
        <v>4642</v>
      </c>
      <c r="C193" s="424" t="str">
        <f t="shared" si="41"/>
        <v>X</v>
      </c>
      <c r="D193" s="425" t="s">
        <v>1527</v>
      </c>
      <c r="E193" s="425" t="s">
        <v>1858</v>
      </c>
      <c r="G193" s="89">
        <v>114647.4</v>
      </c>
      <c r="H193" t="s">
        <v>630</v>
      </c>
      <c r="I193" s="123" t="s">
        <v>1861</v>
      </c>
      <c r="J193" s="428" t="s">
        <v>620</v>
      </c>
      <c r="K193" s="422" t="s">
        <v>1877</v>
      </c>
      <c r="L193" s="227">
        <v>2023</v>
      </c>
      <c r="M193" s="422">
        <v>2023</v>
      </c>
      <c r="N193" s="422" t="str">
        <f t="shared" si="38"/>
        <v>DEFRA: Gasóleo: WTT: 2023:: l</v>
      </c>
      <c r="O193" s="422" t="str">
        <f t="shared" si="39"/>
        <v>Gasóleo</v>
      </c>
      <c r="P193" s="422">
        <f t="shared" si="40"/>
        <v>0</v>
      </c>
      <c r="Q193" s="227" t="s">
        <v>3499</v>
      </c>
      <c r="R193" s="227" t="s">
        <v>3500</v>
      </c>
      <c r="S193" s="422" t="s">
        <v>42</v>
      </c>
    </row>
    <row r="194" spans="1:19" ht="15.75" thickBot="1" x14ac:dyDescent="0.3">
      <c r="A194" s="422" t="s">
        <v>4642</v>
      </c>
      <c r="B194" s="422" t="s">
        <v>4642</v>
      </c>
      <c r="C194" s="424" t="str">
        <f t="shared" si="41"/>
        <v>X</v>
      </c>
      <c r="D194" s="425" t="s">
        <v>1527</v>
      </c>
      <c r="E194" s="425" t="s">
        <v>1858</v>
      </c>
      <c r="G194" s="89">
        <v>19686.8</v>
      </c>
      <c r="H194" t="s">
        <v>630</v>
      </c>
      <c r="I194" s="123" t="s">
        <v>1861</v>
      </c>
      <c r="J194" s="428" t="s">
        <v>620</v>
      </c>
      <c r="K194" s="422" t="s">
        <v>1877</v>
      </c>
      <c r="L194" s="227">
        <v>2023</v>
      </c>
      <c r="M194" s="422">
        <v>2023</v>
      </c>
      <c r="N194" s="422" t="str">
        <f t="shared" si="38"/>
        <v>DEFRA: Gasóleo: WTT: 2023:: l</v>
      </c>
      <c r="O194" s="422" t="str">
        <f t="shared" si="39"/>
        <v>Gasóleo</v>
      </c>
      <c r="P194" s="422">
        <f t="shared" si="40"/>
        <v>0</v>
      </c>
      <c r="Q194" s="227" t="s">
        <v>3499</v>
      </c>
      <c r="R194" s="227" t="s">
        <v>3500</v>
      </c>
      <c r="S194" s="422" t="s">
        <v>42</v>
      </c>
    </row>
    <row r="195" spans="1:19" ht="15.75" thickBot="1" x14ac:dyDescent="0.3">
      <c r="A195" s="422" t="s">
        <v>4596</v>
      </c>
      <c r="B195" s="422" t="s">
        <v>4596</v>
      </c>
      <c r="C195" s="424" t="str">
        <f t="shared" si="41"/>
        <v>X</v>
      </c>
      <c r="D195" s="425" t="s">
        <v>1527</v>
      </c>
      <c r="E195" s="425" t="s">
        <v>1858</v>
      </c>
      <c r="H195" s="422" t="s">
        <v>630</v>
      </c>
      <c r="I195" s="123" t="s">
        <v>1861</v>
      </c>
      <c r="J195" s="428" t="s">
        <v>620</v>
      </c>
      <c r="K195" s="422" t="s">
        <v>1877</v>
      </c>
      <c r="L195" s="227">
        <v>2023</v>
      </c>
      <c r="M195" s="422">
        <v>2023</v>
      </c>
      <c r="N195" s="422" t="str">
        <f t="shared" si="38"/>
        <v>DEFRA: Gasóleo: WTT: 2023:: l</v>
      </c>
      <c r="O195" s="422" t="str">
        <f t="shared" si="39"/>
        <v>Gasóleo</v>
      </c>
      <c r="P195" s="422">
        <f t="shared" si="40"/>
        <v>0</v>
      </c>
      <c r="Q195" s="227" t="s">
        <v>3499</v>
      </c>
      <c r="R195" s="227" t="s">
        <v>3500</v>
      </c>
      <c r="S195" s="422" t="s">
        <v>42</v>
      </c>
    </row>
    <row r="196" spans="1:19" ht="15.75" thickBot="1" x14ac:dyDescent="0.3">
      <c r="A196" s="422" t="s">
        <v>4597</v>
      </c>
      <c r="B196" s="422" t="s">
        <v>4597</v>
      </c>
      <c r="C196" s="424" t="str">
        <f t="shared" si="41"/>
        <v>X</v>
      </c>
      <c r="D196" s="425" t="s">
        <v>1527</v>
      </c>
      <c r="E196" s="425" t="s">
        <v>1858</v>
      </c>
      <c r="H196" s="422" t="s">
        <v>630</v>
      </c>
      <c r="I196" s="123" t="s">
        <v>1861</v>
      </c>
      <c r="J196" s="428" t="s">
        <v>620</v>
      </c>
      <c r="K196" s="422" t="s">
        <v>1877</v>
      </c>
      <c r="L196" s="227">
        <v>2023</v>
      </c>
      <c r="M196" s="422">
        <v>2023</v>
      </c>
      <c r="N196" s="422" t="str">
        <f t="shared" si="38"/>
        <v>DEFRA: Gasóleo: WTT: 2023:: l</v>
      </c>
      <c r="O196" s="422" t="str">
        <f t="shared" si="39"/>
        <v>Gasóleo</v>
      </c>
      <c r="P196" s="422">
        <f t="shared" si="40"/>
        <v>0</v>
      </c>
      <c r="Q196" s="227" t="s">
        <v>3499</v>
      </c>
      <c r="R196" s="227" t="s">
        <v>3500</v>
      </c>
      <c r="S196" s="422" t="s">
        <v>42</v>
      </c>
    </row>
    <row r="197" spans="1:19" ht="15.75" thickBot="1" x14ac:dyDescent="0.3">
      <c r="A197" s="422" t="s">
        <v>4597</v>
      </c>
      <c r="B197" s="422" t="s">
        <v>4597</v>
      </c>
      <c r="C197" s="424" t="str">
        <f t="shared" si="41"/>
        <v>X</v>
      </c>
      <c r="D197" s="425" t="s">
        <v>1527</v>
      </c>
      <c r="E197" s="425" t="s">
        <v>1858</v>
      </c>
      <c r="H197" s="422" t="s">
        <v>630</v>
      </c>
      <c r="I197" s="123" t="s">
        <v>1861</v>
      </c>
      <c r="J197" s="428" t="s">
        <v>620</v>
      </c>
      <c r="K197" s="422" t="s">
        <v>1877</v>
      </c>
      <c r="L197" s="227">
        <v>2023</v>
      </c>
      <c r="M197" s="422">
        <v>2023</v>
      </c>
      <c r="N197" s="422" t="str">
        <f t="shared" si="38"/>
        <v>DEFRA: Gasóleo: WTT: 2023:: l</v>
      </c>
      <c r="O197" s="422" t="str">
        <f t="shared" si="39"/>
        <v>Gasóleo</v>
      </c>
      <c r="P197" s="422">
        <f t="shared" si="40"/>
        <v>0</v>
      </c>
      <c r="Q197" s="227" t="s">
        <v>3499</v>
      </c>
      <c r="R197" s="227" t="s">
        <v>3500</v>
      </c>
      <c r="S197" s="422" t="s">
        <v>42</v>
      </c>
    </row>
    <row r="198" spans="1:19" ht="15.75" thickBot="1" x14ac:dyDescent="0.3">
      <c r="A198" s="422" t="s">
        <v>5915</v>
      </c>
      <c r="B198" s="422" t="s">
        <v>4668</v>
      </c>
      <c r="C198" s="424" t="str">
        <f t="shared" si="41"/>
        <v xml:space="preserve">Queluz de Baixo </v>
      </c>
      <c r="D198" s="425" t="s">
        <v>1527</v>
      </c>
      <c r="E198" s="425" t="s">
        <v>1858</v>
      </c>
      <c r="G198" s="89">
        <v>7067354</v>
      </c>
      <c r="H198" s="422" t="s">
        <v>630</v>
      </c>
      <c r="I198" s="123" t="s">
        <v>1861</v>
      </c>
      <c r="J198" s="428" t="s">
        <v>620</v>
      </c>
      <c r="K198" s="422" t="s">
        <v>1877</v>
      </c>
      <c r="L198" s="227">
        <v>2023</v>
      </c>
      <c r="M198" s="422">
        <v>2023</v>
      </c>
      <c r="N198" s="422" t="str">
        <f t="shared" si="38"/>
        <v>DEFRA: Gasóleo: WTT: 2023:: l</v>
      </c>
      <c r="O198" s="422" t="str">
        <f t="shared" si="39"/>
        <v>Gasóleo</v>
      </c>
      <c r="P198" s="422">
        <f t="shared" si="40"/>
        <v>0</v>
      </c>
      <c r="Q198" s="227" t="s">
        <v>3499</v>
      </c>
      <c r="R198" s="227" t="s">
        <v>3500</v>
      </c>
      <c r="S198" s="422" t="s">
        <v>42</v>
      </c>
    </row>
    <row r="199" spans="1:19" ht="15.75" thickBot="1" x14ac:dyDescent="0.3">
      <c r="A199" s="422" t="s">
        <v>5916</v>
      </c>
      <c r="B199" s="422" t="s">
        <v>4668</v>
      </c>
      <c r="C199" s="424" t="str">
        <f t="shared" si="41"/>
        <v>Adroana</v>
      </c>
      <c r="D199" s="425" t="s">
        <v>1527</v>
      </c>
      <c r="E199" s="425" t="s">
        <v>1858</v>
      </c>
      <c r="G199" s="89">
        <v>3574475</v>
      </c>
      <c r="H199" t="s">
        <v>630</v>
      </c>
      <c r="I199" s="123" t="s">
        <v>1861</v>
      </c>
      <c r="J199" s="428" t="s">
        <v>620</v>
      </c>
      <c r="K199" s="422" t="s">
        <v>1877</v>
      </c>
      <c r="L199" s="227">
        <v>2023</v>
      </c>
      <c r="M199" s="422">
        <v>2023</v>
      </c>
      <c r="N199" s="422" t="str">
        <f t="shared" si="38"/>
        <v>DEFRA: Gasóleo: WTT: 2023:: l</v>
      </c>
      <c r="O199" s="422" t="str">
        <f t="shared" si="39"/>
        <v>Gasóleo</v>
      </c>
      <c r="P199" s="422">
        <f t="shared" si="40"/>
        <v>0</v>
      </c>
      <c r="Q199" s="227" t="s">
        <v>3499</v>
      </c>
      <c r="R199" s="227" t="s">
        <v>3500</v>
      </c>
      <c r="S199" s="422" t="s">
        <v>42</v>
      </c>
    </row>
    <row r="200" spans="1:19" ht="15.75" thickBot="1" x14ac:dyDescent="0.3">
      <c r="A200" s="422" t="s">
        <v>4669</v>
      </c>
      <c r="B200" s="422" t="s">
        <v>4669</v>
      </c>
      <c r="C200" s="424" t="str">
        <f t="shared" si="41"/>
        <v>X</v>
      </c>
      <c r="D200" s="425" t="s">
        <v>1527</v>
      </c>
      <c r="E200" s="425" t="s">
        <v>1858</v>
      </c>
      <c r="G200" s="89">
        <v>4400925</v>
      </c>
      <c r="H200" t="s">
        <v>630</v>
      </c>
      <c r="I200" s="123" t="s">
        <v>1861</v>
      </c>
      <c r="J200" s="428" t="s">
        <v>620</v>
      </c>
      <c r="K200" s="422" t="s">
        <v>1877</v>
      </c>
      <c r="L200" s="227">
        <v>2023</v>
      </c>
      <c r="M200" s="422">
        <v>2023</v>
      </c>
      <c r="N200" s="422" t="str">
        <f t="shared" si="38"/>
        <v>DEFRA: Gasóleo: WTT: 2023:: l</v>
      </c>
      <c r="O200" s="422" t="str">
        <f t="shared" si="39"/>
        <v>Gasóleo</v>
      </c>
      <c r="P200" s="422">
        <f t="shared" si="40"/>
        <v>0</v>
      </c>
      <c r="Q200" s="227" t="s">
        <v>3499</v>
      </c>
      <c r="R200" s="227" t="s">
        <v>3500</v>
      </c>
      <c r="S200" s="422" t="s">
        <v>42</v>
      </c>
    </row>
    <row r="201" spans="1:19" ht="15.75" thickBot="1" x14ac:dyDescent="0.3">
      <c r="A201" s="424" t="s">
        <v>4672</v>
      </c>
      <c r="B201" s="422" t="s">
        <v>4672</v>
      </c>
      <c r="C201" s="424" t="str">
        <f t="shared" si="41"/>
        <v>X</v>
      </c>
      <c r="D201" s="425" t="s">
        <v>1527</v>
      </c>
      <c r="E201" s="425" t="s">
        <v>1858</v>
      </c>
      <c r="G201" s="89">
        <v>4989316.2</v>
      </c>
      <c r="H201" t="s">
        <v>630</v>
      </c>
      <c r="I201" s="123" t="s">
        <v>1861</v>
      </c>
      <c r="J201" s="428" t="s">
        <v>620</v>
      </c>
      <c r="K201" s="422" t="s">
        <v>1877</v>
      </c>
      <c r="L201" s="227">
        <v>2023</v>
      </c>
      <c r="M201" s="422">
        <v>2023</v>
      </c>
      <c r="N201" s="422" t="str">
        <f t="shared" si="38"/>
        <v>DEFRA: Gasóleo: WTT: 2023:: l</v>
      </c>
      <c r="O201" s="422" t="str">
        <f t="shared" si="39"/>
        <v>Gasóleo</v>
      </c>
      <c r="P201" s="422">
        <f t="shared" si="40"/>
        <v>0</v>
      </c>
      <c r="Q201" s="227" t="s">
        <v>3499</v>
      </c>
      <c r="R201" s="227" t="s">
        <v>3500</v>
      </c>
      <c r="S201" s="422" t="s">
        <v>42</v>
      </c>
    </row>
    <row r="202" spans="1:19" ht="15.75" thickBot="1" x14ac:dyDescent="0.3">
      <c r="A202" s="422" t="s">
        <v>1915</v>
      </c>
      <c r="B202" s="422" t="s">
        <v>1915</v>
      </c>
      <c r="C202" s="424" t="str">
        <f t="shared" si="41"/>
        <v>X</v>
      </c>
      <c r="D202" s="425" t="s">
        <v>1527</v>
      </c>
      <c r="E202" s="425" t="s">
        <v>1858</v>
      </c>
      <c r="G202" s="89">
        <v>6748135</v>
      </c>
      <c r="H202" t="s">
        <v>630</v>
      </c>
      <c r="I202" s="123" t="s">
        <v>1861</v>
      </c>
      <c r="J202" s="428" t="s">
        <v>620</v>
      </c>
      <c r="K202" s="422" t="s">
        <v>1877</v>
      </c>
      <c r="L202" s="227">
        <v>2023</v>
      </c>
      <c r="M202" s="422">
        <v>2023</v>
      </c>
      <c r="N202" s="422" t="str">
        <f t="shared" si="38"/>
        <v>DEFRA: Gasóleo: WTT: 2023:: l</v>
      </c>
      <c r="O202" s="422" t="str">
        <f t="shared" si="39"/>
        <v>Gasóleo</v>
      </c>
      <c r="P202" s="422">
        <f t="shared" si="40"/>
        <v>0</v>
      </c>
      <c r="Q202" s="227" t="s">
        <v>3499</v>
      </c>
      <c r="R202" s="227" t="s">
        <v>3500</v>
      </c>
      <c r="S202" s="422" t="s">
        <v>42</v>
      </c>
    </row>
    <row r="203" spans="1:19" ht="15.75" thickBot="1" x14ac:dyDescent="0.3">
      <c r="A203" s="422" t="s">
        <v>4673</v>
      </c>
      <c r="B203" s="422" t="s">
        <v>4673</v>
      </c>
      <c r="C203" s="424" t="str">
        <f t="shared" si="41"/>
        <v>X</v>
      </c>
      <c r="D203" s="425" t="s">
        <v>1527</v>
      </c>
      <c r="E203" s="425" t="s">
        <v>1858</v>
      </c>
      <c r="G203" s="89">
        <v>121095.21999999999</v>
      </c>
      <c r="H203" t="s">
        <v>630</v>
      </c>
      <c r="I203" s="123" t="s">
        <v>1861</v>
      </c>
      <c r="J203" s="428" t="s">
        <v>620</v>
      </c>
      <c r="K203" s="422" t="s">
        <v>1877</v>
      </c>
      <c r="L203" s="227">
        <v>2023</v>
      </c>
      <c r="M203" s="422">
        <v>2023</v>
      </c>
      <c r="N203" s="422" t="str">
        <f t="shared" si="38"/>
        <v>DEFRA: Gasóleo: WTT: 2023:: l</v>
      </c>
      <c r="O203" s="422" t="str">
        <f t="shared" si="39"/>
        <v>Gasóleo</v>
      </c>
      <c r="P203" s="422">
        <f t="shared" si="40"/>
        <v>0</v>
      </c>
      <c r="Q203" s="227" t="s">
        <v>3499</v>
      </c>
      <c r="R203" s="227" t="s">
        <v>3500</v>
      </c>
      <c r="S203" s="422" t="s">
        <v>42</v>
      </c>
    </row>
    <row r="204" spans="1:19" ht="15.75" thickBot="1" x14ac:dyDescent="0.3">
      <c r="A204" s="422" t="s">
        <v>4673</v>
      </c>
      <c r="B204" s="422" t="s">
        <v>4673</v>
      </c>
      <c r="C204" s="424" t="str">
        <f t="shared" si="41"/>
        <v>X</v>
      </c>
      <c r="D204" s="425" t="s">
        <v>1527</v>
      </c>
      <c r="E204" s="425" t="s">
        <v>1858</v>
      </c>
      <c r="G204" s="89">
        <v>3454.89</v>
      </c>
      <c r="H204" t="s">
        <v>630</v>
      </c>
      <c r="I204" s="123" t="s">
        <v>1861</v>
      </c>
      <c r="J204" s="428" t="s">
        <v>620</v>
      </c>
      <c r="K204" s="422" t="s">
        <v>1877</v>
      </c>
      <c r="L204" s="227">
        <v>2023</v>
      </c>
      <c r="M204" s="422">
        <v>2023</v>
      </c>
      <c r="N204" s="422" t="str">
        <f t="shared" si="38"/>
        <v>DEFRA: Gasóleo: WTT: 2023:: l</v>
      </c>
      <c r="O204" s="422" t="str">
        <f t="shared" si="39"/>
        <v>Gasóleo</v>
      </c>
      <c r="P204" s="422">
        <f t="shared" si="40"/>
        <v>0</v>
      </c>
      <c r="Q204" s="227" t="s">
        <v>3499</v>
      </c>
      <c r="R204" s="227" t="s">
        <v>3500</v>
      </c>
      <c r="S204" s="422" t="s">
        <v>42</v>
      </c>
    </row>
    <row r="205" spans="1:19" ht="15.75" thickBot="1" x14ac:dyDescent="0.3">
      <c r="A205" s="422" t="s">
        <v>4673</v>
      </c>
      <c r="B205" s="422" t="s">
        <v>4673</v>
      </c>
      <c r="C205" s="424" t="str">
        <f t="shared" si="41"/>
        <v>X</v>
      </c>
      <c r="D205" s="425" t="s">
        <v>1527</v>
      </c>
      <c r="E205" s="425" t="s">
        <v>1858</v>
      </c>
      <c r="G205" s="89">
        <v>743.67</v>
      </c>
      <c r="H205" t="s">
        <v>630</v>
      </c>
      <c r="I205" s="123" t="s">
        <v>1861</v>
      </c>
      <c r="J205" s="428" t="s">
        <v>620</v>
      </c>
      <c r="K205" s="422" t="s">
        <v>1877</v>
      </c>
      <c r="L205" s="227">
        <v>2023</v>
      </c>
      <c r="M205" s="422">
        <v>2023</v>
      </c>
      <c r="N205" s="422" t="str">
        <f t="shared" si="38"/>
        <v>DEFRA: Gasóleo: WTT: 2023:: l</v>
      </c>
      <c r="O205" s="422" t="str">
        <f t="shared" si="39"/>
        <v>Gasóleo</v>
      </c>
      <c r="P205" s="422">
        <f t="shared" si="40"/>
        <v>0</v>
      </c>
      <c r="Q205" s="227" t="s">
        <v>3499</v>
      </c>
      <c r="R205" s="227" t="s">
        <v>3500</v>
      </c>
      <c r="S205" s="422" t="s">
        <v>42</v>
      </c>
    </row>
    <row r="206" spans="1:19" ht="15.75" thickBot="1" x14ac:dyDescent="0.3">
      <c r="A206" s="422" t="s">
        <v>4581</v>
      </c>
      <c r="B206" s="422" t="s">
        <v>4581</v>
      </c>
      <c r="C206" s="424" t="str">
        <f t="shared" si="41"/>
        <v>X</v>
      </c>
      <c r="D206" s="425" t="s">
        <v>1527</v>
      </c>
      <c r="E206" s="425" t="s">
        <v>1858</v>
      </c>
      <c r="G206" s="89">
        <v>411549.61</v>
      </c>
      <c r="H206" t="s">
        <v>630</v>
      </c>
      <c r="I206" s="123" t="s">
        <v>1861</v>
      </c>
      <c r="J206" s="428" t="s">
        <v>620</v>
      </c>
      <c r="K206" s="422" t="s">
        <v>1877</v>
      </c>
      <c r="L206" s="227">
        <v>2023</v>
      </c>
      <c r="M206" s="422">
        <v>2023</v>
      </c>
      <c r="N206" s="422" t="str">
        <f t="shared" si="38"/>
        <v>DEFRA: Gasóleo: WTT: 2023:: l</v>
      </c>
      <c r="O206" s="422" t="str">
        <f t="shared" si="39"/>
        <v>Gasóleo</v>
      </c>
      <c r="P206" s="422">
        <f t="shared" si="40"/>
        <v>0</v>
      </c>
      <c r="Q206" s="227" t="s">
        <v>3499</v>
      </c>
      <c r="R206" s="227" t="s">
        <v>3500</v>
      </c>
      <c r="S206" s="422" t="s">
        <v>42</v>
      </c>
    </row>
    <row r="207" spans="1:19" ht="15.75" thickBot="1" x14ac:dyDescent="0.3">
      <c r="A207" s="422" t="s">
        <v>4581</v>
      </c>
      <c r="B207" s="422" t="s">
        <v>4581</v>
      </c>
      <c r="C207" s="424" t="str">
        <f t="shared" si="41"/>
        <v>X</v>
      </c>
      <c r="D207" s="425" t="s">
        <v>1527</v>
      </c>
      <c r="E207" s="425" t="s">
        <v>1858</v>
      </c>
      <c r="G207" s="89">
        <v>30692.86</v>
      </c>
      <c r="H207" t="s">
        <v>630</v>
      </c>
      <c r="I207" s="123" t="s">
        <v>1861</v>
      </c>
      <c r="J207" s="428" t="s">
        <v>620</v>
      </c>
      <c r="K207" s="422" t="s">
        <v>1877</v>
      </c>
      <c r="L207" s="227">
        <v>2023</v>
      </c>
      <c r="M207" s="422">
        <v>2023</v>
      </c>
      <c r="N207" s="422" t="str">
        <f t="shared" si="38"/>
        <v>DEFRA: Gasóleo: WTT: 2023:: l</v>
      </c>
      <c r="O207" s="422" t="str">
        <f t="shared" si="39"/>
        <v>Gasóleo</v>
      </c>
      <c r="P207" s="422">
        <f t="shared" si="40"/>
        <v>0</v>
      </c>
      <c r="Q207" s="227" t="s">
        <v>3499</v>
      </c>
      <c r="R207" s="227" t="s">
        <v>3500</v>
      </c>
      <c r="S207" s="422" t="s">
        <v>42</v>
      </c>
    </row>
    <row r="208" spans="1:19" ht="15.75" thickBot="1" x14ac:dyDescent="0.3">
      <c r="A208" s="422" t="s">
        <v>4581</v>
      </c>
      <c r="B208" s="422" t="s">
        <v>4581</v>
      </c>
      <c r="C208" s="424" t="str">
        <f t="shared" si="41"/>
        <v>X</v>
      </c>
      <c r="D208" s="425" t="s">
        <v>1527</v>
      </c>
      <c r="E208" s="425" t="s">
        <v>1858</v>
      </c>
      <c r="G208" s="89">
        <v>2463.1000000000004</v>
      </c>
      <c r="H208" t="s">
        <v>630</v>
      </c>
      <c r="I208" s="123" t="s">
        <v>1861</v>
      </c>
      <c r="J208" s="428" t="s">
        <v>620</v>
      </c>
      <c r="K208" s="422" t="s">
        <v>1877</v>
      </c>
      <c r="L208" s="227">
        <v>2023</v>
      </c>
      <c r="M208" s="422">
        <v>2023</v>
      </c>
      <c r="N208" s="422" t="str">
        <f t="shared" si="38"/>
        <v>DEFRA: Gasóleo: WTT: 2023:: l</v>
      </c>
      <c r="O208" s="422" t="str">
        <f t="shared" si="39"/>
        <v>Gasóleo</v>
      </c>
      <c r="P208" s="422">
        <f t="shared" si="40"/>
        <v>0</v>
      </c>
      <c r="Q208" s="227" t="s">
        <v>3499</v>
      </c>
      <c r="R208" s="227" t="s">
        <v>3500</v>
      </c>
      <c r="S208" s="422" t="s">
        <v>42</v>
      </c>
    </row>
    <row r="209" spans="1:19" ht="15.75" thickBot="1" x14ac:dyDescent="0.3">
      <c r="A209" s="422" t="s">
        <v>4581</v>
      </c>
      <c r="B209" s="422" t="s">
        <v>4581</v>
      </c>
      <c r="C209" s="424" t="str">
        <f t="shared" si="41"/>
        <v>X</v>
      </c>
      <c r="D209" s="425" t="s">
        <v>1527</v>
      </c>
      <c r="E209" s="425" t="s">
        <v>1858</v>
      </c>
      <c r="G209" s="89">
        <v>77618.430000000008</v>
      </c>
      <c r="H209" t="s">
        <v>630</v>
      </c>
      <c r="I209" s="123" t="s">
        <v>1861</v>
      </c>
      <c r="J209" s="428" t="s">
        <v>620</v>
      </c>
      <c r="K209" s="422" t="s">
        <v>1877</v>
      </c>
      <c r="L209" s="227">
        <v>2023</v>
      </c>
      <c r="M209" s="422">
        <v>2023</v>
      </c>
      <c r="N209" s="422" t="str">
        <f t="shared" si="38"/>
        <v>DEFRA: Gasóleo: WTT: 2023:: l</v>
      </c>
      <c r="O209" s="422" t="str">
        <f t="shared" si="39"/>
        <v>Gasóleo</v>
      </c>
      <c r="P209" s="422">
        <f t="shared" si="40"/>
        <v>0</v>
      </c>
      <c r="Q209" s="227" t="s">
        <v>3499</v>
      </c>
      <c r="R209" s="227" t="s">
        <v>3500</v>
      </c>
      <c r="S209" s="422" t="s">
        <v>42</v>
      </c>
    </row>
    <row r="210" spans="1:19" ht="15.75" thickBot="1" x14ac:dyDescent="0.3">
      <c r="A210" s="422" t="s">
        <v>4580</v>
      </c>
      <c r="B210" s="422" t="s">
        <v>4580</v>
      </c>
      <c r="C210" s="424" t="str">
        <f t="shared" si="41"/>
        <v>X</v>
      </c>
      <c r="D210" s="425" t="s">
        <v>1527</v>
      </c>
      <c r="E210" s="425" t="s">
        <v>1858</v>
      </c>
      <c r="G210" s="89">
        <v>799326.27600000007</v>
      </c>
      <c r="H210" t="s">
        <v>630</v>
      </c>
      <c r="I210" s="123" t="s">
        <v>1861</v>
      </c>
      <c r="J210" s="428" t="s">
        <v>620</v>
      </c>
      <c r="K210" s="422" t="s">
        <v>1877</v>
      </c>
      <c r="L210" s="227">
        <v>2023</v>
      </c>
      <c r="M210" s="422">
        <v>2023</v>
      </c>
      <c r="N210" s="422" t="str">
        <f t="shared" si="38"/>
        <v>DEFRA: Gasóleo: WTT: 2023:: l</v>
      </c>
      <c r="O210" s="422" t="str">
        <f t="shared" si="39"/>
        <v>Gasóleo</v>
      </c>
      <c r="P210" s="422">
        <f t="shared" si="40"/>
        <v>0</v>
      </c>
      <c r="Q210" s="227" t="s">
        <v>3499</v>
      </c>
      <c r="R210" s="227" t="s">
        <v>3500</v>
      </c>
      <c r="S210" s="422" t="s">
        <v>42</v>
      </c>
    </row>
    <row r="211" spans="1:19" ht="15.75" thickBot="1" x14ac:dyDescent="0.3">
      <c r="A211" s="422" t="s">
        <v>4580</v>
      </c>
      <c r="B211" s="422" t="s">
        <v>4580</v>
      </c>
      <c r="C211" s="424" t="str">
        <f t="shared" si="41"/>
        <v>X</v>
      </c>
      <c r="D211" s="425" t="s">
        <v>1527</v>
      </c>
      <c r="E211" s="425" t="s">
        <v>1858</v>
      </c>
      <c r="G211" s="89">
        <v>1693.0409999999999</v>
      </c>
      <c r="H211" t="s">
        <v>630</v>
      </c>
      <c r="I211" s="123" t="s">
        <v>1861</v>
      </c>
      <c r="J211" s="428" t="s">
        <v>620</v>
      </c>
      <c r="K211" s="422" t="s">
        <v>1877</v>
      </c>
      <c r="L211" s="227">
        <v>2023</v>
      </c>
      <c r="M211" s="422">
        <v>2023</v>
      </c>
      <c r="N211" s="422" t="str">
        <f t="shared" si="38"/>
        <v>DEFRA: Gasóleo: WTT: 2023:: l</v>
      </c>
      <c r="O211" s="422" t="str">
        <f t="shared" si="39"/>
        <v>Gasóleo</v>
      </c>
      <c r="P211" s="422">
        <f t="shared" si="40"/>
        <v>0</v>
      </c>
      <c r="Q211" s="227" t="s">
        <v>3499</v>
      </c>
      <c r="R211" s="227" t="s">
        <v>3500</v>
      </c>
      <c r="S211" s="422" t="s">
        <v>42</v>
      </c>
    </row>
    <row r="212" spans="1:19" ht="15.75" thickBot="1" x14ac:dyDescent="0.3">
      <c r="A212" s="422" t="s">
        <v>3471</v>
      </c>
      <c r="B212" s="422" t="s">
        <v>45</v>
      </c>
      <c r="C212" s="424" t="str">
        <f t="shared" si="41"/>
        <v>Estremadura</v>
      </c>
      <c r="D212" s="425" t="s">
        <v>1527</v>
      </c>
      <c r="E212" s="425" t="s">
        <v>1858</v>
      </c>
      <c r="G212" s="89">
        <v>3430214.3189999992</v>
      </c>
      <c r="H212" t="s">
        <v>630</v>
      </c>
      <c r="I212" s="123" t="s">
        <v>1861</v>
      </c>
      <c r="J212" s="428" t="s">
        <v>620</v>
      </c>
      <c r="K212" s="422" t="s">
        <v>1877</v>
      </c>
      <c r="L212" s="227">
        <v>2023</v>
      </c>
      <c r="M212" s="422">
        <v>2023</v>
      </c>
      <c r="N212" s="422" t="str">
        <f t="shared" si="38"/>
        <v>DEFRA: Gasóleo: WTT: 2023:: l</v>
      </c>
      <c r="O212" s="422" t="str">
        <f t="shared" si="39"/>
        <v>Gasóleo</v>
      </c>
      <c r="P212" s="422">
        <f t="shared" si="40"/>
        <v>0</v>
      </c>
      <c r="Q212" s="227" t="s">
        <v>3499</v>
      </c>
      <c r="R212" s="227" t="s">
        <v>3500</v>
      </c>
      <c r="S212" s="422" t="s">
        <v>42</v>
      </c>
    </row>
    <row r="213" spans="1:19" ht="15.75" thickBot="1" x14ac:dyDescent="0.3">
      <c r="A213" s="422" t="s">
        <v>3473</v>
      </c>
      <c r="B213" s="422" t="s">
        <v>45</v>
      </c>
      <c r="C213" s="424" t="str">
        <f t="shared" si="41"/>
        <v>Barraqueiro Oeste</v>
      </c>
      <c r="D213" s="425" t="s">
        <v>1527</v>
      </c>
      <c r="E213" s="425" t="s">
        <v>1858</v>
      </c>
      <c r="G213" s="89">
        <v>2030531.3869999996</v>
      </c>
      <c r="H213" t="s">
        <v>630</v>
      </c>
      <c r="I213" s="123" t="s">
        <v>1861</v>
      </c>
      <c r="J213" s="428" t="s">
        <v>620</v>
      </c>
      <c r="K213" s="422" t="s">
        <v>1877</v>
      </c>
      <c r="L213" s="227">
        <v>2023</v>
      </c>
      <c r="M213" s="422">
        <v>2023</v>
      </c>
      <c r="N213" s="422" t="str">
        <f t="shared" si="38"/>
        <v>DEFRA: Gasóleo: WTT: 2023:: l</v>
      </c>
      <c r="O213" s="422" t="str">
        <f t="shared" si="39"/>
        <v>Gasóleo</v>
      </c>
      <c r="P213" s="422">
        <f t="shared" si="40"/>
        <v>0</v>
      </c>
      <c r="Q213" s="227" t="s">
        <v>3499</v>
      </c>
      <c r="R213" s="227" t="s">
        <v>3500</v>
      </c>
      <c r="S213" s="422" t="s">
        <v>42</v>
      </c>
    </row>
    <row r="214" spans="1:19" ht="15.75" thickBot="1" x14ac:dyDescent="0.3">
      <c r="A214" s="422" t="s">
        <v>3474</v>
      </c>
      <c r="B214" s="422" t="s">
        <v>45</v>
      </c>
      <c r="C214" s="424" t="str">
        <f t="shared" si="41"/>
        <v>Boa Viagem</v>
      </c>
      <c r="D214" s="425" t="s">
        <v>1527</v>
      </c>
      <c r="E214" s="425" t="s">
        <v>1858</v>
      </c>
      <c r="G214" s="89">
        <v>1543239.5680000002</v>
      </c>
      <c r="H214" t="s">
        <v>630</v>
      </c>
      <c r="I214" s="123" t="s">
        <v>1861</v>
      </c>
      <c r="J214" s="428" t="s">
        <v>620</v>
      </c>
      <c r="K214" s="422" t="s">
        <v>1877</v>
      </c>
      <c r="L214" s="227">
        <v>2023</v>
      </c>
      <c r="M214" s="422">
        <v>2023</v>
      </c>
      <c r="N214" s="422" t="str">
        <f t="shared" si="38"/>
        <v>DEFRA: Gasóleo: WTT: 2023:: l</v>
      </c>
      <c r="O214" s="422" t="str">
        <f t="shared" si="39"/>
        <v>Gasóleo</v>
      </c>
      <c r="P214" s="422">
        <f t="shared" si="40"/>
        <v>0</v>
      </c>
      <c r="Q214" s="227" t="s">
        <v>3499</v>
      </c>
      <c r="R214" s="227" t="s">
        <v>3500</v>
      </c>
      <c r="S214" s="422" t="s">
        <v>42</v>
      </c>
    </row>
    <row r="215" spans="1:19" ht="15.75" thickBot="1" x14ac:dyDescent="0.3">
      <c r="A215" s="422" t="s">
        <v>3470</v>
      </c>
      <c r="B215" s="422" t="s">
        <v>45</v>
      </c>
      <c r="C215" s="424" t="str">
        <f t="shared" si="41"/>
        <v>Mafrense</v>
      </c>
      <c r="D215" s="425" t="s">
        <v>1527</v>
      </c>
      <c r="E215" s="425" t="s">
        <v>1858</v>
      </c>
      <c r="G215" s="89">
        <v>2448102.3220000011</v>
      </c>
      <c r="H215" t="s">
        <v>630</v>
      </c>
      <c r="I215" s="123" t="s">
        <v>1861</v>
      </c>
      <c r="J215" s="428" t="s">
        <v>620</v>
      </c>
      <c r="K215" s="422" t="s">
        <v>1877</v>
      </c>
      <c r="L215" s="227">
        <v>2023</v>
      </c>
      <c r="M215" s="422">
        <v>2023</v>
      </c>
      <c r="N215" s="422" t="str">
        <f t="shared" si="38"/>
        <v>DEFRA: Gasóleo: WTT: 2023:: l</v>
      </c>
      <c r="O215" s="422" t="str">
        <f t="shared" si="39"/>
        <v>Gasóleo</v>
      </c>
      <c r="P215" s="422">
        <f t="shared" si="40"/>
        <v>0</v>
      </c>
      <c r="Q215" s="227" t="s">
        <v>3499</v>
      </c>
      <c r="R215" s="227" t="s">
        <v>3500</v>
      </c>
      <c r="S215" s="422" t="s">
        <v>42</v>
      </c>
    </row>
    <row r="216" spans="1:19" ht="15.75" thickBot="1" x14ac:dyDescent="0.3">
      <c r="A216" s="422" t="s">
        <v>3472</v>
      </c>
      <c r="B216" s="422" t="s">
        <v>45</v>
      </c>
      <c r="C216" s="424" t="str">
        <f t="shared" si="41"/>
        <v>Frota Azul</v>
      </c>
      <c r="D216" s="425" t="s">
        <v>1527</v>
      </c>
      <c r="E216" s="425" t="s">
        <v>1858</v>
      </c>
      <c r="G216" s="89">
        <v>1821055.5829999992</v>
      </c>
      <c r="H216" t="s">
        <v>630</v>
      </c>
      <c r="I216" s="123" t="s">
        <v>1861</v>
      </c>
      <c r="J216" s="428" t="s">
        <v>620</v>
      </c>
      <c r="K216" s="422" t="s">
        <v>1877</v>
      </c>
      <c r="L216" s="227">
        <v>2023</v>
      </c>
      <c r="M216" s="422">
        <v>2023</v>
      </c>
      <c r="N216" s="422" t="str">
        <f t="shared" si="38"/>
        <v>DEFRA: Gasóleo: WTT: 2023:: l</v>
      </c>
      <c r="O216" s="422" t="str">
        <f t="shared" si="39"/>
        <v>Gasóleo</v>
      </c>
      <c r="P216" s="422">
        <f t="shared" si="40"/>
        <v>0</v>
      </c>
      <c r="Q216" s="227" t="s">
        <v>3499</v>
      </c>
      <c r="R216" s="227" t="s">
        <v>3500</v>
      </c>
      <c r="S216" s="422" t="s">
        <v>42</v>
      </c>
    </row>
    <row r="217" spans="1:19" ht="15.75" thickBot="1" x14ac:dyDescent="0.3">
      <c r="A217" s="422" t="s">
        <v>3278</v>
      </c>
      <c r="B217" s="422" t="s">
        <v>45</v>
      </c>
      <c r="C217" s="424" t="str">
        <f t="shared" si="41"/>
        <v>Barraqueiro Alugueres</v>
      </c>
      <c r="D217" s="425" t="s">
        <v>1527</v>
      </c>
      <c r="E217" s="425" t="s">
        <v>1858</v>
      </c>
      <c r="G217" s="89">
        <v>2139304.8019999997</v>
      </c>
      <c r="H217" t="s">
        <v>630</v>
      </c>
      <c r="I217" s="123" t="s">
        <v>1861</v>
      </c>
      <c r="J217" s="428" t="s">
        <v>620</v>
      </c>
      <c r="K217" s="422" t="s">
        <v>1877</v>
      </c>
      <c r="L217" s="227">
        <v>2023</v>
      </c>
      <c r="M217" s="422">
        <v>2023</v>
      </c>
      <c r="N217" s="422" t="str">
        <f t="shared" si="38"/>
        <v>DEFRA: Gasóleo: WTT: 2023:: l</v>
      </c>
      <c r="O217" s="422" t="str">
        <f t="shared" si="39"/>
        <v>Gasóleo</v>
      </c>
      <c r="P217" s="422">
        <f t="shared" si="40"/>
        <v>0</v>
      </c>
      <c r="Q217" s="227" t="s">
        <v>3499</v>
      </c>
      <c r="R217" s="227" t="s">
        <v>3500</v>
      </c>
      <c r="S217" s="422" t="s">
        <v>42</v>
      </c>
    </row>
    <row r="218" spans="1:19" ht="15.75" thickBot="1" x14ac:dyDescent="0.3">
      <c r="A218" s="422" t="s">
        <v>45</v>
      </c>
      <c r="B218" s="422" t="s">
        <v>45</v>
      </c>
      <c r="C218" s="424" t="str">
        <f t="shared" si="41"/>
        <v>X</v>
      </c>
      <c r="D218" s="425" t="s">
        <v>1527</v>
      </c>
      <c r="E218" s="425" t="s">
        <v>1858</v>
      </c>
      <c r="G218" s="89">
        <v>13412447.981000027</v>
      </c>
      <c r="H218" t="s">
        <v>630</v>
      </c>
      <c r="I218" s="123" t="s">
        <v>1861</v>
      </c>
      <c r="J218" s="428" t="s">
        <v>620</v>
      </c>
      <c r="K218" s="422" t="s">
        <v>1877</v>
      </c>
      <c r="L218" s="227">
        <v>2023</v>
      </c>
      <c r="M218" s="422">
        <v>2023</v>
      </c>
      <c r="N218" s="422" t="str">
        <f t="shared" si="38"/>
        <v>DEFRA: Gasóleo: WTT: 2023:: l</v>
      </c>
      <c r="O218" s="422" t="str">
        <f t="shared" si="39"/>
        <v>Gasóleo</v>
      </c>
      <c r="P218" s="422">
        <f t="shared" si="40"/>
        <v>0</v>
      </c>
      <c r="Q218" s="227" t="s">
        <v>3499</v>
      </c>
      <c r="R218" s="227" t="s">
        <v>3500</v>
      </c>
      <c r="S218" s="422" t="s">
        <v>42</v>
      </c>
    </row>
    <row r="219" spans="1:19" ht="15.75" thickBot="1" x14ac:dyDescent="0.3">
      <c r="A219" s="422" t="s">
        <v>3471</v>
      </c>
      <c r="B219" s="422" t="s">
        <v>45</v>
      </c>
      <c r="C219" s="424" t="str">
        <f t="shared" si="41"/>
        <v>Estremadura</v>
      </c>
      <c r="D219" s="425" t="s">
        <v>1527</v>
      </c>
      <c r="E219" s="425" t="s">
        <v>1858</v>
      </c>
      <c r="G219" s="89">
        <v>7523.4699999999993</v>
      </c>
      <c r="H219" t="s">
        <v>630</v>
      </c>
      <c r="I219" s="123" t="s">
        <v>1861</v>
      </c>
      <c r="J219" s="428" t="s">
        <v>620</v>
      </c>
      <c r="K219" s="422" t="s">
        <v>1877</v>
      </c>
      <c r="L219" s="227">
        <v>2023</v>
      </c>
      <c r="M219" s="422">
        <v>2023</v>
      </c>
      <c r="N219" s="422" t="str">
        <f t="shared" si="38"/>
        <v>DEFRA: Gasóleo: WTT: 2023:: l</v>
      </c>
      <c r="O219" s="422" t="str">
        <f t="shared" si="39"/>
        <v>Gasóleo</v>
      </c>
      <c r="P219" s="422">
        <f t="shared" si="40"/>
        <v>0</v>
      </c>
      <c r="Q219" s="227" t="s">
        <v>3499</v>
      </c>
      <c r="R219" s="227" t="s">
        <v>3500</v>
      </c>
      <c r="S219" s="422" t="s">
        <v>42</v>
      </c>
    </row>
    <row r="220" spans="1:19" ht="15.75" thickBot="1" x14ac:dyDescent="0.3">
      <c r="A220" s="422" t="s">
        <v>3474</v>
      </c>
      <c r="B220" s="422" t="s">
        <v>45</v>
      </c>
      <c r="C220" s="424" t="str">
        <f t="shared" si="41"/>
        <v>Boa Viagem</v>
      </c>
      <c r="D220" s="425" t="s">
        <v>1527</v>
      </c>
      <c r="E220" s="425" t="s">
        <v>1858</v>
      </c>
      <c r="G220" s="89">
        <v>2595.42</v>
      </c>
      <c r="H220" t="s">
        <v>630</v>
      </c>
      <c r="I220" s="123" t="s">
        <v>1861</v>
      </c>
      <c r="J220" s="428" t="s">
        <v>620</v>
      </c>
      <c r="K220" s="422" t="s">
        <v>1877</v>
      </c>
      <c r="L220" s="227">
        <v>2023</v>
      </c>
      <c r="M220" s="422">
        <v>2023</v>
      </c>
      <c r="N220" s="422" t="str">
        <f t="shared" si="38"/>
        <v>DEFRA: Gasóleo: WTT: 2023:: l</v>
      </c>
      <c r="O220" s="422" t="str">
        <f t="shared" si="39"/>
        <v>Gasóleo</v>
      </c>
      <c r="P220" s="422">
        <f t="shared" si="40"/>
        <v>0</v>
      </c>
      <c r="Q220" s="227" t="s">
        <v>3499</v>
      </c>
      <c r="R220" s="227" t="s">
        <v>3500</v>
      </c>
      <c r="S220" s="422" t="s">
        <v>42</v>
      </c>
    </row>
    <row r="221" spans="1:19" ht="15.75" thickBot="1" x14ac:dyDescent="0.3">
      <c r="A221" s="422" t="s">
        <v>3470</v>
      </c>
      <c r="B221" s="422" t="s">
        <v>45</v>
      </c>
      <c r="C221" s="424" t="str">
        <f t="shared" si="41"/>
        <v>Mafrense</v>
      </c>
      <c r="D221" s="425" t="s">
        <v>1527</v>
      </c>
      <c r="E221" s="425" t="s">
        <v>1858</v>
      </c>
      <c r="G221" s="89">
        <v>1451.58</v>
      </c>
      <c r="H221" t="s">
        <v>630</v>
      </c>
      <c r="I221" s="123" t="s">
        <v>1861</v>
      </c>
      <c r="J221" s="428" t="s">
        <v>620</v>
      </c>
      <c r="K221" s="422" t="s">
        <v>1877</v>
      </c>
      <c r="L221" s="227">
        <v>2023</v>
      </c>
      <c r="M221" s="422">
        <v>2023</v>
      </c>
      <c r="N221" s="422" t="str">
        <f t="shared" si="38"/>
        <v>DEFRA: Gasóleo: WTT: 2023:: l</v>
      </c>
      <c r="O221" s="422" t="str">
        <f t="shared" si="39"/>
        <v>Gasóleo</v>
      </c>
      <c r="P221" s="422">
        <f t="shared" si="40"/>
        <v>0</v>
      </c>
      <c r="Q221" s="227" t="s">
        <v>3499</v>
      </c>
      <c r="R221" s="227" t="s">
        <v>3500</v>
      </c>
      <c r="S221" s="422" t="s">
        <v>42</v>
      </c>
    </row>
    <row r="222" spans="1:19" ht="15.75" thickBot="1" x14ac:dyDescent="0.3">
      <c r="A222" s="422" t="s">
        <v>3472</v>
      </c>
      <c r="B222" s="422" t="s">
        <v>45</v>
      </c>
      <c r="C222" s="424" t="str">
        <f t="shared" si="41"/>
        <v>Frota Azul</v>
      </c>
      <c r="D222" s="425" t="s">
        <v>1527</v>
      </c>
      <c r="E222" s="425" t="s">
        <v>1858</v>
      </c>
      <c r="G222" s="89">
        <v>15378.85</v>
      </c>
      <c r="H222" t="s">
        <v>630</v>
      </c>
      <c r="I222" s="123" t="s">
        <v>1861</v>
      </c>
      <c r="J222" s="428" t="s">
        <v>620</v>
      </c>
      <c r="K222" s="422" t="s">
        <v>1877</v>
      </c>
      <c r="L222" s="227">
        <v>2023</v>
      </c>
      <c r="M222" s="422">
        <v>2023</v>
      </c>
      <c r="N222" s="422" t="str">
        <f t="shared" si="38"/>
        <v>DEFRA: Gasóleo: WTT: 2023:: l</v>
      </c>
      <c r="O222" s="422" t="str">
        <f t="shared" si="39"/>
        <v>Gasóleo</v>
      </c>
      <c r="P222" s="422">
        <f t="shared" si="40"/>
        <v>0</v>
      </c>
      <c r="Q222" s="227" t="s">
        <v>3499</v>
      </c>
      <c r="R222" s="227" t="s">
        <v>3500</v>
      </c>
      <c r="S222" s="422" t="s">
        <v>42</v>
      </c>
    </row>
    <row r="223" spans="1:19" ht="15.75" thickBot="1" x14ac:dyDescent="0.3">
      <c r="A223" s="422" t="s">
        <v>3278</v>
      </c>
      <c r="B223" s="422" t="s">
        <v>45</v>
      </c>
      <c r="C223" s="424" t="str">
        <f t="shared" si="41"/>
        <v>Barraqueiro Alugueres</v>
      </c>
      <c r="D223" s="425" t="s">
        <v>1527</v>
      </c>
      <c r="E223" s="425" t="s">
        <v>1858</v>
      </c>
      <c r="G223" s="89">
        <v>13645.01</v>
      </c>
      <c r="H223" t="s">
        <v>630</v>
      </c>
      <c r="I223" s="123" t="s">
        <v>1861</v>
      </c>
      <c r="J223" s="428" t="s">
        <v>620</v>
      </c>
      <c r="K223" s="422" t="s">
        <v>1877</v>
      </c>
      <c r="L223" s="227">
        <v>2023</v>
      </c>
      <c r="M223" s="422">
        <v>2023</v>
      </c>
      <c r="N223" s="422" t="str">
        <f t="shared" si="38"/>
        <v>DEFRA: Gasóleo: WTT: 2023:: l</v>
      </c>
      <c r="O223" s="422" t="str">
        <f t="shared" si="39"/>
        <v>Gasóleo</v>
      </c>
      <c r="P223" s="422">
        <f t="shared" si="40"/>
        <v>0</v>
      </c>
      <c r="Q223" s="227" t="s">
        <v>3499</v>
      </c>
      <c r="R223" s="227" t="s">
        <v>3500</v>
      </c>
      <c r="S223" s="422" t="s">
        <v>42</v>
      </c>
    </row>
    <row r="224" spans="1:19" ht="15.75" thickBot="1" x14ac:dyDescent="0.3">
      <c r="A224" s="422" t="s">
        <v>45</v>
      </c>
      <c r="B224" s="422" t="s">
        <v>45</v>
      </c>
      <c r="C224" s="424" t="str">
        <f t="shared" si="41"/>
        <v>X</v>
      </c>
      <c r="D224" s="425" t="s">
        <v>1527</v>
      </c>
      <c r="E224" s="425" t="s">
        <v>1858</v>
      </c>
      <c r="G224" s="89">
        <v>40594.33</v>
      </c>
      <c r="H224" t="s">
        <v>630</v>
      </c>
      <c r="I224" s="123" t="s">
        <v>1861</v>
      </c>
      <c r="J224" s="428" t="s">
        <v>620</v>
      </c>
      <c r="K224" s="422" t="s">
        <v>1877</v>
      </c>
      <c r="L224" s="227">
        <v>2023</v>
      </c>
      <c r="M224" s="422">
        <v>2023</v>
      </c>
      <c r="N224" s="422" t="str">
        <f t="shared" si="38"/>
        <v>DEFRA: Gasóleo: WTT: 2023:: l</v>
      </c>
      <c r="O224" s="422" t="str">
        <f t="shared" si="39"/>
        <v>Gasóleo</v>
      </c>
      <c r="P224" s="422">
        <f t="shared" si="40"/>
        <v>0</v>
      </c>
      <c r="Q224" s="227" t="s">
        <v>3499</v>
      </c>
      <c r="R224" s="227" t="s">
        <v>3500</v>
      </c>
      <c r="S224" s="422" t="s">
        <v>42</v>
      </c>
    </row>
    <row r="225" spans="1:19" ht="15.75" thickBot="1" x14ac:dyDescent="0.3">
      <c r="A225" t="s">
        <v>4591</v>
      </c>
      <c r="B225" t="s">
        <v>4591</v>
      </c>
      <c r="C225" s="424" t="str">
        <f t="shared" si="41"/>
        <v>X</v>
      </c>
      <c r="D225" s="425" t="s">
        <v>1527</v>
      </c>
      <c r="E225" s="425" t="s">
        <v>1858</v>
      </c>
      <c r="G225" s="89">
        <v>20924.019999999997</v>
      </c>
      <c r="H225" t="s">
        <v>630</v>
      </c>
      <c r="I225" s="123" t="s">
        <v>1861</v>
      </c>
      <c r="J225" t="s">
        <v>620</v>
      </c>
      <c r="K225" s="422" t="s">
        <v>1877</v>
      </c>
      <c r="L225" s="227">
        <v>2023</v>
      </c>
      <c r="M225" s="422">
        <v>2023</v>
      </c>
      <c r="N225" s="422" t="str">
        <f t="shared" ref="N225:N280" si="42">IF(J225="Eléctrica",K225&amp;": "&amp;J225&amp;": "&amp;E225&amp;": Portugal: "&amp;M225&amp;":: "&amp;I225,K225&amp;": "&amp;J225&amp;": "&amp;E225&amp;": "&amp;M225&amp;":: "&amp;I225)</f>
        <v>DEFRA: Gasóleo: WTT: 2023:: l</v>
      </c>
      <c r="O225" s="422" t="str">
        <f t="shared" si="39"/>
        <v>Gasóleo</v>
      </c>
      <c r="P225" s="422">
        <f t="shared" si="40"/>
        <v>0</v>
      </c>
      <c r="Q225" s="227" t="s">
        <v>3499</v>
      </c>
      <c r="R225" s="227" t="s">
        <v>3500</v>
      </c>
      <c r="S225" s="422" t="s">
        <v>42</v>
      </c>
    </row>
    <row r="226" spans="1:19" ht="15.75" thickBot="1" x14ac:dyDescent="0.3">
      <c r="A226" t="s">
        <v>4591</v>
      </c>
      <c r="B226" t="s">
        <v>4591</v>
      </c>
      <c r="C226" s="424" t="str">
        <f t="shared" si="41"/>
        <v>X</v>
      </c>
      <c r="D226" s="425" t="s">
        <v>1527</v>
      </c>
      <c r="E226" s="425" t="s">
        <v>1858</v>
      </c>
      <c r="G226" s="89">
        <v>160.19999999999999</v>
      </c>
      <c r="H226" t="s">
        <v>630</v>
      </c>
      <c r="I226" s="123" t="s">
        <v>1861</v>
      </c>
      <c r="J226" t="s">
        <v>1933</v>
      </c>
      <c r="K226" s="422" t="s">
        <v>1877</v>
      </c>
      <c r="L226" s="227">
        <v>2023</v>
      </c>
      <c r="M226" s="422">
        <v>2023</v>
      </c>
      <c r="N226" s="422" t="str">
        <f t="shared" si="42"/>
        <v>DEFRA: Gasolina: WTT: 2023:: l</v>
      </c>
      <c r="O226" s="422" t="str">
        <f t="shared" ref="O226:O289" si="43">J226</f>
        <v>Gasolina</v>
      </c>
      <c r="P226" s="422">
        <f t="shared" ref="P226:P289" si="44">F226</f>
        <v>0</v>
      </c>
      <c r="Q226" s="227" t="s">
        <v>3499</v>
      </c>
      <c r="R226" s="227" t="s">
        <v>3500</v>
      </c>
      <c r="S226" s="422" t="s">
        <v>42</v>
      </c>
    </row>
    <row r="227" spans="1:19" ht="15.75" thickBot="1" x14ac:dyDescent="0.3">
      <c r="A227" t="s">
        <v>1916</v>
      </c>
      <c r="B227" t="s">
        <v>1916</v>
      </c>
      <c r="C227" s="424" t="str">
        <f t="shared" si="41"/>
        <v>X</v>
      </c>
      <c r="D227" s="425" t="s">
        <v>1527</v>
      </c>
      <c r="E227" s="425" t="s">
        <v>1858</v>
      </c>
      <c r="G227" s="89">
        <v>63323.649999999994</v>
      </c>
      <c r="H227" t="s">
        <v>630</v>
      </c>
      <c r="I227" s="123" t="s">
        <v>1861</v>
      </c>
      <c r="J227" t="s">
        <v>620</v>
      </c>
      <c r="K227" s="422" t="s">
        <v>1877</v>
      </c>
      <c r="L227" s="227">
        <v>2023</v>
      </c>
      <c r="M227" s="422">
        <v>2023</v>
      </c>
      <c r="N227" s="422" t="str">
        <f t="shared" si="42"/>
        <v>DEFRA: Gasóleo: WTT: 2023:: l</v>
      </c>
      <c r="O227" s="422" t="str">
        <f t="shared" si="43"/>
        <v>Gasóleo</v>
      </c>
      <c r="P227" s="422">
        <f t="shared" si="44"/>
        <v>0</v>
      </c>
      <c r="Q227" s="227" t="s">
        <v>3499</v>
      </c>
      <c r="R227" s="227" t="s">
        <v>3500</v>
      </c>
      <c r="S227" s="422" t="s">
        <v>42</v>
      </c>
    </row>
    <row r="228" spans="1:19" ht="15.75" thickBot="1" x14ac:dyDescent="0.3">
      <c r="A228" t="s">
        <v>1916</v>
      </c>
      <c r="B228" t="s">
        <v>1916</v>
      </c>
      <c r="C228" s="424" t="str">
        <f t="shared" si="41"/>
        <v>X</v>
      </c>
      <c r="D228" s="425" t="s">
        <v>1527</v>
      </c>
      <c r="E228" s="425" t="s">
        <v>1858</v>
      </c>
      <c r="G228" s="89">
        <v>4093.57</v>
      </c>
      <c r="H228" t="s">
        <v>630</v>
      </c>
      <c r="I228" s="123" t="s">
        <v>1861</v>
      </c>
      <c r="J228" t="s">
        <v>1933</v>
      </c>
      <c r="K228" s="422" t="s">
        <v>1877</v>
      </c>
      <c r="L228" s="227">
        <v>2023</v>
      </c>
      <c r="M228" s="422">
        <v>2023</v>
      </c>
      <c r="N228" s="422" t="str">
        <f t="shared" si="42"/>
        <v>DEFRA: Gasolina: WTT: 2023:: l</v>
      </c>
      <c r="O228" s="422" t="str">
        <f t="shared" si="43"/>
        <v>Gasolina</v>
      </c>
      <c r="P228" s="422">
        <f t="shared" si="44"/>
        <v>0</v>
      </c>
      <c r="Q228" s="227" t="s">
        <v>3499</v>
      </c>
      <c r="R228" s="227" t="s">
        <v>3500</v>
      </c>
      <c r="S228" s="422" t="s">
        <v>42</v>
      </c>
    </row>
    <row r="229" spans="1:19" ht="15.75" thickBot="1" x14ac:dyDescent="0.3">
      <c r="A229" t="s">
        <v>1912</v>
      </c>
      <c r="B229" t="s">
        <v>1912</v>
      </c>
      <c r="C229" s="424" t="str">
        <f t="shared" si="41"/>
        <v>X</v>
      </c>
      <c r="D229" s="425" t="s">
        <v>1527</v>
      </c>
      <c r="E229" s="425" t="s">
        <v>1858</v>
      </c>
      <c r="G229" s="89">
        <v>7581</v>
      </c>
      <c r="H229" t="s">
        <v>630</v>
      </c>
      <c r="I229" s="123" t="s">
        <v>1861</v>
      </c>
      <c r="J229" t="s">
        <v>620</v>
      </c>
      <c r="K229" s="422" t="s">
        <v>1877</v>
      </c>
      <c r="L229" s="227">
        <v>2023</v>
      </c>
      <c r="M229" s="422">
        <v>2023</v>
      </c>
      <c r="N229" s="422" t="str">
        <f t="shared" si="42"/>
        <v>DEFRA: Gasóleo: WTT: 2023:: l</v>
      </c>
      <c r="O229" s="422" t="str">
        <f t="shared" si="43"/>
        <v>Gasóleo</v>
      </c>
      <c r="P229" s="422">
        <f t="shared" si="44"/>
        <v>0</v>
      </c>
      <c r="Q229" s="227" t="s">
        <v>3499</v>
      </c>
      <c r="R229" s="227" t="s">
        <v>3500</v>
      </c>
      <c r="S229" s="422" t="s">
        <v>42</v>
      </c>
    </row>
    <row r="230" spans="1:19" ht="15.75" thickBot="1" x14ac:dyDescent="0.3">
      <c r="A230" t="s">
        <v>1912</v>
      </c>
      <c r="B230" t="s">
        <v>1912</v>
      </c>
      <c r="C230" s="424" t="str">
        <f t="shared" si="41"/>
        <v>X</v>
      </c>
      <c r="D230" s="425" t="s">
        <v>1527</v>
      </c>
      <c r="E230" s="425" t="s">
        <v>1858</v>
      </c>
      <c r="G230" s="89">
        <v>1825</v>
      </c>
      <c r="H230" t="s">
        <v>630</v>
      </c>
      <c r="I230" s="123" t="s">
        <v>1861</v>
      </c>
      <c r="J230" t="s">
        <v>1933</v>
      </c>
      <c r="K230" s="422" t="s">
        <v>1877</v>
      </c>
      <c r="L230" s="227">
        <v>2023</v>
      </c>
      <c r="M230" s="422">
        <v>2023</v>
      </c>
      <c r="N230" s="422" t="str">
        <f t="shared" si="42"/>
        <v>DEFRA: Gasolina: WTT: 2023:: l</v>
      </c>
      <c r="O230" s="422" t="str">
        <f t="shared" si="43"/>
        <v>Gasolina</v>
      </c>
      <c r="P230" s="422">
        <f t="shared" si="44"/>
        <v>0</v>
      </c>
      <c r="Q230" s="227" t="s">
        <v>3499</v>
      </c>
      <c r="R230" s="227" t="s">
        <v>3500</v>
      </c>
      <c r="S230" s="422" t="s">
        <v>42</v>
      </c>
    </row>
    <row r="231" spans="1:19" ht="15.75" thickBot="1" x14ac:dyDescent="0.3">
      <c r="A231" t="s">
        <v>4615</v>
      </c>
      <c r="B231" t="s">
        <v>4615</v>
      </c>
      <c r="C231" s="424" t="str">
        <f t="shared" si="41"/>
        <v>X</v>
      </c>
      <c r="D231" s="425" t="s">
        <v>1527</v>
      </c>
      <c r="E231" s="425" t="s">
        <v>1858</v>
      </c>
      <c r="G231" s="89">
        <v>11331.580000000002</v>
      </c>
      <c r="H231" t="s">
        <v>630</v>
      </c>
      <c r="I231" s="123" t="s">
        <v>1861</v>
      </c>
      <c r="J231" t="s">
        <v>620</v>
      </c>
      <c r="K231" s="422" t="s">
        <v>1877</v>
      </c>
      <c r="L231" s="227">
        <v>2023</v>
      </c>
      <c r="M231" s="422">
        <v>2023</v>
      </c>
      <c r="N231" s="422" t="str">
        <f t="shared" si="42"/>
        <v>DEFRA: Gasóleo: WTT: 2023:: l</v>
      </c>
      <c r="O231" s="422" t="str">
        <f t="shared" si="43"/>
        <v>Gasóleo</v>
      </c>
      <c r="P231" s="422">
        <f t="shared" si="44"/>
        <v>0</v>
      </c>
      <c r="Q231" s="227" t="s">
        <v>3499</v>
      </c>
      <c r="R231" s="227" t="s">
        <v>3500</v>
      </c>
      <c r="S231" s="422" t="s">
        <v>42</v>
      </c>
    </row>
    <row r="232" spans="1:19" ht="15.75" thickBot="1" x14ac:dyDescent="0.3">
      <c r="A232" t="s">
        <v>4615</v>
      </c>
      <c r="B232" t="s">
        <v>4615</v>
      </c>
      <c r="C232" s="424" t="str">
        <f t="shared" si="41"/>
        <v>X</v>
      </c>
      <c r="D232" s="425" t="s">
        <v>1527</v>
      </c>
      <c r="E232" s="425" t="s">
        <v>1858</v>
      </c>
      <c r="G232" s="89">
        <v>3727.5400000000004</v>
      </c>
      <c r="H232" t="s">
        <v>630</v>
      </c>
      <c r="I232" s="123" t="s">
        <v>1861</v>
      </c>
      <c r="J232" t="s">
        <v>1933</v>
      </c>
      <c r="K232" s="422" t="s">
        <v>1877</v>
      </c>
      <c r="L232" s="227">
        <v>2023</v>
      </c>
      <c r="M232" s="422">
        <v>2023</v>
      </c>
      <c r="N232" s="422" t="str">
        <f t="shared" si="42"/>
        <v>DEFRA: Gasolina: WTT: 2023:: l</v>
      </c>
      <c r="O232" s="422" t="str">
        <f t="shared" si="43"/>
        <v>Gasolina</v>
      </c>
      <c r="P232" s="422">
        <f t="shared" si="44"/>
        <v>0</v>
      </c>
      <c r="Q232" s="227" t="s">
        <v>3499</v>
      </c>
      <c r="R232" s="227" t="s">
        <v>3500</v>
      </c>
      <c r="S232" s="422" t="s">
        <v>42</v>
      </c>
    </row>
    <row r="233" spans="1:19" ht="15.75" thickBot="1" x14ac:dyDescent="0.3">
      <c r="A233" t="s">
        <v>4583</v>
      </c>
      <c r="B233" t="s">
        <v>4583</v>
      </c>
      <c r="C233" s="424" t="str">
        <f t="shared" si="41"/>
        <v>X</v>
      </c>
      <c r="D233" s="425" t="s">
        <v>1527</v>
      </c>
      <c r="E233" s="425" t="s">
        <v>1858</v>
      </c>
      <c r="G233" s="89">
        <v>36768.639999999999</v>
      </c>
      <c r="H233" t="s">
        <v>630</v>
      </c>
      <c r="I233" s="123" t="s">
        <v>1861</v>
      </c>
      <c r="J233" t="s">
        <v>620</v>
      </c>
      <c r="K233" s="422" t="s">
        <v>1877</v>
      </c>
      <c r="L233" s="227">
        <v>2023</v>
      </c>
      <c r="M233" s="422">
        <v>2023</v>
      </c>
      <c r="N233" s="422" t="str">
        <f t="shared" si="42"/>
        <v>DEFRA: Gasóleo: WTT: 2023:: l</v>
      </c>
      <c r="O233" s="422" t="str">
        <f t="shared" si="43"/>
        <v>Gasóleo</v>
      </c>
      <c r="P233" s="422">
        <f t="shared" si="44"/>
        <v>0</v>
      </c>
      <c r="Q233" s="227" t="s">
        <v>3499</v>
      </c>
      <c r="R233" s="227" t="s">
        <v>3500</v>
      </c>
      <c r="S233" s="422" t="s">
        <v>42</v>
      </c>
    </row>
    <row r="234" spans="1:19" ht="15.75" thickBot="1" x14ac:dyDescent="0.3">
      <c r="A234" t="s">
        <v>4584</v>
      </c>
      <c r="B234" t="s">
        <v>4584</v>
      </c>
      <c r="C234" s="424" t="str">
        <f t="shared" si="41"/>
        <v>X</v>
      </c>
      <c r="D234" s="425" t="s">
        <v>1527</v>
      </c>
      <c r="E234" s="425" t="s">
        <v>1858</v>
      </c>
      <c r="G234" s="89">
        <v>2244.94</v>
      </c>
      <c r="H234" t="s">
        <v>630</v>
      </c>
      <c r="I234" s="123" t="s">
        <v>1861</v>
      </c>
      <c r="J234" t="s">
        <v>620</v>
      </c>
      <c r="K234" s="422" t="s">
        <v>1877</v>
      </c>
      <c r="L234" s="227">
        <v>2023</v>
      </c>
      <c r="M234" s="422">
        <v>2023</v>
      </c>
      <c r="N234" s="422" t="str">
        <f t="shared" si="42"/>
        <v>DEFRA: Gasóleo: WTT: 2023:: l</v>
      </c>
      <c r="O234" s="422" t="str">
        <f t="shared" si="43"/>
        <v>Gasóleo</v>
      </c>
      <c r="P234" s="422">
        <f t="shared" si="44"/>
        <v>0</v>
      </c>
      <c r="Q234" s="227" t="s">
        <v>3499</v>
      </c>
      <c r="R234" s="227" t="s">
        <v>3500</v>
      </c>
      <c r="S234" s="422" t="s">
        <v>42</v>
      </c>
    </row>
    <row r="235" spans="1:19" ht="15.75" thickBot="1" x14ac:dyDescent="0.3">
      <c r="A235" t="s">
        <v>3475</v>
      </c>
      <c r="B235" t="s">
        <v>3475</v>
      </c>
      <c r="C235" s="424" t="str">
        <f t="shared" si="41"/>
        <v>X</v>
      </c>
      <c r="D235" s="425" t="s">
        <v>1527</v>
      </c>
      <c r="E235" s="425" t="s">
        <v>1858</v>
      </c>
      <c r="G235" s="89">
        <v>863.03</v>
      </c>
      <c r="H235" t="s">
        <v>630</v>
      </c>
      <c r="I235" s="123" t="s">
        <v>1861</v>
      </c>
      <c r="J235" t="s">
        <v>620</v>
      </c>
      <c r="K235" s="422" t="s">
        <v>1877</v>
      </c>
      <c r="L235" s="227">
        <v>2023</v>
      </c>
      <c r="M235" s="422">
        <v>2023</v>
      </c>
      <c r="N235" s="422" t="str">
        <f t="shared" si="42"/>
        <v>DEFRA: Gasóleo: WTT: 2023:: l</v>
      </c>
      <c r="O235" s="422" t="str">
        <f t="shared" si="43"/>
        <v>Gasóleo</v>
      </c>
      <c r="P235" s="422">
        <f t="shared" si="44"/>
        <v>0</v>
      </c>
      <c r="Q235" s="227" t="s">
        <v>3499</v>
      </c>
      <c r="R235" s="227" t="s">
        <v>3500</v>
      </c>
      <c r="S235" s="422" t="s">
        <v>42</v>
      </c>
    </row>
    <row r="236" spans="1:19" ht="15.75" thickBot="1" x14ac:dyDescent="0.3">
      <c r="A236" t="s">
        <v>2817</v>
      </c>
      <c r="B236" t="s">
        <v>2817</v>
      </c>
      <c r="C236" s="424" t="str">
        <f t="shared" si="41"/>
        <v>X</v>
      </c>
      <c r="D236" s="425" t="s">
        <v>1527</v>
      </c>
      <c r="E236" s="425" t="s">
        <v>1858</v>
      </c>
      <c r="G236" s="89">
        <v>0</v>
      </c>
      <c r="H236" s="422" t="s">
        <v>630</v>
      </c>
      <c r="I236" s="123" t="s">
        <v>1861</v>
      </c>
      <c r="J236" t="s">
        <v>620</v>
      </c>
      <c r="K236" s="422" t="s">
        <v>1877</v>
      </c>
      <c r="L236" s="227">
        <v>2023</v>
      </c>
      <c r="M236" s="422">
        <v>2023</v>
      </c>
      <c r="N236" s="422" t="str">
        <f t="shared" si="42"/>
        <v>DEFRA: Gasóleo: WTT: 2023:: l</v>
      </c>
      <c r="O236" s="422" t="str">
        <f t="shared" si="43"/>
        <v>Gasóleo</v>
      </c>
      <c r="P236" s="422">
        <f t="shared" si="44"/>
        <v>0</v>
      </c>
      <c r="Q236" s="227" t="s">
        <v>3499</v>
      </c>
      <c r="R236" s="227" t="s">
        <v>3500</v>
      </c>
      <c r="S236" s="422" t="s">
        <v>42</v>
      </c>
    </row>
    <row r="237" spans="1:19" ht="15.75" thickBot="1" x14ac:dyDescent="0.3">
      <c r="A237" t="s">
        <v>2868</v>
      </c>
      <c r="B237" t="s">
        <v>2868</v>
      </c>
      <c r="C237" s="424" t="str">
        <f t="shared" si="41"/>
        <v>X</v>
      </c>
      <c r="D237" s="425" t="s">
        <v>1527</v>
      </c>
      <c r="E237" s="425" t="s">
        <v>1858</v>
      </c>
      <c r="G237" s="89">
        <v>77697.040000000008</v>
      </c>
      <c r="H237" t="s">
        <v>630</v>
      </c>
      <c r="I237" s="123" t="s">
        <v>1861</v>
      </c>
      <c r="J237" t="s">
        <v>620</v>
      </c>
      <c r="K237" s="422" t="s">
        <v>1877</v>
      </c>
      <c r="L237" s="227">
        <v>2023</v>
      </c>
      <c r="M237" s="422">
        <v>2023</v>
      </c>
      <c r="N237" s="422" t="str">
        <f t="shared" si="42"/>
        <v>DEFRA: Gasóleo: WTT: 2023:: l</v>
      </c>
      <c r="O237" s="422" t="str">
        <f t="shared" si="43"/>
        <v>Gasóleo</v>
      </c>
      <c r="P237" s="422">
        <f t="shared" si="44"/>
        <v>0</v>
      </c>
      <c r="Q237" s="227" t="s">
        <v>3499</v>
      </c>
      <c r="R237" s="227" t="s">
        <v>3500</v>
      </c>
      <c r="S237" s="422" t="s">
        <v>42</v>
      </c>
    </row>
    <row r="238" spans="1:19" ht="15.75" thickBot="1" x14ac:dyDescent="0.3">
      <c r="A238" t="s">
        <v>2868</v>
      </c>
      <c r="B238" t="s">
        <v>2868</v>
      </c>
      <c r="C238" s="424" t="str">
        <f t="shared" si="41"/>
        <v>X</v>
      </c>
      <c r="D238" s="425" t="s">
        <v>1527</v>
      </c>
      <c r="E238" s="425" t="s">
        <v>1858</v>
      </c>
      <c r="G238" s="89">
        <v>199.33</v>
      </c>
      <c r="H238" t="s">
        <v>630</v>
      </c>
      <c r="I238" s="123" t="s">
        <v>1861</v>
      </c>
      <c r="J238" t="s">
        <v>2834</v>
      </c>
      <c r="K238" s="422" t="s">
        <v>1877</v>
      </c>
      <c r="L238" s="227">
        <v>2023</v>
      </c>
      <c r="M238" s="422">
        <v>2023</v>
      </c>
      <c r="N238" s="422" t="str">
        <f t="shared" si="42"/>
        <v>DEFRA: GPL: WTT: 2023:: l</v>
      </c>
      <c r="O238" s="422" t="str">
        <f t="shared" si="43"/>
        <v>GPL</v>
      </c>
      <c r="P238" s="422">
        <f t="shared" si="44"/>
        <v>0</v>
      </c>
      <c r="Q238" s="227" t="s">
        <v>3499</v>
      </c>
      <c r="R238" s="227" t="s">
        <v>3500</v>
      </c>
      <c r="S238" s="422" t="s">
        <v>42</v>
      </c>
    </row>
    <row r="239" spans="1:19" ht="15.75" thickBot="1" x14ac:dyDescent="0.3">
      <c r="A239" t="s">
        <v>4594</v>
      </c>
      <c r="B239" t="s">
        <v>4594</v>
      </c>
      <c r="C239" s="424" t="str">
        <f t="shared" si="41"/>
        <v>X</v>
      </c>
      <c r="D239" s="425" t="s">
        <v>1527</v>
      </c>
      <c r="E239" s="425" t="s">
        <v>1858</v>
      </c>
      <c r="G239" s="89">
        <v>24080.1</v>
      </c>
      <c r="H239" t="s">
        <v>630</v>
      </c>
      <c r="I239" s="123" t="s">
        <v>1861</v>
      </c>
      <c r="J239" t="s">
        <v>620</v>
      </c>
      <c r="K239" s="422" t="s">
        <v>1877</v>
      </c>
      <c r="L239" s="227">
        <v>2023</v>
      </c>
      <c r="M239" s="422">
        <v>2023</v>
      </c>
      <c r="N239" s="422" t="str">
        <f t="shared" si="42"/>
        <v>DEFRA: Gasóleo: WTT: 2023:: l</v>
      </c>
      <c r="O239" s="422" t="str">
        <f t="shared" si="43"/>
        <v>Gasóleo</v>
      </c>
      <c r="P239" s="422">
        <f t="shared" si="44"/>
        <v>0</v>
      </c>
      <c r="Q239" s="227" t="s">
        <v>3499</v>
      </c>
      <c r="R239" s="227" t="s">
        <v>3500</v>
      </c>
      <c r="S239" s="422" t="s">
        <v>42</v>
      </c>
    </row>
    <row r="240" spans="1:19" ht="15.75" thickBot="1" x14ac:dyDescent="0.3">
      <c r="A240" t="s">
        <v>4592</v>
      </c>
      <c r="B240" t="s">
        <v>4592</v>
      </c>
      <c r="C240" s="424" t="str">
        <f t="shared" si="41"/>
        <v>X</v>
      </c>
      <c r="D240" s="425" t="s">
        <v>1527</v>
      </c>
      <c r="E240" s="425" t="s">
        <v>1858</v>
      </c>
      <c r="G240" s="89">
        <v>13599.9</v>
      </c>
      <c r="H240" t="s">
        <v>630</v>
      </c>
      <c r="I240" s="123" t="s">
        <v>1861</v>
      </c>
      <c r="J240" t="s">
        <v>620</v>
      </c>
      <c r="K240" s="422" t="s">
        <v>1877</v>
      </c>
      <c r="L240" s="227">
        <v>2023</v>
      </c>
      <c r="M240" s="422">
        <v>2023</v>
      </c>
      <c r="N240" s="422" t="str">
        <f t="shared" si="42"/>
        <v>DEFRA: Gasóleo: WTT: 2023:: l</v>
      </c>
      <c r="O240" s="422" t="str">
        <f t="shared" si="43"/>
        <v>Gasóleo</v>
      </c>
      <c r="P240" s="422">
        <f t="shared" si="44"/>
        <v>0</v>
      </c>
      <c r="Q240" s="227" t="s">
        <v>3499</v>
      </c>
      <c r="R240" s="227" t="s">
        <v>3500</v>
      </c>
      <c r="S240" s="422" t="s">
        <v>42</v>
      </c>
    </row>
    <row r="241" spans="1:19" ht="15.75" thickBot="1" x14ac:dyDescent="0.3">
      <c r="A241" t="s">
        <v>4592</v>
      </c>
      <c r="B241" t="s">
        <v>4592</v>
      </c>
      <c r="C241" s="424" t="str">
        <f t="shared" si="41"/>
        <v>X</v>
      </c>
      <c r="D241" s="425" t="s">
        <v>1527</v>
      </c>
      <c r="E241" s="425" t="s">
        <v>1858</v>
      </c>
      <c r="G241" s="89">
        <v>1390.68</v>
      </c>
      <c r="H241" t="s">
        <v>630</v>
      </c>
      <c r="I241" s="123" t="s">
        <v>1861</v>
      </c>
      <c r="J241" t="s">
        <v>2834</v>
      </c>
      <c r="K241" s="422" t="s">
        <v>1877</v>
      </c>
      <c r="L241" s="227">
        <v>2023</v>
      </c>
      <c r="M241" s="422">
        <v>2023</v>
      </c>
      <c r="N241" s="422" t="str">
        <f t="shared" si="42"/>
        <v>DEFRA: GPL: WTT: 2023:: l</v>
      </c>
      <c r="O241" s="422" t="str">
        <f t="shared" si="43"/>
        <v>GPL</v>
      </c>
      <c r="P241" s="422">
        <f t="shared" si="44"/>
        <v>0</v>
      </c>
      <c r="Q241" s="227" t="s">
        <v>3499</v>
      </c>
      <c r="R241" s="227" t="s">
        <v>3500</v>
      </c>
      <c r="S241" s="422" t="s">
        <v>42</v>
      </c>
    </row>
    <row r="242" spans="1:19" ht="15.75" thickBot="1" x14ac:dyDescent="0.3">
      <c r="A242" t="s">
        <v>4593</v>
      </c>
      <c r="B242" t="s">
        <v>4593</v>
      </c>
      <c r="C242" s="424" t="str">
        <f t="shared" si="41"/>
        <v>X</v>
      </c>
      <c r="D242" s="425" t="s">
        <v>1527</v>
      </c>
      <c r="E242" s="425" t="s">
        <v>1858</v>
      </c>
      <c r="G242" s="89">
        <v>8133.0700000000006</v>
      </c>
      <c r="H242" t="s">
        <v>630</v>
      </c>
      <c r="I242" s="123" t="s">
        <v>1861</v>
      </c>
      <c r="J242" t="s">
        <v>620</v>
      </c>
      <c r="K242" s="422" t="s">
        <v>1877</v>
      </c>
      <c r="L242" s="227">
        <v>2023</v>
      </c>
      <c r="M242" s="422">
        <v>2023</v>
      </c>
      <c r="N242" s="422" t="str">
        <f t="shared" si="42"/>
        <v>DEFRA: Gasóleo: WTT: 2023:: l</v>
      </c>
      <c r="O242" s="422" t="str">
        <f t="shared" si="43"/>
        <v>Gasóleo</v>
      </c>
      <c r="P242" s="422">
        <f t="shared" si="44"/>
        <v>0</v>
      </c>
      <c r="Q242" s="227" t="s">
        <v>3499</v>
      </c>
      <c r="R242" s="227" t="s">
        <v>3500</v>
      </c>
      <c r="S242" s="422" t="s">
        <v>42</v>
      </c>
    </row>
    <row r="243" spans="1:19" ht="15.75" thickBot="1" x14ac:dyDescent="0.3">
      <c r="A243" t="s">
        <v>1910</v>
      </c>
      <c r="B243" t="s">
        <v>1910</v>
      </c>
      <c r="C243" s="424" t="str">
        <f t="shared" si="41"/>
        <v>X</v>
      </c>
      <c r="D243" s="425" t="s">
        <v>1527</v>
      </c>
      <c r="E243" s="425" t="s">
        <v>1858</v>
      </c>
      <c r="G243" s="89">
        <v>16697.820000000011</v>
      </c>
      <c r="H243" t="s">
        <v>630</v>
      </c>
      <c r="I243" s="123" t="s">
        <v>1861</v>
      </c>
      <c r="J243" t="s">
        <v>620</v>
      </c>
      <c r="K243" s="422" t="s">
        <v>1877</v>
      </c>
      <c r="L243" s="227">
        <v>2023</v>
      </c>
      <c r="M243" s="422">
        <v>2023</v>
      </c>
      <c r="N243" s="422" t="str">
        <f t="shared" si="42"/>
        <v>DEFRA: Gasóleo: WTT: 2023:: l</v>
      </c>
      <c r="O243" s="422" t="str">
        <f t="shared" si="43"/>
        <v>Gasóleo</v>
      </c>
      <c r="P243" s="422">
        <f t="shared" si="44"/>
        <v>0</v>
      </c>
      <c r="Q243" s="227" t="s">
        <v>3499</v>
      </c>
      <c r="R243" s="227" t="s">
        <v>3500</v>
      </c>
      <c r="S243" s="422" t="s">
        <v>42</v>
      </c>
    </row>
    <row r="244" spans="1:19" ht="15.75" thickBot="1" x14ac:dyDescent="0.3">
      <c r="A244" t="s">
        <v>1910</v>
      </c>
      <c r="B244" t="s">
        <v>1910</v>
      </c>
      <c r="C244" s="424" t="str">
        <f t="shared" si="41"/>
        <v>X</v>
      </c>
      <c r="D244" s="425" t="s">
        <v>1527</v>
      </c>
      <c r="E244" s="425" t="s">
        <v>1858</v>
      </c>
      <c r="G244" s="89">
        <v>866.54</v>
      </c>
      <c r="H244" t="s">
        <v>630</v>
      </c>
      <c r="I244" s="123" t="s">
        <v>1861</v>
      </c>
      <c r="J244" t="s">
        <v>1933</v>
      </c>
      <c r="K244" s="422" t="s">
        <v>1877</v>
      </c>
      <c r="L244" s="227">
        <v>2023</v>
      </c>
      <c r="M244" s="422">
        <v>2023</v>
      </c>
      <c r="N244" s="422" t="str">
        <f t="shared" si="42"/>
        <v>DEFRA: Gasolina: WTT: 2023:: l</v>
      </c>
      <c r="O244" s="422" t="str">
        <f t="shared" si="43"/>
        <v>Gasolina</v>
      </c>
      <c r="P244" s="422">
        <f t="shared" si="44"/>
        <v>0</v>
      </c>
      <c r="Q244" s="227" t="s">
        <v>3499</v>
      </c>
      <c r="R244" s="227" t="s">
        <v>3500</v>
      </c>
      <c r="S244" s="422" t="s">
        <v>42</v>
      </c>
    </row>
    <row r="245" spans="1:19" ht="15.75" thickBot="1" x14ac:dyDescent="0.3">
      <c r="A245" t="s">
        <v>4598</v>
      </c>
      <c r="B245" t="s">
        <v>4598</v>
      </c>
      <c r="C245" s="424" t="str">
        <f t="shared" si="41"/>
        <v>X</v>
      </c>
      <c r="D245" s="425" t="s">
        <v>1527</v>
      </c>
      <c r="E245" s="425" t="s">
        <v>1858</v>
      </c>
      <c r="G245" s="89">
        <v>2355</v>
      </c>
      <c r="H245" t="s">
        <v>630</v>
      </c>
      <c r="I245" s="123" t="s">
        <v>1861</v>
      </c>
      <c r="J245" t="s">
        <v>620</v>
      </c>
      <c r="K245" s="422" t="s">
        <v>1877</v>
      </c>
      <c r="L245" s="227">
        <v>2023</v>
      </c>
      <c r="M245" s="422">
        <v>2023</v>
      </c>
      <c r="N245" s="422" t="str">
        <f t="shared" si="42"/>
        <v>DEFRA: Gasóleo: WTT: 2023:: l</v>
      </c>
      <c r="O245" s="422" t="str">
        <f t="shared" si="43"/>
        <v>Gasóleo</v>
      </c>
      <c r="P245" s="422">
        <f t="shared" si="44"/>
        <v>0</v>
      </c>
      <c r="Q245" s="227" t="s">
        <v>3499</v>
      </c>
      <c r="R245" s="227" t="s">
        <v>3500</v>
      </c>
      <c r="S245" s="422" t="s">
        <v>42</v>
      </c>
    </row>
    <row r="246" spans="1:19" ht="15.75" thickBot="1" x14ac:dyDescent="0.3">
      <c r="A246" t="s">
        <v>4642</v>
      </c>
      <c r="B246" t="s">
        <v>4642</v>
      </c>
      <c r="C246" s="424" t="str">
        <f t="shared" si="41"/>
        <v>X</v>
      </c>
      <c r="D246" s="425" t="s">
        <v>1527</v>
      </c>
      <c r="E246" s="425" t="s">
        <v>1858</v>
      </c>
      <c r="G246" s="89">
        <v>1745</v>
      </c>
      <c r="H246" t="s">
        <v>630</v>
      </c>
      <c r="I246" s="123" t="s">
        <v>1861</v>
      </c>
      <c r="J246" t="s">
        <v>620</v>
      </c>
      <c r="K246" s="422" t="s">
        <v>1877</v>
      </c>
      <c r="L246" s="227">
        <v>2023</v>
      </c>
      <c r="M246" s="422">
        <v>2023</v>
      </c>
      <c r="N246" s="422" t="str">
        <f t="shared" si="42"/>
        <v>DEFRA: Gasóleo: WTT: 2023:: l</v>
      </c>
      <c r="O246" s="422" t="str">
        <f t="shared" si="43"/>
        <v>Gasóleo</v>
      </c>
      <c r="P246" s="422">
        <f t="shared" si="44"/>
        <v>0</v>
      </c>
      <c r="Q246" s="227" t="s">
        <v>3499</v>
      </c>
      <c r="R246" s="227" t="s">
        <v>3500</v>
      </c>
      <c r="S246" s="422" t="s">
        <v>42</v>
      </c>
    </row>
    <row r="247" spans="1:19" ht="15.75" thickBot="1" x14ac:dyDescent="0.3">
      <c r="A247" t="s">
        <v>2823</v>
      </c>
      <c r="B247" t="s">
        <v>2823</v>
      </c>
      <c r="C247" s="424" t="str">
        <f t="shared" ref="C247:C297" si="45">IF(A247=B247,"X",RIGHT(A247,LEN(A247)-LEN(B247)-3))</f>
        <v>X</v>
      </c>
      <c r="D247" s="425" t="s">
        <v>1527</v>
      </c>
      <c r="E247" s="425" t="s">
        <v>1858</v>
      </c>
      <c r="G247" s="89">
        <v>0</v>
      </c>
      <c r="H247" t="s">
        <v>630</v>
      </c>
      <c r="I247" s="123" t="s">
        <v>1861</v>
      </c>
      <c r="J247" t="s">
        <v>1933</v>
      </c>
      <c r="K247" s="422" t="s">
        <v>1877</v>
      </c>
      <c r="L247" s="227">
        <v>2023</v>
      </c>
      <c r="M247" s="422">
        <v>2023</v>
      </c>
      <c r="N247" s="422" t="str">
        <f t="shared" si="42"/>
        <v>DEFRA: Gasolina: WTT: 2023:: l</v>
      </c>
      <c r="O247" s="422" t="str">
        <f t="shared" si="43"/>
        <v>Gasolina</v>
      </c>
      <c r="P247" s="422">
        <f t="shared" si="44"/>
        <v>0</v>
      </c>
      <c r="Q247" s="227" t="s">
        <v>3499</v>
      </c>
      <c r="R247" s="227" t="s">
        <v>3500</v>
      </c>
      <c r="S247" s="422" t="s">
        <v>42</v>
      </c>
    </row>
    <row r="248" spans="1:19" ht="15.75" thickBot="1" x14ac:dyDescent="0.3">
      <c r="A248" t="s">
        <v>2823</v>
      </c>
      <c r="B248" t="s">
        <v>2823</v>
      </c>
      <c r="C248" s="424" t="str">
        <f t="shared" si="45"/>
        <v>X</v>
      </c>
      <c r="D248" s="425" t="s">
        <v>1527</v>
      </c>
      <c r="E248" s="425" t="s">
        <v>1858</v>
      </c>
      <c r="G248" s="89">
        <v>0</v>
      </c>
      <c r="H248" t="s">
        <v>630</v>
      </c>
      <c r="I248" s="123" t="s">
        <v>1861</v>
      </c>
      <c r="J248" t="s">
        <v>620</v>
      </c>
      <c r="K248" s="422" t="s">
        <v>1877</v>
      </c>
      <c r="L248" s="227">
        <v>2023</v>
      </c>
      <c r="M248" s="422">
        <v>2023</v>
      </c>
      <c r="N248" s="422" t="str">
        <f t="shared" si="42"/>
        <v>DEFRA: Gasóleo: WTT: 2023:: l</v>
      </c>
      <c r="O248" s="422" t="str">
        <f t="shared" si="43"/>
        <v>Gasóleo</v>
      </c>
      <c r="P248" s="422">
        <f t="shared" si="44"/>
        <v>0</v>
      </c>
      <c r="Q248" s="227" t="s">
        <v>3499</v>
      </c>
      <c r="R248" s="227" t="s">
        <v>3500</v>
      </c>
      <c r="S248" s="422" t="s">
        <v>42</v>
      </c>
    </row>
    <row r="249" spans="1:19" ht="15.75" thickBot="1" x14ac:dyDescent="0.3">
      <c r="A249" t="s">
        <v>3477</v>
      </c>
      <c r="B249" t="s">
        <v>3477</v>
      </c>
      <c r="C249" s="424" t="str">
        <f t="shared" si="45"/>
        <v>X</v>
      </c>
      <c r="D249" s="425" t="s">
        <v>1527</v>
      </c>
      <c r="E249" s="425" t="s">
        <v>1858</v>
      </c>
      <c r="G249" s="89">
        <v>0</v>
      </c>
      <c r="H249" t="s">
        <v>630</v>
      </c>
      <c r="I249" s="123" t="s">
        <v>1861</v>
      </c>
      <c r="J249" t="s">
        <v>620</v>
      </c>
      <c r="K249" s="422" t="s">
        <v>1877</v>
      </c>
      <c r="L249" s="227">
        <v>2023</v>
      </c>
      <c r="M249" s="422">
        <v>2023</v>
      </c>
      <c r="N249" s="422" t="str">
        <f t="shared" si="42"/>
        <v>DEFRA: Gasóleo: WTT: 2023:: l</v>
      </c>
      <c r="O249" s="422" t="str">
        <f t="shared" si="43"/>
        <v>Gasóleo</v>
      </c>
      <c r="P249" s="422">
        <f t="shared" si="44"/>
        <v>0</v>
      </c>
      <c r="Q249" s="227" t="s">
        <v>3499</v>
      </c>
      <c r="R249" s="227" t="s">
        <v>3500</v>
      </c>
      <c r="S249" s="422" t="s">
        <v>42</v>
      </c>
    </row>
    <row r="250" spans="1:19" ht="15.75" thickBot="1" x14ac:dyDescent="0.3">
      <c r="A250" t="s">
        <v>3477</v>
      </c>
      <c r="B250" t="s">
        <v>3477</v>
      </c>
      <c r="C250" s="424" t="str">
        <f t="shared" si="45"/>
        <v>X</v>
      </c>
      <c r="D250" s="425" t="s">
        <v>1527</v>
      </c>
      <c r="E250" s="425" t="s">
        <v>1858</v>
      </c>
      <c r="G250" s="89">
        <v>0</v>
      </c>
      <c r="H250" t="s">
        <v>630</v>
      </c>
      <c r="I250" s="123" t="s">
        <v>1861</v>
      </c>
      <c r="J250" t="s">
        <v>1933</v>
      </c>
      <c r="K250" s="422" t="s">
        <v>1877</v>
      </c>
      <c r="L250" s="227">
        <v>2023</v>
      </c>
      <c r="M250" s="422">
        <v>2023</v>
      </c>
      <c r="N250" s="422" t="str">
        <f t="shared" si="42"/>
        <v>DEFRA: Gasolina: WTT: 2023:: l</v>
      </c>
      <c r="O250" s="422" t="str">
        <f t="shared" si="43"/>
        <v>Gasolina</v>
      </c>
      <c r="P250" s="422">
        <f t="shared" si="44"/>
        <v>0</v>
      </c>
      <c r="Q250" s="227" t="s">
        <v>3499</v>
      </c>
      <c r="R250" s="227" t="s">
        <v>3500</v>
      </c>
      <c r="S250" s="422" t="s">
        <v>42</v>
      </c>
    </row>
    <row r="251" spans="1:19" ht="15.75" thickBot="1" x14ac:dyDescent="0.3">
      <c r="A251" t="s">
        <v>4605</v>
      </c>
      <c r="B251" t="s">
        <v>4605</v>
      </c>
      <c r="C251" s="424" t="str">
        <f t="shared" si="45"/>
        <v>X</v>
      </c>
      <c r="D251" s="425" t="s">
        <v>1527</v>
      </c>
      <c r="E251" s="425" t="s">
        <v>1858</v>
      </c>
      <c r="G251" s="89">
        <v>0</v>
      </c>
      <c r="H251" t="s">
        <v>630</v>
      </c>
      <c r="I251" s="123" t="s">
        <v>1861</v>
      </c>
      <c r="J251" t="s">
        <v>620</v>
      </c>
      <c r="K251" s="422" t="s">
        <v>1877</v>
      </c>
      <c r="L251" s="227">
        <v>2023</v>
      </c>
      <c r="M251" s="422">
        <v>2023</v>
      </c>
      <c r="N251" s="422" t="str">
        <f t="shared" si="42"/>
        <v>DEFRA: Gasóleo: WTT: 2023:: l</v>
      </c>
      <c r="O251" s="422" t="str">
        <f t="shared" si="43"/>
        <v>Gasóleo</v>
      </c>
      <c r="P251" s="422">
        <f t="shared" si="44"/>
        <v>0</v>
      </c>
      <c r="Q251" s="227" t="s">
        <v>3499</v>
      </c>
      <c r="R251" s="227" t="s">
        <v>3500</v>
      </c>
      <c r="S251" s="422" t="s">
        <v>42</v>
      </c>
    </row>
    <row r="252" spans="1:19" ht="15.75" thickBot="1" x14ac:dyDescent="0.3">
      <c r="A252" t="s">
        <v>4605</v>
      </c>
      <c r="B252" t="s">
        <v>4605</v>
      </c>
      <c r="C252" s="424" t="str">
        <f t="shared" si="45"/>
        <v>X</v>
      </c>
      <c r="D252" s="425" t="s">
        <v>1527</v>
      </c>
      <c r="E252" s="425" t="s">
        <v>1858</v>
      </c>
      <c r="G252" s="89">
        <v>0</v>
      </c>
      <c r="H252" t="s">
        <v>630</v>
      </c>
      <c r="I252" s="123" t="s">
        <v>1861</v>
      </c>
      <c r="J252" t="s">
        <v>1933</v>
      </c>
      <c r="K252" s="422" t="s">
        <v>1877</v>
      </c>
      <c r="L252" s="227">
        <v>2023</v>
      </c>
      <c r="M252" s="422">
        <v>2023</v>
      </c>
      <c r="N252" s="422" t="str">
        <f t="shared" si="42"/>
        <v>DEFRA: Gasolina: WTT: 2023:: l</v>
      </c>
      <c r="O252" s="422" t="str">
        <f t="shared" si="43"/>
        <v>Gasolina</v>
      </c>
      <c r="P252" s="422">
        <f t="shared" si="44"/>
        <v>0</v>
      </c>
      <c r="Q252" s="227" t="s">
        <v>3499</v>
      </c>
      <c r="R252" s="227" t="s">
        <v>3500</v>
      </c>
      <c r="S252" s="422" t="s">
        <v>42</v>
      </c>
    </row>
    <row r="253" spans="1:19" ht="15.75" thickBot="1" x14ac:dyDescent="0.3">
      <c r="A253" t="s">
        <v>4604</v>
      </c>
      <c r="B253" t="s">
        <v>4604</v>
      </c>
      <c r="C253" s="424" t="str">
        <f t="shared" si="45"/>
        <v>X</v>
      </c>
      <c r="D253" s="425" t="s">
        <v>1527</v>
      </c>
      <c r="E253" s="425" t="s">
        <v>1858</v>
      </c>
      <c r="G253" s="89">
        <v>0</v>
      </c>
      <c r="H253" t="s">
        <v>630</v>
      </c>
      <c r="I253" s="123" t="s">
        <v>1861</v>
      </c>
      <c r="J253" t="s">
        <v>1933</v>
      </c>
      <c r="K253" s="422" t="s">
        <v>1877</v>
      </c>
      <c r="L253" s="227">
        <v>2023</v>
      </c>
      <c r="M253" s="422">
        <v>2023</v>
      </c>
      <c r="N253" s="422" t="str">
        <f t="shared" si="42"/>
        <v>DEFRA: Gasolina: WTT: 2023:: l</v>
      </c>
      <c r="O253" s="422" t="str">
        <f t="shared" si="43"/>
        <v>Gasolina</v>
      </c>
      <c r="P253" s="422">
        <f t="shared" si="44"/>
        <v>0</v>
      </c>
      <c r="Q253" s="227" t="s">
        <v>3499</v>
      </c>
      <c r="R253" s="227" t="s">
        <v>3500</v>
      </c>
      <c r="S253" s="422" t="s">
        <v>42</v>
      </c>
    </row>
    <row r="254" spans="1:19" ht="15.75" thickBot="1" x14ac:dyDescent="0.3">
      <c r="A254" t="s">
        <v>4603</v>
      </c>
      <c r="B254" t="s">
        <v>4603</v>
      </c>
      <c r="C254" s="424" t="str">
        <f t="shared" si="45"/>
        <v>X</v>
      </c>
      <c r="D254" s="425" t="s">
        <v>1527</v>
      </c>
      <c r="E254" s="425" t="s">
        <v>1858</v>
      </c>
      <c r="G254" s="89">
        <v>0</v>
      </c>
      <c r="H254" t="s">
        <v>630</v>
      </c>
      <c r="I254" s="123" t="s">
        <v>1861</v>
      </c>
      <c r="J254" t="s">
        <v>1933</v>
      </c>
      <c r="K254" s="422" t="s">
        <v>1877</v>
      </c>
      <c r="L254" s="227">
        <v>2023</v>
      </c>
      <c r="M254" s="422">
        <v>2023</v>
      </c>
      <c r="N254" s="422" t="str">
        <f t="shared" si="42"/>
        <v>DEFRA: Gasolina: WTT: 2023:: l</v>
      </c>
      <c r="O254" s="422" t="str">
        <f t="shared" si="43"/>
        <v>Gasolina</v>
      </c>
      <c r="P254" s="422">
        <f t="shared" si="44"/>
        <v>0</v>
      </c>
      <c r="Q254" s="227" t="s">
        <v>3499</v>
      </c>
      <c r="R254" s="227" t="s">
        <v>3500</v>
      </c>
      <c r="S254" s="422" t="s">
        <v>42</v>
      </c>
    </row>
    <row r="255" spans="1:19" ht="15.75" thickBot="1" x14ac:dyDescent="0.3">
      <c r="A255" t="s">
        <v>4603</v>
      </c>
      <c r="B255" t="s">
        <v>4603</v>
      </c>
      <c r="C255" s="424" t="str">
        <f t="shared" si="45"/>
        <v>X</v>
      </c>
      <c r="D255" s="425" t="s">
        <v>1527</v>
      </c>
      <c r="E255" s="425" t="s">
        <v>1858</v>
      </c>
      <c r="G255" s="89">
        <v>0</v>
      </c>
      <c r="H255" t="s">
        <v>630</v>
      </c>
      <c r="I255" s="123" t="s">
        <v>1861</v>
      </c>
      <c r="J255" t="s">
        <v>620</v>
      </c>
      <c r="K255" s="422" t="s">
        <v>1877</v>
      </c>
      <c r="L255" s="227">
        <v>2023</v>
      </c>
      <c r="M255" s="422">
        <v>2023</v>
      </c>
      <c r="N255" s="422" t="str">
        <f t="shared" si="42"/>
        <v>DEFRA: Gasóleo: WTT: 2023:: l</v>
      </c>
      <c r="O255" s="422" t="str">
        <f t="shared" si="43"/>
        <v>Gasóleo</v>
      </c>
      <c r="P255" s="422">
        <f t="shared" si="44"/>
        <v>0</v>
      </c>
      <c r="Q255" s="227" t="s">
        <v>3499</v>
      </c>
      <c r="R255" s="227" t="s">
        <v>3500</v>
      </c>
      <c r="S255" s="422" t="s">
        <v>42</v>
      </c>
    </row>
    <row r="256" spans="1:19" ht="15.75" thickBot="1" x14ac:dyDescent="0.3">
      <c r="A256" t="s">
        <v>2825</v>
      </c>
      <c r="B256" t="s">
        <v>2825</v>
      </c>
      <c r="C256" s="424" t="str">
        <f t="shared" si="45"/>
        <v>X</v>
      </c>
      <c r="D256" s="425" t="s">
        <v>1527</v>
      </c>
      <c r="E256" s="425" t="s">
        <v>1858</v>
      </c>
      <c r="G256" s="89">
        <v>0</v>
      </c>
      <c r="H256" t="s">
        <v>630</v>
      </c>
      <c r="I256" s="123" t="s">
        <v>1861</v>
      </c>
      <c r="J256" t="s">
        <v>620</v>
      </c>
      <c r="K256" s="422" t="s">
        <v>1877</v>
      </c>
      <c r="L256" s="227">
        <v>2023</v>
      </c>
      <c r="M256" s="422">
        <v>2023</v>
      </c>
      <c r="N256" s="422" t="str">
        <f t="shared" si="42"/>
        <v>DEFRA: Gasóleo: WTT: 2023:: l</v>
      </c>
      <c r="O256" s="422" t="str">
        <f t="shared" si="43"/>
        <v>Gasóleo</v>
      </c>
      <c r="P256" s="422">
        <f t="shared" si="44"/>
        <v>0</v>
      </c>
      <c r="Q256" s="227" t="s">
        <v>3499</v>
      </c>
      <c r="R256" s="227" t="s">
        <v>3500</v>
      </c>
      <c r="S256" s="422" t="s">
        <v>42</v>
      </c>
    </row>
    <row r="257" spans="1:19" ht="15.75" thickBot="1" x14ac:dyDescent="0.3">
      <c r="A257" t="s">
        <v>2825</v>
      </c>
      <c r="B257" t="s">
        <v>2825</v>
      </c>
      <c r="C257" s="424" t="str">
        <f t="shared" si="45"/>
        <v>X</v>
      </c>
      <c r="D257" s="425" t="s">
        <v>1527</v>
      </c>
      <c r="E257" s="425" t="s">
        <v>1858</v>
      </c>
      <c r="G257" s="89">
        <v>0</v>
      </c>
      <c r="H257" t="s">
        <v>630</v>
      </c>
      <c r="I257" s="123" t="s">
        <v>1861</v>
      </c>
      <c r="J257" t="s">
        <v>1933</v>
      </c>
      <c r="K257" s="422" t="s">
        <v>1877</v>
      </c>
      <c r="L257" s="227">
        <v>2023</v>
      </c>
      <c r="M257" s="422">
        <v>2023</v>
      </c>
      <c r="N257" s="422" t="str">
        <f t="shared" si="42"/>
        <v>DEFRA: Gasolina: WTT: 2023:: l</v>
      </c>
      <c r="O257" s="422" t="str">
        <f t="shared" si="43"/>
        <v>Gasolina</v>
      </c>
      <c r="P257" s="422">
        <f t="shared" si="44"/>
        <v>0</v>
      </c>
      <c r="Q257" s="227" t="s">
        <v>3499</v>
      </c>
      <c r="R257" s="227" t="s">
        <v>3500</v>
      </c>
      <c r="S257" s="422" t="s">
        <v>42</v>
      </c>
    </row>
    <row r="258" spans="1:19" ht="15.75" thickBot="1" x14ac:dyDescent="0.3">
      <c r="A258" t="s">
        <v>4597</v>
      </c>
      <c r="B258" t="s">
        <v>4645</v>
      </c>
      <c r="C258" s="424" t="str">
        <f t="shared" si="45"/>
        <v>X</v>
      </c>
      <c r="D258" s="425" t="s">
        <v>1527</v>
      </c>
      <c r="E258" s="425" t="s">
        <v>1858</v>
      </c>
      <c r="G258" s="89">
        <v>0</v>
      </c>
      <c r="H258" t="s">
        <v>630</v>
      </c>
      <c r="I258" s="123" t="s">
        <v>1861</v>
      </c>
      <c r="J258" t="s">
        <v>620</v>
      </c>
      <c r="K258" s="422" t="s">
        <v>1877</v>
      </c>
      <c r="L258" s="227">
        <v>2023</v>
      </c>
      <c r="M258" s="422">
        <v>2023</v>
      </c>
      <c r="N258" s="422" t="str">
        <f t="shared" si="42"/>
        <v>DEFRA: Gasóleo: WTT: 2023:: l</v>
      </c>
      <c r="O258" s="422" t="str">
        <f t="shared" si="43"/>
        <v>Gasóleo</v>
      </c>
      <c r="P258" s="422">
        <f t="shared" si="44"/>
        <v>0</v>
      </c>
      <c r="Q258" s="227" t="s">
        <v>3499</v>
      </c>
      <c r="R258" s="227" t="s">
        <v>3500</v>
      </c>
      <c r="S258" s="422" t="s">
        <v>42</v>
      </c>
    </row>
    <row r="259" spans="1:19" ht="15.75" thickBot="1" x14ac:dyDescent="0.3">
      <c r="A259" t="s">
        <v>4822</v>
      </c>
      <c r="B259" t="s">
        <v>4822</v>
      </c>
      <c r="C259" s="424" t="str">
        <f t="shared" si="45"/>
        <v>X</v>
      </c>
      <c r="D259" s="425" t="s">
        <v>1527</v>
      </c>
      <c r="E259" s="425" t="s">
        <v>1858</v>
      </c>
      <c r="G259" s="89">
        <v>0</v>
      </c>
      <c r="H259" t="s">
        <v>630</v>
      </c>
      <c r="I259" s="123" t="s">
        <v>1861</v>
      </c>
      <c r="J259" t="s">
        <v>1933</v>
      </c>
      <c r="K259" s="422" t="s">
        <v>1877</v>
      </c>
      <c r="L259" s="227">
        <v>2023</v>
      </c>
      <c r="M259" s="422">
        <v>2023</v>
      </c>
      <c r="N259" s="422" t="str">
        <f t="shared" si="42"/>
        <v>DEFRA: Gasolina: WTT: 2023:: l</v>
      </c>
      <c r="O259" s="422" t="str">
        <f t="shared" si="43"/>
        <v>Gasolina</v>
      </c>
      <c r="P259" s="422">
        <f t="shared" si="44"/>
        <v>0</v>
      </c>
      <c r="Q259" s="227" t="s">
        <v>3499</v>
      </c>
      <c r="R259" s="227" t="s">
        <v>3500</v>
      </c>
      <c r="S259" s="422" t="s">
        <v>42</v>
      </c>
    </row>
    <row r="260" spans="1:19" ht="15.75" thickBot="1" x14ac:dyDescent="0.3">
      <c r="A260" t="s">
        <v>4822</v>
      </c>
      <c r="B260" t="s">
        <v>4822</v>
      </c>
      <c r="C260" s="424" t="str">
        <f t="shared" si="45"/>
        <v>X</v>
      </c>
      <c r="D260" s="425" t="s">
        <v>1527</v>
      </c>
      <c r="E260" s="425" t="s">
        <v>1858</v>
      </c>
      <c r="G260" s="89">
        <v>0</v>
      </c>
      <c r="H260" t="s">
        <v>630</v>
      </c>
      <c r="I260" s="123" t="s">
        <v>1861</v>
      </c>
      <c r="J260" t="s">
        <v>620</v>
      </c>
      <c r="K260" s="422" t="s">
        <v>1877</v>
      </c>
      <c r="L260" s="227">
        <v>2023</v>
      </c>
      <c r="M260" s="422">
        <v>2023</v>
      </c>
      <c r="N260" s="422" t="str">
        <f t="shared" si="42"/>
        <v>DEFRA: Gasóleo: WTT: 2023:: l</v>
      </c>
      <c r="O260" s="422" t="str">
        <f t="shared" si="43"/>
        <v>Gasóleo</v>
      </c>
      <c r="P260" s="422">
        <f t="shared" si="44"/>
        <v>0</v>
      </c>
      <c r="Q260" s="227" t="s">
        <v>3499</v>
      </c>
      <c r="R260" s="227" t="s">
        <v>3500</v>
      </c>
      <c r="S260" s="422" t="s">
        <v>42</v>
      </c>
    </row>
    <row r="261" spans="1:19" ht="15.75" thickBot="1" x14ac:dyDescent="0.3">
      <c r="A261" t="s">
        <v>4668</v>
      </c>
      <c r="B261" t="s">
        <v>4668</v>
      </c>
      <c r="C261" s="424" t="str">
        <f t="shared" si="45"/>
        <v>X</v>
      </c>
      <c r="D261" s="425" t="s">
        <v>1527</v>
      </c>
      <c r="E261" s="425" t="s">
        <v>1858</v>
      </c>
      <c r="G261" s="89">
        <v>24160.1</v>
      </c>
      <c r="H261" t="s">
        <v>630</v>
      </c>
      <c r="I261" s="123" t="s">
        <v>1861</v>
      </c>
      <c r="J261" t="s">
        <v>620</v>
      </c>
      <c r="K261" s="422" t="s">
        <v>1877</v>
      </c>
      <c r="L261" s="227">
        <v>2023</v>
      </c>
      <c r="M261" s="422">
        <v>2023</v>
      </c>
      <c r="N261" s="422" t="str">
        <f t="shared" si="42"/>
        <v>DEFRA: Gasóleo: WTT: 2023:: l</v>
      </c>
      <c r="O261" s="422" t="str">
        <f t="shared" si="43"/>
        <v>Gasóleo</v>
      </c>
      <c r="P261" s="422">
        <f t="shared" si="44"/>
        <v>0</v>
      </c>
      <c r="Q261" s="227" t="s">
        <v>3499</v>
      </c>
      <c r="R261" s="227" t="s">
        <v>3500</v>
      </c>
      <c r="S261" s="422" t="s">
        <v>42</v>
      </c>
    </row>
    <row r="262" spans="1:19" ht="15.75" thickBot="1" x14ac:dyDescent="0.3">
      <c r="A262" t="s">
        <v>4668</v>
      </c>
      <c r="B262" t="s">
        <v>4668</v>
      </c>
      <c r="C262" s="424" t="str">
        <f t="shared" si="45"/>
        <v>X</v>
      </c>
      <c r="D262" s="425" t="s">
        <v>1527</v>
      </c>
      <c r="E262" s="425" t="s">
        <v>1858</v>
      </c>
      <c r="G262" s="89">
        <v>2043.84</v>
      </c>
      <c r="H262" t="s">
        <v>630</v>
      </c>
      <c r="I262" s="123" t="s">
        <v>1861</v>
      </c>
      <c r="J262" t="s">
        <v>1933</v>
      </c>
      <c r="K262" s="422" t="s">
        <v>1877</v>
      </c>
      <c r="L262" s="227">
        <v>2023</v>
      </c>
      <c r="M262" s="422">
        <v>2023</v>
      </c>
      <c r="N262" s="422" t="str">
        <f t="shared" si="42"/>
        <v>DEFRA: Gasolina: WTT: 2023:: l</v>
      </c>
      <c r="O262" s="422" t="str">
        <f t="shared" si="43"/>
        <v>Gasolina</v>
      </c>
      <c r="P262" s="422">
        <f t="shared" si="44"/>
        <v>0</v>
      </c>
      <c r="Q262" s="227" t="s">
        <v>3499</v>
      </c>
      <c r="R262" s="227" t="s">
        <v>3500</v>
      </c>
      <c r="S262" s="422" t="s">
        <v>42</v>
      </c>
    </row>
    <row r="263" spans="1:19" ht="15.75" thickBot="1" x14ac:dyDescent="0.3">
      <c r="A263" t="s">
        <v>4602</v>
      </c>
      <c r="B263" t="s">
        <v>4602</v>
      </c>
      <c r="C263" s="424" t="str">
        <f t="shared" si="45"/>
        <v>X</v>
      </c>
      <c r="D263" s="425" t="s">
        <v>1527</v>
      </c>
      <c r="E263" s="425" t="s">
        <v>1858</v>
      </c>
      <c r="G263" s="89">
        <v>30191.272000000004</v>
      </c>
      <c r="H263" t="s">
        <v>630</v>
      </c>
      <c r="I263" s="123" t="s">
        <v>1861</v>
      </c>
      <c r="J263" t="s">
        <v>620</v>
      </c>
      <c r="K263" s="422" t="s">
        <v>1877</v>
      </c>
      <c r="L263" s="227">
        <v>2023</v>
      </c>
      <c r="M263" s="422">
        <v>2023</v>
      </c>
      <c r="N263" s="422" t="str">
        <f t="shared" si="42"/>
        <v>DEFRA: Gasóleo: WTT: 2023:: l</v>
      </c>
      <c r="O263" s="422" t="str">
        <f t="shared" si="43"/>
        <v>Gasóleo</v>
      </c>
      <c r="P263" s="422">
        <f t="shared" si="44"/>
        <v>0</v>
      </c>
      <c r="Q263" s="227" t="s">
        <v>3499</v>
      </c>
      <c r="R263" s="227" t="s">
        <v>3500</v>
      </c>
      <c r="S263" s="422" t="s">
        <v>42</v>
      </c>
    </row>
    <row r="264" spans="1:19" ht="15.75" thickBot="1" x14ac:dyDescent="0.3">
      <c r="A264" t="s">
        <v>4581</v>
      </c>
      <c r="B264" t="s">
        <v>4581</v>
      </c>
      <c r="C264" s="424" t="str">
        <f t="shared" si="45"/>
        <v>X</v>
      </c>
      <c r="D264" s="425" t="s">
        <v>1527</v>
      </c>
      <c r="E264" s="425" t="s">
        <v>1858</v>
      </c>
      <c r="G264" s="89">
        <v>2071.88</v>
      </c>
      <c r="H264" t="s">
        <v>630</v>
      </c>
      <c r="I264" s="123" t="s">
        <v>1861</v>
      </c>
      <c r="J264" t="s">
        <v>620</v>
      </c>
      <c r="K264" s="422" t="s">
        <v>1877</v>
      </c>
      <c r="L264" s="227">
        <v>2023</v>
      </c>
      <c r="M264" s="422">
        <v>2023</v>
      </c>
      <c r="N264" s="422" t="str">
        <f t="shared" si="42"/>
        <v>DEFRA: Gasóleo: WTT: 2023:: l</v>
      </c>
      <c r="O264" s="422" t="str">
        <f t="shared" si="43"/>
        <v>Gasóleo</v>
      </c>
      <c r="P264" s="422">
        <f t="shared" si="44"/>
        <v>0</v>
      </c>
      <c r="Q264" s="227" t="s">
        <v>3499</v>
      </c>
      <c r="R264" s="227" t="s">
        <v>3500</v>
      </c>
      <c r="S264" s="422" t="s">
        <v>42</v>
      </c>
    </row>
    <row r="265" spans="1:19" ht="15.75" thickBot="1" x14ac:dyDescent="0.3">
      <c r="A265" t="s">
        <v>4673</v>
      </c>
      <c r="B265" t="s">
        <v>4673</v>
      </c>
      <c r="C265" s="424" t="str">
        <f t="shared" si="45"/>
        <v>X</v>
      </c>
      <c r="D265" s="425" t="s">
        <v>1527</v>
      </c>
      <c r="E265" s="425" t="s">
        <v>1858</v>
      </c>
      <c r="G265" s="89">
        <v>3397.7</v>
      </c>
      <c r="H265" t="s">
        <v>630</v>
      </c>
      <c r="I265" s="123" t="s">
        <v>1861</v>
      </c>
      <c r="J265" t="s">
        <v>620</v>
      </c>
      <c r="K265" s="422" t="s">
        <v>1877</v>
      </c>
      <c r="L265" s="227">
        <v>2023</v>
      </c>
      <c r="M265" s="422">
        <v>2023</v>
      </c>
      <c r="N265" s="422" t="str">
        <f t="shared" si="42"/>
        <v>DEFRA: Gasóleo: WTT: 2023:: l</v>
      </c>
      <c r="O265" s="422" t="str">
        <f t="shared" si="43"/>
        <v>Gasóleo</v>
      </c>
      <c r="P265" s="422">
        <f t="shared" si="44"/>
        <v>0</v>
      </c>
      <c r="Q265" s="227" t="s">
        <v>3499</v>
      </c>
      <c r="R265" s="227" t="s">
        <v>3500</v>
      </c>
      <c r="S265" s="422" t="s">
        <v>42</v>
      </c>
    </row>
    <row r="266" spans="1:19" ht="15.75" thickBot="1" x14ac:dyDescent="0.3">
      <c r="A266" t="s">
        <v>4601</v>
      </c>
      <c r="B266" t="s">
        <v>4601</v>
      </c>
      <c r="C266" s="424" t="str">
        <f t="shared" si="45"/>
        <v>X</v>
      </c>
      <c r="D266" s="425" t="s">
        <v>1527</v>
      </c>
      <c r="E266" s="425" t="s">
        <v>1858</v>
      </c>
      <c r="G266" s="89">
        <v>1372.77</v>
      </c>
      <c r="H266" t="s">
        <v>630</v>
      </c>
      <c r="I266" s="123" t="s">
        <v>1861</v>
      </c>
      <c r="J266" t="s">
        <v>620</v>
      </c>
      <c r="K266" s="422" t="s">
        <v>1877</v>
      </c>
      <c r="L266" s="227">
        <v>2023</v>
      </c>
      <c r="M266" s="422">
        <v>2023</v>
      </c>
      <c r="N266" s="422" t="str">
        <f t="shared" si="42"/>
        <v>DEFRA: Gasóleo: WTT: 2023:: l</v>
      </c>
      <c r="O266" s="422" t="str">
        <f t="shared" si="43"/>
        <v>Gasóleo</v>
      </c>
      <c r="P266" s="422">
        <f t="shared" si="44"/>
        <v>0</v>
      </c>
      <c r="Q266" s="227" t="s">
        <v>3499</v>
      </c>
      <c r="R266" s="227" t="s">
        <v>3500</v>
      </c>
      <c r="S266" s="422" t="s">
        <v>42</v>
      </c>
    </row>
    <row r="267" spans="1:19" ht="15.75" thickBot="1" x14ac:dyDescent="0.3">
      <c r="A267" t="s">
        <v>4600</v>
      </c>
      <c r="B267" t="s">
        <v>4600</v>
      </c>
      <c r="C267" s="424" t="str">
        <f t="shared" si="45"/>
        <v>X</v>
      </c>
      <c r="D267" s="425" t="s">
        <v>1527</v>
      </c>
      <c r="E267" s="425" t="s">
        <v>1858</v>
      </c>
      <c r="G267" s="89">
        <v>1813.3439999999998</v>
      </c>
      <c r="H267" t="s">
        <v>630</v>
      </c>
      <c r="I267" s="123" t="s">
        <v>1861</v>
      </c>
      <c r="J267" t="s">
        <v>620</v>
      </c>
      <c r="K267" s="422" t="s">
        <v>1877</v>
      </c>
      <c r="L267" s="227">
        <v>2023</v>
      </c>
      <c r="M267" s="422">
        <v>2023</v>
      </c>
      <c r="N267" s="422" t="str">
        <f t="shared" si="42"/>
        <v>DEFRA: Gasóleo: WTT: 2023:: l</v>
      </c>
      <c r="O267" s="422" t="str">
        <f t="shared" si="43"/>
        <v>Gasóleo</v>
      </c>
      <c r="P267" s="422">
        <f t="shared" si="44"/>
        <v>0</v>
      </c>
      <c r="Q267" s="227" t="s">
        <v>3499</v>
      </c>
      <c r="R267" s="227" t="s">
        <v>3500</v>
      </c>
      <c r="S267" s="422" t="s">
        <v>42</v>
      </c>
    </row>
    <row r="268" spans="1:19" ht="15.75" thickBot="1" x14ac:dyDescent="0.3">
      <c r="A268" t="s">
        <v>4580</v>
      </c>
      <c r="B268" t="s">
        <v>4580</v>
      </c>
      <c r="C268" s="424" t="str">
        <f t="shared" si="45"/>
        <v>X</v>
      </c>
      <c r="D268" s="425" t="s">
        <v>1527</v>
      </c>
      <c r="E268" s="425" t="s">
        <v>1858</v>
      </c>
      <c r="G268" s="89">
        <v>530.92999999999995</v>
      </c>
      <c r="H268" t="s">
        <v>630</v>
      </c>
      <c r="I268" s="123" t="s">
        <v>1861</v>
      </c>
      <c r="J268" t="s">
        <v>620</v>
      </c>
      <c r="K268" s="422" t="s">
        <v>1877</v>
      </c>
      <c r="L268" s="227">
        <v>2023</v>
      </c>
      <c r="M268" s="422">
        <v>2023</v>
      </c>
      <c r="N268" s="422" t="str">
        <f t="shared" si="42"/>
        <v>DEFRA: Gasóleo: WTT: 2023:: l</v>
      </c>
      <c r="O268" s="422" t="str">
        <f t="shared" si="43"/>
        <v>Gasóleo</v>
      </c>
      <c r="P268" s="422">
        <f t="shared" si="44"/>
        <v>0</v>
      </c>
      <c r="Q268" s="227" t="s">
        <v>3499</v>
      </c>
      <c r="R268" s="227" t="s">
        <v>3500</v>
      </c>
      <c r="S268" s="422" t="s">
        <v>42</v>
      </c>
    </row>
    <row r="269" spans="1:19" ht="15.75" thickBot="1" x14ac:dyDescent="0.3">
      <c r="A269" t="s">
        <v>3471</v>
      </c>
      <c r="B269" t="s">
        <v>45</v>
      </c>
      <c r="C269" s="424" t="str">
        <f t="shared" si="45"/>
        <v>Estremadura</v>
      </c>
      <c r="D269" s="425" t="s">
        <v>1527</v>
      </c>
      <c r="E269" s="425" t="s">
        <v>1858</v>
      </c>
      <c r="G269" s="89">
        <v>2362.6019999999999</v>
      </c>
      <c r="H269" t="s">
        <v>630</v>
      </c>
      <c r="I269" s="123" t="s">
        <v>1861</v>
      </c>
      <c r="J269" t="s">
        <v>620</v>
      </c>
      <c r="K269" s="422" t="s">
        <v>1877</v>
      </c>
      <c r="L269" s="227">
        <v>2023</v>
      </c>
      <c r="M269" s="422">
        <v>2023</v>
      </c>
      <c r="N269" s="422" t="str">
        <f t="shared" si="42"/>
        <v>DEFRA: Gasóleo: WTT: 2023:: l</v>
      </c>
      <c r="O269" s="422" t="str">
        <f t="shared" si="43"/>
        <v>Gasóleo</v>
      </c>
      <c r="P269" s="422">
        <f t="shared" si="44"/>
        <v>0</v>
      </c>
      <c r="Q269" s="227" t="s">
        <v>3499</v>
      </c>
      <c r="R269" s="227" t="s">
        <v>3500</v>
      </c>
      <c r="S269" s="422" t="s">
        <v>42</v>
      </c>
    </row>
    <row r="270" spans="1:19" ht="15.75" thickBot="1" x14ac:dyDescent="0.3">
      <c r="A270" t="s">
        <v>3474</v>
      </c>
      <c r="B270" t="s">
        <v>45</v>
      </c>
      <c r="C270" s="424" t="str">
        <f t="shared" si="45"/>
        <v>Boa Viagem</v>
      </c>
      <c r="D270" s="425" t="s">
        <v>1527</v>
      </c>
      <c r="E270" s="425" t="s">
        <v>1858</v>
      </c>
      <c r="G270" s="89">
        <v>3822.52</v>
      </c>
      <c r="H270" t="s">
        <v>630</v>
      </c>
      <c r="I270" s="123" t="s">
        <v>1861</v>
      </c>
      <c r="J270" t="s">
        <v>620</v>
      </c>
      <c r="K270" s="422" t="s">
        <v>1877</v>
      </c>
      <c r="L270" s="227">
        <v>2023</v>
      </c>
      <c r="M270" s="422">
        <v>2023</v>
      </c>
      <c r="N270" s="422" t="str">
        <f t="shared" si="42"/>
        <v>DEFRA: Gasóleo: WTT: 2023:: l</v>
      </c>
      <c r="O270" s="422" t="str">
        <f t="shared" si="43"/>
        <v>Gasóleo</v>
      </c>
      <c r="P270" s="422">
        <f t="shared" si="44"/>
        <v>0</v>
      </c>
      <c r="Q270" s="227" t="s">
        <v>3499</v>
      </c>
      <c r="R270" s="227" t="s">
        <v>3500</v>
      </c>
      <c r="S270" s="422" t="s">
        <v>42</v>
      </c>
    </row>
    <row r="271" spans="1:19" ht="15.75" thickBot="1" x14ac:dyDescent="0.3">
      <c r="A271" t="s">
        <v>3479</v>
      </c>
      <c r="B271" t="s">
        <v>45</v>
      </c>
      <c r="C271" s="424" t="str">
        <f t="shared" si="45"/>
        <v>Esevel</v>
      </c>
      <c r="D271" s="425" t="s">
        <v>1527</v>
      </c>
      <c r="E271" s="425" t="s">
        <v>1858</v>
      </c>
      <c r="G271" s="89">
        <v>2281.665</v>
      </c>
      <c r="H271" t="s">
        <v>630</v>
      </c>
      <c r="I271" s="123" t="s">
        <v>1861</v>
      </c>
      <c r="J271" t="s">
        <v>620</v>
      </c>
      <c r="K271" s="422" t="s">
        <v>1877</v>
      </c>
      <c r="L271" s="227">
        <v>2023</v>
      </c>
      <c r="M271" s="422">
        <v>2023</v>
      </c>
      <c r="N271" s="422" t="str">
        <f t="shared" si="42"/>
        <v>DEFRA: Gasóleo: WTT: 2023:: l</v>
      </c>
      <c r="O271" s="422" t="str">
        <f t="shared" si="43"/>
        <v>Gasóleo</v>
      </c>
      <c r="P271" s="422">
        <f t="shared" si="44"/>
        <v>0</v>
      </c>
      <c r="Q271" s="227" t="s">
        <v>3499</v>
      </c>
      <c r="R271" s="227" t="s">
        <v>3500</v>
      </c>
      <c r="S271" s="422" t="s">
        <v>42</v>
      </c>
    </row>
    <row r="272" spans="1:19" ht="15.75" thickBot="1" x14ac:dyDescent="0.3">
      <c r="A272" t="s">
        <v>3473</v>
      </c>
      <c r="B272" t="s">
        <v>45</v>
      </c>
      <c r="C272" s="424" t="str">
        <f t="shared" si="45"/>
        <v>Barraqueiro Oeste</v>
      </c>
      <c r="D272" s="425" t="s">
        <v>1527</v>
      </c>
      <c r="E272" s="425" t="s">
        <v>1858</v>
      </c>
      <c r="G272" s="89">
        <v>3443.24</v>
      </c>
      <c r="H272" t="s">
        <v>630</v>
      </c>
      <c r="I272" s="123" t="s">
        <v>1861</v>
      </c>
      <c r="J272" t="s">
        <v>620</v>
      </c>
      <c r="K272" s="422" t="s">
        <v>1877</v>
      </c>
      <c r="L272" s="227">
        <v>2023</v>
      </c>
      <c r="M272" s="422">
        <v>2023</v>
      </c>
      <c r="N272" s="422" t="str">
        <f t="shared" si="42"/>
        <v>DEFRA: Gasóleo: WTT: 2023:: l</v>
      </c>
      <c r="O272" s="422" t="str">
        <f t="shared" si="43"/>
        <v>Gasóleo</v>
      </c>
      <c r="P272" s="422">
        <f t="shared" si="44"/>
        <v>0</v>
      </c>
      <c r="Q272" s="227" t="s">
        <v>3499</v>
      </c>
      <c r="R272" s="227" t="s">
        <v>3500</v>
      </c>
      <c r="S272" s="422" t="s">
        <v>42</v>
      </c>
    </row>
    <row r="273" spans="1:19" ht="15.75" thickBot="1" x14ac:dyDescent="0.3">
      <c r="A273" t="s">
        <v>45</v>
      </c>
      <c r="B273" t="s">
        <v>45</v>
      </c>
      <c r="C273" s="424" t="str">
        <f t="shared" si="45"/>
        <v>X</v>
      </c>
      <c r="D273" s="425" t="s">
        <v>1527</v>
      </c>
      <c r="E273" s="425" t="s">
        <v>1858</v>
      </c>
      <c r="G273" s="89">
        <v>30494.697</v>
      </c>
      <c r="H273" t="s">
        <v>630</v>
      </c>
      <c r="I273" s="123" t="s">
        <v>1861</v>
      </c>
      <c r="J273" t="s">
        <v>620</v>
      </c>
      <c r="K273" s="422" t="s">
        <v>1877</v>
      </c>
      <c r="L273" s="227">
        <v>2023</v>
      </c>
      <c r="M273" s="422">
        <v>2023</v>
      </c>
      <c r="N273" s="422" t="str">
        <f t="shared" si="42"/>
        <v>DEFRA: Gasóleo: WTT: 2023:: l</v>
      </c>
      <c r="O273" s="422" t="str">
        <f t="shared" si="43"/>
        <v>Gasóleo</v>
      </c>
      <c r="P273" s="422">
        <f t="shared" si="44"/>
        <v>0</v>
      </c>
      <c r="Q273" s="227" t="s">
        <v>3499</v>
      </c>
      <c r="R273" s="227" t="s">
        <v>3500</v>
      </c>
      <c r="S273" s="422" t="s">
        <v>42</v>
      </c>
    </row>
    <row r="274" spans="1:19" ht="15.75" thickBot="1" x14ac:dyDescent="0.3">
      <c r="A274" t="s">
        <v>3478</v>
      </c>
      <c r="B274" t="s">
        <v>45</v>
      </c>
      <c r="C274" s="424" t="str">
        <f t="shared" si="45"/>
        <v>Sede</v>
      </c>
      <c r="D274" s="425" t="s">
        <v>1527</v>
      </c>
      <c r="E274" s="425" t="s">
        <v>1858</v>
      </c>
      <c r="G274" s="89">
        <v>10474.619999999999</v>
      </c>
      <c r="H274" t="s">
        <v>630</v>
      </c>
      <c r="I274" s="123" t="s">
        <v>1861</v>
      </c>
      <c r="J274" t="s">
        <v>620</v>
      </c>
      <c r="K274" s="422" t="s">
        <v>1877</v>
      </c>
      <c r="L274" s="227">
        <v>2023</v>
      </c>
      <c r="M274" s="422">
        <v>2023</v>
      </c>
      <c r="N274" s="422" t="str">
        <f t="shared" si="42"/>
        <v>DEFRA: Gasóleo: WTT: 2023:: l</v>
      </c>
      <c r="O274" s="422" t="str">
        <f t="shared" si="43"/>
        <v>Gasóleo</v>
      </c>
      <c r="P274" s="422">
        <f t="shared" si="44"/>
        <v>0</v>
      </c>
      <c r="Q274" s="227" t="s">
        <v>3499</v>
      </c>
      <c r="R274" s="227" t="s">
        <v>3500</v>
      </c>
      <c r="S274" s="422" t="s">
        <v>42</v>
      </c>
    </row>
    <row r="275" spans="1:19" ht="15.75" thickBot="1" x14ac:dyDescent="0.3">
      <c r="A275" t="s">
        <v>3471</v>
      </c>
      <c r="B275" t="s">
        <v>45</v>
      </c>
      <c r="C275" s="424" t="str">
        <f t="shared" si="45"/>
        <v>Estremadura</v>
      </c>
      <c r="D275" s="425" t="s">
        <v>1527</v>
      </c>
      <c r="E275" s="425" t="s">
        <v>1858</v>
      </c>
      <c r="G275" s="89">
        <v>3022.81</v>
      </c>
      <c r="H275" t="s">
        <v>630</v>
      </c>
      <c r="I275" s="123" t="s">
        <v>1861</v>
      </c>
      <c r="J275" t="s">
        <v>1933</v>
      </c>
      <c r="K275" s="422" t="s">
        <v>1877</v>
      </c>
      <c r="L275" s="227">
        <v>2023</v>
      </c>
      <c r="M275" s="422">
        <v>2023</v>
      </c>
      <c r="N275" s="422" t="str">
        <f t="shared" si="42"/>
        <v>DEFRA: Gasolina: WTT: 2023:: l</v>
      </c>
      <c r="O275" s="422" t="str">
        <f t="shared" si="43"/>
        <v>Gasolina</v>
      </c>
      <c r="P275" s="422">
        <f t="shared" si="44"/>
        <v>0</v>
      </c>
      <c r="Q275" s="227" t="s">
        <v>3499</v>
      </c>
      <c r="R275" s="227" t="s">
        <v>3500</v>
      </c>
      <c r="S275" s="422" t="s">
        <v>42</v>
      </c>
    </row>
    <row r="276" spans="1:19" ht="15.75" thickBot="1" x14ac:dyDescent="0.3">
      <c r="A276" t="s">
        <v>3470</v>
      </c>
      <c r="B276" t="s">
        <v>45</v>
      </c>
      <c r="C276" s="424" t="str">
        <f t="shared" si="45"/>
        <v>Mafrense</v>
      </c>
      <c r="D276" s="425" t="s">
        <v>1527</v>
      </c>
      <c r="E276" s="425" t="s">
        <v>1858</v>
      </c>
      <c r="G276" s="89">
        <v>1570.28</v>
      </c>
      <c r="H276" t="s">
        <v>630</v>
      </c>
      <c r="I276" s="123" t="s">
        <v>1861</v>
      </c>
      <c r="J276" t="s">
        <v>620</v>
      </c>
      <c r="K276" s="422" t="s">
        <v>1877</v>
      </c>
      <c r="L276" s="227">
        <v>2023</v>
      </c>
      <c r="M276" s="422">
        <v>2023</v>
      </c>
      <c r="N276" s="422" t="str">
        <f t="shared" si="42"/>
        <v>DEFRA: Gasóleo: WTT: 2023:: l</v>
      </c>
      <c r="O276" s="422" t="str">
        <f t="shared" si="43"/>
        <v>Gasóleo</v>
      </c>
      <c r="P276" s="422">
        <f t="shared" si="44"/>
        <v>0</v>
      </c>
      <c r="Q276" s="227" t="s">
        <v>3499</v>
      </c>
      <c r="R276" s="227" t="s">
        <v>3500</v>
      </c>
      <c r="S276" s="422" t="s">
        <v>42</v>
      </c>
    </row>
    <row r="277" spans="1:19" ht="15.75" thickBot="1" x14ac:dyDescent="0.3">
      <c r="A277" t="s">
        <v>3472</v>
      </c>
      <c r="B277" t="s">
        <v>45</v>
      </c>
      <c r="C277" s="424" t="str">
        <f t="shared" si="45"/>
        <v>Frota Azul</v>
      </c>
      <c r="D277" s="425" t="s">
        <v>1527</v>
      </c>
      <c r="E277" s="425" t="s">
        <v>1858</v>
      </c>
      <c r="G277" s="89">
        <v>1201.24</v>
      </c>
      <c r="H277" t="s">
        <v>630</v>
      </c>
      <c r="I277" s="123" t="s">
        <v>1861</v>
      </c>
      <c r="J277" t="s">
        <v>620</v>
      </c>
      <c r="K277" s="422" t="s">
        <v>1877</v>
      </c>
      <c r="L277" s="227">
        <v>2023</v>
      </c>
      <c r="M277" s="422">
        <v>2023</v>
      </c>
      <c r="N277" s="422" t="str">
        <f t="shared" si="42"/>
        <v>DEFRA: Gasóleo: WTT: 2023:: l</v>
      </c>
      <c r="O277" s="422" t="str">
        <f t="shared" si="43"/>
        <v>Gasóleo</v>
      </c>
      <c r="P277" s="422">
        <f t="shared" si="44"/>
        <v>0</v>
      </c>
      <c r="Q277" s="227" t="s">
        <v>3499</v>
      </c>
      <c r="R277" s="227" t="s">
        <v>3500</v>
      </c>
      <c r="S277" s="422" t="s">
        <v>42</v>
      </c>
    </row>
    <row r="278" spans="1:19" ht="15.75" thickBot="1" x14ac:dyDescent="0.3">
      <c r="A278" t="s">
        <v>3479</v>
      </c>
      <c r="B278" t="s">
        <v>45</v>
      </c>
      <c r="C278" s="424" t="str">
        <f t="shared" si="45"/>
        <v>Esevel</v>
      </c>
      <c r="D278" s="425" t="s">
        <v>1527</v>
      </c>
      <c r="E278" s="425" t="s">
        <v>1858</v>
      </c>
      <c r="G278" s="89">
        <v>2749.63</v>
      </c>
      <c r="H278" t="s">
        <v>630</v>
      </c>
      <c r="I278" s="123" t="s">
        <v>1861</v>
      </c>
      <c r="J278" t="s">
        <v>1933</v>
      </c>
      <c r="K278" s="422" t="s">
        <v>1877</v>
      </c>
      <c r="L278" s="227">
        <v>2023</v>
      </c>
      <c r="M278" s="422">
        <v>2023</v>
      </c>
      <c r="N278" s="422" t="str">
        <f t="shared" si="42"/>
        <v>DEFRA: Gasolina: WTT: 2023:: l</v>
      </c>
      <c r="O278" s="422" t="str">
        <f t="shared" si="43"/>
        <v>Gasolina</v>
      </c>
      <c r="P278" s="422">
        <f t="shared" si="44"/>
        <v>0</v>
      </c>
      <c r="Q278" s="227" t="s">
        <v>3499</v>
      </c>
      <c r="R278" s="227" t="s">
        <v>3500</v>
      </c>
      <c r="S278" s="422" t="s">
        <v>42</v>
      </c>
    </row>
    <row r="279" spans="1:19" ht="15.75" thickBot="1" x14ac:dyDescent="0.3">
      <c r="A279" t="s">
        <v>3278</v>
      </c>
      <c r="B279" t="s">
        <v>45</v>
      </c>
      <c r="C279" s="424" t="str">
        <f t="shared" si="45"/>
        <v>Barraqueiro Alugueres</v>
      </c>
      <c r="D279" s="425" t="s">
        <v>1527</v>
      </c>
      <c r="E279" s="425" t="s">
        <v>1858</v>
      </c>
      <c r="G279" s="89">
        <v>5338.5300000000007</v>
      </c>
      <c r="H279" t="s">
        <v>630</v>
      </c>
      <c r="I279" s="123" t="s">
        <v>1861</v>
      </c>
      <c r="J279" t="s">
        <v>620</v>
      </c>
      <c r="K279" s="422" t="s">
        <v>1877</v>
      </c>
      <c r="L279" s="227">
        <v>2023</v>
      </c>
      <c r="M279" s="422">
        <v>2023</v>
      </c>
      <c r="N279" s="422" t="str">
        <f t="shared" si="42"/>
        <v>DEFRA: Gasóleo: WTT: 2023:: l</v>
      </c>
      <c r="O279" s="422" t="str">
        <f t="shared" si="43"/>
        <v>Gasóleo</v>
      </c>
      <c r="P279" s="422">
        <f t="shared" si="44"/>
        <v>0</v>
      </c>
      <c r="Q279" s="227" t="s">
        <v>3499</v>
      </c>
      <c r="R279" s="227" t="s">
        <v>3500</v>
      </c>
      <c r="S279" s="422" t="s">
        <v>42</v>
      </c>
    </row>
    <row r="280" spans="1:19" ht="15.75" thickBot="1" x14ac:dyDescent="0.3">
      <c r="A280" t="s">
        <v>45</v>
      </c>
      <c r="B280" t="s">
        <v>45</v>
      </c>
      <c r="C280" s="424" t="str">
        <f t="shared" si="45"/>
        <v>X</v>
      </c>
      <c r="D280" s="425" t="s">
        <v>1527</v>
      </c>
      <c r="E280" s="425" t="s">
        <v>1858</v>
      </c>
      <c r="G280" s="89">
        <v>5772.4400000000005</v>
      </c>
      <c r="H280" t="s">
        <v>630</v>
      </c>
      <c r="I280" s="123" t="s">
        <v>1861</v>
      </c>
      <c r="J280" t="s">
        <v>1933</v>
      </c>
      <c r="K280" s="422" t="s">
        <v>1877</v>
      </c>
      <c r="L280" s="227">
        <v>2023</v>
      </c>
      <c r="M280" s="422">
        <v>2023</v>
      </c>
      <c r="N280" s="422" t="str">
        <f t="shared" si="42"/>
        <v>DEFRA: Gasolina: WTT: 2023:: l</v>
      </c>
      <c r="O280" s="422" t="str">
        <f t="shared" si="43"/>
        <v>Gasolina</v>
      </c>
      <c r="P280" s="422">
        <f t="shared" si="44"/>
        <v>0</v>
      </c>
      <c r="Q280" s="227" t="s">
        <v>3499</v>
      </c>
      <c r="R280" s="227" t="s">
        <v>3500</v>
      </c>
      <c r="S280" s="422" t="s">
        <v>42</v>
      </c>
    </row>
    <row r="281" spans="1:19" ht="15.75" thickBot="1" x14ac:dyDescent="0.3">
      <c r="A281" t="s">
        <v>45</v>
      </c>
      <c r="B281" t="s">
        <v>45</v>
      </c>
      <c r="C281" s="424" t="str">
        <f t="shared" si="45"/>
        <v>X</v>
      </c>
      <c r="D281" s="425" t="s">
        <v>1527</v>
      </c>
      <c r="E281" s="425" t="s">
        <v>1858</v>
      </c>
      <c r="G281" s="432">
        <v>735</v>
      </c>
      <c r="H281" s="429" t="s">
        <v>557</v>
      </c>
      <c r="I281" s="89" t="s">
        <v>1863</v>
      </c>
      <c r="J281" s="431" t="s">
        <v>599</v>
      </c>
      <c r="K281" s="422" t="s">
        <v>1877</v>
      </c>
      <c r="L281" s="227">
        <v>2023</v>
      </c>
      <c r="M281" s="422">
        <v>2023</v>
      </c>
      <c r="N281" s="422" t="str">
        <f t="shared" ref="N281:N283" si="46">IF(J281="Eléctrica",K281&amp;": "&amp;J281&amp;": "&amp;E281&amp;": Portugal: "&amp;M281&amp;":: "&amp;I281,K281&amp;": "&amp;J281&amp;": "&amp;E281&amp;": "&amp;M281&amp;":: "&amp;I281)</f>
        <v>DEFRA: Propano: WTT: 2023:: kg</v>
      </c>
      <c r="O281" s="422" t="str">
        <f t="shared" si="43"/>
        <v>Propano</v>
      </c>
      <c r="P281" s="422">
        <f t="shared" si="44"/>
        <v>0</v>
      </c>
      <c r="Q281" s="227" t="s">
        <v>3499</v>
      </c>
      <c r="R281" s="227" t="s">
        <v>3500</v>
      </c>
      <c r="S281" s="422" t="s">
        <v>42</v>
      </c>
    </row>
    <row r="282" spans="1:19" ht="15.75" thickBot="1" x14ac:dyDescent="0.3">
      <c r="A282" t="s">
        <v>3473</v>
      </c>
      <c r="B282" t="s">
        <v>45</v>
      </c>
      <c r="C282" s="424" t="str">
        <f t="shared" si="45"/>
        <v>Barraqueiro Oeste</v>
      </c>
      <c r="D282" s="425" t="s">
        <v>1527</v>
      </c>
      <c r="E282" s="425" t="s">
        <v>1858</v>
      </c>
      <c r="G282" s="432">
        <v>735</v>
      </c>
      <c r="H282" s="429" t="s">
        <v>557</v>
      </c>
      <c r="I282" s="428" t="s">
        <v>1863</v>
      </c>
      <c r="J282" s="431" t="s">
        <v>599</v>
      </c>
      <c r="K282" s="422" t="s">
        <v>1877</v>
      </c>
      <c r="L282" s="227">
        <v>2023</v>
      </c>
      <c r="M282" s="422">
        <v>2023</v>
      </c>
      <c r="N282" s="422" t="str">
        <f t="shared" si="46"/>
        <v>DEFRA: Propano: WTT: 2023:: kg</v>
      </c>
      <c r="O282" s="422" t="str">
        <f t="shared" si="43"/>
        <v>Propano</v>
      </c>
      <c r="P282" s="422">
        <f t="shared" si="44"/>
        <v>0</v>
      </c>
      <c r="Q282" s="227" t="s">
        <v>3499</v>
      </c>
      <c r="R282" s="227" t="s">
        <v>3500</v>
      </c>
      <c r="S282" s="422" t="s">
        <v>42</v>
      </c>
    </row>
    <row r="283" spans="1:19" ht="15.75" thickBot="1" x14ac:dyDescent="0.3">
      <c r="A283" t="s">
        <v>4591</v>
      </c>
      <c r="B283" t="s">
        <v>4591</v>
      </c>
      <c r="C283" s="424" t="str">
        <f t="shared" si="45"/>
        <v>X</v>
      </c>
      <c r="D283" s="425" t="s">
        <v>1527</v>
      </c>
      <c r="E283" s="425" t="s">
        <v>1858</v>
      </c>
      <c r="G283" s="432">
        <v>225</v>
      </c>
      <c r="H283" s="429" t="s">
        <v>557</v>
      </c>
      <c r="I283" s="428" t="s">
        <v>1863</v>
      </c>
      <c r="J283" s="431" t="s">
        <v>599</v>
      </c>
      <c r="K283" s="422" t="s">
        <v>1877</v>
      </c>
      <c r="L283" s="227">
        <v>2023</v>
      </c>
      <c r="M283" s="422">
        <v>2023</v>
      </c>
      <c r="N283" s="422" t="str">
        <f t="shared" si="46"/>
        <v>DEFRA: Propano: WTT: 2023:: kg</v>
      </c>
      <c r="O283" s="422" t="str">
        <f t="shared" si="43"/>
        <v>Propano</v>
      </c>
      <c r="P283" s="422">
        <f t="shared" si="44"/>
        <v>0</v>
      </c>
      <c r="Q283" s="227" t="s">
        <v>3499</v>
      </c>
      <c r="R283" s="227" t="s">
        <v>3500</v>
      </c>
      <c r="S283" s="422" t="s">
        <v>42</v>
      </c>
    </row>
    <row r="284" spans="1:19" ht="15.75" thickBot="1" x14ac:dyDescent="0.3">
      <c r="A284" t="s">
        <v>4615</v>
      </c>
      <c r="B284" t="s">
        <v>4615</v>
      </c>
      <c r="C284" s="424" t="str">
        <f t="shared" si="45"/>
        <v>X</v>
      </c>
      <c r="D284" s="425" t="s">
        <v>1527</v>
      </c>
      <c r="E284" s="425" t="s">
        <v>1858</v>
      </c>
      <c r="G284" s="432">
        <v>280</v>
      </c>
      <c r="H284" s="429" t="s">
        <v>630</v>
      </c>
      <c r="I284" s="123" t="s">
        <v>1861</v>
      </c>
      <c r="J284" s="431" t="s">
        <v>620</v>
      </c>
      <c r="K284" s="422" t="s">
        <v>1877</v>
      </c>
      <c r="L284" s="227">
        <v>2023</v>
      </c>
      <c r="M284" s="422">
        <v>2023</v>
      </c>
      <c r="N284" s="422" t="str">
        <f t="shared" ref="N284:N297" si="47">IF(J284="Eléctrica",K284&amp;": "&amp;J284&amp;": "&amp;E284&amp;": Portugal: "&amp;M284&amp;":: "&amp;I284,K284&amp;": "&amp;J284&amp;": "&amp;E284&amp;": "&amp;M284&amp;":: "&amp;I284)</f>
        <v>DEFRA: Gasóleo: WTT: 2023:: l</v>
      </c>
      <c r="O284" s="422" t="str">
        <f t="shared" si="43"/>
        <v>Gasóleo</v>
      </c>
      <c r="P284" s="422">
        <f t="shared" si="44"/>
        <v>0</v>
      </c>
      <c r="Q284" s="227" t="s">
        <v>3499</v>
      </c>
      <c r="R284" s="227" t="s">
        <v>3500</v>
      </c>
      <c r="S284" s="422" t="s">
        <v>42</v>
      </c>
    </row>
    <row r="285" spans="1:19" ht="15.75" thickBot="1" x14ac:dyDescent="0.3">
      <c r="A285" t="s">
        <v>4583</v>
      </c>
      <c r="B285" t="s">
        <v>4583</v>
      </c>
      <c r="C285" s="424" t="str">
        <f t="shared" si="45"/>
        <v>X</v>
      </c>
      <c r="D285" s="425" t="s">
        <v>1527</v>
      </c>
      <c r="E285" s="425" t="s">
        <v>1858</v>
      </c>
      <c r="G285" s="432">
        <v>1305.5</v>
      </c>
      <c r="H285" s="429" t="s">
        <v>557</v>
      </c>
      <c r="I285" s="428" t="s">
        <v>1863</v>
      </c>
      <c r="J285" s="431" t="s">
        <v>599</v>
      </c>
      <c r="K285" s="422" t="s">
        <v>1877</v>
      </c>
      <c r="L285" s="227">
        <v>2023</v>
      </c>
      <c r="M285" s="422">
        <v>2023</v>
      </c>
      <c r="N285" s="422" t="str">
        <f t="shared" si="47"/>
        <v>DEFRA: Propano: WTT: 2023:: kg</v>
      </c>
      <c r="O285" s="422" t="str">
        <f t="shared" si="43"/>
        <v>Propano</v>
      </c>
      <c r="P285" s="422">
        <f t="shared" si="44"/>
        <v>0</v>
      </c>
      <c r="Q285" s="227" t="s">
        <v>3499</v>
      </c>
      <c r="R285" s="227" t="s">
        <v>3500</v>
      </c>
      <c r="S285" s="422" t="s">
        <v>42</v>
      </c>
    </row>
    <row r="286" spans="1:19" ht="15.75" thickBot="1" x14ac:dyDescent="0.3">
      <c r="A286" t="s">
        <v>2817</v>
      </c>
      <c r="B286" t="s">
        <v>2817</v>
      </c>
      <c r="C286" s="424" t="str">
        <f t="shared" si="45"/>
        <v>X</v>
      </c>
      <c r="D286" s="425" t="s">
        <v>1527</v>
      </c>
      <c r="E286" s="425" t="s">
        <v>1858</v>
      </c>
      <c r="G286" s="432">
        <v>270</v>
      </c>
      <c r="H286" s="429" t="s">
        <v>557</v>
      </c>
      <c r="I286" s="428" t="s">
        <v>1863</v>
      </c>
      <c r="J286" s="431" t="s">
        <v>599</v>
      </c>
      <c r="K286" s="422" t="s">
        <v>1877</v>
      </c>
      <c r="L286" s="227">
        <v>2023</v>
      </c>
      <c r="M286" s="422">
        <v>2023</v>
      </c>
      <c r="N286" s="422" t="str">
        <f t="shared" si="47"/>
        <v>DEFRA: Propano: WTT: 2023:: kg</v>
      </c>
      <c r="O286" s="422" t="str">
        <f t="shared" si="43"/>
        <v>Propano</v>
      </c>
      <c r="P286" s="422">
        <f t="shared" si="44"/>
        <v>0</v>
      </c>
      <c r="Q286" s="227" t="s">
        <v>3499</v>
      </c>
      <c r="R286" s="227" t="s">
        <v>3500</v>
      </c>
      <c r="S286" s="422" t="s">
        <v>42</v>
      </c>
    </row>
    <row r="287" spans="1:19" ht="15.75" thickBot="1" x14ac:dyDescent="0.3">
      <c r="A287" t="s">
        <v>3475</v>
      </c>
      <c r="B287" t="s">
        <v>3475</v>
      </c>
      <c r="C287" s="424" t="str">
        <f t="shared" si="45"/>
        <v>X</v>
      </c>
      <c r="D287" s="425" t="s">
        <v>1527</v>
      </c>
      <c r="E287" s="425" t="s">
        <v>1858</v>
      </c>
      <c r="G287" s="432">
        <v>14187.91</v>
      </c>
      <c r="H287" s="429" t="s">
        <v>630</v>
      </c>
      <c r="I287" s="123" t="s">
        <v>1861</v>
      </c>
      <c r="J287" s="431" t="s">
        <v>620</v>
      </c>
      <c r="K287" s="422" t="s">
        <v>1877</v>
      </c>
      <c r="L287" s="227">
        <v>2023</v>
      </c>
      <c r="M287" s="422">
        <v>2023</v>
      </c>
      <c r="N287" s="422" t="str">
        <f t="shared" si="47"/>
        <v>DEFRA: Gasóleo: WTT: 2023:: l</v>
      </c>
      <c r="O287" s="422" t="str">
        <f t="shared" si="43"/>
        <v>Gasóleo</v>
      </c>
      <c r="P287" s="422">
        <f t="shared" si="44"/>
        <v>0</v>
      </c>
      <c r="Q287" s="227" t="s">
        <v>3499</v>
      </c>
      <c r="R287" s="227" t="s">
        <v>3500</v>
      </c>
      <c r="S287" s="422" t="s">
        <v>42</v>
      </c>
    </row>
    <row r="288" spans="1:19" ht="15.75" thickBot="1" x14ac:dyDescent="0.3">
      <c r="A288" t="s">
        <v>4593</v>
      </c>
      <c r="B288" t="s">
        <v>4593</v>
      </c>
      <c r="C288" s="424" t="str">
        <f t="shared" si="45"/>
        <v>X</v>
      </c>
      <c r="D288" s="425" t="s">
        <v>1527</v>
      </c>
      <c r="E288" s="425" t="s">
        <v>1858</v>
      </c>
      <c r="G288" s="432">
        <v>385</v>
      </c>
      <c r="H288" s="429" t="s">
        <v>630</v>
      </c>
      <c r="I288" s="123" t="s">
        <v>1861</v>
      </c>
      <c r="J288" s="431" t="s">
        <v>620</v>
      </c>
      <c r="K288" s="422" t="s">
        <v>1877</v>
      </c>
      <c r="L288" s="227">
        <v>2023</v>
      </c>
      <c r="M288" s="422">
        <v>2023</v>
      </c>
      <c r="N288" s="422" t="str">
        <f t="shared" si="47"/>
        <v>DEFRA: Gasóleo: WTT: 2023:: l</v>
      </c>
      <c r="O288" s="422" t="str">
        <f t="shared" si="43"/>
        <v>Gasóleo</v>
      </c>
      <c r="P288" s="422">
        <f t="shared" si="44"/>
        <v>0</v>
      </c>
      <c r="Q288" s="227" t="s">
        <v>3499</v>
      </c>
      <c r="R288" s="227" t="s">
        <v>3500</v>
      </c>
      <c r="S288" s="422" t="s">
        <v>42</v>
      </c>
    </row>
    <row r="289" spans="1:19" ht="15.75" thickBot="1" x14ac:dyDescent="0.3">
      <c r="A289" t="s">
        <v>1910</v>
      </c>
      <c r="B289" t="s">
        <v>1910</v>
      </c>
      <c r="C289" s="424" t="str">
        <f t="shared" si="45"/>
        <v>X</v>
      </c>
      <c r="D289" s="425" t="s">
        <v>1527</v>
      </c>
      <c r="E289" s="425" t="s">
        <v>1858</v>
      </c>
      <c r="G289" s="432">
        <v>2313.79</v>
      </c>
      <c r="H289" s="429" t="s">
        <v>630</v>
      </c>
      <c r="I289" s="123" t="s">
        <v>1861</v>
      </c>
      <c r="J289" s="431" t="s">
        <v>620</v>
      </c>
      <c r="K289" s="422" t="s">
        <v>1877</v>
      </c>
      <c r="L289" s="227">
        <v>2023</v>
      </c>
      <c r="M289" s="422">
        <v>2023</v>
      </c>
      <c r="N289" s="422" t="str">
        <f t="shared" si="47"/>
        <v>DEFRA: Gasóleo: WTT: 2023:: l</v>
      </c>
      <c r="O289" s="422" t="str">
        <f t="shared" si="43"/>
        <v>Gasóleo</v>
      </c>
      <c r="P289" s="422">
        <f t="shared" si="44"/>
        <v>0</v>
      </c>
      <c r="Q289" s="227" t="s">
        <v>3499</v>
      </c>
      <c r="R289" s="227" t="s">
        <v>3500</v>
      </c>
      <c r="S289" s="422" t="s">
        <v>42</v>
      </c>
    </row>
    <row r="290" spans="1:19" ht="15.75" thickBot="1" x14ac:dyDescent="0.3">
      <c r="A290" t="s">
        <v>1910</v>
      </c>
      <c r="B290" t="s">
        <v>1910</v>
      </c>
      <c r="C290" s="424" t="str">
        <f t="shared" si="45"/>
        <v>X</v>
      </c>
      <c r="D290" s="425" t="s">
        <v>1527</v>
      </c>
      <c r="E290" s="425" t="s">
        <v>1858</v>
      </c>
      <c r="G290" s="432">
        <v>398.49624060150376</v>
      </c>
      <c r="H290" s="429" t="s">
        <v>557</v>
      </c>
      <c r="I290" s="428" t="s">
        <v>1863</v>
      </c>
      <c r="J290" s="431" t="s">
        <v>599</v>
      </c>
      <c r="K290" s="422" t="s">
        <v>1877</v>
      </c>
      <c r="L290" s="227">
        <v>2023</v>
      </c>
      <c r="M290" s="422">
        <v>2023</v>
      </c>
      <c r="N290" s="422" t="str">
        <f t="shared" si="47"/>
        <v>DEFRA: Propano: WTT: 2023:: kg</v>
      </c>
      <c r="O290" s="422" t="str">
        <f t="shared" ref="O290:O297" si="48">J290</f>
        <v>Propano</v>
      </c>
      <c r="P290" s="422">
        <f t="shared" ref="P290:P297" si="49">F290</f>
        <v>0</v>
      </c>
      <c r="Q290" s="227" t="s">
        <v>3499</v>
      </c>
      <c r="R290" s="227" t="s">
        <v>3500</v>
      </c>
      <c r="S290" s="422" t="s">
        <v>42</v>
      </c>
    </row>
    <row r="291" spans="1:19" ht="15.75" thickBot="1" x14ac:dyDescent="0.3">
      <c r="A291" t="s">
        <v>4598</v>
      </c>
      <c r="B291" t="s">
        <v>4598</v>
      </c>
      <c r="C291" s="424" t="str">
        <f t="shared" si="45"/>
        <v>X</v>
      </c>
      <c r="D291" s="425" t="s">
        <v>1527</v>
      </c>
      <c r="E291" s="425" t="s">
        <v>1858</v>
      </c>
      <c r="G291" s="432">
        <v>46</v>
      </c>
      <c r="H291" s="429" t="s">
        <v>557</v>
      </c>
      <c r="I291" s="428" t="s">
        <v>1863</v>
      </c>
      <c r="J291" s="431" t="s">
        <v>599</v>
      </c>
      <c r="K291" s="422" t="s">
        <v>1877</v>
      </c>
      <c r="L291" s="227">
        <v>2023</v>
      </c>
      <c r="M291" s="422">
        <v>2023</v>
      </c>
      <c r="N291" s="422" t="str">
        <f t="shared" si="47"/>
        <v>DEFRA: Propano: WTT: 2023:: kg</v>
      </c>
      <c r="O291" s="422" t="str">
        <f t="shared" si="48"/>
        <v>Propano</v>
      </c>
      <c r="P291" s="422">
        <f t="shared" si="49"/>
        <v>0</v>
      </c>
      <c r="Q291" s="227" t="s">
        <v>3499</v>
      </c>
      <c r="R291" s="227" t="s">
        <v>3500</v>
      </c>
      <c r="S291" s="422" t="s">
        <v>42</v>
      </c>
    </row>
    <row r="292" spans="1:19" ht="15.75" thickBot="1" x14ac:dyDescent="0.3">
      <c r="A292" t="s">
        <v>4668</v>
      </c>
      <c r="B292" t="s">
        <v>4668</v>
      </c>
      <c r="C292" s="424" t="str">
        <f t="shared" si="45"/>
        <v>X</v>
      </c>
      <c r="D292" s="425" t="s">
        <v>1527</v>
      </c>
      <c r="E292" s="425" t="s">
        <v>1858</v>
      </c>
      <c r="G292" s="432">
        <v>87.72</v>
      </c>
      <c r="H292" s="429" t="s">
        <v>630</v>
      </c>
      <c r="I292" s="123" t="s">
        <v>1861</v>
      </c>
      <c r="J292" s="431" t="s">
        <v>620</v>
      </c>
      <c r="K292" s="422" t="s">
        <v>1877</v>
      </c>
      <c r="L292" s="227">
        <v>2023</v>
      </c>
      <c r="M292" s="422">
        <v>2023</v>
      </c>
      <c r="N292" s="422" t="str">
        <f t="shared" si="47"/>
        <v>DEFRA: Gasóleo: WTT: 2023:: l</v>
      </c>
      <c r="O292" s="422" t="str">
        <f t="shared" si="48"/>
        <v>Gasóleo</v>
      </c>
      <c r="P292" s="422">
        <f t="shared" si="49"/>
        <v>0</v>
      </c>
      <c r="Q292" s="227" t="s">
        <v>3499</v>
      </c>
      <c r="R292" s="227" t="s">
        <v>3500</v>
      </c>
      <c r="S292" s="422" t="s">
        <v>42</v>
      </c>
    </row>
    <row r="293" spans="1:19" ht="15.75" thickBot="1" x14ac:dyDescent="0.3">
      <c r="A293" t="s">
        <v>4668</v>
      </c>
      <c r="B293" t="s">
        <v>4668</v>
      </c>
      <c r="C293" s="424" t="str">
        <f t="shared" si="45"/>
        <v>X</v>
      </c>
      <c r="D293" s="425" t="s">
        <v>1527</v>
      </c>
      <c r="E293" s="425" t="s">
        <v>1858</v>
      </c>
      <c r="G293" s="432">
        <v>2132</v>
      </c>
      <c r="H293" s="429" t="s">
        <v>557</v>
      </c>
      <c r="I293" s="428" t="s">
        <v>1863</v>
      </c>
      <c r="J293" s="431" t="s">
        <v>599</v>
      </c>
      <c r="K293" s="422" t="s">
        <v>1877</v>
      </c>
      <c r="L293" s="227">
        <v>2023</v>
      </c>
      <c r="M293" s="422">
        <v>2023</v>
      </c>
      <c r="N293" s="422" t="str">
        <f t="shared" si="47"/>
        <v>DEFRA: Propano: WTT: 2023:: kg</v>
      </c>
      <c r="O293" s="422" t="str">
        <f t="shared" si="48"/>
        <v>Propano</v>
      </c>
      <c r="P293" s="422">
        <f t="shared" si="49"/>
        <v>0</v>
      </c>
      <c r="Q293" s="227" t="s">
        <v>3499</v>
      </c>
      <c r="R293" s="227" t="s">
        <v>3500</v>
      </c>
      <c r="S293" s="422" t="s">
        <v>42</v>
      </c>
    </row>
    <row r="294" spans="1:19" ht="15.75" thickBot="1" x14ac:dyDescent="0.3">
      <c r="A294" t="s">
        <v>4668</v>
      </c>
      <c r="B294" t="s">
        <v>4668</v>
      </c>
      <c r="C294" s="424" t="str">
        <f t="shared" si="45"/>
        <v>X</v>
      </c>
      <c r="D294" s="425" t="s">
        <v>1527</v>
      </c>
      <c r="E294" s="425" t="s">
        <v>1858</v>
      </c>
      <c r="G294" s="432">
        <v>3500</v>
      </c>
      <c r="H294" s="429" t="s">
        <v>557</v>
      </c>
      <c r="I294" s="428" t="s">
        <v>1863</v>
      </c>
      <c r="J294" s="431" t="s">
        <v>599</v>
      </c>
      <c r="K294" s="422" t="s">
        <v>1877</v>
      </c>
      <c r="L294" s="227">
        <v>2023</v>
      </c>
      <c r="M294" s="422">
        <v>2023</v>
      </c>
      <c r="N294" s="422" t="str">
        <f t="shared" si="47"/>
        <v>DEFRA: Propano: WTT: 2023:: kg</v>
      </c>
      <c r="O294" s="422" t="str">
        <f t="shared" si="48"/>
        <v>Propano</v>
      </c>
      <c r="P294" s="422">
        <f t="shared" si="49"/>
        <v>0</v>
      </c>
      <c r="Q294" s="227" t="s">
        <v>3499</v>
      </c>
      <c r="R294" s="227" t="s">
        <v>3500</v>
      </c>
      <c r="S294" s="422" t="s">
        <v>42</v>
      </c>
    </row>
    <row r="295" spans="1:19" ht="15.75" thickBot="1" x14ac:dyDescent="0.3">
      <c r="A295" t="s">
        <v>4668</v>
      </c>
      <c r="B295" t="s">
        <v>4668</v>
      </c>
      <c r="C295" s="424" t="str">
        <f t="shared" si="45"/>
        <v>X</v>
      </c>
      <c r="D295" s="425" t="s">
        <v>1527</v>
      </c>
      <c r="E295" s="425" t="s">
        <v>1858</v>
      </c>
      <c r="G295" s="432">
        <v>12</v>
      </c>
      <c r="H295" s="429" t="s">
        <v>630</v>
      </c>
      <c r="I295" s="123" t="s">
        <v>1861</v>
      </c>
      <c r="J295" s="431" t="s">
        <v>620</v>
      </c>
      <c r="K295" s="422" t="s">
        <v>1877</v>
      </c>
      <c r="L295" s="227">
        <v>2023</v>
      </c>
      <c r="M295" s="422">
        <v>2023</v>
      </c>
      <c r="N295" s="422" t="str">
        <f t="shared" si="47"/>
        <v>DEFRA: Gasóleo: WTT: 2023:: l</v>
      </c>
      <c r="O295" s="422" t="str">
        <f t="shared" si="48"/>
        <v>Gasóleo</v>
      </c>
      <c r="P295" s="422">
        <f t="shared" si="49"/>
        <v>0</v>
      </c>
      <c r="Q295" s="227" t="s">
        <v>3499</v>
      </c>
      <c r="R295" s="227" t="s">
        <v>3500</v>
      </c>
      <c r="S295" s="422" t="s">
        <v>42</v>
      </c>
    </row>
    <row r="296" spans="1:19" ht="15.75" thickBot="1" x14ac:dyDescent="0.3">
      <c r="A296" t="s">
        <v>4668</v>
      </c>
      <c r="B296" t="s">
        <v>4668</v>
      </c>
      <c r="C296" s="424" t="str">
        <f t="shared" si="45"/>
        <v>X</v>
      </c>
      <c r="D296" s="425" t="s">
        <v>1527</v>
      </c>
      <c r="E296" s="425" t="s">
        <v>1858</v>
      </c>
      <c r="G296" s="432">
        <v>178.91</v>
      </c>
      <c r="H296" s="429" t="s">
        <v>630</v>
      </c>
      <c r="I296" s="123" t="s">
        <v>1861</v>
      </c>
      <c r="J296" s="431" t="s">
        <v>620</v>
      </c>
      <c r="K296" s="422" t="s">
        <v>1877</v>
      </c>
      <c r="L296" s="227">
        <v>2023</v>
      </c>
      <c r="M296" s="422">
        <v>2023</v>
      </c>
      <c r="N296" s="422" t="str">
        <f t="shared" si="47"/>
        <v>DEFRA: Gasóleo: WTT: 2023:: l</v>
      </c>
      <c r="O296" s="422" t="str">
        <f t="shared" si="48"/>
        <v>Gasóleo</v>
      </c>
      <c r="P296" s="422">
        <f t="shared" si="49"/>
        <v>0</v>
      </c>
      <c r="Q296" s="227" t="s">
        <v>3499</v>
      </c>
      <c r="R296" s="227" t="s">
        <v>3500</v>
      </c>
      <c r="S296" s="422" t="s">
        <v>42</v>
      </c>
    </row>
    <row r="297" spans="1:19" ht="15.75" thickBot="1" x14ac:dyDescent="0.3">
      <c r="A297" t="s">
        <v>1915</v>
      </c>
      <c r="B297" t="s">
        <v>1915</v>
      </c>
      <c r="C297" s="424" t="str">
        <f t="shared" si="45"/>
        <v>X</v>
      </c>
      <c r="D297" s="425" t="s">
        <v>1527</v>
      </c>
      <c r="E297" s="425" t="s">
        <v>1858</v>
      </c>
      <c r="G297" s="432">
        <v>1150</v>
      </c>
      <c r="H297" s="429" t="s">
        <v>557</v>
      </c>
      <c r="I297" s="428" t="s">
        <v>1863</v>
      </c>
      <c r="J297" s="431" t="s">
        <v>2834</v>
      </c>
      <c r="K297" s="422" t="s">
        <v>1877</v>
      </c>
      <c r="L297" s="227">
        <v>2023</v>
      </c>
      <c r="M297" s="422">
        <v>2023</v>
      </c>
      <c r="N297" s="422" t="str">
        <f t="shared" si="47"/>
        <v>DEFRA: GPL: WTT: 2023:: kg</v>
      </c>
      <c r="O297" s="422" t="str">
        <f t="shared" si="48"/>
        <v>GPL</v>
      </c>
      <c r="P297" s="422">
        <f t="shared" si="49"/>
        <v>0</v>
      </c>
      <c r="Q297" s="227" t="s">
        <v>3499</v>
      </c>
      <c r="R297" s="227" t="s">
        <v>3500</v>
      </c>
      <c r="S297" s="422" t="s">
        <v>42</v>
      </c>
    </row>
  </sheetData>
  <autoFilter ref="A1:S297"/>
  <mergeCells count="18">
    <mergeCell ref="A1:A2"/>
    <mergeCell ref="C1:C2"/>
    <mergeCell ref="E1:E2"/>
    <mergeCell ref="I1:I2"/>
    <mergeCell ref="K1:K2"/>
    <mergeCell ref="B1:B2"/>
    <mergeCell ref="D1:D2"/>
    <mergeCell ref="G1:G2"/>
    <mergeCell ref="H1:H2"/>
    <mergeCell ref="J1:J2"/>
    <mergeCell ref="P1:P2"/>
    <mergeCell ref="L1:L2"/>
    <mergeCell ref="M1:M2"/>
    <mergeCell ref="N1:N2"/>
    <mergeCell ref="S1:S2"/>
    <mergeCell ref="Q1:Q2"/>
    <mergeCell ref="R1:R2"/>
    <mergeCell ref="O1:O2"/>
  </mergeCells>
  <dataValidations count="6">
    <dataValidation type="list" allowBlank="1" showInputMessage="1" showErrorMessage="1" sqref="H3:H161 G111:G113">
      <formula1>"kWh, l (litros), kg (quilos), Nm3 (metros cubicos norm.)"</formula1>
    </dataValidation>
    <dataValidation type="list" allowBlank="1" showInputMessage="1" showErrorMessage="1" sqref="D15 D3 D75:D79 D83:D85 D87 D89 D91 D93:D116 D118:D119 D162:D297">
      <formula1>"WTT (combustíveis), Perdas Rede (Eletricidade)"</formula1>
    </dataValidation>
    <dataValidation type="list" allowBlank="1" showInputMessage="1" showErrorMessage="1" sqref="J165:J177 J283:J296">
      <formula1>"Gasóleo, Gasolina, GPL, GNC, GNV, Butano, Propano, H2"</formula1>
    </dataValidation>
    <dataValidation type="list" allowBlank="1" showInputMessage="1" showErrorMessage="1" sqref="H297 H281:H288">
      <formula1>"l (litros), kg (quilos), Nm3 (metros cubicos norm.), m3 (metros cúbicos)"</formula1>
    </dataValidation>
    <dataValidation type="list" allowBlank="1" showInputMessage="1" showErrorMessage="1" sqref="H289:H296">
      <formula1>"l (litros), kg (quilos), Nm3 (metros cubicos norm.)"</formula1>
    </dataValidation>
    <dataValidation type="list" allowBlank="1" showInputMessage="1" showErrorMessage="1" sqref="J297 J281:J282">
      <formula1>"Gasóleo, Gasolina, GPL, GNC, GN, GNL, GNV, Butano, Propano, H2"</formula1>
    </dataValidation>
  </dataValidations>
  <pageMargins left="0.7" right="0.7" top="0.75" bottom="0.75" header="0.3" footer="0.3"/>
  <pageSetup paperSize="9" orientation="portrait" horizontalDpi="300" verticalDpi="300" r:id="rId1"/>
  <customProperties>
    <customPr name="GUID" r:id="rId2"/>
  </customPropertie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7"/>
  <dimension ref="B6:W51"/>
  <sheetViews>
    <sheetView workbookViewId="0"/>
  </sheetViews>
  <sheetFormatPr defaultRowHeight="15" x14ac:dyDescent="0.25"/>
  <cols>
    <col min="2" max="2" width="43" customWidth="1"/>
    <col min="3" max="3" width="30" customWidth="1"/>
    <col min="4" max="5" width="24.42578125" customWidth="1"/>
    <col min="6" max="6" width="21.28515625" customWidth="1"/>
    <col min="7" max="7" width="41.7109375" customWidth="1"/>
    <col min="8" max="8" width="22.42578125" bestFit="1" customWidth="1"/>
  </cols>
  <sheetData>
    <row r="6" spans="2:21" ht="15.75" thickBot="1" x14ac:dyDescent="0.3"/>
    <row r="7" spans="2:21" x14ac:dyDescent="0.25">
      <c r="B7" s="78" t="s">
        <v>118</v>
      </c>
      <c r="C7" s="79"/>
    </row>
    <row r="9" spans="2:21" x14ac:dyDescent="0.25">
      <c r="B9" s="765" t="str">
        <f>"Grupo Barraqueiro: "&amp;'Folha de Rosto'!C6&amp;" "&amp;'Folha de Rosto'!I6&amp;" - Emissões de GEE de Âmbito 3"</f>
        <v>Grupo Barraqueiro: PEGADA DE CARBONO 2022 - Emissões de GEE de Âmbito 3</v>
      </c>
      <c r="C9" s="765"/>
      <c r="D9" s="765"/>
      <c r="E9" s="765"/>
      <c r="F9" s="765"/>
      <c r="G9" s="765"/>
      <c r="H9" s="765"/>
      <c r="I9" s="765"/>
      <c r="J9" s="765"/>
      <c r="K9" s="765"/>
      <c r="L9" s="765"/>
      <c r="M9" s="765"/>
      <c r="N9" s="765"/>
      <c r="O9" s="765"/>
      <c r="P9" s="765"/>
      <c r="Q9" s="765"/>
      <c r="R9" s="765"/>
      <c r="S9" s="765"/>
      <c r="T9" s="765"/>
      <c r="U9" s="765"/>
    </row>
    <row r="10" spans="2:21" ht="15.75" thickBot="1" x14ac:dyDescent="0.3"/>
    <row r="11" spans="2:21" ht="33.6" customHeight="1" thickBot="1" x14ac:dyDescent="0.3">
      <c r="B11" s="761" t="s">
        <v>119</v>
      </c>
      <c r="C11" s="761"/>
      <c r="D11" s="767" t="s">
        <v>522</v>
      </c>
      <c r="E11" s="767"/>
      <c r="F11" s="767"/>
      <c r="G11" s="768"/>
      <c r="H11" s="768"/>
      <c r="I11" s="768"/>
      <c r="J11" s="768"/>
      <c r="K11" s="768"/>
      <c r="L11" s="768"/>
      <c r="M11" s="768"/>
      <c r="N11" s="768"/>
      <c r="O11" s="768"/>
      <c r="P11" s="769"/>
    </row>
    <row r="12" spans="2:21" ht="60.95" customHeight="1" thickBot="1" x14ac:dyDescent="0.3">
      <c r="B12" s="761" t="s">
        <v>120</v>
      </c>
      <c r="C12" s="761"/>
      <c r="D12" s="770" t="s">
        <v>432</v>
      </c>
      <c r="E12" s="770"/>
      <c r="F12" s="770"/>
      <c r="G12" s="771"/>
      <c r="H12" s="771"/>
      <c r="I12" s="771"/>
      <c r="J12" s="771"/>
      <c r="K12" s="771"/>
      <c r="L12" s="771"/>
      <c r="M12" s="771"/>
      <c r="N12" s="771"/>
      <c r="O12" s="771"/>
      <c r="P12" s="772"/>
    </row>
    <row r="13" spans="2:21" ht="60.95" customHeight="1" thickBot="1" x14ac:dyDescent="0.3">
      <c r="B13" s="761" t="s">
        <v>121</v>
      </c>
      <c r="C13" s="761"/>
      <c r="D13" s="762" t="s">
        <v>1529</v>
      </c>
      <c r="E13" s="762"/>
      <c r="F13" s="762"/>
      <c r="G13" s="763"/>
      <c r="H13" s="763"/>
      <c r="I13" s="763"/>
      <c r="J13" s="763"/>
      <c r="K13" s="763"/>
      <c r="L13" s="763"/>
      <c r="M13" s="763"/>
      <c r="N13" s="763"/>
      <c r="O13" s="763"/>
      <c r="P13" s="764"/>
    </row>
    <row r="14" spans="2:21" ht="60.95" customHeight="1" thickBot="1" x14ac:dyDescent="0.3">
      <c r="B14" s="761" t="s">
        <v>122</v>
      </c>
      <c r="C14" s="761"/>
      <c r="D14" s="762" t="s">
        <v>123</v>
      </c>
      <c r="E14" s="762"/>
      <c r="F14" s="762"/>
      <c r="G14" s="763"/>
      <c r="H14" s="763"/>
      <c r="I14" s="763"/>
      <c r="J14" s="763"/>
      <c r="K14" s="763"/>
      <c r="L14" s="763"/>
      <c r="M14" s="763"/>
      <c r="N14" s="763"/>
      <c r="O14" s="763"/>
      <c r="P14" s="764"/>
    </row>
    <row r="15" spans="2:21" ht="60" customHeight="1" thickBot="1" x14ac:dyDescent="0.3">
      <c r="B15" s="761" t="s">
        <v>128</v>
      </c>
      <c r="C15" s="761"/>
      <c r="D15" s="798" t="s">
        <v>129</v>
      </c>
      <c r="E15" s="799"/>
      <c r="F15" s="799"/>
      <c r="G15" s="799"/>
      <c r="H15" s="799"/>
      <c r="I15" s="799"/>
      <c r="J15" s="799"/>
      <c r="K15" s="799"/>
      <c r="L15" s="799"/>
      <c r="M15" s="799"/>
      <c r="N15" s="799"/>
      <c r="O15" s="799"/>
      <c r="P15" s="762"/>
    </row>
    <row r="17" spans="2:23" x14ac:dyDescent="0.25">
      <c r="B17" s="765" t="s">
        <v>1827</v>
      </c>
      <c r="C17" s="765"/>
      <c r="D17" s="765"/>
      <c r="E17" s="765"/>
      <c r="F17" s="765"/>
      <c r="G17" s="765"/>
      <c r="H17" s="765"/>
      <c r="I17" s="765"/>
      <c r="J17" s="765"/>
      <c r="K17" s="765"/>
      <c r="L17" s="765"/>
      <c r="M17" s="765"/>
      <c r="N17" s="765"/>
      <c r="O17" s="765"/>
      <c r="P17" s="765"/>
      <c r="Q17" s="765"/>
      <c r="R17" s="765"/>
      <c r="S17" s="765"/>
      <c r="T17" s="765"/>
      <c r="U17" s="765"/>
      <c r="V17" s="765"/>
      <c r="W17" s="765"/>
    </row>
    <row r="18" spans="2:23" x14ac:dyDescent="0.25">
      <c r="B18" t="s">
        <v>130</v>
      </c>
    </row>
    <row r="20" spans="2:23" x14ac:dyDescent="0.25">
      <c r="B20" s="81" t="s">
        <v>135</v>
      </c>
    </row>
    <row r="21" spans="2:23" x14ac:dyDescent="0.25">
      <c r="B21" s="766"/>
      <c r="C21" s="766"/>
      <c r="D21" s="766"/>
      <c r="E21" s="766"/>
      <c r="F21" s="766"/>
      <c r="G21" s="766"/>
      <c r="H21" s="766"/>
      <c r="I21" s="766"/>
      <c r="J21" s="766"/>
      <c r="K21" s="766"/>
      <c r="L21" s="766"/>
      <c r="M21" s="766"/>
      <c r="N21" s="766"/>
      <c r="O21" s="766"/>
      <c r="P21" s="766"/>
      <c r="Q21" s="766"/>
      <c r="R21" s="766"/>
      <c r="S21" s="766"/>
      <c r="T21" s="766"/>
      <c r="U21" s="766"/>
    </row>
    <row r="22" spans="2:23" x14ac:dyDescent="0.25">
      <c r="B22" s="766"/>
      <c r="C22" s="766"/>
      <c r="D22" s="766"/>
      <c r="E22" s="766"/>
      <c r="F22" s="766"/>
      <c r="G22" s="766"/>
      <c r="H22" s="766"/>
      <c r="I22" s="766"/>
      <c r="J22" s="766"/>
      <c r="K22" s="766"/>
      <c r="L22" s="766"/>
      <c r="M22" s="766"/>
      <c r="N22" s="766"/>
      <c r="O22" s="766"/>
      <c r="P22" s="766"/>
      <c r="Q22" s="766"/>
      <c r="R22" s="766"/>
      <c r="S22" s="766"/>
      <c r="T22" s="766"/>
      <c r="U22" s="766"/>
    </row>
    <row r="24" spans="2:23" ht="15" customHeight="1" x14ac:dyDescent="0.25">
      <c r="B24" s="81" t="s">
        <v>136</v>
      </c>
    </row>
    <row r="25" spans="2:23" x14ac:dyDescent="0.25">
      <c r="B25" s="766"/>
      <c r="C25" s="766"/>
      <c r="D25" s="766"/>
      <c r="E25" s="766"/>
      <c r="F25" s="766"/>
      <c r="G25" s="766"/>
      <c r="H25" s="766"/>
      <c r="I25" s="766"/>
      <c r="J25" s="766"/>
      <c r="K25" s="766"/>
      <c r="L25" s="766"/>
      <c r="M25" s="766"/>
      <c r="N25" s="766"/>
      <c r="O25" s="766"/>
      <c r="P25" s="766"/>
      <c r="Q25" s="766"/>
      <c r="R25" s="766"/>
      <c r="S25" s="766"/>
      <c r="T25" s="766"/>
      <c r="U25" s="766"/>
    </row>
    <row r="26" spans="2:23" x14ac:dyDescent="0.25">
      <c r="B26" s="766"/>
      <c r="C26" s="766"/>
      <c r="D26" s="766"/>
      <c r="E26" s="766"/>
      <c r="F26" s="766"/>
      <c r="G26" s="766"/>
      <c r="H26" s="766"/>
      <c r="I26" s="766"/>
      <c r="J26" s="766"/>
      <c r="K26" s="766"/>
      <c r="L26" s="766"/>
      <c r="M26" s="766"/>
      <c r="N26" s="766"/>
      <c r="O26" s="766"/>
      <c r="P26" s="766"/>
      <c r="Q26" s="766"/>
      <c r="R26" s="766"/>
      <c r="S26" s="766"/>
      <c r="T26" s="766"/>
      <c r="U26" s="766"/>
    </row>
    <row r="27" spans="2:23" ht="15.75" thickBot="1" x14ac:dyDescent="0.3"/>
    <row r="28" spans="2:23" ht="15.75" thickBot="1" x14ac:dyDescent="0.3">
      <c r="B28" s="793" t="s">
        <v>131</v>
      </c>
      <c r="C28" s="759" t="s">
        <v>436</v>
      </c>
      <c r="D28" s="793" t="s">
        <v>435</v>
      </c>
      <c r="E28" s="757" t="s">
        <v>141</v>
      </c>
      <c r="F28" s="793" t="s">
        <v>434</v>
      </c>
      <c r="G28" s="757" t="s">
        <v>1644</v>
      </c>
      <c r="H28" s="757" t="s">
        <v>1847</v>
      </c>
    </row>
    <row r="29" spans="2:23" ht="15" customHeight="1" thickBot="1" x14ac:dyDescent="0.3">
      <c r="B29" s="794"/>
      <c r="C29" s="757"/>
      <c r="D29" s="794"/>
      <c r="E29" s="758"/>
      <c r="F29" s="794"/>
      <c r="G29" s="758"/>
      <c r="H29" s="758"/>
    </row>
    <row r="30" spans="2:23" ht="15" customHeight="1" thickBot="1" x14ac:dyDescent="0.3">
      <c r="B30" s="82" t="s">
        <v>534</v>
      </c>
      <c r="C30" s="83" t="s">
        <v>1650</v>
      </c>
      <c r="D30" s="83">
        <v>2</v>
      </c>
      <c r="E30" s="91" t="s">
        <v>141</v>
      </c>
      <c r="F30" s="91"/>
      <c r="G30" s="91"/>
      <c r="H30" s="91"/>
    </row>
    <row r="31" spans="2:23" ht="15.75" thickBot="1" x14ac:dyDescent="0.3">
      <c r="B31" s="82" t="s">
        <v>534</v>
      </c>
      <c r="C31" s="83" t="s">
        <v>1647</v>
      </c>
      <c r="D31" s="83">
        <f>D34</f>
        <v>110</v>
      </c>
      <c r="E31" s="91" t="s">
        <v>141</v>
      </c>
      <c r="F31" s="91"/>
      <c r="G31" s="91"/>
      <c r="H31" s="91"/>
    </row>
    <row r="32" spans="2:23" ht="15.75" thickBot="1" x14ac:dyDescent="0.3">
      <c r="B32" s="82" t="s">
        <v>534</v>
      </c>
      <c r="C32" s="83" t="s">
        <v>1648</v>
      </c>
      <c r="D32" s="83">
        <f>D35</f>
        <v>13</v>
      </c>
      <c r="E32" s="91" t="s">
        <v>141</v>
      </c>
      <c r="F32" s="91"/>
      <c r="G32" s="91"/>
      <c r="H32" s="91"/>
    </row>
    <row r="33" spans="2:8" ht="15.75" thickBot="1" x14ac:dyDescent="0.3">
      <c r="B33" s="82" t="s">
        <v>534</v>
      </c>
      <c r="C33" s="83" t="s">
        <v>1648</v>
      </c>
      <c r="D33" s="83">
        <f>D36</f>
        <v>4</v>
      </c>
      <c r="E33" s="91" t="s">
        <v>141</v>
      </c>
      <c r="F33" s="91"/>
      <c r="G33" s="91"/>
      <c r="H33" s="91"/>
    </row>
    <row r="34" spans="2:8" ht="15.75" thickBot="1" x14ac:dyDescent="0.3">
      <c r="B34" s="154" t="s">
        <v>544</v>
      </c>
      <c r="C34" s="155" t="s">
        <v>1647</v>
      </c>
      <c r="D34" s="155">
        <f>D39+D40+D41+D45+D46</f>
        <v>110</v>
      </c>
      <c r="E34" s="156" t="s">
        <v>141</v>
      </c>
      <c r="F34" s="156"/>
      <c r="G34" s="156"/>
      <c r="H34" s="156"/>
    </row>
    <row r="35" spans="2:8" ht="15.75" thickBot="1" x14ac:dyDescent="0.3">
      <c r="B35" s="154" t="s">
        <v>544</v>
      </c>
      <c r="C35" s="155" t="s">
        <v>1648</v>
      </c>
      <c r="D35" s="155">
        <f>D43+D44</f>
        <v>13</v>
      </c>
      <c r="E35" s="156" t="s">
        <v>141</v>
      </c>
      <c r="F35" s="156"/>
      <c r="G35" s="156"/>
      <c r="H35" s="156"/>
    </row>
    <row r="36" spans="2:8" ht="15.75" thickBot="1" x14ac:dyDescent="0.3">
      <c r="B36" s="154" t="s">
        <v>544</v>
      </c>
      <c r="C36" s="155" t="s">
        <v>1648</v>
      </c>
      <c r="D36" s="155">
        <f>D42</f>
        <v>4</v>
      </c>
      <c r="E36" s="156" t="s">
        <v>141</v>
      </c>
      <c r="F36" s="156"/>
      <c r="G36" s="156"/>
      <c r="H36" s="156"/>
    </row>
    <row r="37" spans="2:8" ht="15.75" thickBot="1" x14ac:dyDescent="0.3">
      <c r="B37" s="154" t="s">
        <v>545</v>
      </c>
      <c r="C37" s="155" t="s">
        <v>1650</v>
      </c>
      <c r="D37" s="155">
        <v>2</v>
      </c>
      <c r="E37" s="156" t="s">
        <v>141</v>
      </c>
      <c r="F37" s="156"/>
      <c r="G37" s="156"/>
      <c r="H37" s="156">
        <v>19000</v>
      </c>
    </row>
    <row r="38" spans="2:8" ht="15.75" thickBot="1" x14ac:dyDescent="0.3">
      <c r="B38" s="157" t="s">
        <v>545</v>
      </c>
      <c r="C38" s="158" t="s">
        <v>1651</v>
      </c>
      <c r="D38" s="158">
        <v>2</v>
      </c>
      <c r="E38" s="159" t="s">
        <v>141</v>
      </c>
      <c r="F38" s="159"/>
      <c r="G38" s="159" t="s">
        <v>1649</v>
      </c>
      <c r="H38" s="159">
        <v>19000</v>
      </c>
    </row>
    <row r="39" spans="2:8" ht="15.75" thickBot="1" x14ac:dyDescent="0.3">
      <c r="B39" s="114" t="s">
        <v>544</v>
      </c>
      <c r="C39" s="115" t="s">
        <v>1637</v>
      </c>
      <c r="D39" s="115">
        <f>13+2</f>
        <v>15</v>
      </c>
      <c r="E39" s="136" t="s">
        <v>141</v>
      </c>
      <c r="F39" s="136"/>
      <c r="G39" s="136" t="s">
        <v>1638</v>
      </c>
      <c r="H39" s="136">
        <v>19500</v>
      </c>
    </row>
    <row r="40" spans="2:8" ht="15.75" thickBot="1" x14ac:dyDescent="0.3">
      <c r="B40" s="114" t="s">
        <v>544</v>
      </c>
      <c r="C40" s="115" t="s">
        <v>1637</v>
      </c>
      <c r="D40" s="115">
        <v>16</v>
      </c>
      <c r="E40" s="136" t="s">
        <v>141</v>
      </c>
      <c r="F40" s="136"/>
      <c r="G40" s="136" t="s">
        <v>1639</v>
      </c>
      <c r="H40" s="136">
        <v>19500</v>
      </c>
    </row>
    <row r="41" spans="2:8" ht="15.75" thickBot="1" x14ac:dyDescent="0.3">
      <c r="B41" s="114" t="s">
        <v>544</v>
      </c>
      <c r="C41" s="115" t="s">
        <v>1637</v>
      </c>
      <c r="D41" s="115">
        <f>26+13</f>
        <v>39</v>
      </c>
      <c r="E41" s="136" t="s">
        <v>141</v>
      </c>
      <c r="F41" s="136"/>
      <c r="G41" s="136" t="s">
        <v>1640</v>
      </c>
      <c r="H41" s="136">
        <v>19500</v>
      </c>
    </row>
    <row r="42" spans="2:8" ht="15.75" thickBot="1" x14ac:dyDescent="0.3">
      <c r="B42" s="114" t="s">
        <v>544</v>
      </c>
      <c r="C42" s="115" t="s">
        <v>1642</v>
      </c>
      <c r="D42" s="115">
        <v>4</v>
      </c>
      <c r="E42" s="136" t="s">
        <v>141</v>
      </c>
      <c r="F42" s="136"/>
      <c r="G42" s="136" t="s">
        <v>1641</v>
      </c>
      <c r="H42" s="136">
        <v>5600</v>
      </c>
    </row>
    <row r="43" spans="2:8" ht="15.75" thickBot="1" x14ac:dyDescent="0.3">
      <c r="B43" s="114" t="s">
        <v>544</v>
      </c>
      <c r="C43" s="115" t="s">
        <v>1642</v>
      </c>
      <c r="D43" s="115">
        <v>10</v>
      </c>
      <c r="E43" s="136" t="s">
        <v>141</v>
      </c>
      <c r="F43" s="136"/>
      <c r="G43" s="136" t="s">
        <v>1643</v>
      </c>
      <c r="H43" s="136">
        <v>7200</v>
      </c>
    </row>
    <row r="44" spans="2:8" ht="15.75" thickBot="1" x14ac:dyDescent="0.3">
      <c r="B44" s="114" t="s">
        <v>544</v>
      </c>
      <c r="C44" s="115" t="s">
        <v>1642</v>
      </c>
      <c r="D44" s="115">
        <v>3</v>
      </c>
      <c r="E44" s="136" t="s">
        <v>141</v>
      </c>
      <c r="F44" s="136"/>
      <c r="G44" s="136" t="s">
        <v>1643</v>
      </c>
      <c r="H44" s="136">
        <v>7200</v>
      </c>
    </row>
    <row r="45" spans="2:8" ht="15.75" thickBot="1" x14ac:dyDescent="0.3">
      <c r="B45" s="114" t="s">
        <v>544</v>
      </c>
      <c r="C45" s="115" t="s">
        <v>1637</v>
      </c>
      <c r="D45" s="115">
        <v>10</v>
      </c>
      <c r="E45" s="136" t="s">
        <v>141</v>
      </c>
      <c r="F45" s="136"/>
      <c r="G45" s="136" t="s">
        <v>1645</v>
      </c>
      <c r="H45" s="136">
        <v>19500</v>
      </c>
    </row>
    <row r="46" spans="2:8" ht="15.75" thickBot="1" x14ac:dyDescent="0.3">
      <c r="B46" s="114" t="s">
        <v>544</v>
      </c>
      <c r="C46" s="115" t="s">
        <v>1637</v>
      </c>
      <c r="D46" s="115">
        <v>30</v>
      </c>
      <c r="E46" s="136" t="s">
        <v>141</v>
      </c>
      <c r="F46" s="136"/>
      <c r="G46" s="136" t="s">
        <v>1646</v>
      </c>
      <c r="H46" s="136">
        <v>19500</v>
      </c>
    </row>
    <row r="47" spans="2:8" ht="15.75" thickBot="1" x14ac:dyDescent="0.3">
      <c r="B47" s="82"/>
      <c r="C47" s="83"/>
      <c r="D47" s="83"/>
      <c r="E47" s="91"/>
      <c r="F47" s="91"/>
      <c r="G47" s="91"/>
      <c r="H47" s="91"/>
    </row>
    <row r="48" spans="2:8" ht="15.75" thickBot="1" x14ac:dyDescent="0.3">
      <c r="B48" s="82"/>
      <c r="C48" s="83"/>
      <c r="D48" s="83"/>
      <c r="E48" s="91"/>
      <c r="F48" s="91"/>
      <c r="G48" s="91"/>
      <c r="H48" s="91"/>
    </row>
    <row r="49" spans="2:8" ht="15.75" thickBot="1" x14ac:dyDescent="0.3">
      <c r="B49" s="82"/>
      <c r="C49" s="83"/>
      <c r="D49" s="83"/>
      <c r="E49" s="91"/>
      <c r="F49" s="91"/>
      <c r="G49" s="91"/>
      <c r="H49" s="91"/>
    </row>
    <row r="50" spans="2:8" ht="15.75" thickBot="1" x14ac:dyDescent="0.3">
      <c r="B50" s="82"/>
      <c r="C50" s="83"/>
      <c r="D50" s="83"/>
      <c r="E50" s="91"/>
      <c r="F50" s="91"/>
      <c r="G50" s="91"/>
      <c r="H50" s="91"/>
    </row>
    <row r="51" spans="2:8" ht="15.75" thickBot="1" x14ac:dyDescent="0.3">
      <c r="B51" s="82"/>
      <c r="C51" s="83"/>
      <c r="D51" s="83"/>
      <c r="E51" s="91"/>
      <c r="F51" s="91"/>
      <c r="G51" s="91"/>
      <c r="H51" s="91"/>
    </row>
  </sheetData>
  <mergeCells count="21">
    <mergeCell ref="B25:U26"/>
    <mergeCell ref="B28:B29"/>
    <mergeCell ref="C28:C29"/>
    <mergeCell ref="D28:D29"/>
    <mergeCell ref="F28:F29"/>
    <mergeCell ref="G28:G29"/>
    <mergeCell ref="E28:E29"/>
    <mergeCell ref="H28:H29"/>
    <mergeCell ref="B21:U22"/>
    <mergeCell ref="B9:U9"/>
    <mergeCell ref="B11:C11"/>
    <mergeCell ref="D11:P11"/>
    <mergeCell ref="B12:C12"/>
    <mergeCell ref="D12:P12"/>
    <mergeCell ref="B13:C13"/>
    <mergeCell ref="D13:P13"/>
    <mergeCell ref="B14:C14"/>
    <mergeCell ref="D14:P14"/>
    <mergeCell ref="B15:C15"/>
    <mergeCell ref="D15:P15"/>
    <mergeCell ref="B17:W17"/>
  </mergeCells>
  <pageMargins left="0.7" right="0.7" top="0.75" bottom="0.75" header="0.3" footer="0.3"/>
  <pageSetup paperSize="9" orientation="portrait" r:id="rId1"/>
  <customProperties>
    <customPr name="GUID" r:id="rId2"/>
  </customProperties>
  <drawing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8"/>
  <dimension ref="A1:P69"/>
  <sheetViews>
    <sheetView topLeftCell="A22" zoomScale="70" zoomScaleNormal="70" workbookViewId="0">
      <selection activeCell="H46" sqref="H46"/>
    </sheetView>
  </sheetViews>
  <sheetFormatPr defaultRowHeight="15" x14ac:dyDescent="0.25"/>
  <cols>
    <col min="1" max="1" width="68.42578125" bestFit="1" customWidth="1"/>
    <col min="2" max="2" width="50.5703125" customWidth="1"/>
    <col min="3" max="5" width="30" customWidth="1"/>
    <col min="6" max="6" width="24.42578125" style="428" customWidth="1"/>
    <col min="7" max="7" width="24.42578125" customWidth="1"/>
    <col min="8" max="9" width="21.28515625" customWidth="1"/>
    <col min="10" max="10" width="41.7109375" customWidth="1"/>
    <col min="11" max="11" width="41.7109375" style="422" customWidth="1"/>
    <col min="12" max="12" width="34.140625" customWidth="1"/>
    <col min="13" max="13" width="10.42578125" style="89" bestFit="1" customWidth="1"/>
    <col min="14" max="14" width="6.28515625" style="89" bestFit="1" customWidth="1"/>
    <col min="15" max="16" width="9.140625" style="89"/>
  </cols>
  <sheetData>
    <row r="1" spans="1:15" ht="15.75" customHeight="1" thickBot="1" x14ac:dyDescent="0.3">
      <c r="A1" s="589" t="s">
        <v>1851</v>
      </c>
      <c r="B1" s="586" t="s">
        <v>131</v>
      </c>
      <c r="C1" s="586" t="s">
        <v>1852</v>
      </c>
      <c r="D1" s="588" t="s">
        <v>168</v>
      </c>
      <c r="E1" s="211" t="s">
        <v>1884</v>
      </c>
      <c r="F1" s="588" t="s">
        <v>435</v>
      </c>
      <c r="G1" s="586" t="s">
        <v>141</v>
      </c>
      <c r="H1" s="589" t="s">
        <v>434</v>
      </c>
      <c r="I1" s="588" t="s">
        <v>1886</v>
      </c>
      <c r="J1" s="586" t="s">
        <v>1644</v>
      </c>
      <c r="K1" s="588" t="s">
        <v>5925</v>
      </c>
      <c r="L1" s="586" t="s">
        <v>1847</v>
      </c>
      <c r="M1" s="232" t="s">
        <v>1856</v>
      </c>
      <c r="N1" s="587" t="s">
        <v>2812</v>
      </c>
      <c r="O1" s="587" t="s">
        <v>3588</v>
      </c>
    </row>
    <row r="2" spans="1:15" ht="15" customHeight="1" thickBot="1" x14ac:dyDescent="0.3">
      <c r="A2" s="82" t="s">
        <v>45</v>
      </c>
      <c r="B2" s="82" t="str">
        <f>LEFT(A2,IFERROR(FIND(" - ",A2)-1,LEN(A2)))</f>
        <v>Barraqueiro Transportes, S.A.</v>
      </c>
      <c r="C2" s="82" t="str">
        <f>IF(A2=B2,"X",RIGHT(A2,LEN(A2)-LEN(B2)-3))</f>
        <v>X</v>
      </c>
      <c r="D2" s="83" t="s">
        <v>1888</v>
      </c>
      <c r="E2" s="83" t="s">
        <v>1885</v>
      </c>
      <c r="F2" s="123">
        <v>2</v>
      </c>
      <c r="G2" s="91" t="s">
        <v>141</v>
      </c>
      <c r="H2" s="91"/>
      <c r="I2" s="91" t="s">
        <v>1887</v>
      </c>
      <c r="J2" s="91"/>
      <c r="K2" s="429" t="s">
        <v>5926</v>
      </c>
      <c r="L2" s="91"/>
      <c r="M2" s="250">
        <v>2022</v>
      </c>
      <c r="N2" s="250" t="s">
        <v>3499</v>
      </c>
      <c r="O2" s="250" t="s">
        <v>3501</v>
      </c>
    </row>
    <row r="3" spans="1:15" ht="15.75" thickBot="1" x14ac:dyDescent="0.3">
      <c r="A3" s="82" t="s">
        <v>45</v>
      </c>
      <c r="B3" s="82" t="str">
        <f t="shared" ref="B3:B18" si="0">LEFT(A3,IFERROR(FIND(" - ",A3)-1,LEN(A3)))</f>
        <v>Barraqueiro Transportes, S.A.</v>
      </c>
      <c r="C3" s="82" t="str">
        <f t="shared" ref="C3:C33" si="1">IF(A3=B3,"X",RIGHT(A3,LEN(A3)-LEN(B3)-3))</f>
        <v>X</v>
      </c>
      <c r="D3" s="83" t="s">
        <v>1889</v>
      </c>
      <c r="E3" s="83" t="s">
        <v>1885</v>
      </c>
      <c r="F3" s="123">
        <f>F6</f>
        <v>110</v>
      </c>
      <c r="G3" s="91" t="s">
        <v>141</v>
      </c>
      <c r="H3" s="91"/>
      <c r="I3" s="91" t="s">
        <v>1887</v>
      </c>
      <c r="J3" s="91"/>
      <c r="K3" s="429" t="s">
        <v>5926</v>
      </c>
      <c r="L3" s="91"/>
      <c r="M3" s="250">
        <v>2022</v>
      </c>
      <c r="N3" s="250" t="s">
        <v>3499</v>
      </c>
      <c r="O3" s="250" t="s">
        <v>3501</v>
      </c>
    </row>
    <row r="4" spans="1:15" ht="15.75" thickBot="1" x14ac:dyDescent="0.3">
      <c r="A4" s="82" t="s">
        <v>45</v>
      </c>
      <c r="B4" s="82" t="str">
        <f t="shared" si="0"/>
        <v>Barraqueiro Transportes, S.A.</v>
      </c>
      <c r="C4" s="82" t="str">
        <f t="shared" si="1"/>
        <v>X</v>
      </c>
      <c r="D4" s="83" t="s">
        <v>1642</v>
      </c>
      <c r="E4" s="83" t="s">
        <v>1885</v>
      </c>
      <c r="F4" s="123">
        <f>F7</f>
        <v>13</v>
      </c>
      <c r="G4" s="91" t="s">
        <v>141</v>
      </c>
      <c r="H4" s="91"/>
      <c r="I4" s="91" t="s">
        <v>1887</v>
      </c>
      <c r="J4" s="91"/>
      <c r="K4" s="429" t="s">
        <v>5926</v>
      </c>
      <c r="L4" s="91"/>
      <c r="M4" s="250">
        <v>2022</v>
      </c>
      <c r="N4" s="250" t="s">
        <v>3499</v>
      </c>
      <c r="O4" s="250" t="s">
        <v>3501</v>
      </c>
    </row>
    <row r="5" spans="1:15" ht="15.75" thickBot="1" x14ac:dyDescent="0.3">
      <c r="A5" s="82" t="s">
        <v>45</v>
      </c>
      <c r="B5" s="82" t="str">
        <f t="shared" si="0"/>
        <v>Barraqueiro Transportes, S.A.</v>
      </c>
      <c r="C5" s="82" t="str">
        <f t="shared" si="1"/>
        <v>X</v>
      </c>
      <c r="D5" s="83" t="s">
        <v>1642</v>
      </c>
      <c r="E5" s="83" t="s">
        <v>1885</v>
      </c>
      <c r="F5" s="123">
        <f>F8</f>
        <v>4</v>
      </c>
      <c r="G5" s="91" t="s">
        <v>141</v>
      </c>
      <c r="H5" s="91"/>
      <c r="I5" s="91" t="s">
        <v>1887</v>
      </c>
      <c r="J5" s="91"/>
      <c r="K5" s="429" t="s">
        <v>5926</v>
      </c>
      <c r="L5" s="91"/>
      <c r="M5" s="250">
        <v>2022</v>
      </c>
      <c r="N5" s="250" t="s">
        <v>3499</v>
      </c>
      <c r="O5" s="250" t="s">
        <v>3501</v>
      </c>
    </row>
    <row r="6" spans="1:15" ht="15.75" thickBot="1" x14ac:dyDescent="0.3">
      <c r="A6" s="154" t="s">
        <v>3470</v>
      </c>
      <c r="B6" s="82" t="str">
        <f t="shared" si="0"/>
        <v>Barraqueiro Transportes, S.A.</v>
      </c>
      <c r="C6" s="82" t="str">
        <f t="shared" si="1"/>
        <v>Mafrense</v>
      </c>
      <c r="D6" s="155" t="s">
        <v>1889</v>
      </c>
      <c r="E6" s="155" t="s">
        <v>1885</v>
      </c>
      <c r="F6" s="460">
        <f>F11+F12+F13+F17+F18</f>
        <v>110</v>
      </c>
      <c r="G6" s="156" t="s">
        <v>141</v>
      </c>
      <c r="H6" s="156"/>
      <c r="I6" s="91" t="s">
        <v>1887</v>
      </c>
      <c r="J6" s="156"/>
      <c r="K6" s="156" t="s">
        <v>5926</v>
      </c>
      <c r="L6" s="156"/>
      <c r="M6" s="250">
        <v>2022</v>
      </c>
      <c r="N6" s="250" t="s">
        <v>3499</v>
      </c>
      <c r="O6" s="250" t="s">
        <v>3501</v>
      </c>
    </row>
    <row r="7" spans="1:15" ht="15.75" thickBot="1" x14ac:dyDescent="0.3">
      <c r="A7" s="154" t="s">
        <v>3470</v>
      </c>
      <c r="B7" s="82" t="str">
        <f t="shared" si="0"/>
        <v>Barraqueiro Transportes, S.A.</v>
      </c>
      <c r="C7" s="82" t="str">
        <f t="shared" si="1"/>
        <v>Mafrense</v>
      </c>
      <c r="D7" s="155" t="s">
        <v>1642</v>
      </c>
      <c r="E7" s="155" t="s">
        <v>1885</v>
      </c>
      <c r="F7" s="460">
        <f>F15+F16</f>
        <v>13</v>
      </c>
      <c r="G7" s="156" t="s">
        <v>141</v>
      </c>
      <c r="H7" s="156"/>
      <c r="I7" s="91" t="s">
        <v>1887</v>
      </c>
      <c r="J7" s="156"/>
      <c r="K7" s="156" t="s">
        <v>5926</v>
      </c>
      <c r="L7" s="156"/>
      <c r="M7" s="250">
        <v>2022</v>
      </c>
      <c r="N7" s="250" t="s">
        <v>3499</v>
      </c>
      <c r="O7" s="250" t="s">
        <v>3501</v>
      </c>
    </row>
    <row r="8" spans="1:15" ht="15.75" thickBot="1" x14ac:dyDescent="0.3">
      <c r="A8" s="154" t="s">
        <v>3470</v>
      </c>
      <c r="B8" s="82" t="str">
        <f t="shared" si="0"/>
        <v>Barraqueiro Transportes, S.A.</v>
      </c>
      <c r="C8" s="82" t="str">
        <f t="shared" si="1"/>
        <v>Mafrense</v>
      </c>
      <c r="D8" s="155" t="s">
        <v>1642</v>
      </c>
      <c r="E8" s="155" t="s">
        <v>1885</v>
      </c>
      <c r="F8" s="460">
        <f>F14</f>
        <v>4</v>
      </c>
      <c r="G8" s="156" t="s">
        <v>141</v>
      </c>
      <c r="H8" s="156"/>
      <c r="I8" s="91" t="s">
        <v>1887</v>
      </c>
      <c r="J8" s="156"/>
      <c r="K8" s="156" t="s">
        <v>5926</v>
      </c>
      <c r="L8" s="156"/>
      <c r="M8" s="250">
        <v>2022</v>
      </c>
      <c r="N8" s="250" t="s">
        <v>3499</v>
      </c>
      <c r="O8" s="250" t="s">
        <v>3501</v>
      </c>
    </row>
    <row r="9" spans="1:15" ht="15.75" thickBot="1" x14ac:dyDescent="0.3">
      <c r="A9" s="154" t="s">
        <v>3471</v>
      </c>
      <c r="B9" s="82" t="str">
        <f t="shared" si="0"/>
        <v>Barraqueiro Transportes, S.A.</v>
      </c>
      <c r="C9" s="82" t="str">
        <f t="shared" si="1"/>
        <v>Estremadura</v>
      </c>
      <c r="D9" s="155" t="s">
        <v>1888</v>
      </c>
      <c r="E9" s="155" t="s">
        <v>1885</v>
      </c>
      <c r="F9" s="460">
        <v>2</v>
      </c>
      <c r="G9" s="156" t="s">
        <v>141</v>
      </c>
      <c r="H9" s="156"/>
      <c r="I9" s="91" t="s">
        <v>1887</v>
      </c>
      <c r="J9" s="156"/>
      <c r="K9" s="156" t="s">
        <v>5926</v>
      </c>
      <c r="L9" s="156">
        <v>19000</v>
      </c>
      <c r="M9" s="250">
        <v>2022</v>
      </c>
      <c r="N9" s="250" t="s">
        <v>3499</v>
      </c>
      <c r="O9" s="250" t="s">
        <v>3501</v>
      </c>
    </row>
    <row r="10" spans="1:15" ht="15.75" thickBot="1" x14ac:dyDescent="0.3">
      <c r="A10" s="157" t="s">
        <v>3471</v>
      </c>
      <c r="B10" s="82" t="str">
        <f t="shared" si="0"/>
        <v>Barraqueiro Transportes, S.A.</v>
      </c>
      <c r="C10" s="82" t="str">
        <f t="shared" si="1"/>
        <v>Estremadura</v>
      </c>
      <c r="D10" s="158" t="s">
        <v>1888</v>
      </c>
      <c r="E10" s="158" t="s">
        <v>1885</v>
      </c>
      <c r="F10" s="461">
        <v>2</v>
      </c>
      <c r="G10" s="159" t="s">
        <v>141</v>
      </c>
      <c r="H10" s="159"/>
      <c r="I10" s="91" t="s">
        <v>1887</v>
      </c>
      <c r="J10" s="159" t="s">
        <v>1649</v>
      </c>
      <c r="K10" s="159" t="s">
        <v>5926</v>
      </c>
      <c r="L10" s="159">
        <v>19000</v>
      </c>
      <c r="M10" s="250">
        <v>2022</v>
      </c>
      <c r="N10" s="250" t="s">
        <v>3499</v>
      </c>
      <c r="O10" s="250" t="s">
        <v>3501</v>
      </c>
    </row>
    <row r="11" spans="1:15" ht="15.75" thickBot="1" x14ac:dyDescent="0.3">
      <c r="A11" s="114" t="s">
        <v>3470</v>
      </c>
      <c r="B11" s="82" t="str">
        <f t="shared" si="0"/>
        <v>Barraqueiro Transportes, S.A.</v>
      </c>
      <c r="C11" s="82" t="str">
        <f t="shared" si="1"/>
        <v>Mafrense</v>
      </c>
      <c r="D11" s="115" t="s">
        <v>1889</v>
      </c>
      <c r="E11" s="115" t="s">
        <v>1885</v>
      </c>
      <c r="F11" s="462">
        <f>13+2</f>
        <v>15</v>
      </c>
      <c r="G11" s="136" t="s">
        <v>141</v>
      </c>
      <c r="H11" s="136"/>
      <c r="I11" s="91" t="s">
        <v>1887</v>
      </c>
      <c r="J11" s="136" t="s">
        <v>1638</v>
      </c>
      <c r="K11" s="136" t="s">
        <v>5926</v>
      </c>
      <c r="L11" s="136">
        <v>19500</v>
      </c>
      <c r="M11" s="250">
        <v>2022</v>
      </c>
      <c r="N11" s="250" t="s">
        <v>3499</v>
      </c>
      <c r="O11" s="250" t="s">
        <v>3501</v>
      </c>
    </row>
    <row r="12" spans="1:15" ht="15.75" thickBot="1" x14ac:dyDescent="0.3">
      <c r="A12" s="114" t="s">
        <v>3470</v>
      </c>
      <c r="B12" s="82" t="str">
        <f t="shared" si="0"/>
        <v>Barraqueiro Transportes, S.A.</v>
      </c>
      <c r="C12" s="82" t="str">
        <f t="shared" si="1"/>
        <v>Mafrense</v>
      </c>
      <c r="D12" s="115" t="s">
        <v>1889</v>
      </c>
      <c r="E12" s="115" t="s">
        <v>1885</v>
      </c>
      <c r="F12" s="462">
        <v>16</v>
      </c>
      <c r="G12" s="136" t="s">
        <v>141</v>
      </c>
      <c r="H12" s="136"/>
      <c r="I12" s="91" t="s">
        <v>1887</v>
      </c>
      <c r="J12" s="136" t="s">
        <v>1639</v>
      </c>
      <c r="K12" s="136" t="s">
        <v>5926</v>
      </c>
      <c r="L12" s="136">
        <v>19500</v>
      </c>
      <c r="M12" s="250">
        <v>2022</v>
      </c>
      <c r="N12" s="250" t="s">
        <v>3499</v>
      </c>
      <c r="O12" s="250" t="s">
        <v>3501</v>
      </c>
    </row>
    <row r="13" spans="1:15" ht="15.75" thickBot="1" x14ac:dyDescent="0.3">
      <c r="A13" s="114" t="s">
        <v>3470</v>
      </c>
      <c r="B13" s="82" t="str">
        <f t="shared" si="0"/>
        <v>Barraqueiro Transportes, S.A.</v>
      </c>
      <c r="C13" s="82" t="str">
        <f t="shared" si="1"/>
        <v>Mafrense</v>
      </c>
      <c r="D13" s="115" t="s">
        <v>1889</v>
      </c>
      <c r="E13" s="115" t="s">
        <v>1885</v>
      </c>
      <c r="F13" s="462">
        <f>26+13</f>
        <v>39</v>
      </c>
      <c r="G13" s="136" t="s">
        <v>141</v>
      </c>
      <c r="H13" s="136"/>
      <c r="I13" s="91" t="s">
        <v>1887</v>
      </c>
      <c r="J13" s="136" t="s">
        <v>1640</v>
      </c>
      <c r="K13" s="136" t="s">
        <v>5926</v>
      </c>
      <c r="L13" s="136">
        <v>19500</v>
      </c>
      <c r="M13" s="250">
        <v>2022</v>
      </c>
      <c r="N13" s="250" t="s">
        <v>3499</v>
      </c>
      <c r="O13" s="250" t="s">
        <v>3501</v>
      </c>
    </row>
    <row r="14" spans="1:15" ht="15.75" thickBot="1" x14ac:dyDescent="0.3">
      <c r="A14" s="114" t="s">
        <v>3470</v>
      </c>
      <c r="B14" s="82" t="str">
        <f t="shared" si="0"/>
        <v>Barraqueiro Transportes, S.A.</v>
      </c>
      <c r="C14" s="82" t="str">
        <f t="shared" si="1"/>
        <v>Mafrense</v>
      </c>
      <c r="D14" s="115" t="s">
        <v>1642</v>
      </c>
      <c r="E14" s="115" t="s">
        <v>1885</v>
      </c>
      <c r="F14" s="462">
        <v>4</v>
      </c>
      <c r="G14" s="136" t="s">
        <v>141</v>
      </c>
      <c r="H14" s="136"/>
      <c r="I14" s="91" t="s">
        <v>1887</v>
      </c>
      <c r="J14" s="136" t="s">
        <v>1641</v>
      </c>
      <c r="K14" s="136" t="s">
        <v>5926</v>
      </c>
      <c r="L14" s="136">
        <v>5600</v>
      </c>
      <c r="M14" s="250">
        <v>2022</v>
      </c>
      <c r="N14" s="250" t="s">
        <v>3499</v>
      </c>
      <c r="O14" s="250" t="s">
        <v>3501</v>
      </c>
    </row>
    <row r="15" spans="1:15" ht="15.75" thickBot="1" x14ac:dyDescent="0.3">
      <c r="A15" s="114" t="s">
        <v>3470</v>
      </c>
      <c r="B15" s="82" t="str">
        <f t="shared" si="0"/>
        <v>Barraqueiro Transportes, S.A.</v>
      </c>
      <c r="C15" s="82" t="str">
        <f t="shared" si="1"/>
        <v>Mafrense</v>
      </c>
      <c r="D15" s="115" t="s">
        <v>1642</v>
      </c>
      <c r="E15" s="115" t="s">
        <v>1885</v>
      </c>
      <c r="F15" s="462">
        <v>10</v>
      </c>
      <c r="G15" s="136" t="s">
        <v>141</v>
      </c>
      <c r="H15" s="136"/>
      <c r="I15" s="91" t="s">
        <v>1887</v>
      </c>
      <c r="J15" s="136" t="s">
        <v>1643</v>
      </c>
      <c r="K15" s="136" t="s">
        <v>5926</v>
      </c>
      <c r="L15" s="136">
        <v>7200</v>
      </c>
      <c r="M15" s="250">
        <v>2022</v>
      </c>
      <c r="N15" s="250" t="s">
        <v>3499</v>
      </c>
      <c r="O15" s="250" t="s">
        <v>3501</v>
      </c>
    </row>
    <row r="16" spans="1:15" ht="15.75" thickBot="1" x14ac:dyDescent="0.3">
      <c r="A16" s="114" t="s">
        <v>3470</v>
      </c>
      <c r="B16" s="82" t="str">
        <f t="shared" si="0"/>
        <v>Barraqueiro Transportes, S.A.</v>
      </c>
      <c r="C16" s="82" t="str">
        <f t="shared" si="1"/>
        <v>Mafrense</v>
      </c>
      <c r="D16" s="115" t="s">
        <v>1642</v>
      </c>
      <c r="E16" s="115" t="s">
        <v>1885</v>
      </c>
      <c r="F16" s="462">
        <v>3</v>
      </c>
      <c r="G16" s="136" t="s">
        <v>141</v>
      </c>
      <c r="H16" s="136"/>
      <c r="I16" s="91" t="s">
        <v>1887</v>
      </c>
      <c r="J16" s="136" t="s">
        <v>1643</v>
      </c>
      <c r="K16" s="136" t="s">
        <v>5926</v>
      </c>
      <c r="L16" s="136">
        <v>7200</v>
      </c>
      <c r="M16" s="250">
        <v>2022</v>
      </c>
      <c r="N16" s="250" t="s">
        <v>3499</v>
      </c>
      <c r="O16" s="250" t="s">
        <v>3501</v>
      </c>
    </row>
    <row r="17" spans="1:15" ht="15.75" thickBot="1" x14ac:dyDescent="0.3">
      <c r="A17" s="114" t="s">
        <v>3470</v>
      </c>
      <c r="B17" s="82" t="str">
        <f t="shared" si="0"/>
        <v>Barraqueiro Transportes, S.A.</v>
      </c>
      <c r="C17" s="82" t="str">
        <f t="shared" si="1"/>
        <v>Mafrense</v>
      </c>
      <c r="D17" s="115" t="s">
        <v>1889</v>
      </c>
      <c r="E17" s="115" t="s">
        <v>1885</v>
      </c>
      <c r="F17" s="462">
        <v>10</v>
      </c>
      <c r="G17" s="136" t="s">
        <v>141</v>
      </c>
      <c r="H17" s="136"/>
      <c r="I17" s="91" t="s">
        <v>1887</v>
      </c>
      <c r="J17" s="136" t="s">
        <v>1645</v>
      </c>
      <c r="K17" s="136" t="s">
        <v>5926</v>
      </c>
      <c r="L17" s="136">
        <v>19500</v>
      </c>
      <c r="M17" s="250">
        <v>2022</v>
      </c>
      <c r="N17" s="250" t="s">
        <v>3499</v>
      </c>
      <c r="O17" s="250" t="s">
        <v>3501</v>
      </c>
    </row>
    <row r="18" spans="1:15" ht="15.75" thickBot="1" x14ac:dyDescent="0.3">
      <c r="A18" s="114" t="s">
        <v>3470</v>
      </c>
      <c r="B18" s="82" t="str">
        <f t="shared" si="0"/>
        <v>Barraqueiro Transportes, S.A.</v>
      </c>
      <c r="C18" s="82" t="str">
        <f t="shared" si="1"/>
        <v>Mafrense</v>
      </c>
      <c r="D18" s="115" t="s">
        <v>1889</v>
      </c>
      <c r="E18" s="115" t="s">
        <v>1885</v>
      </c>
      <c r="F18" s="462">
        <v>30</v>
      </c>
      <c r="G18" s="136" t="s">
        <v>141</v>
      </c>
      <c r="H18" s="136"/>
      <c r="I18" s="91" t="s">
        <v>1887</v>
      </c>
      <c r="J18" s="136" t="s">
        <v>1646</v>
      </c>
      <c r="K18" s="136" t="s">
        <v>5926</v>
      </c>
      <c r="L18" s="136">
        <v>19500</v>
      </c>
      <c r="M18" s="250">
        <v>2022</v>
      </c>
      <c r="N18" s="250" t="s">
        <v>3499</v>
      </c>
      <c r="O18" s="250" t="s">
        <v>3501</v>
      </c>
    </row>
    <row r="19" spans="1:15" ht="15.75" thickBot="1" x14ac:dyDescent="0.3">
      <c r="A19" t="s">
        <v>1910</v>
      </c>
      <c r="B19" t="s">
        <v>1910</v>
      </c>
      <c r="C19" s="82" t="str">
        <f t="shared" si="1"/>
        <v>X</v>
      </c>
      <c r="D19" s="267" t="s">
        <v>2963</v>
      </c>
      <c r="E19" s="267" t="s">
        <v>2964</v>
      </c>
      <c r="F19" s="463">
        <v>1</v>
      </c>
      <c r="G19" s="136" t="s">
        <v>141</v>
      </c>
      <c r="H19" s="268">
        <v>34998.370000000003</v>
      </c>
      <c r="I19" s="91" t="s">
        <v>1887</v>
      </c>
      <c r="J19" s="91" t="s">
        <v>2965</v>
      </c>
      <c r="K19" s="429" t="s">
        <v>5926</v>
      </c>
      <c r="L19" s="91" t="s">
        <v>2973</v>
      </c>
      <c r="M19" s="250">
        <v>2022</v>
      </c>
      <c r="N19" s="250" t="s">
        <v>3499</v>
      </c>
      <c r="O19" s="250" t="s">
        <v>3501</v>
      </c>
    </row>
    <row r="20" spans="1:15" ht="15.75" thickBot="1" x14ac:dyDescent="0.3">
      <c r="A20" t="s">
        <v>1916</v>
      </c>
      <c r="B20" t="s">
        <v>1916</v>
      </c>
      <c r="C20" s="82" t="str">
        <f t="shared" si="1"/>
        <v>X</v>
      </c>
      <c r="D20" s="115" t="s">
        <v>2979</v>
      </c>
      <c r="E20" s="115" t="s">
        <v>1885</v>
      </c>
      <c r="F20" s="463">
        <v>0</v>
      </c>
      <c r="G20" s="136" t="s">
        <v>141</v>
      </c>
      <c r="H20" s="91"/>
      <c r="I20" s="369" t="s">
        <v>1887</v>
      </c>
      <c r="J20" s="91" t="s">
        <v>2966</v>
      </c>
      <c r="K20" s="429" t="s">
        <v>5927</v>
      </c>
      <c r="L20" s="266" t="s">
        <v>2974</v>
      </c>
      <c r="M20" s="250">
        <v>2022</v>
      </c>
      <c r="N20" s="250" t="s">
        <v>3499</v>
      </c>
      <c r="O20" s="250" t="s">
        <v>3501</v>
      </c>
    </row>
    <row r="21" spans="1:15" ht="15.75" thickBot="1" x14ac:dyDescent="0.3">
      <c r="A21" t="s">
        <v>1916</v>
      </c>
      <c r="B21" t="s">
        <v>1916</v>
      </c>
      <c r="C21" s="82" t="str">
        <f t="shared" si="1"/>
        <v>X</v>
      </c>
      <c r="D21" s="115" t="s">
        <v>2979</v>
      </c>
      <c r="E21" s="115" t="s">
        <v>1885</v>
      </c>
      <c r="F21" s="463">
        <v>0</v>
      </c>
      <c r="G21" s="136" t="s">
        <v>141</v>
      </c>
      <c r="H21" s="91"/>
      <c r="I21" s="369" t="s">
        <v>1887</v>
      </c>
      <c r="J21" s="91" t="s">
        <v>2967</v>
      </c>
      <c r="K21" s="429" t="s">
        <v>5927</v>
      </c>
      <c r="L21" s="266" t="s">
        <v>2975</v>
      </c>
      <c r="M21" s="250">
        <v>2022</v>
      </c>
      <c r="N21" s="250" t="s">
        <v>3499</v>
      </c>
      <c r="O21" s="250" t="s">
        <v>3501</v>
      </c>
    </row>
    <row r="22" spans="1:15" ht="15.75" thickBot="1" x14ac:dyDescent="0.3">
      <c r="A22" t="s">
        <v>1916</v>
      </c>
      <c r="B22" t="s">
        <v>1916</v>
      </c>
      <c r="C22" s="82" t="str">
        <f t="shared" si="1"/>
        <v>X</v>
      </c>
      <c r="D22" s="115" t="s">
        <v>1889</v>
      </c>
      <c r="E22" s="115" t="s">
        <v>1885</v>
      </c>
      <c r="F22" s="123">
        <v>14</v>
      </c>
      <c r="G22" s="136" t="s">
        <v>141</v>
      </c>
      <c r="H22" s="91"/>
      <c r="I22" s="369" t="s">
        <v>1887</v>
      </c>
      <c r="J22" s="91" t="s">
        <v>2968</v>
      </c>
      <c r="K22" s="429" t="s">
        <v>5927</v>
      </c>
      <c r="L22" s="91"/>
      <c r="M22" s="250">
        <v>2022</v>
      </c>
      <c r="N22" s="250" t="s">
        <v>3499</v>
      </c>
      <c r="O22" s="250" t="s">
        <v>3501</v>
      </c>
    </row>
    <row r="23" spans="1:15" ht="15.75" thickBot="1" x14ac:dyDescent="0.3">
      <c r="A23" t="s">
        <v>4583</v>
      </c>
      <c r="B23" t="s">
        <v>4583</v>
      </c>
      <c r="C23" s="82" t="str">
        <f t="shared" si="1"/>
        <v>X</v>
      </c>
      <c r="D23" s="83" t="s">
        <v>2981</v>
      </c>
      <c r="E23" s="115" t="s">
        <v>2980</v>
      </c>
      <c r="F23" s="123">
        <v>5</v>
      </c>
      <c r="G23" s="136" t="s">
        <v>141</v>
      </c>
      <c r="H23" s="269">
        <v>1269776.7999999998</v>
      </c>
      <c r="I23" s="91" t="s">
        <v>1887</v>
      </c>
      <c r="J23" s="91" t="s">
        <v>2969</v>
      </c>
      <c r="K23" s="429" t="s">
        <v>5926</v>
      </c>
      <c r="L23" s="91" t="s">
        <v>2976</v>
      </c>
      <c r="M23" s="250">
        <v>2022</v>
      </c>
      <c r="N23" s="250" t="s">
        <v>3499</v>
      </c>
      <c r="O23" s="250" t="s">
        <v>3501</v>
      </c>
    </row>
    <row r="24" spans="1:15" ht="15.75" thickBot="1" x14ac:dyDescent="0.3">
      <c r="A24" s="330" t="s">
        <v>4585</v>
      </c>
      <c r="B24" s="330" t="s">
        <v>4585</v>
      </c>
      <c r="C24" s="82" t="str">
        <f t="shared" si="1"/>
        <v>X</v>
      </c>
      <c r="D24" s="83" t="s">
        <v>2981</v>
      </c>
      <c r="E24" s="115" t="s">
        <v>2980</v>
      </c>
      <c r="F24" s="123">
        <v>10</v>
      </c>
      <c r="G24" s="136" t="s">
        <v>141</v>
      </c>
      <c r="H24" s="269">
        <f>199955.4*10</f>
        <v>1999554</v>
      </c>
      <c r="I24" s="91" t="s">
        <v>1887</v>
      </c>
      <c r="J24" s="91" t="s">
        <v>2969</v>
      </c>
      <c r="K24" s="429" t="s">
        <v>5926</v>
      </c>
      <c r="L24" s="91" t="s">
        <v>2977</v>
      </c>
      <c r="M24" s="250">
        <v>2022</v>
      </c>
      <c r="N24" s="250" t="s">
        <v>3499</v>
      </c>
      <c r="O24" s="250" t="s">
        <v>3501</v>
      </c>
    </row>
    <row r="25" spans="1:15" ht="15.75" thickBot="1" x14ac:dyDescent="0.3">
      <c r="A25" t="s">
        <v>4584</v>
      </c>
      <c r="B25" t="s">
        <v>4584</v>
      </c>
      <c r="C25" s="82" t="str">
        <f t="shared" si="1"/>
        <v>X</v>
      </c>
      <c r="D25" s="267" t="s">
        <v>2963</v>
      </c>
      <c r="E25" s="115" t="s">
        <v>1885</v>
      </c>
      <c r="F25" s="123">
        <v>2</v>
      </c>
      <c r="G25" s="136" t="s">
        <v>141</v>
      </c>
      <c r="H25" s="270">
        <f>39628.87*2</f>
        <v>79257.740000000005</v>
      </c>
      <c r="I25" s="91" t="s">
        <v>1887</v>
      </c>
      <c r="J25" s="91" t="s">
        <v>2970</v>
      </c>
      <c r="K25" s="429" t="s">
        <v>5926</v>
      </c>
      <c r="L25" s="91"/>
      <c r="M25" s="250">
        <v>2022</v>
      </c>
      <c r="N25" s="250" t="s">
        <v>3499</v>
      </c>
      <c r="O25" s="250" t="s">
        <v>3501</v>
      </c>
    </row>
    <row r="26" spans="1:15" ht="15.75" thickBot="1" x14ac:dyDescent="0.3">
      <c r="A26" t="s">
        <v>4584</v>
      </c>
      <c r="B26" t="s">
        <v>4584</v>
      </c>
      <c r="C26" s="82" t="str">
        <f t="shared" si="1"/>
        <v>X</v>
      </c>
      <c r="D26" s="267" t="s">
        <v>2963</v>
      </c>
      <c r="E26" s="115" t="s">
        <v>1885</v>
      </c>
      <c r="F26" s="123">
        <v>1</v>
      </c>
      <c r="G26" s="136" t="s">
        <v>141</v>
      </c>
      <c r="H26" s="270">
        <v>27000</v>
      </c>
      <c r="I26" s="369" t="s">
        <v>1887</v>
      </c>
      <c r="J26" s="91" t="s">
        <v>2971</v>
      </c>
      <c r="K26" s="429" t="s">
        <v>5927</v>
      </c>
      <c r="L26" s="91" t="s">
        <v>2978</v>
      </c>
      <c r="M26" s="250">
        <v>2022</v>
      </c>
      <c r="N26" s="250" t="s">
        <v>3499</v>
      </c>
      <c r="O26" s="250" t="s">
        <v>3501</v>
      </c>
    </row>
    <row r="27" spans="1:15" ht="15.75" thickBot="1" x14ac:dyDescent="0.3">
      <c r="A27" t="s">
        <v>4583</v>
      </c>
      <c r="B27" t="s">
        <v>4583</v>
      </c>
      <c r="C27" s="82" t="str">
        <f t="shared" si="1"/>
        <v>X</v>
      </c>
      <c r="D27" s="267" t="s">
        <v>2963</v>
      </c>
      <c r="E27" s="115" t="s">
        <v>1885</v>
      </c>
      <c r="F27" s="123">
        <v>1</v>
      </c>
      <c r="G27" s="136" t="s">
        <v>141</v>
      </c>
      <c r="H27" s="270">
        <v>26000</v>
      </c>
      <c r="I27" s="369" t="s">
        <v>1887</v>
      </c>
      <c r="J27" s="91" t="s">
        <v>2971</v>
      </c>
      <c r="K27" s="429" t="s">
        <v>5927</v>
      </c>
      <c r="L27" s="91" t="s">
        <v>2978</v>
      </c>
      <c r="M27" s="250">
        <v>2022</v>
      </c>
      <c r="N27" s="250" t="s">
        <v>3499</v>
      </c>
      <c r="O27" s="250" t="s">
        <v>3501</v>
      </c>
    </row>
    <row r="28" spans="1:15" ht="15.75" thickBot="1" x14ac:dyDescent="0.3">
      <c r="A28" t="s">
        <v>2868</v>
      </c>
      <c r="B28" t="s">
        <v>2868</v>
      </c>
      <c r="C28" s="82" t="str">
        <f t="shared" si="1"/>
        <v>X</v>
      </c>
      <c r="D28" s="83" t="s">
        <v>1889</v>
      </c>
      <c r="E28" s="115" t="s">
        <v>1885</v>
      </c>
      <c r="F28" s="123">
        <v>41</v>
      </c>
      <c r="G28" s="136" t="s">
        <v>141</v>
      </c>
      <c r="H28" s="91"/>
      <c r="I28" s="369" t="s">
        <v>1887</v>
      </c>
      <c r="J28" s="91" t="s">
        <v>2972</v>
      </c>
      <c r="K28" s="429" t="s">
        <v>5927</v>
      </c>
      <c r="M28" s="250">
        <v>2022</v>
      </c>
      <c r="N28" s="250" t="s">
        <v>3499</v>
      </c>
      <c r="O28" s="250" t="s">
        <v>3501</v>
      </c>
    </row>
    <row r="29" spans="1:15" ht="15.75" thickBot="1" x14ac:dyDescent="0.3">
      <c r="A29" t="s">
        <v>4592</v>
      </c>
      <c r="B29" t="s">
        <v>4592</v>
      </c>
      <c r="C29" s="82" t="str">
        <f t="shared" si="1"/>
        <v>X</v>
      </c>
      <c r="D29" s="83" t="s">
        <v>2981</v>
      </c>
      <c r="E29" s="115" t="s">
        <v>1885</v>
      </c>
      <c r="F29" s="123">
        <v>1</v>
      </c>
      <c r="G29" s="136" t="s">
        <v>141</v>
      </c>
      <c r="H29" s="91"/>
      <c r="I29" s="369" t="s">
        <v>1887</v>
      </c>
      <c r="J29" s="91" t="s">
        <v>2972</v>
      </c>
      <c r="K29" s="429" t="s">
        <v>5927</v>
      </c>
      <c r="M29" s="250">
        <v>2022</v>
      </c>
      <c r="N29" s="250" t="s">
        <v>3499</v>
      </c>
      <c r="O29" s="250" t="s">
        <v>3501</v>
      </c>
    </row>
    <row r="30" spans="1:15" ht="15.75" thickBot="1" x14ac:dyDescent="0.3">
      <c r="A30" t="s">
        <v>4592</v>
      </c>
      <c r="B30" t="s">
        <v>4592</v>
      </c>
      <c r="C30" s="82" t="str">
        <f t="shared" si="1"/>
        <v>X</v>
      </c>
      <c r="D30" s="83" t="s">
        <v>1889</v>
      </c>
      <c r="E30" s="115" t="s">
        <v>1885</v>
      </c>
      <c r="F30" s="123">
        <v>9</v>
      </c>
      <c r="G30" s="136" t="s">
        <v>141</v>
      </c>
      <c r="H30" s="91"/>
      <c r="I30" s="369" t="s">
        <v>1887</v>
      </c>
      <c r="J30" s="91" t="s">
        <v>2972</v>
      </c>
      <c r="K30" s="429" t="s">
        <v>5927</v>
      </c>
      <c r="M30" s="250">
        <v>2022</v>
      </c>
      <c r="N30" s="250" t="s">
        <v>3499</v>
      </c>
      <c r="O30" s="250" t="s">
        <v>3501</v>
      </c>
    </row>
    <row r="31" spans="1:15" ht="15.75" thickBot="1" x14ac:dyDescent="0.3">
      <c r="A31" t="s">
        <v>4593</v>
      </c>
      <c r="B31" t="s">
        <v>4593</v>
      </c>
      <c r="C31" s="82" t="str">
        <f t="shared" si="1"/>
        <v>X</v>
      </c>
      <c r="D31" s="83" t="s">
        <v>2981</v>
      </c>
      <c r="E31" s="115" t="s">
        <v>1885</v>
      </c>
      <c r="F31" s="123">
        <v>2</v>
      </c>
      <c r="G31" s="136" t="s">
        <v>141</v>
      </c>
      <c r="H31" s="91"/>
      <c r="I31" s="369" t="s">
        <v>1887</v>
      </c>
      <c r="J31" s="91" t="s">
        <v>2972</v>
      </c>
      <c r="K31" s="429" t="s">
        <v>5927</v>
      </c>
      <c r="M31" s="250">
        <v>2022</v>
      </c>
      <c r="N31" s="250" t="s">
        <v>3499</v>
      </c>
      <c r="O31" s="250" t="s">
        <v>3501</v>
      </c>
    </row>
    <row r="32" spans="1:15" ht="15.75" thickBot="1" x14ac:dyDescent="0.3">
      <c r="A32" t="s">
        <v>4594</v>
      </c>
      <c r="B32" t="s">
        <v>4594</v>
      </c>
      <c r="C32" s="82" t="str">
        <f t="shared" si="1"/>
        <v>X</v>
      </c>
      <c r="D32" s="83" t="s">
        <v>1889</v>
      </c>
      <c r="E32" s="115" t="s">
        <v>1885</v>
      </c>
      <c r="F32" s="123">
        <v>6</v>
      </c>
      <c r="G32" s="136" t="s">
        <v>141</v>
      </c>
      <c r="H32" s="91"/>
      <c r="I32" s="369" t="s">
        <v>1887</v>
      </c>
      <c r="J32" s="91" t="s">
        <v>2972</v>
      </c>
      <c r="K32" s="429" t="s">
        <v>5927</v>
      </c>
      <c r="M32" s="250">
        <v>2022</v>
      </c>
      <c r="N32" s="250" t="s">
        <v>3499</v>
      </c>
      <c r="O32" s="250" t="s">
        <v>3501</v>
      </c>
    </row>
    <row r="33" spans="1:15" ht="15.75" thickBot="1" x14ac:dyDescent="0.3">
      <c r="A33" t="s">
        <v>4595</v>
      </c>
      <c r="B33" t="s">
        <v>4595</v>
      </c>
      <c r="C33" s="82" t="str">
        <f t="shared" si="1"/>
        <v>X</v>
      </c>
      <c r="D33" s="83" t="s">
        <v>1889</v>
      </c>
      <c r="E33" s="115" t="s">
        <v>1885</v>
      </c>
      <c r="F33" s="123">
        <v>7</v>
      </c>
      <c r="G33" s="136" t="s">
        <v>141</v>
      </c>
      <c r="H33" s="91"/>
      <c r="I33" s="369" t="s">
        <v>1887</v>
      </c>
      <c r="J33" s="91" t="s">
        <v>2972</v>
      </c>
      <c r="K33" s="429" t="s">
        <v>5927</v>
      </c>
      <c r="M33" s="250">
        <v>2022</v>
      </c>
      <c r="N33" s="250" t="s">
        <v>3499</v>
      </c>
      <c r="O33" s="250" t="s">
        <v>3501</v>
      </c>
    </row>
    <row r="34" spans="1:15" ht="15.75" thickBot="1" x14ac:dyDescent="0.3">
      <c r="A34" s="82" t="s">
        <v>4598</v>
      </c>
      <c r="B34" s="82" t="s">
        <v>4598</v>
      </c>
      <c r="C34" s="82" t="str">
        <f t="shared" ref="C34:C63" si="2">IF(A34=B34,"X",RIGHT(A34,LEN(A34)-LEN(B34)-3))</f>
        <v>X</v>
      </c>
      <c r="D34" s="83" t="s">
        <v>1889</v>
      </c>
      <c r="E34" s="115" t="s">
        <v>1885</v>
      </c>
      <c r="F34" s="464">
        <v>1</v>
      </c>
      <c r="G34" s="136" t="s">
        <v>141</v>
      </c>
      <c r="H34" s="370">
        <v>26829.27</v>
      </c>
      <c r="I34" s="369" t="s">
        <v>1887</v>
      </c>
      <c r="J34" s="91" t="s">
        <v>3801</v>
      </c>
      <c r="K34" s="429" t="s">
        <v>5927</v>
      </c>
      <c r="M34" s="250">
        <v>2022</v>
      </c>
      <c r="N34" s="250" t="s">
        <v>3499</v>
      </c>
      <c r="O34" s="250" t="s">
        <v>3501</v>
      </c>
    </row>
    <row r="35" spans="1:15" ht="15.75" customHeight="1" thickBot="1" x14ac:dyDescent="0.3">
      <c r="A35" s="82" t="s">
        <v>4643</v>
      </c>
      <c r="B35" s="82" t="s">
        <v>4643</v>
      </c>
      <c r="C35" s="82" t="str">
        <f t="shared" si="2"/>
        <v>X</v>
      </c>
      <c r="D35" s="83" t="s">
        <v>1889</v>
      </c>
      <c r="E35" s="115" t="s">
        <v>1885</v>
      </c>
      <c r="F35" s="464">
        <v>1</v>
      </c>
      <c r="G35" s="136" t="s">
        <v>141</v>
      </c>
      <c r="H35" s="370">
        <v>94000</v>
      </c>
      <c r="I35" s="369" t="s">
        <v>1887</v>
      </c>
      <c r="J35" s="91" t="s">
        <v>3802</v>
      </c>
      <c r="K35" s="429" t="s">
        <v>5927</v>
      </c>
      <c r="M35" s="250">
        <v>2022</v>
      </c>
      <c r="N35" s="250" t="s">
        <v>3499</v>
      </c>
      <c r="O35" s="250" t="s">
        <v>3501</v>
      </c>
    </row>
    <row r="36" spans="1:15" ht="15.75" thickBot="1" x14ac:dyDescent="0.3">
      <c r="A36" t="s">
        <v>4661</v>
      </c>
      <c r="B36" t="s">
        <v>4661</v>
      </c>
      <c r="C36" s="424" t="str">
        <f t="shared" si="2"/>
        <v>X</v>
      </c>
      <c r="D36" t="s">
        <v>2979</v>
      </c>
      <c r="E36" s="115" t="s">
        <v>2980</v>
      </c>
      <c r="F36" s="1">
        <v>23</v>
      </c>
      <c r="G36" s="136" t="s">
        <v>141</v>
      </c>
      <c r="I36" s="429" t="s">
        <v>1887</v>
      </c>
      <c r="J36" s="422" t="s">
        <v>5928</v>
      </c>
      <c r="K36" s="429" t="s">
        <v>5926</v>
      </c>
      <c r="L36" s="459">
        <f>H36/F36</f>
        <v>0</v>
      </c>
      <c r="M36" s="89">
        <v>2023</v>
      </c>
      <c r="N36" s="89" t="s">
        <v>3499</v>
      </c>
      <c r="O36" s="89" t="s">
        <v>3501</v>
      </c>
    </row>
    <row r="37" spans="1:15" ht="15.75" thickBot="1" x14ac:dyDescent="0.3">
      <c r="A37" t="s">
        <v>1916</v>
      </c>
      <c r="B37" t="s">
        <v>1916</v>
      </c>
      <c r="C37" s="424" t="str">
        <f t="shared" si="2"/>
        <v>X</v>
      </c>
      <c r="D37" t="s">
        <v>1889</v>
      </c>
      <c r="E37" s="115" t="s">
        <v>1885</v>
      </c>
      <c r="F37" s="1">
        <v>4</v>
      </c>
      <c r="G37" s="136" t="s">
        <v>141</v>
      </c>
      <c r="I37" s="369" t="s">
        <v>1887</v>
      </c>
      <c r="J37" s="422" t="s">
        <v>2967</v>
      </c>
      <c r="K37" s="429" t="s">
        <v>5927</v>
      </c>
      <c r="L37" s="459">
        <f t="shared" ref="L37:L38" si="3">H37/F37</f>
        <v>0</v>
      </c>
      <c r="M37" s="89">
        <v>2023</v>
      </c>
      <c r="N37" s="89" t="s">
        <v>3499</v>
      </c>
      <c r="O37" s="89" t="s">
        <v>3501</v>
      </c>
    </row>
    <row r="38" spans="1:15" ht="15.75" thickBot="1" x14ac:dyDescent="0.3">
      <c r="A38" t="s">
        <v>1916</v>
      </c>
      <c r="B38" t="s">
        <v>1916</v>
      </c>
      <c r="C38" s="424" t="str">
        <f t="shared" si="2"/>
        <v>X</v>
      </c>
      <c r="D38" t="s">
        <v>1889</v>
      </c>
      <c r="E38" s="115" t="s">
        <v>1885</v>
      </c>
      <c r="F38" s="1">
        <v>39</v>
      </c>
      <c r="G38" s="136" t="s">
        <v>141</v>
      </c>
      <c r="I38" s="429" t="s">
        <v>1887</v>
      </c>
      <c r="J38" s="422" t="s">
        <v>2967</v>
      </c>
      <c r="K38" s="429" t="s">
        <v>5927</v>
      </c>
      <c r="L38" s="459">
        <f t="shared" si="3"/>
        <v>0</v>
      </c>
      <c r="M38" s="428">
        <v>2023</v>
      </c>
      <c r="N38" s="428" t="s">
        <v>3499</v>
      </c>
      <c r="O38" s="428" t="s">
        <v>3501</v>
      </c>
    </row>
    <row r="39" spans="1:15" ht="15.75" thickBot="1" x14ac:dyDescent="0.3">
      <c r="A39" t="s">
        <v>4583</v>
      </c>
      <c r="B39" t="s">
        <v>4583</v>
      </c>
      <c r="C39" s="424" t="str">
        <f t="shared" si="2"/>
        <v>X</v>
      </c>
      <c r="D39" s="422" t="s">
        <v>5937</v>
      </c>
      <c r="E39" s="115" t="s">
        <v>1885</v>
      </c>
      <c r="F39" s="1">
        <v>2</v>
      </c>
      <c r="G39" s="136" t="s">
        <v>141</v>
      </c>
      <c r="H39">
        <v>593898</v>
      </c>
      <c r="I39" s="429" t="s">
        <v>1887</v>
      </c>
      <c r="J39" s="422" t="s">
        <v>5929</v>
      </c>
      <c r="K39" s="429" t="s">
        <v>5926</v>
      </c>
      <c r="L39" s="459"/>
      <c r="M39" s="428">
        <v>2023</v>
      </c>
      <c r="N39" s="428" t="s">
        <v>3499</v>
      </c>
      <c r="O39" s="428" t="s">
        <v>3501</v>
      </c>
    </row>
    <row r="40" spans="1:15" ht="15.75" thickBot="1" x14ac:dyDescent="0.3">
      <c r="A40" t="s">
        <v>4583</v>
      </c>
      <c r="B40" t="s">
        <v>4583</v>
      </c>
      <c r="C40" s="424" t="str">
        <f t="shared" si="2"/>
        <v>X</v>
      </c>
      <c r="D40" t="s">
        <v>1642</v>
      </c>
      <c r="E40" s="115" t="s">
        <v>1885</v>
      </c>
      <c r="F40" s="1">
        <v>4</v>
      </c>
      <c r="G40" s="136" t="s">
        <v>141</v>
      </c>
      <c r="H40">
        <v>122110</v>
      </c>
      <c r="I40" s="369" t="s">
        <v>1887</v>
      </c>
      <c r="J40" s="422" t="s">
        <v>5930</v>
      </c>
      <c r="K40" s="429" t="s">
        <v>5927</v>
      </c>
      <c r="L40" s="459"/>
      <c r="M40" s="428">
        <v>2023</v>
      </c>
      <c r="N40" s="428" t="s">
        <v>3499</v>
      </c>
      <c r="O40" s="428" t="s">
        <v>3501</v>
      </c>
    </row>
    <row r="41" spans="1:15" ht="15.75" thickBot="1" x14ac:dyDescent="0.3">
      <c r="A41" t="s">
        <v>4583</v>
      </c>
      <c r="B41" t="s">
        <v>4583</v>
      </c>
      <c r="C41" s="424" t="str">
        <f t="shared" si="2"/>
        <v>X</v>
      </c>
      <c r="D41" t="s">
        <v>1889</v>
      </c>
      <c r="E41" s="115" t="s">
        <v>1885</v>
      </c>
      <c r="F41" s="1">
        <v>2</v>
      </c>
      <c r="G41" s="136" t="s">
        <v>141</v>
      </c>
      <c r="H41">
        <v>497600</v>
      </c>
      <c r="I41" s="429" t="s">
        <v>1887</v>
      </c>
      <c r="J41" s="422" t="s">
        <v>5931</v>
      </c>
      <c r="K41" s="429" t="s">
        <v>5926</v>
      </c>
      <c r="L41" s="459"/>
      <c r="M41" s="428">
        <v>2023</v>
      </c>
      <c r="N41" s="428" t="s">
        <v>3499</v>
      </c>
      <c r="O41" s="428" t="s">
        <v>3501</v>
      </c>
    </row>
    <row r="42" spans="1:15" ht="15.75" thickBot="1" x14ac:dyDescent="0.3">
      <c r="A42" t="s">
        <v>4583</v>
      </c>
      <c r="B42" t="s">
        <v>4583</v>
      </c>
      <c r="C42" s="424" t="str">
        <f t="shared" si="2"/>
        <v>X</v>
      </c>
      <c r="D42" t="s">
        <v>2963</v>
      </c>
      <c r="E42" s="115" t="s">
        <v>1885</v>
      </c>
      <c r="F42" s="1">
        <v>1</v>
      </c>
      <c r="G42" s="136" t="s">
        <v>141</v>
      </c>
      <c r="H42">
        <v>3075</v>
      </c>
      <c r="I42" s="369" t="s">
        <v>1887</v>
      </c>
      <c r="J42" s="422" t="s">
        <v>5932</v>
      </c>
      <c r="K42" s="429" t="s">
        <v>5927</v>
      </c>
      <c r="L42" s="459"/>
      <c r="M42" s="428">
        <v>2023</v>
      </c>
      <c r="N42" s="428" t="s">
        <v>3499</v>
      </c>
      <c r="O42" s="428" t="s">
        <v>3501</v>
      </c>
    </row>
    <row r="43" spans="1:15" ht="15.75" thickBot="1" x14ac:dyDescent="0.3">
      <c r="A43" t="s">
        <v>4584</v>
      </c>
      <c r="B43" t="s">
        <v>4584</v>
      </c>
      <c r="C43" s="424" t="str">
        <f t="shared" si="2"/>
        <v>X</v>
      </c>
      <c r="D43" s="422" t="s">
        <v>2963</v>
      </c>
      <c r="E43" s="115" t="s">
        <v>1885</v>
      </c>
      <c r="F43" s="1">
        <v>4</v>
      </c>
      <c r="G43" s="136" t="s">
        <v>141</v>
      </c>
      <c r="H43">
        <v>164950</v>
      </c>
      <c r="I43" s="429" t="s">
        <v>1887</v>
      </c>
      <c r="J43" s="422" t="s">
        <v>2970</v>
      </c>
      <c r="K43" s="429" t="s">
        <v>5926</v>
      </c>
      <c r="L43" s="459"/>
      <c r="M43" s="428">
        <v>2023</v>
      </c>
      <c r="N43" s="428" t="s">
        <v>3499</v>
      </c>
      <c r="O43" s="428" t="s">
        <v>3501</v>
      </c>
    </row>
    <row r="44" spans="1:15" ht="15.75" thickBot="1" x14ac:dyDescent="0.3">
      <c r="A44" t="s">
        <v>4584</v>
      </c>
      <c r="B44" t="s">
        <v>4584</v>
      </c>
      <c r="C44" s="424" t="str">
        <f t="shared" si="2"/>
        <v>X</v>
      </c>
      <c r="D44" s="422" t="s">
        <v>2963</v>
      </c>
      <c r="E44" s="115" t="s">
        <v>1885</v>
      </c>
      <c r="F44" s="1">
        <v>1</v>
      </c>
      <c r="G44" s="136" t="s">
        <v>141</v>
      </c>
      <c r="H44">
        <v>16991.86</v>
      </c>
      <c r="I44" s="369" t="s">
        <v>1887</v>
      </c>
      <c r="J44" s="422" t="s">
        <v>5933</v>
      </c>
      <c r="K44" s="429" t="s">
        <v>5927</v>
      </c>
      <c r="L44" s="459"/>
      <c r="M44" s="428">
        <v>2023</v>
      </c>
      <c r="N44" s="428" t="s">
        <v>3499</v>
      </c>
      <c r="O44" s="428" t="s">
        <v>3501</v>
      </c>
    </row>
    <row r="45" spans="1:15" ht="15.75" thickBot="1" x14ac:dyDescent="0.3">
      <c r="A45" t="s">
        <v>3475</v>
      </c>
      <c r="B45" t="s">
        <v>3475</v>
      </c>
      <c r="C45" s="424" t="str">
        <f t="shared" si="2"/>
        <v>X</v>
      </c>
      <c r="D45" s="115" t="s">
        <v>2979</v>
      </c>
      <c r="E45" s="115" t="s">
        <v>2980</v>
      </c>
      <c r="F45" s="1">
        <v>10</v>
      </c>
      <c r="G45" s="136" t="s">
        <v>141</v>
      </c>
      <c r="H45">
        <v>2948053.6</v>
      </c>
      <c r="I45" s="429" t="s">
        <v>1887</v>
      </c>
      <c r="J45" s="422" t="s">
        <v>2969</v>
      </c>
      <c r="K45" s="429" t="s">
        <v>5926</v>
      </c>
      <c r="L45" s="459"/>
      <c r="M45" s="428">
        <v>2023</v>
      </c>
      <c r="N45" s="428" t="s">
        <v>3499</v>
      </c>
      <c r="O45" s="428" t="s">
        <v>3501</v>
      </c>
    </row>
    <row r="46" spans="1:15" ht="15.75" thickBot="1" x14ac:dyDescent="0.3">
      <c r="A46" t="s">
        <v>4585</v>
      </c>
      <c r="B46" t="s">
        <v>4585</v>
      </c>
      <c r="C46" s="424" t="str">
        <f t="shared" si="2"/>
        <v>X</v>
      </c>
      <c r="D46" s="115" t="s">
        <v>2979</v>
      </c>
      <c r="E46" s="115" t="s">
        <v>2980</v>
      </c>
      <c r="F46" s="1">
        <v>8</v>
      </c>
      <c r="G46" s="136" t="s">
        <v>141</v>
      </c>
      <c r="H46">
        <v>2313642.88</v>
      </c>
      <c r="I46" s="429" t="s">
        <v>1887</v>
      </c>
      <c r="J46" s="422" t="s">
        <v>2969</v>
      </c>
      <c r="K46" s="429" t="s">
        <v>5926</v>
      </c>
      <c r="L46" s="459"/>
      <c r="M46" s="428">
        <v>2023</v>
      </c>
      <c r="N46" s="428" t="s">
        <v>3499</v>
      </c>
      <c r="O46" s="428" t="s">
        <v>3501</v>
      </c>
    </row>
    <row r="47" spans="1:15" ht="15.75" thickBot="1" x14ac:dyDescent="0.3">
      <c r="A47" t="s">
        <v>4585</v>
      </c>
      <c r="B47" t="s">
        <v>4585</v>
      </c>
      <c r="C47" s="424" t="str">
        <f t="shared" si="2"/>
        <v>X</v>
      </c>
      <c r="D47" t="s">
        <v>1642</v>
      </c>
      <c r="E47" s="115" t="s">
        <v>1885</v>
      </c>
      <c r="F47" s="1">
        <v>3</v>
      </c>
      <c r="G47" s="136" t="s">
        <v>141</v>
      </c>
      <c r="H47">
        <v>71756.09</v>
      </c>
      <c r="I47" s="369" t="s">
        <v>1887</v>
      </c>
      <c r="J47" s="422" t="s">
        <v>5930</v>
      </c>
      <c r="K47" s="429" t="s">
        <v>5927</v>
      </c>
      <c r="L47" s="459"/>
      <c r="M47" s="428">
        <v>2023</v>
      </c>
      <c r="N47" s="428" t="s">
        <v>3499</v>
      </c>
      <c r="O47" s="428" t="s">
        <v>3501</v>
      </c>
    </row>
    <row r="48" spans="1:15" ht="15.75" thickBot="1" x14ac:dyDescent="0.3">
      <c r="A48" t="s">
        <v>4585</v>
      </c>
      <c r="B48" t="s">
        <v>4585</v>
      </c>
      <c r="C48" s="424" t="str">
        <f t="shared" si="2"/>
        <v>X</v>
      </c>
      <c r="D48" t="s">
        <v>1642</v>
      </c>
      <c r="E48" s="115" t="s">
        <v>1885</v>
      </c>
      <c r="F48" s="1">
        <v>2</v>
      </c>
      <c r="G48" s="136" t="s">
        <v>141</v>
      </c>
      <c r="H48">
        <v>88633.98</v>
      </c>
      <c r="I48" s="369" t="s">
        <v>1887</v>
      </c>
      <c r="J48" s="422" t="s">
        <v>5934</v>
      </c>
      <c r="K48" s="429" t="s">
        <v>5927</v>
      </c>
      <c r="L48" s="459"/>
      <c r="M48" s="428">
        <v>2023</v>
      </c>
      <c r="N48" s="428" t="s">
        <v>3499</v>
      </c>
      <c r="O48" s="428" t="s">
        <v>3501</v>
      </c>
    </row>
    <row r="49" spans="1:16" ht="15.75" thickBot="1" x14ac:dyDescent="0.3">
      <c r="A49" t="s">
        <v>4586</v>
      </c>
      <c r="B49" t="s">
        <v>4586</v>
      </c>
      <c r="C49" s="424" t="str">
        <f t="shared" si="2"/>
        <v>X</v>
      </c>
      <c r="D49" t="s">
        <v>2979</v>
      </c>
      <c r="E49" s="115" t="s">
        <v>2980</v>
      </c>
      <c r="F49" s="1">
        <v>8</v>
      </c>
      <c r="G49" s="136" t="s">
        <v>141</v>
      </c>
      <c r="H49">
        <v>6335196.4800000004</v>
      </c>
      <c r="I49" s="429" t="s">
        <v>1887</v>
      </c>
      <c r="J49" s="422" t="s">
        <v>2969</v>
      </c>
      <c r="K49" s="429" t="s">
        <v>5926</v>
      </c>
      <c r="L49" t="s">
        <v>2976</v>
      </c>
      <c r="M49" s="428">
        <v>2023</v>
      </c>
      <c r="N49" s="428" t="s">
        <v>3499</v>
      </c>
      <c r="O49" s="428" t="s">
        <v>3501</v>
      </c>
    </row>
    <row r="50" spans="1:16" s="422" customFormat="1" ht="15.75" thickBot="1" x14ac:dyDescent="0.3">
      <c r="A50" s="422" t="s">
        <v>4586</v>
      </c>
      <c r="B50" s="422" t="s">
        <v>4586</v>
      </c>
      <c r="C50" s="424" t="str">
        <f t="shared" ref="C50" si="4">IF(A50=B50,"X",RIGHT(A50,LEN(A50)-LEN(B50)-3))</f>
        <v>X</v>
      </c>
      <c r="D50" s="422" t="s">
        <v>1642</v>
      </c>
      <c r="E50" s="115" t="s">
        <v>2980</v>
      </c>
      <c r="F50" s="1">
        <v>10</v>
      </c>
      <c r="G50" s="136" t="s">
        <v>141</v>
      </c>
      <c r="H50" s="422">
        <v>6335196.4800000004</v>
      </c>
      <c r="I50" s="429" t="s">
        <v>1887</v>
      </c>
      <c r="J50" s="422" t="s">
        <v>2969</v>
      </c>
      <c r="K50" s="429" t="s">
        <v>5926</v>
      </c>
      <c r="L50" s="422" t="s">
        <v>2976</v>
      </c>
      <c r="M50" s="428">
        <v>2023</v>
      </c>
      <c r="N50" s="428" t="s">
        <v>3499</v>
      </c>
      <c r="O50" s="428" t="s">
        <v>3501</v>
      </c>
      <c r="P50" s="428"/>
    </row>
    <row r="51" spans="1:16" ht="15.75" thickBot="1" x14ac:dyDescent="0.3">
      <c r="A51" t="s">
        <v>4593</v>
      </c>
      <c r="B51" t="s">
        <v>4593</v>
      </c>
      <c r="C51" s="424" t="str">
        <f t="shared" si="2"/>
        <v>X</v>
      </c>
      <c r="D51" t="s">
        <v>2981</v>
      </c>
      <c r="E51" s="115" t="s">
        <v>1885</v>
      </c>
      <c r="F51" s="1">
        <v>4</v>
      </c>
      <c r="G51" s="136" t="s">
        <v>141</v>
      </c>
      <c r="I51" s="369" t="s">
        <v>1887</v>
      </c>
      <c r="J51" s="422" t="s">
        <v>5927</v>
      </c>
      <c r="K51" s="429" t="s">
        <v>5927</v>
      </c>
      <c r="L51" s="459"/>
      <c r="M51" s="428">
        <v>2023</v>
      </c>
      <c r="N51" s="428" t="s">
        <v>3499</v>
      </c>
      <c r="O51" s="428" t="s">
        <v>3501</v>
      </c>
    </row>
    <row r="52" spans="1:16" ht="15.75" thickBot="1" x14ac:dyDescent="0.3">
      <c r="A52" t="s">
        <v>4594</v>
      </c>
      <c r="B52" t="s">
        <v>4594</v>
      </c>
      <c r="C52" s="424" t="str">
        <f t="shared" si="2"/>
        <v>X</v>
      </c>
      <c r="D52" t="s">
        <v>2981</v>
      </c>
      <c r="E52" s="115" t="s">
        <v>1885</v>
      </c>
      <c r="F52" s="1">
        <v>5</v>
      </c>
      <c r="G52" s="136" t="s">
        <v>141</v>
      </c>
      <c r="I52" s="369" t="s">
        <v>1887</v>
      </c>
      <c r="J52" s="422" t="s">
        <v>5927</v>
      </c>
      <c r="K52" s="429" t="s">
        <v>5927</v>
      </c>
      <c r="L52" s="459"/>
      <c r="M52" s="428">
        <v>2023</v>
      </c>
      <c r="N52" s="428" t="s">
        <v>3499</v>
      </c>
      <c r="O52" s="428" t="s">
        <v>3501</v>
      </c>
    </row>
    <row r="53" spans="1:16" ht="15.75" thickBot="1" x14ac:dyDescent="0.3">
      <c r="A53" t="s">
        <v>4670</v>
      </c>
      <c r="B53" t="s">
        <v>4670</v>
      </c>
      <c r="C53" s="424" t="str">
        <f t="shared" si="2"/>
        <v>X</v>
      </c>
      <c r="D53" t="s">
        <v>2981</v>
      </c>
      <c r="E53" s="115" t="s">
        <v>1885</v>
      </c>
      <c r="F53" s="1">
        <v>1</v>
      </c>
      <c r="G53" s="136" t="s">
        <v>141</v>
      </c>
      <c r="I53" s="369" t="s">
        <v>1887</v>
      </c>
      <c r="J53" s="422" t="s">
        <v>5927</v>
      </c>
      <c r="K53" s="429" t="s">
        <v>5927</v>
      </c>
      <c r="L53" s="459"/>
      <c r="M53" s="428">
        <v>2023</v>
      </c>
      <c r="N53" s="428" t="s">
        <v>3499</v>
      </c>
      <c r="O53" s="428" t="s">
        <v>3501</v>
      </c>
    </row>
    <row r="54" spans="1:16" ht="15.75" thickBot="1" x14ac:dyDescent="0.3">
      <c r="A54" t="s">
        <v>4592</v>
      </c>
      <c r="B54" t="s">
        <v>4592</v>
      </c>
      <c r="C54" s="424" t="str">
        <f t="shared" si="2"/>
        <v>X</v>
      </c>
      <c r="D54" t="s">
        <v>2981</v>
      </c>
      <c r="E54" s="115" t="s">
        <v>1885</v>
      </c>
      <c r="F54" s="1">
        <v>1</v>
      </c>
      <c r="G54" s="136" t="s">
        <v>141</v>
      </c>
      <c r="I54" s="369" t="s">
        <v>1887</v>
      </c>
      <c r="J54" s="422" t="s">
        <v>5927</v>
      </c>
      <c r="K54" s="429" t="s">
        <v>5927</v>
      </c>
      <c r="L54" s="459"/>
      <c r="M54" s="428">
        <v>2023</v>
      </c>
      <c r="N54" s="428" t="s">
        <v>3499</v>
      </c>
      <c r="O54" s="428" t="s">
        <v>3501</v>
      </c>
    </row>
    <row r="55" spans="1:16" ht="15.75" thickBot="1" x14ac:dyDescent="0.3">
      <c r="A55" t="s">
        <v>2868</v>
      </c>
      <c r="B55" t="s">
        <v>2868</v>
      </c>
      <c r="C55" s="424" t="str">
        <f t="shared" si="2"/>
        <v>X</v>
      </c>
      <c r="D55" t="s">
        <v>1888</v>
      </c>
      <c r="E55" s="115" t="s">
        <v>1885</v>
      </c>
      <c r="F55" s="1">
        <v>12</v>
      </c>
      <c r="G55" s="136" t="s">
        <v>141</v>
      </c>
      <c r="I55" s="429" t="s">
        <v>1887</v>
      </c>
      <c r="J55" s="422" t="s">
        <v>5926</v>
      </c>
      <c r="K55" s="429" t="s">
        <v>5926</v>
      </c>
      <c r="L55" s="459"/>
      <c r="M55" s="428">
        <v>2023</v>
      </c>
      <c r="N55" s="428" t="s">
        <v>3499</v>
      </c>
      <c r="O55" s="428" t="s">
        <v>3501</v>
      </c>
    </row>
    <row r="56" spans="1:16" ht="15.75" thickBot="1" x14ac:dyDescent="0.3">
      <c r="A56" t="s">
        <v>4592</v>
      </c>
      <c r="B56" t="s">
        <v>4592</v>
      </c>
      <c r="C56" s="424" t="str">
        <f t="shared" si="2"/>
        <v>X</v>
      </c>
      <c r="D56" t="s">
        <v>1889</v>
      </c>
      <c r="E56" s="115" t="s">
        <v>1885</v>
      </c>
      <c r="F56" s="1">
        <v>8</v>
      </c>
      <c r="G56" s="136" t="s">
        <v>141</v>
      </c>
      <c r="I56" s="429" t="s">
        <v>1887</v>
      </c>
      <c r="J56" s="422" t="s">
        <v>5926</v>
      </c>
      <c r="K56" s="429" t="s">
        <v>5926</v>
      </c>
      <c r="L56" s="459"/>
      <c r="M56" s="428">
        <v>2023</v>
      </c>
      <c r="N56" s="428" t="s">
        <v>3499</v>
      </c>
      <c r="O56" s="428" t="s">
        <v>3501</v>
      </c>
    </row>
    <row r="57" spans="1:16" ht="15.75" thickBot="1" x14ac:dyDescent="0.3">
      <c r="A57" t="s">
        <v>5941</v>
      </c>
      <c r="B57" t="s">
        <v>5941</v>
      </c>
      <c r="C57" s="424" t="str">
        <f t="shared" si="2"/>
        <v>X</v>
      </c>
      <c r="D57" t="s">
        <v>1889</v>
      </c>
      <c r="E57" s="115" t="s">
        <v>1885</v>
      </c>
      <c r="F57" s="1">
        <v>53</v>
      </c>
      <c r="G57" s="136" t="s">
        <v>141</v>
      </c>
      <c r="I57" s="429" t="s">
        <v>1887</v>
      </c>
      <c r="J57" s="422" t="s">
        <v>5926</v>
      </c>
      <c r="K57" s="429" t="s">
        <v>5926</v>
      </c>
      <c r="L57" s="459"/>
      <c r="M57" s="428">
        <v>2023</v>
      </c>
      <c r="N57" s="428" t="s">
        <v>3499</v>
      </c>
      <c r="O57" s="428" t="s">
        <v>3501</v>
      </c>
    </row>
    <row r="58" spans="1:16" ht="15.75" thickBot="1" x14ac:dyDescent="0.3">
      <c r="A58" t="s">
        <v>4594</v>
      </c>
      <c r="B58" t="s">
        <v>4594</v>
      </c>
      <c r="C58" s="424" t="str">
        <f t="shared" si="2"/>
        <v>X</v>
      </c>
      <c r="D58" t="s">
        <v>1889</v>
      </c>
      <c r="E58" s="115" t="s">
        <v>1885</v>
      </c>
      <c r="F58" s="1">
        <v>19</v>
      </c>
      <c r="G58" s="136" t="s">
        <v>141</v>
      </c>
      <c r="I58" s="429" t="s">
        <v>1887</v>
      </c>
      <c r="J58" s="422" t="s">
        <v>5926</v>
      </c>
      <c r="K58" s="429" t="s">
        <v>5926</v>
      </c>
      <c r="L58" s="459"/>
      <c r="M58" s="428">
        <v>2023</v>
      </c>
      <c r="N58" s="428" t="s">
        <v>3499</v>
      </c>
      <c r="O58" s="428" t="s">
        <v>3501</v>
      </c>
    </row>
    <row r="59" spans="1:16" ht="15.75" thickBot="1" x14ac:dyDescent="0.3">
      <c r="A59" t="s">
        <v>4670</v>
      </c>
      <c r="B59" t="s">
        <v>4670</v>
      </c>
      <c r="C59" s="424" t="str">
        <f t="shared" si="2"/>
        <v>X</v>
      </c>
      <c r="D59" t="s">
        <v>1889</v>
      </c>
      <c r="E59" s="115" t="s">
        <v>1885</v>
      </c>
      <c r="F59" s="1">
        <v>33</v>
      </c>
      <c r="G59" s="136" t="s">
        <v>141</v>
      </c>
      <c r="I59" s="429" t="s">
        <v>1887</v>
      </c>
      <c r="J59" s="422" t="s">
        <v>5926</v>
      </c>
      <c r="K59" s="429" t="s">
        <v>5926</v>
      </c>
      <c r="L59" s="459"/>
      <c r="M59" s="428">
        <v>2023</v>
      </c>
      <c r="N59" s="428" t="s">
        <v>3499</v>
      </c>
      <c r="O59" s="428" t="s">
        <v>3501</v>
      </c>
    </row>
    <row r="60" spans="1:16" ht="15.75" thickBot="1" x14ac:dyDescent="0.3">
      <c r="A60" t="s">
        <v>4598</v>
      </c>
      <c r="B60" t="s">
        <v>4598</v>
      </c>
      <c r="C60" s="424" t="str">
        <f t="shared" si="2"/>
        <v>X</v>
      </c>
      <c r="D60" t="s">
        <v>1888</v>
      </c>
      <c r="E60" s="115" t="s">
        <v>1885</v>
      </c>
      <c r="F60" s="1">
        <v>1</v>
      </c>
      <c r="G60" s="136" t="s">
        <v>141</v>
      </c>
      <c r="H60">
        <v>269536.53999999998</v>
      </c>
      <c r="I60" s="429" t="s">
        <v>1887</v>
      </c>
      <c r="J60" s="422" t="s">
        <v>5935</v>
      </c>
      <c r="K60" s="429" t="s">
        <v>5926</v>
      </c>
      <c r="L60" s="459"/>
      <c r="M60" s="428">
        <v>2023</v>
      </c>
      <c r="N60" s="428" t="s">
        <v>3499</v>
      </c>
      <c r="O60" s="428" t="s">
        <v>3501</v>
      </c>
    </row>
    <row r="61" spans="1:16" ht="15.75" thickBot="1" x14ac:dyDescent="0.3">
      <c r="A61" t="s">
        <v>4598</v>
      </c>
      <c r="B61" t="s">
        <v>4598</v>
      </c>
      <c r="C61" s="424" t="str">
        <f t="shared" si="2"/>
        <v>X</v>
      </c>
      <c r="D61" s="422" t="s">
        <v>2963</v>
      </c>
      <c r="E61" s="115" t="s">
        <v>1885</v>
      </c>
      <c r="F61" s="1">
        <v>4</v>
      </c>
      <c r="G61" s="136" t="s">
        <v>141</v>
      </c>
      <c r="H61">
        <v>164950</v>
      </c>
      <c r="I61" s="429" t="s">
        <v>1887</v>
      </c>
      <c r="J61" s="422" t="s">
        <v>5936</v>
      </c>
      <c r="K61" s="429" t="s">
        <v>5926</v>
      </c>
      <c r="L61" s="459"/>
      <c r="M61" s="428">
        <v>2023</v>
      </c>
      <c r="N61" s="428" t="s">
        <v>3499</v>
      </c>
      <c r="O61" s="428" t="s">
        <v>3501</v>
      </c>
    </row>
    <row r="62" spans="1:16" ht="15.75" thickBot="1" x14ac:dyDescent="0.3">
      <c r="A62" t="s">
        <v>4643</v>
      </c>
      <c r="B62" t="s">
        <v>4643</v>
      </c>
      <c r="C62" s="424" t="str">
        <f t="shared" si="2"/>
        <v>X</v>
      </c>
      <c r="D62" s="422" t="s">
        <v>2963</v>
      </c>
      <c r="E62" s="115" t="s">
        <v>1885</v>
      </c>
      <c r="F62" s="1">
        <v>6</v>
      </c>
      <c r="G62" s="136" t="s">
        <v>141</v>
      </c>
      <c r="H62">
        <v>247425</v>
      </c>
      <c r="I62" s="429" t="s">
        <v>1887</v>
      </c>
      <c r="J62" s="422" t="s">
        <v>5936</v>
      </c>
      <c r="K62" s="429" t="s">
        <v>5926</v>
      </c>
      <c r="L62" s="459"/>
      <c r="M62" s="428">
        <v>2023</v>
      </c>
      <c r="N62" s="428" t="s">
        <v>3499</v>
      </c>
      <c r="O62" s="428" t="s">
        <v>3501</v>
      </c>
    </row>
    <row r="63" spans="1:16" ht="15.75" thickBot="1" x14ac:dyDescent="0.3">
      <c r="A63" t="s">
        <v>45</v>
      </c>
      <c r="B63" t="s">
        <v>45</v>
      </c>
      <c r="C63" s="424" t="str">
        <f t="shared" si="2"/>
        <v>X</v>
      </c>
      <c r="D63" t="s">
        <v>1889</v>
      </c>
      <c r="E63" s="115" t="s">
        <v>1885</v>
      </c>
      <c r="F63" s="428">
        <v>55</v>
      </c>
      <c r="G63" s="136" t="s">
        <v>141</v>
      </c>
      <c r="I63" s="429" t="s">
        <v>1887</v>
      </c>
      <c r="J63" t="s">
        <v>5938</v>
      </c>
      <c r="K63" s="429" t="s">
        <v>5926</v>
      </c>
      <c r="M63" s="428">
        <v>2023</v>
      </c>
      <c r="N63" s="428" t="s">
        <v>3499</v>
      </c>
      <c r="O63" s="428" t="s">
        <v>3501</v>
      </c>
    </row>
    <row r="64" spans="1:16" ht="15.75" thickBot="1" x14ac:dyDescent="0.3">
      <c r="A64" s="422" t="s">
        <v>45</v>
      </c>
      <c r="B64" s="422" t="s">
        <v>45</v>
      </c>
      <c r="C64" s="424" t="str">
        <f t="shared" ref="C64:C69" si="5">IF(A64=B64,"X",RIGHT(A64,LEN(A64)-LEN(B64)-3))</f>
        <v>X</v>
      </c>
      <c r="D64" t="s">
        <v>1642</v>
      </c>
      <c r="E64" s="115" t="s">
        <v>1885</v>
      </c>
      <c r="F64" s="428">
        <v>17</v>
      </c>
      <c r="G64" s="136" t="s">
        <v>141</v>
      </c>
      <c r="I64" s="429" t="s">
        <v>1887</v>
      </c>
      <c r="J64" t="s">
        <v>1643</v>
      </c>
      <c r="K64" s="429" t="s">
        <v>5926</v>
      </c>
      <c r="M64" s="428">
        <v>2023</v>
      </c>
      <c r="N64" s="428" t="s">
        <v>3499</v>
      </c>
      <c r="O64" s="428" t="s">
        <v>3501</v>
      </c>
    </row>
    <row r="65" spans="1:15" ht="15.75" thickBot="1" x14ac:dyDescent="0.3">
      <c r="A65" s="422" t="s">
        <v>45</v>
      </c>
      <c r="B65" s="422" t="s">
        <v>45</v>
      </c>
      <c r="C65" s="424" t="str">
        <f t="shared" si="5"/>
        <v>X</v>
      </c>
      <c r="D65" t="s">
        <v>1888</v>
      </c>
      <c r="E65" s="115" t="s">
        <v>1885</v>
      </c>
      <c r="F65" s="428">
        <v>39</v>
      </c>
      <c r="G65" s="136" t="s">
        <v>141</v>
      </c>
      <c r="I65" s="429" t="s">
        <v>1887</v>
      </c>
      <c r="J65" t="s">
        <v>5939</v>
      </c>
      <c r="K65" s="429" t="s">
        <v>5926</v>
      </c>
      <c r="M65" s="428">
        <v>2023</v>
      </c>
      <c r="N65" s="428" t="s">
        <v>3499</v>
      </c>
      <c r="O65" s="428" t="s">
        <v>3501</v>
      </c>
    </row>
    <row r="66" spans="1:15" ht="15.75" thickBot="1" x14ac:dyDescent="0.3">
      <c r="A66" s="422" t="s">
        <v>45</v>
      </c>
      <c r="B66" s="422" t="s">
        <v>45</v>
      </c>
      <c r="C66" s="424" t="str">
        <f t="shared" si="5"/>
        <v>X</v>
      </c>
      <c r="D66" t="s">
        <v>1888</v>
      </c>
      <c r="E66" s="115" t="s">
        <v>1885</v>
      </c>
      <c r="F66" s="428">
        <v>5</v>
      </c>
      <c r="G66" s="136" t="s">
        <v>141</v>
      </c>
      <c r="I66" s="429" t="s">
        <v>1887</v>
      </c>
      <c r="J66" t="s">
        <v>5931</v>
      </c>
      <c r="K66" s="429" t="s">
        <v>5926</v>
      </c>
      <c r="M66" s="428">
        <v>2023</v>
      </c>
      <c r="N66" s="428" t="s">
        <v>3499</v>
      </c>
      <c r="O66" s="428" t="s">
        <v>3501</v>
      </c>
    </row>
    <row r="67" spans="1:15" ht="15.75" thickBot="1" x14ac:dyDescent="0.3">
      <c r="A67" s="422" t="s">
        <v>45</v>
      </c>
      <c r="B67" s="422" t="s">
        <v>45</v>
      </c>
      <c r="C67" s="424" t="str">
        <f t="shared" si="5"/>
        <v>X</v>
      </c>
      <c r="D67" s="422" t="s">
        <v>5937</v>
      </c>
      <c r="E67" s="115" t="s">
        <v>1885</v>
      </c>
      <c r="F67" s="428">
        <v>2</v>
      </c>
      <c r="G67" s="136" t="s">
        <v>141</v>
      </c>
      <c r="I67" s="429" t="s">
        <v>1887</v>
      </c>
      <c r="J67" t="s">
        <v>5940</v>
      </c>
      <c r="K67" s="429" t="s">
        <v>5926</v>
      </c>
      <c r="M67" s="428">
        <v>2023</v>
      </c>
      <c r="N67" s="428" t="s">
        <v>3499</v>
      </c>
      <c r="O67" s="428" t="s">
        <v>3501</v>
      </c>
    </row>
    <row r="68" spans="1:15" ht="15.75" thickBot="1" x14ac:dyDescent="0.3">
      <c r="A68" s="422" t="s">
        <v>45</v>
      </c>
      <c r="B68" s="422" t="s">
        <v>45</v>
      </c>
      <c r="C68" s="424" t="str">
        <f t="shared" si="5"/>
        <v>X</v>
      </c>
      <c r="D68" s="422" t="s">
        <v>1642</v>
      </c>
      <c r="E68" s="115" t="s">
        <v>1885</v>
      </c>
      <c r="F68" s="428">
        <v>7</v>
      </c>
      <c r="G68" s="136" t="s">
        <v>141</v>
      </c>
      <c r="I68" s="429" t="s">
        <v>1887</v>
      </c>
      <c r="J68" t="s">
        <v>1641</v>
      </c>
      <c r="K68" s="429" t="s">
        <v>5926</v>
      </c>
      <c r="M68" s="428">
        <v>2023</v>
      </c>
      <c r="N68" s="428" t="s">
        <v>3499</v>
      </c>
      <c r="O68" s="428" t="s">
        <v>3501</v>
      </c>
    </row>
    <row r="69" spans="1:15" ht="15.75" thickBot="1" x14ac:dyDescent="0.3">
      <c r="A69" s="680" t="s">
        <v>6583</v>
      </c>
      <c r="B69" s="680" t="s">
        <v>6583</v>
      </c>
      <c r="C69" s="424" t="str">
        <f t="shared" si="5"/>
        <v>X</v>
      </c>
      <c r="D69" s="422" t="s">
        <v>1888</v>
      </c>
      <c r="E69" s="115" t="s">
        <v>1885</v>
      </c>
      <c r="F69" s="428">
        <v>1</v>
      </c>
      <c r="G69" s="136" t="s">
        <v>141</v>
      </c>
      <c r="H69" s="422">
        <v>271006.96000000002</v>
      </c>
      <c r="I69" s="429" t="s">
        <v>1887</v>
      </c>
      <c r="J69" t="s">
        <v>6584</v>
      </c>
      <c r="K69" s="429" t="s">
        <v>5926</v>
      </c>
      <c r="M69" s="428">
        <v>2023</v>
      </c>
      <c r="N69" s="428" t="s">
        <v>3499</v>
      </c>
      <c r="O69" s="428" t="s">
        <v>3501</v>
      </c>
    </row>
  </sheetData>
  <dataValidations count="1">
    <dataValidation type="list" allowBlank="1" showInputMessage="1" showErrorMessage="1" sqref="K2">
      <formula1>"Novo, Usado"</formula1>
    </dataValidation>
  </dataValidations>
  <pageMargins left="0.7" right="0.7" top="0.75" bottom="0.75" header="0.3" footer="0.3"/>
  <pageSetup paperSize="9" orientation="portrait" r:id="rId1"/>
  <customProperties>
    <customPr name="GUID" r:id="rId2"/>
  </customPropertie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9"/>
  <dimension ref="B6:W45"/>
  <sheetViews>
    <sheetView workbookViewId="0"/>
  </sheetViews>
  <sheetFormatPr defaultRowHeight="15" x14ac:dyDescent="0.25"/>
  <cols>
    <col min="2" max="2" width="43" customWidth="1"/>
    <col min="3" max="3" width="30" customWidth="1"/>
    <col min="4" max="4" width="25.140625" customWidth="1"/>
    <col min="5" max="5" width="105" bestFit="1" customWidth="1"/>
    <col min="6" max="6" width="21.28515625" customWidth="1"/>
    <col min="7" max="7" width="41.7109375" customWidth="1"/>
  </cols>
  <sheetData>
    <row r="6" spans="2:23" ht="15.75" thickBot="1" x14ac:dyDescent="0.3"/>
    <row r="7" spans="2:23" x14ac:dyDescent="0.25">
      <c r="B7" s="78" t="s">
        <v>118</v>
      </c>
      <c r="C7" s="79"/>
    </row>
    <row r="9" spans="2:23" x14ac:dyDescent="0.25">
      <c r="B9" s="765" t="str">
        <f>"Grupo Barraqueiro: "&amp;'Folha de Rosto'!C6&amp;" "&amp;'Folha de Rosto'!I6&amp;" - Emissões de GEE de Âmbito 3"</f>
        <v>Grupo Barraqueiro: PEGADA DE CARBONO 2022 - Emissões de GEE de Âmbito 3</v>
      </c>
      <c r="C9" s="765"/>
      <c r="D9" s="765"/>
      <c r="E9" s="765"/>
      <c r="F9" s="765"/>
      <c r="G9" s="765"/>
      <c r="H9" s="765"/>
      <c r="I9" s="765"/>
      <c r="J9" s="765"/>
      <c r="K9" s="765"/>
      <c r="L9" s="765"/>
      <c r="M9" s="765"/>
      <c r="N9" s="765"/>
      <c r="O9" s="765"/>
      <c r="P9" s="765"/>
      <c r="Q9" s="765"/>
      <c r="R9" s="765"/>
      <c r="S9" s="765"/>
      <c r="T9" s="765"/>
      <c r="U9" s="765"/>
      <c r="V9" s="765"/>
      <c r="W9" s="765"/>
    </row>
    <row r="10" spans="2:23" ht="15.75" thickBot="1" x14ac:dyDescent="0.3"/>
    <row r="11" spans="2:23" ht="33.6" customHeight="1" thickBot="1" x14ac:dyDescent="0.3">
      <c r="B11" s="761" t="s">
        <v>119</v>
      </c>
      <c r="C11" s="761"/>
      <c r="D11" s="767" t="s">
        <v>522</v>
      </c>
      <c r="E11" s="767"/>
      <c r="F11" s="767"/>
      <c r="G11" s="768"/>
      <c r="H11" s="768"/>
      <c r="I11" s="768"/>
      <c r="J11" s="768"/>
      <c r="K11" s="768"/>
      <c r="L11" s="768"/>
      <c r="M11" s="768"/>
      <c r="N11" s="768"/>
      <c r="O11" s="768"/>
      <c r="P11" s="769"/>
    </row>
    <row r="12" spans="2:23" ht="60.95" customHeight="1" thickBot="1" x14ac:dyDescent="0.3">
      <c r="B12" s="761" t="s">
        <v>120</v>
      </c>
      <c r="C12" s="761"/>
      <c r="D12" s="770" t="s">
        <v>438</v>
      </c>
      <c r="E12" s="770"/>
      <c r="F12" s="770"/>
      <c r="G12" s="771"/>
      <c r="H12" s="771"/>
      <c r="I12" s="771"/>
      <c r="J12" s="771"/>
      <c r="K12" s="771"/>
      <c r="L12" s="771"/>
      <c r="M12" s="771"/>
      <c r="N12" s="771"/>
      <c r="O12" s="771"/>
      <c r="P12" s="772"/>
    </row>
    <row r="13" spans="2:23" ht="60.95" customHeight="1" thickBot="1" x14ac:dyDescent="0.3">
      <c r="B13" s="761" t="s">
        <v>121</v>
      </c>
      <c r="C13" s="761"/>
      <c r="D13" s="762" t="s">
        <v>1529</v>
      </c>
      <c r="E13" s="762"/>
      <c r="F13" s="762"/>
      <c r="G13" s="763"/>
      <c r="H13" s="763"/>
      <c r="I13" s="763"/>
      <c r="J13" s="763"/>
      <c r="K13" s="763"/>
      <c r="L13" s="763"/>
      <c r="M13" s="763"/>
      <c r="N13" s="763"/>
      <c r="O13" s="763"/>
      <c r="P13" s="764"/>
    </row>
    <row r="14" spans="2:23" ht="60.95" customHeight="1" thickBot="1" x14ac:dyDescent="0.3">
      <c r="B14" s="761" t="s">
        <v>122</v>
      </c>
      <c r="C14" s="761"/>
      <c r="D14" s="762" t="s">
        <v>123</v>
      </c>
      <c r="E14" s="762"/>
      <c r="F14" s="762"/>
      <c r="G14" s="763"/>
      <c r="H14" s="763"/>
      <c r="I14" s="763"/>
      <c r="J14" s="763"/>
      <c r="K14" s="763"/>
      <c r="L14" s="763"/>
      <c r="M14" s="763"/>
      <c r="N14" s="763"/>
      <c r="O14" s="763"/>
      <c r="P14" s="764"/>
    </row>
    <row r="15" spans="2:23" ht="60" customHeight="1" thickBot="1" x14ac:dyDescent="0.3">
      <c r="B15" s="761" t="s">
        <v>128</v>
      </c>
      <c r="C15" s="761"/>
      <c r="D15" s="798" t="s">
        <v>129</v>
      </c>
      <c r="E15" s="799"/>
      <c r="F15" s="799"/>
      <c r="G15" s="799"/>
      <c r="H15" s="799"/>
      <c r="I15" s="799"/>
      <c r="J15" s="799"/>
      <c r="K15" s="799"/>
      <c r="L15" s="799"/>
      <c r="M15" s="799"/>
      <c r="N15" s="799"/>
      <c r="O15" s="799"/>
      <c r="P15" s="762"/>
    </row>
    <row r="17" spans="2:23" x14ac:dyDescent="0.25">
      <c r="B17" s="765" t="s">
        <v>1821</v>
      </c>
      <c r="C17" s="765"/>
      <c r="D17" s="765"/>
      <c r="E17" s="765"/>
      <c r="F17" s="765"/>
      <c r="G17" s="765"/>
      <c r="H17" s="765"/>
      <c r="I17" s="765"/>
      <c r="J17" s="765"/>
      <c r="K17" s="765"/>
      <c r="L17" s="765"/>
      <c r="M17" s="765"/>
      <c r="N17" s="765"/>
      <c r="O17" s="765"/>
      <c r="P17" s="765"/>
      <c r="Q17" s="765"/>
      <c r="R17" s="765"/>
      <c r="S17" s="765"/>
      <c r="T17" s="765"/>
      <c r="U17" s="765"/>
      <c r="V17" s="765"/>
      <c r="W17" s="765"/>
    </row>
    <row r="18" spans="2:23" x14ac:dyDescent="0.25">
      <c r="B18" t="s">
        <v>130</v>
      </c>
    </row>
    <row r="20" spans="2:23" x14ac:dyDescent="0.25">
      <c r="B20" s="81" t="s">
        <v>135</v>
      </c>
    </row>
    <row r="21" spans="2:23" x14ac:dyDescent="0.25">
      <c r="B21" s="766" t="s">
        <v>1824</v>
      </c>
      <c r="C21" s="766"/>
      <c r="D21" s="766"/>
      <c r="E21" s="766"/>
      <c r="F21" s="766"/>
      <c r="G21" s="766"/>
      <c r="H21" s="766"/>
      <c r="I21" s="766"/>
      <c r="J21" s="766"/>
      <c r="K21" s="766"/>
      <c r="L21" s="766"/>
      <c r="M21" s="766"/>
      <c r="N21" s="766"/>
      <c r="O21" s="766"/>
      <c r="P21" s="766"/>
      <c r="Q21" s="766"/>
      <c r="R21" s="766"/>
      <c r="S21" s="766"/>
      <c r="T21" s="766"/>
      <c r="U21" s="766"/>
    </row>
    <row r="22" spans="2:23" x14ac:dyDescent="0.25">
      <c r="B22" s="766"/>
      <c r="C22" s="766"/>
      <c r="D22" s="766"/>
      <c r="E22" s="766"/>
      <c r="F22" s="766"/>
      <c r="G22" s="766"/>
      <c r="H22" s="766"/>
      <c r="I22" s="766"/>
      <c r="J22" s="766"/>
      <c r="K22" s="766"/>
      <c r="L22" s="766"/>
      <c r="M22" s="766"/>
      <c r="N22" s="766"/>
      <c r="O22" s="766"/>
      <c r="P22" s="766"/>
      <c r="Q22" s="766"/>
      <c r="R22" s="766"/>
      <c r="S22" s="766"/>
      <c r="T22" s="766"/>
      <c r="U22" s="766"/>
    </row>
    <row r="24" spans="2:23" ht="15" customHeight="1" x14ac:dyDescent="0.25">
      <c r="B24" s="81" t="s">
        <v>136</v>
      </c>
    </row>
    <row r="25" spans="2:23" x14ac:dyDescent="0.25">
      <c r="B25" s="766" t="s">
        <v>1825</v>
      </c>
      <c r="C25" s="766"/>
      <c r="D25" s="766"/>
      <c r="E25" s="766"/>
      <c r="F25" s="766"/>
      <c r="G25" s="766"/>
      <c r="H25" s="766"/>
      <c r="I25" s="766"/>
      <c r="J25" s="766"/>
      <c r="K25" s="766"/>
      <c r="L25" s="766"/>
      <c r="M25" s="766"/>
      <c r="N25" s="766"/>
      <c r="O25" s="766"/>
      <c r="P25" s="766"/>
      <c r="Q25" s="766"/>
      <c r="R25" s="766"/>
      <c r="S25" s="766"/>
      <c r="T25" s="766"/>
      <c r="U25" s="766"/>
    </row>
    <row r="26" spans="2:23" x14ac:dyDescent="0.25">
      <c r="B26" s="766"/>
      <c r="C26" s="766"/>
      <c r="D26" s="766"/>
      <c r="E26" s="766"/>
      <c r="F26" s="766"/>
      <c r="G26" s="766"/>
      <c r="H26" s="766"/>
      <c r="I26" s="766"/>
      <c r="J26" s="766"/>
      <c r="K26" s="766"/>
      <c r="L26" s="766"/>
      <c r="M26" s="766"/>
      <c r="N26" s="766"/>
      <c r="O26" s="766"/>
      <c r="P26" s="766"/>
      <c r="Q26" s="766"/>
      <c r="R26" s="766"/>
      <c r="S26" s="766"/>
      <c r="T26" s="766"/>
      <c r="U26" s="766"/>
    </row>
    <row r="27" spans="2:23" ht="15.75" thickBot="1" x14ac:dyDescent="0.3"/>
    <row r="28" spans="2:23" ht="15.75" thickBot="1" x14ac:dyDescent="0.3">
      <c r="B28" s="793" t="s">
        <v>131</v>
      </c>
      <c r="C28" s="759" t="s">
        <v>439</v>
      </c>
      <c r="D28" s="793" t="s">
        <v>440</v>
      </c>
      <c r="E28" s="757" t="s">
        <v>134</v>
      </c>
    </row>
    <row r="29" spans="2:23" ht="15" customHeight="1" thickBot="1" x14ac:dyDescent="0.3">
      <c r="B29" s="794"/>
      <c r="C29" s="757"/>
      <c r="D29" s="794"/>
      <c r="E29" s="758"/>
    </row>
    <row r="30" spans="2:23" ht="15.75" thickBot="1" x14ac:dyDescent="0.3">
      <c r="B30" s="82" t="s">
        <v>534</v>
      </c>
      <c r="C30" s="123">
        <v>868</v>
      </c>
      <c r="D30" s="83"/>
      <c r="E30" s="83" t="s">
        <v>1823</v>
      </c>
    </row>
    <row r="31" spans="2:23" ht="15.75" thickBot="1" x14ac:dyDescent="0.3">
      <c r="B31" s="82" t="s">
        <v>535</v>
      </c>
      <c r="C31" s="123">
        <v>63</v>
      </c>
      <c r="D31" s="83"/>
      <c r="E31" s="83" t="s">
        <v>628</v>
      </c>
    </row>
    <row r="32" spans="2:23" ht="15.75" thickBot="1" x14ac:dyDescent="0.3">
      <c r="B32" s="82" t="s">
        <v>601</v>
      </c>
      <c r="C32" s="123">
        <v>96</v>
      </c>
      <c r="D32" s="83"/>
      <c r="E32" s="83" t="s">
        <v>1822</v>
      </c>
    </row>
    <row r="33" spans="2:5" ht="15.75" thickBot="1" x14ac:dyDescent="0.3">
      <c r="B33" s="82" t="s">
        <v>602</v>
      </c>
      <c r="C33" s="123">
        <v>42</v>
      </c>
      <c r="D33" s="83"/>
      <c r="E33" s="83" t="s">
        <v>1822</v>
      </c>
    </row>
    <row r="34" spans="2:5" ht="15.75" thickBot="1" x14ac:dyDescent="0.3">
      <c r="B34" s="82"/>
      <c r="C34" s="83"/>
      <c r="D34" s="83"/>
      <c r="E34" s="83"/>
    </row>
    <row r="35" spans="2:5" ht="15.75" thickBot="1" x14ac:dyDescent="0.3">
      <c r="B35" s="82"/>
      <c r="C35" s="83"/>
      <c r="D35" s="83"/>
      <c r="E35" s="83"/>
    </row>
    <row r="36" spans="2:5" ht="15.75" thickBot="1" x14ac:dyDescent="0.3">
      <c r="B36" s="82"/>
      <c r="C36" s="83"/>
      <c r="D36" s="83"/>
      <c r="E36" s="83"/>
    </row>
    <row r="37" spans="2:5" ht="15.75" thickBot="1" x14ac:dyDescent="0.3">
      <c r="B37" s="82"/>
      <c r="C37" s="83"/>
      <c r="D37" s="83"/>
      <c r="E37" s="83"/>
    </row>
    <row r="38" spans="2:5" ht="15.75" thickBot="1" x14ac:dyDescent="0.3">
      <c r="B38" s="82"/>
      <c r="C38" s="83"/>
      <c r="D38" s="83"/>
      <c r="E38" s="83"/>
    </row>
    <row r="39" spans="2:5" ht="15.75" thickBot="1" x14ac:dyDescent="0.3">
      <c r="B39" s="82"/>
      <c r="C39" s="83"/>
      <c r="D39" s="83"/>
      <c r="E39" s="83"/>
    </row>
    <row r="40" spans="2:5" ht="15.75" thickBot="1" x14ac:dyDescent="0.3">
      <c r="B40" s="82"/>
      <c r="C40" s="83"/>
      <c r="D40" s="83"/>
      <c r="E40" s="83"/>
    </row>
    <row r="41" spans="2:5" ht="15.75" thickBot="1" x14ac:dyDescent="0.3">
      <c r="B41" s="82"/>
      <c r="C41" s="83"/>
      <c r="D41" s="83"/>
      <c r="E41" s="83"/>
    </row>
    <row r="42" spans="2:5" ht="15.75" thickBot="1" x14ac:dyDescent="0.3">
      <c r="B42" s="82"/>
      <c r="C42" s="83"/>
      <c r="D42" s="83"/>
      <c r="E42" s="83"/>
    </row>
    <row r="43" spans="2:5" ht="15.75" thickBot="1" x14ac:dyDescent="0.3">
      <c r="B43" s="82"/>
      <c r="C43" s="83"/>
      <c r="D43" s="83"/>
      <c r="E43" s="83"/>
    </row>
    <row r="44" spans="2:5" ht="15.75" thickBot="1" x14ac:dyDescent="0.3">
      <c r="B44" s="82"/>
      <c r="C44" s="83"/>
      <c r="D44" s="83"/>
      <c r="E44" s="83"/>
    </row>
    <row r="45" spans="2:5" ht="15.75" thickBot="1" x14ac:dyDescent="0.3">
      <c r="B45" s="82"/>
      <c r="C45" s="83"/>
      <c r="D45" s="83"/>
      <c r="E45" s="83"/>
    </row>
  </sheetData>
  <mergeCells count="18">
    <mergeCell ref="B25:U26"/>
    <mergeCell ref="B28:B29"/>
    <mergeCell ref="C28:C29"/>
    <mergeCell ref="D28:D29"/>
    <mergeCell ref="E28:E29"/>
    <mergeCell ref="B9:W9"/>
    <mergeCell ref="B21:U22"/>
    <mergeCell ref="B11:C11"/>
    <mergeCell ref="D11:P11"/>
    <mergeCell ref="B12:C12"/>
    <mergeCell ref="D12:P12"/>
    <mergeCell ref="B13:C13"/>
    <mergeCell ref="D13:P13"/>
    <mergeCell ref="B14:C14"/>
    <mergeCell ref="D14:P14"/>
    <mergeCell ref="B15:C15"/>
    <mergeCell ref="D15:P15"/>
    <mergeCell ref="B17:W17"/>
  </mergeCells>
  <pageMargins left="0.7" right="0.7" top="0.75" bottom="0.75" header="0.3" footer="0.3"/>
  <customProperties>
    <customPr name="GUID" r:id="rId1"/>
  </customPropertie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0"/>
  <dimension ref="A1:L87"/>
  <sheetViews>
    <sheetView topLeftCell="A49" zoomScale="85" zoomScaleNormal="85" workbookViewId="0">
      <selection activeCell="A86" sqref="A86:C86"/>
    </sheetView>
  </sheetViews>
  <sheetFormatPr defaultColWidth="50.140625" defaultRowHeight="15" x14ac:dyDescent="0.25"/>
  <cols>
    <col min="1" max="1" width="73" customWidth="1"/>
    <col min="2" max="2" width="55.5703125" customWidth="1"/>
    <col min="3" max="3" width="9" customWidth="1"/>
    <col min="4" max="4" width="13.28515625" customWidth="1"/>
    <col min="5" max="5" width="23.140625" style="89" customWidth="1"/>
    <col min="6" max="6" width="22.5703125" style="89" customWidth="1"/>
    <col min="7" max="7" width="128.7109375" style="384" customWidth="1"/>
    <col min="8" max="8" width="38.5703125" customWidth="1"/>
    <col min="9" max="9" width="77.28515625" customWidth="1"/>
  </cols>
  <sheetData>
    <row r="1" spans="1:12" ht="15.75" thickBot="1" x14ac:dyDescent="0.3">
      <c r="A1" s="793" t="s">
        <v>1851</v>
      </c>
      <c r="B1" s="757" t="s">
        <v>131</v>
      </c>
      <c r="C1" s="757" t="s">
        <v>1852</v>
      </c>
      <c r="D1" s="202" t="s">
        <v>1880</v>
      </c>
      <c r="E1" s="777" t="s">
        <v>439</v>
      </c>
      <c r="F1" s="778" t="s">
        <v>440</v>
      </c>
      <c r="G1" s="757" t="s">
        <v>134</v>
      </c>
      <c r="H1" s="757" t="s">
        <v>1881</v>
      </c>
      <c r="I1" s="757" t="s">
        <v>1883</v>
      </c>
      <c r="J1" s="777" t="s">
        <v>2812</v>
      </c>
      <c r="K1" s="777" t="s">
        <v>3588</v>
      </c>
      <c r="L1" s="777" t="s">
        <v>2941</v>
      </c>
    </row>
    <row r="2" spans="1:12" ht="15.75" thickBot="1" x14ac:dyDescent="0.3">
      <c r="A2" s="794"/>
      <c r="B2" s="758"/>
      <c r="C2" s="758"/>
      <c r="D2" s="208"/>
      <c r="E2" s="778"/>
      <c r="F2" s="779"/>
      <c r="G2" s="758"/>
      <c r="H2" s="758"/>
      <c r="I2" s="758"/>
      <c r="J2" s="777"/>
      <c r="K2" s="777"/>
      <c r="L2" s="777"/>
    </row>
    <row r="3" spans="1:12" ht="15.75" thickBot="1" x14ac:dyDescent="0.3">
      <c r="A3" s="82" t="s">
        <v>45</v>
      </c>
      <c r="B3" s="82" t="str">
        <f>LEFT(A3,IFERROR(FIND(" - ",A3)-1,LEN(A3)))</f>
        <v>Barraqueiro Transportes, S.A.</v>
      </c>
      <c r="C3" s="82" t="str">
        <f>IF(A3=B3,"X",RIGHT(A3,LEN(A3)-LEN(B3)-3))</f>
        <v>X</v>
      </c>
      <c r="D3" s="216">
        <v>2022</v>
      </c>
      <c r="E3" s="123">
        <v>868</v>
      </c>
      <c r="F3" s="123">
        <v>-1</v>
      </c>
      <c r="G3" s="119" t="s">
        <v>1823</v>
      </c>
      <c r="H3" s="1" t="s">
        <v>1882</v>
      </c>
      <c r="I3" t="str">
        <f>B3&amp; ": PC2021"</f>
        <v>Barraqueiro Transportes, S.A.: PC2021</v>
      </c>
      <c r="J3" s="250" t="s">
        <v>3499</v>
      </c>
      <c r="K3" s="250" t="s">
        <v>3502</v>
      </c>
      <c r="L3" s="422" t="str">
        <f t="shared" ref="L3:L66" si="0">H3&amp;": "&amp;I3</f>
        <v>Emissões médias por colaborador: Barraqueiro Transportes, S.A.: PC2021</v>
      </c>
    </row>
    <row r="4" spans="1:12" ht="30.75" thickBot="1" x14ac:dyDescent="0.3">
      <c r="A4" s="82" t="s">
        <v>4580</v>
      </c>
      <c r="B4" s="82" t="s">
        <v>4580</v>
      </c>
      <c r="C4" s="82" t="str">
        <f t="shared" ref="C4:C33" si="1">IF(A4=B4,"X",RIGHT(A4,LEN(A4)-LEN(B4)-3))</f>
        <v>X</v>
      </c>
      <c r="D4" s="216">
        <v>2022</v>
      </c>
      <c r="E4" s="123">
        <v>63</v>
      </c>
      <c r="F4" s="123">
        <v>-1</v>
      </c>
      <c r="G4" s="119" t="s">
        <v>628</v>
      </c>
      <c r="H4" s="1" t="s">
        <v>1882</v>
      </c>
      <c r="I4" t="str">
        <f>B4&amp; ": PC2021"</f>
        <v>Ribatejana Verde - Transportes Rodoviários de Passageiros, Unipessoal LDA.: PC2021</v>
      </c>
      <c r="J4" s="250" t="s">
        <v>3499</v>
      </c>
      <c r="K4" s="250" t="s">
        <v>3502</v>
      </c>
      <c r="L4" s="422" t="str">
        <f t="shared" si="0"/>
        <v>Emissões médias por colaborador: Ribatejana Verde - Transportes Rodoviários de Passageiros, Unipessoal LDA.: PC2021</v>
      </c>
    </row>
    <row r="5" spans="1:12" ht="15.75" thickBot="1" x14ac:dyDescent="0.3">
      <c r="A5" s="82" t="s">
        <v>4581</v>
      </c>
      <c r="B5" s="82" t="s">
        <v>4581</v>
      </c>
      <c r="C5" s="82" t="str">
        <f t="shared" si="1"/>
        <v>X</v>
      </c>
      <c r="D5" s="216">
        <v>2022</v>
      </c>
      <c r="E5" s="123">
        <v>96</v>
      </c>
      <c r="F5" s="123">
        <v>-1</v>
      </c>
      <c r="G5" s="119" t="s">
        <v>1822</v>
      </c>
      <c r="H5" s="1" t="s">
        <v>1882</v>
      </c>
      <c r="I5" t="str">
        <f>B5&amp; ": PC2021"</f>
        <v>CITIRAMA - Viagens e Turismo,  S.A.: PC2021</v>
      </c>
      <c r="J5" s="250" t="s">
        <v>3499</v>
      </c>
      <c r="K5" s="250" t="s">
        <v>3502</v>
      </c>
      <c r="L5" s="422" t="str">
        <f t="shared" si="0"/>
        <v>Emissões médias por colaborador: CITIRAMA - Viagens e Turismo,  S.A.: PC2021</v>
      </c>
    </row>
    <row r="6" spans="1:12" ht="15.75" thickBot="1" x14ac:dyDescent="0.3">
      <c r="A6" s="82" t="s">
        <v>4582</v>
      </c>
      <c r="B6" s="82" t="s">
        <v>4582</v>
      </c>
      <c r="C6" s="82" t="str">
        <f t="shared" si="1"/>
        <v>X</v>
      </c>
      <c r="D6" s="216">
        <v>2022</v>
      </c>
      <c r="E6" s="123">
        <v>42</v>
      </c>
      <c r="F6" s="123">
        <v>-1</v>
      </c>
      <c r="G6" s="119" t="s">
        <v>1822</v>
      </c>
      <c r="H6" s="1" t="s">
        <v>1882</v>
      </c>
      <c r="I6" t="str">
        <f>B6&amp; ": PC2021"</f>
        <v>DIANATOURS - Viagens e Turismo, LDA.: PC2021</v>
      </c>
      <c r="J6" s="250" t="s">
        <v>3499</v>
      </c>
      <c r="K6" s="250" t="s">
        <v>3502</v>
      </c>
      <c r="L6" s="422" t="str">
        <f t="shared" si="0"/>
        <v>Emissões médias por colaborador: DIANATOURS - Viagens e Turismo, LDA.: PC2021</v>
      </c>
    </row>
    <row r="7" spans="1:12" ht="15.75" thickBot="1" x14ac:dyDescent="0.3">
      <c r="A7" s="82" t="s">
        <v>1910</v>
      </c>
      <c r="B7" s="82" t="s">
        <v>1910</v>
      </c>
      <c r="C7" s="82" t="str">
        <f t="shared" si="1"/>
        <v>X</v>
      </c>
      <c r="D7" s="216">
        <v>2022</v>
      </c>
      <c r="E7" s="123">
        <v>730</v>
      </c>
      <c r="F7" s="123">
        <v>-1</v>
      </c>
      <c r="G7" s="119" t="s">
        <v>2947</v>
      </c>
      <c r="H7" s="1" t="s">
        <v>1882</v>
      </c>
      <c r="I7" s="2" t="s">
        <v>2958</v>
      </c>
      <c r="J7" s="250" t="s">
        <v>3499</v>
      </c>
      <c r="K7" s="250" t="s">
        <v>3502</v>
      </c>
      <c r="L7" s="422" t="str">
        <f t="shared" si="0"/>
        <v>Emissões médias por colaborador: Universo GB: PC2021</v>
      </c>
    </row>
    <row r="8" spans="1:12" ht="15.75" thickBot="1" x14ac:dyDescent="0.3">
      <c r="A8" s="82" t="s">
        <v>1912</v>
      </c>
      <c r="B8" s="82" t="s">
        <v>1912</v>
      </c>
      <c r="C8" s="82" t="str">
        <f t="shared" si="1"/>
        <v>X</v>
      </c>
      <c r="D8" s="216">
        <v>2022</v>
      </c>
      <c r="E8" s="123">
        <v>70</v>
      </c>
      <c r="F8" s="123">
        <v>-1</v>
      </c>
      <c r="G8" s="119" t="s">
        <v>1824</v>
      </c>
      <c r="H8" s="1" t="s">
        <v>1882</v>
      </c>
      <c r="I8" s="2" t="s">
        <v>2958</v>
      </c>
      <c r="J8" s="250" t="s">
        <v>3499</v>
      </c>
      <c r="K8" s="250" t="s">
        <v>3502</v>
      </c>
      <c r="L8" s="422" t="str">
        <f t="shared" si="0"/>
        <v>Emissões médias por colaborador: Universo GB: PC2021</v>
      </c>
    </row>
    <row r="9" spans="1:12" ht="15.75" thickBot="1" x14ac:dyDescent="0.3">
      <c r="A9" s="82" t="s">
        <v>1916</v>
      </c>
      <c r="B9" s="82" t="s">
        <v>1916</v>
      </c>
      <c r="C9" s="82" t="str">
        <f t="shared" si="1"/>
        <v>X</v>
      </c>
      <c r="D9" s="216">
        <v>2022</v>
      </c>
      <c r="E9" s="123">
        <v>226</v>
      </c>
      <c r="F9" s="123">
        <v>-1</v>
      </c>
      <c r="G9" s="119" t="s">
        <v>1824</v>
      </c>
      <c r="H9" s="1" t="s">
        <v>1882</v>
      </c>
      <c r="I9" s="2" t="s">
        <v>2958</v>
      </c>
      <c r="J9" s="250" t="s">
        <v>3499</v>
      </c>
      <c r="K9" s="250" t="s">
        <v>3502</v>
      </c>
      <c r="L9" s="422" t="str">
        <f t="shared" si="0"/>
        <v>Emissões médias por colaborador: Universo GB: PC2021</v>
      </c>
    </row>
    <row r="10" spans="1:12" ht="15.75" thickBot="1" x14ac:dyDescent="0.3">
      <c r="A10" s="82" t="s">
        <v>2943</v>
      </c>
      <c r="B10" s="82" t="s">
        <v>2943</v>
      </c>
      <c r="C10" s="82" t="str">
        <f t="shared" si="1"/>
        <v>X</v>
      </c>
      <c r="D10" s="216">
        <v>2022</v>
      </c>
      <c r="E10" s="123">
        <v>57</v>
      </c>
      <c r="F10" s="123">
        <v>-1</v>
      </c>
      <c r="G10" s="119"/>
      <c r="H10" s="1" t="s">
        <v>1882</v>
      </c>
      <c r="I10" s="2" t="s">
        <v>2958</v>
      </c>
      <c r="J10" s="250" t="s">
        <v>3499</v>
      </c>
      <c r="K10" s="250" t="s">
        <v>3502</v>
      </c>
      <c r="L10" s="422" t="str">
        <f t="shared" si="0"/>
        <v>Emissões médias por colaborador: Universo GB: PC2021</v>
      </c>
    </row>
    <row r="11" spans="1:12" ht="15.75" thickBot="1" x14ac:dyDescent="0.3">
      <c r="A11" s="82" t="s">
        <v>2944</v>
      </c>
      <c r="B11" s="82" t="s">
        <v>2944</v>
      </c>
      <c r="C11" s="82" t="str">
        <f t="shared" si="1"/>
        <v>X</v>
      </c>
      <c r="D11" s="216">
        <v>2022</v>
      </c>
      <c r="E11" s="123">
        <v>44</v>
      </c>
      <c r="F11" s="123">
        <v>-1</v>
      </c>
      <c r="G11" s="119"/>
      <c r="H11" s="1" t="s">
        <v>1882</v>
      </c>
      <c r="I11" s="2" t="s">
        <v>2958</v>
      </c>
      <c r="J11" s="250" t="s">
        <v>3499</v>
      </c>
      <c r="K11" s="250" t="s">
        <v>3502</v>
      </c>
      <c r="L11" s="422" t="str">
        <f t="shared" si="0"/>
        <v>Emissões médias por colaborador: Universo GB: PC2021</v>
      </c>
    </row>
    <row r="12" spans="1:12" ht="15.75" thickBot="1" x14ac:dyDescent="0.3">
      <c r="A12" s="82" t="s">
        <v>2945</v>
      </c>
      <c r="B12" s="82" t="s">
        <v>2945</v>
      </c>
      <c r="C12" s="82" t="str">
        <f t="shared" si="1"/>
        <v>X</v>
      </c>
      <c r="D12" s="216">
        <v>2022</v>
      </c>
      <c r="E12" s="123">
        <v>60</v>
      </c>
      <c r="F12" s="123">
        <v>-1</v>
      </c>
      <c r="G12" s="119"/>
      <c r="H12" s="1" t="s">
        <v>1882</v>
      </c>
      <c r="I12" s="2" t="s">
        <v>2958</v>
      </c>
      <c r="J12" s="250" t="s">
        <v>3499</v>
      </c>
      <c r="K12" s="250" t="s">
        <v>3502</v>
      </c>
      <c r="L12" s="422" t="str">
        <f t="shared" si="0"/>
        <v>Emissões médias por colaborador: Universo GB: PC2021</v>
      </c>
    </row>
    <row r="13" spans="1:12" ht="15.75" thickBot="1" x14ac:dyDescent="0.3">
      <c r="A13" s="82" t="s">
        <v>2946</v>
      </c>
      <c r="B13" s="82" t="s">
        <v>2946</v>
      </c>
      <c r="C13" s="82" t="str">
        <f t="shared" si="1"/>
        <v>X</v>
      </c>
      <c r="D13" s="216">
        <v>2022</v>
      </c>
      <c r="E13" s="123">
        <v>30</v>
      </c>
      <c r="F13" s="123">
        <v>-1</v>
      </c>
      <c r="G13" s="119"/>
      <c r="H13" s="1" t="s">
        <v>1882</v>
      </c>
      <c r="I13" s="2" t="s">
        <v>2958</v>
      </c>
      <c r="J13" s="250" t="s">
        <v>3499</v>
      </c>
      <c r="K13" s="250" t="s">
        <v>3502</v>
      </c>
      <c r="L13" s="422" t="str">
        <f t="shared" si="0"/>
        <v>Emissões médias por colaborador: Universo GB: PC2021</v>
      </c>
    </row>
    <row r="14" spans="1:12" ht="15.75" thickBot="1" x14ac:dyDescent="0.3">
      <c r="A14" s="82" t="s">
        <v>4583</v>
      </c>
      <c r="B14" s="82" t="s">
        <v>4583</v>
      </c>
      <c r="C14" s="82" t="str">
        <f t="shared" si="1"/>
        <v>X</v>
      </c>
      <c r="D14" s="216">
        <v>2022</v>
      </c>
      <c r="E14" s="123">
        <v>251</v>
      </c>
      <c r="F14" s="123">
        <v>-1</v>
      </c>
      <c r="G14" s="119"/>
      <c r="H14" s="1" t="s">
        <v>1882</v>
      </c>
      <c r="I14" s="2" t="s">
        <v>2958</v>
      </c>
      <c r="J14" s="250" t="s">
        <v>3499</v>
      </c>
      <c r="K14" s="250" t="s">
        <v>3502</v>
      </c>
      <c r="L14" s="422" t="str">
        <f t="shared" si="0"/>
        <v>Emissões médias por colaborador: Universo GB: PC2021</v>
      </c>
    </row>
    <row r="15" spans="1:12" ht="15.75" thickBot="1" x14ac:dyDescent="0.3">
      <c r="A15" s="82" t="s">
        <v>4584</v>
      </c>
      <c r="B15" s="82" t="s">
        <v>4584</v>
      </c>
      <c r="C15" s="82" t="str">
        <f t="shared" si="1"/>
        <v>X</v>
      </c>
      <c r="D15" s="216">
        <v>2022</v>
      </c>
      <c r="E15" s="123">
        <v>85</v>
      </c>
      <c r="F15" s="123">
        <v>-1</v>
      </c>
      <c r="G15" s="119"/>
      <c r="H15" s="1" t="s">
        <v>1882</v>
      </c>
      <c r="I15" s="2" t="s">
        <v>2958</v>
      </c>
      <c r="J15" s="250" t="s">
        <v>3499</v>
      </c>
      <c r="K15" s="250" t="s">
        <v>3502</v>
      </c>
      <c r="L15" s="422" t="str">
        <f t="shared" si="0"/>
        <v>Emissões médias por colaborador: Universo GB: PC2021</v>
      </c>
    </row>
    <row r="16" spans="1:12" ht="15.75" thickBot="1" x14ac:dyDescent="0.3">
      <c r="A16" s="82" t="s">
        <v>3475</v>
      </c>
      <c r="B16" s="82" t="s">
        <v>3475</v>
      </c>
      <c r="C16" s="82" t="str">
        <f>IF(A16=B16,"X",RIGHT(A16,LEN(A16)-LEN(B16)-3))</f>
        <v>X</v>
      </c>
      <c r="D16" s="216">
        <v>2022</v>
      </c>
      <c r="E16" s="123">
        <v>43</v>
      </c>
      <c r="F16" s="123">
        <v>-1</v>
      </c>
      <c r="G16" s="119"/>
      <c r="H16" s="1" t="s">
        <v>1882</v>
      </c>
      <c r="I16" s="2" t="s">
        <v>2958</v>
      </c>
      <c r="J16" s="250" t="s">
        <v>3499</v>
      </c>
      <c r="K16" s="250" t="s">
        <v>3502</v>
      </c>
      <c r="L16" s="422" t="str">
        <f t="shared" si="0"/>
        <v>Emissões médias por colaborador: Universo GB: PC2021</v>
      </c>
    </row>
    <row r="17" spans="1:12" ht="15.75" thickBot="1" x14ac:dyDescent="0.3">
      <c r="A17" s="82" t="s">
        <v>4585</v>
      </c>
      <c r="B17" s="82" t="s">
        <v>4585</v>
      </c>
      <c r="C17" s="82" t="str">
        <f t="shared" si="1"/>
        <v>X</v>
      </c>
      <c r="D17" s="216">
        <v>2022</v>
      </c>
      <c r="E17" s="123">
        <v>38</v>
      </c>
      <c r="F17" s="123">
        <v>-1</v>
      </c>
      <c r="G17" s="119"/>
      <c r="H17" s="1" t="s">
        <v>1882</v>
      </c>
      <c r="I17" s="2" t="s">
        <v>2958</v>
      </c>
      <c r="J17" s="250" t="s">
        <v>3499</v>
      </c>
      <c r="K17" s="250" t="s">
        <v>3502</v>
      </c>
      <c r="L17" s="422" t="str">
        <f t="shared" si="0"/>
        <v>Emissões médias por colaborador: Universo GB: PC2021</v>
      </c>
    </row>
    <row r="18" spans="1:12" ht="15.75" thickBot="1" x14ac:dyDescent="0.3">
      <c r="A18" s="82" t="s">
        <v>4586</v>
      </c>
      <c r="B18" s="82" t="s">
        <v>4586</v>
      </c>
      <c r="C18" s="82" t="str">
        <f t="shared" si="1"/>
        <v>X</v>
      </c>
      <c r="D18" s="216">
        <v>2022</v>
      </c>
      <c r="E18" s="123">
        <v>51</v>
      </c>
      <c r="F18" s="123">
        <v>-1</v>
      </c>
      <c r="G18" s="119"/>
      <c r="H18" s="1" t="s">
        <v>1882</v>
      </c>
      <c r="I18" s="2" t="s">
        <v>2958</v>
      </c>
      <c r="J18" s="250" t="s">
        <v>3499</v>
      </c>
      <c r="K18" s="250" t="s">
        <v>3502</v>
      </c>
      <c r="L18" s="422" t="str">
        <f t="shared" si="0"/>
        <v>Emissões médias por colaborador: Universo GB: PC2021</v>
      </c>
    </row>
    <row r="19" spans="1:12" ht="15.75" thickBot="1" x14ac:dyDescent="0.3">
      <c r="A19" s="275" t="s">
        <v>4587</v>
      </c>
      <c r="B19" s="275" t="s">
        <v>4587</v>
      </c>
      <c r="C19" s="82" t="str">
        <f t="shared" si="1"/>
        <v>X</v>
      </c>
      <c r="D19" s="216">
        <v>2022</v>
      </c>
      <c r="E19" s="123">
        <v>139</v>
      </c>
      <c r="F19" s="123">
        <v>-1</v>
      </c>
      <c r="G19" s="119"/>
      <c r="H19" s="1" t="s">
        <v>1882</v>
      </c>
      <c r="I19" s="2" t="s">
        <v>2958</v>
      </c>
      <c r="J19" s="250" t="s">
        <v>3499</v>
      </c>
      <c r="K19" s="250" t="s">
        <v>3502</v>
      </c>
      <c r="L19" s="422" t="str">
        <f t="shared" si="0"/>
        <v>Emissões médias por colaborador: Universo GB: PC2021</v>
      </c>
    </row>
    <row r="20" spans="1:12" ht="15.75" thickBot="1" x14ac:dyDescent="0.3">
      <c r="A20" s="82" t="s">
        <v>4591</v>
      </c>
      <c r="B20" s="82" t="s">
        <v>4591</v>
      </c>
      <c r="C20" s="82" t="str">
        <f t="shared" si="1"/>
        <v>X</v>
      </c>
      <c r="D20" s="216">
        <v>2022</v>
      </c>
      <c r="E20" s="123">
        <v>124</v>
      </c>
      <c r="F20" s="123">
        <v>-1</v>
      </c>
      <c r="G20" s="119" t="s">
        <v>2948</v>
      </c>
      <c r="H20" s="1" t="s">
        <v>1882</v>
      </c>
      <c r="I20" s="2" t="s">
        <v>2958</v>
      </c>
      <c r="J20" s="250" t="s">
        <v>3499</v>
      </c>
      <c r="K20" s="250" t="s">
        <v>3502</v>
      </c>
      <c r="L20" s="422" t="str">
        <f t="shared" si="0"/>
        <v>Emissões médias por colaborador: Universo GB: PC2021</v>
      </c>
    </row>
    <row r="21" spans="1:12" ht="15.75" thickBot="1" x14ac:dyDescent="0.3">
      <c r="A21" s="82" t="s">
        <v>4591</v>
      </c>
      <c r="B21" s="82" t="s">
        <v>4591</v>
      </c>
      <c r="C21" s="82" t="str">
        <f t="shared" si="1"/>
        <v>X</v>
      </c>
      <c r="D21" s="216">
        <v>2022</v>
      </c>
      <c r="E21" s="123">
        <v>5</v>
      </c>
      <c r="F21" s="123">
        <v>-1</v>
      </c>
      <c r="G21" s="119" t="s">
        <v>2949</v>
      </c>
      <c r="H21" s="1" t="s">
        <v>1882</v>
      </c>
      <c r="I21" s="2" t="s">
        <v>2958</v>
      </c>
      <c r="J21" s="250" t="s">
        <v>3499</v>
      </c>
      <c r="K21" s="250" t="s">
        <v>3502</v>
      </c>
      <c r="L21" s="422" t="str">
        <f t="shared" si="0"/>
        <v>Emissões médias por colaborador: Universo GB: PC2021</v>
      </c>
    </row>
    <row r="22" spans="1:12" ht="15.75" thickBot="1" x14ac:dyDescent="0.3">
      <c r="A22" s="82" t="s">
        <v>4591</v>
      </c>
      <c r="B22" s="82" t="s">
        <v>4591</v>
      </c>
      <c r="C22" s="82" t="str">
        <f t="shared" si="1"/>
        <v>X</v>
      </c>
      <c r="D22" s="216">
        <v>2022</v>
      </c>
      <c r="E22" s="123">
        <v>3</v>
      </c>
      <c r="F22" s="123">
        <v>-1</v>
      </c>
      <c r="G22" s="119" t="s">
        <v>2950</v>
      </c>
      <c r="H22" s="1" t="s">
        <v>1882</v>
      </c>
      <c r="I22" s="2" t="s">
        <v>2958</v>
      </c>
      <c r="J22" s="250" t="s">
        <v>3499</v>
      </c>
      <c r="K22" s="250" t="s">
        <v>3502</v>
      </c>
      <c r="L22" s="422" t="str">
        <f t="shared" si="0"/>
        <v>Emissões médias por colaborador: Universo GB: PC2021</v>
      </c>
    </row>
    <row r="23" spans="1:12" ht="15.75" thickBot="1" x14ac:dyDescent="0.3">
      <c r="A23" s="82" t="s">
        <v>4591</v>
      </c>
      <c r="B23" s="82" t="s">
        <v>4591</v>
      </c>
      <c r="C23" s="82" t="str">
        <f t="shared" si="1"/>
        <v>X</v>
      </c>
      <c r="D23" s="216">
        <v>2022</v>
      </c>
      <c r="E23" s="123">
        <v>14</v>
      </c>
      <c r="F23" s="123">
        <v>-1</v>
      </c>
      <c r="G23" s="119" t="s">
        <v>2951</v>
      </c>
      <c r="H23" s="1" t="s">
        <v>1882</v>
      </c>
      <c r="I23" s="2" t="s">
        <v>2958</v>
      </c>
      <c r="J23" s="250" t="s">
        <v>3499</v>
      </c>
      <c r="K23" s="250" t="s">
        <v>3502</v>
      </c>
      <c r="L23" s="422" t="str">
        <f t="shared" si="0"/>
        <v>Emissões médias por colaborador: Universo GB: PC2021</v>
      </c>
    </row>
    <row r="24" spans="1:12" ht="15.75" thickBot="1" x14ac:dyDescent="0.3">
      <c r="A24" s="82" t="s">
        <v>4591</v>
      </c>
      <c r="B24" s="82" t="s">
        <v>4591</v>
      </c>
      <c r="C24" s="82" t="str">
        <f t="shared" si="1"/>
        <v>X</v>
      </c>
      <c r="D24" s="216">
        <v>2022</v>
      </c>
      <c r="E24" s="123">
        <v>8</v>
      </c>
      <c r="F24" s="123">
        <v>-1</v>
      </c>
      <c r="G24" s="119" t="s">
        <v>2952</v>
      </c>
      <c r="H24" s="1" t="s">
        <v>1882</v>
      </c>
      <c r="I24" s="2" t="s">
        <v>2958</v>
      </c>
      <c r="J24" s="250" t="s">
        <v>3499</v>
      </c>
      <c r="K24" s="250" t="s">
        <v>3502</v>
      </c>
      <c r="L24" s="422" t="str">
        <f t="shared" si="0"/>
        <v>Emissões médias por colaborador: Universo GB: PC2021</v>
      </c>
    </row>
    <row r="25" spans="1:12" ht="30.75" thickBot="1" x14ac:dyDescent="0.3">
      <c r="A25" s="275" t="s">
        <v>4590</v>
      </c>
      <c r="B25" s="275" t="s">
        <v>4590</v>
      </c>
      <c r="C25" s="82" t="str">
        <f t="shared" si="1"/>
        <v>X</v>
      </c>
      <c r="D25" s="216">
        <v>2022</v>
      </c>
      <c r="E25" s="123">
        <v>504</v>
      </c>
      <c r="F25" s="123">
        <v>22.66</v>
      </c>
      <c r="G25" s="382" t="s">
        <v>2953</v>
      </c>
      <c r="H25" s="1" t="s">
        <v>1882</v>
      </c>
      <c r="I25" s="2" t="s">
        <v>2958</v>
      </c>
      <c r="J25" s="250" t="s">
        <v>3499</v>
      </c>
      <c r="K25" s="250" t="s">
        <v>3502</v>
      </c>
      <c r="L25" s="422" t="str">
        <f t="shared" si="0"/>
        <v>Emissões médias por colaborador: Universo GB: PC2021</v>
      </c>
    </row>
    <row r="26" spans="1:12" ht="15.75" thickBot="1" x14ac:dyDescent="0.3">
      <c r="A26" s="82" t="s">
        <v>4606</v>
      </c>
      <c r="B26" s="82" t="s">
        <v>4606</v>
      </c>
      <c r="C26" s="82" t="str">
        <f t="shared" si="1"/>
        <v>X</v>
      </c>
      <c r="D26" s="216">
        <v>2022</v>
      </c>
      <c r="E26" s="123">
        <v>15</v>
      </c>
      <c r="F26" s="123">
        <v>-1</v>
      </c>
      <c r="G26" s="119" t="s">
        <v>2954</v>
      </c>
      <c r="H26" s="1" t="s">
        <v>1882</v>
      </c>
      <c r="I26" s="2" t="s">
        <v>2958</v>
      </c>
      <c r="J26" s="250" t="s">
        <v>3499</v>
      </c>
      <c r="K26" s="250" t="s">
        <v>3502</v>
      </c>
      <c r="L26" s="422" t="str">
        <f t="shared" si="0"/>
        <v>Emissões médias por colaborador: Universo GB: PC2021</v>
      </c>
    </row>
    <row r="27" spans="1:12" ht="15.75" thickBot="1" x14ac:dyDescent="0.3">
      <c r="A27" s="274" t="s">
        <v>2817</v>
      </c>
      <c r="B27" s="274" t="s">
        <v>2817</v>
      </c>
      <c r="C27" s="82" t="str">
        <f t="shared" si="1"/>
        <v>X</v>
      </c>
      <c r="D27" s="216">
        <v>2022</v>
      </c>
      <c r="E27" s="123">
        <v>78</v>
      </c>
      <c r="F27" s="123">
        <v>-1</v>
      </c>
      <c r="G27" s="262" t="s">
        <v>2955</v>
      </c>
      <c r="H27" s="1" t="s">
        <v>1882</v>
      </c>
      <c r="I27" s="2" t="s">
        <v>2958</v>
      </c>
      <c r="J27" s="250" t="s">
        <v>3499</v>
      </c>
      <c r="K27" s="250" t="s">
        <v>3502</v>
      </c>
      <c r="L27" s="422" t="str">
        <f t="shared" si="0"/>
        <v>Emissões médias por colaborador: Universo GB: PC2021</v>
      </c>
    </row>
    <row r="28" spans="1:12" ht="15.75" thickBot="1" x14ac:dyDescent="0.3">
      <c r="A28" s="82" t="s">
        <v>1917</v>
      </c>
      <c r="B28" s="82" t="s">
        <v>1917</v>
      </c>
      <c r="C28" s="82" t="str">
        <f t="shared" si="1"/>
        <v>X</v>
      </c>
      <c r="D28" s="216">
        <v>2022</v>
      </c>
      <c r="E28" s="123">
        <v>16</v>
      </c>
      <c r="F28" s="246">
        <v>10</v>
      </c>
      <c r="G28" s="119" t="s">
        <v>2956</v>
      </c>
      <c r="H28" s="1" t="s">
        <v>1882</v>
      </c>
      <c r="I28" s="2" t="s">
        <v>2958</v>
      </c>
      <c r="J28" s="250" t="s">
        <v>3499</v>
      </c>
      <c r="K28" s="250" t="s">
        <v>3502</v>
      </c>
      <c r="L28" s="422" t="str">
        <f t="shared" si="0"/>
        <v>Emissões médias por colaborador: Universo GB: PC2021</v>
      </c>
    </row>
    <row r="29" spans="1:12" ht="30.75" thickBot="1" x14ac:dyDescent="0.3">
      <c r="A29" s="82" t="s">
        <v>2868</v>
      </c>
      <c r="B29" s="82" t="s">
        <v>2868</v>
      </c>
      <c r="C29" s="82" t="str">
        <f t="shared" si="1"/>
        <v>X</v>
      </c>
      <c r="D29" s="216">
        <v>2022</v>
      </c>
      <c r="E29" s="123">
        <v>31</v>
      </c>
      <c r="F29" s="123">
        <v>-1</v>
      </c>
      <c r="G29" s="382" t="s">
        <v>2957</v>
      </c>
      <c r="H29" s="1" t="s">
        <v>1882</v>
      </c>
      <c r="I29" s="2" t="s">
        <v>2958</v>
      </c>
      <c r="J29" s="250" t="s">
        <v>3499</v>
      </c>
      <c r="K29" s="250" t="s">
        <v>3502</v>
      </c>
      <c r="L29" s="422" t="str">
        <f t="shared" si="0"/>
        <v>Emissões médias por colaborador: Universo GB: PC2021</v>
      </c>
    </row>
    <row r="30" spans="1:12" ht="30.75" thickBot="1" x14ac:dyDescent="0.3">
      <c r="A30" s="82" t="s">
        <v>4592</v>
      </c>
      <c r="B30" s="82" t="s">
        <v>4592</v>
      </c>
      <c r="C30" s="82" t="str">
        <f t="shared" si="1"/>
        <v>X</v>
      </c>
      <c r="D30" s="216">
        <v>2022</v>
      </c>
      <c r="E30" s="123">
        <v>183</v>
      </c>
      <c r="F30" s="123">
        <v>-1</v>
      </c>
      <c r="G30" s="382" t="s">
        <v>2957</v>
      </c>
      <c r="H30" s="1" t="s">
        <v>1882</v>
      </c>
      <c r="I30" s="2" t="s">
        <v>2958</v>
      </c>
      <c r="J30" s="250" t="s">
        <v>3499</v>
      </c>
      <c r="K30" s="250" t="s">
        <v>3502</v>
      </c>
      <c r="L30" s="422" t="str">
        <f t="shared" si="0"/>
        <v>Emissões médias por colaborador: Universo GB: PC2021</v>
      </c>
    </row>
    <row r="31" spans="1:12" ht="30.75" thickBot="1" x14ac:dyDescent="0.3">
      <c r="A31" s="82" t="s">
        <v>4593</v>
      </c>
      <c r="B31" s="82" t="s">
        <v>4593</v>
      </c>
      <c r="C31" s="82" t="str">
        <f t="shared" si="1"/>
        <v>X</v>
      </c>
      <c r="D31" s="216">
        <v>2022</v>
      </c>
      <c r="E31" s="123">
        <v>183</v>
      </c>
      <c r="F31" s="123">
        <v>-1</v>
      </c>
      <c r="G31" s="382" t="s">
        <v>2957</v>
      </c>
      <c r="H31" s="1" t="s">
        <v>1882</v>
      </c>
      <c r="I31" s="2" t="s">
        <v>2958</v>
      </c>
      <c r="J31" s="250" t="s">
        <v>3499</v>
      </c>
      <c r="K31" s="250" t="s">
        <v>3502</v>
      </c>
      <c r="L31" s="422" t="str">
        <f t="shared" si="0"/>
        <v>Emissões médias por colaborador: Universo GB: PC2021</v>
      </c>
    </row>
    <row r="32" spans="1:12" ht="30.75" thickBot="1" x14ac:dyDescent="0.3">
      <c r="A32" s="82" t="s">
        <v>4594</v>
      </c>
      <c r="B32" s="82" t="s">
        <v>4594</v>
      </c>
      <c r="C32" s="82" t="str">
        <f t="shared" si="1"/>
        <v>X</v>
      </c>
      <c r="D32" s="216">
        <v>2022</v>
      </c>
      <c r="E32" s="123">
        <v>125</v>
      </c>
      <c r="F32" s="123">
        <v>-1</v>
      </c>
      <c r="G32" s="382" t="s">
        <v>2957</v>
      </c>
      <c r="H32" s="1" t="s">
        <v>1882</v>
      </c>
      <c r="I32" s="2" t="s">
        <v>2958</v>
      </c>
      <c r="J32" s="250" t="s">
        <v>3499</v>
      </c>
      <c r="K32" s="250" t="s">
        <v>3502</v>
      </c>
      <c r="L32" s="422" t="str">
        <f t="shared" si="0"/>
        <v>Emissões médias por colaborador: Universo GB: PC2021</v>
      </c>
    </row>
    <row r="33" spans="1:12" ht="30.75" thickBot="1" x14ac:dyDescent="0.3">
      <c r="A33" s="82" t="s">
        <v>4595</v>
      </c>
      <c r="B33" s="82" t="s">
        <v>4595</v>
      </c>
      <c r="C33" s="82" t="str">
        <f t="shared" si="1"/>
        <v>X</v>
      </c>
      <c r="D33" s="216">
        <v>2022</v>
      </c>
      <c r="E33" s="123">
        <v>144</v>
      </c>
      <c r="F33" s="123">
        <v>-1</v>
      </c>
      <c r="G33" s="382" t="s">
        <v>2957</v>
      </c>
      <c r="H33" s="1" t="s">
        <v>1882</v>
      </c>
      <c r="I33" s="2" t="s">
        <v>2958</v>
      </c>
      <c r="J33" s="250" t="s">
        <v>3499</v>
      </c>
      <c r="K33" s="250" t="s">
        <v>3502</v>
      </c>
      <c r="L33" s="422" t="str">
        <f t="shared" si="0"/>
        <v>Emissões médias por colaborador: Universo GB: PC2021</v>
      </c>
    </row>
    <row r="34" spans="1:12" ht="30.75" thickBot="1" x14ac:dyDescent="0.3">
      <c r="A34" s="82" t="s">
        <v>4602</v>
      </c>
      <c r="B34" s="82" t="s">
        <v>4602</v>
      </c>
      <c r="C34" s="82" t="str">
        <f>IF(A34=B34,"X",RIGHT(A34,LEN(A34)-LEN(B34)-3))</f>
        <v>X</v>
      </c>
      <c r="D34" s="216">
        <v>2022</v>
      </c>
      <c r="E34" s="123">
        <v>341</v>
      </c>
      <c r="F34" s="123">
        <v>-1</v>
      </c>
      <c r="G34" s="382" t="s">
        <v>2957</v>
      </c>
      <c r="H34" s="1" t="s">
        <v>1882</v>
      </c>
      <c r="I34" s="2" t="s">
        <v>2958</v>
      </c>
      <c r="J34" s="250" t="s">
        <v>3499</v>
      </c>
      <c r="K34" s="250" t="s">
        <v>3502</v>
      </c>
      <c r="L34" s="422" t="str">
        <f t="shared" si="0"/>
        <v>Emissões médias por colaborador: Universo GB: PC2021</v>
      </c>
    </row>
    <row r="35" spans="1:12" ht="15.75" thickBot="1" x14ac:dyDescent="0.3">
      <c r="A35" s="82" t="s">
        <v>4598</v>
      </c>
      <c r="B35" s="82" t="s">
        <v>4598</v>
      </c>
      <c r="C35" s="82" t="str">
        <f>IF(A35=B35,"X",RIGHT(A35,LEN(A35)-LEN(B35)-3))</f>
        <v>X</v>
      </c>
      <c r="D35" s="216">
        <v>2022</v>
      </c>
      <c r="E35" s="123">
        <v>156</v>
      </c>
      <c r="F35" s="123">
        <v>-1</v>
      </c>
      <c r="G35" s="383" t="s">
        <v>3803</v>
      </c>
      <c r="H35" s="1" t="s">
        <v>1882</v>
      </c>
      <c r="I35" s="2" t="s">
        <v>2958</v>
      </c>
      <c r="J35" s="250" t="s">
        <v>3499</v>
      </c>
      <c r="K35" s="250" t="s">
        <v>3502</v>
      </c>
      <c r="L35" s="422" t="str">
        <f t="shared" si="0"/>
        <v>Emissões médias por colaborador: Universo GB: PC2021</v>
      </c>
    </row>
    <row r="36" spans="1:12" ht="15.75" thickBot="1" x14ac:dyDescent="0.3">
      <c r="A36" t="s">
        <v>4601</v>
      </c>
      <c r="B36" t="s">
        <v>4601</v>
      </c>
      <c r="C36" s="82" t="str">
        <f>IF(A36=B36,"X",RIGHT(A36,LEN(A36)-LEN(B36)-3))</f>
        <v>X</v>
      </c>
      <c r="D36" s="216">
        <v>2022</v>
      </c>
      <c r="E36" s="123">
        <v>170</v>
      </c>
      <c r="F36" s="123">
        <v>-1</v>
      </c>
      <c r="G36" s="119"/>
      <c r="H36" s="1" t="s">
        <v>1882</v>
      </c>
      <c r="I36" s="2" t="s">
        <v>2958</v>
      </c>
      <c r="J36" s="250" t="s">
        <v>3499</v>
      </c>
      <c r="K36" s="250" t="s">
        <v>3502</v>
      </c>
      <c r="L36" s="422" t="str">
        <f t="shared" si="0"/>
        <v>Emissões médias por colaborador: Universo GB: PC2021</v>
      </c>
    </row>
    <row r="37" spans="1:12" ht="15.75" thickBot="1" x14ac:dyDescent="0.3">
      <c r="A37" t="s">
        <v>4600</v>
      </c>
      <c r="B37" t="s">
        <v>4600</v>
      </c>
      <c r="C37" s="82" t="str">
        <f t="shared" ref="C37" si="2">IF(A37=B37,"X",RIGHT(A37,LEN(A37)-LEN(B37)-3))</f>
        <v>X</v>
      </c>
      <c r="D37" s="216">
        <v>2022</v>
      </c>
      <c r="E37" s="123">
        <v>131</v>
      </c>
      <c r="F37" s="123">
        <v>-1</v>
      </c>
      <c r="G37" s="119"/>
      <c r="H37" s="1" t="s">
        <v>1882</v>
      </c>
      <c r="I37" s="2" t="s">
        <v>2958</v>
      </c>
      <c r="J37" s="250" t="s">
        <v>3499</v>
      </c>
      <c r="K37" s="250" t="s">
        <v>3502</v>
      </c>
      <c r="L37" s="422" t="str">
        <f t="shared" si="0"/>
        <v>Emissões médias por colaborador: Universo GB: PC2021</v>
      </c>
    </row>
    <row r="38" spans="1:12" ht="15.75" thickBot="1" x14ac:dyDescent="0.3">
      <c r="A38" t="s">
        <v>4615</v>
      </c>
      <c r="B38" t="s">
        <v>4615</v>
      </c>
      <c r="C38" t="s">
        <v>1950</v>
      </c>
      <c r="D38" s="390">
        <v>2022</v>
      </c>
      <c r="E38" s="89">
        <v>83</v>
      </c>
      <c r="F38" s="89">
        <v>-1</v>
      </c>
      <c r="H38" s="1" t="s">
        <v>1882</v>
      </c>
      <c r="I38" s="2" t="s">
        <v>2958</v>
      </c>
      <c r="J38" s="250" t="s">
        <v>3499</v>
      </c>
      <c r="K38" s="250" t="s">
        <v>3502</v>
      </c>
      <c r="L38" s="422" t="str">
        <f t="shared" si="0"/>
        <v>Emissões médias por colaborador: Universo GB: PC2021</v>
      </c>
    </row>
    <row r="39" spans="1:12" s="405" customFormat="1" ht="15.75" thickBot="1" x14ac:dyDescent="0.3">
      <c r="A39" s="405" t="s">
        <v>4591</v>
      </c>
      <c r="B39" s="405" t="s">
        <v>4591</v>
      </c>
      <c r="C39" s="405" t="s">
        <v>1950</v>
      </c>
      <c r="D39" s="404">
        <v>2023</v>
      </c>
      <c r="E39" s="467">
        <v>129</v>
      </c>
      <c r="F39" s="467">
        <v>-1</v>
      </c>
      <c r="G39" s="467" t="s">
        <v>5946</v>
      </c>
      <c r="H39" s="468" t="s">
        <v>1882</v>
      </c>
      <c r="I39" s="469" t="s">
        <v>5966</v>
      </c>
      <c r="J39" s="454" t="s">
        <v>3499</v>
      </c>
      <c r="K39" s="454" t="s">
        <v>3502</v>
      </c>
      <c r="L39" s="422" t="str">
        <f t="shared" si="0"/>
        <v>Emissões médias por colaborador: VP: APA Calculadora 2024</v>
      </c>
    </row>
    <row r="40" spans="1:12" ht="15.75" thickBot="1" x14ac:dyDescent="0.3">
      <c r="A40" t="s">
        <v>4591</v>
      </c>
      <c r="B40" t="s">
        <v>4591</v>
      </c>
      <c r="C40" s="422" t="s">
        <v>1950</v>
      </c>
      <c r="D40" s="390">
        <v>2023</v>
      </c>
      <c r="E40" s="123">
        <v>5</v>
      </c>
      <c r="F40" s="123">
        <v>-1</v>
      </c>
      <c r="G40" s="123" t="s">
        <v>5946</v>
      </c>
      <c r="H40" s="1" t="s">
        <v>1882</v>
      </c>
      <c r="I40" s="423" t="s">
        <v>5966</v>
      </c>
      <c r="J40" s="250" t="s">
        <v>3499</v>
      </c>
      <c r="K40" s="250" t="s">
        <v>3502</v>
      </c>
      <c r="L40" s="422" t="str">
        <f t="shared" si="0"/>
        <v>Emissões médias por colaborador: VP: APA Calculadora 2024</v>
      </c>
    </row>
    <row r="41" spans="1:12" ht="15.75" thickBot="1" x14ac:dyDescent="0.3">
      <c r="A41" t="s">
        <v>4591</v>
      </c>
      <c r="B41" t="s">
        <v>4591</v>
      </c>
      <c r="C41" s="422" t="s">
        <v>1950</v>
      </c>
      <c r="D41" s="390">
        <v>2023</v>
      </c>
      <c r="E41" s="123">
        <v>3</v>
      </c>
      <c r="F41" s="89">
        <v>0</v>
      </c>
      <c r="G41" s="466" t="s">
        <v>2826</v>
      </c>
      <c r="H41" s="1" t="s">
        <v>1882</v>
      </c>
      <c r="I41" s="423" t="s">
        <v>5960</v>
      </c>
      <c r="J41" s="250" t="s">
        <v>3499</v>
      </c>
      <c r="K41" s="250" t="s">
        <v>3502</v>
      </c>
      <c r="L41" s="422" t="str">
        <f t="shared" si="0"/>
        <v>Emissões médias por colaborador: AMLP PT: APA Calculadora 2024</v>
      </c>
    </row>
    <row r="42" spans="1:12" ht="15.75" thickBot="1" x14ac:dyDescent="0.3">
      <c r="A42" t="s">
        <v>4591</v>
      </c>
      <c r="B42" t="s">
        <v>4591</v>
      </c>
      <c r="C42" s="422" t="s">
        <v>1950</v>
      </c>
      <c r="D42" s="390">
        <v>2023</v>
      </c>
      <c r="E42" s="123">
        <v>15</v>
      </c>
      <c r="F42" s="123">
        <v>-1</v>
      </c>
      <c r="G42" s="123" t="s">
        <v>5946</v>
      </c>
      <c r="H42" s="1" t="s">
        <v>1882</v>
      </c>
      <c r="I42" s="423" t="s">
        <v>5966</v>
      </c>
      <c r="J42" s="250" t="s">
        <v>3499</v>
      </c>
      <c r="K42" s="250" t="s">
        <v>3502</v>
      </c>
      <c r="L42" s="422" t="str">
        <f t="shared" si="0"/>
        <v>Emissões médias por colaborador: VP: APA Calculadora 2024</v>
      </c>
    </row>
    <row r="43" spans="1:12" ht="15.75" thickBot="1" x14ac:dyDescent="0.3">
      <c r="A43" t="s">
        <v>4591</v>
      </c>
      <c r="B43" t="s">
        <v>4591</v>
      </c>
      <c r="C43" s="422" t="s">
        <v>1950</v>
      </c>
      <c r="D43" s="390">
        <v>2023</v>
      </c>
      <c r="E43" s="123">
        <v>5</v>
      </c>
      <c r="F43" s="123">
        <v>-1</v>
      </c>
      <c r="G43" s="123" t="s">
        <v>5946</v>
      </c>
      <c r="H43" s="1" t="s">
        <v>1882</v>
      </c>
      <c r="I43" s="423" t="s">
        <v>5966</v>
      </c>
      <c r="J43" s="250" t="s">
        <v>3499</v>
      </c>
      <c r="K43" s="250" t="s">
        <v>3502</v>
      </c>
      <c r="L43" s="422" t="str">
        <f t="shared" si="0"/>
        <v>Emissões médias por colaborador: VP: APA Calculadora 2024</v>
      </c>
    </row>
    <row r="44" spans="1:12" ht="15.75" thickBot="1" x14ac:dyDescent="0.3">
      <c r="A44" t="s">
        <v>4591</v>
      </c>
      <c r="B44" t="s">
        <v>4591</v>
      </c>
      <c r="C44" s="422" t="s">
        <v>1950</v>
      </c>
      <c r="D44" s="390">
        <v>2023</v>
      </c>
      <c r="E44" s="123">
        <v>3</v>
      </c>
      <c r="F44" s="89">
        <v>0</v>
      </c>
      <c r="G44" s="466" t="s">
        <v>2826</v>
      </c>
      <c r="H44" s="1" t="s">
        <v>1882</v>
      </c>
      <c r="I44" s="423" t="s">
        <v>5960</v>
      </c>
      <c r="J44" s="250" t="s">
        <v>3499</v>
      </c>
      <c r="K44" s="250" t="s">
        <v>3502</v>
      </c>
      <c r="L44" s="422" t="str">
        <f t="shared" si="0"/>
        <v>Emissões médias por colaborador: AMLP PT: APA Calculadora 2024</v>
      </c>
    </row>
    <row r="45" spans="1:12" ht="15.75" thickBot="1" x14ac:dyDescent="0.3">
      <c r="A45" t="s">
        <v>1916</v>
      </c>
      <c r="B45" t="s">
        <v>1916</v>
      </c>
      <c r="C45" s="422" t="s">
        <v>1950</v>
      </c>
      <c r="D45" s="390">
        <v>2023</v>
      </c>
      <c r="E45" s="123">
        <v>241</v>
      </c>
      <c r="F45" s="123">
        <v>-1</v>
      </c>
      <c r="G45" s="425" t="s">
        <v>1824</v>
      </c>
      <c r="H45" s="1" t="s">
        <v>1882</v>
      </c>
      <c r="I45" s="423" t="s">
        <v>5961</v>
      </c>
      <c r="J45" s="250" t="s">
        <v>3499</v>
      </c>
      <c r="K45" s="250" t="s">
        <v>3502</v>
      </c>
      <c r="L45" s="422" t="str">
        <f t="shared" si="0"/>
        <v>Emissões médias por colaborador: Resto PT PT: APA Calculadora 2024</v>
      </c>
    </row>
    <row r="46" spans="1:12" ht="15.75" thickBot="1" x14ac:dyDescent="0.3">
      <c r="A46" t="s">
        <v>2943</v>
      </c>
      <c r="B46" t="s">
        <v>2943</v>
      </c>
      <c r="C46" s="422" t="s">
        <v>1950</v>
      </c>
      <c r="D46" s="390">
        <v>2023</v>
      </c>
      <c r="E46" s="123">
        <v>53</v>
      </c>
      <c r="F46" s="123">
        <v>-1</v>
      </c>
      <c r="G46" s="123"/>
      <c r="H46" s="1" t="s">
        <v>1882</v>
      </c>
      <c r="I46" s="423" t="s">
        <v>5961</v>
      </c>
      <c r="J46" s="250" t="s">
        <v>3499</v>
      </c>
      <c r="K46" s="250" t="s">
        <v>3502</v>
      </c>
      <c r="L46" s="422" t="str">
        <f t="shared" si="0"/>
        <v>Emissões médias por colaborador: Resto PT PT: APA Calculadora 2024</v>
      </c>
    </row>
    <row r="47" spans="1:12" ht="15.75" thickBot="1" x14ac:dyDescent="0.3">
      <c r="A47" t="s">
        <v>2944</v>
      </c>
      <c r="B47" t="s">
        <v>2944</v>
      </c>
      <c r="C47" s="422" t="s">
        <v>1950</v>
      </c>
      <c r="D47" s="390">
        <v>2023</v>
      </c>
      <c r="E47" s="123">
        <v>43</v>
      </c>
      <c r="F47" s="123">
        <v>-1</v>
      </c>
      <c r="G47" s="123"/>
      <c r="H47" s="1" t="s">
        <v>1882</v>
      </c>
      <c r="I47" s="423" t="s">
        <v>5961</v>
      </c>
      <c r="J47" s="250" t="s">
        <v>3499</v>
      </c>
      <c r="K47" s="250" t="s">
        <v>3502</v>
      </c>
      <c r="L47" s="422" t="str">
        <f t="shared" si="0"/>
        <v>Emissões médias por colaborador: Resto PT PT: APA Calculadora 2024</v>
      </c>
    </row>
    <row r="48" spans="1:12" ht="15.75" thickBot="1" x14ac:dyDescent="0.3">
      <c r="A48" t="s">
        <v>2945</v>
      </c>
      <c r="B48" t="s">
        <v>2945</v>
      </c>
      <c r="C48" s="422" t="s">
        <v>1950</v>
      </c>
      <c r="D48" s="390">
        <v>2023</v>
      </c>
      <c r="E48" s="123">
        <v>60</v>
      </c>
      <c r="F48" s="123">
        <v>-1</v>
      </c>
      <c r="G48" s="123"/>
      <c r="H48" s="1" t="s">
        <v>1882</v>
      </c>
      <c r="I48" s="423" t="s">
        <v>5961</v>
      </c>
      <c r="J48" s="250" t="s">
        <v>3499</v>
      </c>
      <c r="K48" s="250" t="s">
        <v>3502</v>
      </c>
      <c r="L48" s="422" t="str">
        <f t="shared" si="0"/>
        <v>Emissões médias por colaborador: Resto PT PT: APA Calculadora 2024</v>
      </c>
    </row>
    <row r="49" spans="1:12" ht="15.75" thickBot="1" x14ac:dyDescent="0.3">
      <c r="A49" t="s">
        <v>2946</v>
      </c>
      <c r="B49" t="s">
        <v>2946</v>
      </c>
      <c r="C49" s="422" t="s">
        <v>1950</v>
      </c>
      <c r="D49" s="390">
        <v>2023</v>
      </c>
      <c r="E49" s="123">
        <v>0</v>
      </c>
      <c r="F49" s="123">
        <v>-1</v>
      </c>
      <c r="G49" s="123"/>
      <c r="H49" s="1" t="s">
        <v>1882</v>
      </c>
      <c r="I49" s="423" t="s">
        <v>5961</v>
      </c>
      <c r="J49" s="250" t="s">
        <v>3499</v>
      </c>
      <c r="K49" s="250" t="s">
        <v>3502</v>
      </c>
      <c r="L49" s="422" t="str">
        <f t="shared" si="0"/>
        <v>Emissões médias por colaborador: Resto PT PT: APA Calculadora 2024</v>
      </c>
    </row>
    <row r="50" spans="1:12" ht="15.75" thickBot="1" x14ac:dyDescent="0.3">
      <c r="A50" t="s">
        <v>4661</v>
      </c>
      <c r="B50" t="s">
        <v>4661</v>
      </c>
      <c r="C50" s="422" t="s">
        <v>1950</v>
      </c>
      <c r="D50" s="390">
        <v>2023</v>
      </c>
      <c r="E50" s="123">
        <v>33</v>
      </c>
      <c r="F50" s="123">
        <v>-1</v>
      </c>
      <c r="G50" s="123"/>
      <c r="H50" s="1" t="s">
        <v>1882</v>
      </c>
      <c r="I50" s="423" t="s">
        <v>5961</v>
      </c>
      <c r="J50" s="250" t="s">
        <v>3499</v>
      </c>
      <c r="K50" s="250" t="s">
        <v>3502</v>
      </c>
      <c r="L50" s="422" t="str">
        <f t="shared" si="0"/>
        <v>Emissões médias por colaborador: Resto PT PT: APA Calculadora 2024</v>
      </c>
    </row>
    <row r="51" spans="1:12" ht="15.75" thickBot="1" x14ac:dyDescent="0.3">
      <c r="A51" t="s">
        <v>1917</v>
      </c>
      <c r="B51" t="s">
        <v>1917</v>
      </c>
      <c r="C51" s="422" t="s">
        <v>1950</v>
      </c>
      <c r="D51" s="390">
        <v>2023</v>
      </c>
      <c r="E51" s="123">
        <v>16</v>
      </c>
      <c r="F51" s="123">
        <v>-1</v>
      </c>
      <c r="G51" s="123"/>
      <c r="H51" s="1" t="s">
        <v>1882</v>
      </c>
      <c r="I51" s="423" t="s">
        <v>5960</v>
      </c>
      <c r="J51" s="250" t="s">
        <v>3499</v>
      </c>
      <c r="K51" s="250" t="s">
        <v>3502</v>
      </c>
      <c r="L51" s="422" t="str">
        <f t="shared" si="0"/>
        <v>Emissões médias por colaborador: AMLP PT: APA Calculadora 2024</v>
      </c>
    </row>
    <row r="52" spans="1:12" ht="15.75" thickBot="1" x14ac:dyDescent="0.3">
      <c r="A52" t="s">
        <v>1912</v>
      </c>
      <c r="B52" t="s">
        <v>1912</v>
      </c>
      <c r="C52" s="422" t="s">
        <v>1950</v>
      </c>
      <c r="D52" s="390">
        <v>2023</v>
      </c>
      <c r="E52" s="123">
        <v>75</v>
      </c>
      <c r="F52" s="123">
        <v>-1</v>
      </c>
      <c r="G52" s="422" t="s">
        <v>5956</v>
      </c>
      <c r="H52" s="1" t="s">
        <v>1882</v>
      </c>
      <c r="I52" s="423" t="s">
        <v>5961</v>
      </c>
      <c r="J52" s="250" t="s">
        <v>3499</v>
      </c>
      <c r="K52" s="250" t="s">
        <v>3502</v>
      </c>
      <c r="L52" s="422" t="str">
        <f t="shared" si="0"/>
        <v>Emissões médias por colaborador: Resto PT PT: APA Calculadora 2024</v>
      </c>
    </row>
    <row r="53" spans="1:12" ht="15.75" thickBot="1" x14ac:dyDescent="0.3">
      <c r="A53" t="s">
        <v>4583</v>
      </c>
      <c r="B53" t="s">
        <v>4583</v>
      </c>
      <c r="C53" s="422" t="s">
        <v>1950</v>
      </c>
      <c r="D53" s="390">
        <v>2023</v>
      </c>
      <c r="E53" s="123">
        <v>250</v>
      </c>
      <c r="F53" s="123">
        <v>-1</v>
      </c>
      <c r="G53" s="123"/>
      <c r="H53" s="1" t="s">
        <v>1882</v>
      </c>
      <c r="I53" s="423" t="s">
        <v>5961</v>
      </c>
      <c r="J53" s="250" t="s">
        <v>3499</v>
      </c>
      <c r="K53" s="250" t="s">
        <v>3502</v>
      </c>
      <c r="L53" s="422" t="str">
        <f t="shared" si="0"/>
        <v>Emissões médias por colaborador: Resto PT PT: APA Calculadora 2024</v>
      </c>
    </row>
    <row r="54" spans="1:12" ht="15.75" thickBot="1" x14ac:dyDescent="0.3">
      <c r="A54" t="s">
        <v>4584</v>
      </c>
      <c r="B54" t="s">
        <v>4584</v>
      </c>
      <c r="C54" s="422" t="s">
        <v>1950</v>
      </c>
      <c r="D54" s="390">
        <v>2023</v>
      </c>
      <c r="E54" s="123">
        <v>89</v>
      </c>
      <c r="F54" s="123">
        <v>-1</v>
      </c>
      <c r="G54" s="123"/>
      <c r="H54" s="1" t="s">
        <v>1882</v>
      </c>
      <c r="I54" s="423" t="s">
        <v>5961</v>
      </c>
      <c r="J54" s="250" t="s">
        <v>3499</v>
      </c>
      <c r="K54" s="250" t="s">
        <v>3502</v>
      </c>
      <c r="L54" s="422" t="str">
        <f t="shared" si="0"/>
        <v>Emissões médias por colaborador: Resto PT PT: APA Calculadora 2024</v>
      </c>
    </row>
    <row r="55" spans="1:12" ht="15.75" thickBot="1" x14ac:dyDescent="0.3">
      <c r="A55" t="s">
        <v>3475</v>
      </c>
      <c r="B55" t="s">
        <v>3475</v>
      </c>
      <c r="C55" s="422" t="s">
        <v>1950</v>
      </c>
      <c r="D55" s="390">
        <v>2023</v>
      </c>
      <c r="E55" s="123">
        <v>44</v>
      </c>
      <c r="F55" s="123">
        <v>-1</v>
      </c>
      <c r="G55" s="123"/>
      <c r="H55" s="1" t="s">
        <v>1882</v>
      </c>
      <c r="I55" s="423" t="s">
        <v>5961</v>
      </c>
      <c r="J55" s="250" t="s">
        <v>3499</v>
      </c>
      <c r="K55" s="250" t="s">
        <v>3502</v>
      </c>
      <c r="L55" s="422" t="str">
        <f t="shared" si="0"/>
        <v>Emissões médias por colaborador: Resto PT PT: APA Calculadora 2024</v>
      </c>
    </row>
    <row r="56" spans="1:12" ht="15.75" thickBot="1" x14ac:dyDescent="0.3">
      <c r="A56" t="s">
        <v>4585</v>
      </c>
      <c r="B56" t="s">
        <v>4585</v>
      </c>
      <c r="C56" s="422" t="s">
        <v>1950</v>
      </c>
      <c r="D56" s="390">
        <v>2023</v>
      </c>
      <c r="E56" s="123">
        <v>38</v>
      </c>
      <c r="F56" s="123">
        <v>-1</v>
      </c>
      <c r="G56" s="123"/>
      <c r="H56" s="1" t="s">
        <v>1882</v>
      </c>
      <c r="I56" s="423" t="s">
        <v>5961</v>
      </c>
      <c r="J56" s="250" t="s">
        <v>3499</v>
      </c>
      <c r="K56" s="250" t="s">
        <v>3502</v>
      </c>
      <c r="L56" s="422" t="str">
        <f t="shared" si="0"/>
        <v>Emissões médias por colaborador: Resto PT PT: APA Calculadora 2024</v>
      </c>
    </row>
    <row r="57" spans="1:12" ht="15.75" thickBot="1" x14ac:dyDescent="0.3">
      <c r="A57" t="s">
        <v>4586</v>
      </c>
      <c r="B57" t="s">
        <v>4586</v>
      </c>
      <c r="C57" s="422" t="s">
        <v>1950</v>
      </c>
      <c r="D57" s="390">
        <v>2023</v>
      </c>
      <c r="E57" s="123">
        <v>62</v>
      </c>
      <c r="F57" s="123">
        <v>-1</v>
      </c>
      <c r="G57" s="123"/>
      <c r="H57" s="1" t="s">
        <v>1882</v>
      </c>
      <c r="I57" s="423" t="s">
        <v>5961</v>
      </c>
      <c r="J57" s="250" t="s">
        <v>3499</v>
      </c>
      <c r="K57" s="250" t="s">
        <v>3502</v>
      </c>
      <c r="L57" s="422" t="str">
        <f t="shared" si="0"/>
        <v>Emissões médias por colaborador: Resto PT PT: APA Calculadora 2024</v>
      </c>
    </row>
    <row r="58" spans="1:12" ht="15.75" thickBot="1" x14ac:dyDescent="0.3">
      <c r="A58" t="s">
        <v>4587</v>
      </c>
      <c r="B58" t="s">
        <v>4587</v>
      </c>
      <c r="C58" s="422" t="s">
        <v>1950</v>
      </c>
      <c r="D58" s="390">
        <v>2023</v>
      </c>
      <c r="E58" s="123">
        <v>138</v>
      </c>
      <c r="F58" s="123">
        <v>-1</v>
      </c>
      <c r="G58" s="123"/>
      <c r="H58" s="1" t="s">
        <v>1882</v>
      </c>
      <c r="I58" s="423" t="s">
        <v>5961</v>
      </c>
      <c r="J58" s="250" t="s">
        <v>3499</v>
      </c>
      <c r="K58" s="250" t="s">
        <v>3502</v>
      </c>
      <c r="L58" s="422" t="str">
        <f t="shared" si="0"/>
        <v>Emissões médias por colaborador: Resto PT PT: APA Calculadora 2024</v>
      </c>
    </row>
    <row r="59" spans="1:12" ht="15.75" thickBot="1" x14ac:dyDescent="0.3">
      <c r="A59" t="s">
        <v>4606</v>
      </c>
      <c r="B59" t="s">
        <v>4606</v>
      </c>
      <c r="C59" s="422" t="s">
        <v>1950</v>
      </c>
      <c r="D59" s="390">
        <v>2023</v>
      </c>
      <c r="E59" s="123">
        <v>6</v>
      </c>
      <c r="F59" s="123">
        <v>-1</v>
      </c>
      <c r="G59" s="123" t="s">
        <v>5948</v>
      </c>
      <c r="H59" s="1" t="s">
        <v>1882</v>
      </c>
      <c r="I59" s="423" t="s">
        <v>5959</v>
      </c>
      <c r="J59" s="250" t="s">
        <v>3499</v>
      </c>
      <c r="K59" s="250" t="s">
        <v>3502</v>
      </c>
      <c r="L59" s="422" t="str">
        <f t="shared" si="0"/>
        <v>Emissões médias por colaborador: Office Equipment:DEFRA: 2024</v>
      </c>
    </row>
    <row r="60" spans="1:12" ht="15.75" thickBot="1" x14ac:dyDescent="0.3">
      <c r="A60" t="s">
        <v>4606</v>
      </c>
      <c r="B60" t="s">
        <v>4606</v>
      </c>
      <c r="C60" s="422" t="s">
        <v>1950</v>
      </c>
      <c r="D60" s="390">
        <v>2023</v>
      </c>
      <c r="E60" s="123">
        <v>1</v>
      </c>
      <c r="F60" s="89">
        <v>12.5</v>
      </c>
      <c r="G60" s="123" t="s">
        <v>5949</v>
      </c>
      <c r="H60" s="1" t="s">
        <v>1882</v>
      </c>
      <c r="I60" s="423" t="s">
        <v>5966</v>
      </c>
      <c r="J60" s="250" t="s">
        <v>3499</v>
      </c>
      <c r="K60" s="250" t="s">
        <v>3502</v>
      </c>
      <c r="L60" s="422" t="str">
        <f t="shared" si="0"/>
        <v>Emissões médias por colaborador: VP: APA Calculadora 2024</v>
      </c>
    </row>
    <row r="61" spans="1:12" ht="15.75" thickBot="1" x14ac:dyDescent="0.3">
      <c r="A61" t="s">
        <v>4606</v>
      </c>
      <c r="B61" t="s">
        <v>4606</v>
      </c>
      <c r="C61" s="422" t="s">
        <v>1950</v>
      </c>
      <c r="D61" s="390">
        <v>2023</v>
      </c>
      <c r="E61" s="123">
        <v>1</v>
      </c>
      <c r="F61" s="89">
        <v>0</v>
      </c>
      <c r="G61" s="123" t="s">
        <v>5950</v>
      </c>
      <c r="H61" s="1" t="s">
        <v>1882</v>
      </c>
      <c r="I61" s="423" t="s">
        <v>5965</v>
      </c>
      <c r="J61" s="250" t="s">
        <v>3499</v>
      </c>
      <c r="K61" s="250" t="s">
        <v>3502</v>
      </c>
      <c r="L61" s="422" t="str">
        <f t="shared" si="0"/>
        <v>Emissões médias por colaborador: Modos Suaves: APA Calculadora 2024</v>
      </c>
    </row>
    <row r="62" spans="1:12" ht="15.75" thickBot="1" x14ac:dyDescent="0.3">
      <c r="A62" t="s">
        <v>4606</v>
      </c>
      <c r="B62" t="s">
        <v>4606</v>
      </c>
      <c r="C62" s="422" t="s">
        <v>1950</v>
      </c>
      <c r="D62" s="390">
        <v>2023</v>
      </c>
      <c r="E62" s="123">
        <v>1</v>
      </c>
      <c r="F62" s="89">
        <v>10.199999999999999</v>
      </c>
      <c r="G62" s="123" t="s">
        <v>5951</v>
      </c>
      <c r="H62" s="1" t="s">
        <v>1882</v>
      </c>
      <c r="I62" s="423" t="s">
        <v>5962</v>
      </c>
      <c r="J62" s="250" t="s">
        <v>3499</v>
      </c>
      <c r="K62" s="250" t="s">
        <v>3502</v>
      </c>
      <c r="L62" s="422" t="str">
        <f t="shared" si="0"/>
        <v>Emissões médias por colaborador: Autocarros e camionetas: APA Calculadora 2024</v>
      </c>
    </row>
    <row r="63" spans="1:12" ht="15.75" thickBot="1" x14ac:dyDescent="0.3">
      <c r="A63" t="s">
        <v>4606</v>
      </c>
      <c r="B63" t="s">
        <v>4606</v>
      </c>
      <c r="C63" s="422" t="s">
        <v>1950</v>
      </c>
      <c r="D63" s="390">
        <v>2023</v>
      </c>
      <c r="E63" s="123">
        <v>1</v>
      </c>
      <c r="F63" s="89">
        <v>14.2</v>
      </c>
      <c r="G63" s="123" t="s">
        <v>5952</v>
      </c>
      <c r="H63" s="1" t="s">
        <v>1882</v>
      </c>
      <c r="I63" s="423" t="s">
        <v>5963</v>
      </c>
      <c r="J63" s="250" t="s">
        <v>3499</v>
      </c>
      <c r="K63" s="250" t="s">
        <v>3502</v>
      </c>
      <c r="L63" s="422" t="str">
        <f t="shared" si="0"/>
        <v>Emissões médias por colaborador: Comboio: APA Calculadora 2024</v>
      </c>
    </row>
    <row r="64" spans="1:12" ht="15.75" thickBot="1" x14ac:dyDescent="0.3">
      <c r="A64" t="s">
        <v>4606</v>
      </c>
      <c r="B64" t="s">
        <v>4606</v>
      </c>
      <c r="C64" s="422" t="s">
        <v>1950</v>
      </c>
      <c r="D64" s="390">
        <v>2023</v>
      </c>
      <c r="E64" s="123">
        <v>1</v>
      </c>
      <c r="F64" s="89">
        <v>29.9</v>
      </c>
      <c r="G64" s="123" t="s">
        <v>5953</v>
      </c>
      <c r="H64" s="1" t="s">
        <v>1882</v>
      </c>
      <c r="I64" s="423" t="s">
        <v>5963</v>
      </c>
      <c r="J64" s="250" t="s">
        <v>3499</v>
      </c>
      <c r="K64" s="250" t="s">
        <v>3502</v>
      </c>
      <c r="L64" s="422" t="str">
        <f t="shared" si="0"/>
        <v>Emissões médias por colaborador: Comboio: APA Calculadora 2024</v>
      </c>
    </row>
    <row r="65" spans="1:12" ht="15.75" thickBot="1" x14ac:dyDescent="0.3">
      <c r="A65" t="s">
        <v>4606</v>
      </c>
      <c r="B65" t="s">
        <v>4606</v>
      </c>
      <c r="C65" s="422" t="s">
        <v>1950</v>
      </c>
      <c r="D65" s="390">
        <v>2023</v>
      </c>
      <c r="E65" s="123">
        <v>1</v>
      </c>
      <c r="F65" s="89">
        <v>28.6</v>
      </c>
      <c r="G65" s="123" t="s">
        <v>5953</v>
      </c>
      <c r="H65" s="1" t="s">
        <v>1882</v>
      </c>
      <c r="I65" s="423" t="s">
        <v>5963</v>
      </c>
      <c r="J65" s="250" t="s">
        <v>3499</v>
      </c>
      <c r="K65" s="250" t="s">
        <v>3502</v>
      </c>
      <c r="L65" s="422" t="str">
        <f t="shared" si="0"/>
        <v>Emissões médias por colaborador: Comboio: APA Calculadora 2024</v>
      </c>
    </row>
    <row r="66" spans="1:12" ht="15.75" thickBot="1" x14ac:dyDescent="0.3">
      <c r="A66" t="s">
        <v>4606</v>
      </c>
      <c r="B66" t="s">
        <v>4606</v>
      </c>
      <c r="C66" s="422" t="s">
        <v>1950</v>
      </c>
      <c r="D66" s="390">
        <v>2023</v>
      </c>
      <c r="E66" s="123">
        <v>1</v>
      </c>
      <c r="F66" s="89">
        <v>28.4</v>
      </c>
      <c r="G66" s="123" t="s">
        <v>5953</v>
      </c>
      <c r="H66" s="1" t="s">
        <v>1882</v>
      </c>
      <c r="I66" s="423" t="s">
        <v>5963</v>
      </c>
      <c r="J66" s="250" t="s">
        <v>3499</v>
      </c>
      <c r="K66" s="250" t="s">
        <v>3502</v>
      </c>
      <c r="L66" s="422" t="str">
        <f t="shared" si="0"/>
        <v>Emissões médias por colaborador: Comboio: APA Calculadora 2024</v>
      </c>
    </row>
    <row r="67" spans="1:12" ht="15.75" thickBot="1" x14ac:dyDescent="0.3">
      <c r="A67" t="s">
        <v>4606</v>
      </c>
      <c r="B67" t="s">
        <v>4606</v>
      </c>
      <c r="C67" s="422" t="s">
        <v>1950</v>
      </c>
      <c r="D67" s="390">
        <v>2023</v>
      </c>
      <c r="E67" s="123">
        <v>1</v>
      </c>
      <c r="F67" s="89">
        <v>10.199999999999999</v>
      </c>
      <c r="G67" s="123" t="s">
        <v>5954</v>
      </c>
      <c r="H67" s="1" t="s">
        <v>1882</v>
      </c>
      <c r="I67" s="423" t="s">
        <v>5962</v>
      </c>
      <c r="J67" s="250" t="s">
        <v>3499</v>
      </c>
      <c r="K67" s="250" t="s">
        <v>3502</v>
      </c>
      <c r="L67" s="422" t="str">
        <f t="shared" ref="L67" si="3">H67&amp;": "&amp;I67</f>
        <v>Emissões médias por colaborador: Autocarros e camionetas: APA Calculadora 2024</v>
      </c>
    </row>
    <row r="68" spans="1:12" ht="15.75" thickBot="1" x14ac:dyDescent="0.3">
      <c r="A68" t="s">
        <v>4606</v>
      </c>
      <c r="B68" t="s">
        <v>4606</v>
      </c>
      <c r="C68" s="422" t="s">
        <v>1950</v>
      </c>
      <c r="D68" s="390">
        <v>2023</v>
      </c>
      <c r="E68" s="123">
        <v>1</v>
      </c>
      <c r="F68" s="89">
        <v>39.200000000000003</v>
      </c>
      <c r="G68" s="123" t="s">
        <v>5955</v>
      </c>
      <c r="H68" s="1" t="s">
        <v>1882</v>
      </c>
      <c r="I68" s="423" t="s">
        <v>5964</v>
      </c>
      <c r="J68" s="250" t="s">
        <v>3499</v>
      </c>
      <c r="K68" s="250" t="s">
        <v>3502</v>
      </c>
      <c r="L68" t="str">
        <f>H68&amp;": "&amp;I68</f>
        <v>Emissões médias por colaborador: Barco: APA Calculadora 2024</v>
      </c>
    </row>
    <row r="69" spans="1:12" ht="15.75" thickBot="1" x14ac:dyDescent="0.3">
      <c r="A69" t="s">
        <v>2817</v>
      </c>
      <c r="B69" t="s">
        <v>2817</v>
      </c>
      <c r="C69" s="422" t="s">
        <v>1950</v>
      </c>
      <c r="D69" s="390">
        <v>2023</v>
      </c>
      <c r="E69" s="123">
        <v>79</v>
      </c>
      <c r="F69" s="123">
        <v>-1</v>
      </c>
      <c r="G69" s="123" t="s">
        <v>5946</v>
      </c>
      <c r="H69" s="1" t="s">
        <v>1882</v>
      </c>
      <c r="I69" s="423" t="s">
        <v>5966</v>
      </c>
      <c r="J69" s="250" t="s">
        <v>3499</v>
      </c>
      <c r="K69" s="250" t="s">
        <v>3502</v>
      </c>
      <c r="L69" s="422" t="str">
        <f t="shared" ref="L69:L85" si="4">H69&amp;": "&amp;I69</f>
        <v>Emissões médias por colaborador: VP: APA Calculadora 2024</v>
      </c>
    </row>
    <row r="70" spans="1:12" ht="15.75" thickBot="1" x14ac:dyDescent="0.3">
      <c r="A70" t="s">
        <v>2868</v>
      </c>
      <c r="B70" t="s">
        <v>2868</v>
      </c>
      <c r="C70" s="422" t="s">
        <v>1950</v>
      </c>
      <c r="D70" s="390">
        <v>2023</v>
      </c>
      <c r="E70" s="123">
        <v>76</v>
      </c>
      <c r="F70" s="123">
        <v>-1</v>
      </c>
      <c r="G70" s="425" t="s">
        <v>1824</v>
      </c>
      <c r="H70" s="1" t="s">
        <v>1882</v>
      </c>
      <c r="I70" s="423" t="s">
        <v>5961</v>
      </c>
      <c r="J70" s="250" t="s">
        <v>3499</v>
      </c>
      <c r="K70" s="250" t="s">
        <v>3502</v>
      </c>
      <c r="L70" s="422" t="str">
        <f t="shared" si="4"/>
        <v>Emissões médias por colaborador: Resto PT PT: APA Calculadora 2024</v>
      </c>
    </row>
    <row r="71" spans="1:12" ht="15.75" thickBot="1" x14ac:dyDescent="0.3">
      <c r="A71" t="s">
        <v>4592</v>
      </c>
      <c r="B71" t="s">
        <v>4592</v>
      </c>
      <c r="C71" s="422" t="s">
        <v>1950</v>
      </c>
      <c r="D71" s="390">
        <v>2023</v>
      </c>
      <c r="E71" s="123">
        <v>221</v>
      </c>
      <c r="F71" s="123">
        <v>-1</v>
      </c>
      <c r="G71" s="425" t="s">
        <v>1824</v>
      </c>
      <c r="H71" s="1" t="s">
        <v>1882</v>
      </c>
      <c r="I71" s="423" t="s">
        <v>5961</v>
      </c>
      <c r="J71" s="250" t="s">
        <v>3499</v>
      </c>
      <c r="K71" s="250" t="s">
        <v>3502</v>
      </c>
      <c r="L71" s="422" t="str">
        <f t="shared" si="4"/>
        <v>Emissões médias por colaborador: Resto PT PT: APA Calculadora 2024</v>
      </c>
    </row>
    <row r="72" spans="1:12" ht="15.75" thickBot="1" x14ac:dyDescent="0.3">
      <c r="A72" t="s">
        <v>4593</v>
      </c>
      <c r="B72" t="s">
        <v>4593</v>
      </c>
      <c r="C72" s="422" t="s">
        <v>1950</v>
      </c>
      <c r="D72" s="390">
        <v>2023</v>
      </c>
      <c r="E72" s="123">
        <v>182</v>
      </c>
      <c r="F72" s="123">
        <v>-1</v>
      </c>
      <c r="G72" s="425" t="s">
        <v>1824</v>
      </c>
      <c r="H72" s="1" t="s">
        <v>1882</v>
      </c>
      <c r="I72" s="423" t="s">
        <v>5961</v>
      </c>
      <c r="J72" s="250" t="s">
        <v>3499</v>
      </c>
      <c r="K72" s="250" t="s">
        <v>3502</v>
      </c>
      <c r="L72" s="422" t="str">
        <f t="shared" si="4"/>
        <v>Emissões médias por colaborador: Resto PT PT: APA Calculadora 2024</v>
      </c>
    </row>
    <row r="73" spans="1:12" ht="15.75" thickBot="1" x14ac:dyDescent="0.3">
      <c r="A73" t="s">
        <v>4594</v>
      </c>
      <c r="B73" t="s">
        <v>4594</v>
      </c>
      <c r="C73" s="422" t="s">
        <v>1950</v>
      </c>
      <c r="D73" s="390">
        <v>2023</v>
      </c>
      <c r="E73" s="123">
        <v>134</v>
      </c>
      <c r="F73" s="123">
        <v>-1</v>
      </c>
      <c r="G73" s="425" t="s">
        <v>1824</v>
      </c>
      <c r="H73" s="1" t="s">
        <v>1882</v>
      </c>
      <c r="I73" s="423" t="s">
        <v>5961</v>
      </c>
      <c r="J73" s="250" t="s">
        <v>3499</v>
      </c>
      <c r="K73" s="250" t="s">
        <v>3502</v>
      </c>
      <c r="L73" s="422" t="str">
        <f t="shared" si="4"/>
        <v>Emissões médias por colaborador: Resto PT PT: APA Calculadora 2024</v>
      </c>
    </row>
    <row r="74" spans="1:12" ht="15.75" thickBot="1" x14ac:dyDescent="0.3">
      <c r="A74" t="s">
        <v>4595</v>
      </c>
      <c r="B74" t="s">
        <v>4595</v>
      </c>
      <c r="C74" s="422" t="s">
        <v>1950</v>
      </c>
      <c r="D74" s="390">
        <v>2023</v>
      </c>
      <c r="E74" s="123">
        <v>200</v>
      </c>
      <c r="F74" s="123">
        <v>-1</v>
      </c>
      <c r="G74" s="425" t="s">
        <v>1824</v>
      </c>
      <c r="H74" s="1" t="s">
        <v>1882</v>
      </c>
      <c r="I74" s="423" t="s">
        <v>5961</v>
      </c>
      <c r="J74" s="250" t="s">
        <v>3499</v>
      </c>
      <c r="K74" s="250" t="s">
        <v>3502</v>
      </c>
      <c r="L74" s="422" t="str">
        <f t="shared" si="4"/>
        <v>Emissões médias por colaborador: Resto PT PT: APA Calculadora 2024</v>
      </c>
    </row>
    <row r="75" spans="1:12" ht="15.75" thickBot="1" x14ac:dyDescent="0.3">
      <c r="A75" t="s">
        <v>1910</v>
      </c>
      <c r="B75" t="s">
        <v>1910</v>
      </c>
      <c r="C75" s="422" t="s">
        <v>1950</v>
      </c>
      <c r="D75" s="390">
        <v>2023</v>
      </c>
      <c r="E75" s="123">
        <v>940</v>
      </c>
      <c r="F75" s="123">
        <v>-1</v>
      </c>
      <c r="G75" s="425" t="s">
        <v>2947</v>
      </c>
      <c r="H75" s="1" t="s">
        <v>1882</v>
      </c>
      <c r="I75" s="423" t="s">
        <v>5960</v>
      </c>
      <c r="J75" s="250" t="s">
        <v>3499</v>
      </c>
      <c r="K75" s="250" t="s">
        <v>3502</v>
      </c>
      <c r="L75" s="422" t="str">
        <f t="shared" si="4"/>
        <v>Emissões médias por colaborador: AMLP PT: APA Calculadora 2024</v>
      </c>
    </row>
    <row r="76" spans="1:12" ht="15.75" thickBot="1" x14ac:dyDescent="0.3">
      <c r="A76" t="s">
        <v>4598</v>
      </c>
      <c r="B76" t="s">
        <v>4598</v>
      </c>
      <c r="C76" s="422" t="s">
        <v>1950</v>
      </c>
      <c r="D76" s="390">
        <v>2023</v>
      </c>
      <c r="E76" s="123">
        <v>109</v>
      </c>
      <c r="F76" s="123">
        <v>-1</v>
      </c>
      <c r="G76" s="123"/>
      <c r="H76" s="1" t="s">
        <v>1882</v>
      </c>
      <c r="I76" s="423" t="s">
        <v>5961</v>
      </c>
      <c r="J76" s="250" t="s">
        <v>3499</v>
      </c>
      <c r="K76" s="250" t="s">
        <v>3502</v>
      </c>
      <c r="L76" s="422" t="str">
        <f t="shared" si="4"/>
        <v>Emissões médias por colaborador: Resto PT PT: APA Calculadora 2024</v>
      </c>
    </row>
    <row r="77" spans="1:12" ht="15.75" thickBot="1" x14ac:dyDescent="0.3">
      <c r="A77" t="s">
        <v>4643</v>
      </c>
      <c r="B77" t="s">
        <v>3638</v>
      </c>
      <c r="C77" s="422" t="s">
        <v>1950</v>
      </c>
      <c r="D77" s="390">
        <v>2023</v>
      </c>
      <c r="E77" s="123">
        <v>59</v>
      </c>
      <c r="F77" s="123">
        <v>-1</v>
      </c>
      <c r="G77" s="123"/>
      <c r="H77" s="1" t="s">
        <v>1882</v>
      </c>
      <c r="I77" s="423" t="s">
        <v>5961</v>
      </c>
      <c r="J77" s="250" t="s">
        <v>3499</v>
      </c>
      <c r="K77" s="250" t="s">
        <v>3502</v>
      </c>
      <c r="L77" s="422" t="str">
        <f t="shared" si="4"/>
        <v>Emissões médias por colaborador: Resto PT PT: APA Calculadora 2024</v>
      </c>
    </row>
    <row r="78" spans="1:12" ht="15.75" thickBot="1" x14ac:dyDescent="0.3">
      <c r="A78" t="s">
        <v>4642</v>
      </c>
      <c r="B78" t="s">
        <v>5945</v>
      </c>
      <c r="C78" s="422" t="s">
        <v>1950</v>
      </c>
      <c r="D78" s="390">
        <v>2023</v>
      </c>
      <c r="E78" s="123">
        <v>23</v>
      </c>
      <c r="F78" s="123">
        <v>-1</v>
      </c>
      <c r="G78" s="123"/>
      <c r="H78" s="1" t="s">
        <v>1882</v>
      </c>
      <c r="I78" s="423" t="s">
        <v>5961</v>
      </c>
      <c r="J78" s="250" t="s">
        <v>3499</v>
      </c>
      <c r="K78" s="250" t="s">
        <v>3502</v>
      </c>
      <c r="L78" s="422" t="str">
        <f t="shared" si="4"/>
        <v>Emissões médias por colaborador: Resto PT PT: APA Calculadora 2024</v>
      </c>
    </row>
    <row r="79" spans="1:12" ht="30.75" thickBot="1" x14ac:dyDescent="0.3">
      <c r="A79" t="s">
        <v>4668</v>
      </c>
      <c r="B79" t="s">
        <v>4668</v>
      </c>
      <c r="C79" s="422" t="s">
        <v>1950</v>
      </c>
      <c r="D79" s="390">
        <v>2023</v>
      </c>
      <c r="E79" s="123">
        <v>994</v>
      </c>
      <c r="F79" s="89">
        <v>20.55</v>
      </c>
      <c r="G79" s="272" t="s">
        <v>5957</v>
      </c>
      <c r="H79" s="1" t="s">
        <v>1882</v>
      </c>
      <c r="I79" s="423" t="s">
        <v>5960</v>
      </c>
      <c r="J79" s="250" t="s">
        <v>3499</v>
      </c>
      <c r="K79" s="250" t="s">
        <v>3502</v>
      </c>
      <c r="L79" s="422" t="str">
        <f t="shared" si="4"/>
        <v>Emissões médias por colaborador: AMLP PT: APA Calculadora 2024</v>
      </c>
    </row>
    <row r="80" spans="1:12" ht="15.75" thickBot="1" x14ac:dyDescent="0.3">
      <c r="A80" t="s">
        <v>4581</v>
      </c>
      <c r="B80" t="s">
        <v>4581</v>
      </c>
      <c r="C80" s="422" t="s">
        <v>1950</v>
      </c>
      <c r="D80" s="390">
        <v>2023</v>
      </c>
      <c r="E80" s="464">
        <v>114</v>
      </c>
      <c r="F80" s="123">
        <v>-1</v>
      </c>
      <c r="G80" s="123" t="s">
        <v>5947</v>
      </c>
      <c r="H80" s="1" t="s">
        <v>1882</v>
      </c>
      <c r="I80" s="423" t="s">
        <v>5966</v>
      </c>
      <c r="J80" s="250" t="s">
        <v>3499</v>
      </c>
      <c r="K80" s="250" t="s">
        <v>3502</v>
      </c>
      <c r="L80" s="422" t="str">
        <f t="shared" si="4"/>
        <v>Emissões médias por colaborador: VP: APA Calculadora 2024</v>
      </c>
    </row>
    <row r="81" spans="1:12" ht="15.75" thickBot="1" x14ac:dyDescent="0.3">
      <c r="A81" t="s">
        <v>4601</v>
      </c>
      <c r="B81" t="s">
        <v>4601</v>
      </c>
      <c r="C81" s="422" t="s">
        <v>1950</v>
      </c>
      <c r="D81" s="390">
        <v>2023</v>
      </c>
      <c r="E81" s="123">
        <v>174</v>
      </c>
      <c r="F81" s="123">
        <v>-1</v>
      </c>
      <c r="G81" s="272" t="s">
        <v>5958</v>
      </c>
      <c r="H81" s="1" t="s">
        <v>1882</v>
      </c>
      <c r="I81" s="423" t="s">
        <v>5960</v>
      </c>
      <c r="J81" s="250" t="s">
        <v>3499</v>
      </c>
      <c r="K81" s="250" t="s">
        <v>3502</v>
      </c>
      <c r="L81" s="422" t="str">
        <f t="shared" si="4"/>
        <v>Emissões médias por colaborador: AMLP PT: APA Calculadora 2024</v>
      </c>
    </row>
    <row r="82" spans="1:12" ht="15.75" thickBot="1" x14ac:dyDescent="0.3">
      <c r="A82" t="s">
        <v>4600</v>
      </c>
      <c r="B82" t="s">
        <v>4600</v>
      </c>
      <c r="C82" s="422" t="s">
        <v>1950</v>
      </c>
      <c r="D82" s="390">
        <v>2023</v>
      </c>
      <c r="E82" s="123">
        <v>139</v>
      </c>
      <c r="F82" s="123">
        <v>-1</v>
      </c>
      <c r="G82" s="272" t="s">
        <v>5958</v>
      </c>
      <c r="H82" s="1" t="s">
        <v>1882</v>
      </c>
      <c r="I82" s="423" t="s">
        <v>5960</v>
      </c>
      <c r="J82" s="250" t="s">
        <v>3499</v>
      </c>
      <c r="K82" s="250" t="s">
        <v>3502</v>
      </c>
      <c r="L82" s="422" t="str">
        <f t="shared" si="4"/>
        <v>Emissões médias por colaborador: AMLP PT: APA Calculadora 2024</v>
      </c>
    </row>
    <row r="83" spans="1:12" ht="15.75" thickBot="1" x14ac:dyDescent="0.3">
      <c r="A83" t="s">
        <v>1915</v>
      </c>
      <c r="B83" t="s">
        <v>1915</v>
      </c>
      <c r="C83" s="422" t="s">
        <v>1950</v>
      </c>
      <c r="D83" s="390">
        <v>2023</v>
      </c>
      <c r="E83" s="464">
        <v>273</v>
      </c>
      <c r="F83" s="123">
        <v>-1</v>
      </c>
      <c r="G83" s="123"/>
      <c r="H83" s="1" t="s">
        <v>1882</v>
      </c>
      <c r="I83" s="423" t="s">
        <v>5960</v>
      </c>
      <c r="J83" s="250" t="s">
        <v>3499</v>
      </c>
      <c r="K83" s="250" t="s">
        <v>3502</v>
      </c>
      <c r="L83" s="422" t="str">
        <f t="shared" si="4"/>
        <v>Emissões médias por colaborador: AMLP PT: APA Calculadora 2024</v>
      </c>
    </row>
    <row r="84" spans="1:12" ht="15.75" thickBot="1" x14ac:dyDescent="0.3">
      <c r="A84" t="s">
        <v>4580</v>
      </c>
      <c r="B84" t="s">
        <v>4580</v>
      </c>
      <c r="C84" t="s">
        <v>1950</v>
      </c>
      <c r="D84" s="390">
        <v>2023</v>
      </c>
      <c r="E84" s="89">
        <v>69</v>
      </c>
      <c r="F84" s="89">
        <v>-1</v>
      </c>
      <c r="G84" s="272" t="s">
        <v>1824</v>
      </c>
      <c r="H84" s="1" t="s">
        <v>1882</v>
      </c>
      <c r="I84" s="423" t="s">
        <v>5960</v>
      </c>
      <c r="J84" s="250" t="s">
        <v>3499</v>
      </c>
      <c r="K84" s="250" t="s">
        <v>3502</v>
      </c>
      <c r="L84" s="422" t="str">
        <f t="shared" si="4"/>
        <v>Emissões médias por colaborador: AMLP PT: APA Calculadora 2024</v>
      </c>
    </row>
    <row r="85" spans="1:12" x14ac:dyDescent="0.25">
      <c r="A85" t="s">
        <v>45</v>
      </c>
      <c r="B85" t="s">
        <v>45</v>
      </c>
      <c r="C85" t="s">
        <v>1950</v>
      </c>
      <c r="D85" s="390">
        <v>2023</v>
      </c>
      <c r="E85" s="89">
        <v>997</v>
      </c>
      <c r="F85" s="89">
        <v>-1</v>
      </c>
      <c r="G85" s="470" t="s">
        <v>5967</v>
      </c>
      <c r="H85" s="1" t="s">
        <v>1882</v>
      </c>
      <c r="I85" s="423" t="s">
        <v>5960</v>
      </c>
      <c r="J85" s="250" t="s">
        <v>3499</v>
      </c>
      <c r="K85" s="250" t="s">
        <v>3502</v>
      </c>
      <c r="L85" s="422" t="str">
        <f t="shared" si="4"/>
        <v>Emissões médias por colaborador: AMLP PT: APA Calculadora 2024</v>
      </c>
    </row>
    <row r="86" spans="1:12" x14ac:dyDescent="0.25">
      <c r="A86" s="680" t="s">
        <v>6582</v>
      </c>
      <c r="B86" s="680" t="s">
        <v>6582</v>
      </c>
      <c r="C86" s="422" t="s">
        <v>1950</v>
      </c>
      <c r="D86" s="390">
        <v>2023</v>
      </c>
      <c r="E86" s="89">
        <v>100</v>
      </c>
      <c r="F86" s="428">
        <v>-1</v>
      </c>
      <c r="H86" s="1" t="s">
        <v>1882</v>
      </c>
      <c r="I86" s="423" t="s">
        <v>5960</v>
      </c>
      <c r="J86" s="250" t="s">
        <v>3499</v>
      </c>
      <c r="K86" s="250" t="s">
        <v>3502</v>
      </c>
      <c r="L86" s="422" t="str">
        <f t="shared" ref="L86:L87" si="5">H86&amp;": "&amp;I86</f>
        <v>Emissões médias por colaborador: AMLP PT: APA Calculadora 2024</v>
      </c>
    </row>
    <row r="87" spans="1:12" x14ac:dyDescent="0.25">
      <c r="A87" s="680" t="s">
        <v>6583</v>
      </c>
      <c r="B87" s="680" t="s">
        <v>6583</v>
      </c>
      <c r="C87" s="422" t="s">
        <v>1950</v>
      </c>
      <c r="D87" s="390">
        <v>2023</v>
      </c>
      <c r="E87" s="89">
        <v>41</v>
      </c>
      <c r="F87" s="428">
        <v>-1</v>
      </c>
      <c r="H87" s="1" t="s">
        <v>1882</v>
      </c>
      <c r="I87" s="423" t="s">
        <v>5960</v>
      </c>
      <c r="J87" s="250" t="s">
        <v>3499</v>
      </c>
      <c r="K87" s="250" t="s">
        <v>3502</v>
      </c>
      <c r="L87" s="422" t="str">
        <f t="shared" si="5"/>
        <v>Emissões médias por colaborador: AMLP PT: APA Calculadora 2024</v>
      </c>
    </row>
  </sheetData>
  <mergeCells count="11">
    <mergeCell ref="L1:L2"/>
    <mergeCell ref="J1:J2"/>
    <mergeCell ref="K1:K2"/>
    <mergeCell ref="A1:A2"/>
    <mergeCell ref="C1:C2"/>
    <mergeCell ref="H1:H2"/>
    <mergeCell ref="I1:I2"/>
    <mergeCell ref="B1:B2"/>
    <mergeCell ref="E1:E2"/>
    <mergeCell ref="F1:F2"/>
    <mergeCell ref="G1:G2"/>
  </mergeCells>
  <dataValidations count="1">
    <dataValidation type="list" allowBlank="1" showInputMessage="1" showErrorMessage="1" sqref="G76:G78 G69 G53:G54 G39:G44 G46:G51 G83">
      <formula1>"Viatura de Serviço, Automóvel Próprio, Motociclo, Bicicleta, Trotinete Electrica, A pé, Autocarro, Comboio, Metro, Eletrico, Barco,"</formula1>
    </dataValidation>
  </dataValidations>
  <pageMargins left="0.7" right="0.7" top="0.75" bottom="0.75" header="0.3" footer="0.3"/>
  <pageSetup paperSize="9" orientation="portrait" r:id="rId1"/>
  <customProperties>
    <customPr name="GUID" r:id="rId2"/>
  </customPropertie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1"/>
  <dimension ref="B6:W172"/>
  <sheetViews>
    <sheetView workbookViewId="0"/>
  </sheetViews>
  <sheetFormatPr defaultRowHeight="15" x14ac:dyDescent="0.25"/>
  <cols>
    <col min="2" max="2" width="50" customWidth="1"/>
    <col min="3" max="3" width="35.7109375" customWidth="1"/>
    <col min="4" max="8" width="25.7109375" customWidth="1"/>
    <col min="9" max="9" width="28.7109375" customWidth="1"/>
  </cols>
  <sheetData>
    <row r="6" spans="2:23" ht="15.75" thickBot="1" x14ac:dyDescent="0.3"/>
    <row r="7" spans="2:23" x14ac:dyDescent="0.25">
      <c r="B7" s="78" t="s">
        <v>118</v>
      </c>
      <c r="C7" s="79"/>
    </row>
    <row r="9" spans="2:23" x14ac:dyDescent="0.25">
      <c r="B9" s="765" t="str">
        <f>"Grupo Barraqueiro: "&amp;'Folha de Rosto'!C6&amp;" "&amp;'Folha de Rosto'!I6&amp;" - Emissões de GEE de Âmbito 3"</f>
        <v>Grupo Barraqueiro: PEGADA DE CARBONO 2022 - Emissões de GEE de Âmbito 3</v>
      </c>
      <c r="C9" s="765"/>
      <c r="D9" s="765"/>
      <c r="E9" s="765"/>
      <c r="F9" s="765"/>
      <c r="G9" s="765"/>
      <c r="H9" s="765"/>
      <c r="I9" s="765"/>
      <c r="J9" s="765"/>
      <c r="K9" s="765"/>
      <c r="L9" s="765"/>
      <c r="M9" s="765"/>
      <c r="N9" s="765"/>
      <c r="O9" s="765"/>
      <c r="P9" s="765"/>
      <c r="Q9" s="765"/>
      <c r="R9" s="765"/>
      <c r="S9" s="765"/>
      <c r="T9" s="765"/>
      <c r="U9" s="765"/>
      <c r="V9" s="765"/>
      <c r="W9" s="765"/>
    </row>
    <row r="10" spans="2:23" ht="15.75" thickBot="1" x14ac:dyDescent="0.3"/>
    <row r="11" spans="2:23" ht="33.6" customHeight="1" thickBot="1" x14ac:dyDescent="0.3">
      <c r="B11" s="800" t="s">
        <v>119</v>
      </c>
      <c r="C11" s="801"/>
      <c r="D11" s="802" t="s">
        <v>522</v>
      </c>
      <c r="E11" s="803"/>
      <c r="F11" s="803"/>
      <c r="G11" s="803"/>
      <c r="H11" s="803"/>
      <c r="I11" s="803"/>
      <c r="J11" s="803"/>
      <c r="K11" s="803"/>
      <c r="L11" s="803"/>
      <c r="M11" s="803"/>
      <c r="N11" s="803"/>
      <c r="O11" s="803"/>
      <c r="P11" s="804"/>
    </row>
    <row r="12" spans="2:23" ht="60.95" customHeight="1" thickBot="1" x14ac:dyDescent="0.3">
      <c r="B12" s="800" t="s">
        <v>120</v>
      </c>
      <c r="C12" s="801"/>
      <c r="D12" s="805" t="s">
        <v>441</v>
      </c>
      <c r="E12" s="806"/>
      <c r="F12" s="806"/>
      <c r="G12" s="806"/>
      <c r="H12" s="806"/>
      <c r="I12" s="806"/>
      <c r="J12" s="806"/>
      <c r="K12" s="806"/>
      <c r="L12" s="806"/>
      <c r="M12" s="806"/>
      <c r="N12" s="806"/>
      <c r="O12" s="806"/>
      <c r="P12" s="807"/>
    </row>
    <row r="13" spans="2:23" ht="60.95" customHeight="1" thickBot="1" x14ac:dyDescent="0.3">
      <c r="B13" s="800" t="s">
        <v>121</v>
      </c>
      <c r="C13" s="801"/>
      <c r="D13" s="798" t="s">
        <v>1529</v>
      </c>
      <c r="E13" s="799"/>
      <c r="F13" s="799"/>
      <c r="G13" s="799"/>
      <c r="H13" s="799"/>
      <c r="I13" s="799"/>
      <c r="J13" s="799"/>
      <c r="K13" s="799"/>
      <c r="L13" s="799"/>
      <c r="M13" s="799"/>
      <c r="N13" s="799"/>
      <c r="O13" s="799"/>
      <c r="P13" s="808"/>
    </row>
    <row r="14" spans="2:23" ht="60.95" customHeight="1" thickBot="1" x14ac:dyDescent="0.3">
      <c r="B14" s="800" t="s">
        <v>122</v>
      </c>
      <c r="C14" s="801"/>
      <c r="D14" s="798" t="s">
        <v>123</v>
      </c>
      <c r="E14" s="799"/>
      <c r="F14" s="799"/>
      <c r="G14" s="799"/>
      <c r="H14" s="799"/>
      <c r="I14" s="799"/>
      <c r="J14" s="799"/>
      <c r="K14" s="799"/>
      <c r="L14" s="799"/>
      <c r="M14" s="799"/>
      <c r="N14" s="799"/>
      <c r="O14" s="799"/>
      <c r="P14" s="808"/>
    </row>
    <row r="15" spans="2:23" ht="60" customHeight="1" thickBot="1" x14ac:dyDescent="0.3">
      <c r="B15" s="800" t="s">
        <v>128</v>
      </c>
      <c r="C15" s="801"/>
      <c r="D15" s="798" t="s">
        <v>129</v>
      </c>
      <c r="E15" s="799"/>
      <c r="F15" s="799"/>
      <c r="G15" s="799"/>
      <c r="H15" s="799"/>
      <c r="I15" s="799"/>
      <c r="J15" s="799"/>
      <c r="K15" s="799"/>
      <c r="L15" s="799"/>
      <c r="M15" s="799"/>
      <c r="N15" s="799"/>
      <c r="O15" s="799"/>
      <c r="P15" s="762"/>
    </row>
    <row r="17" spans="2:23" x14ac:dyDescent="0.25">
      <c r="B17" s="765" t="s">
        <v>1820</v>
      </c>
      <c r="C17" s="765"/>
      <c r="D17" s="765"/>
      <c r="E17" s="765"/>
      <c r="F17" s="765"/>
      <c r="G17" s="765"/>
      <c r="H17" s="765"/>
      <c r="I17" s="765"/>
      <c r="J17" s="765"/>
      <c r="K17" s="765"/>
      <c r="L17" s="765"/>
      <c r="M17" s="765"/>
      <c r="N17" s="765"/>
      <c r="O17" s="765"/>
      <c r="P17" s="765"/>
      <c r="Q17" s="765"/>
      <c r="R17" s="765"/>
      <c r="S17" s="765"/>
      <c r="T17" s="765"/>
      <c r="U17" s="765"/>
      <c r="V17" s="765"/>
      <c r="W17" s="765"/>
    </row>
    <row r="18" spans="2:23" x14ac:dyDescent="0.25">
      <c r="B18" t="s">
        <v>130</v>
      </c>
    </row>
    <row r="20" spans="2:23" x14ac:dyDescent="0.25">
      <c r="B20" s="81" t="s">
        <v>135</v>
      </c>
    </row>
    <row r="21" spans="2:23" x14ac:dyDescent="0.25">
      <c r="B21" s="766"/>
      <c r="C21" s="766"/>
      <c r="D21" s="766"/>
      <c r="E21" s="766"/>
      <c r="F21" s="766"/>
      <c r="G21" s="766"/>
      <c r="H21" s="766"/>
      <c r="I21" s="766"/>
      <c r="J21" s="766"/>
      <c r="K21" s="766"/>
      <c r="L21" s="766"/>
      <c r="M21" s="766"/>
      <c r="N21" s="766"/>
      <c r="O21" s="766"/>
      <c r="P21" s="766"/>
      <c r="Q21" s="766"/>
      <c r="R21" s="766"/>
      <c r="S21" s="766"/>
      <c r="T21" s="766"/>
      <c r="U21" s="766"/>
    </row>
    <row r="22" spans="2:23" x14ac:dyDescent="0.25">
      <c r="B22" s="766"/>
      <c r="C22" s="766"/>
      <c r="D22" s="766"/>
      <c r="E22" s="766"/>
      <c r="F22" s="766"/>
      <c r="G22" s="766"/>
      <c r="H22" s="766"/>
      <c r="I22" s="766"/>
      <c r="J22" s="766"/>
      <c r="K22" s="766"/>
      <c r="L22" s="766"/>
      <c r="M22" s="766"/>
      <c r="N22" s="766"/>
      <c r="O22" s="766"/>
      <c r="P22" s="766"/>
      <c r="Q22" s="766"/>
      <c r="R22" s="766"/>
      <c r="S22" s="766"/>
      <c r="T22" s="766"/>
      <c r="U22" s="766"/>
    </row>
    <row r="24" spans="2:23" ht="15" customHeight="1" x14ac:dyDescent="0.25">
      <c r="B24" s="81" t="s">
        <v>136</v>
      </c>
    </row>
    <row r="25" spans="2:23" x14ac:dyDescent="0.25">
      <c r="B25" s="766"/>
      <c r="C25" s="766"/>
      <c r="D25" s="766"/>
      <c r="E25" s="766"/>
      <c r="F25" s="766"/>
      <c r="G25" s="766"/>
      <c r="H25" s="766"/>
      <c r="I25" s="766"/>
      <c r="J25" s="766"/>
      <c r="K25" s="766"/>
      <c r="L25" s="766"/>
      <c r="M25" s="766"/>
      <c r="N25" s="766"/>
      <c r="O25" s="766"/>
      <c r="P25" s="766"/>
      <c r="Q25" s="766"/>
      <c r="R25" s="766"/>
      <c r="S25" s="766"/>
      <c r="T25" s="766"/>
      <c r="U25" s="766"/>
    </row>
    <row r="26" spans="2:23" x14ac:dyDescent="0.25">
      <c r="B26" s="766"/>
      <c r="C26" s="766"/>
      <c r="D26" s="766"/>
      <c r="E26" s="766"/>
      <c r="F26" s="766"/>
      <c r="G26" s="766"/>
      <c r="H26" s="766"/>
      <c r="I26" s="766"/>
      <c r="J26" s="766"/>
      <c r="K26" s="766"/>
      <c r="L26" s="766"/>
      <c r="M26" s="766"/>
      <c r="N26" s="766"/>
      <c r="O26" s="766"/>
      <c r="P26" s="766"/>
      <c r="Q26" s="766"/>
      <c r="R26" s="766"/>
      <c r="S26" s="766"/>
      <c r="T26" s="766"/>
      <c r="U26" s="766"/>
    </row>
    <row r="27" spans="2:23" ht="15.75" thickBot="1" x14ac:dyDescent="0.3"/>
    <row r="28" spans="2:23" ht="15.75" thickBot="1" x14ac:dyDescent="0.3">
      <c r="B28" s="757" t="s">
        <v>131</v>
      </c>
      <c r="C28" s="759" t="s">
        <v>442</v>
      </c>
      <c r="D28" s="793" t="s">
        <v>435</v>
      </c>
      <c r="E28" s="757" t="s">
        <v>141</v>
      </c>
      <c r="F28" s="793" t="s">
        <v>444</v>
      </c>
      <c r="G28" s="778" t="s">
        <v>434</v>
      </c>
      <c r="H28" s="795" t="s">
        <v>443</v>
      </c>
      <c r="I28" s="759" t="s">
        <v>134</v>
      </c>
    </row>
    <row r="29" spans="2:23" ht="15" customHeight="1" thickBot="1" x14ac:dyDescent="0.3">
      <c r="B29" s="758"/>
      <c r="C29" s="757"/>
      <c r="D29" s="794"/>
      <c r="E29" s="809"/>
      <c r="F29" s="794"/>
      <c r="G29" s="797"/>
      <c r="H29" s="793"/>
      <c r="I29" s="759"/>
    </row>
    <row r="30" spans="2:23" ht="15" customHeight="1" thickBot="1" x14ac:dyDescent="0.3">
      <c r="B30" s="82" t="s">
        <v>1652</v>
      </c>
      <c r="C30" s="83" t="s">
        <v>1662</v>
      </c>
      <c r="D30" s="83"/>
      <c r="E30" s="85"/>
      <c r="F30" s="82"/>
      <c r="G30" s="165">
        <f>SUM(G31:G42)</f>
        <v>4526505.3899999997</v>
      </c>
      <c r="H30" s="83"/>
      <c r="I30" s="83"/>
    </row>
    <row r="31" spans="2:23" ht="15.75" thickBot="1" x14ac:dyDescent="0.3">
      <c r="B31" s="82" t="s">
        <v>1652</v>
      </c>
      <c r="C31" s="83" t="s">
        <v>1660</v>
      </c>
      <c r="D31" s="83">
        <f>D44+D57+D70+D83</f>
        <v>1366</v>
      </c>
      <c r="E31" s="85"/>
      <c r="F31" s="82"/>
      <c r="G31" s="165">
        <f>G44+G57+G70+G83+G84+G97+G110</f>
        <v>643875.37</v>
      </c>
      <c r="H31" s="83"/>
      <c r="I31" s="83"/>
    </row>
    <row r="32" spans="2:23" ht="15.75" thickBot="1" x14ac:dyDescent="0.3">
      <c r="B32" s="82" t="s">
        <v>1652</v>
      </c>
      <c r="C32" s="83" t="s">
        <v>1661</v>
      </c>
      <c r="D32" s="83"/>
      <c r="E32" s="85"/>
      <c r="F32" s="82"/>
      <c r="G32" s="165">
        <f>G45+G58+G71+G85+G98+G111+G170</f>
        <v>107829.60999999999</v>
      </c>
      <c r="H32" s="83"/>
      <c r="I32" s="83"/>
    </row>
    <row r="33" spans="2:9" ht="15.75" thickBot="1" x14ac:dyDescent="0.3">
      <c r="B33" s="82" t="s">
        <v>1652</v>
      </c>
      <c r="C33" s="83" t="s">
        <v>1653</v>
      </c>
      <c r="D33" s="83">
        <f>D46+D59+D72+D162</f>
        <v>418</v>
      </c>
      <c r="E33" s="85"/>
      <c r="F33" s="82"/>
      <c r="G33" s="165">
        <f>G46+G59+G72+G86+G162</f>
        <v>77171.989999999991</v>
      </c>
      <c r="H33" s="83"/>
      <c r="I33" s="83"/>
    </row>
    <row r="34" spans="2:9" ht="15.75" thickBot="1" x14ac:dyDescent="0.3">
      <c r="B34" s="82" t="s">
        <v>1652</v>
      </c>
      <c r="C34" s="83" t="s">
        <v>1654</v>
      </c>
      <c r="D34" s="83"/>
      <c r="E34" s="85"/>
      <c r="F34" s="82"/>
      <c r="G34" s="165">
        <f>G47+G60+G73+G87+G165</f>
        <v>5725.5300000000007</v>
      </c>
      <c r="H34" s="83"/>
      <c r="I34" s="83"/>
    </row>
    <row r="35" spans="2:9" ht="15.75" thickBot="1" x14ac:dyDescent="0.3">
      <c r="B35" s="82" t="s">
        <v>1652</v>
      </c>
      <c r="C35" s="83" t="s">
        <v>1655</v>
      </c>
      <c r="D35" s="83"/>
      <c r="E35" s="85"/>
      <c r="F35" s="82"/>
      <c r="G35" s="165">
        <f>G48+G61+G74+G88+G164</f>
        <v>207482.33</v>
      </c>
      <c r="H35" s="83"/>
      <c r="I35" s="83"/>
    </row>
    <row r="36" spans="2:9" ht="15.75" thickBot="1" x14ac:dyDescent="0.3">
      <c r="B36" s="82" t="s">
        <v>1652</v>
      </c>
      <c r="C36" s="83" t="s">
        <v>1656</v>
      </c>
      <c r="D36" s="83"/>
      <c r="E36" s="85"/>
      <c r="F36" s="82"/>
      <c r="G36" s="165">
        <f>G49+G62+G75+G89+G163</f>
        <v>2257.1999999999998</v>
      </c>
      <c r="H36" s="83"/>
      <c r="I36" s="83"/>
    </row>
    <row r="37" spans="2:9" ht="15.75" thickBot="1" x14ac:dyDescent="0.3">
      <c r="B37" s="82" t="s">
        <v>1652</v>
      </c>
      <c r="C37" s="83" t="s">
        <v>1657</v>
      </c>
      <c r="D37" s="83"/>
      <c r="E37" s="85"/>
      <c r="F37" s="82"/>
      <c r="G37" s="165">
        <f>G50+G63+G76+G90+G166</f>
        <v>406851.52</v>
      </c>
      <c r="H37" s="83"/>
      <c r="I37" s="83"/>
    </row>
    <row r="38" spans="2:9" ht="15.75" thickBot="1" x14ac:dyDescent="0.3">
      <c r="B38" s="82" t="s">
        <v>1652</v>
      </c>
      <c r="C38" s="83" t="s">
        <v>1670</v>
      </c>
      <c r="D38" s="83"/>
      <c r="E38" s="85"/>
      <c r="F38" s="82"/>
      <c r="G38" s="165">
        <f>G51+G64+G77+G91+G167</f>
        <v>3634.21</v>
      </c>
      <c r="H38" s="83"/>
      <c r="I38" s="83"/>
    </row>
    <row r="39" spans="2:9" ht="15.75" thickBot="1" x14ac:dyDescent="0.3">
      <c r="B39" s="82" t="s">
        <v>1652</v>
      </c>
      <c r="C39" s="83" t="s">
        <v>1672</v>
      </c>
      <c r="D39" s="83"/>
      <c r="E39" s="85"/>
      <c r="F39" s="82"/>
      <c r="G39" s="165">
        <f>G52+G65+G78+G92+G169+G105+G118</f>
        <v>1000994.39</v>
      </c>
      <c r="H39" s="83"/>
      <c r="I39" s="83"/>
    </row>
    <row r="40" spans="2:9" ht="15.75" thickBot="1" x14ac:dyDescent="0.3">
      <c r="B40" s="82" t="s">
        <v>1652</v>
      </c>
      <c r="C40" s="83" t="s">
        <v>1658</v>
      </c>
      <c r="D40" s="83"/>
      <c r="E40" s="85"/>
      <c r="F40" s="82"/>
      <c r="G40" s="165">
        <f>G53+G66+G79+G93+G168</f>
        <v>8868.0499999999993</v>
      </c>
      <c r="H40" s="83"/>
      <c r="I40" s="83"/>
    </row>
    <row r="41" spans="2:9" ht="15.75" thickBot="1" x14ac:dyDescent="0.3">
      <c r="B41" s="82" t="s">
        <v>1652</v>
      </c>
      <c r="C41" s="83" t="s">
        <v>1675</v>
      </c>
      <c r="D41" s="83"/>
      <c r="E41" s="85"/>
      <c r="F41" s="82"/>
      <c r="G41" s="165">
        <f>G54+G67+G80+G94+G171</f>
        <v>153612.06</v>
      </c>
      <c r="H41" s="83"/>
      <c r="I41" s="83"/>
    </row>
    <row r="42" spans="2:9" ht="15.75" thickBot="1" x14ac:dyDescent="0.3">
      <c r="B42" s="82" t="s">
        <v>1652</v>
      </c>
      <c r="C42" s="83" t="s">
        <v>1659</v>
      </c>
      <c r="D42" s="83"/>
      <c r="E42" s="85"/>
      <c r="F42" s="82"/>
      <c r="G42" s="165">
        <f>G55+G68+G81+G95+G172+G121+G108</f>
        <v>1908203.1300000001</v>
      </c>
      <c r="H42" s="83"/>
      <c r="I42" s="83"/>
    </row>
    <row r="43" spans="2:9" ht="15.75" thickBot="1" x14ac:dyDescent="0.3">
      <c r="B43" s="161" t="s">
        <v>545</v>
      </c>
      <c r="C43" s="162" t="s">
        <v>1662</v>
      </c>
      <c r="D43" s="162"/>
      <c r="E43" s="163"/>
      <c r="F43" s="161"/>
      <c r="G43" s="164">
        <f>SUM(G44:G55)</f>
        <v>974216.1399999999</v>
      </c>
      <c r="H43" s="162"/>
      <c r="I43" s="162"/>
    </row>
    <row r="44" spans="2:9" ht="15.75" thickBot="1" x14ac:dyDescent="0.3">
      <c r="B44" s="161" t="s">
        <v>545</v>
      </c>
      <c r="C44" s="162" t="s">
        <v>1681</v>
      </c>
      <c r="D44" s="162">
        <v>620</v>
      </c>
      <c r="E44" s="163" t="s">
        <v>586</v>
      </c>
      <c r="F44" s="161"/>
      <c r="G44" s="164">
        <v>222705.59</v>
      </c>
      <c r="H44" s="162"/>
      <c r="I44" s="162" t="s">
        <v>1663</v>
      </c>
    </row>
    <row r="45" spans="2:9" ht="15.75" thickBot="1" x14ac:dyDescent="0.3">
      <c r="B45" s="161" t="s">
        <v>545</v>
      </c>
      <c r="C45" s="162" t="s">
        <v>1661</v>
      </c>
      <c r="D45" s="162"/>
      <c r="E45" s="163"/>
      <c r="F45" s="161"/>
      <c r="G45" s="164">
        <v>13402.37</v>
      </c>
      <c r="H45" s="162"/>
      <c r="I45" s="162" t="s">
        <v>1669</v>
      </c>
    </row>
    <row r="46" spans="2:9" ht="15.75" thickBot="1" x14ac:dyDescent="0.3">
      <c r="B46" s="161" t="s">
        <v>545</v>
      </c>
      <c r="C46" s="162" t="s">
        <v>1653</v>
      </c>
      <c r="D46" s="162">
        <f>23*2+15</f>
        <v>61</v>
      </c>
      <c r="E46" s="163" t="s">
        <v>586</v>
      </c>
      <c r="F46" s="161"/>
      <c r="G46" s="164">
        <v>9563.4</v>
      </c>
      <c r="H46" s="162"/>
      <c r="I46" s="162" t="s">
        <v>1664</v>
      </c>
    </row>
    <row r="47" spans="2:9" ht="15.75" thickBot="1" x14ac:dyDescent="0.3">
      <c r="B47" s="161" t="s">
        <v>545</v>
      </c>
      <c r="C47" s="162" t="s">
        <v>1654</v>
      </c>
      <c r="D47" s="162"/>
      <c r="E47" s="163"/>
      <c r="F47" s="161"/>
      <c r="G47" s="164">
        <v>896.12</v>
      </c>
      <c r="H47" s="162"/>
      <c r="I47" s="162" t="s">
        <v>1668</v>
      </c>
    </row>
    <row r="48" spans="2:9" ht="15.75" thickBot="1" x14ac:dyDescent="0.3">
      <c r="B48" s="161" t="s">
        <v>545</v>
      </c>
      <c r="C48" s="162" t="s">
        <v>1655</v>
      </c>
      <c r="D48" s="162"/>
      <c r="E48" s="163"/>
      <c r="F48" s="161"/>
      <c r="G48" s="164">
        <v>42831.1</v>
      </c>
      <c r="H48" s="162"/>
      <c r="I48" s="162" t="s">
        <v>1666</v>
      </c>
    </row>
    <row r="49" spans="2:9" ht="15.75" thickBot="1" x14ac:dyDescent="0.3">
      <c r="B49" s="161" t="s">
        <v>545</v>
      </c>
      <c r="C49" s="162" t="s">
        <v>1656</v>
      </c>
      <c r="D49" s="162"/>
      <c r="E49" s="163"/>
      <c r="F49" s="161"/>
      <c r="G49" s="164">
        <v>414.27</v>
      </c>
      <c r="H49" s="162"/>
      <c r="I49" s="162" t="s">
        <v>1667</v>
      </c>
    </row>
    <row r="50" spans="2:9" ht="15.75" thickBot="1" x14ac:dyDescent="0.3">
      <c r="B50" s="161" t="s">
        <v>545</v>
      </c>
      <c r="C50" s="162" t="s">
        <v>1657</v>
      </c>
      <c r="D50" s="162"/>
      <c r="E50" s="163"/>
      <c r="F50" s="161"/>
      <c r="G50" s="164">
        <v>78254.350000000006</v>
      </c>
      <c r="H50" s="162"/>
      <c r="I50" s="162" t="s">
        <v>1665</v>
      </c>
    </row>
    <row r="51" spans="2:9" ht="15.75" thickBot="1" x14ac:dyDescent="0.3">
      <c r="B51" s="161" t="s">
        <v>545</v>
      </c>
      <c r="C51" s="162" t="s">
        <v>1670</v>
      </c>
      <c r="D51" s="162"/>
      <c r="E51" s="163"/>
      <c r="F51" s="161"/>
      <c r="G51" s="164">
        <v>963.61</v>
      </c>
      <c r="H51" s="162"/>
      <c r="I51" s="162" t="s">
        <v>1671</v>
      </c>
    </row>
    <row r="52" spans="2:9" ht="15.75" thickBot="1" x14ac:dyDescent="0.3">
      <c r="B52" s="161" t="s">
        <v>545</v>
      </c>
      <c r="C52" s="162" t="s">
        <v>1672</v>
      </c>
      <c r="D52" s="162"/>
      <c r="E52" s="163"/>
      <c r="F52" s="161"/>
      <c r="G52" s="164">
        <v>178731.83</v>
      </c>
      <c r="H52" s="162"/>
      <c r="I52" s="162" t="s">
        <v>1673</v>
      </c>
    </row>
    <row r="53" spans="2:9" ht="15.75" thickBot="1" x14ac:dyDescent="0.3">
      <c r="B53" s="161" t="s">
        <v>545</v>
      </c>
      <c r="C53" s="162" t="s">
        <v>1658</v>
      </c>
      <c r="D53" s="162"/>
      <c r="E53" s="163"/>
      <c r="F53" s="161"/>
      <c r="G53" s="164">
        <v>715.6</v>
      </c>
      <c r="H53" s="162"/>
      <c r="I53" s="162" t="s">
        <v>1674</v>
      </c>
    </row>
    <row r="54" spans="2:9" ht="15.75" thickBot="1" x14ac:dyDescent="0.3">
      <c r="B54" s="161" t="s">
        <v>545</v>
      </c>
      <c r="C54" s="162" t="s">
        <v>1675</v>
      </c>
      <c r="D54" s="162"/>
      <c r="E54" s="163"/>
      <c r="F54" s="161"/>
      <c r="G54" s="164">
        <v>37012.400000000001</v>
      </c>
      <c r="H54" s="162"/>
      <c r="I54" s="162" t="s">
        <v>1676</v>
      </c>
    </row>
    <row r="55" spans="2:9" ht="15.75" thickBot="1" x14ac:dyDescent="0.3">
      <c r="B55" s="161" t="s">
        <v>545</v>
      </c>
      <c r="C55" s="162" t="s">
        <v>1659</v>
      </c>
      <c r="D55" s="162"/>
      <c r="E55" s="163"/>
      <c r="F55" s="161"/>
      <c r="G55" s="164">
        <v>388725.5</v>
      </c>
      <c r="H55" s="162"/>
      <c r="I55" s="162" t="s">
        <v>1677</v>
      </c>
    </row>
    <row r="56" spans="2:9" ht="15.75" thickBot="1" x14ac:dyDescent="0.3">
      <c r="B56" s="161" t="s">
        <v>542</v>
      </c>
      <c r="C56" s="162" t="s">
        <v>1662</v>
      </c>
      <c r="D56" s="162"/>
      <c r="E56" s="163"/>
      <c r="F56" s="161"/>
      <c r="G56" s="164">
        <f>SUM(G57:G68)</f>
        <v>739688.59</v>
      </c>
      <c r="H56" s="162"/>
      <c r="I56" s="162"/>
    </row>
    <row r="57" spans="2:9" ht="15.75" thickBot="1" x14ac:dyDescent="0.3">
      <c r="B57" s="161" t="s">
        <v>542</v>
      </c>
      <c r="C57" s="162" t="s">
        <v>1681</v>
      </c>
      <c r="D57" s="162">
        <v>175</v>
      </c>
      <c r="E57" s="163" t="s">
        <v>586</v>
      </c>
      <c r="F57" s="161"/>
      <c r="G57" s="164">
        <v>118140.86</v>
      </c>
      <c r="H57" s="162"/>
      <c r="I57" s="162" t="s">
        <v>1678</v>
      </c>
    </row>
    <row r="58" spans="2:9" ht="15.75" thickBot="1" x14ac:dyDescent="0.3">
      <c r="B58" s="161" t="s">
        <v>542</v>
      </c>
      <c r="C58" s="162" t="s">
        <v>1661</v>
      </c>
      <c r="D58" s="162"/>
      <c r="E58" s="163"/>
      <c r="F58" s="161"/>
      <c r="G58" s="164">
        <v>11554.62</v>
      </c>
      <c r="H58" s="162"/>
      <c r="I58" s="162" t="s">
        <v>1723</v>
      </c>
    </row>
    <row r="59" spans="2:9" ht="15.75" thickBot="1" x14ac:dyDescent="0.3">
      <c r="B59" s="161" t="s">
        <v>542</v>
      </c>
      <c r="C59" s="162" t="s">
        <v>1653</v>
      </c>
      <c r="D59" s="162">
        <v>48</v>
      </c>
      <c r="E59" s="163" t="s">
        <v>141</v>
      </c>
      <c r="F59" s="161"/>
      <c r="G59" s="164">
        <v>14696.69</v>
      </c>
      <c r="H59" s="162"/>
      <c r="I59" s="162" t="s">
        <v>1724</v>
      </c>
    </row>
    <row r="60" spans="2:9" ht="15.75" thickBot="1" x14ac:dyDescent="0.3">
      <c r="B60" s="161" t="s">
        <v>542</v>
      </c>
      <c r="C60" s="162" t="s">
        <v>1654</v>
      </c>
      <c r="D60" s="162"/>
      <c r="E60" s="163"/>
      <c r="F60" s="161"/>
      <c r="G60" s="164">
        <v>770.77</v>
      </c>
      <c r="H60" s="162"/>
      <c r="I60" s="162" t="s">
        <v>1702</v>
      </c>
    </row>
    <row r="61" spans="2:9" ht="15.75" thickBot="1" x14ac:dyDescent="0.3">
      <c r="B61" s="161" t="s">
        <v>542</v>
      </c>
      <c r="C61" s="162" t="s">
        <v>1655</v>
      </c>
      <c r="D61" s="162"/>
      <c r="E61" s="163"/>
      <c r="F61" s="161"/>
      <c r="G61" s="164">
        <v>24873.52</v>
      </c>
      <c r="H61" s="162"/>
      <c r="I61" s="162" t="s">
        <v>1671</v>
      </c>
    </row>
    <row r="62" spans="2:9" ht="15.75" thickBot="1" x14ac:dyDescent="0.3">
      <c r="B62" s="161" t="s">
        <v>542</v>
      </c>
      <c r="C62" s="162" t="s">
        <v>1656</v>
      </c>
      <c r="D62" s="162"/>
      <c r="E62" s="163"/>
      <c r="F62" s="161"/>
      <c r="G62" s="164">
        <v>0</v>
      </c>
      <c r="H62" s="162"/>
      <c r="I62" s="162"/>
    </row>
    <row r="63" spans="2:9" ht="15.75" thickBot="1" x14ac:dyDescent="0.3">
      <c r="B63" s="161" t="s">
        <v>542</v>
      </c>
      <c r="C63" s="162" t="s">
        <v>1657</v>
      </c>
      <c r="D63" s="162"/>
      <c r="E63" s="163"/>
      <c r="F63" s="161"/>
      <c r="G63" s="164">
        <v>52288.92</v>
      </c>
      <c r="H63" s="162"/>
      <c r="I63" s="162" t="s">
        <v>1704</v>
      </c>
    </row>
    <row r="64" spans="2:9" ht="15.75" thickBot="1" x14ac:dyDescent="0.3">
      <c r="B64" s="161" t="s">
        <v>542</v>
      </c>
      <c r="C64" s="162" t="s">
        <v>1670</v>
      </c>
      <c r="D64" s="162"/>
      <c r="E64" s="163"/>
      <c r="F64" s="161"/>
      <c r="G64" s="164">
        <v>164.02</v>
      </c>
      <c r="H64" s="162"/>
      <c r="I64" s="162" t="s">
        <v>1699</v>
      </c>
    </row>
    <row r="65" spans="2:9" ht="15.75" thickBot="1" x14ac:dyDescent="0.3">
      <c r="B65" s="161" t="s">
        <v>542</v>
      </c>
      <c r="C65" s="162" t="s">
        <v>1672</v>
      </c>
      <c r="D65" s="162"/>
      <c r="E65" s="163"/>
      <c r="F65" s="161"/>
      <c r="G65" s="164">
        <v>170614.91</v>
      </c>
      <c r="H65" s="162"/>
      <c r="I65" s="162" t="s">
        <v>1722</v>
      </c>
    </row>
    <row r="66" spans="2:9" ht="15.75" thickBot="1" x14ac:dyDescent="0.3">
      <c r="B66" s="161" t="s">
        <v>542</v>
      </c>
      <c r="C66" s="162" t="s">
        <v>1658</v>
      </c>
      <c r="D66" s="162"/>
      <c r="E66" s="163"/>
      <c r="F66" s="161"/>
      <c r="G66" s="164">
        <v>1397.65</v>
      </c>
      <c r="H66" s="162"/>
      <c r="I66" s="162" t="s">
        <v>1713</v>
      </c>
    </row>
    <row r="67" spans="2:9" ht="15.75" thickBot="1" x14ac:dyDescent="0.3">
      <c r="B67" s="161" t="s">
        <v>542</v>
      </c>
      <c r="C67" s="162" t="s">
        <v>1675</v>
      </c>
      <c r="D67" s="162"/>
      <c r="E67" s="163"/>
      <c r="F67" s="161"/>
      <c r="G67" s="164">
        <v>33247.49</v>
      </c>
      <c r="H67" s="162"/>
      <c r="I67" s="162" t="s">
        <v>1732</v>
      </c>
    </row>
    <row r="68" spans="2:9" ht="15.75" thickBot="1" x14ac:dyDescent="0.3">
      <c r="B68" s="161" t="s">
        <v>542</v>
      </c>
      <c r="C68" s="162" t="s">
        <v>1659</v>
      </c>
      <c r="D68" s="162"/>
      <c r="E68" s="163"/>
      <c r="F68" s="161"/>
      <c r="G68" s="164">
        <v>311939.14</v>
      </c>
      <c r="H68" s="162"/>
      <c r="I68" s="162" t="s">
        <v>1741</v>
      </c>
    </row>
    <row r="69" spans="2:9" ht="15.75" thickBot="1" x14ac:dyDescent="0.3">
      <c r="B69" s="161" t="s">
        <v>543</v>
      </c>
      <c r="C69" s="162" t="s">
        <v>1662</v>
      </c>
      <c r="D69" s="162"/>
      <c r="E69" s="163"/>
      <c r="F69" s="161"/>
      <c r="G69" s="164">
        <f>SUM(G70:G81)</f>
        <v>712551.72</v>
      </c>
      <c r="H69" s="162"/>
      <c r="I69" s="162"/>
    </row>
    <row r="70" spans="2:9" ht="15.75" thickBot="1" x14ac:dyDescent="0.3">
      <c r="B70" s="161" t="s">
        <v>543</v>
      </c>
      <c r="C70" s="162" t="s">
        <v>1681</v>
      </c>
      <c r="D70" s="162">
        <v>366</v>
      </c>
      <c r="E70" s="163" t="s">
        <v>586</v>
      </c>
      <c r="F70" s="161"/>
      <c r="G70" s="164">
        <v>96102.19</v>
      </c>
      <c r="H70" s="162"/>
      <c r="I70" s="162" t="s">
        <v>1683</v>
      </c>
    </row>
    <row r="71" spans="2:9" ht="15.75" thickBot="1" x14ac:dyDescent="0.3">
      <c r="B71" s="161" t="s">
        <v>543</v>
      </c>
      <c r="C71" s="162" t="s">
        <v>1661</v>
      </c>
      <c r="D71" s="162"/>
      <c r="E71" s="163"/>
      <c r="F71" s="161"/>
      <c r="G71" s="164">
        <v>15065.84</v>
      </c>
      <c r="H71" s="162"/>
      <c r="I71" s="162" t="s">
        <v>1725</v>
      </c>
    </row>
    <row r="72" spans="2:9" ht="15.75" thickBot="1" x14ac:dyDescent="0.3">
      <c r="B72" s="161" t="s">
        <v>543</v>
      </c>
      <c r="C72" s="162" t="s">
        <v>1653</v>
      </c>
      <c r="D72" s="162">
        <v>85</v>
      </c>
      <c r="E72" s="163" t="s">
        <v>141</v>
      </c>
      <c r="F72" s="161"/>
      <c r="G72" s="164">
        <v>13905.81</v>
      </c>
      <c r="H72" s="162"/>
      <c r="I72" s="162" t="s">
        <v>1668</v>
      </c>
    </row>
    <row r="73" spans="2:9" ht="15.75" thickBot="1" x14ac:dyDescent="0.3">
      <c r="B73" s="161" t="s">
        <v>543</v>
      </c>
      <c r="C73" s="162" t="s">
        <v>1654</v>
      </c>
      <c r="D73" s="162"/>
      <c r="E73" s="163"/>
      <c r="F73" s="161"/>
      <c r="G73" s="164">
        <v>1049.3599999999999</v>
      </c>
      <c r="H73" s="162"/>
      <c r="I73" s="162" t="s">
        <v>1702</v>
      </c>
    </row>
    <row r="74" spans="2:9" ht="15.75" thickBot="1" x14ac:dyDescent="0.3">
      <c r="B74" s="161" t="s">
        <v>543</v>
      </c>
      <c r="C74" s="162" t="s">
        <v>1655</v>
      </c>
      <c r="D74" s="162"/>
      <c r="E74" s="163"/>
      <c r="F74" s="161"/>
      <c r="G74" s="164">
        <v>17414.009999999998</v>
      </c>
      <c r="H74" s="162"/>
      <c r="I74" s="162" t="s">
        <v>1697</v>
      </c>
    </row>
    <row r="75" spans="2:9" ht="15.75" thickBot="1" x14ac:dyDescent="0.3">
      <c r="B75" s="161" t="s">
        <v>543</v>
      </c>
      <c r="C75" s="162" t="s">
        <v>1656</v>
      </c>
      <c r="D75" s="162"/>
      <c r="E75" s="163"/>
      <c r="F75" s="161"/>
      <c r="G75" s="164">
        <v>0</v>
      </c>
      <c r="H75" s="162"/>
      <c r="I75" s="162"/>
    </row>
    <row r="76" spans="2:9" ht="15.75" thickBot="1" x14ac:dyDescent="0.3">
      <c r="B76" s="161" t="s">
        <v>543</v>
      </c>
      <c r="C76" s="162" t="s">
        <v>1657</v>
      </c>
      <c r="D76" s="162"/>
      <c r="E76" s="163"/>
      <c r="F76" s="161"/>
      <c r="G76" s="164">
        <v>40896.019999999997</v>
      </c>
      <c r="H76" s="162"/>
      <c r="I76" s="162" t="s">
        <v>1705</v>
      </c>
    </row>
    <row r="77" spans="2:9" ht="15.75" thickBot="1" x14ac:dyDescent="0.3">
      <c r="B77" s="161" t="s">
        <v>543</v>
      </c>
      <c r="C77" s="162" t="s">
        <v>1670</v>
      </c>
      <c r="D77" s="162"/>
      <c r="E77" s="163"/>
      <c r="F77" s="161"/>
      <c r="G77" s="164">
        <v>294.57</v>
      </c>
      <c r="H77" s="162"/>
      <c r="I77" s="162" t="s">
        <v>1712</v>
      </c>
    </row>
    <row r="78" spans="2:9" ht="15.75" thickBot="1" x14ac:dyDescent="0.3">
      <c r="B78" s="161" t="s">
        <v>543</v>
      </c>
      <c r="C78" s="162" t="s">
        <v>1672</v>
      </c>
      <c r="D78" s="162"/>
      <c r="E78" s="163"/>
      <c r="F78" s="161"/>
      <c r="G78" s="164">
        <v>196353.5</v>
      </c>
      <c r="H78" s="162"/>
      <c r="I78" s="162" t="s">
        <v>1721</v>
      </c>
    </row>
    <row r="79" spans="2:9" ht="15.75" thickBot="1" x14ac:dyDescent="0.3">
      <c r="B79" s="161" t="s">
        <v>543</v>
      </c>
      <c r="C79" s="162" t="s">
        <v>1658</v>
      </c>
      <c r="D79" s="162"/>
      <c r="E79" s="163"/>
      <c r="F79" s="161"/>
      <c r="G79" s="164">
        <v>834.57</v>
      </c>
      <c r="H79" s="162"/>
      <c r="I79" s="162" t="s">
        <v>1714</v>
      </c>
    </row>
    <row r="80" spans="2:9" ht="15.75" thickBot="1" x14ac:dyDescent="0.3">
      <c r="B80" s="161" t="s">
        <v>543</v>
      </c>
      <c r="C80" s="162" t="s">
        <v>1675</v>
      </c>
      <c r="D80" s="162"/>
      <c r="E80" s="163"/>
      <c r="F80" s="161"/>
      <c r="G80" s="164">
        <v>6997.38</v>
      </c>
      <c r="H80" s="162"/>
      <c r="I80" s="162" t="s">
        <v>1733</v>
      </c>
    </row>
    <row r="81" spans="2:9" ht="15.75" thickBot="1" x14ac:dyDescent="0.3">
      <c r="B81" s="161" t="s">
        <v>543</v>
      </c>
      <c r="C81" s="162" t="s">
        <v>1659</v>
      </c>
      <c r="D81" s="162"/>
      <c r="E81" s="163"/>
      <c r="F81" s="161"/>
      <c r="G81" s="164">
        <v>323638.46999999997</v>
      </c>
      <c r="H81" s="162"/>
      <c r="I81" s="162" t="s">
        <v>1740</v>
      </c>
    </row>
    <row r="82" spans="2:9" ht="15.75" thickBot="1" x14ac:dyDescent="0.3">
      <c r="B82" s="161" t="s">
        <v>544</v>
      </c>
      <c r="C82" s="162" t="s">
        <v>1662</v>
      </c>
      <c r="D82" s="162"/>
      <c r="E82" s="163"/>
      <c r="F82" s="161"/>
      <c r="G82" s="164">
        <f>SUM(G83:G95)</f>
        <v>270082.64999999997</v>
      </c>
      <c r="H82" s="162"/>
      <c r="I82" s="162"/>
    </row>
    <row r="83" spans="2:9" ht="15.75" thickBot="1" x14ac:dyDescent="0.3">
      <c r="B83" s="161" t="s">
        <v>544</v>
      </c>
      <c r="C83" s="162" t="s">
        <v>1681</v>
      </c>
      <c r="D83" s="162">
        <v>205</v>
      </c>
      <c r="E83" s="163" t="s">
        <v>586</v>
      </c>
      <c r="F83" s="161"/>
      <c r="G83" s="164">
        <v>52161.14</v>
      </c>
      <c r="H83" s="162"/>
      <c r="I83" s="162" t="s">
        <v>1679</v>
      </c>
    </row>
    <row r="84" spans="2:9" ht="15.75" thickBot="1" x14ac:dyDescent="0.3">
      <c r="B84" s="161" t="s">
        <v>544</v>
      </c>
      <c r="C84" s="162" t="s">
        <v>1680</v>
      </c>
      <c r="D84" s="162"/>
      <c r="E84" s="163"/>
      <c r="F84" s="161"/>
      <c r="G84" s="164">
        <v>702.01</v>
      </c>
      <c r="H84" s="162"/>
      <c r="I84" s="162" t="s">
        <v>1682</v>
      </c>
    </row>
    <row r="85" spans="2:9" ht="15.75" thickBot="1" x14ac:dyDescent="0.3">
      <c r="B85" s="161" t="s">
        <v>544</v>
      </c>
      <c r="C85" s="162" t="s">
        <v>1661</v>
      </c>
      <c r="D85" s="162"/>
      <c r="E85" s="163"/>
      <c r="F85" s="161"/>
      <c r="G85" s="164">
        <v>10255.56</v>
      </c>
      <c r="H85" s="162"/>
      <c r="I85" s="162" t="s">
        <v>1726</v>
      </c>
    </row>
    <row r="86" spans="2:9" ht="15.75" thickBot="1" x14ac:dyDescent="0.3">
      <c r="B86" s="161" t="s">
        <v>544</v>
      </c>
      <c r="C86" s="162" t="s">
        <v>1653</v>
      </c>
      <c r="D86" s="162">
        <v>18</v>
      </c>
      <c r="E86" s="163" t="s">
        <v>586</v>
      </c>
      <c r="F86" s="161"/>
      <c r="G86" s="164">
        <v>2792</v>
      </c>
      <c r="H86" s="162"/>
      <c r="I86" s="162" t="s">
        <v>1690</v>
      </c>
    </row>
    <row r="87" spans="2:9" ht="15.75" thickBot="1" x14ac:dyDescent="0.3">
      <c r="B87" s="161" t="s">
        <v>544</v>
      </c>
      <c r="C87" s="162" t="s">
        <v>1654</v>
      </c>
      <c r="D87" s="162"/>
      <c r="E87" s="163"/>
      <c r="F87" s="161"/>
      <c r="G87" s="164">
        <v>80.510000000000005</v>
      </c>
      <c r="H87" s="162"/>
      <c r="I87" s="162" t="s">
        <v>1701</v>
      </c>
    </row>
    <row r="88" spans="2:9" ht="15.75" thickBot="1" x14ac:dyDescent="0.3">
      <c r="B88" s="161" t="s">
        <v>544</v>
      </c>
      <c r="C88" s="162" t="s">
        <v>1655</v>
      </c>
      <c r="D88" s="162"/>
      <c r="E88" s="163"/>
      <c r="F88" s="161"/>
      <c r="G88" s="164">
        <v>2371.6999999999998</v>
      </c>
      <c r="H88" s="162"/>
      <c r="I88" s="162" t="s">
        <v>1698</v>
      </c>
    </row>
    <row r="89" spans="2:9" ht="15.75" thickBot="1" x14ac:dyDescent="0.3">
      <c r="B89" s="161" t="s">
        <v>544</v>
      </c>
      <c r="C89" s="162" t="s">
        <v>1656</v>
      </c>
      <c r="D89" s="162"/>
      <c r="E89" s="163"/>
      <c r="F89" s="161"/>
      <c r="G89" s="164">
        <v>557.09</v>
      </c>
      <c r="H89" s="162"/>
      <c r="I89" s="162" t="s">
        <v>1694</v>
      </c>
    </row>
    <row r="90" spans="2:9" ht="15.75" thickBot="1" x14ac:dyDescent="0.3">
      <c r="B90" s="161" t="s">
        <v>544</v>
      </c>
      <c r="C90" s="162" t="s">
        <v>1657</v>
      </c>
      <c r="D90" s="162"/>
      <c r="E90" s="163"/>
      <c r="F90" s="161"/>
      <c r="G90" s="164">
        <v>28791.22</v>
      </c>
      <c r="H90" s="162"/>
      <c r="I90" s="162" t="s">
        <v>1706</v>
      </c>
    </row>
    <row r="91" spans="2:9" ht="15.75" thickBot="1" x14ac:dyDescent="0.3">
      <c r="B91" s="161" t="s">
        <v>544</v>
      </c>
      <c r="C91" s="162" t="s">
        <v>1670</v>
      </c>
      <c r="D91" s="162"/>
      <c r="E91" s="163"/>
      <c r="F91" s="161"/>
      <c r="G91" s="164">
        <v>28.96</v>
      </c>
      <c r="H91" s="162"/>
      <c r="I91" s="162" t="s">
        <v>1667</v>
      </c>
    </row>
    <row r="92" spans="2:9" ht="15.75" thickBot="1" x14ac:dyDescent="0.3">
      <c r="B92" s="161" t="s">
        <v>544</v>
      </c>
      <c r="C92" s="162" t="s">
        <v>1672</v>
      </c>
      <c r="D92" s="162"/>
      <c r="E92" s="163"/>
      <c r="F92" s="161"/>
      <c r="G92" s="164">
        <v>42379.47</v>
      </c>
      <c r="H92" s="162"/>
      <c r="I92" s="162" t="s">
        <v>1720</v>
      </c>
    </row>
    <row r="93" spans="2:9" ht="15.75" thickBot="1" x14ac:dyDescent="0.3">
      <c r="B93" s="161" t="s">
        <v>544</v>
      </c>
      <c r="C93" s="162" t="s">
        <v>1658</v>
      </c>
      <c r="D93" s="162"/>
      <c r="E93" s="163"/>
      <c r="F93" s="161"/>
      <c r="G93" s="164">
        <v>1049.1500000000001</v>
      </c>
      <c r="H93" s="162"/>
      <c r="I93" s="162" t="s">
        <v>1715</v>
      </c>
    </row>
    <row r="94" spans="2:9" ht="15.75" thickBot="1" x14ac:dyDescent="0.3">
      <c r="B94" s="161" t="s">
        <v>544</v>
      </c>
      <c r="C94" s="162" t="s">
        <v>1675</v>
      </c>
      <c r="D94" s="162"/>
      <c r="E94" s="163"/>
      <c r="F94" s="161"/>
      <c r="G94" s="164">
        <v>7817.49</v>
      </c>
      <c r="H94" s="162"/>
      <c r="I94" s="162" t="s">
        <v>1734</v>
      </c>
    </row>
    <row r="95" spans="2:9" ht="15.75" thickBot="1" x14ac:dyDescent="0.3">
      <c r="B95" s="161" t="s">
        <v>544</v>
      </c>
      <c r="C95" s="162" t="s">
        <v>1659</v>
      </c>
      <c r="D95" s="162"/>
      <c r="E95" s="163"/>
      <c r="F95" s="161"/>
      <c r="G95" s="164">
        <v>121096.35</v>
      </c>
      <c r="H95" s="162"/>
      <c r="I95" s="162">
        <v>1051</v>
      </c>
    </row>
    <row r="96" spans="2:9" ht="15.75" thickBot="1" x14ac:dyDescent="0.3">
      <c r="B96" s="161" t="s">
        <v>541</v>
      </c>
      <c r="C96" s="162" t="s">
        <v>1662</v>
      </c>
      <c r="D96" s="162"/>
      <c r="E96" s="163"/>
      <c r="F96" s="161"/>
      <c r="G96" s="164">
        <f>SUM(G97:G108)</f>
        <v>118064.24</v>
      </c>
      <c r="H96" s="162"/>
      <c r="I96" s="162"/>
    </row>
    <row r="97" spans="2:9" ht="15.75" thickBot="1" x14ac:dyDescent="0.3">
      <c r="B97" s="161" t="s">
        <v>541</v>
      </c>
      <c r="C97" s="162" t="s">
        <v>1680</v>
      </c>
      <c r="D97" s="162"/>
      <c r="E97" s="163"/>
      <c r="F97" s="161"/>
      <c r="G97" s="164">
        <v>88524.24</v>
      </c>
      <c r="H97" s="162"/>
      <c r="I97" s="162" t="s">
        <v>1684</v>
      </c>
    </row>
    <row r="98" spans="2:9" ht="15.75" thickBot="1" x14ac:dyDescent="0.3">
      <c r="B98" s="161" t="s">
        <v>541</v>
      </c>
      <c r="C98" s="162" t="s">
        <v>1661</v>
      </c>
      <c r="D98" s="162"/>
      <c r="E98" s="163"/>
      <c r="F98" s="161"/>
      <c r="G98" s="164">
        <v>8316.84</v>
      </c>
      <c r="H98" s="162"/>
      <c r="I98" s="162" t="s">
        <v>1691</v>
      </c>
    </row>
    <row r="99" spans="2:9" ht="15.75" thickBot="1" x14ac:dyDescent="0.3">
      <c r="B99" s="161" t="s">
        <v>541</v>
      </c>
      <c r="C99" s="162" t="s">
        <v>1653</v>
      </c>
      <c r="D99" s="162"/>
      <c r="E99" s="163"/>
      <c r="F99" s="161"/>
      <c r="G99" s="164"/>
      <c r="H99" s="162"/>
      <c r="I99" s="162" t="s">
        <v>1693</v>
      </c>
    </row>
    <row r="100" spans="2:9" ht="15.75" thickBot="1" x14ac:dyDescent="0.3">
      <c r="B100" s="161" t="s">
        <v>541</v>
      </c>
      <c r="C100" s="162" t="s">
        <v>1654</v>
      </c>
      <c r="D100" s="162"/>
      <c r="E100" s="163"/>
      <c r="F100" s="161"/>
      <c r="G100" s="164"/>
      <c r="H100" s="162"/>
      <c r="I100" s="162" t="s">
        <v>1693</v>
      </c>
    </row>
    <row r="101" spans="2:9" ht="15.75" thickBot="1" x14ac:dyDescent="0.3">
      <c r="B101" s="161" t="s">
        <v>541</v>
      </c>
      <c r="C101" s="162" t="s">
        <v>1655</v>
      </c>
      <c r="D101" s="162"/>
      <c r="E101" s="163"/>
      <c r="F101" s="161"/>
      <c r="G101" s="164"/>
      <c r="H101" s="162"/>
      <c r="I101" s="162" t="s">
        <v>1693</v>
      </c>
    </row>
    <row r="102" spans="2:9" ht="15.75" thickBot="1" x14ac:dyDescent="0.3">
      <c r="B102" s="161" t="s">
        <v>541</v>
      </c>
      <c r="C102" s="162" t="s">
        <v>1656</v>
      </c>
      <c r="D102" s="162"/>
      <c r="E102" s="163"/>
      <c r="F102" s="161"/>
      <c r="G102" s="164"/>
      <c r="H102" s="162"/>
      <c r="I102" s="162" t="s">
        <v>1693</v>
      </c>
    </row>
    <row r="103" spans="2:9" ht="15.75" thickBot="1" x14ac:dyDescent="0.3">
      <c r="B103" s="161" t="s">
        <v>541</v>
      </c>
      <c r="C103" s="162" t="s">
        <v>1657</v>
      </c>
      <c r="D103" s="162"/>
      <c r="E103" s="163"/>
      <c r="F103" s="161"/>
      <c r="G103" s="164"/>
      <c r="H103" s="162"/>
      <c r="I103" s="162" t="s">
        <v>1693</v>
      </c>
    </row>
    <row r="104" spans="2:9" ht="15.75" thickBot="1" x14ac:dyDescent="0.3">
      <c r="B104" s="161" t="s">
        <v>541</v>
      </c>
      <c r="C104" s="162" t="s">
        <v>1670</v>
      </c>
      <c r="D104" s="162"/>
      <c r="E104" s="163"/>
      <c r="F104" s="161"/>
      <c r="G104" s="164"/>
      <c r="H104" s="162"/>
      <c r="I104" s="162" t="s">
        <v>1693</v>
      </c>
    </row>
    <row r="105" spans="2:9" ht="15.75" thickBot="1" x14ac:dyDescent="0.3">
      <c r="B105" s="161" t="s">
        <v>541</v>
      </c>
      <c r="C105" s="162" t="s">
        <v>1672</v>
      </c>
      <c r="D105" s="162"/>
      <c r="E105" s="163"/>
      <c r="F105" s="161"/>
      <c r="G105" s="164">
        <v>1549.05</v>
      </c>
      <c r="H105" s="162"/>
      <c r="I105" s="162" t="s">
        <v>1712</v>
      </c>
    </row>
    <row r="106" spans="2:9" ht="15.75" thickBot="1" x14ac:dyDescent="0.3">
      <c r="B106" s="161" t="s">
        <v>541</v>
      </c>
      <c r="C106" s="162" t="s">
        <v>1658</v>
      </c>
      <c r="D106" s="162"/>
      <c r="E106" s="163"/>
      <c r="F106" s="161"/>
      <c r="G106" s="164"/>
      <c r="H106" s="162"/>
      <c r="I106" s="162" t="s">
        <v>1693</v>
      </c>
    </row>
    <row r="107" spans="2:9" ht="15.75" thickBot="1" x14ac:dyDescent="0.3">
      <c r="B107" s="161" t="s">
        <v>541</v>
      </c>
      <c r="C107" s="162" t="s">
        <v>1675</v>
      </c>
      <c r="D107" s="162"/>
      <c r="E107" s="163"/>
      <c r="F107" s="161"/>
      <c r="G107" s="164"/>
      <c r="H107" s="162"/>
      <c r="I107" s="162" t="s">
        <v>1693</v>
      </c>
    </row>
    <row r="108" spans="2:9" ht="15.75" thickBot="1" x14ac:dyDescent="0.3">
      <c r="B108" s="161" t="s">
        <v>541</v>
      </c>
      <c r="C108" s="162" t="s">
        <v>1659</v>
      </c>
      <c r="D108" s="162"/>
      <c r="E108" s="163"/>
      <c r="F108" s="161"/>
      <c r="G108" s="164">
        <v>19674.11</v>
      </c>
      <c r="H108" s="162"/>
      <c r="I108" s="162" t="s">
        <v>1702</v>
      </c>
    </row>
    <row r="109" spans="2:9" ht="15.75" thickBot="1" x14ac:dyDescent="0.3">
      <c r="B109" s="161" t="s">
        <v>1072</v>
      </c>
      <c r="C109" s="162" t="s">
        <v>1662</v>
      </c>
      <c r="D109" s="162"/>
      <c r="E109" s="163"/>
      <c r="F109" s="161"/>
      <c r="G109" s="164">
        <f>SUM(G110:G121)</f>
        <v>83378.689999999988</v>
      </c>
      <c r="H109" s="162"/>
      <c r="I109" s="162"/>
    </row>
    <row r="110" spans="2:9" ht="15.75" thickBot="1" x14ac:dyDescent="0.3">
      <c r="B110" s="161" t="s">
        <v>1072</v>
      </c>
      <c r="C110" s="162" t="s">
        <v>1680</v>
      </c>
      <c r="D110" s="162"/>
      <c r="E110" s="163"/>
      <c r="F110" s="161"/>
      <c r="G110" s="164">
        <v>65539.34</v>
      </c>
      <c r="H110" s="162"/>
      <c r="I110" s="162" t="s">
        <v>1685</v>
      </c>
    </row>
    <row r="111" spans="2:9" ht="15.75" thickBot="1" x14ac:dyDescent="0.3">
      <c r="B111" s="161" t="s">
        <v>1072</v>
      </c>
      <c r="C111" s="162" t="s">
        <v>1661</v>
      </c>
      <c r="D111" s="162"/>
      <c r="E111" s="163"/>
      <c r="F111" s="161"/>
      <c r="G111" s="164">
        <v>8836.8700000000008</v>
      </c>
      <c r="H111" s="162"/>
      <c r="I111" s="162" t="s">
        <v>1727</v>
      </c>
    </row>
    <row r="112" spans="2:9" ht="15.75" thickBot="1" x14ac:dyDescent="0.3">
      <c r="B112" s="161" t="s">
        <v>1072</v>
      </c>
      <c r="C112" s="162" t="s">
        <v>1653</v>
      </c>
      <c r="D112" s="162"/>
      <c r="E112" s="163"/>
      <c r="F112" s="161"/>
      <c r="G112" s="164"/>
      <c r="H112" s="162"/>
      <c r="I112" s="162" t="s">
        <v>1693</v>
      </c>
    </row>
    <row r="113" spans="2:9" ht="15.75" thickBot="1" x14ac:dyDescent="0.3">
      <c r="B113" s="161" t="s">
        <v>1072</v>
      </c>
      <c r="C113" s="162" t="s">
        <v>1654</v>
      </c>
      <c r="D113" s="162"/>
      <c r="E113" s="163"/>
      <c r="F113" s="161"/>
      <c r="G113" s="164"/>
      <c r="H113" s="162"/>
      <c r="I113" s="162" t="s">
        <v>1693</v>
      </c>
    </row>
    <row r="114" spans="2:9" ht="15.75" thickBot="1" x14ac:dyDescent="0.3">
      <c r="B114" s="161" t="s">
        <v>1072</v>
      </c>
      <c r="C114" s="162" t="s">
        <v>1655</v>
      </c>
      <c r="D114" s="162"/>
      <c r="E114" s="163"/>
      <c r="F114" s="161"/>
      <c r="G114" s="164"/>
      <c r="H114" s="162"/>
      <c r="I114" s="162" t="s">
        <v>1693</v>
      </c>
    </row>
    <row r="115" spans="2:9" ht="15.75" thickBot="1" x14ac:dyDescent="0.3">
      <c r="B115" s="161" t="s">
        <v>1072</v>
      </c>
      <c r="C115" s="162" t="s">
        <v>1656</v>
      </c>
      <c r="D115" s="162"/>
      <c r="E115" s="163"/>
      <c r="F115" s="161"/>
      <c r="G115" s="164"/>
      <c r="H115" s="162"/>
      <c r="I115" s="162" t="s">
        <v>1693</v>
      </c>
    </row>
    <row r="116" spans="2:9" ht="15.75" thickBot="1" x14ac:dyDescent="0.3">
      <c r="B116" s="161" t="s">
        <v>1072</v>
      </c>
      <c r="C116" s="162" t="s">
        <v>1657</v>
      </c>
      <c r="D116" s="162"/>
      <c r="E116" s="163"/>
      <c r="F116" s="161"/>
      <c r="G116" s="164"/>
      <c r="H116" s="162"/>
      <c r="I116" s="162" t="s">
        <v>1693</v>
      </c>
    </row>
    <row r="117" spans="2:9" ht="15.75" thickBot="1" x14ac:dyDescent="0.3">
      <c r="B117" s="161" t="s">
        <v>1072</v>
      </c>
      <c r="C117" s="162" t="s">
        <v>1670</v>
      </c>
      <c r="D117" s="162"/>
      <c r="E117" s="163"/>
      <c r="F117" s="161"/>
      <c r="G117" s="164"/>
      <c r="H117" s="162"/>
      <c r="I117" s="162" t="s">
        <v>1693</v>
      </c>
    </row>
    <row r="118" spans="2:9" ht="15.75" thickBot="1" x14ac:dyDescent="0.3">
      <c r="B118" s="161" t="s">
        <v>1072</v>
      </c>
      <c r="C118" s="162" t="s">
        <v>1672</v>
      </c>
      <c r="D118" s="162"/>
      <c r="E118" s="163"/>
      <c r="F118" s="161"/>
      <c r="G118" s="164">
        <v>556.62</v>
      </c>
      <c r="H118" s="162"/>
      <c r="I118" s="162" t="s">
        <v>1690</v>
      </c>
    </row>
    <row r="119" spans="2:9" ht="15.75" thickBot="1" x14ac:dyDescent="0.3">
      <c r="B119" s="161" t="s">
        <v>1072</v>
      </c>
      <c r="C119" s="162" t="s">
        <v>1658</v>
      </c>
      <c r="D119" s="162"/>
      <c r="E119" s="163"/>
      <c r="F119" s="161"/>
      <c r="G119" s="164"/>
      <c r="H119" s="162"/>
      <c r="I119" s="162" t="s">
        <v>1693</v>
      </c>
    </row>
    <row r="120" spans="2:9" ht="15.75" thickBot="1" x14ac:dyDescent="0.3">
      <c r="B120" s="161" t="s">
        <v>1072</v>
      </c>
      <c r="C120" s="162" t="s">
        <v>1675</v>
      </c>
      <c r="D120" s="162"/>
      <c r="E120" s="163"/>
      <c r="F120" s="161"/>
      <c r="G120" s="164"/>
      <c r="H120" s="162"/>
      <c r="I120" s="162" t="s">
        <v>1693</v>
      </c>
    </row>
    <row r="121" spans="2:9" ht="15.75" thickBot="1" x14ac:dyDescent="0.3">
      <c r="B121" s="161" t="s">
        <v>1072</v>
      </c>
      <c r="C121" s="162" t="s">
        <v>1659</v>
      </c>
      <c r="D121" s="162"/>
      <c r="E121" s="163"/>
      <c r="F121" s="161"/>
      <c r="G121" s="164">
        <v>8445.86</v>
      </c>
      <c r="H121" s="162"/>
      <c r="I121" s="162" t="s">
        <v>1739</v>
      </c>
    </row>
    <row r="122" spans="2:9" ht="15.75" thickBot="1" x14ac:dyDescent="0.3">
      <c r="B122" s="82" t="s">
        <v>536</v>
      </c>
      <c r="C122" s="83" t="s">
        <v>1662</v>
      </c>
      <c r="D122" s="83"/>
      <c r="E122" s="85"/>
      <c r="F122" s="82"/>
      <c r="G122" s="160">
        <f>SUM(G123:G134)</f>
        <v>29860.92</v>
      </c>
      <c r="H122" s="83"/>
      <c r="I122" s="83"/>
    </row>
    <row r="123" spans="2:9" ht="15.75" thickBot="1" x14ac:dyDescent="0.3">
      <c r="B123" s="82" t="s">
        <v>536</v>
      </c>
      <c r="C123" s="83" t="s">
        <v>1680</v>
      </c>
      <c r="D123" s="83"/>
      <c r="E123" s="85"/>
      <c r="F123" s="82"/>
      <c r="G123" s="160">
        <v>13564.95</v>
      </c>
      <c r="H123" s="83"/>
      <c r="I123" s="83" t="s">
        <v>1686</v>
      </c>
    </row>
    <row r="124" spans="2:9" ht="15.75" thickBot="1" x14ac:dyDescent="0.3">
      <c r="B124" s="82" t="s">
        <v>536</v>
      </c>
      <c r="C124" s="83" t="s">
        <v>1661</v>
      </c>
      <c r="D124" s="83"/>
      <c r="E124" s="85"/>
      <c r="F124" s="82"/>
      <c r="G124" s="160">
        <v>338.63</v>
      </c>
      <c r="H124" s="83"/>
      <c r="I124" s="83" t="s">
        <v>1728</v>
      </c>
    </row>
    <row r="125" spans="2:9" ht="15.75" thickBot="1" x14ac:dyDescent="0.3">
      <c r="B125" s="82" t="s">
        <v>536</v>
      </c>
      <c r="C125" s="83" t="s">
        <v>1653</v>
      </c>
      <c r="D125" s="83"/>
      <c r="E125" s="85"/>
      <c r="F125" s="82"/>
      <c r="G125" s="160"/>
      <c r="H125" s="83"/>
      <c r="I125" s="83" t="s">
        <v>1693</v>
      </c>
    </row>
    <row r="126" spans="2:9" ht="15.75" thickBot="1" x14ac:dyDescent="0.3">
      <c r="B126" s="82" t="s">
        <v>536</v>
      </c>
      <c r="C126" s="83" t="s">
        <v>1654</v>
      </c>
      <c r="D126" s="83"/>
      <c r="E126" s="85"/>
      <c r="F126" s="82"/>
      <c r="G126" s="160"/>
      <c r="H126" s="83"/>
      <c r="I126" s="83" t="s">
        <v>1693</v>
      </c>
    </row>
    <row r="127" spans="2:9" ht="15.75" thickBot="1" x14ac:dyDescent="0.3">
      <c r="B127" s="82" t="s">
        <v>536</v>
      </c>
      <c r="C127" s="83" t="s">
        <v>1655</v>
      </c>
      <c r="D127" s="83"/>
      <c r="E127" s="85"/>
      <c r="F127" s="82"/>
      <c r="G127" s="160"/>
      <c r="H127" s="83"/>
      <c r="I127" s="83" t="s">
        <v>1693</v>
      </c>
    </row>
    <row r="128" spans="2:9" ht="15.75" thickBot="1" x14ac:dyDescent="0.3">
      <c r="B128" s="82" t="s">
        <v>536</v>
      </c>
      <c r="C128" s="83" t="s">
        <v>1656</v>
      </c>
      <c r="D128" s="83"/>
      <c r="E128" s="85"/>
      <c r="F128" s="82"/>
      <c r="G128" s="160"/>
      <c r="H128" s="83"/>
      <c r="I128" s="83" t="s">
        <v>1693</v>
      </c>
    </row>
    <row r="129" spans="2:9" ht="15.75" thickBot="1" x14ac:dyDescent="0.3">
      <c r="B129" s="82" t="s">
        <v>536</v>
      </c>
      <c r="C129" s="83" t="s">
        <v>1657</v>
      </c>
      <c r="D129" s="83"/>
      <c r="E129" s="85"/>
      <c r="F129" s="82"/>
      <c r="G129" s="160">
        <v>15633.34</v>
      </c>
      <c r="H129" s="83"/>
      <c r="I129" s="83" t="s">
        <v>1708</v>
      </c>
    </row>
    <row r="130" spans="2:9" ht="15.75" thickBot="1" x14ac:dyDescent="0.3">
      <c r="B130" s="82" t="s">
        <v>536</v>
      </c>
      <c r="C130" s="83" t="s">
        <v>1670</v>
      </c>
      <c r="D130" s="83"/>
      <c r="E130" s="85"/>
      <c r="F130" s="82"/>
      <c r="G130" s="160"/>
      <c r="H130" s="83"/>
      <c r="I130" s="83" t="s">
        <v>1693</v>
      </c>
    </row>
    <row r="131" spans="2:9" ht="15.75" thickBot="1" x14ac:dyDescent="0.3">
      <c r="B131" s="82" t="s">
        <v>536</v>
      </c>
      <c r="C131" s="83" t="s">
        <v>1672</v>
      </c>
      <c r="D131" s="83"/>
      <c r="E131" s="85"/>
      <c r="F131" s="82"/>
      <c r="G131" s="160"/>
      <c r="H131" s="83"/>
      <c r="I131" s="83" t="s">
        <v>1693</v>
      </c>
    </row>
    <row r="132" spans="2:9" ht="15.75" thickBot="1" x14ac:dyDescent="0.3">
      <c r="B132" s="82" t="s">
        <v>536</v>
      </c>
      <c r="C132" s="83" t="s">
        <v>1658</v>
      </c>
      <c r="D132" s="83"/>
      <c r="E132" s="85"/>
      <c r="F132" s="82"/>
      <c r="G132" s="160"/>
      <c r="H132" s="83"/>
      <c r="I132" s="83" t="s">
        <v>1693</v>
      </c>
    </row>
    <row r="133" spans="2:9" ht="15.75" thickBot="1" x14ac:dyDescent="0.3">
      <c r="B133" s="82" t="s">
        <v>536</v>
      </c>
      <c r="C133" s="83" t="s">
        <v>1675</v>
      </c>
      <c r="D133" s="83"/>
      <c r="E133" s="85"/>
      <c r="F133" s="82"/>
      <c r="G133" s="160"/>
      <c r="H133" s="83"/>
      <c r="I133" s="83" t="s">
        <v>1693</v>
      </c>
    </row>
    <row r="134" spans="2:9" ht="15.75" thickBot="1" x14ac:dyDescent="0.3">
      <c r="B134" s="82" t="s">
        <v>536</v>
      </c>
      <c r="C134" s="83" t="s">
        <v>1659</v>
      </c>
      <c r="D134" s="83"/>
      <c r="E134" s="85"/>
      <c r="F134" s="82"/>
      <c r="G134" s="160">
        <v>324</v>
      </c>
      <c r="H134" s="83"/>
      <c r="I134" s="83" t="s">
        <v>1701</v>
      </c>
    </row>
    <row r="135" spans="2:9" ht="15.75" thickBot="1" x14ac:dyDescent="0.3">
      <c r="B135" s="82" t="s">
        <v>602</v>
      </c>
      <c r="C135" s="83" t="s">
        <v>1662</v>
      </c>
      <c r="D135" s="83"/>
      <c r="E135" s="85"/>
      <c r="F135" s="82"/>
      <c r="G135" s="160">
        <f>SUM(G136:G147)</f>
        <v>21876.85</v>
      </c>
      <c r="H135" s="83"/>
      <c r="I135" s="83"/>
    </row>
    <row r="136" spans="2:9" ht="15.75" thickBot="1" x14ac:dyDescent="0.3">
      <c r="B136" s="82" t="s">
        <v>602</v>
      </c>
      <c r="C136" s="83" t="s">
        <v>1680</v>
      </c>
      <c r="D136" s="83"/>
      <c r="E136" s="85"/>
      <c r="F136" s="82"/>
      <c r="G136" s="160">
        <v>3029.7</v>
      </c>
      <c r="H136" s="83"/>
      <c r="I136" s="83" t="s">
        <v>1687</v>
      </c>
    </row>
    <row r="137" spans="2:9" ht="15.75" thickBot="1" x14ac:dyDescent="0.3">
      <c r="B137" s="82" t="s">
        <v>602</v>
      </c>
      <c r="C137" s="83" t="s">
        <v>1661</v>
      </c>
      <c r="D137" s="83"/>
      <c r="E137" s="85"/>
      <c r="F137" s="82"/>
      <c r="G137" s="160">
        <v>541.69000000000005</v>
      </c>
      <c r="H137" s="83"/>
      <c r="I137" s="83" t="s">
        <v>1729</v>
      </c>
    </row>
    <row r="138" spans="2:9" ht="15.75" thickBot="1" x14ac:dyDescent="0.3">
      <c r="B138" s="82" t="s">
        <v>602</v>
      </c>
      <c r="C138" s="83" t="s">
        <v>1653</v>
      </c>
      <c r="D138" s="83"/>
      <c r="E138" s="85"/>
      <c r="F138" s="82"/>
      <c r="G138" s="160"/>
      <c r="H138" s="83"/>
      <c r="I138" s="83" t="s">
        <v>1693</v>
      </c>
    </row>
    <row r="139" spans="2:9" ht="15.75" thickBot="1" x14ac:dyDescent="0.3">
      <c r="B139" s="82" t="s">
        <v>602</v>
      </c>
      <c r="C139" s="83" t="s">
        <v>1654</v>
      </c>
      <c r="D139" s="83"/>
      <c r="E139" s="85"/>
      <c r="F139" s="82"/>
      <c r="G139" s="160"/>
      <c r="H139" s="83"/>
      <c r="I139" s="83" t="s">
        <v>1693</v>
      </c>
    </row>
    <row r="140" spans="2:9" ht="15.75" thickBot="1" x14ac:dyDescent="0.3">
      <c r="B140" s="82" t="s">
        <v>602</v>
      </c>
      <c r="C140" s="83" t="s">
        <v>1655</v>
      </c>
      <c r="D140" s="83"/>
      <c r="E140" s="85"/>
      <c r="F140" s="82"/>
      <c r="G140" s="160"/>
      <c r="H140" s="83"/>
      <c r="I140" s="83" t="s">
        <v>1693</v>
      </c>
    </row>
    <row r="141" spans="2:9" ht="15.75" thickBot="1" x14ac:dyDescent="0.3">
      <c r="B141" s="82" t="s">
        <v>602</v>
      </c>
      <c r="C141" s="83" t="s">
        <v>1656</v>
      </c>
      <c r="D141" s="83"/>
      <c r="E141" s="85"/>
      <c r="F141" s="82"/>
      <c r="G141" s="160"/>
      <c r="H141" s="83"/>
      <c r="I141" s="83" t="s">
        <v>1693</v>
      </c>
    </row>
    <row r="142" spans="2:9" ht="15.75" thickBot="1" x14ac:dyDescent="0.3">
      <c r="B142" s="82" t="s">
        <v>602</v>
      </c>
      <c r="C142" s="83" t="s">
        <v>1657</v>
      </c>
      <c r="D142" s="83"/>
      <c r="E142" s="85"/>
      <c r="F142" s="82"/>
      <c r="G142" s="160">
        <v>209.52</v>
      </c>
      <c r="H142" s="83"/>
      <c r="I142" s="83" t="s">
        <v>1689</v>
      </c>
    </row>
    <row r="143" spans="2:9" ht="15.75" thickBot="1" x14ac:dyDescent="0.3">
      <c r="B143" s="82" t="s">
        <v>602</v>
      </c>
      <c r="C143" s="83" t="s">
        <v>1670</v>
      </c>
      <c r="D143" s="83"/>
      <c r="E143" s="85"/>
      <c r="F143" s="82"/>
      <c r="G143" s="160"/>
      <c r="H143" s="83"/>
      <c r="I143" s="83" t="s">
        <v>1693</v>
      </c>
    </row>
    <row r="144" spans="2:9" ht="15.75" thickBot="1" x14ac:dyDescent="0.3">
      <c r="B144" s="82" t="s">
        <v>602</v>
      </c>
      <c r="C144" s="83" t="s">
        <v>1672</v>
      </c>
      <c r="D144" s="83"/>
      <c r="E144" s="85"/>
      <c r="F144" s="82"/>
      <c r="G144" s="160">
        <v>525.41</v>
      </c>
      <c r="H144" s="83"/>
      <c r="I144" s="83" t="s">
        <v>1694</v>
      </c>
    </row>
    <row r="145" spans="2:9" ht="15.75" thickBot="1" x14ac:dyDescent="0.3">
      <c r="B145" s="82" t="s">
        <v>602</v>
      </c>
      <c r="C145" s="83" t="s">
        <v>1658</v>
      </c>
      <c r="D145" s="83"/>
      <c r="E145" s="85"/>
      <c r="F145" s="82"/>
      <c r="G145" s="160"/>
      <c r="H145" s="83"/>
      <c r="I145" s="83" t="s">
        <v>1693</v>
      </c>
    </row>
    <row r="146" spans="2:9" ht="15.75" thickBot="1" x14ac:dyDescent="0.3">
      <c r="B146" s="82" t="s">
        <v>602</v>
      </c>
      <c r="C146" s="83" t="s">
        <v>1675</v>
      </c>
      <c r="D146" s="83"/>
      <c r="E146" s="85"/>
      <c r="F146" s="82"/>
      <c r="G146" s="160"/>
      <c r="H146" s="83"/>
      <c r="I146" s="83" t="s">
        <v>1693</v>
      </c>
    </row>
    <row r="147" spans="2:9" ht="15.75" thickBot="1" x14ac:dyDescent="0.3">
      <c r="B147" s="82" t="s">
        <v>602</v>
      </c>
      <c r="C147" s="83" t="s">
        <v>1659</v>
      </c>
      <c r="D147" s="83"/>
      <c r="E147" s="85"/>
      <c r="F147" s="82"/>
      <c r="G147" s="160">
        <v>17570.53</v>
      </c>
      <c r="H147" s="83"/>
      <c r="I147" s="83" t="s">
        <v>1723</v>
      </c>
    </row>
    <row r="148" spans="2:9" ht="15.75" thickBot="1" x14ac:dyDescent="0.3">
      <c r="B148" s="82" t="s">
        <v>535</v>
      </c>
      <c r="C148" s="83" t="s">
        <v>1662</v>
      </c>
      <c r="D148" s="83"/>
      <c r="E148" s="85"/>
      <c r="F148" s="82"/>
      <c r="G148" s="160">
        <f>SUM(G149:G160)</f>
        <v>250969.11000000002</v>
      </c>
      <c r="H148" s="83"/>
      <c r="I148" s="83"/>
    </row>
    <row r="149" spans="2:9" ht="15.75" thickBot="1" x14ac:dyDescent="0.3">
      <c r="B149" s="82" t="s">
        <v>535</v>
      </c>
      <c r="C149" s="83" t="s">
        <v>1681</v>
      </c>
      <c r="D149" s="83">
        <v>123</v>
      </c>
      <c r="E149" s="85" t="s">
        <v>586</v>
      </c>
      <c r="F149" s="82"/>
      <c r="G149" s="160">
        <v>33147.879999999997</v>
      </c>
      <c r="H149" s="83"/>
      <c r="I149" s="83" t="s">
        <v>1688</v>
      </c>
    </row>
    <row r="150" spans="2:9" ht="15.75" thickBot="1" x14ac:dyDescent="0.3">
      <c r="B150" s="82" t="s">
        <v>535</v>
      </c>
      <c r="C150" s="83" t="s">
        <v>1661</v>
      </c>
      <c r="D150" s="83"/>
      <c r="E150" s="85"/>
      <c r="F150" s="82"/>
      <c r="G150" s="160">
        <v>5710.42</v>
      </c>
      <c r="H150" s="83"/>
      <c r="I150" s="83" t="s">
        <v>1730</v>
      </c>
    </row>
    <row r="151" spans="2:9" ht="15.75" thickBot="1" x14ac:dyDescent="0.3">
      <c r="B151" s="82" t="s">
        <v>535</v>
      </c>
      <c r="C151" s="83" t="s">
        <v>1653</v>
      </c>
      <c r="D151" s="83">
        <v>45</v>
      </c>
      <c r="E151" s="85" t="s">
        <v>586</v>
      </c>
      <c r="F151" s="82"/>
      <c r="G151" s="160">
        <v>7860.51</v>
      </c>
      <c r="H151" s="83"/>
      <c r="I151" s="83" t="s">
        <v>1689</v>
      </c>
    </row>
    <row r="152" spans="2:9" ht="15.75" thickBot="1" x14ac:dyDescent="0.3">
      <c r="B152" s="82" t="s">
        <v>535</v>
      </c>
      <c r="C152" s="83" t="s">
        <v>1654</v>
      </c>
      <c r="D152" s="83"/>
      <c r="E152" s="85"/>
      <c r="F152" s="82"/>
      <c r="G152" s="160">
        <v>352.84</v>
      </c>
      <c r="H152" s="83"/>
      <c r="I152" s="83" t="s">
        <v>1700</v>
      </c>
    </row>
    <row r="153" spans="2:9" ht="15.75" thickBot="1" x14ac:dyDescent="0.3">
      <c r="B153" s="82" t="s">
        <v>535</v>
      </c>
      <c r="C153" s="83" t="s">
        <v>1655</v>
      </c>
      <c r="D153" s="83"/>
      <c r="E153" s="85"/>
      <c r="F153" s="82"/>
      <c r="G153" s="160">
        <v>6562.42</v>
      </c>
      <c r="H153" s="83"/>
      <c r="I153" s="83" t="s">
        <v>1699</v>
      </c>
    </row>
    <row r="154" spans="2:9" ht="15.75" thickBot="1" x14ac:dyDescent="0.3">
      <c r="B154" s="82" t="s">
        <v>535</v>
      </c>
      <c r="C154" s="83" t="s">
        <v>1656</v>
      </c>
      <c r="D154" s="83"/>
      <c r="E154" s="85"/>
      <c r="F154" s="82"/>
      <c r="G154" s="160">
        <v>0</v>
      </c>
      <c r="H154" s="83"/>
      <c r="I154" s="83"/>
    </row>
    <row r="155" spans="2:9" ht="15.75" thickBot="1" x14ac:dyDescent="0.3">
      <c r="B155" s="82" t="s">
        <v>535</v>
      </c>
      <c r="C155" s="83" t="s">
        <v>1657</v>
      </c>
      <c r="D155" s="83"/>
      <c r="E155" s="85"/>
      <c r="F155" s="82"/>
      <c r="G155" s="160">
        <v>15825.47</v>
      </c>
      <c r="H155" s="83"/>
      <c r="I155" s="83" t="s">
        <v>1707</v>
      </c>
    </row>
    <row r="156" spans="2:9" ht="15.75" thickBot="1" x14ac:dyDescent="0.3">
      <c r="B156" s="82" t="s">
        <v>535</v>
      </c>
      <c r="C156" s="83" t="s">
        <v>1670</v>
      </c>
      <c r="D156" s="83"/>
      <c r="E156" s="85"/>
      <c r="F156" s="82"/>
      <c r="G156" s="160">
        <v>290.3</v>
      </c>
      <c r="H156" s="83"/>
      <c r="I156" s="83" t="s">
        <v>1711</v>
      </c>
    </row>
    <row r="157" spans="2:9" ht="15.75" thickBot="1" x14ac:dyDescent="0.3">
      <c r="B157" s="82" t="s">
        <v>535</v>
      </c>
      <c r="C157" s="83" t="s">
        <v>1672</v>
      </c>
      <c r="D157" s="83"/>
      <c r="E157" s="85"/>
      <c r="F157" s="82"/>
      <c r="G157" s="160">
        <v>51720.63</v>
      </c>
      <c r="H157" s="83"/>
      <c r="I157" s="83" t="s">
        <v>1719</v>
      </c>
    </row>
    <row r="158" spans="2:9" ht="15.75" thickBot="1" x14ac:dyDescent="0.3">
      <c r="B158" s="82" t="s">
        <v>535</v>
      </c>
      <c r="C158" s="83" t="s">
        <v>1658</v>
      </c>
      <c r="D158" s="83"/>
      <c r="E158" s="85"/>
      <c r="F158" s="82"/>
      <c r="G158" s="160">
        <v>454.33</v>
      </c>
      <c r="H158" s="83"/>
      <c r="I158" s="83" t="s">
        <v>1716</v>
      </c>
    </row>
    <row r="159" spans="2:9" ht="15.75" thickBot="1" x14ac:dyDescent="0.3">
      <c r="B159" s="82" t="s">
        <v>535</v>
      </c>
      <c r="C159" s="83" t="s">
        <v>1675</v>
      </c>
      <c r="D159" s="83"/>
      <c r="E159" s="85"/>
      <c r="F159" s="82"/>
      <c r="G159" s="160">
        <v>4108.93</v>
      </c>
      <c r="H159" s="83"/>
      <c r="I159" s="83" t="s">
        <v>1735</v>
      </c>
    </row>
    <row r="160" spans="2:9" ht="15.75" thickBot="1" x14ac:dyDescent="0.3">
      <c r="B160" s="82" t="s">
        <v>535</v>
      </c>
      <c r="C160" s="83" t="s">
        <v>1659</v>
      </c>
      <c r="D160" s="83"/>
      <c r="E160" s="85"/>
      <c r="F160" s="82"/>
      <c r="G160" s="160">
        <v>124935.38</v>
      </c>
      <c r="H160" s="83"/>
      <c r="I160" s="83" t="s">
        <v>1738</v>
      </c>
    </row>
    <row r="161" spans="2:9" ht="15.75" thickBot="1" x14ac:dyDescent="0.3">
      <c r="B161" s="161" t="s">
        <v>547</v>
      </c>
      <c r="C161" s="162" t="s">
        <v>1662</v>
      </c>
      <c r="D161" s="162"/>
      <c r="E161" s="163"/>
      <c r="F161" s="161"/>
      <c r="G161" s="164">
        <f>SUM(G162:G172)</f>
        <v>1628523.3599999999</v>
      </c>
      <c r="H161" s="162"/>
      <c r="I161" s="162"/>
    </row>
    <row r="162" spans="2:9" ht="15.75" thickBot="1" x14ac:dyDescent="0.3">
      <c r="B162" s="161" t="s">
        <v>547</v>
      </c>
      <c r="C162" s="162" t="s">
        <v>1653</v>
      </c>
      <c r="D162" s="162">
        <f>95*2+36-2</f>
        <v>224</v>
      </c>
      <c r="E162" s="163" t="s">
        <v>586</v>
      </c>
      <c r="F162" s="161"/>
      <c r="G162" s="164">
        <v>36214.089999999997</v>
      </c>
      <c r="H162" s="162"/>
      <c r="I162" s="162" t="s">
        <v>1692</v>
      </c>
    </row>
    <row r="163" spans="2:9" ht="15.75" thickBot="1" x14ac:dyDescent="0.3">
      <c r="B163" s="161" t="s">
        <v>547</v>
      </c>
      <c r="C163" s="162" t="s">
        <v>1656</v>
      </c>
      <c r="D163" s="162"/>
      <c r="E163" s="163"/>
      <c r="F163" s="161"/>
      <c r="G163" s="164">
        <v>1285.8399999999999</v>
      </c>
      <c r="H163" s="162"/>
      <c r="I163" s="162" t="s">
        <v>1695</v>
      </c>
    </row>
    <row r="164" spans="2:9" ht="15.75" thickBot="1" x14ac:dyDescent="0.3">
      <c r="B164" s="161" t="s">
        <v>547</v>
      </c>
      <c r="C164" s="162" t="s">
        <v>1655</v>
      </c>
      <c r="D164" s="162"/>
      <c r="E164" s="163"/>
      <c r="F164" s="161"/>
      <c r="G164" s="164">
        <v>119992</v>
      </c>
      <c r="H164" s="162"/>
      <c r="I164" s="162" t="s">
        <v>1696</v>
      </c>
    </row>
    <row r="165" spans="2:9" ht="15.75" thickBot="1" x14ac:dyDescent="0.3">
      <c r="B165" s="161" t="s">
        <v>547</v>
      </c>
      <c r="C165" s="162" t="s">
        <v>1654</v>
      </c>
      <c r="D165" s="162"/>
      <c r="E165" s="163"/>
      <c r="F165" s="161"/>
      <c r="G165" s="164">
        <v>2928.77</v>
      </c>
      <c r="H165" s="162"/>
      <c r="I165" s="162" t="s">
        <v>1703</v>
      </c>
    </row>
    <row r="166" spans="2:9" ht="15.75" thickBot="1" x14ac:dyDescent="0.3">
      <c r="B166" s="161" t="s">
        <v>547</v>
      </c>
      <c r="C166" s="162" t="s">
        <v>1657</v>
      </c>
      <c r="D166" s="162"/>
      <c r="E166" s="163"/>
      <c r="F166" s="161"/>
      <c r="G166" s="164">
        <v>206621.01</v>
      </c>
      <c r="H166" s="162"/>
      <c r="I166" s="162" t="s">
        <v>1709</v>
      </c>
    </row>
    <row r="167" spans="2:9" ht="15.75" thickBot="1" x14ac:dyDescent="0.3">
      <c r="B167" s="161" t="s">
        <v>547</v>
      </c>
      <c r="C167" s="162" t="s">
        <v>1670</v>
      </c>
      <c r="D167" s="162"/>
      <c r="E167" s="163"/>
      <c r="F167" s="161"/>
      <c r="G167" s="164">
        <v>2183.0500000000002</v>
      </c>
      <c r="H167" s="162"/>
      <c r="I167" s="162" t="s">
        <v>1710</v>
      </c>
    </row>
    <row r="168" spans="2:9" ht="15.75" thickBot="1" x14ac:dyDescent="0.3">
      <c r="B168" s="161" t="s">
        <v>547</v>
      </c>
      <c r="C168" s="162" t="s">
        <v>1658</v>
      </c>
      <c r="D168" s="162"/>
      <c r="E168" s="163"/>
      <c r="F168" s="161"/>
      <c r="G168" s="164">
        <v>4871.08</v>
      </c>
      <c r="H168" s="162"/>
      <c r="I168" s="162" t="s">
        <v>1717</v>
      </c>
    </row>
    <row r="169" spans="2:9" ht="15.75" thickBot="1" x14ac:dyDescent="0.3">
      <c r="B169" s="161" t="s">
        <v>547</v>
      </c>
      <c r="C169" s="162" t="s">
        <v>1672</v>
      </c>
      <c r="D169" s="162"/>
      <c r="E169" s="163"/>
      <c r="F169" s="161"/>
      <c r="G169" s="164">
        <v>410809.01</v>
      </c>
      <c r="H169" s="162"/>
      <c r="I169" s="162" t="s">
        <v>1718</v>
      </c>
    </row>
    <row r="170" spans="2:9" ht="15.75" thickBot="1" x14ac:dyDescent="0.3">
      <c r="B170" s="161" t="s">
        <v>547</v>
      </c>
      <c r="C170" s="162" t="s">
        <v>1661</v>
      </c>
      <c r="D170" s="162"/>
      <c r="E170" s="163"/>
      <c r="F170" s="161"/>
      <c r="G170" s="164">
        <v>40397.51</v>
      </c>
      <c r="H170" s="162"/>
      <c r="I170" s="162" t="s">
        <v>1731</v>
      </c>
    </row>
    <row r="171" spans="2:9" ht="15.75" thickBot="1" x14ac:dyDescent="0.3">
      <c r="B171" s="161" t="s">
        <v>547</v>
      </c>
      <c r="C171" s="162" t="s">
        <v>1675</v>
      </c>
      <c r="D171" s="162"/>
      <c r="E171" s="163"/>
      <c r="F171" s="161"/>
      <c r="G171" s="164">
        <v>68537.3</v>
      </c>
      <c r="H171" s="162"/>
      <c r="I171" s="162" t="s">
        <v>1736</v>
      </c>
    </row>
    <row r="172" spans="2:9" ht="15.75" thickBot="1" x14ac:dyDescent="0.3">
      <c r="B172" s="161" t="s">
        <v>547</v>
      </c>
      <c r="C172" s="162" t="s">
        <v>1659</v>
      </c>
      <c r="D172" s="162"/>
      <c r="E172" s="163"/>
      <c r="F172" s="161"/>
      <c r="G172" s="164">
        <v>734683.7</v>
      </c>
      <c r="H172" s="162"/>
      <c r="I172" s="162" t="s">
        <v>1737</v>
      </c>
    </row>
  </sheetData>
  <mergeCells count="22">
    <mergeCell ref="B25:U26"/>
    <mergeCell ref="B28:B29"/>
    <mergeCell ref="C28:C29"/>
    <mergeCell ref="D28:D29"/>
    <mergeCell ref="E28:E29"/>
    <mergeCell ref="F28:F29"/>
    <mergeCell ref="G28:G29"/>
    <mergeCell ref="H28:H29"/>
    <mergeCell ref="I28:I29"/>
    <mergeCell ref="B9:W9"/>
    <mergeCell ref="B21:U22"/>
    <mergeCell ref="B11:C11"/>
    <mergeCell ref="D11:P11"/>
    <mergeCell ref="B12:C12"/>
    <mergeCell ref="D12:P12"/>
    <mergeCell ref="B13:C13"/>
    <mergeCell ref="D13:P13"/>
    <mergeCell ref="B14:C14"/>
    <mergeCell ref="D14:P14"/>
    <mergeCell ref="B15:C15"/>
    <mergeCell ref="D15:P15"/>
    <mergeCell ref="B17:W17"/>
  </mergeCells>
  <dataValidations disablePrompts="1" count="3">
    <dataValidation type="list" allowBlank="1" showInputMessage="1" showErrorMessage="1" sqref="E30:E55">
      <formula1>"unidades, paletes, contentores, kWh, l (litros), kg (quilos), ton (toneladas), Nm3 (metros cubicos norm.), Outro/NA"</formula1>
    </dataValidation>
    <dataValidation type="list" allowBlank="1" showInputMessage="1" showErrorMessage="1" sqref="C172">
      <formula1>"Serviço Manutenção, Outros Serviços, Pneus, Componentes/Peças, Vidros, Baterias, Metais, Plásticos, Borrachas, Papel, Contrato Pneus, Outros"</formula1>
    </dataValidation>
    <dataValidation type="list" allowBlank="1" showInputMessage="1" showErrorMessage="1" sqref="C30:C171">
      <formula1>"Serviço Manutenção, Outros Serviços, Pneus, Componentes/Peças, Vidros, Baterias, Metais, Plásticos, Borrachas, Papel, Contrato Pneus, Outros, Total"</formula1>
    </dataValidation>
  </dataValidations>
  <pageMargins left="0.7" right="0.7" top="0.75" bottom="0.75" header="0.3" footer="0.3"/>
  <customProperties>
    <customPr name="GUID" r:id="rId1"/>
  </customPropertie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2"/>
  <dimension ref="A1:R859"/>
  <sheetViews>
    <sheetView topLeftCell="A799" zoomScale="70" zoomScaleNormal="70" workbookViewId="0">
      <selection activeCell="A854" sqref="A854:A855"/>
    </sheetView>
  </sheetViews>
  <sheetFormatPr defaultRowHeight="15" x14ac:dyDescent="0.25"/>
  <cols>
    <col min="1" max="2" width="76" bestFit="1" customWidth="1"/>
    <col min="3" max="3" width="54.140625" customWidth="1"/>
    <col min="4" max="4" width="118.85546875" bestFit="1" customWidth="1"/>
    <col min="5" max="8" width="25.7109375" customWidth="1"/>
    <col min="9" max="9" width="25.7109375" style="335" customWidth="1"/>
    <col min="10" max="10" width="26.5703125" bestFit="1" customWidth="1"/>
    <col min="11" max="11" width="120.28515625" customWidth="1"/>
    <col min="12" max="12" width="28.7109375" customWidth="1"/>
    <col min="13" max="13" width="35" bestFit="1" customWidth="1"/>
    <col min="14" max="14" width="24.42578125" customWidth="1"/>
    <col min="15" max="15" width="97.85546875" customWidth="1"/>
    <col min="16" max="16" width="17.28515625" style="422" bestFit="1" customWidth="1"/>
    <col min="18" max="18" width="15.85546875" customWidth="1"/>
  </cols>
  <sheetData>
    <row r="1" spans="1:18" ht="15.75" thickBot="1" x14ac:dyDescent="0.3">
      <c r="A1" s="757" t="s">
        <v>1851</v>
      </c>
      <c r="B1" s="757" t="s">
        <v>131</v>
      </c>
      <c r="C1" s="757" t="s">
        <v>1852</v>
      </c>
      <c r="D1" s="759" t="s">
        <v>442</v>
      </c>
      <c r="E1" s="793" t="s">
        <v>435</v>
      </c>
      <c r="F1" s="757" t="s">
        <v>141</v>
      </c>
      <c r="G1" s="793" t="s">
        <v>444</v>
      </c>
      <c r="H1" s="209" t="s">
        <v>1870</v>
      </c>
      <c r="I1" s="810" t="s">
        <v>434</v>
      </c>
      <c r="J1" s="795" t="s">
        <v>443</v>
      </c>
      <c r="K1" s="759" t="s">
        <v>134</v>
      </c>
      <c r="L1" s="778" t="s">
        <v>1856</v>
      </c>
      <c r="M1" s="795" t="s">
        <v>1868</v>
      </c>
      <c r="N1" s="795" t="s">
        <v>1883</v>
      </c>
      <c r="O1" s="795" t="s">
        <v>1893</v>
      </c>
      <c r="P1" s="778" t="s">
        <v>6575</v>
      </c>
      <c r="Q1" s="777" t="s">
        <v>2812</v>
      </c>
      <c r="R1" s="777" t="s">
        <v>3588</v>
      </c>
    </row>
    <row r="2" spans="1:18" ht="15.75" thickBot="1" x14ac:dyDescent="0.3">
      <c r="A2" s="758"/>
      <c r="B2" s="758"/>
      <c r="C2" s="758"/>
      <c r="D2" s="757"/>
      <c r="E2" s="794"/>
      <c r="F2" s="809"/>
      <c r="G2" s="794"/>
      <c r="H2" s="213"/>
      <c r="I2" s="811"/>
      <c r="J2" s="793"/>
      <c r="K2" s="759"/>
      <c r="L2" s="797"/>
      <c r="M2" s="793"/>
      <c r="N2" s="793"/>
      <c r="O2" s="793"/>
      <c r="P2" s="797"/>
      <c r="Q2" s="777"/>
      <c r="R2" s="777"/>
    </row>
    <row r="3" spans="1:18" ht="15.75" thickBot="1" x14ac:dyDescent="0.3">
      <c r="A3" s="275" t="s">
        <v>2943</v>
      </c>
      <c r="B3" s="275" t="s">
        <v>2943</v>
      </c>
      <c r="C3" s="82" t="str">
        <f t="shared" ref="C3:C66" si="0">IF(A3=B3,"X",RIGHT(A3,LEN(A3)-LEN(B3)-3))</f>
        <v>X</v>
      </c>
      <c r="D3" s="83" t="s">
        <v>1661</v>
      </c>
      <c r="E3" s="425"/>
      <c r="F3" s="429"/>
      <c r="G3" s="161"/>
      <c r="H3" s="424" t="str">
        <f t="shared" ref="H3:H34" si="1">IFERROR(LEFT(F3,FIND(" ",F3)-1),"")</f>
        <v/>
      </c>
      <c r="I3" s="332">
        <v>228614</v>
      </c>
      <c r="J3" s="162"/>
      <c r="K3" s="162"/>
      <c r="L3" s="271">
        <v>2022</v>
      </c>
      <c r="M3" s="227" t="s">
        <v>1890</v>
      </c>
      <c r="N3" s="227" t="s">
        <v>1891</v>
      </c>
      <c r="O3" s="227" t="s">
        <v>6576</v>
      </c>
      <c r="P3" s="227">
        <v>2022</v>
      </c>
      <c r="Q3" s="250" t="s">
        <v>3499</v>
      </c>
      <c r="R3" s="250" t="s">
        <v>3503</v>
      </c>
    </row>
    <row r="4" spans="1:18" ht="15.75" thickBot="1" x14ac:dyDescent="0.3">
      <c r="A4" s="424" t="s">
        <v>4591</v>
      </c>
      <c r="B4" s="424" t="s">
        <v>4591</v>
      </c>
      <c r="C4" s="82" t="str">
        <f t="shared" si="0"/>
        <v>X</v>
      </c>
      <c r="D4" s="425" t="s">
        <v>1681</v>
      </c>
      <c r="E4" s="425"/>
      <c r="F4" s="429"/>
      <c r="G4" s="161"/>
      <c r="H4" s="424" t="str">
        <f t="shared" si="1"/>
        <v/>
      </c>
      <c r="I4" s="332">
        <v>405166.22000000003</v>
      </c>
      <c r="J4" s="162"/>
      <c r="K4" s="162"/>
      <c r="L4" s="271">
        <v>2022</v>
      </c>
      <c r="M4" s="227" t="s">
        <v>1890</v>
      </c>
      <c r="N4" s="283" t="s">
        <v>6577</v>
      </c>
      <c r="O4" s="227" t="s">
        <v>6576</v>
      </c>
      <c r="P4" s="227">
        <v>2022</v>
      </c>
      <c r="Q4" s="250" t="s">
        <v>3499</v>
      </c>
      <c r="R4" s="250" t="s">
        <v>3503</v>
      </c>
    </row>
    <row r="5" spans="1:18" ht="15.75" thickBot="1" x14ac:dyDescent="0.3">
      <c r="A5" s="424" t="s">
        <v>4591</v>
      </c>
      <c r="B5" s="82" t="s">
        <v>4591</v>
      </c>
      <c r="C5" s="82" t="str">
        <f t="shared" si="0"/>
        <v>X</v>
      </c>
      <c r="D5" s="425" t="s">
        <v>1661</v>
      </c>
      <c r="E5" s="425"/>
      <c r="F5" s="429"/>
      <c r="G5" s="161"/>
      <c r="H5" s="424" t="str">
        <f t="shared" si="1"/>
        <v/>
      </c>
      <c r="I5" s="332">
        <v>820207.91</v>
      </c>
      <c r="J5" s="162"/>
      <c r="K5" s="162"/>
      <c r="L5" s="271">
        <v>2022</v>
      </c>
      <c r="M5" s="227" t="s">
        <v>1890</v>
      </c>
      <c r="N5" s="283" t="s">
        <v>6577</v>
      </c>
      <c r="O5" s="227" t="s">
        <v>6576</v>
      </c>
      <c r="P5" s="227">
        <v>2022</v>
      </c>
      <c r="Q5" s="250" t="s">
        <v>3499</v>
      </c>
      <c r="R5" s="250" t="s">
        <v>3503</v>
      </c>
    </row>
    <row r="6" spans="1:18" ht="15.75" thickBot="1" x14ac:dyDescent="0.3">
      <c r="A6" s="424" t="s">
        <v>45</v>
      </c>
      <c r="B6" s="82" t="str">
        <f t="shared" ref="B6:B37" si="2">LEFT(A6,IFERROR(FIND(" - ",A6)-1,LEN(A6)))</f>
        <v>Barraqueiro Transportes, S.A.</v>
      </c>
      <c r="C6" s="82" t="str">
        <f t="shared" si="0"/>
        <v>X</v>
      </c>
      <c r="D6" s="425" t="s">
        <v>1675</v>
      </c>
      <c r="E6" s="425"/>
      <c r="F6" s="580"/>
      <c r="G6" s="424"/>
      <c r="H6" s="424" t="str">
        <f t="shared" si="1"/>
        <v/>
      </c>
      <c r="I6" s="332">
        <v>153612.06</v>
      </c>
      <c r="J6" s="425"/>
      <c r="K6" s="425"/>
      <c r="L6" s="271">
        <v>2022</v>
      </c>
      <c r="M6" s="227" t="s">
        <v>1890</v>
      </c>
      <c r="N6" s="227" t="s">
        <v>1891</v>
      </c>
      <c r="O6" s="227" t="s">
        <v>6576</v>
      </c>
      <c r="P6" s="227">
        <v>2022</v>
      </c>
      <c r="Q6" s="250" t="s">
        <v>3499</v>
      </c>
      <c r="R6" s="250" t="s">
        <v>3503</v>
      </c>
    </row>
    <row r="7" spans="1:18" ht="15.75" thickBot="1" x14ac:dyDescent="0.3">
      <c r="A7" s="424" t="s">
        <v>45</v>
      </c>
      <c r="B7" s="424" t="str">
        <f t="shared" si="2"/>
        <v>Barraqueiro Transportes, S.A.</v>
      </c>
      <c r="C7" s="424" t="str">
        <f t="shared" si="0"/>
        <v>X</v>
      </c>
      <c r="D7" s="425" t="s">
        <v>1653</v>
      </c>
      <c r="E7" s="425">
        <f>E20+E33+E46+E136</f>
        <v>133</v>
      </c>
      <c r="F7" s="429" t="s">
        <v>586</v>
      </c>
      <c r="G7" s="424"/>
      <c r="H7" s="424" t="str">
        <f t="shared" si="1"/>
        <v/>
      </c>
      <c r="I7" s="332">
        <v>77171.989999999991</v>
      </c>
      <c r="J7" s="425"/>
      <c r="K7" s="425"/>
      <c r="L7" s="271">
        <v>2022</v>
      </c>
      <c r="M7" s="227" t="s">
        <v>1890</v>
      </c>
      <c r="N7" s="227" t="s">
        <v>1891</v>
      </c>
      <c r="O7" s="227" t="s">
        <v>6576</v>
      </c>
      <c r="P7" s="227">
        <v>2022</v>
      </c>
      <c r="Q7" s="250" t="s">
        <v>3499</v>
      </c>
      <c r="R7" s="250" t="s">
        <v>3503</v>
      </c>
    </row>
    <row r="8" spans="1:18" ht="15.75" thickBot="1" x14ac:dyDescent="0.3">
      <c r="A8" s="424" t="s">
        <v>45</v>
      </c>
      <c r="B8" s="424" t="str">
        <f t="shared" si="2"/>
        <v>Barraqueiro Transportes, S.A.</v>
      </c>
      <c r="C8" s="82" t="str">
        <f t="shared" si="0"/>
        <v>X</v>
      </c>
      <c r="D8" s="425" t="s">
        <v>1654</v>
      </c>
      <c r="E8" s="425"/>
      <c r="F8" s="427"/>
      <c r="G8" s="424"/>
      <c r="H8" s="424" t="str">
        <f t="shared" si="1"/>
        <v/>
      </c>
      <c r="I8" s="332">
        <v>5725.5300000000007</v>
      </c>
      <c r="J8" s="425"/>
      <c r="K8" s="425"/>
      <c r="L8" s="271">
        <v>2022</v>
      </c>
      <c r="M8" s="227" t="s">
        <v>1890</v>
      </c>
      <c r="N8" s="227" t="s">
        <v>1891</v>
      </c>
      <c r="O8" s="227" t="s">
        <v>6576</v>
      </c>
      <c r="P8" s="227">
        <v>2022</v>
      </c>
      <c r="Q8" s="250" t="s">
        <v>3499</v>
      </c>
      <c r="R8" s="250" t="s">
        <v>3503</v>
      </c>
    </row>
    <row r="9" spans="1:18" ht="15.75" thickBot="1" x14ac:dyDescent="0.3">
      <c r="A9" s="424" t="s">
        <v>45</v>
      </c>
      <c r="B9" s="82" t="str">
        <f t="shared" si="2"/>
        <v>Barraqueiro Transportes, S.A.</v>
      </c>
      <c r="C9" s="82" t="str">
        <f t="shared" si="0"/>
        <v>X</v>
      </c>
      <c r="D9" s="425" t="s">
        <v>2982</v>
      </c>
      <c r="E9" s="425"/>
      <c r="F9" s="427"/>
      <c r="G9" s="424"/>
      <c r="H9" s="424" t="str">
        <f t="shared" si="1"/>
        <v/>
      </c>
      <c r="I9" s="332">
        <v>1000994.39</v>
      </c>
      <c r="J9" s="425"/>
      <c r="K9" s="425"/>
      <c r="L9" s="271">
        <v>2022</v>
      </c>
      <c r="M9" s="227" t="s">
        <v>1890</v>
      </c>
      <c r="N9" s="227" t="s">
        <v>1891</v>
      </c>
      <c r="O9" s="227" t="s">
        <v>6576</v>
      </c>
      <c r="P9" s="227">
        <v>2022</v>
      </c>
      <c r="Q9" s="250" t="s">
        <v>3499</v>
      </c>
      <c r="R9" s="250" t="s">
        <v>3503</v>
      </c>
    </row>
    <row r="10" spans="1:18" ht="15.75" thickBot="1" x14ac:dyDescent="0.3">
      <c r="A10" s="424" t="s">
        <v>45</v>
      </c>
      <c r="B10" s="82" t="str">
        <f t="shared" si="2"/>
        <v>Barraqueiro Transportes, S.A.</v>
      </c>
      <c r="C10" s="82" t="str">
        <f t="shared" si="0"/>
        <v>X</v>
      </c>
      <c r="D10" s="425" t="s">
        <v>1656</v>
      </c>
      <c r="E10" s="425"/>
      <c r="F10" s="427"/>
      <c r="G10" s="424"/>
      <c r="H10" s="424" t="str">
        <f t="shared" si="1"/>
        <v/>
      </c>
      <c r="I10" s="332">
        <v>2257.1999999999998</v>
      </c>
      <c r="J10" s="425"/>
      <c r="K10" s="425"/>
      <c r="L10" s="271">
        <v>2022</v>
      </c>
      <c r="M10" s="227" t="s">
        <v>1890</v>
      </c>
      <c r="N10" s="227" t="s">
        <v>1891</v>
      </c>
      <c r="O10" s="227" t="s">
        <v>6576</v>
      </c>
      <c r="P10" s="227">
        <v>2022</v>
      </c>
      <c r="Q10" s="250" t="s">
        <v>3499</v>
      </c>
      <c r="R10" s="250" t="s">
        <v>3503</v>
      </c>
    </row>
    <row r="11" spans="1:18" ht="15.75" thickBot="1" x14ac:dyDescent="0.3">
      <c r="A11" s="424" t="s">
        <v>45</v>
      </c>
      <c r="B11" s="424" t="str">
        <f t="shared" si="2"/>
        <v>Barraqueiro Transportes, S.A.</v>
      </c>
      <c r="C11" s="82" t="str">
        <f t="shared" si="0"/>
        <v>X</v>
      </c>
      <c r="D11" s="425" t="s">
        <v>1658</v>
      </c>
      <c r="E11" s="425"/>
      <c r="F11" s="427"/>
      <c r="G11" s="424"/>
      <c r="H11" s="424" t="str">
        <f t="shared" si="1"/>
        <v/>
      </c>
      <c r="I11" s="332">
        <v>8868.0499999999993</v>
      </c>
      <c r="J11" s="425"/>
      <c r="K11" s="425"/>
      <c r="L11" s="271">
        <v>2022</v>
      </c>
      <c r="M11" s="227" t="s">
        <v>1890</v>
      </c>
      <c r="N11" s="227" t="s">
        <v>1891</v>
      </c>
      <c r="O11" s="227" t="s">
        <v>6576</v>
      </c>
      <c r="P11" s="227">
        <v>2022</v>
      </c>
      <c r="Q11" s="250" t="s">
        <v>3499</v>
      </c>
      <c r="R11" s="250" t="s">
        <v>3503</v>
      </c>
    </row>
    <row r="12" spans="1:18" ht="15.75" thickBot="1" x14ac:dyDescent="0.3">
      <c r="A12" s="424" t="s">
        <v>45</v>
      </c>
      <c r="B12" s="82" t="str">
        <f t="shared" si="2"/>
        <v>Barraqueiro Transportes, S.A.</v>
      </c>
      <c r="C12" s="82" t="str">
        <f t="shared" si="0"/>
        <v>X</v>
      </c>
      <c r="D12" s="425" t="s">
        <v>1659</v>
      </c>
      <c r="E12" s="425"/>
      <c r="F12" s="427"/>
      <c r="G12" s="424"/>
      <c r="H12" s="82" t="str">
        <f t="shared" si="1"/>
        <v/>
      </c>
      <c r="I12" s="332">
        <v>1908203.1300000001</v>
      </c>
      <c r="J12" s="425"/>
      <c r="K12" s="425"/>
      <c r="L12" s="271">
        <v>2022</v>
      </c>
      <c r="M12" s="227" t="s">
        <v>1890</v>
      </c>
      <c r="N12" s="227" t="s">
        <v>1891</v>
      </c>
      <c r="O12" s="227" t="s">
        <v>6576</v>
      </c>
      <c r="P12" s="227">
        <v>2022</v>
      </c>
      <c r="Q12" s="250" t="s">
        <v>3499</v>
      </c>
      <c r="R12" s="250" t="s">
        <v>3503</v>
      </c>
    </row>
    <row r="13" spans="1:18" ht="15.75" thickBot="1" x14ac:dyDescent="0.3">
      <c r="A13" s="424" t="s">
        <v>45</v>
      </c>
      <c r="B13" s="82" t="str">
        <f t="shared" si="2"/>
        <v>Barraqueiro Transportes, S.A.</v>
      </c>
      <c r="C13" s="82" t="str">
        <f t="shared" si="0"/>
        <v>X</v>
      </c>
      <c r="D13" s="425" t="s">
        <v>1681</v>
      </c>
      <c r="E13" s="425">
        <f>E26+E39+E52+E64</f>
        <v>541</v>
      </c>
      <c r="F13" s="427"/>
      <c r="G13" s="424"/>
      <c r="H13" s="82" t="str">
        <f t="shared" si="1"/>
        <v/>
      </c>
      <c r="I13" s="332">
        <v>643875.37</v>
      </c>
      <c r="J13" s="425"/>
      <c r="K13" s="425"/>
      <c r="L13" s="271">
        <v>2022</v>
      </c>
      <c r="M13" s="227" t="s">
        <v>1890</v>
      </c>
      <c r="N13" s="227" t="s">
        <v>1891</v>
      </c>
      <c r="O13" s="227" t="s">
        <v>6576</v>
      </c>
      <c r="P13" s="227">
        <v>2022</v>
      </c>
      <c r="Q13" s="250" t="s">
        <v>3499</v>
      </c>
      <c r="R13" s="250" t="s">
        <v>3503</v>
      </c>
    </row>
    <row r="14" spans="1:18" ht="15.75" thickBot="1" x14ac:dyDescent="0.3">
      <c r="A14" s="424" t="s">
        <v>45</v>
      </c>
      <c r="B14" s="82" t="str">
        <f t="shared" si="2"/>
        <v>Barraqueiro Transportes, S.A.</v>
      </c>
      <c r="C14" s="82" t="str">
        <f t="shared" si="0"/>
        <v>X</v>
      </c>
      <c r="D14" s="425" t="s">
        <v>1657</v>
      </c>
      <c r="E14" s="425"/>
      <c r="F14" s="427"/>
      <c r="G14" s="424"/>
      <c r="H14" s="82" t="str">
        <f t="shared" si="1"/>
        <v/>
      </c>
      <c r="I14" s="332">
        <v>406851.52</v>
      </c>
      <c r="J14" s="425"/>
      <c r="K14" s="425"/>
      <c r="L14" s="271">
        <v>2022</v>
      </c>
      <c r="M14" s="227" t="s">
        <v>1890</v>
      </c>
      <c r="N14" s="227" t="s">
        <v>1891</v>
      </c>
      <c r="O14" s="227" t="s">
        <v>6576</v>
      </c>
      <c r="P14" s="227">
        <v>2022</v>
      </c>
      <c r="Q14" s="250" t="s">
        <v>3499</v>
      </c>
      <c r="R14" s="250" t="s">
        <v>3503</v>
      </c>
    </row>
    <row r="15" spans="1:18" ht="15.75" thickBot="1" x14ac:dyDescent="0.3">
      <c r="A15" s="424" t="s">
        <v>45</v>
      </c>
      <c r="B15" s="82" t="str">
        <f t="shared" si="2"/>
        <v>Barraqueiro Transportes, S.A.</v>
      </c>
      <c r="C15" s="82" t="str">
        <f t="shared" si="0"/>
        <v>X</v>
      </c>
      <c r="D15" s="425" t="s">
        <v>1661</v>
      </c>
      <c r="E15" s="425"/>
      <c r="F15" s="427"/>
      <c r="G15" s="424"/>
      <c r="H15" s="424" t="str">
        <f t="shared" si="1"/>
        <v/>
      </c>
      <c r="I15" s="332">
        <v>107829.60999999999</v>
      </c>
      <c r="J15" s="425"/>
      <c r="K15" s="425"/>
      <c r="L15" s="271">
        <v>2022</v>
      </c>
      <c r="M15" s="227" t="s">
        <v>1890</v>
      </c>
      <c r="N15" s="227" t="s">
        <v>1891</v>
      </c>
      <c r="O15" s="227" t="s">
        <v>6576</v>
      </c>
      <c r="P15" s="227">
        <v>2022</v>
      </c>
      <c r="Q15" s="250" t="s">
        <v>3499</v>
      </c>
      <c r="R15" s="250" t="s">
        <v>3503</v>
      </c>
    </row>
    <row r="16" spans="1:18" ht="15.75" thickBot="1" x14ac:dyDescent="0.3">
      <c r="A16" s="424" t="s">
        <v>45</v>
      </c>
      <c r="B16" s="424" t="str">
        <f t="shared" si="2"/>
        <v>Barraqueiro Transportes, S.A.</v>
      </c>
      <c r="C16" s="82" t="str">
        <f t="shared" si="0"/>
        <v>X</v>
      </c>
      <c r="D16" s="425" t="s">
        <v>1662</v>
      </c>
      <c r="E16" s="425"/>
      <c r="F16" s="427" t="s">
        <v>557</v>
      </c>
      <c r="G16" s="424">
        <v>2</v>
      </c>
      <c r="H16" s="424" t="str">
        <f t="shared" si="1"/>
        <v>kg</v>
      </c>
      <c r="I16" s="332">
        <v>4526505.3899999997</v>
      </c>
      <c r="J16" s="425"/>
      <c r="K16" s="425"/>
      <c r="L16" s="271">
        <v>2022</v>
      </c>
      <c r="M16" s="227" t="s">
        <v>1890</v>
      </c>
      <c r="N16" s="227" t="s">
        <v>1891</v>
      </c>
      <c r="O16" s="227" t="s">
        <v>6576</v>
      </c>
      <c r="P16" s="227">
        <v>2022</v>
      </c>
      <c r="Q16" s="250" t="s">
        <v>3499</v>
      </c>
      <c r="R16" s="250" t="s">
        <v>3503</v>
      </c>
    </row>
    <row r="17" spans="1:18" ht="15.75" thickBot="1" x14ac:dyDescent="0.3">
      <c r="A17" s="424" t="s">
        <v>45</v>
      </c>
      <c r="B17" s="82" t="str">
        <f t="shared" si="2"/>
        <v>Barraqueiro Transportes, S.A.</v>
      </c>
      <c r="C17" s="82" t="str">
        <f t="shared" si="0"/>
        <v>X</v>
      </c>
      <c r="D17" s="425" t="s">
        <v>1670</v>
      </c>
      <c r="E17" s="425"/>
      <c r="F17" s="427"/>
      <c r="G17" s="424"/>
      <c r="H17" s="424" t="str">
        <f t="shared" si="1"/>
        <v/>
      </c>
      <c r="I17" s="332">
        <v>3634.21</v>
      </c>
      <c r="J17" s="425"/>
      <c r="K17" s="425"/>
      <c r="L17" s="271">
        <v>2022</v>
      </c>
      <c r="M17" s="227" t="s">
        <v>1890</v>
      </c>
      <c r="N17" s="227" t="s">
        <v>1891</v>
      </c>
      <c r="O17" s="227" t="s">
        <v>6576</v>
      </c>
      <c r="P17" s="227">
        <v>2022</v>
      </c>
      <c r="Q17" s="250" t="s">
        <v>3499</v>
      </c>
      <c r="R17" s="250" t="s">
        <v>3503</v>
      </c>
    </row>
    <row r="18" spans="1:18" ht="15.75" thickBot="1" x14ac:dyDescent="0.3">
      <c r="A18" s="424" t="s">
        <v>45</v>
      </c>
      <c r="B18" s="82" t="str">
        <f t="shared" si="2"/>
        <v>Barraqueiro Transportes, S.A.</v>
      </c>
      <c r="C18" s="82" t="str">
        <f t="shared" si="0"/>
        <v>X</v>
      </c>
      <c r="D18" s="425" t="s">
        <v>1655</v>
      </c>
      <c r="E18" s="425"/>
      <c r="F18" s="427"/>
      <c r="G18" s="424"/>
      <c r="H18" s="424" t="str">
        <f t="shared" si="1"/>
        <v/>
      </c>
      <c r="I18" s="332">
        <v>207482.33</v>
      </c>
      <c r="J18" s="425"/>
      <c r="K18" s="425"/>
      <c r="L18" s="271">
        <v>2022</v>
      </c>
      <c r="M18" s="227" t="s">
        <v>1890</v>
      </c>
      <c r="N18" s="227" t="s">
        <v>1891</v>
      </c>
      <c r="O18" s="227" t="s">
        <v>6576</v>
      </c>
      <c r="P18" s="227">
        <v>2022</v>
      </c>
      <c r="Q18" s="250" t="s">
        <v>3499</v>
      </c>
      <c r="R18" s="250" t="s">
        <v>3503</v>
      </c>
    </row>
    <row r="19" spans="1:18" ht="15.75" thickBot="1" x14ac:dyDescent="0.3">
      <c r="A19" s="161" t="s">
        <v>3278</v>
      </c>
      <c r="B19" s="82" t="str">
        <f t="shared" si="2"/>
        <v>Barraqueiro Transportes, S.A.</v>
      </c>
      <c r="C19" s="82" t="str">
        <f t="shared" si="0"/>
        <v>Barraqueiro Alugueres</v>
      </c>
      <c r="D19" s="162" t="s">
        <v>1675</v>
      </c>
      <c r="E19" s="162"/>
      <c r="F19" s="163"/>
      <c r="G19" s="161"/>
      <c r="H19" s="82" t="str">
        <f t="shared" si="1"/>
        <v/>
      </c>
      <c r="I19" s="333"/>
      <c r="J19" s="162"/>
      <c r="K19" s="162" t="s">
        <v>1693</v>
      </c>
      <c r="L19" s="271">
        <v>2022</v>
      </c>
      <c r="M19" s="227" t="s">
        <v>1890</v>
      </c>
      <c r="N19" s="227" t="s">
        <v>1891</v>
      </c>
      <c r="O19" s="227" t="s">
        <v>6576</v>
      </c>
      <c r="P19" s="227">
        <v>2022</v>
      </c>
      <c r="Q19" s="250" t="s">
        <v>3499</v>
      </c>
      <c r="R19" s="250" t="s">
        <v>3503</v>
      </c>
    </row>
    <row r="20" spans="1:18" ht="15.75" thickBot="1" x14ac:dyDescent="0.3">
      <c r="A20" s="161" t="s">
        <v>3278</v>
      </c>
      <c r="B20" s="424" t="str">
        <f t="shared" si="2"/>
        <v>Barraqueiro Transportes, S.A.</v>
      </c>
      <c r="C20" s="82" t="str">
        <f t="shared" si="0"/>
        <v>Barraqueiro Alugueres</v>
      </c>
      <c r="D20" s="162" t="s">
        <v>1653</v>
      </c>
      <c r="E20" s="162"/>
      <c r="F20" s="163"/>
      <c r="G20" s="161"/>
      <c r="H20" s="82" t="str">
        <f t="shared" si="1"/>
        <v/>
      </c>
      <c r="I20" s="333"/>
      <c r="J20" s="162"/>
      <c r="K20" s="162" t="s">
        <v>1693</v>
      </c>
      <c r="L20" s="271">
        <v>2022</v>
      </c>
      <c r="M20" s="227" t="s">
        <v>1890</v>
      </c>
      <c r="N20" s="227" t="s">
        <v>1891</v>
      </c>
      <c r="O20" s="227" t="s">
        <v>6576</v>
      </c>
      <c r="P20" s="227">
        <v>2022</v>
      </c>
      <c r="Q20" s="250" t="s">
        <v>3499</v>
      </c>
      <c r="R20" s="250" t="s">
        <v>3503</v>
      </c>
    </row>
    <row r="21" spans="1:18" ht="15.75" thickBot="1" x14ac:dyDescent="0.3">
      <c r="A21" s="161" t="s">
        <v>3278</v>
      </c>
      <c r="B21" s="424" t="str">
        <f t="shared" si="2"/>
        <v>Barraqueiro Transportes, S.A.</v>
      </c>
      <c r="C21" s="82" t="str">
        <f t="shared" si="0"/>
        <v>Barraqueiro Alugueres</v>
      </c>
      <c r="D21" s="162" t="s">
        <v>1654</v>
      </c>
      <c r="E21" s="162"/>
      <c r="F21" s="163"/>
      <c r="G21" s="161"/>
      <c r="H21" s="424" t="str">
        <f t="shared" si="1"/>
        <v/>
      </c>
      <c r="I21" s="333"/>
      <c r="J21" s="162"/>
      <c r="K21" s="162" t="s">
        <v>1693</v>
      </c>
      <c r="L21" s="271">
        <v>2022</v>
      </c>
      <c r="M21" s="227" t="s">
        <v>1890</v>
      </c>
      <c r="N21" s="227" t="s">
        <v>1891</v>
      </c>
      <c r="O21" s="227" t="s">
        <v>6576</v>
      </c>
      <c r="P21" s="227">
        <v>2022</v>
      </c>
      <c r="Q21" s="250" t="s">
        <v>3499</v>
      </c>
      <c r="R21" s="250" t="s">
        <v>3503</v>
      </c>
    </row>
    <row r="22" spans="1:18" ht="15.75" thickBot="1" x14ac:dyDescent="0.3">
      <c r="A22" s="161" t="s">
        <v>3278</v>
      </c>
      <c r="B22" s="424" t="str">
        <f t="shared" si="2"/>
        <v>Barraqueiro Transportes, S.A.</v>
      </c>
      <c r="C22" s="82" t="str">
        <f t="shared" si="0"/>
        <v>Barraqueiro Alugueres</v>
      </c>
      <c r="D22" s="425" t="s">
        <v>2982</v>
      </c>
      <c r="E22" s="162"/>
      <c r="F22" s="163"/>
      <c r="G22" s="161"/>
      <c r="H22" s="424" t="str">
        <f t="shared" si="1"/>
        <v/>
      </c>
      <c r="I22" s="333">
        <v>1549.05</v>
      </c>
      <c r="J22" s="162"/>
      <c r="K22" s="162" t="s">
        <v>1712</v>
      </c>
      <c r="L22" s="271">
        <v>2022</v>
      </c>
      <c r="M22" s="227" t="s">
        <v>1890</v>
      </c>
      <c r="N22" s="227" t="s">
        <v>1891</v>
      </c>
      <c r="O22" s="227" t="s">
        <v>6576</v>
      </c>
      <c r="P22" s="227">
        <v>2022</v>
      </c>
      <c r="Q22" s="250" t="s">
        <v>3499</v>
      </c>
      <c r="R22" s="250" t="s">
        <v>3503</v>
      </c>
    </row>
    <row r="23" spans="1:18" ht="15.75" thickBot="1" x14ac:dyDescent="0.3">
      <c r="A23" s="161" t="s">
        <v>3278</v>
      </c>
      <c r="B23" s="424" t="str">
        <f t="shared" si="2"/>
        <v>Barraqueiro Transportes, S.A.</v>
      </c>
      <c r="C23" s="82" t="str">
        <f t="shared" si="0"/>
        <v>Barraqueiro Alugueres</v>
      </c>
      <c r="D23" s="162" t="s">
        <v>1680</v>
      </c>
      <c r="E23" s="162"/>
      <c r="F23" s="163"/>
      <c r="G23" s="161"/>
      <c r="H23" s="424" t="str">
        <f t="shared" si="1"/>
        <v/>
      </c>
      <c r="I23" s="333">
        <v>88524.24</v>
      </c>
      <c r="J23" s="162"/>
      <c r="K23" s="162" t="s">
        <v>1684</v>
      </c>
      <c r="L23" s="271">
        <v>2022</v>
      </c>
      <c r="M23" s="227" t="s">
        <v>1890</v>
      </c>
      <c r="N23" s="227" t="s">
        <v>1891</v>
      </c>
      <c r="O23" s="227" t="s">
        <v>6576</v>
      </c>
      <c r="P23" s="227">
        <v>2022</v>
      </c>
      <c r="Q23" s="250" t="s">
        <v>3499</v>
      </c>
      <c r="R23" s="250" t="s">
        <v>3503</v>
      </c>
    </row>
    <row r="24" spans="1:18" ht="15.75" thickBot="1" x14ac:dyDescent="0.3">
      <c r="A24" s="161" t="s">
        <v>3278</v>
      </c>
      <c r="B24" s="424" t="str">
        <f t="shared" si="2"/>
        <v>Barraqueiro Transportes, S.A.</v>
      </c>
      <c r="C24" s="82" t="str">
        <f t="shared" si="0"/>
        <v>Barraqueiro Alugueres</v>
      </c>
      <c r="D24" s="162" t="s">
        <v>1656</v>
      </c>
      <c r="E24" s="162"/>
      <c r="F24" s="163"/>
      <c r="G24" s="161"/>
      <c r="H24" s="424" t="str">
        <f t="shared" si="1"/>
        <v/>
      </c>
      <c r="I24" s="333"/>
      <c r="J24" s="162"/>
      <c r="K24" s="162" t="s">
        <v>1693</v>
      </c>
      <c r="L24" s="271">
        <v>2022</v>
      </c>
      <c r="M24" s="227" t="s">
        <v>1890</v>
      </c>
      <c r="N24" s="227" t="s">
        <v>1891</v>
      </c>
      <c r="O24" s="227" t="s">
        <v>6576</v>
      </c>
      <c r="P24" s="227">
        <v>2022</v>
      </c>
      <c r="Q24" s="250" t="s">
        <v>3499</v>
      </c>
      <c r="R24" s="250" t="s">
        <v>3503</v>
      </c>
    </row>
    <row r="25" spans="1:18" ht="15.75" thickBot="1" x14ac:dyDescent="0.3">
      <c r="A25" s="161" t="s">
        <v>3278</v>
      </c>
      <c r="B25" s="424" t="str">
        <f t="shared" si="2"/>
        <v>Barraqueiro Transportes, S.A.</v>
      </c>
      <c r="C25" s="82" t="str">
        <f t="shared" si="0"/>
        <v>Barraqueiro Alugueres</v>
      </c>
      <c r="D25" s="162" t="s">
        <v>1658</v>
      </c>
      <c r="E25" s="162"/>
      <c r="F25" s="163"/>
      <c r="G25" s="161"/>
      <c r="H25" s="424" t="str">
        <f t="shared" si="1"/>
        <v/>
      </c>
      <c r="I25" s="333"/>
      <c r="J25" s="162"/>
      <c r="K25" s="162" t="s">
        <v>1693</v>
      </c>
      <c r="L25" s="271">
        <v>2022</v>
      </c>
      <c r="M25" s="227" t="s">
        <v>1890</v>
      </c>
      <c r="N25" s="227" t="s">
        <v>1891</v>
      </c>
      <c r="O25" s="227" t="s">
        <v>6576</v>
      </c>
      <c r="P25" s="227">
        <v>2022</v>
      </c>
      <c r="Q25" s="250" t="s">
        <v>3499</v>
      </c>
      <c r="R25" s="250" t="s">
        <v>3503</v>
      </c>
    </row>
    <row r="26" spans="1:18" ht="15.75" thickBot="1" x14ac:dyDescent="0.3">
      <c r="A26" s="161" t="s">
        <v>3278</v>
      </c>
      <c r="B26" s="424" t="str">
        <f t="shared" si="2"/>
        <v>Barraqueiro Transportes, S.A.</v>
      </c>
      <c r="C26" s="82" t="str">
        <f t="shared" si="0"/>
        <v>Barraqueiro Alugueres</v>
      </c>
      <c r="D26" s="162" t="s">
        <v>1659</v>
      </c>
      <c r="E26" s="162"/>
      <c r="F26" s="163"/>
      <c r="G26" s="161"/>
      <c r="H26" s="424" t="str">
        <f t="shared" si="1"/>
        <v/>
      </c>
      <c r="I26" s="333">
        <v>19674.11</v>
      </c>
      <c r="J26" s="162"/>
      <c r="K26" s="162" t="s">
        <v>1702</v>
      </c>
      <c r="L26" s="271">
        <v>2022</v>
      </c>
      <c r="M26" s="227" t="s">
        <v>1890</v>
      </c>
      <c r="N26" s="227" t="s">
        <v>1891</v>
      </c>
      <c r="O26" s="227" t="s">
        <v>6576</v>
      </c>
      <c r="P26" s="227">
        <v>2022</v>
      </c>
      <c r="Q26" s="250" t="s">
        <v>3499</v>
      </c>
      <c r="R26" s="250" t="s">
        <v>3503</v>
      </c>
    </row>
    <row r="27" spans="1:18" ht="15.75" thickBot="1" x14ac:dyDescent="0.3">
      <c r="A27" s="161" t="s">
        <v>3278</v>
      </c>
      <c r="B27" s="424" t="str">
        <f t="shared" si="2"/>
        <v>Barraqueiro Transportes, S.A.</v>
      </c>
      <c r="C27" s="82" t="str">
        <f t="shared" si="0"/>
        <v>Barraqueiro Alugueres</v>
      </c>
      <c r="D27" s="162" t="s">
        <v>1657</v>
      </c>
      <c r="E27" s="162"/>
      <c r="F27" s="163"/>
      <c r="G27" s="161"/>
      <c r="H27" s="424" t="str">
        <f t="shared" si="1"/>
        <v/>
      </c>
      <c r="I27" s="333"/>
      <c r="J27" s="162"/>
      <c r="K27" s="162" t="s">
        <v>1693</v>
      </c>
      <c r="L27" s="271">
        <v>2022</v>
      </c>
      <c r="M27" s="227" t="s">
        <v>1890</v>
      </c>
      <c r="N27" s="227" t="s">
        <v>1891</v>
      </c>
      <c r="O27" s="227" t="s">
        <v>6576</v>
      </c>
      <c r="P27" s="227">
        <v>2022</v>
      </c>
      <c r="Q27" s="250" t="s">
        <v>3499</v>
      </c>
      <c r="R27" s="250" t="s">
        <v>3503</v>
      </c>
    </row>
    <row r="28" spans="1:18" ht="15.75" thickBot="1" x14ac:dyDescent="0.3">
      <c r="A28" s="161" t="s">
        <v>3278</v>
      </c>
      <c r="B28" s="424" t="str">
        <f t="shared" si="2"/>
        <v>Barraqueiro Transportes, S.A.</v>
      </c>
      <c r="C28" s="82" t="str">
        <f t="shared" si="0"/>
        <v>Barraqueiro Alugueres</v>
      </c>
      <c r="D28" s="162" t="s">
        <v>1661</v>
      </c>
      <c r="E28" s="162"/>
      <c r="F28" s="163"/>
      <c r="G28" s="161"/>
      <c r="H28" s="424" t="str">
        <f t="shared" si="1"/>
        <v/>
      </c>
      <c r="I28" s="333">
        <v>8316.84</v>
      </c>
      <c r="J28" s="162"/>
      <c r="K28" s="162" t="s">
        <v>1691</v>
      </c>
      <c r="L28" s="271">
        <v>2022</v>
      </c>
      <c r="M28" s="227" t="s">
        <v>1890</v>
      </c>
      <c r="N28" s="227" t="s">
        <v>1891</v>
      </c>
      <c r="O28" s="227" t="s">
        <v>6576</v>
      </c>
      <c r="P28" s="227">
        <v>2022</v>
      </c>
      <c r="Q28" s="250" t="s">
        <v>3499</v>
      </c>
      <c r="R28" s="250" t="s">
        <v>3503</v>
      </c>
    </row>
    <row r="29" spans="1:18" ht="15.75" thickBot="1" x14ac:dyDescent="0.3">
      <c r="A29" s="161" t="s">
        <v>3278</v>
      </c>
      <c r="B29" s="424" t="str">
        <f t="shared" si="2"/>
        <v>Barraqueiro Transportes, S.A.</v>
      </c>
      <c r="C29" s="82" t="str">
        <f t="shared" si="0"/>
        <v>Barraqueiro Alugueres</v>
      </c>
      <c r="D29" s="162" t="s">
        <v>1662</v>
      </c>
      <c r="E29" s="162"/>
      <c r="F29" s="163"/>
      <c r="G29" s="161"/>
      <c r="H29" s="424" t="str">
        <f t="shared" si="1"/>
        <v/>
      </c>
      <c r="I29" s="333">
        <v>118064.24</v>
      </c>
      <c r="J29" s="162"/>
      <c r="K29" s="162"/>
      <c r="L29" s="271">
        <v>2022</v>
      </c>
      <c r="M29" s="227" t="s">
        <v>1890</v>
      </c>
      <c r="N29" s="227" t="s">
        <v>1891</v>
      </c>
      <c r="O29" s="227" t="s">
        <v>6576</v>
      </c>
      <c r="P29" s="227">
        <v>2022</v>
      </c>
      <c r="Q29" s="250" t="s">
        <v>3499</v>
      </c>
      <c r="R29" s="250" t="s">
        <v>3503</v>
      </c>
    </row>
    <row r="30" spans="1:18" ht="15.75" thickBot="1" x14ac:dyDescent="0.3">
      <c r="A30" s="161" t="s">
        <v>3278</v>
      </c>
      <c r="B30" s="424" t="str">
        <f t="shared" si="2"/>
        <v>Barraqueiro Transportes, S.A.</v>
      </c>
      <c r="C30" s="82" t="str">
        <f t="shared" si="0"/>
        <v>Barraqueiro Alugueres</v>
      </c>
      <c r="D30" s="162" t="s">
        <v>1670</v>
      </c>
      <c r="E30" s="162"/>
      <c r="F30" s="163"/>
      <c r="G30" s="161"/>
      <c r="H30" s="424" t="str">
        <f t="shared" si="1"/>
        <v/>
      </c>
      <c r="I30" s="333"/>
      <c r="J30" s="162"/>
      <c r="K30" s="162" t="s">
        <v>1693</v>
      </c>
      <c r="L30" s="271">
        <v>2022</v>
      </c>
      <c r="M30" s="227" t="s">
        <v>1890</v>
      </c>
      <c r="N30" s="227" t="s">
        <v>1891</v>
      </c>
      <c r="O30" s="227" t="s">
        <v>6576</v>
      </c>
      <c r="P30" s="227">
        <v>2022</v>
      </c>
      <c r="Q30" s="250" t="s">
        <v>3499</v>
      </c>
      <c r="R30" s="250" t="s">
        <v>3503</v>
      </c>
    </row>
    <row r="31" spans="1:18" ht="15.75" thickBot="1" x14ac:dyDescent="0.3">
      <c r="A31" s="161" t="s">
        <v>3278</v>
      </c>
      <c r="B31" s="424" t="str">
        <f t="shared" si="2"/>
        <v>Barraqueiro Transportes, S.A.</v>
      </c>
      <c r="C31" s="424" t="str">
        <f t="shared" si="0"/>
        <v>Barraqueiro Alugueres</v>
      </c>
      <c r="D31" s="162" t="s">
        <v>1655</v>
      </c>
      <c r="E31" s="162"/>
      <c r="F31" s="163"/>
      <c r="G31" s="161"/>
      <c r="H31" s="424" t="str">
        <f t="shared" si="1"/>
        <v/>
      </c>
      <c r="I31" s="333"/>
      <c r="J31" s="162"/>
      <c r="K31" s="162" t="s">
        <v>1693</v>
      </c>
      <c r="L31" s="271">
        <v>2022</v>
      </c>
      <c r="M31" s="227" t="s">
        <v>1890</v>
      </c>
      <c r="N31" s="227" t="s">
        <v>1891</v>
      </c>
      <c r="O31" s="227" t="s">
        <v>6576</v>
      </c>
      <c r="P31" s="227">
        <v>2022</v>
      </c>
      <c r="Q31" s="250" t="s">
        <v>3499</v>
      </c>
      <c r="R31" s="250" t="s">
        <v>3503</v>
      </c>
    </row>
    <row r="32" spans="1:18" ht="15.75" thickBot="1" x14ac:dyDescent="0.3">
      <c r="A32" s="161" t="s">
        <v>3473</v>
      </c>
      <c r="B32" s="424" t="str">
        <f t="shared" si="2"/>
        <v>Barraqueiro Transportes, S.A.</v>
      </c>
      <c r="C32" s="82" t="str">
        <f t="shared" si="0"/>
        <v>Barraqueiro Oeste</v>
      </c>
      <c r="D32" s="162" t="s">
        <v>1675</v>
      </c>
      <c r="E32" s="162"/>
      <c r="F32" s="163"/>
      <c r="G32" s="161"/>
      <c r="H32" s="424" t="str">
        <f t="shared" si="1"/>
        <v/>
      </c>
      <c r="I32" s="333">
        <v>33247.49</v>
      </c>
      <c r="J32" s="162"/>
      <c r="K32" s="162" t="s">
        <v>1732</v>
      </c>
      <c r="L32" s="271">
        <v>2022</v>
      </c>
      <c r="M32" s="227" t="s">
        <v>1890</v>
      </c>
      <c r="N32" s="227" t="s">
        <v>1891</v>
      </c>
      <c r="O32" s="227" t="s">
        <v>6576</v>
      </c>
      <c r="P32" s="227">
        <v>2022</v>
      </c>
      <c r="Q32" s="250" t="s">
        <v>3499</v>
      </c>
      <c r="R32" s="250" t="s">
        <v>3503</v>
      </c>
    </row>
    <row r="33" spans="1:18" ht="15.75" thickBot="1" x14ac:dyDescent="0.3">
      <c r="A33" s="161" t="s">
        <v>3473</v>
      </c>
      <c r="B33" s="424" t="str">
        <f t="shared" si="2"/>
        <v>Barraqueiro Transportes, S.A.</v>
      </c>
      <c r="C33" s="82" t="str">
        <f t="shared" si="0"/>
        <v>Barraqueiro Oeste</v>
      </c>
      <c r="D33" s="162" t="s">
        <v>1653</v>
      </c>
      <c r="E33" s="162">
        <v>48</v>
      </c>
      <c r="F33" s="163" t="s">
        <v>141</v>
      </c>
      <c r="G33" s="161"/>
      <c r="H33" s="424" t="str">
        <f t="shared" si="1"/>
        <v/>
      </c>
      <c r="I33" s="333">
        <v>14696.69</v>
      </c>
      <c r="J33" s="162"/>
      <c r="K33" s="162" t="s">
        <v>1724</v>
      </c>
      <c r="L33" s="271">
        <v>2022</v>
      </c>
      <c r="M33" s="227" t="s">
        <v>1890</v>
      </c>
      <c r="N33" s="227" t="s">
        <v>1891</v>
      </c>
      <c r="O33" s="227" t="s">
        <v>6576</v>
      </c>
      <c r="P33" s="227">
        <v>2022</v>
      </c>
      <c r="Q33" s="250" t="s">
        <v>3499</v>
      </c>
      <c r="R33" s="250" t="s">
        <v>3503</v>
      </c>
    </row>
    <row r="34" spans="1:18" ht="15.75" thickBot="1" x14ac:dyDescent="0.3">
      <c r="A34" s="161" t="s">
        <v>3473</v>
      </c>
      <c r="B34" s="424" t="str">
        <f t="shared" si="2"/>
        <v>Barraqueiro Transportes, S.A.</v>
      </c>
      <c r="C34" s="82" t="str">
        <f t="shared" si="0"/>
        <v>Barraqueiro Oeste</v>
      </c>
      <c r="D34" s="162" t="s">
        <v>1654</v>
      </c>
      <c r="E34" s="162"/>
      <c r="F34" s="163"/>
      <c r="G34" s="161"/>
      <c r="H34" s="424" t="str">
        <f t="shared" si="1"/>
        <v/>
      </c>
      <c r="I34" s="333">
        <v>770.77</v>
      </c>
      <c r="J34" s="162"/>
      <c r="K34" s="162" t="s">
        <v>1702</v>
      </c>
      <c r="L34" s="271">
        <v>2022</v>
      </c>
      <c r="M34" s="227" t="s">
        <v>1890</v>
      </c>
      <c r="N34" s="227" t="s">
        <v>1891</v>
      </c>
      <c r="O34" s="227" t="s">
        <v>6576</v>
      </c>
      <c r="P34" s="227">
        <v>2022</v>
      </c>
      <c r="Q34" s="250" t="s">
        <v>3499</v>
      </c>
      <c r="R34" s="250" t="s">
        <v>3503</v>
      </c>
    </row>
    <row r="35" spans="1:18" ht="15.75" thickBot="1" x14ac:dyDescent="0.3">
      <c r="A35" s="161" t="s">
        <v>3473</v>
      </c>
      <c r="B35" s="82" t="str">
        <f t="shared" si="2"/>
        <v>Barraqueiro Transportes, S.A.</v>
      </c>
      <c r="C35" s="82" t="str">
        <f t="shared" si="0"/>
        <v>Barraqueiro Oeste</v>
      </c>
      <c r="D35" s="425" t="s">
        <v>2982</v>
      </c>
      <c r="E35" s="162"/>
      <c r="F35" s="163"/>
      <c r="G35" s="161"/>
      <c r="H35" s="424" t="str">
        <f t="shared" ref="H35:H66" si="3">IFERROR(LEFT(F35,FIND(" ",F35)-1),"")</f>
        <v/>
      </c>
      <c r="I35" s="333">
        <v>170614.91</v>
      </c>
      <c r="J35" s="162"/>
      <c r="K35" s="162" t="s">
        <v>1722</v>
      </c>
      <c r="L35" s="271">
        <v>2022</v>
      </c>
      <c r="M35" s="227" t="s">
        <v>1890</v>
      </c>
      <c r="N35" s="227" t="s">
        <v>1891</v>
      </c>
      <c r="O35" s="227" t="s">
        <v>6576</v>
      </c>
      <c r="P35" s="227">
        <v>2022</v>
      </c>
      <c r="Q35" s="250" t="s">
        <v>3499</v>
      </c>
      <c r="R35" s="250" t="s">
        <v>3503</v>
      </c>
    </row>
    <row r="36" spans="1:18" ht="15.75" thickBot="1" x14ac:dyDescent="0.3">
      <c r="A36" s="161" t="s">
        <v>3473</v>
      </c>
      <c r="B36" s="82" t="str">
        <f t="shared" si="2"/>
        <v>Barraqueiro Transportes, S.A.</v>
      </c>
      <c r="C36" s="82" t="str">
        <f t="shared" si="0"/>
        <v>Barraqueiro Oeste</v>
      </c>
      <c r="D36" s="162" t="s">
        <v>1656</v>
      </c>
      <c r="E36" s="162"/>
      <c r="F36" s="163"/>
      <c r="G36" s="161"/>
      <c r="H36" s="424" t="str">
        <f t="shared" si="3"/>
        <v/>
      </c>
      <c r="I36" s="333">
        <v>0</v>
      </c>
      <c r="J36" s="162"/>
      <c r="K36" s="162"/>
      <c r="L36" s="271">
        <v>2022</v>
      </c>
      <c r="M36" s="227" t="s">
        <v>1890</v>
      </c>
      <c r="N36" s="227" t="s">
        <v>1891</v>
      </c>
      <c r="O36" s="227" t="s">
        <v>6576</v>
      </c>
      <c r="P36" s="227">
        <v>2022</v>
      </c>
      <c r="Q36" s="250" t="s">
        <v>3499</v>
      </c>
      <c r="R36" s="250" t="s">
        <v>3503</v>
      </c>
    </row>
    <row r="37" spans="1:18" ht="15.75" thickBot="1" x14ac:dyDescent="0.3">
      <c r="A37" s="161" t="s">
        <v>3473</v>
      </c>
      <c r="B37" s="424" t="str">
        <f t="shared" si="2"/>
        <v>Barraqueiro Transportes, S.A.</v>
      </c>
      <c r="C37" s="82" t="str">
        <f t="shared" si="0"/>
        <v>Barraqueiro Oeste</v>
      </c>
      <c r="D37" s="162" t="s">
        <v>1658</v>
      </c>
      <c r="E37" s="162"/>
      <c r="F37" s="163"/>
      <c r="G37" s="161"/>
      <c r="H37" s="424" t="str">
        <f t="shared" si="3"/>
        <v/>
      </c>
      <c r="I37" s="333">
        <v>1397.65</v>
      </c>
      <c r="J37" s="162"/>
      <c r="K37" s="162" t="s">
        <v>1713</v>
      </c>
      <c r="L37" s="271">
        <v>2022</v>
      </c>
      <c r="M37" s="227" t="s">
        <v>1890</v>
      </c>
      <c r="N37" s="227" t="s">
        <v>1891</v>
      </c>
      <c r="O37" s="227" t="s">
        <v>6576</v>
      </c>
      <c r="P37" s="227">
        <v>2022</v>
      </c>
      <c r="Q37" s="250" t="s">
        <v>3499</v>
      </c>
      <c r="R37" s="250" t="s">
        <v>3503</v>
      </c>
    </row>
    <row r="38" spans="1:18" ht="15.75" thickBot="1" x14ac:dyDescent="0.3">
      <c r="A38" s="161" t="s">
        <v>3473</v>
      </c>
      <c r="B38" s="82" t="str">
        <f t="shared" ref="B38:B69" si="4">LEFT(A38,IFERROR(FIND(" - ",A38)-1,LEN(A38)))</f>
        <v>Barraqueiro Transportes, S.A.</v>
      </c>
      <c r="C38" s="82" t="str">
        <f t="shared" si="0"/>
        <v>Barraqueiro Oeste</v>
      </c>
      <c r="D38" s="162" t="s">
        <v>1659</v>
      </c>
      <c r="E38" s="162"/>
      <c r="F38" s="163"/>
      <c r="G38" s="161"/>
      <c r="H38" s="82" t="str">
        <f t="shared" si="3"/>
        <v/>
      </c>
      <c r="I38" s="333">
        <v>311939.14</v>
      </c>
      <c r="J38" s="162"/>
      <c r="K38" s="162" t="s">
        <v>1741</v>
      </c>
      <c r="L38" s="271">
        <v>2022</v>
      </c>
      <c r="M38" s="227" t="s">
        <v>1890</v>
      </c>
      <c r="N38" s="227" t="s">
        <v>1891</v>
      </c>
      <c r="O38" s="227" t="s">
        <v>6576</v>
      </c>
      <c r="P38" s="227">
        <v>2022</v>
      </c>
      <c r="Q38" s="250" t="s">
        <v>3499</v>
      </c>
      <c r="R38" s="250" t="s">
        <v>3503</v>
      </c>
    </row>
    <row r="39" spans="1:18" ht="15.75" thickBot="1" x14ac:dyDescent="0.3">
      <c r="A39" s="161" t="s">
        <v>3473</v>
      </c>
      <c r="B39" s="82" t="str">
        <f t="shared" si="4"/>
        <v>Barraqueiro Transportes, S.A.</v>
      </c>
      <c r="C39" s="82" t="str">
        <f t="shared" si="0"/>
        <v>Barraqueiro Oeste</v>
      </c>
      <c r="D39" s="162" t="s">
        <v>1681</v>
      </c>
      <c r="E39" s="162">
        <v>175</v>
      </c>
      <c r="F39" s="163" t="s">
        <v>586</v>
      </c>
      <c r="G39" s="161"/>
      <c r="H39" s="82" t="str">
        <f t="shared" si="3"/>
        <v/>
      </c>
      <c r="I39" s="333">
        <v>118140.86</v>
      </c>
      <c r="J39" s="162"/>
      <c r="K39" s="162" t="s">
        <v>1678</v>
      </c>
      <c r="L39" s="271">
        <v>2022</v>
      </c>
      <c r="M39" s="227" t="s">
        <v>1890</v>
      </c>
      <c r="N39" s="227" t="s">
        <v>1891</v>
      </c>
      <c r="O39" s="227" t="s">
        <v>6576</v>
      </c>
      <c r="P39" s="227">
        <v>2022</v>
      </c>
      <c r="Q39" s="250" t="s">
        <v>3499</v>
      </c>
      <c r="R39" s="250" t="s">
        <v>3503</v>
      </c>
    </row>
    <row r="40" spans="1:18" ht="15.75" thickBot="1" x14ac:dyDescent="0.3">
      <c r="A40" s="161" t="s">
        <v>3473</v>
      </c>
      <c r="B40" s="82" t="str">
        <f t="shared" si="4"/>
        <v>Barraqueiro Transportes, S.A.</v>
      </c>
      <c r="C40" s="82" t="str">
        <f t="shared" si="0"/>
        <v>Barraqueiro Oeste</v>
      </c>
      <c r="D40" s="162" t="s">
        <v>1657</v>
      </c>
      <c r="E40" s="162"/>
      <c r="F40" s="163"/>
      <c r="G40" s="161"/>
      <c r="H40" s="82" t="str">
        <f t="shared" si="3"/>
        <v/>
      </c>
      <c r="I40" s="333">
        <v>52288.92</v>
      </c>
      <c r="J40" s="162"/>
      <c r="K40" s="162" t="s">
        <v>1704</v>
      </c>
      <c r="L40" s="271">
        <v>2022</v>
      </c>
      <c r="M40" s="227" t="s">
        <v>1890</v>
      </c>
      <c r="N40" s="227" t="s">
        <v>1891</v>
      </c>
      <c r="O40" s="227" t="s">
        <v>6576</v>
      </c>
      <c r="P40" s="227">
        <v>2022</v>
      </c>
      <c r="Q40" s="250" t="s">
        <v>3499</v>
      </c>
      <c r="R40" s="250" t="s">
        <v>3503</v>
      </c>
    </row>
    <row r="41" spans="1:18" ht="15.75" thickBot="1" x14ac:dyDescent="0.3">
      <c r="A41" s="161" t="s">
        <v>3473</v>
      </c>
      <c r="B41" s="82" t="str">
        <f t="shared" si="4"/>
        <v>Barraqueiro Transportes, S.A.</v>
      </c>
      <c r="C41" s="82" t="str">
        <f t="shared" si="0"/>
        <v>Barraqueiro Oeste</v>
      </c>
      <c r="D41" s="162" t="s">
        <v>1661</v>
      </c>
      <c r="E41" s="162"/>
      <c r="F41" s="163"/>
      <c r="G41" s="161"/>
      <c r="H41" s="424" t="str">
        <f t="shared" si="3"/>
        <v/>
      </c>
      <c r="I41" s="333">
        <v>11554.62</v>
      </c>
      <c r="J41" s="162"/>
      <c r="K41" s="162" t="s">
        <v>1723</v>
      </c>
      <c r="L41" s="271">
        <v>2022</v>
      </c>
      <c r="M41" s="227" t="s">
        <v>1890</v>
      </c>
      <c r="N41" s="227" t="s">
        <v>1891</v>
      </c>
      <c r="O41" s="227" t="s">
        <v>6576</v>
      </c>
      <c r="P41" s="227">
        <v>2022</v>
      </c>
      <c r="Q41" s="250" t="s">
        <v>3499</v>
      </c>
      <c r="R41" s="250" t="s">
        <v>3503</v>
      </c>
    </row>
    <row r="42" spans="1:18" ht="15.75" thickBot="1" x14ac:dyDescent="0.3">
      <c r="A42" s="161" t="s">
        <v>3473</v>
      </c>
      <c r="B42" s="424" t="str">
        <f t="shared" si="4"/>
        <v>Barraqueiro Transportes, S.A.</v>
      </c>
      <c r="C42" s="82" t="str">
        <f t="shared" si="0"/>
        <v>Barraqueiro Oeste</v>
      </c>
      <c r="D42" s="162" t="s">
        <v>1662</v>
      </c>
      <c r="E42" s="162"/>
      <c r="F42" s="163"/>
      <c r="G42" s="161"/>
      <c r="H42" s="424" t="str">
        <f t="shared" si="3"/>
        <v/>
      </c>
      <c r="I42" s="333">
        <v>739688.59</v>
      </c>
      <c r="J42" s="162"/>
      <c r="K42" s="162"/>
      <c r="L42" s="271">
        <v>2022</v>
      </c>
      <c r="M42" s="227" t="s">
        <v>1890</v>
      </c>
      <c r="N42" s="227" t="s">
        <v>1891</v>
      </c>
      <c r="O42" s="227" t="s">
        <v>6576</v>
      </c>
      <c r="P42" s="227">
        <v>2022</v>
      </c>
      <c r="Q42" s="250" t="s">
        <v>3499</v>
      </c>
      <c r="R42" s="250" t="s">
        <v>3503</v>
      </c>
    </row>
    <row r="43" spans="1:18" ht="15.75" thickBot="1" x14ac:dyDescent="0.3">
      <c r="A43" s="161" t="s">
        <v>3473</v>
      </c>
      <c r="B43" s="82" t="str">
        <f t="shared" si="4"/>
        <v>Barraqueiro Transportes, S.A.</v>
      </c>
      <c r="C43" s="82" t="str">
        <f t="shared" si="0"/>
        <v>Barraqueiro Oeste</v>
      </c>
      <c r="D43" s="162" t="s">
        <v>1670</v>
      </c>
      <c r="E43" s="162"/>
      <c r="F43" s="163"/>
      <c r="G43" s="161"/>
      <c r="H43" s="424" t="str">
        <f t="shared" si="3"/>
        <v/>
      </c>
      <c r="I43" s="333">
        <v>164.02</v>
      </c>
      <c r="J43" s="162"/>
      <c r="K43" s="162" t="s">
        <v>1699</v>
      </c>
      <c r="L43" s="271">
        <v>2022</v>
      </c>
      <c r="M43" s="227" t="s">
        <v>1890</v>
      </c>
      <c r="N43" s="227" t="s">
        <v>1891</v>
      </c>
      <c r="O43" s="227" t="s">
        <v>6576</v>
      </c>
      <c r="P43" s="227">
        <v>2022</v>
      </c>
      <c r="Q43" s="250" t="s">
        <v>3499</v>
      </c>
      <c r="R43" s="250" t="s">
        <v>3503</v>
      </c>
    </row>
    <row r="44" spans="1:18" ht="15.75" thickBot="1" x14ac:dyDescent="0.3">
      <c r="A44" s="161" t="s">
        <v>3473</v>
      </c>
      <c r="B44" s="82" t="str">
        <f t="shared" si="4"/>
        <v>Barraqueiro Transportes, S.A.</v>
      </c>
      <c r="C44" s="82" t="str">
        <f t="shared" si="0"/>
        <v>Barraqueiro Oeste</v>
      </c>
      <c r="D44" s="162" t="s">
        <v>1655</v>
      </c>
      <c r="E44" s="162"/>
      <c r="F44" s="163"/>
      <c r="G44" s="161"/>
      <c r="H44" s="424" t="str">
        <f t="shared" si="3"/>
        <v/>
      </c>
      <c r="I44" s="333">
        <v>24873.52</v>
      </c>
      <c r="J44" s="162"/>
      <c r="K44" s="162" t="s">
        <v>1671</v>
      </c>
      <c r="L44" s="271">
        <v>2022</v>
      </c>
      <c r="M44" s="227" t="s">
        <v>1890</v>
      </c>
      <c r="N44" s="227" t="s">
        <v>1891</v>
      </c>
      <c r="O44" s="227" t="s">
        <v>6576</v>
      </c>
      <c r="P44" s="227">
        <v>2022</v>
      </c>
      <c r="Q44" s="250" t="s">
        <v>3499</v>
      </c>
      <c r="R44" s="250" t="s">
        <v>3503</v>
      </c>
    </row>
    <row r="45" spans="1:18" ht="15.75" thickBot="1" x14ac:dyDescent="0.3">
      <c r="A45" s="161" t="s">
        <v>3474</v>
      </c>
      <c r="B45" s="424" t="str">
        <f t="shared" si="4"/>
        <v>Barraqueiro Transportes, S.A.</v>
      </c>
      <c r="C45" s="82" t="str">
        <f t="shared" si="0"/>
        <v>Boa Viagem</v>
      </c>
      <c r="D45" s="162" t="s">
        <v>1675</v>
      </c>
      <c r="E45" s="162"/>
      <c r="F45" s="163"/>
      <c r="G45" s="161"/>
      <c r="H45" s="82" t="str">
        <f t="shared" si="3"/>
        <v/>
      </c>
      <c r="I45" s="333">
        <v>6997.38</v>
      </c>
      <c r="J45" s="162"/>
      <c r="K45" s="162" t="s">
        <v>1733</v>
      </c>
      <c r="L45" s="271">
        <v>2022</v>
      </c>
      <c r="M45" s="227" t="s">
        <v>1890</v>
      </c>
      <c r="N45" s="227" t="s">
        <v>1891</v>
      </c>
      <c r="O45" s="227" t="s">
        <v>6576</v>
      </c>
      <c r="P45" s="227">
        <v>2022</v>
      </c>
      <c r="Q45" s="250" t="s">
        <v>3499</v>
      </c>
      <c r="R45" s="250" t="s">
        <v>3503</v>
      </c>
    </row>
    <row r="46" spans="1:18" ht="15.75" thickBot="1" x14ac:dyDescent="0.3">
      <c r="A46" s="161" t="s">
        <v>3474</v>
      </c>
      <c r="B46" s="424" t="str">
        <f t="shared" si="4"/>
        <v>Barraqueiro Transportes, S.A.</v>
      </c>
      <c r="C46" s="82" t="str">
        <f t="shared" si="0"/>
        <v>Boa Viagem</v>
      </c>
      <c r="D46" s="162" t="s">
        <v>1653</v>
      </c>
      <c r="E46" s="162">
        <v>85</v>
      </c>
      <c r="F46" s="163" t="s">
        <v>141</v>
      </c>
      <c r="G46" s="161"/>
      <c r="H46" s="424" t="str">
        <f t="shared" si="3"/>
        <v/>
      </c>
      <c r="I46" s="333">
        <v>13905.81</v>
      </c>
      <c r="J46" s="162"/>
      <c r="K46" s="162" t="s">
        <v>1668</v>
      </c>
      <c r="L46" s="271">
        <v>2022</v>
      </c>
      <c r="M46" s="227" t="s">
        <v>1890</v>
      </c>
      <c r="N46" s="227" t="s">
        <v>1891</v>
      </c>
      <c r="O46" s="227" t="s">
        <v>6576</v>
      </c>
      <c r="P46" s="227">
        <v>2022</v>
      </c>
      <c r="Q46" s="250" t="s">
        <v>3499</v>
      </c>
      <c r="R46" s="250" t="s">
        <v>3503</v>
      </c>
    </row>
    <row r="47" spans="1:18" ht="15.75" thickBot="1" x14ac:dyDescent="0.3">
      <c r="A47" s="161" t="s">
        <v>3474</v>
      </c>
      <c r="B47" s="424" t="str">
        <f t="shared" si="4"/>
        <v>Barraqueiro Transportes, S.A.</v>
      </c>
      <c r="C47" s="82" t="str">
        <f t="shared" si="0"/>
        <v>Boa Viagem</v>
      </c>
      <c r="D47" s="162" t="s">
        <v>1654</v>
      </c>
      <c r="E47" s="162"/>
      <c r="F47" s="163"/>
      <c r="G47" s="161"/>
      <c r="H47" s="424" t="str">
        <f t="shared" si="3"/>
        <v/>
      </c>
      <c r="I47" s="333">
        <v>1049.3599999999999</v>
      </c>
      <c r="J47" s="162"/>
      <c r="K47" s="162" t="s">
        <v>1702</v>
      </c>
      <c r="L47" s="271">
        <v>2022</v>
      </c>
      <c r="M47" s="227" t="s">
        <v>1890</v>
      </c>
      <c r="N47" s="227" t="s">
        <v>1891</v>
      </c>
      <c r="O47" s="227" t="s">
        <v>6576</v>
      </c>
      <c r="P47" s="227">
        <v>2022</v>
      </c>
      <c r="Q47" s="250" t="s">
        <v>3499</v>
      </c>
      <c r="R47" s="250" t="s">
        <v>3503</v>
      </c>
    </row>
    <row r="48" spans="1:18" ht="15.75" thickBot="1" x14ac:dyDescent="0.3">
      <c r="A48" s="161" t="s">
        <v>3474</v>
      </c>
      <c r="B48" s="424" t="str">
        <f t="shared" si="4"/>
        <v>Barraqueiro Transportes, S.A.</v>
      </c>
      <c r="C48" s="82" t="str">
        <f t="shared" si="0"/>
        <v>Boa Viagem</v>
      </c>
      <c r="D48" s="425" t="s">
        <v>2982</v>
      </c>
      <c r="E48" s="162"/>
      <c r="F48" s="163"/>
      <c r="G48" s="161"/>
      <c r="H48" s="424" t="str">
        <f t="shared" si="3"/>
        <v/>
      </c>
      <c r="I48" s="333">
        <v>196353.5</v>
      </c>
      <c r="J48" s="162"/>
      <c r="K48" s="162" t="s">
        <v>1721</v>
      </c>
      <c r="L48" s="271">
        <v>2022</v>
      </c>
      <c r="M48" s="227" t="s">
        <v>1890</v>
      </c>
      <c r="N48" s="227" t="s">
        <v>1891</v>
      </c>
      <c r="O48" s="227" t="s">
        <v>6576</v>
      </c>
      <c r="P48" s="227">
        <v>2022</v>
      </c>
      <c r="Q48" s="250" t="s">
        <v>3499</v>
      </c>
      <c r="R48" s="250" t="s">
        <v>3503</v>
      </c>
    </row>
    <row r="49" spans="1:18" ht="15.75" thickBot="1" x14ac:dyDescent="0.3">
      <c r="A49" s="161" t="s">
        <v>3474</v>
      </c>
      <c r="B49" s="424" t="str">
        <f t="shared" si="4"/>
        <v>Barraqueiro Transportes, S.A.</v>
      </c>
      <c r="C49" s="82" t="str">
        <f t="shared" si="0"/>
        <v>Boa Viagem</v>
      </c>
      <c r="D49" s="162" t="s">
        <v>1656</v>
      </c>
      <c r="E49" s="162"/>
      <c r="F49" s="163"/>
      <c r="G49" s="161"/>
      <c r="H49" s="424" t="str">
        <f t="shared" si="3"/>
        <v/>
      </c>
      <c r="I49" s="333">
        <v>0</v>
      </c>
      <c r="J49" s="162"/>
      <c r="K49" s="162"/>
      <c r="L49" s="271">
        <v>2022</v>
      </c>
      <c r="M49" s="227" t="s">
        <v>1890</v>
      </c>
      <c r="N49" s="227" t="s">
        <v>1891</v>
      </c>
      <c r="O49" s="227" t="s">
        <v>6576</v>
      </c>
      <c r="P49" s="227">
        <v>2022</v>
      </c>
      <c r="Q49" s="250" t="s">
        <v>3499</v>
      </c>
      <c r="R49" s="250" t="s">
        <v>3503</v>
      </c>
    </row>
    <row r="50" spans="1:18" ht="15.75" thickBot="1" x14ac:dyDescent="0.3">
      <c r="A50" s="161" t="s">
        <v>3474</v>
      </c>
      <c r="B50" s="424" t="str">
        <f t="shared" si="4"/>
        <v>Barraqueiro Transportes, S.A.</v>
      </c>
      <c r="C50" s="82" t="str">
        <f t="shared" si="0"/>
        <v>Boa Viagem</v>
      </c>
      <c r="D50" s="162" t="s">
        <v>1658</v>
      </c>
      <c r="E50" s="162"/>
      <c r="F50" s="163"/>
      <c r="G50" s="161"/>
      <c r="H50" s="424" t="str">
        <f t="shared" si="3"/>
        <v/>
      </c>
      <c r="I50" s="333">
        <v>834.57</v>
      </c>
      <c r="J50" s="162"/>
      <c r="K50" s="162" t="s">
        <v>1714</v>
      </c>
      <c r="L50" s="271">
        <v>2022</v>
      </c>
      <c r="M50" s="227" t="s">
        <v>1890</v>
      </c>
      <c r="N50" s="227" t="s">
        <v>1891</v>
      </c>
      <c r="O50" s="227" t="s">
        <v>6576</v>
      </c>
      <c r="P50" s="227">
        <v>2022</v>
      </c>
      <c r="Q50" s="250" t="s">
        <v>3499</v>
      </c>
      <c r="R50" s="250" t="s">
        <v>3503</v>
      </c>
    </row>
    <row r="51" spans="1:18" ht="15.75" thickBot="1" x14ac:dyDescent="0.3">
      <c r="A51" s="161" t="s">
        <v>3474</v>
      </c>
      <c r="B51" s="424" t="str">
        <f t="shared" si="4"/>
        <v>Barraqueiro Transportes, S.A.</v>
      </c>
      <c r="C51" s="82" t="str">
        <f t="shared" si="0"/>
        <v>Boa Viagem</v>
      </c>
      <c r="D51" s="162" t="s">
        <v>1659</v>
      </c>
      <c r="E51" s="162"/>
      <c r="F51" s="163"/>
      <c r="G51" s="161"/>
      <c r="H51" s="424" t="str">
        <f t="shared" si="3"/>
        <v/>
      </c>
      <c r="I51" s="333">
        <v>323638.46999999997</v>
      </c>
      <c r="J51" s="162"/>
      <c r="K51" s="162" t="s">
        <v>1740</v>
      </c>
      <c r="L51" s="271">
        <v>2022</v>
      </c>
      <c r="M51" s="227" t="s">
        <v>1890</v>
      </c>
      <c r="N51" s="227" t="s">
        <v>1891</v>
      </c>
      <c r="O51" s="227" t="s">
        <v>6576</v>
      </c>
      <c r="P51" s="227">
        <v>2022</v>
      </c>
      <c r="Q51" s="250" t="s">
        <v>3499</v>
      </c>
      <c r="R51" s="250" t="s">
        <v>3503</v>
      </c>
    </row>
    <row r="52" spans="1:18" ht="15.75" thickBot="1" x14ac:dyDescent="0.3">
      <c r="A52" s="161" t="s">
        <v>3474</v>
      </c>
      <c r="B52" s="424" t="str">
        <f t="shared" si="4"/>
        <v>Barraqueiro Transportes, S.A.</v>
      </c>
      <c r="C52" s="82" t="str">
        <f t="shared" si="0"/>
        <v>Boa Viagem</v>
      </c>
      <c r="D52" s="162" t="s">
        <v>1681</v>
      </c>
      <c r="E52" s="162">
        <v>366</v>
      </c>
      <c r="F52" s="163" t="s">
        <v>586</v>
      </c>
      <c r="G52" s="161"/>
      <c r="H52" s="424" t="str">
        <f t="shared" si="3"/>
        <v/>
      </c>
      <c r="I52" s="333">
        <v>96102.19</v>
      </c>
      <c r="J52" s="162"/>
      <c r="K52" s="162" t="s">
        <v>1683</v>
      </c>
      <c r="L52" s="271">
        <v>2022</v>
      </c>
      <c r="M52" s="227" t="s">
        <v>1890</v>
      </c>
      <c r="N52" s="227" t="s">
        <v>1891</v>
      </c>
      <c r="O52" s="227" t="s">
        <v>6576</v>
      </c>
      <c r="P52" s="227">
        <v>2022</v>
      </c>
      <c r="Q52" s="250" t="s">
        <v>3499</v>
      </c>
      <c r="R52" s="250" t="s">
        <v>3503</v>
      </c>
    </row>
    <row r="53" spans="1:18" ht="15.75" thickBot="1" x14ac:dyDescent="0.3">
      <c r="A53" s="161" t="s">
        <v>3474</v>
      </c>
      <c r="B53" s="424" t="str">
        <f t="shared" si="4"/>
        <v>Barraqueiro Transportes, S.A.</v>
      </c>
      <c r="C53" s="82" t="str">
        <f t="shared" si="0"/>
        <v>Boa Viagem</v>
      </c>
      <c r="D53" s="162" t="s">
        <v>1657</v>
      </c>
      <c r="E53" s="162"/>
      <c r="F53" s="163"/>
      <c r="G53" s="161"/>
      <c r="H53" s="424" t="str">
        <f t="shared" si="3"/>
        <v/>
      </c>
      <c r="I53" s="333">
        <v>40896.019999999997</v>
      </c>
      <c r="J53" s="162"/>
      <c r="K53" s="162" t="s">
        <v>1705</v>
      </c>
      <c r="L53" s="271">
        <v>2022</v>
      </c>
      <c r="M53" s="227" t="s">
        <v>1890</v>
      </c>
      <c r="N53" s="227" t="s">
        <v>1891</v>
      </c>
      <c r="O53" s="227" t="s">
        <v>6576</v>
      </c>
      <c r="P53" s="227">
        <v>2022</v>
      </c>
      <c r="Q53" s="250" t="s">
        <v>3499</v>
      </c>
      <c r="R53" s="250" t="s">
        <v>3503</v>
      </c>
    </row>
    <row r="54" spans="1:18" ht="15.75" thickBot="1" x14ac:dyDescent="0.3">
      <c r="A54" s="161" t="s">
        <v>3474</v>
      </c>
      <c r="B54" s="424" t="str">
        <f t="shared" si="4"/>
        <v>Barraqueiro Transportes, S.A.</v>
      </c>
      <c r="C54" s="82" t="str">
        <f t="shared" si="0"/>
        <v>Boa Viagem</v>
      </c>
      <c r="D54" s="162" t="s">
        <v>1661</v>
      </c>
      <c r="E54" s="162"/>
      <c r="F54" s="163"/>
      <c r="G54" s="161"/>
      <c r="H54" s="424" t="str">
        <f t="shared" si="3"/>
        <v/>
      </c>
      <c r="I54" s="333">
        <v>15065.84</v>
      </c>
      <c r="J54" s="162"/>
      <c r="K54" s="162" t="s">
        <v>1725</v>
      </c>
      <c r="L54" s="271">
        <v>2022</v>
      </c>
      <c r="M54" s="227" t="s">
        <v>1890</v>
      </c>
      <c r="N54" s="227" t="s">
        <v>1891</v>
      </c>
      <c r="O54" s="227" t="s">
        <v>6576</v>
      </c>
      <c r="P54" s="227">
        <v>2022</v>
      </c>
      <c r="Q54" s="250" t="s">
        <v>3499</v>
      </c>
      <c r="R54" s="250" t="s">
        <v>3503</v>
      </c>
    </row>
    <row r="55" spans="1:18" ht="15.75" thickBot="1" x14ac:dyDescent="0.3">
      <c r="A55" s="161" t="s">
        <v>3474</v>
      </c>
      <c r="B55" s="424" t="str">
        <f t="shared" si="4"/>
        <v>Barraqueiro Transportes, S.A.</v>
      </c>
      <c r="C55" s="82" t="str">
        <f t="shared" si="0"/>
        <v>Boa Viagem</v>
      </c>
      <c r="D55" s="162" t="s">
        <v>1662</v>
      </c>
      <c r="E55" s="162"/>
      <c r="F55" s="163"/>
      <c r="G55" s="161"/>
      <c r="H55" s="424" t="str">
        <f t="shared" si="3"/>
        <v/>
      </c>
      <c r="I55" s="333">
        <v>712551.72</v>
      </c>
      <c r="J55" s="162"/>
      <c r="K55" s="162"/>
      <c r="L55" s="271">
        <v>2022</v>
      </c>
      <c r="M55" s="227" t="s">
        <v>1890</v>
      </c>
      <c r="N55" s="227" t="s">
        <v>1891</v>
      </c>
      <c r="O55" s="227" t="s">
        <v>6576</v>
      </c>
      <c r="P55" s="227">
        <v>2022</v>
      </c>
      <c r="Q55" s="250" t="s">
        <v>3499</v>
      </c>
      <c r="R55" s="250" t="s">
        <v>3503</v>
      </c>
    </row>
    <row r="56" spans="1:18" ht="15.75" thickBot="1" x14ac:dyDescent="0.3">
      <c r="A56" s="161" t="s">
        <v>3474</v>
      </c>
      <c r="B56" s="424" t="str">
        <f t="shared" si="4"/>
        <v>Barraqueiro Transportes, S.A.</v>
      </c>
      <c r="C56" s="424" t="str">
        <f t="shared" si="0"/>
        <v>Boa Viagem</v>
      </c>
      <c r="D56" s="162" t="s">
        <v>1670</v>
      </c>
      <c r="E56" s="162"/>
      <c r="F56" s="163"/>
      <c r="G56" s="161"/>
      <c r="H56" s="424" t="str">
        <f t="shared" si="3"/>
        <v/>
      </c>
      <c r="I56" s="333">
        <v>294.57</v>
      </c>
      <c r="J56" s="162"/>
      <c r="K56" s="162" t="s">
        <v>1712</v>
      </c>
      <c r="L56" s="271">
        <v>2022</v>
      </c>
      <c r="M56" s="227" t="s">
        <v>1890</v>
      </c>
      <c r="N56" s="227" t="s">
        <v>1891</v>
      </c>
      <c r="O56" s="227" t="s">
        <v>6576</v>
      </c>
      <c r="P56" s="227">
        <v>2022</v>
      </c>
      <c r="Q56" s="250" t="s">
        <v>3499</v>
      </c>
      <c r="R56" s="250" t="s">
        <v>3503</v>
      </c>
    </row>
    <row r="57" spans="1:18" ht="15.75" thickBot="1" x14ac:dyDescent="0.3">
      <c r="A57" s="161" t="s">
        <v>3474</v>
      </c>
      <c r="B57" s="424" t="str">
        <f t="shared" si="4"/>
        <v>Barraqueiro Transportes, S.A.</v>
      </c>
      <c r="C57" s="82" t="str">
        <f t="shared" si="0"/>
        <v>Boa Viagem</v>
      </c>
      <c r="D57" s="162" t="s">
        <v>1655</v>
      </c>
      <c r="E57" s="162"/>
      <c r="F57" s="163"/>
      <c r="G57" s="161"/>
      <c r="H57" s="424" t="str">
        <f t="shared" si="3"/>
        <v/>
      </c>
      <c r="I57" s="333">
        <v>17414.009999999998</v>
      </c>
      <c r="J57" s="162"/>
      <c r="K57" s="162" t="s">
        <v>1697</v>
      </c>
      <c r="L57" s="271">
        <v>2022</v>
      </c>
      <c r="M57" s="227" t="s">
        <v>1890</v>
      </c>
      <c r="N57" s="227" t="s">
        <v>1891</v>
      </c>
      <c r="O57" s="227" t="s">
        <v>6576</v>
      </c>
      <c r="P57" s="227">
        <v>2022</v>
      </c>
      <c r="Q57" s="250" t="s">
        <v>3499</v>
      </c>
      <c r="R57" s="250" t="s">
        <v>3503</v>
      </c>
    </row>
    <row r="58" spans="1:18" ht="15.75" thickBot="1" x14ac:dyDescent="0.3">
      <c r="A58" s="161" t="s">
        <v>3524</v>
      </c>
      <c r="B58" s="424" t="str">
        <f t="shared" si="4"/>
        <v>Barraqueiro Transportes, S.A.</v>
      </c>
      <c r="C58" s="82" t="str">
        <f t="shared" si="0"/>
        <v>ESEVEL</v>
      </c>
      <c r="D58" s="162" t="s">
        <v>1675</v>
      </c>
      <c r="E58" s="162"/>
      <c r="F58" s="163"/>
      <c r="G58" s="161"/>
      <c r="H58" s="424" t="str">
        <f t="shared" si="3"/>
        <v/>
      </c>
      <c r="I58" s="333">
        <v>68537.3</v>
      </c>
      <c r="J58" s="162"/>
      <c r="K58" s="162" t="s">
        <v>1736</v>
      </c>
      <c r="L58" s="271">
        <v>2022</v>
      </c>
      <c r="M58" s="227" t="s">
        <v>1890</v>
      </c>
      <c r="N58" s="227" t="s">
        <v>1891</v>
      </c>
      <c r="O58" s="227" t="s">
        <v>6576</v>
      </c>
      <c r="P58" s="227">
        <v>2022</v>
      </c>
      <c r="Q58" s="250" t="s">
        <v>3499</v>
      </c>
      <c r="R58" s="250" t="s">
        <v>3503</v>
      </c>
    </row>
    <row r="59" spans="1:18" ht="15.75" thickBot="1" x14ac:dyDescent="0.3">
      <c r="A59" s="161" t="s">
        <v>3524</v>
      </c>
      <c r="B59" s="82" t="str">
        <f t="shared" si="4"/>
        <v>Barraqueiro Transportes, S.A.</v>
      </c>
      <c r="C59" s="82" t="str">
        <f t="shared" si="0"/>
        <v>ESEVEL</v>
      </c>
      <c r="D59" s="162" t="s">
        <v>1653</v>
      </c>
      <c r="E59" s="162">
        <f>95*2+36-2</f>
        <v>224</v>
      </c>
      <c r="F59" s="163" t="s">
        <v>586</v>
      </c>
      <c r="G59" s="161"/>
      <c r="H59" s="424" t="str">
        <f t="shared" si="3"/>
        <v/>
      </c>
      <c r="I59" s="333">
        <v>36214.089999999997</v>
      </c>
      <c r="J59" s="162"/>
      <c r="K59" s="162" t="s">
        <v>1692</v>
      </c>
      <c r="L59" s="271">
        <v>2022</v>
      </c>
      <c r="M59" s="227" t="s">
        <v>1890</v>
      </c>
      <c r="N59" s="227" t="s">
        <v>1891</v>
      </c>
      <c r="O59" s="227" t="s">
        <v>6576</v>
      </c>
      <c r="P59" s="227">
        <v>2022</v>
      </c>
      <c r="Q59" s="250" t="s">
        <v>3499</v>
      </c>
      <c r="R59" s="250" t="s">
        <v>3503</v>
      </c>
    </row>
    <row r="60" spans="1:18" ht="15.75" thickBot="1" x14ac:dyDescent="0.3">
      <c r="A60" s="161" t="s">
        <v>3524</v>
      </c>
      <c r="B60" s="82" t="str">
        <f t="shared" si="4"/>
        <v>Barraqueiro Transportes, S.A.</v>
      </c>
      <c r="C60" s="82" t="str">
        <f t="shared" si="0"/>
        <v>ESEVEL</v>
      </c>
      <c r="D60" s="162" t="s">
        <v>1654</v>
      </c>
      <c r="E60" s="162"/>
      <c r="F60" s="163"/>
      <c r="G60" s="161"/>
      <c r="H60" s="82" t="str">
        <f t="shared" si="3"/>
        <v/>
      </c>
      <c r="I60" s="333">
        <v>2928.77</v>
      </c>
      <c r="J60" s="162"/>
      <c r="K60" s="162" t="s">
        <v>1703</v>
      </c>
      <c r="L60" s="271">
        <v>2022</v>
      </c>
      <c r="M60" s="227" t="s">
        <v>1890</v>
      </c>
      <c r="N60" s="227" t="s">
        <v>1891</v>
      </c>
      <c r="O60" s="227" t="s">
        <v>6576</v>
      </c>
      <c r="P60" s="227">
        <v>2022</v>
      </c>
      <c r="Q60" s="250" t="s">
        <v>3499</v>
      </c>
      <c r="R60" s="250" t="s">
        <v>3503</v>
      </c>
    </row>
    <row r="61" spans="1:18" ht="15.75" thickBot="1" x14ac:dyDescent="0.3">
      <c r="A61" s="161" t="s">
        <v>3524</v>
      </c>
      <c r="B61" s="424" t="str">
        <f t="shared" si="4"/>
        <v>Barraqueiro Transportes, S.A.</v>
      </c>
      <c r="C61" s="82" t="str">
        <f t="shared" si="0"/>
        <v>ESEVEL</v>
      </c>
      <c r="D61" s="425" t="s">
        <v>2982</v>
      </c>
      <c r="E61" s="162"/>
      <c r="F61" s="163"/>
      <c r="G61" s="161"/>
      <c r="H61" s="424" t="str">
        <f t="shared" si="3"/>
        <v/>
      </c>
      <c r="I61" s="333">
        <v>410809.01</v>
      </c>
      <c r="J61" s="162"/>
      <c r="K61" s="162" t="s">
        <v>1718</v>
      </c>
      <c r="L61" s="271">
        <v>2022</v>
      </c>
      <c r="M61" s="227" t="s">
        <v>1890</v>
      </c>
      <c r="N61" s="227" t="s">
        <v>1891</v>
      </c>
      <c r="O61" s="227" t="s">
        <v>6576</v>
      </c>
      <c r="P61" s="227">
        <v>2022</v>
      </c>
      <c r="Q61" s="250" t="s">
        <v>3499</v>
      </c>
      <c r="R61" s="250" t="s">
        <v>3503</v>
      </c>
    </row>
    <row r="62" spans="1:18" ht="15.75" thickBot="1" x14ac:dyDescent="0.3">
      <c r="A62" s="161" t="s">
        <v>3524</v>
      </c>
      <c r="B62" s="82" t="str">
        <f t="shared" si="4"/>
        <v>Barraqueiro Transportes, S.A.</v>
      </c>
      <c r="C62" s="82" t="str">
        <f t="shared" si="0"/>
        <v>ESEVEL</v>
      </c>
      <c r="D62" s="162" t="s">
        <v>1656</v>
      </c>
      <c r="E62" s="162"/>
      <c r="F62" s="163"/>
      <c r="G62" s="161"/>
      <c r="H62" s="424" t="str">
        <f t="shared" si="3"/>
        <v/>
      </c>
      <c r="I62" s="333">
        <v>1285.8399999999999</v>
      </c>
      <c r="J62" s="162"/>
      <c r="K62" s="162" t="s">
        <v>1695</v>
      </c>
      <c r="L62" s="271">
        <v>2022</v>
      </c>
      <c r="M62" s="227" t="s">
        <v>1890</v>
      </c>
      <c r="N62" s="227" t="s">
        <v>1891</v>
      </c>
      <c r="O62" s="227" t="s">
        <v>6576</v>
      </c>
      <c r="P62" s="227">
        <v>2022</v>
      </c>
      <c r="Q62" s="250" t="s">
        <v>3499</v>
      </c>
      <c r="R62" s="250" t="s">
        <v>3503</v>
      </c>
    </row>
    <row r="63" spans="1:18" ht="15.75" thickBot="1" x14ac:dyDescent="0.3">
      <c r="A63" s="161" t="s">
        <v>3524</v>
      </c>
      <c r="B63" s="82" t="str">
        <f t="shared" si="4"/>
        <v>Barraqueiro Transportes, S.A.</v>
      </c>
      <c r="C63" s="82" t="str">
        <f t="shared" si="0"/>
        <v>ESEVEL</v>
      </c>
      <c r="D63" s="162" t="s">
        <v>1658</v>
      </c>
      <c r="E63" s="162"/>
      <c r="F63" s="163"/>
      <c r="G63" s="161"/>
      <c r="H63" s="424" t="str">
        <f t="shared" si="3"/>
        <v/>
      </c>
      <c r="I63" s="333">
        <v>4871.08</v>
      </c>
      <c r="J63" s="162"/>
      <c r="K63" s="162" t="s">
        <v>1717</v>
      </c>
      <c r="L63" s="271">
        <v>2022</v>
      </c>
      <c r="M63" s="227" t="s">
        <v>1890</v>
      </c>
      <c r="N63" s="227" t="s">
        <v>1891</v>
      </c>
      <c r="O63" s="227" t="s">
        <v>6576</v>
      </c>
      <c r="P63" s="227">
        <v>2022</v>
      </c>
      <c r="Q63" s="250" t="s">
        <v>3499</v>
      </c>
      <c r="R63" s="250" t="s">
        <v>3503</v>
      </c>
    </row>
    <row r="64" spans="1:18" ht="15.75" thickBot="1" x14ac:dyDescent="0.3">
      <c r="A64" s="161" t="s">
        <v>3524</v>
      </c>
      <c r="B64" s="424" t="str">
        <f t="shared" si="4"/>
        <v>Barraqueiro Transportes, S.A.</v>
      </c>
      <c r="C64" s="82" t="str">
        <f t="shared" si="0"/>
        <v>ESEVEL</v>
      </c>
      <c r="D64" s="162" t="s">
        <v>1659</v>
      </c>
      <c r="E64" s="162"/>
      <c r="F64" s="163"/>
      <c r="G64" s="161"/>
      <c r="H64" s="424" t="str">
        <f t="shared" si="3"/>
        <v/>
      </c>
      <c r="I64" s="333">
        <v>734683.7</v>
      </c>
      <c r="J64" s="162"/>
      <c r="K64" s="162" t="s">
        <v>1737</v>
      </c>
      <c r="L64" s="271">
        <v>2022</v>
      </c>
      <c r="M64" s="227" t="s">
        <v>1890</v>
      </c>
      <c r="N64" s="227" t="s">
        <v>1891</v>
      </c>
      <c r="O64" s="227" t="s">
        <v>6576</v>
      </c>
      <c r="P64" s="227">
        <v>2022</v>
      </c>
      <c r="Q64" s="250" t="s">
        <v>3499</v>
      </c>
      <c r="R64" s="250" t="s">
        <v>3503</v>
      </c>
    </row>
    <row r="65" spans="1:18" ht="15.75" thickBot="1" x14ac:dyDescent="0.3">
      <c r="A65" s="161" t="s">
        <v>3524</v>
      </c>
      <c r="B65" s="82" t="str">
        <f t="shared" si="4"/>
        <v>Barraqueiro Transportes, S.A.</v>
      </c>
      <c r="C65" s="82" t="str">
        <f t="shared" si="0"/>
        <v>ESEVEL</v>
      </c>
      <c r="D65" s="162" t="s">
        <v>1657</v>
      </c>
      <c r="E65" s="162"/>
      <c r="F65" s="163"/>
      <c r="G65" s="161"/>
      <c r="H65" s="424" t="str">
        <f t="shared" si="3"/>
        <v/>
      </c>
      <c r="I65" s="333">
        <v>206621.01</v>
      </c>
      <c r="J65" s="162"/>
      <c r="K65" s="162" t="s">
        <v>1709</v>
      </c>
      <c r="L65" s="271">
        <v>2022</v>
      </c>
      <c r="M65" s="227" t="s">
        <v>1890</v>
      </c>
      <c r="N65" s="227" t="s">
        <v>1891</v>
      </c>
      <c r="O65" s="227" t="s">
        <v>6576</v>
      </c>
      <c r="P65" s="227">
        <v>2022</v>
      </c>
      <c r="Q65" s="250" t="s">
        <v>3499</v>
      </c>
      <c r="R65" s="250" t="s">
        <v>3503</v>
      </c>
    </row>
    <row r="66" spans="1:18" ht="15.75" thickBot="1" x14ac:dyDescent="0.3">
      <c r="A66" s="161" t="s">
        <v>3524</v>
      </c>
      <c r="B66" s="82" t="str">
        <f t="shared" si="4"/>
        <v>Barraqueiro Transportes, S.A.</v>
      </c>
      <c r="C66" s="82" t="str">
        <f t="shared" si="0"/>
        <v>ESEVEL</v>
      </c>
      <c r="D66" s="162" t="s">
        <v>1661</v>
      </c>
      <c r="E66" s="162"/>
      <c r="F66" s="163"/>
      <c r="G66" s="161"/>
      <c r="H66" s="424" t="str">
        <f t="shared" si="3"/>
        <v/>
      </c>
      <c r="I66" s="333">
        <v>40397.51</v>
      </c>
      <c r="J66" s="162"/>
      <c r="K66" s="162" t="s">
        <v>1731</v>
      </c>
      <c r="L66" s="271">
        <v>2022</v>
      </c>
      <c r="M66" s="227" t="s">
        <v>1890</v>
      </c>
      <c r="N66" s="227" t="s">
        <v>1891</v>
      </c>
      <c r="O66" s="227" t="s">
        <v>6576</v>
      </c>
      <c r="P66" s="227">
        <v>2022</v>
      </c>
      <c r="Q66" s="250" t="s">
        <v>3499</v>
      </c>
      <c r="R66" s="250" t="s">
        <v>3503</v>
      </c>
    </row>
    <row r="67" spans="1:18" ht="15.75" thickBot="1" x14ac:dyDescent="0.3">
      <c r="A67" s="161" t="s">
        <v>3524</v>
      </c>
      <c r="B67" s="82" t="str">
        <f t="shared" si="4"/>
        <v>Barraqueiro Transportes, S.A.</v>
      </c>
      <c r="C67" s="82" t="str">
        <f t="shared" ref="C67:C130" si="5">IF(A67=B67,"X",RIGHT(A67,LEN(A67)-LEN(B67)-3))</f>
        <v>ESEVEL</v>
      </c>
      <c r="D67" s="162" t="s">
        <v>1662</v>
      </c>
      <c r="E67" s="162"/>
      <c r="F67" s="163"/>
      <c r="G67" s="161"/>
      <c r="H67" s="424" t="str">
        <f t="shared" ref="H67:H98" si="6">IFERROR(LEFT(F67,FIND(" ",F67)-1),"")</f>
        <v/>
      </c>
      <c r="I67" s="333">
        <v>1628523.3599999999</v>
      </c>
      <c r="J67" s="162"/>
      <c r="K67" s="162"/>
      <c r="L67" s="271">
        <v>2022</v>
      </c>
      <c r="M67" s="227" t="s">
        <v>1890</v>
      </c>
      <c r="N67" s="227" t="s">
        <v>1891</v>
      </c>
      <c r="O67" s="227" t="s">
        <v>6576</v>
      </c>
      <c r="P67" s="227">
        <v>2022</v>
      </c>
      <c r="Q67" s="250" t="s">
        <v>3499</v>
      </c>
      <c r="R67" s="250" t="s">
        <v>3503</v>
      </c>
    </row>
    <row r="68" spans="1:18" ht="15.75" thickBot="1" x14ac:dyDescent="0.3">
      <c r="A68" s="161" t="s">
        <v>3524</v>
      </c>
      <c r="B68" s="82" t="str">
        <f t="shared" si="4"/>
        <v>Barraqueiro Transportes, S.A.</v>
      </c>
      <c r="C68" s="82" t="str">
        <f t="shared" si="5"/>
        <v>ESEVEL</v>
      </c>
      <c r="D68" s="162" t="s">
        <v>1670</v>
      </c>
      <c r="E68" s="162"/>
      <c r="F68" s="163"/>
      <c r="G68" s="161"/>
      <c r="H68" s="424" t="str">
        <f t="shared" si="6"/>
        <v/>
      </c>
      <c r="I68" s="333">
        <v>2183.0500000000002</v>
      </c>
      <c r="J68" s="162"/>
      <c r="K68" s="162" t="s">
        <v>1710</v>
      </c>
      <c r="L68" s="271">
        <v>2022</v>
      </c>
      <c r="M68" s="227" t="s">
        <v>1890</v>
      </c>
      <c r="N68" s="227" t="s">
        <v>1891</v>
      </c>
      <c r="O68" s="227" t="s">
        <v>6576</v>
      </c>
      <c r="P68" s="227">
        <v>2022</v>
      </c>
      <c r="Q68" s="250" t="s">
        <v>3499</v>
      </c>
      <c r="R68" s="250" t="s">
        <v>3503</v>
      </c>
    </row>
    <row r="69" spans="1:18" ht="15.75" thickBot="1" x14ac:dyDescent="0.3">
      <c r="A69" s="161" t="s">
        <v>3524</v>
      </c>
      <c r="B69" s="424" t="str">
        <f t="shared" si="4"/>
        <v>Barraqueiro Transportes, S.A.</v>
      </c>
      <c r="C69" s="82" t="str">
        <f t="shared" si="5"/>
        <v>ESEVEL</v>
      </c>
      <c r="D69" s="162" t="s">
        <v>1655</v>
      </c>
      <c r="E69" s="162"/>
      <c r="F69" s="163"/>
      <c r="G69" s="161"/>
      <c r="H69" s="424" t="str">
        <f t="shared" si="6"/>
        <v/>
      </c>
      <c r="I69" s="333">
        <v>119992</v>
      </c>
      <c r="J69" s="162"/>
      <c r="K69" s="162" t="s">
        <v>1696</v>
      </c>
      <c r="L69" s="271">
        <v>2022</v>
      </c>
      <c r="M69" s="227" t="s">
        <v>1890</v>
      </c>
      <c r="N69" s="227" t="s">
        <v>1891</v>
      </c>
      <c r="O69" s="227" t="s">
        <v>6576</v>
      </c>
      <c r="P69" s="227">
        <v>2022</v>
      </c>
      <c r="Q69" s="250" t="s">
        <v>3499</v>
      </c>
      <c r="R69" s="250" t="s">
        <v>3503</v>
      </c>
    </row>
    <row r="70" spans="1:18" ht="15.75" thickBot="1" x14ac:dyDescent="0.3">
      <c r="A70" s="161" t="s">
        <v>3471</v>
      </c>
      <c r="B70" s="424" t="str">
        <f t="shared" ref="B70:B101" si="7">LEFT(A70,IFERROR(FIND(" - ",A70)-1,LEN(A70)))</f>
        <v>Barraqueiro Transportes, S.A.</v>
      </c>
      <c r="C70" s="82" t="str">
        <f t="shared" si="5"/>
        <v>Estremadura</v>
      </c>
      <c r="D70" s="162" t="s">
        <v>1675</v>
      </c>
      <c r="E70" s="162"/>
      <c r="F70" s="163"/>
      <c r="G70" s="161"/>
      <c r="H70" s="424" t="str">
        <f t="shared" si="6"/>
        <v/>
      </c>
      <c r="I70" s="333">
        <v>37012.400000000001</v>
      </c>
      <c r="J70" s="162"/>
      <c r="K70" s="162" t="s">
        <v>1676</v>
      </c>
      <c r="L70" s="271">
        <v>2022</v>
      </c>
      <c r="M70" s="227" t="s">
        <v>1890</v>
      </c>
      <c r="N70" s="227" t="s">
        <v>1891</v>
      </c>
      <c r="O70" s="227" t="s">
        <v>6576</v>
      </c>
      <c r="P70" s="227">
        <v>2022</v>
      </c>
      <c r="Q70" s="250" t="s">
        <v>3499</v>
      </c>
      <c r="R70" s="250" t="s">
        <v>3503</v>
      </c>
    </row>
    <row r="71" spans="1:18" ht="15.75" thickBot="1" x14ac:dyDescent="0.3">
      <c r="A71" s="161" t="s">
        <v>3471</v>
      </c>
      <c r="B71" s="424" t="str">
        <f t="shared" si="7"/>
        <v>Barraqueiro Transportes, S.A.</v>
      </c>
      <c r="C71" s="82" t="str">
        <f t="shared" si="5"/>
        <v>Estremadura</v>
      </c>
      <c r="D71" s="162" t="s">
        <v>1653</v>
      </c>
      <c r="E71" s="162">
        <f>23*2+15</f>
        <v>61</v>
      </c>
      <c r="F71" s="163" t="s">
        <v>586</v>
      </c>
      <c r="G71" s="161"/>
      <c r="H71" s="424" t="str">
        <f t="shared" si="6"/>
        <v/>
      </c>
      <c r="I71" s="333">
        <v>9563.4</v>
      </c>
      <c r="J71" s="162"/>
      <c r="K71" s="162" t="s">
        <v>1664</v>
      </c>
      <c r="L71" s="271">
        <v>2022</v>
      </c>
      <c r="M71" s="227" t="s">
        <v>1890</v>
      </c>
      <c r="N71" s="227" t="s">
        <v>1891</v>
      </c>
      <c r="O71" s="227" t="s">
        <v>6576</v>
      </c>
      <c r="P71" s="227">
        <v>2022</v>
      </c>
      <c r="Q71" s="250" t="s">
        <v>3499</v>
      </c>
      <c r="R71" s="250" t="s">
        <v>3503</v>
      </c>
    </row>
    <row r="72" spans="1:18" ht="15.75" thickBot="1" x14ac:dyDescent="0.3">
      <c r="A72" s="161" t="s">
        <v>3471</v>
      </c>
      <c r="B72" s="424" t="str">
        <f t="shared" si="7"/>
        <v>Barraqueiro Transportes, S.A.</v>
      </c>
      <c r="C72" s="82" t="str">
        <f t="shared" si="5"/>
        <v>Estremadura</v>
      </c>
      <c r="D72" s="162" t="s">
        <v>1654</v>
      </c>
      <c r="E72" s="162"/>
      <c r="F72" s="163"/>
      <c r="G72" s="161"/>
      <c r="H72" s="424" t="str">
        <f t="shared" si="6"/>
        <v/>
      </c>
      <c r="I72" s="333">
        <v>896.12</v>
      </c>
      <c r="J72" s="162"/>
      <c r="K72" s="162" t="s">
        <v>1668</v>
      </c>
      <c r="L72" s="271">
        <v>2022</v>
      </c>
      <c r="M72" s="227" t="s">
        <v>1890</v>
      </c>
      <c r="N72" s="227" t="s">
        <v>1891</v>
      </c>
      <c r="O72" s="227" t="s">
        <v>6576</v>
      </c>
      <c r="P72" s="227">
        <v>2022</v>
      </c>
      <c r="Q72" s="250" t="s">
        <v>3499</v>
      </c>
      <c r="R72" s="250" t="s">
        <v>3503</v>
      </c>
    </row>
    <row r="73" spans="1:18" ht="15.75" thickBot="1" x14ac:dyDescent="0.3">
      <c r="A73" s="161" t="s">
        <v>3471</v>
      </c>
      <c r="B73" s="424" t="str">
        <f t="shared" si="7"/>
        <v>Barraqueiro Transportes, S.A.</v>
      </c>
      <c r="C73" s="424" t="str">
        <f t="shared" si="5"/>
        <v>Estremadura</v>
      </c>
      <c r="D73" s="425" t="s">
        <v>2982</v>
      </c>
      <c r="E73" s="162"/>
      <c r="F73" s="163"/>
      <c r="G73" s="161"/>
      <c r="H73" s="424" t="str">
        <f t="shared" si="6"/>
        <v/>
      </c>
      <c r="I73" s="333">
        <v>178731.83</v>
      </c>
      <c r="J73" s="162"/>
      <c r="K73" s="162" t="s">
        <v>1673</v>
      </c>
      <c r="L73" s="271">
        <v>2022</v>
      </c>
      <c r="M73" s="227" t="s">
        <v>1890</v>
      </c>
      <c r="N73" s="227" t="s">
        <v>1891</v>
      </c>
      <c r="O73" s="227" t="s">
        <v>6576</v>
      </c>
      <c r="P73" s="227">
        <v>2022</v>
      </c>
      <c r="Q73" s="250" t="s">
        <v>3499</v>
      </c>
      <c r="R73" s="250" t="s">
        <v>3503</v>
      </c>
    </row>
    <row r="74" spans="1:18" ht="15.75" thickBot="1" x14ac:dyDescent="0.3">
      <c r="A74" s="161" t="s">
        <v>3471</v>
      </c>
      <c r="B74" s="424" t="str">
        <f t="shared" si="7"/>
        <v>Barraqueiro Transportes, S.A.</v>
      </c>
      <c r="C74" s="82" t="str">
        <f t="shared" si="5"/>
        <v>Estremadura</v>
      </c>
      <c r="D74" s="162" t="s">
        <v>1656</v>
      </c>
      <c r="E74" s="162"/>
      <c r="F74" s="163"/>
      <c r="G74" s="161"/>
      <c r="H74" s="424" t="str">
        <f t="shared" si="6"/>
        <v/>
      </c>
      <c r="I74" s="333">
        <v>414.27</v>
      </c>
      <c r="J74" s="162"/>
      <c r="K74" s="162" t="s">
        <v>1667</v>
      </c>
      <c r="L74" s="271">
        <v>2022</v>
      </c>
      <c r="M74" s="227" t="s">
        <v>1890</v>
      </c>
      <c r="N74" s="227" t="s">
        <v>1891</v>
      </c>
      <c r="O74" s="227" t="s">
        <v>6576</v>
      </c>
      <c r="P74" s="227">
        <v>2022</v>
      </c>
      <c r="Q74" s="250" t="s">
        <v>3499</v>
      </c>
      <c r="R74" s="250" t="s">
        <v>3503</v>
      </c>
    </row>
    <row r="75" spans="1:18" ht="15.75" thickBot="1" x14ac:dyDescent="0.3">
      <c r="A75" s="161" t="s">
        <v>3471</v>
      </c>
      <c r="B75" s="424" t="str">
        <f t="shared" si="7"/>
        <v>Barraqueiro Transportes, S.A.</v>
      </c>
      <c r="C75" s="82" t="str">
        <f t="shared" si="5"/>
        <v>Estremadura</v>
      </c>
      <c r="D75" s="162" t="s">
        <v>1658</v>
      </c>
      <c r="E75" s="162"/>
      <c r="F75" s="163"/>
      <c r="G75" s="161"/>
      <c r="H75" s="424" t="str">
        <f t="shared" si="6"/>
        <v/>
      </c>
      <c r="I75" s="333">
        <v>715.6</v>
      </c>
      <c r="J75" s="162"/>
      <c r="K75" s="162" t="s">
        <v>1674</v>
      </c>
      <c r="L75" s="271">
        <v>2022</v>
      </c>
      <c r="M75" s="227" t="s">
        <v>1890</v>
      </c>
      <c r="N75" s="227" t="s">
        <v>1891</v>
      </c>
      <c r="O75" s="227" t="s">
        <v>6576</v>
      </c>
      <c r="P75" s="227">
        <v>2022</v>
      </c>
      <c r="Q75" s="250" t="s">
        <v>3499</v>
      </c>
      <c r="R75" s="250" t="s">
        <v>3503</v>
      </c>
    </row>
    <row r="76" spans="1:18" ht="15.75" thickBot="1" x14ac:dyDescent="0.3">
      <c r="A76" s="161" t="s">
        <v>3471</v>
      </c>
      <c r="B76" s="424" t="str">
        <f t="shared" si="7"/>
        <v>Barraqueiro Transportes, S.A.</v>
      </c>
      <c r="C76" s="82" t="str">
        <f t="shared" si="5"/>
        <v>Estremadura</v>
      </c>
      <c r="D76" s="162" t="s">
        <v>1659</v>
      </c>
      <c r="E76" s="162"/>
      <c r="F76" s="163"/>
      <c r="G76" s="161"/>
      <c r="H76" s="424" t="str">
        <f t="shared" si="6"/>
        <v/>
      </c>
      <c r="I76" s="333">
        <v>388725.5</v>
      </c>
      <c r="J76" s="162"/>
      <c r="K76" s="162" t="s">
        <v>1677</v>
      </c>
      <c r="L76" s="271">
        <v>2022</v>
      </c>
      <c r="M76" s="227" t="s">
        <v>1890</v>
      </c>
      <c r="N76" s="227" t="s">
        <v>1891</v>
      </c>
      <c r="O76" s="227" t="s">
        <v>6576</v>
      </c>
      <c r="P76" s="227">
        <v>2022</v>
      </c>
      <c r="Q76" s="250" t="s">
        <v>3499</v>
      </c>
      <c r="R76" s="250" t="s">
        <v>3503</v>
      </c>
    </row>
    <row r="77" spans="1:18" ht="15.75" thickBot="1" x14ac:dyDescent="0.3">
      <c r="A77" s="161" t="s">
        <v>3471</v>
      </c>
      <c r="B77" s="424" t="str">
        <f t="shared" si="7"/>
        <v>Barraqueiro Transportes, S.A.</v>
      </c>
      <c r="C77" s="82" t="str">
        <f t="shared" si="5"/>
        <v>Estremadura</v>
      </c>
      <c r="D77" s="162" t="s">
        <v>1681</v>
      </c>
      <c r="E77" s="162">
        <v>620</v>
      </c>
      <c r="F77" s="163" t="s">
        <v>586</v>
      </c>
      <c r="G77" s="161"/>
      <c r="H77" s="424" t="str">
        <f t="shared" si="6"/>
        <v/>
      </c>
      <c r="I77" s="333">
        <v>222705.59</v>
      </c>
      <c r="J77" s="162"/>
      <c r="K77" s="162" t="s">
        <v>1663</v>
      </c>
      <c r="L77" s="271">
        <v>2022</v>
      </c>
      <c r="M77" s="227" t="s">
        <v>1890</v>
      </c>
      <c r="N77" s="227" t="s">
        <v>1891</v>
      </c>
      <c r="O77" s="227" t="s">
        <v>6576</v>
      </c>
      <c r="P77" s="227">
        <v>2022</v>
      </c>
      <c r="Q77" s="250" t="s">
        <v>3499</v>
      </c>
      <c r="R77" s="250" t="s">
        <v>3503</v>
      </c>
    </row>
    <row r="78" spans="1:18" ht="15.75" thickBot="1" x14ac:dyDescent="0.3">
      <c r="A78" s="161" t="s">
        <v>3471</v>
      </c>
      <c r="B78" s="424" t="str">
        <f t="shared" si="7"/>
        <v>Barraqueiro Transportes, S.A.</v>
      </c>
      <c r="C78" s="82" t="str">
        <f t="shared" si="5"/>
        <v>Estremadura</v>
      </c>
      <c r="D78" s="162" t="s">
        <v>1657</v>
      </c>
      <c r="E78" s="162"/>
      <c r="F78" s="163"/>
      <c r="G78" s="161"/>
      <c r="H78" s="424" t="str">
        <f t="shared" si="6"/>
        <v/>
      </c>
      <c r="I78" s="333">
        <v>78254.350000000006</v>
      </c>
      <c r="J78" s="162"/>
      <c r="K78" s="162" t="s">
        <v>1665</v>
      </c>
      <c r="L78" s="271">
        <v>2022</v>
      </c>
      <c r="M78" s="227" t="s">
        <v>1890</v>
      </c>
      <c r="N78" s="227" t="s">
        <v>1891</v>
      </c>
      <c r="O78" s="227" t="s">
        <v>6576</v>
      </c>
      <c r="P78" s="227">
        <v>2022</v>
      </c>
      <c r="Q78" s="250" t="s">
        <v>3499</v>
      </c>
      <c r="R78" s="250" t="s">
        <v>3503</v>
      </c>
    </row>
    <row r="79" spans="1:18" ht="15.75" thickBot="1" x14ac:dyDescent="0.3">
      <c r="A79" s="161" t="s">
        <v>3471</v>
      </c>
      <c r="B79" s="424" t="str">
        <f t="shared" si="7"/>
        <v>Barraqueiro Transportes, S.A.</v>
      </c>
      <c r="C79" s="82" t="str">
        <f t="shared" si="5"/>
        <v>Estremadura</v>
      </c>
      <c r="D79" s="162" t="s">
        <v>1661</v>
      </c>
      <c r="E79" s="162"/>
      <c r="F79" s="163"/>
      <c r="G79" s="161"/>
      <c r="H79" s="424" t="str">
        <f t="shared" si="6"/>
        <v/>
      </c>
      <c r="I79" s="333">
        <v>13402.37</v>
      </c>
      <c r="J79" s="162"/>
      <c r="K79" s="162" t="s">
        <v>1669</v>
      </c>
      <c r="L79" s="271">
        <v>2022</v>
      </c>
      <c r="M79" s="227" t="s">
        <v>1890</v>
      </c>
      <c r="N79" s="227" t="s">
        <v>1891</v>
      </c>
      <c r="O79" s="227" t="s">
        <v>6576</v>
      </c>
      <c r="P79" s="227">
        <v>2022</v>
      </c>
      <c r="Q79" s="250" t="s">
        <v>3499</v>
      </c>
      <c r="R79" s="250" t="s">
        <v>3503</v>
      </c>
    </row>
    <row r="80" spans="1:18" ht="15.75" thickBot="1" x14ac:dyDescent="0.3">
      <c r="A80" s="161" t="s">
        <v>3471</v>
      </c>
      <c r="B80" s="424" t="str">
        <f t="shared" si="7"/>
        <v>Barraqueiro Transportes, S.A.</v>
      </c>
      <c r="C80" s="82" t="str">
        <f t="shared" si="5"/>
        <v>Estremadura</v>
      </c>
      <c r="D80" s="162" t="s">
        <v>1662</v>
      </c>
      <c r="E80" s="162"/>
      <c r="F80" s="163"/>
      <c r="G80" s="161"/>
      <c r="H80" s="424" t="str">
        <f t="shared" si="6"/>
        <v/>
      </c>
      <c r="I80" s="333">
        <v>974216.1399999999</v>
      </c>
      <c r="J80" s="162"/>
      <c r="K80" s="162"/>
      <c r="L80" s="271">
        <v>2022</v>
      </c>
      <c r="M80" s="227" t="s">
        <v>1890</v>
      </c>
      <c r="N80" s="227" t="s">
        <v>1891</v>
      </c>
      <c r="O80" s="227" t="s">
        <v>6576</v>
      </c>
      <c r="P80" s="227">
        <v>2022</v>
      </c>
      <c r="Q80" s="250" t="s">
        <v>3499</v>
      </c>
      <c r="R80" s="250" t="s">
        <v>3503</v>
      </c>
    </row>
    <row r="81" spans="1:18" ht="15.75" thickBot="1" x14ac:dyDescent="0.3">
      <c r="A81" s="161" t="s">
        <v>3471</v>
      </c>
      <c r="B81" s="424" t="str">
        <f t="shared" si="7"/>
        <v>Barraqueiro Transportes, S.A.</v>
      </c>
      <c r="C81" s="424" t="str">
        <f t="shared" si="5"/>
        <v>Estremadura</v>
      </c>
      <c r="D81" s="162" t="s">
        <v>1670</v>
      </c>
      <c r="E81" s="162"/>
      <c r="F81" s="163"/>
      <c r="G81" s="161"/>
      <c r="H81" s="424" t="str">
        <f t="shared" si="6"/>
        <v/>
      </c>
      <c r="I81" s="333">
        <v>963.61</v>
      </c>
      <c r="J81" s="162"/>
      <c r="K81" s="162" t="s">
        <v>1671</v>
      </c>
      <c r="L81" s="271">
        <v>2022</v>
      </c>
      <c r="M81" s="227" t="s">
        <v>1890</v>
      </c>
      <c r="N81" s="227" t="s">
        <v>1891</v>
      </c>
      <c r="O81" s="227" t="s">
        <v>6576</v>
      </c>
      <c r="P81" s="227">
        <v>2022</v>
      </c>
      <c r="Q81" s="250" t="s">
        <v>3499</v>
      </c>
      <c r="R81" s="250" t="s">
        <v>3503</v>
      </c>
    </row>
    <row r="82" spans="1:18" ht="15.75" thickBot="1" x14ac:dyDescent="0.3">
      <c r="A82" s="161" t="s">
        <v>3471</v>
      </c>
      <c r="B82" s="424" t="str">
        <f t="shared" si="7"/>
        <v>Barraqueiro Transportes, S.A.</v>
      </c>
      <c r="C82" s="82" t="str">
        <f t="shared" si="5"/>
        <v>Estremadura</v>
      </c>
      <c r="D82" s="162" t="s">
        <v>1655</v>
      </c>
      <c r="E82" s="162"/>
      <c r="F82" s="163"/>
      <c r="G82" s="161"/>
      <c r="H82" s="424" t="str">
        <f t="shared" si="6"/>
        <v/>
      </c>
      <c r="I82" s="333">
        <v>42831.1</v>
      </c>
      <c r="J82" s="162"/>
      <c r="K82" s="162" t="s">
        <v>1666</v>
      </c>
      <c r="L82" s="271">
        <v>2022</v>
      </c>
      <c r="M82" s="227" t="s">
        <v>1890</v>
      </c>
      <c r="N82" s="227" t="s">
        <v>1891</v>
      </c>
      <c r="O82" s="227" t="s">
        <v>6576</v>
      </c>
      <c r="P82" s="227">
        <v>2022</v>
      </c>
      <c r="Q82" s="250" t="s">
        <v>3499</v>
      </c>
      <c r="R82" s="250" t="s">
        <v>3503</v>
      </c>
    </row>
    <row r="83" spans="1:18" ht="15.75" thickBot="1" x14ac:dyDescent="0.3">
      <c r="A83" s="161" t="s">
        <v>3472</v>
      </c>
      <c r="B83" s="424" t="str">
        <f t="shared" si="7"/>
        <v>Barraqueiro Transportes, S.A.</v>
      </c>
      <c r="C83" s="82" t="str">
        <f t="shared" si="5"/>
        <v>Frota Azul</v>
      </c>
      <c r="D83" s="162" t="s">
        <v>1675</v>
      </c>
      <c r="E83" s="162"/>
      <c r="F83" s="163"/>
      <c r="G83" s="161"/>
      <c r="H83" s="424" t="str">
        <f t="shared" si="6"/>
        <v/>
      </c>
      <c r="I83" s="333"/>
      <c r="J83" s="162"/>
      <c r="K83" s="162" t="s">
        <v>1693</v>
      </c>
      <c r="L83" s="271">
        <v>2022</v>
      </c>
      <c r="M83" s="227" t="s">
        <v>1890</v>
      </c>
      <c r="N83" s="227" t="s">
        <v>1891</v>
      </c>
      <c r="O83" s="227" t="s">
        <v>6576</v>
      </c>
      <c r="P83" s="227">
        <v>2022</v>
      </c>
      <c r="Q83" s="250" t="s">
        <v>3499</v>
      </c>
      <c r="R83" s="250" t="s">
        <v>3503</v>
      </c>
    </row>
    <row r="84" spans="1:18" ht="15.75" thickBot="1" x14ac:dyDescent="0.3">
      <c r="A84" s="161" t="s">
        <v>3472</v>
      </c>
      <c r="B84" s="82" t="str">
        <f t="shared" si="7"/>
        <v>Barraqueiro Transportes, S.A.</v>
      </c>
      <c r="C84" s="82" t="str">
        <f t="shared" si="5"/>
        <v>Frota Azul</v>
      </c>
      <c r="D84" s="162" t="s">
        <v>1653</v>
      </c>
      <c r="E84" s="162"/>
      <c r="F84" s="163"/>
      <c r="G84" s="161"/>
      <c r="H84" s="424" t="str">
        <f t="shared" si="6"/>
        <v/>
      </c>
      <c r="I84" s="333"/>
      <c r="J84" s="162"/>
      <c r="K84" s="162" t="s">
        <v>1693</v>
      </c>
      <c r="L84" s="271">
        <v>2022</v>
      </c>
      <c r="M84" s="227" t="s">
        <v>1890</v>
      </c>
      <c r="N84" s="227" t="s">
        <v>1891</v>
      </c>
      <c r="O84" s="227" t="s">
        <v>6576</v>
      </c>
      <c r="P84" s="227">
        <v>2022</v>
      </c>
      <c r="Q84" s="250" t="s">
        <v>3499</v>
      </c>
      <c r="R84" s="250" t="s">
        <v>3503</v>
      </c>
    </row>
    <row r="85" spans="1:18" ht="15.75" thickBot="1" x14ac:dyDescent="0.3">
      <c r="A85" s="161" t="s">
        <v>3472</v>
      </c>
      <c r="B85" s="82" t="str">
        <f t="shared" si="7"/>
        <v>Barraqueiro Transportes, S.A.</v>
      </c>
      <c r="C85" s="82" t="str">
        <f t="shared" si="5"/>
        <v>Frota Azul</v>
      </c>
      <c r="D85" s="162" t="s">
        <v>1654</v>
      </c>
      <c r="E85" s="162"/>
      <c r="F85" s="163"/>
      <c r="G85" s="161"/>
      <c r="H85" s="82" t="str">
        <f t="shared" si="6"/>
        <v/>
      </c>
      <c r="I85" s="333"/>
      <c r="J85" s="162"/>
      <c r="K85" s="162" t="s">
        <v>1693</v>
      </c>
      <c r="L85" s="271">
        <v>2022</v>
      </c>
      <c r="M85" s="227" t="s">
        <v>1890</v>
      </c>
      <c r="N85" s="227" t="s">
        <v>1891</v>
      </c>
      <c r="O85" s="227" t="s">
        <v>6576</v>
      </c>
      <c r="P85" s="227">
        <v>2022</v>
      </c>
      <c r="Q85" s="250" t="s">
        <v>3499</v>
      </c>
      <c r="R85" s="250" t="s">
        <v>3503</v>
      </c>
    </row>
    <row r="86" spans="1:18" ht="15.75" thickBot="1" x14ac:dyDescent="0.3">
      <c r="A86" s="161" t="s">
        <v>3472</v>
      </c>
      <c r="B86" s="424" t="str">
        <f t="shared" si="7"/>
        <v>Barraqueiro Transportes, S.A.</v>
      </c>
      <c r="C86" s="82" t="str">
        <f t="shared" si="5"/>
        <v>Frota Azul</v>
      </c>
      <c r="D86" s="425" t="s">
        <v>2982</v>
      </c>
      <c r="E86" s="162"/>
      <c r="F86" s="163"/>
      <c r="G86" s="161"/>
      <c r="H86" s="424" t="str">
        <f t="shared" si="6"/>
        <v/>
      </c>
      <c r="I86" s="333">
        <v>556.62</v>
      </c>
      <c r="J86" s="162"/>
      <c r="K86" s="162" t="s">
        <v>1690</v>
      </c>
      <c r="L86" s="271">
        <v>2022</v>
      </c>
      <c r="M86" s="227" t="s">
        <v>1890</v>
      </c>
      <c r="N86" s="227" t="s">
        <v>1891</v>
      </c>
      <c r="O86" s="227" t="s">
        <v>6576</v>
      </c>
      <c r="P86" s="227">
        <v>2022</v>
      </c>
      <c r="Q86" s="250" t="s">
        <v>3499</v>
      </c>
      <c r="R86" s="250" t="s">
        <v>3503</v>
      </c>
    </row>
    <row r="87" spans="1:18" ht="15.75" thickBot="1" x14ac:dyDescent="0.3">
      <c r="A87" s="161" t="s">
        <v>3472</v>
      </c>
      <c r="B87" s="424" t="str">
        <f t="shared" si="7"/>
        <v>Barraqueiro Transportes, S.A.</v>
      </c>
      <c r="C87" s="82" t="str">
        <f t="shared" si="5"/>
        <v>Frota Azul</v>
      </c>
      <c r="D87" s="162" t="s">
        <v>1680</v>
      </c>
      <c r="E87" s="162"/>
      <c r="F87" s="163"/>
      <c r="G87" s="161"/>
      <c r="H87" s="424" t="str">
        <f t="shared" si="6"/>
        <v/>
      </c>
      <c r="I87" s="333">
        <v>65539.34</v>
      </c>
      <c r="J87" s="162"/>
      <c r="K87" s="162" t="s">
        <v>1685</v>
      </c>
      <c r="L87" s="271">
        <v>2022</v>
      </c>
      <c r="M87" s="227" t="s">
        <v>1890</v>
      </c>
      <c r="N87" s="227" t="s">
        <v>1891</v>
      </c>
      <c r="O87" s="227" t="s">
        <v>6576</v>
      </c>
      <c r="P87" s="227">
        <v>2022</v>
      </c>
      <c r="Q87" s="250" t="s">
        <v>3499</v>
      </c>
      <c r="R87" s="250" t="s">
        <v>3503</v>
      </c>
    </row>
    <row r="88" spans="1:18" ht="15.75" thickBot="1" x14ac:dyDescent="0.3">
      <c r="A88" s="161" t="s">
        <v>3472</v>
      </c>
      <c r="B88" s="424" t="str">
        <f t="shared" si="7"/>
        <v>Barraqueiro Transportes, S.A.</v>
      </c>
      <c r="C88" s="82" t="str">
        <f t="shared" si="5"/>
        <v>Frota Azul</v>
      </c>
      <c r="D88" s="162" t="s">
        <v>1656</v>
      </c>
      <c r="E88" s="162"/>
      <c r="F88" s="163"/>
      <c r="G88" s="161"/>
      <c r="H88" s="424" t="str">
        <f t="shared" si="6"/>
        <v/>
      </c>
      <c r="I88" s="333"/>
      <c r="J88" s="162"/>
      <c r="K88" s="162" t="s">
        <v>1693</v>
      </c>
      <c r="L88" s="271">
        <v>2022</v>
      </c>
      <c r="M88" s="227" t="s">
        <v>1890</v>
      </c>
      <c r="N88" s="227" t="s">
        <v>1891</v>
      </c>
      <c r="O88" s="227" t="s">
        <v>6576</v>
      </c>
      <c r="P88" s="227">
        <v>2022</v>
      </c>
      <c r="Q88" s="250" t="s">
        <v>3499</v>
      </c>
      <c r="R88" s="250" t="s">
        <v>3503</v>
      </c>
    </row>
    <row r="89" spans="1:18" ht="15.75" thickBot="1" x14ac:dyDescent="0.3">
      <c r="A89" s="161" t="s">
        <v>3472</v>
      </c>
      <c r="B89" s="82" t="str">
        <f t="shared" si="7"/>
        <v>Barraqueiro Transportes, S.A.</v>
      </c>
      <c r="C89" s="82" t="str">
        <f t="shared" si="5"/>
        <v>Frota Azul</v>
      </c>
      <c r="D89" s="162" t="s">
        <v>1658</v>
      </c>
      <c r="E89" s="162"/>
      <c r="F89" s="163"/>
      <c r="G89" s="161"/>
      <c r="H89" s="424" t="str">
        <f t="shared" si="6"/>
        <v/>
      </c>
      <c r="I89" s="333"/>
      <c r="J89" s="162"/>
      <c r="K89" s="162" t="s">
        <v>1693</v>
      </c>
      <c r="L89" s="271">
        <v>2022</v>
      </c>
      <c r="M89" s="227" t="s">
        <v>1890</v>
      </c>
      <c r="N89" s="227" t="s">
        <v>1891</v>
      </c>
      <c r="O89" s="227" t="s">
        <v>6576</v>
      </c>
      <c r="P89" s="227">
        <v>2022</v>
      </c>
      <c r="Q89" s="250" t="s">
        <v>3499</v>
      </c>
      <c r="R89" s="250" t="s">
        <v>3503</v>
      </c>
    </row>
    <row r="90" spans="1:18" ht="15.75" thickBot="1" x14ac:dyDescent="0.3">
      <c r="A90" s="161" t="s">
        <v>3472</v>
      </c>
      <c r="B90" s="424" t="str">
        <f t="shared" si="7"/>
        <v>Barraqueiro Transportes, S.A.</v>
      </c>
      <c r="C90" s="82" t="str">
        <f t="shared" si="5"/>
        <v>Frota Azul</v>
      </c>
      <c r="D90" s="162" t="s">
        <v>1659</v>
      </c>
      <c r="E90" s="162"/>
      <c r="F90" s="163"/>
      <c r="G90" s="161"/>
      <c r="H90" s="424" t="str">
        <f t="shared" si="6"/>
        <v/>
      </c>
      <c r="I90" s="333">
        <v>8445.86</v>
      </c>
      <c r="J90" s="162"/>
      <c r="K90" s="162" t="s">
        <v>1739</v>
      </c>
      <c r="L90" s="271">
        <v>2022</v>
      </c>
      <c r="M90" s="227" t="s">
        <v>1890</v>
      </c>
      <c r="N90" s="227" t="s">
        <v>1891</v>
      </c>
      <c r="O90" s="227" t="s">
        <v>6576</v>
      </c>
      <c r="P90" s="227">
        <v>2022</v>
      </c>
      <c r="Q90" s="250" t="s">
        <v>3499</v>
      </c>
      <c r="R90" s="250" t="s">
        <v>3503</v>
      </c>
    </row>
    <row r="91" spans="1:18" ht="15.75" thickBot="1" x14ac:dyDescent="0.3">
      <c r="A91" s="161" t="s">
        <v>3472</v>
      </c>
      <c r="B91" s="82" t="str">
        <f t="shared" si="7"/>
        <v>Barraqueiro Transportes, S.A.</v>
      </c>
      <c r="C91" s="82" t="str">
        <f t="shared" si="5"/>
        <v>Frota Azul</v>
      </c>
      <c r="D91" s="162" t="s">
        <v>1657</v>
      </c>
      <c r="E91" s="162"/>
      <c r="F91" s="163"/>
      <c r="G91" s="161"/>
      <c r="H91" s="424" t="str">
        <f t="shared" si="6"/>
        <v/>
      </c>
      <c r="I91" s="333"/>
      <c r="J91" s="162"/>
      <c r="K91" s="162" t="s">
        <v>1693</v>
      </c>
      <c r="L91" s="271">
        <v>2022</v>
      </c>
      <c r="M91" s="227" t="s">
        <v>1890</v>
      </c>
      <c r="N91" s="227" t="s">
        <v>1891</v>
      </c>
      <c r="O91" s="227" t="s">
        <v>6576</v>
      </c>
      <c r="P91" s="227">
        <v>2022</v>
      </c>
      <c r="Q91" s="250" t="s">
        <v>3499</v>
      </c>
      <c r="R91" s="250" t="s">
        <v>3503</v>
      </c>
    </row>
    <row r="92" spans="1:18" ht="15.75" thickBot="1" x14ac:dyDescent="0.3">
      <c r="A92" s="161" t="s">
        <v>3472</v>
      </c>
      <c r="B92" s="82" t="str">
        <f t="shared" si="7"/>
        <v>Barraqueiro Transportes, S.A.</v>
      </c>
      <c r="C92" s="82" t="str">
        <f t="shared" si="5"/>
        <v>Frota Azul</v>
      </c>
      <c r="D92" s="162" t="s">
        <v>1661</v>
      </c>
      <c r="E92" s="162"/>
      <c r="F92" s="163"/>
      <c r="G92" s="161"/>
      <c r="H92" s="424" t="str">
        <f t="shared" si="6"/>
        <v/>
      </c>
      <c r="I92" s="333">
        <v>8836.8700000000008</v>
      </c>
      <c r="J92" s="162"/>
      <c r="K92" s="162" t="s">
        <v>1727</v>
      </c>
      <c r="L92" s="271">
        <v>2022</v>
      </c>
      <c r="M92" s="227" t="s">
        <v>1890</v>
      </c>
      <c r="N92" s="227" t="s">
        <v>1891</v>
      </c>
      <c r="O92" s="227" t="s">
        <v>6576</v>
      </c>
      <c r="P92" s="227">
        <v>2022</v>
      </c>
      <c r="Q92" s="250" t="s">
        <v>3499</v>
      </c>
      <c r="R92" s="250" t="s">
        <v>3503</v>
      </c>
    </row>
    <row r="93" spans="1:18" ht="15.75" thickBot="1" x14ac:dyDescent="0.3">
      <c r="A93" s="161" t="s">
        <v>3472</v>
      </c>
      <c r="B93" s="82" t="str">
        <f t="shared" si="7"/>
        <v>Barraqueiro Transportes, S.A.</v>
      </c>
      <c r="C93" s="82" t="str">
        <f t="shared" si="5"/>
        <v>Frota Azul</v>
      </c>
      <c r="D93" s="162" t="s">
        <v>1662</v>
      </c>
      <c r="E93" s="162"/>
      <c r="F93" s="163"/>
      <c r="G93" s="161"/>
      <c r="H93" s="424" t="str">
        <f t="shared" si="6"/>
        <v/>
      </c>
      <c r="I93" s="333">
        <v>83378.689999999988</v>
      </c>
      <c r="J93" s="162"/>
      <c r="K93" s="162"/>
      <c r="L93" s="271">
        <v>2022</v>
      </c>
      <c r="M93" s="227" t="s">
        <v>1890</v>
      </c>
      <c r="N93" s="227" t="s">
        <v>1891</v>
      </c>
      <c r="O93" s="227" t="s">
        <v>6576</v>
      </c>
      <c r="P93" s="227">
        <v>2022</v>
      </c>
      <c r="Q93" s="250" t="s">
        <v>3499</v>
      </c>
      <c r="R93" s="250" t="s">
        <v>3503</v>
      </c>
    </row>
    <row r="94" spans="1:18" ht="15.75" thickBot="1" x14ac:dyDescent="0.3">
      <c r="A94" s="161" t="s">
        <v>3472</v>
      </c>
      <c r="B94" s="82" t="str">
        <f t="shared" si="7"/>
        <v>Barraqueiro Transportes, S.A.</v>
      </c>
      <c r="C94" s="82" t="str">
        <f t="shared" si="5"/>
        <v>Frota Azul</v>
      </c>
      <c r="D94" s="162" t="s">
        <v>1670</v>
      </c>
      <c r="E94" s="162"/>
      <c r="F94" s="163"/>
      <c r="G94" s="161"/>
      <c r="H94" s="424" t="str">
        <f t="shared" si="6"/>
        <v/>
      </c>
      <c r="I94" s="333"/>
      <c r="J94" s="162"/>
      <c r="K94" s="162" t="s">
        <v>1693</v>
      </c>
      <c r="L94" s="271">
        <v>2022</v>
      </c>
      <c r="M94" s="227" t="s">
        <v>1890</v>
      </c>
      <c r="N94" s="227" t="s">
        <v>1891</v>
      </c>
      <c r="O94" s="227" t="s">
        <v>6576</v>
      </c>
      <c r="P94" s="227">
        <v>2022</v>
      </c>
      <c r="Q94" s="250" t="s">
        <v>3499</v>
      </c>
      <c r="R94" s="250" t="s">
        <v>3503</v>
      </c>
    </row>
    <row r="95" spans="1:18" ht="15.75" thickBot="1" x14ac:dyDescent="0.3">
      <c r="A95" s="161" t="s">
        <v>3472</v>
      </c>
      <c r="B95" s="424" t="str">
        <f t="shared" si="7"/>
        <v>Barraqueiro Transportes, S.A.</v>
      </c>
      <c r="C95" s="82" t="str">
        <f t="shared" si="5"/>
        <v>Frota Azul</v>
      </c>
      <c r="D95" s="162" t="s">
        <v>1655</v>
      </c>
      <c r="E95" s="162"/>
      <c r="F95" s="163"/>
      <c r="G95" s="161"/>
      <c r="H95" s="424" t="str">
        <f t="shared" si="6"/>
        <v/>
      </c>
      <c r="I95" s="333"/>
      <c r="J95" s="162"/>
      <c r="K95" s="162" t="s">
        <v>1693</v>
      </c>
      <c r="L95" s="271">
        <v>2022</v>
      </c>
      <c r="M95" s="227" t="s">
        <v>1890</v>
      </c>
      <c r="N95" s="227" t="s">
        <v>1891</v>
      </c>
      <c r="O95" s="227" t="s">
        <v>6576</v>
      </c>
      <c r="P95" s="227">
        <v>2022</v>
      </c>
      <c r="Q95" s="250" t="s">
        <v>3499</v>
      </c>
      <c r="R95" s="250" t="s">
        <v>3503</v>
      </c>
    </row>
    <row r="96" spans="1:18" ht="15.75" thickBot="1" x14ac:dyDescent="0.3">
      <c r="A96" s="161" t="s">
        <v>3470</v>
      </c>
      <c r="B96" s="424" t="str">
        <f t="shared" si="7"/>
        <v>Barraqueiro Transportes, S.A.</v>
      </c>
      <c r="C96" s="82" t="str">
        <f t="shared" si="5"/>
        <v>Mafrense</v>
      </c>
      <c r="D96" s="162" t="s">
        <v>1675</v>
      </c>
      <c r="E96" s="162"/>
      <c r="F96" s="163"/>
      <c r="G96" s="161"/>
      <c r="H96" s="424" t="str">
        <f t="shared" si="6"/>
        <v/>
      </c>
      <c r="I96" s="333">
        <v>7817.49</v>
      </c>
      <c r="J96" s="162"/>
      <c r="K96" s="162" t="s">
        <v>1734</v>
      </c>
      <c r="L96" s="271">
        <v>2022</v>
      </c>
      <c r="M96" s="227" t="s">
        <v>1890</v>
      </c>
      <c r="N96" s="227" t="s">
        <v>1891</v>
      </c>
      <c r="O96" s="227" t="s">
        <v>6576</v>
      </c>
      <c r="P96" s="227">
        <v>2022</v>
      </c>
      <c r="Q96" s="250" t="s">
        <v>3499</v>
      </c>
      <c r="R96" s="250" t="s">
        <v>3503</v>
      </c>
    </row>
    <row r="97" spans="1:18" ht="15.75" thickBot="1" x14ac:dyDescent="0.3">
      <c r="A97" s="161" t="s">
        <v>3470</v>
      </c>
      <c r="B97" s="424" t="str">
        <f t="shared" si="7"/>
        <v>Barraqueiro Transportes, S.A.</v>
      </c>
      <c r="C97" s="82" t="str">
        <f t="shared" si="5"/>
        <v>Mafrense</v>
      </c>
      <c r="D97" s="162" t="s">
        <v>1653</v>
      </c>
      <c r="E97" s="162">
        <v>18</v>
      </c>
      <c r="F97" s="163" t="s">
        <v>586</v>
      </c>
      <c r="G97" s="161"/>
      <c r="H97" s="424" t="str">
        <f t="shared" si="6"/>
        <v/>
      </c>
      <c r="I97" s="333">
        <v>2792</v>
      </c>
      <c r="J97" s="162"/>
      <c r="K97" s="162" t="s">
        <v>1690</v>
      </c>
      <c r="L97" s="271">
        <v>2022</v>
      </c>
      <c r="M97" s="227" t="s">
        <v>1890</v>
      </c>
      <c r="N97" s="227" t="s">
        <v>1891</v>
      </c>
      <c r="O97" s="227" t="s">
        <v>6576</v>
      </c>
      <c r="P97" s="227">
        <v>2022</v>
      </c>
      <c r="Q97" s="250" t="s">
        <v>3499</v>
      </c>
      <c r="R97" s="250" t="s">
        <v>3503</v>
      </c>
    </row>
    <row r="98" spans="1:18" ht="15.75" thickBot="1" x14ac:dyDescent="0.3">
      <c r="A98" s="161" t="s">
        <v>3470</v>
      </c>
      <c r="B98" s="424" t="str">
        <f t="shared" si="7"/>
        <v>Barraqueiro Transportes, S.A.</v>
      </c>
      <c r="C98" s="82" t="str">
        <f t="shared" si="5"/>
        <v>Mafrense</v>
      </c>
      <c r="D98" s="162" t="s">
        <v>1654</v>
      </c>
      <c r="E98" s="162"/>
      <c r="F98" s="163"/>
      <c r="G98" s="161"/>
      <c r="H98" s="424" t="str">
        <f t="shared" si="6"/>
        <v/>
      </c>
      <c r="I98" s="333">
        <v>80.510000000000005</v>
      </c>
      <c r="J98" s="162"/>
      <c r="K98" s="162" t="s">
        <v>1701</v>
      </c>
      <c r="L98" s="271">
        <v>2022</v>
      </c>
      <c r="M98" s="227" t="s">
        <v>1890</v>
      </c>
      <c r="N98" s="227" t="s">
        <v>1891</v>
      </c>
      <c r="O98" s="227" t="s">
        <v>6576</v>
      </c>
      <c r="P98" s="227">
        <v>2022</v>
      </c>
      <c r="Q98" s="250" t="s">
        <v>3499</v>
      </c>
      <c r="R98" s="250" t="s">
        <v>3503</v>
      </c>
    </row>
    <row r="99" spans="1:18" ht="15.75" thickBot="1" x14ac:dyDescent="0.3">
      <c r="A99" s="161" t="s">
        <v>3470</v>
      </c>
      <c r="B99" s="424" t="str">
        <f t="shared" si="7"/>
        <v>Barraqueiro Transportes, S.A.</v>
      </c>
      <c r="C99" s="82" t="str">
        <f t="shared" si="5"/>
        <v>Mafrense</v>
      </c>
      <c r="D99" s="425" t="s">
        <v>2982</v>
      </c>
      <c r="E99" s="162"/>
      <c r="F99" s="163"/>
      <c r="G99" s="161"/>
      <c r="H99" s="424" t="str">
        <f t="shared" ref="H99:H109" si="8">IFERROR(LEFT(F99,FIND(" ",F99)-1),"")</f>
        <v/>
      </c>
      <c r="I99" s="333">
        <v>42379.47</v>
      </c>
      <c r="J99" s="162"/>
      <c r="K99" s="162" t="s">
        <v>1720</v>
      </c>
      <c r="L99" s="271">
        <v>2022</v>
      </c>
      <c r="M99" s="227" t="s">
        <v>1890</v>
      </c>
      <c r="N99" s="227" t="s">
        <v>1891</v>
      </c>
      <c r="O99" s="227" t="s">
        <v>6576</v>
      </c>
      <c r="P99" s="227">
        <v>2022</v>
      </c>
      <c r="Q99" s="250" t="s">
        <v>3499</v>
      </c>
      <c r="R99" s="250" t="s">
        <v>3503</v>
      </c>
    </row>
    <row r="100" spans="1:18" ht="15.75" thickBot="1" x14ac:dyDescent="0.3">
      <c r="A100" s="161" t="s">
        <v>3470</v>
      </c>
      <c r="B100" s="424" t="str">
        <f t="shared" si="7"/>
        <v>Barraqueiro Transportes, S.A.</v>
      </c>
      <c r="C100" s="82" t="str">
        <f t="shared" si="5"/>
        <v>Mafrense</v>
      </c>
      <c r="D100" s="162" t="s">
        <v>1680</v>
      </c>
      <c r="E100" s="162"/>
      <c r="F100" s="163"/>
      <c r="G100" s="161"/>
      <c r="H100" s="424" t="str">
        <f t="shared" si="8"/>
        <v/>
      </c>
      <c r="I100" s="333">
        <v>702.01</v>
      </c>
      <c r="J100" s="162"/>
      <c r="K100" s="162" t="s">
        <v>1682</v>
      </c>
      <c r="L100" s="271">
        <v>2022</v>
      </c>
      <c r="M100" s="227" t="s">
        <v>1890</v>
      </c>
      <c r="N100" s="227" t="s">
        <v>1891</v>
      </c>
      <c r="O100" s="227" t="s">
        <v>6576</v>
      </c>
      <c r="P100" s="227">
        <v>2022</v>
      </c>
      <c r="Q100" s="250" t="s">
        <v>3499</v>
      </c>
      <c r="R100" s="250" t="s">
        <v>3503</v>
      </c>
    </row>
    <row r="101" spans="1:18" ht="15.75" thickBot="1" x14ac:dyDescent="0.3">
      <c r="A101" s="161" t="s">
        <v>3470</v>
      </c>
      <c r="B101" s="424" t="str">
        <f t="shared" si="7"/>
        <v>Barraqueiro Transportes, S.A.</v>
      </c>
      <c r="C101" s="82" t="str">
        <f t="shared" si="5"/>
        <v>Mafrense</v>
      </c>
      <c r="D101" s="162" t="s">
        <v>1656</v>
      </c>
      <c r="E101" s="162"/>
      <c r="F101" s="163"/>
      <c r="G101" s="161"/>
      <c r="H101" s="424" t="str">
        <f t="shared" si="8"/>
        <v/>
      </c>
      <c r="I101" s="333">
        <v>557.09</v>
      </c>
      <c r="J101" s="162"/>
      <c r="K101" s="162" t="s">
        <v>1694</v>
      </c>
      <c r="L101" s="271">
        <v>2022</v>
      </c>
      <c r="M101" s="227" t="s">
        <v>1890</v>
      </c>
      <c r="N101" s="227" t="s">
        <v>1891</v>
      </c>
      <c r="O101" s="227" t="s">
        <v>6576</v>
      </c>
      <c r="P101" s="227">
        <v>2022</v>
      </c>
      <c r="Q101" s="250" t="s">
        <v>3499</v>
      </c>
      <c r="R101" s="250" t="s">
        <v>3503</v>
      </c>
    </row>
    <row r="102" spans="1:18" ht="15.75" thickBot="1" x14ac:dyDescent="0.3">
      <c r="A102" s="161" t="s">
        <v>3470</v>
      </c>
      <c r="B102" s="424" t="str">
        <f t="shared" ref="B102:B109" si="9">LEFT(A102,IFERROR(FIND(" - ",A102)-1,LEN(A102)))</f>
        <v>Barraqueiro Transportes, S.A.</v>
      </c>
      <c r="C102" s="82" t="str">
        <f t="shared" si="5"/>
        <v>Mafrense</v>
      </c>
      <c r="D102" s="162" t="s">
        <v>1658</v>
      </c>
      <c r="E102" s="162"/>
      <c r="F102" s="163"/>
      <c r="G102" s="161"/>
      <c r="H102" s="424" t="str">
        <f t="shared" si="8"/>
        <v/>
      </c>
      <c r="I102" s="333">
        <v>1049.1500000000001</v>
      </c>
      <c r="J102" s="162"/>
      <c r="K102" s="162" t="s">
        <v>1715</v>
      </c>
      <c r="L102" s="271">
        <v>2022</v>
      </c>
      <c r="M102" s="227" t="s">
        <v>1890</v>
      </c>
      <c r="N102" s="227" t="s">
        <v>1891</v>
      </c>
      <c r="O102" s="227" t="s">
        <v>6576</v>
      </c>
      <c r="P102" s="227">
        <v>2022</v>
      </c>
      <c r="Q102" s="250" t="s">
        <v>3499</v>
      </c>
      <c r="R102" s="250" t="s">
        <v>3503</v>
      </c>
    </row>
    <row r="103" spans="1:18" ht="15.75" thickBot="1" x14ac:dyDescent="0.3">
      <c r="A103" s="161" t="s">
        <v>3470</v>
      </c>
      <c r="B103" s="424" t="str">
        <f t="shared" si="9"/>
        <v>Barraqueiro Transportes, S.A.</v>
      </c>
      <c r="C103" s="82" t="str">
        <f t="shared" si="5"/>
        <v>Mafrense</v>
      </c>
      <c r="D103" s="162" t="s">
        <v>1659</v>
      </c>
      <c r="E103" s="162"/>
      <c r="F103" s="163"/>
      <c r="G103" s="161"/>
      <c r="H103" s="424" t="str">
        <f t="shared" si="8"/>
        <v/>
      </c>
      <c r="I103" s="333">
        <v>121096.35</v>
      </c>
      <c r="J103" s="162"/>
      <c r="K103" s="162">
        <v>1051</v>
      </c>
      <c r="L103" s="271">
        <v>2022</v>
      </c>
      <c r="M103" s="227" t="s">
        <v>1890</v>
      </c>
      <c r="N103" s="227" t="s">
        <v>1891</v>
      </c>
      <c r="O103" s="227" t="s">
        <v>6576</v>
      </c>
      <c r="P103" s="227">
        <v>2022</v>
      </c>
      <c r="Q103" s="250" t="s">
        <v>3499</v>
      </c>
      <c r="R103" s="250" t="s">
        <v>3503</v>
      </c>
    </row>
    <row r="104" spans="1:18" ht="15.75" thickBot="1" x14ac:dyDescent="0.3">
      <c r="A104" s="161" t="s">
        <v>3470</v>
      </c>
      <c r="B104" s="424" t="str">
        <f t="shared" si="9"/>
        <v>Barraqueiro Transportes, S.A.</v>
      </c>
      <c r="C104" s="82" t="str">
        <f t="shared" si="5"/>
        <v>Mafrense</v>
      </c>
      <c r="D104" s="162" t="s">
        <v>1681</v>
      </c>
      <c r="E104" s="162">
        <v>205</v>
      </c>
      <c r="F104" s="163" t="s">
        <v>586</v>
      </c>
      <c r="G104" s="161"/>
      <c r="H104" s="424" t="str">
        <f t="shared" si="8"/>
        <v/>
      </c>
      <c r="I104" s="333">
        <v>52161.14</v>
      </c>
      <c r="J104" s="162"/>
      <c r="K104" s="162" t="s">
        <v>1679</v>
      </c>
      <c r="L104" s="271">
        <v>2022</v>
      </c>
      <c r="M104" s="227" t="s">
        <v>1890</v>
      </c>
      <c r="N104" s="227" t="s">
        <v>1891</v>
      </c>
      <c r="O104" s="227" t="s">
        <v>6576</v>
      </c>
      <c r="P104" s="227">
        <v>2022</v>
      </c>
      <c r="Q104" s="250" t="s">
        <v>3499</v>
      </c>
      <c r="R104" s="250" t="s">
        <v>3503</v>
      </c>
    </row>
    <row r="105" spans="1:18" ht="15.75" thickBot="1" x14ac:dyDescent="0.3">
      <c r="A105" s="161" t="s">
        <v>3470</v>
      </c>
      <c r="B105" s="424" t="str">
        <f t="shared" si="9"/>
        <v>Barraqueiro Transportes, S.A.</v>
      </c>
      <c r="C105" s="82" t="str">
        <f t="shared" si="5"/>
        <v>Mafrense</v>
      </c>
      <c r="D105" s="162" t="s">
        <v>1657</v>
      </c>
      <c r="E105" s="162"/>
      <c r="F105" s="163"/>
      <c r="G105" s="161"/>
      <c r="H105" s="424" t="str">
        <f t="shared" si="8"/>
        <v/>
      </c>
      <c r="I105" s="333">
        <v>28791.22</v>
      </c>
      <c r="J105" s="162"/>
      <c r="K105" s="162" t="s">
        <v>1706</v>
      </c>
      <c r="L105" s="271">
        <v>2022</v>
      </c>
      <c r="M105" s="227" t="s">
        <v>1890</v>
      </c>
      <c r="N105" s="227" t="s">
        <v>1891</v>
      </c>
      <c r="O105" s="227" t="s">
        <v>6576</v>
      </c>
      <c r="P105" s="227">
        <v>2022</v>
      </c>
      <c r="Q105" s="250" t="s">
        <v>3499</v>
      </c>
      <c r="R105" s="250" t="s">
        <v>3503</v>
      </c>
    </row>
    <row r="106" spans="1:18" ht="15.75" thickBot="1" x14ac:dyDescent="0.3">
      <c r="A106" s="161" t="s">
        <v>3470</v>
      </c>
      <c r="B106" s="424" t="str">
        <f t="shared" si="9"/>
        <v>Barraqueiro Transportes, S.A.</v>
      </c>
      <c r="C106" s="424" t="str">
        <f t="shared" si="5"/>
        <v>Mafrense</v>
      </c>
      <c r="D106" s="162" t="s">
        <v>1661</v>
      </c>
      <c r="E106" s="162"/>
      <c r="F106" s="163"/>
      <c r="G106" s="161"/>
      <c r="H106" s="424" t="str">
        <f t="shared" si="8"/>
        <v/>
      </c>
      <c r="I106" s="333">
        <v>10255.56</v>
      </c>
      <c r="J106" s="162"/>
      <c r="K106" s="162" t="s">
        <v>1726</v>
      </c>
      <c r="L106" s="271">
        <v>2022</v>
      </c>
      <c r="M106" s="227" t="s">
        <v>1890</v>
      </c>
      <c r="N106" s="227" t="s">
        <v>1891</v>
      </c>
      <c r="O106" s="227" t="s">
        <v>6576</v>
      </c>
      <c r="P106" s="227">
        <v>2022</v>
      </c>
      <c r="Q106" s="250" t="s">
        <v>3499</v>
      </c>
      <c r="R106" s="250" t="s">
        <v>3503</v>
      </c>
    </row>
    <row r="107" spans="1:18" ht="15.75" thickBot="1" x14ac:dyDescent="0.3">
      <c r="A107" s="161" t="s">
        <v>3470</v>
      </c>
      <c r="B107" s="424" t="str">
        <f t="shared" si="9"/>
        <v>Barraqueiro Transportes, S.A.</v>
      </c>
      <c r="C107" s="82" t="str">
        <f t="shared" si="5"/>
        <v>Mafrense</v>
      </c>
      <c r="D107" s="162" t="s">
        <v>1662</v>
      </c>
      <c r="E107" s="162"/>
      <c r="F107" s="163"/>
      <c r="G107" s="161"/>
      <c r="H107" s="424" t="str">
        <f t="shared" si="8"/>
        <v/>
      </c>
      <c r="I107" s="333">
        <v>270082.64999999997</v>
      </c>
      <c r="J107" s="162"/>
      <c r="K107" s="162"/>
      <c r="L107" s="271">
        <v>2022</v>
      </c>
      <c r="M107" s="227" t="s">
        <v>1890</v>
      </c>
      <c r="N107" s="227" t="s">
        <v>1891</v>
      </c>
      <c r="O107" s="227" t="s">
        <v>6576</v>
      </c>
      <c r="P107" s="227">
        <v>2022</v>
      </c>
      <c r="Q107" s="250" t="s">
        <v>3499</v>
      </c>
      <c r="R107" s="250" t="s">
        <v>3503</v>
      </c>
    </row>
    <row r="108" spans="1:18" ht="15.75" thickBot="1" x14ac:dyDescent="0.3">
      <c r="A108" s="161" t="s">
        <v>3470</v>
      </c>
      <c r="B108" s="424" t="str">
        <f t="shared" si="9"/>
        <v>Barraqueiro Transportes, S.A.</v>
      </c>
      <c r="C108" s="82" t="str">
        <f t="shared" si="5"/>
        <v>Mafrense</v>
      </c>
      <c r="D108" s="162" t="s">
        <v>1670</v>
      </c>
      <c r="E108" s="162"/>
      <c r="F108" s="163"/>
      <c r="G108" s="161"/>
      <c r="H108" s="424" t="str">
        <f t="shared" si="8"/>
        <v/>
      </c>
      <c r="I108" s="333">
        <v>28.96</v>
      </c>
      <c r="J108" s="162"/>
      <c r="K108" s="162" t="s">
        <v>1667</v>
      </c>
      <c r="L108" s="271">
        <v>2022</v>
      </c>
      <c r="M108" s="227" t="s">
        <v>1890</v>
      </c>
      <c r="N108" s="227" t="s">
        <v>1891</v>
      </c>
      <c r="O108" s="227" t="s">
        <v>6576</v>
      </c>
      <c r="P108" s="227">
        <v>2022</v>
      </c>
      <c r="Q108" s="250" t="s">
        <v>3499</v>
      </c>
      <c r="R108" s="250" t="s">
        <v>3503</v>
      </c>
    </row>
    <row r="109" spans="1:18" ht="15.75" thickBot="1" x14ac:dyDescent="0.3">
      <c r="A109" s="161" t="s">
        <v>3470</v>
      </c>
      <c r="B109" s="424" t="str">
        <f t="shared" si="9"/>
        <v>Barraqueiro Transportes, S.A.</v>
      </c>
      <c r="C109" s="82" t="str">
        <f t="shared" si="5"/>
        <v>Mafrense</v>
      </c>
      <c r="D109" s="162" t="s">
        <v>1655</v>
      </c>
      <c r="E109" s="162"/>
      <c r="F109" s="163"/>
      <c r="G109" s="161"/>
      <c r="H109" s="424" t="str">
        <f t="shared" si="8"/>
        <v/>
      </c>
      <c r="I109" s="333">
        <v>2371.6999999999998</v>
      </c>
      <c r="J109" s="162"/>
      <c r="K109" s="162" t="s">
        <v>1698</v>
      </c>
      <c r="L109" s="271">
        <v>2022</v>
      </c>
      <c r="M109" s="227" t="s">
        <v>1890</v>
      </c>
      <c r="N109" s="227" t="s">
        <v>1891</v>
      </c>
      <c r="O109" s="227" t="s">
        <v>6576</v>
      </c>
      <c r="P109" s="227">
        <v>2022</v>
      </c>
      <c r="Q109" s="250" t="s">
        <v>3499</v>
      </c>
      <c r="R109" s="250" t="s">
        <v>3503</v>
      </c>
    </row>
    <row r="110" spans="1:18" ht="15.75" thickBot="1" x14ac:dyDescent="0.3">
      <c r="A110" s="424" t="s">
        <v>4643</v>
      </c>
      <c r="B110" s="82" t="s">
        <v>4643</v>
      </c>
      <c r="C110" s="82" t="str">
        <f t="shared" si="5"/>
        <v>X</v>
      </c>
      <c r="D110" s="425" t="s">
        <v>1681</v>
      </c>
      <c r="E110" s="527"/>
      <c r="F110" s="540"/>
      <c r="G110" s="527"/>
      <c r="H110" s="527"/>
      <c r="I110" s="332">
        <v>4310.04</v>
      </c>
      <c r="J110" s="425"/>
      <c r="K110" s="527"/>
      <c r="L110" s="271">
        <v>2022</v>
      </c>
      <c r="M110" s="227" t="s">
        <v>1890</v>
      </c>
      <c r="N110" s="227" t="s">
        <v>1891</v>
      </c>
      <c r="O110" s="227" t="s">
        <v>6576</v>
      </c>
      <c r="P110" s="227">
        <v>2022</v>
      </c>
      <c r="Q110" s="250" t="s">
        <v>3499</v>
      </c>
      <c r="R110" s="250" t="s">
        <v>3503</v>
      </c>
    </row>
    <row r="111" spans="1:18" ht="15.75" thickBot="1" x14ac:dyDescent="0.3">
      <c r="A111" s="424" t="s">
        <v>4643</v>
      </c>
      <c r="B111" s="82" t="s">
        <v>4643</v>
      </c>
      <c r="C111" s="82" t="str">
        <f t="shared" si="5"/>
        <v>X</v>
      </c>
      <c r="D111" s="425" t="s">
        <v>1661</v>
      </c>
      <c r="E111" s="527"/>
      <c r="F111" s="540"/>
      <c r="G111" s="527"/>
      <c r="H111" s="527"/>
      <c r="I111" s="332">
        <v>86055.34</v>
      </c>
      <c r="J111" s="425"/>
      <c r="K111" s="527"/>
      <c r="L111" s="271">
        <v>2022</v>
      </c>
      <c r="M111" s="227" t="s">
        <v>1890</v>
      </c>
      <c r="N111" s="227" t="s">
        <v>1891</v>
      </c>
      <c r="O111" s="227" t="s">
        <v>6576</v>
      </c>
      <c r="P111" s="227">
        <v>2022</v>
      </c>
      <c r="Q111" s="250" t="s">
        <v>3499</v>
      </c>
      <c r="R111" s="250" t="s">
        <v>3503</v>
      </c>
    </row>
    <row r="112" spans="1:18" ht="15.75" thickBot="1" x14ac:dyDescent="0.3">
      <c r="A112" s="424" t="s">
        <v>4581</v>
      </c>
      <c r="B112" s="82" t="s">
        <v>4581</v>
      </c>
      <c r="C112" s="82" t="str">
        <f t="shared" si="5"/>
        <v>X</v>
      </c>
      <c r="D112" s="425" t="s">
        <v>1675</v>
      </c>
      <c r="E112" s="425"/>
      <c r="F112" s="427"/>
      <c r="G112" s="424"/>
      <c r="H112" s="424" t="str">
        <f t="shared" ref="H112:H140" si="10">IFERROR(LEFT(F112,FIND(" ",F112)-1),"")</f>
        <v/>
      </c>
      <c r="I112" s="334"/>
      <c r="J112" s="425"/>
      <c r="K112" s="425" t="s">
        <v>1693</v>
      </c>
      <c r="L112" s="271">
        <v>2022</v>
      </c>
      <c r="M112" s="227" t="s">
        <v>1890</v>
      </c>
      <c r="N112" s="227" t="s">
        <v>1891</v>
      </c>
      <c r="O112" s="227" t="s">
        <v>6576</v>
      </c>
      <c r="P112" s="227">
        <v>2022</v>
      </c>
      <c r="Q112" s="250" t="s">
        <v>3499</v>
      </c>
      <c r="R112" s="250" t="s">
        <v>3503</v>
      </c>
    </row>
    <row r="113" spans="1:18" ht="15.75" thickBot="1" x14ac:dyDescent="0.3">
      <c r="A113" s="424" t="s">
        <v>4581</v>
      </c>
      <c r="B113" s="424" t="s">
        <v>4581</v>
      </c>
      <c r="C113" s="82" t="str">
        <f t="shared" si="5"/>
        <v>X</v>
      </c>
      <c r="D113" s="425" t="s">
        <v>1653</v>
      </c>
      <c r="E113" s="425"/>
      <c r="F113" s="427"/>
      <c r="G113" s="424"/>
      <c r="H113" s="424" t="str">
        <f t="shared" si="10"/>
        <v/>
      </c>
      <c r="I113" s="334"/>
      <c r="J113" s="425"/>
      <c r="K113" s="425" t="s">
        <v>1693</v>
      </c>
      <c r="L113" s="271">
        <v>2022</v>
      </c>
      <c r="M113" s="227" t="s">
        <v>1890</v>
      </c>
      <c r="N113" s="227" t="s">
        <v>1891</v>
      </c>
      <c r="O113" s="227" t="s">
        <v>6576</v>
      </c>
      <c r="P113" s="227">
        <v>2022</v>
      </c>
      <c r="Q113" s="250" t="s">
        <v>3499</v>
      </c>
      <c r="R113" s="250" t="s">
        <v>3503</v>
      </c>
    </row>
    <row r="114" spans="1:18" ht="15.75" thickBot="1" x14ac:dyDescent="0.3">
      <c r="A114" s="424" t="s">
        <v>4581</v>
      </c>
      <c r="B114" s="424" t="s">
        <v>4581</v>
      </c>
      <c r="C114" s="82" t="str">
        <f t="shared" si="5"/>
        <v>X</v>
      </c>
      <c r="D114" s="425" t="s">
        <v>1654</v>
      </c>
      <c r="E114" s="425"/>
      <c r="F114" s="427"/>
      <c r="G114" s="424"/>
      <c r="H114" s="424" t="str">
        <f t="shared" si="10"/>
        <v/>
      </c>
      <c r="I114" s="334"/>
      <c r="J114" s="425"/>
      <c r="K114" s="425" t="s">
        <v>1693</v>
      </c>
      <c r="L114" s="271">
        <v>2022</v>
      </c>
      <c r="M114" s="227" t="s">
        <v>1890</v>
      </c>
      <c r="N114" s="227" t="s">
        <v>1891</v>
      </c>
      <c r="O114" s="227" t="s">
        <v>6576</v>
      </c>
      <c r="P114" s="227">
        <v>2022</v>
      </c>
      <c r="Q114" s="250" t="s">
        <v>3499</v>
      </c>
      <c r="R114" s="250" t="s">
        <v>3503</v>
      </c>
    </row>
    <row r="115" spans="1:18" ht="15.75" thickBot="1" x14ac:dyDescent="0.3">
      <c r="A115" s="424" t="s">
        <v>4581</v>
      </c>
      <c r="B115" s="424" t="s">
        <v>4581</v>
      </c>
      <c r="C115" s="82" t="str">
        <f t="shared" si="5"/>
        <v>X</v>
      </c>
      <c r="D115" s="425" t="s">
        <v>2982</v>
      </c>
      <c r="E115" s="425"/>
      <c r="F115" s="427"/>
      <c r="G115" s="424"/>
      <c r="H115" s="424" t="str">
        <f t="shared" si="10"/>
        <v/>
      </c>
      <c r="I115" s="334"/>
      <c r="J115" s="425"/>
      <c r="K115" s="425" t="s">
        <v>1693</v>
      </c>
      <c r="L115" s="271">
        <v>2022</v>
      </c>
      <c r="M115" s="227" t="s">
        <v>1890</v>
      </c>
      <c r="N115" s="227" t="s">
        <v>1891</v>
      </c>
      <c r="O115" s="227" t="s">
        <v>6576</v>
      </c>
      <c r="P115" s="227">
        <v>2022</v>
      </c>
      <c r="Q115" s="250" t="s">
        <v>3499</v>
      </c>
      <c r="R115" s="250" t="s">
        <v>3503</v>
      </c>
    </row>
    <row r="116" spans="1:18" ht="15.75" thickBot="1" x14ac:dyDescent="0.3">
      <c r="A116" s="424" t="s">
        <v>4581</v>
      </c>
      <c r="B116" s="424" t="s">
        <v>4581</v>
      </c>
      <c r="C116" s="82" t="str">
        <f t="shared" si="5"/>
        <v>X</v>
      </c>
      <c r="D116" s="425" t="s">
        <v>1680</v>
      </c>
      <c r="E116" s="425"/>
      <c r="F116" s="427"/>
      <c r="G116" s="424"/>
      <c r="H116" s="424" t="str">
        <f t="shared" si="10"/>
        <v/>
      </c>
      <c r="I116" s="334">
        <v>13564.95</v>
      </c>
      <c r="J116" s="425"/>
      <c r="K116" s="425" t="s">
        <v>1686</v>
      </c>
      <c r="L116" s="271">
        <v>2022</v>
      </c>
      <c r="M116" s="227" t="s">
        <v>1890</v>
      </c>
      <c r="N116" s="227" t="s">
        <v>1891</v>
      </c>
      <c r="O116" s="227" t="s">
        <v>6576</v>
      </c>
      <c r="P116" s="227">
        <v>2022</v>
      </c>
      <c r="Q116" s="250" t="s">
        <v>3499</v>
      </c>
      <c r="R116" s="250" t="s">
        <v>3503</v>
      </c>
    </row>
    <row r="117" spans="1:18" ht="15.75" thickBot="1" x14ac:dyDescent="0.3">
      <c r="A117" s="424" t="s">
        <v>4581</v>
      </c>
      <c r="B117" s="424" t="s">
        <v>4581</v>
      </c>
      <c r="C117" s="82" t="str">
        <f t="shared" si="5"/>
        <v>X</v>
      </c>
      <c r="D117" s="425" t="s">
        <v>1656</v>
      </c>
      <c r="E117" s="425"/>
      <c r="F117" s="427"/>
      <c r="G117" s="424"/>
      <c r="H117" s="424" t="str">
        <f t="shared" si="10"/>
        <v/>
      </c>
      <c r="I117" s="334"/>
      <c r="J117" s="425"/>
      <c r="K117" s="425" t="s">
        <v>1693</v>
      </c>
      <c r="L117" s="271">
        <v>2022</v>
      </c>
      <c r="M117" s="227" t="s">
        <v>1890</v>
      </c>
      <c r="N117" s="227" t="s">
        <v>1891</v>
      </c>
      <c r="O117" s="227" t="s">
        <v>6576</v>
      </c>
      <c r="P117" s="227">
        <v>2022</v>
      </c>
      <c r="Q117" s="250" t="s">
        <v>3499</v>
      </c>
      <c r="R117" s="250" t="s">
        <v>3503</v>
      </c>
    </row>
    <row r="118" spans="1:18" ht="15.75" thickBot="1" x14ac:dyDescent="0.3">
      <c r="A118" s="424" t="s">
        <v>4581</v>
      </c>
      <c r="B118" s="424" t="s">
        <v>4581</v>
      </c>
      <c r="C118" s="82" t="str">
        <f t="shared" si="5"/>
        <v>X</v>
      </c>
      <c r="D118" s="425" t="s">
        <v>1658</v>
      </c>
      <c r="E118" s="425"/>
      <c r="F118" s="427"/>
      <c r="G118" s="424"/>
      <c r="H118" s="424" t="str">
        <f t="shared" si="10"/>
        <v/>
      </c>
      <c r="I118" s="334"/>
      <c r="J118" s="425"/>
      <c r="K118" s="425" t="s">
        <v>1693</v>
      </c>
      <c r="L118" s="271">
        <v>2022</v>
      </c>
      <c r="M118" s="227" t="s">
        <v>1890</v>
      </c>
      <c r="N118" s="227" t="s">
        <v>1891</v>
      </c>
      <c r="O118" s="227" t="s">
        <v>6576</v>
      </c>
      <c r="P118" s="227">
        <v>2022</v>
      </c>
      <c r="Q118" s="250" t="s">
        <v>3499</v>
      </c>
      <c r="R118" s="250" t="s">
        <v>3503</v>
      </c>
    </row>
    <row r="119" spans="1:18" ht="15.75" thickBot="1" x14ac:dyDescent="0.3">
      <c r="A119" s="424" t="s">
        <v>4581</v>
      </c>
      <c r="B119" s="424" t="s">
        <v>4581</v>
      </c>
      <c r="C119" s="424" t="str">
        <f t="shared" si="5"/>
        <v>X</v>
      </c>
      <c r="D119" s="425" t="s">
        <v>1659</v>
      </c>
      <c r="E119" s="425"/>
      <c r="F119" s="427"/>
      <c r="G119" s="424"/>
      <c r="H119" s="424" t="str">
        <f t="shared" si="10"/>
        <v/>
      </c>
      <c r="I119" s="334">
        <v>324</v>
      </c>
      <c r="J119" s="425"/>
      <c r="K119" s="425" t="s">
        <v>1701</v>
      </c>
      <c r="L119" s="271">
        <v>2022</v>
      </c>
      <c r="M119" s="227" t="s">
        <v>1890</v>
      </c>
      <c r="N119" s="227" t="s">
        <v>1891</v>
      </c>
      <c r="O119" s="227" t="s">
        <v>6576</v>
      </c>
      <c r="P119" s="227">
        <v>2022</v>
      </c>
      <c r="Q119" s="250" t="s">
        <v>3499</v>
      </c>
      <c r="R119" s="250" t="s">
        <v>3503</v>
      </c>
    </row>
    <row r="120" spans="1:18" ht="15.75" thickBot="1" x14ac:dyDescent="0.3">
      <c r="A120" s="424" t="s">
        <v>4581</v>
      </c>
      <c r="B120" s="424" t="s">
        <v>4581</v>
      </c>
      <c r="C120" s="82" t="str">
        <f t="shared" si="5"/>
        <v>X</v>
      </c>
      <c r="D120" s="425" t="s">
        <v>1657</v>
      </c>
      <c r="E120" s="425"/>
      <c r="F120" s="427"/>
      <c r="G120" s="424"/>
      <c r="H120" s="424" t="str">
        <f t="shared" si="10"/>
        <v/>
      </c>
      <c r="I120" s="334">
        <v>15633.34</v>
      </c>
      <c r="J120" s="425"/>
      <c r="K120" s="425" t="s">
        <v>1708</v>
      </c>
      <c r="L120" s="271">
        <v>2022</v>
      </c>
      <c r="M120" s="227" t="s">
        <v>1890</v>
      </c>
      <c r="N120" s="227" t="s">
        <v>1891</v>
      </c>
      <c r="O120" s="227" t="s">
        <v>6576</v>
      </c>
      <c r="P120" s="227">
        <v>2022</v>
      </c>
      <c r="Q120" s="250" t="s">
        <v>3499</v>
      </c>
      <c r="R120" s="250" t="s">
        <v>3503</v>
      </c>
    </row>
    <row r="121" spans="1:18" ht="15.75" thickBot="1" x14ac:dyDescent="0.3">
      <c r="A121" s="424" t="s">
        <v>4581</v>
      </c>
      <c r="B121" s="424" t="s">
        <v>4581</v>
      </c>
      <c r="C121" s="82" t="str">
        <f t="shared" si="5"/>
        <v>X</v>
      </c>
      <c r="D121" s="425" t="s">
        <v>1661</v>
      </c>
      <c r="E121" s="425"/>
      <c r="F121" s="427"/>
      <c r="G121" s="424"/>
      <c r="H121" s="424" t="str">
        <f t="shared" si="10"/>
        <v/>
      </c>
      <c r="I121" s="334">
        <v>338.63</v>
      </c>
      <c r="J121" s="425"/>
      <c r="K121" s="425" t="s">
        <v>1728</v>
      </c>
      <c r="L121" s="271">
        <v>2022</v>
      </c>
      <c r="M121" s="227" t="s">
        <v>1890</v>
      </c>
      <c r="N121" s="227" t="s">
        <v>1891</v>
      </c>
      <c r="O121" s="227" t="s">
        <v>6576</v>
      </c>
      <c r="P121" s="227">
        <v>2022</v>
      </c>
      <c r="Q121" s="250" t="s">
        <v>3499</v>
      </c>
      <c r="R121" s="250" t="s">
        <v>3503</v>
      </c>
    </row>
    <row r="122" spans="1:18" ht="15.75" thickBot="1" x14ac:dyDescent="0.3">
      <c r="A122" s="424" t="s">
        <v>4581</v>
      </c>
      <c r="B122" s="424" t="s">
        <v>4581</v>
      </c>
      <c r="C122" s="82" t="str">
        <f t="shared" si="5"/>
        <v>X</v>
      </c>
      <c r="D122" s="425" t="s">
        <v>1662</v>
      </c>
      <c r="E122" s="425"/>
      <c r="F122" s="427"/>
      <c r="G122" s="424"/>
      <c r="H122" s="424" t="str">
        <f t="shared" si="10"/>
        <v/>
      </c>
      <c r="I122" s="334">
        <v>29860.92</v>
      </c>
      <c r="J122" s="425"/>
      <c r="K122" s="425"/>
      <c r="L122" s="271">
        <v>2022</v>
      </c>
      <c r="M122" s="227" t="s">
        <v>1890</v>
      </c>
      <c r="N122" s="227" t="s">
        <v>1891</v>
      </c>
      <c r="O122" s="227" t="s">
        <v>6576</v>
      </c>
      <c r="P122" s="227">
        <v>2022</v>
      </c>
      <c r="Q122" s="250" t="s">
        <v>3499</v>
      </c>
      <c r="R122" s="250" t="s">
        <v>3503</v>
      </c>
    </row>
    <row r="123" spans="1:18" ht="15.75" thickBot="1" x14ac:dyDescent="0.3">
      <c r="A123" s="424" t="s">
        <v>4581</v>
      </c>
      <c r="B123" s="424" t="s">
        <v>4581</v>
      </c>
      <c r="C123" s="82" t="str">
        <f t="shared" si="5"/>
        <v>X</v>
      </c>
      <c r="D123" s="425" t="s">
        <v>1670</v>
      </c>
      <c r="E123" s="425"/>
      <c r="F123" s="427"/>
      <c r="G123" s="424"/>
      <c r="H123" s="424" t="str">
        <f t="shared" si="10"/>
        <v/>
      </c>
      <c r="I123" s="334"/>
      <c r="J123" s="425"/>
      <c r="K123" s="425" t="s">
        <v>1693</v>
      </c>
      <c r="L123" s="271">
        <v>2022</v>
      </c>
      <c r="M123" s="227" t="s">
        <v>1890</v>
      </c>
      <c r="N123" s="227" t="s">
        <v>1891</v>
      </c>
      <c r="O123" s="227" t="s">
        <v>6576</v>
      </c>
      <c r="P123" s="227">
        <v>2022</v>
      </c>
      <c r="Q123" s="250" t="s">
        <v>3499</v>
      </c>
      <c r="R123" s="250" t="s">
        <v>3503</v>
      </c>
    </row>
    <row r="124" spans="1:18" ht="15.75" thickBot="1" x14ac:dyDescent="0.3">
      <c r="A124" s="424" t="s">
        <v>4581</v>
      </c>
      <c r="B124" s="424" t="s">
        <v>4581</v>
      </c>
      <c r="C124" s="82" t="str">
        <f t="shared" si="5"/>
        <v>X</v>
      </c>
      <c r="D124" s="425" t="s">
        <v>1655</v>
      </c>
      <c r="E124" s="425"/>
      <c r="F124" s="427"/>
      <c r="G124" s="424"/>
      <c r="H124" s="424" t="str">
        <f t="shared" si="10"/>
        <v/>
      </c>
      <c r="I124" s="334"/>
      <c r="J124" s="425"/>
      <c r="K124" s="425" t="s">
        <v>1693</v>
      </c>
      <c r="L124" s="271">
        <v>2022</v>
      </c>
      <c r="M124" s="227" t="s">
        <v>1890</v>
      </c>
      <c r="N124" s="227" t="s">
        <v>1891</v>
      </c>
      <c r="O124" s="227" t="s">
        <v>6576</v>
      </c>
      <c r="P124" s="227">
        <v>2022</v>
      </c>
      <c r="Q124" s="250" t="s">
        <v>3499</v>
      </c>
      <c r="R124" s="250" t="s">
        <v>3503</v>
      </c>
    </row>
    <row r="125" spans="1:18" ht="15.75" thickBot="1" x14ac:dyDescent="0.3">
      <c r="A125" s="424" t="s">
        <v>4582</v>
      </c>
      <c r="B125" s="424" t="s">
        <v>4582</v>
      </c>
      <c r="C125" s="82" t="str">
        <f t="shared" si="5"/>
        <v>X</v>
      </c>
      <c r="D125" s="425" t="s">
        <v>1675</v>
      </c>
      <c r="E125" s="425"/>
      <c r="F125" s="427"/>
      <c r="G125" s="424"/>
      <c r="H125" s="424" t="str">
        <f t="shared" si="10"/>
        <v/>
      </c>
      <c r="I125" s="334"/>
      <c r="J125" s="425"/>
      <c r="K125" s="425" t="s">
        <v>1693</v>
      </c>
      <c r="L125" s="271">
        <v>2022</v>
      </c>
      <c r="M125" s="227" t="s">
        <v>1890</v>
      </c>
      <c r="N125" s="227" t="s">
        <v>1891</v>
      </c>
      <c r="O125" s="227" t="s">
        <v>6576</v>
      </c>
      <c r="P125" s="227">
        <v>2022</v>
      </c>
      <c r="Q125" s="250" t="s">
        <v>3499</v>
      </c>
      <c r="R125" s="250" t="s">
        <v>3503</v>
      </c>
    </row>
    <row r="126" spans="1:18" ht="15.75" thickBot="1" x14ac:dyDescent="0.3">
      <c r="A126" s="424" t="s">
        <v>4582</v>
      </c>
      <c r="B126" s="424" t="s">
        <v>4582</v>
      </c>
      <c r="C126" s="82" t="str">
        <f t="shared" si="5"/>
        <v>X</v>
      </c>
      <c r="D126" s="425" t="s">
        <v>1653</v>
      </c>
      <c r="E126" s="425"/>
      <c r="F126" s="427"/>
      <c r="G126" s="424"/>
      <c r="H126" s="424" t="str">
        <f t="shared" si="10"/>
        <v/>
      </c>
      <c r="I126" s="334"/>
      <c r="J126" s="425"/>
      <c r="K126" s="425" t="s">
        <v>1693</v>
      </c>
      <c r="L126" s="271">
        <v>2022</v>
      </c>
      <c r="M126" s="227" t="s">
        <v>1890</v>
      </c>
      <c r="N126" s="227" t="s">
        <v>1891</v>
      </c>
      <c r="O126" s="227" t="s">
        <v>6576</v>
      </c>
      <c r="P126" s="227">
        <v>2022</v>
      </c>
      <c r="Q126" s="250" t="s">
        <v>3499</v>
      </c>
      <c r="R126" s="250" t="s">
        <v>3503</v>
      </c>
    </row>
    <row r="127" spans="1:18" ht="15.75" thickBot="1" x14ac:dyDescent="0.3">
      <c r="A127" s="424" t="s">
        <v>4582</v>
      </c>
      <c r="B127" s="424" t="s">
        <v>4582</v>
      </c>
      <c r="C127" s="82" t="str">
        <f t="shared" si="5"/>
        <v>X</v>
      </c>
      <c r="D127" s="425" t="s">
        <v>1654</v>
      </c>
      <c r="E127" s="425"/>
      <c r="F127" s="427"/>
      <c r="G127" s="424"/>
      <c r="H127" s="424" t="str">
        <f t="shared" si="10"/>
        <v/>
      </c>
      <c r="I127" s="334"/>
      <c r="J127" s="425"/>
      <c r="K127" s="425" t="s">
        <v>1693</v>
      </c>
      <c r="L127" s="271">
        <v>2022</v>
      </c>
      <c r="M127" s="227" t="s">
        <v>1890</v>
      </c>
      <c r="N127" s="227" t="s">
        <v>1891</v>
      </c>
      <c r="O127" s="227" t="s">
        <v>6576</v>
      </c>
      <c r="P127" s="227">
        <v>2022</v>
      </c>
      <c r="Q127" s="250" t="s">
        <v>3499</v>
      </c>
      <c r="R127" s="250" t="s">
        <v>3503</v>
      </c>
    </row>
    <row r="128" spans="1:18" ht="15.75" thickBot="1" x14ac:dyDescent="0.3">
      <c r="A128" s="424" t="s">
        <v>4582</v>
      </c>
      <c r="B128" s="424" t="s">
        <v>4582</v>
      </c>
      <c r="C128" s="82" t="str">
        <f t="shared" si="5"/>
        <v>X</v>
      </c>
      <c r="D128" s="425" t="s">
        <v>2982</v>
      </c>
      <c r="E128" s="425"/>
      <c r="F128" s="427"/>
      <c r="G128" s="424"/>
      <c r="H128" s="424" t="str">
        <f t="shared" si="10"/>
        <v/>
      </c>
      <c r="I128" s="334">
        <v>525.41</v>
      </c>
      <c r="J128" s="425"/>
      <c r="K128" s="425" t="s">
        <v>1694</v>
      </c>
      <c r="L128" s="271">
        <v>2022</v>
      </c>
      <c r="M128" s="227" t="s">
        <v>1890</v>
      </c>
      <c r="N128" s="227" t="s">
        <v>1891</v>
      </c>
      <c r="O128" s="227" t="s">
        <v>6576</v>
      </c>
      <c r="P128" s="227">
        <v>2022</v>
      </c>
      <c r="Q128" s="250" t="s">
        <v>3499</v>
      </c>
      <c r="R128" s="250" t="s">
        <v>3503</v>
      </c>
    </row>
    <row r="129" spans="1:18" ht="15.75" thickBot="1" x14ac:dyDescent="0.3">
      <c r="A129" s="424" t="s">
        <v>4582</v>
      </c>
      <c r="B129" s="424" t="s">
        <v>4582</v>
      </c>
      <c r="C129" s="424" t="str">
        <f t="shared" si="5"/>
        <v>X</v>
      </c>
      <c r="D129" s="425" t="s">
        <v>1680</v>
      </c>
      <c r="E129" s="425"/>
      <c r="F129" s="427"/>
      <c r="G129" s="424"/>
      <c r="H129" s="424" t="str">
        <f t="shared" si="10"/>
        <v/>
      </c>
      <c r="I129" s="334">
        <v>3029.7</v>
      </c>
      <c r="J129" s="425"/>
      <c r="K129" s="425" t="s">
        <v>1687</v>
      </c>
      <c r="L129" s="271">
        <v>2022</v>
      </c>
      <c r="M129" s="227" t="s">
        <v>1890</v>
      </c>
      <c r="N129" s="227" t="s">
        <v>1891</v>
      </c>
      <c r="O129" s="227" t="s">
        <v>6576</v>
      </c>
      <c r="P129" s="227">
        <v>2022</v>
      </c>
      <c r="Q129" s="250" t="s">
        <v>3499</v>
      </c>
      <c r="R129" s="250" t="s">
        <v>3503</v>
      </c>
    </row>
    <row r="130" spans="1:18" ht="15.75" thickBot="1" x14ac:dyDescent="0.3">
      <c r="A130" s="424" t="s">
        <v>4582</v>
      </c>
      <c r="B130" s="424" t="s">
        <v>4582</v>
      </c>
      <c r="C130" s="82" t="str">
        <f t="shared" si="5"/>
        <v>X</v>
      </c>
      <c r="D130" s="425" t="s">
        <v>1656</v>
      </c>
      <c r="E130" s="425"/>
      <c r="F130" s="427"/>
      <c r="G130" s="424"/>
      <c r="H130" s="424" t="str">
        <f t="shared" si="10"/>
        <v/>
      </c>
      <c r="I130" s="334"/>
      <c r="J130" s="425"/>
      <c r="K130" s="425" t="s">
        <v>1693</v>
      </c>
      <c r="L130" s="271">
        <v>2022</v>
      </c>
      <c r="M130" s="227" t="s">
        <v>1890</v>
      </c>
      <c r="N130" s="227" t="s">
        <v>1891</v>
      </c>
      <c r="O130" s="227" t="s">
        <v>6576</v>
      </c>
      <c r="P130" s="227">
        <v>2022</v>
      </c>
      <c r="Q130" s="250" t="s">
        <v>3499</v>
      </c>
      <c r="R130" s="250" t="s">
        <v>3503</v>
      </c>
    </row>
    <row r="131" spans="1:18" ht="15.75" thickBot="1" x14ac:dyDescent="0.3">
      <c r="A131" s="424" t="s">
        <v>4582</v>
      </c>
      <c r="B131" s="424" t="s">
        <v>4582</v>
      </c>
      <c r="C131" s="82" t="str">
        <f t="shared" ref="C131:C194" si="11">IF(A131=B131,"X",RIGHT(A131,LEN(A131)-LEN(B131)-3))</f>
        <v>X</v>
      </c>
      <c r="D131" s="425" t="s">
        <v>1658</v>
      </c>
      <c r="E131" s="425"/>
      <c r="F131" s="427"/>
      <c r="G131" s="424"/>
      <c r="H131" s="424" t="str">
        <f t="shared" si="10"/>
        <v/>
      </c>
      <c r="I131" s="334"/>
      <c r="J131" s="425"/>
      <c r="K131" s="425" t="s">
        <v>1693</v>
      </c>
      <c r="L131" s="271">
        <v>2022</v>
      </c>
      <c r="M131" s="227" t="s">
        <v>1890</v>
      </c>
      <c r="N131" s="227" t="s">
        <v>1891</v>
      </c>
      <c r="O131" s="227" t="s">
        <v>6576</v>
      </c>
      <c r="P131" s="227">
        <v>2022</v>
      </c>
      <c r="Q131" s="250" t="s">
        <v>3499</v>
      </c>
      <c r="R131" s="250" t="s">
        <v>3503</v>
      </c>
    </row>
    <row r="132" spans="1:18" ht="15.75" thickBot="1" x14ac:dyDescent="0.3">
      <c r="A132" s="424" t="s">
        <v>4582</v>
      </c>
      <c r="B132" s="424" t="s">
        <v>4582</v>
      </c>
      <c r="C132" s="82" t="str">
        <f t="shared" si="11"/>
        <v>X</v>
      </c>
      <c r="D132" s="425" t="s">
        <v>1659</v>
      </c>
      <c r="E132" s="425"/>
      <c r="F132" s="427"/>
      <c r="G132" s="424"/>
      <c r="H132" s="424" t="str">
        <f t="shared" si="10"/>
        <v/>
      </c>
      <c r="I132" s="334">
        <v>17570.53</v>
      </c>
      <c r="J132" s="425"/>
      <c r="K132" s="425" t="s">
        <v>1723</v>
      </c>
      <c r="L132" s="271">
        <v>2022</v>
      </c>
      <c r="M132" s="227" t="s">
        <v>1890</v>
      </c>
      <c r="N132" s="227" t="s">
        <v>1891</v>
      </c>
      <c r="O132" s="227" t="s">
        <v>6576</v>
      </c>
      <c r="P132" s="227">
        <v>2022</v>
      </c>
      <c r="Q132" s="250" t="s">
        <v>3499</v>
      </c>
      <c r="R132" s="250" t="s">
        <v>3503</v>
      </c>
    </row>
    <row r="133" spans="1:18" ht="15.75" thickBot="1" x14ac:dyDescent="0.3">
      <c r="A133" s="424" t="s">
        <v>4582</v>
      </c>
      <c r="B133" s="424" t="s">
        <v>4582</v>
      </c>
      <c r="C133" s="82" t="str">
        <f t="shared" si="11"/>
        <v>X</v>
      </c>
      <c r="D133" s="425" t="s">
        <v>1657</v>
      </c>
      <c r="E133" s="425"/>
      <c r="F133" s="427"/>
      <c r="G133" s="424"/>
      <c r="H133" s="424" t="str">
        <f t="shared" si="10"/>
        <v/>
      </c>
      <c r="I133" s="334">
        <v>209.52</v>
      </c>
      <c r="J133" s="425"/>
      <c r="K133" s="425" t="s">
        <v>1689</v>
      </c>
      <c r="L133" s="271">
        <v>2022</v>
      </c>
      <c r="M133" s="227" t="s">
        <v>1890</v>
      </c>
      <c r="N133" s="227" t="s">
        <v>1891</v>
      </c>
      <c r="O133" s="227" t="s">
        <v>6576</v>
      </c>
      <c r="P133" s="227">
        <v>2022</v>
      </c>
      <c r="Q133" s="250" t="s">
        <v>3499</v>
      </c>
      <c r="R133" s="250" t="s">
        <v>3503</v>
      </c>
    </row>
    <row r="134" spans="1:18" ht="15.75" thickBot="1" x14ac:dyDescent="0.3">
      <c r="A134" s="424" t="s">
        <v>4582</v>
      </c>
      <c r="B134" s="424" t="s">
        <v>4582</v>
      </c>
      <c r="C134" s="82" t="str">
        <f t="shared" si="11"/>
        <v>X</v>
      </c>
      <c r="D134" s="425" t="s">
        <v>1661</v>
      </c>
      <c r="E134" s="425"/>
      <c r="F134" s="427"/>
      <c r="G134" s="424"/>
      <c r="H134" s="424" t="str">
        <f t="shared" si="10"/>
        <v/>
      </c>
      <c r="I134" s="334">
        <v>541.69000000000005</v>
      </c>
      <c r="J134" s="425"/>
      <c r="K134" s="425" t="s">
        <v>1729</v>
      </c>
      <c r="L134" s="271">
        <v>2022</v>
      </c>
      <c r="M134" s="227" t="s">
        <v>1890</v>
      </c>
      <c r="N134" s="227" t="s">
        <v>1891</v>
      </c>
      <c r="O134" s="227" t="s">
        <v>6576</v>
      </c>
      <c r="P134" s="227">
        <v>2022</v>
      </c>
      <c r="Q134" s="250" t="s">
        <v>3499</v>
      </c>
      <c r="R134" s="250" t="s">
        <v>3503</v>
      </c>
    </row>
    <row r="135" spans="1:18" ht="15.75" thickBot="1" x14ac:dyDescent="0.3">
      <c r="A135" s="424" t="s">
        <v>4582</v>
      </c>
      <c r="B135" s="424" t="s">
        <v>4582</v>
      </c>
      <c r="C135" s="82" t="str">
        <f t="shared" si="11"/>
        <v>X</v>
      </c>
      <c r="D135" s="425" t="s">
        <v>1662</v>
      </c>
      <c r="E135" s="425"/>
      <c r="F135" s="427"/>
      <c r="G135" s="424"/>
      <c r="H135" s="424" t="str">
        <f t="shared" si="10"/>
        <v/>
      </c>
      <c r="I135" s="334">
        <v>21876.85</v>
      </c>
      <c r="J135" s="425"/>
      <c r="K135" s="425"/>
      <c r="L135" s="271">
        <v>2022</v>
      </c>
      <c r="M135" s="227" t="s">
        <v>1890</v>
      </c>
      <c r="N135" s="227" t="s">
        <v>1891</v>
      </c>
      <c r="O135" s="227" t="s">
        <v>6576</v>
      </c>
      <c r="P135" s="227">
        <v>2022</v>
      </c>
      <c r="Q135" s="250" t="s">
        <v>3499</v>
      </c>
      <c r="R135" s="250" t="s">
        <v>3503</v>
      </c>
    </row>
    <row r="136" spans="1:18" ht="15.75" thickBot="1" x14ac:dyDescent="0.3">
      <c r="A136" s="424" t="s">
        <v>4582</v>
      </c>
      <c r="B136" s="424" t="s">
        <v>4582</v>
      </c>
      <c r="C136" s="82" t="str">
        <f t="shared" si="11"/>
        <v>X</v>
      </c>
      <c r="D136" s="425" t="s">
        <v>1670</v>
      </c>
      <c r="E136" s="425"/>
      <c r="F136" s="427"/>
      <c r="G136" s="424"/>
      <c r="H136" s="424" t="str">
        <f t="shared" si="10"/>
        <v/>
      </c>
      <c r="I136" s="334"/>
      <c r="J136" s="425"/>
      <c r="K136" s="425" t="s">
        <v>1693</v>
      </c>
      <c r="L136" s="271">
        <v>2022</v>
      </c>
      <c r="M136" s="227" t="s">
        <v>1890</v>
      </c>
      <c r="N136" s="227" t="s">
        <v>1891</v>
      </c>
      <c r="O136" s="227" t="s">
        <v>6576</v>
      </c>
      <c r="P136" s="227">
        <v>2022</v>
      </c>
      <c r="Q136" s="250" t="s">
        <v>3499</v>
      </c>
      <c r="R136" s="250" t="s">
        <v>3503</v>
      </c>
    </row>
    <row r="137" spans="1:18" ht="15.75" thickBot="1" x14ac:dyDescent="0.3">
      <c r="A137" s="424" t="s">
        <v>4582</v>
      </c>
      <c r="B137" s="424" t="s">
        <v>4582</v>
      </c>
      <c r="C137" s="82" t="str">
        <f t="shared" si="11"/>
        <v>X</v>
      </c>
      <c r="D137" s="425" t="s">
        <v>1655</v>
      </c>
      <c r="E137" s="425"/>
      <c r="F137" s="427"/>
      <c r="G137" s="424"/>
      <c r="H137" s="424" t="str">
        <f t="shared" si="10"/>
        <v/>
      </c>
      <c r="I137" s="334"/>
      <c r="J137" s="425"/>
      <c r="K137" s="425" t="s">
        <v>1693</v>
      </c>
      <c r="L137" s="271">
        <v>2022</v>
      </c>
      <c r="M137" s="227" t="s">
        <v>1890</v>
      </c>
      <c r="N137" s="227" t="s">
        <v>1891</v>
      </c>
      <c r="O137" s="227" t="s">
        <v>6576</v>
      </c>
      <c r="P137" s="227">
        <v>2022</v>
      </c>
      <c r="Q137" s="250" t="s">
        <v>3499</v>
      </c>
      <c r="R137" s="250" t="s">
        <v>3503</v>
      </c>
    </row>
    <row r="138" spans="1:18" ht="15.75" thickBot="1" x14ac:dyDescent="0.3">
      <c r="A138" s="424" t="s">
        <v>4583</v>
      </c>
      <c r="B138" s="424" t="s">
        <v>4583</v>
      </c>
      <c r="C138" s="82" t="str">
        <f t="shared" si="11"/>
        <v>X</v>
      </c>
      <c r="D138" s="425" t="s">
        <v>2982</v>
      </c>
      <c r="E138" s="425"/>
      <c r="F138" s="429"/>
      <c r="G138" s="161"/>
      <c r="H138" s="424" t="str">
        <f t="shared" si="10"/>
        <v/>
      </c>
      <c r="I138" s="332">
        <v>1086346.1700000002</v>
      </c>
      <c r="J138" s="162"/>
      <c r="K138" s="162"/>
      <c r="L138" s="271">
        <v>2022</v>
      </c>
      <c r="M138" s="227" t="s">
        <v>1890</v>
      </c>
      <c r="N138" s="227" t="s">
        <v>1891</v>
      </c>
      <c r="O138" s="227" t="s">
        <v>6576</v>
      </c>
      <c r="P138" s="227">
        <v>2022</v>
      </c>
      <c r="Q138" s="250" t="s">
        <v>3499</v>
      </c>
      <c r="R138" s="250" t="s">
        <v>3503</v>
      </c>
    </row>
    <row r="139" spans="1:18" ht="15.75" thickBot="1" x14ac:dyDescent="0.3">
      <c r="A139" s="424" t="s">
        <v>4583</v>
      </c>
      <c r="B139" s="424" t="s">
        <v>4583</v>
      </c>
      <c r="C139" s="82" t="str">
        <f t="shared" si="11"/>
        <v>X</v>
      </c>
      <c r="D139" s="425" t="s">
        <v>1681</v>
      </c>
      <c r="E139" s="425"/>
      <c r="F139" s="429"/>
      <c r="G139" s="161"/>
      <c r="H139" s="424" t="str">
        <f t="shared" si="10"/>
        <v/>
      </c>
      <c r="I139" s="332">
        <v>207577.66999999998</v>
      </c>
      <c r="J139" s="162"/>
      <c r="K139" s="162"/>
      <c r="L139" s="271">
        <v>2022</v>
      </c>
      <c r="M139" s="227" t="s">
        <v>1890</v>
      </c>
      <c r="N139" s="227" t="s">
        <v>1891</v>
      </c>
      <c r="O139" s="227" t="s">
        <v>6576</v>
      </c>
      <c r="P139" s="227">
        <v>2022</v>
      </c>
      <c r="Q139" s="250" t="s">
        <v>3499</v>
      </c>
      <c r="R139" s="250" t="s">
        <v>3503</v>
      </c>
    </row>
    <row r="140" spans="1:18" ht="15.75" thickBot="1" x14ac:dyDescent="0.3">
      <c r="A140" s="424" t="s">
        <v>4583</v>
      </c>
      <c r="B140" s="424" t="s">
        <v>4583</v>
      </c>
      <c r="C140" s="82" t="str">
        <f t="shared" si="11"/>
        <v>X</v>
      </c>
      <c r="D140" s="425" t="s">
        <v>3030</v>
      </c>
      <c r="E140" s="425"/>
      <c r="F140" s="429"/>
      <c r="G140" s="161"/>
      <c r="H140" s="424" t="str">
        <f t="shared" si="10"/>
        <v/>
      </c>
      <c r="I140" s="332">
        <v>297973.40000000002</v>
      </c>
      <c r="J140" s="162"/>
      <c r="K140" s="162"/>
      <c r="L140" s="271">
        <v>2022</v>
      </c>
      <c r="M140" s="227" t="s">
        <v>1890</v>
      </c>
      <c r="N140" s="227" t="s">
        <v>1891</v>
      </c>
      <c r="O140" s="227" t="s">
        <v>6576</v>
      </c>
      <c r="P140" s="227">
        <v>2022</v>
      </c>
      <c r="Q140" s="250" t="s">
        <v>3499</v>
      </c>
      <c r="R140" s="250" t="s">
        <v>3503</v>
      </c>
    </row>
    <row r="141" spans="1:18" ht="15.75" thickBot="1" x14ac:dyDescent="0.3">
      <c r="A141" s="424" t="s">
        <v>4601</v>
      </c>
      <c r="B141" s="424" t="s">
        <v>4601</v>
      </c>
      <c r="C141" s="82" t="str">
        <f t="shared" si="11"/>
        <v>X</v>
      </c>
      <c r="D141" s="425" t="s">
        <v>1659</v>
      </c>
      <c r="E141" s="527"/>
      <c r="F141" s="540"/>
      <c r="G141" s="527"/>
      <c r="H141" s="527"/>
      <c r="I141" s="332">
        <v>1649.18</v>
      </c>
      <c r="J141" s="425"/>
      <c r="K141" s="425" t="s">
        <v>160</v>
      </c>
      <c r="L141" s="271">
        <v>2022</v>
      </c>
      <c r="M141" s="227" t="s">
        <v>1890</v>
      </c>
      <c r="N141" s="238" t="s">
        <v>1891</v>
      </c>
      <c r="O141" s="227" t="s">
        <v>6576</v>
      </c>
      <c r="P141" s="227">
        <v>2022</v>
      </c>
      <c r="Q141" s="250" t="s">
        <v>3499</v>
      </c>
      <c r="R141" s="250" t="s">
        <v>3503</v>
      </c>
    </row>
    <row r="142" spans="1:18" ht="15.75" thickBot="1" x14ac:dyDescent="0.3">
      <c r="A142" s="424" t="s">
        <v>4601</v>
      </c>
      <c r="B142" s="424" t="s">
        <v>4601</v>
      </c>
      <c r="C142" s="82" t="str">
        <f t="shared" si="11"/>
        <v>X</v>
      </c>
      <c r="D142" s="425" t="s">
        <v>1657</v>
      </c>
      <c r="E142" s="527"/>
      <c r="F142" s="540"/>
      <c r="G142" s="527"/>
      <c r="H142" s="527"/>
      <c r="I142" s="332">
        <v>12469.18</v>
      </c>
      <c r="J142" s="425"/>
      <c r="K142" s="425" t="s">
        <v>3820</v>
      </c>
      <c r="L142" s="271">
        <v>2022</v>
      </c>
      <c r="M142" s="227" t="s">
        <v>1890</v>
      </c>
      <c r="N142" s="238" t="s">
        <v>1891</v>
      </c>
      <c r="O142" s="227" t="s">
        <v>6576</v>
      </c>
      <c r="P142" s="227">
        <v>2022</v>
      </c>
      <c r="Q142" s="250" t="s">
        <v>3499</v>
      </c>
      <c r="R142" s="250" t="s">
        <v>3503</v>
      </c>
    </row>
    <row r="143" spans="1:18" ht="15.75" thickBot="1" x14ac:dyDescent="0.3">
      <c r="A143" s="424" t="s">
        <v>4601</v>
      </c>
      <c r="B143" s="424" t="s">
        <v>4601</v>
      </c>
      <c r="C143" s="424" t="str">
        <f t="shared" si="11"/>
        <v>X</v>
      </c>
      <c r="D143" s="425" t="s">
        <v>1657</v>
      </c>
      <c r="E143" s="527"/>
      <c r="F143" s="540"/>
      <c r="G143" s="527"/>
      <c r="H143" s="527"/>
      <c r="I143" s="332">
        <v>15544.47</v>
      </c>
      <c r="J143" s="425"/>
      <c r="K143" s="425" t="s">
        <v>3821</v>
      </c>
      <c r="L143" s="271">
        <v>2022</v>
      </c>
      <c r="M143" s="227" t="s">
        <v>1890</v>
      </c>
      <c r="N143" s="238" t="s">
        <v>1891</v>
      </c>
      <c r="O143" s="227" t="s">
        <v>6576</v>
      </c>
      <c r="P143" s="227">
        <v>2022</v>
      </c>
      <c r="Q143" s="250" t="s">
        <v>3499</v>
      </c>
      <c r="R143" s="250" t="s">
        <v>3503</v>
      </c>
    </row>
    <row r="144" spans="1:18" ht="15.75" thickBot="1" x14ac:dyDescent="0.3">
      <c r="A144" s="424" t="s">
        <v>4601</v>
      </c>
      <c r="B144" s="424" t="s">
        <v>4601</v>
      </c>
      <c r="C144" s="82" t="str">
        <f t="shared" si="11"/>
        <v>X</v>
      </c>
      <c r="D144" s="425" t="s">
        <v>1657</v>
      </c>
      <c r="E144" s="527"/>
      <c r="F144" s="540"/>
      <c r="G144" s="527"/>
      <c r="H144" s="527"/>
      <c r="I144" s="332">
        <v>3485.89</v>
      </c>
      <c r="J144" s="425"/>
      <c r="K144" s="425" t="s">
        <v>3822</v>
      </c>
      <c r="L144" s="271">
        <v>2022</v>
      </c>
      <c r="M144" s="227" t="s">
        <v>1890</v>
      </c>
      <c r="N144" s="238" t="s">
        <v>1891</v>
      </c>
      <c r="O144" s="227" t="s">
        <v>6576</v>
      </c>
      <c r="P144" s="227">
        <v>2022</v>
      </c>
      <c r="Q144" s="250" t="s">
        <v>3499</v>
      </c>
      <c r="R144" s="250" t="s">
        <v>3503</v>
      </c>
    </row>
    <row r="145" spans="1:18" ht="15.75" thickBot="1" x14ac:dyDescent="0.3">
      <c r="A145" s="424" t="s">
        <v>4601</v>
      </c>
      <c r="B145" s="424" t="s">
        <v>4601</v>
      </c>
      <c r="C145" s="82" t="str">
        <f t="shared" si="11"/>
        <v>X</v>
      </c>
      <c r="D145" s="425" t="s">
        <v>1657</v>
      </c>
      <c r="E145" s="527"/>
      <c r="F145" s="540"/>
      <c r="G145" s="527"/>
      <c r="H145" s="527"/>
      <c r="I145" s="332">
        <v>297166.34999999998</v>
      </c>
      <c r="J145" s="425"/>
      <c r="K145" s="425" t="s">
        <v>3823</v>
      </c>
      <c r="L145" s="271">
        <v>2022</v>
      </c>
      <c r="M145" s="227" t="s">
        <v>1890</v>
      </c>
      <c r="N145" s="238" t="s">
        <v>1891</v>
      </c>
      <c r="O145" s="227" t="s">
        <v>6576</v>
      </c>
      <c r="P145" s="227">
        <v>2022</v>
      </c>
      <c r="Q145" s="250" t="s">
        <v>3499</v>
      </c>
      <c r="R145" s="250" t="s">
        <v>3503</v>
      </c>
    </row>
    <row r="146" spans="1:18" ht="15.75" thickBot="1" x14ac:dyDescent="0.3">
      <c r="A146" s="424" t="s">
        <v>4601</v>
      </c>
      <c r="B146" s="424" t="s">
        <v>4601</v>
      </c>
      <c r="C146" s="82" t="str">
        <f t="shared" si="11"/>
        <v>X</v>
      </c>
      <c r="D146" s="425" t="s">
        <v>1661</v>
      </c>
      <c r="E146" s="527"/>
      <c r="F146" s="540"/>
      <c r="G146" s="527"/>
      <c r="H146" s="527"/>
      <c r="I146" s="332">
        <v>947963.21</v>
      </c>
      <c r="J146" s="425"/>
      <c r="K146" s="425" t="s">
        <v>3819</v>
      </c>
      <c r="L146" s="271">
        <v>2022</v>
      </c>
      <c r="M146" s="227" t="s">
        <v>1890</v>
      </c>
      <c r="N146" s="238" t="s">
        <v>1891</v>
      </c>
      <c r="O146" s="227" t="s">
        <v>6576</v>
      </c>
      <c r="P146" s="227">
        <v>2022</v>
      </c>
      <c r="Q146" s="250" t="s">
        <v>3499</v>
      </c>
      <c r="R146" s="250" t="s">
        <v>3503</v>
      </c>
    </row>
    <row r="147" spans="1:18" ht="15.75" thickBot="1" x14ac:dyDescent="0.3">
      <c r="A147" s="424" t="s">
        <v>4601</v>
      </c>
      <c r="B147" s="424" t="s">
        <v>4601</v>
      </c>
      <c r="C147" s="82" t="str">
        <f t="shared" si="11"/>
        <v>X</v>
      </c>
      <c r="D147" s="162" t="s">
        <v>1670</v>
      </c>
      <c r="E147" s="527"/>
      <c r="F147" s="540"/>
      <c r="G147" s="527"/>
      <c r="H147" s="527"/>
      <c r="I147" s="332">
        <v>4030.03</v>
      </c>
      <c r="J147" s="425"/>
      <c r="K147" s="425" t="s">
        <v>1670</v>
      </c>
      <c r="L147" s="271">
        <v>2022</v>
      </c>
      <c r="M147" s="227" t="s">
        <v>1890</v>
      </c>
      <c r="N147" s="238" t="s">
        <v>1891</v>
      </c>
      <c r="O147" s="227" t="s">
        <v>6576</v>
      </c>
      <c r="P147" s="227">
        <v>2022</v>
      </c>
      <c r="Q147" s="250" t="s">
        <v>3499</v>
      </c>
      <c r="R147" s="250" t="s">
        <v>3503</v>
      </c>
    </row>
    <row r="148" spans="1:18" ht="15.75" thickBot="1" x14ac:dyDescent="0.3">
      <c r="A148" s="424" t="s">
        <v>4642</v>
      </c>
      <c r="B148" s="424" t="s">
        <v>4642</v>
      </c>
      <c r="C148" s="82" t="str">
        <f t="shared" si="11"/>
        <v>X</v>
      </c>
      <c r="D148" s="425" t="s">
        <v>1653</v>
      </c>
      <c r="E148" s="527"/>
      <c r="F148" s="540"/>
      <c r="G148" s="527"/>
      <c r="H148" s="527"/>
      <c r="I148" s="332">
        <v>1786.84</v>
      </c>
      <c r="J148" s="425"/>
      <c r="K148" s="527"/>
      <c r="L148" s="271">
        <v>2022</v>
      </c>
      <c r="M148" s="227" t="s">
        <v>1890</v>
      </c>
      <c r="N148" s="227" t="s">
        <v>1891</v>
      </c>
      <c r="O148" s="227" t="s">
        <v>6576</v>
      </c>
      <c r="P148" s="227">
        <v>2022</v>
      </c>
      <c r="Q148" s="250" t="s">
        <v>3499</v>
      </c>
      <c r="R148" s="250" t="s">
        <v>3503</v>
      </c>
    </row>
    <row r="149" spans="1:18" ht="15.75" thickBot="1" x14ac:dyDescent="0.3">
      <c r="A149" s="424" t="s">
        <v>4642</v>
      </c>
      <c r="B149" s="424" t="s">
        <v>4642</v>
      </c>
      <c r="C149" s="82" t="str">
        <f t="shared" si="11"/>
        <v>X</v>
      </c>
      <c r="D149" s="425" t="s">
        <v>1681</v>
      </c>
      <c r="E149" s="527"/>
      <c r="F149" s="540"/>
      <c r="G149" s="527"/>
      <c r="H149" s="527"/>
      <c r="I149" s="332">
        <v>5569.99</v>
      </c>
      <c r="J149" s="425"/>
      <c r="K149" s="527"/>
      <c r="L149" s="271">
        <v>2022</v>
      </c>
      <c r="M149" s="227" t="s">
        <v>1890</v>
      </c>
      <c r="N149" s="227" t="s">
        <v>1891</v>
      </c>
      <c r="O149" s="227" t="s">
        <v>6576</v>
      </c>
      <c r="P149" s="227">
        <v>2022</v>
      </c>
      <c r="Q149" s="250" t="s">
        <v>3499</v>
      </c>
      <c r="R149" s="250" t="s">
        <v>3503</v>
      </c>
    </row>
    <row r="150" spans="1:18" ht="15.75" thickBot="1" x14ac:dyDescent="0.3">
      <c r="A150" s="424" t="s">
        <v>4642</v>
      </c>
      <c r="B150" s="424" t="s">
        <v>4642</v>
      </c>
      <c r="C150" s="82" t="str">
        <f t="shared" si="11"/>
        <v>X</v>
      </c>
      <c r="D150" s="425" t="s">
        <v>1661</v>
      </c>
      <c r="E150" s="527"/>
      <c r="F150" s="540"/>
      <c r="G150" s="527"/>
      <c r="H150" s="527"/>
      <c r="I150" s="332">
        <v>35774.019999999997</v>
      </c>
      <c r="J150" s="425"/>
      <c r="K150" s="527"/>
      <c r="L150" s="271">
        <v>2022</v>
      </c>
      <c r="M150" s="227" t="s">
        <v>1890</v>
      </c>
      <c r="N150" s="227" t="s">
        <v>1891</v>
      </c>
      <c r="O150" s="227" t="s">
        <v>6576</v>
      </c>
      <c r="P150" s="227">
        <v>2022</v>
      </c>
      <c r="Q150" s="250" t="s">
        <v>3499</v>
      </c>
      <c r="R150" s="250" t="s">
        <v>3503</v>
      </c>
    </row>
    <row r="151" spans="1:18" ht="15.75" thickBot="1" x14ac:dyDescent="0.3">
      <c r="A151" s="424" t="s">
        <v>4584</v>
      </c>
      <c r="B151" s="424" t="s">
        <v>4584</v>
      </c>
      <c r="C151" s="82" t="str">
        <f t="shared" si="11"/>
        <v>X</v>
      </c>
      <c r="D151" s="425" t="s">
        <v>2982</v>
      </c>
      <c r="E151" s="425"/>
      <c r="F151" s="429"/>
      <c r="G151" s="161"/>
      <c r="H151" s="424" t="str">
        <f>IFERROR(LEFT(F151,FIND(" ",F151)-1),"")</f>
        <v/>
      </c>
      <c r="I151" s="332">
        <v>127267</v>
      </c>
      <c r="J151" s="162"/>
      <c r="K151" s="162"/>
      <c r="L151" s="271">
        <v>2022</v>
      </c>
      <c r="M151" s="227" t="s">
        <v>1890</v>
      </c>
      <c r="N151" s="227" t="s">
        <v>1891</v>
      </c>
      <c r="O151" s="227" t="s">
        <v>6576</v>
      </c>
      <c r="P151" s="227">
        <v>2022</v>
      </c>
      <c r="Q151" s="250" t="s">
        <v>3499</v>
      </c>
      <c r="R151" s="250" t="s">
        <v>3503</v>
      </c>
    </row>
    <row r="152" spans="1:18" ht="15.75" thickBot="1" x14ac:dyDescent="0.3">
      <c r="A152" s="424" t="s">
        <v>4584</v>
      </c>
      <c r="B152" s="424" t="s">
        <v>4584</v>
      </c>
      <c r="C152" s="82" t="str">
        <f t="shared" si="11"/>
        <v>X</v>
      </c>
      <c r="D152" s="425" t="s">
        <v>1681</v>
      </c>
      <c r="E152" s="425"/>
      <c r="F152" s="429"/>
      <c r="G152" s="161"/>
      <c r="H152" s="424" t="str">
        <f>IFERROR(LEFT(F152,FIND(" ",F152)-1),"")</f>
        <v/>
      </c>
      <c r="I152" s="332">
        <v>58845</v>
      </c>
      <c r="J152" s="162"/>
      <c r="K152" s="162"/>
      <c r="L152" s="271">
        <v>2022</v>
      </c>
      <c r="M152" s="227" t="s">
        <v>1890</v>
      </c>
      <c r="N152" s="227" t="s">
        <v>1891</v>
      </c>
      <c r="O152" s="227" t="s">
        <v>6576</v>
      </c>
      <c r="P152" s="227">
        <v>2022</v>
      </c>
      <c r="Q152" s="250" t="s">
        <v>3499</v>
      </c>
      <c r="R152" s="250" t="s">
        <v>3503</v>
      </c>
    </row>
    <row r="153" spans="1:18" ht="15.75" thickBot="1" x14ac:dyDescent="0.3">
      <c r="A153" s="424" t="s">
        <v>4584</v>
      </c>
      <c r="B153" s="424" t="s">
        <v>4584</v>
      </c>
      <c r="C153" s="82" t="str">
        <f t="shared" si="11"/>
        <v>X</v>
      </c>
      <c r="D153" s="425" t="s">
        <v>1661</v>
      </c>
      <c r="E153" s="425"/>
      <c r="F153" s="429"/>
      <c r="G153" s="161"/>
      <c r="H153" s="424" t="str">
        <f>IFERROR(LEFT(F153,FIND(" ",F153)-1),"")</f>
        <v/>
      </c>
      <c r="I153" s="332">
        <v>255320</v>
      </c>
      <c r="J153" s="162"/>
      <c r="K153" s="162"/>
      <c r="L153" s="271">
        <v>2022</v>
      </c>
      <c r="M153" s="227" t="s">
        <v>1890</v>
      </c>
      <c r="N153" s="227" t="s">
        <v>1891</v>
      </c>
      <c r="O153" s="227" t="s">
        <v>6576</v>
      </c>
      <c r="P153" s="227">
        <v>2022</v>
      </c>
      <c r="Q153" s="250" t="s">
        <v>3499</v>
      </c>
      <c r="R153" s="250" t="s">
        <v>3503</v>
      </c>
    </row>
    <row r="154" spans="1:18" ht="15.75" thickBot="1" x14ac:dyDescent="0.3">
      <c r="A154" s="275" t="s">
        <v>2817</v>
      </c>
      <c r="B154" s="275" t="s">
        <v>2817</v>
      </c>
      <c r="C154" s="82" t="str">
        <f t="shared" si="11"/>
        <v>X</v>
      </c>
      <c r="D154" s="162" t="s">
        <v>1653</v>
      </c>
      <c r="E154" s="425">
        <v>19</v>
      </c>
      <c r="F154" s="427" t="s">
        <v>586</v>
      </c>
      <c r="G154" s="424">
        <v>30</v>
      </c>
      <c r="H154" s="527"/>
      <c r="I154" s="332">
        <v>5292.59</v>
      </c>
      <c r="J154" s="527"/>
      <c r="K154" s="527"/>
      <c r="L154" s="271">
        <v>2022</v>
      </c>
      <c r="M154" s="227" t="s">
        <v>1890</v>
      </c>
      <c r="N154" s="227" t="s">
        <v>1891</v>
      </c>
      <c r="O154" s="227" t="s">
        <v>6576</v>
      </c>
      <c r="P154" s="227">
        <v>2022</v>
      </c>
      <c r="Q154" s="250" t="s">
        <v>3499</v>
      </c>
      <c r="R154" s="250" t="s">
        <v>3503</v>
      </c>
    </row>
    <row r="155" spans="1:18" ht="15.75" thickBot="1" x14ac:dyDescent="0.3">
      <c r="A155" s="275" t="s">
        <v>2817</v>
      </c>
      <c r="B155" s="275" t="s">
        <v>2817</v>
      </c>
      <c r="C155" s="82" t="str">
        <f t="shared" si="11"/>
        <v>X</v>
      </c>
      <c r="D155" s="162" t="s">
        <v>1654</v>
      </c>
      <c r="E155" s="527"/>
      <c r="F155" s="540"/>
      <c r="G155" s="527"/>
      <c r="H155" s="527"/>
      <c r="I155" s="332"/>
      <c r="J155" s="527"/>
      <c r="K155" s="527"/>
      <c r="L155" s="271">
        <v>2022</v>
      </c>
      <c r="M155" s="227" t="s">
        <v>1890</v>
      </c>
      <c r="N155" s="227" t="s">
        <v>1891</v>
      </c>
      <c r="O155" s="227" t="s">
        <v>6576</v>
      </c>
      <c r="P155" s="227">
        <v>2022</v>
      </c>
      <c r="Q155" s="250" t="s">
        <v>3499</v>
      </c>
      <c r="R155" s="250" t="s">
        <v>3503</v>
      </c>
    </row>
    <row r="156" spans="1:18" ht="15.75" thickBot="1" x14ac:dyDescent="0.3">
      <c r="A156" s="275" t="s">
        <v>2817</v>
      </c>
      <c r="B156" s="275" t="s">
        <v>2817</v>
      </c>
      <c r="C156" s="82" t="str">
        <f t="shared" si="11"/>
        <v>X</v>
      </c>
      <c r="D156" s="425" t="s">
        <v>2982</v>
      </c>
      <c r="E156" s="527"/>
      <c r="F156" s="540"/>
      <c r="G156" s="527"/>
      <c r="H156" s="527"/>
      <c r="I156" s="332">
        <v>129308.11</v>
      </c>
      <c r="J156" s="527"/>
      <c r="K156" s="527"/>
      <c r="L156" s="271">
        <v>2022</v>
      </c>
      <c r="M156" s="227" t="s">
        <v>1890</v>
      </c>
      <c r="N156" s="227" t="s">
        <v>1891</v>
      </c>
      <c r="O156" s="227" t="s">
        <v>6576</v>
      </c>
      <c r="P156" s="227">
        <v>2022</v>
      </c>
      <c r="Q156" s="250" t="s">
        <v>3499</v>
      </c>
      <c r="R156" s="250" t="s">
        <v>3503</v>
      </c>
    </row>
    <row r="157" spans="1:18" ht="15.75" thickBot="1" x14ac:dyDescent="0.3">
      <c r="A157" s="275" t="s">
        <v>2817</v>
      </c>
      <c r="B157" s="275" t="s">
        <v>2817</v>
      </c>
      <c r="C157" s="82" t="str">
        <f t="shared" si="11"/>
        <v>X</v>
      </c>
      <c r="D157" s="162" t="s">
        <v>1656</v>
      </c>
      <c r="E157" s="527"/>
      <c r="F157" s="540"/>
      <c r="G157" s="527"/>
      <c r="H157" s="527"/>
      <c r="I157" s="332"/>
      <c r="J157" s="527"/>
      <c r="K157" s="527"/>
      <c r="L157" s="271">
        <v>2022</v>
      </c>
      <c r="M157" s="227" t="s">
        <v>1890</v>
      </c>
      <c r="N157" s="227" t="s">
        <v>1891</v>
      </c>
      <c r="O157" s="227" t="s">
        <v>6576</v>
      </c>
      <c r="P157" s="227">
        <v>2022</v>
      </c>
      <c r="Q157" s="250" t="s">
        <v>3499</v>
      </c>
      <c r="R157" s="250" t="s">
        <v>3503</v>
      </c>
    </row>
    <row r="158" spans="1:18" ht="15.75" thickBot="1" x14ac:dyDescent="0.3">
      <c r="A158" s="275" t="s">
        <v>2817</v>
      </c>
      <c r="B158" s="275" t="s">
        <v>2817</v>
      </c>
      <c r="C158" s="82" t="str">
        <f t="shared" si="11"/>
        <v>X</v>
      </c>
      <c r="D158" s="162" t="s">
        <v>1658</v>
      </c>
      <c r="E158" s="527"/>
      <c r="F158" s="540"/>
      <c r="G158" s="527"/>
      <c r="H158" s="527"/>
      <c r="I158" s="332"/>
      <c r="J158" s="527"/>
      <c r="K158" s="527"/>
      <c r="L158" s="271">
        <v>2022</v>
      </c>
      <c r="M158" s="227" t="s">
        <v>1890</v>
      </c>
      <c r="N158" s="227" t="s">
        <v>1891</v>
      </c>
      <c r="O158" s="227" t="s">
        <v>6576</v>
      </c>
      <c r="P158" s="227">
        <v>2022</v>
      </c>
      <c r="Q158" s="250" t="s">
        <v>3499</v>
      </c>
      <c r="R158" s="250" t="s">
        <v>3503</v>
      </c>
    </row>
    <row r="159" spans="1:18" ht="15.75" thickBot="1" x14ac:dyDescent="0.3">
      <c r="A159" s="275" t="s">
        <v>2817</v>
      </c>
      <c r="B159" s="275" t="s">
        <v>2817</v>
      </c>
      <c r="C159" s="82" t="str">
        <f t="shared" si="11"/>
        <v>X</v>
      </c>
      <c r="D159" s="162" t="s">
        <v>1681</v>
      </c>
      <c r="E159" s="425">
        <v>116</v>
      </c>
      <c r="F159" s="427" t="s">
        <v>586</v>
      </c>
      <c r="G159" s="424">
        <v>64</v>
      </c>
      <c r="H159" s="527"/>
      <c r="I159" s="332">
        <v>45325.91</v>
      </c>
      <c r="J159" s="527"/>
      <c r="K159" s="527"/>
      <c r="L159" s="271">
        <v>2022</v>
      </c>
      <c r="M159" s="227" t="s">
        <v>1890</v>
      </c>
      <c r="N159" s="227" t="s">
        <v>1891</v>
      </c>
      <c r="O159" s="227" t="s">
        <v>6576</v>
      </c>
      <c r="P159" s="227">
        <v>2022</v>
      </c>
      <c r="Q159" s="250" t="s">
        <v>3499</v>
      </c>
      <c r="R159" s="250" t="s">
        <v>3503</v>
      </c>
    </row>
    <row r="160" spans="1:18" ht="15.75" thickBot="1" x14ac:dyDescent="0.3">
      <c r="A160" s="275" t="s">
        <v>2817</v>
      </c>
      <c r="B160" s="275" t="s">
        <v>2817</v>
      </c>
      <c r="C160" s="82" t="str">
        <f t="shared" si="11"/>
        <v>X</v>
      </c>
      <c r="D160" s="162" t="s">
        <v>1657</v>
      </c>
      <c r="E160" s="527"/>
      <c r="F160" s="540"/>
      <c r="G160" s="527"/>
      <c r="H160" s="527"/>
      <c r="I160" s="332">
        <v>31640.61</v>
      </c>
      <c r="J160" s="527"/>
      <c r="K160" s="527"/>
      <c r="L160" s="271">
        <v>2022</v>
      </c>
      <c r="M160" s="227" t="s">
        <v>1890</v>
      </c>
      <c r="N160" s="227" t="s">
        <v>1891</v>
      </c>
      <c r="O160" s="227" t="s">
        <v>6576</v>
      </c>
      <c r="P160" s="227">
        <v>2022</v>
      </c>
      <c r="Q160" s="250" t="s">
        <v>3499</v>
      </c>
      <c r="R160" s="250" t="s">
        <v>3503</v>
      </c>
    </row>
    <row r="161" spans="1:18" ht="15.75" thickBot="1" x14ac:dyDescent="0.3">
      <c r="A161" s="275" t="s">
        <v>2817</v>
      </c>
      <c r="B161" s="275" t="s">
        <v>2817</v>
      </c>
      <c r="C161" s="82" t="str">
        <f t="shared" si="11"/>
        <v>X</v>
      </c>
      <c r="D161" s="162" t="s">
        <v>1661</v>
      </c>
      <c r="E161" s="425"/>
      <c r="F161" s="427"/>
      <c r="G161" s="424"/>
      <c r="H161" s="527"/>
      <c r="I161" s="332">
        <v>89312.86</v>
      </c>
      <c r="J161" s="527"/>
      <c r="K161" s="527"/>
      <c r="L161" s="271">
        <v>2022</v>
      </c>
      <c r="M161" s="227" t="s">
        <v>1890</v>
      </c>
      <c r="N161" s="227" t="s">
        <v>1891</v>
      </c>
      <c r="O161" s="227" t="s">
        <v>6576</v>
      </c>
      <c r="P161" s="227">
        <v>2022</v>
      </c>
      <c r="Q161" s="250" t="s">
        <v>3499</v>
      </c>
      <c r="R161" s="250" t="s">
        <v>3503</v>
      </c>
    </row>
    <row r="162" spans="1:18" ht="15.75" thickBot="1" x14ac:dyDescent="0.3">
      <c r="A162" s="275" t="s">
        <v>2817</v>
      </c>
      <c r="B162" s="275" t="s">
        <v>2817</v>
      </c>
      <c r="C162" s="82" t="str">
        <f t="shared" si="11"/>
        <v>X</v>
      </c>
      <c r="D162" s="162" t="s">
        <v>1662</v>
      </c>
      <c r="E162" s="527"/>
      <c r="F162" s="540"/>
      <c r="G162" s="527"/>
      <c r="H162" s="527"/>
      <c r="I162" s="332">
        <v>452303</v>
      </c>
      <c r="J162" s="527"/>
      <c r="K162" s="527"/>
      <c r="L162" s="271">
        <v>2022</v>
      </c>
      <c r="M162" s="227" t="s">
        <v>1890</v>
      </c>
      <c r="N162" s="227" t="s">
        <v>1891</v>
      </c>
      <c r="O162" s="227" t="s">
        <v>6576</v>
      </c>
      <c r="P162" s="227">
        <v>2022</v>
      </c>
      <c r="Q162" s="250" t="s">
        <v>3499</v>
      </c>
      <c r="R162" s="250" t="s">
        <v>3503</v>
      </c>
    </row>
    <row r="163" spans="1:18" ht="15.75" thickBot="1" x14ac:dyDescent="0.3">
      <c r="A163" s="275" t="s">
        <v>2817</v>
      </c>
      <c r="B163" s="275" t="s">
        <v>2817</v>
      </c>
      <c r="C163" s="82" t="str">
        <f t="shared" si="11"/>
        <v>X</v>
      </c>
      <c r="D163" s="162" t="s">
        <v>1670</v>
      </c>
      <c r="E163" s="527"/>
      <c r="F163" s="540"/>
      <c r="G163" s="527"/>
      <c r="H163" s="527"/>
      <c r="I163" s="332"/>
      <c r="J163" s="527"/>
      <c r="K163" s="527"/>
      <c r="L163" s="271">
        <v>2022</v>
      </c>
      <c r="M163" s="227" t="s">
        <v>1890</v>
      </c>
      <c r="N163" s="227" t="s">
        <v>1891</v>
      </c>
      <c r="O163" s="227" t="s">
        <v>6576</v>
      </c>
      <c r="P163" s="227">
        <v>2022</v>
      </c>
      <c r="Q163" s="250" t="s">
        <v>3499</v>
      </c>
      <c r="R163" s="250" t="s">
        <v>3503</v>
      </c>
    </row>
    <row r="164" spans="1:18" ht="15.75" thickBot="1" x14ac:dyDescent="0.3">
      <c r="A164" s="275" t="s">
        <v>2817</v>
      </c>
      <c r="B164" s="275" t="s">
        <v>2817</v>
      </c>
      <c r="C164" s="82" t="str">
        <f t="shared" si="11"/>
        <v>X</v>
      </c>
      <c r="D164" s="162" t="s">
        <v>1655</v>
      </c>
      <c r="E164" s="527"/>
      <c r="F164" s="540"/>
      <c r="G164" s="527"/>
      <c r="H164" s="527"/>
      <c r="I164" s="332"/>
      <c r="J164" s="527"/>
      <c r="K164" s="527"/>
      <c r="L164" s="271">
        <v>2022</v>
      </c>
      <c r="M164" s="227" t="s">
        <v>1890</v>
      </c>
      <c r="N164" s="227" t="s">
        <v>1891</v>
      </c>
      <c r="O164" s="227" t="s">
        <v>6576</v>
      </c>
      <c r="P164" s="227">
        <v>2022</v>
      </c>
      <c r="Q164" s="250" t="s">
        <v>3499</v>
      </c>
      <c r="R164" s="250" t="s">
        <v>3503</v>
      </c>
    </row>
    <row r="165" spans="1:18" ht="15.75" thickBot="1" x14ac:dyDescent="0.3">
      <c r="A165" s="424" t="s">
        <v>4589</v>
      </c>
      <c r="B165" s="424" t="s">
        <v>4589</v>
      </c>
      <c r="C165" s="82" t="str">
        <f t="shared" si="11"/>
        <v>X</v>
      </c>
      <c r="D165" s="425" t="s">
        <v>1675</v>
      </c>
      <c r="E165" s="527"/>
      <c r="F165" s="540"/>
      <c r="G165" s="527"/>
      <c r="H165" s="527"/>
      <c r="I165" s="332"/>
      <c r="J165" s="527"/>
      <c r="K165" s="527"/>
      <c r="L165" s="271">
        <v>2022</v>
      </c>
      <c r="M165" s="227" t="s">
        <v>1890</v>
      </c>
      <c r="N165" s="283" t="s">
        <v>1891</v>
      </c>
      <c r="O165" s="227" t="s">
        <v>6576</v>
      </c>
      <c r="P165" s="227">
        <v>2022</v>
      </c>
      <c r="Q165" s="250" t="s">
        <v>3499</v>
      </c>
      <c r="R165" s="250" t="s">
        <v>3503</v>
      </c>
    </row>
    <row r="166" spans="1:18" ht="15.75" thickBot="1" x14ac:dyDescent="0.3">
      <c r="A166" s="424" t="s">
        <v>4589</v>
      </c>
      <c r="B166" s="424" t="s">
        <v>4589</v>
      </c>
      <c r="C166" s="82" t="str">
        <f t="shared" si="11"/>
        <v>X</v>
      </c>
      <c r="D166" s="425" t="s">
        <v>1653</v>
      </c>
      <c r="E166" s="527"/>
      <c r="F166" s="540"/>
      <c r="G166" s="527"/>
      <c r="H166" s="527"/>
      <c r="I166" s="332"/>
      <c r="J166" s="527"/>
      <c r="K166" s="527"/>
      <c r="L166" s="271">
        <v>2022</v>
      </c>
      <c r="M166" s="227" t="s">
        <v>1890</v>
      </c>
      <c r="N166" s="283" t="s">
        <v>1891</v>
      </c>
      <c r="O166" s="227" t="s">
        <v>6576</v>
      </c>
      <c r="P166" s="227">
        <v>2022</v>
      </c>
      <c r="Q166" s="250" t="s">
        <v>3499</v>
      </c>
      <c r="R166" s="250" t="s">
        <v>3503</v>
      </c>
    </row>
    <row r="167" spans="1:18" ht="15.75" thickBot="1" x14ac:dyDescent="0.3">
      <c r="A167" s="424" t="s">
        <v>4589</v>
      </c>
      <c r="B167" s="424" t="s">
        <v>4589</v>
      </c>
      <c r="C167" s="82" t="str">
        <f t="shared" si="11"/>
        <v>X</v>
      </c>
      <c r="D167" s="425" t="s">
        <v>1654</v>
      </c>
      <c r="E167" s="527"/>
      <c r="F167" s="540"/>
      <c r="G167" s="527"/>
      <c r="H167" s="527"/>
      <c r="I167" s="332"/>
      <c r="J167" s="527"/>
      <c r="K167" s="527"/>
      <c r="L167" s="271">
        <v>2022</v>
      </c>
      <c r="M167" s="227" t="s">
        <v>1890</v>
      </c>
      <c r="N167" s="283" t="s">
        <v>1891</v>
      </c>
      <c r="O167" s="227" t="s">
        <v>6576</v>
      </c>
      <c r="P167" s="227">
        <v>2022</v>
      </c>
      <c r="Q167" s="250" t="s">
        <v>3499</v>
      </c>
      <c r="R167" s="250" t="s">
        <v>3503</v>
      </c>
    </row>
    <row r="168" spans="1:18" ht="15.75" thickBot="1" x14ac:dyDescent="0.3">
      <c r="A168" s="424" t="s">
        <v>4589</v>
      </c>
      <c r="B168" s="424" t="s">
        <v>4589</v>
      </c>
      <c r="C168" s="424" t="str">
        <f t="shared" si="11"/>
        <v>X</v>
      </c>
      <c r="D168" s="425" t="s">
        <v>2982</v>
      </c>
      <c r="E168" s="527"/>
      <c r="F168" s="540"/>
      <c r="G168" s="527"/>
      <c r="H168" s="527"/>
      <c r="I168" s="332">
        <v>19947.91</v>
      </c>
      <c r="J168" s="527"/>
      <c r="K168" s="527"/>
      <c r="L168" s="271">
        <v>2022</v>
      </c>
      <c r="M168" s="227" t="s">
        <v>1890</v>
      </c>
      <c r="N168" s="283" t="s">
        <v>1891</v>
      </c>
      <c r="O168" s="227" t="s">
        <v>6576</v>
      </c>
      <c r="P168" s="227">
        <v>2022</v>
      </c>
      <c r="Q168" s="250" t="s">
        <v>3499</v>
      </c>
      <c r="R168" s="250" t="s">
        <v>3503</v>
      </c>
    </row>
    <row r="169" spans="1:18" ht="15.75" thickBot="1" x14ac:dyDescent="0.3">
      <c r="A169" s="424" t="s">
        <v>4589</v>
      </c>
      <c r="B169" s="424" t="s">
        <v>4589</v>
      </c>
      <c r="C169" s="82" t="str">
        <f t="shared" si="11"/>
        <v>X</v>
      </c>
      <c r="D169" s="425" t="s">
        <v>1656</v>
      </c>
      <c r="E169" s="527"/>
      <c r="F169" s="540"/>
      <c r="G169" s="527"/>
      <c r="H169" s="527"/>
      <c r="I169" s="332"/>
      <c r="J169" s="527"/>
      <c r="K169" s="527"/>
      <c r="L169" s="271">
        <v>2022</v>
      </c>
      <c r="M169" s="227" t="s">
        <v>1890</v>
      </c>
      <c r="N169" s="283" t="s">
        <v>1891</v>
      </c>
      <c r="O169" s="227" t="s">
        <v>6576</v>
      </c>
      <c r="P169" s="227">
        <v>2022</v>
      </c>
      <c r="Q169" s="250" t="s">
        <v>3499</v>
      </c>
      <c r="R169" s="250" t="s">
        <v>3503</v>
      </c>
    </row>
    <row r="170" spans="1:18" ht="15.75" thickBot="1" x14ac:dyDescent="0.3">
      <c r="A170" s="424" t="s">
        <v>4589</v>
      </c>
      <c r="B170" s="424" t="s">
        <v>4589</v>
      </c>
      <c r="C170" s="82" t="str">
        <f t="shared" si="11"/>
        <v>X</v>
      </c>
      <c r="D170" s="425" t="s">
        <v>1658</v>
      </c>
      <c r="E170" s="527"/>
      <c r="F170" s="540"/>
      <c r="G170" s="527"/>
      <c r="H170" s="527"/>
      <c r="I170" s="332"/>
      <c r="J170" s="527"/>
      <c r="K170" s="527"/>
      <c r="L170" s="271">
        <v>2022</v>
      </c>
      <c r="M170" s="227" t="s">
        <v>1890</v>
      </c>
      <c r="N170" s="283" t="s">
        <v>1891</v>
      </c>
      <c r="O170" s="227" t="s">
        <v>6576</v>
      </c>
      <c r="P170" s="227">
        <v>2022</v>
      </c>
      <c r="Q170" s="250" t="s">
        <v>3499</v>
      </c>
      <c r="R170" s="250" t="s">
        <v>3503</v>
      </c>
    </row>
    <row r="171" spans="1:18" ht="15.75" thickBot="1" x14ac:dyDescent="0.3">
      <c r="A171" s="424" t="s">
        <v>4589</v>
      </c>
      <c r="B171" s="424" t="s">
        <v>4589</v>
      </c>
      <c r="C171" s="82" t="str">
        <f t="shared" si="11"/>
        <v>X</v>
      </c>
      <c r="D171" s="425" t="s">
        <v>1659</v>
      </c>
      <c r="E171" s="527"/>
      <c r="F171" s="540"/>
      <c r="G171" s="527"/>
      <c r="H171" s="527"/>
      <c r="I171" s="332"/>
      <c r="J171" s="527"/>
      <c r="K171" s="527"/>
      <c r="L171" s="271">
        <v>2022</v>
      </c>
      <c r="M171" s="227" t="s">
        <v>1890</v>
      </c>
      <c r="N171" s="283" t="s">
        <v>1891</v>
      </c>
      <c r="O171" s="227" t="s">
        <v>6576</v>
      </c>
      <c r="P171" s="227">
        <v>2022</v>
      </c>
      <c r="Q171" s="250" t="s">
        <v>3499</v>
      </c>
      <c r="R171" s="250" t="s">
        <v>3503</v>
      </c>
    </row>
    <row r="172" spans="1:18" ht="15.75" thickBot="1" x14ac:dyDescent="0.3">
      <c r="A172" s="424" t="s">
        <v>4589</v>
      </c>
      <c r="B172" s="424" t="s">
        <v>4589</v>
      </c>
      <c r="C172" s="82" t="str">
        <f t="shared" si="11"/>
        <v>X</v>
      </c>
      <c r="D172" s="425" t="s">
        <v>1681</v>
      </c>
      <c r="E172" s="527"/>
      <c r="F172" s="540"/>
      <c r="G172" s="527"/>
      <c r="H172" s="527"/>
      <c r="I172" s="332"/>
      <c r="J172" s="527"/>
      <c r="K172" s="527"/>
      <c r="L172" s="271">
        <v>2022</v>
      </c>
      <c r="M172" s="227" t="s">
        <v>1890</v>
      </c>
      <c r="N172" s="283" t="s">
        <v>1891</v>
      </c>
      <c r="O172" s="227" t="s">
        <v>6576</v>
      </c>
      <c r="P172" s="227">
        <v>2022</v>
      </c>
      <c r="Q172" s="250" t="s">
        <v>3499</v>
      </c>
      <c r="R172" s="250" t="s">
        <v>3503</v>
      </c>
    </row>
    <row r="173" spans="1:18" ht="15.75" thickBot="1" x14ac:dyDescent="0.3">
      <c r="A173" s="424" t="s">
        <v>4589</v>
      </c>
      <c r="B173" s="424" t="s">
        <v>4589</v>
      </c>
      <c r="C173" s="82" t="str">
        <f t="shared" si="11"/>
        <v>X</v>
      </c>
      <c r="D173" s="425" t="s">
        <v>1657</v>
      </c>
      <c r="E173" s="527"/>
      <c r="F173" s="540"/>
      <c r="G173" s="527"/>
      <c r="H173" s="527"/>
      <c r="I173" s="332">
        <v>404.39</v>
      </c>
      <c r="J173" s="527"/>
      <c r="K173" s="527"/>
      <c r="L173" s="271">
        <v>2022</v>
      </c>
      <c r="M173" s="227" t="s">
        <v>1890</v>
      </c>
      <c r="N173" s="283" t="s">
        <v>1891</v>
      </c>
      <c r="O173" s="227" t="s">
        <v>6576</v>
      </c>
      <c r="P173" s="227">
        <v>2022</v>
      </c>
      <c r="Q173" s="250" t="s">
        <v>3499</v>
      </c>
      <c r="R173" s="250" t="s">
        <v>3503</v>
      </c>
    </row>
    <row r="174" spans="1:18" ht="15.75" thickBot="1" x14ac:dyDescent="0.3">
      <c r="A174" s="424" t="s">
        <v>4589</v>
      </c>
      <c r="B174" s="424" t="s">
        <v>4589</v>
      </c>
      <c r="C174" s="82" t="str">
        <f t="shared" si="11"/>
        <v>X</v>
      </c>
      <c r="D174" s="425" t="s">
        <v>1661</v>
      </c>
      <c r="E174" s="527"/>
      <c r="F174" s="540"/>
      <c r="G174" s="527"/>
      <c r="H174" s="527"/>
      <c r="I174" s="332">
        <v>14426.6</v>
      </c>
      <c r="J174" s="527"/>
      <c r="K174" s="527"/>
      <c r="L174" s="271">
        <v>2022</v>
      </c>
      <c r="M174" s="227" t="s">
        <v>1890</v>
      </c>
      <c r="N174" s="283" t="s">
        <v>1891</v>
      </c>
      <c r="O174" s="227" t="s">
        <v>6576</v>
      </c>
      <c r="P174" s="227">
        <v>2022</v>
      </c>
      <c r="Q174" s="250" t="s">
        <v>3499</v>
      </c>
      <c r="R174" s="250" t="s">
        <v>3503</v>
      </c>
    </row>
    <row r="175" spans="1:18" ht="15.75" thickBot="1" x14ac:dyDescent="0.3">
      <c r="A175" s="424" t="s">
        <v>4589</v>
      </c>
      <c r="B175" s="424" t="s">
        <v>4589</v>
      </c>
      <c r="C175" s="82" t="str">
        <f t="shared" si="11"/>
        <v>X</v>
      </c>
      <c r="D175" s="425" t="s">
        <v>1670</v>
      </c>
      <c r="E175" s="527"/>
      <c r="F175" s="540"/>
      <c r="G175" s="527"/>
      <c r="H175" s="527"/>
      <c r="I175" s="332"/>
      <c r="J175" s="527"/>
      <c r="K175" s="527"/>
      <c r="L175" s="271">
        <v>2022</v>
      </c>
      <c r="M175" s="227" t="s">
        <v>1890</v>
      </c>
      <c r="N175" s="283" t="s">
        <v>1891</v>
      </c>
      <c r="O175" s="227" t="s">
        <v>6576</v>
      </c>
      <c r="P175" s="227">
        <v>2022</v>
      </c>
      <c r="Q175" s="250" t="s">
        <v>3499</v>
      </c>
      <c r="R175" s="250" t="s">
        <v>3503</v>
      </c>
    </row>
    <row r="176" spans="1:18" ht="15.75" thickBot="1" x14ac:dyDescent="0.3">
      <c r="A176" s="424" t="s">
        <v>4589</v>
      </c>
      <c r="B176" s="424" t="s">
        <v>4589</v>
      </c>
      <c r="C176" s="82" t="str">
        <f t="shared" si="11"/>
        <v>X</v>
      </c>
      <c r="D176" s="425" t="s">
        <v>1655</v>
      </c>
      <c r="E176" s="527"/>
      <c r="F176" s="540"/>
      <c r="G176" s="527"/>
      <c r="H176" s="527"/>
      <c r="I176" s="332"/>
      <c r="J176" s="527"/>
      <c r="K176" s="527"/>
      <c r="L176" s="271">
        <v>2022</v>
      </c>
      <c r="M176" s="227" t="s">
        <v>1890</v>
      </c>
      <c r="N176" s="283" t="s">
        <v>1891</v>
      </c>
      <c r="O176" s="227" t="s">
        <v>6576</v>
      </c>
      <c r="P176" s="227">
        <v>2022</v>
      </c>
      <c r="Q176" s="250" t="s">
        <v>3499</v>
      </c>
      <c r="R176" s="250" t="s">
        <v>3503</v>
      </c>
    </row>
    <row r="177" spans="1:18" ht="15.75" thickBot="1" x14ac:dyDescent="0.3">
      <c r="A177" s="424" t="s">
        <v>1912</v>
      </c>
      <c r="B177" s="424" t="s">
        <v>1912</v>
      </c>
      <c r="C177" s="82" t="str">
        <f t="shared" si="11"/>
        <v>X</v>
      </c>
      <c r="D177" s="425" t="s">
        <v>1675</v>
      </c>
      <c r="E177" s="425"/>
      <c r="F177" s="429"/>
      <c r="G177" s="161"/>
      <c r="H177" s="424" t="str">
        <f t="shared" ref="H177:H189" si="12">IFERROR(LEFT(F177,FIND(" ",F177)-1),"")</f>
        <v/>
      </c>
      <c r="I177" s="332">
        <v>29497.29</v>
      </c>
      <c r="J177" s="162"/>
      <c r="K177" s="162"/>
      <c r="L177" s="271">
        <v>2022</v>
      </c>
      <c r="M177" s="227" t="s">
        <v>1890</v>
      </c>
      <c r="N177" s="227" t="s">
        <v>1891</v>
      </c>
      <c r="O177" s="227" t="s">
        <v>6576</v>
      </c>
      <c r="P177" s="227">
        <v>2022</v>
      </c>
      <c r="Q177" s="250" t="s">
        <v>3499</v>
      </c>
      <c r="R177" s="250" t="s">
        <v>3503</v>
      </c>
    </row>
    <row r="178" spans="1:18" ht="15.75" thickBot="1" x14ac:dyDescent="0.3">
      <c r="A178" s="424" t="s">
        <v>1912</v>
      </c>
      <c r="B178" s="424" t="s">
        <v>1912</v>
      </c>
      <c r="C178" s="82" t="str">
        <f t="shared" si="11"/>
        <v>X</v>
      </c>
      <c r="D178" s="425" t="s">
        <v>1653</v>
      </c>
      <c r="E178" s="425">
        <v>22</v>
      </c>
      <c r="F178" s="429" t="s">
        <v>586</v>
      </c>
      <c r="G178" s="161"/>
      <c r="H178" s="424" t="str">
        <f t="shared" si="12"/>
        <v/>
      </c>
      <c r="I178" s="332">
        <v>3668.8</v>
      </c>
      <c r="J178" s="162"/>
      <c r="K178" s="162"/>
      <c r="L178" s="271">
        <v>2022</v>
      </c>
      <c r="M178" s="227" t="s">
        <v>1890</v>
      </c>
      <c r="N178" s="227" t="s">
        <v>1891</v>
      </c>
      <c r="O178" s="227" t="s">
        <v>6576</v>
      </c>
      <c r="P178" s="227">
        <v>2022</v>
      </c>
      <c r="Q178" s="250" t="s">
        <v>3499</v>
      </c>
      <c r="R178" s="250" t="s">
        <v>3503</v>
      </c>
    </row>
    <row r="179" spans="1:18" ht="15.75" thickBot="1" x14ac:dyDescent="0.3">
      <c r="A179" s="424" t="s">
        <v>1912</v>
      </c>
      <c r="B179" s="424" t="s">
        <v>1912</v>
      </c>
      <c r="C179" s="82" t="str">
        <f t="shared" si="11"/>
        <v>X</v>
      </c>
      <c r="D179" s="425" t="s">
        <v>1654</v>
      </c>
      <c r="E179" s="425"/>
      <c r="F179" s="429"/>
      <c r="G179" s="161"/>
      <c r="H179" s="424" t="str">
        <f t="shared" si="12"/>
        <v/>
      </c>
      <c r="I179" s="332">
        <v>0</v>
      </c>
      <c r="J179" s="162"/>
      <c r="K179" s="162"/>
      <c r="L179" s="271">
        <v>2022</v>
      </c>
      <c r="M179" s="227" t="s">
        <v>1890</v>
      </c>
      <c r="N179" s="227" t="s">
        <v>1891</v>
      </c>
      <c r="O179" s="227" t="s">
        <v>6576</v>
      </c>
      <c r="P179" s="227">
        <v>2022</v>
      </c>
      <c r="Q179" s="250" t="s">
        <v>3499</v>
      </c>
      <c r="R179" s="250" t="s">
        <v>3503</v>
      </c>
    </row>
    <row r="180" spans="1:18" ht="15.75" thickBot="1" x14ac:dyDescent="0.3">
      <c r="A180" s="424" t="s">
        <v>1912</v>
      </c>
      <c r="B180" s="424" t="s">
        <v>1912</v>
      </c>
      <c r="C180" s="82" t="str">
        <f t="shared" si="11"/>
        <v>X</v>
      </c>
      <c r="D180" s="425" t="s">
        <v>1656</v>
      </c>
      <c r="E180" s="425"/>
      <c r="F180" s="429"/>
      <c r="G180" s="161"/>
      <c r="H180" s="424" t="str">
        <f t="shared" si="12"/>
        <v/>
      </c>
      <c r="I180" s="332">
        <v>0</v>
      </c>
      <c r="J180" s="162"/>
      <c r="K180" s="162"/>
      <c r="L180" s="271">
        <v>2022</v>
      </c>
      <c r="M180" s="227" t="s">
        <v>1890</v>
      </c>
      <c r="N180" s="227" t="s">
        <v>1891</v>
      </c>
      <c r="O180" s="227" t="s">
        <v>6576</v>
      </c>
      <c r="P180" s="227">
        <v>2022</v>
      </c>
      <c r="Q180" s="250" t="s">
        <v>3499</v>
      </c>
      <c r="R180" s="250" t="s">
        <v>3503</v>
      </c>
    </row>
    <row r="181" spans="1:18" ht="15.75" thickBot="1" x14ac:dyDescent="0.3">
      <c r="A181" s="424" t="s">
        <v>1912</v>
      </c>
      <c r="B181" s="424" t="s">
        <v>1912</v>
      </c>
      <c r="C181" s="82" t="str">
        <f t="shared" si="11"/>
        <v>X</v>
      </c>
      <c r="D181" s="425" t="s">
        <v>1658</v>
      </c>
      <c r="E181" s="425"/>
      <c r="F181" s="429"/>
      <c r="G181" s="161"/>
      <c r="H181" s="424" t="str">
        <f t="shared" si="12"/>
        <v/>
      </c>
      <c r="I181" s="332">
        <v>0</v>
      </c>
      <c r="J181" s="162"/>
      <c r="K181" s="162"/>
      <c r="L181" s="271">
        <v>2022</v>
      </c>
      <c r="M181" s="227" t="s">
        <v>1890</v>
      </c>
      <c r="N181" s="227" t="s">
        <v>1891</v>
      </c>
      <c r="O181" s="227" t="s">
        <v>6576</v>
      </c>
      <c r="P181" s="227">
        <v>2022</v>
      </c>
      <c r="Q181" s="250" t="s">
        <v>3499</v>
      </c>
      <c r="R181" s="250" t="s">
        <v>3503</v>
      </c>
    </row>
    <row r="182" spans="1:18" ht="15.75" thickBot="1" x14ac:dyDescent="0.3">
      <c r="A182" s="424" t="s">
        <v>1912</v>
      </c>
      <c r="B182" s="424" t="s">
        <v>1912</v>
      </c>
      <c r="C182" s="82" t="str">
        <f t="shared" si="11"/>
        <v>X</v>
      </c>
      <c r="D182" s="425" t="s">
        <v>1659</v>
      </c>
      <c r="E182" s="425"/>
      <c r="F182" s="429"/>
      <c r="G182" s="161"/>
      <c r="H182" s="424" t="str">
        <f t="shared" si="12"/>
        <v/>
      </c>
      <c r="I182" s="332">
        <v>9660.58</v>
      </c>
      <c r="J182" s="162"/>
      <c r="K182" s="162"/>
      <c r="L182" s="271">
        <v>2022</v>
      </c>
      <c r="M182" s="227" t="s">
        <v>1890</v>
      </c>
      <c r="N182" s="227" t="s">
        <v>1891</v>
      </c>
      <c r="O182" s="227" t="s">
        <v>6576</v>
      </c>
      <c r="P182" s="227">
        <v>2022</v>
      </c>
      <c r="Q182" s="250" t="s">
        <v>3499</v>
      </c>
      <c r="R182" s="250" t="s">
        <v>3503</v>
      </c>
    </row>
    <row r="183" spans="1:18" ht="15.75" thickBot="1" x14ac:dyDescent="0.3">
      <c r="A183" s="424" t="s">
        <v>1912</v>
      </c>
      <c r="B183" s="424" t="s">
        <v>1912</v>
      </c>
      <c r="C183" s="424" t="str">
        <f t="shared" si="11"/>
        <v>X</v>
      </c>
      <c r="D183" s="425" t="s">
        <v>1681</v>
      </c>
      <c r="E183" s="425">
        <f>162+128</f>
        <v>290</v>
      </c>
      <c r="F183" s="429" t="s">
        <v>586</v>
      </c>
      <c r="G183" s="161"/>
      <c r="H183" s="424" t="str">
        <f t="shared" si="12"/>
        <v/>
      </c>
      <c r="I183" s="332">
        <v>76622</v>
      </c>
      <c r="J183" s="162"/>
      <c r="K183" s="162"/>
      <c r="L183" s="271">
        <v>2022</v>
      </c>
      <c r="M183" s="227" t="s">
        <v>1890</v>
      </c>
      <c r="N183" s="227" t="s">
        <v>1891</v>
      </c>
      <c r="O183" s="227" t="s">
        <v>6576</v>
      </c>
      <c r="P183" s="227">
        <v>2022</v>
      </c>
      <c r="Q183" s="250" t="s">
        <v>3499</v>
      </c>
      <c r="R183" s="250" t="s">
        <v>3503</v>
      </c>
    </row>
    <row r="184" spans="1:18" ht="15.75" thickBot="1" x14ac:dyDescent="0.3">
      <c r="A184" s="424" t="s">
        <v>1912</v>
      </c>
      <c r="B184" s="424" t="s">
        <v>1912</v>
      </c>
      <c r="C184" s="424" t="str">
        <f t="shared" si="11"/>
        <v>X</v>
      </c>
      <c r="D184" s="425" t="s">
        <v>1672</v>
      </c>
      <c r="E184" s="425"/>
      <c r="F184" s="429"/>
      <c r="G184" s="161"/>
      <c r="H184" s="424" t="str">
        <f t="shared" si="12"/>
        <v/>
      </c>
      <c r="I184" s="332">
        <v>80170.760000000038</v>
      </c>
      <c r="J184" s="162"/>
      <c r="K184" s="162"/>
      <c r="L184" s="271">
        <v>2022</v>
      </c>
      <c r="M184" s="227" t="s">
        <v>1890</v>
      </c>
      <c r="N184" s="227" t="s">
        <v>1891</v>
      </c>
      <c r="O184" s="227" t="s">
        <v>6576</v>
      </c>
      <c r="P184" s="227">
        <v>2022</v>
      </c>
      <c r="Q184" s="250" t="s">
        <v>3499</v>
      </c>
      <c r="R184" s="250" t="s">
        <v>3503</v>
      </c>
    </row>
    <row r="185" spans="1:18" ht="15.75" thickBot="1" x14ac:dyDescent="0.3">
      <c r="A185" s="424" t="s">
        <v>1912</v>
      </c>
      <c r="B185" s="424" t="s">
        <v>1912</v>
      </c>
      <c r="C185" s="424" t="str">
        <f t="shared" si="11"/>
        <v>X</v>
      </c>
      <c r="D185" s="425" t="s">
        <v>1657</v>
      </c>
      <c r="E185" s="425"/>
      <c r="F185" s="429"/>
      <c r="G185" s="161"/>
      <c r="H185" s="424" t="str">
        <f t="shared" si="12"/>
        <v/>
      </c>
      <c r="I185" s="332">
        <v>32302.75</v>
      </c>
      <c r="J185" s="162"/>
      <c r="K185" s="162"/>
      <c r="L185" s="271">
        <v>2022</v>
      </c>
      <c r="M185" s="227" t="s">
        <v>1890</v>
      </c>
      <c r="N185" s="227" t="s">
        <v>1891</v>
      </c>
      <c r="O185" s="227" t="s">
        <v>6576</v>
      </c>
      <c r="P185" s="227">
        <v>2022</v>
      </c>
      <c r="Q185" s="250" t="s">
        <v>3499</v>
      </c>
      <c r="R185" s="250" t="s">
        <v>3503</v>
      </c>
    </row>
    <row r="186" spans="1:18" ht="15.75" thickBot="1" x14ac:dyDescent="0.3">
      <c r="A186" s="424" t="s">
        <v>1912</v>
      </c>
      <c r="B186" s="424" t="s">
        <v>1912</v>
      </c>
      <c r="C186" s="424" t="str">
        <f t="shared" si="11"/>
        <v>X</v>
      </c>
      <c r="D186" s="425" t="s">
        <v>1661</v>
      </c>
      <c r="E186" s="425"/>
      <c r="F186" s="429"/>
      <c r="G186" s="161"/>
      <c r="H186" s="424" t="str">
        <f t="shared" si="12"/>
        <v/>
      </c>
      <c r="I186" s="332">
        <v>62079</v>
      </c>
      <c r="J186" s="162"/>
      <c r="K186" s="162"/>
      <c r="L186" s="271">
        <v>2022</v>
      </c>
      <c r="M186" s="227" t="s">
        <v>1890</v>
      </c>
      <c r="N186" s="227" t="s">
        <v>1891</v>
      </c>
      <c r="O186" s="227" t="s">
        <v>6576</v>
      </c>
      <c r="P186" s="227">
        <v>2022</v>
      </c>
      <c r="Q186" s="250" t="s">
        <v>3499</v>
      </c>
      <c r="R186" s="250" t="s">
        <v>3503</v>
      </c>
    </row>
    <row r="187" spans="1:18" ht="15.75" thickBot="1" x14ac:dyDescent="0.3">
      <c r="A187" s="424" t="s">
        <v>1912</v>
      </c>
      <c r="B187" s="424" t="s">
        <v>1912</v>
      </c>
      <c r="C187" s="424" t="str">
        <f t="shared" si="11"/>
        <v>X</v>
      </c>
      <c r="D187" s="425" t="s">
        <v>1662</v>
      </c>
      <c r="E187" s="425"/>
      <c r="F187" s="429"/>
      <c r="G187" s="161"/>
      <c r="H187" s="424" t="str">
        <f t="shared" si="12"/>
        <v/>
      </c>
      <c r="I187" s="332">
        <v>315135.08</v>
      </c>
      <c r="J187" s="162"/>
      <c r="K187" s="162"/>
      <c r="L187" s="271">
        <v>2022</v>
      </c>
      <c r="M187" s="227" t="s">
        <v>1890</v>
      </c>
      <c r="N187" s="227" t="s">
        <v>1891</v>
      </c>
      <c r="O187" s="227" t="s">
        <v>6576</v>
      </c>
      <c r="P187" s="227">
        <v>2022</v>
      </c>
      <c r="Q187" s="250" t="s">
        <v>3499</v>
      </c>
      <c r="R187" s="250" t="s">
        <v>3503</v>
      </c>
    </row>
    <row r="188" spans="1:18" ht="15.75" thickBot="1" x14ac:dyDescent="0.3">
      <c r="A188" s="424" t="s">
        <v>1912</v>
      </c>
      <c r="B188" s="424" t="s">
        <v>1912</v>
      </c>
      <c r="C188" s="424" t="str">
        <f t="shared" si="11"/>
        <v>X</v>
      </c>
      <c r="D188" s="425" t="s">
        <v>1670</v>
      </c>
      <c r="E188" s="425"/>
      <c r="F188" s="429"/>
      <c r="G188" s="161"/>
      <c r="H188" s="424" t="str">
        <f t="shared" si="12"/>
        <v/>
      </c>
      <c r="I188" s="332">
        <v>0</v>
      </c>
      <c r="J188" s="162"/>
      <c r="K188" s="162"/>
      <c r="L188" s="271">
        <v>2022</v>
      </c>
      <c r="M188" s="227" t="s">
        <v>1890</v>
      </c>
      <c r="N188" s="227" t="s">
        <v>1891</v>
      </c>
      <c r="O188" s="227" t="s">
        <v>6576</v>
      </c>
      <c r="P188" s="227">
        <v>2022</v>
      </c>
      <c r="Q188" s="250" t="s">
        <v>3499</v>
      </c>
      <c r="R188" s="250" t="s">
        <v>3503</v>
      </c>
    </row>
    <row r="189" spans="1:18" ht="15.75" thickBot="1" x14ac:dyDescent="0.3">
      <c r="A189" s="424" t="s">
        <v>1912</v>
      </c>
      <c r="B189" s="424" t="s">
        <v>1912</v>
      </c>
      <c r="C189" s="424" t="str">
        <f t="shared" si="11"/>
        <v>X</v>
      </c>
      <c r="D189" s="425" t="s">
        <v>1655</v>
      </c>
      <c r="E189" s="425"/>
      <c r="F189" s="429"/>
      <c r="G189" s="161"/>
      <c r="H189" s="424" t="str">
        <f t="shared" si="12"/>
        <v/>
      </c>
      <c r="I189" s="332">
        <v>21133.9</v>
      </c>
      <c r="J189" s="162"/>
      <c r="K189" s="162"/>
      <c r="L189" s="271">
        <v>2022</v>
      </c>
      <c r="M189" s="227" t="s">
        <v>1890</v>
      </c>
      <c r="N189" s="227" t="s">
        <v>1891</v>
      </c>
      <c r="O189" s="227" t="s">
        <v>6576</v>
      </c>
      <c r="P189" s="227">
        <v>2022</v>
      </c>
      <c r="Q189" s="250" t="s">
        <v>3499</v>
      </c>
      <c r="R189" s="250" t="s">
        <v>3503</v>
      </c>
    </row>
    <row r="190" spans="1:18" ht="15.75" thickBot="1" x14ac:dyDescent="0.3">
      <c r="A190" s="527" t="s">
        <v>4600</v>
      </c>
      <c r="B190" s="527" t="s">
        <v>4600</v>
      </c>
      <c r="C190" s="82" t="str">
        <f t="shared" si="11"/>
        <v>X</v>
      </c>
      <c r="D190" s="425" t="s">
        <v>2982</v>
      </c>
      <c r="E190" s="527"/>
      <c r="F190" s="540"/>
      <c r="G190" s="527"/>
      <c r="H190" s="527"/>
      <c r="I190" s="332">
        <v>2289.79</v>
      </c>
      <c r="J190" s="425"/>
      <c r="K190" s="425" t="s">
        <v>3855</v>
      </c>
      <c r="L190" s="271">
        <v>2022</v>
      </c>
      <c r="M190" s="227" t="s">
        <v>1890</v>
      </c>
      <c r="N190" s="238" t="s">
        <v>1891</v>
      </c>
      <c r="O190" s="227" t="s">
        <v>6576</v>
      </c>
      <c r="P190" s="227">
        <v>2022</v>
      </c>
      <c r="Q190" s="250" t="s">
        <v>3499</v>
      </c>
      <c r="R190" s="250" t="s">
        <v>3503</v>
      </c>
    </row>
    <row r="191" spans="1:18" ht="15.75" thickBot="1" x14ac:dyDescent="0.3">
      <c r="A191" s="527" t="s">
        <v>4600</v>
      </c>
      <c r="B191" s="527" t="s">
        <v>4600</v>
      </c>
      <c r="C191" s="82" t="str">
        <f t="shared" si="11"/>
        <v>X</v>
      </c>
      <c r="D191" s="425" t="s">
        <v>1659</v>
      </c>
      <c r="E191" s="527"/>
      <c r="F191" s="540"/>
      <c r="G191" s="527"/>
      <c r="H191" s="527"/>
      <c r="I191" s="332">
        <v>231620.53</v>
      </c>
      <c r="J191" s="425"/>
      <c r="K191" s="425" t="s">
        <v>3823</v>
      </c>
      <c r="L191" s="271">
        <v>2022</v>
      </c>
      <c r="M191" s="227" t="s">
        <v>1890</v>
      </c>
      <c r="N191" s="238" t="s">
        <v>1891</v>
      </c>
      <c r="O191" s="227" t="s">
        <v>6576</v>
      </c>
      <c r="P191" s="227">
        <v>2022</v>
      </c>
      <c r="Q191" s="250" t="s">
        <v>3499</v>
      </c>
      <c r="R191" s="250" t="s">
        <v>3503</v>
      </c>
    </row>
    <row r="192" spans="1:18" ht="15.75" thickBot="1" x14ac:dyDescent="0.3">
      <c r="A192" s="527" t="s">
        <v>4600</v>
      </c>
      <c r="B192" s="527" t="s">
        <v>4600</v>
      </c>
      <c r="C192" s="82" t="str">
        <f t="shared" si="11"/>
        <v>X</v>
      </c>
      <c r="D192" s="425" t="s">
        <v>1657</v>
      </c>
      <c r="E192" s="527"/>
      <c r="F192" s="540"/>
      <c r="G192" s="527"/>
      <c r="H192" s="527"/>
      <c r="I192" s="332">
        <v>8121.31</v>
      </c>
      <c r="J192" s="425"/>
      <c r="K192" s="425" t="s">
        <v>3820</v>
      </c>
      <c r="L192" s="271">
        <v>2022</v>
      </c>
      <c r="M192" s="227" t="s">
        <v>1890</v>
      </c>
      <c r="N192" s="238" t="s">
        <v>1891</v>
      </c>
      <c r="O192" s="227" t="s">
        <v>6576</v>
      </c>
      <c r="P192" s="227">
        <v>2022</v>
      </c>
      <c r="Q192" s="250" t="s">
        <v>3499</v>
      </c>
      <c r="R192" s="250" t="s">
        <v>3503</v>
      </c>
    </row>
    <row r="193" spans="1:18" ht="15.75" thickBot="1" x14ac:dyDescent="0.3">
      <c r="A193" s="527" t="s">
        <v>4600</v>
      </c>
      <c r="B193" s="527" t="s">
        <v>4600</v>
      </c>
      <c r="C193" s="82" t="str">
        <f t="shared" si="11"/>
        <v>X</v>
      </c>
      <c r="D193" s="425" t="s">
        <v>1661</v>
      </c>
      <c r="E193" s="527"/>
      <c r="F193" s="540"/>
      <c r="G193" s="527"/>
      <c r="H193" s="527"/>
      <c r="I193" s="332">
        <v>813840.78</v>
      </c>
      <c r="J193" s="425"/>
      <c r="K193" s="425" t="s">
        <v>3819</v>
      </c>
      <c r="L193" s="271">
        <v>2022</v>
      </c>
      <c r="M193" s="227" t="s">
        <v>1890</v>
      </c>
      <c r="N193" s="238" t="s">
        <v>1891</v>
      </c>
      <c r="O193" s="227" t="s">
        <v>6576</v>
      </c>
      <c r="P193" s="227">
        <v>2022</v>
      </c>
      <c r="Q193" s="250" t="s">
        <v>3499</v>
      </c>
      <c r="R193" s="250" t="s">
        <v>3503</v>
      </c>
    </row>
    <row r="194" spans="1:18" ht="15.75" thickBot="1" x14ac:dyDescent="0.3">
      <c r="A194" s="424" t="s">
        <v>3475</v>
      </c>
      <c r="B194" s="424" t="s">
        <v>3475</v>
      </c>
      <c r="C194" s="82" t="str">
        <f t="shared" si="11"/>
        <v>X</v>
      </c>
      <c r="D194" s="425" t="s">
        <v>2982</v>
      </c>
      <c r="E194" s="425"/>
      <c r="F194" s="429"/>
      <c r="G194" s="161"/>
      <c r="H194" s="424" t="str">
        <f t="shared" ref="H194:H257" si="13">IFERROR(LEFT(F194,FIND(" ",F194)-1),"")</f>
        <v/>
      </c>
      <c r="I194" s="332">
        <v>21777.03</v>
      </c>
      <c r="J194" s="162"/>
      <c r="K194" s="162"/>
      <c r="L194" s="271">
        <v>2022</v>
      </c>
      <c r="M194" s="227" t="s">
        <v>1890</v>
      </c>
      <c r="N194" s="227" t="s">
        <v>1891</v>
      </c>
      <c r="O194" s="227" t="s">
        <v>6576</v>
      </c>
      <c r="P194" s="227">
        <v>2022</v>
      </c>
      <c r="Q194" s="250" t="s">
        <v>3499</v>
      </c>
      <c r="R194" s="250" t="s">
        <v>3503</v>
      </c>
    </row>
    <row r="195" spans="1:18" ht="15.75" thickBot="1" x14ac:dyDescent="0.3">
      <c r="A195" s="424" t="s">
        <v>3475</v>
      </c>
      <c r="B195" s="424" t="s">
        <v>3475</v>
      </c>
      <c r="C195" s="424" t="str">
        <f t="shared" ref="C195:C258" si="14">IF(A195=B195,"X",RIGHT(A195,LEN(A195)-LEN(B195)-3))</f>
        <v>X</v>
      </c>
      <c r="D195" s="425" t="s">
        <v>1681</v>
      </c>
      <c r="E195" s="425"/>
      <c r="F195" s="429"/>
      <c r="G195" s="161"/>
      <c r="H195" s="424" t="str">
        <f t="shared" si="13"/>
        <v/>
      </c>
      <c r="I195" s="332">
        <v>19949.57</v>
      </c>
      <c r="J195" s="162"/>
      <c r="K195" s="162"/>
      <c r="L195" s="271">
        <v>2022</v>
      </c>
      <c r="M195" s="227" t="s">
        <v>1890</v>
      </c>
      <c r="N195" s="227" t="s">
        <v>1891</v>
      </c>
      <c r="O195" s="227" t="s">
        <v>6576</v>
      </c>
      <c r="P195" s="227">
        <v>2022</v>
      </c>
      <c r="Q195" s="250" t="s">
        <v>3499</v>
      </c>
      <c r="R195" s="250" t="s">
        <v>3503</v>
      </c>
    </row>
    <row r="196" spans="1:18" ht="15.75" thickBot="1" x14ac:dyDescent="0.3">
      <c r="A196" s="424" t="s">
        <v>3475</v>
      </c>
      <c r="B196" s="424" t="s">
        <v>3475</v>
      </c>
      <c r="C196" s="82" t="str">
        <f t="shared" si="14"/>
        <v>X</v>
      </c>
      <c r="D196" s="425" t="s">
        <v>1661</v>
      </c>
      <c r="E196" s="425"/>
      <c r="F196" s="429"/>
      <c r="G196" s="161"/>
      <c r="H196" s="424" t="str">
        <f t="shared" si="13"/>
        <v/>
      </c>
      <c r="I196" s="332">
        <v>109846.41000000002</v>
      </c>
      <c r="J196" s="162"/>
      <c r="K196" s="162"/>
      <c r="L196" s="271">
        <v>2022</v>
      </c>
      <c r="M196" s="227" t="s">
        <v>1890</v>
      </c>
      <c r="N196" s="227" t="s">
        <v>1891</v>
      </c>
      <c r="O196" s="227" t="s">
        <v>6576</v>
      </c>
      <c r="P196" s="227">
        <v>2022</v>
      </c>
      <c r="Q196" s="250" t="s">
        <v>3499</v>
      </c>
      <c r="R196" s="250" t="s">
        <v>3503</v>
      </c>
    </row>
    <row r="197" spans="1:18" ht="15.75" thickBot="1" x14ac:dyDescent="0.3">
      <c r="A197" s="82" t="s">
        <v>4593</v>
      </c>
      <c r="B197" s="82" t="s">
        <v>4593</v>
      </c>
      <c r="C197" s="82" t="str">
        <f t="shared" si="14"/>
        <v>X</v>
      </c>
      <c r="D197" s="425" t="s">
        <v>1675</v>
      </c>
      <c r="E197" s="425"/>
      <c r="F197" s="429"/>
      <c r="G197" s="161"/>
      <c r="H197" s="424" t="str">
        <f t="shared" si="13"/>
        <v/>
      </c>
      <c r="I197" s="273">
        <v>3896.77</v>
      </c>
      <c r="J197" s="162"/>
      <c r="K197" s="162"/>
      <c r="L197" s="271">
        <v>2022</v>
      </c>
      <c r="M197" s="227" t="s">
        <v>1890</v>
      </c>
      <c r="N197" s="227" t="s">
        <v>1891</v>
      </c>
      <c r="O197" s="227" t="s">
        <v>6576</v>
      </c>
      <c r="P197" s="227">
        <v>2022</v>
      </c>
      <c r="Q197" s="250" t="s">
        <v>3499</v>
      </c>
      <c r="R197" s="250" t="s">
        <v>3503</v>
      </c>
    </row>
    <row r="198" spans="1:18" ht="15.75" thickBot="1" x14ac:dyDescent="0.3">
      <c r="A198" s="424" t="s">
        <v>4593</v>
      </c>
      <c r="B198" s="424" t="s">
        <v>4593</v>
      </c>
      <c r="C198" s="82" t="str">
        <f t="shared" si="14"/>
        <v>X</v>
      </c>
      <c r="D198" s="425" t="s">
        <v>1653</v>
      </c>
      <c r="E198" s="425">
        <v>89</v>
      </c>
      <c r="F198" s="427" t="s">
        <v>586</v>
      </c>
      <c r="G198" s="161"/>
      <c r="H198" s="424" t="str">
        <f t="shared" si="13"/>
        <v/>
      </c>
      <c r="I198" s="273">
        <v>14646.73</v>
      </c>
      <c r="J198" s="162"/>
      <c r="K198" s="162"/>
      <c r="L198" s="271">
        <v>2022</v>
      </c>
      <c r="M198" s="227" t="s">
        <v>1890</v>
      </c>
      <c r="N198" s="227" t="s">
        <v>1891</v>
      </c>
      <c r="O198" s="227" t="s">
        <v>6576</v>
      </c>
      <c r="P198" s="227">
        <v>2022</v>
      </c>
      <c r="Q198" s="250" t="s">
        <v>3499</v>
      </c>
      <c r="R198" s="250" t="s">
        <v>3503</v>
      </c>
    </row>
    <row r="199" spans="1:18" ht="15.75" thickBot="1" x14ac:dyDescent="0.3">
      <c r="A199" s="424" t="s">
        <v>4593</v>
      </c>
      <c r="B199" s="82" t="s">
        <v>4593</v>
      </c>
      <c r="C199" s="82" t="str">
        <f t="shared" si="14"/>
        <v>X</v>
      </c>
      <c r="D199" s="162" t="s">
        <v>1654</v>
      </c>
      <c r="E199" s="425"/>
      <c r="F199" s="429"/>
      <c r="G199" s="161"/>
      <c r="H199" s="424" t="str">
        <f t="shared" si="13"/>
        <v/>
      </c>
      <c r="I199" s="273">
        <v>549.11</v>
      </c>
      <c r="J199" s="162"/>
      <c r="K199" s="162"/>
      <c r="L199" s="271">
        <v>2022</v>
      </c>
      <c r="M199" s="227" t="s">
        <v>1890</v>
      </c>
      <c r="N199" s="227" t="s">
        <v>1891</v>
      </c>
      <c r="O199" s="227" t="s">
        <v>6576</v>
      </c>
      <c r="P199" s="227">
        <v>2022</v>
      </c>
      <c r="Q199" s="250" t="s">
        <v>3499</v>
      </c>
      <c r="R199" s="250" t="s">
        <v>3503</v>
      </c>
    </row>
    <row r="200" spans="1:18" ht="15.75" thickBot="1" x14ac:dyDescent="0.3">
      <c r="A200" s="424" t="s">
        <v>4593</v>
      </c>
      <c r="B200" s="424" t="s">
        <v>4593</v>
      </c>
      <c r="C200" s="82" t="str">
        <f t="shared" si="14"/>
        <v>X</v>
      </c>
      <c r="D200" s="425" t="s">
        <v>2982</v>
      </c>
      <c r="E200" s="425"/>
      <c r="F200" s="429"/>
      <c r="G200" s="161"/>
      <c r="H200" s="424" t="str">
        <f t="shared" si="13"/>
        <v/>
      </c>
      <c r="I200" s="273">
        <v>665.30000000000007</v>
      </c>
      <c r="J200" s="162"/>
      <c r="K200" s="162"/>
      <c r="L200" s="271">
        <v>2022</v>
      </c>
      <c r="M200" s="227" t="s">
        <v>1890</v>
      </c>
      <c r="N200" s="227" t="s">
        <v>1891</v>
      </c>
      <c r="O200" s="227" t="s">
        <v>6576</v>
      </c>
      <c r="P200" s="227">
        <v>2022</v>
      </c>
      <c r="Q200" s="250" t="s">
        <v>3499</v>
      </c>
      <c r="R200" s="250" t="s">
        <v>3503</v>
      </c>
    </row>
    <row r="201" spans="1:18" ht="15.75" thickBot="1" x14ac:dyDescent="0.3">
      <c r="A201" s="424" t="s">
        <v>4593</v>
      </c>
      <c r="B201" s="82" t="s">
        <v>4593</v>
      </c>
      <c r="C201" s="82" t="str">
        <f t="shared" si="14"/>
        <v>X</v>
      </c>
      <c r="D201" s="425" t="s">
        <v>2982</v>
      </c>
      <c r="E201" s="425"/>
      <c r="F201" s="425"/>
      <c r="G201" s="161"/>
      <c r="H201" s="424" t="str">
        <f t="shared" si="13"/>
        <v/>
      </c>
      <c r="I201" s="273">
        <v>4466.6699999999992</v>
      </c>
      <c r="J201" s="162"/>
      <c r="K201" s="162"/>
      <c r="L201" s="271">
        <v>2022</v>
      </c>
      <c r="M201" s="227" t="s">
        <v>1890</v>
      </c>
      <c r="N201" s="227" t="s">
        <v>1891</v>
      </c>
      <c r="O201" s="227" t="s">
        <v>6576</v>
      </c>
      <c r="P201" s="227">
        <v>2022</v>
      </c>
      <c r="Q201" s="250" t="s">
        <v>3499</v>
      </c>
      <c r="R201" s="250" t="s">
        <v>3503</v>
      </c>
    </row>
    <row r="202" spans="1:18" ht="15.75" thickBot="1" x14ac:dyDescent="0.3">
      <c r="A202" s="424" t="s">
        <v>4593</v>
      </c>
      <c r="B202" s="82" t="s">
        <v>4593</v>
      </c>
      <c r="C202" s="82" t="str">
        <f t="shared" si="14"/>
        <v>X</v>
      </c>
      <c r="D202" s="425" t="s">
        <v>2982</v>
      </c>
      <c r="E202" s="425"/>
      <c r="F202" s="425"/>
      <c r="G202" s="161"/>
      <c r="H202" s="424" t="str">
        <f t="shared" si="13"/>
        <v/>
      </c>
      <c r="I202" s="273">
        <v>2428.1500000000005</v>
      </c>
      <c r="J202" s="162"/>
      <c r="K202" s="162"/>
      <c r="L202" s="271">
        <v>2022</v>
      </c>
      <c r="M202" s="227" t="s">
        <v>1890</v>
      </c>
      <c r="N202" s="227" t="s">
        <v>1891</v>
      </c>
      <c r="O202" s="227" t="s">
        <v>6576</v>
      </c>
      <c r="P202" s="227">
        <v>2022</v>
      </c>
      <c r="Q202" s="250" t="s">
        <v>3499</v>
      </c>
      <c r="R202" s="250" t="s">
        <v>3503</v>
      </c>
    </row>
    <row r="203" spans="1:18" ht="15.75" thickBot="1" x14ac:dyDescent="0.3">
      <c r="A203" s="424" t="s">
        <v>4593</v>
      </c>
      <c r="B203" s="424" t="s">
        <v>4593</v>
      </c>
      <c r="C203" s="82" t="str">
        <f t="shared" si="14"/>
        <v>X</v>
      </c>
      <c r="D203" s="425" t="s">
        <v>2982</v>
      </c>
      <c r="E203" s="425"/>
      <c r="F203" s="429"/>
      <c r="G203" s="161"/>
      <c r="H203" s="424" t="str">
        <f t="shared" si="13"/>
        <v/>
      </c>
      <c r="I203" s="273">
        <v>829.48</v>
      </c>
      <c r="J203" s="162"/>
      <c r="K203" s="162"/>
      <c r="L203" s="271">
        <v>2022</v>
      </c>
      <c r="M203" s="227" t="s">
        <v>1890</v>
      </c>
      <c r="N203" s="227" t="s">
        <v>1891</v>
      </c>
      <c r="O203" s="227" t="s">
        <v>6576</v>
      </c>
      <c r="P203" s="227">
        <v>2022</v>
      </c>
      <c r="Q203" s="250" t="s">
        <v>3499</v>
      </c>
      <c r="R203" s="250" t="s">
        <v>3503</v>
      </c>
    </row>
    <row r="204" spans="1:18" ht="15.75" thickBot="1" x14ac:dyDescent="0.3">
      <c r="A204" s="424" t="s">
        <v>4593</v>
      </c>
      <c r="B204" s="82" t="s">
        <v>4593</v>
      </c>
      <c r="C204" s="82" t="str">
        <f t="shared" si="14"/>
        <v>X</v>
      </c>
      <c r="D204" s="425" t="s">
        <v>2982</v>
      </c>
      <c r="E204" s="425"/>
      <c r="F204" s="429"/>
      <c r="G204" s="161"/>
      <c r="H204" s="424" t="str">
        <f t="shared" si="13"/>
        <v/>
      </c>
      <c r="I204" s="273">
        <v>15047.119999999995</v>
      </c>
      <c r="J204" s="162"/>
      <c r="K204" s="162"/>
      <c r="L204" s="271">
        <v>2022</v>
      </c>
      <c r="M204" s="227" t="s">
        <v>1890</v>
      </c>
      <c r="N204" s="227" t="s">
        <v>1891</v>
      </c>
      <c r="O204" s="227" t="s">
        <v>6576</v>
      </c>
      <c r="P204" s="227">
        <v>2022</v>
      </c>
      <c r="Q204" s="250" t="s">
        <v>3499</v>
      </c>
      <c r="R204" s="250" t="s">
        <v>3503</v>
      </c>
    </row>
    <row r="205" spans="1:18" ht="15.75" thickBot="1" x14ac:dyDescent="0.3">
      <c r="A205" s="424" t="s">
        <v>4593</v>
      </c>
      <c r="B205" s="424" t="s">
        <v>4593</v>
      </c>
      <c r="C205" s="82" t="str">
        <f t="shared" si="14"/>
        <v>X</v>
      </c>
      <c r="D205" s="425" t="s">
        <v>2982</v>
      </c>
      <c r="E205" s="425"/>
      <c r="F205" s="429"/>
      <c r="G205" s="161"/>
      <c r="H205" s="424" t="str">
        <f t="shared" si="13"/>
        <v/>
      </c>
      <c r="I205" s="273">
        <v>7778.8499999999985</v>
      </c>
      <c r="J205" s="162"/>
      <c r="K205" s="162"/>
      <c r="L205" s="271">
        <v>2022</v>
      </c>
      <c r="M205" s="227" t="s">
        <v>1890</v>
      </c>
      <c r="N205" s="227" t="s">
        <v>1891</v>
      </c>
      <c r="O205" s="227" t="s">
        <v>6576</v>
      </c>
      <c r="P205" s="227">
        <v>2022</v>
      </c>
      <c r="Q205" s="250" t="s">
        <v>3499</v>
      </c>
      <c r="R205" s="250" t="s">
        <v>3503</v>
      </c>
    </row>
    <row r="206" spans="1:18" ht="15.75" thickBot="1" x14ac:dyDescent="0.3">
      <c r="A206" s="424" t="s">
        <v>4593</v>
      </c>
      <c r="B206" s="424" t="s">
        <v>4593</v>
      </c>
      <c r="C206" s="82" t="str">
        <f t="shared" si="14"/>
        <v>X</v>
      </c>
      <c r="D206" s="83" t="s">
        <v>2982</v>
      </c>
      <c r="E206" s="425"/>
      <c r="F206" s="425"/>
      <c r="G206" s="161"/>
      <c r="H206" s="424" t="str">
        <f t="shared" si="13"/>
        <v/>
      </c>
      <c r="I206" s="273">
        <v>380.17</v>
      </c>
      <c r="J206" s="162"/>
      <c r="K206" s="162"/>
      <c r="L206" s="271">
        <v>2022</v>
      </c>
      <c r="M206" s="227" t="s">
        <v>1890</v>
      </c>
      <c r="N206" s="227" t="s">
        <v>1891</v>
      </c>
      <c r="O206" s="227" t="s">
        <v>6576</v>
      </c>
      <c r="P206" s="227">
        <v>2022</v>
      </c>
      <c r="Q206" s="250" t="s">
        <v>3499</v>
      </c>
      <c r="R206" s="250" t="s">
        <v>3503</v>
      </c>
    </row>
    <row r="207" spans="1:18" ht="15.75" thickBot="1" x14ac:dyDescent="0.3">
      <c r="A207" s="424" t="s">
        <v>4593</v>
      </c>
      <c r="B207" s="424" t="s">
        <v>4593</v>
      </c>
      <c r="C207" s="82" t="str">
        <f t="shared" si="14"/>
        <v>X</v>
      </c>
      <c r="D207" s="83" t="s">
        <v>1658</v>
      </c>
      <c r="E207" s="425"/>
      <c r="F207" s="425"/>
      <c r="G207" s="161"/>
      <c r="H207" s="424" t="str">
        <f t="shared" si="13"/>
        <v/>
      </c>
      <c r="I207" s="273">
        <v>253.52000000000007</v>
      </c>
      <c r="J207" s="162"/>
      <c r="K207" s="162"/>
      <c r="L207" s="271">
        <v>2022</v>
      </c>
      <c r="M207" s="227" t="s">
        <v>1890</v>
      </c>
      <c r="N207" s="227" t="s">
        <v>1891</v>
      </c>
      <c r="O207" s="227" t="s">
        <v>6576</v>
      </c>
      <c r="P207" s="227">
        <v>2022</v>
      </c>
      <c r="Q207" s="250" t="s">
        <v>3499</v>
      </c>
      <c r="R207" s="250" t="s">
        <v>3503</v>
      </c>
    </row>
    <row r="208" spans="1:18" ht="15.75" thickBot="1" x14ac:dyDescent="0.3">
      <c r="A208" s="424" t="s">
        <v>4593</v>
      </c>
      <c r="B208" s="82" t="s">
        <v>4593</v>
      </c>
      <c r="C208" s="82" t="str">
        <f t="shared" si="14"/>
        <v>X</v>
      </c>
      <c r="D208" s="425" t="s">
        <v>1658</v>
      </c>
      <c r="E208" s="425"/>
      <c r="F208" s="425"/>
      <c r="G208" s="161"/>
      <c r="H208" s="424" t="str">
        <f t="shared" si="13"/>
        <v/>
      </c>
      <c r="I208" s="273">
        <v>53.98</v>
      </c>
      <c r="J208" s="162"/>
      <c r="K208" s="162"/>
      <c r="L208" s="271">
        <v>2022</v>
      </c>
      <c r="M208" s="227" t="s">
        <v>1890</v>
      </c>
      <c r="N208" s="227" t="s">
        <v>1891</v>
      </c>
      <c r="O208" s="227" t="s">
        <v>6576</v>
      </c>
      <c r="P208" s="227">
        <v>2022</v>
      </c>
      <c r="Q208" s="250" t="s">
        <v>3499</v>
      </c>
      <c r="R208" s="250" t="s">
        <v>3503</v>
      </c>
    </row>
    <row r="209" spans="1:18" ht="15.75" thickBot="1" x14ac:dyDescent="0.3">
      <c r="A209" s="424" t="s">
        <v>4593</v>
      </c>
      <c r="B209" s="82" t="s">
        <v>4593</v>
      </c>
      <c r="C209" s="82" t="str">
        <f t="shared" si="14"/>
        <v>X</v>
      </c>
      <c r="D209" s="83" t="s">
        <v>1659</v>
      </c>
      <c r="E209" s="425"/>
      <c r="F209" s="425"/>
      <c r="G209" s="161"/>
      <c r="H209" s="424" t="str">
        <f t="shared" si="13"/>
        <v/>
      </c>
      <c r="I209" s="273">
        <v>2064.2199999999993</v>
      </c>
      <c r="J209" s="162"/>
      <c r="K209" s="162"/>
      <c r="L209" s="271">
        <v>2022</v>
      </c>
      <c r="M209" s="227" t="s">
        <v>1890</v>
      </c>
      <c r="N209" s="227" t="s">
        <v>1891</v>
      </c>
      <c r="O209" s="227" t="s">
        <v>6576</v>
      </c>
      <c r="P209" s="227">
        <v>2022</v>
      </c>
      <c r="Q209" s="250" t="s">
        <v>3499</v>
      </c>
      <c r="R209" s="250" t="s">
        <v>3503</v>
      </c>
    </row>
    <row r="210" spans="1:18" ht="15.75" thickBot="1" x14ac:dyDescent="0.3">
      <c r="A210" s="424" t="s">
        <v>4593</v>
      </c>
      <c r="B210" s="424" t="s">
        <v>4593</v>
      </c>
      <c r="C210" s="82" t="str">
        <f t="shared" si="14"/>
        <v>X</v>
      </c>
      <c r="D210" s="425" t="s">
        <v>1659</v>
      </c>
      <c r="E210" s="425"/>
      <c r="F210" s="425"/>
      <c r="G210" s="161"/>
      <c r="H210" s="424" t="str">
        <f t="shared" si="13"/>
        <v/>
      </c>
      <c r="I210" s="273">
        <v>302.64</v>
      </c>
      <c r="J210" s="162"/>
      <c r="K210" s="162"/>
      <c r="L210" s="271">
        <v>2022</v>
      </c>
      <c r="M210" s="227" t="s">
        <v>1890</v>
      </c>
      <c r="N210" s="227" t="s">
        <v>1891</v>
      </c>
      <c r="O210" s="227" t="s">
        <v>6576</v>
      </c>
      <c r="P210" s="227">
        <v>2022</v>
      </c>
      <c r="Q210" s="250" t="s">
        <v>3499</v>
      </c>
      <c r="R210" s="250" t="s">
        <v>3503</v>
      </c>
    </row>
    <row r="211" spans="1:18" ht="15.75" thickBot="1" x14ac:dyDescent="0.3">
      <c r="A211" s="424" t="s">
        <v>4593</v>
      </c>
      <c r="B211" s="424" t="s">
        <v>4593</v>
      </c>
      <c r="C211" s="82" t="str">
        <f t="shared" si="14"/>
        <v>X</v>
      </c>
      <c r="D211" s="83" t="s">
        <v>1659</v>
      </c>
      <c r="E211" s="425"/>
      <c r="F211" s="425"/>
      <c r="G211" s="161"/>
      <c r="H211" s="424" t="str">
        <f t="shared" si="13"/>
        <v/>
      </c>
      <c r="I211" s="273">
        <v>469.61</v>
      </c>
      <c r="J211" s="162"/>
      <c r="K211" s="162"/>
      <c r="L211" s="271">
        <v>2022</v>
      </c>
      <c r="M211" s="227" t="s">
        <v>1890</v>
      </c>
      <c r="N211" s="227" t="s">
        <v>1891</v>
      </c>
      <c r="O211" s="227" t="s">
        <v>6576</v>
      </c>
      <c r="P211" s="227">
        <v>2022</v>
      </c>
      <c r="Q211" s="250" t="s">
        <v>3499</v>
      </c>
      <c r="R211" s="250" t="s">
        <v>3503</v>
      </c>
    </row>
    <row r="212" spans="1:18" ht="15.75" thickBot="1" x14ac:dyDescent="0.3">
      <c r="A212" s="424" t="s">
        <v>4593</v>
      </c>
      <c r="B212" s="424" t="s">
        <v>4593</v>
      </c>
      <c r="C212" s="82" t="str">
        <f t="shared" si="14"/>
        <v>X</v>
      </c>
      <c r="D212" s="83" t="s">
        <v>1659</v>
      </c>
      <c r="E212" s="425"/>
      <c r="F212" s="425"/>
      <c r="G212" s="161"/>
      <c r="H212" s="424" t="str">
        <f t="shared" si="13"/>
        <v/>
      </c>
      <c r="I212" s="273">
        <v>2.72</v>
      </c>
      <c r="J212" s="162"/>
      <c r="K212" s="162"/>
      <c r="L212" s="271">
        <v>2022</v>
      </c>
      <c r="M212" s="227" t="s">
        <v>1890</v>
      </c>
      <c r="N212" s="227" t="s">
        <v>1891</v>
      </c>
      <c r="O212" s="227" t="s">
        <v>6576</v>
      </c>
      <c r="P212" s="227">
        <v>2022</v>
      </c>
      <c r="Q212" s="250" t="s">
        <v>3499</v>
      </c>
      <c r="R212" s="250" t="s">
        <v>3503</v>
      </c>
    </row>
    <row r="213" spans="1:18" ht="15.75" thickBot="1" x14ac:dyDescent="0.3">
      <c r="A213" s="424" t="s">
        <v>4593</v>
      </c>
      <c r="B213" s="424" t="s">
        <v>4593</v>
      </c>
      <c r="C213" s="82" t="str">
        <f t="shared" si="14"/>
        <v>X</v>
      </c>
      <c r="D213" s="83" t="s">
        <v>1659</v>
      </c>
      <c r="E213" s="425"/>
      <c r="F213" s="425"/>
      <c r="G213" s="161"/>
      <c r="H213" s="424" t="str">
        <f t="shared" si="13"/>
        <v/>
      </c>
      <c r="I213" s="273">
        <v>1337.0100000000002</v>
      </c>
      <c r="J213" s="162"/>
      <c r="K213" s="162"/>
      <c r="L213" s="271">
        <v>2022</v>
      </c>
      <c r="M213" s="227" t="s">
        <v>1890</v>
      </c>
      <c r="N213" s="227" t="s">
        <v>1891</v>
      </c>
      <c r="O213" s="227" t="s">
        <v>6576</v>
      </c>
      <c r="P213" s="227">
        <v>2022</v>
      </c>
      <c r="Q213" s="250" t="s">
        <v>3499</v>
      </c>
      <c r="R213" s="250" t="s">
        <v>3503</v>
      </c>
    </row>
    <row r="214" spans="1:18" ht="15.75" thickBot="1" x14ac:dyDescent="0.3">
      <c r="A214" s="424" t="s">
        <v>4593</v>
      </c>
      <c r="B214" s="424" t="s">
        <v>4593</v>
      </c>
      <c r="C214" s="82" t="str">
        <f t="shared" si="14"/>
        <v>X</v>
      </c>
      <c r="D214" s="83" t="s">
        <v>1659</v>
      </c>
      <c r="E214" s="425"/>
      <c r="F214" s="425"/>
      <c r="G214" s="161"/>
      <c r="H214" s="424" t="str">
        <f t="shared" si="13"/>
        <v/>
      </c>
      <c r="I214" s="273">
        <v>1502.1399999999999</v>
      </c>
      <c r="J214" s="162"/>
      <c r="K214" s="162"/>
      <c r="L214" s="271">
        <v>2022</v>
      </c>
      <c r="M214" s="227" t="s">
        <v>1890</v>
      </c>
      <c r="N214" s="227" t="s">
        <v>1891</v>
      </c>
      <c r="O214" s="227" t="s">
        <v>6576</v>
      </c>
      <c r="P214" s="227">
        <v>2022</v>
      </c>
      <c r="Q214" s="250" t="s">
        <v>3499</v>
      </c>
      <c r="R214" s="250" t="s">
        <v>3503</v>
      </c>
    </row>
    <row r="215" spans="1:18" ht="15.75" thickBot="1" x14ac:dyDescent="0.3">
      <c r="A215" s="424" t="s">
        <v>4593</v>
      </c>
      <c r="B215" s="82" t="s">
        <v>4593</v>
      </c>
      <c r="C215" s="82" t="str">
        <f t="shared" si="14"/>
        <v>X</v>
      </c>
      <c r="D215" s="83" t="s">
        <v>1657</v>
      </c>
      <c r="E215" s="425"/>
      <c r="F215" s="425"/>
      <c r="G215" s="161"/>
      <c r="H215" s="424" t="str">
        <f t="shared" si="13"/>
        <v/>
      </c>
      <c r="I215" s="273">
        <v>629.20000000000005</v>
      </c>
      <c r="J215" s="162"/>
      <c r="K215" s="162"/>
      <c r="L215" s="271">
        <v>2022</v>
      </c>
      <c r="M215" s="227" t="s">
        <v>1890</v>
      </c>
      <c r="N215" s="227" t="s">
        <v>1891</v>
      </c>
      <c r="O215" s="227" t="s">
        <v>6576</v>
      </c>
      <c r="P215" s="227">
        <v>2022</v>
      </c>
      <c r="Q215" s="250" t="s">
        <v>3499</v>
      </c>
      <c r="R215" s="250" t="s">
        <v>3503</v>
      </c>
    </row>
    <row r="216" spans="1:18" ht="15.75" thickBot="1" x14ac:dyDescent="0.3">
      <c r="A216" s="424" t="s">
        <v>4593</v>
      </c>
      <c r="B216" s="82" t="s">
        <v>4593</v>
      </c>
      <c r="C216" s="82" t="str">
        <f t="shared" si="14"/>
        <v>X</v>
      </c>
      <c r="D216" s="83" t="s">
        <v>1657</v>
      </c>
      <c r="E216" s="425"/>
      <c r="F216" s="425"/>
      <c r="G216" s="161"/>
      <c r="H216" s="424" t="str">
        <f t="shared" si="13"/>
        <v/>
      </c>
      <c r="I216" s="273">
        <v>683.92</v>
      </c>
      <c r="J216" s="162"/>
      <c r="K216" s="162"/>
      <c r="L216" s="271">
        <v>2022</v>
      </c>
      <c r="M216" s="227" t="s">
        <v>1890</v>
      </c>
      <c r="N216" s="227" t="s">
        <v>1891</v>
      </c>
      <c r="O216" s="227" t="s">
        <v>6576</v>
      </c>
      <c r="P216" s="227">
        <v>2022</v>
      </c>
      <c r="Q216" s="250" t="s">
        <v>3499</v>
      </c>
      <c r="R216" s="250" t="s">
        <v>3503</v>
      </c>
    </row>
    <row r="217" spans="1:18" ht="15.75" thickBot="1" x14ac:dyDescent="0.3">
      <c r="A217" s="424" t="s">
        <v>4593</v>
      </c>
      <c r="B217" s="82" t="s">
        <v>4593</v>
      </c>
      <c r="C217" s="82" t="str">
        <f t="shared" si="14"/>
        <v>X</v>
      </c>
      <c r="D217" s="83" t="s">
        <v>1657</v>
      </c>
      <c r="E217" s="425"/>
      <c r="F217" s="425"/>
      <c r="G217" s="161"/>
      <c r="H217" s="424" t="str">
        <f t="shared" si="13"/>
        <v/>
      </c>
      <c r="I217" s="273">
        <v>37661.710000000006</v>
      </c>
      <c r="J217" s="162"/>
      <c r="K217" s="162"/>
      <c r="L217" s="271">
        <v>2022</v>
      </c>
      <c r="M217" s="227" t="s">
        <v>1890</v>
      </c>
      <c r="N217" s="227" t="s">
        <v>1891</v>
      </c>
      <c r="O217" s="227" t="s">
        <v>6576</v>
      </c>
      <c r="P217" s="227">
        <v>2022</v>
      </c>
      <c r="Q217" s="250" t="s">
        <v>3499</v>
      </c>
      <c r="R217" s="250" t="s">
        <v>3503</v>
      </c>
    </row>
    <row r="218" spans="1:18" ht="15.75" thickBot="1" x14ac:dyDescent="0.3">
      <c r="A218" s="424" t="s">
        <v>4593</v>
      </c>
      <c r="B218" s="82" t="s">
        <v>4593</v>
      </c>
      <c r="C218" s="82" t="str">
        <f t="shared" si="14"/>
        <v>X</v>
      </c>
      <c r="D218" s="83" t="s">
        <v>1657</v>
      </c>
      <c r="E218" s="425"/>
      <c r="F218" s="425"/>
      <c r="G218" s="161"/>
      <c r="H218" s="424" t="str">
        <f t="shared" si="13"/>
        <v/>
      </c>
      <c r="I218" s="273">
        <v>16341.27</v>
      </c>
      <c r="J218" s="162"/>
      <c r="K218" s="162"/>
      <c r="L218" s="271">
        <v>2022</v>
      </c>
      <c r="M218" s="227" t="s">
        <v>1890</v>
      </c>
      <c r="N218" s="227" t="s">
        <v>1891</v>
      </c>
      <c r="O218" s="227" t="s">
        <v>6576</v>
      </c>
      <c r="P218" s="227">
        <v>2022</v>
      </c>
      <c r="Q218" s="250" t="s">
        <v>3499</v>
      </c>
      <c r="R218" s="250" t="s">
        <v>3503</v>
      </c>
    </row>
    <row r="219" spans="1:18" ht="15.75" thickBot="1" x14ac:dyDescent="0.3">
      <c r="A219" s="424" t="s">
        <v>4593</v>
      </c>
      <c r="B219" s="424" t="s">
        <v>4593</v>
      </c>
      <c r="C219" s="82" t="str">
        <f t="shared" si="14"/>
        <v>X</v>
      </c>
      <c r="D219" s="162" t="s">
        <v>1661</v>
      </c>
      <c r="E219" s="425"/>
      <c r="F219" s="425"/>
      <c r="G219" s="161"/>
      <c r="H219" s="424" t="str">
        <f t="shared" si="13"/>
        <v/>
      </c>
      <c r="I219" s="273">
        <v>313899</v>
      </c>
      <c r="J219" s="162"/>
      <c r="K219" s="162"/>
      <c r="L219" s="271">
        <v>2022</v>
      </c>
      <c r="M219" s="227" t="s">
        <v>1890</v>
      </c>
      <c r="N219" s="227" t="s">
        <v>1891</v>
      </c>
      <c r="O219" s="227" t="s">
        <v>6576</v>
      </c>
      <c r="P219" s="227">
        <v>2022</v>
      </c>
      <c r="Q219" s="250" t="s">
        <v>3499</v>
      </c>
      <c r="R219" s="250" t="s">
        <v>3503</v>
      </c>
    </row>
    <row r="220" spans="1:18" ht="15.75" thickBot="1" x14ac:dyDescent="0.3">
      <c r="A220" s="424" t="s">
        <v>4593</v>
      </c>
      <c r="B220" s="424" t="s">
        <v>4593</v>
      </c>
      <c r="C220" s="82" t="str">
        <f t="shared" si="14"/>
        <v>X</v>
      </c>
      <c r="D220" s="162" t="s">
        <v>1655</v>
      </c>
      <c r="E220" s="425"/>
      <c r="F220" s="425"/>
      <c r="G220" s="161"/>
      <c r="H220" s="424" t="str">
        <f t="shared" si="13"/>
        <v/>
      </c>
      <c r="I220" s="273">
        <v>92.75</v>
      </c>
      <c r="J220" s="162"/>
      <c r="K220" s="162"/>
      <c r="L220" s="271">
        <v>2022</v>
      </c>
      <c r="M220" s="227" t="s">
        <v>1890</v>
      </c>
      <c r="N220" s="227" t="s">
        <v>1891</v>
      </c>
      <c r="O220" s="227" t="s">
        <v>6576</v>
      </c>
      <c r="P220" s="227">
        <v>2022</v>
      </c>
      <c r="Q220" s="250" t="s">
        <v>3499</v>
      </c>
      <c r="R220" s="250" t="s">
        <v>3503</v>
      </c>
    </row>
    <row r="221" spans="1:18" ht="15.75" thickBot="1" x14ac:dyDescent="0.3">
      <c r="A221" s="424" t="s">
        <v>4592</v>
      </c>
      <c r="B221" s="424" t="s">
        <v>4592</v>
      </c>
      <c r="C221" s="82" t="str">
        <f t="shared" si="14"/>
        <v>X</v>
      </c>
      <c r="D221" s="83" t="s">
        <v>1675</v>
      </c>
      <c r="E221" s="425"/>
      <c r="F221" s="425"/>
      <c r="G221" s="161"/>
      <c r="H221" s="424" t="str">
        <f t="shared" si="13"/>
        <v/>
      </c>
      <c r="I221" s="273">
        <v>3303.78</v>
      </c>
      <c r="J221" s="162"/>
      <c r="K221" s="162"/>
      <c r="L221" s="271">
        <v>2022</v>
      </c>
      <c r="M221" s="227" t="s">
        <v>1890</v>
      </c>
      <c r="N221" s="227" t="s">
        <v>1891</v>
      </c>
      <c r="O221" s="227" t="s">
        <v>6576</v>
      </c>
      <c r="P221" s="227">
        <v>2022</v>
      </c>
      <c r="Q221" s="250" t="s">
        <v>3499</v>
      </c>
      <c r="R221" s="250" t="s">
        <v>3503</v>
      </c>
    </row>
    <row r="222" spans="1:18" ht="15.75" thickBot="1" x14ac:dyDescent="0.3">
      <c r="A222" s="424" t="s">
        <v>4592</v>
      </c>
      <c r="B222" s="424" t="s">
        <v>4592</v>
      </c>
      <c r="C222" s="82" t="str">
        <f t="shared" si="14"/>
        <v>X</v>
      </c>
      <c r="D222" s="83" t="s">
        <v>1653</v>
      </c>
      <c r="E222" s="425">
        <v>126</v>
      </c>
      <c r="F222" s="580" t="s">
        <v>586</v>
      </c>
      <c r="G222" s="161"/>
      <c r="H222" s="424" t="str">
        <f t="shared" si="13"/>
        <v/>
      </c>
      <c r="I222" s="273">
        <v>21571.73</v>
      </c>
      <c r="J222" s="162"/>
      <c r="K222" s="162"/>
      <c r="L222" s="271">
        <v>2022</v>
      </c>
      <c r="M222" s="227" t="s">
        <v>1890</v>
      </c>
      <c r="N222" s="227" t="s">
        <v>1891</v>
      </c>
      <c r="O222" s="227" t="s">
        <v>6576</v>
      </c>
      <c r="P222" s="227">
        <v>2022</v>
      </c>
      <c r="Q222" s="250" t="s">
        <v>3499</v>
      </c>
      <c r="R222" s="250" t="s">
        <v>3503</v>
      </c>
    </row>
    <row r="223" spans="1:18" ht="15.75" thickBot="1" x14ac:dyDescent="0.3">
      <c r="A223" s="424" t="s">
        <v>4592</v>
      </c>
      <c r="B223" s="424" t="s">
        <v>4592</v>
      </c>
      <c r="C223" s="82" t="str">
        <f t="shared" si="14"/>
        <v>X</v>
      </c>
      <c r="D223" s="162" t="s">
        <v>1654</v>
      </c>
      <c r="E223" s="425"/>
      <c r="F223" s="425"/>
      <c r="G223" s="161"/>
      <c r="H223" s="424" t="str">
        <f t="shared" si="13"/>
        <v/>
      </c>
      <c r="I223" s="273">
        <v>560.68000000000006</v>
      </c>
      <c r="J223" s="162"/>
      <c r="K223" s="162"/>
      <c r="L223" s="271">
        <v>2022</v>
      </c>
      <c r="M223" s="227" t="s">
        <v>1890</v>
      </c>
      <c r="N223" s="227" t="s">
        <v>1891</v>
      </c>
      <c r="O223" s="227" t="s">
        <v>6576</v>
      </c>
      <c r="P223" s="227">
        <v>2022</v>
      </c>
      <c r="Q223" s="250" t="s">
        <v>3499</v>
      </c>
      <c r="R223" s="250" t="s">
        <v>3503</v>
      </c>
    </row>
    <row r="224" spans="1:18" ht="15.75" thickBot="1" x14ac:dyDescent="0.3">
      <c r="A224" s="564" t="s">
        <v>4592</v>
      </c>
      <c r="B224" s="564" t="s">
        <v>4592</v>
      </c>
      <c r="C224" s="82" t="str">
        <f t="shared" si="14"/>
        <v>X</v>
      </c>
      <c r="D224" s="83" t="s">
        <v>2982</v>
      </c>
      <c r="E224" s="425"/>
      <c r="F224" s="425"/>
      <c r="G224" s="161"/>
      <c r="H224" s="424" t="str">
        <f t="shared" si="13"/>
        <v/>
      </c>
      <c r="I224" s="273">
        <v>478.28</v>
      </c>
      <c r="J224" s="162"/>
      <c r="K224" s="162"/>
      <c r="L224" s="271">
        <v>2022</v>
      </c>
      <c r="M224" s="227" t="s">
        <v>1890</v>
      </c>
      <c r="N224" s="227" t="s">
        <v>1891</v>
      </c>
      <c r="O224" s="227" t="s">
        <v>6576</v>
      </c>
      <c r="P224" s="227">
        <v>2022</v>
      </c>
      <c r="Q224" s="250" t="s">
        <v>3499</v>
      </c>
      <c r="R224" s="250" t="s">
        <v>3503</v>
      </c>
    </row>
    <row r="225" spans="1:18" ht="15.75" thickBot="1" x14ac:dyDescent="0.3">
      <c r="A225" s="424" t="s">
        <v>4592</v>
      </c>
      <c r="B225" s="424" t="s">
        <v>4592</v>
      </c>
      <c r="C225" s="82" t="str">
        <f t="shared" si="14"/>
        <v>X</v>
      </c>
      <c r="D225" s="83" t="s">
        <v>2982</v>
      </c>
      <c r="E225" s="425"/>
      <c r="F225" s="425"/>
      <c r="G225" s="161"/>
      <c r="H225" s="424" t="str">
        <f t="shared" si="13"/>
        <v/>
      </c>
      <c r="I225" s="273">
        <v>3699.7400000000007</v>
      </c>
      <c r="J225" s="162"/>
      <c r="K225" s="162"/>
      <c r="L225" s="271">
        <v>2022</v>
      </c>
      <c r="M225" s="227" t="s">
        <v>1890</v>
      </c>
      <c r="N225" s="227" t="s">
        <v>1891</v>
      </c>
      <c r="O225" s="227" t="s">
        <v>6576</v>
      </c>
      <c r="P225" s="227">
        <v>2022</v>
      </c>
      <c r="Q225" s="250" t="s">
        <v>3499</v>
      </c>
      <c r="R225" s="250" t="s">
        <v>3503</v>
      </c>
    </row>
    <row r="226" spans="1:18" ht="15.75" thickBot="1" x14ac:dyDescent="0.3">
      <c r="A226" s="424" t="s">
        <v>4592</v>
      </c>
      <c r="B226" s="82" t="s">
        <v>4592</v>
      </c>
      <c r="C226" s="82" t="str">
        <f t="shared" si="14"/>
        <v>X</v>
      </c>
      <c r="D226" s="83" t="s">
        <v>2982</v>
      </c>
      <c r="E226" s="425"/>
      <c r="F226" s="425"/>
      <c r="G226" s="161"/>
      <c r="H226" s="424" t="str">
        <f t="shared" si="13"/>
        <v/>
      </c>
      <c r="I226" s="273">
        <v>3472.8200000000006</v>
      </c>
      <c r="J226" s="162"/>
      <c r="K226" s="162"/>
      <c r="L226" s="271">
        <v>2022</v>
      </c>
      <c r="M226" s="227" t="s">
        <v>1890</v>
      </c>
      <c r="N226" s="227" t="s">
        <v>1891</v>
      </c>
      <c r="O226" s="227" t="s">
        <v>6576</v>
      </c>
      <c r="P226" s="227">
        <v>2022</v>
      </c>
      <c r="Q226" s="250" t="s">
        <v>3499</v>
      </c>
      <c r="R226" s="250" t="s">
        <v>3503</v>
      </c>
    </row>
    <row r="227" spans="1:18" ht="15.75" thickBot="1" x14ac:dyDescent="0.3">
      <c r="A227" s="424" t="s">
        <v>4592</v>
      </c>
      <c r="B227" s="82" t="s">
        <v>4592</v>
      </c>
      <c r="C227" s="82" t="str">
        <f t="shared" si="14"/>
        <v>X</v>
      </c>
      <c r="D227" s="425" t="s">
        <v>2982</v>
      </c>
      <c r="E227" s="425"/>
      <c r="F227" s="425"/>
      <c r="G227" s="161"/>
      <c r="H227" s="424" t="str">
        <f t="shared" si="13"/>
        <v/>
      </c>
      <c r="I227" s="273">
        <v>2415.2799999999997</v>
      </c>
      <c r="J227" s="162"/>
      <c r="K227" s="162"/>
      <c r="L227" s="271">
        <v>2022</v>
      </c>
      <c r="M227" s="227" t="s">
        <v>1890</v>
      </c>
      <c r="N227" s="227" t="s">
        <v>1891</v>
      </c>
      <c r="O227" s="227" t="s">
        <v>6576</v>
      </c>
      <c r="P227" s="227">
        <v>2022</v>
      </c>
      <c r="Q227" s="250" t="s">
        <v>3499</v>
      </c>
      <c r="R227" s="250" t="s">
        <v>3503</v>
      </c>
    </row>
    <row r="228" spans="1:18" ht="15.75" thickBot="1" x14ac:dyDescent="0.3">
      <c r="A228" s="424" t="s">
        <v>4592</v>
      </c>
      <c r="B228" s="424" t="s">
        <v>4592</v>
      </c>
      <c r="C228" s="82" t="str">
        <f t="shared" si="14"/>
        <v>X</v>
      </c>
      <c r="D228" s="83" t="s">
        <v>2982</v>
      </c>
      <c r="E228" s="425"/>
      <c r="F228" s="425"/>
      <c r="G228" s="161"/>
      <c r="H228" s="424" t="str">
        <f t="shared" si="13"/>
        <v/>
      </c>
      <c r="I228" s="273">
        <v>16269.66</v>
      </c>
      <c r="J228" s="162"/>
      <c r="K228" s="162"/>
      <c r="L228" s="271">
        <v>2022</v>
      </c>
      <c r="M228" s="227" t="s">
        <v>1890</v>
      </c>
      <c r="N228" s="227" t="s">
        <v>1891</v>
      </c>
      <c r="O228" s="227" t="s">
        <v>6576</v>
      </c>
      <c r="P228" s="227">
        <v>2022</v>
      </c>
      <c r="Q228" s="250" t="s">
        <v>3499</v>
      </c>
      <c r="R228" s="250" t="s">
        <v>3503</v>
      </c>
    </row>
    <row r="229" spans="1:18" ht="15.75" thickBot="1" x14ac:dyDescent="0.3">
      <c r="A229" s="424" t="s">
        <v>4592</v>
      </c>
      <c r="B229" s="82" t="s">
        <v>4592</v>
      </c>
      <c r="C229" s="82" t="str">
        <f t="shared" si="14"/>
        <v>X</v>
      </c>
      <c r="D229" s="425" t="s">
        <v>2982</v>
      </c>
      <c r="E229" s="425"/>
      <c r="F229" s="425"/>
      <c r="G229" s="161"/>
      <c r="H229" s="424" t="str">
        <f t="shared" si="13"/>
        <v/>
      </c>
      <c r="I229" s="273">
        <v>8886.8900000000012</v>
      </c>
      <c r="J229" s="162"/>
      <c r="K229" s="162"/>
      <c r="L229" s="271">
        <v>2022</v>
      </c>
      <c r="M229" s="227" t="s">
        <v>1890</v>
      </c>
      <c r="N229" s="227" t="s">
        <v>1891</v>
      </c>
      <c r="O229" s="227" t="s">
        <v>6576</v>
      </c>
      <c r="P229" s="227">
        <v>2022</v>
      </c>
      <c r="Q229" s="250" t="s">
        <v>3499</v>
      </c>
      <c r="R229" s="250" t="s">
        <v>3503</v>
      </c>
    </row>
    <row r="230" spans="1:18" ht="15.75" thickBot="1" x14ac:dyDescent="0.3">
      <c r="A230" s="424" t="s">
        <v>4592</v>
      </c>
      <c r="B230" s="82" t="s">
        <v>4592</v>
      </c>
      <c r="C230" s="82" t="str">
        <f t="shared" si="14"/>
        <v>X</v>
      </c>
      <c r="D230" s="425" t="s">
        <v>2982</v>
      </c>
      <c r="E230" s="425"/>
      <c r="F230" s="425"/>
      <c r="G230" s="161"/>
      <c r="H230" s="424" t="str">
        <f t="shared" si="13"/>
        <v/>
      </c>
      <c r="I230" s="273">
        <v>485.25000000000006</v>
      </c>
      <c r="J230" s="162"/>
      <c r="K230" s="162"/>
      <c r="L230" s="271">
        <v>2022</v>
      </c>
      <c r="M230" s="227" t="s">
        <v>1890</v>
      </c>
      <c r="N230" s="227" t="s">
        <v>1891</v>
      </c>
      <c r="O230" s="227" t="s">
        <v>6576</v>
      </c>
      <c r="P230" s="227">
        <v>2022</v>
      </c>
      <c r="Q230" s="250" t="s">
        <v>3499</v>
      </c>
      <c r="R230" s="250" t="s">
        <v>3503</v>
      </c>
    </row>
    <row r="231" spans="1:18" ht="15.75" thickBot="1" x14ac:dyDescent="0.3">
      <c r="A231" s="424" t="s">
        <v>4592</v>
      </c>
      <c r="B231" s="82" t="s">
        <v>4592</v>
      </c>
      <c r="C231" s="82" t="str">
        <f t="shared" si="14"/>
        <v>X</v>
      </c>
      <c r="D231" s="425" t="s">
        <v>1658</v>
      </c>
      <c r="E231" s="425"/>
      <c r="F231" s="425"/>
      <c r="G231" s="161"/>
      <c r="H231" s="424" t="str">
        <f t="shared" si="13"/>
        <v/>
      </c>
      <c r="I231" s="273">
        <v>916</v>
      </c>
      <c r="J231" s="162"/>
      <c r="K231" s="162"/>
      <c r="L231" s="271">
        <v>2022</v>
      </c>
      <c r="M231" s="227" t="s">
        <v>1890</v>
      </c>
      <c r="N231" s="227" t="s">
        <v>1891</v>
      </c>
      <c r="O231" s="227" t="s">
        <v>6576</v>
      </c>
      <c r="P231" s="227">
        <v>2022</v>
      </c>
      <c r="Q231" s="250" t="s">
        <v>3499</v>
      </c>
      <c r="R231" s="250" t="s">
        <v>3503</v>
      </c>
    </row>
    <row r="232" spans="1:18" ht="15.75" thickBot="1" x14ac:dyDescent="0.3">
      <c r="A232" s="424" t="s">
        <v>4592</v>
      </c>
      <c r="B232" s="424" t="s">
        <v>4592</v>
      </c>
      <c r="C232" s="82" t="str">
        <f t="shared" si="14"/>
        <v>X</v>
      </c>
      <c r="D232" s="425" t="s">
        <v>1659</v>
      </c>
      <c r="E232" s="425"/>
      <c r="F232" s="425"/>
      <c r="G232" s="161"/>
      <c r="H232" s="424" t="str">
        <f t="shared" si="13"/>
        <v/>
      </c>
      <c r="I232" s="273">
        <v>2110.9600000000009</v>
      </c>
      <c r="J232" s="162"/>
      <c r="K232" s="162"/>
      <c r="L232" s="271">
        <v>2022</v>
      </c>
      <c r="M232" s="227" t="s">
        <v>1890</v>
      </c>
      <c r="N232" s="227" t="s">
        <v>1891</v>
      </c>
      <c r="O232" s="227" t="s">
        <v>6576</v>
      </c>
      <c r="P232" s="227">
        <v>2022</v>
      </c>
      <c r="Q232" s="250" t="s">
        <v>3499</v>
      </c>
      <c r="R232" s="250" t="s">
        <v>3503</v>
      </c>
    </row>
    <row r="233" spans="1:18" ht="15.75" thickBot="1" x14ac:dyDescent="0.3">
      <c r="A233" s="424" t="s">
        <v>4592</v>
      </c>
      <c r="B233" s="424" t="s">
        <v>4592</v>
      </c>
      <c r="C233" s="82" t="str">
        <f t="shared" si="14"/>
        <v>X</v>
      </c>
      <c r="D233" s="425" t="s">
        <v>1659</v>
      </c>
      <c r="E233" s="425"/>
      <c r="F233" s="425"/>
      <c r="G233" s="161"/>
      <c r="H233" s="424" t="str">
        <f t="shared" si="13"/>
        <v/>
      </c>
      <c r="I233" s="273">
        <v>3059.6</v>
      </c>
      <c r="J233" s="162"/>
      <c r="K233" s="162"/>
      <c r="L233" s="271">
        <v>2022</v>
      </c>
      <c r="M233" s="227" t="s">
        <v>1890</v>
      </c>
      <c r="N233" s="227" t="s">
        <v>1891</v>
      </c>
      <c r="O233" s="227" t="s">
        <v>6576</v>
      </c>
      <c r="P233" s="227">
        <v>2022</v>
      </c>
      <c r="Q233" s="250" t="s">
        <v>3499</v>
      </c>
      <c r="R233" s="250" t="s">
        <v>3503</v>
      </c>
    </row>
    <row r="234" spans="1:18" ht="15.75" thickBot="1" x14ac:dyDescent="0.3">
      <c r="A234" s="424" t="s">
        <v>4592</v>
      </c>
      <c r="B234" s="424" t="s">
        <v>4592</v>
      </c>
      <c r="C234" s="82" t="str">
        <f t="shared" si="14"/>
        <v>X</v>
      </c>
      <c r="D234" s="425" t="s">
        <v>1659</v>
      </c>
      <c r="E234" s="425"/>
      <c r="F234" s="425"/>
      <c r="G234" s="161"/>
      <c r="H234" s="424" t="str">
        <f t="shared" si="13"/>
        <v/>
      </c>
      <c r="I234" s="273">
        <v>471.87</v>
      </c>
      <c r="J234" s="162"/>
      <c r="K234" s="162"/>
      <c r="L234" s="271">
        <v>2022</v>
      </c>
      <c r="M234" s="227" t="s">
        <v>1890</v>
      </c>
      <c r="N234" s="227" t="s">
        <v>1891</v>
      </c>
      <c r="O234" s="227" t="s">
        <v>6576</v>
      </c>
      <c r="P234" s="227">
        <v>2022</v>
      </c>
      <c r="Q234" s="250" t="s">
        <v>3499</v>
      </c>
      <c r="R234" s="250" t="s">
        <v>3503</v>
      </c>
    </row>
    <row r="235" spans="1:18" ht="15.75" thickBot="1" x14ac:dyDescent="0.3">
      <c r="A235" s="424" t="s">
        <v>4592</v>
      </c>
      <c r="B235" s="82" t="s">
        <v>4592</v>
      </c>
      <c r="C235" s="82" t="str">
        <f t="shared" si="14"/>
        <v>X</v>
      </c>
      <c r="D235" s="83" t="s">
        <v>1659</v>
      </c>
      <c r="E235" s="425"/>
      <c r="F235" s="425"/>
      <c r="G235" s="161"/>
      <c r="H235" s="424" t="str">
        <f t="shared" si="13"/>
        <v/>
      </c>
      <c r="I235" s="273">
        <v>40.57</v>
      </c>
      <c r="J235" s="162"/>
      <c r="K235" s="162"/>
      <c r="L235" s="271">
        <v>2022</v>
      </c>
      <c r="M235" s="227" t="s">
        <v>1890</v>
      </c>
      <c r="N235" s="227" t="s">
        <v>1891</v>
      </c>
      <c r="O235" s="227" t="s">
        <v>6576</v>
      </c>
      <c r="P235" s="227">
        <v>2022</v>
      </c>
      <c r="Q235" s="250" t="s">
        <v>3499</v>
      </c>
      <c r="R235" s="250" t="s">
        <v>3503</v>
      </c>
    </row>
    <row r="236" spans="1:18" ht="15.75" thickBot="1" x14ac:dyDescent="0.3">
      <c r="A236" s="424" t="s">
        <v>4592</v>
      </c>
      <c r="B236" s="82" t="s">
        <v>4592</v>
      </c>
      <c r="C236" s="82" t="str">
        <f t="shared" si="14"/>
        <v>X</v>
      </c>
      <c r="D236" s="83" t="s">
        <v>1659</v>
      </c>
      <c r="E236" s="425"/>
      <c r="F236" s="425"/>
      <c r="G236" s="161"/>
      <c r="H236" s="424" t="str">
        <f t="shared" si="13"/>
        <v/>
      </c>
      <c r="I236" s="273">
        <v>2275.23</v>
      </c>
      <c r="J236" s="162"/>
      <c r="K236" s="162"/>
      <c r="L236" s="271">
        <v>2022</v>
      </c>
      <c r="M236" s="227" t="s">
        <v>1890</v>
      </c>
      <c r="N236" s="227" t="s">
        <v>1891</v>
      </c>
      <c r="O236" s="227" t="s">
        <v>6576</v>
      </c>
      <c r="P236" s="227">
        <v>2022</v>
      </c>
      <c r="Q236" s="250" t="s">
        <v>3499</v>
      </c>
      <c r="R236" s="250" t="s">
        <v>3503</v>
      </c>
    </row>
    <row r="237" spans="1:18" ht="15.75" thickBot="1" x14ac:dyDescent="0.3">
      <c r="A237" s="424" t="s">
        <v>4592</v>
      </c>
      <c r="B237" s="82" t="s">
        <v>4592</v>
      </c>
      <c r="C237" s="82" t="str">
        <f t="shared" si="14"/>
        <v>X</v>
      </c>
      <c r="D237" s="83" t="s">
        <v>1659</v>
      </c>
      <c r="E237" s="425"/>
      <c r="F237" s="425"/>
      <c r="G237" s="161"/>
      <c r="H237" s="424" t="str">
        <f t="shared" si="13"/>
        <v/>
      </c>
      <c r="I237" s="273">
        <v>2246.7299999999996</v>
      </c>
      <c r="J237" s="162"/>
      <c r="K237" s="162"/>
      <c r="L237" s="271">
        <v>2022</v>
      </c>
      <c r="M237" s="227" t="s">
        <v>1890</v>
      </c>
      <c r="N237" s="227" t="s">
        <v>1891</v>
      </c>
      <c r="O237" s="227" t="s">
        <v>6576</v>
      </c>
      <c r="P237" s="227">
        <v>2022</v>
      </c>
      <c r="Q237" s="250" t="s">
        <v>3499</v>
      </c>
      <c r="R237" s="250" t="s">
        <v>3503</v>
      </c>
    </row>
    <row r="238" spans="1:18" ht="15.75" thickBot="1" x14ac:dyDescent="0.3">
      <c r="A238" s="424" t="s">
        <v>4592</v>
      </c>
      <c r="B238" s="82" t="s">
        <v>4592</v>
      </c>
      <c r="C238" s="82" t="str">
        <f t="shared" si="14"/>
        <v>X</v>
      </c>
      <c r="D238" s="425" t="s">
        <v>1657</v>
      </c>
      <c r="E238" s="425"/>
      <c r="F238" s="425"/>
      <c r="G238" s="161"/>
      <c r="H238" s="424" t="str">
        <f t="shared" si="13"/>
        <v/>
      </c>
      <c r="I238" s="273">
        <v>706.62</v>
      </c>
      <c r="J238" s="162"/>
      <c r="K238" s="162"/>
      <c r="L238" s="271">
        <v>2022</v>
      </c>
      <c r="M238" s="227" t="s">
        <v>1890</v>
      </c>
      <c r="N238" s="227" t="s">
        <v>1891</v>
      </c>
      <c r="O238" s="227" t="s">
        <v>6576</v>
      </c>
      <c r="P238" s="227">
        <v>2022</v>
      </c>
      <c r="Q238" s="250" t="s">
        <v>3499</v>
      </c>
      <c r="R238" s="250" t="s">
        <v>3503</v>
      </c>
    </row>
    <row r="239" spans="1:18" ht="15.75" thickBot="1" x14ac:dyDescent="0.3">
      <c r="A239" s="424" t="s">
        <v>4592</v>
      </c>
      <c r="B239" s="82" t="s">
        <v>4592</v>
      </c>
      <c r="C239" s="82" t="str">
        <f t="shared" si="14"/>
        <v>X</v>
      </c>
      <c r="D239" s="425" t="s">
        <v>1657</v>
      </c>
      <c r="E239" s="425"/>
      <c r="F239" s="425"/>
      <c r="G239" s="161"/>
      <c r="H239" s="424" t="str">
        <f t="shared" si="13"/>
        <v/>
      </c>
      <c r="I239" s="273">
        <v>186.92000000000002</v>
      </c>
      <c r="J239" s="162"/>
      <c r="K239" s="162"/>
      <c r="L239" s="271">
        <v>2022</v>
      </c>
      <c r="M239" s="227" t="s">
        <v>1890</v>
      </c>
      <c r="N239" s="227" t="s">
        <v>1891</v>
      </c>
      <c r="O239" s="227" t="s">
        <v>6576</v>
      </c>
      <c r="P239" s="227">
        <v>2022</v>
      </c>
      <c r="Q239" s="250" t="s">
        <v>3499</v>
      </c>
      <c r="R239" s="250" t="s">
        <v>3503</v>
      </c>
    </row>
    <row r="240" spans="1:18" ht="15.75" thickBot="1" x14ac:dyDescent="0.3">
      <c r="A240" s="424" t="s">
        <v>4592</v>
      </c>
      <c r="B240" s="82" t="s">
        <v>4592</v>
      </c>
      <c r="C240" s="82" t="str">
        <f t="shared" si="14"/>
        <v>X</v>
      </c>
      <c r="D240" s="425" t="s">
        <v>1657</v>
      </c>
      <c r="E240" s="425"/>
      <c r="F240" s="425"/>
      <c r="G240" s="161"/>
      <c r="H240" s="424" t="str">
        <f t="shared" si="13"/>
        <v/>
      </c>
      <c r="I240" s="273">
        <v>37985.80000000001</v>
      </c>
      <c r="J240" s="162"/>
      <c r="K240" s="162"/>
      <c r="L240" s="271">
        <v>2022</v>
      </c>
      <c r="M240" s="227" t="s">
        <v>1890</v>
      </c>
      <c r="N240" s="227" t="s">
        <v>1891</v>
      </c>
      <c r="O240" s="227" t="s">
        <v>6576</v>
      </c>
      <c r="P240" s="227">
        <v>2022</v>
      </c>
      <c r="Q240" s="250" t="s">
        <v>3499</v>
      </c>
      <c r="R240" s="250" t="s">
        <v>3503</v>
      </c>
    </row>
    <row r="241" spans="1:18" ht="15.75" thickBot="1" x14ac:dyDescent="0.3">
      <c r="A241" s="424" t="s">
        <v>4592</v>
      </c>
      <c r="B241" s="424" t="s">
        <v>4592</v>
      </c>
      <c r="C241" s="82" t="str">
        <f t="shared" si="14"/>
        <v>X</v>
      </c>
      <c r="D241" s="425" t="s">
        <v>1657</v>
      </c>
      <c r="E241" s="425"/>
      <c r="F241" s="425"/>
      <c r="G241" s="161"/>
      <c r="H241" s="424" t="str">
        <f t="shared" si="13"/>
        <v/>
      </c>
      <c r="I241" s="273">
        <v>32713.509999999995</v>
      </c>
      <c r="J241" s="162"/>
      <c r="K241" s="162"/>
      <c r="L241" s="271">
        <v>2022</v>
      </c>
      <c r="M241" s="227" t="s">
        <v>1890</v>
      </c>
      <c r="N241" s="227" t="s">
        <v>1891</v>
      </c>
      <c r="O241" s="227" t="s">
        <v>6576</v>
      </c>
      <c r="P241" s="227">
        <v>2022</v>
      </c>
      <c r="Q241" s="250" t="s">
        <v>3499</v>
      </c>
      <c r="R241" s="250" t="s">
        <v>3503</v>
      </c>
    </row>
    <row r="242" spans="1:18" ht="15.75" thickBot="1" x14ac:dyDescent="0.3">
      <c r="A242" s="424" t="s">
        <v>4592</v>
      </c>
      <c r="B242" s="424" t="s">
        <v>4592</v>
      </c>
      <c r="C242" s="82" t="str">
        <f t="shared" si="14"/>
        <v>X</v>
      </c>
      <c r="D242" s="162" t="s">
        <v>1661</v>
      </c>
      <c r="E242" s="425"/>
      <c r="F242" s="425"/>
      <c r="G242" s="161"/>
      <c r="H242" s="424" t="str">
        <f t="shared" si="13"/>
        <v/>
      </c>
      <c r="I242" s="273">
        <v>396350</v>
      </c>
      <c r="J242" s="162"/>
      <c r="K242" s="162"/>
      <c r="L242" s="271">
        <v>2022</v>
      </c>
      <c r="M242" s="227" t="s">
        <v>1890</v>
      </c>
      <c r="N242" s="227" t="s">
        <v>1891</v>
      </c>
      <c r="O242" s="227" t="s">
        <v>6576</v>
      </c>
      <c r="P242" s="227">
        <v>2022</v>
      </c>
      <c r="Q242" s="250" t="s">
        <v>3499</v>
      </c>
      <c r="R242" s="250" t="s">
        <v>3503</v>
      </c>
    </row>
    <row r="243" spans="1:18" ht="15.75" thickBot="1" x14ac:dyDescent="0.3">
      <c r="A243" s="424" t="s">
        <v>4580</v>
      </c>
      <c r="B243" s="424" t="s">
        <v>4580</v>
      </c>
      <c r="C243" s="82" t="str">
        <f t="shared" si="14"/>
        <v>X</v>
      </c>
      <c r="D243" s="425" t="s">
        <v>1675</v>
      </c>
      <c r="E243" s="425"/>
      <c r="F243" s="580"/>
      <c r="G243" s="424"/>
      <c r="H243" s="424" t="str">
        <f t="shared" si="13"/>
        <v/>
      </c>
      <c r="I243" s="334">
        <v>4108.93</v>
      </c>
      <c r="J243" s="425"/>
      <c r="K243" s="425" t="s">
        <v>1735</v>
      </c>
      <c r="L243" s="271">
        <v>2022</v>
      </c>
      <c r="M243" s="227" t="s">
        <v>1890</v>
      </c>
      <c r="N243" s="227" t="s">
        <v>1891</v>
      </c>
      <c r="O243" s="227" t="s">
        <v>6576</v>
      </c>
      <c r="P243" s="227">
        <v>2022</v>
      </c>
      <c r="Q243" s="250" t="s">
        <v>3499</v>
      </c>
      <c r="R243" s="250" t="s">
        <v>3503</v>
      </c>
    </row>
    <row r="244" spans="1:18" ht="15.75" thickBot="1" x14ac:dyDescent="0.3">
      <c r="A244" s="424" t="s">
        <v>4580</v>
      </c>
      <c r="B244" s="424" t="s">
        <v>4580</v>
      </c>
      <c r="C244" s="424" t="str">
        <f t="shared" si="14"/>
        <v>X</v>
      </c>
      <c r="D244" s="425" t="s">
        <v>1653</v>
      </c>
      <c r="E244" s="425">
        <v>45</v>
      </c>
      <c r="F244" s="580" t="s">
        <v>586</v>
      </c>
      <c r="G244" s="424"/>
      <c r="H244" s="424" t="str">
        <f t="shared" si="13"/>
        <v/>
      </c>
      <c r="I244" s="334">
        <v>7860.51</v>
      </c>
      <c r="J244" s="425"/>
      <c r="K244" s="425" t="s">
        <v>1689</v>
      </c>
      <c r="L244" s="271">
        <v>2022</v>
      </c>
      <c r="M244" s="227" t="s">
        <v>1890</v>
      </c>
      <c r="N244" s="227" t="s">
        <v>1891</v>
      </c>
      <c r="O244" s="227" t="s">
        <v>6576</v>
      </c>
      <c r="P244" s="227">
        <v>2022</v>
      </c>
      <c r="Q244" s="250" t="s">
        <v>3499</v>
      </c>
      <c r="R244" s="250" t="s">
        <v>3503</v>
      </c>
    </row>
    <row r="245" spans="1:18" ht="15.75" thickBot="1" x14ac:dyDescent="0.3">
      <c r="A245" s="424" t="s">
        <v>4580</v>
      </c>
      <c r="B245" s="82" t="s">
        <v>4580</v>
      </c>
      <c r="C245" s="82" t="str">
        <f t="shared" si="14"/>
        <v>X</v>
      </c>
      <c r="D245" s="425" t="s">
        <v>1654</v>
      </c>
      <c r="E245" s="425"/>
      <c r="F245" s="580"/>
      <c r="G245" s="424"/>
      <c r="H245" s="424" t="str">
        <f t="shared" si="13"/>
        <v/>
      </c>
      <c r="I245" s="334">
        <v>352.84</v>
      </c>
      <c r="J245" s="425"/>
      <c r="K245" s="425" t="s">
        <v>1700</v>
      </c>
      <c r="L245" s="271">
        <v>2022</v>
      </c>
      <c r="M245" s="227" t="s">
        <v>1890</v>
      </c>
      <c r="N245" s="227" t="s">
        <v>1891</v>
      </c>
      <c r="O245" s="227" t="s">
        <v>6576</v>
      </c>
      <c r="P245" s="227">
        <v>2022</v>
      </c>
      <c r="Q245" s="250" t="s">
        <v>3499</v>
      </c>
      <c r="R245" s="250" t="s">
        <v>3503</v>
      </c>
    </row>
    <row r="246" spans="1:18" ht="15.75" thickBot="1" x14ac:dyDescent="0.3">
      <c r="A246" s="424" t="s">
        <v>4580</v>
      </c>
      <c r="B246" s="424" t="s">
        <v>4580</v>
      </c>
      <c r="C246" s="82" t="str">
        <f t="shared" si="14"/>
        <v>X</v>
      </c>
      <c r="D246" s="425" t="s">
        <v>2982</v>
      </c>
      <c r="E246" s="425"/>
      <c r="F246" s="427"/>
      <c r="G246" s="424"/>
      <c r="H246" s="424" t="str">
        <f t="shared" si="13"/>
        <v/>
      </c>
      <c r="I246" s="334">
        <v>51720.63</v>
      </c>
      <c r="J246" s="425"/>
      <c r="K246" s="425" t="s">
        <v>1719</v>
      </c>
      <c r="L246" s="271">
        <v>2022</v>
      </c>
      <c r="M246" s="227" t="s">
        <v>1890</v>
      </c>
      <c r="N246" s="227" t="s">
        <v>1891</v>
      </c>
      <c r="O246" s="227" t="s">
        <v>6576</v>
      </c>
      <c r="P246" s="227">
        <v>2022</v>
      </c>
      <c r="Q246" s="250" t="s">
        <v>3499</v>
      </c>
      <c r="R246" s="250" t="s">
        <v>3503</v>
      </c>
    </row>
    <row r="247" spans="1:18" ht="15.75" thickBot="1" x14ac:dyDescent="0.3">
      <c r="A247" s="424" t="s">
        <v>4580</v>
      </c>
      <c r="B247" s="424" t="s">
        <v>4580</v>
      </c>
      <c r="C247" s="82" t="str">
        <f t="shared" si="14"/>
        <v>X</v>
      </c>
      <c r="D247" s="425" t="s">
        <v>1656</v>
      </c>
      <c r="E247" s="425"/>
      <c r="F247" s="580"/>
      <c r="G247" s="424"/>
      <c r="H247" s="424" t="str">
        <f t="shared" si="13"/>
        <v/>
      </c>
      <c r="I247" s="334">
        <v>0</v>
      </c>
      <c r="J247" s="425"/>
      <c r="K247" s="425"/>
      <c r="L247" s="271">
        <v>2022</v>
      </c>
      <c r="M247" s="227" t="s">
        <v>1890</v>
      </c>
      <c r="N247" s="227" t="s">
        <v>1891</v>
      </c>
      <c r="O247" s="227" t="s">
        <v>6576</v>
      </c>
      <c r="P247" s="227">
        <v>2022</v>
      </c>
      <c r="Q247" s="250" t="s">
        <v>3499</v>
      </c>
      <c r="R247" s="250" t="s">
        <v>3503</v>
      </c>
    </row>
    <row r="248" spans="1:18" ht="15.75" thickBot="1" x14ac:dyDescent="0.3">
      <c r="A248" s="424" t="s">
        <v>4580</v>
      </c>
      <c r="B248" s="424" t="s">
        <v>4580</v>
      </c>
      <c r="C248" s="82" t="str">
        <f t="shared" si="14"/>
        <v>X</v>
      </c>
      <c r="D248" s="83" t="s">
        <v>1658</v>
      </c>
      <c r="E248" s="425"/>
      <c r="F248" s="580"/>
      <c r="G248" s="424"/>
      <c r="H248" s="424" t="str">
        <f t="shared" si="13"/>
        <v/>
      </c>
      <c r="I248" s="334">
        <v>454.33</v>
      </c>
      <c r="J248" s="425"/>
      <c r="K248" s="425" t="s">
        <v>1716</v>
      </c>
      <c r="L248" s="271">
        <v>2022</v>
      </c>
      <c r="M248" s="227" t="s">
        <v>1890</v>
      </c>
      <c r="N248" s="227" t="s">
        <v>1891</v>
      </c>
      <c r="O248" s="227" t="s">
        <v>6576</v>
      </c>
      <c r="P248" s="227">
        <v>2022</v>
      </c>
      <c r="Q248" s="250" t="s">
        <v>3499</v>
      </c>
      <c r="R248" s="250" t="s">
        <v>3503</v>
      </c>
    </row>
    <row r="249" spans="1:18" ht="15.75" thickBot="1" x14ac:dyDescent="0.3">
      <c r="A249" s="424" t="s">
        <v>4580</v>
      </c>
      <c r="B249" s="424" t="s">
        <v>4580</v>
      </c>
      <c r="C249" s="82" t="str">
        <f t="shared" si="14"/>
        <v>X</v>
      </c>
      <c r="D249" s="83" t="s">
        <v>1659</v>
      </c>
      <c r="E249" s="425"/>
      <c r="F249" s="580"/>
      <c r="G249" s="424"/>
      <c r="H249" s="424" t="str">
        <f t="shared" si="13"/>
        <v/>
      </c>
      <c r="I249" s="334">
        <v>124935.38</v>
      </c>
      <c r="J249" s="425"/>
      <c r="K249" s="425" t="s">
        <v>1738</v>
      </c>
      <c r="L249" s="271">
        <v>2022</v>
      </c>
      <c r="M249" s="227" t="s">
        <v>1890</v>
      </c>
      <c r="N249" s="227" t="s">
        <v>1891</v>
      </c>
      <c r="O249" s="227" t="s">
        <v>6576</v>
      </c>
      <c r="P249" s="227">
        <v>2022</v>
      </c>
      <c r="Q249" s="250" t="s">
        <v>3499</v>
      </c>
      <c r="R249" s="250" t="s">
        <v>3503</v>
      </c>
    </row>
    <row r="250" spans="1:18" ht="15.75" thickBot="1" x14ac:dyDescent="0.3">
      <c r="A250" s="424" t="s">
        <v>4580</v>
      </c>
      <c r="B250" s="424" t="s">
        <v>4580</v>
      </c>
      <c r="C250" s="82" t="str">
        <f t="shared" si="14"/>
        <v>X</v>
      </c>
      <c r="D250" s="83" t="s">
        <v>1681</v>
      </c>
      <c r="E250" s="425">
        <v>123</v>
      </c>
      <c r="F250" s="580" t="s">
        <v>586</v>
      </c>
      <c r="G250" s="424"/>
      <c r="H250" s="424" t="str">
        <f t="shared" si="13"/>
        <v/>
      </c>
      <c r="I250" s="334">
        <v>33147.879999999997</v>
      </c>
      <c r="J250" s="425"/>
      <c r="K250" s="425" t="s">
        <v>1688</v>
      </c>
      <c r="L250" s="271">
        <v>2022</v>
      </c>
      <c r="M250" s="227" t="s">
        <v>1890</v>
      </c>
      <c r="N250" s="227" t="s">
        <v>1891</v>
      </c>
      <c r="O250" s="227" t="s">
        <v>6576</v>
      </c>
      <c r="P250" s="227">
        <v>2022</v>
      </c>
      <c r="Q250" s="250" t="s">
        <v>3499</v>
      </c>
      <c r="R250" s="250" t="s">
        <v>3503</v>
      </c>
    </row>
    <row r="251" spans="1:18" ht="15.75" thickBot="1" x14ac:dyDescent="0.3">
      <c r="A251" s="424" t="s">
        <v>4580</v>
      </c>
      <c r="B251" s="424" t="s">
        <v>4580</v>
      </c>
      <c r="C251" s="82" t="str">
        <f t="shared" si="14"/>
        <v>X</v>
      </c>
      <c r="D251" s="83" t="s">
        <v>1657</v>
      </c>
      <c r="E251" s="425"/>
      <c r="F251" s="580"/>
      <c r="G251" s="424"/>
      <c r="H251" s="424" t="str">
        <f t="shared" si="13"/>
        <v/>
      </c>
      <c r="I251" s="334">
        <v>15825.47</v>
      </c>
      <c r="J251" s="425"/>
      <c r="K251" s="425" t="s">
        <v>1707</v>
      </c>
      <c r="L251" s="271">
        <v>2022</v>
      </c>
      <c r="M251" s="227" t="s">
        <v>1890</v>
      </c>
      <c r="N251" s="227" t="s">
        <v>1891</v>
      </c>
      <c r="O251" s="227" t="s">
        <v>6576</v>
      </c>
      <c r="P251" s="227">
        <v>2022</v>
      </c>
      <c r="Q251" s="250" t="s">
        <v>3499</v>
      </c>
      <c r="R251" s="250" t="s">
        <v>3503</v>
      </c>
    </row>
    <row r="252" spans="1:18" ht="15.75" thickBot="1" x14ac:dyDescent="0.3">
      <c r="A252" s="424" t="s">
        <v>4580</v>
      </c>
      <c r="B252" s="424" t="s">
        <v>4580</v>
      </c>
      <c r="C252" s="82" t="str">
        <f t="shared" si="14"/>
        <v>X</v>
      </c>
      <c r="D252" s="83" t="s">
        <v>1661</v>
      </c>
      <c r="E252" s="425"/>
      <c r="F252" s="580"/>
      <c r="G252" s="424"/>
      <c r="H252" s="424" t="str">
        <f t="shared" si="13"/>
        <v/>
      </c>
      <c r="I252" s="334">
        <v>5710.42</v>
      </c>
      <c r="J252" s="425"/>
      <c r="K252" s="425" t="s">
        <v>1730</v>
      </c>
      <c r="L252" s="271">
        <v>2022</v>
      </c>
      <c r="M252" s="227" t="s">
        <v>1890</v>
      </c>
      <c r="N252" s="227" t="s">
        <v>1891</v>
      </c>
      <c r="O252" s="227" t="s">
        <v>6576</v>
      </c>
      <c r="P252" s="227">
        <v>2022</v>
      </c>
      <c r="Q252" s="250" t="s">
        <v>3499</v>
      </c>
      <c r="R252" s="250" t="s">
        <v>3503</v>
      </c>
    </row>
    <row r="253" spans="1:18" ht="15.75" thickBot="1" x14ac:dyDescent="0.3">
      <c r="A253" s="424" t="s">
        <v>4580</v>
      </c>
      <c r="B253" s="424" t="s">
        <v>4580</v>
      </c>
      <c r="C253" s="82" t="str">
        <f t="shared" si="14"/>
        <v>X</v>
      </c>
      <c r="D253" s="83" t="s">
        <v>1662</v>
      </c>
      <c r="E253" s="425"/>
      <c r="F253" s="580"/>
      <c r="G253" s="424"/>
      <c r="H253" s="424" t="str">
        <f t="shared" si="13"/>
        <v/>
      </c>
      <c r="I253" s="334">
        <v>250969.11000000002</v>
      </c>
      <c r="J253" s="425"/>
      <c r="K253" s="425"/>
      <c r="L253" s="271">
        <v>2022</v>
      </c>
      <c r="M253" s="227" t="s">
        <v>1890</v>
      </c>
      <c r="N253" s="227" t="s">
        <v>1891</v>
      </c>
      <c r="O253" s="227" t="s">
        <v>6576</v>
      </c>
      <c r="P253" s="227">
        <v>2022</v>
      </c>
      <c r="Q253" s="250" t="s">
        <v>3499</v>
      </c>
      <c r="R253" s="250" t="s">
        <v>3503</v>
      </c>
    </row>
    <row r="254" spans="1:18" ht="15.75" thickBot="1" x14ac:dyDescent="0.3">
      <c r="A254" s="424" t="s">
        <v>4580</v>
      </c>
      <c r="B254" s="424" t="s">
        <v>4580</v>
      </c>
      <c r="C254" s="82" t="str">
        <f t="shared" si="14"/>
        <v>X</v>
      </c>
      <c r="D254" s="83" t="s">
        <v>1670</v>
      </c>
      <c r="E254" s="425"/>
      <c r="F254" s="580"/>
      <c r="G254" s="424"/>
      <c r="H254" s="424" t="str">
        <f t="shared" si="13"/>
        <v/>
      </c>
      <c r="I254" s="334">
        <v>290.3</v>
      </c>
      <c r="J254" s="425"/>
      <c r="K254" s="425" t="s">
        <v>1711</v>
      </c>
      <c r="L254" s="271">
        <v>2022</v>
      </c>
      <c r="M254" s="227" t="s">
        <v>1890</v>
      </c>
      <c r="N254" s="227" t="s">
        <v>1891</v>
      </c>
      <c r="O254" s="227" t="s">
        <v>6576</v>
      </c>
      <c r="P254" s="227">
        <v>2022</v>
      </c>
      <c r="Q254" s="250" t="s">
        <v>3499</v>
      </c>
      <c r="R254" s="250" t="s">
        <v>3503</v>
      </c>
    </row>
    <row r="255" spans="1:18" ht="15.75" thickBot="1" x14ac:dyDescent="0.3">
      <c r="A255" s="424" t="s">
        <v>4580</v>
      </c>
      <c r="B255" s="424" t="s">
        <v>4580</v>
      </c>
      <c r="C255" s="82" t="str">
        <f t="shared" si="14"/>
        <v>X</v>
      </c>
      <c r="D255" s="83" t="s">
        <v>1655</v>
      </c>
      <c r="E255" s="425"/>
      <c r="F255" s="580"/>
      <c r="G255" s="424"/>
      <c r="H255" s="424" t="str">
        <f t="shared" si="13"/>
        <v/>
      </c>
      <c r="I255" s="334">
        <v>6562.42</v>
      </c>
      <c r="J255" s="425"/>
      <c r="K255" s="425" t="s">
        <v>1699</v>
      </c>
      <c r="L255" s="271">
        <v>2022</v>
      </c>
      <c r="M255" s="227" t="s">
        <v>1890</v>
      </c>
      <c r="N255" s="227" t="s">
        <v>1891</v>
      </c>
      <c r="O255" s="227" t="s">
        <v>6576</v>
      </c>
      <c r="P255" s="227">
        <v>2022</v>
      </c>
      <c r="Q255" s="250" t="s">
        <v>3499</v>
      </c>
      <c r="R255" s="250" t="s">
        <v>3503</v>
      </c>
    </row>
    <row r="256" spans="1:18" ht="15.75" thickBot="1" x14ac:dyDescent="0.3">
      <c r="A256" s="424" t="s">
        <v>4595</v>
      </c>
      <c r="B256" s="424" t="s">
        <v>4595</v>
      </c>
      <c r="C256" s="82" t="str">
        <f t="shared" si="14"/>
        <v>X</v>
      </c>
      <c r="D256" s="83" t="s">
        <v>1675</v>
      </c>
      <c r="E256" s="425"/>
      <c r="F256" s="425"/>
      <c r="G256" s="161"/>
      <c r="H256" s="424" t="str">
        <f t="shared" si="13"/>
        <v/>
      </c>
      <c r="I256" s="273">
        <v>4443.869999999999</v>
      </c>
      <c r="J256" s="162"/>
      <c r="K256" s="162"/>
      <c r="L256" s="271">
        <v>2022</v>
      </c>
      <c r="M256" s="227" t="s">
        <v>1890</v>
      </c>
      <c r="N256" s="227" t="s">
        <v>1891</v>
      </c>
      <c r="O256" s="227" t="s">
        <v>6576</v>
      </c>
      <c r="P256" s="227">
        <v>2022</v>
      </c>
      <c r="Q256" s="250" t="s">
        <v>3499</v>
      </c>
      <c r="R256" s="250" t="s">
        <v>3503</v>
      </c>
    </row>
    <row r="257" spans="1:18" ht="15.75" thickBot="1" x14ac:dyDescent="0.3">
      <c r="A257" s="424" t="s">
        <v>4595</v>
      </c>
      <c r="B257" s="424" t="s">
        <v>4595</v>
      </c>
      <c r="C257" s="82" t="str">
        <f t="shared" si="14"/>
        <v>X</v>
      </c>
      <c r="D257" s="83" t="s">
        <v>1653</v>
      </c>
      <c r="E257" s="425">
        <v>118</v>
      </c>
      <c r="F257" s="580" t="s">
        <v>586</v>
      </c>
      <c r="G257" s="161"/>
      <c r="H257" s="424" t="str">
        <f t="shared" si="13"/>
        <v/>
      </c>
      <c r="I257" s="273">
        <v>19043.580000000002</v>
      </c>
      <c r="J257" s="162"/>
      <c r="K257" s="162"/>
      <c r="L257" s="271">
        <v>2022</v>
      </c>
      <c r="M257" s="227" t="s">
        <v>1890</v>
      </c>
      <c r="N257" s="227" t="s">
        <v>1891</v>
      </c>
      <c r="O257" s="227" t="s">
        <v>6576</v>
      </c>
      <c r="P257" s="227">
        <v>2022</v>
      </c>
      <c r="Q257" s="250" t="s">
        <v>3499</v>
      </c>
      <c r="R257" s="250" t="s">
        <v>3503</v>
      </c>
    </row>
    <row r="258" spans="1:18" ht="15.75" thickBot="1" x14ac:dyDescent="0.3">
      <c r="A258" s="424" t="s">
        <v>4595</v>
      </c>
      <c r="B258" s="424" t="s">
        <v>4595</v>
      </c>
      <c r="C258" s="82" t="str">
        <f t="shared" si="14"/>
        <v>X</v>
      </c>
      <c r="D258" s="162" t="s">
        <v>1654</v>
      </c>
      <c r="E258" s="425"/>
      <c r="F258" s="425"/>
      <c r="G258" s="161"/>
      <c r="H258" s="424" t="str">
        <f t="shared" ref="H258:H321" si="15">IFERROR(LEFT(F258,FIND(" ",F258)-1),"")</f>
        <v/>
      </c>
      <c r="I258" s="273">
        <v>125.01</v>
      </c>
      <c r="J258" s="162"/>
      <c r="K258" s="162"/>
      <c r="L258" s="271">
        <v>2022</v>
      </c>
      <c r="M258" s="227" t="s">
        <v>1890</v>
      </c>
      <c r="N258" s="227" t="s">
        <v>1891</v>
      </c>
      <c r="O258" s="227" t="s">
        <v>6576</v>
      </c>
      <c r="P258" s="227">
        <v>2022</v>
      </c>
      <c r="Q258" s="250" t="s">
        <v>3499</v>
      </c>
      <c r="R258" s="250" t="s">
        <v>3503</v>
      </c>
    </row>
    <row r="259" spans="1:18" ht="15.75" thickBot="1" x14ac:dyDescent="0.3">
      <c r="A259" s="424" t="s">
        <v>4595</v>
      </c>
      <c r="B259" s="424" t="s">
        <v>4595</v>
      </c>
      <c r="C259" s="82" t="str">
        <f t="shared" ref="C259:C322" si="16">IF(A259=B259,"X",RIGHT(A259,LEN(A259)-LEN(B259)-3))</f>
        <v>X</v>
      </c>
      <c r="D259" s="83" t="s">
        <v>2982</v>
      </c>
      <c r="E259" s="425"/>
      <c r="F259" s="425"/>
      <c r="G259" s="161"/>
      <c r="H259" s="424" t="str">
        <f t="shared" si="15"/>
        <v/>
      </c>
      <c r="I259" s="273">
        <v>1474.57</v>
      </c>
      <c r="J259" s="162"/>
      <c r="K259" s="162"/>
      <c r="L259" s="271">
        <v>2022</v>
      </c>
      <c r="M259" s="227" t="s">
        <v>1890</v>
      </c>
      <c r="N259" s="227" t="s">
        <v>1891</v>
      </c>
      <c r="O259" s="227" t="s">
        <v>6576</v>
      </c>
      <c r="P259" s="227">
        <v>2022</v>
      </c>
      <c r="Q259" s="250" t="s">
        <v>3499</v>
      </c>
      <c r="R259" s="250" t="s">
        <v>3503</v>
      </c>
    </row>
    <row r="260" spans="1:18" ht="15.75" thickBot="1" x14ac:dyDescent="0.3">
      <c r="A260" s="424" t="s">
        <v>4595</v>
      </c>
      <c r="B260" s="424" t="s">
        <v>4595</v>
      </c>
      <c r="C260" s="82" t="str">
        <f t="shared" si="16"/>
        <v>X</v>
      </c>
      <c r="D260" s="83" t="s">
        <v>2982</v>
      </c>
      <c r="E260" s="425"/>
      <c r="F260" s="425"/>
      <c r="G260" s="161"/>
      <c r="H260" s="424" t="str">
        <f t="shared" si="15"/>
        <v/>
      </c>
      <c r="I260" s="273">
        <v>3715.56</v>
      </c>
      <c r="J260" s="162"/>
      <c r="K260" s="162"/>
      <c r="L260" s="271">
        <v>2022</v>
      </c>
      <c r="M260" s="227" t="s">
        <v>1890</v>
      </c>
      <c r="N260" s="227" t="s">
        <v>1891</v>
      </c>
      <c r="O260" s="227" t="s">
        <v>6576</v>
      </c>
      <c r="P260" s="227">
        <v>2022</v>
      </c>
      <c r="Q260" s="250" t="s">
        <v>3499</v>
      </c>
      <c r="R260" s="250" t="s">
        <v>3503</v>
      </c>
    </row>
    <row r="261" spans="1:18" ht="15.75" thickBot="1" x14ac:dyDescent="0.3">
      <c r="A261" s="424" t="s">
        <v>4595</v>
      </c>
      <c r="B261" s="424" t="s">
        <v>4595</v>
      </c>
      <c r="C261" s="82" t="str">
        <f t="shared" si="16"/>
        <v>X</v>
      </c>
      <c r="D261" s="425" t="s">
        <v>2982</v>
      </c>
      <c r="E261" s="425"/>
      <c r="F261" s="425"/>
      <c r="G261" s="161"/>
      <c r="H261" s="424" t="str">
        <f t="shared" si="15"/>
        <v/>
      </c>
      <c r="I261" s="273">
        <v>1999.09</v>
      </c>
      <c r="J261" s="162"/>
      <c r="K261" s="162"/>
      <c r="L261" s="271">
        <v>2022</v>
      </c>
      <c r="M261" s="227" t="s">
        <v>1890</v>
      </c>
      <c r="N261" s="227" t="s">
        <v>1891</v>
      </c>
      <c r="O261" s="227" t="s">
        <v>6576</v>
      </c>
      <c r="P261" s="227">
        <v>2022</v>
      </c>
      <c r="Q261" s="250" t="s">
        <v>3499</v>
      </c>
      <c r="R261" s="250" t="s">
        <v>3503</v>
      </c>
    </row>
    <row r="262" spans="1:18" ht="15.75" thickBot="1" x14ac:dyDescent="0.3">
      <c r="A262" s="424" t="s">
        <v>4595</v>
      </c>
      <c r="B262" s="424" t="s">
        <v>4595</v>
      </c>
      <c r="C262" s="82" t="str">
        <f t="shared" si="16"/>
        <v>X</v>
      </c>
      <c r="D262" s="425" t="s">
        <v>2982</v>
      </c>
      <c r="E262" s="425"/>
      <c r="F262" s="425"/>
      <c r="G262" s="161"/>
      <c r="H262" s="424" t="str">
        <f t="shared" si="15"/>
        <v/>
      </c>
      <c r="I262" s="273">
        <v>2666.0200000000004</v>
      </c>
      <c r="J262" s="162"/>
      <c r="K262" s="162"/>
      <c r="L262" s="271">
        <v>2022</v>
      </c>
      <c r="M262" s="227" t="s">
        <v>1890</v>
      </c>
      <c r="N262" s="227" t="s">
        <v>1891</v>
      </c>
      <c r="O262" s="227" t="s">
        <v>6576</v>
      </c>
      <c r="P262" s="227">
        <v>2022</v>
      </c>
      <c r="Q262" s="250" t="s">
        <v>3499</v>
      </c>
      <c r="R262" s="250" t="s">
        <v>3503</v>
      </c>
    </row>
    <row r="263" spans="1:18" ht="15.75" thickBot="1" x14ac:dyDescent="0.3">
      <c r="A263" s="424" t="s">
        <v>4595</v>
      </c>
      <c r="B263" s="424" t="s">
        <v>4595</v>
      </c>
      <c r="C263" s="82" t="str">
        <f t="shared" si="16"/>
        <v>X</v>
      </c>
      <c r="D263" s="83" t="s">
        <v>2982</v>
      </c>
      <c r="E263" s="425"/>
      <c r="F263" s="425"/>
      <c r="G263" s="161"/>
      <c r="H263" s="424" t="str">
        <f t="shared" si="15"/>
        <v/>
      </c>
      <c r="I263" s="273">
        <v>16382.579999999996</v>
      </c>
      <c r="J263" s="162"/>
      <c r="K263" s="162"/>
      <c r="L263" s="271">
        <v>2022</v>
      </c>
      <c r="M263" s="227" t="s">
        <v>1890</v>
      </c>
      <c r="N263" s="227" t="s">
        <v>1891</v>
      </c>
      <c r="O263" s="227" t="s">
        <v>6576</v>
      </c>
      <c r="P263" s="227">
        <v>2022</v>
      </c>
      <c r="Q263" s="250" t="s">
        <v>3499</v>
      </c>
      <c r="R263" s="250" t="s">
        <v>3503</v>
      </c>
    </row>
    <row r="264" spans="1:18" ht="15.75" thickBot="1" x14ac:dyDescent="0.3">
      <c r="A264" s="424" t="s">
        <v>4595</v>
      </c>
      <c r="B264" s="424" t="s">
        <v>4595</v>
      </c>
      <c r="C264" s="82" t="str">
        <f t="shared" si="16"/>
        <v>X</v>
      </c>
      <c r="D264" s="425" t="s">
        <v>2982</v>
      </c>
      <c r="E264" s="425"/>
      <c r="F264" s="425"/>
      <c r="G264" s="161"/>
      <c r="H264" s="424" t="str">
        <f t="shared" si="15"/>
        <v/>
      </c>
      <c r="I264" s="273">
        <v>5791.2300000000005</v>
      </c>
      <c r="J264" s="162"/>
      <c r="K264" s="162"/>
      <c r="L264" s="271">
        <v>2022</v>
      </c>
      <c r="M264" s="227" t="s">
        <v>1890</v>
      </c>
      <c r="N264" s="227" t="s">
        <v>1891</v>
      </c>
      <c r="O264" s="227" t="s">
        <v>6576</v>
      </c>
      <c r="P264" s="227">
        <v>2022</v>
      </c>
      <c r="Q264" s="250" t="s">
        <v>3499</v>
      </c>
      <c r="R264" s="250" t="s">
        <v>3503</v>
      </c>
    </row>
    <row r="265" spans="1:18" ht="15.75" thickBot="1" x14ac:dyDescent="0.3">
      <c r="A265" s="424" t="s">
        <v>4595</v>
      </c>
      <c r="B265" s="424" t="s">
        <v>4595</v>
      </c>
      <c r="C265" s="82" t="str">
        <f t="shared" si="16"/>
        <v>X</v>
      </c>
      <c r="D265" s="425" t="s">
        <v>2982</v>
      </c>
      <c r="E265" s="425"/>
      <c r="F265" s="425"/>
      <c r="G265" s="161"/>
      <c r="H265" s="424" t="str">
        <f t="shared" si="15"/>
        <v/>
      </c>
      <c r="I265" s="273">
        <v>479.04</v>
      </c>
      <c r="J265" s="162"/>
      <c r="K265" s="162"/>
      <c r="L265" s="271">
        <v>2022</v>
      </c>
      <c r="M265" s="227" t="s">
        <v>1890</v>
      </c>
      <c r="N265" s="227" t="s">
        <v>1891</v>
      </c>
      <c r="O265" s="227" t="s">
        <v>6576</v>
      </c>
      <c r="P265" s="227">
        <v>2022</v>
      </c>
      <c r="Q265" s="250" t="s">
        <v>3499</v>
      </c>
      <c r="R265" s="250" t="s">
        <v>3503</v>
      </c>
    </row>
    <row r="266" spans="1:18" ht="15.75" thickBot="1" x14ac:dyDescent="0.3">
      <c r="A266" s="424" t="s">
        <v>4595</v>
      </c>
      <c r="B266" s="424" t="s">
        <v>4595</v>
      </c>
      <c r="C266" s="82" t="str">
        <f t="shared" si="16"/>
        <v>X</v>
      </c>
      <c r="D266" s="425" t="s">
        <v>1658</v>
      </c>
      <c r="E266" s="425"/>
      <c r="F266" s="425"/>
      <c r="G266" s="161"/>
      <c r="H266" s="424" t="str">
        <f t="shared" si="15"/>
        <v/>
      </c>
      <c r="I266" s="273">
        <v>573.29000000000008</v>
      </c>
      <c r="J266" s="162"/>
      <c r="K266" s="162"/>
      <c r="L266" s="271">
        <v>2022</v>
      </c>
      <c r="M266" s="227" t="s">
        <v>1890</v>
      </c>
      <c r="N266" s="227" t="s">
        <v>1891</v>
      </c>
      <c r="O266" s="227" t="s">
        <v>6576</v>
      </c>
      <c r="P266" s="227">
        <v>2022</v>
      </c>
      <c r="Q266" s="250" t="s">
        <v>3499</v>
      </c>
      <c r="R266" s="250" t="s">
        <v>3503</v>
      </c>
    </row>
    <row r="267" spans="1:18" ht="15.75" thickBot="1" x14ac:dyDescent="0.3">
      <c r="A267" s="424" t="s">
        <v>4595</v>
      </c>
      <c r="B267" s="424" t="s">
        <v>4595</v>
      </c>
      <c r="C267" s="82" t="str">
        <f t="shared" si="16"/>
        <v>X</v>
      </c>
      <c r="D267" s="425" t="s">
        <v>1658</v>
      </c>
      <c r="E267" s="425"/>
      <c r="F267" s="425"/>
      <c r="G267" s="161"/>
      <c r="H267" s="424" t="str">
        <f t="shared" si="15"/>
        <v/>
      </c>
      <c r="I267" s="273">
        <v>203.76999999999998</v>
      </c>
      <c r="J267" s="162"/>
      <c r="K267" s="162"/>
      <c r="L267" s="271">
        <v>2022</v>
      </c>
      <c r="M267" s="227" t="s">
        <v>1890</v>
      </c>
      <c r="N267" s="227" t="s">
        <v>1891</v>
      </c>
      <c r="O267" s="227" t="s">
        <v>6576</v>
      </c>
      <c r="P267" s="227">
        <v>2022</v>
      </c>
      <c r="Q267" s="250" t="s">
        <v>3499</v>
      </c>
      <c r="R267" s="250" t="s">
        <v>3503</v>
      </c>
    </row>
    <row r="268" spans="1:18" ht="15.75" thickBot="1" x14ac:dyDescent="0.3">
      <c r="A268" s="424" t="s">
        <v>4595</v>
      </c>
      <c r="B268" s="424" t="s">
        <v>4595</v>
      </c>
      <c r="C268" s="82" t="str">
        <f t="shared" si="16"/>
        <v>X</v>
      </c>
      <c r="D268" s="425" t="s">
        <v>1659</v>
      </c>
      <c r="E268" s="425"/>
      <c r="F268" s="425"/>
      <c r="G268" s="161"/>
      <c r="H268" s="424" t="str">
        <f t="shared" si="15"/>
        <v/>
      </c>
      <c r="I268" s="273">
        <v>1459.08</v>
      </c>
      <c r="J268" s="162"/>
      <c r="K268" s="162"/>
      <c r="L268" s="271">
        <v>2022</v>
      </c>
      <c r="M268" s="227" t="s">
        <v>1890</v>
      </c>
      <c r="N268" s="227" t="s">
        <v>1891</v>
      </c>
      <c r="O268" s="227" t="s">
        <v>6576</v>
      </c>
      <c r="P268" s="227">
        <v>2022</v>
      </c>
      <c r="Q268" s="250" t="s">
        <v>3499</v>
      </c>
      <c r="R268" s="250" t="s">
        <v>3503</v>
      </c>
    </row>
    <row r="269" spans="1:18" ht="15.75" thickBot="1" x14ac:dyDescent="0.3">
      <c r="A269" s="424" t="s">
        <v>4595</v>
      </c>
      <c r="B269" s="424" t="s">
        <v>4595</v>
      </c>
      <c r="C269" s="82" t="str">
        <f t="shared" si="16"/>
        <v>X</v>
      </c>
      <c r="D269" s="425" t="s">
        <v>1659</v>
      </c>
      <c r="E269" s="425"/>
      <c r="F269" s="425"/>
      <c r="G269" s="161"/>
      <c r="H269" s="424" t="str">
        <f t="shared" si="15"/>
        <v/>
      </c>
      <c r="I269" s="273">
        <v>799.13999999999987</v>
      </c>
      <c r="J269" s="162"/>
      <c r="K269" s="162"/>
      <c r="L269" s="271">
        <v>2022</v>
      </c>
      <c r="M269" s="227" t="s">
        <v>1890</v>
      </c>
      <c r="N269" s="227" t="s">
        <v>1891</v>
      </c>
      <c r="O269" s="227" t="s">
        <v>6576</v>
      </c>
      <c r="P269" s="227">
        <v>2022</v>
      </c>
      <c r="Q269" s="250" t="s">
        <v>3499</v>
      </c>
      <c r="R269" s="250" t="s">
        <v>3503</v>
      </c>
    </row>
    <row r="270" spans="1:18" ht="15.75" thickBot="1" x14ac:dyDescent="0.3">
      <c r="A270" s="424" t="s">
        <v>4595</v>
      </c>
      <c r="B270" s="424" t="s">
        <v>4595</v>
      </c>
      <c r="C270" s="82" t="str">
        <f t="shared" si="16"/>
        <v>X</v>
      </c>
      <c r="D270" s="425" t="s">
        <v>1659</v>
      </c>
      <c r="E270" s="425"/>
      <c r="F270" s="429"/>
      <c r="G270" s="161"/>
      <c r="H270" s="424" t="str">
        <f t="shared" si="15"/>
        <v/>
      </c>
      <c r="I270" s="273">
        <v>173.64000000000004</v>
      </c>
      <c r="J270" s="162"/>
      <c r="K270" s="162"/>
      <c r="L270" s="271">
        <v>2022</v>
      </c>
      <c r="M270" s="227" t="s">
        <v>1890</v>
      </c>
      <c r="N270" s="227" t="s">
        <v>1891</v>
      </c>
      <c r="O270" s="227" t="s">
        <v>6576</v>
      </c>
      <c r="P270" s="227">
        <v>2022</v>
      </c>
      <c r="Q270" s="250" t="s">
        <v>3499</v>
      </c>
      <c r="R270" s="250" t="s">
        <v>3503</v>
      </c>
    </row>
    <row r="271" spans="1:18" ht="15.75" thickBot="1" x14ac:dyDescent="0.3">
      <c r="A271" s="424" t="s">
        <v>4595</v>
      </c>
      <c r="B271" s="424" t="s">
        <v>4595</v>
      </c>
      <c r="C271" s="82" t="str">
        <f t="shared" si="16"/>
        <v>X</v>
      </c>
      <c r="D271" s="425" t="s">
        <v>1659</v>
      </c>
      <c r="E271" s="425"/>
      <c r="F271" s="425"/>
      <c r="G271" s="161"/>
      <c r="H271" s="424" t="str">
        <f t="shared" si="15"/>
        <v/>
      </c>
      <c r="I271" s="273">
        <v>1816.42</v>
      </c>
      <c r="J271" s="162"/>
      <c r="K271" s="162"/>
      <c r="L271" s="271">
        <v>2022</v>
      </c>
      <c r="M271" s="227" t="s">
        <v>1890</v>
      </c>
      <c r="N271" s="227" t="s">
        <v>1891</v>
      </c>
      <c r="O271" s="227" t="s">
        <v>6576</v>
      </c>
      <c r="P271" s="227">
        <v>2022</v>
      </c>
      <c r="Q271" s="250" t="s">
        <v>3499</v>
      </c>
      <c r="R271" s="250" t="s">
        <v>3503</v>
      </c>
    </row>
    <row r="272" spans="1:18" ht="15.75" thickBot="1" x14ac:dyDescent="0.3">
      <c r="A272" s="424" t="s">
        <v>4595</v>
      </c>
      <c r="B272" s="424" t="s">
        <v>4595</v>
      </c>
      <c r="C272" s="82" t="str">
        <f t="shared" si="16"/>
        <v>X</v>
      </c>
      <c r="D272" s="83" t="s">
        <v>1659</v>
      </c>
      <c r="E272" s="425"/>
      <c r="F272" s="425"/>
      <c r="G272" s="161"/>
      <c r="H272" s="424" t="str">
        <f t="shared" si="15"/>
        <v/>
      </c>
      <c r="I272" s="273">
        <v>1510.8899999999999</v>
      </c>
      <c r="J272" s="162"/>
      <c r="K272" s="162"/>
      <c r="L272" s="271">
        <v>2022</v>
      </c>
      <c r="M272" s="227" t="s">
        <v>1890</v>
      </c>
      <c r="N272" s="227" t="s">
        <v>1891</v>
      </c>
      <c r="O272" s="227" t="s">
        <v>6576</v>
      </c>
      <c r="P272" s="227">
        <v>2022</v>
      </c>
      <c r="Q272" s="250" t="s">
        <v>3499</v>
      </c>
      <c r="R272" s="250" t="s">
        <v>3503</v>
      </c>
    </row>
    <row r="273" spans="1:18" ht="15.75" thickBot="1" x14ac:dyDescent="0.3">
      <c r="A273" s="424" t="s">
        <v>4595</v>
      </c>
      <c r="B273" s="424" t="s">
        <v>4595</v>
      </c>
      <c r="C273" s="82" t="str">
        <f t="shared" si="16"/>
        <v>X</v>
      </c>
      <c r="D273" s="83" t="s">
        <v>1657</v>
      </c>
      <c r="E273" s="425"/>
      <c r="F273" s="425"/>
      <c r="G273" s="161"/>
      <c r="H273" s="424" t="str">
        <f t="shared" si="15"/>
        <v/>
      </c>
      <c r="I273" s="273">
        <v>451.68</v>
      </c>
      <c r="J273" s="162"/>
      <c r="K273" s="162"/>
      <c r="L273" s="271">
        <v>2022</v>
      </c>
      <c r="M273" s="227" t="s">
        <v>1890</v>
      </c>
      <c r="N273" s="227" t="s">
        <v>1891</v>
      </c>
      <c r="O273" s="227" t="s">
        <v>6576</v>
      </c>
      <c r="P273" s="227">
        <v>2022</v>
      </c>
      <c r="Q273" s="250" t="s">
        <v>3499</v>
      </c>
      <c r="R273" s="250" t="s">
        <v>3503</v>
      </c>
    </row>
    <row r="274" spans="1:18" ht="15.75" thickBot="1" x14ac:dyDescent="0.3">
      <c r="A274" s="424" t="s">
        <v>4595</v>
      </c>
      <c r="B274" s="424" t="s">
        <v>4595</v>
      </c>
      <c r="C274" s="82" t="str">
        <f t="shared" si="16"/>
        <v>X</v>
      </c>
      <c r="D274" s="83" t="s">
        <v>1657</v>
      </c>
      <c r="E274" s="425"/>
      <c r="F274" s="425"/>
      <c r="G274" s="161"/>
      <c r="H274" s="424" t="str">
        <f t="shared" si="15"/>
        <v/>
      </c>
      <c r="I274" s="273">
        <v>29816.01</v>
      </c>
      <c r="J274" s="162"/>
      <c r="K274" s="162"/>
      <c r="L274" s="271">
        <v>2022</v>
      </c>
      <c r="M274" s="227" t="s">
        <v>1890</v>
      </c>
      <c r="N274" s="227" t="s">
        <v>1891</v>
      </c>
      <c r="O274" s="227" t="s">
        <v>6576</v>
      </c>
      <c r="P274" s="227">
        <v>2022</v>
      </c>
      <c r="Q274" s="250" t="s">
        <v>3499</v>
      </c>
      <c r="R274" s="250" t="s">
        <v>3503</v>
      </c>
    </row>
    <row r="275" spans="1:18" ht="15.75" thickBot="1" x14ac:dyDescent="0.3">
      <c r="A275" s="424" t="s">
        <v>4595</v>
      </c>
      <c r="B275" s="82" t="s">
        <v>4595</v>
      </c>
      <c r="C275" s="82" t="str">
        <f t="shared" si="16"/>
        <v>X</v>
      </c>
      <c r="D275" s="83" t="s">
        <v>1657</v>
      </c>
      <c r="E275" s="425"/>
      <c r="F275" s="425"/>
      <c r="G275" s="161"/>
      <c r="H275" s="424" t="str">
        <f t="shared" si="15"/>
        <v/>
      </c>
      <c r="I275" s="273">
        <v>18564.739999999994</v>
      </c>
      <c r="J275" s="162"/>
      <c r="K275" s="162"/>
      <c r="L275" s="271">
        <v>2022</v>
      </c>
      <c r="M275" s="227" t="s">
        <v>1890</v>
      </c>
      <c r="N275" s="227" t="s">
        <v>1891</v>
      </c>
      <c r="O275" s="227" t="s">
        <v>6576</v>
      </c>
      <c r="P275" s="227">
        <v>2022</v>
      </c>
      <c r="Q275" s="250" t="s">
        <v>3499</v>
      </c>
      <c r="R275" s="250" t="s">
        <v>3503</v>
      </c>
    </row>
    <row r="276" spans="1:18" ht="15.75" thickBot="1" x14ac:dyDescent="0.3">
      <c r="A276" s="424" t="s">
        <v>4595</v>
      </c>
      <c r="B276" s="424" t="s">
        <v>4595</v>
      </c>
      <c r="C276" s="82" t="str">
        <f t="shared" si="16"/>
        <v>X</v>
      </c>
      <c r="D276" s="162" t="s">
        <v>1661</v>
      </c>
      <c r="E276" s="425"/>
      <c r="F276" s="425"/>
      <c r="G276" s="161"/>
      <c r="H276" s="424" t="str">
        <f t="shared" si="15"/>
        <v/>
      </c>
      <c r="I276" s="273">
        <v>174044</v>
      </c>
      <c r="J276" s="162"/>
      <c r="K276" s="162"/>
      <c r="L276" s="271">
        <v>2022</v>
      </c>
      <c r="M276" s="227" t="s">
        <v>1890</v>
      </c>
      <c r="N276" s="227" t="s">
        <v>1891</v>
      </c>
      <c r="O276" s="227" t="s">
        <v>6576</v>
      </c>
      <c r="P276" s="227">
        <v>2022</v>
      </c>
      <c r="Q276" s="250" t="s">
        <v>3499</v>
      </c>
      <c r="R276" s="250" t="s">
        <v>3503</v>
      </c>
    </row>
    <row r="277" spans="1:18" ht="15.75" thickBot="1" x14ac:dyDescent="0.3">
      <c r="A277" s="424" t="s">
        <v>4595</v>
      </c>
      <c r="B277" s="424" t="s">
        <v>4595</v>
      </c>
      <c r="C277" s="82" t="str">
        <f t="shared" si="16"/>
        <v>X</v>
      </c>
      <c r="D277" s="162" t="s">
        <v>1655</v>
      </c>
      <c r="E277" s="425"/>
      <c r="F277" s="425"/>
      <c r="G277" s="161"/>
      <c r="H277" s="424" t="str">
        <f t="shared" si="15"/>
        <v/>
      </c>
      <c r="I277" s="273">
        <v>74.95</v>
      </c>
      <c r="J277" s="162"/>
      <c r="K277" s="162"/>
      <c r="L277" s="271">
        <v>2022</v>
      </c>
      <c r="M277" s="227" t="s">
        <v>1890</v>
      </c>
      <c r="N277" s="227" t="s">
        <v>1891</v>
      </c>
      <c r="O277" s="227" t="s">
        <v>6576</v>
      </c>
      <c r="P277" s="227">
        <v>2022</v>
      </c>
      <c r="Q277" s="250" t="s">
        <v>3499</v>
      </c>
      <c r="R277" s="250" t="s">
        <v>3503</v>
      </c>
    </row>
    <row r="278" spans="1:18" ht="15.75" thickBot="1" x14ac:dyDescent="0.3">
      <c r="A278" s="424" t="s">
        <v>4594</v>
      </c>
      <c r="B278" s="424" t="s">
        <v>4594</v>
      </c>
      <c r="C278" s="82" t="str">
        <f t="shared" si="16"/>
        <v>X</v>
      </c>
      <c r="D278" s="83" t="s">
        <v>1675</v>
      </c>
      <c r="E278" s="425"/>
      <c r="F278" s="425"/>
      <c r="G278" s="161"/>
      <c r="H278" s="424" t="str">
        <f t="shared" si="15"/>
        <v/>
      </c>
      <c r="I278" s="273">
        <v>1409.9099999999999</v>
      </c>
      <c r="J278" s="162"/>
      <c r="K278" s="162"/>
      <c r="L278" s="271">
        <v>2022</v>
      </c>
      <c r="M278" s="227" t="s">
        <v>1890</v>
      </c>
      <c r="N278" s="227" t="s">
        <v>1891</v>
      </c>
      <c r="O278" s="227" t="s">
        <v>6576</v>
      </c>
      <c r="P278" s="227">
        <v>2022</v>
      </c>
      <c r="Q278" s="250" t="s">
        <v>3499</v>
      </c>
      <c r="R278" s="250" t="s">
        <v>3503</v>
      </c>
    </row>
    <row r="279" spans="1:18" ht="15.75" thickBot="1" x14ac:dyDescent="0.3">
      <c r="A279" s="424" t="s">
        <v>4594</v>
      </c>
      <c r="B279" s="424" t="s">
        <v>4594</v>
      </c>
      <c r="C279" s="82" t="str">
        <f t="shared" si="16"/>
        <v>X</v>
      </c>
      <c r="D279" s="83" t="s">
        <v>1653</v>
      </c>
      <c r="E279" s="425">
        <v>59</v>
      </c>
      <c r="F279" s="580" t="s">
        <v>586</v>
      </c>
      <c r="G279" s="161"/>
      <c r="H279" s="424" t="str">
        <f t="shared" si="15"/>
        <v/>
      </c>
      <c r="I279" s="273">
        <v>10212.769999999999</v>
      </c>
      <c r="J279" s="162"/>
      <c r="K279" s="162"/>
      <c r="L279" s="271">
        <v>2022</v>
      </c>
      <c r="M279" s="227" t="s">
        <v>1890</v>
      </c>
      <c r="N279" s="227" t="s">
        <v>1891</v>
      </c>
      <c r="O279" s="227" t="s">
        <v>6576</v>
      </c>
      <c r="P279" s="227">
        <v>2022</v>
      </c>
      <c r="Q279" s="250" t="s">
        <v>3499</v>
      </c>
      <c r="R279" s="250" t="s">
        <v>3503</v>
      </c>
    </row>
    <row r="280" spans="1:18" ht="15.75" thickBot="1" x14ac:dyDescent="0.3">
      <c r="A280" s="424" t="s">
        <v>4594</v>
      </c>
      <c r="B280" s="424" t="s">
        <v>4594</v>
      </c>
      <c r="C280" s="82" t="str">
        <f t="shared" si="16"/>
        <v>X</v>
      </c>
      <c r="D280" s="162" t="s">
        <v>1654</v>
      </c>
      <c r="E280" s="425"/>
      <c r="F280" s="425"/>
      <c r="G280" s="161"/>
      <c r="H280" s="424" t="str">
        <f t="shared" si="15"/>
        <v/>
      </c>
      <c r="I280" s="273">
        <v>319.23</v>
      </c>
      <c r="J280" s="162"/>
      <c r="K280" s="162"/>
      <c r="L280" s="271">
        <v>2022</v>
      </c>
      <c r="M280" s="227" t="s">
        <v>1890</v>
      </c>
      <c r="N280" s="227" t="s">
        <v>1891</v>
      </c>
      <c r="O280" s="227" t="s">
        <v>6576</v>
      </c>
      <c r="P280" s="227">
        <v>2022</v>
      </c>
      <c r="Q280" s="250" t="s">
        <v>3499</v>
      </c>
      <c r="R280" s="250" t="s">
        <v>3503</v>
      </c>
    </row>
    <row r="281" spans="1:18" ht="15.75" thickBot="1" x14ac:dyDescent="0.3">
      <c r="A281" s="424" t="s">
        <v>4594</v>
      </c>
      <c r="B281" s="424" t="s">
        <v>4594</v>
      </c>
      <c r="C281" s="82" t="str">
        <f t="shared" si="16"/>
        <v>X</v>
      </c>
      <c r="D281" s="425" t="s">
        <v>2982</v>
      </c>
      <c r="E281" s="425"/>
      <c r="F281" s="425"/>
      <c r="G281" s="161"/>
      <c r="H281" s="424" t="str">
        <f t="shared" si="15"/>
        <v/>
      </c>
      <c r="I281" s="273">
        <v>692.16000000000008</v>
      </c>
      <c r="J281" s="162"/>
      <c r="K281" s="162"/>
      <c r="L281" s="271">
        <v>2022</v>
      </c>
      <c r="M281" s="227" t="s">
        <v>1890</v>
      </c>
      <c r="N281" s="227" t="s">
        <v>1891</v>
      </c>
      <c r="O281" s="227" t="s">
        <v>6576</v>
      </c>
      <c r="P281" s="227">
        <v>2022</v>
      </c>
      <c r="Q281" s="250" t="s">
        <v>3499</v>
      </c>
      <c r="R281" s="250" t="s">
        <v>3503</v>
      </c>
    </row>
    <row r="282" spans="1:18" ht="15.75" thickBot="1" x14ac:dyDescent="0.3">
      <c r="A282" s="424" t="s">
        <v>4594</v>
      </c>
      <c r="B282" s="424" t="s">
        <v>4594</v>
      </c>
      <c r="C282" s="82" t="str">
        <f t="shared" si="16"/>
        <v>X</v>
      </c>
      <c r="D282" s="83" t="s">
        <v>2982</v>
      </c>
      <c r="E282" s="425"/>
      <c r="F282" s="425"/>
      <c r="G282" s="161"/>
      <c r="H282" s="424" t="str">
        <f t="shared" si="15"/>
        <v/>
      </c>
      <c r="I282" s="273">
        <v>1844.2300000000002</v>
      </c>
      <c r="J282" s="162"/>
      <c r="K282" s="162"/>
      <c r="L282" s="271">
        <v>2022</v>
      </c>
      <c r="M282" s="227" t="s">
        <v>1890</v>
      </c>
      <c r="N282" s="227" t="s">
        <v>1891</v>
      </c>
      <c r="O282" s="227" t="s">
        <v>6576</v>
      </c>
      <c r="P282" s="227">
        <v>2022</v>
      </c>
      <c r="Q282" s="250" t="s">
        <v>3499</v>
      </c>
      <c r="R282" s="250" t="s">
        <v>3503</v>
      </c>
    </row>
    <row r="283" spans="1:18" ht="15.75" thickBot="1" x14ac:dyDescent="0.3">
      <c r="A283" s="424" t="s">
        <v>4594</v>
      </c>
      <c r="B283" s="424" t="s">
        <v>4594</v>
      </c>
      <c r="C283" s="82" t="str">
        <f t="shared" si="16"/>
        <v>X</v>
      </c>
      <c r="D283" s="83" t="s">
        <v>2982</v>
      </c>
      <c r="E283" s="425"/>
      <c r="F283" s="425"/>
      <c r="G283" s="161"/>
      <c r="H283" s="424" t="str">
        <f t="shared" si="15"/>
        <v/>
      </c>
      <c r="I283" s="273">
        <v>1511.1299999999999</v>
      </c>
      <c r="J283" s="162"/>
      <c r="K283" s="162"/>
      <c r="L283" s="271">
        <v>2022</v>
      </c>
      <c r="M283" s="227" t="s">
        <v>1890</v>
      </c>
      <c r="N283" s="227" t="s">
        <v>1891</v>
      </c>
      <c r="O283" s="227" t="s">
        <v>6576</v>
      </c>
      <c r="P283" s="227">
        <v>2022</v>
      </c>
      <c r="Q283" s="250" t="s">
        <v>3499</v>
      </c>
      <c r="R283" s="250" t="s">
        <v>3503</v>
      </c>
    </row>
    <row r="284" spans="1:18" ht="15.75" thickBot="1" x14ac:dyDescent="0.3">
      <c r="A284" s="424" t="s">
        <v>4594</v>
      </c>
      <c r="B284" s="424" t="s">
        <v>4594</v>
      </c>
      <c r="C284" s="82" t="str">
        <f t="shared" si="16"/>
        <v>X</v>
      </c>
      <c r="D284" s="83" t="s">
        <v>2982</v>
      </c>
      <c r="E284" s="425"/>
      <c r="F284" s="425"/>
      <c r="G284" s="161"/>
      <c r="H284" s="424" t="str">
        <f t="shared" si="15"/>
        <v/>
      </c>
      <c r="I284" s="273">
        <v>547.97</v>
      </c>
      <c r="J284" s="162"/>
      <c r="K284" s="162"/>
      <c r="L284" s="271">
        <v>2022</v>
      </c>
      <c r="M284" s="227" t="s">
        <v>1890</v>
      </c>
      <c r="N284" s="227" t="s">
        <v>1891</v>
      </c>
      <c r="O284" s="227" t="s">
        <v>6576</v>
      </c>
      <c r="P284" s="227">
        <v>2022</v>
      </c>
      <c r="Q284" s="250" t="s">
        <v>3499</v>
      </c>
      <c r="R284" s="250" t="s">
        <v>3503</v>
      </c>
    </row>
    <row r="285" spans="1:18" ht="15.75" thickBot="1" x14ac:dyDescent="0.3">
      <c r="A285" s="424" t="s">
        <v>4594</v>
      </c>
      <c r="B285" s="424" t="s">
        <v>4594</v>
      </c>
      <c r="C285" s="82" t="str">
        <f t="shared" si="16"/>
        <v>X</v>
      </c>
      <c r="D285" s="83" t="s">
        <v>2982</v>
      </c>
      <c r="E285" s="425"/>
      <c r="F285" s="425"/>
      <c r="G285" s="161"/>
      <c r="H285" s="424" t="str">
        <f t="shared" si="15"/>
        <v/>
      </c>
      <c r="I285" s="273">
        <v>9233.5300000000007</v>
      </c>
      <c r="J285" s="162"/>
      <c r="K285" s="162"/>
      <c r="L285" s="271">
        <v>2022</v>
      </c>
      <c r="M285" s="227" t="s">
        <v>1890</v>
      </c>
      <c r="N285" s="227" t="s">
        <v>1891</v>
      </c>
      <c r="O285" s="227" t="s">
        <v>6576</v>
      </c>
      <c r="P285" s="227">
        <v>2022</v>
      </c>
      <c r="Q285" s="250" t="s">
        <v>3499</v>
      </c>
      <c r="R285" s="250" t="s">
        <v>3503</v>
      </c>
    </row>
    <row r="286" spans="1:18" ht="15.75" thickBot="1" x14ac:dyDescent="0.3">
      <c r="A286" s="424" t="s">
        <v>4594</v>
      </c>
      <c r="B286" s="82" t="s">
        <v>4594</v>
      </c>
      <c r="C286" s="82" t="str">
        <f t="shared" si="16"/>
        <v>X</v>
      </c>
      <c r="D286" s="83" t="s">
        <v>2982</v>
      </c>
      <c r="E286" s="425"/>
      <c r="F286" s="425"/>
      <c r="G286" s="161"/>
      <c r="H286" s="424" t="str">
        <f t="shared" si="15"/>
        <v/>
      </c>
      <c r="I286" s="273">
        <v>4725.9499999999989</v>
      </c>
      <c r="J286" s="162"/>
      <c r="K286" s="162"/>
      <c r="L286" s="271">
        <v>2022</v>
      </c>
      <c r="M286" s="227" t="s">
        <v>1890</v>
      </c>
      <c r="N286" s="227" t="s">
        <v>1891</v>
      </c>
      <c r="O286" s="227" t="s">
        <v>6576</v>
      </c>
      <c r="P286" s="227">
        <v>2022</v>
      </c>
      <c r="Q286" s="250" t="s">
        <v>3499</v>
      </c>
      <c r="R286" s="250" t="s">
        <v>3503</v>
      </c>
    </row>
    <row r="287" spans="1:18" ht="15.75" thickBot="1" x14ac:dyDescent="0.3">
      <c r="A287" s="424" t="s">
        <v>4594</v>
      </c>
      <c r="B287" s="424" t="s">
        <v>4594</v>
      </c>
      <c r="C287" s="82" t="str">
        <f t="shared" si="16"/>
        <v>X</v>
      </c>
      <c r="D287" s="83" t="s">
        <v>2982</v>
      </c>
      <c r="E287" s="425"/>
      <c r="F287" s="425"/>
      <c r="G287" s="161"/>
      <c r="H287" s="424" t="str">
        <f t="shared" si="15"/>
        <v/>
      </c>
      <c r="I287" s="273">
        <v>334.92</v>
      </c>
      <c r="J287" s="162"/>
      <c r="K287" s="162"/>
      <c r="L287" s="271">
        <v>2022</v>
      </c>
      <c r="M287" s="227" t="s">
        <v>1890</v>
      </c>
      <c r="N287" s="227" t="s">
        <v>1891</v>
      </c>
      <c r="O287" s="227" t="s">
        <v>6576</v>
      </c>
      <c r="P287" s="227">
        <v>2022</v>
      </c>
      <c r="Q287" s="250" t="s">
        <v>3499</v>
      </c>
      <c r="R287" s="250" t="s">
        <v>3503</v>
      </c>
    </row>
    <row r="288" spans="1:18" ht="15.75" thickBot="1" x14ac:dyDescent="0.3">
      <c r="A288" s="424" t="s">
        <v>4594</v>
      </c>
      <c r="B288" s="424" t="s">
        <v>4594</v>
      </c>
      <c r="C288" s="82" t="str">
        <f t="shared" si="16"/>
        <v>X</v>
      </c>
      <c r="D288" s="83" t="s">
        <v>1658</v>
      </c>
      <c r="E288" s="425"/>
      <c r="F288" s="425"/>
      <c r="G288" s="161"/>
      <c r="H288" s="424" t="str">
        <f t="shared" si="15"/>
        <v/>
      </c>
      <c r="I288" s="273">
        <v>510.29999999999995</v>
      </c>
      <c r="J288" s="162"/>
      <c r="K288" s="162"/>
      <c r="L288" s="271">
        <v>2022</v>
      </c>
      <c r="M288" s="227" t="s">
        <v>1890</v>
      </c>
      <c r="N288" s="227" t="s">
        <v>1891</v>
      </c>
      <c r="O288" s="227" t="s">
        <v>6576</v>
      </c>
      <c r="P288" s="227">
        <v>2022</v>
      </c>
      <c r="Q288" s="250" t="s">
        <v>3499</v>
      </c>
      <c r="R288" s="250" t="s">
        <v>3503</v>
      </c>
    </row>
    <row r="289" spans="1:18" ht="15.75" thickBot="1" x14ac:dyDescent="0.3">
      <c r="A289" s="424" t="s">
        <v>4594</v>
      </c>
      <c r="B289" s="424" t="s">
        <v>4594</v>
      </c>
      <c r="C289" s="82" t="str">
        <f t="shared" si="16"/>
        <v>X</v>
      </c>
      <c r="D289" s="83" t="s">
        <v>1659</v>
      </c>
      <c r="E289" s="425"/>
      <c r="F289" s="425"/>
      <c r="G289" s="161"/>
      <c r="H289" s="424" t="str">
        <f t="shared" si="15"/>
        <v/>
      </c>
      <c r="I289" s="273">
        <v>1507.39</v>
      </c>
      <c r="J289" s="162"/>
      <c r="K289" s="162"/>
      <c r="L289" s="271">
        <v>2022</v>
      </c>
      <c r="M289" s="227" t="s">
        <v>1890</v>
      </c>
      <c r="N289" s="227" t="s">
        <v>1891</v>
      </c>
      <c r="O289" s="227" t="s">
        <v>6576</v>
      </c>
      <c r="P289" s="227">
        <v>2022</v>
      </c>
      <c r="Q289" s="250" t="s">
        <v>3499</v>
      </c>
      <c r="R289" s="250" t="s">
        <v>3503</v>
      </c>
    </row>
    <row r="290" spans="1:18" ht="15.75" thickBot="1" x14ac:dyDescent="0.3">
      <c r="A290" s="424" t="s">
        <v>4594</v>
      </c>
      <c r="B290" s="424" t="s">
        <v>4594</v>
      </c>
      <c r="C290" s="82" t="str">
        <f t="shared" si="16"/>
        <v>X</v>
      </c>
      <c r="D290" s="83" t="s">
        <v>1659</v>
      </c>
      <c r="E290" s="425"/>
      <c r="F290" s="425"/>
      <c r="G290" s="161"/>
      <c r="H290" s="424" t="str">
        <f t="shared" si="15"/>
        <v/>
      </c>
      <c r="I290" s="273">
        <v>579.91</v>
      </c>
      <c r="J290" s="162"/>
      <c r="K290" s="162"/>
      <c r="L290" s="271">
        <v>2022</v>
      </c>
      <c r="M290" s="227" t="s">
        <v>1890</v>
      </c>
      <c r="N290" s="227" t="s">
        <v>1891</v>
      </c>
      <c r="O290" s="227" t="s">
        <v>6576</v>
      </c>
      <c r="P290" s="227">
        <v>2022</v>
      </c>
      <c r="Q290" s="250" t="s">
        <v>3499</v>
      </c>
      <c r="R290" s="250" t="s">
        <v>3503</v>
      </c>
    </row>
    <row r="291" spans="1:18" ht="15.75" thickBot="1" x14ac:dyDescent="0.3">
      <c r="A291" s="424" t="s">
        <v>4594</v>
      </c>
      <c r="B291" s="424" t="s">
        <v>4594</v>
      </c>
      <c r="C291" s="82" t="str">
        <f t="shared" si="16"/>
        <v>X</v>
      </c>
      <c r="D291" s="425" t="s">
        <v>1659</v>
      </c>
      <c r="E291" s="425"/>
      <c r="F291" s="425"/>
      <c r="G291" s="161"/>
      <c r="H291" s="424" t="str">
        <f t="shared" si="15"/>
        <v/>
      </c>
      <c r="I291" s="273">
        <v>260.62</v>
      </c>
      <c r="J291" s="162"/>
      <c r="K291" s="162"/>
      <c r="L291" s="271">
        <v>2022</v>
      </c>
      <c r="M291" s="227" t="s">
        <v>1890</v>
      </c>
      <c r="N291" s="227" t="s">
        <v>1891</v>
      </c>
      <c r="O291" s="227" t="s">
        <v>6576</v>
      </c>
      <c r="P291" s="227">
        <v>2022</v>
      </c>
      <c r="Q291" s="250" t="s">
        <v>3499</v>
      </c>
      <c r="R291" s="250" t="s">
        <v>3503</v>
      </c>
    </row>
    <row r="292" spans="1:18" ht="15.75" thickBot="1" x14ac:dyDescent="0.3">
      <c r="A292" s="424" t="s">
        <v>4594</v>
      </c>
      <c r="B292" s="424" t="s">
        <v>4594</v>
      </c>
      <c r="C292" s="82" t="str">
        <f t="shared" si="16"/>
        <v>X</v>
      </c>
      <c r="D292" s="425" t="s">
        <v>1659</v>
      </c>
      <c r="E292" s="425"/>
      <c r="F292" s="429"/>
      <c r="G292" s="161"/>
      <c r="H292" s="424" t="str">
        <f t="shared" si="15"/>
        <v/>
      </c>
      <c r="I292" s="273">
        <v>1.38</v>
      </c>
      <c r="J292" s="162"/>
      <c r="K292" s="162"/>
      <c r="L292" s="271">
        <v>2022</v>
      </c>
      <c r="M292" s="227" t="s">
        <v>1890</v>
      </c>
      <c r="N292" s="227" t="s">
        <v>1891</v>
      </c>
      <c r="O292" s="227" t="s">
        <v>6576</v>
      </c>
      <c r="P292" s="227">
        <v>2022</v>
      </c>
      <c r="Q292" s="250" t="s">
        <v>3499</v>
      </c>
      <c r="R292" s="250" t="s">
        <v>3503</v>
      </c>
    </row>
    <row r="293" spans="1:18" ht="15.75" thickBot="1" x14ac:dyDescent="0.3">
      <c r="A293" s="424" t="s">
        <v>4594</v>
      </c>
      <c r="B293" s="424" t="s">
        <v>4594</v>
      </c>
      <c r="C293" s="82" t="str">
        <f t="shared" si="16"/>
        <v>X</v>
      </c>
      <c r="D293" s="425" t="s">
        <v>1659</v>
      </c>
      <c r="E293" s="425"/>
      <c r="F293" s="425"/>
      <c r="G293" s="161"/>
      <c r="H293" s="424" t="str">
        <f t="shared" si="15"/>
        <v/>
      </c>
      <c r="I293" s="273">
        <v>1821.1</v>
      </c>
      <c r="J293" s="162"/>
      <c r="K293" s="162"/>
      <c r="L293" s="271">
        <v>2022</v>
      </c>
      <c r="M293" s="227" t="s">
        <v>1890</v>
      </c>
      <c r="N293" s="227" t="s">
        <v>1891</v>
      </c>
      <c r="O293" s="227" t="s">
        <v>6576</v>
      </c>
      <c r="P293" s="227">
        <v>2022</v>
      </c>
      <c r="Q293" s="250" t="s">
        <v>3499</v>
      </c>
      <c r="R293" s="250" t="s">
        <v>3503</v>
      </c>
    </row>
    <row r="294" spans="1:18" ht="15.75" thickBot="1" x14ac:dyDescent="0.3">
      <c r="A294" s="424" t="s">
        <v>4594</v>
      </c>
      <c r="B294" s="424" t="s">
        <v>4594</v>
      </c>
      <c r="C294" s="82" t="str">
        <f t="shared" si="16"/>
        <v>X</v>
      </c>
      <c r="D294" s="425" t="s">
        <v>1659</v>
      </c>
      <c r="E294" s="425"/>
      <c r="F294" s="425"/>
      <c r="G294" s="161"/>
      <c r="H294" s="424" t="str">
        <f t="shared" si="15"/>
        <v/>
      </c>
      <c r="I294" s="273">
        <v>742.93</v>
      </c>
      <c r="J294" s="162"/>
      <c r="K294" s="162"/>
      <c r="L294" s="271">
        <v>2022</v>
      </c>
      <c r="M294" s="227" t="s">
        <v>1890</v>
      </c>
      <c r="N294" s="227" t="s">
        <v>1891</v>
      </c>
      <c r="O294" s="227" t="s">
        <v>6576</v>
      </c>
      <c r="P294" s="227">
        <v>2022</v>
      </c>
      <c r="Q294" s="250" t="s">
        <v>3499</v>
      </c>
      <c r="R294" s="250" t="s">
        <v>3503</v>
      </c>
    </row>
    <row r="295" spans="1:18" ht="15.75" thickBot="1" x14ac:dyDescent="0.3">
      <c r="A295" s="424" t="s">
        <v>4594</v>
      </c>
      <c r="B295" s="424" t="s">
        <v>4594</v>
      </c>
      <c r="C295" s="82" t="str">
        <f t="shared" si="16"/>
        <v>X</v>
      </c>
      <c r="D295" s="425" t="s">
        <v>1657</v>
      </c>
      <c r="E295" s="425"/>
      <c r="F295" s="425"/>
      <c r="G295" s="161"/>
      <c r="H295" s="424" t="str">
        <f t="shared" si="15"/>
        <v/>
      </c>
      <c r="I295" s="273">
        <v>157.15</v>
      </c>
      <c r="J295" s="162"/>
      <c r="K295" s="162"/>
      <c r="L295" s="271">
        <v>2022</v>
      </c>
      <c r="M295" s="227" t="s">
        <v>1890</v>
      </c>
      <c r="N295" s="227" t="s">
        <v>1891</v>
      </c>
      <c r="O295" s="227" t="s">
        <v>6576</v>
      </c>
      <c r="P295" s="227">
        <v>2022</v>
      </c>
      <c r="Q295" s="250" t="s">
        <v>3499</v>
      </c>
      <c r="R295" s="250" t="s">
        <v>3503</v>
      </c>
    </row>
    <row r="296" spans="1:18" ht="15.75" thickBot="1" x14ac:dyDescent="0.3">
      <c r="A296" s="424" t="s">
        <v>4594</v>
      </c>
      <c r="B296" s="82" t="s">
        <v>4594</v>
      </c>
      <c r="C296" s="82" t="str">
        <f t="shared" si="16"/>
        <v>X</v>
      </c>
      <c r="D296" s="83" t="s">
        <v>1657</v>
      </c>
      <c r="E296" s="425"/>
      <c r="F296" s="425"/>
      <c r="G296" s="161"/>
      <c r="H296" s="424" t="str">
        <f t="shared" si="15"/>
        <v/>
      </c>
      <c r="I296" s="273">
        <v>14802.929999999997</v>
      </c>
      <c r="J296" s="162"/>
      <c r="K296" s="162"/>
      <c r="L296" s="271">
        <v>2022</v>
      </c>
      <c r="M296" s="227" t="s">
        <v>1890</v>
      </c>
      <c r="N296" s="227" t="s">
        <v>1891</v>
      </c>
      <c r="O296" s="227" t="s">
        <v>6576</v>
      </c>
      <c r="P296" s="227">
        <v>2022</v>
      </c>
      <c r="Q296" s="250" t="s">
        <v>3499</v>
      </c>
      <c r="R296" s="250" t="s">
        <v>3503</v>
      </c>
    </row>
    <row r="297" spans="1:18" ht="15.75" thickBot="1" x14ac:dyDescent="0.3">
      <c r="A297" s="424" t="s">
        <v>4594</v>
      </c>
      <c r="B297" s="82" t="s">
        <v>4594</v>
      </c>
      <c r="C297" s="82" t="str">
        <f t="shared" si="16"/>
        <v>X</v>
      </c>
      <c r="D297" s="83" t="s">
        <v>1657</v>
      </c>
      <c r="E297" s="425"/>
      <c r="F297" s="425"/>
      <c r="G297" s="161"/>
      <c r="H297" s="424" t="str">
        <f t="shared" si="15"/>
        <v/>
      </c>
      <c r="I297" s="273">
        <v>11005.320000000002</v>
      </c>
      <c r="J297" s="162"/>
      <c r="K297" s="162"/>
      <c r="L297" s="271">
        <v>2022</v>
      </c>
      <c r="M297" s="227" t="s">
        <v>1890</v>
      </c>
      <c r="N297" s="227" t="s">
        <v>1891</v>
      </c>
      <c r="O297" s="227" t="s">
        <v>6576</v>
      </c>
      <c r="P297" s="227">
        <v>2022</v>
      </c>
      <c r="Q297" s="250" t="s">
        <v>3499</v>
      </c>
      <c r="R297" s="250" t="s">
        <v>3503</v>
      </c>
    </row>
    <row r="298" spans="1:18" ht="15.75" thickBot="1" x14ac:dyDescent="0.3">
      <c r="A298" s="424" t="s">
        <v>4594</v>
      </c>
      <c r="B298" s="82" t="s">
        <v>4594</v>
      </c>
      <c r="C298" s="82" t="str">
        <f t="shared" si="16"/>
        <v>X</v>
      </c>
      <c r="D298" s="162" t="s">
        <v>1661</v>
      </c>
      <c r="E298" s="425"/>
      <c r="F298" s="425"/>
      <c r="G298" s="161"/>
      <c r="H298" s="424" t="str">
        <f t="shared" si="15"/>
        <v/>
      </c>
      <c r="I298" s="273">
        <v>323881</v>
      </c>
      <c r="J298" s="162"/>
      <c r="K298" s="162"/>
      <c r="L298" s="271">
        <v>2022</v>
      </c>
      <c r="M298" s="227" t="s">
        <v>1890</v>
      </c>
      <c r="N298" s="227" t="s">
        <v>1891</v>
      </c>
      <c r="O298" s="227" t="s">
        <v>6576</v>
      </c>
      <c r="P298" s="227">
        <v>2022</v>
      </c>
      <c r="Q298" s="250" t="s">
        <v>3499</v>
      </c>
      <c r="R298" s="250" t="s">
        <v>3503</v>
      </c>
    </row>
    <row r="299" spans="1:18" ht="15.75" thickBot="1" x14ac:dyDescent="0.3">
      <c r="A299" s="424" t="s">
        <v>4594</v>
      </c>
      <c r="B299" s="82" t="s">
        <v>4594</v>
      </c>
      <c r="C299" s="82" t="str">
        <f t="shared" si="16"/>
        <v>X</v>
      </c>
      <c r="D299" s="162" t="s">
        <v>1655</v>
      </c>
      <c r="E299" s="425"/>
      <c r="F299" s="425"/>
      <c r="G299" s="161"/>
      <c r="H299" s="424" t="str">
        <f t="shared" si="15"/>
        <v/>
      </c>
      <c r="I299" s="273">
        <v>201.39</v>
      </c>
      <c r="J299" s="162"/>
      <c r="K299" s="162"/>
      <c r="L299" s="271">
        <v>2022</v>
      </c>
      <c r="M299" s="227" t="s">
        <v>1890</v>
      </c>
      <c r="N299" s="227" t="s">
        <v>1891</v>
      </c>
      <c r="O299" s="227" t="s">
        <v>6576</v>
      </c>
      <c r="P299" s="227">
        <v>2022</v>
      </c>
      <c r="Q299" s="250" t="s">
        <v>3499</v>
      </c>
      <c r="R299" s="250" t="s">
        <v>3503</v>
      </c>
    </row>
    <row r="300" spans="1:18" ht="15.75" thickBot="1" x14ac:dyDescent="0.3">
      <c r="A300" s="424" t="s">
        <v>1910</v>
      </c>
      <c r="B300" s="82" t="s">
        <v>1910</v>
      </c>
      <c r="C300" s="82" t="str">
        <f t="shared" si="16"/>
        <v>X</v>
      </c>
      <c r="D300" s="83" t="s">
        <v>1675</v>
      </c>
      <c r="E300" s="424" t="str">
        <f>IFERROR(LEFT(C300,FIND(" ",C300)-1),"")</f>
        <v/>
      </c>
      <c r="F300" s="571"/>
      <c r="G300" s="161"/>
      <c r="H300" s="424" t="str">
        <f t="shared" si="15"/>
        <v/>
      </c>
      <c r="I300" s="332">
        <v>27813.66</v>
      </c>
      <c r="J300" s="425"/>
      <c r="K300" s="162" t="s">
        <v>2993</v>
      </c>
      <c r="L300" s="271">
        <v>2022</v>
      </c>
      <c r="M300" s="227" t="s">
        <v>1890</v>
      </c>
      <c r="N300" s="227" t="s">
        <v>1891</v>
      </c>
      <c r="O300" s="227" t="s">
        <v>6576</v>
      </c>
      <c r="P300" s="227">
        <v>2022</v>
      </c>
      <c r="Q300" s="250" t="s">
        <v>3499</v>
      </c>
      <c r="R300" s="250" t="s">
        <v>3503</v>
      </c>
    </row>
    <row r="301" spans="1:18" ht="15.75" thickBot="1" x14ac:dyDescent="0.3">
      <c r="A301" s="424" t="s">
        <v>1910</v>
      </c>
      <c r="B301" s="424" t="s">
        <v>1910</v>
      </c>
      <c r="C301" s="82" t="str">
        <f t="shared" si="16"/>
        <v>X</v>
      </c>
      <c r="D301" s="83" t="s">
        <v>1675</v>
      </c>
      <c r="E301" s="424" t="str">
        <f>IFERROR(LEFT(C301,FIND(" ",C301)-1),"")</f>
        <v/>
      </c>
      <c r="F301" s="571"/>
      <c r="G301" s="161"/>
      <c r="H301" s="424" t="str">
        <f t="shared" si="15"/>
        <v/>
      </c>
      <c r="I301" s="332">
        <v>42187.81</v>
      </c>
      <c r="J301" s="425"/>
      <c r="K301" s="162" t="s">
        <v>2994</v>
      </c>
      <c r="L301" s="271">
        <v>2022</v>
      </c>
      <c r="M301" s="227" t="s">
        <v>1890</v>
      </c>
      <c r="N301" s="227" t="s">
        <v>1891</v>
      </c>
      <c r="O301" s="227" t="s">
        <v>6576</v>
      </c>
      <c r="P301" s="227">
        <v>2022</v>
      </c>
      <c r="Q301" s="250" t="s">
        <v>3499</v>
      </c>
      <c r="R301" s="250" t="s">
        <v>3503</v>
      </c>
    </row>
    <row r="302" spans="1:18" ht="15.75" thickBot="1" x14ac:dyDescent="0.3">
      <c r="A302" s="424" t="s">
        <v>1910</v>
      </c>
      <c r="B302" s="82" t="s">
        <v>1910</v>
      </c>
      <c r="C302" s="82" t="str">
        <f t="shared" si="16"/>
        <v>X</v>
      </c>
      <c r="D302" s="83" t="s">
        <v>1675</v>
      </c>
      <c r="E302" s="424" t="str">
        <f>IFERROR(LEFT(C302,FIND(" ",C302)-1),"")</f>
        <v/>
      </c>
      <c r="F302" s="571"/>
      <c r="G302" s="161"/>
      <c r="H302" s="424" t="str">
        <f t="shared" si="15"/>
        <v/>
      </c>
      <c r="I302" s="332">
        <v>94695.390000000014</v>
      </c>
      <c r="J302" s="425"/>
      <c r="K302" s="162" t="s">
        <v>2995</v>
      </c>
      <c r="L302" s="271">
        <v>2022</v>
      </c>
      <c r="M302" s="227" t="s">
        <v>1890</v>
      </c>
      <c r="N302" s="227" t="s">
        <v>1891</v>
      </c>
      <c r="O302" s="227" t="s">
        <v>6576</v>
      </c>
      <c r="P302" s="227">
        <v>2022</v>
      </c>
      <c r="Q302" s="250" t="s">
        <v>3499</v>
      </c>
      <c r="R302" s="250" t="s">
        <v>3503</v>
      </c>
    </row>
    <row r="303" spans="1:18" ht="15.75" thickBot="1" x14ac:dyDescent="0.3">
      <c r="A303" s="424" t="s">
        <v>1910</v>
      </c>
      <c r="B303" s="424" t="s">
        <v>1910</v>
      </c>
      <c r="C303" s="82" t="str">
        <f t="shared" si="16"/>
        <v>X</v>
      </c>
      <c r="D303" s="425" t="s">
        <v>1675</v>
      </c>
      <c r="E303" s="424" t="str">
        <f>IFERROR(LEFT(C303,FIND(" ",C303)-1),"")</f>
        <v/>
      </c>
      <c r="F303" s="571"/>
      <c r="G303" s="161"/>
      <c r="H303" s="424" t="str">
        <f t="shared" si="15"/>
        <v/>
      </c>
      <c r="I303" s="332">
        <v>96808.909999999989</v>
      </c>
      <c r="J303" s="425"/>
      <c r="K303" s="162" t="s">
        <v>2996</v>
      </c>
      <c r="L303" s="271">
        <v>2022</v>
      </c>
      <c r="M303" s="227" t="s">
        <v>1890</v>
      </c>
      <c r="N303" s="227" t="s">
        <v>1891</v>
      </c>
      <c r="O303" s="227" t="s">
        <v>6576</v>
      </c>
      <c r="P303" s="227">
        <v>2022</v>
      </c>
      <c r="Q303" s="250" t="s">
        <v>3499</v>
      </c>
      <c r="R303" s="250" t="s">
        <v>3503</v>
      </c>
    </row>
    <row r="304" spans="1:18" ht="15.75" thickBot="1" x14ac:dyDescent="0.3">
      <c r="A304" s="424" t="s">
        <v>1910</v>
      </c>
      <c r="B304" s="82" t="s">
        <v>1910</v>
      </c>
      <c r="C304" s="82" t="str">
        <f t="shared" si="16"/>
        <v>X</v>
      </c>
      <c r="D304" s="83" t="s">
        <v>1675</v>
      </c>
      <c r="E304" s="424">
        <v>3751</v>
      </c>
      <c r="F304" s="571"/>
      <c r="G304" s="161"/>
      <c r="H304" s="424" t="str">
        <f t="shared" si="15"/>
        <v/>
      </c>
      <c r="I304" s="273">
        <v>103004.78</v>
      </c>
      <c r="J304" s="162"/>
      <c r="K304" s="162"/>
      <c r="L304" s="271">
        <v>2022</v>
      </c>
      <c r="M304" s="227" t="s">
        <v>1890</v>
      </c>
      <c r="N304" s="227" t="s">
        <v>1891</v>
      </c>
      <c r="O304" s="227" t="s">
        <v>6576</v>
      </c>
      <c r="P304" s="227">
        <v>2022</v>
      </c>
      <c r="Q304" s="250" t="s">
        <v>3499</v>
      </c>
      <c r="R304" s="250" t="s">
        <v>3503</v>
      </c>
    </row>
    <row r="305" spans="1:18" ht="15.75" thickBot="1" x14ac:dyDescent="0.3">
      <c r="A305" s="424" t="s">
        <v>1910</v>
      </c>
      <c r="B305" s="424" t="s">
        <v>1910</v>
      </c>
      <c r="C305" s="82" t="str">
        <f t="shared" si="16"/>
        <v>X</v>
      </c>
      <c r="D305" s="424" t="s">
        <v>3026</v>
      </c>
      <c r="E305" s="424">
        <v>120639.92</v>
      </c>
      <c r="F305" s="571"/>
      <c r="G305" s="161"/>
      <c r="H305" s="424" t="str">
        <f t="shared" si="15"/>
        <v/>
      </c>
      <c r="I305" s="273">
        <v>125793.28</v>
      </c>
      <c r="J305" s="162"/>
      <c r="K305" s="162"/>
      <c r="L305" s="271">
        <v>2022</v>
      </c>
      <c r="M305" s="227" t="s">
        <v>1890</v>
      </c>
      <c r="N305" s="227" t="s">
        <v>1891</v>
      </c>
      <c r="O305" s="227" t="s">
        <v>6576</v>
      </c>
      <c r="P305" s="227">
        <v>2022</v>
      </c>
      <c r="Q305" s="250" t="s">
        <v>3499</v>
      </c>
      <c r="R305" s="250" t="s">
        <v>3503</v>
      </c>
    </row>
    <row r="306" spans="1:18" ht="15.75" thickBot="1" x14ac:dyDescent="0.3">
      <c r="A306" s="424" t="s">
        <v>1910</v>
      </c>
      <c r="B306" s="424" t="s">
        <v>1910</v>
      </c>
      <c r="C306" s="82" t="str">
        <f t="shared" si="16"/>
        <v>X</v>
      </c>
      <c r="D306" s="424" t="s">
        <v>3005</v>
      </c>
      <c r="E306" s="424">
        <v>1249</v>
      </c>
      <c r="F306" s="571"/>
      <c r="G306" s="161"/>
      <c r="H306" s="424" t="str">
        <f t="shared" si="15"/>
        <v/>
      </c>
      <c r="I306" s="273">
        <v>58399.61</v>
      </c>
      <c r="J306" s="162"/>
      <c r="K306" s="162"/>
      <c r="L306" s="271">
        <v>2022</v>
      </c>
      <c r="M306" s="227" t="s">
        <v>1890</v>
      </c>
      <c r="N306" s="227" t="s">
        <v>1891</v>
      </c>
      <c r="O306" s="227" t="s">
        <v>6576</v>
      </c>
      <c r="P306" s="227">
        <v>2022</v>
      </c>
      <c r="Q306" s="250" t="s">
        <v>3499</v>
      </c>
      <c r="R306" s="250" t="s">
        <v>3503</v>
      </c>
    </row>
    <row r="307" spans="1:18" ht="15.75" thickBot="1" x14ac:dyDescent="0.3">
      <c r="A307" s="424" t="s">
        <v>1910</v>
      </c>
      <c r="B307" s="424" t="s">
        <v>1910</v>
      </c>
      <c r="C307" s="82" t="str">
        <f t="shared" si="16"/>
        <v>X</v>
      </c>
      <c r="D307" s="424" t="s">
        <v>3629</v>
      </c>
      <c r="E307" s="424">
        <v>980</v>
      </c>
      <c r="F307" s="571"/>
      <c r="G307" s="161"/>
      <c r="H307" s="424" t="str">
        <f t="shared" si="15"/>
        <v/>
      </c>
      <c r="I307" s="273">
        <v>25022.3</v>
      </c>
      <c r="J307" s="162"/>
      <c r="K307" s="162"/>
      <c r="L307" s="271">
        <v>2022</v>
      </c>
      <c r="M307" s="227" t="s">
        <v>1890</v>
      </c>
      <c r="N307" s="227" t="s">
        <v>1891</v>
      </c>
      <c r="O307" s="227" t="s">
        <v>6576</v>
      </c>
      <c r="P307" s="227">
        <v>2022</v>
      </c>
      <c r="Q307" s="250" t="s">
        <v>3499</v>
      </c>
      <c r="R307" s="250" t="s">
        <v>3503</v>
      </c>
    </row>
    <row r="308" spans="1:18" ht="15.75" thickBot="1" x14ac:dyDescent="0.3">
      <c r="A308" s="424" t="s">
        <v>1910</v>
      </c>
      <c r="B308" s="424" t="s">
        <v>1910</v>
      </c>
      <c r="C308" s="82" t="str">
        <f t="shared" si="16"/>
        <v>X</v>
      </c>
      <c r="D308" s="424" t="s">
        <v>3010</v>
      </c>
      <c r="E308" s="424">
        <v>171</v>
      </c>
      <c r="F308" s="571"/>
      <c r="G308" s="161"/>
      <c r="H308" s="424" t="str">
        <f t="shared" si="15"/>
        <v/>
      </c>
      <c r="I308" s="273">
        <v>1316.82</v>
      </c>
      <c r="J308" s="162"/>
      <c r="K308" s="162"/>
      <c r="L308" s="271">
        <v>2022</v>
      </c>
      <c r="M308" s="227" t="s">
        <v>1890</v>
      </c>
      <c r="N308" s="227" t="s">
        <v>1891</v>
      </c>
      <c r="O308" s="227" t="s">
        <v>6576</v>
      </c>
      <c r="P308" s="227">
        <v>2022</v>
      </c>
      <c r="Q308" s="250" t="s">
        <v>3499</v>
      </c>
      <c r="R308" s="250" t="s">
        <v>3503</v>
      </c>
    </row>
    <row r="309" spans="1:18" ht="15.75" thickBot="1" x14ac:dyDescent="0.3">
      <c r="A309" s="424" t="s">
        <v>1910</v>
      </c>
      <c r="B309" s="82" t="s">
        <v>1910</v>
      </c>
      <c r="C309" s="82" t="str">
        <f t="shared" si="16"/>
        <v>X</v>
      </c>
      <c r="D309" s="424" t="s">
        <v>3028</v>
      </c>
      <c r="E309" s="424">
        <v>450</v>
      </c>
      <c r="F309" s="571"/>
      <c r="G309" s="161"/>
      <c r="H309" s="424" t="str">
        <f t="shared" si="15"/>
        <v/>
      </c>
      <c r="I309" s="273">
        <v>1278.75</v>
      </c>
      <c r="J309" s="162"/>
      <c r="K309" s="162"/>
      <c r="L309" s="271">
        <v>2022</v>
      </c>
      <c r="M309" s="227" t="s">
        <v>1890</v>
      </c>
      <c r="N309" s="227" t="s">
        <v>1891</v>
      </c>
      <c r="O309" s="227" t="s">
        <v>6576</v>
      </c>
      <c r="P309" s="227">
        <v>2022</v>
      </c>
      <c r="Q309" s="250" t="s">
        <v>3499</v>
      </c>
      <c r="R309" s="250" t="s">
        <v>3503</v>
      </c>
    </row>
    <row r="310" spans="1:18" ht="15.75" thickBot="1" x14ac:dyDescent="0.3">
      <c r="A310" s="424" t="s">
        <v>1910</v>
      </c>
      <c r="B310" s="82" t="s">
        <v>1910</v>
      </c>
      <c r="C310" s="82" t="str">
        <f t="shared" si="16"/>
        <v>X</v>
      </c>
      <c r="D310" s="83" t="s">
        <v>1653</v>
      </c>
      <c r="E310" s="425">
        <v>291</v>
      </c>
      <c r="F310" s="571" t="s">
        <v>586</v>
      </c>
      <c r="G310" s="161"/>
      <c r="H310" s="424" t="str">
        <f t="shared" si="15"/>
        <v/>
      </c>
      <c r="I310" s="332">
        <v>49476.23</v>
      </c>
      <c r="J310" s="162"/>
      <c r="K310" s="162"/>
      <c r="L310" s="271">
        <v>2022</v>
      </c>
      <c r="M310" s="227" t="s">
        <v>1890</v>
      </c>
      <c r="N310" s="227" t="s">
        <v>1891</v>
      </c>
      <c r="O310" s="227" t="s">
        <v>6576</v>
      </c>
      <c r="P310" s="227">
        <v>2022</v>
      </c>
      <c r="Q310" s="250" t="s">
        <v>3499</v>
      </c>
      <c r="R310" s="250" t="s">
        <v>3503</v>
      </c>
    </row>
    <row r="311" spans="1:18" ht="15.75" thickBot="1" x14ac:dyDescent="0.3">
      <c r="A311" s="424" t="s">
        <v>1910</v>
      </c>
      <c r="B311" s="424" t="s">
        <v>1910</v>
      </c>
      <c r="C311" s="82" t="str">
        <f t="shared" si="16"/>
        <v>X</v>
      </c>
      <c r="D311" s="424" t="s">
        <v>1653</v>
      </c>
      <c r="E311" s="424">
        <v>291</v>
      </c>
      <c r="F311" s="425" t="s">
        <v>586</v>
      </c>
      <c r="G311" s="161"/>
      <c r="H311" s="424" t="str">
        <f t="shared" si="15"/>
        <v/>
      </c>
      <c r="I311" s="273">
        <v>49476.23</v>
      </c>
      <c r="J311" s="162"/>
      <c r="K311" s="162"/>
      <c r="L311" s="271">
        <v>2022</v>
      </c>
      <c r="M311" s="227" t="s">
        <v>1890</v>
      </c>
      <c r="N311" s="227" t="s">
        <v>1891</v>
      </c>
      <c r="O311" s="227" t="s">
        <v>6576</v>
      </c>
      <c r="P311" s="227">
        <v>2022</v>
      </c>
      <c r="Q311" s="250" t="s">
        <v>3499</v>
      </c>
      <c r="R311" s="250" t="s">
        <v>3503</v>
      </c>
    </row>
    <row r="312" spans="1:18" ht="15.75" thickBot="1" x14ac:dyDescent="0.3">
      <c r="A312" s="424" t="s">
        <v>1910</v>
      </c>
      <c r="B312" s="424" t="s">
        <v>1910</v>
      </c>
      <c r="C312" s="82" t="str">
        <f t="shared" si="16"/>
        <v>X</v>
      </c>
      <c r="D312" s="83" t="s">
        <v>1654</v>
      </c>
      <c r="E312" s="424">
        <v>394</v>
      </c>
      <c r="F312" s="571"/>
      <c r="G312" s="161"/>
      <c r="H312" s="424" t="str">
        <f t="shared" si="15"/>
        <v/>
      </c>
      <c r="I312" s="273">
        <v>4028.12</v>
      </c>
      <c r="J312" s="162"/>
      <c r="K312" s="162"/>
      <c r="L312" s="271">
        <v>2022</v>
      </c>
      <c r="M312" s="227" t="s">
        <v>1890</v>
      </c>
      <c r="N312" s="227" t="s">
        <v>1891</v>
      </c>
      <c r="O312" s="227" t="s">
        <v>6576</v>
      </c>
      <c r="P312" s="227">
        <v>2022</v>
      </c>
      <c r="Q312" s="250" t="s">
        <v>3499</v>
      </c>
      <c r="R312" s="250" t="s">
        <v>3503</v>
      </c>
    </row>
    <row r="313" spans="1:18" ht="15.75" thickBot="1" x14ac:dyDescent="0.3">
      <c r="A313" s="424" t="s">
        <v>1910</v>
      </c>
      <c r="B313" s="82" t="s">
        <v>1910</v>
      </c>
      <c r="C313" s="82" t="str">
        <f t="shared" si="16"/>
        <v>X</v>
      </c>
      <c r="D313" s="424" t="s">
        <v>3025</v>
      </c>
      <c r="E313" s="424">
        <v>236</v>
      </c>
      <c r="F313" s="425" t="s">
        <v>586</v>
      </c>
      <c r="G313" s="161"/>
      <c r="H313" s="424" t="str">
        <f t="shared" si="15"/>
        <v/>
      </c>
      <c r="I313" s="273">
        <v>40750.720000000001</v>
      </c>
      <c r="J313" s="162"/>
      <c r="K313" s="162"/>
      <c r="L313" s="271">
        <v>2022</v>
      </c>
      <c r="M313" s="227" t="s">
        <v>1890</v>
      </c>
      <c r="N313" s="227" t="s">
        <v>1891</v>
      </c>
      <c r="O313" s="227" t="s">
        <v>6576</v>
      </c>
      <c r="P313" s="227">
        <v>2022</v>
      </c>
      <c r="Q313" s="250" t="s">
        <v>3499</v>
      </c>
      <c r="R313" s="250" t="s">
        <v>3503</v>
      </c>
    </row>
    <row r="314" spans="1:18" ht="15.75" thickBot="1" x14ac:dyDescent="0.3">
      <c r="A314" s="424" t="s">
        <v>1910</v>
      </c>
      <c r="B314" s="82" t="s">
        <v>1910</v>
      </c>
      <c r="C314" s="82" t="str">
        <f t="shared" si="16"/>
        <v>X</v>
      </c>
      <c r="D314" s="83" t="s">
        <v>2982</v>
      </c>
      <c r="E314" s="424" t="str">
        <f t="shared" ref="E314:E322" si="17">IFERROR(LEFT(C314,FIND(" ",C314)-1),"")</f>
        <v/>
      </c>
      <c r="F314" s="163"/>
      <c r="G314" s="161"/>
      <c r="H314" s="424" t="str">
        <f t="shared" si="15"/>
        <v/>
      </c>
      <c r="I314" s="332">
        <v>167425.41999999998</v>
      </c>
      <c r="J314" s="425"/>
      <c r="K314" s="162" t="s">
        <v>2984</v>
      </c>
      <c r="L314" s="271">
        <v>2022</v>
      </c>
      <c r="M314" s="227" t="s">
        <v>1890</v>
      </c>
      <c r="N314" s="227" t="s">
        <v>1891</v>
      </c>
      <c r="O314" s="227" t="s">
        <v>6576</v>
      </c>
      <c r="P314" s="227">
        <v>2022</v>
      </c>
      <c r="Q314" s="250" t="s">
        <v>3499</v>
      </c>
      <c r="R314" s="250" t="s">
        <v>3503</v>
      </c>
    </row>
    <row r="315" spans="1:18" ht="15.75" thickBot="1" x14ac:dyDescent="0.3">
      <c r="A315" s="424" t="s">
        <v>1910</v>
      </c>
      <c r="B315" s="82" t="s">
        <v>1910</v>
      </c>
      <c r="C315" s="82" t="str">
        <f t="shared" si="16"/>
        <v>X</v>
      </c>
      <c r="D315" s="425" t="s">
        <v>2982</v>
      </c>
      <c r="E315" s="424" t="str">
        <f t="shared" si="17"/>
        <v/>
      </c>
      <c r="F315" s="571"/>
      <c r="G315" s="161"/>
      <c r="H315" s="424" t="str">
        <f t="shared" si="15"/>
        <v/>
      </c>
      <c r="I315" s="332">
        <v>140812.68</v>
      </c>
      <c r="J315" s="425"/>
      <c r="K315" s="162" t="s">
        <v>2985</v>
      </c>
      <c r="L315" s="271">
        <v>2022</v>
      </c>
      <c r="M315" s="227" t="s">
        <v>1890</v>
      </c>
      <c r="N315" s="227" t="s">
        <v>1891</v>
      </c>
      <c r="O315" s="227" t="s">
        <v>6576</v>
      </c>
      <c r="P315" s="227">
        <v>2022</v>
      </c>
      <c r="Q315" s="250" t="s">
        <v>3499</v>
      </c>
      <c r="R315" s="250" t="s">
        <v>3503</v>
      </c>
    </row>
    <row r="316" spans="1:18" ht="15.75" thickBot="1" x14ac:dyDescent="0.3">
      <c r="A316" s="424" t="s">
        <v>1910</v>
      </c>
      <c r="B316" s="424" t="s">
        <v>1910</v>
      </c>
      <c r="C316" s="82" t="str">
        <f t="shared" si="16"/>
        <v>X</v>
      </c>
      <c r="D316" s="83" t="s">
        <v>2982</v>
      </c>
      <c r="E316" s="424" t="str">
        <f t="shared" si="17"/>
        <v/>
      </c>
      <c r="F316" s="571"/>
      <c r="G316" s="161"/>
      <c r="H316" s="424" t="str">
        <f t="shared" si="15"/>
        <v/>
      </c>
      <c r="I316" s="332">
        <v>18822.480000000003</v>
      </c>
      <c r="J316" s="425"/>
      <c r="K316" s="162" t="s">
        <v>2986</v>
      </c>
      <c r="L316" s="271">
        <v>2022</v>
      </c>
      <c r="M316" s="227" t="s">
        <v>1890</v>
      </c>
      <c r="N316" s="227" t="s">
        <v>1891</v>
      </c>
      <c r="O316" s="227" t="s">
        <v>6576</v>
      </c>
      <c r="P316" s="227">
        <v>2022</v>
      </c>
      <c r="Q316" s="250" t="s">
        <v>3499</v>
      </c>
      <c r="R316" s="250" t="s">
        <v>3503</v>
      </c>
    </row>
    <row r="317" spans="1:18" ht="15.75" thickBot="1" x14ac:dyDescent="0.3">
      <c r="A317" s="424" t="s">
        <v>1910</v>
      </c>
      <c r="B317" s="424" t="s">
        <v>1910</v>
      </c>
      <c r="C317" s="82" t="str">
        <f t="shared" si="16"/>
        <v>X</v>
      </c>
      <c r="D317" s="425" t="s">
        <v>2982</v>
      </c>
      <c r="E317" s="424" t="str">
        <f t="shared" si="17"/>
        <v/>
      </c>
      <c r="F317" s="571"/>
      <c r="G317" s="161"/>
      <c r="H317" s="424" t="str">
        <f t="shared" si="15"/>
        <v/>
      </c>
      <c r="I317" s="332">
        <v>69181.78</v>
      </c>
      <c r="J317" s="425"/>
      <c r="K317" s="162" t="s">
        <v>2987</v>
      </c>
      <c r="L317" s="271">
        <v>2022</v>
      </c>
      <c r="M317" s="227" t="s">
        <v>1890</v>
      </c>
      <c r="N317" s="227" t="s">
        <v>1891</v>
      </c>
      <c r="O317" s="227" t="s">
        <v>6576</v>
      </c>
      <c r="P317" s="227">
        <v>2022</v>
      </c>
      <c r="Q317" s="250" t="s">
        <v>3499</v>
      </c>
      <c r="R317" s="250" t="s">
        <v>3503</v>
      </c>
    </row>
    <row r="318" spans="1:18" ht="15.75" thickBot="1" x14ac:dyDescent="0.3">
      <c r="A318" s="424" t="s">
        <v>1910</v>
      </c>
      <c r="B318" s="424" t="s">
        <v>1910</v>
      </c>
      <c r="C318" s="82" t="str">
        <f t="shared" si="16"/>
        <v>X</v>
      </c>
      <c r="D318" s="425" t="s">
        <v>2982</v>
      </c>
      <c r="E318" s="424" t="str">
        <f t="shared" si="17"/>
        <v/>
      </c>
      <c r="F318" s="571"/>
      <c r="G318" s="161"/>
      <c r="H318" s="424" t="str">
        <f t="shared" si="15"/>
        <v/>
      </c>
      <c r="I318" s="332">
        <v>41907.899999999994</v>
      </c>
      <c r="J318" s="425"/>
      <c r="K318" s="162" t="s">
        <v>2988</v>
      </c>
      <c r="L318" s="271">
        <v>2022</v>
      </c>
      <c r="M318" s="227" t="s">
        <v>1890</v>
      </c>
      <c r="N318" s="227" t="s">
        <v>1891</v>
      </c>
      <c r="O318" s="227" t="s">
        <v>6576</v>
      </c>
      <c r="P318" s="227">
        <v>2022</v>
      </c>
      <c r="Q318" s="250" t="s">
        <v>3499</v>
      </c>
      <c r="R318" s="250" t="s">
        <v>3503</v>
      </c>
    </row>
    <row r="319" spans="1:18" ht="15.75" thickBot="1" x14ac:dyDescent="0.3">
      <c r="A319" s="424" t="s">
        <v>1910</v>
      </c>
      <c r="B319" s="82" t="s">
        <v>1910</v>
      </c>
      <c r="C319" s="82" t="str">
        <f t="shared" si="16"/>
        <v>X</v>
      </c>
      <c r="D319" s="425" t="s">
        <v>2982</v>
      </c>
      <c r="E319" s="424" t="str">
        <f t="shared" si="17"/>
        <v/>
      </c>
      <c r="F319" s="571"/>
      <c r="G319" s="161"/>
      <c r="H319" s="424" t="str">
        <f t="shared" si="15"/>
        <v/>
      </c>
      <c r="I319" s="332">
        <v>38974.01</v>
      </c>
      <c r="J319" s="425"/>
      <c r="K319" s="162" t="s">
        <v>2989</v>
      </c>
      <c r="L319" s="271">
        <v>2022</v>
      </c>
      <c r="M319" s="227" t="s">
        <v>1890</v>
      </c>
      <c r="N319" s="227" t="s">
        <v>1891</v>
      </c>
      <c r="O319" s="227" t="s">
        <v>6576</v>
      </c>
      <c r="P319" s="227">
        <v>2022</v>
      </c>
      <c r="Q319" s="250" t="s">
        <v>3499</v>
      </c>
      <c r="R319" s="250" t="s">
        <v>3503</v>
      </c>
    </row>
    <row r="320" spans="1:18" ht="15.75" thickBot="1" x14ac:dyDescent="0.3">
      <c r="A320" s="424" t="s">
        <v>1910</v>
      </c>
      <c r="B320" s="82" t="s">
        <v>1910</v>
      </c>
      <c r="C320" s="82" t="str">
        <f t="shared" si="16"/>
        <v>X</v>
      </c>
      <c r="D320" s="425" t="s">
        <v>2982</v>
      </c>
      <c r="E320" s="424" t="str">
        <f t="shared" si="17"/>
        <v/>
      </c>
      <c r="F320" s="571"/>
      <c r="G320" s="161"/>
      <c r="H320" s="424" t="str">
        <f t="shared" si="15"/>
        <v/>
      </c>
      <c r="I320" s="332">
        <v>57476.899999999994</v>
      </c>
      <c r="J320" s="425"/>
      <c r="K320" s="162" t="s">
        <v>2990</v>
      </c>
      <c r="L320" s="271">
        <v>2022</v>
      </c>
      <c r="M320" s="227" t="s">
        <v>1890</v>
      </c>
      <c r="N320" s="227" t="s">
        <v>1891</v>
      </c>
      <c r="O320" s="227" t="s">
        <v>6576</v>
      </c>
      <c r="P320" s="227">
        <v>2022</v>
      </c>
      <c r="Q320" s="250" t="s">
        <v>3499</v>
      </c>
      <c r="R320" s="250" t="s">
        <v>3503</v>
      </c>
    </row>
    <row r="321" spans="1:18" ht="15.75" thickBot="1" x14ac:dyDescent="0.3">
      <c r="A321" s="424" t="s">
        <v>1910</v>
      </c>
      <c r="B321" s="82" t="s">
        <v>1910</v>
      </c>
      <c r="C321" s="82" t="str">
        <f t="shared" si="16"/>
        <v>X</v>
      </c>
      <c r="D321" s="425" t="s">
        <v>2982</v>
      </c>
      <c r="E321" s="424" t="str">
        <f t="shared" si="17"/>
        <v/>
      </c>
      <c r="F321" s="571"/>
      <c r="G321" s="161"/>
      <c r="H321" s="424" t="str">
        <f t="shared" si="15"/>
        <v/>
      </c>
      <c r="I321" s="332">
        <v>10518.630000000001</v>
      </c>
      <c r="J321" s="425"/>
      <c r="K321" s="162" t="s">
        <v>2991</v>
      </c>
      <c r="L321" s="271">
        <v>2022</v>
      </c>
      <c r="M321" s="227" t="s">
        <v>1890</v>
      </c>
      <c r="N321" s="227" t="s">
        <v>1891</v>
      </c>
      <c r="O321" s="227" t="s">
        <v>6576</v>
      </c>
      <c r="P321" s="227">
        <v>2022</v>
      </c>
      <c r="Q321" s="250" t="s">
        <v>3499</v>
      </c>
      <c r="R321" s="250" t="s">
        <v>3503</v>
      </c>
    </row>
    <row r="322" spans="1:18" ht="15.75" thickBot="1" x14ac:dyDescent="0.3">
      <c r="A322" s="424" t="s">
        <v>1910</v>
      </c>
      <c r="B322" s="82" t="s">
        <v>1910</v>
      </c>
      <c r="C322" s="82" t="str">
        <f t="shared" si="16"/>
        <v>X</v>
      </c>
      <c r="D322" s="425" t="s">
        <v>2982</v>
      </c>
      <c r="E322" s="424" t="str">
        <f t="shared" si="17"/>
        <v/>
      </c>
      <c r="F322" s="571"/>
      <c r="G322" s="161"/>
      <c r="H322" s="424" t="str">
        <f t="shared" ref="H322:H385" si="18">IFERROR(LEFT(F322,FIND(" ",F322)-1),"")</f>
        <v/>
      </c>
      <c r="I322" s="332">
        <v>22993.49</v>
      </c>
      <c r="J322" s="425"/>
      <c r="K322" s="162" t="s">
        <v>2992</v>
      </c>
      <c r="L322" s="271">
        <v>2022</v>
      </c>
      <c r="M322" s="227" t="s">
        <v>1890</v>
      </c>
      <c r="N322" s="227" t="s">
        <v>1891</v>
      </c>
      <c r="O322" s="227" t="s">
        <v>6576</v>
      </c>
      <c r="P322" s="227">
        <v>2022</v>
      </c>
      <c r="Q322" s="250" t="s">
        <v>3499</v>
      </c>
      <c r="R322" s="250" t="s">
        <v>3503</v>
      </c>
    </row>
    <row r="323" spans="1:18" ht="15.75" thickBot="1" x14ac:dyDescent="0.3">
      <c r="A323" s="424" t="s">
        <v>1910</v>
      </c>
      <c r="B323" s="82" t="s">
        <v>1910</v>
      </c>
      <c r="C323" s="82" t="str">
        <f t="shared" ref="C323:C386" si="19">IF(A323=B323,"X",RIGHT(A323,LEN(A323)-LEN(B323)-3))</f>
        <v>X</v>
      </c>
      <c r="D323" s="424" t="s">
        <v>3006</v>
      </c>
      <c r="E323" s="424">
        <v>665</v>
      </c>
      <c r="F323" s="571"/>
      <c r="G323" s="161"/>
      <c r="H323" s="424" t="str">
        <f t="shared" si="18"/>
        <v/>
      </c>
      <c r="I323" s="273">
        <v>35436.89</v>
      </c>
      <c r="J323" s="162"/>
      <c r="K323" s="162"/>
      <c r="L323" s="271">
        <v>2022</v>
      </c>
      <c r="M323" s="227" t="s">
        <v>1890</v>
      </c>
      <c r="N323" s="227" t="s">
        <v>1891</v>
      </c>
      <c r="O323" s="227" t="s">
        <v>6576</v>
      </c>
      <c r="P323" s="227">
        <v>2022</v>
      </c>
      <c r="Q323" s="250" t="s">
        <v>3499</v>
      </c>
      <c r="R323" s="250" t="s">
        <v>3503</v>
      </c>
    </row>
    <row r="324" spans="1:18" ht="15.75" thickBot="1" x14ac:dyDescent="0.3">
      <c r="A324" s="424" t="s">
        <v>1910</v>
      </c>
      <c r="B324" s="82" t="s">
        <v>1910</v>
      </c>
      <c r="C324" s="82" t="str">
        <f t="shared" si="19"/>
        <v>X</v>
      </c>
      <c r="D324" s="83" t="s">
        <v>3002</v>
      </c>
      <c r="E324" s="425">
        <v>8257</v>
      </c>
      <c r="F324" s="571"/>
      <c r="G324" s="161"/>
      <c r="H324" s="424" t="str">
        <f t="shared" si="18"/>
        <v/>
      </c>
      <c r="I324" s="332">
        <v>165117.6</v>
      </c>
      <c r="J324" s="162"/>
      <c r="K324" s="162"/>
      <c r="L324" s="271">
        <v>2022</v>
      </c>
      <c r="M324" s="227" t="s">
        <v>1890</v>
      </c>
      <c r="N324" s="227" t="s">
        <v>1891</v>
      </c>
      <c r="O324" s="227" t="s">
        <v>6576</v>
      </c>
      <c r="P324" s="227">
        <v>2022</v>
      </c>
      <c r="Q324" s="250" t="s">
        <v>3499</v>
      </c>
      <c r="R324" s="250" t="s">
        <v>3503</v>
      </c>
    </row>
    <row r="325" spans="1:18" ht="15.75" thickBot="1" x14ac:dyDescent="0.3">
      <c r="A325" s="424" t="s">
        <v>1910</v>
      </c>
      <c r="B325" s="82" t="s">
        <v>1910</v>
      </c>
      <c r="C325" s="82" t="str">
        <f t="shared" si="19"/>
        <v>X</v>
      </c>
      <c r="D325" s="424" t="s">
        <v>3027</v>
      </c>
      <c r="E325" s="424">
        <v>3816</v>
      </c>
      <c r="F325" s="571"/>
      <c r="G325" s="161"/>
      <c r="H325" s="424" t="str">
        <f t="shared" si="18"/>
        <v/>
      </c>
      <c r="I325" s="273">
        <v>7138.08</v>
      </c>
      <c r="J325" s="162"/>
      <c r="K325" s="162"/>
      <c r="L325" s="271">
        <v>2022</v>
      </c>
      <c r="M325" s="227" t="s">
        <v>1890</v>
      </c>
      <c r="N325" s="227" t="s">
        <v>1891</v>
      </c>
      <c r="O325" s="227" t="s">
        <v>6576</v>
      </c>
      <c r="P325" s="227">
        <v>2022</v>
      </c>
      <c r="Q325" s="250" t="s">
        <v>3499</v>
      </c>
      <c r="R325" s="250" t="s">
        <v>3503</v>
      </c>
    </row>
    <row r="326" spans="1:18" ht="15.75" thickBot="1" x14ac:dyDescent="0.3">
      <c r="A326" s="424" t="s">
        <v>1910</v>
      </c>
      <c r="B326" s="82" t="s">
        <v>1910</v>
      </c>
      <c r="C326" s="82" t="str">
        <f t="shared" si="19"/>
        <v>X</v>
      </c>
      <c r="D326" s="424" t="s">
        <v>3017</v>
      </c>
      <c r="E326" s="424">
        <v>12365.65</v>
      </c>
      <c r="F326" s="571"/>
      <c r="G326" s="161"/>
      <c r="H326" s="424" t="str">
        <f t="shared" si="18"/>
        <v/>
      </c>
      <c r="I326" s="273">
        <v>5311.87</v>
      </c>
      <c r="J326" s="162"/>
      <c r="K326" s="162"/>
      <c r="L326" s="271">
        <v>2022</v>
      </c>
      <c r="M326" s="227" t="s">
        <v>1890</v>
      </c>
      <c r="N326" s="227" t="s">
        <v>1891</v>
      </c>
      <c r="O326" s="227" t="s">
        <v>6576</v>
      </c>
      <c r="P326" s="227">
        <v>2022</v>
      </c>
      <c r="Q326" s="250" t="s">
        <v>3499</v>
      </c>
      <c r="R326" s="250" t="s">
        <v>3503</v>
      </c>
    </row>
    <row r="327" spans="1:18" ht="15.75" thickBot="1" x14ac:dyDescent="0.3">
      <c r="A327" s="424" t="s">
        <v>1910</v>
      </c>
      <c r="B327" s="424" t="s">
        <v>1910</v>
      </c>
      <c r="C327" s="82" t="str">
        <f t="shared" si="19"/>
        <v>X</v>
      </c>
      <c r="D327" s="424" t="s">
        <v>3020</v>
      </c>
      <c r="E327" s="424">
        <v>12658</v>
      </c>
      <c r="F327" s="571"/>
      <c r="G327" s="161"/>
      <c r="H327" s="424" t="str">
        <f t="shared" si="18"/>
        <v/>
      </c>
      <c r="I327" s="273">
        <v>30391.93</v>
      </c>
      <c r="J327" s="162"/>
      <c r="K327" s="162"/>
      <c r="L327" s="271">
        <v>2022</v>
      </c>
      <c r="M327" s="227" t="s">
        <v>1890</v>
      </c>
      <c r="N327" s="227" t="s">
        <v>1891</v>
      </c>
      <c r="O327" s="227" t="s">
        <v>6576</v>
      </c>
      <c r="P327" s="227">
        <v>2022</v>
      </c>
      <c r="Q327" s="250" t="s">
        <v>3499</v>
      </c>
      <c r="R327" s="250" t="s">
        <v>3503</v>
      </c>
    </row>
    <row r="328" spans="1:18" ht="15.75" thickBot="1" x14ac:dyDescent="0.3">
      <c r="A328" s="424" t="s">
        <v>1910</v>
      </c>
      <c r="B328" s="424" t="s">
        <v>1910</v>
      </c>
      <c r="C328" s="82" t="str">
        <f t="shared" si="19"/>
        <v>X</v>
      </c>
      <c r="D328" s="424" t="s">
        <v>620</v>
      </c>
      <c r="E328" s="424">
        <v>2639.82</v>
      </c>
      <c r="F328" s="571"/>
      <c r="G328" s="161"/>
      <c r="H328" s="424" t="str">
        <f t="shared" si="18"/>
        <v/>
      </c>
      <c r="I328" s="273">
        <v>3613.39</v>
      </c>
      <c r="J328" s="162"/>
      <c r="K328" s="162"/>
      <c r="L328" s="271">
        <v>2022</v>
      </c>
      <c r="M328" s="227" t="s">
        <v>1890</v>
      </c>
      <c r="N328" s="227" t="s">
        <v>1891</v>
      </c>
      <c r="O328" s="227" t="s">
        <v>6576</v>
      </c>
      <c r="P328" s="227">
        <v>2022</v>
      </c>
      <c r="Q328" s="250" t="s">
        <v>3499</v>
      </c>
      <c r="R328" s="250" t="s">
        <v>3503</v>
      </c>
    </row>
    <row r="329" spans="1:18" ht="15.75" thickBot="1" x14ac:dyDescent="0.3">
      <c r="A329" s="424" t="s">
        <v>1910</v>
      </c>
      <c r="B329" s="424" t="s">
        <v>1910</v>
      </c>
      <c r="C329" s="82" t="str">
        <f t="shared" si="19"/>
        <v>X</v>
      </c>
      <c r="D329" s="424" t="s">
        <v>3009</v>
      </c>
      <c r="E329" s="424">
        <v>804</v>
      </c>
      <c r="F329" s="571"/>
      <c r="G329" s="161"/>
      <c r="H329" s="424" t="str">
        <f t="shared" si="18"/>
        <v/>
      </c>
      <c r="I329" s="273">
        <v>5184.4799999999996</v>
      </c>
      <c r="J329" s="162"/>
      <c r="K329" s="162"/>
      <c r="L329" s="271">
        <v>2022</v>
      </c>
      <c r="M329" s="227" t="s">
        <v>1890</v>
      </c>
      <c r="N329" s="227" t="s">
        <v>1891</v>
      </c>
      <c r="O329" s="227" t="s">
        <v>6576</v>
      </c>
      <c r="P329" s="227">
        <v>2022</v>
      </c>
      <c r="Q329" s="250" t="s">
        <v>3499</v>
      </c>
      <c r="R329" s="250" t="s">
        <v>3503</v>
      </c>
    </row>
    <row r="330" spans="1:18" ht="15.75" thickBot="1" x14ac:dyDescent="0.3">
      <c r="A330" s="424" t="s">
        <v>1910</v>
      </c>
      <c r="B330" s="424" t="s">
        <v>1910</v>
      </c>
      <c r="C330" s="82" t="str">
        <f t="shared" si="19"/>
        <v>X</v>
      </c>
      <c r="D330" s="424" t="s">
        <v>3012</v>
      </c>
      <c r="E330" s="424">
        <v>9</v>
      </c>
      <c r="F330" s="571"/>
      <c r="G330" s="161"/>
      <c r="H330" s="424" t="str">
        <f t="shared" si="18"/>
        <v/>
      </c>
      <c r="I330" s="273">
        <v>812.66</v>
      </c>
      <c r="J330" s="162"/>
      <c r="K330" s="162"/>
      <c r="L330" s="271">
        <v>2022</v>
      </c>
      <c r="M330" s="227" t="s">
        <v>1890</v>
      </c>
      <c r="N330" s="227" t="s">
        <v>1891</v>
      </c>
      <c r="O330" s="227" t="s">
        <v>6576</v>
      </c>
      <c r="P330" s="227">
        <v>2022</v>
      </c>
      <c r="Q330" s="250" t="s">
        <v>3499</v>
      </c>
      <c r="R330" s="250" t="s">
        <v>3503</v>
      </c>
    </row>
    <row r="331" spans="1:18" ht="15.75" thickBot="1" x14ac:dyDescent="0.3">
      <c r="A331" s="424" t="s">
        <v>1910</v>
      </c>
      <c r="B331" s="82" t="s">
        <v>1910</v>
      </c>
      <c r="C331" s="82" t="str">
        <f t="shared" si="19"/>
        <v>X</v>
      </c>
      <c r="D331" s="424" t="s">
        <v>3022</v>
      </c>
      <c r="E331" s="424">
        <v>529.34</v>
      </c>
      <c r="F331" s="571"/>
      <c r="G331" s="161"/>
      <c r="H331" s="424" t="str">
        <f t="shared" si="18"/>
        <v/>
      </c>
      <c r="I331" s="273">
        <v>1719.38</v>
      </c>
      <c r="J331" s="162"/>
      <c r="K331" s="162"/>
      <c r="L331" s="271">
        <v>2022</v>
      </c>
      <c r="M331" s="227" t="s">
        <v>1890</v>
      </c>
      <c r="N331" s="227" t="s">
        <v>1891</v>
      </c>
      <c r="O331" s="227" t="s">
        <v>6576</v>
      </c>
      <c r="P331" s="227">
        <v>2022</v>
      </c>
      <c r="Q331" s="250" t="s">
        <v>3499</v>
      </c>
      <c r="R331" s="250" t="s">
        <v>3503</v>
      </c>
    </row>
    <row r="332" spans="1:18" ht="15.75" thickBot="1" x14ac:dyDescent="0.3">
      <c r="A332" s="424" t="s">
        <v>1910</v>
      </c>
      <c r="B332" s="82" t="s">
        <v>1910</v>
      </c>
      <c r="C332" s="82" t="str">
        <f t="shared" si="19"/>
        <v>X</v>
      </c>
      <c r="D332" s="424" t="s">
        <v>3019</v>
      </c>
      <c r="E332" s="424">
        <v>1955</v>
      </c>
      <c r="F332" s="571"/>
      <c r="G332" s="161"/>
      <c r="H332" s="424" t="str">
        <f t="shared" si="18"/>
        <v/>
      </c>
      <c r="I332" s="273">
        <v>6771.72</v>
      </c>
      <c r="J332" s="162"/>
      <c r="K332" s="162"/>
      <c r="L332" s="271">
        <v>2022</v>
      </c>
      <c r="M332" s="227" t="s">
        <v>1890</v>
      </c>
      <c r="N332" s="227" t="s">
        <v>1891</v>
      </c>
      <c r="O332" s="227" t="s">
        <v>6576</v>
      </c>
      <c r="P332" s="227">
        <v>2022</v>
      </c>
      <c r="Q332" s="250" t="s">
        <v>3499</v>
      </c>
      <c r="R332" s="250" t="s">
        <v>3503</v>
      </c>
    </row>
    <row r="333" spans="1:18" ht="15.75" thickBot="1" x14ac:dyDescent="0.3">
      <c r="A333" s="424" t="s">
        <v>1910</v>
      </c>
      <c r="B333" s="82" t="s">
        <v>1910</v>
      </c>
      <c r="C333" s="82" t="str">
        <f t="shared" si="19"/>
        <v>X</v>
      </c>
      <c r="D333" s="424" t="s">
        <v>3008</v>
      </c>
      <c r="E333" s="424">
        <v>202</v>
      </c>
      <c r="F333" s="571"/>
      <c r="G333" s="161"/>
      <c r="H333" s="424" t="str">
        <f t="shared" si="18"/>
        <v/>
      </c>
      <c r="I333" s="273">
        <v>241.8</v>
      </c>
      <c r="J333" s="162"/>
      <c r="K333" s="162"/>
      <c r="L333" s="271">
        <v>2022</v>
      </c>
      <c r="M333" s="227" t="s">
        <v>1890</v>
      </c>
      <c r="N333" s="227" t="s">
        <v>1891</v>
      </c>
      <c r="O333" s="227" t="s">
        <v>6576</v>
      </c>
      <c r="P333" s="227">
        <v>2022</v>
      </c>
      <c r="Q333" s="250" t="s">
        <v>3499</v>
      </c>
      <c r="R333" s="250" t="s">
        <v>3503</v>
      </c>
    </row>
    <row r="334" spans="1:18" ht="15.75" thickBot="1" x14ac:dyDescent="0.3">
      <c r="A334" s="424" t="s">
        <v>1910</v>
      </c>
      <c r="B334" s="82" t="s">
        <v>1910</v>
      </c>
      <c r="C334" s="82" t="str">
        <f t="shared" si="19"/>
        <v>X</v>
      </c>
      <c r="D334" s="424" t="s">
        <v>3014</v>
      </c>
      <c r="E334" s="424">
        <v>30</v>
      </c>
      <c r="F334" s="571"/>
      <c r="G334" s="161"/>
      <c r="H334" s="424" t="str">
        <f t="shared" si="18"/>
        <v/>
      </c>
      <c r="I334" s="273">
        <v>294</v>
      </c>
      <c r="J334" s="162"/>
      <c r="K334" s="162"/>
      <c r="L334" s="271">
        <v>2022</v>
      </c>
      <c r="M334" s="227" t="s">
        <v>1890</v>
      </c>
      <c r="N334" s="227" t="s">
        <v>1891</v>
      </c>
      <c r="O334" s="227" t="s">
        <v>6576</v>
      </c>
      <c r="P334" s="227">
        <v>2022</v>
      </c>
      <c r="Q334" s="250" t="s">
        <v>3499</v>
      </c>
      <c r="R334" s="250" t="s">
        <v>3503</v>
      </c>
    </row>
    <row r="335" spans="1:18" ht="15.75" thickBot="1" x14ac:dyDescent="0.3">
      <c r="A335" s="424" t="s">
        <v>1910</v>
      </c>
      <c r="B335" s="82" t="s">
        <v>1910</v>
      </c>
      <c r="C335" s="82" t="str">
        <f t="shared" si="19"/>
        <v>X</v>
      </c>
      <c r="D335" s="424" t="s">
        <v>3016</v>
      </c>
      <c r="E335" s="424">
        <v>825</v>
      </c>
      <c r="F335" s="571"/>
      <c r="G335" s="161"/>
      <c r="H335" s="424" t="str">
        <f t="shared" si="18"/>
        <v/>
      </c>
      <c r="I335" s="273">
        <v>399.78</v>
      </c>
      <c r="J335" s="162"/>
      <c r="K335" s="162"/>
      <c r="L335" s="271">
        <v>2022</v>
      </c>
      <c r="M335" s="227" t="s">
        <v>1890</v>
      </c>
      <c r="N335" s="227" t="s">
        <v>1891</v>
      </c>
      <c r="O335" s="227" t="s">
        <v>6576</v>
      </c>
      <c r="P335" s="227">
        <v>2022</v>
      </c>
      <c r="Q335" s="250" t="s">
        <v>3499</v>
      </c>
      <c r="R335" s="250" t="s">
        <v>3503</v>
      </c>
    </row>
    <row r="336" spans="1:18" ht="15.75" thickBot="1" x14ac:dyDescent="0.3">
      <c r="A336" s="424" t="s">
        <v>1910</v>
      </c>
      <c r="B336" s="424" t="s">
        <v>1910</v>
      </c>
      <c r="C336" s="82" t="str">
        <f t="shared" si="19"/>
        <v>X</v>
      </c>
      <c r="D336" s="424" t="s">
        <v>3015</v>
      </c>
      <c r="E336" s="424">
        <v>20063</v>
      </c>
      <c r="F336" s="571"/>
      <c r="G336" s="161"/>
      <c r="H336" s="424" t="str">
        <f t="shared" si="18"/>
        <v/>
      </c>
      <c r="I336" s="273">
        <v>59175.39</v>
      </c>
      <c r="J336" s="162"/>
      <c r="K336" s="162"/>
      <c r="L336" s="271">
        <v>2022</v>
      </c>
      <c r="M336" s="227" t="s">
        <v>1890</v>
      </c>
      <c r="N336" s="227" t="s">
        <v>1891</v>
      </c>
      <c r="O336" s="227" t="s">
        <v>6576</v>
      </c>
      <c r="P336" s="227">
        <v>2022</v>
      </c>
      <c r="Q336" s="250" t="s">
        <v>3499</v>
      </c>
      <c r="R336" s="250" t="s">
        <v>3503</v>
      </c>
    </row>
    <row r="337" spans="1:18" ht="15.75" thickBot="1" x14ac:dyDescent="0.3">
      <c r="A337" s="424" t="s">
        <v>1910</v>
      </c>
      <c r="B337" s="82" t="s">
        <v>1910</v>
      </c>
      <c r="C337" s="82" t="str">
        <f t="shared" si="19"/>
        <v>X</v>
      </c>
      <c r="D337" s="425" t="s">
        <v>1658</v>
      </c>
      <c r="E337" s="425">
        <v>73</v>
      </c>
      <c r="F337" s="571" t="s">
        <v>586</v>
      </c>
      <c r="G337" s="161"/>
      <c r="H337" s="424" t="str">
        <f t="shared" si="18"/>
        <v/>
      </c>
      <c r="I337" s="332">
        <v>516.85</v>
      </c>
      <c r="J337" s="162"/>
      <c r="K337" s="162"/>
      <c r="L337" s="271">
        <v>2022</v>
      </c>
      <c r="M337" s="227" t="s">
        <v>1890</v>
      </c>
      <c r="N337" s="227" t="s">
        <v>1891</v>
      </c>
      <c r="O337" s="227" t="s">
        <v>6576</v>
      </c>
      <c r="P337" s="227">
        <v>2022</v>
      </c>
      <c r="Q337" s="250" t="s">
        <v>3499</v>
      </c>
      <c r="R337" s="250" t="s">
        <v>3503</v>
      </c>
    </row>
    <row r="338" spans="1:18" ht="15.75" thickBot="1" x14ac:dyDescent="0.3">
      <c r="A338" s="424" t="s">
        <v>1910</v>
      </c>
      <c r="B338" s="82" t="s">
        <v>1910</v>
      </c>
      <c r="C338" s="82" t="str">
        <f t="shared" si="19"/>
        <v>X</v>
      </c>
      <c r="D338" s="424" t="s">
        <v>1658</v>
      </c>
      <c r="E338" s="424">
        <v>73</v>
      </c>
      <c r="F338" s="163"/>
      <c r="G338" s="161"/>
      <c r="H338" s="424" t="str">
        <f t="shared" si="18"/>
        <v/>
      </c>
      <c r="I338" s="273">
        <v>516.85</v>
      </c>
      <c r="J338" s="162"/>
      <c r="K338" s="162"/>
      <c r="L338" s="271">
        <v>2022</v>
      </c>
      <c r="M338" s="227" t="s">
        <v>1890</v>
      </c>
      <c r="N338" s="227" t="s">
        <v>1891</v>
      </c>
      <c r="O338" s="227" t="s">
        <v>6576</v>
      </c>
      <c r="P338" s="227">
        <v>2022</v>
      </c>
      <c r="Q338" s="250" t="s">
        <v>3499</v>
      </c>
      <c r="R338" s="250" t="s">
        <v>3503</v>
      </c>
    </row>
    <row r="339" spans="1:18" ht="15.75" thickBot="1" x14ac:dyDescent="0.3">
      <c r="A339" s="424" t="s">
        <v>1910</v>
      </c>
      <c r="B339" s="82" t="s">
        <v>1910</v>
      </c>
      <c r="C339" s="82" t="str">
        <f t="shared" si="19"/>
        <v>X</v>
      </c>
      <c r="D339" s="425" t="s">
        <v>3001</v>
      </c>
      <c r="E339" s="425">
        <v>3044</v>
      </c>
      <c r="F339" s="571"/>
      <c r="G339" s="161"/>
      <c r="H339" s="424" t="str">
        <f t="shared" si="18"/>
        <v/>
      </c>
      <c r="I339" s="332">
        <v>174495.45</v>
      </c>
      <c r="J339" s="162"/>
      <c r="K339" s="162"/>
      <c r="L339" s="271">
        <v>2022</v>
      </c>
      <c r="M339" s="227" t="s">
        <v>1890</v>
      </c>
      <c r="N339" s="227" t="s">
        <v>1891</v>
      </c>
      <c r="O339" s="227" t="s">
        <v>6576</v>
      </c>
      <c r="P339" s="227">
        <v>2022</v>
      </c>
      <c r="Q339" s="250" t="s">
        <v>3499</v>
      </c>
      <c r="R339" s="250" t="s">
        <v>3503</v>
      </c>
    </row>
    <row r="340" spans="1:18" ht="15.75" thickBot="1" x14ac:dyDescent="0.3">
      <c r="A340" s="424" t="s">
        <v>1910</v>
      </c>
      <c r="B340" s="82" t="s">
        <v>1910</v>
      </c>
      <c r="C340" s="82" t="str">
        <f t="shared" si="19"/>
        <v>X</v>
      </c>
      <c r="D340" s="424" t="s">
        <v>3021</v>
      </c>
      <c r="E340" s="424">
        <v>20264.900000000001</v>
      </c>
      <c r="F340" s="571"/>
      <c r="G340" s="161"/>
      <c r="H340" s="424" t="str">
        <f t="shared" si="18"/>
        <v/>
      </c>
      <c r="I340" s="273">
        <v>85635.94</v>
      </c>
      <c r="J340" s="162"/>
      <c r="K340" s="162"/>
      <c r="L340" s="271">
        <v>2022</v>
      </c>
      <c r="M340" s="227" t="s">
        <v>1890</v>
      </c>
      <c r="N340" s="227" t="s">
        <v>1891</v>
      </c>
      <c r="O340" s="227" t="s">
        <v>6576</v>
      </c>
      <c r="P340" s="227">
        <v>2022</v>
      </c>
      <c r="Q340" s="250" t="s">
        <v>3499</v>
      </c>
      <c r="R340" s="250" t="s">
        <v>3503</v>
      </c>
    </row>
    <row r="341" spans="1:18" ht="15.75" thickBot="1" x14ac:dyDescent="0.3">
      <c r="A341" s="424" t="s">
        <v>1910</v>
      </c>
      <c r="B341" s="82" t="s">
        <v>1910</v>
      </c>
      <c r="C341" s="82" t="str">
        <f t="shared" si="19"/>
        <v>X</v>
      </c>
      <c r="D341" s="162" t="s">
        <v>1659</v>
      </c>
      <c r="E341" s="424" t="str">
        <f>IFERROR(LEFT(C341,FIND(" ",C341)-1),"")</f>
        <v/>
      </c>
      <c r="F341" s="571"/>
      <c r="G341" s="161"/>
      <c r="H341" s="424" t="str">
        <f t="shared" si="18"/>
        <v/>
      </c>
      <c r="I341" s="332">
        <v>60275.759999999995</v>
      </c>
      <c r="J341" s="425"/>
      <c r="K341" s="162" t="s">
        <v>2997</v>
      </c>
      <c r="L341" s="271">
        <v>2022</v>
      </c>
      <c r="M341" s="227" t="s">
        <v>1890</v>
      </c>
      <c r="N341" s="227" t="s">
        <v>1891</v>
      </c>
      <c r="O341" s="227" t="s">
        <v>6576</v>
      </c>
      <c r="P341" s="227">
        <v>2022</v>
      </c>
      <c r="Q341" s="250" t="s">
        <v>3499</v>
      </c>
      <c r="R341" s="250" t="s">
        <v>3503</v>
      </c>
    </row>
    <row r="342" spans="1:18" ht="15.75" thickBot="1" x14ac:dyDescent="0.3">
      <c r="A342" s="424" t="s">
        <v>1910</v>
      </c>
      <c r="B342" s="424" t="s">
        <v>1910</v>
      </c>
      <c r="C342" s="82" t="str">
        <f t="shared" si="19"/>
        <v>X</v>
      </c>
      <c r="D342" s="162" t="s">
        <v>1659</v>
      </c>
      <c r="E342" s="424" t="str">
        <f>IFERROR(LEFT(C342,FIND(" ",C342)-1),"")</f>
        <v/>
      </c>
      <c r="F342" s="571"/>
      <c r="G342" s="161"/>
      <c r="H342" s="424" t="str">
        <f t="shared" si="18"/>
        <v/>
      </c>
      <c r="I342" s="332">
        <v>9048.44</v>
      </c>
      <c r="J342" s="425"/>
      <c r="K342" s="162" t="s">
        <v>2998</v>
      </c>
      <c r="L342" s="271">
        <v>2022</v>
      </c>
      <c r="M342" s="227" t="s">
        <v>1890</v>
      </c>
      <c r="N342" s="227" t="s">
        <v>1891</v>
      </c>
      <c r="O342" s="227" t="s">
        <v>6576</v>
      </c>
      <c r="P342" s="227">
        <v>2022</v>
      </c>
      <c r="Q342" s="250" t="s">
        <v>3499</v>
      </c>
      <c r="R342" s="250" t="s">
        <v>3503</v>
      </c>
    </row>
    <row r="343" spans="1:18" ht="15.75" thickBot="1" x14ac:dyDescent="0.3">
      <c r="A343" s="424" t="s">
        <v>1910</v>
      </c>
      <c r="B343" s="424" t="s">
        <v>1910</v>
      </c>
      <c r="C343" s="82" t="str">
        <f t="shared" si="19"/>
        <v>X</v>
      </c>
      <c r="D343" s="162" t="s">
        <v>1659</v>
      </c>
      <c r="E343" s="424" t="str">
        <f>IFERROR(LEFT(C343,FIND(" ",C343)-1),"")</f>
        <v/>
      </c>
      <c r="F343" s="571"/>
      <c r="G343" s="161"/>
      <c r="H343" s="424" t="str">
        <f t="shared" si="18"/>
        <v/>
      </c>
      <c r="I343" s="332">
        <v>32156.379999999997</v>
      </c>
      <c r="J343" s="425"/>
      <c r="K343" s="162" t="s">
        <v>2999</v>
      </c>
      <c r="L343" s="271">
        <v>2022</v>
      </c>
      <c r="M343" s="227" t="s">
        <v>1890</v>
      </c>
      <c r="N343" s="227" t="s">
        <v>1891</v>
      </c>
      <c r="O343" s="227" t="s">
        <v>6576</v>
      </c>
      <c r="P343" s="227">
        <v>2022</v>
      </c>
      <c r="Q343" s="250" t="s">
        <v>3499</v>
      </c>
      <c r="R343" s="250" t="s">
        <v>3503</v>
      </c>
    </row>
    <row r="344" spans="1:18" ht="15.75" thickBot="1" x14ac:dyDescent="0.3">
      <c r="A344" s="424" t="s">
        <v>1910</v>
      </c>
      <c r="B344" s="82" t="s">
        <v>1910</v>
      </c>
      <c r="C344" s="82" t="str">
        <f t="shared" si="19"/>
        <v>X</v>
      </c>
      <c r="D344" s="162" t="s">
        <v>1659</v>
      </c>
      <c r="E344" s="424" t="str">
        <f>IFERROR(LEFT(C344,FIND(" ",C344)-1),"")</f>
        <v/>
      </c>
      <c r="F344" s="571"/>
      <c r="G344" s="161"/>
      <c r="H344" s="424" t="str">
        <f t="shared" si="18"/>
        <v/>
      </c>
      <c r="I344" s="332">
        <v>69789.539999999994</v>
      </c>
      <c r="J344" s="425"/>
      <c r="K344" s="162" t="s">
        <v>3000</v>
      </c>
      <c r="L344" s="271">
        <v>2022</v>
      </c>
      <c r="M344" s="227" t="s">
        <v>1890</v>
      </c>
      <c r="N344" s="227" t="s">
        <v>1891</v>
      </c>
      <c r="O344" s="227" t="s">
        <v>6576</v>
      </c>
      <c r="P344" s="227">
        <v>2022</v>
      </c>
      <c r="Q344" s="250" t="s">
        <v>3499</v>
      </c>
      <c r="R344" s="250" t="s">
        <v>3503</v>
      </c>
    </row>
    <row r="345" spans="1:18" ht="15.75" thickBot="1" x14ac:dyDescent="0.3">
      <c r="A345" s="424" t="s">
        <v>1910</v>
      </c>
      <c r="B345" s="424" t="s">
        <v>1910</v>
      </c>
      <c r="C345" s="82" t="str">
        <f t="shared" si="19"/>
        <v>X</v>
      </c>
      <c r="D345" s="162" t="s">
        <v>1659</v>
      </c>
      <c r="E345" s="424">
        <v>108</v>
      </c>
      <c r="F345" s="571"/>
      <c r="G345" s="161"/>
      <c r="H345" s="424" t="str">
        <f t="shared" si="18"/>
        <v/>
      </c>
      <c r="I345" s="273">
        <v>9970.11</v>
      </c>
      <c r="J345" s="162"/>
      <c r="K345" s="162"/>
      <c r="L345" s="271">
        <v>2022</v>
      </c>
      <c r="M345" s="227" t="s">
        <v>1890</v>
      </c>
      <c r="N345" s="227" t="s">
        <v>1891</v>
      </c>
      <c r="O345" s="227" t="s">
        <v>6576</v>
      </c>
      <c r="P345" s="227">
        <v>2022</v>
      </c>
      <c r="Q345" s="250" t="s">
        <v>3499</v>
      </c>
      <c r="R345" s="250" t="s">
        <v>3503</v>
      </c>
    </row>
    <row r="346" spans="1:18" ht="15.75" thickBot="1" x14ac:dyDescent="0.3">
      <c r="A346" s="424" t="s">
        <v>1910</v>
      </c>
      <c r="B346" s="82" t="s">
        <v>1910</v>
      </c>
      <c r="C346" s="82" t="str">
        <f t="shared" si="19"/>
        <v>X</v>
      </c>
      <c r="D346" s="424" t="s">
        <v>1659</v>
      </c>
      <c r="E346" s="424">
        <v>26313</v>
      </c>
      <c r="F346" s="571"/>
      <c r="G346" s="161"/>
      <c r="H346" s="424" t="str">
        <f t="shared" si="18"/>
        <v/>
      </c>
      <c r="I346" s="273">
        <v>1652.41</v>
      </c>
      <c r="J346" s="162"/>
      <c r="K346" s="162"/>
      <c r="L346" s="271">
        <v>2022</v>
      </c>
      <c r="M346" s="227" t="s">
        <v>1890</v>
      </c>
      <c r="N346" s="227" t="s">
        <v>1891</v>
      </c>
      <c r="O346" s="227" t="s">
        <v>6576</v>
      </c>
      <c r="P346" s="227">
        <v>2022</v>
      </c>
      <c r="Q346" s="250" t="s">
        <v>3499</v>
      </c>
      <c r="R346" s="250" t="s">
        <v>3503</v>
      </c>
    </row>
    <row r="347" spans="1:18" ht="15.75" thickBot="1" x14ac:dyDescent="0.3">
      <c r="A347" s="424" t="s">
        <v>1910</v>
      </c>
      <c r="B347" s="82" t="s">
        <v>1910</v>
      </c>
      <c r="C347" s="82" t="str">
        <f t="shared" si="19"/>
        <v>X</v>
      </c>
      <c r="D347" s="424" t="s">
        <v>1659</v>
      </c>
      <c r="E347" s="424">
        <v>937.3</v>
      </c>
      <c r="F347" s="571"/>
      <c r="G347" s="161"/>
      <c r="H347" s="424" t="str">
        <f t="shared" si="18"/>
        <v/>
      </c>
      <c r="I347" s="273">
        <v>14007.96</v>
      </c>
      <c r="J347" s="162"/>
      <c r="K347" s="162"/>
      <c r="L347" s="271">
        <v>2022</v>
      </c>
      <c r="M347" s="227" t="s">
        <v>1890</v>
      </c>
      <c r="N347" s="227" t="s">
        <v>1891</v>
      </c>
      <c r="O347" s="227" t="s">
        <v>6576</v>
      </c>
      <c r="P347" s="227">
        <v>2022</v>
      </c>
      <c r="Q347" s="250" t="s">
        <v>3499</v>
      </c>
      <c r="R347" s="250" t="s">
        <v>3503</v>
      </c>
    </row>
    <row r="348" spans="1:18" ht="15.75" thickBot="1" x14ac:dyDescent="0.3">
      <c r="A348" s="424" t="s">
        <v>1910</v>
      </c>
      <c r="B348" s="82" t="s">
        <v>1910</v>
      </c>
      <c r="C348" s="82" t="str">
        <f t="shared" si="19"/>
        <v>X</v>
      </c>
      <c r="D348" s="424" t="s">
        <v>1659</v>
      </c>
      <c r="E348" s="424">
        <v>2940</v>
      </c>
      <c r="F348" s="571"/>
      <c r="G348" s="161"/>
      <c r="H348" s="424" t="str">
        <f t="shared" si="18"/>
        <v/>
      </c>
      <c r="I348" s="273">
        <v>3086.99</v>
      </c>
      <c r="J348" s="162"/>
      <c r="K348" s="162"/>
      <c r="L348" s="271">
        <v>2022</v>
      </c>
      <c r="M348" s="227" t="s">
        <v>1890</v>
      </c>
      <c r="N348" s="227" t="s">
        <v>1891</v>
      </c>
      <c r="O348" s="227" t="s">
        <v>6576</v>
      </c>
      <c r="P348" s="227">
        <v>2022</v>
      </c>
      <c r="Q348" s="250" t="s">
        <v>3499</v>
      </c>
      <c r="R348" s="250" t="s">
        <v>3503</v>
      </c>
    </row>
    <row r="349" spans="1:18" ht="15.75" thickBot="1" x14ac:dyDescent="0.3">
      <c r="A349" s="424" t="s">
        <v>1910</v>
      </c>
      <c r="B349" s="82" t="s">
        <v>1910</v>
      </c>
      <c r="C349" s="82" t="str">
        <f t="shared" si="19"/>
        <v>X</v>
      </c>
      <c r="D349" s="83" t="s">
        <v>2983</v>
      </c>
      <c r="E349" s="425">
        <v>394</v>
      </c>
      <c r="F349" s="571" t="s">
        <v>586</v>
      </c>
      <c r="G349" s="161"/>
      <c r="H349" s="424" t="str">
        <f t="shared" si="18"/>
        <v/>
      </c>
      <c r="I349" s="332">
        <v>4028.12</v>
      </c>
      <c r="J349" s="162"/>
      <c r="K349" s="162"/>
      <c r="L349" s="271">
        <v>2022</v>
      </c>
      <c r="M349" s="227" t="s">
        <v>1890</v>
      </c>
      <c r="N349" s="227" t="s">
        <v>1891</v>
      </c>
      <c r="O349" s="227" t="s">
        <v>6576</v>
      </c>
      <c r="P349" s="227">
        <v>2022</v>
      </c>
      <c r="Q349" s="250" t="s">
        <v>3499</v>
      </c>
      <c r="R349" s="250" t="s">
        <v>3503</v>
      </c>
    </row>
    <row r="350" spans="1:18" ht="15.75" thickBot="1" x14ac:dyDescent="0.3">
      <c r="A350" s="424" t="s">
        <v>1910</v>
      </c>
      <c r="B350" s="82" t="s">
        <v>1910</v>
      </c>
      <c r="C350" s="82" t="str">
        <f t="shared" si="19"/>
        <v>X</v>
      </c>
      <c r="D350" s="83" t="s">
        <v>1681</v>
      </c>
      <c r="E350" s="425">
        <v>14156</v>
      </c>
      <c r="F350" s="571" t="s">
        <v>586</v>
      </c>
      <c r="G350" s="161"/>
      <c r="H350" s="424" t="str">
        <f t="shared" si="18"/>
        <v/>
      </c>
      <c r="I350" s="332">
        <v>297127.13</v>
      </c>
      <c r="J350" s="162"/>
      <c r="K350" s="162"/>
      <c r="L350" s="271">
        <v>2022</v>
      </c>
      <c r="M350" s="227" t="s">
        <v>1890</v>
      </c>
      <c r="N350" s="227" t="s">
        <v>1891</v>
      </c>
      <c r="O350" s="227" t="s">
        <v>6576</v>
      </c>
      <c r="P350" s="227">
        <v>2022</v>
      </c>
      <c r="Q350" s="250" t="s">
        <v>3499</v>
      </c>
      <c r="R350" s="250" t="s">
        <v>3503</v>
      </c>
    </row>
    <row r="351" spans="1:18" ht="15.75" thickBot="1" x14ac:dyDescent="0.3">
      <c r="A351" s="424" t="s">
        <v>1910</v>
      </c>
      <c r="B351" s="82" t="s">
        <v>1910</v>
      </c>
      <c r="C351" s="82" t="str">
        <f t="shared" si="19"/>
        <v>X</v>
      </c>
      <c r="D351" s="83" t="s">
        <v>1681</v>
      </c>
      <c r="E351" s="424">
        <v>13245</v>
      </c>
      <c r="F351" s="571"/>
      <c r="G351" s="161"/>
      <c r="H351" s="424" t="str">
        <f t="shared" si="18"/>
        <v/>
      </c>
      <c r="I351" s="273">
        <v>175370.59</v>
      </c>
      <c r="J351" s="162"/>
      <c r="K351" s="424" t="s">
        <v>3023</v>
      </c>
      <c r="L351" s="271">
        <v>2022</v>
      </c>
      <c r="M351" s="227" t="s">
        <v>1890</v>
      </c>
      <c r="N351" s="227" t="s">
        <v>1891</v>
      </c>
      <c r="O351" s="227" t="s">
        <v>6576</v>
      </c>
      <c r="P351" s="227">
        <v>2022</v>
      </c>
      <c r="Q351" s="250" t="s">
        <v>3499</v>
      </c>
      <c r="R351" s="250" t="s">
        <v>3503</v>
      </c>
    </row>
    <row r="352" spans="1:18" ht="15.75" thickBot="1" x14ac:dyDescent="0.3">
      <c r="A352" s="424" t="s">
        <v>1910</v>
      </c>
      <c r="B352" s="82" t="s">
        <v>1910</v>
      </c>
      <c r="C352" s="82" t="str">
        <f t="shared" si="19"/>
        <v>X</v>
      </c>
      <c r="D352" s="83" t="s">
        <v>1681</v>
      </c>
      <c r="E352" s="424">
        <v>675</v>
      </c>
      <c r="F352" s="571"/>
      <c r="G352" s="161"/>
      <c r="H352" s="424" t="str">
        <f t="shared" si="18"/>
        <v/>
      </c>
      <c r="I352" s="273">
        <v>81005.820000000007</v>
      </c>
      <c r="J352" s="162"/>
      <c r="K352" s="424" t="s">
        <v>3024</v>
      </c>
      <c r="L352" s="271">
        <v>2022</v>
      </c>
      <c r="M352" s="227" t="s">
        <v>1890</v>
      </c>
      <c r="N352" s="227" t="s">
        <v>1891</v>
      </c>
      <c r="O352" s="227" t="s">
        <v>6576</v>
      </c>
      <c r="P352" s="227">
        <v>2022</v>
      </c>
      <c r="Q352" s="250" t="s">
        <v>3499</v>
      </c>
      <c r="R352" s="250" t="s">
        <v>3503</v>
      </c>
    </row>
    <row r="353" spans="1:18" ht="15.75" thickBot="1" x14ac:dyDescent="0.3">
      <c r="A353" s="424" t="s">
        <v>1910</v>
      </c>
      <c r="B353" s="82" t="s">
        <v>1910</v>
      </c>
      <c r="C353" s="82" t="str">
        <f t="shared" si="19"/>
        <v>X</v>
      </c>
      <c r="D353" s="424" t="s">
        <v>3013</v>
      </c>
      <c r="E353" s="424">
        <v>6678.5</v>
      </c>
      <c r="F353" s="571"/>
      <c r="G353" s="161"/>
      <c r="H353" s="424" t="str">
        <f t="shared" si="18"/>
        <v/>
      </c>
      <c r="I353" s="273">
        <v>36336.449999999997</v>
      </c>
      <c r="J353" s="162"/>
      <c r="K353" s="162"/>
      <c r="L353" s="271">
        <v>2022</v>
      </c>
      <c r="M353" s="227" t="s">
        <v>1890</v>
      </c>
      <c r="N353" s="227" t="s">
        <v>1891</v>
      </c>
      <c r="O353" s="227" t="s">
        <v>6576</v>
      </c>
      <c r="P353" s="227">
        <v>2022</v>
      </c>
      <c r="Q353" s="250" t="s">
        <v>3499</v>
      </c>
      <c r="R353" s="250" t="s">
        <v>3503</v>
      </c>
    </row>
    <row r="354" spans="1:18" ht="15.75" thickBot="1" x14ac:dyDescent="0.3">
      <c r="A354" s="424" t="s">
        <v>1910</v>
      </c>
      <c r="B354" s="424" t="s">
        <v>1910</v>
      </c>
      <c r="C354" s="82" t="str">
        <f t="shared" si="19"/>
        <v>X</v>
      </c>
      <c r="D354" s="424" t="s">
        <v>3007</v>
      </c>
      <c r="E354" s="424">
        <v>711</v>
      </c>
      <c r="F354" s="571"/>
      <c r="G354" s="161"/>
      <c r="H354" s="424" t="str">
        <f t="shared" si="18"/>
        <v/>
      </c>
      <c r="I354" s="273">
        <v>58890.04</v>
      </c>
      <c r="J354" s="162"/>
      <c r="K354" s="162"/>
      <c r="L354" s="271">
        <v>2022</v>
      </c>
      <c r="M354" s="227" t="s">
        <v>1890</v>
      </c>
      <c r="N354" s="227" t="s">
        <v>1891</v>
      </c>
      <c r="O354" s="227" t="s">
        <v>6576</v>
      </c>
      <c r="P354" s="227">
        <v>2022</v>
      </c>
      <c r="Q354" s="250" t="s">
        <v>3499</v>
      </c>
      <c r="R354" s="250" t="s">
        <v>3503</v>
      </c>
    </row>
    <row r="355" spans="1:18" ht="15.75" thickBot="1" x14ac:dyDescent="0.3">
      <c r="A355" s="424" t="s">
        <v>1910</v>
      </c>
      <c r="B355" s="82" t="s">
        <v>1910</v>
      </c>
      <c r="C355" s="82" t="str">
        <f t="shared" si="19"/>
        <v>X</v>
      </c>
      <c r="D355" s="424" t="s">
        <v>3004</v>
      </c>
      <c r="E355" s="424">
        <v>1184</v>
      </c>
      <c r="F355" s="571"/>
      <c r="G355" s="161"/>
      <c r="H355" s="424" t="str">
        <f t="shared" si="18"/>
        <v/>
      </c>
      <c r="I355" s="273">
        <v>71035.039999999994</v>
      </c>
      <c r="J355" s="162"/>
      <c r="K355" s="162"/>
      <c r="L355" s="271">
        <v>2022</v>
      </c>
      <c r="M355" s="227" t="s">
        <v>1890</v>
      </c>
      <c r="N355" s="227" t="s">
        <v>1891</v>
      </c>
      <c r="O355" s="227" t="s">
        <v>6576</v>
      </c>
      <c r="P355" s="227">
        <v>2022</v>
      </c>
      <c r="Q355" s="250" t="s">
        <v>3499</v>
      </c>
      <c r="R355" s="250" t="s">
        <v>3503</v>
      </c>
    </row>
    <row r="356" spans="1:18" ht="15.75" thickBot="1" x14ac:dyDescent="0.3">
      <c r="A356" s="424" t="s">
        <v>1910</v>
      </c>
      <c r="B356" s="82" t="s">
        <v>1910</v>
      </c>
      <c r="C356" s="82" t="str">
        <f t="shared" si="19"/>
        <v>X</v>
      </c>
      <c r="D356" s="424" t="s">
        <v>3011</v>
      </c>
      <c r="E356" s="424">
        <v>328</v>
      </c>
      <c r="F356" s="571"/>
      <c r="G356" s="161"/>
      <c r="H356" s="424" t="str">
        <f t="shared" si="18"/>
        <v/>
      </c>
      <c r="I356" s="273">
        <v>639.29999999999995</v>
      </c>
      <c r="J356" s="162"/>
      <c r="K356" s="162"/>
      <c r="L356" s="271">
        <v>2022</v>
      </c>
      <c r="M356" s="227" t="s">
        <v>1890</v>
      </c>
      <c r="N356" s="227" t="s">
        <v>1891</v>
      </c>
      <c r="O356" s="227" t="s">
        <v>6576</v>
      </c>
      <c r="P356" s="227">
        <v>2022</v>
      </c>
      <c r="Q356" s="250" t="s">
        <v>3499</v>
      </c>
      <c r="R356" s="250" t="s">
        <v>3503</v>
      </c>
    </row>
    <row r="357" spans="1:18" ht="15.75" thickBot="1" x14ac:dyDescent="0.3">
      <c r="A357" s="424" t="s">
        <v>1910</v>
      </c>
      <c r="B357" s="82" t="s">
        <v>1910</v>
      </c>
      <c r="C357" s="82" t="str">
        <f t="shared" si="19"/>
        <v>X</v>
      </c>
      <c r="D357" s="425" t="s">
        <v>3003</v>
      </c>
      <c r="E357" s="425">
        <v>251</v>
      </c>
      <c r="F357" s="571"/>
      <c r="G357" s="161"/>
      <c r="H357" s="424" t="str">
        <f t="shared" si="18"/>
        <v/>
      </c>
      <c r="I357" s="332">
        <v>14778.32</v>
      </c>
      <c r="J357" s="162"/>
      <c r="K357" s="162"/>
      <c r="L357" s="271">
        <v>2022</v>
      </c>
      <c r="M357" s="227" t="s">
        <v>1890</v>
      </c>
      <c r="N357" s="227" t="s">
        <v>1891</v>
      </c>
      <c r="O357" s="227" t="s">
        <v>6576</v>
      </c>
      <c r="P357" s="227">
        <v>2022</v>
      </c>
      <c r="Q357" s="250" t="s">
        <v>3499</v>
      </c>
      <c r="R357" s="250" t="s">
        <v>3503</v>
      </c>
    </row>
    <row r="358" spans="1:18" ht="15.75" thickBot="1" x14ac:dyDescent="0.3">
      <c r="A358" s="424" t="s">
        <v>1910</v>
      </c>
      <c r="B358" s="424" t="s">
        <v>1910</v>
      </c>
      <c r="C358" s="82" t="str">
        <f t="shared" si="19"/>
        <v>X</v>
      </c>
      <c r="D358" s="425" t="s">
        <v>1655</v>
      </c>
      <c r="E358" s="425">
        <v>178</v>
      </c>
      <c r="F358" s="571" t="s">
        <v>586</v>
      </c>
      <c r="G358" s="161"/>
      <c r="H358" s="424" t="str">
        <f t="shared" si="18"/>
        <v/>
      </c>
      <c r="I358" s="332">
        <v>37006.19</v>
      </c>
      <c r="J358" s="162"/>
      <c r="K358" s="162"/>
      <c r="L358" s="271">
        <v>2022</v>
      </c>
      <c r="M358" s="227" t="s">
        <v>1890</v>
      </c>
      <c r="N358" s="227" t="s">
        <v>1891</v>
      </c>
      <c r="O358" s="227" t="s">
        <v>6576</v>
      </c>
      <c r="P358" s="227">
        <v>2022</v>
      </c>
      <c r="Q358" s="250" t="s">
        <v>3499</v>
      </c>
      <c r="R358" s="250" t="s">
        <v>3503</v>
      </c>
    </row>
    <row r="359" spans="1:18" ht="15.75" thickBot="1" x14ac:dyDescent="0.3">
      <c r="A359" s="424" t="s">
        <v>1910</v>
      </c>
      <c r="B359" s="82" t="s">
        <v>1910</v>
      </c>
      <c r="C359" s="82" t="str">
        <f t="shared" si="19"/>
        <v>X</v>
      </c>
      <c r="D359" s="424" t="s">
        <v>1655</v>
      </c>
      <c r="E359" s="424">
        <v>178</v>
      </c>
      <c r="F359" s="571"/>
      <c r="G359" s="161"/>
      <c r="H359" s="424" t="str">
        <f t="shared" si="18"/>
        <v/>
      </c>
      <c r="I359" s="273">
        <v>37006.19</v>
      </c>
      <c r="J359" s="162"/>
      <c r="K359" s="162"/>
      <c r="L359" s="271">
        <v>2022</v>
      </c>
      <c r="M359" s="227" t="s">
        <v>1890</v>
      </c>
      <c r="N359" s="227" t="s">
        <v>1891</v>
      </c>
      <c r="O359" s="227" t="s">
        <v>6576</v>
      </c>
      <c r="P359" s="227">
        <v>2022</v>
      </c>
      <c r="Q359" s="250" t="s">
        <v>3499</v>
      </c>
      <c r="R359" s="250" t="s">
        <v>3503</v>
      </c>
    </row>
    <row r="360" spans="1:18" ht="15.75" thickBot="1" x14ac:dyDescent="0.3">
      <c r="A360" s="564" t="s">
        <v>1916</v>
      </c>
      <c r="B360" s="564" t="s">
        <v>1916</v>
      </c>
      <c r="C360" s="82" t="str">
        <f t="shared" si="19"/>
        <v>X</v>
      </c>
      <c r="D360" s="425" t="s">
        <v>2982</v>
      </c>
      <c r="E360" s="458"/>
      <c r="F360" s="458"/>
      <c r="G360" s="562"/>
      <c r="H360" s="529" t="str">
        <f t="shared" si="18"/>
        <v/>
      </c>
      <c r="I360" s="332">
        <v>547469</v>
      </c>
      <c r="J360" s="555"/>
      <c r="K360" s="555"/>
      <c r="L360" s="271">
        <v>2022</v>
      </c>
      <c r="M360" s="227" t="s">
        <v>1890</v>
      </c>
      <c r="N360" s="227" t="s">
        <v>1891</v>
      </c>
      <c r="O360" s="227" t="s">
        <v>6576</v>
      </c>
      <c r="P360" s="227">
        <v>2022</v>
      </c>
      <c r="Q360" s="250" t="s">
        <v>3499</v>
      </c>
      <c r="R360" s="250" t="s">
        <v>3503</v>
      </c>
    </row>
    <row r="361" spans="1:18" ht="15.75" thickBot="1" x14ac:dyDescent="0.3">
      <c r="A361" s="564" t="s">
        <v>1916</v>
      </c>
      <c r="B361" s="564" t="s">
        <v>1916</v>
      </c>
      <c r="C361" s="82" t="str">
        <f t="shared" si="19"/>
        <v>X</v>
      </c>
      <c r="D361" s="425" t="s">
        <v>2982</v>
      </c>
      <c r="E361" s="458"/>
      <c r="F361" s="458"/>
      <c r="G361" s="562"/>
      <c r="H361" s="529" t="str">
        <f t="shared" si="18"/>
        <v/>
      </c>
      <c r="I361" s="332">
        <v>138266</v>
      </c>
      <c r="J361" s="555"/>
      <c r="K361" s="555"/>
      <c r="L361" s="271">
        <v>2022</v>
      </c>
      <c r="M361" s="227" t="s">
        <v>1890</v>
      </c>
      <c r="N361" s="227" t="s">
        <v>1891</v>
      </c>
      <c r="O361" s="227" t="s">
        <v>6576</v>
      </c>
      <c r="P361" s="227">
        <v>2022</v>
      </c>
      <c r="Q361" s="250" t="s">
        <v>3499</v>
      </c>
      <c r="R361" s="250" t="s">
        <v>3503</v>
      </c>
    </row>
    <row r="362" spans="1:18" ht="15.75" thickBot="1" x14ac:dyDescent="0.3">
      <c r="A362" s="564" t="s">
        <v>1916</v>
      </c>
      <c r="B362" s="564" t="s">
        <v>1916</v>
      </c>
      <c r="C362" s="82" t="str">
        <f t="shared" si="19"/>
        <v>X</v>
      </c>
      <c r="D362" s="425" t="s">
        <v>1661</v>
      </c>
      <c r="E362" s="425"/>
      <c r="F362" s="429"/>
      <c r="G362" s="161"/>
      <c r="H362" s="529" t="str">
        <f t="shared" si="18"/>
        <v/>
      </c>
      <c r="I362" s="332">
        <v>494021</v>
      </c>
      <c r="J362" s="555"/>
      <c r="K362" s="555"/>
      <c r="L362" s="271">
        <v>2022</v>
      </c>
      <c r="M362" s="227" t="s">
        <v>1890</v>
      </c>
      <c r="N362" s="227" t="s">
        <v>1891</v>
      </c>
      <c r="O362" s="227" t="s">
        <v>6576</v>
      </c>
      <c r="P362" s="227">
        <v>2022</v>
      </c>
      <c r="Q362" s="250" t="s">
        <v>3499</v>
      </c>
      <c r="R362" s="250" t="s">
        <v>3503</v>
      </c>
    </row>
    <row r="363" spans="1:18" ht="15.75" thickBot="1" x14ac:dyDescent="0.3">
      <c r="A363" s="583" t="s">
        <v>2868</v>
      </c>
      <c r="B363" s="583" t="s">
        <v>2868</v>
      </c>
      <c r="C363" s="82" t="str">
        <f t="shared" si="19"/>
        <v>X</v>
      </c>
      <c r="D363" s="425" t="s">
        <v>1675</v>
      </c>
      <c r="E363" s="425"/>
      <c r="F363" s="429"/>
      <c r="G363" s="161"/>
      <c r="H363" s="529" t="str">
        <f t="shared" si="18"/>
        <v/>
      </c>
      <c r="I363" s="273">
        <v>13054.33</v>
      </c>
      <c r="J363" s="555"/>
      <c r="K363" s="555"/>
      <c r="L363" s="271">
        <v>2022</v>
      </c>
      <c r="M363" s="227" t="s">
        <v>1890</v>
      </c>
      <c r="N363" s="227" t="s">
        <v>1891</v>
      </c>
      <c r="O363" s="227" t="s">
        <v>6576</v>
      </c>
      <c r="P363" s="227">
        <v>2022</v>
      </c>
      <c r="Q363" s="250" t="s">
        <v>3499</v>
      </c>
      <c r="R363" s="250" t="s">
        <v>3503</v>
      </c>
    </row>
    <row r="364" spans="1:18" ht="15.75" thickBot="1" x14ac:dyDescent="0.3">
      <c r="A364" s="583" t="s">
        <v>2868</v>
      </c>
      <c r="B364" s="583" t="s">
        <v>2868</v>
      </c>
      <c r="C364" s="82" t="str">
        <f t="shared" si="19"/>
        <v>X</v>
      </c>
      <c r="D364" s="425" t="s">
        <v>1653</v>
      </c>
      <c r="E364" s="458">
        <v>392</v>
      </c>
      <c r="F364" s="570" t="s">
        <v>586</v>
      </c>
      <c r="G364" s="562"/>
      <c r="H364" s="529" t="str">
        <f t="shared" si="18"/>
        <v/>
      </c>
      <c r="I364" s="273">
        <v>65474.81</v>
      </c>
      <c r="J364" s="555"/>
      <c r="K364" s="555"/>
      <c r="L364" s="271">
        <v>2022</v>
      </c>
      <c r="M364" s="227" t="s">
        <v>1890</v>
      </c>
      <c r="N364" s="227" t="s">
        <v>1891</v>
      </c>
      <c r="O364" s="227" t="s">
        <v>6576</v>
      </c>
      <c r="P364" s="227">
        <v>2022</v>
      </c>
      <c r="Q364" s="250" t="s">
        <v>3499</v>
      </c>
      <c r="R364" s="250" t="s">
        <v>3503</v>
      </c>
    </row>
    <row r="365" spans="1:18" ht="15.75" thickBot="1" x14ac:dyDescent="0.3">
      <c r="A365" s="583" t="s">
        <v>2868</v>
      </c>
      <c r="B365" s="583" t="s">
        <v>2868</v>
      </c>
      <c r="C365" s="82" t="str">
        <f t="shared" si="19"/>
        <v>X</v>
      </c>
      <c r="D365" s="162" t="s">
        <v>1654</v>
      </c>
      <c r="E365" s="458"/>
      <c r="F365" s="458"/>
      <c r="G365" s="562"/>
      <c r="H365" s="529" t="str">
        <f t="shared" si="18"/>
        <v/>
      </c>
      <c r="I365" s="273">
        <v>1554.0300000000002</v>
      </c>
      <c r="J365" s="555"/>
      <c r="K365" s="555"/>
      <c r="L365" s="271">
        <v>2022</v>
      </c>
      <c r="M365" s="227" t="s">
        <v>1890</v>
      </c>
      <c r="N365" s="227" t="s">
        <v>1891</v>
      </c>
      <c r="O365" s="227" t="s">
        <v>6576</v>
      </c>
      <c r="P365" s="227">
        <v>2022</v>
      </c>
      <c r="Q365" s="250" t="s">
        <v>3499</v>
      </c>
      <c r="R365" s="250" t="s">
        <v>3503</v>
      </c>
    </row>
    <row r="366" spans="1:18" ht="15.75" thickBot="1" x14ac:dyDescent="0.3">
      <c r="A366" s="583" t="s">
        <v>2868</v>
      </c>
      <c r="B366" s="583" t="s">
        <v>2868</v>
      </c>
      <c r="C366" s="82" t="str">
        <f t="shared" si="19"/>
        <v>X</v>
      </c>
      <c r="D366" s="425" t="s">
        <v>2982</v>
      </c>
      <c r="E366" s="458"/>
      <c r="F366" s="458"/>
      <c r="G366" s="562"/>
      <c r="H366" s="529" t="str">
        <f t="shared" si="18"/>
        <v/>
      </c>
      <c r="I366" s="273">
        <v>3310.3100000000004</v>
      </c>
      <c r="J366" s="555"/>
      <c r="K366" s="555"/>
      <c r="L366" s="271">
        <v>2022</v>
      </c>
      <c r="M366" s="227" t="s">
        <v>1890</v>
      </c>
      <c r="N366" s="227" t="s">
        <v>1891</v>
      </c>
      <c r="O366" s="227" t="s">
        <v>6576</v>
      </c>
      <c r="P366" s="227">
        <v>2022</v>
      </c>
      <c r="Q366" s="250" t="s">
        <v>3499</v>
      </c>
      <c r="R366" s="250" t="s">
        <v>3503</v>
      </c>
    </row>
    <row r="367" spans="1:18" ht="15.75" thickBot="1" x14ac:dyDescent="0.3">
      <c r="A367" s="583" t="s">
        <v>2868</v>
      </c>
      <c r="B367" s="583" t="s">
        <v>2868</v>
      </c>
      <c r="C367" s="82" t="str">
        <f t="shared" si="19"/>
        <v>X</v>
      </c>
      <c r="D367" s="425" t="s">
        <v>2982</v>
      </c>
      <c r="E367" s="458"/>
      <c r="F367" s="458"/>
      <c r="G367" s="562"/>
      <c r="H367" s="529" t="str">
        <f t="shared" si="18"/>
        <v/>
      </c>
      <c r="I367" s="273">
        <v>13726.2</v>
      </c>
      <c r="J367" s="555"/>
      <c r="K367" s="555"/>
      <c r="L367" s="271">
        <v>2022</v>
      </c>
      <c r="M367" s="227" t="s">
        <v>1890</v>
      </c>
      <c r="N367" s="227" t="s">
        <v>1891</v>
      </c>
      <c r="O367" s="227" t="s">
        <v>6576</v>
      </c>
      <c r="P367" s="227">
        <v>2022</v>
      </c>
      <c r="Q367" s="250" t="s">
        <v>3499</v>
      </c>
      <c r="R367" s="250" t="s">
        <v>3503</v>
      </c>
    </row>
    <row r="368" spans="1:18" ht="15.75" thickBot="1" x14ac:dyDescent="0.3">
      <c r="A368" s="583" t="s">
        <v>2868</v>
      </c>
      <c r="B368" s="583" t="s">
        <v>2868</v>
      </c>
      <c r="C368" s="82" t="str">
        <f t="shared" si="19"/>
        <v>X</v>
      </c>
      <c r="D368" s="425" t="s">
        <v>2982</v>
      </c>
      <c r="E368" s="458"/>
      <c r="F368" s="458"/>
      <c r="G368" s="562"/>
      <c r="H368" s="529" t="str">
        <f t="shared" si="18"/>
        <v/>
      </c>
      <c r="I368" s="273">
        <v>9411.1900000000023</v>
      </c>
      <c r="J368" s="555"/>
      <c r="K368" s="555"/>
      <c r="L368" s="271">
        <v>2022</v>
      </c>
      <c r="M368" s="227" t="s">
        <v>1890</v>
      </c>
      <c r="N368" s="227" t="s">
        <v>1891</v>
      </c>
      <c r="O368" s="227" t="s">
        <v>6576</v>
      </c>
      <c r="P368" s="227">
        <v>2022</v>
      </c>
      <c r="Q368" s="250" t="s">
        <v>3499</v>
      </c>
      <c r="R368" s="250" t="s">
        <v>3503</v>
      </c>
    </row>
    <row r="369" spans="1:18" ht="15.75" thickBot="1" x14ac:dyDescent="0.3">
      <c r="A369" s="583" t="s">
        <v>2868</v>
      </c>
      <c r="B369" s="583" t="s">
        <v>2868</v>
      </c>
      <c r="C369" s="82" t="str">
        <f t="shared" si="19"/>
        <v>X</v>
      </c>
      <c r="D369" s="425" t="s">
        <v>2982</v>
      </c>
      <c r="E369" s="458"/>
      <c r="F369" s="458"/>
      <c r="G369" s="562"/>
      <c r="H369" s="529" t="str">
        <f t="shared" si="18"/>
        <v/>
      </c>
      <c r="I369" s="273">
        <v>6458.75</v>
      </c>
      <c r="J369" s="555"/>
      <c r="K369" s="555"/>
      <c r="L369" s="271">
        <v>2022</v>
      </c>
      <c r="M369" s="227" t="s">
        <v>1890</v>
      </c>
      <c r="N369" s="227" t="s">
        <v>1891</v>
      </c>
      <c r="O369" s="227" t="s">
        <v>6576</v>
      </c>
      <c r="P369" s="227">
        <v>2022</v>
      </c>
      <c r="Q369" s="250" t="s">
        <v>3499</v>
      </c>
      <c r="R369" s="250" t="s">
        <v>3503</v>
      </c>
    </row>
    <row r="370" spans="1:18" ht="15.75" thickBot="1" x14ac:dyDescent="0.3">
      <c r="A370" s="583" t="s">
        <v>2868</v>
      </c>
      <c r="B370" s="583" t="s">
        <v>2868</v>
      </c>
      <c r="C370" s="82" t="str">
        <f t="shared" si="19"/>
        <v>X</v>
      </c>
      <c r="D370" s="425" t="s">
        <v>2982</v>
      </c>
      <c r="E370" s="458"/>
      <c r="F370" s="458"/>
      <c r="G370" s="562"/>
      <c r="H370" s="529" t="str">
        <f t="shared" si="18"/>
        <v/>
      </c>
      <c r="I370" s="273">
        <v>56932.89</v>
      </c>
      <c r="J370" s="555"/>
      <c r="K370" s="555"/>
      <c r="L370" s="271">
        <v>2022</v>
      </c>
      <c r="M370" s="227" t="s">
        <v>1890</v>
      </c>
      <c r="N370" s="227" t="s">
        <v>1891</v>
      </c>
      <c r="O370" s="227" t="s">
        <v>6576</v>
      </c>
      <c r="P370" s="227">
        <v>2022</v>
      </c>
      <c r="Q370" s="250" t="s">
        <v>3499</v>
      </c>
      <c r="R370" s="250" t="s">
        <v>3503</v>
      </c>
    </row>
    <row r="371" spans="1:18" ht="15.75" thickBot="1" x14ac:dyDescent="0.3">
      <c r="A371" s="276" t="s">
        <v>2868</v>
      </c>
      <c r="B371" s="276" t="s">
        <v>2868</v>
      </c>
      <c r="C371" s="82" t="str">
        <f t="shared" si="19"/>
        <v>X</v>
      </c>
      <c r="D371" s="83" t="s">
        <v>2982</v>
      </c>
      <c r="E371" s="458"/>
      <c r="F371" s="458"/>
      <c r="G371" s="562"/>
      <c r="H371" s="529" t="str">
        <f t="shared" si="18"/>
        <v/>
      </c>
      <c r="I371" s="273">
        <v>27182.92</v>
      </c>
      <c r="J371" s="555"/>
      <c r="K371" s="555"/>
      <c r="L371" s="271">
        <v>2022</v>
      </c>
      <c r="M371" s="227" t="s">
        <v>1890</v>
      </c>
      <c r="N371" s="227" t="s">
        <v>1891</v>
      </c>
      <c r="O371" s="227" t="s">
        <v>6576</v>
      </c>
      <c r="P371" s="227">
        <v>2022</v>
      </c>
      <c r="Q371" s="250" t="s">
        <v>3499</v>
      </c>
      <c r="R371" s="250" t="s">
        <v>3503</v>
      </c>
    </row>
    <row r="372" spans="1:18" ht="15.75" thickBot="1" x14ac:dyDescent="0.3">
      <c r="A372" s="276" t="s">
        <v>2868</v>
      </c>
      <c r="B372" s="276" t="s">
        <v>2868</v>
      </c>
      <c r="C372" s="82" t="str">
        <f t="shared" si="19"/>
        <v>X</v>
      </c>
      <c r="D372" s="425" t="s">
        <v>2982</v>
      </c>
      <c r="E372" s="458"/>
      <c r="F372" s="458"/>
      <c r="G372" s="562"/>
      <c r="H372" s="529" t="str">
        <f t="shared" si="18"/>
        <v/>
      </c>
      <c r="I372" s="273">
        <v>1679.38</v>
      </c>
      <c r="J372" s="555"/>
      <c r="K372" s="555"/>
      <c r="L372" s="271">
        <v>2022</v>
      </c>
      <c r="M372" s="227" t="s">
        <v>1890</v>
      </c>
      <c r="N372" s="227" t="s">
        <v>1891</v>
      </c>
      <c r="O372" s="227" t="s">
        <v>6576</v>
      </c>
      <c r="P372" s="227">
        <v>2022</v>
      </c>
      <c r="Q372" s="250" t="s">
        <v>3499</v>
      </c>
      <c r="R372" s="250" t="s">
        <v>3503</v>
      </c>
    </row>
    <row r="373" spans="1:18" ht="15.75" thickBot="1" x14ac:dyDescent="0.3">
      <c r="A373" s="276" t="s">
        <v>2868</v>
      </c>
      <c r="B373" s="276" t="s">
        <v>2868</v>
      </c>
      <c r="C373" s="82" t="str">
        <f t="shared" si="19"/>
        <v>X</v>
      </c>
      <c r="D373" s="425" t="s">
        <v>1658</v>
      </c>
      <c r="E373" s="458"/>
      <c r="F373" s="458"/>
      <c r="G373" s="562"/>
      <c r="H373" s="529" t="str">
        <f t="shared" si="18"/>
        <v/>
      </c>
      <c r="I373" s="273">
        <v>2253.11</v>
      </c>
      <c r="J373" s="555"/>
      <c r="K373" s="555"/>
      <c r="L373" s="271">
        <v>2022</v>
      </c>
      <c r="M373" s="227" t="s">
        <v>1890</v>
      </c>
      <c r="N373" s="227" t="s">
        <v>1891</v>
      </c>
      <c r="O373" s="227" t="s">
        <v>6576</v>
      </c>
      <c r="P373" s="227">
        <v>2022</v>
      </c>
      <c r="Q373" s="250" t="s">
        <v>3499</v>
      </c>
      <c r="R373" s="250" t="s">
        <v>3503</v>
      </c>
    </row>
    <row r="374" spans="1:18" ht="15.75" thickBot="1" x14ac:dyDescent="0.3">
      <c r="A374" s="276" t="s">
        <v>2868</v>
      </c>
      <c r="B374" s="276" t="s">
        <v>2868</v>
      </c>
      <c r="C374" s="82" t="str">
        <f t="shared" si="19"/>
        <v>X</v>
      </c>
      <c r="D374" s="425" t="s">
        <v>1658</v>
      </c>
      <c r="E374" s="458"/>
      <c r="F374" s="458"/>
      <c r="G374" s="562"/>
      <c r="H374" s="529" t="str">
        <f t="shared" si="18"/>
        <v/>
      </c>
      <c r="I374" s="273">
        <v>257.75</v>
      </c>
      <c r="J374" s="555"/>
      <c r="K374" s="555"/>
      <c r="L374" s="271">
        <v>2022</v>
      </c>
      <c r="M374" s="227" t="s">
        <v>1890</v>
      </c>
      <c r="N374" s="227" t="s">
        <v>1891</v>
      </c>
      <c r="O374" s="227" t="s">
        <v>6576</v>
      </c>
      <c r="P374" s="227">
        <v>2022</v>
      </c>
      <c r="Q374" s="250" t="s">
        <v>3499</v>
      </c>
      <c r="R374" s="250" t="s">
        <v>3503</v>
      </c>
    </row>
    <row r="375" spans="1:18" ht="15.75" thickBot="1" x14ac:dyDescent="0.3">
      <c r="A375" s="276" t="s">
        <v>2868</v>
      </c>
      <c r="B375" s="276" t="s">
        <v>2868</v>
      </c>
      <c r="C375" s="82" t="str">
        <f t="shared" si="19"/>
        <v>X</v>
      </c>
      <c r="D375" s="425" t="s">
        <v>1659</v>
      </c>
      <c r="E375" s="458"/>
      <c r="F375" s="458"/>
      <c r="G375" s="562"/>
      <c r="H375" s="529" t="str">
        <f t="shared" si="18"/>
        <v/>
      </c>
      <c r="I375" s="273">
        <v>1944.65</v>
      </c>
      <c r="J375" s="555"/>
      <c r="K375" s="555"/>
      <c r="L375" s="271">
        <v>2022</v>
      </c>
      <c r="M375" s="227" t="s">
        <v>1890</v>
      </c>
      <c r="N375" s="227" t="s">
        <v>1891</v>
      </c>
      <c r="O375" s="227" t="s">
        <v>6576</v>
      </c>
      <c r="P375" s="227">
        <v>2022</v>
      </c>
      <c r="Q375" s="250" t="s">
        <v>3499</v>
      </c>
      <c r="R375" s="250" t="s">
        <v>3503</v>
      </c>
    </row>
    <row r="376" spans="1:18" ht="15.75" thickBot="1" x14ac:dyDescent="0.3">
      <c r="A376" s="276" t="s">
        <v>2868</v>
      </c>
      <c r="B376" s="276" t="s">
        <v>2868</v>
      </c>
      <c r="C376" s="82" t="str">
        <f t="shared" si="19"/>
        <v>X</v>
      </c>
      <c r="D376" s="425" t="s">
        <v>1659</v>
      </c>
      <c r="E376" s="458"/>
      <c r="F376" s="458"/>
      <c r="G376" s="562"/>
      <c r="H376" s="529" t="str">
        <f t="shared" si="18"/>
        <v/>
      </c>
      <c r="I376" s="273">
        <v>7141.6500000000005</v>
      </c>
      <c r="J376" s="555"/>
      <c r="K376" s="555"/>
      <c r="L376" s="271">
        <v>2022</v>
      </c>
      <c r="M376" s="227" t="s">
        <v>1890</v>
      </c>
      <c r="N376" s="227" t="s">
        <v>1891</v>
      </c>
      <c r="O376" s="227" t="s">
        <v>6576</v>
      </c>
      <c r="P376" s="227">
        <v>2022</v>
      </c>
      <c r="Q376" s="250" t="s">
        <v>3499</v>
      </c>
      <c r="R376" s="250" t="s">
        <v>3503</v>
      </c>
    </row>
    <row r="377" spans="1:18" ht="15.75" thickBot="1" x14ac:dyDescent="0.3">
      <c r="A377" s="276" t="s">
        <v>2868</v>
      </c>
      <c r="B377" s="276" t="s">
        <v>2868</v>
      </c>
      <c r="C377" s="82" t="str">
        <f t="shared" si="19"/>
        <v>X</v>
      </c>
      <c r="D377" s="83" t="s">
        <v>1659</v>
      </c>
      <c r="E377" s="458"/>
      <c r="F377" s="458"/>
      <c r="G377" s="562"/>
      <c r="H377" s="529" t="str">
        <f t="shared" si="18"/>
        <v/>
      </c>
      <c r="I377" s="273">
        <v>3942.1499999999996</v>
      </c>
      <c r="J377" s="555"/>
      <c r="K377" s="555"/>
      <c r="L377" s="271">
        <v>2022</v>
      </c>
      <c r="M377" s="227" t="s">
        <v>1890</v>
      </c>
      <c r="N377" s="227" t="s">
        <v>1891</v>
      </c>
      <c r="O377" s="227" t="s">
        <v>6576</v>
      </c>
      <c r="P377" s="227">
        <v>2022</v>
      </c>
      <c r="Q377" s="250" t="s">
        <v>3499</v>
      </c>
      <c r="R377" s="250" t="s">
        <v>3503</v>
      </c>
    </row>
    <row r="378" spans="1:18" ht="15.75" thickBot="1" x14ac:dyDescent="0.3">
      <c r="A378" s="276" t="s">
        <v>2868</v>
      </c>
      <c r="B378" s="276" t="s">
        <v>2868</v>
      </c>
      <c r="C378" s="82" t="str">
        <f t="shared" si="19"/>
        <v>X</v>
      </c>
      <c r="D378" s="425" t="s">
        <v>1659</v>
      </c>
      <c r="E378" s="458"/>
      <c r="F378" s="458"/>
      <c r="G378" s="562"/>
      <c r="H378" s="529" t="str">
        <f t="shared" si="18"/>
        <v/>
      </c>
      <c r="I378" s="273">
        <v>2001.2399999999998</v>
      </c>
      <c r="J378" s="555"/>
      <c r="K378" s="555"/>
      <c r="L378" s="271">
        <v>2022</v>
      </c>
      <c r="M378" s="227" t="s">
        <v>1890</v>
      </c>
      <c r="N378" s="227" t="s">
        <v>1891</v>
      </c>
      <c r="O378" s="227" t="s">
        <v>6576</v>
      </c>
      <c r="P378" s="227">
        <v>2022</v>
      </c>
      <c r="Q378" s="250" t="s">
        <v>3499</v>
      </c>
      <c r="R378" s="250" t="s">
        <v>3503</v>
      </c>
    </row>
    <row r="379" spans="1:18" ht="15.75" thickBot="1" x14ac:dyDescent="0.3">
      <c r="A379" s="276" t="s">
        <v>2868</v>
      </c>
      <c r="B379" s="276" t="s">
        <v>2868</v>
      </c>
      <c r="C379" s="82" t="str">
        <f t="shared" si="19"/>
        <v>X</v>
      </c>
      <c r="D379" s="425" t="s">
        <v>1659</v>
      </c>
      <c r="E379" s="458"/>
      <c r="F379" s="458"/>
      <c r="G379" s="562"/>
      <c r="H379" s="529" t="str">
        <f t="shared" si="18"/>
        <v/>
      </c>
      <c r="I379" s="273">
        <v>218.31000000000003</v>
      </c>
      <c r="J379" s="555"/>
      <c r="K379" s="555"/>
      <c r="L379" s="271">
        <v>2022</v>
      </c>
      <c r="M379" s="227" t="s">
        <v>1890</v>
      </c>
      <c r="N379" s="227" t="s">
        <v>1891</v>
      </c>
      <c r="O379" s="227" t="s">
        <v>6576</v>
      </c>
      <c r="P379" s="227">
        <v>2022</v>
      </c>
      <c r="Q379" s="250" t="s">
        <v>3499</v>
      </c>
      <c r="R379" s="250" t="s">
        <v>3503</v>
      </c>
    </row>
    <row r="380" spans="1:18" ht="15.75" thickBot="1" x14ac:dyDescent="0.3">
      <c r="A380" s="276" t="s">
        <v>2868</v>
      </c>
      <c r="B380" s="276" t="s">
        <v>2868</v>
      </c>
      <c r="C380" s="82" t="str">
        <f t="shared" si="19"/>
        <v>X</v>
      </c>
      <c r="D380" s="425" t="s">
        <v>1659</v>
      </c>
      <c r="E380" s="458"/>
      <c r="F380" s="458"/>
      <c r="G380" s="562"/>
      <c r="H380" s="529" t="str">
        <f t="shared" si="18"/>
        <v/>
      </c>
      <c r="I380" s="273">
        <v>7249.76</v>
      </c>
      <c r="J380" s="555"/>
      <c r="K380" s="555"/>
      <c r="L380" s="271">
        <v>2022</v>
      </c>
      <c r="M380" s="227" t="s">
        <v>1890</v>
      </c>
      <c r="N380" s="227" t="s">
        <v>1891</v>
      </c>
      <c r="O380" s="227" t="s">
        <v>6576</v>
      </c>
      <c r="P380" s="227">
        <v>2022</v>
      </c>
      <c r="Q380" s="250" t="s">
        <v>3499</v>
      </c>
      <c r="R380" s="250" t="s">
        <v>3503</v>
      </c>
    </row>
    <row r="381" spans="1:18" ht="15.75" thickBot="1" x14ac:dyDescent="0.3">
      <c r="A381" s="276" t="s">
        <v>2868</v>
      </c>
      <c r="B381" s="276" t="s">
        <v>2868</v>
      </c>
      <c r="C381" s="82" t="str">
        <f t="shared" si="19"/>
        <v>X</v>
      </c>
      <c r="D381" s="425" t="s">
        <v>1659</v>
      </c>
      <c r="E381" s="458"/>
      <c r="F381" s="458"/>
      <c r="G381" s="562"/>
      <c r="H381" s="529" t="str">
        <f t="shared" si="18"/>
        <v/>
      </c>
      <c r="I381" s="273">
        <v>6002.6899999999987</v>
      </c>
      <c r="J381" s="555"/>
      <c r="K381" s="555"/>
      <c r="L381" s="271">
        <v>2022</v>
      </c>
      <c r="M381" s="227" t="s">
        <v>1890</v>
      </c>
      <c r="N381" s="227" t="s">
        <v>1891</v>
      </c>
      <c r="O381" s="227" t="s">
        <v>6576</v>
      </c>
      <c r="P381" s="227">
        <v>2022</v>
      </c>
      <c r="Q381" s="250" t="s">
        <v>3499</v>
      </c>
      <c r="R381" s="250" t="s">
        <v>3503</v>
      </c>
    </row>
    <row r="382" spans="1:18" ht="15.75" thickBot="1" x14ac:dyDescent="0.3">
      <c r="A382" s="276" t="s">
        <v>2868</v>
      </c>
      <c r="B382" s="276" t="s">
        <v>2868</v>
      </c>
      <c r="C382" s="82" t="str">
        <f t="shared" si="19"/>
        <v>X</v>
      </c>
      <c r="D382" s="425" t="s">
        <v>1657</v>
      </c>
      <c r="E382" s="458"/>
      <c r="F382" s="458"/>
      <c r="G382" s="562"/>
      <c r="H382" s="529" t="str">
        <f t="shared" si="18"/>
        <v/>
      </c>
      <c r="I382" s="273">
        <v>870.83999999999992</v>
      </c>
      <c r="J382" s="555"/>
      <c r="K382" s="555"/>
      <c r="L382" s="271">
        <v>2022</v>
      </c>
      <c r="M382" s="227" t="s">
        <v>1890</v>
      </c>
      <c r="N382" s="227" t="s">
        <v>1891</v>
      </c>
      <c r="O382" s="227" t="s">
        <v>6576</v>
      </c>
      <c r="P382" s="227">
        <v>2022</v>
      </c>
      <c r="Q382" s="250" t="s">
        <v>3499</v>
      </c>
      <c r="R382" s="250" t="s">
        <v>3503</v>
      </c>
    </row>
    <row r="383" spans="1:18" ht="15.75" thickBot="1" x14ac:dyDescent="0.3">
      <c r="A383" s="276" t="s">
        <v>2868</v>
      </c>
      <c r="B383" s="276" t="s">
        <v>2868</v>
      </c>
      <c r="C383" s="82" t="str">
        <f t="shared" si="19"/>
        <v>X</v>
      </c>
      <c r="D383" s="425" t="s">
        <v>1657</v>
      </c>
      <c r="E383" s="425"/>
      <c r="F383" s="429"/>
      <c r="G383" s="161"/>
      <c r="H383" s="424" t="str">
        <f t="shared" si="18"/>
        <v/>
      </c>
      <c r="I383" s="273">
        <v>120266.45000000001</v>
      </c>
      <c r="J383" s="162"/>
      <c r="K383" s="162"/>
      <c r="L383" s="271">
        <v>2022</v>
      </c>
      <c r="M383" s="227" t="s">
        <v>1890</v>
      </c>
      <c r="N383" s="227" t="s">
        <v>1891</v>
      </c>
      <c r="O383" s="227" t="s">
        <v>6576</v>
      </c>
      <c r="P383" s="227">
        <v>2022</v>
      </c>
      <c r="Q383" s="250" t="s">
        <v>3499</v>
      </c>
      <c r="R383" s="250" t="s">
        <v>3503</v>
      </c>
    </row>
    <row r="384" spans="1:18" ht="15.75" thickBot="1" x14ac:dyDescent="0.3">
      <c r="A384" s="276" t="s">
        <v>2868</v>
      </c>
      <c r="B384" s="276" t="s">
        <v>2868</v>
      </c>
      <c r="C384" s="82" t="str">
        <f t="shared" si="19"/>
        <v>X</v>
      </c>
      <c r="D384" s="83" t="s">
        <v>1657</v>
      </c>
      <c r="E384" s="425"/>
      <c r="F384" s="429"/>
      <c r="G384" s="161"/>
      <c r="H384" s="424" t="str">
        <f t="shared" si="18"/>
        <v/>
      </c>
      <c r="I384" s="273">
        <v>78624.84</v>
      </c>
      <c r="J384" s="162"/>
      <c r="K384" s="162"/>
      <c r="L384" s="271">
        <v>2022</v>
      </c>
      <c r="M384" s="227" t="s">
        <v>1890</v>
      </c>
      <c r="N384" s="227" t="s">
        <v>1891</v>
      </c>
      <c r="O384" s="227" t="s">
        <v>6576</v>
      </c>
      <c r="P384" s="227">
        <v>2022</v>
      </c>
      <c r="Q384" s="250" t="s">
        <v>3499</v>
      </c>
      <c r="R384" s="250" t="s">
        <v>3503</v>
      </c>
    </row>
    <row r="385" spans="1:18" ht="15.75" thickBot="1" x14ac:dyDescent="0.3">
      <c r="A385" s="276" t="s">
        <v>2868</v>
      </c>
      <c r="B385" s="276" t="s">
        <v>2868</v>
      </c>
      <c r="C385" s="82" t="str">
        <f t="shared" si="19"/>
        <v>X</v>
      </c>
      <c r="D385" s="425" t="s">
        <v>1661</v>
      </c>
      <c r="E385" s="425"/>
      <c r="F385" s="429"/>
      <c r="G385" s="161"/>
      <c r="H385" s="424" t="str">
        <f t="shared" si="18"/>
        <v/>
      </c>
      <c r="I385" s="273">
        <v>1208174</v>
      </c>
      <c r="J385" s="162"/>
      <c r="K385" s="162"/>
      <c r="L385" s="271">
        <v>2022</v>
      </c>
      <c r="M385" s="227" t="s">
        <v>1890</v>
      </c>
      <c r="N385" s="227" t="s">
        <v>1891</v>
      </c>
      <c r="O385" s="227" t="s">
        <v>6576</v>
      </c>
      <c r="P385" s="227">
        <v>2022</v>
      </c>
      <c r="Q385" s="250" t="s">
        <v>3499</v>
      </c>
      <c r="R385" s="250" t="s">
        <v>3503</v>
      </c>
    </row>
    <row r="386" spans="1:18" ht="15.75" thickBot="1" x14ac:dyDescent="0.3">
      <c r="A386" s="276" t="s">
        <v>2868</v>
      </c>
      <c r="B386" s="276" t="s">
        <v>2868</v>
      </c>
      <c r="C386" s="82" t="str">
        <f t="shared" si="19"/>
        <v>X</v>
      </c>
      <c r="D386" s="425" t="s">
        <v>1655</v>
      </c>
      <c r="E386" s="425"/>
      <c r="F386" s="429"/>
      <c r="G386" s="161"/>
      <c r="H386" s="424" t="str">
        <f t="shared" ref="H386:H394" si="20">IFERROR(LEFT(F386,FIND(" ",F386)-1),"")</f>
        <v/>
      </c>
      <c r="I386" s="273">
        <v>369.09</v>
      </c>
      <c r="J386" s="162"/>
      <c r="K386" s="162"/>
      <c r="L386" s="271">
        <v>2022</v>
      </c>
      <c r="M386" s="227" t="s">
        <v>1890</v>
      </c>
      <c r="N386" s="227" t="s">
        <v>1891</v>
      </c>
      <c r="O386" s="227" t="s">
        <v>6576</v>
      </c>
      <c r="P386" s="227">
        <v>2022</v>
      </c>
      <c r="Q386" s="250" t="s">
        <v>3499</v>
      </c>
      <c r="R386" s="250" t="s">
        <v>3503</v>
      </c>
    </row>
    <row r="387" spans="1:18" ht="15.75" thickBot="1" x14ac:dyDescent="0.3">
      <c r="A387" s="424" t="s">
        <v>4585</v>
      </c>
      <c r="B387" s="82" t="s">
        <v>4585</v>
      </c>
      <c r="C387" s="82" t="str">
        <f t="shared" ref="C387:C450" si="21">IF(A387=B387,"X",RIGHT(A387,LEN(A387)-LEN(B387)-3))</f>
        <v>X</v>
      </c>
      <c r="D387" s="425" t="s">
        <v>2982</v>
      </c>
      <c r="E387" s="425"/>
      <c r="F387" s="429"/>
      <c r="G387" s="161"/>
      <c r="H387" s="424" t="str">
        <f t="shared" si="20"/>
        <v/>
      </c>
      <c r="I387" s="332">
        <v>1082</v>
      </c>
      <c r="J387" s="162"/>
      <c r="K387" s="162"/>
      <c r="L387" s="271">
        <v>2022</v>
      </c>
      <c r="M387" s="227" t="s">
        <v>1890</v>
      </c>
      <c r="N387" s="227" t="s">
        <v>1891</v>
      </c>
      <c r="O387" s="227" t="s">
        <v>6576</v>
      </c>
      <c r="P387" s="227">
        <v>2022</v>
      </c>
      <c r="Q387" s="250" t="s">
        <v>3499</v>
      </c>
      <c r="R387" s="250" t="s">
        <v>3503</v>
      </c>
    </row>
    <row r="388" spans="1:18" ht="15.75" thickBot="1" x14ac:dyDescent="0.3">
      <c r="A388" s="424" t="s">
        <v>4585</v>
      </c>
      <c r="B388" s="82" t="s">
        <v>4585</v>
      </c>
      <c r="C388" s="82" t="str">
        <f t="shared" si="21"/>
        <v>X</v>
      </c>
      <c r="D388" s="425" t="s">
        <v>1681</v>
      </c>
      <c r="E388" s="425"/>
      <c r="F388" s="429"/>
      <c r="G388" s="161"/>
      <c r="H388" s="424" t="str">
        <f t="shared" si="20"/>
        <v/>
      </c>
      <c r="I388" s="332">
        <v>11313</v>
      </c>
      <c r="J388" s="162"/>
      <c r="K388" s="162"/>
      <c r="L388" s="271">
        <v>2022</v>
      </c>
      <c r="M388" s="227" t="s">
        <v>1890</v>
      </c>
      <c r="N388" s="227" t="s">
        <v>1891</v>
      </c>
      <c r="O388" s="227" t="s">
        <v>6576</v>
      </c>
      <c r="P388" s="227">
        <v>2022</v>
      </c>
      <c r="Q388" s="250" t="s">
        <v>3499</v>
      </c>
      <c r="R388" s="250" t="s">
        <v>3503</v>
      </c>
    </row>
    <row r="389" spans="1:18" ht="15.75" thickBot="1" x14ac:dyDescent="0.3">
      <c r="A389" s="424" t="s">
        <v>4585</v>
      </c>
      <c r="B389" s="424" t="s">
        <v>4585</v>
      </c>
      <c r="C389" s="82" t="str">
        <f t="shared" si="21"/>
        <v>X</v>
      </c>
      <c r="D389" s="83" t="s">
        <v>1661</v>
      </c>
      <c r="E389" s="425"/>
      <c r="F389" s="429"/>
      <c r="G389" s="161"/>
      <c r="H389" s="424" t="str">
        <f t="shared" si="20"/>
        <v/>
      </c>
      <c r="I389" s="332">
        <v>30473</v>
      </c>
      <c r="J389" s="162"/>
      <c r="K389" s="162"/>
      <c r="L389" s="271">
        <v>2022</v>
      </c>
      <c r="M389" s="227" t="s">
        <v>1890</v>
      </c>
      <c r="N389" s="227" t="s">
        <v>1891</v>
      </c>
      <c r="O389" s="227" t="s">
        <v>6576</v>
      </c>
      <c r="P389" s="227">
        <v>2022</v>
      </c>
      <c r="Q389" s="250" t="s">
        <v>3499</v>
      </c>
      <c r="R389" s="250" t="s">
        <v>3503</v>
      </c>
    </row>
    <row r="390" spans="1:18" ht="15.75" thickBot="1" x14ac:dyDescent="0.3">
      <c r="A390" s="275" t="s">
        <v>2944</v>
      </c>
      <c r="B390" s="275" t="s">
        <v>2944</v>
      </c>
      <c r="C390" s="82" t="str">
        <f t="shared" si="21"/>
        <v>X</v>
      </c>
      <c r="D390" s="425" t="s">
        <v>1661</v>
      </c>
      <c r="E390" s="425"/>
      <c r="F390" s="429"/>
      <c r="G390" s="161"/>
      <c r="H390" s="424" t="str">
        <f t="shared" si="20"/>
        <v/>
      </c>
      <c r="I390" s="332">
        <v>65863</v>
      </c>
      <c r="J390" s="162"/>
      <c r="K390" s="162"/>
      <c r="L390" s="271">
        <v>2022</v>
      </c>
      <c r="M390" s="227" t="s">
        <v>1890</v>
      </c>
      <c r="N390" s="227" t="s">
        <v>1891</v>
      </c>
      <c r="O390" s="227" t="s">
        <v>6576</v>
      </c>
      <c r="P390" s="227">
        <v>2022</v>
      </c>
      <c r="Q390" s="250" t="s">
        <v>3499</v>
      </c>
      <c r="R390" s="250" t="s">
        <v>3503</v>
      </c>
    </row>
    <row r="391" spans="1:18" ht="15.75" thickBot="1" x14ac:dyDescent="0.3">
      <c r="A391" s="275" t="s">
        <v>2945</v>
      </c>
      <c r="B391" s="275" t="s">
        <v>2945</v>
      </c>
      <c r="C391" s="82" t="str">
        <f t="shared" si="21"/>
        <v>X</v>
      </c>
      <c r="D391" s="83" t="s">
        <v>1661</v>
      </c>
      <c r="E391" s="425"/>
      <c r="F391" s="429"/>
      <c r="G391" s="161"/>
      <c r="H391" s="424" t="str">
        <f t="shared" si="20"/>
        <v/>
      </c>
      <c r="I391" s="332">
        <v>97733</v>
      </c>
      <c r="J391" s="162"/>
      <c r="K391" s="162"/>
      <c r="L391" s="271">
        <v>2022</v>
      </c>
      <c r="M391" s="227" t="s">
        <v>1890</v>
      </c>
      <c r="N391" s="227" t="s">
        <v>1891</v>
      </c>
      <c r="O391" s="227" t="s">
        <v>6576</v>
      </c>
      <c r="P391" s="227">
        <v>2022</v>
      </c>
      <c r="Q391" s="250" t="s">
        <v>3499</v>
      </c>
      <c r="R391" s="250" t="s">
        <v>3503</v>
      </c>
    </row>
    <row r="392" spans="1:18" ht="15.75" thickBot="1" x14ac:dyDescent="0.3">
      <c r="A392" s="424" t="s">
        <v>4586</v>
      </c>
      <c r="B392" s="424" t="s">
        <v>4586</v>
      </c>
      <c r="C392" s="82" t="str">
        <f t="shared" si="21"/>
        <v>X</v>
      </c>
      <c r="D392" s="83" t="s">
        <v>2982</v>
      </c>
      <c r="E392" s="425"/>
      <c r="F392" s="429"/>
      <c r="G392" s="161"/>
      <c r="H392" s="424" t="str">
        <f t="shared" si="20"/>
        <v/>
      </c>
      <c r="I392" s="332">
        <v>41654</v>
      </c>
      <c r="J392" s="162"/>
      <c r="K392" s="162"/>
      <c r="L392" s="271">
        <v>2022</v>
      </c>
      <c r="M392" s="227" t="s">
        <v>1890</v>
      </c>
      <c r="N392" s="227" t="s">
        <v>1891</v>
      </c>
      <c r="O392" s="227" t="s">
        <v>6576</v>
      </c>
      <c r="P392" s="227">
        <v>2022</v>
      </c>
      <c r="Q392" s="250" t="s">
        <v>3499</v>
      </c>
      <c r="R392" s="250" t="s">
        <v>3503</v>
      </c>
    </row>
    <row r="393" spans="1:18" ht="15.75" thickBot="1" x14ac:dyDescent="0.3">
      <c r="A393" s="424" t="s">
        <v>4586</v>
      </c>
      <c r="B393" s="424" t="s">
        <v>4586</v>
      </c>
      <c r="C393" s="82" t="str">
        <f t="shared" si="21"/>
        <v>X</v>
      </c>
      <c r="D393" s="83" t="s">
        <v>1681</v>
      </c>
      <c r="E393" s="458"/>
      <c r="F393" s="458"/>
      <c r="G393" s="562"/>
      <c r="H393" s="529" t="str">
        <f t="shared" si="20"/>
        <v/>
      </c>
      <c r="I393" s="332">
        <v>16415</v>
      </c>
      <c r="J393" s="162"/>
      <c r="K393" s="162"/>
      <c r="L393" s="271">
        <v>2022</v>
      </c>
      <c r="M393" s="227" t="s">
        <v>1890</v>
      </c>
      <c r="N393" s="227" t="s">
        <v>1891</v>
      </c>
      <c r="O393" s="227" t="s">
        <v>6576</v>
      </c>
      <c r="P393" s="227">
        <v>2022</v>
      </c>
      <c r="Q393" s="250" t="s">
        <v>3499</v>
      </c>
      <c r="R393" s="250" t="s">
        <v>3503</v>
      </c>
    </row>
    <row r="394" spans="1:18" ht="15.75" thickBot="1" x14ac:dyDescent="0.3">
      <c r="A394" s="424" t="s">
        <v>4586</v>
      </c>
      <c r="B394" s="424" t="s">
        <v>4586</v>
      </c>
      <c r="C394" s="82" t="str">
        <f t="shared" si="21"/>
        <v>X</v>
      </c>
      <c r="D394" s="83" t="s">
        <v>1661</v>
      </c>
      <c r="E394" s="458"/>
      <c r="F394" s="458"/>
      <c r="G394" s="562"/>
      <c r="H394" s="529" t="str">
        <f t="shared" si="20"/>
        <v/>
      </c>
      <c r="I394" s="332">
        <v>49783</v>
      </c>
      <c r="J394" s="162"/>
      <c r="K394" s="162"/>
      <c r="L394" s="271">
        <v>2022</v>
      </c>
      <c r="M394" s="227" t="s">
        <v>1890</v>
      </c>
      <c r="N394" s="227" t="s">
        <v>1891</v>
      </c>
      <c r="O394" s="227" t="s">
        <v>6576</v>
      </c>
      <c r="P394" s="227">
        <v>2022</v>
      </c>
      <c r="Q394" s="250" t="s">
        <v>3499</v>
      </c>
      <c r="R394" s="250" t="s">
        <v>3503</v>
      </c>
    </row>
    <row r="395" spans="1:18" ht="15.75" thickBot="1" x14ac:dyDescent="0.3">
      <c r="A395" s="424" t="s">
        <v>4598</v>
      </c>
      <c r="B395" s="424" t="s">
        <v>4598</v>
      </c>
      <c r="C395" s="82" t="str">
        <f t="shared" si="21"/>
        <v>X</v>
      </c>
      <c r="D395" s="425" t="s">
        <v>1653</v>
      </c>
      <c r="E395" s="93"/>
      <c r="F395" s="93"/>
      <c r="G395" s="93"/>
      <c r="H395" s="93"/>
      <c r="I395" s="332">
        <v>9240.4599999999991</v>
      </c>
      <c r="J395" s="425"/>
      <c r="K395" s="527"/>
      <c r="L395" s="271">
        <v>2022</v>
      </c>
      <c r="M395" s="227" t="s">
        <v>1890</v>
      </c>
      <c r="N395" s="227" t="s">
        <v>1891</v>
      </c>
      <c r="O395" s="227" t="s">
        <v>6576</v>
      </c>
      <c r="P395" s="227">
        <v>2022</v>
      </c>
      <c r="Q395" s="250" t="s">
        <v>3499</v>
      </c>
      <c r="R395" s="250" t="s">
        <v>3503</v>
      </c>
    </row>
    <row r="396" spans="1:18" ht="15.75" thickBot="1" x14ac:dyDescent="0.3">
      <c r="A396" s="424" t="s">
        <v>4598</v>
      </c>
      <c r="B396" s="424" t="s">
        <v>4598</v>
      </c>
      <c r="C396" s="82" t="str">
        <f t="shared" si="21"/>
        <v>X</v>
      </c>
      <c r="D396" s="425" t="s">
        <v>1681</v>
      </c>
      <c r="E396" s="93"/>
      <c r="F396" s="93"/>
      <c r="G396" s="93"/>
      <c r="H396" s="93"/>
      <c r="I396" s="332">
        <v>80179.08</v>
      </c>
      <c r="J396" s="83"/>
      <c r="K396" s="527"/>
      <c r="L396" s="271">
        <v>2022</v>
      </c>
      <c r="M396" s="227" t="s">
        <v>1890</v>
      </c>
      <c r="N396" s="227" t="s">
        <v>1891</v>
      </c>
      <c r="O396" s="227" t="s">
        <v>6576</v>
      </c>
      <c r="P396" s="227">
        <v>2022</v>
      </c>
      <c r="Q396" s="250" t="s">
        <v>3499</v>
      </c>
      <c r="R396" s="250" t="s">
        <v>3503</v>
      </c>
    </row>
    <row r="397" spans="1:18" ht="15.75" thickBot="1" x14ac:dyDescent="0.3">
      <c r="A397" s="424" t="s">
        <v>4598</v>
      </c>
      <c r="B397" s="424" t="s">
        <v>4598</v>
      </c>
      <c r="C397" s="82" t="str">
        <f t="shared" si="21"/>
        <v>X</v>
      </c>
      <c r="D397" s="425" t="s">
        <v>1661</v>
      </c>
      <c r="E397" s="93"/>
      <c r="F397" s="93"/>
      <c r="G397" s="93"/>
      <c r="H397" s="93"/>
      <c r="I397" s="332">
        <v>267563.90000000002</v>
      </c>
      <c r="J397" s="83"/>
      <c r="K397" s="527"/>
      <c r="L397" s="271">
        <v>2022</v>
      </c>
      <c r="M397" s="227" t="s">
        <v>1890</v>
      </c>
      <c r="N397" s="227" t="s">
        <v>1891</v>
      </c>
      <c r="O397" s="227" t="s">
        <v>6576</v>
      </c>
      <c r="P397" s="227">
        <v>2022</v>
      </c>
      <c r="Q397" s="250" t="s">
        <v>3499</v>
      </c>
      <c r="R397" s="250" t="s">
        <v>3503</v>
      </c>
    </row>
    <row r="398" spans="1:18" ht="15.75" thickBot="1" x14ac:dyDescent="0.3">
      <c r="A398" s="275" t="s">
        <v>2946</v>
      </c>
      <c r="B398" s="275" t="s">
        <v>2946</v>
      </c>
      <c r="C398" s="82" t="str">
        <f t="shared" si="21"/>
        <v>X</v>
      </c>
      <c r="D398" s="425" t="s">
        <v>1661</v>
      </c>
      <c r="E398" s="458"/>
      <c r="F398" s="458"/>
      <c r="G398" s="562"/>
      <c r="H398" s="529" t="str">
        <f>IFERROR(LEFT(F398,FIND(" ",F398)-1),"")</f>
        <v/>
      </c>
      <c r="I398" s="332">
        <v>137718</v>
      </c>
      <c r="J398" s="162"/>
      <c r="K398" s="162"/>
      <c r="L398" s="271">
        <v>2022</v>
      </c>
      <c r="M398" s="227" t="s">
        <v>1890</v>
      </c>
      <c r="N398" s="227" t="s">
        <v>1891</v>
      </c>
      <c r="O398" s="227" t="s">
        <v>6576</v>
      </c>
      <c r="P398" s="227">
        <v>2022</v>
      </c>
      <c r="Q398" s="250" t="s">
        <v>3499</v>
      </c>
      <c r="R398" s="250" t="s">
        <v>3503</v>
      </c>
    </row>
    <row r="399" spans="1:18" ht="15.75" thickBot="1" x14ac:dyDescent="0.3">
      <c r="A399" s="424" t="s">
        <v>4602</v>
      </c>
      <c r="B399" s="424" t="s">
        <v>4602</v>
      </c>
      <c r="C399" s="82" t="str">
        <f t="shared" si="21"/>
        <v>X</v>
      </c>
      <c r="D399" s="425" t="s">
        <v>2982</v>
      </c>
      <c r="E399" s="93"/>
      <c r="F399" s="93"/>
      <c r="G399" s="93"/>
      <c r="H399" s="93"/>
      <c r="I399" s="332">
        <v>45941.06</v>
      </c>
      <c r="J399" s="425"/>
      <c r="K399" s="527"/>
      <c r="L399" s="271">
        <v>2022</v>
      </c>
      <c r="M399" s="227" t="s">
        <v>1890</v>
      </c>
      <c r="N399" s="283" t="s">
        <v>1891</v>
      </c>
      <c r="O399" s="227" t="s">
        <v>6576</v>
      </c>
      <c r="P399" s="227">
        <v>2022</v>
      </c>
      <c r="Q399" s="250" t="s">
        <v>3499</v>
      </c>
      <c r="R399" s="250" t="s">
        <v>3503</v>
      </c>
    </row>
    <row r="400" spans="1:18" ht="15.75" thickBot="1" x14ac:dyDescent="0.3">
      <c r="A400" s="424" t="s">
        <v>4602</v>
      </c>
      <c r="B400" s="424" t="s">
        <v>4602</v>
      </c>
      <c r="C400" s="82" t="str">
        <f t="shared" si="21"/>
        <v>X</v>
      </c>
      <c r="D400" s="425" t="s">
        <v>2982</v>
      </c>
      <c r="E400" s="93"/>
      <c r="F400" s="93"/>
      <c r="G400" s="93"/>
      <c r="H400" s="93"/>
      <c r="I400" s="332">
        <v>37854.86</v>
      </c>
      <c r="J400" s="425"/>
      <c r="K400" s="527"/>
      <c r="L400" s="271">
        <v>2022</v>
      </c>
      <c r="M400" s="227" t="s">
        <v>1890</v>
      </c>
      <c r="N400" s="283" t="s">
        <v>1891</v>
      </c>
      <c r="O400" s="227" t="s">
        <v>6576</v>
      </c>
      <c r="P400" s="227">
        <v>2022</v>
      </c>
      <c r="Q400" s="250" t="s">
        <v>3499</v>
      </c>
      <c r="R400" s="250" t="s">
        <v>3503</v>
      </c>
    </row>
    <row r="401" spans="1:18" ht="15.75" thickBot="1" x14ac:dyDescent="0.3">
      <c r="A401" s="424" t="s">
        <v>4602</v>
      </c>
      <c r="B401" s="82" t="s">
        <v>4602</v>
      </c>
      <c r="C401" s="82" t="str">
        <f t="shared" si="21"/>
        <v>X</v>
      </c>
      <c r="D401" s="425" t="s">
        <v>2982</v>
      </c>
      <c r="E401" s="527"/>
      <c r="F401" s="540"/>
      <c r="G401" s="527"/>
      <c r="H401" s="527"/>
      <c r="I401" s="332">
        <v>7341.8899999999985</v>
      </c>
      <c r="J401" s="425"/>
      <c r="K401" s="527"/>
      <c r="L401" s="271">
        <v>2022</v>
      </c>
      <c r="M401" s="227" t="s">
        <v>1890</v>
      </c>
      <c r="N401" s="283" t="s">
        <v>1891</v>
      </c>
      <c r="O401" s="227" t="s">
        <v>6576</v>
      </c>
      <c r="P401" s="227">
        <v>2022</v>
      </c>
      <c r="Q401" s="250" t="s">
        <v>3499</v>
      </c>
      <c r="R401" s="250" t="s">
        <v>3503</v>
      </c>
    </row>
    <row r="402" spans="1:18" ht="15.75" thickBot="1" x14ac:dyDescent="0.3">
      <c r="A402" s="424" t="s">
        <v>4602</v>
      </c>
      <c r="B402" s="82" t="s">
        <v>4602</v>
      </c>
      <c r="C402" s="82" t="str">
        <f t="shared" si="21"/>
        <v>X</v>
      </c>
      <c r="D402" s="425" t="s">
        <v>2982</v>
      </c>
      <c r="E402" s="527"/>
      <c r="F402" s="540"/>
      <c r="G402" s="527"/>
      <c r="H402" s="527"/>
      <c r="I402" s="332">
        <v>6600</v>
      </c>
      <c r="J402" s="425"/>
      <c r="K402" s="527"/>
      <c r="L402" s="271">
        <v>2022</v>
      </c>
      <c r="M402" s="227" t="s">
        <v>1890</v>
      </c>
      <c r="N402" s="283" t="s">
        <v>1891</v>
      </c>
      <c r="O402" s="227" t="s">
        <v>6576</v>
      </c>
      <c r="P402" s="227">
        <v>2022</v>
      </c>
      <c r="Q402" s="250" t="s">
        <v>3499</v>
      </c>
      <c r="R402" s="250" t="s">
        <v>3503</v>
      </c>
    </row>
    <row r="403" spans="1:18" ht="15.75" thickBot="1" x14ac:dyDescent="0.3">
      <c r="A403" s="424" t="s">
        <v>4602</v>
      </c>
      <c r="B403" s="82" t="s">
        <v>4602</v>
      </c>
      <c r="C403" s="82" t="str">
        <f t="shared" si="21"/>
        <v>X</v>
      </c>
      <c r="D403" s="425" t="s">
        <v>2982</v>
      </c>
      <c r="E403" s="527"/>
      <c r="F403" s="540"/>
      <c r="G403" s="527"/>
      <c r="H403" s="527"/>
      <c r="I403" s="332">
        <v>33.67</v>
      </c>
      <c r="J403" s="425"/>
      <c r="K403" s="527"/>
      <c r="L403" s="271">
        <v>2022</v>
      </c>
      <c r="M403" s="227" t="s">
        <v>1890</v>
      </c>
      <c r="N403" s="283" t="s">
        <v>1891</v>
      </c>
      <c r="O403" s="227" t="s">
        <v>6576</v>
      </c>
      <c r="P403" s="227">
        <v>2022</v>
      </c>
      <c r="Q403" s="250" t="s">
        <v>3499</v>
      </c>
      <c r="R403" s="250" t="s">
        <v>3503</v>
      </c>
    </row>
    <row r="404" spans="1:18" ht="15.75" thickBot="1" x14ac:dyDescent="0.3">
      <c r="A404" s="424" t="s">
        <v>4602</v>
      </c>
      <c r="B404" s="82" t="s">
        <v>4602</v>
      </c>
      <c r="C404" s="82" t="str">
        <f t="shared" si="21"/>
        <v>X</v>
      </c>
      <c r="D404" s="425" t="s">
        <v>2982</v>
      </c>
      <c r="E404" s="527"/>
      <c r="F404" s="540"/>
      <c r="G404" s="527"/>
      <c r="H404" s="527"/>
      <c r="I404" s="332">
        <v>169139.93</v>
      </c>
      <c r="J404" s="425"/>
      <c r="K404" s="527"/>
      <c r="L404" s="271">
        <v>2022</v>
      </c>
      <c r="M404" s="227" t="s">
        <v>1890</v>
      </c>
      <c r="N404" s="283" t="s">
        <v>1891</v>
      </c>
      <c r="O404" s="227" t="s">
        <v>6576</v>
      </c>
      <c r="P404" s="227">
        <v>2022</v>
      </c>
      <c r="Q404" s="250" t="s">
        <v>3499</v>
      </c>
      <c r="R404" s="250" t="s">
        <v>3503</v>
      </c>
    </row>
    <row r="405" spans="1:18" ht="15.75" thickBot="1" x14ac:dyDescent="0.3">
      <c r="A405" s="424" t="s">
        <v>4602</v>
      </c>
      <c r="B405" s="82" t="s">
        <v>4602</v>
      </c>
      <c r="C405" s="82" t="str">
        <f t="shared" si="21"/>
        <v>X</v>
      </c>
      <c r="D405" s="425" t="s">
        <v>1661</v>
      </c>
      <c r="E405" s="527"/>
      <c r="F405" s="540"/>
      <c r="G405" s="527"/>
      <c r="H405" s="527"/>
      <c r="I405" s="332">
        <v>7350000</v>
      </c>
      <c r="J405" s="425"/>
      <c r="K405" s="527"/>
      <c r="L405" s="271">
        <v>2022</v>
      </c>
      <c r="M405" s="227" t="s">
        <v>1890</v>
      </c>
      <c r="N405" s="283" t="s">
        <v>1891</v>
      </c>
      <c r="O405" s="227" t="s">
        <v>6576</v>
      </c>
      <c r="P405" s="227">
        <v>2022</v>
      </c>
      <c r="Q405" s="250" t="s">
        <v>3499</v>
      </c>
      <c r="R405" s="250" t="s">
        <v>3503</v>
      </c>
    </row>
    <row r="406" spans="1:18" ht="15.75" thickBot="1" x14ac:dyDescent="0.3">
      <c r="A406" s="424" t="s">
        <v>4602</v>
      </c>
      <c r="B406" s="82" t="s">
        <v>4602</v>
      </c>
      <c r="C406" s="82" t="str">
        <f t="shared" si="21"/>
        <v>X</v>
      </c>
      <c r="D406" s="425" t="s">
        <v>1661</v>
      </c>
      <c r="E406" s="527"/>
      <c r="F406" s="540"/>
      <c r="G406" s="527"/>
      <c r="H406" s="527"/>
      <c r="I406" s="332">
        <v>378258.92000000004</v>
      </c>
      <c r="J406" s="425"/>
      <c r="K406" s="527"/>
      <c r="L406" s="271">
        <v>2022</v>
      </c>
      <c r="M406" s="227" t="s">
        <v>1890</v>
      </c>
      <c r="N406" s="283" t="s">
        <v>1891</v>
      </c>
      <c r="O406" s="227" t="s">
        <v>6576</v>
      </c>
      <c r="P406" s="227">
        <v>2022</v>
      </c>
      <c r="Q406" s="250" t="s">
        <v>3499</v>
      </c>
      <c r="R406" s="250" t="s">
        <v>3503</v>
      </c>
    </row>
    <row r="407" spans="1:18" ht="15.75" thickBot="1" x14ac:dyDescent="0.3">
      <c r="A407" s="424" t="s">
        <v>4602</v>
      </c>
      <c r="B407" s="82" t="s">
        <v>4602</v>
      </c>
      <c r="C407" s="82" t="str">
        <f t="shared" si="21"/>
        <v>X</v>
      </c>
      <c r="D407" s="83" t="s">
        <v>1661</v>
      </c>
      <c r="E407" s="527"/>
      <c r="F407" s="540"/>
      <c r="G407" s="527"/>
      <c r="H407" s="527"/>
      <c r="I407" s="332">
        <v>40612.600000000013</v>
      </c>
      <c r="J407" s="425"/>
      <c r="K407" s="527"/>
      <c r="L407" s="271">
        <v>2022</v>
      </c>
      <c r="M407" s="227" t="s">
        <v>1890</v>
      </c>
      <c r="N407" s="283" t="s">
        <v>1891</v>
      </c>
      <c r="O407" s="227" t="s">
        <v>6576</v>
      </c>
      <c r="P407" s="227">
        <v>2022</v>
      </c>
      <c r="Q407" s="250" t="s">
        <v>3499</v>
      </c>
      <c r="R407" s="250" t="s">
        <v>3503</v>
      </c>
    </row>
    <row r="408" spans="1:18" ht="15.75" thickBot="1" x14ac:dyDescent="0.3">
      <c r="A408" s="424" t="s">
        <v>4602</v>
      </c>
      <c r="B408" s="82" t="s">
        <v>4602</v>
      </c>
      <c r="C408" s="82" t="str">
        <f t="shared" si="21"/>
        <v>X</v>
      </c>
      <c r="D408" s="425" t="s">
        <v>1661</v>
      </c>
      <c r="E408" s="527"/>
      <c r="F408" s="540"/>
      <c r="G408" s="527"/>
      <c r="H408" s="527"/>
      <c r="I408" s="332">
        <v>19307.949999999986</v>
      </c>
      <c r="J408" s="425"/>
      <c r="K408" s="527"/>
      <c r="L408" s="271">
        <v>2022</v>
      </c>
      <c r="M408" s="227" t="s">
        <v>1890</v>
      </c>
      <c r="N408" s="283" t="s">
        <v>1891</v>
      </c>
      <c r="O408" s="227" t="s">
        <v>6576</v>
      </c>
      <c r="P408" s="227">
        <v>2022</v>
      </c>
      <c r="Q408" s="250" t="s">
        <v>3499</v>
      </c>
      <c r="R408" s="250" t="s">
        <v>3503</v>
      </c>
    </row>
    <row r="409" spans="1:18" ht="15.75" thickBot="1" x14ac:dyDescent="0.3">
      <c r="A409" s="424" t="s">
        <v>4602</v>
      </c>
      <c r="B409" s="82" t="s">
        <v>4602</v>
      </c>
      <c r="C409" s="82" t="str">
        <f t="shared" si="21"/>
        <v>X</v>
      </c>
      <c r="D409" s="425" t="s">
        <v>1661</v>
      </c>
      <c r="E409" s="527"/>
      <c r="F409" s="540"/>
      <c r="G409" s="527"/>
      <c r="H409" s="527"/>
      <c r="I409" s="332">
        <v>515420.78999999992</v>
      </c>
      <c r="J409" s="425"/>
      <c r="K409" s="527"/>
      <c r="L409" s="271">
        <v>2022</v>
      </c>
      <c r="M409" s="227" t="s">
        <v>1890</v>
      </c>
      <c r="N409" s="283" t="s">
        <v>1891</v>
      </c>
      <c r="O409" s="227" t="s">
        <v>6576</v>
      </c>
      <c r="P409" s="227">
        <v>2022</v>
      </c>
      <c r="Q409" s="250" t="s">
        <v>3499</v>
      </c>
      <c r="R409" s="250" t="s">
        <v>3503</v>
      </c>
    </row>
    <row r="410" spans="1:18" ht="15.75" thickBot="1" x14ac:dyDescent="0.3">
      <c r="A410" s="424" t="s">
        <v>4602</v>
      </c>
      <c r="B410" s="82" t="s">
        <v>4602</v>
      </c>
      <c r="C410" s="82" t="str">
        <f t="shared" si="21"/>
        <v>X</v>
      </c>
      <c r="D410" s="425" t="s">
        <v>1661</v>
      </c>
      <c r="E410" s="527"/>
      <c r="F410" s="540"/>
      <c r="G410" s="527"/>
      <c r="H410" s="527"/>
      <c r="I410" s="332">
        <v>752843.5199999999</v>
      </c>
      <c r="J410" s="425"/>
      <c r="K410" s="527"/>
      <c r="L410" s="271">
        <v>2022</v>
      </c>
      <c r="M410" s="227" t="s">
        <v>1890</v>
      </c>
      <c r="N410" s="283" t="s">
        <v>1891</v>
      </c>
      <c r="O410" s="227" t="s">
        <v>6576</v>
      </c>
      <c r="P410" s="227">
        <v>2022</v>
      </c>
      <c r="Q410" s="250" t="s">
        <v>3499</v>
      </c>
      <c r="R410" s="250" t="s">
        <v>3503</v>
      </c>
    </row>
    <row r="411" spans="1:18" ht="15.75" thickBot="1" x14ac:dyDescent="0.3">
      <c r="A411" s="424" t="s">
        <v>4602</v>
      </c>
      <c r="B411" s="82" t="s">
        <v>4602</v>
      </c>
      <c r="C411" s="82" t="str">
        <f t="shared" si="21"/>
        <v>X</v>
      </c>
      <c r="D411" s="425" t="s">
        <v>1661</v>
      </c>
      <c r="E411" s="527"/>
      <c r="F411" s="540"/>
      <c r="G411" s="527"/>
      <c r="H411" s="527"/>
      <c r="I411" s="332">
        <v>215362.24</v>
      </c>
      <c r="J411" s="425"/>
      <c r="K411" s="527"/>
      <c r="L411" s="271">
        <v>2022</v>
      </c>
      <c r="M411" s="227" t="s">
        <v>1890</v>
      </c>
      <c r="N411" s="283" t="s">
        <v>1891</v>
      </c>
      <c r="O411" s="227" t="s">
        <v>6576</v>
      </c>
      <c r="P411" s="227">
        <v>2022</v>
      </c>
      <c r="Q411" s="250" t="s">
        <v>3499</v>
      </c>
      <c r="R411" s="250" t="s">
        <v>3503</v>
      </c>
    </row>
    <row r="412" spans="1:18" ht="15.75" thickBot="1" x14ac:dyDescent="0.3">
      <c r="A412" s="424" t="s">
        <v>4602</v>
      </c>
      <c r="B412" s="82" t="s">
        <v>4602</v>
      </c>
      <c r="C412" s="82" t="str">
        <f t="shared" si="21"/>
        <v>X</v>
      </c>
      <c r="D412" s="425" t="s">
        <v>1661</v>
      </c>
      <c r="E412" s="527"/>
      <c r="F412" s="540"/>
      <c r="G412" s="527"/>
      <c r="H412" s="527"/>
      <c r="I412" s="332">
        <v>489419.75999999995</v>
      </c>
      <c r="J412" s="425"/>
      <c r="K412" s="527"/>
      <c r="L412" s="271">
        <v>2022</v>
      </c>
      <c r="M412" s="227" t="s">
        <v>1890</v>
      </c>
      <c r="N412" s="283" t="s">
        <v>1891</v>
      </c>
      <c r="O412" s="227" t="s">
        <v>6576</v>
      </c>
      <c r="P412" s="227">
        <v>2022</v>
      </c>
      <c r="Q412" s="250" t="s">
        <v>3499</v>
      </c>
      <c r="R412" s="250" t="s">
        <v>3503</v>
      </c>
    </row>
    <row r="413" spans="1:18" ht="15.75" thickBot="1" x14ac:dyDescent="0.3">
      <c r="A413" s="424" t="s">
        <v>4602</v>
      </c>
      <c r="B413" s="82" t="s">
        <v>4602</v>
      </c>
      <c r="C413" s="82" t="str">
        <f t="shared" si="21"/>
        <v>X</v>
      </c>
      <c r="D413" s="425" t="s">
        <v>1661</v>
      </c>
      <c r="E413" s="527"/>
      <c r="F413" s="540"/>
      <c r="G413" s="527"/>
      <c r="H413" s="527"/>
      <c r="I413" s="332">
        <v>384587.45999999996</v>
      </c>
      <c r="J413" s="425"/>
      <c r="K413" s="527"/>
      <c r="L413" s="271">
        <v>2022</v>
      </c>
      <c r="M413" s="227" t="s">
        <v>1890</v>
      </c>
      <c r="N413" s="283" t="s">
        <v>1891</v>
      </c>
      <c r="O413" s="227" t="s">
        <v>6576</v>
      </c>
      <c r="P413" s="227">
        <v>2022</v>
      </c>
      <c r="Q413" s="250" t="s">
        <v>3499</v>
      </c>
      <c r="R413" s="250" t="s">
        <v>3503</v>
      </c>
    </row>
    <row r="414" spans="1:18" ht="15.75" thickBot="1" x14ac:dyDescent="0.3">
      <c r="A414" s="424" t="s">
        <v>4602</v>
      </c>
      <c r="B414" s="82" t="s">
        <v>4602</v>
      </c>
      <c r="C414" s="82" t="str">
        <f t="shared" si="21"/>
        <v>X</v>
      </c>
      <c r="D414" s="83" t="s">
        <v>1661</v>
      </c>
      <c r="E414" s="527"/>
      <c r="F414" s="540"/>
      <c r="G414" s="527"/>
      <c r="H414" s="527"/>
      <c r="I414" s="332">
        <v>977824.06</v>
      </c>
      <c r="J414" s="425"/>
      <c r="K414" s="527"/>
      <c r="L414" s="271">
        <v>2022</v>
      </c>
      <c r="M414" s="227" t="s">
        <v>1890</v>
      </c>
      <c r="N414" s="283" t="s">
        <v>1891</v>
      </c>
      <c r="O414" s="227" t="s">
        <v>6576</v>
      </c>
      <c r="P414" s="227">
        <v>2022</v>
      </c>
      <c r="Q414" s="250" t="s">
        <v>3499</v>
      </c>
      <c r="R414" s="250" t="s">
        <v>3503</v>
      </c>
    </row>
    <row r="415" spans="1:18" ht="15.75" thickBot="1" x14ac:dyDescent="0.3">
      <c r="A415" s="424" t="s">
        <v>4602</v>
      </c>
      <c r="B415" s="82" t="s">
        <v>4602</v>
      </c>
      <c r="C415" s="82" t="str">
        <f t="shared" si="21"/>
        <v>X</v>
      </c>
      <c r="D415" s="83" t="s">
        <v>1661</v>
      </c>
      <c r="E415" s="527"/>
      <c r="F415" s="540"/>
      <c r="G415" s="527"/>
      <c r="H415" s="527"/>
      <c r="I415" s="332">
        <v>648000</v>
      </c>
      <c r="J415" s="425"/>
      <c r="K415" s="527"/>
      <c r="L415" s="271">
        <v>2022</v>
      </c>
      <c r="M415" s="227" t="s">
        <v>1890</v>
      </c>
      <c r="N415" s="283" t="s">
        <v>1891</v>
      </c>
      <c r="O415" s="227" t="s">
        <v>6576</v>
      </c>
      <c r="P415" s="227">
        <v>2022</v>
      </c>
      <c r="Q415" s="250" t="s">
        <v>3499</v>
      </c>
      <c r="R415" s="250" t="s">
        <v>3503</v>
      </c>
    </row>
    <row r="416" spans="1:18" ht="15.75" thickBot="1" x14ac:dyDescent="0.3">
      <c r="A416" s="424" t="s">
        <v>4602</v>
      </c>
      <c r="B416" s="424" t="s">
        <v>4602</v>
      </c>
      <c r="C416" s="82" t="str">
        <f t="shared" si="21"/>
        <v>X</v>
      </c>
      <c r="D416" s="83" t="s">
        <v>1661</v>
      </c>
      <c r="E416" s="527"/>
      <c r="F416" s="540"/>
      <c r="G416" s="527"/>
      <c r="H416" s="527"/>
      <c r="I416" s="332">
        <v>99000</v>
      </c>
      <c r="J416" s="83"/>
      <c r="K416" s="527"/>
      <c r="L416" s="271">
        <v>2022</v>
      </c>
      <c r="M416" s="227" t="s">
        <v>1890</v>
      </c>
      <c r="N416" s="283" t="s">
        <v>1891</v>
      </c>
      <c r="O416" s="227" t="s">
        <v>6576</v>
      </c>
      <c r="P416" s="227">
        <v>2022</v>
      </c>
      <c r="Q416" s="250" t="s">
        <v>3499</v>
      </c>
      <c r="R416" s="250" t="s">
        <v>3503</v>
      </c>
    </row>
    <row r="417" spans="1:18" ht="15.75" thickBot="1" x14ac:dyDescent="0.3">
      <c r="A417" s="424" t="s">
        <v>4602</v>
      </c>
      <c r="B417" s="424" t="s">
        <v>4602</v>
      </c>
      <c r="C417" s="82" t="str">
        <f t="shared" si="21"/>
        <v>X</v>
      </c>
      <c r="D417" s="425" t="s">
        <v>1661</v>
      </c>
      <c r="E417" s="527"/>
      <c r="F417" s="540"/>
      <c r="G417" s="527"/>
      <c r="H417" s="527"/>
      <c r="I417" s="332">
        <v>691861.25999999989</v>
      </c>
      <c r="J417" s="425"/>
      <c r="K417" s="527"/>
      <c r="L417" s="271">
        <v>2022</v>
      </c>
      <c r="M417" s="227" t="s">
        <v>1890</v>
      </c>
      <c r="N417" s="283" t="s">
        <v>1891</v>
      </c>
      <c r="O417" s="227" t="s">
        <v>6576</v>
      </c>
      <c r="P417" s="227">
        <v>2022</v>
      </c>
      <c r="Q417" s="250" t="s">
        <v>3499</v>
      </c>
      <c r="R417" s="250" t="s">
        <v>3503</v>
      </c>
    </row>
    <row r="418" spans="1:18" ht="15.75" thickBot="1" x14ac:dyDescent="0.3">
      <c r="A418" s="424" t="s">
        <v>4602</v>
      </c>
      <c r="B418" s="424" t="s">
        <v>4602</v>
      </c>
      <c r="C418" s="82" t="str">
        <f t="shared" si="21"/>
        <v>X</v>
      </c>
      <c r="D418" s="83" t="s">
        <v>1661</v>
      </c>
      <c r="E418" s="527"/>
      <c r="F418" s="540"/>
      <c r="G418" s="527"/>
      <c r="H418" s="527"/>
      <c r="I418" s="332">
        <v>391675.68000000011</v>
      </c>
      <c r="J418" s="425"/>
      <c r="K418" s="527"/>
      <c r="L418" s="271">
        <v>2022</v>
      </c>
      <c r="M418" s="227" t="s">
        <v>1890</v>
      </c>
      <c r="N418" s="283" t="s">
        <v>1891</v>
      </c>
      <c r="O418" s="227" t="s">
        <v>6576</v>
      </c>
      <c r="P418" s="227">
        <v>2022</v>
      </c>
      <c r="Q418" s="250" t="s">
        <v>3499</v>
      </c>
      <c r="R418" s="250" t="s">
        <v>3503</v>
      </c>
    </row>
    <row r="419" spans="1:18" ht="15.75" thickBot="1" x14ac:dyDescent="0.3">
      <c r="A419" s="424" t="s">
        <v>4602</v>
      </c>
      <c r="B419" s="424" t="s">
        <v>4602</v>
      </c>
      <c r="C419" s="82" t="str">
        <f t="shared" si="21"/>
        <v>X</v>
      </c>
      <c r="D419" s="425" t="s">
        <v>1661</v>
      </c>
      <c r="E419" s="527"/>
      <c r="F419" s="540"/>
      <c r="G419" s="527"/>
      <c r="H419" s="527"/>
      <c r="I419" s="332">
        <v>429531.96000000014</v>
      </c>
      <c r="J419" s="425"/>
      <c r="K419" s="527"/>
      <c r="L419" s="271">
        <v>2022</v>
      </c>
      <c r="M419" s="227" t="s">
        <v>1890</v>
      </c>
      <c r="N419" s="283" t="s">
        <v>1891</v>
      </c>
      <c r="O419" s="227" t="s">
        <v>6576</v>
      </c>
      <c r="P419" s="227">
        <v>2022</v>
      </c>
      <c r="Q419" s="250" t="s">
        <v>3499</v>
      </c>
      <c r="R419" s="250" t="s">
        <v>3503</v>
      </c>
    </row>
    <row r="420" spans="1:18" ht="15.75" thickBot="1" x14ac:dyDescent="0.3">
      <c r="A420" s="424" t="s">
        <v>4602</v>
      </c>
      <c r="B420" s="424" t="s">
        <v>4602</v>
      </c>
      <c r="C420" s="82" t="str">
        <f t="shared" si="21"/>
        <v>X</v>
      </c>
      <c r="D420" s="425" t="s">
        <v>1661</v>
      </c>
      <c r="E420" s="527"/>
      <c r="F420" s="540"/>
      <c r="G420" s="527"/>
      <c r="H420" s="527"/>
      <c r="I420" s="332">
        <v>16587.760000000002</v>
      </c>
      <c r="J420" s="425"/>
      <c r="K420" s="527"/>
      <c r="L420" s="271">
        <v>2022</v>
      </c>
      <c r="M420" s="227" t="s">
        <v>1890</v>
      </c>
      <c r="N420" s="283" t="s">
        <v>1891</v>
      </c>
      <c r="O420" s="227" t="s">
        <v>6576</v>
      </c>
      <c r="P420" s="227">
        <v>2022</v>
      </c>
      <c r="Q420" s="250" t="s">
        <v>3499</v>
      </c>
      <c r="R420" s="250" t="s">
        <v>3503</v>
      </c>
    </row>
    <row r="421" spans="1:18" ht="15.75" thickBot="1" x14ac:dyDescent="0.3">
      <c r="A421" s="424" t="s">
        <v>4602</v>
      </c>
      <c r="B421" s="424" t="s">
        <v>4602</v>
      </c>
      <c r="C421" s="82" t="str">
        <f t="shared" si="21"/>
        <v>X</v>
      </c>
      <c r="D421" s="425" t="s">
        <v>1661</v>
      </c>
      <c r="E421" s="527"/>
      <c r="F421" s="540"/>
      <c r="G421" s="527"/>
      <c r="H421" s="527"/>
      <c r="I421" s="332">
        <v>-34115.839999999997</v>
      </c>
      <c r="J421" s="425"/>
      <c r="K421" s="527"/>
      <c r="L421" s="271">
        <v>2022</v>
      </c>
      <c r="M421" s="227" t="s">
        <v>1890</v>
      </c>
      <c r="N421" s="283" t="s">
        <v>1891</v>
      </c>
      <c r="O421" s="227" t="s">
        <v>6576</v>
      </c>
      <c r="P421" s="227">
        <v>2022</v>
      </c>
      <c r="Q421" s="250" t="s">
        <v>3499</v>
      </c>
      <c r="R421" s="250" t="s">
        <v>3503</v>
      </c>
    </row>
    <row r="422" spans="1:18" ht="15.75" thickBot="1" x14ac:dyDescent="0.3">
      <c r="A422" s="424" t="s">
        <v>4602</v>
      </c>
      <c r="B422" s="424" t="s">
        <v>4602</v>
      </c>
      <c r="C422" s="82" t="str">
        <f t="shared" si="21"/>
        <v>X</v>
      </c>
      <c r="D422" s="425" t="s">
        <v>1661</v>
      </c>
      <c r="E422" s="527"/>
      <c r="F422" s="540"/>
      <c r="G422" s="527"/>
      <c r="H422" s="527"/>
      <c r="I422" s="332">
        <v>212336.26</v>
      </c>
      <c r="J422" s="425"/>
      <c r="K422" s="527"/>
      <c r="L422" s="271">
        <v>2022</v>
      </c>
      <c r="M422" s="227" t="s">
        <v>1890</v>
      </c>
      <c r="N422" s="283" t="s">
        <v>1891</v>
      </c>
      <c r="O422" s="227" t="s">
        <v>6576</v>
      </c>
      <c r="P422" s="227">
        <v>2022</v>
      </c>
      <c r="Q422" s="250" t="s">
        <v>3499</v>
      </c>
      <c r="R422" s="250" t="s">
        <v>3503</v>
      </c>
    </row>
    <row r="423" spans="1:18" ht="15.75" thickBot="1" x14ac:dyDescent="0.3">
      <c r="A423" s="424" t="s">
        <v>4602</v>
      </c>
      <c r="B423" s="424" t="s">
        <v>4602</v>
      </c>
      <c r="C423" s="82" t="str">
        <f t="shared" si="21"/>
        <v>X</v>
      </c>
      <c r="D423" s="83" t="s">
        <v>1661</v>
      </c>
      <c r="E423" s="93"/>
      <c r="F423" s="93"/>
      <c r="G423" s="93"/>
      <c r="H423" s="93"/>
      <c r="I423" s="332">
        <v>29157.9</v>
      </c>
      <c r="J423" s="425"/>
      <c r="K423" s="93"/>
      <c r="L423" s="271">
        <v>2022</v>
      </c>
      <c r="M423" s="227" t="s">
        <v>1890</v>
      </c>
      <c r="N423" s="283" t="s">
        <v>1891</v>
      </c>
      <c r="O423" s="227" t="s">
        <v>6576</v>
      </c>
      <c r="P423" s="227">
        <v>2022</v>
      </c>
      <c r="Q423" s="250" t="s">
        <v>3499</v>
      </c>
      <c r="R423" s="250" t="s">
        <v>3503</v>
      </c>
    </row>
    <row r="424" spans="1:18" ht="15.75" thickBot="1" x14ac:dyDescent="0.3">
      <c r="A424" s="424" t="s">
        <v>4602</v>
      </c>
      <c r="B424" s="424" t="s">
        <v>4602</v>
      </c>
      <c r="C424" s="82" t="str">
        <f t="shared" si="21"/>
        <v>X</v>
      </c>
      <c r="D424" s="425" t="s">
        <v>1661</v>
      </c>
      <c r="E424" s="93"/>
      <c r="F424" s="93"/>
      <c r="G424" s="93"/>
      <c r="H424" s="93"/>
      <c r="I424" s="332">
        <v>30357.429999999997</v>
      </c>
      <c r="J424" s="425"/>
      <c r="K424" s="93"/>
      <c r="L424" s="271">
        <v>2022</v>
      </c>
      <c r="M424" s="227" t="s">
        <v>1890</v>
      </c>
      <c r="N424" s="283" t="s">
        <v>1891</v>
      </c>
      <c r="O424" s="227" t="s">
        <v>6576</v>
      </c>
      <c r="P424" s="227">
        <v>2022</v>
      </c>
      <c r="Q424" s="250" t="s">
        <v>3499</v>
      </c>
      <c r="R424" s="250" t="s">
        <v>3503</v>
      </c>
    </row>
    <row r="425" spans="1:18" ht="15.75" thickBot="1" x14ac:dyDescent="0.3">
      <c r="A425" s="424" t="s">
        <v>4602</v>
      </c>
      <c r="B425" s="424" t="s">
        <v>4602</v>
      </c>
      <c r="C425" s="82" t="str">
        <f t="shared" si="21"/>
        <v>X</v>
      </c>
      <c r="D425" s="425" t="s">
        <v>1661</v>
      </c>
      <c r="E425" s="93"/>
      <c r="F425" s="93"/>
      <c r="G425" s="93"/>
      <c r="H425" s="93"/>
      <c r="I425" s="332">
        <v>6391.75</v>
      </c>
      <c r="J425" s="425"/>
      <c r="K425" s="93"/>
      <c r="L425" s="271">
        <v>2022</v>
      </c>
      <c r="M425" s="227" t="s">
        <v>1890</v>
      </c>
      <c r="N425" s="283" t="s">
        <v>1891</v>
      </c>
      <c r="O425" s="227" t="s">
        <v>6576</v>
      </c>
      <c r="P425" s="227">
        <v>2022</v>
      </c>
      <c r="Q425" s="250" t="s">
        <v>3499</v>
      </c>
      <c r="R425" s="250" t="s">
        <v>3503</v>
      </c>
    </row>
    <row r="426" spans="1:18" ht="15.75" thickBot="1" x14ac:dyDescent="0.3">
      <c r="A426" s="424" t="s">
        <v>4602</v>
      </c>
      <c r="B426" s="424" t="s">
        <v>4602</v>
      </c>
      <c r="C426" s="82" t="str">
        <f t="shared" si="21"/>
        <v>X</v>
      </c>
      <c r="D426" s="425" t="s">
        <v>1661</v>
      </c>
      <c r="E426" s="93"/>
      <c r="F426" s="93"/>
      <c r="G426" s="93"/>
      <c r="H426" s="93"/>
      <c r="I426" s="332">
        <v>2594.5</v>
      </c>
      <c r="J426" s="425"/>
      <c r="K426" s="93"/>
      <c r="L426" s="271">
        <v>2022</v>
      </c>
      <c r="M426" s="227" t="s">
        <v>1890</v>
      </c>
      <c r="N426" s="283" t="s">
        <v>1891</v>
      </c>
      <c r="O426" s="227" t="s">
        <v>6576</v>
      </c>
      <c r="P426" s="227">
        <v>2022</v>
      </c>
      <c r="Q426" s="250" t="s">
        <v>3499</v>
      </c>
      <c r="R426" s="250" t="s">
        <v>3503</v>
      </c>
    </row>
    <row r="427" spans="1:18" ht="15.75" thickBot="1" x14ac:dyDescent="0.3">
      <c r="A427" s="424" t="s">
        <v>4602</v>
      </c>
      <c r="B427" s="424" t="s">
        <v>4602</v>
      </c>
      <c r="C427" s="82" t="str">
        <f t="shared" si="21"/>
        <v>X</v>
      </c>
      <c r="D427" s="83" t="s">
        <v>1661</v>
      </c>
      <c r="E427" s="93"/>
      <c r="F427" s="93"/>
      <c r="G427" s="93"/>
      <c r="H427" s="93"/>
      <c r="I427" s="332">
        <v>13.54</v>
      </c>
      <c r="J427" s="425"/>
      <c r="K427" s="93"/>
      <c r="L427" s="271">
        <v>2022</v>
      </c>
      <c r="M427" s="227" t="s">
        <v>1890</v>
      </c>
      <c r="N427" s="283" t="s">
        <v>1891</v>
      </c>
      <c r="O427" s="227" t="s">
        <v>6576</v>
      </c>
      <c r="P427" s="227">
        <v>2022</v>
      </c>
      <c r="Q427" s="250" t="s">
        <v>3499</v>
      </c>
      <c r="R427" s="250" t="s">
        <v>3503</v>
      </c>
    </row>
    <row r="428" spans="1:18" ht="15.75" thickBot="1" x14ac:dyDescent="0.3">
      <c r="A428" s="424" t="s">
        <v>4602</v>
      </c>
      <c r="B428" s="424" t="s">
        <v>4602</v>
      </c>
      <c r="C428" s="82" t="str">
        <f t="shared" si="21"/>
        <v>X</v>
      </c>
      <c r="D428" s="425" t="s">
        <v>1661</v>
      </c>
      <c r="E428" s="93"/>
      <c r="F428" s="93"/>
      <c r="G428" s="93"/>
      <c r="H428" s="93"/>
      <c r="I428" s="332">
        <v>6137.62</v>
      </c>
      <c r="J428" s="425"/>
      <c r="K428" s="93"/>
      <c r="L428" s="271">
        <v>2022</v>
      </c>
      <c r="M428" s="227" t="s">
        <v>1890</v>
      </c>
      <c r="N428" s="283" t="s">
        <v>1891</v>
      </c>
      <c r="O428" s="227" t="s">
        <v>6576</v>
      </c>
      <c r="P428" s="227">
        <v>2022</v>
      </c>
      <c r="Q428" s="250" t="s">
        <v>3499</v>
      </c>
      <c r="R428" s="250" t="s">
        <v>3503</v>
      </c>
    </row>
    <row r="429" spans="1:18" ht="15.75" thickBot="1" x14ac:dyDescent="0.3">
      <c r="A429" s="424" t="s">
        <v>4602</v>
      </c>
      <c r="B429" s="424" t="s">
        <v>4602</v>
      </c>
      <c r="C429" s="82" t="str">
        <f t="shared" si="21"/>
        <v>X</v>
      </c>
      <c r="D429" s="425" t="s">
        <v>1661</v>
      </c>
      <c r="E429" s="93"/>
      <c r="F429" s="93"/>
      <c r="G429" s="93"/>
      <c r="H429" s="93"/>
      <c r="I429" s="332">
        <v>61621.67</v>
      </c>
      <c r="J429" s="425"/>
      <c r="K429" s="93"/>
      <c r="L429" s="271">
        <v>2022</v>
      </c>
      <c r="M429" s="227" t="s">
        <v>1890</v>
      </c>
      <c r="N429" s="283" t="s">
        <v>1891</v>
      </c>
      <c r="O429" s="227" t="s">
        <v>6576</v>
      </c>
      <c r="P429" s="227">
        <v>2022</v>
      </c>
      <c r="Q429" s="250" t="s">
        <v>3499</v>
      </c>
      <c r="R429" s="250" t="s">
        <v>3503</v>
      </c>
    </row>
    <row r="430" spans="1:18" ht="15.75" thickBot="1" x14ac:dyDescent="0.3">
      <c r="A430" s="424" t="s">
        <v>4602</v>
      </c>
      <c r="B430" s="424" t="s">
        <v>4602</v>
      </c>
      <c r="C430" s="82" t="str">
        <f t="shared" si="21"/>
        <v>X</v>
      </c>
      <c r="D430" s="425" t="s">
        <v>1661</v>
      </c>
      <c r="E430" s="93"/>
      <c r="F430" s="93"/>
      <c r="G430" s="93"/>
      <c r="H430" s="93"/>
      <c r="I430" s="332">
        <v>36992.04</v>
      </c>
      <c r="J430" s="425"/>
      <c r="K430" s="93"/>
      <c r="L430" s="271">
        <v>2022</v>
      </c>
      <c r="M430" s="227" t="s">
        <v>1890</v>
      </c>
      <c r="N430" s="283" t="s">
        <v>1891</v>
      </c>
      <c r="O430" s="227" t="s">
        <v>6576</v>
      </c>
      <c r="P430" s="227">
        <v>2022</v>
      </c>
      <c r="Q430" s="250" t="s">
        <v>3499</v>
      </c>
      <c r="R430" s="250" t="s">
        <v>3503</v>
      </c>
    </row>
    <row r="431" spans="1:18" ht="15.75" thickBot="1" x14ac:dyDescent="0.3">
      <c r="A431" s="424" t="s">
        <v>4602</v>
      </c>
      <c r="B431" s="424" t="s">
        <v>4602</v>
      </c>
      <c r="C431" s="82" t="str">
        <f t="shared" si="21"/>
        <v>X</v>
      </c>
      <c r="D431" s="425" t="s">
        <v>1661</v>
      </c>
      <c r="E431" s="93"/>
      <c r="F431" s="93"/>
      <c r="G431" s="93"/>
      <c r="H431" s="93"/>
      <c r="I431" s="332">
        <v>237273.28</v>
      </c>
      <c r="J431" s="425"/>
      <c r="K431" s="93"/>
      <c r="L431" s="271">
        <v>2022</v>
      </c>
      <c r="M431" s="227" t="s">
        <v>1890</v>
      </c>
      <c r="N431" s="283" t="s">
        <v>1891</v>
      </c>
      <c r="O431" s="227" t="s">
        <v>6576</v>
      </c>
      <c r="P431" s="227">
        <v>2022</v>
      </c>
      <c r="Q431" s="250" t="s">
        <v>3499</v>
      </c>
      <c r="R431" s="250" t="s">
        <v>3503</v>
      </c>
    </row>
    <row r="432" spans="1:18" ht="15.75" thickBot="1" x14ac:dyDescent="0.3">
      <c r="A432" s="424" t="s">
        <v>4602</v>
      </c>
      <c r="B432" s="424" t="s">
        <v>4602</v>
      </c>
      <c r="C432" s="424" t="str">
        <f t="shared" si="21"/>
        <v>X</v>
      </c>
      <c r="D432" s="425" t="s">
        <v>1661</v>
      </c>
      <c r="E432" s="93"/>
      <c r="F432" s="93"/>
      <c r="G432" s="93"/>
      <c r="H432" s="93"/>
      <c r="I432" s="332">
        <v>223266.74</v>
      </c>
      <c r="J432" s="425"/>
      <c r="K432" s="93"/>
      <c r="L432" s="271">
        <v>2022</v>
      </c>
      <c r="M432" s="227" t="s">
        <v>1890</v>
      </c>
      <c r="N432" s="283" t="s">
        <v>1891</v>
      </c>
      <c r="O432" s="227" t="s">
        <v>6576</v>
      </c>
      <c r="P432" s="227">
        <v>2022</v>
      </c>
      <c r="Q432" s="250" t="s">
        <v>3499</v>
      </c>
      <c r="R432" s="250" t="s">
        <v>3503</v>
      </c>
    </row>
    <row r="433" spans="1:18" ht="15.75" thickBot="1" x14ac:dyDescent="0.3">
      <c r="A433" s="424" t="s">
        <v>4602</v>
      </c>
      <c r="B433" s="424" t="s">
        <v>4602</v>
      </c>
      <c r="C433" s="82" t="str">
        <f t="shared" si="21"/>
        <v>X</v>
      </c>
      <c r="D433" s="425" t="s">
        <v>1661</v>
      </c>
      <c r="E433" s="93"/>
      <c r="F433" s="93"/>
      <c r="G433" s="93"/>
      <c r="H433" s="93"/>
      <c r="I433" s="332">
        <v>11588.35</v>
      </c>
      <c r="J433" s="425"/>
      <c r="K433" s="93"/>
      <c r="L433" s="271">
        <v>2022</v>
      </c>
      <c r="M433" s="227" t="s">
        <v>1890</v>
      </c>
      <c r="N433" s="283" t="s">
        <v>1891</v>
      </c>
      <c r="O433" s="227" t="s">
        <v>6576</v>
      </c>
      <c r="P433" s="227">
        <v>2022</v>
      </c>
      <c r="Q433" s="250" t="s">
        <v>3499</v>
      </c>
      <c r="R433" s="250" t="s">
        <v>3503</v>
      </c>
    </row>
    <row r="434" spans="1:18" ht="15.75" thickBot="1" x14ac:dyDescent="0.3">
      <c r="A434" s="424" t="s">
        <v>4590</v>
      </c>
      <c r="B434" s="424" t="s">
        <v>4590</v>
      </c>
      <c r="C434" s="82" t="str">
        <f t="shared" si="21"/>
        <v>X</v>
      </c>
      <c r="D434" s="83" t="s">
        <v>1653</v>
      </c>
      <c r="E434" s="567">
        <v>83</v>
      </c>
      <c r="F434" s="570" t="s">
        <v>586</v>
      </c>
      <c r="G434" s="529"/>
      <c r="H434" s="529"/>
      <c r="I434" s="332">
        <v>14932.050000000001</v>
      </c>
      <c r="J434" s="83"/>
      <c r="K434" s="458"/>
      <c r="L434" s="271">
        <v>2022</v>
      </c>
      <c r="M434" s="227" t="s">
        <v>1890</v>
      </c>
      <c r="N434" s="227" t="s">
        <v>1891</v>
      </c>
      <c r="O434" s="227" t="s">
        <v>6576</v>
      </c>
      <c r="P434" s="227">
        <v>2022</v>
      </c>
      <c r="Q434" s="250" t="s">
        <v>3499</v>
      </c>
      <c r="R434" s="250" t="s">
        <v>3503</v>
      </c>
    </row>
    <row r="435" spans="1:18" ht="15.75" thickBot="1" x14ac:dyDescent="0.3">
      <c r="A435" s="424" t="s">
        <v>4590</v>
      </c>
      <c r="B435" s="424" t="s">
        <v>4590</v>
      </c>
      <c r="C435" s="82" t="str">
        <f t="shared" si="21"/>
        <v>X</v>
      </c>
      <c r="D435" s="83" t="s">
        <v>1653</v>
      </c>
      <c r="E435" s="567">
        <v>48</v>
      </c>
      <c r="F435" s="570" t="s">
        <v>586</v>
      </c>
      <c r="G435" s="529"/>
      <c r="H435" s="529"/>
      <c r="I435" s="332">
        <v>1695.45</v>
      </c>
      <c r="J435" s="83"/>
      <c r="K435" s="458"/>
      <c r="L435" s="271">
        <v>2022</v>
      </c>
      <c r="M435" s="227" t="s">
        <v>1890</v>
      </c>
      <c r="N435" s="227" t="s">
        <v>1891</v>
      </c>
      <c r="O435" s="227" t="s">
        <v>6576</v>
      </c>
      <c r="P435" s="227">
        <v>2022</v>
      </c>
      <c r="Q435" s="250" t="s">
        <v>3499</v>
      </c>
      <c r="R435" s="250" t="s">
        <v>3503</v>
      </c>
    </row>
    <row r="436" spans="1:18" ht="15.75" thickBot="1" x14ac:dyDescent="0.3">
      <c r="A436" s="424" t="s">
        <v>4590</v>
      </c>
      <c r="B436" s="424" t="s">
        <v>4590</v>
      </c>
      <c r="C436" s="424" t="str">
        <f t="shared" si="21"/>
        <v>X</v>
      </c>
      <c r="D436" s="425" t="s">
        <v>1653</v>
      </c>
      <c r="E436" s="567">
        <v>28</v>
      </c>
      <c r="F436" s="570" t="s">
        <v>586</v>
      </c>
      <c r="G436" s="529"/>
      <c r="H436" s="529"/>
      <c r="I436" s="332">
        <v>104.08</v>
      </c>
      <c r="J436" s="425"/>
      <c r="K436" s="458"/>
      <c r="L436" s="271">
        <v>2022</v>
      </c>
      <c r="M436" s="227" t="s">
        <v>1890</v>
      </c>
      <c r="N436" s="227" t="s">
        <v>1891</v>
      </c>
      <c r="O436" s="227" t="s">
        <v>6576</v>
      </c>
      <c r="P436" s="227">
        <v>2022</v>
      </c>
      <c r="Q436" s="250" t="s">
        <v>3499</v>
      </c>
      <c r="R436" s="250" t="s">
        <v>3503</v>
      </c>
    </row>
    <row r="437" spans="1:18" ht="15.75" thickBot="1" x14ac:dyDescent="0.3">
      <c r="A437" s="424" t="s">
        <v>4590</v>
      </c>
      <c r="B437" s="424" t="s">
        <v>4590</v>
      </c>
      <c r="C437" s="82" t="str">
        <f t="shared" si="21"/>
        <v>X</v>
      </c>
      <c r="D437" s="425" t="s">
        <v>1654</v>
      </c>
      <c r="E437" s="567">
        <v>3271.2000000000003</v>
      </c>
      <c r="F437" s="570" t="s">
        <v>586</v>
      </c>
      <c r="G437" s="529"/>
      <c r="H437" s="529"/>
      <c r="I437" s="332">
        <v>22405.699999999993</v>
      </c>
      <c r="J437" s="425"/>
      <c r="K437" s="458" t="s">
        <v>3031</v>
      </c>
      <c r="L437" s="271">
        <v>2022</v>
      </c>
      <c r="M437" s="227" t="s">
        <v>1890</v>
      </c>
      <c r="N437" s="227" t="s">
        <v>1891</v>
      </c>
      <c r="O437" s="227" t="s">
        <v>6576</v>
      </c>
      <c r="P437" s="227">
        <v>2022</v>
      </c>
      <c r="Q437" s="250" t="s">
        <v>3499</v>
      </c>
      <c r="R437" s="250" t="s">
        <v>3503</v>
      </c>
    </row>
    <row r="438" spans="1:18" ht="15.75" thickBot="1" x14ac:dyDescent="0.3">
      <c r="A438" s="424" t="s">
        <v>4590</v>
      </c>
      <c r="B438" s="424" t="s">
        <v>4590</v>
      </c>
      <c r="C438" s="82" t="str">
        <f t="shared" si="21"/>
        <v>X</v>
      </c>
      <c r="D438" s="83" t="s">
        <v>1654</v>
      </c>
      <c r="E438" s="567">
        <v>403</v>
      </c>
      <c r="F438" s="570" t="s">
        <v>586</v>
      </c>
      <c r="G438" s="529"/>
      <c r="H438" s="529"/>
      <c r="I438" s="332">
        <v>87.820000000000007</v>
      </c>
      <c r="J438" s="425"/>
      <c r="K438" s="458" t="s">
        <v>3040</v>
      </c>
      <c r="L438" s="271">
        <v>2022</v>
      </c>
      <c r="M438" s="227" t="s">
        <v>1890</v>
      </c>
      <c r="N438" s="227" t="s">
        <v>1891</v>
      </c>
      <c r="O438" s="227" t="s">
        <v>6576</v>
      </c>
      <c r="P438" s="227">
        <v>2022</v>
      </c>
      <c r="Q438" s="250" t="s">
        <v>3499</v>
      </c>
      <c r="R438" s="250" t="s">
        <v>3503</v>
      </c>
    </row>
    <row r="439" spans="1:18" ht="15.75" thickBot="1" x14ac:dyDescent="0.3">
      <c r="A439" s="424" t="s">
        <v>4590</v>
      </c>
      <c r="B439" s="424" t="s">
        <v>4590</v>
      </c>
      <c r="C439" s="82" t="str">
        <f t="shared" si="21"/>
        <v>X</v>
      </c>
      <c r="D439" s="425" t="s">
        <v>1654</v>
      </c>
      <c r="E439" s="567">
        <v>1653.4</v>
      </c>
      <c r="F439" s="570" t="s">
        <v>586</v>
      </c>
      <c r="G439" s="529"/>
      <c r="H439" s="529"/>
      <c r="I439" s="332">
        <v>27256.999999999993</v>
      </c>
      <c r="J439" s="425"/>
      <c r="K439" s="458" t="s">
        <v>3048</v>
      </c>
      <c r="L439" s="271">
        <v>2022</v>
      </c>
      <c r="M439" s="227" t="s">
        <v>1890</v>
      </c>
      <c r="N439" s="227" t="s">
        <v>1891</v>
      </c>
      <c r="O439" s="227" t="s">
        <v>6576</v>
      </c>
      <c r="P439" s="227">
        <v>2022</v>
      </c>
      <c r="Q439" s="250" t="s">
        <v>3499</v>
      </c>
      <c r="R439" s="250" t="s">
        <v>3503</v>
      </c>
    </row>
    <row r="440" spans="1:18" ht="15.75" thickBot="1" x14ac:dyDescent="0.3">
      <c r="A440" s="424" t="s">
        <v>4590</v>
      </c>
      <c r="B440" s="424" t="s">
        <v>4590</v>
      </c>
      <c r="C440" s="82" t="str">
        <f t="shared" si="21"/>
        <v>X</v>
      </c>
      <c r="D440" s="425" t="s">
        <v>1654</v>
      </c>
      <c r="E440" s="567">
        <v>5</v>
      </c>
      <c r="F440" s="570" t="s">
        <v>586</v>
      </c>
      <c r="G440" s="529"/>
      <c r="H440" s="529"/>
      <c r="I440" s="332">
        <v>132.5</v>
      </c>
      <c r="J440" s="425"/>
      <c r="K440" s="458" t="s">
        <v>3049</v>
      </c>
      <c r="L440" s="271">
        <v>2022</v>
      </c>
      <c r="M440" s="227" t="s">
        <v>1890</v>
      </c>
      <c r="N440" s="227" t="s">
        <v>1891</v>
      </c>
      <c r="O440" s="227" t="s">
        <v>6576</v>
      </c>
      <c r="P440" s="227">
        <v>2022</v>
      </c>
      <c r="Q440" s="250" t="s">
        <v>3499</v>
      </c>
      <c r="R440" s="250" t="s">
        <v>3503</v>
      </c>
    </row>
    <row r="441" spans="1:18" ht="15.75" thickBot="1" x14ac:dyDescent="0.3">
      <c r="A441" s="424" t="s">
        <v>4590</v>
      </c>
      <c r="B441" s="424" t="s">
        <v>4590</v>
      </c>
      <c r="C441" s="82" t="str">
        <f t="shared" si="21"/>
        <v>X</v>
      </c>
      <c r="D441" s="425" t="s">
        <v>1654</v>
      </c>
      <c r="E441" s="567">
        <v>205</v>
      </c>
      <c r="F441" s="570" t="s">
        <v>586</v>
      </c>
      <c r="G441" s="529"/>
      <c r="H441" s="529"/>
      <c r="I441" s="332">
        <v>30.810000000000002</v>
      </c>
      <c r="J441" s="425"/>
      <c r="K441" s="458"/>
      <c r="L441" s="271">
        <v>2022</v>
      </c>
      <c r="M441" s="227" t="s">
        <v>1890</v>
      </c>
      <c r="N441" s="227" t="s">
        <v>1891</v>
      </c>
      <c r="O441" s="227" t="s">
        <v>6576</v>
      </c>
      <c r="P441" s="227">
        <v>2022</v>
      </c>
      <c r="Q441" s="250" t="s">
        <v>3499</v>
      </c>
      <c r="R441" s="250" t="s">
        <v>3503</v>
      </c>
    </row>
    <row r="442" spans="1:18" ht="15.75" thickBot="1" x14ac:dyDescent="0.3">
      <c r="A442" s="424" t="s">
        <v>4590</v>
      </c>
      <c r="B442" s="424" t="s">
        <v>4590</v>
      </c>
      <c r="C442" s="82" t="str">
        <f t="shared" si="21"/>
        <v>X</v>
      </c>
      <c r="D442" s="425" t="s">
        <v>1654</v>
      </c>
      <c r="E442" s="567">
        <v>13400</v>
      </c>
      <c r="F442" s="570" t="s">
        <v>586</v>
      </c>
      <c r="G442" s="529"/>
      <c r="H442" s="529"/>
      <c r="I442" s="332">
        <v>862.45999999999992</v>
      </c>
      <c r="J442" s="425"/>
      <c r="K442" s="458" t="s">
        <v>3050</v>
      </c>
      <c r="L442" s="271">
        <v>2022</v>
      </c>
      <c r="M442" s="227" t="s">
        <v>1890</v>
      </c>
      <c r="N442" s="227" t="s">
        <v>1891</v>
      </c>
      <c r="O442" s="227" t="s">
        <v>6576</v>
      </c>
      <c r="P442" s="227">
        <v>2022</v>
      </c>
      <c r="Q442" s="250" t="s">
        <v>3499</v>
      </c>
      <c r="R442" s="250" t="s">
        <v>3503</v>
      </c>
    </row>
    <row r="443" spans="1:18" ht="15.75" thickBot="1" x14ac:dyDescent="0.3">
      <c r="A443" s="424" t="s">
        <v>4590</v>
      </c>
      <c r="B443" s="424" t="s">
        <v>4590</v>
      </c>
      <c r="C443" s="82" t="str">
        <f t="shared" si="21"/>
        <v>X</v>
      </c>
      <c r="D443" s="425" t="s">
        <v>1654</v>
      </c>
      <c r="E443" s="567">
        <v>616</v>
      </c>
      <c r="F443" s="570" t="s">
        <v>586</v>
      </c>
      <c r="G443" s="529"/>
      <c r="H443" s="529"/>
      <c r="I443" s="332">
        <v>1235.2</v>
      </c>
      <c r="J443" s="425"/>
      <c r="K443" s="458" t="s">
        <v>3051</v>
      </c>
      <c r="L443" s="271">
        <v>2022</v>
      </c>
      <c r="M443" s="227" t="s">
        <v>1890</v>
      </c>
      <c r="N443" s="227" t="s">
        <v>1891</v>
      </c>
      <c r="O443" s="227" t="s">
        <v>6576</v>
      </c>
      <c r="P443" s="227">
        <v>2022</v>
      </c>
      <c r="Q443" s="250" t="s">
        <v>3499</v>
      </c>
      <c r="R443" s="250" t="s">
        <v>3503</v>
      </c>
    </row>
    <row r="444" spans="1:18" ht="15.75" thickBot="1" x14ac:dyDescent="0.3">
      <c r="A444" s="424" t="s">
        <v>4590</v>
      </c>
      <c r="B444" s="424" t="s">
        <v>4590</v>
      </c>
      <c r="C444" s="82" t="str">
        <f t="shared" si="21"/>
        <v>X</v>
      </c>
      <c r="D444" s="425" t="s">
        <v>1654</v>
      </c>
      <c r="E444" s="567">
        <v>358</v>
      </c>
      <c r="F444" s="570" t="s">
        <v>586</v>
      </c>
      <c r="G444" s="529"/>
      <c r="H444" s="529"/>
      <c r="I444" s="332">
        <v>2316.54</v>
      </c>
      <c r="J444" s="425"/>
      <c r="K444" s="458" t="s">
        <v>3052</v>
      </c>
      <c r="L444" s="271">
        <v>2022</v>
      </c>
      <c r="M444" s="227" t="s">
        <v>1890</v>
      </c>
      <c r="N444" s="227" t="s">
        <v>1891</v>
      </c>
      <c r="O444" s="227" t="s">
        <v>6576</v>
      </c>
      <c r="P444" s="227">
        <v>2022</v>
      </c>
      <c r="Q444" s="250" t="s">
        <v>3499</v>
      </c>
      <c r="R444" s="250" t="s">
        <v>3503</v>
      </c>
    </row>
    <row r="445" spans="1:18" ht="15.75" thickBot="1" x14ac:dyDescent="0.3">
      <c r="A445" s="424" t="s">
        <v>4590</v>
      </c>
      <c r="B445" s="424" t="s">
        <v>4590</v>
      </c>
      <c r="C445" s="82" t="str">
        <f t="shared" si="21"/>
        <v>X</v>
      </c>
      <c r="D445" s="425" t="s">
        <v>1654</v>
      </c>
      <c r="E445" s="567">
        <v>335</v>
      </c>
      <c r="F445" s="570" t="s">
        <v>586</v>
      </c>
      <c r="G445" s="529"/>
      <c r="H445" s="529"/>
      <c r="I445" s="332">
        <v>7609.5700000000015</v>
      </c>
      <c r="J445" s="425"/>
      <c r="K445" s="458" t="s">
        <v>3053</v>
      </c>
      <c r="L445" s="271">
        <v>2022</v>
      </c>
      <c r="M445" s="227" t="s">
        <v>1890</v>
      </c>
      <c r="N445" s="227" t="s">
        <v>1891</v>
      </c>
      <c r="O445" s="227" t="s">
        <v>6576</v>
      </c>
      <c r="P445" s="227">
        <v>2022</v>
      </c>
      <c r="Q445" s="250" t="s">
        <v>3499</v>
      </c>
      <c r="R445" s="250" t="s">
        <v>3503</v>
      </c>
    </row>
    <row r="446" spans="1:18" ht="15.75" thickBot="1" x14ac:dyDescent="0.3">
      <c r="A446" s="424" t="s">
        <v>4590</v>
      </c>
      <c r="B446" s="424" t="s">
        <v>4590</v>
      </c>
      <c r="C446" s="82" t="str">
        <f t="shared" si="21"/>
        <v>X</v>
      </c>
      <c r="D446" s="425" t="s">
        <v>1654</v>
      </c>
      <c r="E446" s="567">
        <v>1450</v>
      </c>
      <c r="F446" s="570" t="s">
        <v>586</v>
      </c>
      <c r="G446" s="529"/>
      <c r="H446" s="529"/>
      <c r="I446" s="332">
        <v>8398.7499999999982</v>
      </c>
      <c r="J446" s="425"/>
      <c r="K446" s="458" t="s">
        <v>3054</v>
      </c>
      <c r="L446" s="271">
        <v>2022</v>
      </c>
      <c r="M446" s="227" t="s">
        <v>1890</v>
      </c>
      <c r="N446" s="227" t="s">
        <v>1891</v>
      </c>
      <c r="O446" s="227" t="s">
        <v>6576</v>
      </c>
      <c r="P446" s="227">
        <v>2022</v>
      </c>
      <c r="Q446" s="250" t="s">
        <v>3499</v>
      </c>
      <c r="R446" s="250" t="s">
        <v>3503</v>
      </c>
    </row>
    <row r="447" spans="1:18" ht="15.75" thickBot="1" x14ac:dyDescent="0.3">
      <c r="A447" s="424" t="s">
        <v>4590</v>
      </c>
      <c r="B447" s="424" t="s">
        <v>4590</v>
      </c>
      <c r="C447" s="82" t="str">
        <f t="shared" si="21"/>
        <v>X</v>
      </c>
      <c r="D447" s="425" t="s">
        <v>1654</v>
      </c>
      <c r="E447" s="567">
        <v>3060</v>
      </c>
      <c r="F447" s="570" t="s">
        <v>586</v>
      </c>
      <c r="G447" s="529"/>
      <c r="H447" s="529"/>
      <c r="I447" s="332">
        <v>6640.4800000000005</v>
      </c>
      <c r="J447" s="425"/>
      <c r="K447" s="458" t="s">
        <v>3055</v>
      </c>
      <c r="L447" s="271">
        <v>2022</v>
      </c>
      <c r="M447" s="227" t="s">
        <v>1890</v>
      </c>
      <c r="N447" s="227" t="s">
        <v>1891</v>
      </c>
      <c r="O447" s="227" t="s">
        <v>6576</v>
      </c>
      <c r="P447" s="227">
        <v>2022</v>
      </c>
      <c r="Q447" s="250" t="s">
        <v>3499</v>
      </c>
      <c r="R447" s="250" t="s">
        <v>3503</v>
      </c>
    </row>
    <row r="448" spans="1:18" ht="15.75" thickBot="1" x14ac:dyDescent="0.3">
      <c r="A448" s="424" t="s">
        <v>4590</v>
      </c>
      <c r="B448" s="424" t="s">
        <v>4590</v>
      </c>
      <c r="C448" s="82" t="str">
        <f t="shared" si="21"/>
        <v>X</v>
      </c>
      <c r="D448" s="425" t="s">
        <v>1654</v>
      </c>
      <c r="E448" s="567">
        <v>86</v>
      </c>
      <c r="F448" s="570" t="s">
        <v>586</v>
      </c>
      <c r="G448" s="529"/>
      <c r="H448" s="529"/>
      <c r="I448" s="332">
        <v>65.33</v>
      </c>
      <c r="J448" s="425"/>
      <c r="K448" s="458" t="s">
        <v>3056</v>
      </c>
      <c r="L448" s="271">
        <v>2022</v>
      </c>
      <c r="M448" s="227" t="s">
        <v>1890</v>
      </c>
      <c r="N448" s="227" t="s">
        <v>1891</v>
      </c>
      <c r="O448" s="227" t="s">
        <v>6576</v>
      </c>
      <c r="P448" s="227">
        <v>2022</v>
      </c>
      <c r="Q448" s="250" t="s">
        <v>3499</v>
      </c>
      <c r="R448" s="250" t="s">
        <v>3503</v>
      </c>
    </row>
    <row r="449" spans="1:18" ht="15.75" thickBot="1" x14ac:dyDescent="0.3">
      <c r="A449" s="424" t="s">
        <v>4590</v>
      </c>
      <c r="B449" s="424" t="s">
        <v>4590</v>
      </c>
      <c r="C449" s="82" t="str">
        <f t="shared" si="21"/>
        <v>X</v>
      </c>
      <c r="D449" s="425" t="s">
        <v>2982</v>
      </c>
      <c r="E449" s="567">
        <v>789</v>
      </c>
      <c r="F449" s="570" t="s">
        <v>586</v>
      </c>
      <c r="G449" s="529"/>
      <c r="H449" s="529"/>
      <c r="I449" s="332">
        <v>14903.85</v>
      </c>
      <c r="J449" s="425"/>
      <c r="K449" s="458" t="s">
        <v>3032</v>
      </c>
      <c r="L449" s="271">
        <v>2022</v>
      </c>
      <c r="M449" s="227" t="s">
        <v>1890</v>
      </c>
      <c r="N449" s="227" t="s">
        <v>1891</v>
      </c>
      <c r="O449" s="227" t="s">
        <v>6576</v>
      </c>
      <c r="P449" s="227">
        <v>2022</v>
      </c>
      <c r="Q449" s="250" t="s">
        <v>3499</v>
      </c>
      <c r="R449" s="250" t="s">
        <v>3503</v>
      </c>
    </row>
    <row r="450" spans="1:18" ht="15.75" thickBot="1" x14ac:dyDescent="0.3">
      <c r="A450" s="424" t="s">
        <v>4590</v>
      </c>
      <c r="B450" s="424" t="s">
        <v>4590</v>
      </c>
      <c r="C450" s="82" t="str">
        <f t="shared" si="21"/>
        <v>X</v>
      </c>
      <c r="D450" s="425" t="s">
        <v>2982</v>
      </c>
      <c r="E450" s="567">
        <v>147</v>
      </c>
      <c r="F450" s="570" t="s">
        <v>586</v>
      </c>
      <c r="G450" s="529"/>
      <c r="H450" s="529"/>
      <c r="I450" s="332">
        <v>5737.57</v>
      </c>
      <c r="J450" s="425"/>
      <c r="K450" s="458" t="s">
        <v>3033</v>
      </c>
      <c r="L450" s="271">
        <v>2022</v>
      </c>
      <c r="M450" s="227" t="s">
        <v>1890</v>
      </c>
      <c r="N450" s="227" t="s">
        <v>1891</v>
      </c>
      <c r="O450" s="227" t="s">
        <v>6576</v>
      </c>
      <c r="P450" s="227">
        <v>2022</v>
      </c>
      <c r="Q450" s="250" t="s">
        <v>3499</v>
      </c>
      <c r="R450" s="250" t="s">
        <v>3503</v>
      </c>
    </row>
    <row r="451" spans="1:18" ht="15.75" thickBot="1" x14ac:dyDescent="0.3">
      <c r="A451" s="424" t="s">
        <v>4590</v>
      </c>
      <c r="B451" s="424" t="s">
        <v>4590</v>
      </c>
      <c r="C451" s="82" t="str">
        <f t="shared" ref="C451:C514" si="22">IF(A451=B451,"X",RIGHT(A451,LEN(A451)-LEN(B451)-3))</f>
        <v>X</v>
      </c>
      <c r="D451" s="425" t="s">
        <v>1656</v>
      </c>
      <c r="E451" s="567">
        <v>358.72</v>
      </c>
      <c r="F451" s="570" t="s">
        <v>586</v>
      </c>
      <c r="G451" s="529"/>
      <c r="H451" s="529"/>
      <c r="I451" s="332">
        <v>1200.17</v>
      </c>
      <c r="J451" s="425"/>
      <c r="K451" s="458" t="s">
        <v>3041</v>
      </c>
      <c r="L451" s="271">
        <v>2022</v>
      </c>
      <c r="M451" s="227" t="s">
        <v>1890</v>
      </c>
      <c r="N451" s="227" t="s">
        <v>1891</v>
      </c>
      <c r="O451" s="227" t="s">
        <v>6576</v>
      </c>
      <c r="P451" s="227">
        <v>2022</v>
      </c>
      <c r="Q451" s="250" t="s">
        <v>3499</v>
      </c>
      <c r="R451" s="250" t="s">
        <v>3503</v>
      </c>
    </row>
    <row r="452" spans="1:18" ht="15.75" thickBot="1" x14ac:dyDescent="0.3">
      <c r="A452" s="424" t="s">
        <v>4590</v>
      </c>
      <c r="B452" s="424" t="s">
        <v>4590</v>
      </c>
      <c r="C452" s="82" t="str">
        <f t="shared" si="22"/>
        <v>X</v>
      </c>
      <c r="D452" s="425" t="s">
        <v>1658</v>
      </c>
      <c r="E452" s="567">
        <v>97197.28</v>
      </c>
      <c r="F452" s="570" t="s">
        <v>586</v>
      </c>
      <c r="G452" s="529"/>
      <c r="H452" s="529"/>
      <c r="I452" s="332">
        <v>294930.30000000005</v>
      </c>
      <c r="J452" s="425"/>
      <c r="K452" s="458" t="s">
        <v>3042</v>
      </c>
      <c r="L452" s="271">
        <v>2022</v>
      </c>
      <c r="M452" s="227" t="s">
        <v>1890</v>
      </c>
      <c r="N452" s="227" t="s">
        <v>1891</v>
      </c>
      <c r="O452" s="227" t="s">
        <v>6576</v>
      </c>
      <c r="P452" s="227">
        <v>2022</v>
      </c>
      <c r="Q452" s="250" t="s">
        <v>3499</v>
      </c>
      <c r="R452" s="250" t="s">
        <v>3503</v>
      </c>
    </row>
    <row r="453" spans="1:18" ht="15.75" thickBot="1" x14ac:dyDescent="0.3">
      <c r="A453" s="424" t="s">
        <v>4590</v>
      </c>
      <c r="B453" s="424" t="s">
        <v>4590</v>
      </c>
      <c r="C453" s="82" t="str">
        <f t="shared" si="22"/>
        <v>X</v>
      </c>
      <c r="D453" s="425" t="s">
        <v>1658</v>
      </c>
      <c r="E453" s="567">
        <v>39</v>
      </c>
      <c r="F453" s="570" t="s">
        <v>586</v>
      </c>
      <c r="G453" s="529"/>
      <c r="H453" s="529"/>
      <c r="I453" s="332">
        <v>819.41000000000008</v>
      </c>
      <c r="J453" s="425"/>
      <c r="K453" s="458" t="s">
        <v>3043</v>
      </c>
      <c r="L453" s="271">
        <v>2022</v>
      </c>
      <c r="M453" s="227" t="s">
        <v>1890</v>
      </c>
      <c r="N453" s="227" t="s">
        <v>1891</v>
      </c>
      <c r="O453" s="227" t="s">
        <v>6576</v>
      </c>
      <c r="P453" s="227">
        <v>2022</v>
      </c>
      <c r="Q453" s="250" t="s">
        <v>3499</v>
      </c>
      <c r="R453" s="250" t="s">
        <v>3503</v>
      </c>
    </row>
    <row r="454" spans="1:18" ht="15.75" thickBot="1" x14ac:dyDescent="0.3">
      <c r="A454" s="424" t="s">
        <v>4590</v>
      </c>
      <c r="B454" s="424" t="s">
        <v>4590</v>
      </c>
      <c r="C454" s="82" t="str">
        <f t="shared" si="22"/>
        <v>X</v>
      </c>
      <c r="D454" s="83" t="s">
        <v>1658</v>
      </c>
      <c r="E454" s="567">
        <v>1299</v>
      </c>
      <c r="F454" s="570" t="s">
        <v>586</v>
      </c>
      <c r="G454" s="529"/>
      <c r="H454" s="529"/>
      <c r="I454" s="332">
        <v>60198.35000000002</v>
      </c>
      <c r="J454" s="425"/>
      <c r="K454" s="458" t="s">
        <v>3044</v>
      </c>
      <c r="L454" s="271">
        <v>2022</v>
      </c>
      <c r="M454" s="227" t="s">
        <v>1890</v>
      </c>
      <c r="N454" s="227" t="s">
        <v>1891</v>
      </c>
      <c r="O454" s="227" t="s">
        <v>6576</v>
      </c>
      <c r="P454" s="227">
        <v>2022</v>
      </c>
      <c r="Q454" s="250" t="s">
        <v>3499</v>
      </c>
      <c r="R454" s="250" t="s">
        <v>3503</v>
      </c>
    </row>
    <row r="455" spans="1:18" ht="15.75" thickBot="1" x14ac:dyDescent="0.3">
      <c r="A455" s="424" t="s">
        <v>4590</v>
      </c>
      <c r="B455" s="424" t="s">
        <v>4590</v>
      </c>
      <c r="C455" s="82" t="str">
        <f t="shared" si="22"/>
        <v>X</v>
      </c>
      <c r="D455" s="425" t="s">
        <v>1658</v>
      </c>
      <c r="E455" s="567">
        <v>1509.4</v>
      </c>
      <c r="F455" s="570" t="s">
        <v>586</v>
      </c>
      <c r="G455" s="529"/>
      <c r="H455" s="529"/>
      <c r="I455" s="332">
        <v>4995.74</v>
      </c>
      <c r="J455" s="425"/>
      <c r="K455" s="458" t="s">
        <v>3045</v>
      </c>
      <c r="L455" s="271">
        <v>2022</v>
      </c>
      <c r="M455" s="227" t="s">
        <v>1890</v>
      </c>
      <c r="N455" s="227" t="s">
        <v>1891</v>
      </c>
      <c r="O455" s="227" t="s">
        <v>6576</v>
      </c>
      <c r="P455" s="227">
        <v>2022</v>
      </c>
      <c r="Q455" s="250" t="s">
        <v>3499</v>
      </c>
      <c r="R455" s="250" t="s">
        <v>3503</v>
      </c>
    </row>
    <row r="456" spans="1:18" ht="15.75" thickBot="1" x14ac:dyDescent="0.3">
      <c r="A456" s="424" t="s">
        <v>4590</v>
      </c>
      <c r="B456" s="424" t="s">
        <v>4590</v>
      </c>
      <c r="C456" s="82" t="str">
        <f t="shared" si="22"/>
        <v>X</v>
      </c>
      <c r="D456" s="83" t="s">
        <v>1659</v>
      </c>
      <c r="E456" s="567">
        <v>60</v>
      </c>
      <c r="F456" s="570" t="s">
        <v>586</v>
      </c>
      <c r="G456" s="573"/>
      <c r="H456" s="529"/>
      <c r="I456" s="332">
        <v>39.6</v>
      </c>
      <c r="J456" s="425"/>
      <c r="K456" s="458" t="s">
        <v>3034</v>
      </c>
      <c r="L456" s="271">
        <v>2022</v>
      </c>
      <c r="M456" s="227" t="s">
        <v>1890</v>
      </c>
      <c r="N456" s="227" t="s">
        <v>1891</v>
      </c>
      <c r="O456" s="227" t="s">
        <v>6576</v>
      </c>
      <c r="P456" s="227">
        <v>2022</v>
      </c>
      <c r="Q456" s="250" t="s">
        <v>3499</v>
      </c>
      <c r="R456" s="250" t="s">
        <v>3503</v>
      </c>
    </row>
    <row r="457" spans="1:18" ht="15.75" thickBot="1" x14ac:dyDescent="0.3">
      <c r="A457" s="424" t="s">
        <v>4590</v>
      </c>
      <c r="B457" s="424" t="s">
        <v>4590</v>
      </c>
      <c r="C457" s="82" t="str">
        <f t="shared" si="22"/>
        <v>X</v>
      </c>
      <c r="D457" s="425" t="s">
        <v>1659</v>
      </c>
      <c r="E457" s="567">
        <v>8807.44</v>
      </c>
      <c r="F457" s="570" t="s">
        <v>586</v>
      </c>
      <c r="G457" s="529"/>
      <c r="H457" s="529"/>
      <c r="I457" s="332">
        <v>85412.43</v>
      </c>
      <c r="J457" s="425"/>
      <c r="K457" s="458" t="s">
        <v>3035</v>
      </c>
      <c r="L457" s="271">
        <v>2022</v>
      </c>
      <c r="M457" s="227" t="s">
        <v>1890</v>
      </c>
      <c r="N457" s="227" t="s">
        <v>1891</v>
      </c>
      <c r="O457" s="227" t="s">
        <v>6576</v>
      </c>
      <c r="P457" s="227">
        <v>2022</v>
      </c>
      <c r="Q457" s="250" t="s">
        <v>3499</v>
      </c>
      <c r="R457" s="250" t="s">
        <v>3503</v>
      </c>
    </row>
    <row r="458" spans="1:18" ht="15.75" thickBot="1" x14ac:dyDescent="0.3">
      <c r="A458" s="424" t="s">
        <v>4590</v>
      </c>
      <c r="B458" s="424" t="s">
        <v>4590</v>
      </c>
      <c r="C458" s="82" t="str">
        <f t="shared" si="22"/>
        <v>X</v>
      </c>
      <c r="D458" s="425" t="s">
        <v>1659</v>
      </c>
      <c r="E458" s="567">
        <v>2</v>
      </c>
      <c r="F458" s="570" t="s">
        <v>586</v>
      </c>
      <c r="G458" s="529"/>
      <c r="H458" s="529"/>
      <c r="I458" s="332">
        <v>2146.79</v>
      </c>
      <c r="J458" s="425"/>
      <c r="K458" s="458" t="s">
        <v>3036</v>
      </c>
      <c r="L458" s="271">
        <v>2022</v>
      </c>
      <c r="M458" s="227" t="s">
        <v>1890</v>
      </c>
      <c r="N458" s="227" t="s">
        <v>1891</v>
      </c>
      <c r="O458" s="227" t="s">
        <v>6576</v>
      </c>
      <c r="P458" s="227">
        <v>2022</v>
      </c>
      <c r="Q458" s="250" t="s">
        <v>3499</v>
      </c>
      <c r="R458" s="250" t="s">
        <v>3503</v>
      </c>
    </row>
    <row r="459" spans="1:18" ht="15.75" thickBot="1" x14ac:dyDescent="0.3">
      <c r="A459" s="424" t="s">
        <v>4590</v>
      </c>
      <c r="B459" s="424" t="s">
        <v>4590</v>
      </c>
      <c r="C459" s="82" t="str">
        <f t="shared" si="22"/>
        <v>X</v>
      </c>
      <c r="D459" s="425" t="s">
        <v>1659</v>
      </c>
      <c r="E459" s="567">
        <v>184</v>
      </c>
      <c r="F459" s="570" t="s">
        <v>586</v>
      </c>
      <c r="G459" s="529"/>
      <c r="H459" s="529"/>
      <c r="I459" s="332">
        <v>9683.4999999999964</v>
      </c>
      <c r="J459" s="425"/>
      <c r="K459" s="458" t="s">
        <v>3037</v>
      </c>
      <c r="L459" s="271">
        <v>2022</v>
      </c>
      <c r="M459" s="227" t="s">
        <v>1890</v>
      </c>
      <c r="N459" s="227" t="s">
        <v>1891</v>
      </c>
      <c r="O459" s="227" t="s">
        <v>6576</v>
      </c>
      <c r="P459" s="227">
        <v>2022</v>
      </c>
      <c r="Q459" s="250" t="s">
        <v>3499</v>
      </c>
      <c r="R459" s="250" t="s">
        <v>3503</v>
      </c>
    </row>
    <row r="460" spans="1:18" ht="15.75" thickBot="1" x14ac:dyDescent="0.3">
      <c r="A460" s="424" t="s">
        <v>4590</v>
      </c>
      <c r="B460" s="424" t="s">
        <v>4590</v>
      </c>
      <c r="C460" s="82" t="str">
        <f t="shared" si="22"/>
        <v>X</v>
      </c>
      <c r="D460" s="425" t="s">
        <v>1659</v>
      </c>
      <c r="E460" s="567">
        <v>2472</v>
      </c>
      <c r="F460" s="570" t="s">
        <v>586</v>
      </c>
      <c r="G460" s="529"/>
      <c r="H460" s="529"/>
      <c r="I460" s="332">
        <v>3650.6800000000007</v>
      </c>
      <c r="J460" s="425"/>
      <c r="K460" s="458" t="s">
        <v>3038</v>
      </c>
      <c r="L460" s="271">
        <v>2022</v>
      </c>
      <c r="M460" s="227" t="s">
        <v>1890</v>
      </c>
      <c r="N460" s="227" t="s">
        <v>1891</v>
      </c>
      <c r="O460" s="227" t="s">
        <v>6576</v>
      </c>
      <c r="P460" s="227">
        <v>2022</v>
      </c>
      <c r="Q460" s="250" t="s">
        <v>3499</v>
      </c>
      <c r="R460" s="250" t="s">
        <v>3503</v>
      </c>
    </row>
    <row r="461" spans="1:18" ht="15.75" thickBot="1" x14ac:dyDescent="0.3">
      <c r="A461" s="424" t="s">
        <v>4590</v>
      </c>
      <c r="B461" s="424" t="s">
        <v>4590</v>
      </c>
      <c r="C461" s="82" t="str">
        <f t="shared" si="22"/>
        <v>X</v>
      </c>
      <c r="D461" s="425" t="s">
        <v>1659</v>
      </c>
      <c r="E461" s="567">
        <v>2</v>
      </c>
      <c r="F461" s="570" t="s">
        <v>586</v>
      </c>
      <c r="G461" s="529"/>
      <c r="H461" s="529"/>
      <c r="I461" s="332">
        <v>23.94</v>
      </c>
      <c r="J461" s="425"/>
      <c r="K461" s="458"/>
      <c r="L461" s="271">
        <v>2022</v>
      </c>
      <c r="M461" s="227" t="s">
        <v>1890</v>
      </c>
      <c r="N461" s="227" t="s">
        <v>1891</v>
      </c>
      <c r="O461" s="227" t="s">
        <v>6576</v>
      </c>
      <c r="P461" s="227">
        <v>2022</v>
      </c>
      <c r="Q461" s="250" t="s">
        <v>3499</v>
      </c>
      <c r="R461" s="250" t="s">
        <v>3503</v>
      </c>
    </row>
    <row r="462" spans="1:18" ht="15.75" thickBot="1" x14ac:dyDescent="0.3">
      <c r="A462" s="424" t="s">
        <v>4590</v>
      </c>
      <c r="B462" s="424" t="s">
        <v>4590</v>
      </c>
      <c r="C462" s="82" t="str">
        <f t="shared" si="22"/>
        <v>X</v>
      </c>
      <c r="D462" s="425" t="s">
        <v>1659</v>
      </c>
      <c r="E462" s="567">
        <v>11</v>
      </c>
      <c r="F462" s="570" t="s">
        <v>586</v>
      </c>
      <c r="G462" s="529"/>
      <c r="H462" s="529"/>
      <c r="I462" s="332">
        <v>2832.8</v>
      </c>
      <c r="J462" s="425"/>
      <c r="K462" s="458" t="s">
        <v>3039</v>
      </c>
      <c r="L462" s="271">
        <v>2022</v>
      </c>
      <c r="M462" s="227" t="s">
        <v>1890</v>
      </c>
      <c r="N462" s="227" t="s">
        <v>1891</v>
      </c>
      <c r="O462" s="227" t="s">
        <v>6576</v>
      </c>
      <c r="P462" s="227">
        <v>2022</v>
      </c>
      <c r="Q462" s="250" t="s">
        <v>3499</v>
      </c>
      <c r="R462" s="250" t="s">
        <v>3503</v>
      </c>
    </row>
    <row r="463" spans="1:18" ht="15.75" thickBot="1" x14ac:dyDescent="0.3">
      <c r="A463" s="424" t="s">
        <v>4590</v>
      </c>
      <c r="B463" s="424" t="s">
        <v>4590</v>
      </c>
      <c r="C463" s="82" t="str">
        <f t="shared" si="22"/>
        <v>X</v>
      </c>
      <c r="D463" s="425" t="s">
        <v>1659</v>
      </c>
      <c r="E463" s="567">
        <v>2095</v>
      </c>
      <c r="F463" s="570" t="s">
        <v>586</v>
      </c>
      <c r="G463" s="529"/>
      <c r="H463" s="529"/>
      <c r="I463" s="332">
        <v>1943.8099999999995</v>
      </c>
      <c r="J463" s="425"/>
      <c r="K463" s="458" t="s">
        <v>3046</v>
      </c>
      <c r="L463" s="271">
        <v>2022</v>
      </c>
      <c r="M463" s="227" t="s">
        <v>1890</v>
      </c>
      <c r="N463" s="227" t="s">
        <v>1891</v>
      </c>
      <c r="O463" s="227" t="s">
        <v>6576</v>
      </c>
      <c r="P463" s="227">
        <v>2022</v>
      </c>
      <c r="Q463" s="250" t="s">
        <v>3499</v>
      </c>
      <c r="R463" s="250" t="s">
        <v>3503</v>
      </c>
    </row>
    <row r="464" spans="1:18" ht="15.75" thickBot="1" x14ac:dyDescent="0.3">
      <c r="A464" s="424" t="s">
        <v>4590</v>
      </c>
      <c r="B464" s="424" t="s">
        <v>4590</v>
      </c>
      <c r="C464" s="82" t="str">
        <f t="shared" si="22"/>
        <v>X</v>
      </c>
      <c r="D464" s="425" t="s">
        <v>1659</v>
      </c>
      <c r="E464" s="567">
        <v>4955</v>
      </c>
      <c r="F464" s="570" t="s">
        <v>586</v>
      </c>
      <c r="G464" s="529"/>
      <c r="H464" s="529"/>
      <c r="I464" s="332">
        <v>4146.829999999999</v>
      </c>
      <c r="J464" s="425"/>
      <c r="K464" s="458" t="s">
        <v>3047</v>
      </c>
      <c r="L464" s="271">
        <v>2022</v>
      </c>
      <c r="M464" s="227" t="s">
        <v>1890</v>
      </c>
      <c r="N464" s="227" t="s">
        <v>1891</v>
      </c>
      <c r="O464" s="227" t="s">
        <v>6576</v>
      </c>
      <c r="P464" s="227">
        <v>2022</v>
      </c>
      <c r="Q464" s="250" t="s">
        <v>3499</v>
      </c>
      <c r="R464" s="250" t="s">
        <v>3503</v>
      </c>
    </row>
    <row r="465" spans="1:18" ht="15.75" thickBot="1" x14ac:dyDescent="0.3">
      <c r="A465" s="424" t="s">
        <v>4590</v>
      </c>
      <c r="B465" s="424" t="s">
        <v>4590</v>
      </c>
      <c r="C465" s="82" t="str">
        <f t="shared" si="22"/>
        <v>X</v>
      </c>
      <c r="D465" s="425" t="s">
        <v>1681</v>
      </c>
      <c r="E465" s="567">
        <v>1385</v>
      </c>
      <c r="F465" s="570" t="s">
        <v>586</v>
      </c>
      <c r="G465" s="529"/>
      <c r="H465" s="529"/>
      <c r="I465" s="332">
        <v>211098.91</v>
      </c>
      <c r="J465" s="425"/>
      <c r="K465" s="458"/>
      <c r="L465" s="271">
        <v>2022</v>
      </c>
      <c r="M465" s="227" t="s">
        <v>1890</v>
      </c>
      <c r="N465" s="227" t="s">
        <v>1891</v>
      </c>
      <c r="O465" s="227" t="s">
        <v>6576</v>
      </c>
      <c r="P465" s="227">
        <v>2022</v>
      </c>
      <c r="Q465" s="250" t="s">
        <v>3499</v>
      </c>
      <c r="R465" s="250" t="s">
        <v>3503</v>
      </c>
    </row>
    <row r="466" spans="1:18" ht="15.75" thickBot="1" x14ac:dyDescent="0.3">
      <c r="A466" s="424" t="s">
        <v>4590</v>
      </c>
      <c r="B466" s="424" t="s">
        <v>4590</v>
      </c>
      <c r="C466" s="82" t="str">
        <f t="shared" si="22"/>
        <v>X</v>
      </c>
      <c r="D466" s="425" t="s">
        <v>1657</v>
      </c>
      <c r="E466" s="567">
        <v>24248.190000000002</v>
      </c>
      <c r="F466" s="570" t="s">
        <v>586</v>
      </c>
      <c r="G466" s="529"/>
      <c r="H466" s="529"/>
      <c r="I466" s="332">
        <v>85432.74</v>
      </c>
      <c r="J466" s="425"/>
      <c r="K466" s="425"/>
      <c r="L466" s="271">
        <v>2022</v>
      </c>
      <c r="M466" s="227" t="s">
        <v>1890</v>
      </c>
      <c r="N466" s="227" t="s">
        <v>1891</v>
      </c>
      <c r="O466" s="227" t="s">
        <v>6576</v>
      </c>
      <c r="P466" s="227">
        <v>2022</v>
      </c>
      <c r="Q466" s="250" t="s">
        <v>3499</v>
      </c>
      <c r="R466" s="250" t="s">
        <v>3503</v>
      </c>
    </row>
    <row r="467" spans="1:18" ht="15.75" thickBot="1" x14ac:dyDescent="0.3">
      <c r="A467" s="424" t="s">
        <v>4590</v>
      </c>
      <c r="B467" s="424" t="s">
        <v>4590</v>
      </c>
      <c r="C467" s="82" t="str">
        <f t="shared" si="22"/>
        <v>X</v>
      </c>
      <c r="D467" s="425" t="s">
        <v>1657</v>
      </c>
      <c r="E467" s="567">
        <v>162934.20600000001</v>
      </c>
      <c r="F467" s="570" t="s">
        <v>630</v>
      </c>
      <c r="G467" s="529"/>
      <c r="H467" s="529"/>
      <c r="I467" s="332">
        <v>186425.38999999984</v>
      </c>
      <c r="J467" s="425"/>
      <c r="K467" s="425" t="s">
        <v>3057</v>
      </c>
      <c r="L467" s="271">
        <v>2022</v>
      </c>
      <c r="M467" s="227" t="s">
        <v>1890</v>
      </c>
      <c r="N467" s="227" t="s">
        <v>1891</v>
      </c>
      <c r="O467" s="227" t="s">
        <v>6576</v>
      </c>
      <c r="P467" s="227">
        <v>2022</v>
      </c>
      <c r="Q467" s="250" t="s">
        <v>3499</v>
      </c>
      <c r="R467" s="250" t="s">
        <v>3503</v>
      </c>
    </row>
    <row r="468" spans="1:18" ht="15.75" thickBot="1" x14ac:dyDescent="0.3">
      <c r="A468" s="424" t="s">
        <v>4590</v>
      </c>
      <c r="B468" s="424" t="s">
        <v>4590</v>
      </c>
      <c r="C468" s="82" t="str">
        <f t="shared" si="22"/>
        <v>X</v>
      </c>
      <c r="D468" s="425" t="s">
        <v>1657</v>
      </c>
      <c r="E468" s="567">
        <v>63</v>
      </c>
      <c r="F468" s="570" t="s">
        <v>586</v>
      </c>
      <c r="G468" s="529"/>
      <c r="H468" s="529"/>
      <c r="I468" s="332">
        <v>1584.26</v>
      </c>
      <c r="J468" s="425"/>
      <c r="K468" s="425"/>
      <c r="L468" s="271">
        <v>2022</v>
      </c>
      <c r="M468" s="227" t="s">
        <v>1890</v>
      </c>
      <c r="N468" s="227" t="s">
        <v>1891</v>
      </c>
      <c r="O468" s="227" t="s">
        <v>6576</v>
      </c>
      <c r="P468" s="227">
        <v>2022</v>
      </c>
      <c r="Q468" s="250" t="s">
        <v>3499</v>
      </c>
      <c r="R468" s="250" t="s">
        <v>3503</v>
      </c>
    </row>
    <row r="469" spans="1:18" ht="15.75" thickBot="1" x14ac:dyDescent="0.3">
      <c r="A469" s="424" t="s">
        <v>4590</v>
      </c>
      <c r="B469" s="424" t="s">
        <v>4590</v>
      </c>
      <c r="C469" s="82" t="str">
        <f t="shared" si="22"/>
        <v>X</v>
      </c>
      <c r="D469" s="162" t="s">
        <v>1661</v>
      </c>
      <c r="E469" s="567">
        <v>36</v>
      </c>
      <c r="F469" s="570" t="s">
        <v>586</v>
      </c>
      <c r="G469" s="529"/>
      <c r="H469" s="529"/>
      <c r="I469" s="332">
        <v>2982.63</v>
      </c>
      <c r="J469" s="425"/>
      <c r="K469" s="425" t="s">
        <v>3058</v>
      </c>
      <c r="L469" s="271">
        <v>2022</v>
      </c>
      <c r="M469" s="227" t="s">
        <v>1890</v>
      </c>
      <c r="N469" s="227" t="s">
        <v>1891</v>
      </c>
      <c r="O469" s="227" t="s">
        <v>6576</v>
      </c>
      <c r="P469" s="227">
        <v>2022</v>
      </c>
      <c r="Q469" s="250" t="s">
        <v>3499</v>
      </c>
      <c r="R469" s="250" t="s">
        <v>3503</v>
      </c>
    </row>
    <row r="470" spans="1:18" ht="15.75" thickBot="1" x14ac:dyDescent="0.3">
      <c r="A470" s="424" t="s">
        <v>4590</v>
      </c>
      <c r="B470" s="424" t="s">
        <v>4590</v>
      </c>
      <c r="C470" s="82" t="str">
        <f t="shared" si="22"/>
        <v>X</v>
      </c>
      <c r="D470" s="162" t="s">
        <v>1661</v>
      </c>
      <c r="E470" s="567">
        <v>457</v>
      </c>
      <c r="F470" s="570" t="s">
        <v>586</v>
      </c>
      <c r="G470" s="529"/>
      <c r="H470" s="529"/>
      <c r="I470" s="332">
        <v>5385.72</v>
      </c>
      <c r="J470" s="425"/>
      <c r="K470" s="425" t="s">
        <v>3059</v>
      </c>
      <c r="L470" s="271">
        <v>2022</v>
      </c>
      <c r="M470" s="227" t="s">
        <v>1890</v>
      </c>
      <c r="N470" s="227" t="s">
        <v>1891</v>
      </c>
      <c r="O470" s="227" t="s">
        <v>6576</v>
      </c>
      <c r="P470" s="227">
        <v>2022</v>
      </c>
      <c r="Q470" s="250" t="s">
        <v>3499</v>
      </c>
      <c r="R470" s="250" t="s">
        <v>3503</v>
      </c>
    </row>
    <row r="471" spans="1:18" ht="15.75" thickBot="1" x14ac:dyDescent="0.3">
      <c r="A471" s="424" t="s">
        <v>4590</v>
      </c>
      <c r="B471" s="424" t="s">
        <v>4590</v>
      </c>
      <c r="C471" s="82" t="str">
        <f t="shared" si="22"/>
        <v>X</v>
      </c>
      <c r="D471" s="162" t="s">
        <v>1661</v>
      </c>
      <c r="E471" s="567">
        <v>60</v>
      </c>
      <c r="F471" s="570" t="s">
        <v>586</v>
      </c>
      <c r="G471" s="529"/>
      <c r="H471" s="529"/>
      <c r="I471" s="332">
        <v>31650.2</v>
      </c>
      <c r="J471" s="425"/>
      <c r="K471" s="425" t="s">
        <v>3060</v>
      </c>
      <c r="L471" s="271">
        <v>2022</v>
      </c>
      <c r="M471" s="227" t="s">
        <v>1890</v>
      </c>
      <c r="N471" s="227" t="s">
        <v>1891</v>
      </c>
      <c r="O471" s="227" t="s">
        <v>6576</v>
      </c>
      <c r="P471" s="227">
        <v>2022</v>
      </c>
      <c r="Q471" s="250" t="s">
        <v>3499</v>
      </c>
      <c r="R471" s="250" t="s">
        <v>3503</v>
      </c>
    </row>
    <row r="472" spans="1:18" ht="15.75" thickBot="1" x14ac:dyDescent="0.3">
      <c r="A472" s="424" t="s">
        <v>4590</v>
      </c>
      <c r="B472" s="424" t="s">
        <v>4590</v>
      </c>
      <c r="C472" s="82" t="str">
        <f t="shared" si="22"/>
        <v>X</v>
      </c>
      <c r="D472" s="162" t="s">
        <v>1661</v>
      </c>
      <c r="E472" s="567">
        <v>228</v>
      </c>
      <c r="F472" s="570" t="s">
        <v>586</v>
      </c>
      <c r="G472" s="529"/>
      <c r="H472" s="529"/>
      <c r="I472" s="332">
        <v>156124.98000000001</v>
      </c>
      <c r="J472" s="425"/>
      <c r="K472" s="425" t="s">
        <v>3061</v>
      </c>
      <c r="L472" s="271">
        <v>2022</v>
      </c>
      <c r="M472" s="227" t="s">
        <v>1890</v>
      </c>
      <c r="N472" s="227" t="s">
        <v>1891</v>
      </c>
      <c r="O472" s="227" t="s">
        <v>6576</v>
      </c>
      <c r="P472" s="227">
        <v>2022</v>
      </c>
      <c r="Q472" s="250" t="s">
        <v>3499</v>
      </c>
      <c r="R472" s="250" t="s">
        <v>3503</v>
      </c>
    </row>
    <row r="473" spans="1:18" ht="15.75" thickBot="1" x14ac:dyDescent="0.3">
      <c r="A473" s="529" t="s">
        <v>4590</v>
      </c>
      <c r="B473" s="529" t="s">
        <v>4590</v>
      </c>
      <c r="C473" s="82" t="str">
        <f t="shared" si="22"/>
        <v>X</v>
      </c>
      <c r="D473" s="425" t="s">
        <v>1655</v>
      </c>
      <c r="E473" s="567">
        <v>447</v>
      </c>
      <c r="F473" s="570" t="s">
        <v>586</v>
      </c>
      <c r="G473" s="529"/>
      <c r="H473" s="529"/>
      <c r="I473" s="332">
        <v>97554.950000000041</v>
      </c>
      <c r="J473" s="425"/>
      <c r="K473" s="425"/>
      <c r="L473" s="271">
        <v>2022</v>
      </c>
      <c r="M473" s="227" t="s">
        <v>1890</v>
      </c>
      <c r="N473" s="227" t="s">
        <v>1891</v>
      </c>
      <c r="O473" s="227" t="s">
        <v>6576</v>
      </c>
      <c r="P473" s="227">
        <v>2022</v>
      </c>
      <c r="Q473" s="250" t="s">
        <v>3499</v>
      </c>
      <c r="R473" s="250" t="s">
        <v>3503</v>
      </c>
    </row>
    <row r="474" spans="1:18" ht="15.75" thickBot="1" x14ac:dyDescent="0.3">
      <c r="A474" s="563" t="s">
        <v>4587</v>
      </c>
      <c r="B474" s="563" t="s">
        <v>4587</v>
      </c>
      <c r="C474" s="82" t="str">
        <f t="shared" si="22"/>
        <v>X</v>
      </c>
      <c r="D474" s="425" t="s">
        <v>2982</v>
      </c>
      <c r="E474" s="458"/>
      <c r="F474" s="458"/>
      <c r="G474" s="562"/>
      <c r="H474" s="529" t="str">
        <f>IFERROR(LEFT(F474,FIND(" ",F474)-1),"")</f>
        <v/>
      </c>
      <c r="I474" s="332">
        <v>77547.3</v>
      </c>
      <c r="J474" s="162"/>
      <c r="K474" s="162"/>
      <c r="L474" s="271">
        <v>2022</v>
      </c>
      <c r="M474" s="227" t="s">
        <v>1890</v>
      </c>
      <c r="N474" s="227" t="s">
        <v>1891</v>
      </c>
      <c r="O474" s="227" t="s">
        <v>6576</v>
      </c>
      <c r="P474" s="227">
        <v>2022</v>
      </c>
      <c r="Q474" s="250" t="s">
        <v>3499</v>
      </c>
      <c r="R474" s="250" t="s">
        <v>3503</v>
      </c>
    </row>
    <row r="475" spans="1:18" ht="15.75" thickBot="1" x14ac:dyDescent="0.3">
      <c r="A475" s="563" t="s">
        <v>4587</v>
      </c>
      <c r="B475" s="563" t="s">
        <v>4587</v>
      </c>
      <c r="C475" s="82" t="str">
        <f t="shared" si="22"/>
        <v>X</v>
      </c>
      <c r="D475" s="83" t="s">
        <v>1681</v>
      </c>
      <c r="E475" s="458"/>
      <c r="F475" s="458"/>
      <c r="G475" s="562"/>
      <c r="H475" s="529" t="str">
        <f>IFERROR(LEFT(F475,FIND(" ",F475)-1),"")</f>
        <v/>
      </c>
      <c r="I475" s="332">
        <v>98980.010000000009</v>
      </c>
      <c r="J475" s="162"/>
      <c r="K475" s="162"/>
      <c r="L475" s="271">
        <v>2022</v>
      </c>
      <c r="M475" s="227" t="s">
        <v>1890</v>
      </c>
      <c r="N475" s="227" t="s">
        <v>1891</v>
      </c>
      <c r="O475" s="227" t="s">
        <v>6576</v>
      </c>
      <c r="P475" s="227">
        <v>2022</v>
      </c>
      <c r="Q475" s="250" t="s">
        <v>3499</v>
      </c>
      <c r="R475" s="250" t="s">
        <v>3503</v>
      </c>
    </row>
    <row r="476" spans="1:18" ht="15.75" thickBot="1" x14ac:dyDescent="0.3">
      <c r="A476" s="563" t="s">
        <v>4587</v>
      </c>
      <c r="B476" s="563" t="s">
        <v>4587</v>
      </c>
      <c r="C476" s="82" t="str">
        <f t="shared" si="22"/>
        <v>X</v>
      </c>
      <c r="D476" s="83" t="s">
        <v>1661</v>
      </c>
      <c r="E476" s="458"/>
      <c r="F476" s="458"/>
      <c r="G476" s="562"/>
      <c r="H476" s="529" t="str">
        <f>IFERROR(LEFT(F476,FIND(" ",F476)-1),"")</f>
        <v/>
      </c>
      <c r="I476" s="332">
        <v>805601.26</v>
      </c>
      <c r="J476" s="162"/>
      <c r="K476" s="162"/>
      <c r="L476" s="271">
        <v>2022</v>
      </c>
      <c r="M476" s="227" t="s">
        <v>1890</v>
      </c>
      <c r="N476" s="227" t="s">
        <v>1891</v>
      </c>
      <c r="O476" s="227" t="s">
        <v>6576</v>
      </c>
      <c r="P476" s="227">
        <v>2022</v>
      </c>
      <c r="Q476" s="250" t="s">
        <v>3499</v>
      </c>
      <c r="R476" s="250" t="s">
        <v>3503</v>
      </c>
    </row>
    <row r="477" spans="1:18" s="405" customFormat="1" ht="15.75" thickBot="1" x14ac:dyDescent="0.3">
      <c r="A477" s="93" t="s">
        <v>2943</v>
      </c>
      <c r="B477" s="424" t="s">
        <v>2943</v>
      </c>
      <c r="C477" s="424" t="str">
        <f t="shared" si="22"/>
        <v>X</v>
      </c>
      <c r="D477" s="425" t="s">
        <v>3030</v>
      </c>
      <c r="E477" s="93"/>
      <c r="F477" s="93"/>
      <c r="G477" s="93"/>
      <c r="H477" s="93"/>
      <c r="I477" s="165">
        <v>217440</v>
      </c>
      <c r="J477" s="425"/>
      <c r="K477" s="93"/>
      <c r="L477" s="271">
        <v>2023</v>
      </c>
      <c r="M477" s="227" t="s">
        <v>1890</v>
      </c>
      <c r="N477" s="422" t="s">
        <v>6441</v>
      </c>
      <c r="O477" s="422" t="s">
        <v>6442</v>
      </c>
      <c r="P477" s="227">
        <v>2022</v>
      </c>
      <c r="Q477" s="250" t="s">
        <v>3499</v>
      </c>
      <c r="R477" s="250" t="s">
        <v>3503</v>
      </c>
    </row>
    <row r="478" spans="1:18" ht="15.75" thickBot="1" x14ac:dyDescent="0.3">
      <c r="A478" s="455" t="s">
        <v>4591</v>
      </c>
      <c r="B478" s="410" t="s">
        <v>4591</v>
      </c>
      <c r="C478" s="410" t="str">
        <f t="shared" si="22"/>
        <v>X</v>
      </c>
      <c r="D478" s="547" t="s">
        <v>1681</v>
      </c>
      <c r="E478" s="455"/>
      <c r="F478" s="455"/>
      <c r="G478" s="455"/>
      <c r="H478" s="455"/>
      <c r="I478" s="548">
        <v>379456.55000000005</v>
      </c>
      <c r="J478" s="547"/>
      <c r="K478" s="455"/>
      <c r="L478" s="549">
        <v>2023</v>
      </c>
      <c r="M478" s="405" t="s">
        <v>1890</v>
      </c>
      <c r="N478" s="405" t="s">
        <v>1681</v>
      </c>
      <c r="O478" s="405" t="s">
        <v>6431</v>
      </c>
      <c r="P478" s="227">
        <v>2022</v>
      </c>
      <c r="Q478" s="454" t="s">
        <v>3499</v>
      </c>
      <c r="R478" s="454" t="s">
        <v>3503</v>
      </c>
    </row>
    <row r="479" spans="1:18" ht="15.75" thickBot="1" x14ac:dyDescent="0.3">
      <c r="A479" s="93" t="s">
        <v>4591</v>
      </c>
      <c r="B479" s="424" t="s">
        <v>4591</v>
      </c>
      <c r="C479" s="424" t="str">
        <f t="shared" si="22"/>
        <v>X</v>
      </c>
      <c r="D479" s="425" t="s">
        <v>3030</v>
      </c>
      <c r="E479" s="93"/>
      <c r="F479" s="93"/>
      <c r="G479" s="93"/>
      <c r="H479" s="93"/>
      <c r="I479" s="165">
        <v>906303.35999999987</v>
      </c>
      <c r="J479" s="425"/>
      <c r="K479" s="93"/>
      <c r="L479" s="271">
        <v>2023</v>
      </c>
      <c r="M479" s="227" t="s">
        <v>1890</v>
      </c>
      <c r="N479" s="422" t="s">
        <v>6441</v>
      </c>
      <c r="O479" s="422" t="s">
        <v>6442</v>
      </c>
      <c r="P479" s="227">
        <v>2022</v>
      </c>
      <c r="Q479" s="250" t="s">
        <v>3499</v>
      </c>
      <c r="R479" s="250" t="s">
        <v>3503</v>
      </c>
    </row>
    <row r="480" spans="1:18" ht="15.75" thickBot="1" x14ac:dyDescent="0.3">
      <c r="A480" s="93" t="s">
        <v>45</v>
      </c>
      <c r="B480" s="527" t="s">
        <v>45</v>
      </c>
      <c r="C480" s="424" t="str">
        <f t="shared" si="22"/>
        <v>X</v>
      </c>
      <c r="D480" s="425" t="s">
        <v>1675</v>
      </c>
      <c r="E480" s="458"/>
      <c r="F480" s="570"/>
      <c r="G480" s="93"/>
      <c r="H480" s="93"/>
      <c r="I480" s="165">
        <v>227566.24</v>
      </c>
      <c r="J480" s="425"/>
      <c r="K480" s="458"/>
      <c r="L480" s="271">
        <v>2023</v>
      </c>
      <c r="M480" s="227" t="s">
        <v>1890</v>
      </c>
      <c r="N480" s="422" t="s">
        <v>6445</v>
      </c>
      <c r="O480" s="422" t="s">
        <v>6446</v>
      </c>
      <c r="P480" s="227">
        <v>2022</v>
      </c>
      <c r="Q480" s="250" t="s">
        <v>3499</v>
      </c>
      <c r="R480" s="250" t="s">
        <v>3503</v>
      </c>
    </row>
    <row r="481" spans="1:18" ht="15.75" thickBot="1" x14ac:dyDescent="0.3">
      <c r="A481" s="93" t="s">
        <v>45</v>
      </c>
      <c r="B481" s="527" t="s">
        <v>45</v>
      </c>
      <c r="C481" s="424" t="str">
        <f t="shared" si="22"/>
        <v>X</v>
      </c>
      <c r="D481" s="425" t="s">
        <v>1653</v>
      </c>
      <c r="E481" s="458">
        <f>E493+E505+E517+E604</f>
        <v>0</v>
      </c>
      <c r="F481" s="570" t="s">
        <v>586</v>
      </c>
      <c r="G481" s="93"/>
      <c r="H481" s="93"/>
      <c r="I481" s="165">
        <v>45596.68</v>
      </c>
      <c r="J481" s="425"/>
      <c r="K481" s="458"/>
      <c r="L481" s="271">
        <v>2023</v>
      </c>
      <c r="M481" s="227" t="s">
        <v>1890</v>
      </c>
      <c r="N481" s="422" t="s">
        <v>6434</v>
      </c>
      <c r="O481" s="422" t="s">
        <v>6435</v>
      </c>
      <c r="P481" s="227">
        <v>2022</v>
      </c>
      <c r="Q481" s="250" t="s">
        <v>3499</v>
      </c>
      <c r="R481" s="250" t="s">
        <v>3503</v>
      </c>
    </row>
    <row r="482" spans="1:18" ht="15.75" thickBot="1" x14ac:dyDescent="0.3">
      <c r="A482" s="93" t="s">
        <v>45</v>
      </c>
      <c r="B482" s="527" t="s">
        <v>45</v>
      </c>
      <c r="C482" s="424" t="str">
        <f t="shared" si="22"/>
        <v>X</v>
      </c>
      <c r="D482" s="425" t="s">
        <v>1654</v>
      </c>
      <c r="E482" s="458"/>
      <c r="F482" s="570"/>
      <c r="G482" s="93"/>
      <c r="H482" s="93"/>
      <c r="I482" s="165">
        <v>4953.68</v>
      </c>
      <c r="J482" s="425"/>
      <c r="K482" s="458"/>
      <c r="L482" s="271">
        <v>2023</v>
      </c>
      <c r="M482" s="227" t="s">
        <v>1890</v>
      </c>
      <c r="N482" s="422" t="s">
        <v>6443</v>
      </c>
      <c r="O482" s="422" t="s">
        <v>6444</v>
      </c>
      <c r="P482" s="227">
        <v>2022</v>
      </c>
      <c r="Q482" s="250" t="s">
        <v>3499</v>
      </c>
      <c r="R482" s="250" t="s">
        <v>3503</v>
      </c>
    </row>
    <row r="483" spans="1:18" ht="15.75" thickBot="1" x14ac:dyDescent="0.3">
      <c r="A483" s="93" t="s">
        <v>45</v>
      </c>
      <c r="B483" s="527" t="s">
        <v>45</v>
      </c>
      <c r="C483" s="424" t="str">
        <f t="shared" si="22"/>
        <v>X</v>
      </c>
      <c r="D483" s="425" t="s">
        <v>1656</v>
      </c>
      <c r="E483" s="93"/>
      <c r="F483" s="93"/>
      <c r="G483" s="93"/>
      <c r="H483" s="93"/>
      <c r="I483" s="165">
        <v>1426.9</v>
      </c>
      <c r="J483" s="425"/>
      <c r="K483" s="458"/>
      <c r="L483" s="271">
        <v>2023</v>
      </c>
      <c r="M483" s="227" t="s">
        <v>1890</v>
      </c>
      <c r="N483" s="422" t="s">
        <v>6443</v>
      </c>
      <c r="O483" s="422" t="s">
        <v>6444</v>
      </c>
      <c r="P483" s="227">
        <v>2022</v>
      </c>
      <c r="Q483" s="250" t="s">
        <v>3499</v>
      </c>
      <c r="R483" s="250" t="s">
        <v>3503</v>
      </c>
    </row>
    <row r="484" spans="1:18" ht="15.75" thickBot="1" x14ac:dyDescent="0.3">
      <c r="A484" s="93" t="s">
        <v>45</v>
      </c>
      <c r="B484" s="527" t="s">
        <v>45</v>
      </c>
      <c r="C484" s="424" t="str">
        <f t="shared" si="22"/>
        <v>X</v>
      </c>
      <c r="D484" s="425" t="s">
        <v>1658</v>
      </c>
      <c r="E484" s="93"/>
      <c r="F484" s="93"/>
      <c r="G484" s="93"/>
      <c r="H484" s="93"/>
      <c r="I484" s="165">
        <v>4307.6099999999997</v>
      </c>
      <c r="J484" s="425"/>
      <c r="K484" s="458"/>
      <c r="L484" s="271">
        <v>2023</v>
      </c>
      <c r="M484" s="227" t="s">
        <v>1890</v>
      </c>
      <c r="N484" s="422" t="s">
        <v>6436</v>
      </c>
      <c r="O484" s="422" t="s">
        <v>6437</v>
      </c>
      <c r="P484" s="227">
        <v>2022</v>
      </c>
      <c r="Q484" s="250" t="s">
        <v>3499</v>
      </c>
      <c r="R484" s="250" t="s">
        <v>3503</v>
      </c>
    </row>
    <row r="485" spans="1:18" ht="15.75" thickBot="1" x14ac:dyDescent="0.3">
      <c r="A485" s="93" t="s">
        <v>45</v>
      </c>
      <c r="B485" s="527" t="s">
        <v>45</v>
      </c>
      <c r="C485" s="424" t="str">
        <f t="shared" si="22"/>
        <v>X</v>
      </c>
      <c r="D485" s="425" t="s">
        <v>1659</v>
      </c>
      <c r="E485" s="93"/>
      <c r="F485" s="93"/>
      <c r="G485" s="93"/>
      <c r="H485" s="93"/>
      <c r="I485" s="165">
        <v>536997.13</v>
      </c>
      <c r="J485" s="425"/>
      <c r="K485" s="458"/>
      <c r="L485" s="271">
        <v>2023</v>
      </c>
      <c r="M485" s="227" t="s">
        <v>1890</v>
      </c>
      <c r="N485" s="422" t="s">
        <v>6443</v>
      </c>
      <c r="O485" s="422" t="s">
        <v>6444</v>
      </c>
      <c r="P485" s="227">
        <v>2022</v>
      </c>
      <c r="Q485" s="250" t="s">
        <v>3499</v>
      </c>
      <c r="R485" s="250" t="s">
        <v>3503</v>
      </c>
    </row>
    <row r="486" spans="1:18" ht="15.75" thickBot="1" x14ac:dyDescent="0.3">
      <c r="A486" s="93" t="s">
        <v>45</v>
      </c>
      <c r="B486" s="527" t="s">
        <v>45</v>
      </c>
      <c r="C486" s="424" t="str">
        <f t="shared" si="22"/>
        <v>X</v>
      </c>
      <c r="D486" s="425" t="s">
        <v>1672</v>
      </c>
      <c r="E486" s="93"/>
      <c r="F486" s="93"/>
      <c r="G486" s="93"/>
      <c r="H486" s="93"/>
      <c r="I486" s="165">
        <v>1226650.5</v>
      </c>
      <c r="J486" s="425"/>
      <c r="K486" s="458"/>
      <c r="L486" s="271">
        <v>2023</v>
      </c>
      <c r="M486" s="227" t="s">
        <v>1890</v>
      </c>
      <c r="N486" s="422" t="s">
        <v>6432</v>
      </c>
      <c r="O486" s="422" t="s">
        <v>6433</v>
      </c>
      <c r="P486" s="227">
        <v>2022</v>
      </c>
      <c r="Q486" s="250" t="s">
        <v>3499</v>
      </c>
      <c r="R486" s="250" t="s">
        <v>3503</v>
      </c>
    </row>
    <row r="487" spans="1:18" ht="15.75" thickBot="1" x14ac:dyDescent="0.3">
      <c r="A487" s="93" t="s">
        <v>45</v>
      </c>
      <c r="B487" s="527" t="s">
        <v>45</v>
      </c>
      <c r="C487" s="424" t="str">
        <f t="shared" si="22"/>
        <v>X</v>
      </c>
      <c r="D487" s="425" t="s">
        <v>1657</v>
      </c>
      <c r="E487" s="93"/>
      <c r="F487" s="93"/>
      <c r="G487" s="93"/>
      <c r="H487" s="93"/>
      <c r="I487" s="165">
        <v>217261.09000000003</v>
      </c>
      <c r="J487" s="425"/>
      <c r="K487" s="458"/>
      <c r="L487" s="271">
        <v>2023</v>
      </c>
      <c r="M487" s="227" t="s">
        <v>1890</v>
      </c>
      <c r="N487" s="422" t="s">
        <v>3820</v>
      </c>
      <c r="O487" s="422" t="s">
        <v>6438</v>
      </c>
      <c r="P487" s="227">
        <v>2022</v>
      </c>
      <c r="Q487" s="250" t="s">
        <v>3499</v>
      </c>
      <c r="R487" s="250" t="s">
        <v>3503</v>
      </c>
    </row>
    <row r="488" spans="1:18" ht="15.75" thickBot="1" x14ac:dyDescent="0.3">
      <c r="A488" s="93" t="s">
        <v>45</v>
      </c>
      <c r="B488" s="527" t="s">
        <v>45</v>
      </c>
      <c r="C488" s="424" t="str">
        <f t="shared" si="22"/>
        <v>X</v>
      </c>
      <c r="D488" s="425" t="s">
        <v>1661</v>
      </c>
      <c r="E488" s="93"/>
      <c r="F488" s="93"/>
      <c r="G488" s="93"/>
      <c r="H488" s="93"/>
      <c r="I488" s="165">
        <v>554883.5</v>
      </c>
      <c r="J488" s="425"/>
      <c r="K488" s="458"/>
      <c r="L488" s="271">
        <v>2023</v>
      </c>
      <c r="M488" s="227" t="s">
        <v>1890</v>
      </c>
      <c r="N488" s="422" t="s">
        <v>6441</v>
      </c>
      <c r="O488" s="422" t="s">
        <v>6442</v>
      </c>
      <c r="P488" s="227">
        <v>2022</v>
      </c>
      <c r="Q488" s="250" t="s">
        <v>3499</v>
      </c>
      <c r="R488" s="250" t="s">
        <v>3503</v>
      </c>
    </row>
    <row r="489" spans="1:18" ht="15.75" thickBot="1" x14ac:dyDescent="0.3">
      <c r="A489" s="576" t="s">
        <v>45</v>
      </c>
      <c r="B489" s="566" t="s">
        <v>45</v>
      </c>
      <c r="C489" s="414" t="str">
        <f t="shared" si="22"/>
        <v>X</v>
      </c>
      <c r="D489" s="262" t="s">
        <v>1670</v>
      </c>
      <c r="E489" s="568"/>
      <c r="F489" s="572"/>
      <c r="G489" s="576"/>
      <c r="H489" s="576"/>
      <c r="I489" s="551">
        <v>225.25</v>
      </c>
      <c r="J489" s="262"/>
      <c r="K489" s="568"/>
      <c r="L489" s="552">
        <v>2023</v>
      </c>
      <c r="M489" s="553" t="s">
        <v>1890</v>
      </c>
      <c r="N489" s="451" t="s">
        <v>6443</v>
      </c>
      <c r="O489" s="451" t="s">
        <v>6444</v>
      </c>
      <c r="P489" s="227">
        <v>2022</v>
      </c>
      <c r="Q489" s="554" t="s">
        <v>3499</v>
      </c>
      <c r="R489" s="554" t="s">
        <v>3503</v>
      </c>
    </row>
    <row r="490" spans="1:18" ht="15.75" thickBot="1" x14ac:dyDescent="0.3">
      <c r="A490" s="93" t="s">
        <v>45</v>
      </c>
      <c r="B490" s="93" t="s">
        <v>45</v>
      </c>
      <c r="C490" s="424" t="str">
        <f t="shared" si="22"/>
        <v>X</v>
      </c>
      <c r="D490" s="425" t="s">
        <v>1655</v>
      </c>
      <c r="E490" s="458"/>
      <c r="F490" s="570"/>
      <c r="G490" s="93"/>
      <c r="H490" s="93"/>
      <c r="I490" s="165">
        <v>183962.97999999998</v>
      </c>
      <c r="J490" s="425"/>
      <c r="K490" s="458"/>
      <c r="L490" s="271">
        <v>2023</v>
      </c>
      <c r="M490" s="227" t="s">
        <v>1890</v>
      </c>
      <c r="N490" s="422" t="s">
        <v>6439</v>
      </c>
      <c r="O490" s="422" t="s">
        <v>6440</v>
      </c>
      <c r="P490" s="227">
        <v>2022</v>
      </c>
      <c r="Q490" s="250" t="s">
        <v>3499</v>
      </c>
      <c r="R490" s="250" t="s">
        <v>3503</v>
      </c>
    </row>
    <row r="491" spans="1:18" ht="15.75" thickBot="1" x14ac:dyDescent="0.3">
      <c r="A491" s="562" t="s">
        <v>6389</v>
      </c>
      <c r="B491" s="93" t="s">
        <v>45</v>
      </c>
      <c r="C491" s="424" t="str">
        <f t="shared" si="22"/>
        <v>Barraqueiro Alugueres + ESEVEL</v>
      </c>
      <c r="D491" s="162" t="s">
        <v>1675</v>
      </c>
      <c r="E491" s="555"/>
      <c r="F491" s="570"/>
      <c r="G491" s="93"/>
      <c r="H491" s="93"/>
      <c r="I491" s="165">
        <v>97532.75</v>
      </c>
      <c r="J491" s="425"/>
      <c r="K491" s="458" t="s">
        <v>6426</v>
      </c>
      <c r="L491" s="271">
        <v>2023</v>
      </c>
      <c r="M491" s="227" t="s">
        <v>1890</v>
      </c>
      <c r="N491" s="422" t="s">
        <v>6445</v>
      </c>
      <c r="O491" s="422" t="s">
        <v>6446</v>
      </c>
      <c r="P491" s="227">
        <v>2022</v>
      </c>
      <c r="Q491" s="250" t="s">
        <v>3499</v>
      </c>
      <c r="R491" s="250" t="s">
        <v>3503</v>
      </c>
    </row>
    <row r="492" spans="1:18" ht="15.75" thickBot="1" x14ac:dyDescent="0.3">
      <c r="A492" s="562" t="s">
        <v>6389</v>
      </c>
      <c r="B492" s="93" t="s">
        <v>45</v>
      </c>
      <c r="C492" s="424" t="str">
        <f t="shared" si="22"/>
        <v>Barraqueiro Alugueres + ESEVEL</v>
      </c>
      <c r="D492" s="162" t="s">
        <v>1653</v>
      </c>
      <c r="E492" s="555">
        <v>214</v>
      </c>
      <c r="F492" s="570" t="s">
        <v>586</v>
      </c>
      <c r="G492" s="93"/>
      <c r="H492" s="93"/>
      <c r="I492" s="165">
        <v>33335.08</v>
      </c>
      <c r="J492" s="425"/>
      <c r="K492" s="458" t="s">
        <v>6422</v>
      </c>
      <c r="L492" s="271">
        <v>2023</v>
      </c>
      <c r="M492" s="227" t="s">
        <v>1890</v>
      </c>
      <c r="N492" s="422" t="s">
        <v>6434</v>
      </c>
      <c r="O492" s="422" t="s">
        <v>6435</v>
      </c>
      <c r="P492" s="227">
        <v>2022</v>
      </c>
      <c r="Q492" s="250" t="s">
        <v>3499</v>
      </c>
      <c r="R492" s="250" t="s">
        <v>3503</v>
      </c>
    </row>
    <row r="493" spans="1:18" ht="15.75" thickBot="1" x14ac:dyDescent="0.3">
      <c r="A493" s="562" t="s">
        <v>6389</v>
      </c>
      <c r="B493" s="527" t="s">
        <v>45</v>
      </c>
      <c r="C493" s="424" t="str">
        <f t="shared" si="22"/>
        <v>Barraqueiro Alugueres + ESEVEL</v>
      </c>
      <c r="D493" s="162" t="s">
        <v>1654</v>
      </c>
      <c r="E493" s="555"/>
      <c r="F493" s="570"/>
      <c r="G493" s="93"/>
      <c r="H493" s="93"/>
      <c r="I493" s="165">
        <v>3350.8</v>
      </c>
      <c r="J493" s="425"/>
      <c r="K493" s="458" t="s">
        <v>6409</v>
      </c>
      <c r="L493" s="271">
        <v>2023</v>
      </c>
      <c r="M493" s="227" t="s">
        <v>1890</v>
      </c>
      <c r="N493" s="422" t="s">
        <v>6443</v>
      </c>
      <c r="O493" s="422" t="s">
        <v>6444</v>
      </c>
      <c r="P493" s="227">
        <v>2022</v>
      </c>
      <c r="Q493" s="250" t="s">
        <v>3499</v>
      </c>
      <c r="R493" s="250" t="s">
        <v>3503</v>
      </c>
    </row>
    <row r="494" spans="1:18" ht="15.75" thickBot="1" x14ac:dyDescent="0.3">
      <c r="A494" s="562" t="s">
        <v>6389</v>
      </c>
      <c r="B494" s="527" t="s">
        <v>45</v>
      </c>
      <c r="C494" s="424" t="str">
        <f t="shared" si="22"/>
        <v>Barraqueiro Alugueres + ESEVEL</v>
      </c>
      <c r="D494" s="162" t="s">
        <v>1680</v>
      </c>
      <c r="E494" s="93"/>
      <c r="F494" s="93"/>
      <c r="G494" s="93"/>
      <c r="H494" s="93"/>
      <c r="I494" s="165">
        <v>105121.96</v>
      </c>
      <c r="J494" s="425"/>
      <c r="K494" s="458" t="s">
        <v>6420</v>
      </c>
      <c r="L494" s="271">
        <v>2023</v>
      </c>
      <c r="M494" s="227" t="s">
        <v>1890</v>
      </c>
      <c r="N494" s="422" t="s">
        <v>1681</v>
      </c>
      <c r="O494" s="422" t="s">
        <v>6431</v>
      </c>
      <c r="P494" s="227">
        <v>2022</v>
      </c>
      <c r="Q494" s="250" t="s">
        <v>3499</v>
      </c>
      <c r="R494" s="250" t="s">
        <v>3503</v>
      </c>
    </row>
    <row r="495" spans="1:18" ht="15.75" thickBot="1" x14ac:dyDescent="0.3">
      <c r="A495" s="562" t="s">
        <v>6389</v>
      </c>
      <c r="B495" s="527" t="s">
        <v>45</v>
      </c>
      <c r="C495" s="424" t="str">
        <f t="shared" si="22"/>
        <v>Barraqueiro Alugueres + ESEVEL</v>
      </c>
      <c r="D495" s="162" t="s">
        <v>1656</v>
      </c>
      <c r="E495" s="93"/>
      <c r="F495" s="93"/>
      <c r="G495" s="93"/>
      <c r="H495" s="93"/>
      <c r="I495" s="165">
        <v>1721.71</v>
      </c>
      <c r="J495" s="425"/>
      <c r="K495" s="458" t="s">
        <v>1723</v>
      </c>
      <c r="L495" s="271">
        <v>2023</v>
      </c>
      <c r="M495" s="227" t="s">
        <v>1890</v>
      </c>
      <c r="N495" s="422" t="s">
        <v>6443</v>
      </c>
      <c r="O495" s="422" t="s">
        <v>6444</v>
      </c>
      <c r="P495" s="227">
        <v>2022</v>
      </c>
      <c r="Q495" s="250" t="s">
        <v>3499</v>
      </c>
      <c r="R495" s="250" t="s">
        <v>3503</v>
      </c>
    </row>
    <row r="496" spans="1:18" ht="15.75" thickBot="1" x14ac:dyDescent="0.3">
      <c r="A496" s="562" t="s">
        <v>6389</v>
      </c>
      <c r="B496" s="93" t="s">
        <v>45</v>
      </c>
      <c r="C496" s="424" t="str">
        <f t="shared" si="22"/>
        <v>Barraqueiro Alugueres + ESEVEL</v>
      </c>
      <c r="D496" s="162" t="s">
        <v>1658</v>
      </c>
      <c r="E496" s="93"/>
      <c r="F496" s="93"/>
      <c r="G496" s="93"/>
      <c r="H496" s="93"/>
      <c r="I496" s="165">
        <v>3745.33</v>
      </c>
      <c r="J496" s="425"/>
      <c r="K496" s="458" t="s">
        <v>6425</v>
      </c>
      <c r="L496" s="271">
        <v>2023</v>
      </c>
      <c r="M496" s="227" t="s">
        <v>1890</v>
      </c>
      <c r="N496" s="422" t="s">
        <v>6436</v>
      </c>
      <c r="O496" s="422" t="s">
        <v>6437</v>
      </c>
      <c r="P496" s="227">
        <v>2022</v>
      </c>
      <c r="Q496" s="250" t="s">
        <v>3499</v>
      </c>
      <c r="R496" s="250" t="s">
        <v>3503</v>
      </c>
    </row>
    <row r="497" spans="1:18" ht="15.75" thickBot="1" x14ac:dyDescent="0.3">
      <c r="A497" s="562" t="s">
        <v>6389</v>
      </c>
      <c r="B497" s="93" t="s">
        <v>45</v>
      </c>
      <c r="C497" s="424" t="str">
        <f t="shared" si="22"/>
        <v>Barraqueiro Alugueres + ESEVEL</v>
      </c>
      <c r="D497" s="162" t="s">
        <v>1659</v>
      </c>
      <c r="E497" s="93"/>
      <c r="F497" s="93"/>
      <c r="G497" s="93"/>
      <c r="H497" s="93"/>
      <c r="I497" s="165">
        <v>320786.98</v>
      </c>
      <c r="J497" s="425"/>
      <c r="K497" s="458" t="s">
        <v>6427</v>
      </c>
      <c r="L497" s="271">
        <v>2023</v>
      </c>
      <c r="M497" s="227" t="s">
        <v>1890</v>
      </c>
      <c r="N497" s="422" t="s">
        <v>6443</v>
      </c>
      <c r="O497" s="422" t="s">
        <v>6444</v>
      </c>
      <c r="P497" s="227">
        <v>2022</v>
      </c>
      <c r="Q497" s="250" t="s">
        <v>3499</v>
      </c>
      <c r="R497" s="250" t="s">
        <v>3503</v>
      </c>
    </row>
    <row r="498" spans="1:18" ht="15.75" thickBot="1" x14ac:dyDescent="0.3">
      <c r="A498" s="562" t="s">
        <v>6389</v>
      </c>
      <c r="B498" s="93" t="s">
        <v>45</v>
      </c>
      <c r="C498" s="424" t="str">
        <f t="shared" si="22"/>
        <v>Barraqueiro Alugueres + ESEVEL</v>
      </c>
      <c r="D498" s="162" t="s">
        <v>1672</v>
      </c>
      <c r="E498" s="93"/>
      <c r="F498" s="93"/>
      <c r="G498" s="93"/>
      <c r="H498" s="93"/>
      <c r="I498" s="165">
        <v>568694.31999999995</v>
      </c>
      <c r="J498" s="425"/>
      <c r="K498" s="458" t="s">
        <v>1718</v>
      </c>
      <c r="L498" s="271">
        <v>2023</v>
      </c>
      <c r="M498" s="227" t="s">
        <v>1890</v>
      </c>
      <c r="N498" s="422" t="s">
        <v>6432</v>
      </c>
      <c r="O498" s="422" t="s">
        <v>6433</v>
      </c>
      <c r="P498" s="227">
        <v>2022</v>
      </c>
      <c r="Q498" s="250" t="s">
        <v>3499</v>
      </c>
      <c r="R498" s="250" t="s">
        <v>3503</v>
      </c>
    </row>
    <row r="499" spans="1:18" ht="15.75" thickBot="1" x14ac:dyDescent="0.3">
      <c r="A499" s="562" t="s">
        <v>6389</v>
      </c>
      <c r="B499" s="93" t="s">
        <v>45</v>
      </c>
      <c r="C499" s="424" t="str">
        <f t="shared" si="22"/>
        <v>Barraqueiro Alugueres + ESEVEL</v>
      </c>
      <c r="D499" s="162" t="s">
        <v>1657</v>
      </c>
      <c r="E499" s="93"/>
      <c r="F499" s="93"/>
      <c r="G499" s="93"/>
      <c r="H499" s="93"/>
      <c r="I499" s="165">
        <v>148427.03</v>
      </c>
      <c r="J499" s="425"/>
      <c r="K499" s="458" t="s">
        <v>6423</v>
      </c>
      <c r="L499" s="271">
        <v>2023</v>
      </c>
      <c r="M499" s="227" t="s">
        <v>1890</v>
      </c>
      <c r="N499" s="422" t="s">
        <v>3820</v>
      </c>
      <c r="O499" s="422" t="s">
        <v>6438</v>
      </c>
      <c r="P499" s="227">
        <v>2022</v>
      </c>
      <c r="Q499" s="250" t="s">
        <v>3499</v>
      </c>
      <c r="R499" s="250" t="s">
        <v>3503</v>
      </c>
    </row>
    <row r="500" spans="1:18" ht="15.75" thickBot="1" x14ac:dyDescent="0.3">
      <c r="A500" s="562" t="s">
        <v>6389</v>
      </c>
      <c r="B500" s="93" t="s">
        <v>45</v>
      </c>
      <c r="C500" s="424" t="str">
        <f t="shared" si="22"/>
        <v>Barraqueiro Alugueres + ESEVEL</v>
      </c>
      <c r="D500" s="162" t="s">
        <v>1661</v>
      </c>
      <c r="E500" s="93"/>
      <c r="F500" s="93"/>
      <c r="G500" s="93"/>
      <c r="H500" s="93"/>
      <c r="I500" s="165">
        <v>45676.55</v>
      </c>
      <c r="J500" s="425"/>
      <c r="K500" s="458" t="s">
        <v>6421</v>
      </c>
      <c r="L500" s="271">
        <v>2023</v>
      </c>
      <c r="M500" s="227" t="s">
        <v>1890</v>
      </c>
      <c r="N500" s="422" t="s">
        <v>6441</v>
      </c>
      <c r="O500" s="422" t="s">
        <v>6442</v>
      </c>
      <c r="P500" s="227">
        <v>2022</v>
      </c>
      <c r="Q500" s="250" t="s">
        <v>3499</v>
      </c>
      <c r="R500" s="250" t="s">
        <v>3503</v>
      </c>
    </row>
    <row r="501" spans="1:18" ht="15.75" thickBot="1" x14ac:dyDescent="0.3">
      <c r="A501" s="582" t="s">
        <v>6389</v>
      </c>
      <c r="B501" s="576" t="s">
        <v>45</v>
      </c>
      <c r="C501" s="414" t="str">
        <f t="shared" si="22"/>
        <v>Barraqueiro Alugueres + ESEVEL</v>
      </c>
      <c r="D501" s="577" t="s">
        <v>1670</v>
      </c>
      <c r="E501" s="584"/>
      <c r="F501" s="572"/>
      <c r="G501" s="576"/>
      <c r="H501" s="576"/>
      <c r="I501" s="551">
        <v>386.27</v>
      </c>
      <c r="J501" s="262"/>
      <c r="K501" s="568" t="s">
        <v>6424</v>
      </c>
      <c r="L501" s="552">
        <v>2023</v>
      </c>
      <c r="M501" s="553" t="s">
        <v>1890</v>
      </c>
      <c r="N501" s="451" t="s">
        <v>6443</v>
      </c>
      <c r="O501" s="451" t="s">
        <v>6444</v>
      </c>
      <c r="P501" s="227">
        <v>2022</v>
      </c>
      <c r="Q501" s="554" t="s">
        <v>3499</v>
      </c>
      <c r="R501" s="554" t="s">
        <v>3503</v>
      </c>
    </row>
    <row r="502" spans="1:18" ht="15.75" thickBot="1" x14ac:dyDescent="0.3">
      <c r="A502" s="562" t="s">
        <v>6389</v>
      </c>
      <c r="B502" s="93" t="s">
        <v>45</v>
      </c>
      <c r="C502" s="424" t="str">
        <f t="shared" si="22"/>
        <v>Barraqueiro Alugueres + ESEVEL</v>
      </c>
      <c r="D502" s="162" t="s">
        <v>1655</v>
      </c>
      <c r="E502" s="555"/>
      <c r="F502" s="570"/>
      <c r="G502" s="93"/>
      <c r="H502" s="93"/>
      <c r="I502" s="165">
        <v>113607.44</v>
      </c>
      <c r="J502" s="425"/>
      <c r="K502" s="458" t="s">
        <v>1724</v>
      </c>
      <c r="L502" s="271">
        <v>2023</v>
      </c>
      <c r="M502" s="227" t="s">
        <v>1890</v>
      </c>
      <c r="N502" s="422" t="s">
        <v>6439</v>
      </c>
      <c r="O502" s="422" t="s">
        <v>6440</v>
      </c>
      <c r="P502" s="227">
        <v>2022</v>
      </c>
      <c r="Q502" s="250" t="s">
        <v>3499</v>
      </c>
      <c r="R502" s="250" t="s">
        <v>3503</v>
      </c>
    </row>
    <row r="503" spans="1:18" ht="15.75" thickBot="1" x14ac:dyDescent="0.3">
      <c r="A503" s="562" t="s">
        <v>3473</v>
      </c>
      <c r="B503" s="93" t="s">
        <v>45</v>
      </c>
      <c r="C503" s="424" t="str">
        <f t="shared" si="22"/>
        <v>Barraqueiro Oeste</v>
      </c>
      <c r="D503" s="162" t="s">
        <v>1675</v>
      </c>
      <c r="E503" s="555"/>
      <c r="F503" s="570"/>
      <c r="G503" s="93"/>
      <c r="H503" s="93"/>
      <c r="I503" s="165">
        <v>42118.93</v>
      </c>
      <c r="J503" s="425"/>
      <c r="K503" s="458" t="s">
        <v>6403</v>
      </c>
      <c r="L503" s="271">
        <v>2023</v>
      </c>
      <c r="M503" s="227" t="s">
        <v>1890</v>
      </c>
      <c r="N503" s="422" t="s">
        <v>6445</v>
      </c>
      <c r="O503" s="422" t="s">
        <v>6446</v>
      </c>
      <c r="P503" s="227">
        <v>2022</v>
      </c>
      <c r="Q503" s="250" t="s">
        <v>3499</v>
      </c>
      <c r="R503" s="250" t="s">
        <v>3503</v>
      </c>
    </row>
    <row r="504" spans="1:18" ht="15.75" thickBot="1" x14ac:dyDescent="0.3">
      <c r="A504" s="562" t="s">
        <v>3473</v>
      </c>
      <c r="B504" s="93" t="s">
        <v>45</v>
      </c>
      <c r="C504" s="424" t="str">
        <f t="shared" si="22"/>
        <v>Barraqueiro Oeste</v>
      </c>
      <c r="D504" s="162" t="s">
        <v>1653</v>
      </c>
      <c r="E504" s="555">
        <v>52</v>
      </c>
      <c r="F504" s="570" t="s">
        <v>586</v>
      </c>
      <c r="G504" s="93"/>
      <c r="H504" s="93"/>
      <c r="I504" s="165">
        <v>8445.15</v>
      </c>
      <c r="J504" s="425"/>
      <c r="K504" s="458" t="s">
        <v>1715</v>
      </c>
      <c r="L504" s="271">
        <v>2023</v>
      </c>
      <c r="M504" s="227" t="s">
        <v>1890</v>
      </c>
      <c r="N504" s="422" t="s">
        <v>6434</v>
      </c>
      <c r="O504" s="422" t="s">
        <v>6435</v>
      </c>
      <c r="P504" s="227">
        <v>2022</v>
      </c>
      <c r="Q504" s="250" t="s">
        <v>3499</v>
      </c>
      <c r="R504" s="250" t="s">
        <v>3503</v>
      </c>
    </row>
    <row r="505" spans="1:18" ht="15.75" thickBot="1" x14ac:dyDescent="0.3">
      <c r="A505" s="579" t="s">
        <v>3473</v>
      </c>
      <c r="B505" s="565" t="s">
        <v>45</v>
      </c>
      <c r="C505" s="556" t="str">
        <f t="shared" si="22"/>
        <v>Barraqueiro Oeste</v>
      </c>
      <c r="D505" s="558" t="s">
        <v>1654</v>
      </c>
      <c r="E505" s="560"/>
      <c r="F505" s="581"/>
      <c r="G505" s="575"/>
      <c r="H505" s="575"/>
      <c r="I505" s="559">
        <v>1605.11</v>
      </c>
      <c r="J505" s="558"/>
      <c r="K505" s="560" t="s">
        <v>6399</v>
      </c>
      <c r="L505" s="560">
        <v>2023</v>
      </c>
      <c r="M505" s="557" t="s">
        <v>1890</v>
      </c>
      <c r="N505" s="557" t="s">
        <v>6443</v>
      </c>
      <c r="O505" s="557" t="s">
        <v>6444</v>
      </c>
      <c r="P505" s="227">
        <v>2022</v>
      </c>
      <c r="Q505" s="561" t="s">
        <v>3499</v>
      </c>
      <c r="R505" s="561" t="s">
        <v>3503</v>
      </c>
    </row>
    <row r="506" spans="1:18" ht="15.75" thickBot="1" x14ac:dyDescent="0.3">
      <c r="A506" s="562" t="s">
        <v>3473</v>
      </c>
      <c r="B506" s="527" t="s">
        <v>45</v>
      </c>
      <c r="C506" s="424" t="str">
        <f t="shared" si="22"/>
        <v>Barraqueiro Oeste</v>
      </c>
      <c r="D506" s="162" t="s">
        <v>1656</v>
      </c>
      <c r="E506" s="93"/>
      <c r="F506" s="93"/>
      <c r="G506" s="93"/>
      <c r="H506" s="93"/>
      <c r="I506" s="165">
        <v>0</v>
      </c>
      <c r="J506" s="425"/>
      <c r="K506" s="458"/>
      <c r="L506" s="271">
        <v>2023</v>
      </c>
      <c r="M506" s="227" t="s">
        <v>1890</v>
      </c>
      <c r="N506" s="422" t="s">
        <v>6443</v>
      </c>
      <c r="O506" s="422" t="s">
        <v>6444</v>
      </c>
      <c r="P506" s="227">
        <v>2022</v>
      </c>
      <c r="Q506" s="250" t="s">
        <v>3499</v>
      </c>
      <c r="R506" s="250" t="s">
        <v>3503</v>
      </c>
    </row>
    <row r="507" spans="1:18" ht="15.75" thickBot="1" x14ac:dyDescent="0.3">
      <c r="A507" s="562" t="s">
        <v>3473</v>
      </c>
      <c r="B507" s="527" t="s">
        <v>45</v>
      </c>
      <c r="C507" s="424" t="str">
        <f t="shared" si="22"/>
        <v>Barraqueiro Oeste</v>
      </c>
      <c r="D507" s="162" t="s">
        <v>1658</v>
      </c>
      <c r="E507" s="93"/>
      <c r="F507" s="93"/>
      <c r="G507" s="93"/>
      <c r="H507" s="93"/>
      <c r="I507" s="165">
        <v>2198.29</v>
      </c>
      <c r="J507" s="425"/>
      <c r="K507" s="458" t="s">
        <v>6402</v>
      </c>
      <c r="L507" s="271">
        <v>2023</v>
      </c>
      <c r="M507" s="227" t="s">
        <v>1890</v>
      </c>
      <c r="N507" s="422" t="s">
        <v>6436</v>
      </c>
      <c r="O507" s="422" t="s">
        <v>6437</v>
      </c>
      <c r="P507" s="227">
        <v>2022</v>
      </c>
      <c r="Q507" s="250" t="s">
        <v>3499</v>
      </c>
      <c r="R507" s="250" t="s">
        <v>3503</v>
      </c>
    </row>
    <row r="508" spans="1:18" ht="15.75" thickBot="1" x14ac:dyDescent="0.3">
      <c r="A508" s="562" t="s">
        <v>3473</v>
      </c>
      <c r="B508" s="527" t="s">
        <v>45</v>
      </c>
      <c r="C508" s="424" t="str">
        <f t="shared" si="22"/>
        <v>Barraqueiro Oeste</v>
      </c>
      <c r="D508" s="162" t="s">
        <v>1659</v>
      </c>
      <c r="E508" s="93"/>
      <c r="F508" s="93"/>
      <c r="G508" s="93"/>
      <c r="H508" s="93"/>
      <c r="I508" s="165">
        <v>31165.1</v>
      </c>
      <c r="J508" s="425"/>
      <c r="K508" s="458" t="s">
        <v>6404</v>
      </c>
      <c r="L508" s="271">
        <v>2023</v>
      </c>
      <c r="M508" s="227" t="s">
        <v>1890</v>
      </c>
      <c r="N508" s="422" t="s">
        <v>6443</v>
      </c>
      <c r="O508" s="422" t="s">
        <v>6444</v>
      </c>
      <c r="P508" s="227">
        <v>2022</v>
      </c>
      <c r="Q508" s="250" t="s">
        <v>3499</v>
      </c>
      <c r="R508" s="250" t="s">
        <v>3503</v>
      </c>
    </row>
    <row r="509" spans="1:18" ht="15.75" thickBot="1" x14ac:dyDescent="0.3">
      <c r="A509" s="562" t="s">
        <v>3473</v>
      </c>
      <c r="B509" s="527" t="s">
        <v>45</v>
      </c>
      <c r="C509" s="424" t="str">
        <f t="shared" si="22"/>
        <v>Barraqueiro Oeste</v>
      </c>
      <c r="D509" s="162" t="s">
        <v>1681</v>
      </c>
      <c r="E509" s="555">
        <v>337</v>
      </c>
      <c r="F509" s="570" t="s">
        <v>586</v>
      </c>
      <c r="G509" s="93"/>
      <c r="H509" s="93"/>
      <c r="I509" s="165">
        <v>71991.990000000005</v>
      </c>
      <c r="J509" s="425"/>
      <c r="K509" s="458" t="s">
        <v>1716</v>
      </c>
      <c r="L509" s="271">
        <v>2023</v>
      </c>
      <c r="M509" s="227" t="s">
        <v>1890</v>
      </c>
      <c r="N509" s="422" t="s">
        <v>1681</v>
      </c>
      <c r="O509" s="422" t="s">
        <v>6431</v>
      </c>
      <c r="P509" s="227">
        <v>2022</v>
      </c>
      <c r="Q509" s="250" t="s">
        <v>3499</v>
      </c>
      <c r="R509" s="250" t="s">
        <v>3503</v>
      </c>
    </row>
    <row r="510" spans="1:18" ht="15.75" thickBot="1" x14ac:dyDescent="0.3">
      <c r="A510" s="562" t="s">
        <v>3473</v>
      </c>
      <c r="B510" s="527" t="s">
        <v>45</v>
      </c>
      <c r="C510" s="424" t="str">
        <f t="shared" si="22"/>
        <v>Barraqueiro Oeste</v>
      </c>
      <c r="D510" s="162" t="s">
        <v>1672</v>
      </c>
      <c r="E510" s="93"/>
      <c r="F510" s="93"/>
      <c r="G510" s="93"/>
      <c r="H510" s="93"/>
      <c r="I510" s="165">
        <v>225059.09</v>
      </c>
      <c r="J510" s="425"/>
      <c r="K510" s="458" t="s">
        <v>6401</v>
      </c>
      <c r="L510" s="271">
        <v>2023</v>
      </c>
      <c r="M510" s="227" t="s">
        <v>1890</v>
      </c>
      <c r="N510" s="422" t="s">
        <v>6432</v>
      </c>
      <c r="O510" s="422" t="s">
        <v>6433</v>
      </c>
      <c r="P510" s="227">
        <v>2022</v>
      </c>
      <c r="Q510" s="250" t="s">
        <v>3499</v>
      </c>
      <c r="R510" s="250" t="s">
        <v>3503</v>
      </c>
    </row>
    <row r="511" spans="1:18" ht="15.75" thickBot="1" x14ac:dyDescent="0.3">
      <c r="A511" s="562" t="s">
        <v>3473</v>
      </c>
      <c r="B511" s="527" t="s">
        <v>45</v>
      </c>
      <c r="C511" s="424" t="str">
        <f t="shared" si="22"/>
        <v>Barraqueiro Oeste</v>
      </c>
      <c r="D511" s="162" t="s">
        <v>1657</v>
      </c>
      <c r="E511" s="93"/>
      <c r="F511" s="93"/>
      <c r="G511" s="93"/>
      <c r="H511" s="93"/>
      <c r="I511" s="165">
        <v>46741.36</v>
      </c>
      <c r="J511" s="425"/>
      <c r="K511" s="458" t="s">
        <v>6400</v>
      </c>
      <c r="L511" s="271">
        <v>2023</v>
      </c>
      <c r="M511" s="227" t="s">
        <v>1890</v>
      </c>
      <c r="N511" s="422" t="s">
        <v>3820</v>
      </c>
      <c r="O511" s="422" t="s">
        <v>6438</v>
      </c>
      <c r="P511" s="227">
        <v>2022</v>
      </c>
      <c r="Q511" s="250" t="s">
        <v>3499</v>
      </c>
      <c r="R511" s="250" t="s">
        <v>3503</v>
      </c>
    </row>
    <row r="512" spans="1:18" ht="15.75" thickBot="1" x14ac:dyDescent="0.3">
      <c r="A512" s="562" t="s">
        <v>3473</v>
      </c>
      <c r="B512" s="527" t="s">
        <v>45</v>
      </c>
      <c r="C512" s="424" t="str">
        <f t="shared" si="22"/>
        <v>Barraqueiro Oeste</v>
      </c>
      <c r="D512" s="162" t="s">
        <v>1661</v>
      </c>
      <c r="E512" s="93"/>
      <c r="F512" s="93"/>
      <c r="G512" s="93"/>
      <c r="H512" s="93"/>
      <c r="I512" s="165">
        <v>7406.88</v>
      </c>
      <c r="J512" s="425"/>
      <c r="K512" s="458" t="s">
        <v>1689</v>
      </c>
      <c r="L512" s="271">
        <v>2023</v>
      </c>
      <c r="M512" s="227" t="s">
        <v>1890</v>
      </c>
      <c r="N512" s="422" t="s">
        <v>6441</v>
      </c>
      <c r="O512" s="422" t="s">
        <v>6442</v>
      </c>
      <c r="P512" s="227">
        <v>2022</v>
      </c>
      <c r="Q512" s="250" t="s">
        <v>3499</v>
      </c>
      <c r="R512" s="250" t="s">
        <v>3503</v>
      </c>
    </row>
    <row r="513" spans="1:18" ht="15.75" thickBot="1" x14ac:dyDescent="0.3">
      <c r="A513" s="582" t="s">
        <v>3473</v>
      </c>
      <c r="B513" s="566" t="s">
        <v>45</v>
      </c>
      <c r="C513" s="414" t="str">
        <f t="shared" si="22"/>
        <v>Barraqueiro Oeste</v>
      </c>
      <c r="D513" s="577" t="s">
        <v>1670</v>
      </c>
      <c r="E513" s="584"/>
      <c r="F513" s="572"/>
      <c r="G513" s="576"/>
      <c r="H513" s="576"/>
      <c r="I513" s="551">
        <v>6.5</v>
      </c>
      <c r="J513" s="262"/>
      <c r="K513" s="568" t="s">
        <v>1701</v>
      </c>
      <c r="L513" s="552">
        <v>2023</v>
      </c>
      <c r="M513" s="553" t="s">
        <v>1890</v>
      </c>
      <c r="N513" s="451" t="s">
        <v>6443</v>
      </c>
      <c r="O513" s="451" t="s">
        <v>6444</v>
      </c>
      <c r="P513" s="227">
        <v>2022</v>
      </c>
      <c r="Q513" s="554" t="s">
        <v>3499</v>
      </c>
      <c r="R513" s="554" t="s">
        <v>3503</v>
      </c>
    </row>
    <row r="514" spans="1:18" ht="15.75" thickBot="1" x14ac:dyDescent="0.3">
      <c r="A514" s="562" t="s">
        <v>3473</v>
      </c>
      <c r="B514" s="527" t="s">
        <v>45</v>
      </c>
      <c r="C514" s="424" t="str">
        <f t="shared" si="22"/>
        <v>Barraqueiro Oeste</v>
      </c>
      <c r="D514" s="162" t="s">
        <v>1655</v>
      </c>
      <c r="E514" s="555"/>
      <c r="F514" s="570"/>
      <c r="G514" s="93"/>
      <c r="H514" s="93"/>
      <c r="I514" s="165">
        <v>30970.63</v>
      </c>
      <c r="J514" s="425"/>
      <c r="K514" s="458" t="s">
        <v>1697</v>
      </c>
      <c r="L514" s="271">
        <v>2023</v>
      </c>
      <c r="M514" s="227" t="s">
        <v>1890</v>
      </c>
      <c r="N514" s="422" t="s">
        <v>6439</v>
      </c>
      <c r="O514" s="422" t="s">
        <v>6440</v>
      </c>
      <c r="P514" s="227">
        <v>2022</v>
      </c>
      <c r="Q514" s="250" t="s">
        <v>3499</v>
      </c>
      <c r="R514" s="250" t="s">
        <v>3503</v>
      </c>
    </row>
    <row r="515" spans="1:18" ht="15.75" thickBot="1" x14ac:dyDescent="0.3">
      <c r="A515" s="562" t="s">
        <v>3474</v>
      </c>
      <c r="B515" s="527" t="s">
        <v>45</v>
      </c>
      <c r="C515" s="424" t="str">
        <f t="shared" ref="C515:C578" si="23">IF(A515=B515,"X",RIGHT(A515,LEN(A515)-LEN(B515)-3))</f>
        <v>Boa Viagem</v>
      </c>
      <c r="D515" s="162" t="s">
        <v>1675</v>
      </c>
      <c r="E515" s="555"/>
      <c r="F515" s="570"/>
      <c r="G515" s="93"/>
      <c r="H515" s="93"/>
      <c r="I515" s="165">
        <v>20463.009999999998</v>
      </c>
      <c r="J515" s="425"/>
      <c r="K515" s="458" t="s">
        <v>6410</v>
      </c>
      <c r="L515" s="271">
        <v>2023</v>
      </c>
      <c r="M515" s="227" t="s">
        <v>1890</v>
      </c>
      <c r="N515" s="422" t="s">
        <v>6445</v>
      </c>
      <c r="O515" s="422" t="s">
        <v>6446</v>
      </c>
      <c r="P515" s="227">
        <v>2022</v>
      </c>
      <c r="Q515" s="250" t="s">
        <v>3499</v>
      </c>
      <c r="R515" s="250" t="s">
        <v>3503</v>
      </c>
    </row>
    <row r="516" spans="1:18" ht="15.75" thickBot="1" x14ac:dyDescent="0.3">
      <c r="A516" s="562" t="s">
        <v>3474</v>
      </c>
      <c r="B516" s="527" t="s">
        <v>45</v>
      </c>
      <c r="C516" s="424" t="str">
        <f t="shared" si="23"/>
        <v>Boa Viagem</v>
      </c>
      <c r="D516" s="162" t="s">
        <v>1653</v>
      </c>
      <c r="E516" s="555">
        <v>71</v>
      </c>
      <c r="F516" s="570" t="s">
        <v>586</v>
      </c>
      <c r="G516" s="93"/>
      <c r="H516" s="93"/>
      <c r="I516" s="165">
        <v>12267.8</v>
      </c>
      <c r="J516" s="425"/>
      <c r="K516" s="458" t="s">
        <v>1723</v>
      </c>
      <c r="L516" s="271">
        <v>2023</v>
      </c>
      <c r="M516" s="227" t="s">
        <v>1890</v>
      </c>
      <c r="N516" s="422" t="s">
        <v>6434</v>
      </c>
      <c r="O516" s="422" t="s">
        <v>6435</v>
      </c>
      <c r="P516" s="227">
        <v>2022</v>
      </c>
      <c r="Q516" s="250" t="s">
        <v>3499</v>
      </c>
      <c r="R516" s="250" t="s">
        <v>3503</v>
      </c>
    </row>
    <row r="517" spans="1:18" ht="15.75" thickBot="1" x14ac:dyDescent="0.3">
      <c r="A517" s="562" t="s">
        <v>3474</v>
      </c>
      <c r="B517" s="527" t="s">
        <v>45</v>
      </c>
      <c r="C517" s="424" t="str">
        <f t="shared" si="23"/>
        <v>Boa Viagem</v>
      </c>
      <c r="D517" s="162" t="s">
        <v>1654</v>
      </c>
      <c r="E517" s="555"/>
      <c r="F517" s="570"/>
      <c r="G517" s="93"/>
      <c r="H517" s="93"/>
      <c r="I517" s="165">
        <v>1397.8</v>
      </c>
      <c r="J517" s="425"/>
      <c r="K517" s="458" t="s">
        <v>1710</v>
      </c>
      <c r="L517" s="271">
        <v>2023</v>
      </c>
      <c r="M517" s="227" t="s">
        <v>1890</v>
      </c>
      <c r="N517" s="422" t="s">
        <v>6443</v>
      </c>
      <c r="O517" s="422" t="s">
        <v>6444</v>
      </c>
      <c r="P517" s="227">
        <v>2022</v>
      </c>
      <c r="Q517" s="250" t="s">
        <v>3499</v>
      </c>
      <c r="R517" s="250" t="s">
        <v>3503</v>
      </c>
    </row>
    <row r="518" spans="1:18" ht="15.75" thickBot="1" x14ac:dyDescent="0.3">
      <c r="A518" s="562" t="s">
        <v>3474</v>
      </c>
      <c r="B518" s="527" t="s">
        <v>45</v>
      </c>
      <c r="C518" s="424" t="str">
        <f t="shared" si="23"/>
        <v>Boa Viagem</v>
      </c>
      <c r="D518" s="162" t="s">
        <v>1656</v>
      </c>
      <c r="E518" s="93"/>
      <c r="F518" s="93"/>
      <c r="G518" s="93"/>
      <c r="H518" s="93"/>
      <c r="I518" s="165">
        <v>191.87</v>
      </c>
      <c r="J518" s="425"/>
      <c r="K518" s="458" t="s">
        <v>1667</v>
      </c>
      <c r="L518" s="271">
        <v>2023</v>
      </c>
      <c r="M518" s="227" t="s">
        <v>1890</v>
      </c>
      <c r="N518" s="422" t="s">
        <v>6443</v>
      </c>
      <c r="O518" s="422" t="s">
        <v>6444</v>
      </c>
      <c r="P518" s="227">
        <v>2022</v>
      </c>
      <c r="Q518" s="250" t="s">
        <v>3499</v>
      </c>
      <c r="R518" s="250" t="s">
        <v>3503</v>
      </c>
    </row>
    <row r="519" spans="1:18" ht="15.75" thickBot="1" x14ac:dyDescent="0.3">
      <c r="A519" s="562" t="s">
        <v>3474</v>
      </c>
      <c r="B519" s="527" t="s">
        <v>45</v>
      </c>
      <c r="C519" s="424" t="str">
        <f t="shared" si="23"/>
        <v>Boa Viagem</v>
      </c>
      <c r="D519" s="162" t="s">
        <v>1658</v>
      </c>
      <c r="E519" s="93"/>
      <c r="F519" s="93"/>
      <c r="G519" s="93"/>
      <c r="H519" s="93"/>
      <c r="I519" s="165">
        <v>933.8</v>
      </c>
      <c r="J519" s="425"/>
      <c r="K519" s="458" t="s">
        <v>6409</v>
      </c>
      <c r="L519" s="271">
        <v>2023</v>
      </c>
      <c r="M519" s="227" t="s">
        <v>1890</v>
      </c>
      <c r="N519" s="422" t="s">
        <v>6436</v>
      </c>
      <c r="O519" s="422" t="s">
        <v>6437</v>
      </c>
      <c r="P519" s="227">
        <v>2022</v>
      </c>
      <c r="Q519" s="250" t="s">
        <v>3499</v>
      </c>
      <c r="R519" s="250" t="s">
        <v>3503</v>
      </c>
    </row>
    <row r="520" spans="1:18" ht="15.75" thickBot="1" x14ac:dyDescent="0.3">
      <c r="A520" s="562" t="s">
        <v>3474</v>
      </c>
      <c r="B520" s="527" t="s">
        <v>45</v>
      </c>
      <c r="C520" s="424" t="str">
        <f t="shared" si="23"/>
        <v>Boa Viagem</v>
      </c>
      <c r="D520" s="162" t="s">
        <v>1659</v>
      </c>
      <c r="E520" s="93"/>
      <c r="F520" s="93"/>
      <c r="G520" s="93"/>
      <c r="H520" s="93"/>
      <c r="I520" s="165">
        <v>44365.15</v>
      </c>
      <c r="J520" s="425"/>
      <c r="K520" s="458" t="s">
        <v>6411</v>
      </c>
      <c r="L520" s="271">
        <v>2023</v>
      </c>
      <c r="M520" s="227" t="s">
        <v>1890</v>
      </c>
      <c r="N520" s="422" t="s">
        <v>6443</v>
      </c>
      <c r="O520" s="422" t="s">
        <v>6444</v>
      </c>
      <c r="P520" s="227">
        <v>2022</v>
      </c>
      <c r="Q520" s="250" t="s">
        <v>3499</v>
      </c>
      <c r="R520" s="250" t="s">
        <v>3503</v>
      </c>
    </row>
    <row r="521" spans="1:18" ht="15.75" thickBot="1" x14ac:dyDescent="0.3">
      <c r="A521" s="562" t="s">
        <v>3474</v>
      </c>
      <c r="B521" s="527" t="s">
        <v>45</v>
      </c>
      <c r="C521" s="424" t="str">
        <f t="shared" si="23"/>
        <v>Boa Viagem</v>
      </c>
      <c r="D521" s="162" t="s">
        <v>1681</v>
      </c>
      <c r="E521" s="555">
        <v>496</v>
      </c>
      <c r="F521" s="570" t="s">
        <v>586</v>
      </c>
      <c r="G521" s="93"/>
      <c r="H521" s="93"/>
      <c r="I521" s="165">
        <v>78605.83</v>
      </c>
      <c r="J521" s="425"/>
      <c r="K521" s="458" t="s">
        <v>6405</v>
      </c>
      <c r="L521" s="271">
        <v>2023</v>
      </c>
      <c r="M521" s="227" t="s">
        <v>1890</v>
      </c>
      <c r="N521" s="422" t="s">
        <v>1681</v>
      </c>
      <c r="O521" s="422" t="s">
        <v>6431</v>
      </c>
      <c r="P521" s="227">
        <v>2022</v>
      </c>
      <c r="Q521" s="250" t="s">
        <v>3499</v>
      </c>
      <c r="R521" s="250" t="s">
        <v>3503</v>
      </c>
    </row>
    <row r="522" spans="1:18" ht="15.75" thickBot="1" x14ac:dyDescent="0.3">
      <c r="A522" s="562" t="s">
        <v>3474</v>
      </c>
      <c r="B522" s="527" t="s">
        <v>45</v>
      </c>
      <c r="C522" s="424" t="str">
        <f t="shared" si="23"/>
        <v>Boa Viagem</v>
      </c>
      <c r="D522" s="162" t="s">
        <v>1672</v>
      </c>
      <c r="E522" s="93"/>
      <c r="F522" s="93"/>
      <c r="G522" s="93"/>
      <c r="H522" s="93"/>
      <c r="I522" s="165">
        <v>195492.88</v>
      </c>
      <c r="J522" s="425"/>
      <c r="K522" s="458" t="s">
        <v>6408</v>
      </c>
      <c r="L522" s="271">
        <v>2023</v>
      </c>
      <c r="M522" s="227" t="s">
        <v>1890</v>
      </c>
      <c r="N522" s="422" t="s">
        <v>6432</v>
      </c>
      <c r="O522" s="422" t="s">
        <v>6433</v>
      </c>
      <c r="P522" s="227">
        <v>2022</v>
      </c>
      <c r="Q522" s="250" t="s">
        <v>3499</v>
      </c>
      <c r="R522" s="250" t="s">
        <v>3503</v>
      </c>
    </row>
    <row r="523" spans="1:18" ht="15.75" thickBot="1" x14ac:dyDescent="0.3">
      <c r="A523" s="562" t="s">
        <v>3474</v>
      </c>
      <c r="B523" s="527" t="s">
        <v>45</v>
      </c>
      <c r="C523" s="424" t="str">
        <f t="shared" si="23"/>
        <v>Boa Viagem</v>
      </c>
      <c r="D523" s="162" t="s">
        <v>1657</v>
      </c>
      <c r="E523" s="93"/>
      <c r="F523" s="93"/>
      <c r="G523" s="93"/>
      <c r="H523" s="93"/>
      <c r="I523" s="165">
        <v>50521.53</v>
      </c>
      <c r="J523" s="425"/>
      <c r="K523" s="458" t="s">
        <v>6407</v>
      </c>
      <c r="L523" s="271">
        <v>2023</v>
      </c>
      <c r="M523" s="227" t="s">
        <v>1890</v>
      </c>
      <c r="N523" s="422" t="s">
        <v>3820</v>
      </c>
      <c r="O523" s="422" t="s">
        <v>6438</v>
      </c>
      <c r="P523" s="227">
        <v>2022</v>
      </c>
      <c r="Q523" s="250" t="s">
        <v>3499</v>
      </c>
      <c r="R523" s="250" t="s">
        <v>3503</v>
      </c>
    </row>
    <row r="524" spans="1:18" ht="15.75" thickBot="1" x14ac:dyDescent="0.3">
      <c r="A524" s="562" t="s">
        <v>3474</v>
      </c>
      <c r="B524" s="527" t="s">
        <v>45</v>
      </c>
      <c r="C524" s="424" t="str">
        <f t="shared" si="23"/>
        <v>Boa Viagem</v>
      </c>
      <c r="D524" s="162" t="s">
        <v>1661</v>
      </c>
      <c r="E524" s="93"/>
      <c r="F524" s="93"/>
      <c r="G524" s="93"/>
      <c r="H524" s="93"/>
      <c r="I524" s="165">
        <v>23226.26</v>
      </c>
      <c r="J524" s="425"/>
      <c r="K524" s="458" t="s">
        <v>6406</v>
      </c>
      <c r="L524" s="271">
        <v>2023</v>
      </c>
      <c r="M524" s="227" t="s">
        <v>1890</v>
      </c>
      <c r="N524" s="422" t="s">
        <v>6441</v>
      </c>
      <c r="O524" s="422" t="s">
        <v>6442</v>
      </c>
      <c r="P524" s="227">
        <v>2022</v>
      </c>
      <c r="Q524" s="250" t="s">
        <v>3499</v>
      </c>
      <c r="R524" s="250" t="s">
        <v>3503</v>
      </c>
    </row>
    <row r="525" spans="1:18" ht="15.75" thickBot="1" x14ac:dyDescent="0.3">
      <c r="A525" s="582" t="s">
        <v>3474</v>
      </c>
      <c r="B525" s="566" t="s">
        <v>45</v>
      </c>
      <c r="C525" s="414" t="str">
        <f t="shared" si="23"/>
        <v>Boa Viagem</v>
      </c>
      <c r="D525" s="577" t="s">
        <v>1670</v>
      </c>
      <c r="E525" s="584"/>
      <c r="F525" s="572"/>
      <c r="G525" s="576"/>
      <c r="H525" s="576"/>
      <c r="I525" s="551"/>
      <c r="J525" s="262"/>
      <c r="K525" s="568"/>
      <c r="L525" s="552">
        <v>2023</v>
      </c>
      <c r="M525" s="553" t="s">
        <v>1890</v>
      </c>
      <c r="N525" s="451" t="s">
        <v>6443</v>
      </c>
      <c r="O525" s="451" t="s">
        <v>6444</v>
      </c>
      <c r="P525" s="227">
        <v>2022</v>
      </c>
      <c r="Q525" s="554" t="s">
        <v>3499</v>
      </c>
      <c r="R525" s="554" t="s">
        <v>3503</v>
      </c>
    </row>
    <row r="526" spans="1:18" ht="15.75" thickBot="1" x14ac:dyDescent="0.3">
      <c r="A526" s="562" t="s">
        <v>3474</v>
      </c>
      <c r="B526" s="527" t="s">
        <v>45</v>
      </c>
      <c r="C526" s="424" t="str">
        <f t="shared" si="23"/>
        <v>Boa Viagem</v>
      </c>
      <c r="D526" s="162" t="s">
        <v>1655</v>
      </c>
      <c r="E526" s="555"/>
      <c r="F526" s="570"/>
      <c r="G526" s="93"/>
      <c r="H526" s="93"/>
      <c r="I526" s="165">
        <v>22405.48</v>
      </c>
      <c r="J526" s="425"/>
      <c r="K526" s="458" t="s">
        <v>1695</v>
      </c>
      <c r="L526" s="271">
        <v>2023</v>
      </c>
      <c r="M526" s="227" t="s">
        <v>1890</v>
      </c>
      <c r="N526" s="422" t="s">
        <v>6439</v>
      </c>
      <c r="O526" s="422" t="s">
        <v>6440</v>
      </c>
      <c r="P526" s="227">
        <v>2022</v>
      </c>
      <c r="Q526" s="250" t="s">
        <v>3499</v>
      </c>
      <c r="R526" s="250" t="s">
        <v>3503</v>
      </c>
    </row>
    <row r="527" spans="1:18" ht="15.75" thickBot="1" x14ac:dyDescent="0.3">
      <c r="A527" s="562" t="s">
        <v>3471</v>
      </c>
      <c r="B527" s="527" t="s">
        <v>45</v>
      </c>
      <c r="C527" s="424" t="str">
        <f t="shared" si="23"/>
        <v>Estremadura</v>
      </c>
      <c r="D527" s="162" t="s">
        <v>1675</v>
      </c>
      <c r="E527" s="555"/>
      <c r="F527" s="569"/>
      <c r="G527" s="93"/>
      <c r="H527" s="93"/>
      <c r="I527" s="164">
        <v>50503.76</v>
      </c>
      <c r="J527" s="162"/>
      <c r="K527" s="555" t="s">
        <v>6397</v>
      </c>
      <c r="L527" s="271">
        <v>2023</v>
      </c>
      <c r="M527" s="227" t="s">
        <v>1890</v>
      </c>
      <c r="N527" s="422" t="s">
        <v>6445</v>
      </c>
      <c r="O527" s="422" t="s">
        <v>6446</v>
      </c>
      <c r="P527" s="227">
        <v>2022</v>
      </c>
      <c r="Q527" s="250" t="s">
        <v>3499</v>
      </c>
      <c r="R527" s="250" t="s">
        <v>3503</v>
      </c>
    </row>
    <row r="528" spans="1:18" ht="15.75" thickBot="1" x14ac:dyDescent="0.3">
      <c r="A528" s="562" t="s">
        <v>3471</v>
      </c>
      <c r="B528" s="527" t="s">
        <v>45</v>
      </c>
      <c r="C528" s="424" t="str">
        <f t="shared" si="23"/>
        <v>Estremadura</v>
      </c>
      <c r="D528" s="162" t="s">
        <v>1653</v>
      </c>
      <c r="E528" s="555">
        <v>119</v>
      </c>
      <c r="F528" s="569" t="s">
        <v>586</v>
      </c>
      <c r="G528" s="93"/>
      <c r="H528" s="93"/>
      <c r="I528" s="164">
        <v>18395.580000000002</v>
      </c>
      <c r="J528" s="162"/>
      <c r="K528" s="555" t="s">
        <v>1695</v>
      </c>
      <c r="L528" s="271">
        <v>2023</v>
      </c>
      <c r="M528" s="227" t="s">
        <v>1890</v>
      </c>
      <c r="N528" s="422" t="s">
        <v>6434</v>
      </c>
      <c r="O528" s="422" t="s">
        <v>6435</v>
      </c>
      <c r="P528" s="227">
        <v>2022</v>
      </c>
      <c r="Q528" s="250" t="s">
        <v>3499</v>
      </c>
      <c r="R528" s="250" t="s">
        <v>3503</v>
      </c>
    </row>
    <row r="529" spans="1:18" ht="15.75" thickBot="1" x14ac:dyDescent="0.3">
      <c r="A529" s="562" t="s">
        <v>3471</v>
      </c>
      <c r="B529" s="527" t="s">
        <v>45</v>
      </c>
      <c r="C529" s="424" t="str">
        <f t="shared" si="23"/>
        <v>Estremadura</v>
      </c>
      <c r="D529" s="162" t="s">
        <v>1654</v>
      </c>
      <c r="E529" s="555"/>
      <c r="F529" s="569"/>
      <c r="G529" s="93"/>
      <c r="H529" s="93"/>
      <c r="I529" s="164">
        <v>1041.25</v>
      </c>
      <c r="J529" s="162"/>
      <c r="K529" s="555" t="s">
        <v>6392</v>
      </c>
      <c r="L529" s="271">
        <v>2023</v>
      </c>
      <c r="M529" s="227" t="s">
        <v>1890</v>
      </c>
      <c r="N529" s="422" t="s">
        <v>6443</v>
      </c>
      <c r="O529" s="422" t="s">
        <v>6444</v>
      </c>
      <c r="P529" s="227">
        <v>2022</v>
      </c>
      <c r="Q529" s="250" t="s">
        <v>3499</v>
      </c>
      <c r="R529" s="250" t="s">
        <v>3503</v>
      </c>
    </row>
    <row r="530" spans="1:18" ht="15.75" thickBot="1" x14ac:dyDescent="0.3">
      <c r="A530" s="562" t="s">
        <v>3471</v>
      </c>
      <c r="B530" s="527" t="s">
        <v>45</v>
      </c>
      <c r="C530" s="424" t="str">
        <f t="shared" si="23"/>
        <v>Estremadura</v>
      </c>
      <c r="D530" s="162" t="s">
        <v>1656</v>
      </c>
      <c r="E530" s="93"/>
      <c r="F530" s="93"/>
      <c r="G530" s="93"/>
      <c r="H530" s="93"/>
      <c r="I530" s="164">
        <v>617.52</v>
      </c>
      <c r="J530" s="162"/>
      <c r="K530" s="555" t="s">
        <v>1711</v>
      </c>
      <c r="L530" s="271">
        <v>2023</v>
      </c>
      <c r="M530" s="227" t="s">
        <v>1890</v>
      </c>
      <c r="N530" s="422" t="s">
        <v>6443</v>
      </c>
      <c r="O530" s="422" t="s">
        <v>6444</v>
      </c>
      <c r="P530" s="227">
        <v>2022</v>
      </c>
      <c r="Q530" s="250" t="s">
        <v>3499</v>
      </c>
      <c r="R530" s="250" t="s">
        <v>3503</v>
      </c>
    </row>
    <row r="531" spans="1:18" ht="15.75" thickBot="1" x14ac:dyDescent="0.3">
      <c r="A531" s="562" t="s">
        <v>3471</v>
      </c>
      <c r="B531" s="527" t="s">
        <v>45</v>
      </c>
      <c r="C531" s="424" t="str">
        <f t="shared" si="23"/>
        <v>Estremadura</v>
      </c>
      <c r="D531" s="162" t="s">
        <v>1658</v>
      </c>
      <c r="E531" s="93"/>
      <c r="F531" s="93"/>
      <c r="G531" s="93"/>
      <c r="H531" s="93"/>
      <c r="I531" s="164">
        <v>415.37</v>
      </c>
      <c r="J531" s="162"/>
      <c r="K531" s="555" t="s">
        <v>6396</v>
      </c>
      <c r="L531" s="271">
        <v>2023</v>
      </c>
      <c r="M531" s="227" t="s">
        <v>1890</v>
      </c>
      <c r="N531" s="422" t="s">
        <v>6436</v>
      </c>
      <c r="O531" s="422" t="s">
        <v>6437</v>
      </c>
      <c r="P531" s="227">
        <v>2022</v>
      </c>
      <c r="Q531" s="250" t="s">
        <v>3499</v>
      </c>
      <c r="R531" s="250" t="s">
        <v>3503</v>
      </c>
    </row>
    <row r="532" spans="1:18" ht="15.75" thickBot="1" x14ac:dyDescent="0.3">
      <c r="A532" s="562" t="s">
        <v>3471</v>
      </c>
      <c r="B532" s="527" t="s">
        <v>45</v>
      </c>
      <c r="C532" s="424" t="str">
        <f t="shared" si="23"/>
        <v>Estremadura</v>
      </c>
      <c r="D532" s="162" t="s">
        <v>1659</v>
      </c>
      <c r="E532" s="93"/>
      <c r="F532" s="93"/>
      <c r="G532" s="93"/>
      <c r="H532" s="93"/>
      <c r="I532" s="164">
        <v>83048.31</v>
      </c>
      <c r="J532" s="162"/>
      <c r="K532" s="555" t="s">
        <v>6398</v>
      </c>
      <c r="L532" s="271">
        <v>2023</v>
      </c>
      <c r="M532" s="227" t="s">
        <v>1890</v>
      </c>
      <c r="N532" s="422" t="s">
        <v>6443</v>
      </c>
      <c r="O532" s="422" t="s">
        <v>6444</v>
      </c>
      <c r="P532" s="227">
        <v>2022</v>
      </c>
      <c r="Q532" s="250" t="s">
        <v>3499</v>
      </c>
      <c r="R532" s="250" t="s">
        <v>3503</v>
      </c>
    </row>
    <row r="533" spans="1:18" ht="15.75" thickBot="1" x14ac:dyDescent="0.3">
      <c r="A533" s="562" t="s">
        <v>3471</v>
      </c>
      <c r="B533" s="527" t="s">
        <v>45</v>
      </c>
      <c r="C533" s="424" t="str">
        <f t="shared" si="23"/>
        <v>Estremadura</v>
      </c>
      <c r="D533" s="162" t="s">
        <v>1681</v>
      </c>
      <c r="E533" s="555">
        <v>646</v>
      </c>
      <c r="F533" s="569" t="s">
        <v>586</v>
      </c>
      <c r="G533" s="93"/>
      <c r="H533" s="93"/>
      <c r="I533" s="164">
        <v>236044.49</v>
      </c>
      <c r="J533" s="162"/>
      <c r="K533" s="555" t="s">
        <v>6390</v>
      </c>
      <c r="L533" s="271">
        <v>2023</v>
      </c>
      <c r="M533" s="227" t="s">
        <v>1890</v>
      </c>
      <c r="N533" s="422" t="s">
        <v>1681</v>
      </c>
      <c r="O533" s="422" t="s">
        <v>6431</v>
      </c>
      <c r="P533" s="227">
        <v>2022</v>
      </c>
      <c r="Q533" s="250" t="s">
        <v>3499</v>
      </c>
      <c r="R533" s="250" t="s">
        <v>3503</v>
      </c>
    </row>
    <row r="534" spans="1:18" ht="15.75" thickBot="1" x14ac:dyDescent="0.3">
      <c r="A534" s="562" t="s">
        <v>3471</v>
      </c>
      <c r="B534" s="527" t="s">
        <v>45</v>
      </c>
      <c r="C534" s="424" t="str">
        <f t="shared" si="23"/>
        <v>Estremadura</v>
      </c>
      <c r="D534" s="162" t="s">
        <v>1672</v>
      </c>
      <c r="E534" s="93"/>
      <c r="F534" s="93"/>
      <c r="G534" s="93"/>
      <c r="H534" s="93"/>
      <c r="I534" s="164">
        <v>176891.55</v>
      </c>
      <c r="J534" s="162"/>
      <c r="K534" s="555" t="s">
        <v>6395</v>
      </c>
      <c r="L534" s="271">
        <v>2023</v>
      </c>
      <c r="M534" s="227" t="s">
        <v>1890</v>
      </c>
      <c r="N534" s="422" t="s">
        <v>6432</v>
      </c>
      <c r="O534" s="422" t="s">
        <v>6433</v>
      </c>
      <c r="P534" s="227">
        <v>2022</v>
      </c>
      <c r="Q534" s="250" t="s">
        <v>3499</v>
      </c>
      <c r="R534" s="250" t="s">
        <v>3503</v>
      </c>
    </row>
    <row r="535" spans="1:18" ht="15.75" thickBot="1" x14ac:dyDescent="0.3">
      <c r="A535" s="562" t="s">
        <v>3471</v>
      </c>
      <c r="B535" s="527" t="s">
        <v>45</v>
      </c>
      <c r="C535" s="424" t="str">
        <f t="shared" si="23"/>
        <v>Estremadura</v>
      </c>
      <c r="D535" s="162" t="s">
        <v>1657</v>
      </c>
      <c r="E535" s="93"/>
      <c r="F535" s="93"/>
      <c r="G535" s="93"/>
      <c r="H535" s="93"/>
      <c r="I535" s="164">
        <v>65635.81</v>
      </c>
      <c r="J535" s="162"/>
      <c r="K535" s="555" t="s">
        <v>6394</v>
      </c>
      <c r="L535" s="271">
        <v>2023</v>
      </c>
      <c r="M535" s="227" t="s">
        <v>1890</v>
      </c>
      <c r="N535" s="422" t="s">
        <v>3820</v>
      </c>
      <c r="O535" s="422" t="s">
        <v>6438</v>
      </c>
      <c r="P535" s="227">
        <v>2022</v>
      </c>
      <c r="Q535" s="250" t="s">
        <v>3499</v>
      </c>
      <c r="R535" s="250" t="s">
        <v>3503</v>
      </c>
    </row>
    <row r="536" spans="1:18" ht="15.75" thickBot="1" x14ac:dyDescent="0.3">
      <c r="A536" s="562" t="s">
        <v>3471</v>
      </c>
      <c r="B536" s="527" t="s">
        <v>45</v>
      </c>
      <c r="C536" s="424" t="str">
        <f t="shared" si="23"/>
        <v>Estremadura</v>
      </c>
      <c r="D536" s="162" t="s">
        <v>1661</v>
      </c>
      <c r="E536" s="93"/>
      <c r="F536" s="93"/>
      <c r="G536" s="93"/>
      <c r="H536" s="93"/>
      <c r="I536" s="164">
        <v>393733.4</v>
      </c>
      <c r="J536" s="162"/>
      <c r="K536" s="555" t="s">
        <v>6391</v>
      </c>
      <c r="L536" s="271">
        <v>2023</v>
      </c>
      <c r="M536" s="227" t="s">
        <v>1890</v>
      </c>
      <c r="N536" s="422" t="s">
        <v>6441</v>
      </c>
      <c r="O536" s="422" t="s">
        <v>6442</v>
      </c>
      <c r="P536" s="227">
        <v>2022</v>
      </c>
      <c r="Q536" s="250" t="s">
        <v>3499</v>
      </c>
      <c r="R536" s="250" t="s">
        <v>3503</v>
      </c>
    </row>
    <row r="537" spans="1:18" ht="15.75" thickBot="1" x14ac:dyDescent="0.3">
      <c r="A537" s="582" t="s">
        <v>3471</v>
      </c>
      <c r="B537" s="566" t="s">
        <v>45</v>
      </c>
      <c r="C537" s="414" t="str">
        <f t="shared" si="23"/>
        <v>Estremadura</v>
      </c>
      <c r="D537" s="577" t="s">
        <v>1670</v>
      </c>
      <c r="E537" s="584"/>
      <c r="F537" s="585"/>
      <c r="G537" s="576"/>
      <c r="H537" s="576"/>
      <c r="I537" s="578">
        <v>193.75</v>
      </c>
      <c r="J537" s="577"/>
      <c r="K537" s="584" t="s">
        <v>1729</v>
      </c>
      <c r="L537" s="552">
        <v>2023</v>
      </c>
      <c r="M537" s="553" t="s">
        <v>1890</v>
      </c>
      <c r="N537" s="451" t="s">
        <v>6443</v>
      </c>
      <c r="O537" s="451" t="s">
        <v>6444</v>
      </c>
      <c r="P537" s="227">
        <v>2022</v>
      </c>
      <c r="Q537" s="554" t="s">
        <v>3499</v>
      </c>
      <c r="R537" s="554" t="s">
        <v>3503</v>
      </c>
    </row>
    <row r="538" spans="1:18" ht="15.75" thickBot="1" x14ac:dyDescent="0.3">
      <c r="A538" s="562" t="s">
        <v>3471</v>
      </c>
      <c r="B538" s="527" t="s">
        <v>45</v>
      </c>
      <c r="C538" s="424" t="str">
        <f t="shared" si="23"/>
        <v>Estremadura</v>
      </c>
      <c r="D538" s="162" t="s">
        <v>1655</v>
      </c>
      <c r="E538" s="555"/>
      <c r="F538" s="569"/>
      <c r="G538" s="93"/>
      <c r="H538" s="93"/>
      <c r="I538" s="164">
        <v>70408.12</v>
      </c>
      <c r="J538" s="162"/>
      <c r="K538" s="555" t="s">
        <v>6393</v>
      </c>
      <c r="L538" s="271">
        <v>2023</v>
      </c>
      <c r="M538" s="227" t="s">
        <v>1890</v>
      </c>
      <c r="N538" s="422" t="s">
        <v>6439</v>
      </c>
      <c r="O538" s="422" t="s">
        <v>6440</v>
      </c>
      <c r="P538" s="227">
        <v>2022</v>
      </c>
      <c r="Q538" s="250" t="s">
        <v>3499</v>
      </c>
      <c r="R538" s="250" t="s">
        <v>3503</v>
      </c>
    </row>
    <row r="539" spans="1:18" ht="15.75" thickBot="1" x14ac:dyDescent="0.3">
      <c r="A539" s="562" t="s">
        <v>3472</v>
      </c>
      <c r="B539" s="527" t="s">
        <v>45</v>
      </c>
      <c r="C539" s="424" t="str">
        <f t="shared" si="23"/>
        <v>Frota Azul</v>
      </c>
      <c r="D539" s="162" t="s">
        <v>1675</v>
      </c>
      <c r="E539" s="555"/>
      <c r="F539" s="570"/>
      <c r="G539" s="93"/>
      <c r="H539" s="93"/>
      <c r="I539" s="165">
        <v>16102.56</v>
      </c>
      <c r="J539" s="425"/>
      <c r="K539" s="458" t="s">
        <v>6430</v>
      </c>
      <c r="L539" s="271">
        <v>2023</v>
      </c>
      <c r="M539" s="227" t="s">
        <v>1890</v>
      </c>
      <c r="N539" s="422" t="s">
        <v>6445</v>
      </c>
      <c r="O539" s="422" t="s">
        <v>6446</v>
      </c>
      <c r="P539" s="227">
        <v>2022</v>
      </c>
      <c r="Q539" s="250" t="s">
        <v>3499</v>
      </c>
      <c r="R539" s="250" t="s">
        <v>3503</v>
      </c>
    </row>
    <row r="540" spans="1:18" ht="15.75" thickBot="1" x14ac:dyDescent="0.3">
      <c r="A540" s="562" t="s">
        <v>3472</v>
      </c>
      <c r="B540" s="527" t="s">
        <v>45</v>
      </c>
      <c r="C540" s="424" t="str">
        <f t="shared" si="23"/>
        <v>Frota Azul</v>
      </c>
      <c r="D540" s="162" t="s">
        <v>1653</v>
      </c>
      <c r="E540" s="555"/>
      <c r="F540" s="570"/>
      <c r="G540" s="93"/>
      <c r="H540" s="93"/>
      <c r="I540" s="165"/>
      <c r="J540" s="425"/>
      <c r="K540" s="458"/>
      <c r="L540" s="271">
        <v>2023</v>
      </c>
      <c r="M540" s="227" t="s">
        <v>1890</v>
      </c>
      <c r="N540" s="422" t="s">
        <v>6434</v>
      </c>
      <c r="O540" s="422" t="s">
        <v>6435</v>
      </c>
      <c r="P540" s="227">
        <v>2022</v>
      </c>
      <c r="Q540" s="250" t="s">
        <v>3499</v>
      </c>
      <c r="R540" s="250" t="s">
        <v>3503</v>
      </c>
    </row>
    <row r="541" spans="1:18" ht="15.75" thickBot="1" x14ac:dyDescent="0.3">
      <c r="A541" s="562" t="s">
        <v>3472</v>
      </c>
      <c r="B541" s="527" t="s">
        <v>45</v>
      </c>
      <c r="C541" s="424" t="str">
        <f t="shared" si="23"/>
        <v>Frota Azul</v>
      </c>
      <c r="D541" s="162" t="s">
        <v>1654</v>
      </c>
      <c r="E541" s="555"/>
      <c r="F541" s="570"/>
      <c r="G541" s="93"/>
      <c r="H541" s="93"/>
      <c r="I541" s="165"/>
      <c r="J541" s="425"/>
      <c r="K541" s="458"/>
      <c r="L541" s="271">
        <v>2023</v>
      </c>
      <c r="M541" s="227" t="s">
        <v>1890</v>
      </c>
      <c r="N541" s="422" t="s">
        <v>6443</v>
      </c>
      <c r="O541" s="422" t="s">
        <v>6444</v>
      </c>
      <c r="P541" s="227">
        <v>2022</v>
      </c>
      <c r="Q541" s="250" t="s">
        <v>3499</v>
      </c>
      <c r="R541" s="250" t="s">
        <v>3503</v>
      </c>
    </row>
    <row r="542" spans="1:18" ht="15.75" thickBot="1" x14ac:dyDescent="0.3">
      <c r="A542" s="562" t="s">
        <v>3472</v>
      </c>
      <c r="B542" s="527" t="s">
        <v>45</v>
      </c>
      <c r="C542" s="424" t="str">
        <f t="shared" si="23"/>
        <v>Frota Azul</v>
      </c>
      <c r="D542" s="162" t="s">
        <v>1680</v>
      </c>
      <c r="E542" s="93"/>
      <c r="F542" s="93"/>
      <c r="G542" s="93"/>
      <c r="H542" s="93"/>
      <c r="I542" s="165">
        <v>106227.29</v>
      </c>
      <c r="J542" s="425"/>
      <c r="K542" s="458" t="s">
        <v>6428</v>
      </c>
      <c r="L542" s="271">
        <v>2023</v>
      </c>
      <c r="M542" s="227" t="s">
        <v>1890</v>
      </c>
      <c r="N542" s="422" t="s">
        <v>1681</v>
      </c>
      <c r="O542" s="422" t="s">
        <v>6431</v>
      </c>
      <c r="P542" s="227">
        <v>2022</v>
      </c>
      <c r="Q542" s="250" t="s">
        <v>3499</v>
      </c>
      <c r="R542" s="250" t="s">
        <v>3503</v>
      </c>
    </row>
    <row r="543" spans="1:18" ht="15.75" thickBot="1" x14ac:dyDescent="0.3">
      <c r="A543" s="562" t="s">
        <v>3472</v>
      </c>
      <c r="B543" s="527" t="s">
        <v>45</v>
      </c>
      <c r="C543" s="424" t="str">
        <f t="shared" si="23"/>
        <v>Frota Azul</v>
      </c>
      <c r="D543" s="162" t="s">
        <v>1656</v>
      </c>
      <c r="E543" s="93"/>
      <c r="F543" s="93"/>
      <c r="G543" s="93"/>
      <c r="H543" s="93"/>
      <c r="I543" s="165"/>
      <c r="J543" s="425"/>
      <c r="K543" s="458"/>
      <c r="L543" s="271">
        <v>2023</v>
      </c>
      <c r="M543" s="227" t="s">
        <v>1890</v>
      </c>
      <c r="N543" s="422" t="s">
        <v>6443</v>
      </c>
      <c r="O543" s="422" t="s">
        <v>6444</v>
      </c>
      <c r="P543" s="227">
        <v>2022</v>
      </c>
      <c r="Q543" s="250" t="s">
        <v>3499</v>
      </c>
      <c r="R543" s="250" t="s">
        <v>3503</v>
      </c>
    </row>
    <row r="544" spans="1:18" ht="15.75" thickBot="1" x14ac:dyDescent="0.3">
      <c r="A544" s="562" t="s">
        <v>3472</v>
      </c>
      <c r="B544" s="527" t="s">
        <v>45</v>
      </c>
      <c r="C544" s="424" t="str">
        <f t="shared" si="23"/>
        <v>Frota Azul</v>
      </c>
      <c r="D544" s="162" t="s">
        <v>1658</v>
      </c>
      <c r="E544" s="93"/>
      <c r="F544" s="93"/>
      <c r="G544" s="93"/>
      <c r="H544" s="93"/>
      <c r="I544" s="165"/>
      <c r="J544" s="425"/>
      <c r="K544" s="458"/>
      <c r="L544" s="271">
        <v>2023</v>
      </c>
      <c r="M544" s="227" t="s">
        <v>1890</v>
      </c>
      <c r="N544" s="422" t="s">
        <v>6436</v>
      </c>
      <c r="O544" s="422" t="s">
        <v>6437</v>
      </c>
      <c r="P544" s="227">
        <v>2022</v>
      </c>
      <c r="Q544" s="250" t="s">
        <v>3499</v>
      </c>
      <c r="R544" s="250" t="s">
        <v>3503</v>
      </c>
    </row>
    <row r="545" spans="1:18" ht="15.75" thickBot="1" x14ac:dyDescent="0.3">
      <c r="A545" s="562" t="s">
        <v>3472</v>
      </c>
      <c r="B545" s="527" t="s">
        <v>45</v>
      </c>
      <c r="C545" s="424" t="str">
        <f t="shared" si="23"/>
        <v>Frota Azul</v>
      </c>
      <c r="D545" s="162" t="s">
        <v>1659</v>
      </c>
      <c r="E545" s="93"/>
      <c r="F545" s="93"/>
      <c r="G545" s="93"/>
      <c r="H545" s="93"/>
      <c r="I545" s="165"/>
      <c r="J545" s="425"/>
      <c r="K545" s="458"/>
      <c r="L545" s="271">
        <v>2023</v>
      </c>
      <c r="M545" s="227" t="s">
        <v>1890</v>
      </c>
      <c r="N545" s="422" t="s">
        <v>6443</v>
      </c>
      <c r="O545" s="422" t="s">
        <v>6444</v>
      </c>
      <c r="P545" s="227">
        <v>2022</v>
      </c>
      <c r="Q545" s="250" t="s">
        <v>3499</v>
      </c>
      <c r="R545" s="250" t="s">
        <v>3503</v>
      </c>
    </row>
    <row r="546" spans="1:18" ht="15.75" thickBot="1" x14ac:dyDescent="0.3">
      <c r="A546" s="562" t="s">
        <v>3472</v>
      </c>
      <c r="B546" s="527" t="s">
        <v>45</v>
      </c>
      <c r="C546" s="424" t="str">
        <f t="shared" si="23"/>
        <v>Frota Azul</v>
      </c>
      <c r="D546" s="162" t="s">
        <v>1672</v>
      </c>
      <c r="E546" s="93"/>
      <c r="F546" s="93"/>
      <c r="G546" s="93"/>
      <c r="H546" s="93"/>
      <c r="I546" s="165">
        <v>6644.29</v>
      </c>
      <c r="J546" s="425"/>
      <c r="K546" s="458" t="s">
        <v>6429</v>
      </c>
      <c r="L546" s="271">
        <v>2023</v>
      </c>
      <c r="M546" s="227" t="s">
        <v>1890</v>
      </c>
      <c r="N546" s="422" t="s">
        <v>6432</v>
      </c>
      <c r="O546" s="422" t="s">
        <v>6433</v>
      </c>
      <c r="P546" s="227">
        <v>2022</v>
      </c>
      <c r="Q546" s="250" t="s">
        <v>3499</v>
      </c>
      <c r="R546" s="250" t="s">
        <v>3503</v>
      </c>
    </row>
    <row r="547" spans="1:18" ht="15.75" thickBot="1" x14ac:dyDescent="0.3">
      <c r="A547" s="562" t="s">
        <v>3472</v>
      </c>
      <c r="B547" s="527" t="s">
        <v>45</v>
      </c>
      <c r="C547" s="424" t="str">
        <f t="shared" si="23"/>
        <v>Frota Azul</v>
      </c>
      <c r="D547" s="162" t="s">
        <v>1657</v>
      </c>
      <c r="E547" s="93"/>
      <c r="F547" s="93"/>
      <c r="G547" s="93"/>
      <c r="H547" s="93"/>
      <c r="I547" s="165"/>
      <c r="J547" s="425"/>
      <c r="K547" s="458"/>
      <c r="L547" s="271">
        <v>2023</v>
      </c>
      <c r="M547" s="227" t="s">
        <v>1890</v>
      </c>
      <c r="N547" s="422" t="s">
        <v>3820</v>
      </c>
      <c r="O547" s="422" t="s">
        <v>6438</v>
      </c>
      <c r="P547" s="227">
        <v>2022</v>
      </c>
      <c r="Q547" s="250" t="s">
        <v>3499</v>
      </c>
      <c r="R547" s="250" t="s">
        <v>3503</v>
      </c>
    </row>
    <row r="548" spans="1:18" ht="15.75" thickBot="1" x14ac:dyDescent="0.3">
      <c r="A548" s="562" t="s">
        <v>3472</v>
      </c>
      <c r="B548" s="527" t="s">
        <v>45</v>
      </c>
      <c r="C548" s="424" t="str">
        <f t="shared" si="23"/>
        <v>Frota Azul</v>
      </c>
      <c r="D548" s="162" t="s">
        <v>1661</v>
      </c>
      <c r="E548" s="93"/>
      <c r="F548" s="93"/>
      <c r="G548" s="93"/>
      <c r="H548" s="93"/>
      <c r="I548" s="165">
        <v>7600.62</v>
      </c>
      <c r="J548" s="425"/>
      <c r="K548" s="458" t="s">
        <v>1715</v>
      </c>
      <c r="L548" s="271">
        <v>2023</v>
      </c>
      <c r="M548" s="227" t="s">
        <v>1890</v>
      </c>
      <c r="N548" s="422" t="s">
        <v>6441</v>
      </c>
      <c r="O548" s="422" t="s">
        <v>6442</v>
      </c>
      <c r="P548" s="227">
        <v>2022</v>
      </c>
      <c r="Q548" s="250" t="s">
        <v>3499</v>
      </c>
      <c r="R548" s="250" t="s">
        <v>3503</v>
      </c>
    </row>
    <row r="549" spans="1:18" ht="15.75" thickBot="1" x14ac:dyDescent="0.3">
      <c r="A549" s="582" t="s">
        <v>3472</v>
      </c>
      <c r="B549" s="566" t="s">
        <v>45</v>
      </c>
      <c r="C549" s="414" t="str">
        <f t="shared" si="23"/>
        <v>Frota Azul</v>
      </c>
      <c r="D549" s="577" t="s">
        <v>1670</v>
      </c>
      <c r="E549" s="584"/>
      <c r="F549" s="572"/>
      <c r="G549" s="576"/>
      <c r="H549" s="576"/>
      <c r="I549" s="551"/>
      <c r="J549" s="262"/>
      <c r="K549" s="568"/>
      <c r="L549" s="552">
        <v>2023</v>
      </c>
      <c r="M549" s="553" t="s">
        <v>1890</v>
      </c>
      <c r="N549" s="451" t="s">
        <v>6443</v>
      </c>
      <c r="O549" s="451" t="s">
        <v>6444</v>
      </c>
      <c r="P549" s="227">
        <v>2022</v>
      </c>
      <c r="Q549" s="554" t="s">
        <v>3499</v>
      </c>
      <c r="R549" s="554" t="s">
        <v>3503</v>
      </c>
    </row>
    <row r="550" spans="1:18" ht="15.75" thickBot="1" x14ac:dyDescent="0.3">
      <c r="A550" s="562" t="s">
        <v>3472</v>
      </c>
      <c r="B550" s="527" t="s">
        <v>45</v>
      </c>
      <c r="C550" s="424" t="str">
        <f t="shared" si="23"/>
        <v>Frota Azul</v>
      </c>
      <c r="D550" s="162" t="s">
        <v>1655</v>
      </c>
      <c r="E550" s="555"/>
      <c r="F550" s="570"/>
      <c r="G550" s="93"/>
      <c r="H550" s="93"/>
      <c r="I550" s="165"/>
      <c r="J550" s="425"/>
      <c r="K550" s="458"/>
      <c r="L550" s="271">
        <v>2023</v>
      </c>
      <c r="M550" s="227" t="s">
        <v>1890</v>
      </c>
      <c r="N550" s="422" t="s">
        <v>6439</v>
      </c>
      <c r="O550" s="422" t="s">
        <v>6440</v>
      </c>
      <c r="P550" s="227">
        <v>2022</v>
      </c>
      <c r="Q550" s="250" t="s">
        <v>3499</v>
      </c>
      <c r="R550" s="250" t="s">
        <v>3503</v>
      </c>
    </row>
    <row r="551" spans="1:18" ht="15.75" thickBot="1" x14ac:dyDescent="0.3">
      <c r="A551" s="562" t="s">
        <v>3470</v>
      </c>
      <c r="B551" s="527" t="s">
        <v>45</v>
      </c>
      <c r="C551" s="424" t="str">
        <f t="shared" si="23"/>
        <v>Mafrense</v>
      </c>
      <c r="D551" s="162" t="s">
        <v>1675</v>
      </c>
      <c r="E551" s="555"/>
      <c r="F551" s="570"/>
      <c r="G551" s="93"/>
      <c r="H551" s="93"/>
      <c r="I551" s="165">
        <v>114480.54</v>
      </c>
      <c r="J551" s="425"/>
      <c r="K551" s="458" t="s">
        <v>6418</v>
      </c>
      <c r="L551" s="271">
        <v>2023</v>
      </c>
      <c r="M551" s="227" t="s">
        <v>1890</v>
      </c>
      <c r="N551" s="422" t="s">
        <v>6445</v>
      </c>
      <c r="O551" s="422" t="s">
        <v>6446</v>
      </c>
      <c r="P551" s="227">
        <v>2022</v>
      </c>
      <c r="Q551" s="250" t="s">
        <v>3499</v>
      </c>
      <c r="R551" s="250" t="s">
        <v>3503</v>
      </c>
    </row>
    <row r="552" spans="1:18" ht="15.75" thickBot="1" x14ac:dyDescent="0.3">
      <c r="A552" s="562" t="s">
        <v>3470</v>
      </c>
      <c r="B552" s="527" t="s">
        <v>45</v>
      </c>
      <c r="C552" s="424" t="str">
        <f t="shared" si="23"/>
        <v>Mafrense</v>
      </c>
      <c r="D552" s="162" t="s">
        <v>1653</v>
      </c>
      <c r="E552" s="555">
        <v>38</v>
      </c>
      <c r="F552" s="570" t="s">
        <v>586</v>
      </c>
      <c r="G552" s="93"/>
      <c r="H552" s="93"/>
      <c r="I552" s="165">
        <v>6488.15</v>
      </c>
      <c r="J552" s="425"/>
      <c r="K552" s="458"/>
      <c r="L552" s="271">
        <v>2023</v>
      </c>
      <c r="M552" s="227" t="s">
        <v>1890</v>
      </c>
      <c r="N552" s="422" t="s">
        <v>6434</v>
      </c>
      <c r="O552" s="422" t="s">
        <v>6435</v>
      </c>
      <c r="P552" s="227">
        <v>2022</v>
      </c>
      <c r="Q552" s="250" t="s">
        <v>3499</v>
      </c>
      <c r="R552" s="250" t="s">
        <v>3503</v>
      </c>
    </row>
    <row r="553" spans="1:18" ht="15.75" thickBot="1" x14ac:dyDescent="0.3">
      <c r="A553" s="562" t="s">
        <v>3470</v>
      </c>
      <c r="B553" s="527" t="s">
        <v>45</v>
      </c>
      <c r="C553" s="424" t="str">
        <f t="shared" si="23"/>
        <v>Mafrense</v>
      </c>
      <c r="D553" s="162" t="s">
        <v>1654</v>
      </c>
      <c r="E553" s="555"/>
      <c r="F553" s="570"/>
      <c r="G553" s="93"/>
      <c r="H553" s="93"/>
      <c r="I553" s="165">
        <v>909.52</v>
      </c>
      <c r="J553" s="425"/>
      <c r="K553" s="458" t="s">
        <v>6414</v>
      </c>
      <c r="L553" s="271">
        <v>2023</v>
      </c>
      <c r="M553" s="227" t="s">
        <v>1890</v>
      </c>
      <c r="N553" s="422" t="s">
        <v>6443</v>
      </c>
      <c r="O553" s="422" t="s">
        <v>6444</v>
      </c>
      <c r="P553" s="227">
        <v>2022</v>
      </c>
      <c r="Q553" s="250" t="s">
        <v>3499</v>
      </c>
      <c r="R553" s="250" t="s">
        <v>3503</v>
      </c>
    </row>
    <row r="554" spans="1:18" ht="15.75" thickBot="1" x14ac:dyDescent="0.3">
      <c r="A554" s="562" t="s">
        <v>3470</v>
      </c>
      <c r="B554" s="527" t="s">
        <v>45</v>
      </c>
      <c r="C554" s="424" t="str">
        <f t="shared" si="23"/>
        <v>Mafrense</v>
      </c>
      <c r="D554" s="162" t="s">
        <v>1680</v>
      </c>
      <c r="E554" s="93"/>
      <c r="F554" s="93"/>
      <c r="G554" s="93"/>
      <c r="H554" s="93"/>
      <c r="I554" s="165">
        <v>0</v>
      </c>
      <c r="J554" s="425"/>
      <c r="K554" s="458" t="s">
        <v>6413</v>
      </c>
      <c r="L554" s="271">
        <v>2023</v>
      </c>
      <c r="M554" s="227" t="s">
        <v>1890</v>
      </c>
      <c r="N554" s="422" t="s">
        <v>1681</v>
      </c>
      <c r="O554" s="422" t="s">
        <v>6431</v>
      </c>
      <c r="P554" s="227">
        <v>2022</v>
      </c>
      <c r="Q554" s="250" t="s">
        <v>3499</v>
      </c>
      <c r="R554" s="250" t="s">
        <v>3503</v>
      </c>
    </row>
    <row r="555" spans="1:18" ht="15.75" thickBot="1" x14ac:dyDescent="0.3">
      <c r="A555" s="562" t="s">
        <v>3470</v>
      </c>
      <c r="B555" s="527" t="s">
        <v>45</v>
      </c>
      <c r="C555" s="424" t="str">
        <f t="shared" si="23"/>
        <v>Mafrense</v>
      </c>
      <c r="D555" s="162" t="s">
        <v>1656</v>
      </c>
      <c r="E555" s="93"/>
      <c r="F555" s="93"/>
      <c r="G555" s="93"/>
      <c r="H555" s="93"/>
      <c r="I555" s="165">
        <v>617.51</v>
      </c>
      <c r="J555" s="425"/>
      <c r="K555" s="458" t="s">
        <v>1728</v>
      </c>
      <c r="L555" s="271">
        <v>2023</v>
      </c>
      <c r="M555" s="227" t="s">
        <v>1890</v>
      </c>
      <c r="N555" s="422" t="s">
        <v>6443</v>
      </c>
      <c r="O555" s="422" t="s">
        <v>6444</v>
      </c>
      <c r="P555" s="227">
        <v>2022</v>
      </c>
      <c r="Q555" s="250" t="s">
        <v>3499</v>
      </c>
      <c r="R555" s="250" t="s">
        <v>3503</v>
      </c>
    </row>
    <row r="556" spans="1:18" ht="15.75" thickBot="1" x14ac:dyDescent="0.3">
      <c r="A556" s="562" t="s">
        <v>3470</v>
      </c>
      <c r="B556" s="527" t="s">
        <v>45</v>
      </c>
      <c r="C556" s="424" t="str">
        <f t="shared" si="23"/>
        <v>Mafrense</v>
      </c>
      <c r="D556" s="162" t="s">
        <v>1658</v>
      </c>
      <c r="E556" s="93"/>
      <c r="F556" s="93"/>
      <c r="G556" s="93"/>
      <c r="H556" s="93"/>
      <c r="I556" s="165">
        <v>760.15</v>
      </c>
      <c r="J556" s="425"/>
      <c r="K556" s="458" t="s">
        <v>1715</v>
      </c>
      <c r="L556" s="271">
        <v>2023</v>
      </c>
      <c r="M556" s="227" t="s">
        <v>1890</v>
      </c>
      <c r="N556" s="422" t="s">
        <v>6436</v>
      </c>
      <c r="O556" s="422" t="s">
        <v>6437</v>
      </c>
      <c r="P556" s="227">
        <v>2022</v>
      </c>
      <c r="Q556" s="250" t="s">
        <v>3499</v>
      </c>
      <c r="R556" s="250" t="s">
        <v>3503</v>
      </c>
    </row>
    <row r="557" spans="1:18" ht="15.75" thickBot="1" x14ac:dyDescent="0.3">
      <c r="A557" s="562" t="s">
        <v>3470</v>
      </c>
      <c r="B557" s="527" t="s">
        <v>45</v>
      </c>
      <c r="C557" s="424" t="str">
        <f t="shared" si="23"/>
        <v>Mafrense</v>
      </c>
      <c r="D557" s="162" t="s">
        <v>1659</v>
      </c>
      <c r="E557" s="93"/>
      <c r="F557" s="93"/>
      <c r="G557" s="93"/>
      <c r="H557" s="93"/>
      <c r="I557" s="165">
        <v>57631.59</v>
      </c>
      <c r="J557" s="425"/>
      <c r="K557" s="458" t="s">
        <v>6419</v>
      </c>
      <c r="L557" s="271">
        <v>2023</v>
      </c>
      <c r="M557" s="227" t="s">
        <v>1890</v>
      </c>
      <c r="N557" s="422" t="s">
        <v>6443</v>
      </c>
      <c r="O557" s="422" t="s">
        <v>6444</v>
      </c>
      <c r="P557" s="227">
        <v>2022</v>
      </c>
      <c r="Q557" s="250" t="s">
        <v>3499</v>
      </c>
      <c r="R557" s="250" t="s">
        <v>3503</v>
      </c>
    </row>
    <row r="558" spans="1:18" ht="15.75" thickBot="1" x14ac:dyDescent="0.3">
      <c r="A558" s="562" t="s">
        <v>3470</v>
      </c>
      <c r="B558" s="527" t="s">
        <v>45</v>
      </c>
      <c r="C558" s="424" t="str">
        <f t="shared" si="23"/>
        <v>Mafrense</v>
      </c>
      <c r="D558" s="162" t="s">
        <v>1681</v>
      </c>
      <c r="E558" s="555">
        <v>363</v>
      </c>
      <c r="F558" s="570" t="s">
        <v>586</v>
      </c>
      <c r="G558" s="93"/>
      <c r="H558" s="93"/>
      <c r="I558" s="165">
        <v>64248.34</v>
      </c>
      <c r="J558" s="425"/>
      <c r="K558" s="458" t="s">
        <v>6412</v>
      </c>
      <c r="L558" s="271">
        <v>2023</v>
      </c>
      <c r="M558" s="227" t="s">
        <v>1890</v>
      </c>
      <c r="N558" s="422" t="s">
        <v>1681</v>
      </c>
      <c r="O558" s="422" t="s">
        <v>6431</v>
      </c>
      <c r="P558" s="227">
        <v>2022</v>
      </c>
      <c r="Q558" s="250" t="s">
        <v>3499</v>
      </c>
      <c r="R558" s="250" t="s">
        <v>3503</v>
      </c>
    </row>
    <row r="559" spans="1:18" ht="15.75" thickBot="1" x14ac:dyDescent="0.3">
      <c r="A559" s="562" t="s">
        <v>3470</v>
      </c>
      <c r="B559" s="527" t="s">
        <v>45</v>
      </c>
      <c r="C559" s="424" t="str">
        <f t="shared" si="23"/>
        <v>Mafrense</v>
      </c>
      <c r="D559" s="162" t="s">
        <v>1672</v>
      </c>
      <c r="E559" s="93"/>
      <c r="F559" s="93"/>
      <c r="G559" s="93"/>
      <c r="H559" s="93"/>
      <c r="I559" s="165">
        <v>53868.37</v>
      </c>
      <c r="J559" s="425"/>
      <c r="K559" s="458" t="s">
        <v>6417</v>
      </c>
      <c r="L559" s="271">
        <v>2023</v>
      </c>
      <c r="M559" s="227" t="s">
        <v>1890</v>
      </c>
      <c r="N559" s="422" t="s">
        <v>6432</v>
      </c>
      <c r="O559" s="422" t="s">
        <v>6433</v>
      </c>
      <c r="P559" s="227">
        <v>2022</v>
      </c>
      <c r="Q559" s="250" t="s">
        <v>3499</v>
      </c>
      <c r="R559" s="250" t="s">
        <v>3503</v>
      </c>
    </row>
    <row r="560" spans="1:18" ht="15.75" thickBot="1" x14ac:dyDescent="0.3">
      <c r="A560" s="562" t="s">
        <v>3470</v>
      </c>
      <c r="B560" s="527" t="s">
        <v>45</v>
      </c>
      <c r="C560" s="424" t="str">
        <f t="shared" si="23"/>
        <v>Mafrense</v>
      </c>
      <c r="D560" s="162" t="s">
        <v>1657</v>
      </c>
      <c r="E560" s="93"/>
      <c r="F560" s="93"/>
      <c r="G560" s="93"/>
      <c r="H560" s="93"/>
      <c r="I560" s="165">
        <v>54362.39</v>
      </c>
      <c r="J560" s="425"/>
      <c r="K560" s="458" t="s">
        <v>6416</v>
      </c>
      <c r="L560" s="271">
        <v>2023</v>
      </c>
      <c r="M560" s="227" t="s">
        <v>1890</v>
      </c>
      <c r="N560" s="422" t="s">
        <v>3820</v>
      </c>
      <c r="O560" s="422" t="s">
        <v>6438</v>
      </c>
      <c r="P560" s="227">
        <v>2022</v>
      </c>
      <c r="Q560" s="250" t="s">
        <v>3499</v>
      </c>
      <c r="R560" s="250" t="s">
        <v>3503</v>
      </c>
    </row>
    <row r="561" spans="1:18" ht="15.75" thickBot="1" x14ac:dyDescent="0.3">
      <c r="A561" s="562" t="s">
        <v>3470</v>
      </c>
      <c r="B561" s="527" t="s">
        <v>45</v>
      </c>
      <c r="C561" s="424" t="str">
        <f t="shared" si="23"/>
        <v>Mafrense</v>
      </c>
      <c r="D561" s="162" t="s">
        <v>1661</v>
      </c>
      <c r="E561" s="93"/>
      <c r="F561" s="93"/>
      <c r="G561" s="93"/>
      <c r="H561" s="93"/>
      <c r="I561" s="165">
        <v>77239.789999999994</v>
      </c>
      <c r="J561" s="425"/>
      <c r="K561" s="458"/>
      <c r="L561" s="271">
        <v>2023</v>
      </c>
      <c r="M561" s="227" t="s">
        <v>1890</v>
      </c>
      <c r="N561" s="422" t="s">
        <v>6441</v>
      </c>
      <c r="O561" s="422" t="s">
        <v>6442</v>
      </c>
      <c r="P561" s="227">
        <v>2022</v>
      </c>
      <c r="Q561" s="250" t="s">
        <v>3499</v>
      </c>
      <c r="R561" s="250" t="s">
        <v>3503</v>
      </c>
    </row>
    <row r="562" spans="1:18" ht="15.75" thickBot="1" x14ac:dyDescent="0.3">
      <c r="A562" s="582" t="s">
        <v>3470</v>
      </c>
      <c r="B562" s="566" t="s">
        <v>45</v>
      </c>
      <c r="C562" s="414" t="str">
        <f t="shared" si="23"/>
        <v>Mafrense</v>
      </c>
      <c r="D562" s="577" t="s">
        <v>1670</v>
      </c>
      <c r="E562" s="584"/>
      <c r="F562" s="572"/>
      <c r="G562" s="576"/>
      <c r="H562" s="576"/>
      <c r="I562" s="551">
        <v>25</v>
      </c>
      <c r="J562" s="262"/>
      <c r="K562" s="568" t="s">
        <v>1701</v>
      </c>
      <c r="L562" s="552">
        <v>2023</v>
      </c>
      <c r="M562" s="553" t="s">
        <v>1890</v>
      </c>
      <c r="N562" s="451" t="s">
        <v>6443</v>
      </c>
      <c r="O562" s="451" t="s">
        <v>6444</v>
      </c>
      <c r="P562" s="227">
        <v>2022</v>
      </c>
      <c r="Q562" s="554" t="s">
        <v>3499</v>
      </c>
      <c r="R562" s="554" t="s">
        <v>3503</v>
      </c>
    </row>
    <row r="563" spans="1:18" ht="15.75" thickBot="1" x14ac:dyDescent="0.3">
      <c r="A563" s="562" t="s">
        <v>3470</v>
      </c>
      <c r="B563" s="527" t="s">
        <v>45</v>
      </c>
      <c r="C563" s="424" t="str">
        <f t="shared" si="23"/>
        <v>Mafrense</v>
      </c>
      <c r="D563" s="162" t="s">
        <v>1655</v>
      </c>
      <c r="E563" s="555"/>
      <c r="F563" s="570"/>
      <c r="G563" s="93"/>
      <c r="H563" s="93"/>
      <c r="I563" s="165">
        <v>60178.75</v>
      </c>
      <c r="J563" s="425"/>
      <c r="K563" s="458" t="s">
        <v>6415</v>
      </c>
      <c r="L563" s="271">
        <v>2023</v>
      </c>
      <c r="M563" s="227" t="s">
        <v>1890</v>
      </c>
      <c r="N563" s="422" t="s">
        <v>6439</v>
      </c>
      <c r="O563" s="422" t="s">
        <v>6440</v>
      </c>
      <c r="P563" s="227">
        <v>2022</v>
      </c>
      <c r="Q563" s="250" t="s">
        <v>3499</v>
      </c>
      <c r="R563" s="250" t="s">
        <v>3503</v>
      </c>
    </row>
    <row r="564" spans="1:18" ht="15.75" thickBot="1" x14ac:dyDescent="0.3">
      <c r="A564" s="93" t="s">
        <v>4643</v>
      </c>
      <c r="B564" s="424" t="s">
        <v>4643</v>
      </c>
      <c r="C564" s="424" t="str">
        <f t="shared" si="23"/>
        <v>X</v>
      </c>
      <c r="D564" s="425" t="s">
        <v>1681</v>
      </c>
      <c r="E564" s="93"/>
      <c r="F564" s="93"/>
      <c r="G564" s="93"/>
      <c r="H564" s="93"/>
      <c r="I564" s="165">
        <v>19239</v>
      </c>
      <c r="J564" s="425"/>
      <c r="K564" s="93"/>
      <c r="L564" s="271">
        <v>2023</v>
      </c>
      <c r="M564" s="227" t="s">
        <v>1890</v>
      </c>
      <c r="N564" s="422" t="s">
        <v>1681</v>
      </c>
      <c r="O564" s="422" t="s">
        <v>6431</v>
      </c>
      <c r="P564" s="227">
        <v>2022</v>
      </c>
      <c r="Q564" s="250" t="s">
        <v>3499</v>
      </c>
      <c r="R564" s="250" t="s">
        <v>3503</v>
      </c>
    </row>
    <row r="565" spans="1:18" ht="15.75" thickBot="1" x14ac:dyDescent="0.3">
      <c r="A565" s="93" t="s">
        <v>4643</v>
      </c>
      <c r="B565" s="424" t="s">
        <v>4643</v>
      </c>
      <c r="C565" s="424" t="str">
        <f t="shared" si="23"/>
        <v>X</v>
      </c>
      <c r="D565" s="425" t="s">
        <v>3030</v>
      </c>
      <c r="E565" s="93"/>
      <c r="F565" s="93"/>
      <c r="G565" s="93"/>
      <c r="H565" s="93"/>
      <c r="I565" s="165">
        <v>111617</v>
      </c>
      <c r="J565" s="425"/>
      <c r="K565" s="93"/>
      <c r="L565" s="271">
        <v>2023</v>
      </c>
      <c r="M565" s="227" t="s">
        <v>1890</v>
      </c>
      <c r="N565" s="422" t="s">
        <v>6441</v>
      </c>
      <c r="O565" s="422" t="s">
        <v>6442</v>
      </c>
      <c r="P565" s="227">
        <v>2022</v>
      </c>
      <c r="Q565" s="250" t="s">
        <v>3499</v>
      </c>
      <c r="R565" s="250" t="s">
        <v>3503</v>
      </c>
    </row>
    <row r="566" spans="1:18" ht="15.75" thickBot="1" x14ac:dyDescent="0.3">
      <c r="A566" s="93" t="s">
        <v>4581</v>
      </c>
      <c r="B566" s="424" t="s">
        <v>4581</v>
      </c>
      <c r="C566" s="424" t="str">
        <f t="shared" si="23"/>
        <v>X</v>
      </c>
      <c r="D566" s="425" t="s">
        <v>3030</v>
      </c>
      <c r="E566" s="93"/>
      <c r="F566" s="93"/>
      <c r="G566" s="93"/>
      <c r="H566" s="93"/>
      <c r="I566" s="165">
        <v>408526.79</v>
      </c>
      <c r="J566" s="527"/>
      <c r="K566" s="93" t="s">
        <v>6381</v>
      </c>
      <c r="L566" s="271">
        <v>2023</v>
      </c>
      <c r="M566" s="227" t="s">
        <v>1890</v>
      </c>
      <c r="N566" s="422" t="s">
        <v>6441</v>
      </c>
      <c r="O566" s="422" t="s">
        <v>6442</v>
      </c>
      <c r="P566" s="227">
        <v>2022</v>
      </c>
      <c r="Q566" s="250" t="s">
        <v>3499</v>
      </c>
      <c r="R566" s="250" t="s">
        <v>3503</v>
      </c>
    </row>
    <row r="567" spans="1:18" ht="15.75" thickBot="1" x14ac:dyDescent="0.3">
      <c r="A567" s="93" t="s">
        <v>4661</v>
      </c>
      <c r="B567" s="424" t="s">
        <v>4661</v>
      </c>
      <c r="C567" s="424" t="str">
        <f t="shared" si="23"/>
        <v>X</v>
      </c>
      <c r="D567" s="425" t="s">
        <v>3030</v>
      </c>
      <c r="E567" s="93"/>
      <c r="F567" s="93"/>
      <c r="G567" s="93"/>
      <c r="H567" s="93"/>
      <c r="I567" s="165">
        <v>26029</v>
      </c>
      <c r="J567" s="425"/>
      <c r="K567" s="93"/>
      <c r="L567" s="271">
        <v>2023</v>
      </c>
      <c r="M567" s="227" t="s">
        <v>1890</v>
      </c>
      <c r="N567" s="422" t="s">
        <v>6441</v>
      </c>
      <c r="O567" s="422" t="s">
        <v>6442</v>
      </c>
      <c r="P567" s="227">
        <v>2022</v>
      </c>
      <c r="Q567" s="250" t="s">
        <v>3499</v>
      </c>
      <c r="R567" s="250" t="s">
        <v>3503</v>
      </c>
    </row>
    <row r="568" spans="1:18" ht="15.75" thickBot="1" x14ac:dyDescent="0.3">
      <c r="A568" s="93" t="s">
        <v>4583</v>
      </c>
      <c r="B568" s="527" t="s">
        <v>4583</v>
      </c>
      <c r="C568" s="424" t="str">
        <f t="shared" si="23"/>
        <v>X</v>
      </c>
      <c r="D568" s="425" t="s">
        <v>2982</v>
      </c>
      <c r="E568" s="93"/>
      <c r="F568" s="93"/>
      <c r="G568" s="93"/>
      <c r="H568" s="93"/>
      <c r="I568" s="165">
        <v>1382424.75183363</v>
      </c>
      <c r="J568" s="425"/>
      <c r="K568" s="93"/>
      <c r="L568" s="271">
        <v>2023</v>
      </c>
      <c r="M568" s="227" t="s">
        <v>1890</v>
      </c>
      <c r="N568" s="422" t="s">
        <v>6432</v>
      </c>
      <c r="O568" s="422" t="s">
        <v>6433</v>
      </c>
      <c r="P568" s="227">
        <v>2022</v>
      </c>
      <c r="Q568" s="250" t="s">
        <v>3499</v>
      </c>
      <c r="R568" s="250" t="s">
        <v>3503</v>
      </c>
    </row>
    <row r="569" spans="1:18" ht="15.75" thickBot="1" x14ac:dyDescent="0.3">
      <c r="A569" s="93" t="s">
        <v>4583</v>
      </c>
      <c r="B569" s="527" t="s">
        <v>4583</v>
      </c>
      <c r="C569" s="424" t="str">
        <f t="shared" si="23"/>
        <v>X</v>
      </c>
      <c r="D569" s="425" t="s">
        <v>1681</v>
      </c>
      <c r="E569" s="93"/>
      <c r="F569" s="93"/>
      <c r="G569" s="93"/>
      <c r="H569" s="93"/>
      <c r="I569" s="165">
        <v>206386.01</v>
      </c>
      <c r="J569" s="425"/>
      <c r="K569" s="93"/>
      <c r="L569" s="271">
        <v>2023</v>
      </c>
      <c r="M569" s="227" t="s">
        <v>1890</v>
      </c>
      <c r="N569" s="422" t="s">
        <v>1681</v>
      </c>
      <c r="O569" s="422" t="s">
        <v>6431</v>
      </c>
      <c r="P569" s="227">
        <v>2022</v>
      </c>
      <c r="Q569" s="250" t="s">
        <v>3499</v>
      </c>
      <c r="R569" s="250" t="s">
        <v>3503</v>
      </c>
    </row>
    <row r="570" spans="1:18" ht="15.75" thickBot="1" x14ac:dyDescent="0.3">
      <c r="A570" s="93" t="s">
        <v>4583</v>
      </c>
      <c r="B570" s="527" t="s">
        <v>4583</v>
      </c>
      <c r="C570" s="424" t="str">
        <f t="shared" si="23"/>
        <v>X</v>
      </c>
      <c r="D570" s="425" t="s">
        <v>3030</v>
      </c>
      <c r="E570" s="93"/>
      <c r="F570" s="93"/>
      <c r="G570" s="93"/>
      <c r="H570" s="93"/>
      <c r="I570" s="165">
        <v>510185.79</v>
      </c>
      <c r="J570" s="425"/>
      <c r="K570" s="93"/>
      <c r="L570" s="271">
        <v>2023</v>
      </c>
      <c r="M570" s="227" t="s">
        <v>1890</v>
      </c>
      <c r="N570" s="422" t="s">
        <v>6441</v>
      </c>
      <c r="O570" s="422" t="s">
        <v>6442</v>
      </c>
      <c r="P570" s="227">
        <v>2022</v>
      </c>
      <c r="Q570" s="250" t="s">
        <v>3499</v>
      </c>
      <c r="R570" s="250" t="s">
        <v>3503</v>
      </c>
    </row>
    <row r="571" spans="1:18" ht="15.75" thickBot="1" x14ac:dyDescent="0.3">
      <c r="A571" s="93" t="s">
        <v>4601</v>
      </c>
      <c r="B571" s="424" t="s">
        <v>4601</v>
      </c>
      <c r="C571" s="424" t="str">
        <f t="shared" si="23"/>
        <v>X</v>
      </c>
      <c r="D571" s="425" t="s">
        <v>2982</v>
      </c>
      <c r="E571" s="93"/>
      <c r="F571" s="93"/>
      <c r="G571" s="93"/>
      <c r="H571" s="93"/>
      <c r="I571" s="545" t="s">
        <v>6368</v>
      </c>
      <c r="J571" s="527"/>
      <c r="K571" s="93" t="s">
        <v>3822</v>
      </c>
      <c r="L571" s="271">
        <v>2023</v>
      </c>
      <c r="M571" s="227" t="s">
        <v>1890</v>
      </c>
      <c r="N571" s="422" t="s">
        <v>6432</v>
      </c>
      <c r="O571" s="422" t="s">
        <v>6433</v>
      </c>
      <c r="P571" s="227">
        <v>2022</v>
      </c>
      <c r="Q571" s="250" t="s">
        <v>3499</v>
      </c>
      <c r="R571" s="250" t="s">
        <v>3503</v>
      </c>
    </row>
    <row r="572" spans="1:18" ht="15.75" thickBot="1" x14ac:dyDescent="0.3">
      <c r="A572" s="93" t="s">
        <v>4601</v>
      </c>
      <c r="B572" s="424" t="s">
        <v>4601</v>
      </c>
      <c r="C572" s="424" t="str">
        <f t="shared" si="23"/>
        <v>X</v>
      </c>
      <c r="D572" s="425" t="s">
        <v>2982</v>
      </c>
      <c r="E572" s="93"/>
      <c r="F572" s="93"/>
      <c r="G572" s="93"/>
      <c r="H572" s="93"/>
      <c r="I572" s="545" t="s">
        <v>6369</v>
      </c>
      <c r="J572" s="527"/>
      <c r="K572" s="93" t="s">
        <v>3823</v>
      </c>
      <c r="L572" s="271">
        <v>2023</v>
      </c>
      <c r="M572" s="227" t="s">
        <v>1890</v>
      </c>
      <c r="N572" s="422" t="s">
        <v>6432</v>
      </c>
      <c r="O572" s="422" t="s">
        <v>6433</v>
      </c>
      <c r="P572" s="227">
        <v>2022</v>
      </c>
      <c r="Q572" s="250" t="s">
        <v>3499</v>
      </c>
      <c r="R572" s="250" t="s">
        <v>3503</v>
      </c>
    </row>
    <row r="573" spans="1:18" ht="15.75" thickBot="1" x14ac:dyDescent="0.3">
      <c r="A573" s="361" t="s">
        <v>4601</v>
      </c>
      <c r="B573" s="276" t="s">
        <v>4601</v>
      </c>
      <c r="C573" s="276" t="str">
        <f t="shared" si="23"/>
        <v>X</v>
      </c>
      <c r="D573" s="263" t="s">
        <v>1659</v>
      </c>
      <c r="E573" s="361"/>
      <c r="F573" s="361"/>
      <c r="G573" s="361"/>
      <c r="H573" s="361"/>
      <c r="I573" s="550" t="s">
        <v>6364</v>
      </c>
      <c r="J573" s="574"/>
      <c r="K573" s="361" t="s">
        <v>1670</v>
      </c>
      <c r="L573" s="292">
        <v>2023</v>
      </c>
      <c r="M573" s="283" t="s">
        <v>1890</v>
      </c>
      <c r="N573" s="283" t="s">
        <v>6443</v>
      </c>
      <c r="O573" s="283" t="s">
        <v>6444</v>
      </c>
      <c r="P573" s="227">
        <v>2022</v>
      </c>
      <c r="Q573" s="482" t="s">
        <v>3499</v>
      </c>
      <c r="R573" s="482" t="s">
        <v>3503</v>
      </c>
    </row>
    <row r="574" spans="1:18" ht="15.75" thickBot="1" x14ac:dyDescent="0.3">
      <c r="A574" s="93" t="s">
        <v>4601</v>
      </c>
      <c r="B574" s="424" t="s">
        <v>4601</v>
      </c>
      <c r="C574" s="424" t="str">
        <f t="shared" si="23"/>
        <v>X</v>
      </c>
      <c r="D574" s="425" t="s">
        <v>1659</v>
      </c>
      <c r="E574" s="93"/>
      <c r="F574" s="93"/>
      <c r="G574" s="93"/>
      <c r="H574" s="93"/>
      <c r="I574" s="545" t="s">
        <v>6365</v>
      </c>
      <c r="J574" s="527"/>
      <c r="K574" s="93" t="s">
        <v>160</v>
      </c>
      <c r="L574" s="271">
        <v>2023</v>
      </c>
      <c r="M574" s="227" t="s">
        <v>1890</v>
      </c>
      <c r="N574" s="422" t="s">
        <v>6443</v>
      </c>
      <c r="O574" s="422" t="s">
        <v>6444</v>
      </c>
      <c r="P574" s="227">
        <v>2022</v>
      </c>
      <c r="Q574" s="250" t="s">
        <v>3499</v>
      </c>
      <c r="R574" s="250" t="s">
        <v>3503</v>
      </c>
    </row>
    <row r="575" spans="1:18" ht="15.75" thickBot="1" x14ac:dyDescent="0.3">
      <c r="A575" s="93" t="s">
        <v>4601</v>
      </c>
      <c r="B575" s="424" t="s">
        <v>4601</v>
      </c>
      <c r="C575" s="424" t="str">
        <f t="shared" si="23"/>
        <v>X</v>
      </c>
      <c r="D575" s="425" t="s">
        <v>1657</v>
      </c>
      <c r="E575" s="93"/>
      <c r="F575" s="93"/>
      <c r="G575" s="93"/>
      <c r="H575" s="93"/>
      <c r="I575" s="545" t="s">
        <v>6366</v>
      </c>
      <c r="J575" s="527"/>
      <c r="K575" s="93" t="s">
        <v>3820</v>
      </c>
      <c r="L575" s="271">
        <v>2023</v>
      </c>
      <c r="M575" s="227" t="s">
        <v>1890</v>
      </c>
      <c r="N575" s="422" t="s">
        <v>3820</v>
      </c>
      <c r="O575" s="422" t="s">
        <v>6438</v>
      </c>
      <c r="P575" s="227">
        <v>2022</v>
      </c>
      <c r="Q575" s="250" t="s">
        <v>3499</v>
      </c>
      <c r="R575" s="250" t="s">
        <v>3503</v>
      </c>
    </row>
    <row r="576" spans="1:18" ht="15.75" thickBot="1" x14ac:dyDescent="0.3">
      <c r="A576" s="93" t="s">
        <v>4601</v>
      </c>
      <c r="B576" s="424" t="s">
        <v>4601</v>
      </c>
      <c r="C576" s="424" t="str">
        <f t="shared" si="23"/>
        <v>X</v>
      </c>
      <c r="D576" s="425" t="s">
        <v>1657</v>
      </c>
      <c r="E576" s="93"/>
      <c r="F576" s="93"/>
      <c r="G576" s="93"/>
      <c r="H576" s="93"/>
      <c r="I576" s="545" t="s">
        <v>6367</v>
      </c>
      <c r="J576" s="527"/>
      <c r="K576" s="93" t="s">
        <v>3821</v>
      </c>
      <c r="L576" s="271">
        <v>2023</v>
      </c>
      <c r="M576" s="227" t="s">
        <v>1890</v>
      </c>
      <c r="N576" s="422" t="s">
        <v>3820</v>
      </c>
      <c r="O576" s="422" t="s">
        <v>6438</v>
      </c>
      <c r="P576" s="227">
        <v>2022</v>
      </c>
      <c r="Q576" s="250" t="s">
        <v>3499</v>
      </c>
      <c r="R576" s="250" t="s">
        <v>3503</v>
      </c>
    </row>
    <row r="577" spans="1:18" ht="15.75" thickBot="1" x14ac:dyDescent="0.3">
      <c r="A577" s="93" t="s">
        <v>4601</v>
      </c>
      <c r="B577" s="424" t="s">
        <v>4601</v>
      </c>
      <c r="C577" s="424" t="str">
        <f t="shared" si="23"/>
        <v>X</v>
      </c>
      <c r="D577" s="425" t="s">
        <v>3030</v>
      </c>
      <c r="E577" s="93"/>
      <c r="F577" s="93"/>
      <c r="G577" s="93"/>
      <c r="H577" s="93"/>
      <c r="I577" s="545" t="s">
        <v>6363</v>
      </c>
      <c r="J577" s="527"/>
      <c r="K577" s="93" t="s">
        <v>3819</v>
      </c>
      <c r="L577" s="271">
        <v>2023</v>
      </c>
      <c r="M577" s="227" t="s">
        <v>1890</v>
      </c>
      <c r="N577" s="422" t="s">
        <v>6441</v>
      </c>
      <c r="O577" s="422" t="s">
        <v>6442</v>
      </c>
      <c r="P577" s="227">
        <v>2022</v>
      </c>
      <c r="Q577" s="250" t="s">
        <v>3499</v>
      </c>
      <c r="R577" s="250" t="s">
        <v>3503</v>
      </c>
    </row>
    <row r="578" spans="1:18" ht="15.75" thickBot="1" x14ac:dyDescent="0.3">
      <c r="A578" s="93" t="s">
        <v>4642</v>
      </c>
      <c r="B578" s="424" t="s">
        <v>4642</v>
      </c>
      <c r="C578" s="424" t="str">
        <f t="shared" si="23"/>
        <v>X</v>
      </c>
      <c r="D578" s="425" t="s">
        <v>1653</v>
      </c>
      <c r="E578" s="93"/>
      <c r="F578" s="93"/>
      <c r="G578" s="93"/>
      <c r="H578" s="93"/>
      <c r="I578" s="165">
        <v>1714</v>
      </c>
      <c r="J578" s="425"/>
      <c r="K578" s="93"/>
      <c r="L578" s="271">
        <v>2023</v>
      </c>
      <c r="M578" s="227" t="s">
        <v>1890</v>
      </c>
      <c r="N578" s="422" t="s">
        <v>6434</v>
      </c>
      <c r="O578" s="422" t="s">
        <v>6435</v>
      </c>
      <c r="P578" s="227">
        <v>2022</v>
      </c>
      <c r="Q578" s="250" t="s">
        <v>3499</v>
      </c>
      <c r="R578" s="250" t="s">
        <v>3503</v>
      </c>
    </row>
    <row r="579" spans="1:18" ht="15.75" thickBot="1" x14ac:dyDescent="0.3">
      <c r="A579" s="93" t="s">
        <v>4642</v>
      </c>
      <c r="B579" s="424" t="s">
        <v>4642</v>
      </c>
      <c r="C579" s="424" t="str">
        <f t="shared" ref="C579:C642" si="24">IF(A579=B579,"X",RIGHT(A579,LEN(A579)-LEN(B579)-3))</f>
        <v>X</v>
      </c>
      <c r="D579" s="425" t="s">
        <v>1681</v>
      </c>
      <c r="E579" s="93"/>
      <c r="F579" s="93"/>
      <c r="G579" s="93"/>
      <c r="H579" s="93"/>
      <c r="I579" s="165">
        <v>9500</v>
      </c>
      <c r="J579" s="425"/>
      <c r="K579" s="93"/>
      <c r="L579" s="271">
        <v>2023</v>
      </c>
      <c r="M579" s="227" t="s">
        <v>1890</v>
      </c>
      <c r="N579" s="422" t="s">
        <v>1681</v>
      </c>
      <c r="O579" s="422" t="s">
        <v>6431</v>
      </c>
      <c r="P579" s="227">
        <v>2022</v>
      </c>
      <c r="Q579" s="250" t="s">
        <v>3499</v>
      </c>
      <c r="R579" s="250" t="s">
        <v>3503</v>
      </c>
    </row>
    <row r="580" spans="1:18" ht="15.75" thickBot="1" x14ac:dyDescent="0.3">
      <c r="A580" s="93" t="s">
        <v>4642</v>
      </c>
      <c r="B580" s="424" t="s">
        <v>4642</v>
      </c>
      <c r="C580" s="424" t="str">
        <f t="shared" si="24"/>
        <v>X</v>
      </c>
      <c r="D580" s="425" t="s">
        <v>3030</v>
      </c>
      <c r="E580" s="93"/>
      <c r="F580" s="93"/>
      <c r="G580" s="93"/>
      <c r="H580" s="93"/>
      <c r="I580" s="165">
        <v>40500</v>
      </c>
      <c r="J580" s="425"/>
      <c r="K580" s="93"/>
      <c r="L580" s="271">
        <v>2023</v>
      </c>
      <c r="M580" s="227" t="s">
        <v>1890</v>
      </c>
      <c r="N580" s="422" t="s">
        <v>6441</v>
      </c>
      <c r="O580" s="422" t="s">
        <v>6442</v>
      </c>
      <c r="P580" s="227">
        <v>2022</v>
      </c>
      <c r="Q580" s="250" t="s">
        <v>3499</v>
      </c>
      <c r="R580" s="250" t="s">
        <v>3503</v>
      </c>
    </row>
    <row r="581" spans="1:18" ht="15.75" thickBot="1" x14ac:dyDescent="0.3">
      <c r="A581" s="93" t="s">
        <v>4584</v>
      </c>
      <c r="B581" s="424" t="s">
        <v>4584</v>
      </c>
      <c r="C581" s="424" t="str">
        <f t="shared" si="24"/>
        <v>X</v>
      </c>
      <c r="D581" s="425" t="s">
        <v>2982</v>
      </c>
      <c r="E581" s="93"/>
      <c r="F581" s="93"/>
      <c r="G581" s="93"/>
      <c r="H581" s="93"/>
      <c r="I581" s="165">
        <v>147061.37</v>
      </c>
      <c r="J581" s="425"/>
      <c r="K581" s="93"/>
      <c r="L581" s="271">
        <v>2023</v>
      </c>
      <c r="M581" s="227" t="s">
        <v>1890</v>
      </c>
      <c r="N581" s="422" t="s">
        <v>6432</v>
      </c>
      <c r="O581" s="422" t="s">
        <v>6433</v>
      </c>
      <c r="P581" s="227">
        <v>2022</v>
      </c>
      <c r="Q581" s="250" t="s">
        <v>3499</v>
      </c>
      <c r="R581" s="250" t="s">
        <v>3503</v>
      </c>
    </row>
    <row r="582" spans="1:18" ht="15.75" thickBot="1" x14ac:dyDescent="0.3">
      <c r="A582" s="93" t="s">
        <v>4584</v>
      </c>
      <c r="B582" s="424" t="s">
        <v>4584</v>
      </c>
      <c r="C582" s="424" t="str">
        <f t="shared" si="24"/>
        <v>X</v>
      </c>
      <c r="D582" s="425" t="s">
        <v>1681</v>
      </c>
      <c r="E582" s="93"/>
      <c r="F582" s="93"/>
      <c r="G582" s="93"/>
      <c r="H582" s="93"/>
      <c r="I582" s="165">
        <v>83773.789999999994</v>
      </c>
      <c r="J582" s="425"/>
      <c r="K582" s="93"/>
      <c r="L582" s="271">
        <v>2023</v>
      </c>
      <c r="M582" s="227" t="s">
        <v>1890</v>
      </c>
      <c r="N582" s="422" t="s">
        <v>1681</v>
      </c>
      <c r="O582" s="422" t="s">
        <v>6431</v>
      </c>
      <c r="P582" s="227">
        <v>2022</v>
      </c>
      <c r="Q582" s="250" t="s">
        <v>3499</v>
      </c>
      <c r="R582" s="250" t="s">
        <v>3503</v>
      </c>
    </row>
    <row r="583" spans="1:18" ht="15.75" thickBot="1" x14ac:dyDescent="0.3">
      <c r="A583" s="93" t="s">
        <v>4584</v>
      </c>
      <c r="B583" s="424" t="s">
        <v>4584</v>
      </c>
      <c r="C583" s="424" t="str">
        <f t="shared" si="24"/>
        <v>X</v>
      </c>
      <c r="D583" s="425" t="s">
        <v>3030</v>
      </c>
      <c r="E583" s="93"/>
      <c r="F583" s="93"/>
      <c r="G583" s="93"/>
      <c r="H583" s="93"/>
      <c r="I583" s="165">
        <v>301054.62</v>
      </c>
      <c r="J583" s="425"/>
      <c r="K583" s="93"/>
      <c r="L583" s="271">
        <v>2023</v>
      </c>
      <c r="M583" s="227" t="s">
        <v>1890</v>
      </c>
      <c r="N583" s="422" t="s">
        <v>6441</v>
      </c>
      <c r="O583" s="422" t="s">
        <v>6442</v>
      </c>
      <c r="P583" s="227">
        <v>2022</v>
      </c>
      <c r="Q583" s="250" t="s">
        <v>3499</v>
      </c>
      <c r="R583" s="250" t="s">
        <v>3503</v>
      </c>
    </row>
    <row r="584" spans="1:18" ht="15.75" thickBot="1" x14ac:dyDescent="0.3">
      <c r="A584" s="93" t="s">
        <v>2817</v>
      </c>
      <c r="B584" s="424" t="s">
        <v>2817</v>
      </c>
      <c r="C584" s="424" t="str">
        <f t="shared" si="24"/>
        <v>X</v>
      </c>
      <c r="D584" s="425" t="s">
        <v>1653</v>
      </c>
      <c r="E584" s="93"/>
      <c r="F584" s="93"/>
      <c r="G584" s="93"/>
      <c r="H584" s="93"/>
      <c r="I584" s="165">
        <v>5292.59</v>
      </c>
      <c r="J584" s="425"/>
      <c r="K584" s="93"/>
      <c r="L584" s="271">
        <v>2023</v>
      </c>
      <c r="M584" s="227" t="s">
        <v>1890</v>
      </c>
      <c r="N584" s="422" t="s">
        <v>6434</v>
      </c>
      <c r="O584" s="422" t="s">
        <v>6435</v>
      </c>
      <c r="P584" s="227">
        <v>2022</v>
      </c>
      <c r="Q584" s="250" t="s">
        <v>3499</v>
      </c>
      <c r="R584" s="250" t="s">
        <v>3503</v>
      </c>
    </row>
    <row r="585" spans="1:18" ht="15.75" thickBot="1" x14ac:dyDescent="0.3">
      <c r="A585" s="93" t="s">
        <v>2817</v>
      </c>
      <c r="B585" s="424" t="s">
        <v>2817</v>
      </c>
      <c r="C585" s="424" t="str">
        <f t="shared" si="24"/>
        <v>X</v>
      </c>
      <c r="D585" s="425" t="s">
        <v>2982</v>
      </c>
      <c r="E585" s="93"/>
      <c r="F585" s="93"/>
      <c r="G585" s="93"/>
      <c r="H585" s="93"/>
      <c r="I585" s="165">
        <v>31640.61</v>
      </c>
      <c r="J585" s="425"/>
      <c r="K585" s="93"/>
      <c r="L585" s="271">
        <v>2023</v>
      </c>
      <c r="M585" s="227" t="s">
        <v>1890</v>
      </c>
      <c r="N585" s="422" t="s">
        <v>6432</v>
      </c>
      <c r="O585" s="422" t="s">
        <v>6433</v>
      </c>
      <c r="P585" s="227">
        <v>2022</v>
      </c>
      <c r="Q585" s="250" t="s">
        <v>3499</v>
      </c>
      <c r="R585" s="250" t="s">
        <v>3503</v>
      </c>
    </row>
    <row r="586" spans="1:18" ht="15.75" thickBot="1" x14ac:dyDescent="0.3">
      <c r="A586" s="93" t="s">
        <v>2817</v>
      </c>
      <c r="B586" s="424" t="s">
        <v>2817</v>
      </c>
      <c r="C586" s="424" t="str">
        <f t="shared" si="24"/>
        <v>X</v>
      </c>
      <c r="D586" s="425" t="s">
        <v>2982</v>
      </c>
      <c r="E586" s="93"/>
      <c r="F586" s="93"/>
      <c r="G586" s="93"/>
      <c r="H586" s="93"/>
      <c r="I586" s="165">
        <v>129308.11</v>
      </c>
      <c r="J586" s="425"/>
      <c r="K586" s="93"/>
      <c r="L586" s="271">
        <v>2023</v>
      </c>
      <c r="M586" s="227" t="s">
        <v>1890</v>
      </c>
      <c r="N586" s="422" t="s">
        <v>6432</v>
      </c>
      <c r="O586" s="422" t="s">
        <v>6433</v>
      </c>
      <c r="P586" s="227">
        <v>2022</v>
      </c>
      <c r="Q586" s="250" t="s">
        <v>3499</v>
      </c>
      <c r="R586" s="250" t="s">
        <v>3503</v>
      </c>
    </row>
    <row r="587" spans="1:18" ht="15.75" thickBot="1" x14ac:dyDescent="0.3">
      <c r="A587" s="93" t="s">
        <v>2817</v>
      </c>
      <c r="B587" s="424" t="s">
        <v>2817</v>
      </c>
      <c r="C587" s="424" t="str">
        <f t="shared" si="24"/>
        <v>X</v>
      </c>
      <c r="D587" s="425" t="s">
        <v>1681</v>
      </c>
      <c r="E587" s="93"/>
      <c r="F587" s="93"/>
      <c r="G587" s="93"/>
      <c r="H587" s="93"/>
      <c r="I587" s="165">
        <v>61888</v>
      </c>
      <c r="J587" s="425"/>
      <c r="K587" s="93"/>
      <c r="L587" s="271">
        <v>2023</v>
      </c>
      <c r="M587" s="227" t="s">
        <v>1890</v>
      </c>
      <c r="N587" s="422" t="s">
        <v>1681</v>
      </c>
      <c r="O587" s="422" t="s">
        <v>6431</v>
      </c>
      <c r="P587" s="227">
        <v>2022</v>
      </c>
      <c r="Q587" s="250" t="s">
        <v>3499</v>
      </c>
      <c r="R587" s="250" t="s">
        <v>3503</v>
      </c>
    </row>
    <row r="588" spans="1:18" ht="15.75" thickBot="1" x14ac:dyDescent="0.3">
      <c r="A588" s="93" t="s">
        <v>2817</v>
      </c>
      <c r="B588" s="424" t="s">
        <v>2817</v>
      </c>
      <c r="C588" s="424" t="str">
        <f t="shared" si="24"/>
        <v>X</v>
      </c>
      <c r="D588" s="425" t="s">
        <v>3030</v>
      </c>
      <c r="E588" s="93"/>
      <c r="F588" s="93"/>
      <c r="G588" s="93"/>
      <c r="H588" s="93"/>
      <c r="I588" s="165">
        <v>89312.86</v>
      </c>
      <c r="J588" s="425"/>
      <c r="K588" s="93"/>
      <c r="L588" s="271">
        <v>2023</v>
      </c>
      <c r="M588" s="227" t="s">
        <v>1890</v>
      </c>
      <c r="N588" s="422" t="s">
        <v>6441</v>
      </c>
      <c r="O588" s="422" t="s">
        <v>6442</v>
      </c>
      <c r="P588" s="227">
        <v>2022</v>
      </c>
      <c r="Q588" s="250" t="s">
        <v>3499</v>
      </c>
      <c r="R588" s="250" t="s">
        <v>3503</v>
      </c>
    </row>
    <row r="589" spans="1:18" ht="15.75" thickBot="1" x14ac:dyDescent="0.3">
      <c r="A589" s="93" t="s">
        <v>4589</v>
      </c>
      <c r="B589" s="424" t="s">
        <v>4589</v>
      </c>
      <c r="C589" s="424" t="str">
        <f t="shared" si="24"/>
        <v>X</v>
      </c>
      <c r="D589" s="425" t="s">
        <v>2982</v>
      </c>
      <c r="E589" s="93"/>
      <c r="F589" s="93"/>
      <c r="G589" s="93"/>
      <c r="H589" s="93"/>
      <c r="I589" s="165">
        <v>549</v>
      </c>
      <c r="J589" s="425"/>
      <c r="K589" s="93"/>
      <c r="L589" s="271">
        <v>2023</v>
      </c>
      <c r="M589" s="227" t="s">
        <v>1890</v>
      </c>
      <c r="N589" s="422" t="s">
        <v>6432</v>
      </c>
      <c r="O589" s="422" t="s">
        <v>6433</v>
      </c>
      <c r="P589" s="227">
        <v>2022</v>
      </c>
      <c r="Q589" s="250" t="s">
        <v>3499</v>
      </c>
      <c r="R589" s="250" t="s">
        <v>3503</v>
      </c>
    </row>
    <row r="590" spans="1:18" ht="15.75" thickBot="1" x14ac:dyDescent="0.3">
      <c r="A590" s="93" t="s">
        <v>4589</v>
      </c>
      <c r="B590" s="424" t="s">
        <v>4589</v>
      </c>
      <c r="C590" s="424" t="str">
        <f t="shared" si="24"/>
        <v>X</v>
      </c>
      <c r="D590" s="425" t="s">
        <v>2982</v>
      </c>
      <c r="E590" s="93"/>
      <c r="F590" s="93"/>
      <c r="G590" s="93"/>
      <c r="H590" s="93"/>
      <c r="I590" s="165">
        <v>19239.32</v>
      </c>
      <c r="J590" s="425"/>
      <c r="K590" s="93"/>
      <c r="L590" s="271">
        <v>2023</v>
      </c>
      <c r="M590" s="227" t="s">
        <v>1890</v>
      </c>
      <c r="N590" s="422" t="s">
        <v>6432</v>
      </c>
      <c r="O590" s="422" t="s">
        <v>6433</v>
      </c>
      <c r="P590" s="227">
        <v>2022</v>
      </c>
      <c r="Q590" s="250" t="s">
        <v>3499</v>
      </c>
      <c r="R590" s="250" t="s">
        <v>3503</v>
      </c>
    </row>
    <row r="591" spans="1:18" ht="15.75" thickBot="1" x14ac:dyDescent="0.3">
      <c r="A591" s="93" t="s">
        <v>4589</v>
      </c>
      <c r="B591" s="424" t="s">
        <v>4589</v>
      </c>
      <c r="C591" s="424" t="str">
        <f t="shared" si="24"/>
        <v>X</v>
      </c>
      <c r="D591" s="425" t="s">
        <v>3030</v>
      </c>
      <c r="E591" s="93"/>
      <c r="F591" s="93"/>
      <c r="G591" s="93"/>
      <c r="H591" s="93"/>
      <c r="I591" s="165">
        <v>17900.68</v>
      </c>
      <c r="J591" s="425"/>
      <c r="K591" s="93"/>
      <c r="L591" s="271">
        <v>2023</v>
      </c>
      <c r="M591" s="227" t="s">
        <v>1890</v>
      </c>
      <c r="N591" s="422" t="s">
        <v>6441</v>
      </c>
      <c r="O591" s="422" t="s">
        <v>6442</v>
      </c>
      <c r="P591" s="227">
        <v>2022</v>
      </c>
      <c r="Q591" s="250" t="s">
        <v>3499</v>
      </c>
      <c r="R591" s="250" t="s">
        <v>3503</v>
      </c>
    </row>
    <row r="592" spans="1:18" ht="15.75" thickBot="1" x14ac:dyDescent="0.3">
      <c r="A592" s="93" t="s">
        <v>4600</v>
      </c>
      <c r="B592" s="424" t="s">
        <v>4600</v>
      </c>
      <c r="C592" s="424" t="str">
        <f t="shared" si="24"/>
        <v>X</v>
      </c>
      <c r="D592" s="425" t="s">
        <v>2982</v>
      </c>
      <c r="E592" s="93"/>
      <c r="F592" s="93"/>
      <c r="G592" s="93"/>
      <c r="H592" s="93"/>
      <c r="I592" s="546">
        <v>1407.57</v>
      </c>
      <c r="J592" s="527"/>
      <c r="K592" s="93" t="s">
        <v>3855</v>
      </c>
      <c r="L592" s="271">
        <v>2023</v>
      </c>
      <c r="M592" s="227" t="s">
        <v>1890</v>
      </c>
      <c r="N592" s="422" t="s">
        <v>6432</v>
      </c>
      <c r="O592" s="422" t="s">
        <v>6433</v>
      </c>
      <c r="P592" s="227">
        <v>2022</v>
      </c>
      <c r="Q592" s="250" t="s">
        <v>3499</v>
      </c>
      <c r="R592" s="250" t="s">
        <v>3503</v>
      </c>
    </row>
    <row r="593" spans="1:18" ht="15.75" thickBot="1" x14ac:dyDescent="0.3">
      <c r="A593" s="93" t="s">
        <v>4600</v>
      </c>
      <c r="B593" s="424" t="s">
        <v>4600</v>
      </c>
      <c r="C593" s="424" t="str">
        <f t="shared" si="24"/>
        <v>X</v>
      </c>
      <c r="D593" s="425" t="s">
        <v>2982</v>
      </c>
      <c r="E593" s="93"/>
      <c r="F593" s="93"/>
      <c r="G593" s="93"/>
      <c r="H593" s="93"/>
      <c r="I593" s="546">
        <v>419835.1</v>
      </c>
      <c r="J593" s="527"/>
      <c r="K593" s="93" t="s">
        <v>3823</v>
      </c>
      <c r="L593" s="271">
        <v>2023</v>
      </c>
      <c r="M593" s="227" t="s">
        <v>1890</v>
      </c>
      <c r="N593" s="422" t="s">
        <v>6432</v>
      </c>
      <c r="O593" s="422" t="s">
        <v>6433</v>
      </c>
      <c r="P593" s="227">
        <v>2022</v>
      </c>
      <c r="Q593" s="250" t="s">
        <v>3499</v>
      </c>
      <c r="R593" s="250" t="s">
        <v>3503</v>
      </c>
    </row>
    <row r="594" spans="1:18" ht="15.75" thickBot="1" x14ac:dyDescent="0.3">
      <c r="A594" s="93" t="s">
        <v>4600</v>
      </c>
      <c r="B594" s="424" t="s">
        <v>4600</v>
      </c>
      <c r="C594" s="424" t="str">
        <f t="shared" si="24"/>
        <v>X</v>
      </c>
      <c r="D594" s="425" t="s">
        <v>1657</v>
      </c>
      <c r="E594" s="93"/>
      <c r="F594" s="93"/>
      <c r="G594" s="93"/>
      <c r="H594" s="93"/>
      <c r="I594" s="546">
        <v>5383.25</v>
      </c>
      <c r="J594" s="527"/>
      <c r="K594" s="93" t="s">
        <v>3820</v>
      </c>
      <c r="L594" s="271">
        <v>2023</v>
      </c>
      <c r="M594" s="227" t="s">
        <v>1890</v>
      </c>
      <c r="N594" s="422" t="s">
        <v>3820</v>
      </c>
      <c r="O594" s="422" t="s">
        <v>6438</v>
      </c>
      <c r="P594" s="227">
        <v>2022</v>
      </c>
      <c r="Q594" s="250" t="s">
        <v>3499</v>
      </c>
      <c r="R594" s="250" t="s">
        <v>3503</v>
      </c>
    </row>
    <row r="595" spans="1:18" ht="15.75" thickBot="1" x14ac:dyDescent="0.3">
      <c r="A595" s="93" t="s">
        <v>4600</v>
      </c>
      <c r="B595" s="424" t="s">
        <v>4600</v>
      </c>
      <c r="C595" s="424" t="str">
        <f t="shared" si="24"/>
        <v>X</v>
      </c>
      <c r="D595" s="425" t="s">
        <v>3030</v>
      </c>
      <c r="E595" s="93"/>
      <c r="F595" s="93"/>
      <c r="G595" s="93"/>
      <c r="H595" s="93"/>
      <c r="I595" s="546">
        <v>887035.86</v>
      </c>
      <c r="J595" s="527"/>
      <c r="K595" s="93" t="s">
        <v>3819</v>
      </c>
      <c r="L595" s="271">
        <v>2023</v>
      </c>
      <c r="M595" s="227" t="s">
        <v>1890</v>
      </c>
      <c r="N595" s="422" t="s">
        <v>6441</v>
      </c>
      <c r="O595" s="422" t="s">
        <v>6442</v>
      </c>
      <c r="P595" s="227">
        <v>2022</v>
      </c>
      <c r="Q595" s="250" t="s">
        <v>3499</v>
      </c>
      <c r="R595" s="250" t="s">
        <v>3503</v>
      </c>
    </row>
    <row r="596" spans="1:18" ht="15.75" thickBot="1" x14ac:dyDescent="0.3">
      <c r="A596" s="93" t="s">
        <v>3475</v>
      </c>
      <c r="B596" s="527" t="s">
        <v>3475</v>
      </c>
      <c r="C596" s="424" t="str">
        <f t="shared" si="24"/>
        <v>X</v>
      </c>
      <c r="D596" s="425" t="s">
        <v>2982</v>
      </c>
      <c r="E596" s="93"/>
      <c r="F596" s="93"/>
      <c r="G596" s="93"/>
      <c r="H596" s="93"/>
      <c r="I596" s="165">
        <v>16142.27</v>
      </c>
      <c r="J596" s="425"/>
      <c r="K596" s="93"/>
      <c r="L596" s="271">
        <v>2023</v>
      </c>
      <c r="M596" s="227" t="s">
        <v>1890</v>
      </c>
      <c r="N596" s="422" t="s">
        <v>6432</v>
      </c>
      <c r="O596" s="422" t="s">
        <v>6433</v>
      </c>
      <c r="P596" s="227">
        <v>2022</v>
      </c>
      <c r="Q596" s="250" t="s">
        <v>3499</v>
      </c>
      <c r="R596" s="250" t="s">
        <v>3503</v>
      </c>
    </row>
    <row r="597" spans="1:18" ht="15.75" thickBot="1" x14ac:dyDescent="0.3">
      <c r="A597" s="93" t="s">
        <v>3475</v>
      </c>
      <c r="B597" s="527" t="s">
        <v>3475</v>
      </c>
      <c r="C597" s="424" t="str">
        <f t="shared" si="24"/>
        <v>X</v>
      </c>
      <c r="D597" s="425" t="s">
        <v>1681</v>
      </c>
      <c r="E597" s="93"/>
      <c r="F597" s="93"/>
      <c r="G597" s="93"/>
      <c r="H597" s="93"/>
      <c r="I597" s="165">
        <v>19545.5</v>
      </c>
      <c r="J597" s="425"/>
      <c r="K597" s="93"/>
      <c r="L597" s="271">
        <v>2023</v>
      </c>
      <c r="M597" s="227" t="s">
        <v>1890</v>
      </c>
      <c r="N597" s="422" t="s">
        <v>1681</v>
      </c>
      <c r="O597" s="422" t="s">
        <v>6431</v>
      </c>
      <c r="P597" s="227">
        <v>2022</v>
      </c>
      <c r="Q597" s="250" t="s">
        <v>3499</v>
      </c>
      <c r="R597" s="250" t="s">
        <v>3503</v>
      </c>
    </row>
    <row r="598" spans="1:18" ht="15.75" thickBot="1" x14ac:dyDescent="0.3">
      <c r="A598" s="93" t="s">
        <v>3475</v>
      </c>
      <c r="B598" s="527" t="s">
        <v>3475</v>
      </c>
      <c r="C598" s="424" t="str">
        <f t="shared" si="24"/>
        <v>X</v>
      </c>
      <c r="D598" s="425" t="s">
        <v>3030</v>
      </c>
      <c r="E598" s="93"/>
      <c r="F598" s="93"/>
      <c r="G598" s="93"/>
      <c r="H598" s="93"/>
      <c r="I598" s="165">
        <v>152159.51999999999</v>
      </c>
      <c r="J598" s="425"/>
      <c r="K598" s="93"/>
      <c r="L598" s="271">
        <v>2023</v>
      </c>
      <c r="M598" s="227" t="s">
        <v>1890</v>
      </c>
      <c r="N598" s="422" t="s">
        <v>6441</v>
      </c>
      <c r="O598" s="422" t="s">
        <v>6442</v>
      </c>
      <c r="P598" s="227">
        <v>2022</v>
      </c>
      <c r="Q598" s="250" t="s">
        <v>3499</v>
      </c>
      <c r="R598" s="250" t="s">
        <v>3503</v>
      </c>
    </row>
    <row r="599" spans="1:18" ht="15.75" thickBot="1" x14ac:dyDescent="0.3">
      <c r="A599" s="93" t="s">
        <v>4593</v>
      </c>
      <c r="B599" s="424" t="s">
        <v>4593</v>
      </c>
      <c r="C599" s="424" t="str">
        <f t="shared" si="24"/>
        <v>X</v>
      </c>
      <c r="D599" s="425" t="s">
        <v>1653</v>
      </c>
      <c r="E599" s="93"/>
      <c r="F599" s="93"/>
      <c r="G599" s="93"/>
      <c r="H599" s="93"/>
      <c r="I599" s="165">
        <v>16815.02</v>
      </c>
      <c r="J599" s="425"/>
      <c r="K599" s="93"/>
      <c r="L599" s="271">
        <v>2023</v>
      </c>
      <c r="M599" s="227" t="s">
        <v>1890</v>
      </c>
      <c r="N599" s="422" t="s">
        <v>6434</v>
      </c>
      <c r="O599" s="422" t="s">
        <v>6435</v>
      </c>
      <c r="P599" s="227">
        <v>2022</v>
      </c>
      <c r="Q599" s="250" t="s">
        <v>3499</v>
      </c>
      <c r="R599" s="250" t="s">
        <v>3503</v>
      </c>
    </row>
    <row r="600" spans="1:18" ht="15.75" thickBot="1" x14ac:dyDescent="0.3">
      <c r="A600" s="93" t="s">
        <v>4593</v>
      </c>
      <c r="B600" s="424" t="s">
        <v>4593</v>
      </c>
      <c r="C600" s="424" t="str">
        <f t="shared" si="24"/>
        <v>X</v>
      </c>
      <c r="D600" s="425" t="s">
        <v>2982</v>
      </c>
      <c r="E600" s="93"/>
      <c r="F600" s="93"/>
      <c r="G600" s="93"/>
      <c r="H600" s="93"/>
      <c r="I600" s="165">
        <v>2902.0400000000004</v>
      </c>
      <c r="J600" s="425"/>
      <c r="K600" s="93"/>
      <c r="L600" s="271">
        <v>2023</v>
      </c>
      <c r="M600" s="227" t="s">
        <v>1890</v>
      </c>
      <c r="N600" s="422" t="s">
        <v>6432</v>
      </c>
      <c r="O600" s="422" t="s">
        <v>6433</v>
      </c>
      <c r="P600" s="227">
        <v>2022</v>
      </c>
      <c r="Q600" s="250" t="s">
        <v>3499</v>
      </c>
      <c r="R600" s="250" t="s">
        <v>3503</v>
      </c>
    </row>
    <row r="601" spans="1:18" ht="15.75" thickBot="1" x14ac:dyDescent="0.3">
      <c r="A601" s="93" t="s">
        <v>4593</v>
      </c>
      <c r="B601" s="424" t="s">
        <v>4593</v>
      </c>
      <c r="C601" s="424" t="str">
        <f t="shared" si="24"/>
        <v>X</v>
      </c>
      <c r="D601" s="425" t="s">
        <v>2982</v>
      </c>
      <c r="E601" s="93"/>
      <c r="F601" s="93"/>
      <c r="G601" s="93"/>
      <c r="H601" s="93"/>
      <c r="I601" s="165">
        <v>740.88</v>
      </c>
      <c r="J601" s="425"/>
      <c r="K601" s="93"/>
      <c r="L601" s="271">
        <v>2023</v>
      </c>
      <c r="M601" s="227" t="s">
        <v>1890</v>
      </c>
      <c r="N601" s="422" t="s">
        <v>6432</v>
      </c>
      <c r="O601" s="422" t="s">
        <v>6433</v>
      </c>
      <c r="P601" s="227">
        <v>2022</v>
      </c>
      <c r="Q601" s="250" t="s">
        <v>3499</v>
      </c>
      <c r="R601" s="250" t="s">
        <v>3503</v>
      </c>
    </row>
    <row r="602" spans="1:18" ht="15.75" thickBot="1" x14ac:dyDescent="0.3">
      <c r="A602" s="93" t="s">
        <v>4593</v>
      </c>
      <c r="B602" s="424" t="s">
        <v>4593</v>
      </c>
      <c r="C602" s="424" t="str">
        <f t="shared" si="24"/>
        <v>X</v>
      </c>
      <c r="D602" s="425" t="s">
        <v>2982</v>
      </c>
      <c r="E602" s="93"/>
      <c r="F602" s="93"/>
      <c r="G602" s="93"/>
      <c r="H602" s="93"/>
      <c r="I602" s="165">
        <v>306.67999999999995</v>
      </c>
      <c r="J602" s="425"/>
      <c r="K602" s="93"/>
      <c r="L602" s="271">
        <v>2023</v>
      </c>
      <c r="M602" s="227" t="s">
        <v>1890</v>
      </c>
      <c r="N602" s="422" t="s">
        <v>6432</v>
      </c>
      <c r="O602" s="422" t="s">
        <v>6433</v>
      </c>
      <c r="P602" s="227">
        <v>2022</v>
      </c>
      <c r="Q602" s="250" t="s">
        <v>3499</v>
      </c>
      <c r="R602" s="250" t="s">
        <v>3503</v>
      </c>
    </row>
    <row r="603" spans="1:18" ht="15.75" thickBot="1" x14ac:dyDescent="0.3">
      <c r="A603" s="93" t="s">
        <v>4593</v>
      </c>
      <c r="B603" s="424" t="s">
        <v>4593</v>
      </c>
      <c r="C603" s="424" t="str">
        <f t="shared" si="24"/>
        <v>X</v>
      </c>
      <c r="D603" s="425" t="s">
        <v>2982</v>
      </c>
      <c r="E603" s="93"/>
      <c r="F603" s="93"/>
      <c r="G603" s="93"/>
      <c r="H603" s="93"/>
      <c r="I603" s="165">
        <v>23863.86</v>
      </c>
      <c r="J603" s="425"/>
      <c r="K603" s="93"/>
      <c r="L603" s="271">
        <v>2023</v>
      </c>
      <c r="M603" s="227" t="s">
        <v>1890</v>
      </c>
      <c r="N603" s="422" t="s">
        <v>6432</v>
      </c>
      <c r="O603" s="422" t="s">
        <v>6433</v>
      </c>
      <c r="P603" s="227">
        <v>2022</v>
      </c>
      <c r="Q603" s="250" t="s">
        <v>3499</v>
      </c>
      <c r="R603" s="250" t="s">
        <v>3503</v>
      </c>
    </row>
    <row r="604" spans="1:18" ht="15.75" thickBot="1" x14ac:dyDescent="0.3">
      <c r="A604" s="93" t="s">
        <v>4593</v>
      </c>
      <c r="B604" s="424" t="s">
        <v>4593</v>
      </c>
      <c r="C604" s="424" t="str">
        <f t="shared" si="24"/>
        <v>X</v>
      </c>
      <c r="D604" s="425" t="s">
        <v>2982</v>
      </c>
      <c r="E604" s="93"/>
      <c r="F604" s="93"/>
      <c r="G604" s="93"/>
      <c r="H604" s="93"/>
      <c r="I604" s="165">
        <v>251.30000000000004</v>
      </c>
      <c r="J604" s="425"/>
      <c r="K604" s="93"/>
      <c r="L604" s="271">
        <v>2023</v>
      </c>
      <c r="M604" s="227" t="s">
        <v>1890</v>
      </c>
      <c r="N604" s="422" t="s">
        <v>6432</v>
      </c>
      <c r="O604" s="422" t="s">
        <v>6433</v>
      </c>
      <c r="P604" s="227">
        <v>2022</v>
      </c>
      <c r="Q604" s="250" t="s">
        <v>3499</v>
      </c>
      <c r="R604" s="250" t="s">
        <v>3503</v>
      </c>
    </row>
    <row r="605" spans="1:18" ht="15.75" thickBot="1" x14ac:dyDescent="0.3">
      <c r="A605" s="93" t="s">
        <v>4593</v>
      </c>
      <c r="B605" s="424" t="s">
        <v>4593</v>
      </c>
      <c r="C605" s="424" t="str">
        <f t="shared" si="24"/>
        <v>X</v>
      </c>
      <c r="D605" s="425" t="s">
        <v>2982</v>
      </c>
      <c r="E605" s="93"/>
      <c r="F605" s="93"/>
      <c r="G605" s="93"/>
      <c r="H605" s="93"/>
      <c r="I605" s="165">
        <v>3930.2500000000005</v>
      </c>
      <c r="J605" s="425"/>
      <c r="K605" s="93"/>
      <c r="L605" s="271">
        <v>2023</v>
      </c>
      <c r="M605" s="227" t="s">
        <v>1890</v>
      </c>
      <c r="N605" s="422" t="s">
        <v>6432</v>
      </c>
      <c r="O605" s="422" t="s">
        <v>6433</v>
      </c>
      <c r="P605" s="227">
        <v>2022</v>
      </c>
      <c r="Q605" s="250" t="s">
        <v>3499</v>
      </c>
      <c r="R605" s="250" t="s">
        <v>3503</v>
      </c>
    </row>
    <row r="606" spans="1:18" ht="15.75" thickBot="1" x14ac:dyDescent="0.3">
      <c r="A606" s="93" t="s">
        <v>4593</v>
      </c>
      <c r="B606" s="424" t="s">
        <v>4593</v>
      </c>
      <c r="C606" s="424" t="str">
        <f t="shared" si="24"/>
        <v>X</v>
      </c>
      <c r="D606" s="425" t="s">
        <v>2982</v>
      </c>
      <c r="E606" s="93"/>
      <c r="F606" s="93"/>
      <c r="G606" s="93"/>
      <c r="H606" s="93"/>
      <c r="I606" s="165">
        <v>207.36</v>
      </c>
      <c r="J606" s="425"/>
      <c r="K606" s="93"/>
      <c r="L606" s="271">
        <v>2023</v>
      </c>
      <c r="M606" s="227" t="s">
        <v>1890</v>
      </c>
      <c r="N606" s="422" t="s">
        <v>6432</v>
      </c>
      <c r="O606" s="422" t="s">
        <v>6433</v>
      </c>
      <c r="P606" s="227">
        <v>2022</v>
      </c>
      <c r="Q606" s="250" t="s">
        <v>3499</v>
      </c>
      <c r="R606" s="250" t="s">
        <v>3503</v>
      </c>
    </row>
    <row r="607" spans="1:18" ht="15.75" thickBot="1" x14ac:dyDescent="0.3">
      <c r="A607" s="93" t="s">
        <v>4593</v>
      </c>
      <c r="B607" s="424" t="s">
        <v>4593</v>
      </c>
      <c r="C607" s="424" t="str">
        <f t="shared" si="24"/>
        <v>X</v>
      </c>
      <c r="D607" s="425" t="s">
        <v>2982</v>
      </c>
      <c r="E607" s="93"/>
      <c r="F607" s="93"/>
      <c r="G607" s="93"/>
      <c r="H607" s="93"/>
      <c r="I607" s="165">
        <v>1715.5799999999997</v>
      </c>
      <c r="J607" s="425"/>
      <c r="K607" s="93"/>
      <c r="L607" s="271">
        <v>2023</v>
      </c>
      <c r="M607" s="227" t="s">
        <v>1890</v>
      </c>
      <c r="N607" s="422" t="s">
        <v>6432</v>
      </c>
      <c r="O607" s="422" t="s">
        <v>6433</v>
      </c>
      <c r="P607" s="227">
        <v>2022</v>
      </c>
      <c r="Q607" s="250" t="s">
        <v>3499</v>
      </c>
      <c r="R607" s="250" t="s">
        <v>3503</v>
      </c>
    </row>
    <row r="608" spans="1:18" ht="15.75" thickBot="1" x14ac:dyDescent="0.3">
      <c r="A608" s="93" t="s">
        <v>4593</v>
      </c>
      <c r="B608" s="424" t="s">
        <v>4593</v>
      </c>
      <c r="C608" s="424" t="str">
        <f t="shared" si="24"/>
        <v>X</v>
      </c>
      <c r="D608" s="425" t="s">
        <v>2982</v>
      </c>
      <c r="E608" s="93"/>
      <c r="F608" s="93"/>
      <c r="G608" s="93"/>
      <c r="H608" s="93"/>
      <c r="I608" s="165">
        <v>2679.5700000000015</v>
      </c>
      <c r="J608" s="425"/>
      <c r="K608" s="93"/>
      <c r="L608" s="271">
        <v>2023</v>
      </c>
      <c r="M608" s="227" t="s">
        <v>1890</v>
      </c>
      <c r="N608" s="422" t="s">
        <v>6432</v>
      </c>
      <c r="O608" s="422" t="s">
        <v>6433</v>
      </c>
      <c r="P608" s="227">
        <v>2022</v>
      </c>
      <c r="Q608" s="250" t="s">
        <v>3499</v>
      </c>
      <c r="R608" s="250" t="s">
        <v>3503</v>
      </c>
    </row>
    <row r="609" spans="1:18" ht="15.75" thickBot="1" x14ac:dyDescent="0.3">
      <c r="A609" s="93" t="s">
        <v>4593</v>
      </c>
      <c r="B609" s="424" t="s">
        <v>4593</v>
      </c>
      <c r="C609" s="424" t="str">
        <f t="shared" si="24"/>
        <v>X</v>
      </c>
      <c r="D609" s="425" t="s">
        <v>2982</v>
      </c>
      <c r="E609" s="93"/>
      <c r="F609" s="93"/>
      <c r="G609" s="93"/>
      <c r="H609" s="93"/>
      <c r="I609" s="165">
        <v>51028.58</v>
      </c>
      <c r="J609" s="425"/>
      <c r="K609" s="93"/>
      <c r="L609" s="271">
        <v>2023</v>
      </c>
      <c r="M609" s="227" t="s">
        <v>1890</v>
      </c>
      <c r="N609" s="422" t="s">
        <v>6432</v>
      </c>
      <c r="O609" s="422" t="s">
        <v>6433</v>
      </c>
      <c r="P609" s="227">
        <v>2022</v>
      </c>
      <c r="Q609" s="250" t="s">
        <v>3499</v>
      </c>
      <c r="R609" s="250" t="s">
        <v>3503</v>
      </c>
    </row>
    <row r="610" spans="1:18" ht="15.75" thickBot="1" x14ac:dyDescent="0.3">
      <c r="A610" s="93" t="s">
        <v>4593</v>
      </c>
      <c r="B610" s="424" t="s">
        <v>4593</v>
      </c>
      <c r="C610" s="424" t="str">
        <f t="shared" si="24"/>
        <v>X</v>
      </c>
      <c r="D610" s="425" t="s">
        <v>2982</v>
      </c>
      <c r="E610" s="93"/>
      <c r="F610" s="93"/>
      <c r="G610" s="93"/>
      <c r="H610" s="93"/>
      <c r="I610" s="165">
        <v>8164.0399999999963</v>
      </c>
      <c r="J610" s="425"/>
      <c r="K610" s="93"/>
      <c r="L610" s="271">
        <v>2023</v>
      </c>
      <c r="M610" s="227" t="s">
        <v>1890</v>
      </c>
      <c r="N610" s="422" t="s">
        <v>6432</v>
      </c>
      <c r="O610" s="422" t="s">
        <v>6433</v>
      </c>
      <c r="P610" s="227">
        <v>2022</v>
      </c>
      <c r="Q610" s="250" t="s">
        <v>3499</v>
      </c>
      <c r="R610" s="250" t="s">
        <v>3503</v>
      </c>
    </row>
    <row r="611" spans="1:18" ht="15.75" thickBot="1" x14ac:dyDescent="0.3">
      <c r="A611" s="93" t="s">
        <v>4593</v>
      </c>
      <c r="B611" s="424" t="s">
        <v>4593</v>
      </c>
      <c r="C611" s="424" t="str">
        <f t="shared" si="24"/>
        <v>X</v>
      </c>
      <c r="D611" s="425" t="s">
        <v>2982</v>
      </c>
      <c r="E611" s="93"/>
      <c r="F611" s="93"/>
      <c r="G611" s="93"/>
      <c r="H611" s="93"/>
      <c r="I611" s="165">
        <v>689.10000000000014</v>
      </c>
      <c r="J611" s="425"/>
      <c r="K611" s="93"/>
      <c r="L611" s="271">
        <v>2023</v>
      </c>
      <c r="M611" s="227" t="s">
        <v>1890</v>
      </c>
      <c r="N611" s="422" t="s">
        <v>6432</v>
      </c>
      <c r="O611" s="422" t="s">
        <v>6433</v>
      </c>
      <c r="P611" s="227">
        <v>2022</v>
      </c>
      <c r="Q611" s="250" t="s">
        <v>3499</v>
      </c>
      <c r="R611" s="250" t="s">
        <v>3503</v>
      </c>
    </row>
    <row r="612" spans="1:18" ht="15.75" thickBot="1" x14ac:dyDescent="0.3">
      <c r="A612" s="93" t="s">
        <v>4593</v>
      </c>
      <c r="B612" s="424" t="s">
        <v>4593</v>
      </c>
      <c r="C612" s="424" t="str">
        <f t="shared" si="24"/>
        <v>X</v>
      </c>
      <c r="D612" s="425" t="s">
        <v>2982</v>
      </c>
      <c r="E612" s="93"/>
      <c r="F612" s="93"/>
      <c r="G612" s="93"/>
      <c r="H612" s="93"/>
      <c r="I612" s="165">
        <v>15075.760000000004</v>
      </c>
      <c r="J612" s="425"/>
      <c r="K612" s="93"/>
      <c r="L612" s="271">
        <v>2023</v>
      </c>
      <c r="M612" s="227" t="s">
        <v>1890</v>
      </c>
      <c r="N612" s="422" t="s">
        <v>6432</v>
      </c>
      <c r="O612" s="422" t="s">
        <v>6433</v>
      </c>
      <c r="P612" s="227">
        <v>2022</v>
      </c>
      <c r="Q612" s="250" t="s">
        <v>3499</v>
      </c>
      <c r="R612" s="250" t="s">
        <v>3503</v>
      </c>
    </row>
    <row r="613" spans="1:18" ht="15.75" thickBot="1" x14ac:dyDescent="0.3">
      <c r="A613" s="93" t="s">
        <v>4593</v>
      </c>
      <c r="B613" s="424" t="s">
        <v>4593</v>
      </c>
      <c r="C613" s="424" t="str">
        <f t="shared" si="24"/>
        <v>X</v>
      </c>
      <c r="D613" s="425" t="s">
        <v>2982</v>
      </c>
      <c r="E613" s="93"/>
      <c r="F613" s="93"/>
      <c r="G613" s="93"/>
      <c r="H613" s="93"/>
      <c r="I613" s="165">
        <v>2753.2899999999991</v>
      </c>
      <c r="J613" s="425"/>
      <c r="K613" s="93"/>
      <c r="L613" s="271">
        <v>2023</v>
      </c>
      <c r="M613" s="227" t="s">
        <v>1890</v>
      </c>
      <c r="N613" s="422" t="s">
        <v>6432</v>
      </c>
      <c r="O613" s="422" t="s">
        <v>6433</v>
      </c>
      <c r="P613" s="227">
        <v>2022</v>
      </c>
      <c r="Q613" s="250" t="s">
        <v>3499</v>
      </c>
      <c r="R613" s="250" t="s">
        <v>3503</v>
      </c>
    </row>
    <row r="614" spans="1:18" ht="15.75" thickBot="1" x14ac:dyDescent="0.3">
      <c r="A614" s="93" t="s">
        <v>4593</v>
      </c>
      <c r="B614" s="424" t="s">
        <v>4593</v>
      </c>
      <c r="C614" s="424" t="str">
        <f t="shared" si="24"/>
        <v>X</v>
      </c>
      <c r="D614" s="425" t="s">
        <v>2982</v>
      </c>
      <c r="E614" s="93"/>
      <c r="F614" s="93"/>
      <c r="G614" s="93"/>
      <c r="H614" s="93"/>
      <c r="I614" s="165">
        <v>573.82000000000016</v>
      </c>
      <c r="J614" s="425"/>
      <c r="K614" s="93"/>
      <c r="L614" s="271">
        <v>2023</v>
      </c>
      <c r="M614" s="227" t="s">
        <v>1890</v>
      </c>
      <c r="N614" s="422" t="s">
        <v>6432</v>
      </c>
      <c r="O614" s="422" t="s">
        <v>6433</v>
      </c>
      <c r="P614" s="227">
        <v>2022</v>
      </c>
      <c r="Q614" s="250" t="s">
        <v>3499</v>
      </c>
      <c r="R614" s="250" t="s">
        <v>3503</v>
      </c>
    </row>
    <row r="615" spans="1:18" ht="15.75" thickBot="1" x14ac:dyDescent="0.3">
      <c r="A615" s="93" t="s">
        <v>4593</v>
      </c>
      <c r="B615" s="424" t="s">
        <v>4593</v>
      </c>
      <c r="C615" s="424" t="str">
        <f t="shared" si="24"/>
        <v>X</v>
      </c>
      <c r="D615" s="425" t="s">
        <v>2982</v>
      </c>
      <c r="E615" s="93"/>
      <c r="F615" s="93"/>
      <c r="G615" s="93"/>
      <c r="H615" s="93"/>
      <c r="I615" s="165">
        <v>3082.38</v>
      </c>
      <c r="J615" s="425"/>
      <c r="K615" s="93"/>
      <c r="L615" s="271">
        <v>2023</v>
      </c>
      <c r="M615" s="227" t="s">
        <v>1890</v>
      </c>
      <c r="N615" s="422" t="s">
        <v>6432</v>
      </c>
      <c r="O615" s="422" t="s">
        <v>6433</v>
      </c>
      <c r="P615" s="227">
        <v>2022</v>
      </c>
      <c r="Q615" s="250" t="s">
        <v>3499</v>
      </c>
      <c r="R615" s="250" t="s">
        <v>3503</v>
      </c>
    </row>
    <row r="616" spans="1:18" ht="15.75" thickBot="1" x14ac:dyDescent="0.3">
      <c r="A616" s="93" t="s">
        <v>4593</v>
      </c>
      <c r="B616" s="424" t="s">
        <v>4593</v>
      </c>
      <c r="C616" s="424" t="str">
        <f t="shared" si="24"/>
        <v>X</v>
      </c>
      <c r="D616" s="425" t="s">
        <v>2982</v>
      </c>
      <c r="E616" s="93"/>
      <c r="F616" s="93"/>
      <c r="G616" s="93"/>
      <c r="H616" s="93"/>
      <c r="I616" s="165">
        <v>473.88000000000005</v>
      </c>
      <c r="J616" s="425"/>
      <c r="K616" s="93"/>
      <c r="L616" s="271">
        <v>2023</v>
      </c>
      <c r="M616" s="227" t="s">
        <v>1890</v>
      </c>
      <c r="N616" s="422" t="s">
        <v>6432</v>
      </c>
      <c r="O616" s="422" t="s">
        <v>6433</v>
      </c>
      <c r="P616" s="227">
        <v>2022</v>
      </c>
      <c r="Q616" s="250" t="s">
        <v>3499</v>
      </c>
      <c r="R616" s="250" t="s">
        <v>3503</v>
      </c>
    </row>
    <row r="617" spans="1:18" ht="15.75" thickBot="1" x14ac:dyDescent="0.3">
      <c r="A617" s="93" t="s">
        <v>4593</v>
      </c>
      <c r="B617" s="424" t="s">
        <v>4593</v>
      </c>
      <c r="C617" s="424" t="str">
        <f t="shared" si="24"/>
        <v>X</v>
      </c>
      <c r="D617" s="425" t="s">
        <v>2982</v>
      </c>
      <c r="E617" s="93"/>
      <c r="F617" s="93"/>
      <c r="G617" s="93"/>
      <c r="H617" s="93"/>
      <c r="I617" s="165">
        <v>11443.16</v>
      </c>
      <c r="J617" s="425"/>
      <c r="K617" s="93"/>
      <c r="L617" s="271">
        <v>2023</v>
      </c>
      <c r="M617" s="227" t="s">
        <v>1890</v>
      </c>
      <c r="N617" s="422" t="s">
        <v>6432</v>
      </c>
      <c r="O617" s="422" t="s">
        <v>6433</v>
      </c>
      <c r="P617" s="227">
        <v>2022</v>
      </c>
      <c r="Q617" s="250" t="s">
        <v>3499</v>
      </c>
      <c r="R617" s="250" t="s">
        <v>3503</v>
      </c>
    </row>
    <row r="618" spans="1:18" ht="15.75" thickBot="1" x14ac:dyDescent="0.3">
      <c r="A618" s="93" t="s">
        <v>4593</v>
      </c>
      <c r="B618" s="424" t="s">
        <v>4593</v>
      </c>
      <c r="C618" s="424" t="str">
        <f t="shared" si="24"/>
        <v>X</v>
      </c>
      <c r="D618" s="425" t="s">
        <v>1659</v>
      </c>
      <c r="E618" s="93"/>
      <c r="F618" s="93"/>
      <c r="G618" s="93"/>
      <c r="H618" s="422"/>
      <c r="I618" s="165">
        <v>7830</v>
      </c>
      <c r="J618" s="425"/>
      <c r="K618" s="422"/>
      <c r="L618" s="271">
        <v>2023</v>
      </c>
      <c r="M618" s="227" t="s">
        <v>1890</v>
      </c>
      <c r="N618" s="422" t="s">
        <v>6443</v>
      </c>
      <c r="O618" s="422" t="s">
        <v>6444</v>
      </c>
      <c r="P618" s="227">
        <v>2022</v>
      </c>
      <c r="Q618" s="250" t="s">
        <v>3499</v>
      </c>
      <c r="R618" s="250" t="s">
        <v>3503</v>
      </c>
    </row>
    <row r="619" spans="1:18" ht="15.75" thickBot="1" x14ac:dyDescent="0.3">
      <c r="A619" s="93" t="s">
        <v>4593</v>
      </c>
      <c r="B619" s="424" t="s">
        <v>4593</v>
      </c>
      <c r="C619" s="424" t="str">
        <f t="shared" si="24"/>
        <v>X</v>
      </c>
      <c r="D619" s="425" t="s">
        <v>6362</v>
      </c>
      <c r="E619" s="93"/>
      <c r="F619" s="93"/>
      <c r="G619" s="93"/>
      <c r="H619" s="422"/>
      <c r="I619" s="165">
        <v>632.4</v>
      </c>
      <c r="J619" s="425"/>
      <c r="K619" s="422"/>
      <c r="L619" s="271">
        <v>2023</v>
      </c>
      <c r="M619" s="227" t="s">
        <v>1890</v>
      </c>
      <c r="N619" s="422" t="s">
        <v>6443</v>
      </c>
      <c r="O619" s="422" t="s">
        <v>6444</v>
      </c>
      <c r="P619" s="227">
        <v>2022</v>
      </c>
      <c r="Q619" s="250" t="s">
        <v>3499</v>
      </c>
      <c r="R619" s="250" t="s">
        <v>3503</v>
      </c>
    </row>
    <row r="620" spans="1:18" ht="15.75" thickBot="1" x14ac:dyDescent="0.3">
      <c r="A620" s="93" t="s">
        <v>4593</v>
      </c>
      <c r="B620" s="424" t="s">
        <v>4593</v>
      </c>
      <c r="C620" s="424" t="str">
        <f t="shared" si="24"/>
        <v>X</v>
      </c>
      <c r="D620" s="425" t="s">
        <v>6362</v>
      </c>
      <c r="E620" s="422"/>
      <c r="F620" s="422"/>
      <c r="G620" s="422"/>
      <c r="H620" s="422"/>
      <c r="I620" s="165">
        <v>10289.84</v>
      </c>
      <c r="J620" s="425"/>
      <c r="K620" s="422"/>
      <c r="L620" s="271">
        <v>2023</v>
      </c>
      <c r="M620" s="227" t="s">
        <v>1890</v>
      </c>
      <c r="N620" s="422" t="s">
        <v>6443</v>
      </c>
      <c r="O620" s="422" t="s">
        <v>6444</v>
      </c>
      <c r="P620" s="227">
        <v>2022</v>
      </c>
      <c r="Q620" s="250" t="s">
        <v>3499</v>
      </c>
      <c r="R620" s="250" t="s">
        <v>3503</v>
      </c>
    </row>
    <row r="621" spans="1:18" ht="15.75" thickBot="1" x14ac:dyDescent="0.3">
      <c r="A621" s="93" t="s">
        <v>4593</v>
      </c>
      <c r="B621" s="424" t="s">
        <v>4593</v>
      </c>
      <c r="C621" s="424" t="str">
        <f t="shared" si="24"/>
        <v>X</v>
      </c>
      <c r="D621" s="425" t="s">
        <v>1655</v>
      </c>
      <c r="E621" s="93"/>
      <c r="F621" s="93"/>
      <c r="G621" s="422"/>
      <c r="H621" s="422"/>
      <c r="I621" s="165">
        <v>36.68</v>
      </c>
      <c r="J621" s="425"/>
      <c r="K621" s="93"/>
      <c r="L621" s="271">
        <v>2023</v>
      </c>
      <c r="M621" s="227" t="s">
        <v>1890</v>
      </c>
      <c r="N621" s="422" t="s">
        <v>6439</v>
      </c>
      <c r="O621" s="422" t="s">
        <v>6440</v>
      </c>
      <c r="P621" s="227">
        <v>2022</v>
      </c>
      <c r="Q621" s="250" t="s">
        <v>3499</v>
      </c>
      <c r="R621" s="250" t="s">
        <v>3503</v>
      </c>
    </row>
    <row r="622" spans="1:18" ht="15.75" thickBot="1" x14ac:dyDescent="0.3">
      <c r="A622" s="93" t="s">
        <v>4592</v>
      </c>
      <c r="B622" s="424" t="s">
        <v>4592</v>
      </c>
      <c r="C622" s="424" t="str">
        <f t="shared" si="24"/>
        <v>X</v>
      </c>
      <c r="D622" s="425" t="s">
        <v>1653</v>
      </c>
      <c r="E622" s="93"/>
      <c r="F622" s="93"/>
      <c r="G622" s="93"/>
      <c r="H622" s="93"/>
      <c r="I622" s="165">
        <v>33042.630000000012</v>
      </c>
      <c r="J622" s="425"/>
      <c r="K622" s="93"/>
      <c r="L622" s="271">
        <v>2023</v>
      </c>
      <c r="M622" s="227" t="s">
        <v>1890</v>
      </c>
      <c r="N622" s="422" t="s">
        <v>6434</v>
      </c>
      <c r="O622" s="422" t="s">
        <v>6435</v>
      </c>
      <c r="P622" s="227">
        <v>2022</v>
      </c>
      <c r="Q622" s="250" t="s">
        <v>3499</v>
      </c>
      <c r="R622" s="250" t="s">
        <v>3503</v>
      </c>
    </row>
    <row r="623" spans="1:18" ht="15.75" thickBot="1" x14ac:dyDescent="0.3">
      <c r="A623" s="93" t="s">
        <v>4592</v>
      </c>
      <c r="B623" s="424" t="s">
        <v>4592</v>
      </c>
      <c r="C623" s="424" t="str">
        <f t="shared" si="24"/>
        <v>X</v>
      </c>
      <c r="D623" s="425" t="s">
        <v>2982</v>
      </c>
      <c r="E623" s="93"/>
      <c r="F623" s="93"/>
      <c r="G623" s="93"/>
      <c r="H623" s="93"/>
      <c r="I623" s="165">
        <v>4889.1699999999973</v>
      </c>
      <c r="J623" s="425"/>
      <c r="K623" s="93"/>
      <c r="L623" s="271">
        <v>2023</v>
      </c>
      <c r="M623" s="227" t="s">
        <v>1890</v>
      </c>
      <c r="N623" s="422" t="s">
        <v>6432</v>
      </c>
      <c r="O623" s="422" t="s">
        <v>6433</v>
      </c>
      <c r="P623" s="227">
        <v>2022</v>
      </c>
      <c r="Q623" s="250" t="s">
        <v>3499</v>
      </c>
      <c r="R623" s="250" t="s">
        <v>3503</v>
      </c>
    </row>
    <row r="624" spans="1:18" ht="15.75" thickBot="1" x14ac:dyDescent="0.3">
      <c r="A624" s="93" t="s">
        <v>4592</v>
      </c>
      <c r="B624" s="424" t="s">
        <v>4592</v>
      </c>
      <c r="C624" s="424" t="str">
        <f t="shared" si="24"/>
        <v>X</v>
      </c>
      <c r="D624" s="425" t="s">
        <v>2982</v>
      </c>
      <c r="E624" s="93"/>
      <c r="F624" s="93"/>
      <c r="G624" s="93"/>
      <c r="H624" s="93"/>
      <c r="I624" s="165">
        <v>1110.79</v>
      </c>
      <c r="J624" s="425"/>
      <c r="K624" s="93"/>
      <c r="L624" s="271">
        <v>2023</v>
      </c>
      <c r="M624" s="227" t="s">
        <v>1890</v>
      </c>
      <c r="N624" s="422" t="s">
        <v>6432</v>
      </c>
      <c r="O624" s="422" t="s">
        <v>6433</v>
      </c>
      <c r="P624" s="227">
        <v>2022</v>
      </c>
      <c r="Q624" s="250" t="s">
        <v>3499</v>
      </c>
      <c r="R624" s="250" t="s">
        <v>3503</v>
      </c>
    </row>
    <row r="625" spans="1:18" ht="15.75" thickBot="1" x14ac:dyDescent="0.3">
      <c r="A625" s="93" t="s">
        <v>4592</v>
      </c>
      <c r="B625" s="424" t="s">
        <v>4592</v>
      </c>
      <c r="C625" s="424" t="str">
        <f t="shared" si="24"/>
        <v>X</v>
      </c>
      <c r="D625" s="425" t="s">
        <v>2982</v>
      </c>
      <c r="E625" s="93"/>
      <c r="F625" s="93"/>
      <c r="G625" s="93"/>
      <c r="H625" s="93"/>
      <c r="I625" s="165">
        <v>3204.2499999999991</v>
      </c>
      <c r="J625" s="425"/>
      <c r="K625" s="93"/>
      <c r="L625" s="271">
        <v>2023</v>
      </c>
      <c r="M625" s="227" t="s">
        <v>1890</v>
      </c>
      <c r="N625" s="422" t="s">
        <v>6432</v>
      </c>
      <c r="O625" s="422" t="s">
        <v>6433</v>
      </c>
      <c r="P625" s="227">
        <v>2022</v>
      </c>
      <c r="Q625" s="250" t="s">
        <v>3499</v>
      </c>
      <c r="R625" s="250" t="s">
        <v>3503</v>
      </c>
    </row>
    <row r="626" spans="1:18" ht="15.75" thickBot="1" x14ac:dyDescent="0.3">
      <c r="A626" s="93" t="s">
        <v>4592</v>
      </c>
      <c r="B626" s="424" t="s">
        <v>4592</v>
      </c>
      <c r="C626" s="424" t="str">
        <f t="shared" si="24"/>
        <v>X</v>
      </c>
      <c r="D626" s="425" t="s">
        <v>2982</v>
      </c>
      <c r="E626" s="93"/>
      <c r="F626" s="93"/>
      <c r="G626" s="93"/>
      <c r="H626" s="93"/>
      <c r="I626" s="165">
        <v>1303.25</v>
      </c>
      <c r="J626" s="425"/>
      <c r="K626" s="93"/>
      <c r="L626" s="271">
        <v>2023</v>
      </c>
      <c r="M626" s="227" t="s">
        <v>1890</v>
      </c>
      <c r="N626" s="422" t="s">
        <v>6432</v>
      </c>
      <c r="O626" s="422" t="s">
        <v>6433</v>
      </c>
      <c r="P626" s="227">
        <v>2022</v>
      </c>
      <c r="Q626" s="250" t="s">
        <v>3499</v>
      </c>
      <c r="R626" s="250" t="s">
        <v>3503</v>
      </c>
    </row>
    <row r="627" spans="1:18" ht="15.75" thickBot="1" x14ac:dyDescent="0.3">
      <c r="A627" s="93" t="s">
        <v>4592</v>
      </c>
      <c r="B627" s="424" t="s">
        <v>4592</v>
      </c>
      <c r="C627" s="424" t="str">
        <f t="shared" si="24"/>
        <v>X</v>
      </c>
      <c r="D627" s="425" t="s">
        <v>2982</v>
      </c>
      <c r="E627" s="93"/>
      <c r="F627" s="93"/>
      <c r="G627" s="93"/>
      <c r="H627" s="93"/>
      <c r="I627" s="165">
        <v>10630.380000000001</v>
      </c>
      <c r="J627" s="425"/>
      <c r="K627" s="93"/>
      <c r="L627" s="271">
        <v>2023</v>
      </c>
      <c r="M627" s="227" t="s">
        <v>1890</v>
      </c>
      <c r="N627" s="422" t="s">
        <v>6432</v>
      </c>
      <c r="O627" s="422" t="s">
        <v>6433</v>
      </c>
      <c r="P627" s="227">
        <v>2022</v>
      </c>
      <c r="Q627" s="250" t="s">
        <v>3499</v>
      </c>
      <c r="R627" s="250" t="s">
        <v>3503</v>
      </c>
    </row>
    <row r="628" spans="1:18" ht="15.75" thickBot="1" x14ac:dyDescent="0.3">
      <c r="A628" s="93" t="s">
        <v>4592</v>
      </c>
      <c r="B628" s="424" t="s">
        <v>4592</v>
      </c>
      <c r="C628" s="424" t="str">
        <f t="shared" si="24"/>
        <v>X</v>
      </c>
      <c r="D628" s="425" t="s">
        <v>2982</v>
      </c>
      <c r="E628" s="93"/>
      <c r="F628" s="93"/>
      <c r="G628" s="93"/>
      <c r="H628" s="93"/>
      <c r="I628" s="165">
        <v>2078.9999999999986</v>
      </c>
      <c r="J628" s="425"/>
      <c r="K628" s="93"/>
      <c r="L628" s="271">
        <v>2023</v>
      </c>
      <c r="M628" s="227" t="s">
        <v>1890</v>
      </c>
      <c r="N628" s="422" t="s">
        <v>6432</v>
      </c>
      <c r="O628" s="422" t="s">
        <v>6433</v>
      </c>
      <c r="P628" s="227">
        <v>2022</v>
      </c>
      <c r="Q628" s="250" t="s">
        <v>3499</v>
      </c>
      <c r="R628" s="250" t="s">
        <v>3503</v>
      </c>
    </row>
    <row r="629" spans="1:18" ht="15.75" thickBot="1" x14ac:dyDescent="0.3">
      <c r="A629" s="93" t="s">
        <v>4592</v>
      </c>
      <c r="B629" s="424" t="s">
        <v>4592</v>
      </c>
      <c r="C629" s="424" t="str">
        <f t="shared" si="24"/>
        <v>X</v>
      </c>
      <c r="D629" s="425" t="s">
        <v>2982</v>
      </c>
      <c r="E629" s="93"/>
      <c r="F629" s="93"/>
      <c r="G629" s="93"/>
      <c r="H629" s="93"/>
      <c r="I629" s="165">
        <v>4263.8899999999994</v>
      </c>
      <c r="J629" s="425"/>
      <c r="K629" s="93"/>
      <c r="L629" s="271">
        <v>2023</v>
      </c>
      <c r="M629" s="227" t="s">
        <v>1890</v>
      </c>
      <c r="N629" s="422" t="s">
        <v>6432</v>
      </c>
      <c r="O629" s="422" t="s">
        <v>6433</v>
      </c>
      <c r="P629" s="227">
        <v>2022</v>
      </c>
      <c r="Q629" s="250" t="s">
        <v>3499</v>
      </c>
      <c r="R629" s="250" t="s">
        <v>3503</v>
      </c>
    </row>
    <row r="630" spans="1:18" ht="15.75" thickBot="1" x14ac:dyDescent="0.3">
      <c r="A630" s="93" t="s">
        <v>4592</v>
      </c>
      <c r="B630" s="424" t="s">
        <v>4592</v>
      </c>
      <c r="C630" s="424" t="str">
        <f t="shared" si="24"/>
        <v>X</v>
      </c>
      <c r="D630" s="425" t="s">
        <v>2982</v>
      </c>
      <c r="E630" s="93"/>
      <c r="F630" s="93"/>
      <c r="G630" s="93"/>
      <c r="H630" s="93"/>
      <c r="I630" s="165">
        <v>1338.3</v>
      </c>
      <c r="J630" s="425"/>
      <c r="K630" s="93"/>
      <c r="L630" s="271">
        <v>2023</v>
      </c>
      <c r="M630" s="227" t="s">
        <v>1890</v>
      </c>
      <c r="N630" s="422" t="s">
        <v>6432</v>
      </c>
      <c r="O630" s="422" t="s">
        <v>6433</v>
      </c>
      <c r="P630" s="227">
        <v>2022</v>
      </c>
      <c r="Q630" s="250" t="s">
        <v>3499</v>
      </c>
      <c r="R630" s="250" t="s">
        <v>3503</v>
      </c>
    </row>
    <row r="631" spans="1:18" ht="15.75" thickBot="1" x14ac:dyDescent="0.3">
      <c r="A631" s="93" t="s">
        <v>4592</v>
      </c>
      <c r="B631" s="424" t="s">
        <v>4592</v>
      </c>
      <c r="C631" s="424" t="str">
        <f t="shared" si="24"/>
        <v>X</v>
      </c>
      <c r="D631" s="425" t="s">
        <v>2982</v>
      </c>
      <c r="E631" s="93"/>
      <c r="F631" s="93"/>
      <c r="G631" s="93"/>
      <c r="H631" s="93"/>
      <c r="I631" s="165">
        <v>3537.7799999999988</v>
      </c>
      <c r="J631" s="425"/>
      <c r="K631" s="93"/>
      <c r="L631" s="271">
        <v>2023</v>
      </c>
      <c r="M631" s="227" t="s">
        <v>1890</v>
      </c>
      <c r="N631" s="422" t="s">
        <v>6432</v>
      </c>
      <c r="O631" s="422" t="s">
        <v>6433</v>
      </c>
      <c r="P631" s="227">
        <v>2022</v>
      </c>
      <c r="Q631" s="250" t="s">
        <v>3499</v>
      </c>
      <c r="R631" s="250" t="s">
        <v>3503</v>
      </c>
    </row>
    <row r="632" spans="1:18" ht="15.75" thickBot="1" x14ac:dyDescent="0.3">
      <c r="A632" s="93" t="s">
        <v>4592</v>
      </c>
      <c r="B632" s="424" t="s">
        <v>4592</v>
      </c>
      <c r="C632" s="424" t="str">
        <f t="shared" si="24"/>
        <v>X</v>
      </c>
      <c r="D632" s="425" t="s">
        <v>2982</v>
      </c>
      <c r="E632" s="93"/>
      <c r="F632" s="93"/>
      <c r="G632" s="93"/>
      <c r="H632" s="93"/>
      <c r="I632" s="165">
        <v>15.32</v>
      </c>
      <c r="J632" s="425"/>
      <c r="K632" s="93"/>
      <c r="L632" s="271">
        <v>2023</v>
      </c>
      <c r="M632" s="227" t="s">
        <v>1890</v>
      </c>
      <c r="N632" s="422" t="s">
        <v>6432</v>
      </c>
      <c r="O632" s="422" t="s">
        <v>6433</v>
      </c>
      <c r="P632" s="227">
        <v>2022</v>
      </c>
      <c r="Q632" s="250" t="s">
        <v>3499</v>
      </c>
      <c r="R632" s="250" t="s">
        <v>3503</v>
      </c>
    </row>
    <row r="633" spans="1:18" ht="15.75" thickBot="1" x14ac:dyDescent="0.3">
      <c r="A633" s="93" t="s">
        <v>4592</v>
      </c>
      <c r="B633" s="424" t="s">
        <v>4592</v>
      </c>
      <c r="C633" s="424" t="str">
        <f t="shared" si="24"/>
        <v>X</v>
      </c>
      <c r="D633" s="425" t="s">
        <v>2982</v>
      </c>
      <c r="E633" s="93"/>
      <c r="F633" s="93"/>
      <c r="G633" s="93"/>
      <c r="H633" s="93"/>
      <c r="I633" s="165">
        <v>3078.010000000002</v>
      </c>
      <c r="J633" s="425"/>
      <c r="K633" s="93"/>
      <c r="L633" s="271">
        <v>2023</v>
      </c>
      <c r="M633" s="227" t="s">
        <v>1890</v>
      </c>
      <c r="N633" s="422" t="s">
        <v>6432</v>
      </c>
      <c r="O633" s="422" t="s">
        <v>6433</v>
      </c>
      <c r="P633" s="227">
        <v>2022</v>
      </c>
      <c r="Q633" s="250" t="s">
        <v>3499</v>
      </c>
      <c r="R633" s="250" t="s">
        <v>3503</v>
      </c>
    </row>
    <row r="634" spans="1:18" ht="15.75" thickBot="1" x14ac:dyDescent="0.3">
      <c r="A634" s="93" t="s">
        <v>4592</v>
      </c>
      <c r="B634" s="424" t="s">
        <v>4592</v>
      </c>
      <c r="C634" s="424" t="str">
        <f t="shared" si="24"/>
        <v>X</v>
      </c>
      <c r="D634" s="425" t="s">
        <v>2982</v>
      </c>
      <c r="E634" s="93"/>
      <c r="F634" s="93"/>
      <c r="G634" s="93"/>
      <c r="H634" s="93"/>
      <c r="I634" s="165">
        <v>81648.160000000047</v>
      </c>
      <c r="J634" s="425"/>
      <c r="K634" s="93"/>
      <c r="L634" s="271">
        <v>2023</v>
      </c>
      <c r="M634" s="227" t="s">
        <v>1890</v>
      </c>
      <c r="N634" s="422" t="s">
        <v>6432</v>
      </c>
      <c r="O634" s="422" t="s">
        <v>6433</v>
      </c>
      <c r="P634" s="227">
        <v>2022</v>
      </c>
      <c r="Q634" s="250" t="s">
        <v>3499</v>
      </c>
      <c r="R634" s="250" t="s">
        <v>3503</v>
      </c>
    </row>
    <row r="635" spans="1:18" ht="15.75" thickBot="1" x14ac:dyDescent="0.3">
      <c r="A635" s="93" t="s">
        <v>4592</v>
      </c>
      <c r="B635" s="424" t="s">
        <v>4592</v>
      </c>
      <c r="C635" s="424" t="str">
        <f t="shared" si="24"/>
        <v>X</v>
      </c>
      <c r="D635" s="425" t="s">
        <v>2982</v>
      </c>
      <c r="E635" s="93"/>
      <c r="F635" s="93"/>
      <c r="G635" s="93"/>
      <c r="H635" s="93"/>
      <c r="I635" s="165">
        <v>14181.029999999993</v>
      </c>
      <c r="J635" s="425"/>
      <c r="K635" s="93"/>
      <c r="L635" s="271">
        <v>2023</v>
      </c>
      <c r="M635" s="227" t="s">
        <v>1890</v>
      </c>
      <c r="N635" s="422" t="s">
        <v>6432</v>
      </c>
      <c r="O635" s="422" t="s">
        <v>6433</v>
      </c>
      <c r="P635" s="227">
        <v>2022</v>
      </c>
      <c r="Q635" s="250" t="s">
        <v>3499</v>
      </c>
      <c r="R635" s="250" t="s">
        <v>3503</v>
      </c>
    </row>
    <row r="636" spans="1:18" ht="15.75" thickBot="1" x14ac:dyDescent="0.3">
      <c r="A636" s="93" t="s">
        <v>4592</v>
      </c>
      <c r="B636" s="424" t="s">
        <v>4592</v>
      </c>
      <c r="C636" s="424" t="str">
        <f t="shared" si="24"/>
        <v>X</v>
      </c>
      <c r="D636" s="425" t="s">
        <v>2982</v>
      </c>
      <c r="E636" s="93"/>
      <c r="F636" s="93"/>
      <c r="G636" s="93"/>
      <c r="H636" s="93"/>
      <c r="I636" s="165">
        <v>1194.9199999999998</v>
      </c>
      <c r="J636" s="425"/>
      <c r="K636" s="93"/>
      <c r="L636" s="271">
        <v>2023</v>
      </c>
      <c r="M636" s="227" t="s">
        <v>1890</v>
      </c>
      <c r="N636" s="422" t="s">
        <v>6432</v>
      </c>
      <c r="O636" s="422" t="s">
        <v>6433</v>
      </c>
      <c r="P636" s="227">
        <v>2022</v>
      </c>
      <c r="Q636" s="250" t="s">
        <v>3499</v>
      </c>
      <c r="R636" s="250" t="s">
        <v>3503</v>
      </c>
    </row>
    <row r="637" spans="1:18" ht="15.75" thickBot="1" x14ac:dyDescent="0.3">
      <c r="A637" s="93" t="s">
        <v>4592</v>
      </c>
      <c r="B637" s="424" t="s">
        <v>4592</v>
      </c>
      <c r="C637" s="424" t="str">
        <f t="shared" si="24"/>
        <v>X</v>
      </c>
      <c r="D637" s="425" t="s">
        <v>2982</v>
      </c>
      <c r="E637" s="93"/>
      <c r="F637" s="93"/>
      <c r="G637" s="93"/>
      <c r="H637" s="93"/>
      <c r="I637" s="165">
        <v>25735.000000000029</v>
      </c>
      <c r="J637" s="425"/>
      <c r="K637" s="93"/>
      <c r="L637" s="271">
        <v>2023</v>
      </c>
      <c r="M637" s="227" t="s">
        <v>1890</v>
      </c>
      <c r="N637" s="422" t="s">
        <v>6432</v>
      </c>
      <c r="O637" s="422" t="s">
        <v>6433</v>
      </c>
      <c r="P637" s="227">
        <v>2022</v>
      </c>
      <c r="Q637" s="250" t="s">
        <v>3499</v>
      </c>
      <c r="R637" s="250" t="s">
        <v>3503</v>
      </c>
    </row>
    <row r="638" spans="1:18" ht="15.75" thickBot="1" x14ac:dyDescent="0.3">
      <c r="A638" s="93" t="s">
        <v>4592</v>
      </c>
      <c r="B638" s="424" t="s">
        <v>4592</v>
      </c>
      <c r="C638" s="424" t="str">
        <f t="shared" si="24"/>
        <v>X</v>
      </c>
      <c r="D638" s="425" t="s">
        <v>2982</v>
      </c>
      <c r="E638" s="93"/>
      <c r="F638" s="93"/>
      <c r="G638" s="93"/>
      <c r="H638" s="93"/>
      <c r="I638" s="165">
        <v>7272.3</v>
      </c>
      <c r="J638" s="425"/>
      <c r="K638" s="93"/>
      <c r="L638" s="271">
        <v>2023</v>
      </c>
      <c r="M638" s="227" t="s">
        <v>1890</v>
      </c>
      <c r="N638" s="422" t="s">
        <v>6432</v>
      </c>
      <c r="O638" s="422" t="s">
        <v>6433</v>
      </c>
      <c r="P638" s="227">
        <v>2022</v>
      </c>
      <c r="Q638" s="250" t="s">
        <v>3499</v>
      </c>
      <c r="R638" s="250" t="s">
        <v>3503</v>
      </c>
    </row>
    <row r="639" spans="1:18" ht="15.75" thickBot="1" x14ac:dyDescent="0.3">
      <c r="A639" s="93" t="s">
        <v>4592</v>
      </c>
      <c r="B639" s="424" t="s">
        <v>4592</v>
      </c>
      <c r="C639" s="424" t="str">
        <f t="shared" si="24"/>
        <v>X</v>
      </c>
      <c r="D639" s="425" t="s">
        <v>2982</v>
      </c>
      <c r="E639" s="93"/>
      <c r="F639" s="93"/>
      <c r="G639" s="93"/>
      <c r="H639" s="93"/>
      <c r="I639" s="165">
        <v>1524.3</v>
      </c>
      <c r="J639" s="425"/>
      <c r="K639" s="93"/>
      <c r="L639" s="271">
        <v>2023</v>
      </c>
      <c r="M639" s="227" t="s">
        <v>1890</v>
      </c>
      <c r="N639" s="422" t="s">
        <v>6432</v>
      </c>
      <c r="O639" s="422" t="s">
        <v>6433</v>
      </c>
      <c r="P639" s="227">
        <v>2022</v>
      </c>
      <c r="Q639" s="250" t="s">
        <v>3499</v>
      </c>
      <c r="R639" s="250" t="s">
        <v>3503</v>
      </c>
    </row>
    <row r="640" spans="1:18" ht="15.75" thickBot="1" x14ac:dyDescent="0.3">
      <c r="A640" s="93" t="s">
        <v>4592</v>
      </c>
      <c r="B640" s="424" t="s">
        <v>4592</v>
      </c>
      <c r="C640" s="424" t="str">
        <f t="shared" si="24"/>
        <v>X</v>
      </c>
      <c r="D640" s="425" t="s">
        <v>2982</v>
      </c>
      <c r="E640" s="93"/>
      <c r="F640" s="93"/>
      <c r="G640" s="93"/>
      <c r="H640" s="93"/>
      <c r="I640" s="165">
        <v>8934.380000000001</v>
      </c>
      <c r="J640" s="425"/>
      <c r="K640" s="93"/>
      <c r="L640" s="271">
        <v>2023</v>
      </c>
      <c r="M640" s="227" t="s">
        <v>1890</v>
      </c>
      <c r="N640" s="422" t="s">
        <v>6432</v>
      </c>
      <c r="O640" s="422" t="s">
        <v>6433</v>
      </c>
      <c r="P640" s="227">
        <v>2022</v>
      </c>
      <c r="Q640" s="250" t="s">
        <v>3499</v>
      </c>
      <c r="R640" s="250" t="s">
        <v>3503</v>
      </c>
    </row>
    <row r="641" spans="1:18" ht="15.75" thickBot="1" x14ac:dyDescent="0.3">
      <c r="A641" s="93" t="s">
        <v>4592</v>
      </c>
      <c r="B641" s="424" t="s">
        <v>4592</v>
      </c>
      <c r="C641" s="424" t="str">
        <f t="shared" si="24"/>
        <v>X</v>
      </c>
      <c r="D641" s="425" t="s">
        <v>2982</v>
      </c>
      <c r="E641" s="93"/>
      <c r="F641" s="93"/>
      <c r="G641" s="93"/>
      <c r="H641" s="93"/>
      <c r="I641" s="165">
        <v>3484.26</v>
      </c>
      <c r="J641" s="425"/>
      <c r="K641" s="93"/>
      <c r="L641" s="271">
        <v>2023</v>
      </c>
      <c r="M641" s="227" t="s">
        <v>1890</v>
      </c>
      <c r="N641" s="422" t="s">
        <v>6432</v>
      </c>
      <c r="O641" s="422" t="s">
        <v>6433</v>
      </c>
      <c r="P641" s="227">
        <v>2022</v>
      </c>
      <c r="Q641" s="250" t="s">
        <v>3499</v>
      </c>
      <c r="R641" s="250" t="s">
        <v>3503</v>
      </c>
    </row>
    <row r="642" spans="1:18" ht="15.75" thickBot="1" x14ac:dyDescent="0.3">
      <c r="A642" s="93" t="s">
        <v>4592</v>
      </c>
      <c r="B642" s="424" t="s">
        <v>4592</v>
      </c>
      <c r="C642" s="424" t="str">
        <f t="shared" si="24"/>
        <v>X</v>
      </c>
      <c r="D642" s="425" t="s">
        <v>2982</v>
      </c>
      <c r="E642" s="93"/>
      <c r="F642" s="93"/>
      <c r="G642" s="93"/>
      <c r="H642" s="93"/>
      <c r="I642" s="165">
        <v>27500.18</v>
      </c>
      <c r="J642" s="425"/>
      <c r="K642" s="93"/>
      <c r="L642" s="271">
        <v>2023</v>
      </c>
      <c r="M642" s="227" t="s">
        <v>1890</v>
      </c>
      <c r="N642" s="422" t="s">
        <v>6432</v>
      </c>
      <c r="O642" s="422" t="s">
        <v>6433</v>
      </c>
      <c r="P642" s="227">
        <v>2022</v>
      </c>
      <c r="Q642" s="250" t="s">
        <v>3499</v>
      </c>
      <c r="R642" s="250" t="s">
        <v>3503</v>
      </c>
    </row>
    <row r="643" spans="1:18" ht="15.75" thickBot="1" x14ac:dyDescent="0.3">
      <c r="A643" s="93" t="s">
        <v>4592</v>
      </c>
      <c r="B643" s="424" t="s">
        <v>4592</v>
      </c>
      <c r="C643" s="424" t="str">
        <f t="shared" ref="C643:C706" si="25">IF(A643=B643,"X",RIGHT(A643,LEN(A643)-LEN(B643)-3))</f>
        <v>X</v>
      </c>
      <c r="D643" s="425" t="s">
        <v>1659</v>
      </c>
      <c r="E643" s="93"/>
      <c r="F643" s="93"/>
      <c r="G643" s="93"/>
      <c r="H643" s="93"/>
      <c r="I643" s="165">
        <v>15855.94</v>
      </c>
      <c r="J643" s="425"/>
      <c r="K643" s="93"/>
      <c r="L643" s="271">
        <v>2023</v>
      </c>
      <c r="M643" s="227" t="s">
        <v>1890</v>
      </c>
      <c r="N643" s="422" t="s">
        <v>6443</v>
      </c>
      <c r="O643" s="422" t="s">
        <v>6444</v>
      </c>
      <c r="P643" s="227">
        <v>2022</v>
      </c>
      <c r="Q643" s="250" t="s">
        <v>3499</v>
      </c>
      <c r="R643" s="250" t="s">
        <v>3503</v>
      </c>
    </row>
    <row r="644" spans="1:18" ht="15.75" thickBot="1" x14ac:dyDescent="0.3">
      <c r="A644" s="93" t="s">
        <v>4592</v>
      </c>
      <c r="B644" s="424" t="s">
        <v>4592</v>
      </c>
      <c r="C644" s="424" t="str">
        <f t="shared" si="25"/>
        <v>X</v>
      </c>
      <c r="D644" s="425" t="s">
        <v>1659</v>
      </c>
      <c r="E644" s="93"/>
      <c r="F644" s="93"/>
      <c r="G644" s="93"/>
      <c r="H644" s="93"/>
      <c r="I644" s="165">
        <v>20.85</v>
      </c>
      <c r="J644" s="425"/>
      <c r="K644" s="93"/>
      <c r="L644" s="271">
        <v>2023</v>
      </c>
      <c r="M644" s="227" t="s">
        <v>1890</v>
      </c>
      <c r="N644" s="422" t="s">
        <v>6443</v>
      </c>
      <c r="O644" s="422" t="s">
        <v>6444</v>
      </c>
      <c r="P644" s="227">
        <v>2022</v>
      </c>
      <c r="Q644" s="250" t="s">
        <v>3499</v>
      </c>
      <c r="R644" s="250" t="s">
        <v>3503</v>
      </c>
    </row>
    <row r="645" spans="1:18" ht="15.75" thickBot="1" x14ac:dyDescent="0.3">
      <c r="A645" s="93" t="s">
        <v>4592</v>
      </c>
      <c r="B645" s="424" t="s">
        <v>4592</v>
      </c>
      <c r="C645" s="424" t="str">
        <f t="shared" si="25"/>
        <v>X</v>
      </c>
      <c r="D645" s="425" t="s">
        <v>6362</v>
      </c>
      <c r="E645" s="93"/>
      <c r="F645" s="93"/>
      <c r="G645" s="93"/>
      <c r="H645" s="93"/>
      <c r="I645" s="165">
        <v>1216</v>
      </c>
      <c r="J645" s="425"/>
      <c r="K645" s="93"/>
      <c r="L645" s="271">
        <v>2023</v>
      </c>
      <c r="M645" s="227" t="s">
        <v>1890</v>
      </c>
      <c r="N645" s="422" t="s">
        <v>6443</v>
      </c>
      <c r="O645" s="422" t="s">
        <v>6444</v>
      </c>
      <c r="P645" s="227">
        <v>2022</v>
      </c>
      <c r="Q645" s="250" t="s">
        <v>3499</v>
      </c>
      <c r="R645" s="250" t="s">
        <v>3503</v>
      </c>
    </row>
    <row r="646" spans="1:18" ht="15.75" thickBot="1" x14ac:dyDescent="0.3">
      <c r="A646" s="93" t="s">
        <v>4592</v>
      </c>
      <c r="B646" s="424" t="s">
        <v>4592</v>
      </c>
      <c r="C646" s="424" t="str">
        <f t="shared" si="25"/>
        <v>X</v>
      </c>
      <c r="D646" s="425" t="s">
        <v>6362</v>
      </c>
      <c r="E646" s="93"/>
      <c r="F646" s="93"/>
      <c r="G646" s="93"/>
      <c r="H646" s="93"/>
      <c r="I646" s="165">
        <v>4051.7800000000007</v>
      </c>
      <c r="J646" s="425"/>
      <c r="K646" s="93"/>
      <c r="L646" s="271">
        <v>2023</v>
      </c>
      <c r="M646" s="227" t="s">
        <v>1890</v>
      </c>
      <c r="N646" s="422" t="s">
        <v>6443</v>
      </c>
      <c r="O646" s="422" t="s">
        <v>6444</v>
      </c>
      <c r="P646" s="227">
        <v>2022</v>
      </c>
      <c r="Q646" s="250" t="s">
        <v>3499</v>
      </c>
      <c r="R646" s="250" t="s">
        <v>3503</v>
      </c>
    </row>
    <row r="647" spans="1:18" ht="15.75" thickBot="1" x14ac:dyDescent="0.3">
      <c r="A647" s="93" t="s">
        <v>4580</v>
      </c>
      <c r="B647" s="527" t="s">
        <v>4580</v>
      </c>
      <c r="C647" s="424" t="str">
        <f t="shared" si="25"/>
        <v>X</v>
      </c>
      <c r="D647" s="425" t="s">
        <v>1675</v>
      </c>
      <c r="E647" s="458"/>
      <c r="F647" s="570"/>
      <c r="G647" s="93"/>
      <c r="H647" s="93"/>
      <c r="I647" s="165">
        <v>5185.37</v>
      </c>
      <c r="J647" s="425"/>
      <c r="K647" s="458" t="s">
        <v>6387</v>
      </c>
      <c r="L647" s="271">
        <v>2023</v>
      </c>
      <c r="M647" s="227" t="s">
        <v>1890</v>
      </c>
      <c r="N647" s="422" t="s">
        <v>6445</v>
      </c>
      <c r="O647" s="422" t="s">
        <v>6446</v>
      </c>
      <c r="P647" s="227">
        <v>2022</v>
      </c>
      <c r="Q647" s="250" t="s">
        <v>3499</v>
      </c>
      <c r="R647" s="250" t="s">
        <v>3503</v>
      </c>
    </row>
    <row r="648" spans="1:18" ht="15.75" thickBot="1" x14ac:dyDescent="0.3">
      <c r="A648" s="93" t="s">
        <v>4580</v>
      </c>
      <c r="B648" s="527" t="s">
        <v>4580</v>
      </c>
      <c r="C648" s="424" t="str">
        <f t="shared" si="25"/>
        <v>X</v>
      </c>
      <c r="D648" s="425" t="s">
        <v>1653</v>
      </c>
      <c r="E648" s="458">
        <v>66</v>
      </c>
      <c r="F648" s="570" t="s">
        <v>586</v>
      </c>
      <c r="G648" s="93"/>
      <c r="H648" s="93"/>
      <c r="I648" s="165">
        <v>11558.6</v>
      </c>
      <c r="J648" s="425"/>
      <c r="K648" s="458" t="s">
        <v>6384</v>
      </c>
      <c r="L648" s="271">
        <v>2023</v>
      </c>
      <c r="M648" s="227" t="s">
        <v>1890</v>
      </c>
      <c r="N648" s="422" t="s">
        <v>6434</v>
      </c>
      <c r="O648" s="422" t="s">
        <v>6435</v>
      </c>
      <c r="P648" s="227">
        <v>2022</v>
      </c>
      <c r="Q648" s="250" t="s">
        <v>3499</v>
      </c>
      <c r="R648" s="250" t="s">
        <v>3503</v>
      </c>
    </row>
    <row r="649" spans="1:18" ht="15.75" thickBot="1" x14ac:dyDescent="0.3">
      <c r="A649" s="93" t="s">
        <v>4580</v>
      </c>
      <c r="B649" s="527" t="s">
        <v>4580</v>
      </c>
      <c r="C649" s="424" t="str">
        <f t="shared" si="25"/>
        <v>X</v>
      </c>
      <c r="D649" s="425" t="s">
        <v>1654</v>
      </c>
      <c r="E649" s="458"/>
      <c r="F649" s="570"/>
      <c r="G649" s="93"/>
      <c r="H649" s="93"/>
      <c r="I649" s="165">
        <v>1034.1199999999999</v>
      </c>
      <c r="J649" s="425"/>
      <c r="K649" s="458" t="s">
        <v>1687</v>
      </c>
      <c r="L649" s="271">
        <v>2023</v>
      </c>
      <c r="M649" s="227" t="s">
        <v>1890</v>
      </c>
      <c r="N649" s="422" t="s">
        <v>6443</v>
      </c>
      <c r="O649" s="422" t="s">
        <v>6444</v>
      </c>
      <c r="P649" s="227">
        <v>2022</v>
      </c>
      <c r="Q649" s="250" t="s">
        <v>3499</v>
      </c>
      <c r="R649" s="250" t="s">
        <v>3503</v>
      </c>
    </row>
    <row r="650" spans="1:18" ht="15.75" thickBot="1" x14ac:dyDescent="0.3">
      <c r="A650" s="93" t="s">
        <v>4580</v>
      </c>
      <c r="B650" s="527" t="s">
        <v>4580</v>
      </c>
      <c r="C650" s="424" t="str">
        <f t="shared" si="25"/>
        <v>X</v>
      </c>
      <c r="D650" s="425" t="s">
        <v>1656</v>
      </c>
      <c r="E650" s="422"/>
      <c r="F650" s="422"/>
      <c r="G650" s="422"/>
      <c r="H650" s="422"/>
      <c r="I650" s="165">
        <v>0</v>
      </c>
      <c r="J650" s="425"/>
      <c r="K650" s="458"/>
      <c r="L650" s="271">
        <v>2023</v>
      </c>
      <c r="M650" s="227" t="s">
        <v>1890</v>
      </c>
      <c r="N650" s="422" t="s">
        <v>6443</v>
      </c>
      <c r="O650" s="422" t="s">
        <v>6444</v>
      </c>
      <c r="P650" s="227">
        <v>2022</v>
      </c>
      <c r="Q650" s="250" t="s">
        <v>3499</v>
      </c>
      <c r="R650" s="250" t="s">
        <v>3503</v>
      </c>
    </row>
    <row r="651" spans="1:18" ht="15.75" thickBot="1" x14ac:dyDescent="0.3">
      <c r="A651" s="93" t="s">
        <v>4580</v>
      </c>
      <c r="B651" s="527" t="s">
        <v>4580</v>
      </c>
      <c r="C651" s="424" t="str">
        <f t="shared" si="25"/>
        <v>X</v>
      </c>
      <c r="D651" s="425" t="s">
        <v>1658</v>
      </c>
      <c r="E651" s="422"/>
      <c r="F651" s="422"/>
      <c r="G651" s="422"/>
      <c r="H651" s="422"/>
      <c r="I651" s="165">
        <v>0</v>
      </c>
      <c r="J651" s="425"/>
      <c r="K651" s="458"/>
      <c r="L651" s="271">
        <v>2023</v>
      </c>
      <c r="M651" s="227" t="s">
        <v>1890</v>
      </c>
      <c r="N651" s="422" t="s">
        <v>6436</v>
      </c>
      <c r="O651" s="422" t="s">
        <v>6437</v>
      </c>
      <c r="P651" s="227">
        <v>2022</v>
      </c>
      <c r="Q651" s="250" t="s">
        <v>3499</v>
      </c>
      <c r="R651" s="250" t="s">
        <v>3503</v>
      </c>
    </row>
    <row r="652" spans="1:18" ht="15.75" thickBot="1" x14ac:dyDescent="0.3">
      <c r="A652" s="93" t="s">
        <v>4580</v>
      </c>
      <c r="B652" s="527" t="s">
        <v>4580</v>
      </c>
      <c r="C652" s="424" t="str">
        <f t="shared" si="25"/>
        <v>X</v>
      </c>
      <c r="D652" s="425" t="s">
        <v>1659</v>
      </c>
      <c r="E652" s="422"/>
      <c r="F652" s="422"/>
      <c r="G652" s="422"/>
      <c r="H652" s="422"/>
      <c r="I652" s="165">
        <v>22152.13</v>
      </c>
      <c r="J652" s="425"/>
      <c r="K652" s="458" t="s">
        <v>6388</v>
      </c>
      <c r="L652" s="271">
        <v>2023</v>
      </c>
      <c r="M652" s="227" t="s">
        <v>1890</v>
      </c>
      <c r="N652" s="422" t="s">
        <v>6443</v>
      </c>
      <c r="O652" s="422" t="s">
        <v>6444</v>
      </c>
      <c r="P652" s="227">
        <v>2022</v>
      </c>
      <c r="Q652" s="250" t="s">
        <v>3499</v>
      </c>
      <c r="R652" s="250" t="s">
        <v>3503</v>
      </c>
    </row>
    <row r="653" spans="1:18" ht="15.75" thickBot="1" x14ac:dyDescent="0.3">
      <c r="A653" s="576" t="s">
        <v>4580</v>
      </c>
      <c r="B653" s="566" t="s">
        <v>4580</v>
      </c>
      <c r="C653" s="414" t="str">
        <f t="shared" si="25"/>
        <v>X</v>
      </c>
      <c r="D653" s="262" t="s">
        <v>1660</v>
      </c>
      <c r="E653" s="568">
        <v>111</v>
      </c>
      <c r="F653" s="572" t="s">
        <v>586</v>
      </c>
      <c r="G653" s="451"/>
      <c r="H653" s="451"/>
      <c r="I653" s="551">
        <v>19184.669999999998</v>
      </c>
      <c r="J653" s="262"/>
      <c r="K653" s="568" t="s">
        <v>1664</v>
      </c>
      <c r="L653" s="552">
        <v>2023</v>
      </c>
      <c r="M653" s="553" t="s">
        <v>1890</v>
      </c>
      <c r="N653" s="451" t="s">
        <v>1681</v>
      </c>
      <c r="O653" s="451" t="s">
        <v>6431</v>
      </c>
      <c r="P653" s="227">
        <v>2022</v>
      </c>
      <c r="Q653" s="554" t="s">
        <v>3499</v>
      </c>
      <c r="R653" s="554" t="s">
        <v>3503</v>
      </c>
    </row>
    <row r="654" spans="1:18" ht="15.75" thickBot="1" x14ac:dyDescent="0.3">
      <c r="A654" s="93" t="s">
        <v>4580</v>
      </c>
      <c r="B654" s="527" t="s">
        <v>4580</v>
      </c>
      <c r="C654" s="424" t="str">
        <f t="shared" si="25"/>
        <v>X</v>
      </c>
      <c r="D654" s="425" t="s">
        <v>1672</v>
      </c>
      <c r="E654" s="422"/>
      <c r="F654" s="422"/>
      <c r="G654" s="422"/>
      <c r="H654" s="422"/>
      <c r="I654" s="165">
        <v>62752.04</v>
      </c>
      <c r="J654" s="425"/>
      <c r="K654" s="458" t="s">
        <v>6386</v>
      </c>
      <c r="L654" s="271">
        <v>2023</v>
      </c>
      <c r="M654" s="227" t="s">
        <v>1890</v>
      </c>
      <c r="N654" s="422" t="s">
        <v>6432</v>
      </c>
      <c r="O654" s="422" t="s">
        <v>6433</v>
      </c>
      <c r="P654" s="227">
        <v>2022</v>
      </c>
      <c r="Q654" s="250" t="s">
        <v>3499</v>
      </c>
      <c r="R654" s="250" t="s">
        <v>3503</v>
      </c>
    </row>
    <row r="655" spans="1:18" ht="15.75" thickBot="1" x14ac:dyDescent="0.3">
      <c r="A655" s="93" t="s">
        <v>4580</v>
      </c>
      <c r="B655" s="527" t="s">
        <v>4580</v>
      </c>
      <c r="C655" s="424" t="str">
        <f t="shared" si="25"/>
        <v>X</v>
      </c>
      <c r="D655" s="425" t="s">
        <v>1657</v>
      </c>
      <c r="E655" s="93"/>
      <c r="F655" s="93"/>
      <c r="G655" s="422"/>
      <c r="H655" s="422"/>
      <c r="I655" s="165">
        <v>17833.09</v>
      </c>
      <c r="J655" s="425"/>
      <c r="K655" s="458" t="s">
        <v>6385</v>
      </c>
      <c r="L655" s="271">
        <v>2023</v>
      </c>
      <c r="M655" s="227" t="s">
        <v>1890</v>
      </c>
      <c r="N655" s="422" t="s">
        <v>3820</v>
      </c>
      <c r="O655" s="422" t="s">
        <v>6438</v>
      </c>
      <c r="P655" s="227">
        <v>2022</v>
      </c>
      <c r="Q655" s="250" t="s">
        <v>3499</v>
      </c>
      <c r="R655" s="250" t="s">
        <v>3503</v>
      </c>
    </row>
    <row r="656" spans="1:18" ht="15.75" thickBot="1" x14ac:dyDescent="0.3">
      <c r="A656" s="93" t="s">
        <v>4580</v>
      </c>
      <c r="B656" s="527" t="s">
        <v>4580</v>
      </c>
      <c r="C656" s="424" t="str">
        <f t="shared" si="25"/>
        <v>X</v>
      </c>
      <c r="D656" s="425" t="s">
        <v>1661</v>
      </c>
      <c r="E656" s="93"/>
      <c r="F656" s="93"/>
      <c r="G656" s="422"/>
      <c r="H656" s="422"/>
      <c r="I656" s="165">
        <v>164317.34</v>
      </c>
      <c r="J656" s="425"/>
      <c r="K656" s="458" t="s">
        <v>6383</v>
      </c>
      <c r="L656" s="271">
        <v>2023</v>
      </c>
      <c r="M656" s="227" t="s">
        <v>1890</v>
      </c>
      <c r="N656" s="422" t="s">
        <v>6441</v>
      </c>
      <c r="O656" s="422" t="s">
        <v>6442</v>
      </c>
      <c r="P656" s="227">
        <v>2022</v>
      </c>
      <c r="Q656" s="250" t="s">
        <v>3499</v>
      </c>
      <c r="R656" s="250" t="s">
        <v>3503</v>
      </c>
    </row>
    <row r="657" spans="1:18" ht="15.75" thickBot="1" x14ac:dyDescent="0.3">
      <c r="A657" s="576" t="s">
        <v>4580</v>
      </c>
      <c r="B657" s="566" t="s">
        <v>4580</v>
      </c>
      <c r="C657" s="414" t="str">
        <f t="shared" si="25"/>
        <v>X</v>
      </c>
      <c r="D657" s="262" t="s">
        <v>1670</v>
      </c>
      <c r="E657" s="568"/>
      <c r="F657" s="572"/>
      <c r="G657" s="451"/>
      <c r="H657" s="451"/>
      <c r="I657" s="551">
        <v>0</v>
      </c>
      <c r="J657" s="262"/>
      <c r="K657" s="568"/>
      <c r="L657" s="552">
        <v>2023</v>
      </c>
      <c r="M657" s="553" t="s">
        <v>1890</v>
      </c>
      <c r="N657" s="451" t="s">
        <v>6443</v>
      </c>
      <c r="O657" s="451" t="s">
        <v>6444</v>
      </c>
      <c r="P657" s="227">
        <v>2022</v>
      </c>
      <c r="Q657" s="554" t="s">
        <v>3499</v>
      </c>
      <c r="R657" s="554" t="s">
        <v>3503</v>
      </c>
    </row>
    <row r="658" spans="1:18" ht="15.75" thickBot="1" x14ac:dyDescent="0.3">
      <c r="A658" s="93" t="s">
        <v>4580</v>
      </c>
      <c r="B658" s="527" t="s">
        <v>4580</v>
      </c>
      <c r="C658" s="424" t="str">
        <f t="shared" si="25"/>
        <v>X</v>
      </c>
      <c r="D658" s="425" t="s">
        <v>1655</v>
      </c>
      <c r="E658" s="458"/>
      <c r="F658" s="570"/>
      <c r="G658" s="422"/>
      <c r="H658" s="422"/>
      <c r="I658" s="165">
        <v>12911.55</v>
      </c>
      <c r="J658" s="425"/>
      <c r="K658" s="458" t="s">
        <v>1715</v>
      </c>
      <c r="L658" s="271">
        <v>2023</v>
      </c>
      <c r="M658" s="227" t="s">
        <v>1890</v>
      </c>
      <c r="N658" s="422" t="s">
        <v>6439</v>
      </c>
      <c r="O658" s="422" t="s">
        <v>6440</v>
      </c>
      <c r="P658" s="227">
        <v>2022</v>
      </c>
      <c r="Q658" s="250" t="s">
        <v>3499</v>
      </c>
      <c r="R658" s="250" t="s">
        <v>3503</v>
      </c>
    </row>
    <row r="659" spans="1:18" ht="15.75" thickBot="1" x14ac:dyDescent="0.3">
      <c r="A659" s="93" t="s">
        <v>4595</v>
      </c>
      <c r="B659" s="424" t="s">
        <v>4595</v>
      </c>
      <c r="C659" s="424" t="str">
        <f t="shared" si="25"/>
        <v>X</v>
      </c>
      <c r="D659" s="425" t="s">
        <v>1653</v>
      </c>
      <c r="E659" s="93"/>
      <c r="F659" s="93"/>
      <c r="G659" s="93"/>
      <c r="H659" s="93"/>
      <c r="I659" s="165">
        <v>10125.850000000002</v>
      </c>
      <c r="J659" s="425"/>
      <c r="K659" s="93"/>
      <c r="L659" s="271">
        <v>2023</v>
      </c>
      <c r="M659" s="227" t="s">
        <v>1890</v>
      </c>
      <c r="N659" s="422" t="s">
        <v>6434</v>
      </c>
      <c r="O659" s="422" t="s">
        <v>6435</v>
      </c>
      <c r="P659" s="227">
        <v>2022</v>
      </c>
      <c r="Q659" s="250" t="s">
        <v>3499</v>
      </c>
      <c r="R659" s="250" t="s">
        <v>3503</v>
      </c>
    </row>
    <row r="660" spans="1:18" ht="15.75" thickBot="1" x14ac:dyDescent="0.3">
      <c r="A660" s="93" t="s">
        <v>4595</v>
      </c>
      <c r="B660" s="424" t="s">
        <v>4595</v>
      </c>
      <c r="C660" s="424" t="str">
        <f t="shared" si="25"/>
        <v>X</v>
      </c>
      <c r="D660" s="425" t="s">
        <v>2982</v>
      </c>
      <c r="E660" s="93"/>
      <c r="F660" s="93"/>
      <c r="G660" s="93"/>
      <c r="H660" s="93"/>
      <c r="I660" s="165">
        <v>4908.7299999999996</v>
      </c>
      <c r="J660" s="425"/>
      <c r="K660" s="93"/>
      <c r="L660" s="271">
        <v>2023</v>
      </c>
      <c r="M660" s="227" t="s">
        <v>1890</v>
      </c>
      <c r="N660" s="422" t="s">
        <v>6432</v>
      </c>
      <c r="O660" s="422" t="s">
        <v>6433</v>
      </c>
      <c r="P660" s="227">
        <v>2022</v>
      </c>
      <c r="Q660" s="250" t="s">
        <v>3499</v>
      </c>
      <c r="R660" s="250" t="s">
        <v>3503</v>
      </c>
    </row>
    <row r="661" spans="1:18" ht="15.75" thickBot="1" x14ac:dyDescent="0.3">
      <c r="A661" s="93" t="s">
        <v>4595</v>
      </c>
      <c r="B661" s="424" t="s">
        <v>4595</v>
      </c>
      <c r="C661" s="424" t="str">
        <f t="shared" si="25"/>
        <v>X</v>
      </c>
      <c r="D661" s="425" t="s">
        <v>2982</v>
      </c>
      <c r="E661" s="93"/>
      <c r="F661" s="93"/>
      <c r="G661" s="93"/>
      <c r="H661" s="93"/>
      <c r="I661" s="165">
        <v>456</v>
      </c>
      <c r="J661" s="425"/>
      <c r="K661" s="93"/>
      <c r="L661" s="271">
        <v>2023</v>
      </c>
      <c r="M661" s="227" t="s">
        <v>1890</v>
      </c>
      <c r="N661" s="422" t="s">
        <v>6432</v>
      </c>
      <c r="O661" s="422" t="s">
        <v>6433</v>
      </c>
      <c r="P661" s="227">
        <v>2022</v>
      </c>
      <c r="Q661" s="250" t="s">
        <v>3499</v>
      </c>
      <c r="R661" s="250" t="s">
        <v>3503</v>
      </c>
    </row>
    <row r="662" spans="1:18" ht="15.75" thickBot="1" x14ac:dyDescent="0.3">
      <c r="A662" s="93" t="s">
        <v>4595</v>
      </c>
      <c r="B662" s="424" t="s">
        <v>4595</v>
      </c>
      <c r="C662" s="424" t="str">
        <f t="shared" si="25"/>
        <v>X</v>
      </c>
      <c r="D662" s="425" t="s">
        <v>2982</v>
      </c>
      <c r="E662" s="93"/>
      <c r="F662" s="93"/>
      <c r="G662" s="93"/>
      <c r="H662" s="93"/>
      <c r="I662" s="165">
        <v>390.19</v>
      </c>
      <c r="J662" s="425"/>
      <c r="K662" s="93"/>
      <c r="L662" s="271">
        <v>2023</v>
      </c>
      <c r="M662" s="227" t="s">
        <v>1890</v>
      </c>
      <c r="N662" s="422" t="s">
        <v>6432</v>
      </c>
      <c r="O662" s="422" t="s">
        <v>6433</v>
      </c>
      <c r="P662" s="227">
        <v>2022</v>
      </c>
      <c r="Q662" s="250" t="s">
        <v>3499</v>
      </c>
      <c r="R662" s="250" t="s">
        <v>3503</v>
      </c>
    </row>
    <row r="663" spans="1:18" ht="15.75" thickBot="1" x14ac:dyDescent="0.3">
      <c r="A663" s="93" t="s">
        <v>4595</v>
      </c>
      <c r="B663" s="424" t="s">
        <v>4595</v>
      </c>
      <c r="C663" s="424" t="str">
        <f t="shared" si="25"/>
        <v>X</v>
      </c>
      <c r="D663" s="425" t="s">
        <v>2982</v>
      </c>
      <c r="E663" s="93"/>
      <c r="F663" s="93"/>
      <c r="G663" s="93"/>
      <c r="H663" s="93"/>
      <c r="I663" s="165">
        <v>60.290000000000006</v>
      </c>
      <c r="J663" s="425"/>
      <c r="K663" s="93"/>
      <c r="L663" s="271">
        <v>2023</v>
      </c>
      <c r="M663" s="227" t="s">
        <v>1890</v>
      </c>
      <c r="N663" s="422" t="s">
        <v>6432</v>
      </c>
      <c r="O663" s="422" t="s">
        <v>6433</v>
      </c>
      <c r="P663" s="227">
        <v>2022</v>
      </c>
      <c r="Q663" s="250" t="s">
        <v>3499</v>
      </c>
      <c r="R663" s="250" t="s">
        <v>3503</v>
      </c>
    </row>
    <row r="664" spans="1:18" ht="15.75" thickBot="1" x14ac:dyDescent="0.3">
      <c r="A664" s="93" t="s">
        <v>4595</v>
      </c>
      <c r="B664" s="424" t="s">
        <v>4595</v>
      </c>
      <c r="C664" s="424" t="str">
        <f t="shared" si="25"/>
        <v>X</v>
      </c>
      <c r="D664" s="425" t="s">
        <v>2982</v>
      </c>
      <c r="E664" s="93"/>
      <c r="F664" s="93"/>
      <c r="G664" s="93"/>
      <c r="H664" s="93"/>
      <c r="I664" s="165">
        <v>7051.5300000000007</v>
      </c>
      <c r="J664" s="425"/>
      <c r="K664" s="93"/>
      <c r="L664" s="271">
        <v>2023</v>
      </c>
      <c r="M664" s="227" t="s">
        <v>1890</v>
      </c>
      <c r="N664" s="422" t="s">
        <v>6432</v>
      </c>
      <c r="O664" s="422" t="s">
        <v>6433</v>
      </c>
      <c r="P664" s="227">
        <v>2022</v>
      </c>
      <c r="Q664" s="250" t="s">
        <v>3499</v>
      </c>
      <c r="R664" s="250" t="s">
        <v>3503</v>
      </c>
    </row>
    <row r="665" spans="1:18" ht="15.75" thickBot="1" x14ac:dyDescent="0.3">
      <c r="A665" s="93" t="s">
        <v>4595</v>
      </c>
      <c r="B665" s="424" t="s">
        <v>4595</v>
      </c>
      <c r="C665" s="424" t="str">
        <f t="shared" si="25"/>
        <v>X</v>
      </c>
      <c r="D665" s="425" t="s">
        <v>2982</v>
      </c>
      <c r="E665" s="93"/>
      <c r="F665" s="93"/>
      <c r="G665" s="93"/>
      <c r="H665" s="93"/>
      <c r="I665" s="165">
        <v>587.78000000000009</v>
      </c>
      <c r="J665" s="425"/>
      <c r="K665" s="93"/>
      <c r="L665" s="271">
        <v>2023</v>
      </c>
      <c r="M665" s="227" t="s">
        <v>1890</v>
      </c>
      <c r="N665" s="422" t="s">
        <v>6432</v>
      </c>
      <c r="O665" s="422" t="s">
        <v>6433</v>
      </c>
      <c r="P665" s="227">
        <v>2022</v>
      </c>
      <c r="Q665" s="250" t="s">
        <v>3499</v>
      </c>
      <c r="R665" s="250" t="s">
        <v>3503</v>
      </c>
    </row>
    <row r="666" spans="1:18" ht="15.75" thickBot="1" x14ac:dyDescent="0.3">
      <c r="A666" s="93" t="s">
        <v>4595</v>
      </c>
      <c r="B666" s="424" t="s">
        <v>4595</v>
      </c>
      <c r="C666" s="424" t="str">
        <f t="shared" si="25"/>
        <v>X</v>
      </c>
      <c r="D666" s="425" t="s">
        <v>2982</v>
      </c>
      <c r="E666" s="93"/>
      <c r="F666" s="93"/>
      <c r="G666" s="93"/>
      <c r="H666" s="93"/>
      <c r="I666" s="165">
        <v>1928.9199999999998</v>
      </c>
      <c r="J666" s="425"/>
      <c r="K666" s="93"/>
      <c r="L666" s="271">
        <v>2023</v>
      </c>
      <c r="M666" s="227" t="s">
        <v>1890</v>
      </c>
      <c r="N666" s="422" t="s">
        <v>6432</v>
      </c>
      <c r="O666" s="422" t="s">
        <v>6433</v>
      </c>
      <c r="P666" s="227">
        <v>2022</v>
      </c>
      <c r="Q666" s="250" t="s">
        <v>3499</v>
      </c>
      <c r="R666" s="250" t="s">
        <v>3503</v>
      </c>
    </row>
    <row r="667" spans="1:18" ht="15.75" thickBot="1" x14ac:dyDescent="0.3">
      <c r="A667" s="93" t="s">
        <v>4595</v>
      </c>
      <c r="B667" s="424" t="s">
        <v>4595</v>
      </c>
      <c r="C667" s="424" t="str">
        <f t="shared" si="25"/>
        <v>X</v>
      </c>
      <c r="D667" s="425" t="s">
        <v>2982</v>
      </c>
      <c r="E667" s="93"/>
      <c r="F667" s="93"/>
      <c r="G667" s="93"/>
      <c r="H667" s="93"/>
      <c r="I667" s="165">
        <v>77</v>
      </c>
      <c r="J667" s="425"/>
      <c r="K667" s="93"/>
      <c r="L667" s="271">
        <v>2023</v>
      </c>
      <c r="M667" s="227" t="s">
        <v>1890</v>
      </c>
      <c r="N667" s="422" t="s">
        <v>6432</v>
      </c>
      <c r="O667" s="422" t="s">
        <v>6433</v>
      </c>
      <c r="P667" s="227">
        <v>2022</v>
      </c>
      <c r="Q667" s="250" t="s">
        <v>3499</v>
      </c>
      <c r="R667" s="250" t="s">
        <v>3503</v>
      </c>
    </row>
    <row r="668" spans="1:18" ht="15.75" thickBot="1" x14ac:dyDescent="0.3">
      <c r="A668" s="93" t="s">
        <v>4595</v>
      </c>
      <c r="B668" s="424" t="s">
        <v>4595</v>
      </c>
      <c r="C668" s="424" t="str">
        <f t="shared" si="25"/>
        <v>X</v>
      </c>
      <c r="D668" s="425" t="s">
        <v>2982</v>
      </c>
      <c r="E668" s="93"/>
      <c r="F668" s="93"/>
      <c r="G668" s="93"/>
      <c r="H668" s="93"/>
      <c r="I668" s="165">
        <v>510.17</v>
      </c>
      <c r="J668" s="425"/>
      <c r="K668" s="93"/>
      <c r="L668" s="271">
        <v>2023</v>
      </c>
      <c r="M668" s="227" t="s">
        <v>1890</v>
      </c>
      <c r="N668" s="422" t="s">
        <v>6432</v>
      </c>
      <c r="O668" s="422" t="s">
        <v>6433</v>
      </c>
      <c r="P668" s="227">
        <v>2022</v>
      </c>
      <c r="Q668" s="250" t="s">
        <v>3499</v>
      </c>
      <c r="R668" s="250" t="s">
        <v>3503</v>
      </c>
    </row>
    <row r="669" spans="1:18" ht="15.75" thickBot="1" x14ac:dyDescent="0.3">
      <c r="A669" s="93" t="s">
        <v>4595</v>
      </c>
      <c r="B669" s="424" t="s">
        <v>4595</v>
      </c>
      <c r="C669" s="424" t="str">
        <f t="shared" si="25"/>
        <v>X</v>
      </c>
      <c r="D669" s="425" t="s">
        <v>2982</v>
      </c>
      <c r="E669" s="93"/>
      <c r="F669" s="93"/>
      <c r="G669" s="93"/>
      <c r="H669" s="93"/>
      <c r="I669" s="165">
        <v>1279.5</v>
      </c>
      <c r="J669" s="425"/>
      <c r="K669" s="93"/>
      <c r="L669" s="271">
        <v>2023</v>
      </c>
      <c r="M669" s="227" t="s">
        <v>1890</v>
      </c>
      <c r="N669" s="422" t="s">
        <v>6432</v>
      </c>
      <c r="O669" s="422" t="s">
        <v>6433</v>
      </c>
      <c r="P669" s="227">
        <v>2022</v>
      </c>
      <c r="Q669" s="250" t="s">
        <v>3499</v>
      </c>
      <c r="R669" s="250" t="s">
        <v>3503</v>
      </c>
    </row>
    <row r="670" spans="1:18" ht="15.75" thickBot="1" x14ac:dyDescent="0.3">
      <c r="A670" s="93" t="s">
        <v>4595</v>
      </c>
      <c r="B670" s="424" t="s">
        <v>4595</v>
      </c>
      <c r="C670" s="424" t="str">
        <f t="shared" si="25"/>
        <v>X</v>
      </c>
      <c r="D670" s="425" t="s">
        <v>2982</v>
      </c>
      <c r="E670" s="93"/>
      <c r="F670" s="93"/>
      <c r="G670" s="93"/>
      <c r="H670" s="93"/>
      <c r="I670" s="165">
        <v>111</v>
      </c>
      <c r="J670" s="425"/>
      <c r="K670" s="93"/>
      <c r="L670" s="271">
        <v>2023</v>
      </c>
      <c r="M670" s="227" t="s">
        <v>1890</v>
      </c>
      <c r="N670" s="422" t="s">
        <v>6432</v>
      </c>
      <c r="O670" s="422" t="s">
        <v>6433</v>
      </c>
      <c r="P670" s="227">
        <v>2022</v>
      </c>
      <c r="Q670" s="250" t="s">
        <v>3499</v>
      </c>
      <c r="R670" s="250" t="s">
        <v>3503</v>
      </c>
    </row>
    <row r="671" spans="1:18" ht="15.75" thickBot="1" x14ac:dyDescent="0.3">
      <c r="A671" s="93" t="s">
        <v>4595</v>
      </c>
      <c r="B671" s="424" t="s">
        <v>4595</v>
      </c>
      <c r="C671" s="424" t="str">
        <f t="shared" si="25"/>
        <v>X</v>
      </c>
      <c r="D671" s="425" t="s">
        <v>2982</v>
      </c>
      <c r="E671" s="93"/>
      <c r="F671" s="93"/>
      <c r="G671" s="93"/>
      <c r="H671" s="93"/>
      <c r="I671" s="165">
        <v>1276.5599999999997</v>
      </c>
      <c r="J671" s="425"/>
      <c r="K671" s="93"/>
      <c r="L671" s="271">
        <v>2023</v>
      </c>
      <c r="M671" s="227" t="s">
        <v>1890</v>
      </c>
      <c r="N671" s="422" t="s">
        <v>6432</v>
      </c>
      <c r="O671" s="422" t="s">
        <v>6433</v>
      </c>
      <c r="P671" s="227">
        <v>2022</v>
      </c>
      <c r="Q671" s="250" t="s">
        <v>3499</v>
      </c>
      <c r="R671" s="250" t="s">
        <v>3503</v>
      </c>
    </row>
    <row r="672" spans="1:18" ht="15.75" thickBot="1" x14ac:dyDescent="0.3">
      <c r="A672" s="93" t="s">
        <v>4595</v>
      </c>
      <c r="B672" s="424" t="s">
        <v>4595</v>
      </c>
      <c r="C672" s="424" t="str">
        <f t="shared" si="25"/>
        <v>X</v>
      </c>
      <c r="D672" s="425" t="s">
        <v>2982</v>
      </c>
      <c r="E672" s="93"/>
      <c r="F672" s="93"/>
      <c r="G672" s="93"/>
      <c r="H672" s="93"/>
      <c r="I672" s="165">
        <v>25676.329999999998</v>
      </c>
      <c r="J672" s="425"/>
      <c r="K672" s="93"/>
      <c r="L672" s="271">
        <v>2023</v>
      </c>
      <c r="M672" s="227" t="s">
        <v>1890</v>
      </c>
      <c r="N672" s="422" t="s">
        <v>6432</v>
      </c>
      <c r="O672" s="422" t="s">
        <v>6433</v>
      </c>
      <c r="P672" s="227">
        <v>2022</v>
      </c>
      <c r="Q672" s="250" t="s">
        <v>3499</v>
      </c>
      <c r="R672" s="250" t="s">
        <v>3503</v>
      </c>
    </row>
    <row r="673" spans="1:18" ht="15.75" thickBot="1" x14ac:dyDescent="0.3">
      <c r="A673" s="93" t="s">
        <v>4595</v>
      </c>
      <c r="B673" s="424" t="s">
        <v>4595</v>
      </c>
      <c r="C673" s="424" t="str">
        <f t="shared" si="25"/>
        <v>X</v>
      </c>
      <c r="D673" s="425" t="s">
        <v>2982</v>
      </c>
      <c r="E673" s="93"/>
      <c r="F673" s="93"/>
      <c r="G673" s="93"/>
      <c r="H673" s="93"/>
      <c r="I673" s="165">
        <v>4206.5100000000011</v>
      </c>
      <c r="J673" s="425"/>
      <c r="K673" s="93"/>
      <c r="L673" s="271">
        <v>2023</v>
      </c>
      <c r="M673" s="227" t="s">
        <v>1890</v>
      </c>
      <c r="N673" s="422" t="s">
        <v>6432</v>
      </c>
      <c r="O673" s="422" t="s">
        <v>6433</v>
      </c>
      <c r="P673" s="227">
        <v>2022</v>
      </c>
      <c r="Q673" s="250" t="s">
        <v>3499</v>
      </c>
      <c r="R673" s="250" t="s">
        <v>3503</v>
      </c>
    </row>
    <row r="674" spans="1:18" ht="15.75" thickBot="1" x14ac:dyDescent="0.3">
      <c r="A674" s="93" t="s">
        <v>4595</v>
      </c>
      <c r="B674" s="424" t="s">
        <v>4595</v>
      </c>
      <c r="C674" s="424" t="str">
        <f t="shared" si="25"/>
        <v>X</v>
      </c>
      <c r="D674" s="425" t="s">
        <v>2982</v>
      </c>
      <c r="E674" s="93"/>
      <c r="F674" s="93"/>
      <c r="G674" s="93"/>
      <c r="H674" s="93"/>
      <c r="I674" s="165">
        <v>968.17000000000007</v>
      </c>
      <c r="J674" s="425"/>
      <c r="K674" s="93"/>
      <c r="L674" s="271">
        <v>2023</v>
      </c>
      <c r="M674" s="227" t="s">
        <v>1890</v>
      </c>
      <c r="N674" s="422" t="s">
        <v>6432</v>
      </c>
      <c r="O674" s="422" t="s">
        <v>6433</v>
      </c>
      <c r="P674" s="227">
        <v>2022</v>
      </c>
      <c r="Q674" s="250" t="s">
        <v>3499</v>
      </c>
      <c r="R674" s="250" t="s">
        <v>3503</v>
      </c>
    </row>
    <row r="675" spans="1:18" ht="15.75" thickBot="1" x14ac:dyDescent="0.3">
      <c r="A675" s="93" t="s">
        <v>4595</v>
      </c>
      <c r="B675" s="424" t="s">
        <v>4595</v>
      </c>
      <c r="C675" s="424" t="str">
        <f t="shared" si="25"/>
        <v>X</v>
      </c>
      <c r="D675" s="425" t="s">
        <v>2982</v>
      </c>
      <c r="E675" s="93"/>
      <c r="F675" s="93"/>
      <c r="G675" s="93"/>
      <c r="H675" s="93"/>
      <c r="I675" s="165">
        <v>12701.500000000005</v>
      </c>
      <c r="J675" s="425"/>
      <c r="K675" s="93"/>
      <c r="L675" s="271">
        <v>2023</v>
      </c>
      <c r="M675" s="227" t="s">
        <v>1890</v>
      </c>
      <c r="N675" s="422" t="s">
        <v>6432</v>
      </c>
      <c r="O675" s="422" t="s">
        <v>6433</v>
      </c>
      <c r="P675" s="227">
        <v>2022</v>
      </c>
      <c r="Q675" s="250" t="s">
        <v>3499</v>
      </c>
      <c r="R675" s="250" t="s">
        <v>3503</v>
      </c>
    </row>
    <row r="676" spans="1:18" ht="15.75" thickBot="1" x14ac:dyDescent="0.3">
      <c r="A676" s="93" t="s">
        <v>4595</v>
      </c>
      <c r="B676" s="424" t="s">
        <v>4595</v>
      </c>
      <c r="C676" s="424" t="str">
        <f t="shared" si="25"/>
        <v>X</v>
      </c>
      <c r="D676" s="425" t="s">
        <v>2982</v>
      </c>
      <c r="E676" s="93"/>
      <c r="F676" s="93"/>
      <c r="G676" s="93"/>
      <c r="H676" s="93"/>
      <c r="I676" s="165">
        <v>3950.8100000000004</v>
      </c>
      <c r="J676" s="425"/>
      <c r="K676" s="93"/>
      <c r="L676" s="271">
        <v>2023</v>
      </c>
      <c r="M676" s="227" t="s">
        <v>1890</v>
      </c>
      <c r="N676" s="422" t="s">
        <v>6432</v>
      </c>
      <c r="O676" s="422" t="s">
        <v>6433</v>
      </c>
      <c r="P676" s="227">
        <v>2022</v>
      </c>
      <c r="Q676" s="250" t="s">
        <v>3499</v>
      </c>
      <c r="R676" s="250" t="s">
        <v>3503</v>
      </c>
    </row>
    <row r="677" spans="1:18" ht="15.75" thickBot="1" x14ac:dyDescent="0.3">
      <c r="A677" s="93" t="s">
        <v>4595</v>
      </c>
      <c r="B677" s="424" t="s">
        <v>4595</v>
      </c>
      <c r="C677" s="424" t="str">
        <f t="shared" si="25"/>
        <v>X</v>
      </c>
      <c r="D677" s="425" t="s">
        <v>2982</v>
      </c>
      <c r="E677" s="93"/>
      <c r="F677" s="93"/>
      <c r="G677" s="93"/>
      <c r="H677" s="93"/>
      <c r="I677" s="165">
        <v>480.32</v>
      </c>
      <c r="J677" s="425"/>
      <c r="K677" s="93"/>
      <c r="L677" s="271">
        <v>2023</v>
      </c>
      <c r="M677" s="227" t="s">
        <v>1890</v>
      </c>
      <c r="N677" s="422" t="s">
        <v>6432</v>
      </c>
      <c r="O677" s="422" t="s">
        <v>6433</v>
      </c>
      <c r="P677" s="227">
        <v>2022</v>
      </c>
      <c r="Q677" s="250" t="s">
        <v>3499</v>
      </c>
      <c r="R677" s="250" t="s">
        <v>3503</v>
      </c>
    </row>
    <row r="678" spans="1:18" ht="15.75" thickBot="1" x14ac:dyDescent="0.3">
      <c r="A678" s="93" t="s">
        <v>4595</v>
      </c>
      <c r="B678" s="424" t="s">
        <v>4595</v>
      </c>
      <c r="C678" s="424" t="str">
        <f t="shared" si="25"/>
        <v>X</v>
      </c>
      <c r="D678" s="425" t="s">
        <v>2982</v>
      </c>
      <c r="E678" s="93"/>
      <c r="F678" s="93"/>
      <c r="G678" s="93"/>
      <c r="H678" s="93"/>
      <c r="I678" s="165">
        <v>2270.2299999999996</v>
      </c>
      <c r="J678" s="425"/>
      <c r="K678" s="93"/>
      <c r="L678" s="271">
        <v>2023</v>
      </c>
      <c r="M678" s="227" t="s">
        <v>1890</v>
      </c>
      <c r="N678" s="422" t="s">
        <v>6432</v>
      </c>
      <c r="O678" s="422" t="s">
        <v>6433</v>
      </c>
      <c r="P678" s="227">
        <v>2022</v>
      </c>
      <c r="Q678" s="250" t="s">
        <v>3499</v>
      </c>
      <c r="R678" s="250" t="s">
        <v>3503</v>
      </c>
    </row>
    <row r="679" spans="1:18" ht="15.75" thickBot="1" x14ac:dyDescent="0.3">
      <c r="A679" s="93" t="s">
        <v>4595</v>
      </c>
      <c r="B679" s="424" t="s">
        <v>4595</v>
      </c>
      <c r="C679" s="424" t="str">
        <f t="shared" si="25"/>
        <v>X</v>
      </c>
      <c r="D679" s="425" t="s">
        <v>2982</v>
      </c>
      <c r="E679" s="93"/>
      <c r="F679" s="93"/>
      <c r="G679" s="93"/>
      <c r="H679" s="93"/>
      <c r="I679" s="165">
        <v>1392.12</v>
      </c>
      <c r="J679" s="425"/>
      <c r="K679" s="93"/>
      <c r="L679" s="271">
        <v>2023</v>
      </c>
      <c r="M679" s="227" t="s">
        <v>1890</v>
      </c>
      <c r="N679" s="422" t="s">
        <v>6432</v>
      </c>
      <c r="O679" s="422" t="s">
        <v>6433</v>
      </c>
      <c r="P679" s="227">
        <v>2022</v>
      </c>
      <c r="Q679" s="250" t="s">
        <v>3499</v>
      </c>
      <c r="R679" s="250" t="s">
        <v>3503</v>
      </c>
    </row>
    <row r="680" spans="1:18" ht="15.75" thickBot="1" x14ac:dyDescent="0.3">
      <c r="A680" s="93" t="s">
        <v>4595</v>
      </c>
      <c r="B680" s="424" t="s">
        <v>4595</v>
      </c>
      <c r="C680" s="424" t="str">
        <f t="shared" si="25"/>
        <v>X</v>
      </c>
      <c r="D680" s="425" t="s">
        <v>2982</v>
      </c>
      <c r="E680" s="93"/>
      <c r="F680" s="93"/>
      <c r="G680" s="93"/>
      <c r="H680" s="93"/>
      <c r="I680" s="165">
        <v>11313.02</v>
      </c>
      <c r="J680" s="425"/>
      <c r="K680" s="93"/>
      <c r="L680" s="271">
        <v>2023</v>
      </c>
      <c r="M680" s="227" t="s">
        <v>1890</v>
      </c>
      <c r="N680" s="422" t="s">
        <v>6432</v>
      </c>
      <c r="O680" s="422" t="s">
        <v>6433</v>
      </c>
      <c r="P680" s="227">
        <v>2022</v>
      </c>
      <c r="Q680" s="250" t="s">
        <v>3499</v>
      </c>
      <c r="R680" s="250" t="s">
        <v>3503</v>
      </c>
    </row>
    <row r="681" spans="1:18" ht="15.75" thickBot="1" x14ac:dyDescent="0.3">
      <c r="A681" s="422" t="s">
        <v>4595</v>
      </c>
      <c r="B681" s="424" t="s">
        <v>4595</v>
      </c>
      <c r="C681" s="424" t="str">
        <f t="shared" si="25"/>
        <v>X</v>
      </c>
      <c r="D681" s="425" t="s">
        <v>1659</v>
      </c>
      <c r="E681" s="422"/>
      <c r="F681" s="422"/>
      <c r="G681" s="422"/>
      <c r="H681" s="422"/>
      <c r="I681" s="165">
        <v>325.35000000000002</v>
      </c>
      <c r="J681" s="425"/>
      <c r="K681" s="422"/>
      <c r="L681" s="271">
        <v>2023</v>
      </c>
      <c r="M681" s="227" t="s">
        <v>1890</v>
      </c>
      <c r="N681" s="422" t="s">
        <v>6443</v>
      </c>
      <c r="O681" s="422" t="s">
        <v>6444</v>
      </c>
      <c r="P681" s="227">
        <v>2022</v>
      </c>
      <c r="Q681" s="250" t="s">
        <v>3499</v>
      </c>
      <c r="R681" s="250" t="s">
        <v>3503</v>
      </c>
    </row>
    <row r="682" spans="1:18" ht="15.75" thickBot="1" x14ac:dyDescent="0.3">
      <c r="A682" s="422" t="s">
        <v>4595</v>
      </c>
      <c r="B682" s="424" t="s">
        <v>4595</v>
      </c>
      <c r="C682" s="424" t="str">
        <f t="shared" si="25"/>
        <v>X</v>
      </c>
      <c r="D682" s="425" t="s">
        <v>1659</v>
      </c>
      <c r="E682" s="422"/>
      <c r="F682" s="422"/>
      <c r="G682" s="422"/>
      <c r="H682" s="422"/>
      <c r="I682" s="165">
        <v>3.99</v>
      </c>
      <c r="J682" s="425"/>
      <c r="K682" s="422"/>
      <c r="L682" s="271">
        <v>2023</v>
      </c>
      <c r="M682" s="227" t="s">
        <v>1890</v>
      </c>
      <c r="N682" s="422" t="s">
        <v>6443</v>
      </c>
      <c r="O682" s="422" t="s">
        <v>6444</v>
      </c>
      <c r="P682" s="227">
        <v>2022</v>
      </c>
      <c r="Q682" s="250" t="s">
        <v>3499</v>
      </c>
      <c r="R682" s="250" t="s">
        <v>3503</v>
      </c>
    </row>
    <row r="683" spans="1:18" ht="15.75" thickBot="1" x14ac:dyDescent="0.3">
      <c r="A683" s="422" t="s">
        <v>4595</v>
      </c>
      <c r="B683" s="424" t="s">
        <v>4595</v>
      </c>
      <c r="C683" s="424" t="str">
        <f t="shared" si="25"/>
        <v>X</v>
      </c>
      <c r="D683" s="425" t="s">
        <v>6362</v>
      </c>
      <c r="E683" s="422"/>
      <c r="F683" s="422"/>
      <c r="G683" s="422"/>
      <c r="H683" s="422"/>
      <c r="I683" s="165">
        <v>956.40000000000009</v>
      </c>
      <c r="J683" s="425"/>
      <c r="K683" s="422"/>
      <c r="L683" s="271">
        <v>2023</v>
      </c>
      <c r="M683" s="227" t="s">
        <v>1890</v>
      </c>
      <c r="N683" s="422" t="s">
        <v>6443</v>
      </c>
      <c r="O683" s="422" t="s">
        <v>6444</v>
      </c>
      <c r="P683" s="227">
        <v>2022</v>
      </c>
      <c r="Q683" s="250" t="s">
        <v>3499</v>
      </c>
      <c r="R683" s="250" t="s">
        <v>3503</v>
      </c>
    </row>
    <row r="684" spans="1:18" ht="15.75" thickBot="1" x14ac:dyDescent="0.3">
      <c r="A684" s="422" t="s">
        <v>4595</v>
      </c>
      <c r="B684" s="424" t="s">
        <v>4595</v>
      </c>
      <c r="C684" s="424" t="str">
        <f t="shared" si="25"/>
        <v>X</v>
      </c>
      <c r="D684" s="425" t="s">
        <v>6362</v>
      </c>
      <c r="E684" s="422"/>
      <c r="F684" s="422"/>
      <c r="G684" s="422"/>
      <c r="H684" s="422"/>
      <c r="I684" s="165">
        <v>945.12000000000012</v>
      </c>
      <c r="J684" s="425"/>
      <c r="K684" s="422"/>
      <c r="L684" s="271">
        <v>2023</v>
      </c>
      <c r="M684" s="227" t="s">
        <v>1890</v>
      </c>
      <c r="N684" s="422" t="s">
        <v>6443</v>
      </c>
      <c r="O684" s="422" t="s">
        <v>6444</v>
      </c>
      <c r="P684" s="227">
        <v>2022</v>
      </c>
      <c r="Q684" s="250" t="s">
        <v>3499</v>
      </c>
      <c r="R684" s="250" t="s">
        <v>3503</v>
      </c>
    </row>
    <row r="685" spans="1:18" ht="15.75" thickBot="1" x14ac:dyDescent="0.3">
      <c r="A685" s="93" t="s">
        <v>4595</v>
      </c>
      <c r="B685" s="424" t="s">
        <v>4595</v>
      </c>
      <c r="C685" s="424" t="str">
        <f t="shared" si="25"/>
        <v>X</v>
      </c>
      <c r="D685" s="425" t="s">
        <v>1655</v>
      </c>
      <c r="E685" s="93"/>
      <c r="F685" s="93"/>
      <c r="I685" s="165">
        <v>50.13</v>
      </c>
      <c r="J685" s="425"/>
      <c r="K685" s="93"/>
      <c r="L685" s="271">
        <v>2023</v>
      </c>
      <c r="M685" s="227" t="s">
        <v>1890</v>
      </c>
      <c r="N685" s="422" t="s">
        <v>6439</v>
      </c>
      <c r="O685" s="422" t="s">
        <v>6440</v>
      </c>
      <c r="P685" s="227">
        <v>2022</v>
      </c>
      <c r="Q685" s="250" t="s">
        <v>3499</v>
      </c>
      <c r="R685" s="250" t="s">
        <v>3503</v>
      </c>
    </row>
    <row r="686" spans="1:18" ht="15.75" thickBot="1" x14ac:dyDescent="0.3">
      <c r="A686" s="93" t="s">
        <v>4594</v>
      </c>
      <c r="B686" s="424" t="s">
        <v>4594</v>
      </c>
      <c r="C686" s="424" t="str">
        <f t="shared" si="25"/>
        <v>X</v>
      </c>
      <c r="D686" s="425" t="s">
        <v>1653</v>
      </c>
      <c r="E686" s="93"/>
      <c r="F686" s="93"/>
      <c r="G686" s="93"/>
      <c r="H686" s="93"/>
      <c r="I686" s="165">
        <v>47837.44000000001</v>
      </c>
      <c r="J686" s="425"/>
      <c r="K686" s="93"/>
      <c r="L686" s="271">
        <v>2023</v>
      </c>
      <c r="M686" s="227" t="s">
        <v>1890</v>
      </c>
      <c r="N686" s="422" t="s">
        <v>6434</v>
      </c>
      <c r="O686" s="422" t="s">
        <v>6435</v>
      </c>
      <c r="P686" s="227">
        <v>2022</v>
      </c>
      <c r="Q686" s="250" t="s">
        <v>3499</v>
      </c>
      <c r="R686" s="250" t="s">
        <v>3503</v>
      </c>
    </row>
    <row r="687" spans="1:18" ht="15.75" thickBot="1" x14ac:dyDescent="0.3">
      <c r="A687" s="93" t="s">
        <v>4594</v>
      </c>
      <c r="B687" s="424" t="s">
        <v>4594</v>
      </c>
      <c r="C687" s="424" t="str">
        <f t="shared" si="25"/>
        <v>X</v>
      </c>
      <c r="D687" s="425" t="s">
        <v>2982</v>
      </c>
      <c r="E687" s="93"/>
      <c r="F687" s="93"/>
      <c r="G687" s="93"/>
      <c r="H687" s="93"/>
      <c r="I687" s="165">
        <v>4234.6900000000005</v>
      </c>
      <c r="J687" s="425"/>
      <c r="K687" s="93"/>
      <c r="L687" s="271">
        <v>2023</v>
      </c>
      <c r="M687" s="227" t="s">
        <v>1890</v>
      </c>
      <c r="N687" s="422" t="s">
        <v>6432</v>
      </c>
      <c r="O687" s="422" t="s">
        <v>6433</v>
      </c>
      <c r="P687" s="227">
        <v>2022</v>
      </c>
      <c r="Q687" s="250" t="s">
        <v>3499</v>
      </c>
      <c r="R687" s="250" t="s">
        <v>3503</v>
      </c>
    </row>
    <row r="688" spans="1:18" ht="15.75" thickBot="1" x14ac:dyDescent="0.3">
      <c r="A688" s="93" t="s">
        <v>4594</v>
      </c>
      <c r="B688" s="424" t="s">
        <v>4594</v>
      </c>
      <c r="C688" s="424" t="str">
        <f t="shared" si="25"/>
        <v>X</v>
      </c>
      <c r="D688" s="425" t="s">
        <v>2982</v>
      </c>
      <c r="E688" s="93"/>
      <c r="F688" s="93"/>
      <c r="G688" s="93"/>
      <c r="H688" s="93"/>
      <c r="I688" s="165">
        <v>2292.9600000000005</v>
      </c>
      <c r="J688" s="425"/>
      <c r="K688" s="93"/>
      <c r="L688" s="271">
        <v>2023</v>
      </c>
      <c r="M688" s="227" t="s">
        <v>1890</v>
      </c>
      <c r="N688" s="422" t="s">
        <v>6432</v>
      </c>
      <c r="O688" s="422" t="s">
        <v>6433</v>
      </c>
      <c r="P688" s="227">
        <v>2022</v>
      </c>
      <c r="Q688" s="250" t="s">
        <v>3499</v>
      </c>
      <c r="R688" s="250" t="s">
        <v>3503</v>
      </c>
    </row>
    <row r="689" spans="1:18" ht="15.75" thickBot="1" x14ac:dyDescent="0.3">
      <c r="A689" s="93" t="s">
        <v>4594</v>
      </c>
      <c r="B689" s="424" t="s">
        <v>4594</v>
      </c>
      <c r="C689" s="424" t="str">
        <f t="shared" si="25"/>
        <v>X</v>
      </c>
      <c r="D689" s="425" t="s">
        <v>2982</v>
      </c>
      <c r="E689" s="93"/>
      <c r="F689" s="93"/>
      <c r="G689" s="93"/>
      <c r="H689" s="93"/>
      <c r="I689" s="165">
        <v>9220.3700000000081</v>
      </c>
      <c r="J689" s="425"/>
      <c r="K689" s="93"/>
      <c r="L689" s="271">
        <v>2023</v>
      </c>
      <c r="M689" s="227" t="s">
        <v>1890</v>
      </c>
      <c r="N689" s="422" t="s">
        <v>6432</v>
      </c>
      <c r="O689" s="422" t="s">
        <v>6433</v>
      </c>
      <c r="P689" s="227">
        <v>2022</v>
      </c>
      <c r="Q689" s="250" t="s">
        <v>3499</v>
      </c>
      <c r="R689" s="250" t="s">
        <v>3503</v>
      </c>
    </row>
    <row r="690" spans="1:18" ht="15.75" thickBot="1" x14ac:dyDescent="0.3">
      <c r="A690" s="93" t="s">
        <v>4594</v>
      </c>
      <c r="B690" s="424" t="s">
        <v>4594</v>
      </c>
      <c r="C690" s="424" t="str">
        <f t="shared" si="25"/>
        <v>X</v>
      </c>
      <c r="D690" s="425" t="s">
        <v>2982</v>
      </c>
      <c r="E690" s="93"/>
      <c r="F690" s="93"/>
      <c r="G690" s="93"/>
      <c r="H690" s="93"/>
      <c r="I690" s="165">
        <v>490.8900000000001</v>
      </c>
      <c r="J690" s="425"/>
      <c r="K690" s="93"/>
      <c r="L690" s="271">
        <v>2023</v>
      </c>
      <c r="M690" s="227" t="s">
        <v>1890</v>
      </c>
      <c r="N690" s="422" t="s">
        <v>6432</v>
      </c>
      <c r="O690" s="422" t="s">
        <v>6433</v>
      </c>
      <c r="P690" s="227">
        <v>2022</v>
      </c>
      <c r="Q690" s="250" t="s">
        <v>3499</v>
      </c>
      <c r="R690" s="250" t="s">
        <v>3503</v>
      </c>
    </row>
    <row r="691" spans="1:18" ht="15.75" thickBot="1" x14ac:dyDescent="0.3">
      <c r="A691" s="93" t="s">
        <v>4594</v>
      </c>
      <c r="B691" s="424" t="s">
        <v>4594</v>
      </c>
      <c r="C691" s="424" t="str">
        <f t="shared" si="25"/>
        <v>X</v>
      </c>
      <c r="D691" s="425" t="s">
        <v>2982</v>
      </c>
      <c r="E691" s="93"/>
      <c r="F691" s="93"/>
      <c r="G691" s="93"/>
      <c r="H691" s="93"/>
      <c r="I691" s="165">
        <v>26155.719999999994</v>
      </c>
      <c r="J691" s="425"/>
      <c r="K691" s="93"/>
      <c r="L691" s="271">
        <v>2023</v>
      </c>
      <c r="M691" s="227" t="s">
        <v>1890</v>
      </c>
      <c r="N691" s="422" t="s">
        <v>6432</v>
      </c>
      <c r="O691" s="422" t="s">
        <v>6433</v>
      </c>
      <c r="P691" s="227">
        <v>2022</v>
      </c>
      <c r="Q691" s="250" t="s">
        <v>3499</v>
      </c>
      <c r="R691" s="250" t="s">
        <v>3503</v>
      </c>
    </row>
    <row r="692" spans="1:18" ht="15.75" thickBot="1" x14ac:dyDescent="0.3">
      <c r="A692" s="93" t="s">
        <v>4594</v>
      </c>
      <c r="B692" s="424" t="s">
        <v>4594</v>
      </c>
      <c r="C692" s="424" t="str">
        <f t="shared" si="25"/>
        <v>X</v>
      </c>
      <c r="D692" s="425" t="s">
        <v>2982</v>
      </c>
      <c r="E692" s="93"/>
      <c r="F692" s="93"/>
      <c r="G692" s="93"/>
      <c r="H692" s="93"/>
      <c r="I692" s="165">
        <v>2652.53</v>
      </c>
      <c r="J692" s="425"/>
      <c r="K692" s="93"/>
      <c r="L692" s="271">
        <v>2023</v>
      </c>
      <c r="M692" s="227" t="s">
        <v>1890</v>
      </c>
      <c r="N692" s="422" t="s">
        <v>6432</v>
      </c>
      <c r="O692" s="422" t="s">
        <v>6433</v>
      </c>
      <c r="P692" s="227">
        <v>2022</v>
      </c>
      <c r="Q692" s="250" t="s">
        <v>3499</v>
      </c>
      <c r="R692" s="250" t="s">
        <v>3503</v>
      </c>
    </row>
    <row r="693" spans="1:18" ht="15.75" thickBot="1" x14ac:dyDescent="0.3">
      <c r="A693" s="93" t="s">
        <v>4594</v>
      </c>
      <c r="B693" s="424" t="s">
        <v>4594</v>
      </c>
      <c r="C693" s="424" t="str">
        <f t="shared" si="25"/>
        <v>X</v>
      </c>
      <c r="D693" s="425" t="s">
        <v>2982</v>
      </c>
      <c r="E693" s="93"/>
      <c r="F693" s="93"/>
      <c r="G693" s="93"/>
      <c r="H693" s="93"/>
      <c r="I693" s="165">
        <v>3750.2000000000025</v>
      </c>
      <c r="J693" s="425"/>
      <c r="K693" s="93"/>
      <c r="L693" s="271">
        <v>2023</v>
      </c>
      <c r="M693" s="227" t="s">
        <v>1890</v>
      </c>
      <c r="N693" s="422" t="s">
        <v>6432</v>
      </c>
      <c r="O693" s="422" t="s">
        <v>6433</v>
      </c>
      <c r="P693" s="227">
        <v>2022</v>
      </c>
      <c r="Q693" s="250" t="s">
        <v>3499</v>
      </c>
      <c r="R693" s="250" t="s">
        <v>3503</v>
      </c>
    </row>
    <row r="694" spans="1:18" ht="15.75" thickBot="1" x14ac:dyDescent="0.3">
      <c r="A694" s="93" t="s">
        <v>4594</v>
      </c>
      <c r="B694" s="424" t="s">
        <v>4594</v>
      </c>
      <c r="C694" s="424" t="str">
        <f t="shared" si="25"/>
        <v>X</v>
      </c>
      <c r="D694" s="425" t="s">
        <v>2982</v>
      </c>
      <c r="E694" s="93"/>
      <c r="F694" s="93"/>
      <c r="G694" s="93"/>
      <c r="H694" s="93"/>
      <c r="I694" s="165">
        <v>414.72</v>
      </c>
      <c r="J694" s="425"/>
      <c r="K694" s="93"/>
      <c r="L694" s="271">
        <v>2023</v>
      </c>
      <c r="M694" s="227" t="s">
        <v>1890</v>
      </c>
      <c r="N694" s="422" t="s">
        <v>6432</v>
      </c>
      <c r="O694" s="422" t="s">
        <v>6433</v>
      </c>
      <c r="P694" s="227">
        <v>2022</v>
      </c>
      <c r="Q694" s="250" t="s">
        <v>3499</v>
      </c>
      <c r="R694" s="250" t="s">
        <v>3503</v>
      </c>
    </row>
    <row r="695" spans="1:18" ht="15.75" thickBot="1" x14ac:dyDescent="0.3">
      <c r="A695" s="93" t="s">
        <v>4594</v>
      </c>
      <c r="B695" s="424" t="s">
        <v>4594</v>
      </c>
      <c r="C695" s="424" t="str">
        <f t="shared" si="25"/>
        <v>X</v>
      </c>
      <c r="D695" s="425" t="s">
        <v>2982</v>
      </c>
      <c r="E695" s="93"/>
      <c r="F695" s="93"/>
      <c r="G695" s="93"/>
      <c r="H695" s="93"/>
      <c r="I695" s="165">
        <v>5600.2500000000036</v>
      </c>
      <c r="J695" s="425"/>
      <c r="K695" s="93"/>
      <c r="L695" s="271">
        <v>2023</v>
      </c>
      <c r="M695" s="227" t="s">
        <v>1890</v>
      </c>
      <c r="N695" s="422" t="s">
        <v>6432</v>
      </c>
      <c r="O695" s="422" t="s">
        <v>6433</v>
      </c>
      <c r="P695" s="227">
        <v>2022</v>
      </c>
      <c r="Q695" s="250" t="s">
        <v>3499</v>
      </c>
      <c r="R695" s="250" t="s">
        <v>3503</v>
      </c>
    </row>
    <row r="696" spans="1:18" ht="15.75" thickBot="1" x14ac:dyDescent="0.3">
      <c r="A696" s="93" t="s">
        <v>4594</v>
      </c>
      <c r="B696" s="424" t="s">
        <v>4594</v>
      </c>
      <c r="C696" s="424" t="str">
        <f t="shared" si="25"/>
        <v>X</v>
      </c>
      <c r="D696" s="425" t="s">
        <v>2982</v>
      </c>
      <c r="E696" s="93"/>
      <c r="F696" s="93"/>
      <c r="G696" s="93"/>
      <c r="H696" s="93"/>
      <c r="I696" s="165">
        <v>6</v>
      </c>
      <c r="J696" s="425"/>
      <c r="K696" s="93"/>
      <c r="L696" s="271">
        <v>2023</v>
      </c>
      <c r="M696" s="227" t="s">
        <v>1890</v>
      </c>
      <c r="N696" s="422" t="s">
        <v>6432</v>
      </c>
      <c r="O696" s="422" t="s">
        <v>6433</v>
      </c>
      <c r="P696" s="227">
        <v>2022</v>
      </c>
      <c r="Q696" s="250" t="s">
        <v>3499</v>
      </c>
      <c r="R696" s="250" t="s">
        <v>3503</v>
      </c>
    </row>
    <row r="697" spans="1:18" ht="15.75" thickBot="1" x14ac:dyDescent="0.3">
      <c r="A697" s="93" t="s">
        <v>4594</v>
      </c>
      <c r="B697" s="424" t="s">
        <v>4594</v>
      </c>
      <c r="C697" s="424" t="str">
        <f t="shared" si="25"/>
        <v>X</v>
      </c>
      <c r="D697" s="425" t="s">
        <v>2982</v>
      </c>
      <c r="E697" s="93"/>
      <c r="F697" s="93"/>
      <c r="G697" s="93"/>
      <c r="H697" s="93"/>
      <c r="I697" s="165">
        <v>4647.7200000000021</v>
      </c>
      <c r="J697" s="425"/>
      <c r="K697" s="93"/>
      <c r="L697" s="271">
        <v>2023</v>
      </c>
      <c r="M697" s="227" t="s">
        <v>1890</v>
      </c>
      <c r="N697" s="422" t="s">
        <v>6432</v>
      </c>
      <c r="O697" s="422" t="s">
        <v>6433</v>
      </c>
      <c r="P697" s="227">
        <v>2022</v>
      </c>
      <c r="Q697" s="250" t="s">
        <v>3499</v>
      </c>
      <c r="R697" s="250" t="s">
        <v>3503</v>
      </c>
    </row>
    <row r="698" spans="1:18" ht="15.75" thickBot="1" x14ac:dyDescent="0.3">
      <c r="A698" s="93" t="s">
        <v>4594</v>
      </c>
      <c r="B698" s="424" t="s">
        <v>4594</v>
      </c>
      <c r="C698" s="424" t="str">
        <f t="shared" si="25"/>
        <v>X</v>
      </c>
      <c r="D698" s="425" t="s">
        <v>2982</v>
      </c>
      <c r="E698" s="93"/>
      <c r="F698" s="93"/>
      <c r="G698" s="93"/>
      <c r="H698" s="93"/>
      <c r="I698" s="165">
        <v>84368.999999999985</v>
      </c>
      <c r="J698" s="425"/>
      <c r="K698" s="93"/>
      <c r="L698" s="271">
        <v>2023</v>
      </c>
      <c r="M698" s="227" t="s">
        <v>1890</v>
      </c>
      <c r="N698" s="422" t="s">
        <v>6432</v>
      </c>
      <c r="O698" s="422" t="s">
        <v>6433</v>
      </c>
      <c r="P698" s="227">
        <v>2022</v>
      </c>
      <c r="Q698" s="250" t="s">
        <v>3499</v>
      </c>
      <c r="R698" s="250" t="s">
        <v>3503</v>
      </c>
    </row>
    <row r="699" spans="1:18" ht="15.75" thickBot="1" x14ac:dyDescent="0.3">
      <c r="A699" s="93" t="s">
        <v>4594</v>
      </c>
      <c r="B699" s="424" t="s">
        <v>4594</v>
      </c>
      <c r="C699" s="424" t="str">
        <f t="shared" si="25"/>
        <v>X</v>
      </c>
      <c r="D699" s="425" t="s">
        <v>2982</v>
      </c>
      <c r="E699" s="93"/>
      <c r="F699" s="93"/>
      <c r="G699" s="93"/>
      <c r="H699" s="93"/>
      <c r="I699" s="165">
        <v>19841.280000000013</v>
      </c>
      <c r="J699" s="425"/>
      <c r="K699" s="93"/>
      <c r="L699" s="271">
        <v>2023</v>
      </c>
      <c r="M699" s="227" t="s">
        <v>1890</v>
      </c>
      <c r="N699" s="422" t="s">
        <v>6432</v>
      </c>
      <c r="O699" s="422" t="s">
        <v>6433</v>
      </c>
      <c r="P699" s="227">
        <v>2022</v>
      </c>
      <c r="Q699" s="250" t="s">
        <v>3499</v>
      </c>
      <c r="R699" s="250" t="s">
        <v>3503</v>
      </c>
    </row>
    <row r="700" spans="1:18" ht="15.75" thickBot="1" x14ac:dyDescent="0.3">
      <c r="A700" s="93" t="s">
        <v>4594</v>
      </c>
      <c r="B700" s="424" t="s">
        <v>4594</v>
      </c>
      <c r="C700" s="424" t="str">
        <f t="shared" si="25"/>
        <v>X</v>
      </c>
      <c r="D700" s="425" t="s">
        <v>2982</v>
      </c>
      <c r="E700" s="93"/>
      <c r="F700" s="93"/>
      <c r="G700" s="93"/>
      <c r="H700" s="93"/>
      <c r="I700" s="165">
        <v>4964.2</v>
      </c>
      <c r="J700" s="425"/>
      <c r="K700" s="93"/>
      <c r="L700" s="271">
        <v>2023</v>
      </c>
      <c r="M700" s="227" t="s">
        <v>1890</v>
      </c>
      <c r="N700" s="422" t="s">
        <v>6432</v>
      </c>
      <c r="O700" s="422" t="s">
        <v>6433</v>
      </c>
      <c r="P700" s="227">
        <v>2022</v>
      </c>
      <c r="Q700" s="250" t="s">
        <v>3499</v>
      </c>
      <c r="R700" s="250" t="s">
        <v>3503</v>
      </c>
    </row>
    <row r="701" spans="1:18" ht="15.75" thickBot="1" x14ac:dyDescent="0.3">
      <c r="A701" s="93" t="s">
        <v>4594</v>
      </c>
      <c r="B701" s="424" t="s">
        <v>4594</v>
      </c>
      <c r="C701" s="424" t="str">
        <f t="shared" si="25"/>
        <v>X</v>
      </c>
      <c r="D701" s="425" t="s">
        <v>2982</v>
      </c>
      <c r="E701" s="93"/>
      <c r="F701" s="93"/>
      <c r="G701" s="93"/>
      <c r="H701" s="93"/>
      <c r="I701" s="165">
        <v>29945.410000000003</v>
      </c>
      <c r="J701" s="425"/>
      <c r="K701" s="93"/>
      <c r="L701" s="271">
        <v>2023</v>
      </c>
      <c r="M701" s="227" t="s">
        <v>1890</v>
      </c>
      <c r="N701" s="422" t="s">
        <v>6432</v>
      </c>
      <c r="O701" s="422" t="s">
        <v>6433</v>
      </c>
      <c r="P701" s="227">
        <v>2022</v>
      </c>
      <c r="Q701" s="250" t="s">
        <v>3499</v>
      </c>
      <c r="R701" s="250" t="s">
        <v>3503</v>
      </c>
    </row>
    <row r="702" spans="1:18" ht="15.75" thickBot="1" x14ac:dyDescent="0.3">
      <c r="A702" s="93" t="s">
        <v>4594</v>
      </c>
      <c r="B702" s="424" t="s">
        <v>4594</v>
      </c>
      <c r="C702" s="424" t="str">
        <f t="shared" si="25"/>
        <v>X</v>
      </c>
      <c r="D702" s="425" t="s">
        <v>2982</v>
      </c>
      <c r="E702" s="93"/>
      <c r="F702" s="93"/>
      <c r="G702" s="93"/>
      <c r="H702" s="93"/>
      <c r="I702" s="165">
        <v>6757.3500000000058</v>
      </c>
      <c r="J702" s="425"/>
      <c r="K702" s="93"/>
      <c r="L702" s="271">
        <v>2023</v>
      </c>
      <c r="M702" s="227" t="s">
        <v>1890</v>
      </c>
      <c r="N702" s="422" t="s">
        <v>6432</v>
      </c>
      <c r="O702" s="422" t="s">
        <v>6433</v>
      </c>
      <c r="P702" s="227">
        <v>2022</v>
      </c>
      <c r="Q702" s="250" t="s">
        <v>3499</v>
      </c>
      <c r="R702" s="250" t="s">
        <v>3503</v>
      </c>
    </row>
    <row r="703" spans="1:18" ht="15.75" thickBot="1" x14ac:dyDescent="0.3">
      <c r="A703" s="93" t="s">
        <v>4594</v>
      </c>
      <c r="B703" s="424" t="s">
        <v>4594</v>
      </c>
      <c r="C703" s="424" t="str">
        <f t="shared" si="25"/>
        <v>X</v>
      </c>
      <c r="D703" s="425" t="s">
        <v>2982</v>
      </c>
      <c r="E703" s="93"/>
      <c r="F703" s="93"/>
      <c r="G703" s="93"/>
      <c r="H703" s="93"/>
      <c r="I703" s="165">
        <v>2027.6000000000022</v>
      </c>
      <c r="J703" s="425"/>
      <c r="K703" s="93"/>
      <c r="L703" s="271">
        <v>2023</v>
      </c>
      <c r="M703" s="227" t="s">
        <v>1890</v>
      </c>
      <c r="N703" s="422" t="s">
        <v>6432</v>
      </c>
      <c r="O703" s="422" t="s">
        <v>6433</v>
      </c>
      <c r="P703" s="227">
        <v>2022</v>
      </c>
      <c r="Q703" s="250" t="s">
        <v>3499</v>
      </c>
      <c r="R703" s="250" t="s">
        <v>3503</v>
      </c>
    </row>
    <row r="704" spans="1:18" ht="15.75" thickBot="1" x14ac:dyDescent="0.3">
      <c r="A704" s="93" t="s">
        <v>4594</v>
      </c>
      <c r="B704" s="424" t="s">
        <v>4594</v>
      </c>
      <c r="C704" s="424" t="str">
        <f t="shared" si="25"/>
        <v>X</v>
      </c>
      <c r="D704" s="425" t="s">
        <v>2982</v>
      </c>
      <c r="E704" s="93"/>
      <c r="F704" s="93"/>
      <c r="G704" s="93"/>
      <c r="H704" s="93"/>
      <c r="I704" s="165">
        <v>4445.6200000000017</v>
      </c>
      <c r="J704" s="425"/>
      <c r="K704" s="93"/>
      <c r="L704" s="271">
        <v>2023</v>
      </c>
      <c r="M704" s="227" t="s">
        <v>1890</v>
      </c>
      <c r="N704" s="422" t="s">
        <v>6432</v>
      </c>
      <c r="O704" s="422" t="s">
        <v>6433</v>
      </c>
      <c r="P704" s="227">
        <v>2022</v>
      </c>
      <c r="Q704" s="250" t="s">
        <v>3499</v>
      </c>
      <c r="R704" s="250" t="s">
        <v>3503</v>
      </c>
    </row>
    <row r="705" spans="1:18" ht="15.75" thickBot="1" x14ac:dyDescent="0.3">
      <c r="A705" s="93" t="s">
        <v>4594</v>
      </c>
      <c r="B705" s="424" t="s">
        <v>4594</v>
      </c>
      <c r="C705" s="424" t="str">
        <f t="shared" si="25"/>
        <v>X</v>
      </c>
      <c r="D705" s="425" t="s">
        <v>2982</v>
      </c>
      <c r="E705" s="93"/>
      <c r="F705" s="93"/>
      <c r="G705" s="93"/>
      <c r="H705" s="93"/>
      <c r="I705" s="165">
        <v>3009.3100000000009</v>
      </c>
      <c r="J705" s="425"/>
      <c r="K705" s="93"/>
      <c r="L705" s="271">
        <v>2023</v>
      </c>
      <c r="M705" s="227" t="s">
        <v>1890</v>
      </c>
      <c r="N705" s="422" t="s">
        <v>6432</v>
      </c>
      <c r="O705" s="422" t="s">
        <v>6433</v>
      </c>
      <c r="P705" s="227">
        <v>2022</v>
      </c>
      <c r="Q705" s="250" t="s">
        <v>3499</v>
      </c>
      <c r="R705" s="250" t="s">
        <v>3503</v>
      </c>
    </row>
    <row r="706" spans="1:18" ht="15.75" thickBot="1" x14ac:dyDescent="0.3">
      <c r="A706" s="93" t="s">
        <v>4594</v>
      </c>
      <c r="B706" s="424" t="s">
        <v>4594</v>
      </c>
      <c r="C706" s="424" t="str">
        <f t="shared" si="25"/>
        <v>X</v>
      </c>
      <c r="D706" s="425" t="s">
        <v>2982</v>
      </c>
      <c r="E706" s="93"/>
      <c r="F706" s="93"/>
      <c r="G706" s="93"/>
      <c r="H706" s="93"/>
      <c r="I706" s="165">
        <v>24598.160000000014</v>
      </c>
      <c r="J706" s="425"/>
      <c r="K706" s="93"/>
      <c r="L706" s="271">
        <v>2023</v>
      </c>
      <c r="M706" s="227" t="s">
        <v>1890</v>
      </c>
      <c r="N706" s="422" t="s">
        <v>6432</v>
      </c>
      <c r="O706" s="422" t="s">
        <v>6433</v>
      </c>
      <c r="P706" s="227">
        <v>2022</v>
      </c>
      <c r="Q706" s="250" t="s">
        <v>3499</v>
      </c>
      <c r="R706" s="250" t="s">
        <v>3503</v>
      </c>
    </row>
    <row r="707" spans="1:18" ht="15.75" thickBot="1" x14ac:dyDescent="0.3">
      <c r="A707" s="422" t="s">
        <v>4594</v>
      </c>
      <c r="B707" s="424" t="s">
        <v>4594</v>
      </c>
      <c r="C707" s="424" t="str">
        <f t="shared" ref="C707:C770" si="26">IF(A707=B707,"X",RIGHT(A707,LEN(A707)-LEN(B707)-3))</f>
        <v>X</v>
      </c>
      <c r="D707" s="425" t="s">
        <v>1659</v>
      </c>
      <c r="I707" s="165">
        <v>17275.370000000003</v>
      </c>
      <c r="J707" s="425"/>
      <c r="L707" s="271">
        <v>2023</v>
      </c>
      <c r="M707" s="227" t="s">
        <v>1890</v>
      </c>
      <c r="N707" s="422" t="s">
        <v>6443</v>
      </c>
      <c r="O707" s="422" t="s">
        <v>6444</v>
      </c>
      <c r="P707" s="227">
        <v>2022</v>
      </c>
      <c r="Q707" s="250" t="s">
        <v>3499</v>
      </c>
      <c r="R707" s="250" t="s">
        <v>3503</v>
      </c>
    </row>
    <row r="708" spans="1:18" ht="15.75" thickBot="1" x14ac:dyDescent="0.3">
      <c r="A708" s="422" t="s">
        <v>4594</v>
      </c>
      <c r="B708" s="424" t="s">
        <v>4594</v>
      </c>
      <c r="C708" s="424" t="str">
        <f t="shared" si="26"/>
        <v>X</v>
      </c>
      <c r="D708" s="425" t="s">
        <v>1659</v>
      </c>
      <c r="E708" s="422"/>
      <c r="F708" s="422"/>
      <c r="I708" s="165">
        <v>162.82</v>
      </c>
      <c r="J708" s="425"/>
      <c r="K708" s="422"/>
      <c r="L708" s="271">
        <v>2023</v>
      </c>
      <c r="M708" s="227" t="s">
        <v>1890</v>
      </c>
      <c r="N708" s="422" t="s">
        <v>6443</v>
      </c>
      <c r="O708" s="422" t="s">
        <v>6444</v>
      </c>
      <c r="P708" s="227">
        <v>2022</v>
      </c>
      <c r="Q708" s="250" t="s">
        <v>3499</v>
      </c>
      <c r="R708" s="250" t="s">
        <v>3503</v>
      </c>
    </row>
    <row r="709" spans="1:18" ht="15.75" thickBot="1" x14ac:dyDescent="0.3">
      <c r="A709" s="422" t="s">
        <v>4594</v>
      </c>
      <c r="B709" s="424" t="s">
        <v>4594</v>
      </c>
      <c r="C709" s="424" t="str">
        <f t="shared" si="26"/>
        <v>X</v>
      </c>
      <c r="D709" s="425" t="s">
        <v>6362</v>
      </c>
      <c r="E709" s="422"/>
      <c r="F709" s="422"/>
      <c r="G709" s="422"/>
      <c r="H709" s="422"/>
      <c r="I709" s="165">
        <v>2318.8000000000002</v>
      </c>
      <c r="J709" s="425"/>
      <c r="K709" s="422"/>
      <c r="L709" s="271">
        <v>2023</v>
      </c>
      <c r="M709" s="227" t="s">
        <v>1890</v>
      </c>
      <c r="N709" s="422" t="s">
        <v>6443</v>
      </c>
      <c r="O709" s="422" t="s">
        <v>6444</v>
      </c>
      <c r="P709" s="227">
        <v>2022</v>
      </c>
      <c r="Q709" s="250" t="s">
        <v>3499</v>
      </c>
      <c r="R709" s="250" t="s">
        <v>3503</v>
      </c>
    </row>
    <row r="710" spans="1:18" ht="15.75" thickBot="1" x14ac:dyDescent="0.3">
      <c r="A710" s="422" t="s">
        <v>4594</v>
      </c>
      <c r="B710" s="424" t="s">
        <v>4594</v>
      </c>
      <c r="C710" s="424" t="str">
        <f t="shared" si="26"/>
        <v>X</v>
      </c>
      <c r="D710" s="425" t="s">
        <v>6362</v>
      </c>
      <c r="E710" s="422"/>
      <c r="F710" s="422"/>
      <c r="G710" s="422"/>
      <c r="H710" s="422"/>
      <c r="I710" s="165">
        <v>8298.1799999999985</v>
      </c>
      <c r="J710" s="425"/>
      <c r="K710" s="422"/>
      <c r="L710" s="271">
        <v>2023</v>
      </c>
      <c r="M710" s="227" t="s">
        <v>1890</v>
      </c>
      <c r="N710" s="422" t="s">
        <v>6443</v>
      </c>
      <c r="O710" s="422" t="s">
        <v>6444</v>
      </c>
      <c r="P710" s="227">
        <v>2022</v>
      </c>
      <c r="Q710" s="250" t="s">
        <v>3499</v>
      </c>
      <c r="R710" s="250" t="s">
        <v>3503</v>
      </c>
    </row>
    <row r="711" spans="1:18" ht="15.75" thickBot="1" x14ac:dyDescent="0.3">
      <c r="A711" s="93" t="s">
        <v>4594</v>
      </c>
      <c r="B711" s="424" t="s">
        <v>4594</v>
      </c>
      <c r="C711" s="424" t="str">
        <f t="shared" si="26"/>
        <v>X</v>
      </c>
      <c r="D711" s="425" t="s">
        <v>1655</v>
      </c>
      <c r="E711" s="93"/>
      <c r="F711" s="93"/>
      <c r="G711" s="422"/>
      <c r="H711" s="422"/>
      <c r="I711" s="165">
        <v>220.86</v>
      </c>
      <c r="J711" s="425"/>
      <c r="K711" s="93"/>
      <c r="L711" s="271">
        <v>2023</v>
      </c>
      <c r="M711" s="227" t="s">
        <v>1890</v>
      </c>
      <c r="N711" s="422" t="s">
        <v>6439</v>
      </c>
      <c r="O711" s="422" t="s">
        <v>6440</v>
      </c>
      <c r="P711" s="227">
        <v>2022</v>
      </c>
      <c r="Q711" s="250" t="s">
        <v>3499</v>
      </c>
      <c r="R711" s="250" t="s">
        <v>3503</v>
      </c>
    </row>
    <row r="712" spans="1:18" ht="15.75" thickBot="1" x14ac:dyDescent="0.3">
      <c r="A712" s="93" t="s">
        <v>1910</v>
      </c>
      <c r="B712" s="424" t="s">
        <v>1910</v>
      </c>
      <c r="C712" s="424" t="str">
        <f t="shared" si="26"/>
        <v>X</v>
      </c>
      <c r="D712" s="425" t="s">
        <v>1653</v>
      </c>
      <c r="E712" s="93"/>
      <c r="F712" s="93"/>
      <c r="G712" s="93"/>
      <c r="H712" s="93"/>
      <c r="I712" s="165">
        <v>66220.570000000007</v>
      </c>
      <c r="J712" s="425"/>
      <c r="K712" s="93"/>
      <c r="L712" s="271">
        <v>2023</v>
      </c>
      <c r="M712" s="227" t="s">
        <v>1890</v>
      </c>
      <c r="N712" s="422" t="s">
        <v>6434</v>
      </c>
      <c r="O712" s="422" t="s">
        <v>6435</v>
      </c>
      <c r="P712" s="227">
        <v>2022</v>
      </c>
      <c r="Q712" s="250" t="s">
        <v>3499</v>
      </c>
      <c r="R712" s="250" t="s">
        <v>3503</v>
      </c>
    </row>
    <row r="713" spans="1:18" ht="15.75" thickBot="1" x14ac:dyDescent="0.3">
      <c r="A713" s="93" t="s">
        <v>1910</v>
      </c>
      <c r="B713" s="424" t="s">
        <v>1910</v>
      </c>
      <c r="C713" s="424" t="str">
        <f t="shared" si="26"/>
        <v>X</v>
      </c>
      <c r="D713" s="425" t="s">
        <v>2982</v>
      </c>
      <c r="E713" s="93"/>
      <c r="F713" s="93"/>
      <c r="G713" s="93"/>
      <c r="H713" s="93"/>
      <c r="I713" s="165">
        <v>357291.08</v>
      </c>
      <c r="J713" s="425"/>
      <c r="K713" s="93"/>
      <c r="L713" s="271">
        <v>2023</v>
      </c>
      <c r="M713" s="227" t="s">
        <v>1890</v>
      </c>
      <c r="N713" s="422" t="s">
        <v>6432</v>
      </c>
      <c r="O713" s="422" t="s">
        <v>6433</v>
      </c>
      <c r="P713" s="227">
        <v>2022</v>
      </c>
      <c r="Q713" s="250" t="s">
        <v>3499</v>
      </c>
      <c r="R713" s="250" t="s">
        <v>3503</v>
      </c>
    </row>
    <row r="714" spans="1:18" ht="15.75" thickBot="1" x14ac:dyDescent="0.3">
      <c r="A714" s="93" t="s">
        <v>1910</v>
      </c>
      <c r="B714" s="424" t="s">
        <v>1910</v>
      </c>
      <c r="C714" s="424" t="str">
        <f t="shared" si="26"/>
        <v>X</v>
      </c>
      <c r="D714" s="425" t="s">
        <v>2982</v>
      </c>
      <c r="E714" s="93"/>
      <c r="F714" s="93"/>
      <c r="G714" s="93"/>
      <c r="H714" s="93"/>
      <c r="I714" s="165">
        <v>101050.14</v>
      </c>
      <c r="J714" s="425"/>
      <c r="K714" s="93"/>
      <c r="L714" s="271">
        <v>2023</v>
      </c>
      <c r="M714" s="227" t="s">
        <v>1890</v>
      </c>
      <c r="N714" s="422" t="s">
        <v>6432</v>
      </c>
      <c r="O714" s="422" t="s">
        <v>6433</v>
      </c>
      <c r="P714" s="227">
        <v>2022</v>
      </c>
      <c r="Q714" s="250" t="s">
        <v>3499</v>
      </c>
      <c r="R714" s="250" t="s">
        <v>3503</v>
      </c>
    </row>
    <row r="715" spans="1:18" ht="15.75" thickBot="1" x14ac:dyDescent="0.3">
      <c r="A715" s="93" t="s">
        <v>1910</v>
      </c>
      <c r="B715" s="424" t="s">
        <v>1910</v>
      </c>
      <c r="C715" s="424" t="str">
        <f t="shared" si="26"/>
        <v>X</v>
      </c>
      <c r="D715" s="425" t="s">
        <v>2982</v>
      </c>
      <c r="E715" s="93"/>
      <c r="F715" s="93"/>
      <c r="G715" s="93"/>
      <c r="H715" s="93"/>
      <c r="I715" s="165">
        <v>10437.200000000001</v>
      </c>
      <c r="J715" s="425"/>
      <c r="K715" s="93"/>
      <c r="L715" s="271">
        <v>2023</v>
      </c>
      <c r="M715" s="227" t="s">
        <v>1890</v>
      </c>
      <c r="N715" s="422" t="s">
        <v>6432</v>
      </c>
      <c r="O715" s="422" t="s">
        <v>6433</v>
      </c>
      <c r="P715" s="227">
        <v>2022</v>
      </c>
      <c r="Q715" s="250" t="s">
        <v>3499</v>
      </c>
      <c r="R715" s="250" t="s">
        <v>3503</v>
      </c>
    </row>
    <row r="716" spans="1:18" ht="15.75" thickBot="1" x14ac:dyDescent="0.3">
      <c r="A716" s="93" t="s">
        <v>1910</v>
      </c>
      <c r="B716" s="424" t="s">
        <v>1910</v>
      </c>
      <c r="C716" s="424" t="str">
        <f t="shared" si="26"/>
        <v>X</v>
      </c>
      <c r="D716" s="425" t="s">
        <v>2982</v>
      </c>
      <c r="E716" s="93"/>
      <c r="F716" s="93"/>
      <c r="G716" s="93"/>
      <c r="H716" s="93"/>
      <c r="I716" s="165">
        <v>45147.38</v>
      </c>
      <c r="J716" s="425"/>
      <c r="K716" s="93"/>
      <c r="L716" s="271">
        <v>2023</v>
      </c>
      <c r="M716" s="227" t="s">
        <v>1890</v>
      </c>
      <c r="N716" s="422" t="s">
        <v>6432</v>
      </c>
      <c r="O716" s="422" t="s">
        <v>6433</v>
      </c>
      <c r="P716" s="227">
        <v>2022</v>
      </c>
      <c r="Q716" s="250" t="s">
        <v>3499</v>
      </c>
      <c r="R716" s="250" t="s">
        <v>3503</v>
      </c>
    </row>
    <row r="717" spans="1:18" ht="15.75" thickBot="1" x14ac:dyDescent="0.3">
      <c r="A717" s="93" t="s">
        <v>1910</v>
      </c>
      <c r="B717" s="424" t="s">
        <v>1910</v>
      </c>
      <c r="C717" s="424" t="str">
        <f t="shared" si="26"/>
        <v>X</v>
      </c>
      <c r="D717" s="425" t="s">
        <v>2982</v>
      </c>
      <c r="E717" s="93"/>
      <c r="F717" s="93"/>
      <c r="G717" s="93"/>
      <c r="H717" s="93"/>
      <c r="I717" s="165">
        <v>96604.82</v>
      </c>
      <c r="J717" s="425"/>
      <c r="K717" s="93"/>
      <c r="L717" s="271">
        <v>2023</v>
      </c>
      <c r="M717" s="227" t="s">
        <v>1890</v>
      </c>
      <c r="N717" s="422" t="s">
        <v>6432</v>
      </c>
      <c r="O717" s="422" t="s">
        <v>6433</v>
      </c>
      <c r="P717" s="227">
        <v>2022</v>
      </c>
      <c r="Q717" s="250" t="s">
        <v>3499</v>
      </c>
      <c r="R717" s="250" t="s">
        <v>3503</v>
      </c>
    </row>
    <row r="718" spans="1:18" ht="15.75" thickBot="1" x14ac:dyDescent="0.3">
      <c r="A718" s="93" t="s">
        <v>1910</v>
      </c>
      <c r="B718" s="424" t="s">
        <v>1910</v>
      </c>
      <c r="C718" s="424" t="str">
        <f t="shared" si="26"/>
        <v>X</v>
      </c>
      <c r="D718" s="425" t="s">
        <v>2982</v>
      </c>
      <c r="E718" s="93"/>
      <c r="F718" s="93"/>
      <c r="G718" s="93"/>
      <c r="H718" s="93"/>
      <c r="I718" s="165">
        <v>24644.6</v>
      </c>
      <c r="J718" s="425"/>
      <c r="K718" s="93"/>
      <c r="L718" s="271">
        <v>2023</v>
      </c>
      <c r="M718" s="227" t="s">
        <v>1890</v>
      </c>
      <c r="N718" s="422" t="s">
        <v>6432</v>
      </c>
      <c r="O718" s="422" t="s">
        <v>6433</v>
      </c>
      <c r="P718" s="227">
        <v>2022</v>
      </c>
      <c r="Q718" s="250" t="s">
        <v>3499</v>
      </c>
      <c r="R718" s="250" t="s">
        <v>3503</v>
      </c>
    </row>
    <row r="719" spans="1:18" ht="15.75" thickBot="1" x14ac:dyDescent="0.3">
      <c r="A719" s="93" t="s">
        <v>1910</v>
      </c>
      <c r="B719" s="424" t="s">
        <v>1910</v>
      </c>
      <c r="C719" s="424" t="str">
        <f t="shared" si="26"/>
        <v>X</v>
      </c>
      <c r="D719" s="425" t="s">
        <v>2982</v>
      </c>
      <c r="E719" s="93"/>
      <c r="F719" s="93"/>
      <c r="G719" s="93"/>
      <c r="H719" s="93"/>
      <c r="I719" s="165">
        <v>46249.24</v>
      </c>
      <c r="J719" s="425"/>
      <c r="K719" s="93"/>
      <c r="L719" s="271">
        <v>2023</v>
      </c>
      <c r="M719" s="227" t="s">
        <v>1890</v>
      </c>
      <c r="N719" s="422" t="s">
        <v>6432</v>
      </c>
      <c r="O719" s="422" t="s">
        <v>6433</v>
      </c>
      <c r="P719" s="227">
        <v>2022</v>
      </c>
      <c r="Q719" s="250" t="s">
        <v>3499</v>
      </c>
      <c r="R719" s="250" t="s">
        <v>3503</v>
      </c>
    </row>
    <row r="720" spans="1:18" ht="15.75" thickBot="1" x14ac:dyDescent="0.3">
      <c r="A720" s="93" t="s">
        <v>1910</v>
      </c>
      <c r="B720" s="424" t="s">
        <v>1910</v>
      </c>
      <c r="C720" s="424" t="str">
        <f t="shared" si="26"/>
        <v>X</v>
      </c>
      <c r="D720" s="425" t="s">
        <v>2982</v>
      </c>
      <c r="E720" s="93"/>
      <c r="F720" s="93"/>
      <c r="G720" s="93"/>
      <c r="H720" s="93"/>
      <c r="I720" s="165">
        <v>2689.71</v>
      </c>
      <c r="J720" s="425"/>
      <c r="K720" s="93"/>
      <c r="L720" s="271">
        <v>2023</v>
      </c>
      <c r="M720" s="227" t="s">
        <v>1890</v>
      </c>
      <c r="N720" s="422" t="s">
        <v>6432</v>
      </c>
      <c r="O720" s="422" t="s">
        <v>6433</v>
      </c>
      <c r="P720" s="227">
        <v>2022</v>
      </c>
      <c r="Q720" s="250" t="s">
        <v>3499</v>
      </c>
      <c r="R720" s="250" t="s">
        <v>3503</v>
      </c>
    </row>
    <row r="721" spans="1:18" ht="15.75" thickBot="1" x14ac:dyDescent="0.3">
      <c r="A721" s="93" t="s">
        <v>1910</v>
      </c>
      <c r="B721" s="424" t="s">
        <v>1910</v>
      </c>
      <c r="C721" s="424" t="str">
        <f t="shared" si="26"/>
        <v>X</v>
      </c>
      <c r="D721" s="425" t="s">
        <v>2982</v>
      </c>
      <c r="E721" s="93"/>
      <c r="F721" s="93"/>
      <c r="G721" s="93"/>
      <c r="H721" s="93"/>
      <c r="I721" s="165">
        <v>146485.87</v>
      </c>
      <c r="J721" s="425"/>
      <c r="K721" s="93"/>
      <c r="L721" s="271">
        <v>2023</v>
      </c>
      <c r="M721" s="227" t="s">
        <v>1890</v>
      </c>
      <c r="N721" s="422" t="s">
        <v>6432</v>
      </c>
      <c r="O721" s="422" t="s">
        <v>6433</v>
      </c>
      <c r="P721" s="227">
        <v>2022</v>
      </c>
      <c r="Q721" s="250" t="s">
        <v>3499</v>
      </c>
      <c r="R721" s="250" t="s">
        <v>3503</v>
      </c>
    </row>
    <row r="722" spans="1:18" ht="15.75" thickBot="1" x14ac:dyDescent="0.3">
      <c r="A722" s="93" t="s">
        <v>1910</v>
      </c>
      <c r="B722" s="424" t="s">
        <v>1910</v>
      </c>
      <c r="C722" s="424" t="str">
        <f t="shared" si="26"/>
        <v>X</v>
      </c>
      <c r="D722" s="425" t="s">
        <v>2982</v>
      </c>
      <c r="E722" s="93"/>
      <c r="F722" s="93"/>
      <c r="G722" s="93"/>
      <c r="H722" s="93"/>
      <c r="I722" s="165">
        <v>3095.92</v>
      </c>
      <c r="J722" s="425"/>
      <c r="K722" s="93"/>
      <c r="L722" s="271">
        <v>2023</v>
      </c>
      <c r="M722" s="227" t="s">
        <v>1890</v>
      </c>
      <c r="N722" s="422" t="s">
        <v>6432</v>
      </c>
      <c r="O722" s="422" t="s">
        <v>6433</v>
      </c>
      <c r="P722" s="227">
        <v>2022</v>
      </c>
      <c r="Q722" s="250" t="s">
        <v>3499</v>
      </c>
      <c r="R722" s="250" t="s">
        <v>3503</v>
      </c>
    </row>
    <row r="723" spans="1:18" ht="15.75" thickBot="1" x14ac:dyDescent="0.3">
      <c r="A723" s="93" t="s">
        <v>1910</v>
      </c>
      <c r="B723" s="424" t="s">
        <v>1910</v>
      </c>
      <c r="C723" s="424" t="str">
        <f t="shared" si="26"/>
        <v>X</v>
      </c>
      <c r="D723" s="425" t="s">
        <v>2982</v>
      </c>
      <c r="E723" s="93"/>
      <c r="F723" s="93"/>
      <c r="G723" s="93"/>
      <c r="H723" s="93"/>
      <c r="I723" s="165">
        <v>1738.71</v>
      </c>
      <c r="J723" s="425"/>
      <c r="K723" s="93"/>
      <c r="L723" s="271">
        <v>2023</v>
      </c>
      <c r="M723" s="227" t="s">
        <v>1890</v>
      </c>
      <c r="N723" s="422" t="s">
        <v>6432</v>
      </c>
      <c r="O723" s="422" t="s">
        <v>6433</v>
      </c>
      <c r="P723" s="227">
        <v>2022</v>
      </c>
      <c r="Q723" s="250" t="s">
        <v>3499</v>
      </c>
      <c r="R723" s="250" t="s">
        <v>3503</v>
      </c>
    </row>
    <row r="724" spans="1:18" ht="15.75" thickBot="1" x14ac:dyDescent="0.3">
      <c r="A724" s="93" t="s">
        <v>1910</v>
      </c>
      <c r="B724" s="424" t="s">
        <v>1910</v>
      </c>
      <c r="C724" s="424" t="str">
        <f t="shared" si="26"/>
        <v>X</v>
      </c>
      <c r="D724" s="425" t="s">
        <v>2982</v>
      </c>
      <c r="E724" s="93"/>
      <c r="F724" s="93"/>
      <c r="G724" s="93"/>
      <c r="H724" s="93"/>
      <c r="I724" s="165">
        <v>86.1</v>
      </c>
      <c r="J724" s="425"/>
      <c r="K724" s="93"/>
      <c r="L724" s="271">
        <v>2023</v>
      </c>
      <c r="M724" s="227" t="s">
        <v>1890</v>
      </c>
      <c r="N724" s="422" t="s">
        <v>6432</v>
      </c>
      <c r="O724" s="422" t="s">
        <v>6433</v>
      </c>
      <c r="P724" s="227">
        <v>2022</v>
      </c>
      <c r="Q724" s="250" t="s">
        <v>3499</v>
      </c>
      <c r="R724" s="250" t="s">
        <v>3503</v>
      </c>
    </row>
    <row r="725" spans="1:18" ht="15.75" thickBot="1" x14ac:dyDescent="0.3">
      <c r="A725" s="93" t="s">
        <v>1910</v>
      </c>
      <c r="B725" s="424" t="s">
        <v>1910</v>
      </c>
      <c r="C725" s="424" t="str">
        <f t="shared" si="26"/>
        <v>X</v>
      </c>
      <c r="D725" s="425" t="s">
        <v>2982</v>
      </c>
      <c r="E725" s="93"/>
      <c r="F725" s="93"/>
      <c r="G725" s="93"/>
      <c r="H725" s="93"/>
      <c r="I725" s="165">
        <v>757.51</v>
      </c>
      <c r="J725" s="425"/>
      <c r="K725" s="93"/>
      <c r="L725" s="271">
        <v>2023</v>
      </c>
      <c r="M725" s="227" t="s">
        <v>1890</v>
      </c>
      <c r="N725" s="422" t="s">
        <v>6432</v>
      </c>
      <c r="O725" s="422" t="s">
        <v>6433</v>
      </c>
      <c r="P725" s="227">
        <v>2022</v>
      </c>
      <c r="Q725" s="250" t="s">
        <v>3499</v>
      </c>
      <c r="R725" s="250" t="s">
        <v>3503</v>
      </c>
    </row>
    <row r="726" spans="1:18" ht="15.75" thickBot="1" x14ac:dyDescent="0.3">
      <c r="A726" s="93" t="s">
        <v>1910</v>
      </c>
      <c r="B726" s="424" t="s">
        <v>1910</v>
      </c>
      <c r="C726" s="424" t="str">
        <f t="shared" si="26"/>
        <v>X</v>
      </c>
      <c r="D726" s="425" t="s">
        <v>2982</v>
      </c>
      <c r="E726" s="93"/>
      <c r="F726" s="93"/>
      <c r="G726" s="93"/>
      <c r="H726" s="93"/>
      <c r="I726" s="165">
        <v>2202.4699999999998</v>
      </c>
      <c r="J726" s="425"/>
      <c r="K726" s="93"/>
      <c r="L726" s="271">
        <v>2023</v>
      </c>
      <c r="M726" s="227" t="s">
        <v>1890</v>
      </c>
      <c r="N726" s="422" t="s">
        <v>6432</v>
      </c>
      <c r="O726" s="422" t="s">
        <v>6433</v>
      </c>
      <c r="P726" s="227">
        <v>2022</v>
      </c>
      <c r="Q726" s="250" t="s">
        <v>3499</v>
      </c>
      <c r="R726" s="250" t="s">
        <v>3503</v>
      </c>
    </row>
    <row r="727" spans="1:18" ht="15.75" thickBot="1" x14ac:dyDescent="0.3">
      <c r="A727" s="93" t="s">
        <v>1910</v>
      </c>
      <c r="B727" s="424" t="s">
        <v>1910</v>
      </c>
      <c r="C727" s="424" t="str">
        <f t="shared" si="26"/>
        <v>X</v>
      </c>
      <c r="D727" s="425" t="s">
        <v>2982</v>
      </c>
      <c r="E727" s="93"/>
      <c r="F727" s="93"/>
      <c r="G727" s="93"/>
      <c r="H727" s="93"/>
      <c r="I727" s="165">
        <v>40845.760000000002</v>
      </c>
      <c r="J727" s="425"/>
      <c r="K727" s="93"/>
      <c r="L727" s="271">
        <v>2023</v>
      </c>
      <c r="M727" s="227" t="s">
        <v>1890</v>
      </c>
      <c r="N727" s="422" t="s">
        <v>6432</v>
      </c>
      <c r="O727" s="422" t="s">
        <v>6433</v>
      </c>
      <c r="P727" s="227">
        <v>2022</v>
      </c>
      <c r="Q727" s="250" t="s">
        <v>3499</v>
      </c>
      <c r="R727" s="250" t="s">
        <v>3503</v>
      </c>
    </row>
    <row r="728" spans="1:18" ht="15.75" thickBot="1" x14ac:dyDescent="0.3">
      <c r="A728" s="93" t="s">
        <v>1910</v>
      </c>
      <c r="B728" s="424" t="s">
        <v>1910</v>
      </c>
      <c r="C728" s="424" t="str">
        <f t="shared" si="26"/>
        <v>X</v>
      </c>
      <c r="D728" s="425" t="s">
        <v>2982</v>
      </c>
      <c r="E728" s="93"/>
      <c r="F728" s="93"/>
      <c r="G728" s="93"/>
      <c r="H728" s="93"/>
      <c r="I728" s="165">
        <v>7743.3</v>
      </c>
      <c r="J728" s="425"/>
      <c r="K728" s="93"/>
      <c r="L728" s="271">
        <v>2023</v>
      </c>
      <c r="M728" s="227" t="s">
        <v>1890</v>
      </c>
      <c r="N728" s="422" t="s">
        <v>6432</v>
      </c>
      <c r="O728" s="422" t="s">
        <v>6433</v>
      </c>
      <c r="P728" s="227">
        <v>2022</v>
      </c>
      <c r="Q728" s="250" t="s">
        <v>3499</v>
      </c>
      <c r="R728" s="250" t="s">
        <v>3503</v>
      </c>
    </row>
    <row r="729" spans="1:18" ht="15.75" thickBot="1" x14ac:dyDescent="0.3">
      <c r="A729" s="93" t="s">
        <v>1910</v>
      </c>
      <c r="B729" s="424" t="s">
        <v>1910</v>
      </c>
      <c r="C729" s="424" t="str">
        <f t="shared" si="26"/>
        <v>X</v>
      </c>
      <c r="D729" s="425" t="s">
        <v>2982</v>
      </c>
      <c r="E729" s="93"/>
      <c r="F729" s="93"/>
      <c r="G729" s="93"/>
      <c r="H729" s="93"/>
      <c r="I729" s="165">
        <v>72698.52</v>
      </c>
      <c r="J729" s="425"/>
      <c r="K729" s="93"/>
      <c r="L729" s="271">
        <v>2023</v>
      </c>
      <c r="M729" s="227" t="s">
        <v>1890</v>
      </c>
      <c r="N729" s="422" t="s">
        <v>6432</v>
      </c>
      <c r="O729" s="422" t="s">
        <v>6433</v>
      </c>
      <c r="P729" s="227">
        <v>2022</v>
      </c>
      <c r="Q729" s="250" t="s">
        <v>3499</v>
      </c>
      <c r="R729" s="250" t="s">
        <v>3503</v>
      </c>
    </row>
    <row r="730" spans="1:18" ht="15.75" thickBot="1" x14ac:dyDescent="0.3">
      <c r="A730" s="93" t="s">
        <v>1910</v>
      </c>
      <c r="B730" s="424" t="s">
        <v>1910</v>
      </c>
      <c r="C730" s="424" t="str">
        <f t="shared" si="26"/>
        <v>X</v>
      </c>
      <c r="D730" s="425" t="s">
        <v>2982</v>
      </c>
      <c r="E730" s="93"/>
      <c r="F730" s="93"/>
      <c r="G730" s="93"/>
      <c r="H730" s="93"/>
      <c r="I730" s="165">
        <v>715.22</v>
      </c>
      <c r="J730" s="425"/>
      <c r="K730" s="93"/>
      <c r="L730" s="271">
        <v>2023</v>
      </c>
      <c r="M730" s="227" t="s">
        <v>1890</v>
      </c>
      <c r="N730" s="422" t="s">
        <v>6432</v>
      </c>
      <c r="O730" s="422" t="s">
        <v>6433</v>
      </c>
      <c r="P730" s="227">
        <v>2022</v>
      </c>
      <c r="Q730" s="250" t="s">
        <v>3499</v>
      </c>
      <c r="R730" s="250" t="s">
        <v>3503</v>
      </c>
    </row>
    <row r="731" spans="1:18" ht="15.75" thickBot="1" x14ac:dyDescent="0.3">
      <c r="A731" s="93" t="s">
        <v>1910</v>
      </c>
      <c r="B731" s="424" t="s">
        <v>1910</v>
      </c>
      <c r="C731" s="424" t="str">
        <f t="shared" si="26"/>
        <v>X</v>
      </c>
      <c r="D731" s="425" t="s">
        <v>2982</v>
      </c>
      <c r="E731" s="93"/>
      <c r="F731" s="93"/>
      <c r="G731" s="93"/>
      <c r="H731" s="93"/>
      <c r="I731" s="165">
        <v>4909.9799999999996</v>
      </c>
      <c r="J731" s="425"/>
      <c r="K731" s="93"/>
      <c r="L731" s="271">
        <v>2023</v>
      </c>
      <c r="M731" s="227" t="s">
        <v>1890</v>
      </c>
      <c r="N731" s="422" t="s">
        <v>6432</v>
      </c>
      <c r="O731" s="422" t="s">
        <v>6433</v>
      </c>
      <c r="P731" s="227">
        <v>2022</v>
      </c>
      <c r="Q731" s="250" t="s">
        <v>3499</v>
      </c>
      <c r="R731" s="250" t="s">
        <v>3503</v>
      </c>
    </row>
    <row r="732" spans="1:18" ht="15.75" thickBot="1" x14ac:dyDescent="0.3">
      <c r="A732" s="93" t="s">
        <v>1910</v>
      </c>
      <c r="B732" s="424" t="s">
        <v>1910</v>
      </c>
      <c r="C732" s="424" t="str">
        <f t="shared" si="26"/>
        <v>X</v>
      </c>
      <c r="D732" s="425" t="s">
        <v>2982</v>
      </c>
      <c r="E732" s="93"/>
      <c r="F732" s="93"/>
      <c r="G732" s="93"/>
      <c r="H732" s="93"/>
      <c r="I732" s="165">
        <v>235028.9</v>
      </c>
      <c r="J732" s="425"/>
      <c r="K732" s="93"/>
      <c r="L732" s="271">
        <v>2023</v>
      </c>
      <c r="M732" s="227" t="s">
        <v>1890</v>
      </c>
      <c r="N732" s="422" t="s">
        <v>6432</v>
      </c>
      <c r="O732" s="422" t="s">
        <v>6433</v>
      </c>
      <c r="P732" s="227">
        <v>2022</v>
      </c>
      <c r="Q732" s="250" t="s">
        <v>3499</v>
      </c>
      <c r="R732" s="250" t="s">
        <v>3503</v>
      </c>
    </row>
    <row r="733" spans="1:18" ht="15.75" thickBot="1" x14ac:dyDescent="0.3">
      <c r="A733" s="93" t="s">
        <v>1910</v>
      </c>
      <c r="B733" s="424" t="s">
        <v>1910</v>
      </c>
      <c r="C733" s="424" t="str">
        <f t="shared" si="26"/>
        <v>X</v>
      </c>
      <c r="D733" s="425" t="s">
        <v>2982</v>
      </c>
      <c r="E733" s="93"/>
      <c r="F733" s="93"/>
      <c r="G733" s="93"/>
      <c r="H733" s="93"/>
      <c r="I733" s="165">
        <v>12699.29</v>
      </c>
      <c r="J733" s="425"/>
      <c r="K733" s="93"/>
      <c r="L733" s="271">
        <v>2023</v>
      </c>
      <c r="M733" s="227" t="s">
        <v>1890</v>
      </c>
      <c r="N733" s="422" t="s">
        <v>6432</v>
      </c>
      <c r="O733" s="422" t="s">
        <v>6433</v>
      </c>
      <c r="P733" s="227">
        <v>2022</v>
      </c>
      <c r="Q733" s="250" t="s">
        <v>3499</v>
      </c>
      <c r="R733" s="250" t="s">
        <v>3503</v>
      </c>
    </row>
    <row r="734" spans="1:18" ht="15.75" thickBot="1" x14ac:dyDescent="0.3">
      <c r="A734" s="93" t="s">
        <v>1910</v>
      </c>
      <c r="B734" s="424" t="s">
        <v>1910</v>
      </c>
      <c r="C734" s="424" t="str">
        <f t="shared" si="26"/>
        <v>X</v>
      </c>
      <c r="D734" s="425" t="s">
        <v>2982</v>
      </c>
      <c r="E734" s="93"/>
      <c r="F734" s="93"/>
      <c r="G734" s="93"/>
      <c r="H734" s="93"/>
      <c r="I734" s="165">
        <v>24033.63</v>
      </c>
      <c r="J734" s="425"/>
      <c r="K734" s="93"/>
      <c r="L734" s="271">
        <v>2023</v>
      </c>
      <c r="M734" s="227" t="s">
        <v>1890</v>
      </c>
      <c r="N734" s="422" t="s">
        <v>6432</v>
      </c>
      <c r="O734" s="422" t="s">
        <v>6433</v>
      </c>
      <c r="P734" s="227">
        <v>2022</v>
      </c>
      <c r="Q734" s="250" t="s">
        <v>3499</v>
      </c>
      <c r="R734" s="250" t="s">
        <v>3503</v>
      </c>
    </row>
    <row r="735" spans="1:18" ht="15.75" thickBot="1" x14ac:dyDescent="0.3">
      <c r="A735" s="93" t="s">
        <v>1910</v>
      </c>
      <c r="B735" s="424" t="s">
        <v>1910</v>
      </c>
      <c r="C735" s="424" t="str">
        <f t="shared" si="26"/>
        <v>X</v>
      </c>
      <c r="D735" s="425" t="s">
        <v>2982</v>
      </c>
      <c r="E735" s="93"/>
      <c r="F735" s="93"/>
      <c r="G735" s="93"/>
      <c r="H735" s="93"/>
      <c r="I735" s="165">
        <v>2695.91</v>
      </c>
      <c r="J735" s="458"/>
      <c r="K735" s="93"/>
      <c r="L735" s="271">
        <v>2023</v>
      </c>
      <c r="M735" s="227" t="s">
        <v>1890</v>
      </c>
      <c r="N735" s="422" t="s">
        <v>6432</v>
      </c>
      <c r="O735" s="422" t="s">
        <v>6433</v>
      </c>
      <c r="P735" s="227">
        <v>2022</v>
      </c>
      <c r="Q735" s="250" t="s">
        <v>3499</v>
      </c>
      <c r="R735" s="250" t="s">
        <v>3503</v>
      </c>
    </row>
    <row r="736" spans="1:18" ht="15.75" thickBot="1" x14ac:dyDescent="0.3">
      <c r="A736" s="93" t="s">
        <v>1910</v>
      </c>
      <c r="B736" s="424" t="s">
        <v>1910</v>
      </c>
      <c r="C736" s="424" t="str">
        <f t="shared" si="26"/>
        <v>X</v>
      </c>
      <c r="D736" s="425" t="s">
        <v>2982</v>
      </c>
      <c r="E736" s="93"/>
      <c r="F736" s="93"/>
      <c r="G736" s="93"/>
      <c r="H736" s="93"/>
      <c r="I736" s="165">
        <v>67059.5</v>
      </c>
      <c r="J736" s="458"/>
      <c r="K736" s="93"/>
      <c r="L736" s="271">
        <v>2023</v>
      </c>
      <c r="M736" s="227" t="s">
        <v>1890</v>
      </c>
      <c r="N736" s="422" t="s">
        <v>6432</v>
      </c>
      <c r="O736" s="422" t="s">
        <v>6433</v>
      </c>
      <c r="P736" s="227">
        <v>2022</v>
      </c>
      <c r="Q736" s="250" t="s">
        <v>3499</v>
      </c>
      <c r="R736" s="250" t="s">
        <v>3503</v>
      </c>
    </row>
    <row r="737" spans="1:18" ht="15.75" thickBot="1" x14ac:dyDescent="0.3">
      <c r="A737" s="93" t="s">
        <v>1910</v>
      </c>
      <c r="B737" s="424" t="s">
        <v>1910</v>
      </c>
      <c r="C737" s="424" t="str">
        <f t="shared" si="26"/>
        <v>X</v>
      </c>
      <c r="D737" s="425" t="s">
        <v>2982</v>
      </c>
      <c r="E737" s="93"/>
      <c r="F737" s="93"/>
      <c r="G737" s="93"/>
      <c r="H737" s="93"/>
      <c r="I737" s="165">
        <v>1561.16</v>
      </c>
      <c r="J737" s="458"/>
      <c r="K737" s="93"/>
      <c r="L737" s="271">
        <v>2023</v>
      </c>
      <c r="M737" s="227" t="s">
        <v>1890</v>
      </c>
      <c r="N737" s="422" t="s">
        <v>6432</v>
      </c>
      <c r="O737" s="422" t="s">
        <v>6433</v>
      </c>
      <c r="P737" s="227">
        <v>2022</v>
      </c>
      <c r="Q737" s="250" t="s">
        <v>3499</v>
      </c>
      <c r="R737" s="250" t="s">
        <v>3503</v>
      </c>
    </row>
    <row r="738" spans="1:18" ht="15.75" thickBot="1" x14ac:dyDescent="0.3">
      <c r="A738" s="93" t="s">
        <v>1910</v>
      </c>
      <c r="B738" s="424" t="s">
        <v>1910</v>
      </c>
      <c r="C738" s="424" t="str">
        <f t="shared" si="26"/>
        <v>X</v>
      </c>
      <c r="D738" s="425" t="s">
        <v>2982</v>
      </c>
      <c r="E738" s="93"/>
      <c r="F738" s="93"/>
      <c r="G738" s="93"/>
      <c r="H738" s="93"/>
      <c r="I738" s="165">
        <v>164516.95000000001</v>
      </c>
      <c r="J738" s="458"/>
      <c r="K738" s="93"/>
      <c r="L738" s="271">
        <v>2023</v>
      </c>
      <c r="M738" s="227" t="s">
        <v>1890</v>
      </c>
      <c r="N738" s="422" t="s">
        <v>6432</v>
      </c>
      <c r="O738" s="422" t="s">
        <v>6433</v>
      </c>
      <c r="P738" s="227">
        <v>2022</v>
      </c>
      <c r="Q738" s="250" t="s">
        <v>3499</v>
      </c>
      <c r="R738" s="250" t="s">
        <v>3503</v>
      </c>
    </row>
    <row r="739" spans="1:18" ht="15.75" thickBot="1" x14ac:dyDescent="0.3">
      <c r="A739" s="93" t="s">
        <v>1910</v>
      </c>
      <c r="B739" s="424" t="s">
        <v>1910</v>
      </c>
      <c r="C739" s="424" t="str">
        <f t="shared" si="26"/>
        <v>X</v>
      </c>
      <c r="D739" s="425" t="s">
        <v>1658</v>
      </c>
      <c r="E739" s="422"/>
      <c r="F739" s="422"/>
      <c r="G739" s="422"/>
      <c r="H739" s="422"/>
      <c r="I739" s="165">
        <v>392.68</v>
      </c>
      <c r="J739" s="458"/>
      <c r="K739" s="422"/>
      <c r="L739" s="271">
        <v>2023</v>
      </c>
      <c r="M739" s="227" t="s">
        <v>1890</v>
      </c>
      <c r="N739" s="422" t="s">
        <v>6436</v>
      </c>
      <c r="O739" s="422" t="s">
        <v>6437</v>
      </c>
      <c r="P739" s="227">
        <v>2022</v>
      </c>
      <c r="Q739" s="250" t="s">
        <v>3499</v>
      </c>
      <c r="R739" s="250" t="s">
        <v>3503</v>
      </c>
    </row>
    <row r="740" spans="1:18" s="283" customFormat="1" ht="15.75" thickBot="1" x14ac:dyDescent="0.3">
      <c r="A740" s="422" t="s">
        <v>1910</v>
      </c>
      <c r="B740" s="424" t="s">
        <v>1910</v>
      </c>
      <c r="C740" s="424" t="str">
        <f t="shared" si="26"/>
        <v>X</v>
      </c>
      <c r="D740" s="425" t="s">
        <v>1659</v>
      </c>
      <c r="E740" s="422"/>
      <c r="F740" s="422"/>
      <c r="G740" s="422"/>
      <c r="H740" s="422"/>
      <c r="I740" s="165">
        <v>6950.89</v>
      </c>
      <c r="J740" s="458"/>
      <c r="K740" s="422"/>
      <c r="L740" s="271">
        <v>2023</v>
      </c>
      <c r="M740" s="227" t="s">
        <v>1890</v>
      </c>
      <c r="N740" s="422" t="s">
        <v>6443</v>
      </c>
      <c r="O740" s="422" t="s">
        <v>6444</v>
      </c>
      <c r="P740" s="227">
        <v>2022</v>
      </c>
      <c r="Q740" s="250" t="s">
        <v>3499</v>
      </c>
      <c r="R740" s="250" t="s">
        <v>3503</v>
      </c>
    </row>
    <row r="741" spans="1:18" ht="15.75" thickBot="1" x14ac:dyDescent="0.3">
      <c r="A741" s="422" t="s">
        <v>1910</v>
      </c>
      <c r="B741" s="424" t="s">
        <v>1910</v>
      </c>
      <c r="C741" s="424" t="str">
        <f t="shared" si="26"/>
        <v>X</v>
      </c>
      <c r="D741" s="425" t="s">
        <v>1659</v>
      </c>
      <c r="E741" s="422"/>
      <c r="F741" s="422"/>
      <c r="G741" s="422"/>
      <c r="H741" s="422"/>
      <c r="I741" s="165">
        <v>678.85</v>
      </c>
      <c r="J741" s="458"/>
      <c r="K741" s="422"/>
      <c r="L741" s="271">
        <v>2023</v>
      </c>
      <c r="M741" s="227" t="s">
        <v>1890</v>
      </c>
      <c r="N741" s="422" t="s">
        <v>6443</v>
      </c>
      <c r="O741" s="422" t="s">
        <v>6444</v>
      </c>
      <c r="P741" s="227">
        <v>2022</v>
      </c>
      <c r="Q741" s="250" t="s">
        <v>3499</v>
      </c>
      <c r="R741" s="250" t="s">
        <v>3503</v>
      </c>
    </row>
    <row r="742" spans="1:18" ht="15.75" thickBot="1" x14ac:dyDescent="0.3">
      <c r="A742" s="422" t="s">
        <v>1910</v>
      </c>
      <c r="B742" s="424" t="s">
        <v>1910</v>
      </c>
      <c r="C742" s="424" t="str">
        <f t="shared" si="26"/>
        <v>X</v>
      </c>
      <c r="D742" s="425" t="s">
        <v>1659</v>
      </c>
      <c r="E742" s="422"/>
      <c r="F742" s="422"/>
      <c r="G742" s="422"/>
      <c r="H742" s="422"/>
      <c r="I742" s="165">
        <v>39640.68</v>
      </c>
      <c r="J742" s="458"/>
      <c r="K742" s="422"/>
      <c r="L742" s="271">
        <v>2023</v>
      </c>
      <c r="M742" s="227" t="s">
        <v>1890</v>
      </c>
      <c r="N742" s="422" t="s">
        <v>6443</v>
      </c>
      <c r="O742" s="422" t="s">
        <v>6444</v>
      </c>
      <c r="P742" s="227">
        <v>2022</v>
      </c>
      <c r="Q742" s="250" t="s">
        <v>3499</v>
      </c>
      <c r="R742" s="250" t="s">
        <v>3503</v>
      </c>
    </row>
    <row r="743" spans="1:18" ht="15.75" thickBot="1" x14ac:dyDescent="0.3">
      <c r="A743" s="422" t="s">
        <v>1910</v>
      </c>
      <c r="B743" s="424" t="s">
        <v>1910</v>
      </c>
      <c r="C743" s="424" t="str">
        <f t="shared" si="26"/>
        <v>X</v>
      </c>
      <c r="D743" s="425" t="s">
        <v>1659</v>
      </c>
      <c r="E743" s="422"/>
      <c r="F743" s="422"/>
      <c r="G743" s="422"/>
      <c r="H743" s="422"/>
      <c r="I743" s="165">
        <v>1857.57</v>
      </c>
      <c r="J743" s="458"/>
      <c r="K743" s="422"/>
      <c r="L743" s="271">
        <v>2023</v>
      </c>
      <c r="M743" s="227" t="s">
        <v>1890</v>
      </c>
      <c r="N743" s="422" t="s">
        <v>6443</v>
      </c>
      <c r="O743" s="422" t="s">
        <v>6444</v>
      </c>
      <c r="P743" s="227">
        <v>2022</v>
      </c>
      <c r="Q743" s="250" t="s">
        <v>3499</v>
      </c>
      <c r="R743" s="250" t="s">
        <v>3503</v>
      </c>
    </row>
    <row r="744" spans="1:18" ht="15.75" thickBot="1" x14ac:dyDescent="0.3">
      <c r="A744" s="422" t="s">
        <v>1910</v>
      </c>
      <c r="B744" s="424" t="s">
        <v>1910</v>
      </c>
      <c r="C744" s="424" t="str">
        <f t="shared" si="26"/>
        <v>X</v>
      </c>
      <c r="D744" s="425" t="s">
        <v>1681</v>
      </c>
      <c r="E744" s="422"/>
      <c r="F744" s="422"/>
      <c r="G744" s="422"/>
      <c r="H744" s="422"/>
      <c r="I744" s="165">
        <v>139218.75</v>
      </c>
      <c r="J744" s="458"/>
      <c r="K744" s="422"/>
      <c r="L744" s="271">
        <v>2023</v>
      </c>
      <c r="M744" s="227" t="s">
        <v>1890</v>
      </c>
      <c r="N744" s="422" t="s">
        <v>1681</v>
      </c>
      <c r="O744" s="422" t="s">
        <v>6431</v>
      </c>
      <c r="P744" s="227">
        <v>2022</v>
      </c>
      <c r="Q744" s="250" t="s">
        <v>3499</v>
      </c>
      <c r="R744" s="250" t="s">
        <v>3503</v>
      </c>
    </row>
    <row r="745" spans="1:18" ht="15.75" thickBot="1" x14ac:dyDescent="0.3">
      <c r="A745" s="422" t="s">
        <v>1910</v>
      </c>
      <c r="B745" s="424" t="s">
        <v>1910</v>
      </c>
      <c r="C745" s="424" t="str">
        <f t="shared" si="26"/>
        <v>X</v>
      </c>
      <c r="D745" s="425" t="s">
        <v>1681</v>
      </c>
      <c r="E745" s="422"/>
      <c r="F745" s="422"/>
      <c r="G745" s="422"/>
      <c r="H745" s="422"/>
      <c r="I745" s="165">
        <v>82346.75</v>
      </c>
      <c r="J745" s="458"/>
      <c r="K745" s="422"/>
      <c r="L745" s="271">
        <v>2023</v>
      </c>
      <c r="M745" s="227" t="s">
        <v>1890</v>
      </c>
      <c r="N745" s="422" t="s">
        <v>1681</v>
      </c>
      <c r="O745" s="422" t="s">
        <v>6431</v>
      </c>
      <c r="P745" s="227">
        <v>2022</v>
      </c>
      <c r="Q745" s="250" t="s">
        <v>3499</v>
      </c>
      <c r="R745" s="250" t="s">
        <v>3503</v>
      </c>
    </row>
    <row r="746" spans="1:18" ht="15.75" thickBot="1" x14ac:dyDescent="0.3">
      <c r="A746" s="422" t="s">
        <v>1910</v>
      </c>
      <c r="B746" s="424" t="s">
        <v>1910</v>
      </c>
      <c r="C746" s="424" t="str">
        <f t="shared" si="26"/>
        <v>X</v>
      </c>
      <c r="D746" s="425" t="s">
        <v>1681</v>
      </c>
      <c r="E746" s="422"/>
      <c r="F746" s="422"/>
      <c r="G746" s="422"/>
      <c r="H746" s="422"/>
      <c r="I746" s="165">
        <v>60971.07</v>
      </c>
      <c r="J746" s="458"/>
      <c r="K746" s="422"/>
      <c r="L746" s="271">
        <v>2023</v>
      </c>
      <c r="M746" s="227" t="s">
        <v>1890</v>
      </c>
      <c r="N746" s="422" t="s">
        <v>1681</v>
      </c>
      <c r="O746" s="422" t="s">
        <v>6431</v>
      </c>
      <c r="P746" s="227">
        <v>2022</v>
      </c>
      <c r="Q746" s="250" t="s">
        <v>3499</v>
      </c>
      <c r="R746" s="250" t="s">
        <v>3503</v>
      </c>
    </row>
    <row r="747" spans="1:18" ht="15.75" thickBot="1" x14ac:dyDescent="0.3">
      <c r="A747" s="93" t="s">
        <v>1910</v>
      </c>
      <c r="B747" s="424" t="s">
        <v>1910</v>
      </c>
      <c r="C747" s="424" t="str">
        <f t="shared" si="26"/>
        <v>X</v>
      </c>
      <c r="D747" s="425" t="s">
        <v>1655</v>
      </c>
      <c r="E747" s="93"/>
      <c r="F747" s="93"/>
      <c r="G747" s="422"/>
      <c r="H747" s="422"/>
      <c r="I747" s="165">
        <v>145950.12</v>
      </c>
      <c r="J747" s="458"/>
      <c r="K747" s="93"/>
      <c r="L747" s="271">
        <v>2023</v>
      </c>
      <c r="M747" s="227" t="s">
        <v>1890</v>
      </c>
      <c r="N747" s="422" t="s">
        <v>6439</v>
      </c>
      <c r="O747" s="422" t="s">
        <v>6440</v>
      </c>
      <c r="P747" s="227">
        <v>2022</v>
      </c>
      <c r="Q747" s="250" t="s">
        <v>3499</v>
      </c>
      <c r="R747" s="250" t="s">
        <v>3503</v>
      </c>
    </row>
    <row r="748" spans="1:18" ht="15.75" thickBot="1" x14ac:dyDescent="0.3">
      <c r="A748" s="93" t="s">
        <v>1916</v>
      </c>
      <c r="B748" s="424" t="s">
        <v>1916</v>
      </c>
      <c r="C748" s="424" t="str">
        <f t="shared" si="26"/>
        <v>X</v>
      </c>
      <c r="D748" s="425" t="s">
        <v>2982</v>
      </c>
      <c r="E748" s="93"/>
      <c r="F748" s="93"/>
      <c r="G748" s="93"/>
      <c r="H748" s="93"/>
      <c r="I748" s="165">
        <v>564021</v>
      </c>
      <c r="J748" s="458"/>
      <c r="K748" s="93"/>
      <c r="L748" s="271">
        <v>2023</v>
      </c>
      <c r="M748" s="227" t="s">
        <v>1890</v>
      </c>
      <c r="N748" s="422" t="s">
        <v>6432</v>
      </c>
      <c r="O748" s="422" t="s">
        <v>6433</v>
      </c>
      <c r="P748" s="227">
        <v>2022</v>
      </c>
      <c r="Q748" s="250" t="s">
        <v>3499</v>
      </c>
      <c r="R748" s="250" t="s">
        <v>3503</v>
      </c>
    </row>
    <row r="749" spans="1:18" ht="15.75" thickBot="1" x14ac:dyDescent="0.3">
      <c r="A749" s="93" t="s">
        <v>1916</v>
      </c>
      <c r="B749" s="424" t="s">
        <v>1916</v>
      </c>
      <c r="C749" s="424" t="str">
        <f t="shared" si="26"/>
        <v>X</v>
      </c>
      <c r="D749" s="425" t="s">
        <v>2982</v>
      </c>
      <c r="E749" s="93"/>
      <c r="F749" s="93"/>
      <c r="G749" s="93"/>
      <c r="H749" s="93"/>
      <c r="I749" s="165">
        <v>92107</v>
      </c>
      <c r="J749" s="458"/>
      <c r="K749" s="93"/>
      <c r="L749" s="271">
        <v>2023</v>
      </c>
      <c r="M749" s="227" t="s">
        <v>1890</v>
      </c>
      <c r="N749" s="422" t="s">
        <v>6432</v>
      </c>
      <c r="O749" s="422" t="s">
        <v>6433</v>
      </c>
      <c r="P749" s="227">
        <v>2022</v>
      </c>
      <c r="Q749" s="250" t="s">
        <v>3499</v>
      </c>
      <c r="R749" s="250" t="s">
        <v>3503</v>
      </c>
    </row>
    <row r="750" spans="1:18" ht="15.75" thickBot="1" x14ac:dyDescent="0.3">
      <c r="A750" s="93" t="s">
        <v>1916</v>
      </c>
      <c r="B750" s="424" t="s">
        <v>1916</v>
      </c>
      <c r="C750" s="424" t="str">
        <f t="shared" si="26"/>
        <v>X</v>
      </c>
      <c r="D750" s="425" t="s">
        <v>3030</v>
      </c>
      <c r="E750" s="93"/>
      <c r="F750" s="93"/>
      <c r="G750" s="422"/>
      <c r="H750" s="422"/>
      <c r="I750" s="165">
        <v>1109026.27</v>
      </c>
      <c r="J750" s="458"/>
      <c r="K750" s="93"/>
      <c r="L750" s="271">
        <v>2023</v>
      </c>
      <c r="M750" s="227" t="s">
        <v>1890</v>
      </c>
      <c r="N750" s="422" t="s">
        <v>6441</v>
      </c>
      <c r="O750" s="422" t="s">
        <v>6442</v>
      </c>
      <c r="P750" s="227">
        <v>2022</v>
      </c>
      <c r="Q750" s="250" t="s">
        <v>3499</v>
      </c>
      <c r="R750" s="250" t="s">
        <v>3503</v>
      </c>
    </row>
    <row r="751" spans="1:18" ht="15.75" thickBot="1" x14ac:dyDescent="0.3">
      <c r="A751" s="93" t="s">
        <v>2868</v>
      </c>
      <c r="B751" s="424" t="s">
        <v>2868</v>
      </c>
      <c r="C751" s="424" t="str">
        <f t="shared" si="26"/>
        <v>X</v>
      </c>
      <c r="D751" s="425" t="s">
        <v>1653</v>
      </c>
      <c r="E751" s="93"/>
      <c r="F751" s="93"/>
      <c r="G751" s="93"/>
      <c r="H751" s="93"/>
      <c r="I751" s="165">
        <v>21672.66</v>
      </c>
      <c r="J751" s="458"/>
      <c r="K751" s="93"/>
      <c r="L751" s="271">
        <v>2023</v>
      </c>
      <c r="M751" s="227" t="s">
        <v>1890</v>
      </c>
      <c r="N751" s="422" t="s">
        <v>6434</v>
      </c>
      <c r="O751" s="422" t="s">
        <v>6435</v>
      </c>
      <c r="P751" s="227">
        <v>2022</v>
      </c>
      <c r="Q751" s="250" t="s">
        <v>3499</v>
      </c>
      <c r="R751" s="250" t="s">
        <v>3503</v>
      </c>
    </row>
    <row r="752" spans="1:18" ht="15.75" thickBot="1" x14ac:dyDescent="0.3">
      <c r="A752" s="93" t="s">
        <v>2868</v>
      </c>
      <c r="B752" s="424" t="s">
        <v>2868</v>
      </c>
      <c r="C752" s="424" t="str">
        <f t="shared" si="26"/>
        <v>X</v>
      </c>
      <c r="D752" s="425" t="s">
        <v>2982</v>
      </c>
      <c r="E752" s="93"/>
      <c r="F752" s="93"/>
      <c r="G752" s="93"/>
      <c r="H752" s="93"/>
      <c r="I752" s="165">
        <v>2746.7000000000003</v>
      </c>
      <c r="J752" s="458"/>
      <c r="K752" s="93"/>
      <c r="L752" s="271">
        <v>2023</v>
      </c>
      <c r="M752" s="227" t="s">
        <v>1890</v>
      </c>
      <c r="N752" s="422" t="s">
        <v>6432</v>
      </c>
      <c r="O752" s="422" t="s">
        <v>6433</v>
      </c>
      <c r="P752" s="227">
        <v>2022</v>
      </c>
      <c r="Q752" s="250" t="s">
        <v>3499</v>
      </c>
      <c r="R752" s="250" t="s">
        <v>3503</v>
      </c>
    </row>
    <row r="753" spans="1:18" ht="15.75" thickBot="1" x14ac:dyDescent="0.3">
      <c r="A753" s="93" t="s">
        <v>2868</v>
      </c>
      <c r="B753" s="424" t="s">
        <v>2868</v>
      </c>
      <c r="C753" s="424" t="str">
        <f t="shared" si="26"/>
        <v>X</v>
      </c>
      <c r="D753" s="425" t="s">
        <v>2982</v>
      </c>
      <c r="E753" s="93"/>
      <c r="F753" s="93"/>
      <c r="G753" s="93"/>
      <c r="H753" s="93"/>
      <c r="I753" s="165">
        <v>523.65000000000009</v>
      </c>
      <c r="J753" s="458"/>
      <c r="K753" s="93"/>
      <c r="L753" s="271">
        <v>2023</v>
      </c>
      <c r="M753" s="227" t="s">
        <v>1890</v>
      </c>
      <c r="N753" s="422" t="s">
        <v>6432</v>
      </c>
      <c r="O753" s="422" t="s">
        <v>6433</v>
      </c>
      <c r="P753" s="227">
        <v>2022</v>
      </c>
      <c r="Q753" s="250" t="s">
        <v>3499</v>
      </c>
      <c r="R753" s="250" t="s">
        <v>3503</v>
      </c>
    </row>
    <row r="754" spans="1:18" s="451" customFormat="1" ht="15.75" thickBot="1" x14ac:dyDescent="0.3">
      <c r="A754" s="93" t="s">
        <v>2868</v>
      </c>
      <c r="B754" s="529" t="s">
        <v>2868</v>
      </c>
      <c r="C754" s="424" t="str">
        <f t="shared" si="26"/>
        <v>X</v>
      </c>
      <c r="D754" s="425" t="s">
        <v>2982</v>
      </c>
      <c r="E754" s="527"/>
      <c r="F754" s="540"/>
      <c r="G754" s="93"/>
      <c r="H754" s="93"/>
      <c r="I754" s="165">
        <v>304.24</v>
      </c>
      <c r="J754" s="425"/>
      <c r="K754" s="527"/>
      <c r="L754" s="271">
        <v>2023</v>
      </c>
      <c r="M754" s="227" t="s">
        <v>1890</v>
      </c>
      <c r="N754" s="422" t="s">
        <v>6432</v>
      </c>
      <c r="O754" s="422" t="s">
        <v>6433</v>
      </c>
      <c r="P754" s="227">
        <v>2022</v>
      </c>
      <c r="Q754" s="250" t="s">
        <v>3499</v>
      </c>
      <c r="R754" s="250" t="s">
        <v>3503</v>
      </c>
    </row>
    <row r="755" spans="1:18" ht="15.75" thickBot="1" x14ac:dyDescent="0.3">
      <c r="A755" s="93" t="s">
        <v>2868</v>
      </c>
      <c r="B755" s="529" t="s">
        <v>2868</v>
      </c>
      <c r="C755" s="424" t="str">
        <f t="shared" si="26"/>
        <v>X</v>
      </c>
      <c r="D755" s="425" t="s">
        <v>2982</v>
      </c>
      <c r="E755" s="527"/>
      <c r="F755" s="540"/>
      <c r="G755" s="93"/>
      <c r="H755" s="93"/>
      <c r="I755" s="165">
        <v>163.91000000000003</v>
      </c>
      <c r="J755" s="425"/>
      <c r="K755" s="527"/>
      <c r="L755" s="271">
        <v>2023</v>
      </c>
      <c r="M755" s="227" t="s">
        <v>1890</v>
      </c>
      <c r="N755" s="422" t="s">
        <v>6432</v>
      </c>
      <c r="O755" s="422" t="s">
        <v>6433</v>
      </c>
      <c r="P755" s="227">
        <v>2022</v>
      </c>
      <c r="Q755" s="250" t="s">
        <v>3499</v>
      </c>
      <c r="R755" s="250" t="s">
        <v>3503</v>
      </c>
    </row>
    <row r="756" spans="1:18" ht="15.75" thickBot="1" x14ac:dyDescent="0.3">
      <c r="A756" s="93" t="s">
        <v>2868</v>
      </c>
      <c r="B756" s="529" t="s">
        <v>2868</v>
      </c>
      <c r="C756" s="424" t="str">
        <f t="shared" si="26"/>
        <v>X</v>
      </c>
      <c r="D756" s="425" t="s">
        <v>2982</v>
      </c>
      <c r="E756" s="527"/>
      <c r="F756" s="540"/>
      <c r="G756" s="93"/>
      <c r="H756" s="93"/>
      <c r="I756" s="165">
        <v>253.16000000000003</v>
      </c>
      <c r="J756" s="425"/>
      <c r="K756" s="527"/>
      <c r="L756" s="271">
        <v>2023</v>
      </c>
      <c r="M756" s="227" t="s">
        <v>1890</v>
      </c>
      <c r="N756" s="422" t="s">
        <v>6432</v>
      </c>
      <c r="O756" s="422" t="s">
        <v>6433</v>
      </c>
      <c r="P756" s="227">
        <v>2022</v>
      </c>
      <c r="Q756" s="250" t="s">
        <v>3499</v>
      </c>
      <c r="R756" s="250" t="s">
        <v>3503</v>
      </c>
    </row>
    <row r="757" spans="1:18" ht="15.75" thickBot="1" x14ac:dyDescent="0.3">
      <c r="A757" s="93" t="s">
        <v>2868</v>
      </c>
      <c r="B757" s="529" t="s">
        <v>2868</v>
      </c>
      <c r="C757" s="424" t="str">
        <f t="shared" si="26"/>
        <v>X</v>
      </c>
      <c r="D757" s="425" t="s">
        <v>2982</v>
      </c>
      <c r="E757" s="527"/>
      <c r="F757" s="540"/>
      <c r="G757" s="93"/>
      <c r="H757" s="93"/>
      <c r="I757" s="165">
        <v>345.52000000000004</v>
      </c>
      <c r="J757" s="425"/>
      <c r="K757" s="527"/>
      <c r="L757" s="271">
        <v>2023</v>
      </c>
      <c r="M757" s="227" t="s">
        <v>1890</v>
      </c>
      <c r="N757" s="422" t="s">
        <v>6432</v>
      </c>
      <c r="O757" s="422" t="s">
        <v>6433</v>
      </c>
      <c r="P757" s="227">
        <v>2022</v>
      </c>
      <c r="Q757" s="250" t="s">
        <v>3499</v>
      </c>
      <c r="R757" s="250" t="s">
        <v>3503</v>
      </c>
    </row>
    <row r="758" spans="1:18" ht="15.75" thickBot="1" x14ac:dyDescent="0.3">
      <c r="A758" s="93" t="s">
        <v>2868</v>
      </c>
      <c r="B758" s="529" t="s">
        <v>2868</v>
      </c>
      <c r="C758" s="424" t="str">
        <f t="shared" si="26"/>
        <v>X</v>
      </c>
      <c r="D758" s="425" t="s">
        <v>2982</v>
      </c>
      <c r="E758" s="527"/>
      <c r="F758" s="540"/>
      <c r="G758" s="93"/>
      <c r="H758" s="93"/>
      <c r="I758" s="165">
        <v>1842.18</v>
      </c>
      <c r="J758" s="425"/>
      <c r="K758" s="527"/>
      <c r="L758" s="271">
        <v>2023</v>
      </c>
      <c r="M758" s="227" t="s">
        <v>1890</v>
      </c>
      <c r="N758" s="422" t="s">
        <v>6432</v>
      </c>
      <c r="O758" s="422" t="s">
        <v>6433</v>
      </c>
      <c r="P758" s="227">
        <v>2022</v>
      </c>
      <c r="Q758" s="250" t="s">
        <v>3499</v>
      </c>
      <c r="R758" s="250" t="s">
        <v>3503</v>
      </c>
    </row>
    <row r="759" spans="1:18" ht="15.75" thickBot="1" x14ac:dyDescent="0.3">
      <c r="A759" s="93" t="s">
        <v>2868</v>
      </c>
      <c r="B759" s="529" t="s">
        <v>2868</v>
      </c>
      <c r="C759" s="424" t="str">
        <f t="shared" si="26"/>
        <v>X</v>
      </c>
      <c r="D759" s="425" t="s">
        <v>2982</v>
      </c>
      <c r="E759" s="527"/>
      <c r="F759" s="540"/>
      <c r="G759" s="93"/>
      <c r="H759" s="93"/>
      <c r="I759" s="165">
        <v>778.96000000000015</v>
      </c>
      <c r="J759" s="425"/>
      <c r="K759" s="527"/>
      <c r="L759" s="271">
        <v>2023</v>
      </c>
      <c r="M759" s="227" t="s">
        <v>1890</v>
      </c>
      <c r="N759" s="422" t="s">
        <v>6432</v>
      </c>
      <c r="O759" s="422" t="s">
        <v>6433</v>
      </c>
      <c r="P759" s="227">
        <v>2022</v>
      </c>
      <c r="Q759" s="250" t="s">
        <v>3499</v>
      </c>
      <c r="R759" s="250" t="s">
        <v>3503</v>
      </c>
    </row>
    <row r="760" spans="1:18" ht="15.75" thickBot="1" x14ac:dyDescent="0.3">
      <c r="A760" s="93" t="s">
        <v>2868</v>
      </c>
      <c r="B760" s="529" t="s">
        <v>2868</v>
      </c>
      <c r="C760" s="424" t="str">
        <f t="shared" si="26"/>
        <v>X</v>
      </c>
      <c r="D760" s="425" t="s">
        <v>2982</v>
      </c>
      <c r="E760" s="527"/>
      <c r="F760" s="540"/>
      <c r="G760" s="93"/>
      <c r="H760" s="93"/>
      <c r="I760" s="165">
        <v>917.73</v>
      </c>
      <c r="J760" s="425"/>
      <c r="K760" s="527"/>
      <c r="L760" s="271">
        <v>2023</v>
      </c>
      <c r="M760" s="227" t="s">
        <v>1890</v>
      </c>
      <c r="N760" s="422" t="s">
        <v>6432</v>
      </c>
      <c r="O760" s="422" t="s">
        <v>6433</v>
      </c>
      <c r="P760" s="227">
        <v>2022</v>
      </c>
      <c r="Q760" s="250" t="s">
        <v>3499</v>
      </c>
      <c r="R760" s="250" t="s">
        <v>3503</v>
      </c>
    </row>
    <row r="761" spans="1:18" ht="15.75" thickBot="1" x14ac:dyDescent="0.3">
      <c r="A761" s="93" t="s">
        <v>2868</v>
      </c>
      <c r="B761" s="529" t="s">
        <v>2868</v>
      </c>
      <c r="C761" s="424" t="str">
        <f t="shared" si="26"/>
        <v>X</v>
      </c>
      <c r="D761" s="425" t="s">
        <v>2982</v>
      </c>
      <c r="E761" s="527"/>
      <c r="F761" s="540"/>
      <c r="G761" s="93"/>
      <c r="H761" s="93"/>
      <c r="I761" s="165">
        <v>2059.1799999999994</v>
      </c>
      <c r="J761" s="425"/>
      <c r="K761" s="527"/>
      <c r="L761" s="271">
        <v>2023</v>
      </c>
      <c r="M761" s="227" t="s">
        <v>1890</v>
      </c>
      <c r="N761" s="422" t="s">
        <v>6432</v>
      </c>
      <c r="O761" s="422" t="s">
        <v>6433</v>
      </c>
      <c r="P761" s="227">
        <v>2022</v>
      </c>
      <c r="Q761" s="250" t="s">
        <v>3499</v>
      </c>
      <c r="R761" s="250" t="s">
        <v>3503</v>
      </c>
    </row>
    <row r="762" spans="1:18" ht="15.75" thickBot="1" x14ac:dyDescent="0.3">
      <c r="A762" s="93" t="s">
        <v>2868</v>
      </c>
      <c r="B762" s="529" t="s">
        <v>2868</v>
      </c>
      <c r="C762" s="424" t="str">
        <f t="shared" si="26"/>
        <v>X</v>
      </c>
      <c r="D762" s="425" t="s">
        <v>2982</v>
      </c>
      <c r="E762" s="527"/>
      <c r="F762" s="540"/>
      <c r="G762" s="93"/>
      <c r="H762" s="93"/>
      <c r="I762" s="165">
        <v>13.5</v>
      </c>
      <c r="J762" s="425"/>
      <c r="K762" s="527"/>
      <c r="L762" s="271">
        <v>2023</v>
      </c>
      <c r="M762" s="227" t="s">
        <v>1890</v>
      </c>
      <c r="N762" s="422" t="s">
        <v>6432</v>
      </c>
      <c r="O762" s="422" t="s">
        <v>6433</v>
      </c>
      <c r="P762" s="227">
        <v>2022</v>
      </c>
      <c r="Q762" s="250" t="s">
        <v>3499</v>
      </c>
      <c r="R762" s="250" t="s">
        <v>3503</v>
      </c>
    </row>
    <row r="763" spans="1:18" ht="15.75" thickBot="1" x14ac:dyDescent="0.3">
      <c r="A763" s="93" t="s">
        <v>2868</v>
      </c>
      <c r="B763" s="529" t="s">
        <v>2868</v>
      </c>
      <c r="C763" s="424" t="str">
        <f t="shared" si="26"/>
        <v>X</v>
      </c>
      <c r="D763" s="425" t="s">
        <v>2982</v>
      </c>
      <c r="E763" s="527"/>
      <c r="F763" s="540"/>
      <c r="G763" s="93"/>
      <c r="H763" s="93"/>
      <c r="I763" s="165">
        <v>1413.1399999999992</v>
      </c>
      <c r="J763" s="425"/>
      <c r="K763" s="527"/>
      <c r="L763" s="271">
        <v>2023</v>
      </c>
      <c r="M763" s="227" t="s">
        <v>1890</v>
      </c>
      <c r="N763" s="422" t="s">
        <v>6432</v>
      </c>
      <c r="O763" s="422" t="s">
        <v>6433</v>
      </c>
      <c r="P763" s="227">
        <v>2022</v>
      </c>
      <c r="Q763" s="250" t="s">
        <v>3499</v>
      </c>
      <c r="R763" s="250" t="s">
        <v>3503</v>
      </c>
    </row>
    <row r="764" spans="1:18" ht="15.75" thickBot="1" x14ac:dyDescent="0.3">
      <c r="A764" s="93" t="s">
        <v>2868</v>
      </c>
      <c r="B764" s="529" t="s">
        <v>2868</v>
      </c>
      <c r="C764" s="424" t="str">
        <f t="shared" si="26"/>
        <v>X</v>
      </c>
      <c r="D764" s="425" t="s">
        <v>2982</v>
      </c>
      <c r="E764" s="527"/>
      <c r="F764" s="540"/>
      <c r="G764" s="93"/>
      <c r="H764" s="93"/>
      <c r="I764" s="165">
        <v>40450.890000000007</v>
      </c>
      <c r="J764" s="425"/>
      <c r="K764" s="527"/>
      <c r="L764" s="271">
        <v>2023</v>
      </c>
      <c r="M764" s="227" t="s">
        <v>1890</v>
      </c>
      <c r="N764" s="422" t="s">
        <v>6432</v>
      </c>
      <c r="O764" s="422" t="s">
        <v>6433</v>
      </c>
      <c r="P764" s="227">
        <v>2022</v>
      </c>
      <c r="Q764" s="250" t="s">
        <v>3499</v>
      </c>
      <c r="R764" s="250" t="s">
        <v>3503</v>
      </c>
    </row>
    <row r="765" spans="1:18" ht="15.75" thickBot="1" x14ac:dyDescent="0.3">
      <c r="A765" s="93" t="s">
        <v>2868</v>
      </c>
      <c r="B765" s="529" t="s">
        <v>2868</v>
      </c>
      <c r="C765" s="424" t="str">
        <f t="shared" si="26"/>
        <v>X</v>
      </c>
      <c r="D765" s="425" t="s">
        <v>2982</v>
      </c>
      <c r="E765" s="527"/>
      <c r="F765" s="540"/>
      <c r="G765" s="93"/>
      <c r="H765" s="93"/>
      <c r="I765" s="165">
        <v>6735.1800000000012</v>
      </c>
      <c r="J765" s="425"/>
      <c r="K765" s="527"/>
      <c r="L765" s="271">
        <v>2023</v>
      </c>
      <c r="M765" s="227" t="s">
        <v>1890</v>
      </c>
      <c r="N765" s="422" t="s">
        <v>6432</v>
      </c>
      <c r="O765" s="422" t="s">
        <v>6433</v>
      </c>
      <c r="P765" s="227">
        <v>2022</v>
      </c>
      <c r="Q765" s="250" t="s">
        <v>3499</v>
      </c>
      <c r="R765" s="250" t="s">
        <v>3503</v>
      </c>
    </row>
    <row r="766" spans="1:18" ht="15.75" thickBot="1" x14ac:dyDescent="0.3">
      <c r="A766" s="93" t="s">
        <v>2868</v>
      </c>
      <c r="B766" s="529" t="s">
        <v>2868</v>
      </c>
      <c r="C766" s="424" t="str">
        <f t="shared" si="26"/>
        <v>X</v>
      </c>
      <c r="D766" s="425" t="s">
        <v>2982</v>
      </c>
      <c r="E766" s="527"/>
      <c r="F766" s="540"/>
      <c r="G766" s="93"/>
      <c r="H766" s="93"/>
      <c r="I766" s="165">
        <v>1044.0600000000004</v>
      </c>
      <c r="J766" s="425"/>
      <c r="K766" s="527"/>
      <c r="L766" s="271">
        <v>2023</v>
      </c>
      <c r="M766" s="227" t="s">
        <v>1890</v>
      </c>
      <c r="N766" s="422" t="s">
        <v>6432</v>
      </c>
      <c r="O766" s="422" t="s">
        <v>6433</v>
      </c>
      <c r="P766" s="227">
        <v>2022</v>
      </c>
      <c r="Q766" s="250" t="s">
        <v>3499</v>
      </c>
      <c r="R766" s="250" t="s">
        <v>3503</v>
      </c>
    </row>
    <row r="767" spans="1:18" ht="15.75" thickBot="1" x14ac:dyDescent="0.3">
      <c r="A767" s="93" t="s">
        <v>2868</v>
      </c>
      <c r="B767" s="529" t="s">
        <v>2868</v>
      </c>
      <c r="C767" s="424" t="str">
        <f t="shared" si="26"/>
        <v>X</v>
      </c>
      <c r="D767" s="425" t="s">
        <v>2982</v>
      </c>
      <c r="E767" s="527"/>
      <c r="F767" s="540"/>
      <c r="G767" s="93"/>
      <c r="H767" s="93"/>
      <c r="I767" s="165">
        <v>15569.47000000001</v>
      </c>
      <c r="J767" s="425"/>
      <c r="K767" s="527"/>
      <c r="L767" s="271">
        <v>2023</v>
      </c>
      <c r="M767" s="227" t="s">
        <v>1890</v>
      </c>
      <c r="N767" s="422" t="s">
        <v>6432</v>
      </c>
      <c r="O767" s="422" t="s">
        <v>6433</v>
      </c>
      <c r="P767" s="227">
        <v>2022</v>
      </c>
      <c r="Q767" s="250" t="s">
        <v>3499</v>
      </c>
      <c r="R767" s="250" t="s">
        <v>3503</v>
      </c>
    </row>
    <row r="768" spans="1:18" ht="15.75" thickBot="1" x14ac:dyDescent="0.3">
      <c r="A768" s="93" t="s">
        <v>2868</v>
      </c>
      <c r="B768" s="529" t="s">
        <v>2868</v>
      </c>
      <c r="C768" s="424" t="str">
        <f t="shared" si="26"/>
        <v>X</v>
      </c>
      <c r="D768" s="425" t="s">
        <v>2982</v>
      </c>
      <c r="E768" s="527"/>
      <c r="F768" s="540"/>
      <c r="G768" s="93"/>
      <c r="H768" s="93"/>
      <c r="I768" s="165">
        <v>3832.3099999999972</v>
      </c>
      <c r="J768" s="425"/>
      <c r="K768" s="527"/>
      <c r="L768" s="271">
        <v>2023</v>
      </c>
      <c r="M768" s="227" t="s">
        <v>1890</v>
      </c>
      <c r="N768" s="422" t="s">
        <v>6432</v>
      </c>
      <c r="O768" s="422" t="s">
        <v>6433</v>
      </c>
      <c r="P768" s="227">
        <v>2022</v>
      </c>
      <c r="Q768" s="250" t="s">
        <v>3499</v>
      </c>
      <c r="R768" s="250" t="s">
        <v>3503</v>
      </c>
    </row>
    <row r="769" spans="1:18" ht="15.75" thickBot="1" x14ac:dyDescent="0.3">
      <c r="A769" s="93" t="s">
        <v>2868</v>
      </c>
      <c r="B769" s="529" t="s">
        <v>2868</v>
      </c>
      <c r="C769" s="424" t="str">
        <f t="shared" si="26"/>
        <v>X</v>
      </c>
      <c r="D769" s="425" t="s">
        <v>2982</v>
      </c>
      <c r="E769" s="527"/>
      <c r="F769" s="540"/>
      <c r="G769" s="93"/>
      <c r="H769" s="93"/>
      <c r="I769" s="165">
        <v>436.42999999999995</v>
      </c>
      <c r="J769" s="425"/>
      <c r="K769" s="527"/>
      <c r="L769" s="271">
        <v>2023</v>
      </c>
      <c r="M769" s="227" t="s">
        <v>1890</v>
      </c>
      <c r="N769" s="422" t="s">
        <v>6432</v>
      </c>
      <c r="O769" s="422" t="s">
        <v>6433</v>
      </c>
      <c r="P769" s="227">
        <v>2022</v>
      </c>
      <c r="Q769" s="250" t="s">
        <v>3499</v>
      </c>
      <c r="R769" s="250" t="s">
        <v>3503</v>
      </c>
    </row>
    <row r="770" spans="1:18" ht="15.75" thickBot="1" x14ac:dyDescent="0.3">
      <c r="A770" s="93" t="s">
        <v>2868</v>
      </c>
      <c r="B770" s="529" t="s">
        <v>2868</v>
      </c>
      <c r="C770" s="424" t="str">
        <f t="shared" si="26"/>
        <v>X</v>
      </c>
      <c r="D770" s="425" t="s">
        <v>2982</v>
      </c>
      <c r="E770" s="527"/>
      <c r="F770" s="540"/>
      <c r="G770" s="93"/>
      <c r="H770" s="93"/>
      <c r="I770" s="165">
        <v>4146.9500000000016</v>
      </c>
      <c r="J770" s="425"/>
      <c r="K770" s="527"/>
      <c r="L770" s="271">
        <v>2023</v>
      </c>
      <c r="M770" s="227" t="s">
        <v>1890</v>
      </c>
      <c r="N770" s="422" t="s">
        <v>6432</v>
      </c>
      <c r="O770" s="422" t="s">
        <v>6433</v>
      </c>
      <c r="P770" s="227">
        <v>2022</v>
      </c>
      <c r="Q770" s="250" t="s">
        <v>3499</v>
      </c>
      <c r="R770" s="250" t="s">
        <v>3503</v>
      </c>
    </row>
    <row r="771" spans="1:18" ht="15.75" thickBot="1" x14ac:dyDescent="0.3">
      <c r="A771" s="93" t="s">
        <v>2868</v>
      </c>
      <c r="B771" s="529" t="s">
        <v>2868</v>
      </c>
      <c r="C771" s="424" t="str">
        <f t="shared" ref="C771:C782" si="27">IF(A771=B771,"X",RIGHT(A771,LEN(A771)-LEN(B771)-3))</f>
        <v>X</v>
      </c>
      <c r="D771" s="425" t="s">
        <v>2982</v>
      </c>
      <c r="E771" s="527"/>
      <c r="F771" s="540"/>
      <c r="G771" s="93"/>
      <c r="H771" s="93"/>
      <c r="I771" s="165">
        <v>1764.0200000000002</v>
      </c>
      <c r="J771" s="425"/>
      <c r="K771" s="527"/>
      <c r="L771" s="271">
        <v>2023</v>
      </c>
      <c r="M771" s="227" t="s">
        <v>1890</v>
      </c>
      <c r="N771" s="422" t="s">
        <v>6432</v>
      </c>
      <c r="O771" s="422" t="s">
        <v>6433</v>
      </c>
      <c r="P771" s="227">
        <v>2022</v>
      </c>
      <c r="Q771" s="250" t="s">
        <v>3499</v>
      </c>
      <c r="R771" s="250" t="s">
        <v>3503</v>
      </c>
    </row>
    <row r="772" spans="1:18" ht="15.75" thickBot="1" x14ac:dyDescent="0.3">
      <c r="A772" s="93" t="s">
        <v>2868</v>
      </c>
      <c r="B772" s="529" t="s">
        <v>2868</v>
      </c>
      <c r="C772" s="424" t="str">
        <f t="shared" si="27"/>
        <v>X</v>
      </c>
      <c r="D772" s="425" t="s">
        <v>2982</v>
      </c>
      <c r="E772" s="527"/>
      <c r="F772" s="540"/>
      <c r="G772" s="93"/>
      <c r="H772" s="93"/>
      <c r="I772" s="165">
        <v>11369.509999999998</v>
      </c>
      <c r="J772" s="425"/>
      <c r="K772" s="527"/>
      <c r="L772" s="271">
        <v>2023</v>
      </c>
      <c r="M772" s="227" t="s">
        <v>1890</v>
      </c>
      <c r="N772" s="422" t="s">
        <v>6432</v>
      </c>
      <c r="O772" s="422" t="s">
        <v>6433</v>
      </c>
      <c r="P772" s="227">
        <v>2022</v>
      </c>
      <c r="Q772" s="250" t="s">
        <v>3499</v>
      </c>
      <c r="R772" s="250" t="s">
        <v>3503</v>
      </c>
    </row>
    <row r="773" spans="1:18" ht="15.75" thickBot="1" x14ac:dyDescent="0.3">
      <c r="A773" s="93" t="s">
        <v>2868</v>
      </c>
      <c r="B773" s="529" t="s">
        <v>2868</v>
      </c>
      <c r="C773" s="424" t="str">
        <f t="shared" si="27"/>
        <v>X</v>
      </c>
      <c r="D773" s="425" t="s">
        <v>1658</v>
      </c>
      <c r="E773" s="527"/>
      <c r="F773" s="540"/>
      <c r="G773" s="422"/>
      <c r="H773" s="422"/>
      <c r="I773" s="165">
        <v>126.44</v>
      </c>
      <c r="J773" s="425"/>
      <c r="K773" s="527"/>
      <c r="L773" s="271">
        <v>2023</v>
      </c>
      <c r="M773" s="227" t="s">
        <v>1890</v>
      </c>
      <c r="N773" s="422" t="s">
        <v>6436</v>
      </c>
      <c r="O773" s="422" t="s">
        <v>6437</v>
      </c>
      <c r="P773" s="227">
        <v>2022</v>
      </c>
      <c r="Q773" s="250" t="s">
        <v>3499</v>
      </c>
      <c r="R773" s="250" t="s">
        <v>3503</v>
      </c>
    </row>
    <row r="774" spans="1:18" ht="15.75" thickBot="1" x14ac:dyDescent="0.3">
      <c r="A774" s="422" t="s">
        <v>2868</v>
      </c>
      <c r="B774" s="529" t="s">
        <v>2868</v>
      </c>
      <c r="C774" s="424" t="str">
        <f t="shared" si="27"/>
        <v>X</v>
      </c>
      <c r="D774" s="425" t="s">
        <v>1659</v>
      </c>
      <c r="E774" s="527"/>
      <c r="F774" s="540"/>
      <c r="G774" s="422"/>
      <c r="H774" s="422"/>
      <c r="I774" s="165">
        <v>5211</v>
      </c>
      <c r="J774" s="425"/>
      <c r="K774" s="527"/>
      <c r="L774" s="271">
        <v>2023</v>
      </c>
      <c r="M774" s="227" t="s">
        <v>1890</v>
      </c>
      <c r="N774" s="422" t="s">
        <v>6443</v>
      </c>
      <c r="O774" s="422" t="s">
        <v>6444</v>
      </c>
      <c r="P774" s="227">
        <v>2022</v>
      </c>
      <c r="Q774" s="250" t="s">
        <v>3499</v>
      </c>
      <c r="R774" s="250" t="s">
        <v>3503</v>
      </c>
    </row>
    <row r="775" spans="1:18" ht="15.75" thickBot="1" x14ac:dyDescent="0.3">
      <c r="A775" s="422" t="s">
        <v>2868</v>
      </c>
      <c r="B775" s="529" t="s">
        <v>2868</v>
      </c>
      <c r="C775" s="424" t="str">
        <f t="shared" si="27"/>
        <v>X</v>
      </c>
      <c r="D775" s="425" t="s">
        <v>1659</v>
      </c>
      <c r="E775" s="527"/>
      <c r="F775" s="540"/>
      <c r="G775" s="422"/>
      <c r="H775" s="422"/>
      <c r="I775" s="165">
        <v>3.6</v>
      </c>
      <c r="J775" s="425"/>
      <c r="K775" s="527"/>
      <c r="L775" s="271">
        <v>2023</v>
      </c>
      <c r="M775" s="227" t="s">
        <v>1890</v>
      </c>
      <c r="N775" s="422" t="s">
        <v>6443</v>
      </c>
      <c r="O775" s="422" t="s">
        <v>6444</v>
      </c>
      <c r="P775" s="227">
        <v>2022</v>
      </c>
      <c r="Q775" s="250" t="s">
        <v>3499</v>
      </c>
      <c r="R775" s="250" t="s">
        <v>3503</v>
      </c>
    </row>
    <row r="776" spans="1:18" ht="15.75" thickBot="1" x14ac:dyDescent="0.3">
      <c r="A776" s="422" t="s">
        <v>2868</v>
      </c>
      <c r="B776" s="529" t="s">
        <v>2868</v>
      </c>
      <c r="C776" s="424" t="str">
        <f t="shared" si="27"/>
        <v>X</v>
      </c>
      <c r="D776" s="425" t="s">
        <v>6362</v>
      </c>
      <c r="E776" s="527"/>
      <c r="F776" s="540"/>
      <c r="G776" s="422"/>
      <c r="H776" s="422"/>
      <c r="I776" s="165">
        <v>1054</v>
      </c>
      <c r="J776" s="425"/>
      <c r="K776" s="527"/>
      <c r="L776" s="271">
        <v>2023</v>
      </c>
      <c r="M776" s="227" t="s">
        <v>1890</v>
      </c>
      <c r="N776" s="422" t="s">
        <v>6443</v>
      </c>
      <c r="O776" s="422" t="s">
        <v>6444</v>
      </c>
      <c r="P776" s="227">
        <v>2022</v>
      </c>
      <c r="Q776" s="250" t="s">
        <v>3499</v>
      </c>
      <c r="R776" s="250" t="s">
        <v>3503</v>
      </c>
    </row>
    <row r="777" spans="1:18" ht="15.75" thickBot="1" x14ac:dyDescent="0.3">
      <c r="A777" s="422" t="s">
        <v>2868</v>
      </c>
      <c r="B777" s="529" t="s">
        <v>2868</v>
      </c>
      <c r="C777" s="424" t="str">
        <f t="shared" si="27"/>
        <v>X</v>
      </c>
      <c r="D777" s="425" t="s">
        <v>6362</v>
      </c>
      <c r="E777" s="527"/>
      <c r="F777" s="540"/>
      <c r="G777" s="422"/>
      <c r="H777" s="422"/>
      <c r="I777" s="165">
        <v>7781.0200000000013</v>
      </c>
      <c r="J777" s="425"/>
      <c r="K777" s="527"/>
      <c r="L777" s="271">
        <v>2023</v>
      </c>
      <c r="M777" s="227" t="s">
        <v>1890</v>
      </c>
      <c r="N777" s="422" t="s">
        <v>6443</v>
      </c>
      <c r="O777" s="422" t="s">
        <v>6444</v>
      </c>
      <c r="P777" s="227">
        <v>2022</v>
      </c>
      <c r="Q777" s="250" t="s">
        <v>3499</v>
      </c>
      <c r="R777" s="250" t="s">
        <v>3503</v>
      </c>
    </row>
    <row r="778" spans="1:18" ht="15.75" thickBot="1" x14ac:dyDescent="0.3">
      <c r="A778" s="527" t="s">
        <v>2868</v>
      </c>
      <c r="B778" s="529" t="s">
        <v>2868</v>
      </c>
      <c r="C778" s="424" t="str">
        <f t="shared" si="27"/>
        <v>X</v>
      </c>
      <c r="D778" s="425" t="s">
        <v>1655</v>
      </c>
      <c r="E778" s="527"/>
      <c r="F778" s="540"/>
      <c r="G778" s="422"/>
      <c r="H778" s="422"/>
      <c r="I778" s="165">
        <v>66.95</v>
      </c>
      <c r="J778" s="425"/>
      <c r="K778" s="527"/>
      <c r="L778" s="271">
        <v>2023</v>
      </c>
      <c r="M778" s="227" t="s">
        <v>1890</v>
      </c>
      <c r="N778" s="422" t="s">
        <v>6439</v>
      </c>
      <c r="O778" s="422" t="s">
        <v>6440</v>
      </c>
      <c r="P778" s="227">
        <v>2022</v>
      </c>
      <c r="Q778" s="250" t="s">
        <v>3499</v>
      </c>
      <c r="R778" s="250" t="s">
        <v>3503</v>
      </c>
    </row>
    <row r="779" spans="1:18" ht="15.75" thickBot="1" x14ac:dyDescent="0.3">
      <c r="A779" s="527" t="s">
        <v>4673</v>
      </c>
      <c r="B779" s="529" t="s">
        <v>4673</v>
      </c>
      <c r="C779" s="424" t="str">
        <f t="shared" si="27"/>
        <v>X</v>
      </c>
      <c r="D779" s="425" t="s">
        <v>1653</v>
      </c>
      <c r="E779" s="527"/>
      <c r="F779" s="540"/>
      <c r="G779" s="93"/>
      <c r="H779" s="93"/>
      <c r="I779" s="165">
        <v>1721</v>
      </c>
      <c r="J779" s="527"/>
      <c r="K779" s="527" t="s">
        <v>1653</v>
      </c>
      <c r="L779" s="271">
        <v>2023</v>
      </c>
      <c r="M779" s="227" t="s">
        <v>1890</v>
      </c>
      <c r="N779" s="422" t="s">
        <v>6434</v>
      </c>
      <c r="O779" s="422" t="s">
        <v>6435</v>
      </c>
      <c r="P779" s="227">
        <v>2022</v>
      </c>
      <c r="Q779" s="250" t="s">
        <v>3499</v>
      </c>
      <c r="R779" s="250" t="s">
        <v>3503</v>
      </c>
    </row>
    <row r="780" spans="1:18" ht="15.75" thickBot="1" x14ac:dyDescent="0.3">
      <c r="A780" s="527" t="s">
        <v>4673</v>
      </c>
      <c r="B780" s="529" t="s">
        <v>4673</v>
      </c>
      <c r="C780" s="424" t="str">
        <f t="shared" si="27"/>
        <v>X</v>
      </c>
      <c r="D780" s="425" t="s">
        <v>2982</v>
      </c>
      <c r="E780" s="527"/>
      <c r="F780" s="540"/>
      <c r="G780" s="422"/>
      <c r="H780" s="422"/>
      <c r="I780" s="165">
        <v>1741.4</v>
      </c>
      <c r="J780" s="527"/>
      <c r="K780" s="527" t="s">
        <v>6382</v>
      </c>
      <c r="L780" s="271">
        <v>2023</v>
      </c>
      <c r="M780" s="227" t="s">
        <v>1890</v>
      </c>
      <c r="N780" s="422" t="s">
        <v>6432</v>
      </c>
      <c r="O780" s="422" t="s">
        <v>6433</v>
      </c>
      <c r="P780" s="227">
        <v>2022</v>
      </c>
      <c r="Q780" s="250" t="s">
        <v>3499</v>
      </c>
      <c r="R780" s="250" t="s">
        <v>3503</v>
      </c>
    </row>
    <row r="781" spans="1:18" ht="15.75" thickBot="1" x14ac:dyDescent="0.3">
      <c r="A781" s="527" t="s">
        <v>4673</v>
      </c>
      <c r="B781" s="529" t="s">
        <v>4673</v>
      </c>
      <c r="C781" s="424" t="str">
        <f t="shared" si="27"/>
        <v>X</v>
      </c>
      <c r="D781" s="425" t="s">
        <v>3030</v>
      </c>
      <c r="E781" s="527"/>
      <c r="F781" s="540"/>
      <c r="G781" s="422"/>
      <c r="H781" s="422"/>
      <c r="I781" s="165">
        <v>61064</v>
      </c>
      <c r="J781" s="527"/>
      <c r="K781" s="527" t="s">
        <v>3030</v>
      </c>
      <c r="L781" s="271">
        <v>2023</v>
      </c>
      <c r="M781" s="227" t="s">
        <v>1890</v>
      </c>
      <c r="N781" s="422" t="s">
        <v>6441</v>
      </c>
      <c r="O781" s="422" t="s">
        <v>6442</v>
      </c>
      <c r="P781" s="227">
        <v>2022</v>
      </c>
      <c r="Q781" s="250" t="s">
        <v>3499</v>
      </c>
      <c r="R781" s="250" t="s">
        <v>3503</v>
      </c>
    </row>
    <row r="782" spans="1:18" ht="15.75" thickBot="1" x14ac:dyDescent="0.3">
      <c r="A782" s="527" t="s">
        <v>4673</v>
      </c>
      <c r="B782" s="529" t="s">
        <v>4673</v>
      </c>
      <c r="C782" s="424" t="str">
        <f t="shared" si="27"/>
        <v>X</v>
      </c>
      <c r="D782" s="425" t="s">
        <v>1655</v>
      </c>
      <c r="E782" s="527"/>
      <c r="F782" s="540"/>
      <c r="G782" s="422"/>
      <c r="H782" s="422"/>
      <c r="I782" s="165">
        <v>468</v>
      </c>
      <c r="J782" s="527"/>
      <c r="K782" s="527" t="s">
        <v>1655</v>
      </c>
      <c r="L782" s="271">
        <v>2023</v>
      </c>
      <c r="M782" s="227" t="s">
        <v>1890</v>
      </c>
      <c r="N782" s="422" t="s">
        <v>6439</v>
      </c>
      <c r="O782" s="422" t="s">
        <v>6440</v>
      </c>
      <c r="P782" s="227">
        <v>2022</v>
      </c>
      <c r="Q782" s="250" t="s">
        <v>3499</v>
      </c>
      <c r="R782" s="250" t="s">
        <v>3503</v>
      </c>
    </row>
    <row r="783" spans="1:18" ht="15.75" thickBot="1" x14ac:dyDescent="0.3">
      <c r="A783" s="527" t="s">
        <v>4585</v>
      </c>
      <c r="B783" s="93" t="s">
        <v>4585</v>
      </c>
      <c r="C783" s="424" t="str">
        <f t="shared" ref="C783:C814" si="28">IF(A783=B783,"X",RIGHT(A783,LEN(A783)-LEN(B783)-3))</f>
        <v>X</v>
      </c>
      <c r="D783" s="425" t="s">
        <v>2982</v>
      </c>
      <c r="E783" s="527"/>
      <c r="F783" s="540"/>
      <c r="G783" s="93"/>
      <c r="H783" s="93"/>
      <c r="I783" s="165">
        <v>2095</v>
      </c>
      <c r="J783" s="425"/>
      <c r="K783" s="527"/>
      <c r="L783" s="271">
        <v>2023</v>
      </c>
      <c r="M783" s="227" t="s">
        <v>1890</v>
      </c>
      <c r="N783" s="422" t="s">
        <v>6432</v>
      </c>
      <c r="O783" s="422" t="s">
        <v>6433</v>
      </c>
      <c r="P783" s="227">
        <v>2022</v>
      </c>
      <c r="Q783" s="250" t="s">
        <v>3499</v>
      </c>
      <c r="R783" s="250" t="s">
        <v>3503</v>
      </c>
    </row>
    <row r="784" spans="1:18" ht="15.75" thickBot="1" x14ac:dyDescent="0.3">
      <c r="A784" s="527" t="s">
        <v>4585</v>
      </c>
      <c r="B784" s="93" t="s">
        <v>4585</v>
      </c>
      <c r="C784" s="424" t="str">
        <f t="shared" si="28"/>
        <v>X</v>
      </c>
      <c r="D784" s="425" t="s">
        <v>1681</v>
      </c>
      <c r="E784" s="527"/>
      <c r="F784" s="540"/>
      <c r="G784" s="422"/>
      <c r="H784" s="422"/>
      <c r="I784" s="165">
        <v>9233.5300000000007</v>
      </c>
      <c r="J784" s="425"/>
      <c r="K784" s="527"/>
      <c r="L784" s="271">
        <v>2023</v>
      </c>
      <c r="M784" s="227" t="s">
        <v>1890</v>
      </c>
      <c r="N784" s="422" t="s">
        <v>1681</v>
      </c>
      <c r="O784" s="422" t="s">
        <v>6431</v>
      </c>
      <c r="P784" s="227">
        <v>2022</v>
      </c>
      <c r="Q784" s="250" t="s">
        <v>3499</v>
      </c>
      <c r="R784" s="250" t="s">
        <v>3503</v>
      </c>
    </row>
    <row r="785" spans="1:18" ht="15.75" thickBot="1" x14ac:dyDescent="0.3">
      <c r="A785" s="527" t="s">
        <v>4585</v>
      </c>
      <c r="B785" s="93" t="s">
        <v>4585</v>
      </c>
      <c r="C785" s="424" t="str">
        <f t="shared" si="28"/>
        <v>X</v>
      </c>
      <c r="D785" s="425" t="s">
        <v>3030</v>
      </c>
      <c r="E785" s="527"/>
      <c r="F785" s="540"/>
      <c r="G785" s="422"/>
      <c r="H785" s="422"/>
      <c r="I785" s="165">
        <v>48811.07</v>
      </c>
      <c r="J785" s="425"/>
      <c r="K785" s="527"/>
      <c r="L785" s="271">
        <v>2023</v>
      </c>
      <c r="M785" s="227" t="s">
        <v>1890</v>
      </c>
      <c r="N785" s="422" t="s">
        <v>6441</v>
      </c>
      <c r="O785" s="422" t="s">
        <v>6442</v>
      </c>
      <c r="P785" s="227">
        <v>2022</v>
      </c>
      <c r="Q785" s="250" t="s">
        <v>3499</v>
      </c>
      <c r="R785" s="250" t="s">
        <v>3503</v>
      </c>
    </row>
    <row r="786" spans="1:18" ht="15.75" thickBot="1" x14ac:dyDescent="0.3">
      <c r="A786" s="527" t="s">
        <v>2944</v>
      </c>
      <c r="B786" s="529" t="s">
        <v>2944</v>
      </c>
      <c r="C786" s="424" t="str">
        <f t="shared" si="28"/>
        <v>X</v>
      </c>
      <c r="D786" s="425" t="s">
        <v>3030</v>
      </c>
      <c r="E786" s="527"/>
      <c r="F786" s="540"/>
      <c r="G786" s="422"/>
      <c r="H786" s="422"/>
      <c r="I786" s="165">
        <v>124099</v>
      </c>
      <c r="J786" s="425"/>
      <c r="K786" s="527"/>
      <c r="L786" s="271">
        <v>2023</v>
      </c>
      <c r="M786" s="227" t="s">
        <v>1890</v>
      </c>
      <c r="N786" s="422" t="s">
        <v>6441</v>
      </c>
      <c r="O786" s="422" t="s">
        <v>6442</v>
      </c>
      <c r="P786" s="227">
        <v>2022</v>
      </c>
      <c r="Q786" s="250" t="s">
        <v>3499</v>
      </c>
      <c r="R786" s="250" t="s">
        <v>3503</v>
      </c>
    </row>
    <row r="787" spans="1:18" ht="15.75" thickBot="1" x14ac:dyDescent="0.3">
      <c r="A787" s="527" t="s">
        <v>2945</v>
      </c>
      <c r="B787" s="529" t="s">
        <v>2945</v>
      </c>
      <c r="C787" s="424" t="str">
        <f t="shared" si="28"/>
        <v>X</v>
      </c>
      <c r="D787" s="425" t="s">
        <v>3030</v>
      </c>
      <c r="E787" s="527"/>
      <c r="F787" s="540"/>
      <c r="G787" s="422"/>
      <c r="H787" s="422"/>
      <c r="I787" s="165">
        <v>269004</v>
      </c>
      <c r="J787" s="425"/>
      <c r="K787" s="527"/>
      <c r="L787" s="271">
        <v>2023</v>
      </c>
      <c r="M787" s="227" t="s">
        <v>1890</v>
      </c>
      <c r="N787" s="422" t="s">
        <v>6441</v>
      </c>
      <c r="O787" s="422" t="s">
        <v>6442</v>
      </c>
      <c r="P787" s="227">
        <v>2022</v>
      </c>
      <c r="Q787" s="250" t="s">
        <v>3499</v>
      </c>
      <c r="R787" s="250" t="s">
        <v>3503</v>
      </c>
    </row>
    <row r="788" spans="1:18" ht="15.75" thickBot="1" x14ac:dyDescent="0.3">
      <c r="A788" s="527" t="s">
        <v>4586</v>
      </c>
      <c r="B788" s="93" t="s">
        <v>4586</v>
      </c>
      <c r="C788" s="424" t="str">
        <f t="shared" si="28"/>
        <v>X</v>
      </c>
      <c r="D788" s="425" t="s">
        <v>2982</v>
      </c>
      <c r="E788" s="527"/>
      <c r="F788" s="540"/>
      <c r="G788" s="93"/>
      <c r="H788" s="93"/>
      <c r="I788" s="165">
        <v>28760.02</v>
      </c>
      <c r="J788" s="425"/>
      <c r="K788" s="527"/>
      <c r="L788" s="271">
        <v>2023</v>
      </c>
      <c r="M788" s="227" t="s">
        <v>1890</v>
      </c>
      <c r="N788" s="422" t="s">
        <v>6432</v>
      </c>
      <c r="O788" s="422" t="s">
        <v>6433</v>
      </c>
      <c r="P788" s="227">
        <v>2022</v>
      </c>
      <c r="Q788" s="250" t="s">
        <v>3499</v>
      </c>
      <c r="R788" s="250" t="s">
        <v>3503</v>
      </c>
    </row>
    <row r="789" spans="1:18" ht="15.75" thickBot="1" x14ac:dyDescent="0.3">
      <c r="A789" s="527" t="s">
        <v>4586</v>
      </c>
      <c r="B789" s="93" t="s">
        <v>4586</v>
      </c>
      <c r="C789" s="424" t="str">
        <f t="shared" si="28"/>
        <v>X</v>
      </c>
      <c r="D789" s="425" t="s">
        <v>1681</v>
      </c>
      <c r="E789" s="527"/>
      <c r="F789" s="540"/>
      <c r="G789" s="422"/>
      <c r="H789" s="422"/>
      <c r="I789" s="165">
        <v>40775.29</v>
      </c>
      <c r="J789" s="425"/>
      <c r="K789" s="527"/>
      <c r="L789" s="271">
        <v>2023</v>
      </c>
      <c r="M789" s="227" t="s">
        <v>1890</v>
      </c>
      <c r="N789" s="422" t="s">
        <v>1681</v>
      </c>
      <c r="O789" s="422" t="s">
        <v>6431</v>
      </c>
      <c r="P789" s="227">
        <v>2022</v>
      </c>
      <c r="Q789" s="250" t="s">
        <v>3499</v>
      </c>
      <c r="R789" s="250" t="s">
        <v>3503</v>
      </c>
    </row>
    <row r="790" spans="1:18" ht="15.75" thickBot="1" x14ac:dyDescent="0.3">
      <c r="A790" s="527" t="s">
        <v>4586</v>
      </c>
      <c r="B790" s="93" t="s">
        <v>4586</v>
      </c>
      <c r="C790" s="424" t="str">
        <f t="shared" si="28"/>
        <v>X</v>
      </c>
      <c r="D790" s="425" t="s">
        <v>3030</v>
      </c>
      <c r="E790" s="527"/>
      <c r="F790" s="540"/>
      <c r="G790" s="422"/>
      <c r="I790" s="165">
        <v>97859.42</v>
      </c>
      <c r="J790" s="425"/>
      <c r="K790" s="527"/>
      <c r="L790" s="271">
        <v>2023</v>
      </c>
      <c r="M790" s="227" t="s">
        <v>1890</v>
      </c>
      <c r="N790" s="422" t="s">
        <v>6441</v>
      </c>
      <c r="O790" s="422" t="s">
        <v>6442</v>
      </c>
      <c r="P790" s="227">
        <v>2022</v>
      </c>
      <c r="Q790" s="250" t="s">
        <v>3499</v>
      </c>
      <c r="R790" s="250" t="s">
        <v>3503</v>
      </c>
    </row>
    <row r="791" spans="1:18" ht="15.75" thickBot="1" x14ac:dyDescent="0.3">
      <c r="A791" s="527" t="s">
        <v>4598</v>
      </c>
      <c r="B791" s="529" t="s">
        <v>4598</v>
      </c>
      <c r="C791" s="424" t="str">
        <f t="shared" si="28"/>
        <v>X</v>
      </c>
      <c r="D791" s="425" t="s">
        <v>1653</v>
      </c>
      <c r="E791" s="527"/>
      <c r="F791" s="540"/>
      <c r="G791" s="93"/>
      <c r="H791" s="93"/>
      <c r="I791" s="165">
        <v>9998</v>
      </c>
      <c r="J791" s="425"/>
      <c r="K791" s="527"/>
      <c r="L791" s="271">
        <v>2023</v>
      </c>
      <c r="M791" s="227" t="s">
        <v>1890</v>
      </c>
      <c r="N791" s="422" t="s">
        <v>6434</v>
      </c>
      <c r="O791" s="422" t="s">
        <v>6435</v>
      </c>
      <c r="P791" s="227">
        <v>2022</v>
      </c>
      <c r="Q791" s="250" t="s">
        <v>3499</v>
      </c>
      <c r="R791" s="250" t="s">
        <v>3503</v>
      </c>
    </row>
    <row r="792" spans="1:18" ht="15.75" thickBot="1" x14ac:dyDescent="0.3">
      <c r="A792" s="527" t="s">
        <v>4598</v>
      </c>
      <c r="B792" s="529" t="s">
        <v>4598</v>
      </c>
      <c r="C792" s="424" t="str">
        <f t="shared" si="28"/>
        <v>X</v>
      </c>
      <c r="D792" s="425" t="s">
        <v>1681</v>
      </c>
      <c r="E792" s="527"/>
      <c r="F792" s="540"/>
      <c r="G792" s="422"/>
      <c r="H792" s="422"/>
      <c r="I792" s="165">
        <v>95982</v>
      </c>
      <c r="J792" s="425"/>
      <c r="K792" s="527"/>
      <c r="L792" s="271">
        <v>2023</v>
      </c>
      <c r="M792" s="227" t="s">
        <v>1890</v>
      </c>
      <c r="N792" s="422" t="s">
        <v>1681</v>
      </c>
      <c r="O792" s="422" t="s">
        <v>6431</v>
      </c>
      <c r="P792" s="227">
        <v>2022</v>
      </c>
      <c r="Q792" s="250" t="s">
        <v>3499</v>
      </c>
      <c r="R792" s="250" t="s">
        <v>3503</v>
      </c>
    </row>
    <row r="793" spans="1:18" s="557" customFormat="1" ht="15.75" thickBot="1" x14ac:dyDescent="0.3">
      <c r="A793" s="527" t="s">
        <v>4598</v>
      </c>
      <c r="B793" s="529" t="s">
        <v>4598</v>
      </c>
      <c r="C793" s="424" t="str">
        <f t="shared" si="28"/>
        <v>X</v>
      </c>
      <c r="D793" s="425" t="s">
        <v>3030</v>
      </c>
      <c r="E793" s="527"/>
      <c r="F793" s="540"/>
      <c r="G793" s="422"/>
      <c r="H793" s="422"/>
      <c r="I793" s="165">
        <v>304572</v>
      </c>
      <c r="J793" s="425"/>
      <c r="K793" s="527"/>
      <c r="L793" s="271">
        <v>2023</v>
      </c>
      <c r="M793" s="227" t="s">
        <v>1890</v>
      </c>
      <c r="N793" s="422" t="s">
        <v>6441</v>
      </c>
      <c r="O793" s="422" t="s">
        <v>6442</v>
      </c>
      <c r="P793" s="227">
        <v>2022</v>
      </c>
      <c r="Q793" s="250" t="s">
        <v>3499</v>
      </c>
      <c r="R793" s="250" t="s">
        <v>3503</v>
      </c>
    </row>
    <row r="794" spans="1:18" ht="15.75" thickBot="1" x14ac:dyDescent="0.3">
      <c r="A794" s="527" t="s">
        <v>2946</v>
      </c>
      <c r="B794" s="529" t="s">
        <v>2946</v>
      </c>
      <c r="C794" s="424" t="str">
        <f t="shared" si="28"/>
        <v>X</v>
      </c>
      <c r="D794" s="425" t="s">
        <v>3030</v>
      </c>
      <c r="E794" s="527"/>
      <c r="F794" s="540"/>
      <c r="G794" s="422"/>
      <c r="H794" s="422"/>
      <c r="I794" s="165">
        <v>83746</v>
      </c>
      <c r="J794" s="425"/>
      <c r="K794" s="527"/>
      <c r="L794" s="271">
        <v>2023</v>
      </c>
      <c r="M794" s="227" t="s">
        <v>1890</v>
      </c>
      <c r="N794" s="422" t="s">
        <v>6441</v>
      </c>
      <c r="O794" s="422" t="s">
        <v>6442</v>
      </c>
      <c r="P794" s="227">
        <v>2022</v>
      </c>
      <c r="Q794" s="250" t="s">
        <v>3499</v>
      </c>
      <c r="R794" s="250" t="s">
        <v>3503</v>
      </c>
    </row>
    <row r="795" spans="1:18" ht="15.75" thickBot="1" x14ac:dyDescent="0.3">
      <c r="A795" s="527" t="s">
        <v>4668</v>
      </c>
      <c r="B795" s="529" t="s">
        <v>4668</v>
      </c>
      <c r="C795" s="424" t="str">
        <f t="shared" si="28"/>
        <v>X</v>
      </c>
      <c r="D795" s="425" t="s">
        <v>1653</v>
      </c>
      <c r="E795" s="527"/>
      <c r="F795" s="540"/>
      <c r="G795" s="93"/>
      <c r="H795" s="93"/>
      <c r="I795" s="165">
        <v>2003.33</v>
      </c>
      <c r="J795" s="425"/>
      <c r="K795" s="527" t="s">
        <v>6371</v>
      </c>
      <c r="L795" s="271">
        <v>2023</v>
      </c>
      <c r="M795" s="227" t="s">
        <v>1890</v>
      </c>
      <c r="N795" s="422" t="s">
        <v>6434</v>
      </c>
      <c r="O795" s="422" t="s">
        <v>6435</v>
      </c>
      <c r="P795" s="227">
        <v>2022</v>
      </c>
      <c r="Q795" s="250" t="s">
        <v>3499</v>
      </c>
      <c r="R795" s="250" t="s">
        <v>3503</v>
      </c>
    </row>
    <row r="796" spans="1:18" ht="15.75" thickBot="1" x14ac:dyDescent="0.3">
      <c r="A796" s="527" t="s">
        <v>4668</v>
      </c>
      <c r="B796" s="529" t="s">
        <v>4668</v>
      </c>
      <c r="C796" s="424" t="str">
        <f t="shared" si="28"/>
        <v>X</v>
      </c>
      <c r="D796" s="425" t="s">
        <v>2982</v>
      </c>
      <c r="E796" s="527"/>
      <c r="F796" s="540"/>
      <c r="G796" s="93"/>
      <c r="H796" s="93"/>
      <c r="I796" s="165">
        <v>88634.74</v>
      </c>
      <c r="J796" s="425"/>
      <c r="K796" s="527" t="s">
        <v>6370</v>
      </c>
      <c r="L796" s="271">
        <v>2023</v>
      </c>
      <c r="M796" s="227" t="s">
        <v>1890</v>
      </c>
      <c r="N796" s="422" t="s">
        <v>6432</v>
      </c>
      <c r="O796" s="422" t="s">
        <v>6433</v>
      </c>
      <c r="P796" s="227">
        <v>2022</v>
      </c>
      <c r="Q796" s="250" t="s">
        <v>3499</v>
      </c>
      <c r="R796" s="250" t="s">
        <v>3503</v>
      </c>
    </row>
    <row r="797" spans="1:18" ht="15.75" thickBot="1" x14ac:dyDescent="0.3">
      <c r="A797" s="527" t="s">
        <v>4668</v>
      </c>
      <c r="B797" s="529" t="s">
        <v>4668</v>
      </c>
      <c r="C797" s="424" t="str">
        <f t="shared" si="28"/>
        <v>X</v>
      </c>
      <c r="D797" s="425" t="s">
        <v>2982</v>
      </c>
      <c r="E797" s="527"/>
      <c r="F797" s="540"/>
      <c r="G797" s="93"/>
      <c r="H797" s="93"/>
      <c r="I797" s="165">
        <v>26233.360000000011</v>
      </c>
      <c r="J797" s="425"/>
      <c r="K797" s="527"/>
      <c r="L797" s="271">
        <v>2023</v>
      </c>
      <c r="M797" s="227" t="s">
        <v>1890</v>
      </c>
      <c r="N797" s="422" t="s">
        <v>6432</v>
      </c>
      <c r="O797" s="422" t="s">
        <v>6433</v>
      </c>
      <c r="P797" s="227">
        <v>2022</v>
      </c>
      <c r="Q797" s="250" t="s">
        <v>3499</v>
      </c>
      <c r="R797" s="250" t="s">
        <v>3503</v>
      </c>
    </row>
    <row r="798" spans="1:18" ht="15.75" thickBot="1" x14ac:dyDescent="0.3">
      <c r="A798" s="527" t="s">
        <v>4668</v>
      </c>
      <c r="B798" s="529" t="s">
        <v>4668</v>
      </c>
      <c r="C798" s="424" t="str">
        <f t="shared" si="28"/>
        <v>X</v>
      </c>
      <c r="D798" s="425" t="s">
        <v>2982</v>
      </c>
      <c r="E798" s="527"/>
      <c r="F798" s="540"/>
      <c r="G798" s="93"/>
      <c r="H798" s="93"/>
      <c r="I798" s="165">
        <v>11326.98</v>
      </c>
      <c r="J798" s="425"/>
      <c r="K798" s="527"/>
      <c r="L798" s="271">
        <v>2023</v>
      </c>
      <c r="M798" s="227" t="s">
        <v>1890</v>
      </c>
      <c r="N798" s="422" t="s">
        <v>6432</v>
      </c>
      <c r="O798" s="422" t="s">
        <v>6433</v>
      </c>
      <c r="P798" s="227">
        <v>2022</v>
      </c>
      <c r="Q798" s="250" t="s">
        <v>3499</v>
      </c>
      <c r="R798" s="250" t="s">
        <v>3503</v>
      </c>
    </row>
    <row r="799" spans="1:18" ht="15.75" thickBot="1" x14ac:dyDescent="0.3">
      <c r="A799" s="527" t="s">
        <v>4668</v>
      </c>
      <c r="B799" s="529" t="s">
        <v>4668</v>
      </c>
      <c r="C799" s="424" t="str">
        <f t="shared" si="28"/>
        <v>X</v>
      </c>
      <c r="D799" s="425" t="s">
        <v>2982</v>
      </c>
      <c r="E799" s="527"/>
      <c r="F799" s="540"/>
      <c r="G799" s="93"/>
      <c r="H799" s="93"/>
      <c r="I799" s="165">
        <v>1480.9299999999998</v>
      </c>
      <c r="J799" s="425"/>
      <c r="K799" s="527" t="s">
        <v>6373</v>
      </c>
      <c r="L799" s="271">
        <v>2023</v>
      </c>
      <c r="M799" s="227" t="s">
        <v>1890</v>
      </c>
      <c r="N799" s="422" t="s">
        <v>6432</v>
      </c>
      <c r="O799" s="422" t="s">
        <v>6433</v>
      </c>
      <c r="P799" s="227">
        <v>2022</v>
      </c>
      <c r="Q799" s="250" t="s">
        <v>3499</v>
      </c>
      <c r="R799" s="250" t="s">
        <v>3503</v>
      </c>
    </row>
    <row r="800" spans="1:18" ht="15.75" thickBot="1" x14ac:dyDescent="0.3">
      <c r="A800" s="527" t="s">
        <v>4668</v>
      </c>
      <c r="B800" s="529" t="s">
        <v>4668</v>
      </c>
      <c r="C800" s="424" t="str">
        <f t="shared" si="28"/>
        <v>X</v>
      </c>
      <c r="D800" s="425" t="s">
        <v>2982</v>
      </c>
      <c r="E800" s="527"/>
      <c r="F800" s="540"/>
      <c r="G800" s="93"/>
      <c r="H800" s="93"/>
      <c r="I800" s="165">
        <v>42648.02</v>
      </c>
      <c r="J800" s="425"/>
      <c r="K800" s="527" t="s">
        <v>6374</v>
      </c>
      <c r="L800" s="271">
        <v>2023</v>
      </c>
      <c r="M800" s="227" t="s">
        <v>1890</v>
      </c>
      <c r="N800" s="422" t="s">
        <v>6432</v>
      </c>
      <c r="O800" s="422" t="s">
        <v>6433</v>
      </c>
      <c r="P800" s="227">
        <v>2022</v>
      </c>
      <c r="Q800" s="250" t="s">
        <v>3499</v>
      </c>
      <c r="R800" s="250" t="s">
        <v>3503</v>
      </c>
    </row>
    <row r="801" spans="1:18" ht="15.75" thickBot="1" x14ac:dyDescent="0.3">
      <c r="A801" s="527" t="s">
        <v>4668</v>
      </c>
      <c r="B801" s="529" t="s">
        <v>4668</v>
      </c>
      <c r="C801" s="424" t="str">
        <f t="shared" si="28"/>
        <v>X</v>
      </c>
      <c r="D801" s="425" t="s">
        <v>2982</v>
      </c>
      <c r="E801" s="527"/>
      <c r="F801" s="540"/>
      <c r="G801" s="93"/>
      <c r="H801" s="93"/>
      <c r="I801" s="165">
        <v>7190.69</v>
      </c>
      <c r="J801" s="425"/>
      <c r="K801" s="527"/>
      <c r="L801" s="271">
        <v>2023</v>
      </c>
      <c r="M801" s="227" t="s">
        <v>1890</v>
      </c>
      <c r="N801" s="422" t="s">
        <v>6432</v>
      </c>
      <c r="O801" s="422" t="s">
        <v>6433</v>
      </c>
      <c r="P801" s="227">
        <v>2022</v>
      </c>
      <c r="Q801" s="250" t="s">
        <v>3499</v>
      </c>
      <c r="R801" s="250" t="s">
        <v>3503</v>
      </c>
    </row>
    <row r="802" spans="1:18" ht="15.75" thickBot="1" x14ac:dyDescent="0.3">
      <c r="A802" s="527" t="s">
        <v>4668</v>
      </c>
      <c r="B802" s="529" t="s">
        <v>4668</v>
      </c>
      <c r="C802" s="424" t="str">
        <f t="shared" si="28"/>
        <v>X</v>
      </c>
      <c r="D802" s="425" t="s">
        <v>2982</v>
      </c>
      <c r="E802" s="527"/>
      <c r="F802" s="540"/>
      <c r="G802" s="93"/>
      <c r="H802" s="93"/>
      <c r="I802" s="165">
        <v>3799.91</v>
      </c>
      <c r="J802" s="425"/>
      <c r="K802" s="527" t="s">
        <v>6375</v>
      </c>
      <c r="L802" s="271">
        <v>2023</v>
      </c>
      <c r="M802" s="227" t="s">
        <v>1890</v>
      </c>
      <c r="N802" s="422" t="s">
        <v>6432</v>
      </c>
      <c r="O802" s="422" t="s">
        <v>6433</v>
      </c>
      <c r="P802" s="227">
        <v>2022</v>
      </c>
      <c r="Q802" s="250" t="s">
        <v>3499</v>
      </c>
      <c r="R802" s="250" t="s">
        <v>3503</v>
      </c>
    </row>
    <row r="803" spans="1:18" ht="15.75" thickBot="1" x14ac:dyDescent="0.3">
      <c r="A803" s="527" t="s">
        <v>4668</v>
      </c>
      <c r="B803" s="529" t="s">
        <v>4668</v>
      </c>
      <c r="C803" s="424" t="str">
        <f t="shared" si="28"/>
        <v>X</v>
      </c>
      <c r="D803" s="425" t="s">
        <v>2982</v>
      </c>
      <c r="E803" s="527"/>
      <c r="F803" s="540"/>
      <c r="G803" s="93"/>
      <c r="H803" s="93"/>
      <c r="I803" s="165">
        <v>5985.35</v>
      </c>
      <c r="J803" s="425"/>
      <c r="K803" s="527"/>
      <c r="L803" s="271">
        <v>2023</v>
      </c>
      <c r="M803" s="227" t="s">
        <v>1890</v>
      </c>
      <c r="N803" s="422" t="s">
        <v>6432</v>
      </c>
      <c r="O803" s="422" t="s">
        <v>6433</v>
      </c>
      <c r="P803" s="227">
        <v>2022</v>
      </c>
      <c r="Q803" s="250" t="s">
        <v>3499</v>
      </c>
      <c r="R803" s="250" t="s">
        <v>3503</v>
      </c>
    </row>
    <row r="804" spans="1:18" ht="15.75" thickBot="1" x14ac:dyDescent="0.3">
      <c r="A804" s="527" t="s">
        <v>4668</v>
      </c>
      <c r="B804" s="529" t="s">
        <v>4668</v>
      </c>
      <c r="C804" s="424" t="str">
        <f t="shared" si="28"/>
        <v>X</v>
      </c>
      <c r="D804" s="425" t="s">
        <v>2982</v>
      </c>
      <c r="E804" s="527"/>
      <c r="F804" s="540"/>
      <c r="G804" s="93"/>
      <c r="H804" s="93"/>
      <c r="I804" s="165">
        <v>17497.28</v>
      </c>
      <c r="J804" s="425"/>
      <c r="K804" s="527" t="s">
        <v>6376</v>
      </c>
      <c r="L804" s="271">
        <v>2023</v>
      </c>
      <c r="M804" s="227" t="s">
        <v>1890</v>
      </c>
      <c r="N804" s="422" t="s">
        <v>6432</v>
      </c>
      <c r="O804" s="422" t="s">
        <v>6433</v>
      </c>
      <c r="P804" s="227">
        <v>2022</v>
      </c>
      <c r="Q804" s="250" t="s">
        <v>3499</v>
      </c>
      <c r="R804" s="250" t="s">
        <v>3503</v>
      </c>
    </row>
    <row r="805" spans="1:18" ht="15.75" thickBot="1" x14ac:dyDescent="0.3">
      <c r="A805" s="527" t="s">
        <v>4668</v>
      </c>
      <c r="B805" s="529" t="s">
        <v>4668</v>
      </c>
      <c r="C805" s="424" t="str">
        <f t="shared" si="28"/>
        <v>X</v>
      </c>
      <c r="D805" s="425" t="s">
        <v>2982</v>
      </c>
      <c r="E805" s="527"/>
      <c r="F805" s="540"/>
      <c r="G805" s="93"/>
      <c r="H805" s="93"/>
      <c r="I805" s="165">
        <v>82.43</v>
      </c>
      <c r="J805" s="425"/>
      <c r="K805" s="527" t="s">
        <v>6377</v>
      </c>
      <c r="L805" s="271">
        <v>2023</v>
      </c>
      <c r="M805" s="227" t="s">
        <v>1890</v>
      </c>
      <c r="N805" s="422" t="s">
        <v>6432</v>
      </c>
      <c r="O805" s="422" t="s">
        <v>6433</v>
      </c>
      <c r="P805" s="227">
        <v>2022</v>
      </c>
      <c r="Q805" s="250" t="s">
        <v>3499</v>
      </c>
      <c r="R805" s="250" t="s">
        <v>3503</v>
      </c>
    </row>
    <row r="806" spans="1:18" ht="15.75" thickBot="1" x14ac:dyDescent="0.3">
      <c r="A806" s="527" t="s">
        <v>4668</v>
      </c>
      <c r="B806" s="529" t="s">
        <v>4668</v>
      </c>
      <c r="C806" s="424" t="str">
        <f t="shared" si="28"/>
        <v>X</v>
      </c>
      <c r="D806" s="425" t="s">
        <v>2982</v>
      </c>
      <c r="E806" s="527"/>
      <c r="F806" s="540"/>
      <c r="G806" s="93"/>
      <c r="H806" s="93"/>
      <c r="I806" s="165">
        <v>1946.5</v>
      </c>
      <c r="J806" s="425"/>
      <c r="K806" s="527"/>
      <c r="L806" s="271">
        <v>2023</v>
      </c>
      <c r="M806" s="227" t="s">
        <v>1890</v>
      </c>
      <c r="N806" s="422" t="s">
        <v>6432</v>
      </c>
      <c r="O806" s="422" t="s">
        <v>6433</v>
      </c>
      <c r="P806" s="227">
        <v>2022</v>
      </c>
      <c r="Q806" s="250" t="s">
        <v>3499</v>
      </c>
      <c r="R806" s="250" t="s">
        <v>3503</v>
      </c>
    </row>
    <row r="807" spans="1:18" s="451" customFormat="1" ht="15.75" thickBot="1" x14ac:dyDescent="0.3">
      <c r="A807" s="527" t="s">
        <v>4668</v>
      </c>
      <c r="B807" s="529" t="s">
        <v>4668</v>
      </c>
      <c r="C807" s="424" t="str">
        <f t="shared" si="28"/>
        <v>X</v>
      </c>
      <c r="D807" s="425" t="s">
        <v>2982</v>
      </c>
      <c r="E807" s="527"/>
      <c r="F807" s="540"/>
      <c r="G807" s="93"/>
      <c r="H807" s="93"/>
      <c r="I807" s="165">
        <v>542.78000000000009</v>
      </c>
      <c r="J807" s="425"/>
      <c r="K807" s="527"/>
      <c r="L807" s="271">
        <v>2023</v>
      </c>
      <c r="M807" s="227" t="s">
        <v>1890</v>
      </c>
      <c r="N807" s="422" t="s">
        <v>6432</v>
      </c>
      <c r="O807" s="422" t="s">
        <v>6433</v>
      </c>
      <c r="P807" s="227">
        <v>2022</v>
      </c>
      <c r="Q807" s="250" t="s">
        <v>3499</v>
      </c>
      <c r="R807" s="250" t="s">
        <v>3503</v>
      </c>
    </row>
    <row r="808" spans="1:18" s="451" customFormat="1" ht="15.75" thickBot="1" x14ac:dyDescent="0.3">
      <c r="A808" s="527" t="s">
        <v>4668</v>
      </c>
      <c r="B808" s="529" t="s">
        <v>4668</v>
      </c>
      <c r="C808" s="424" t="str">
        <f t="shared" si="28"/>
        <v>X</v>
      </c>
      <c r="D808" s="425" t="s">
        <v>2982</v>
      </c>
      <c r="E808" s="527"/>
      <c r="F808" s="540"/>
      <c r="G808" s="93"/>
      <c r="H808" s="93"/>
      <c r="I808" s="165">
        <v>1520.25</v>
      </c>
      <c r="J808" s="425"/>
      <c r="K808" s="527"/>
      <c r="L808" s="271">
        <v>2023</v>
      </c>
      <c r="M808" s="227" t="s">
        <v>1890</v>
      </c>
      <c r="N808" s="422" t="s">
        <v>6432</v>
      </c>
      <c r="O808" s="422" t="s">
        <v>6433</v>
      </c>
      <c r="P808" s="227">
        <v>2022</v>
      </c>
      <c r="Q808" s="250" t="s">
        <v>3499</v>
      </c>
      <c r="R808" s="250" t="s">
        <v>3503</v>
      </c>
    </row>
    <row r="809" spans="1:18" s="451" customFormat="1" ht="15.75" thickBot="1" x14ac:dyDescent="0.3">
      <c r="A809" s="527" t="s">
        <v>4668</v>
      </c>
      <c r="B809" s="529" t="s">
        <v>4668</v>
      </c>
      <c r="C809" s="424" t="str">
        <f t="shared" si="28"/>
        <v>X</v>
      </c>
      <c r="D809" s="425" t="s">
        <v>1659</v>
      </c>
      <c r="E809" s="527"/>
      <c r="F809" s="540"/>
      <c r="G809" s="422"/>
      <c r="H809" s="422"/>
      <c r="I809" s="165">
        <v>8317.6100000000024</v>
      </c>
      <c r="J809" s="425"/>
      <c r="K809" s="527" t="s">
        <v>6372</v>
      </c>
      <c r="L809" s="271">
        <v>2023</v>
      </c>
      <c r="M809" s="227" t="s">
        <v>1890</v>
      </c>
      <c r="N809" s="422" t="s">
        <v>6443</v>
      </c>
      <c r="O809" s="422" t="s">
        <v>6444</v>
      </c>
      <c r="P809" s="227">
        <v>2022</v>
      </c>
      <c r="Q809" s="250" t="s">
        <v>3499</v>
      </c>
      <c r="R809" s="250" t="s">
        <v>3503</v>
      </c>
    </row>
    <row r="810" spans="1:18" s="451" customFormat="1" ht="15.75" thickBot="1" x14ac:dyDescent="0.3">
      <c r="A810" s="527" t="s">
        <v>4668</v>
      </c>
      <c r="B810" s="529" t="s">
        <v>4668</v>
      </c>
      <c r="C810" s="424" t="str">
        <f t="shared" si="28"/>
        <v>X</v>
      </c>
      <c r="D810" s="425" t="s">
        <v>6362</v>
      </c>
      <c r="E810" s="527"/>
      <c r="F810" s="540"/>
      <c r="G810" s="422"/>
      <c r="H810" s="422"/>
      <c r="I810" s="165">
        <v>3597.11</v>
      </c>
      <c r="J810" s="425"/>
      <c r="K810" s="527"/>
      <c r="L810" s="271">
        <v>2023</v>
      </c>
      <c r="M810" s="227" t="s">
        <v>1890</v>
      </c>
      <c r="N810" s="422" t="s">
        <v>6443</v>
      </c>
      <c r="O810" s="422" t="s">
        <v>6444</v>
      </c>
      <c r="P810" s="227">
        <v>2022</v>
      </c>
      <c r="Q810" s="250" t="s">
        <v>3499</v>
      </c>
      <c r="R810" s="250" t="s">
        <v>3503</v>
      </c>
    </row>
    <row r="811" spans="1:18" s="451" customFormat="1" ht="15.75" thickBot="1" x14ac:dyDescent="0.3">
      <c r="A811" s="527" t="s">
        <v>4668</v>
      </c>
      <c r="B811" s="529" t="s">
        <v>4668</v>
      </c>
      <c r="C811" s="424" t="str">
        <f t="shared" si="28"/>
        <v>X</v>
      </c>
      <c r="D811" s="425" t="s">
        <v>1681</v>
      </c>
      <c r="E811" s="527"/>
      <c r="F811" s="540"/>
      <c r="G811" s="422"/>
      <c r="H811" s="422"/>
      <c r="I811" s="165">
        <v>4477.45</v>
      </c>
      <c r="J811" s="425"/>
      <c r="K811" s="527"/>
      <c r="L811" s="271">
        <v>2023</v>
      </c>
      <c r="M811" s="227" t="s">
        <v>1890</v>
      </c>
      <c r="N811" s="422" t="s">
        <v>1681</v>
      </c>
      <c r="O811" s="422" t="s">
        <v>6431</v>
      </c>
      <c r="P811" s="227">
        <v>2022</v>
      </c>
      <c r="Q811" s="250" t="s">
        <v>3499</v>
      </c>
      <c r="R811" s="250" t="s">
        <v>3503</v>
      </c>
    </row>
    <row r="812" spans="1:18" s="451" customFormat="1" ht="15.75" thickBot="1" x14ac:dyDescent="0.3">
      <c r="A812" s="527" t="s">
        <v>4668</v>
      </c>
      <c r="B812" s="529" t="s">
        <v>4668</v>
      </c>
      <c r="C812" s="424" t="str">
        <f t="shared" si="28"/>
        <v>X</v>
      </c>
      <c r="D812" s="425" t="s">
        <v>1657</v>
      </c>
      <c r="E812" s="527"/>
      <c r="F812" s="540"/>
      <c r="G812" s="422"/>
      <c r="H812" s="422"/>
      <c r="I812" s="165">
        <v>27902.28</v>
      </c>
      <c r="J812" s="425"/>
      <c r="K812" s="527" t="s">
        <v>6378</v>
      </c>
      <c r="L812" s="271">
        <v>2023</v>
      </c>
      <c r="M812" s="227" t="s">
        <v>1890</v>
      </c>
      <c r="N812" s="422" t="s">
        <v>3820</v>
      </c>
      <c r="O812" s="422" t="s">
        <v>6438</v>
      </c>
      <c r="P812" s="227">
        <v>2022</v>
      </c>
      <c r="Q812" s="250" t="s">
        <v>3499</v>
      </c>
      <c r="R812" s="250" t="s">
        <v>3503</v>
      </c>
    </row>
    <row r="813" spans="1:18" s="451" customFormat="1" ht="15.75" thickBot="1" x14ac:dyDescent="0.3">
      <c r="A813" s="527" t="s">
        <v>4668</v>
      </c>
      <c r="B813" s="529" t="s">
        <v>4668</v>
      </c>
      <c r="C813" s="424" t="str">
        <f t="shared" si="28"/>
        <v>X</v>
      </c>
      <c r="D813" s="425" t="s">
        <v>1657</v>
      </c>
      <c r="E813" s="527"/>
      <c r="F813" s="540"/>
      <c r="G813" s="422"/>
      <c r="H813" s="422"/>
      <c r="I813" s="165">
        <v>35885.160000000011</v>
      </c>
      <c r="J813" s="425"/>
      <c r="K813" s="527"/>
      <c r="L813" s="271">
        <v>2023</v>
      </c>
      <c r="M813" s="227" t="s">
        <v>1890</v>
      </c>
      <c r="N813" s="422" t="s">
        <v>3820</v>
      </c>
      <c r="O813" s="422" t="s">
        <v>6438</v>
      </c>
      <c r="P813" s="227">
        <v>2022</v>
      </c>
      <c r="Q813" s="250" t="s">
        <v>3499</v>
      </c>
      <c r="R813" s="250" t="s">
        <v>3503</v>
      </c>
    </row>
    <row r="814" spans="1:18" s="451" customFormat="1" ht="15.75" thickBot="1" x14ac:dyDescent="0.3">
      <c r="A814" s="527" t="s">
        <v>4668</v>
      </c>
      <c r="B814" s="529" t="s">
        <v>4668</v>
      </c>
      <c r="C814" s="424" t="str">
        <f t="shared" si="28"/>
        <v>X</v>
      </c>
      <c r="D814" s="425" t="s">
        <v>1655</v>
      </c>
      <c r="E814" s="527"/>
      <c r="F814" s="540"/>
      <c r="G814" s="422"/>
      <c r="H814" s="422"/>
      <c r="I814" s="165">
        <v>35187.160000000003</v>
      </c>
      <c r="J814" s="425"/>
      <c r="K814" s="527"/>
      <c r="L814" s="271">
        <v>2023</v>
      </c>
      <c r="M814" s="227" t="s">
        <v>1890</v>
      </c>
      <c r="N814" s="422" t="s">
        <v>6439</v>
      </c>
      <c r="O814" s="422" t="s">
        <v>6440</v>
      </c>
      <c r="P814" s="227">
        <v>2022</v>
      </c>
      <c r="Q814" s="250" t="s">
        <v>3499</v>
      </c>
      <c r="R814" s="250" t="s">
        <v>3503</v>
      </c>
    </row>
    <row r="815" spans="1:18" ht="15.75" thickBot="1" x14ac:dyDescent="0.3">
      <c r="A815" s="527" t="s">
        <v>4602</v>
      </c>
      <c r="B815" s="529" t="s">
        <v>4602</v>
      </c>
      <c r="C815" s="424" t="str">
        <f t="shared" ref="C815:C846" si="29">IF(A815=B815,"X",RIGHT(A815,LEN(A815)-LEN(B815)-3))</f>
        <v>X</v>
      </c>
      <c r="D815" s="425" t="s">
        <v>2982</v>
      </c>
      <c r="E815" s="527"/>
      <c r="F815" s="540"/>
      <c r="G815" s="93"/>
      <c r="H815" s="93"/>
      <c r="I815" s="165">
        <v>84768.300000000017</v>
      </c>
      <c r="J815" s="425"/>
      <c r="K815" s="527" t="s">
        <v>3548</v>
      </c>
      <c r="L815" s="271">
        <v>2023</v>
      </c>
      <c r="M815" s="227" t="s">
        <v>1890</v>
      </c>
      <c r="N815" s="422" t="s">
        <v>6432</v>
      </c>
      <c r="O815" s="422" t="s">
        <v>6433</v>
      </c>
      <c r="P815" s="227">
        <v>2022</v>
      </c>
      <c r="Q815" s="250" t="s">
        <v>3499</v>
      </c>
      <c r="R815" s="250" t="s">
        <v>3503</v>
      </c>
    </row>
    <row r="816" spans="1:18" ht="15.75" thickBot="1" x14ac:dyDescent="0.3">
      <c r="A816" s="527" t="s">
        <v>4602</v>
      </c>
      <c r="B816" s="529" t="s">
        <v>4602</v>
      </c>
      <c r="C816" s="424" t="str">
        <f t="shared" si="29"/>
        <v>X</v>
      </c>
      <c r="D816" s="425" t="s">
        <v>2982</v>
      </c>
      <c r="E816" s="527"/>
      <c r="F816" s="540"/>
      <c r="G816" s="93"/>
      <c r="H816" s="93"/>
      <c r="I816" s="165">
        <v>377.51</v>
      </c>
      <c r="J816" s="425"/>
      <c r="K816" s="527" t="s">
        <v>3549</v>
      </c>
      <c r="L816" s="271">
        <v>2023</v>
      </c>
      <c r="M816" s="227" t="s">
        <v>1890</v>
      </c>
      <c r="N816" s="422" t="s">
        <v>6432</v>
      </c>
      <c r="O816" s="422" t="s">
        <v>6433</v>
      </c>
      <c r="P816" s="227">
        <v>2022</v>
      </c>
      <c r="Q816" s="250" t="s">
        <v>3499</v>
      </c>
      <c r="R816" s="250" t="s">
        <v>3503</v>
      </c>
    </row>
    <row r="817" spans="1:18" ht="15.75" thickBot="1" x14ac:dyDescent="0.3">
      <c r="A817" s="527" t="s">
        <v>4602</v>
      </c>
      <c r="B817" s="529" t="s">
        <v>4602</v>
      </c>
      <c r="C817" s="424" t="str">
        <f t="shared" si="29"/>
        <v>X</v>
      </c>
      <c r="D817" s="425" t="s">
        <v>2982</v>
      </c>
      <c r="E817" s="527"/>
      <c r="F817" s="540"/>
      <c r="G817" s="93"/>
      <c r="H817" s="93"/>
      <c r="I817" s="165">
        <v>290</v>
      </c>
      <c r="J817" s="425"/>
      <c r="K817" s="527" t="s">
        <v>6379</v>
      </c>
      <c r="L817" s="271">
        <v>2023</v>
      </c>
      <c r="M817" s="227" t="s">
        <v>1890</v>
      </c>
      <c r="N817" s="422" t="s">
        <v>6432</v>
      </c>
      <c r="O817" s="422" t="s">
        <v>6433</v>
      </c>
      <c r="P817" s="227">
        <v>2022</v>
      </c>
      <c r="Q817" s="250" t="s">
        <v>3499</v>
      </c>
      <c r="R817" s="250" t="s">
        <v>3503</v>
      </c>
    </row>
    <row r="818" spans="1:18" ht="15.75" thickBot="1" x14ac:dyDescent="0.3">
      <c r="A818" s="527" t="s">
        <v>4602</v>
      </c>
      <c r="B818" s="529" t="s">
        <v>4602</v>
      </c>
      <c r="C818" s="424" t="str">
        <f t="shared" si="29"/>
        <v>X</v>
      </c>
      <c r="D818" s="425" t="s">
        <v>2982</v>
      </c>
      <c r="E818" s="527"/>
      <c r="F818" s="540"/>
      <c r="G818" s="93"/>
      <c r="H818" s="93"/>
      <c r="I818" s="165">
        <v>8670</v>
      </c>
      <c r="J818" s="425"/>
      <c r="K818" s="527" t="s">
        <v>6380</v>
      </c>
      <c r="L818" s="271">
        <v>2023</v>
      </c>
      <c r="M818" s="227" t="s">
        <v>1890</v>
      </c>
      <c r="N818" s="422" t="s">
        <v>6432</v>
      </c>
      <c r="O818" s="422" t="s">
        <v>6433</v>
      </c>
      <c r="P818" s="227">
        <v>2022</v>
      </c>
      <c r="Q818" s="250" t="s">
        <v>3499</v>
      </c>
      <c r="R818" s="250" t="s">
        <v>3503</v>
      </c>
    </row>
    <row r="819" spans="1:18" ht="15.75" thickBot="1" x14ac:dyDescent="0.3">
      <c r="A819" s="527" t="s">
        <v>4602</v>
      </c>
      <c r="B819" s="529" t="s">
        <v>4602</v>
      </c>
      <c r="C819" s="424" t="str">
        <f t="shared" si="29"/>
        <v>X</v>
      </c>
      <c r="D819" s="425" t="s">
        <v>2982</v>
      </c>
      <c r="E819" s="527"/>
      <c r="F819" s="540"/>
      <c r="G819" s="93"/>
      <c r="H819" s="93"/>
      <c r="I819" s="165">
        <v>318307.40999999997</v>
      </c>
      <c r="J819" s="425"/>
      <c r="K819" s="527" t="s">
        <v>3550</v>
      </c>
      <c r="L819" s="271">
        <v>2023</v>
      </c>
      <c r="M819" s="227" t="s">
        <v>1890</v>
      </c>
      <c r="N819" s="422" t="s">
        <v>6432</v>
      </c>
      <c r="O819" s="422" t="s">
        <v>6433</v>
      </c>
      <c r="P819" s="227">
        <v>2022</v>
      </c>
      <c r="Q819" s="250" t="s">
        <v>3499</v>
      </c>
      <c r="R819" s="250" t="s">
        <v>3503</v>
      </c>
    </row>
    <row r="820" spans="1:18" ht="15.75" thickBot="1" x14ac:dyDescent="0.3">
      <c r="A820" s="527" t="s">
        <v>4602</v>
      </c>
      <c r="B820" s="529" t="s">
        <v>4602</v>
      </c>
      <c r="C820" s="424" t="str">
        <f t="shared" si="29"/>
        <v>X</v>
      </c>
      <c r="D820" s="425" t="s">
        <v>2982</v>
      </c>
      <c r="E820" s="527"/>
      <c r="F820" s="540"/>
      <c r="G820" s="93"/>
      <c r="H820" s="93"/>
      <c r="I820" s="165">
        <v>135</v>
      </c>
      <c r="J820" s="425"/>
      <c r="K820" s="527" t="s">
        <v>3551</v>
      </c>
      <c r="L820" s="271">
        <v>2023</v>
      </c>
      <c r="M820" s="227" t="s">
        <v>1890</v>
      </c>
      <c r="N820" s="422" t="s">
        <v>6432</v>
      </c>
      <c r="O820" s="422" t="s">
        <v>6433</v>
      </c>
      <c r="P820" s="227">
        <v>2022</v>
      </c>
      <c r="Q820" s="250" t="s">
        <v>3499</v>
      </c>
      <c r="R820" s="250" t="s">
        <v>3503</v>
      </c>
    </row>
    <row r="821" spans="1:18" ht="15.75" thickBot="1" x14ac:dyDescent="0.3">
      <c r="A821" s="527" t="s">
        <v>4602</v>
      </c>
      <c r="B821" s="529" t="s">
        <v>4602</v>
      </c>
      <c r="C821" s="424" t="str">
        <f t="shared" si="29"/>
        <v>X</v>
      </c>
      <c r="D821" s="425" t="s">
        <v>2982</v>
      </c>
      <c r="E821" s="527"/>
      <c r="F821" s="540"/>
      <c r="G821" s="93"/>
      <c r="H821" s="93"/>
      <c r="I821" s="165">
        <v>30735</v>
      </c>
      <c r="J821" s="425"/>
      <c r="K821" s="527" t="s">
        <v>3552</v>
      </c>
      <c r="L821" s="271">
        <v>2023</v>
      </c>
      <c r="M821" s="227" t="s">
        <v>1890</v>
      </c>
      <c r="N821" s="422" t="s">
        <v>6432</v>
      </c>
      <c r="O821" s="422" t="s">
        <v>6433</v>
      </c>
      <c r="P821" s="227">
        <v>2022</v>
      </c>
      <c r="Q821" s="250" t="s">
        <v>3499</v>
      </c>
      <c r="R821" s="250" t="s">
        <v>3503</v>
      </c>
    </row>
    <row r="822" spans="1:18" ht="15.75" thickBot="1" x14ac:dyDescent="0.3">
      <c r="A822" s="527" t="s">
        <v>4602</v>
      </c>
      <c r="B822" s="529" t="s">
        <v>4602</v>
      </c>
      <c r="C822" s="424" t="str">
        <f t="shared" si="29"/>
        <v>X</v>
      </c>
      <c r="D822" s="425" t="s">
        <v>3030</v>
      </c>
      <c r="E822" s="527"/>
      <c r="F822" s="540"/>
      <c r="G822" s="422"/>
      <c r="H822" s="422"/>
      <c r="I822" s="165">
        <v>7350000</v>
      </c>
      <c r="J822" s="425"/>
      <c r="K822" s="527" t="s">
        <v>3526</v>
      </c>
      <c r="L822" s="271">
        <v>2023</v>
      </c>
      <c r="M822" s="227" t="s">
        <v>1890</v>
      </c>
      <c r="N822" s="422" t="s">
        <v>6441</v>
      </c>
      <c r="O822" s="422" t="s">
        <v>6442</v>
      </c>
      <c r="P822" s="227">
        <v>2022</v>
      </c>
      <c r="Q822" s="250" t="s">
        <v>3499</v>
      </c>
      <c r="R822" s="250" t="s">
        <v>3503</v>
      </c>
    </row>
    <row r="823" spans="1:18" ht="15.75" thickBot="1" x14ac:dyDescent="0.3">
      <c r="A823" s="527" t="s">
        <v>4602</v>
      </c>
      <c r="B823" s="529" t="s">
        <v>4602</v>
      </c>
      <c r="C823" s="424" t="str">
        <f t="shared" si="29"/>
        <v>X</v>
      </c>
      <c r="D823" s="425" t="s">
        <v>3030</v>
      </c>
      <c r="E823" s="527"/>
      <c r="F823" s="540"/>
      <c r="G823" s="422"/>
      <c r="H823" s="422"/>
      <c r="I823" s="165">
        <v>420517.5</v>
      </c>
      <c r="J823" s="425"/>
      <c r="K823" s="527" t="s">
        <v>3527</v>
      </c>
      <c r="L823" s="271">
        <v>2023</v>
      </c>
      <c r="M823" s="227" t="s">
        <v>1890</v>
      </c>
      <c r="N823" s="422" t="s">
        <v>6441</v>
      </c>
      <c r="O823" s="422" t="s">
        <v>6442</v>
      </c>
      <c r="P823" s="227">
        <v>2022</v>
      </c>
      <c r="Q823" s="250" t="s">
        <v>3499</v>
      </c>
      <c r="R823" s="250" t="s">
        <v>3503</v>
      </c>
    </row>
    <row r="824" spans="1:18" ht="15.75" thickBot="1" x14ac:dyDescent="0.3">
      <c r="A824" s="527" t="s">
        <v>4602</v>
      </c>
      <c r="B824" s="529" t="s">
        <v>4602</v>
      </c>
      <c r="C824" s="424" t="str">
        <f t="shared" si="29"/>
        <v>X</v>
      </c>
      <c r="D824" s="425" t="s">
        <v>3030</v>
      </c>
      <c r="E824" s="527"/>
      <c r="F824" s="540"/>
      <c r="G824" s="422"/>
      <c r="H824" s="422"/>
      <c r="I824" s="165">
        <v>27407.89</v>
      </c>
      <c r="J824" s="425"/>
      <c r="K824" s="527" t="s">
        <v>3528</v>
      </c>
      <c r="L824" s="271">
        <v>2023</v>
      </c>
      <c r="M824" s="227" t="s">
        <v>1890</v>
      </c>
      <c r="N824" s="422" t="s">
        <v>6441</v>
      </c>
      <c r="O824" s="422" t="s">
        <v>6442</v>
      </c>
      <c r="P824" s="227">
        <v>2022</v>
      </c>
      <c r="Q824" s="250" t="s">
        <v>3499</v>
      </c>
      <c r="R824" s="250" t="s">
        <v>3503</v>
      </c>
    </row>
    <row r="825" spans="1:18" ht="15.75" thickBot="1" x14ac:dyDescent="0.3">
      <c r="A825" s="527" t="s">
        <v>4602</v>
      </c>
      <c r="B825" s="529" t="s">
        <v>4602</v>
      </c>
      <c r="C825" s="424" t="str">
        <f t="shared" si="29"/>
        <v>X</v>
      </c>
      <c r="D825" s="425" t="s">
        <v>3030</v>
      </c>
      <c r="E825" s="527"/>
      <c r="F825" s="540"/>
      <c r="G825" s="422"/>
      <c r="H825" s="422"/>
      <c r="I825" s="165">
        <v>65933.215000000011</v>
      </c>
      <c r="J825" s="425"/>
      <c r="K825" s="527" t="s">
        <v>3529</v>
      </c>
      <c r="L825" s="271">
        <v>2023</v>
      </c>
      <c r="M825" s="227" t="s">
        <v>1890</v>
      </c>
      <c r="N825" s="422" t="s">
        <v>6441</v>
      </c>
      <c r="O825" s="422" t="s">
        <v>6442</v>
      </c>
      <c r="P825" s="227">
        <v>2022</v>
      </c>
      <c r="Q825" s="250" t="s">
        <v>3499</v>
      </c>
      <c r="R825" s="250" t="s">
        <v>3503</v>
      </c>
    </row>
    <row r="826" spans="1:18" ht="15.75" thickBot="1" x14ac:dyDescent="0.3">
      <c r="A826" s="527" t="s">
        <v>4602</v>
      </c>
      <c r="B826" s="529" t="s">
        <v>4602</v>
      </c>
      <c r="C826" s="424" t="str">
        <f t="shared" si="29"/>
        <v>X</v>
      </c>
      <c r="D826" s="425" t="s">
        <v>3030</v>
      </c>
      <c r="E826" s="527"/>
      <c r="F826" s="540"/>
      <c r="G826" s="422"/>
      <c r="H826" s="422"/>
      <c r="I826" s="165">
        <v>514008</v>
      </c>
      <c r="J826" s="425"/>
      <c r="K826" s="527" t="s">
        <v>3530</v>
      </c>
      <c r="L826" s="271">
        <v>2023</v>
      </c>
      <c r="M826" s="227" t="s">
        <v>1890</v>
      </c>
      <c r="N826" s="422" t="s">
        <v>6441</v>
      </c>
      <c r="O826" s="422" t="s">
        <v>6442</v>
      </c>
      <c r="P826" s="227">
        <v>2022</v>
      </c>
      <c r="Q826" s="250" t="s">
        <v>3499</v>
      </c>
      <c r="R826" s="250" t="s">
        <v>3503</v>
      </c>
    </row>
    <row r="827" spans="1:18" ht="15.75" thickBot="1" x14ac:dyDescent="0.3">
      <c r="A827" s="527" t="s">
        <v>4602</v>
      </c>
      <c r="B827" s="529" t="s">
        <v>4602</v>
      </c>
      <c r="C827" s="424" t="str">
        <f t="shared" si="29"/>
        <v>X</v>
      </c>
      <c r="D827" s="425" t="s">
        <v>3030</v>
      </c>
      <c r="E827" s="527"/>
      <c r="F827" s="540"/>
      <c r="G827" s="422"/>
      <c r="H827" s="422"/>
      <c r="I827" s="165">
        <v>752843.51999999979</v>
      </c>
      <c r="J827" s="425"/>
      <c r="K827" s="527" t="s">
        <v>3531</v>
      </c>
      <c r="L827" s="271">
        <v>2023</v>
      </c>
      <c r="M827" s="227" t="s">
        <v>1890</v>
      </c>
      <c r="N827" s="422" t="s">
        <v>6441</v>
      </c>
      <c r="O827" s="422" t="s">
        <v>6442</v>
      </c>
      <c r="P827" s="227">
        <v>2022</v>
      </c>
      <c r="Q827" s="250" t="s">
        <v>3499</v>
      </c>
      <c r="R827" s="250" t="s">
        <v>3503</v>
      </c>
    </row>
    <row r="828" spans="1:18" ht="15.75" thickBot="1" x14ac:dyDescent="0.3">
      <c r="A828" s="527" t="s">
        <v>4602</v>
      </c>
      <c r="B828" s="529" t="s">
        <v>4602</v>
      </c>
      <c r="C828" s="424" t="str">
        <f t="shared" si="29"/>
        <v>X</v>
      </c>
      <c r="D828" s="425" t="s">
        <v>3030</v>
      </c>
      <c r="E828" s="527"/>
      <c r="F828" s="540"/>
      <c r="G828" s="422"/>
      <c r="H828" s="422"/>
      <c r="I828" s="165">
        <v>284706.98000000004</v>
      </c>
      <c r="J828" s="425"/>
      <c r="K828" s="527" t="s">
        <v>3532</v>
      </c>
      <c r="L828" s="271">
        <v>2023</v>
      </c>
      <c r="M828" s="227" t="s">
        <v>1890</v>
      </c>
      <c r="N828" s="422" t="s">
        <v>6441</v>
      </c>
      <c r="O828" s="422" t="s">
        <v>6442</v>
      </c>
      <c r="P828" s="227">
        <v>2022</v>
      </c>
      <c r="Q828" s="250" t="s">
        <v>3499</v>
      </c>
      <c r="R828" s="250" t="s">
        <v>3503</v>
      </c>
    </row>
    <row r="829" spans="1:18" ht="15.75" thickBot="1" x14ac:dyDescent="0.3">
      <c r="A829" s="527" t="s">
        <v>4602</v>
      </c>
      <c r="B829" s="529" t="s">
        <v>4602</v>
      </c>
      <c r="C829" s="424" t="str">
        <f t="shared" si="29"/>
        <v>X</v>
      </c>
      <c r="D829" s="425" t="s">
        <v>3030</v>
      </c>
      <c r="E829" s="527"/>
      <c r="F829" s="540"/>
      <c r="G829" s="422"/>
      <c r="H829" s="422"/>
      <c r="I829" s="165">
        <v>489419.75999999995</v>
      </c>
      <c r="J829" s="425"/>
      <c r="K829" s="527" t="s">
        <v>3533</v>
      </c>
      <c r="L829" s="271">
        <v>2023</v>
      </c>
      <c r="M829" s="227" t="s">
        <v>1890</v>
      </c>
      <c r="N829" s="422" t="s">
        <v>6441</v>
      </c>
      <c r="O829" s="422" t="s">
        <v>6442</v>
      </c>
      <c r="P829" s="227">
        <v>2022</v>
      </c>
      <c r="Q829" s="250" t="s">
        <v>3499</v>
      </c>
      <c r="R829" s="250" t="s">
        <v>3503</v>
      </c>
    </row>
    <row r="830" spans="1:18" ht="15.75" thickBot="1" x14ac:dyDescent="0.3">
      <c r="A830" s="527" t="s">
        <v>4602</v>
      </c>
      <c r="B830" s="529" t="s">
        <v>4602</v>
      </c>
      <c r="C830" s="424" t="str">
        <f t="shared" si="29"/>
        <v>X</v>
      </c>
      <c r="D830" s="425" t="s">
        <v>3030</v>
      </c>
      <c r="E830" s="527"/>
      <c r="F830" s="540"/>
      <c r="G830" s="422"/>
      <c r="H830" s="422"/>
      <c r="I830" s="165">
        <v>426950.87999999995</v>
      </c>
      <c r="J830" s="425"/>
      <c r="K830" s="527" t="s">
        <v>3534</v>
      </c>
      <c r="L830" s="271">
        <v>2023</v>
      </c>
      <c r="M830" s="227" t="s">
        <v>1890</v>
      </c>
      <c r="N830" s="422" t="s">
        <v>6441</v>
      </c>
      <c r="O830" s="422" t="s">
        <v>6442</v>
      </c>
      <c r="P830" s="227">
        <v>2022</v>
      </c>
      <c r="Q830" s="250" t="s">
        <v>3499</v>
      </c>
      <c r="R830" s="250" t="s">
        <v>3503</v>
      </c>
    </row>
    <row r="831" spans="1:18" ht="15.75" thickBot="1" x14ac:dyDescent="0.3">
      <c r="A831" s="527" t="s">
        <v>4602</v>
      </c>
      <c r="B831" s="529" t="s">
        <v>4602</v>
      </c>
      <c r="C831" s="424" t="str">
        <f t="shared" si="29"/>
        <v>X</v>
      </c>
      <c r="D831" s="425" t="s">
        <v>3030</v>
      </c>
      <c r="E831" s="527"/>
      <c r="F831" s="540"/>
      <c r="G831" s="422"/>
      <c r="H831" s="422"/>
      <c r="I831" s="165">
        <v>882574.66948668344</v>
      </c>
      <c r="J831" s="425"/>
      <c r="K831" s="527" t="s">
        <v>3535</v>
      </c>
      <c r="L831" s="271">
        <v>2023</v>
      </c>
      <c r="M831" s="227" t="s">
        <v>1890</v>
      </c>
      <c r="N831" s="422" t="s">
        <v>6441</v>
      </c>
      <c r="O831" s="422" t="s">
        <v>6442</v>
      </c>
      <c r="P831" s="227">
        <v>2022</v>
      </c>
      <c r="Q831" s="250" t="s">
        <v>3499</v>
      </c>
      <c r="R831" s="250" t="s">
        <v>3503</v>
      </c>
    </row>
    <row r="832" spans="1:18" ht="15.75" thickBot="1" x14ac:dyDescent="0.3">
      <c r="A832" s="527" t="s">
        <v>4602</v>
      </c>
      <c r="B832" s="529" t="s">
        <v>4602</v>
      </c>
      <c r="C832" s="424" t="str">
        <f t="shared" si="29"/>
        <v>X</v>
      </c>
      <c r="D832" s="425" t="s">
        <v>3030</v>
      </c>
      <c r="E832" s="527"/>
      <c r="F832" s="540"/>
      <c r="G832" s="422"/>
      <c r="H832" s="422"/>
      <c r="I832" s="165">
        <v>648000</v>
      </c>
      <c r="J832" s="425"/>
      <c r="K832" s="527" t="s">
        <v>3536</v>
      </c>
      <c r="L832" s="271">
        <v>2023</v>
      </c>
      <c r="M832" s="227" t="s">
        <v>1890</v>
      </c>
      <c r="N832" s="422" t="s">
        <v>6441</v>
      </c>
      <c r="O832" s="422" t="s">
        <v>6442</v>
      </c>
      <c r="P832" s="227">
        <v>2022</v>
      </c>
      <c r="Q832" s="250" t="s">
        <v>3499</v>
      </c>
      <c r="R832" s="250" t="s">
        <v>3503</v>
      </c>
    </row>
    <row r="833" spans="1:18" ht="15.75" thickBot="1" x14ac:dyDescent="0.3">
      <c r="A833" s="527" t="s">
        <v>4602</v>
      </c>
      <c r="B833" s="529" t="s">
        <v>4602</v>
      </c>
      <c r="C833" s="424" t="str">
        <f t="shared" si="29"/>
        <v>X</v>
      </c>
      <c r="D833" s="425" t="s">
        <v>3030</v>
      </c>
      <c r="E833" s="527"/>
      <c r="F833" s="540"/>
      <c r="G833" s="422"/>
      <c r="H833" s="422"/>
      <c r="I833" s="165">
        <v>99000</v>
      </c>
      <c r="J833" s="425"/>
      <c r="K833" s="527" t="s">
        <v>3537</v>
      </c>
      <c r="L833" s="271">
        <v>2023</v>
      </c>
      <c r="M833" s="227" t="s">
        <v>1890</v>
      </c>
      <c r="N833" s="422" t="s">
        <v>6441</v>
      </c>
      <c r="O833" s="422" t="s">
        <v>6442</v>
      </c>
      <c r="P833" s="227">
        <v>2022</v>
      </c>
      <c r="Q833" s="250" t="s">
        <v>3499</v>
      </c>
      <c r="R833" s="250" t="s">
        <v>3503</v>
      </c>
    </row>
    <row r="834" spans="1:18" ht="15.75" thickBot="1" x14ac:dyDescent="0.3">
      <c r="A834" s="527" t="s">
        <v>4602</v>
      </c>
      <c r="B834" s="529" t="s">
        <v>4602</v>
      </c>
      <c r="C834" s="424" t="str">
        <f t="shared" si="29"/>
        <v>X</v>
      </c>
      <c r="D834" s="425" t="s">
        <v>3030</v>
      </c>
      <c r="E834" s="527"/>
      <c r="F834" s="540"/>
      <c r="G834" s="422"/>
      <c r="H834" s="422"/>
      <c r="I834" s="165">
        <v>691861.32</v>
      </c>
      <c r="J834" s="425"/>
      <c r="K834" s="527" t="s">
        <v>3538</v>
      </c>
      <c r="L834" s="271">
        <v>2023</v>
      </c>
      <c r="M834" s="227" t="s">
        <v>1890</v>
      </c>
      <c r="N834" s="422" t="s">
        <v>6441</v>
      </c>
      <c r="O834" s="422" t="s">
        <v>6442</v>
      </c>
      <c r="P834" s="227">
        <v>2022</v>
      </c>
      <c r="Q834" s="250" t="s">
        <v>3499</v>
      </c>
      <c r="R834" s="250" t="s">
        <v>3503</v>
      </c>
    </row>
    <row r="835" spans="1:18" ht="15.75" thickBot="1" x14ac:dyDescent="0.3">
      <c r="A835" s="527" t="s">
        <v>4602</v>
      </c>
      <c r="B835" s="529" t="s">
        <v>4602</v>
      </c>
      <c r="C835" s="424" t="str">
        <f t="shared" si="29"/>
        <v>X</v>
      </c>
      <c r="D835" s="425" t="s">
        <v>3030</v>
      </c>
      <c r="E835" s="527"/>
      <c r="F835" s="540"/>
      <c r="G835" s="422"/>
      <c r="H835" s="422"/>
      <c r="I835" s="165">
        <v>391675.68000000011</v>
      </c>
      <c r="J835" s="425"/>
      <c r="K835" s="527" t="s">
        <v>3539</v>
      </c>
      <c r="L835" s="271">
        <v>2023</v>
      </c>
      <c r="M835" s="227" t="s">
        <v>1890</v>
      </c>
      <c r="N835" s="422" t="s">
        <v>6441</v>
      </c>
      <c r="O835" s="422" t="s">
        <v>6442</v>
      </c>
      <c r="P835" s="227">
        <v>2022</v>
      </c>
      <c r="Q835" s="250" t="s">
        <v>3499</v>
      </c>
      <c r="R835" s="250" t="s">
        <v>3503</v>
      </c>
    </row>
    <row r="836" spans="1:18" ht="15.75" thickBot="1" x14ac:dyDescent="0.3">
      <c r="A836" s="527" t="s">
        <v>4602</v>
      </c>
      <c r="B836" s="529" t="s">
        <v>4602</v>
      </c>
      <c r="C836" s="424" t="str">
        <f t="shared" si="29"/>
        <v>X</v>
      </c>
      <c r="D836" s="425" t="s">
        <v>3030</v>
      </c>
      <c r="E836" s="527"/>
      <c r="F836" s="540"/>
      <c r="G836" s="422"/>
      <c r="H836" s="422"/>
      <c r="I836" s="165">
        <v>429531.96000000014</v>
      </c>
      <c r="J836" s="425"/>
      <c r="K836" s="527" t="s">
        <v>3540</v>
      </c>
      <c r="L836" s="271">
        <v>2023</v>
      </c>
      <c r="M836" s="227" t="s">
        <v>1890</v>
      </c>
      <c r="N836" s="422" t="s">
        <v>6441</v>
      </c>
      <c r="O836" s="422" t="s">
        <v>6442</v>
      </c>
      <c r="P836" s="227">
        <v>2022</v>
      </c>
      <c r="Q836" s="250" t="s">
        <v>3499</v>
      </c>
      <c r="R836" s="250" t="s">
        <v>3503</v>
      </c>
    </row>
    <row r="837" spans="1:18" ht="15.75" thickBot="1" x14ac:dyDescent="0.3">
      <c r="A837" s="527" t="s">
        <v>4602</v>
      </c>
      <c r="B837" s="529" t="s">
        <v>4602</v>
      </c>
      <c r="C837" s="424" t="str">
        <f t="shared" si="29"/>
        <v>X</v>
      </c>
      <c r="D837" s="425" t="s">
        <v>3030</v>
      </c>
      <c r="E837" s="527"/>
      <c r="F837" s="540"/>
      <c r="G837" s="422"/>
      <c r="H837" s="422"/>
      <c r="I837" s="165">
        <v>17849.010000000002</v>
      </c>
      <c r="J837" s="425"/>
      <c r="K837" s="527" t="s">
        <v>3541</v>
      </c>
      <c r="L837" s="271">
        <v>2023</v>
      </c>
      <c r="M837" s="227" t="s">
        <v>1890</v>
      </c>
      <c r="N837" s="422" t="s">
        <v>6441</v>
      </c>
      <c r="O837" s="422" t="s">
        <v>6442</v>
      </c>
      <c r="P837" s="227">
        <v>2022</v>
      </c>
      <c r="Q837" s="250" t="s">
        <v>3499</v>
      </c>
      <c r="R837" s="250" t="s">
        <v>3503</v>
      </c>
    </row>
    <row r="838" spans="1:18" ht="15.75" thickBot="1" x14ac:dyDescent="0.3">
      <c r="A838" s="527" t="s">
        <v>4602</v>
      </c>
      <c r="B838" s="529" t="s">
        <v>4602</v>
      </c>
      <c r="C838" s="424" t="str">
        <f t="shared" si="29"/>
        <v>X</v>
      </c>
      <c r="D838" s="425" t="s">
        <v>3030</v>
      </c>
      <c r="E838" s="527"/>
      <c r="F838" s="540"/>
      <c r="G838" s="422"/>
      <c r="H838" s="422"/>
      <c r="I838" s="165">
        <v>169309.83999999997</v>
      </c>
      <c r="J838" s="425"/>
      <c r="K838" s="527" t="s">
        <v>3542</v>
      </c>
      <c r="L838" s="271">
        <v>2023</v>
      </c>
      <c r="M838" s="227" t="s">
        <v>1890</v>
      </c>
      <c r="N838" s="422" t="s">
        <v>6441</v>
      </c>
      <c r="O838" s="422" t="s">
        <v>6442</v>
      </c>
      <c r="P838" s="227">
        <v>2022</v>
      </c>
      <c r="Q838" s="250" t="s">
        <v>3499</v>
      </c>
      <c r="R838" s="250" t="s">
        <v>3503</v>
      </c>
    </row>
    <row r="839" spans="1:18" ht="15.75" thickBot="1" x14ac:dyDescent="0.3">
      <c r="A839" s="527" t="s">
        <v>4602</v>
      </c>
      <c r="B839" s="529" t="s">
        <v>4602</v>
      </c>
      <c r="C839" s="424" t="str">
        <f t="shared" si="29"/>
        <v>X</v>
      </c>
      <c r="D839" s="425" t="s">
        <v>3030</v>
      </c>
      <c r="E839" s="527"/>
      <c r="F839" s="540"/>
      <c r="G839" s="422"/>
      <c r="H839" s="422"/>
      <c r="I839" s="165">
        <v>216414.63000000003</v>
      </c>
      <c r="J839" s="425"/>
      <c r="K839" s="527" t="s">
        <v>3543</v>
      </c>
      <c r="L839" s="271">
        <v>2023</v>
      </c>
      <c r="M839" s="227" t="s">
        <v>1890</v>
      </c>
      <c r="N839" s="422" t="s">
        <v>6441</v>
      </c>
      <c r="O839" s="422" t="s">
        <v>6442</v>
      </c>
      <c r="P839" s="227">
        <v>2022</v>
      </c>
      <c r="Q839" s="250" t="s">
        <v>3499</v>
      </c>
      <c r="R839" s="250" t="s">
        <v>3503</v>
      </c>
    </row>
    <row r="840" spans="1:18" ht="15.75" thickBot="1" x14ac:dyDescent="0.3">
      <c r="A840" s="527" t="s">
        <v>4602</v>
      </c>
      <c r="B840" s="529" t="s">
        <v>4602</v>
      </c>
      <c r="C840" s="424" t="str">
        <f t="shared" si="29"/>
        <v>X</v>
      </c>
      <c r="D840" s="425" t="s">
        <v>3030</v>
      </c>
      <c r="E840" s="527"/>
      <c r="F840" s="540"/>
      <c r="G840" s="422"/>
      <c r="H840" s="422"/>
      <c r="I840" s="165">
        <v>109.39</v>
      </c>
      <c r="J840" s="425"/>
      <c r="K840" s="527" t="s">
        <v>3544</v>
      </c>
      <c r="L840" s="271">
        <v>2023</v>
      </c>
      <c r="M840" s="227" t="s">
        <v>1890</v>
      </c>
      <c r="N840" s="422" t="s">
        <v>6441</v>
      </c>
      <c r="O840" s="422" t="s">
        <v>6442</v>
      </c>
      <c r="P840" s="227">
        <v>2022</v>
      </c>
      <c r="Q840" s="250" t="s">
        <v>3499</v>
      </c>
      <c r="R840" s="250" t="s">
        <v>3503</v>
      </c>
    </row>
    <row r="841" spans="1:18" ht="15.75" thickBot="1" x14ac:dyDescent="0.3">
      <c r="A841" s="527" t="s">
        <v>4602</v>
      </c>
      <c r="B841" s="529" t="s">
        <v>4602</v>
      </c>
      <c r="C841" s="424" t="str">
        <f t="shared" si="29"/>
        <v>X</v>
      </c>
      <c r="D841" s="425" t="s">
        <v>3030</v>
      </c>
      <c r="E841" s="527"/>
      <c r="F841" s="540"/>
      <c r="G841" s="422"/>
      <c r="H841" s="422"/>
      <c r="I841" s="165">
        <v>3737.3299999999995</v>
      </c>
      <c r="J841" s="425"/>
      <c r="K841" s="527" t="s">
        <v>3545</v>
      </c>
      <c r="L841" s="271">
        <v>2023</v>
      </c>
      <c r="M841" s="227" t="s">
        <v>1890</v>
      </c>
      <c r="N841" s="422" t="s">
        <v>6441</v>
      </c>
      <c r="O841" s="422" t="s">
        <v>6442</v>
      </c>
      <c r="P841" s="227">
        <v>2022</v>
      </c>
      <c r="Q841" s="250" t="s">
        <v>3499</v>
      </c>
      <c r="R841" s="250" t="s">
        <v>3503</v>
      </c>
    </row>
    <row r="842" spans="1:18" ht="15.75" thickBot="1" x14ac:dyDescent="0.3">
      <c r="A842" s="527" t="s">
        <v>4602</v>
      </c>
      <c r="B842" s="529" t="s">
        <v>4602</v>
      </c>
      <c r="C842" s="424" t="str">
        <f t="shared" si="29"/>
        <v>X</v>
      </c>
      <c r="D842" s="425" t="s">
        <v>3030</v>
      </c>
      <c r="E842" s="527"/>
      <c r="F842" s="540"/>
      <c r="G842" s="422"/>
      <c r="H842" s="422"/>
      <c r="I842" s="165">
        <v>11892.24</v>
      </c>
      <c r="J842" s="425"/>
      <c r="K842" s="527" t="s">
        <v>3546</v>
      </c>
      <c r="L842" s="271">
        <v>2023</v>
      </c>
      <c r="M842" s="227" t="s">
        <v>1890</v>
      </c>
      <c r="N842" s="422" t="s">
        <v>6441</v>
      </c>
      <c r="O842" s="422" t="s">
        <v>6442</v>
      </c>
      <c r="P842" s="227">
        <v>2022</v>
      </c>
      <c r="Q842" s="250" t="s">
        <v>3499</v>
      </c>
      <c r="R842" s="250" t="s">
        <v>3503</v>
      </c>
    </row>
    <row r="843" spans="1:18" ht="15.75" thickBot="1" x14ac:dyDescent="0.3">
      <c r="A843" s="527" t="s">
        <v>4602</v>
      </c>
      <c r="B843" s="529" t="s">
        <v>4602</v>
      </c>
      <c r="C843" s="424" t="str">
        <f t="shared" si="29"/>
        <v>X</v>
      </c>
      <c r="D843" s="425" t="s">
        <v>3030</v>
      </c>
      <c r="E843" s="527"/>
      <c r="F843" s="540"/>
      <c r="G843" s="422"/>
      <c r="H843" s="422"/>
      <c r="I843" s="165">
        <v>431474.6</v>
      </c>
      <c r="J843" s="425"/>
      <c r="K843" s="527" t="s">
        <v>3547</v>
      </c>
      <c r="L843" s="271">
        <v>2023</v>
      </c>
      <c r="M843" s="227" t="s">
        <v>1890</v>
      </c>
      <c r="N843" s="422" t="s">
        <v>6441</v>
      </c>
      <c r="O843" s="422" t="s">
        <v>6442</v>
      </c>
      <c r="P843" s="227">
        <v>2022</v>
      </c>
      <c r="Q843" s="250" t="s">
        <v>3499</v>
      </c>
      <c r="R843" s="250" t="s">
        <v>3503</v>
      </c>
    </row>
    <row r="844" spans="1:18" ht="15.75" thickBot="1" x14ac:dyDescent="0.3">
      <c r="A844" s="527" t="s">
        <v>4602</v>
      </c>
      <c r="B844" s="529" t="s">
        <v>4602</v>
      </c>
      <c r="C844" s="424" t="str">
        <f t="shared" si="29"/>
        <v>X</v>
      </c>
      <c r="D844" s="425" t="s">
        <v>3030</v>
      </c>
      <c r="E844" s="527"/>
      <c r="F844" s="540"/>
      <c r="G844" s="422"/>
      <c r="H844" s="422"/>
      <c r="I844" s="165">
        <v>49801.560000000005</v>
      </c>
      <c r="J844" s="425"/>
      <c r="K844" s="527" t="s">
        <v>3553</v>
      </c>
      <c r="L844" s="271">
        <v>2023</v>
      </c>
      <c r="M844" s="227" t="s">
        <v>1890</v>
      </c>
      <c r="N844" s="422" t="s">
        <v>6441</v>
      </c>
      <c r="O844" s="422" t="s">
        <v>6442</v>
      </c>
      <c r="P844" s="227">
        <v>2022</v>
      </c>
      <c r="Q844" s="250" t="s">
        <v>3499</v>
      </c>
      <c r="R844" s="250" t="s">
        <v>3503</v>
      </c>
    </row>
    <row r="845" spans="1:18" ht="15.75" thickBot="1" x14ac:dyDescent="0.3">
      <c r="A845" s="527" t="s">
        <v>4602</v>
      </c>
      <c r="B845" s="529" t="s">
        <v>4602</v>
      </c>
      <c r="C845" s="424" t="str">
        <f t="shared" si="29"/>
        <v>X</v>
      </c>
      <c r="D845" s="425" t="s">
        <v>3030</v>
      </c>
      <c r="E845" s="527"/>
      <c r="F845" s="540"/>
      <c r="G845" s="422"/>
      <c r="H845" s="422"/>
      <c r="I845" s="165">
        <v>266936.57999999996</v>
      </c>
      <c r="J845" s="527"/>
      <c r="K845" s="527" t="s">
        <v>3554</v>
      </c>
      <c r="L845" s="271">
        <v>2023</v>
      </c>
      <c r="M845" s="227" t="s">
        <v>1890</v>
      </c>
      <c r="N845" s="422" t="s">
        <v>6441</v>
      </c>
      <c r="O845" s="422" t="s">
        <v>6442</v>
      </c>
      <c r="P845" s="227">
        <v>2022</v>
      </c>
      <c r="Q845" s="250" t="s">
        <v>3499</v>
      </c>
      <c r="R845" s="250" t="s">
        <v>3503</v>
      </c>
    </row>
    <row r="846" spans="1:18" ht="15.75" thickBot="1" x14ac:dyDescent="0.3">
      <c r="A846" s="527" t="s">
        <v>4602</v>
      </c>
      <c r="B846" s="529" t="s">
        <v>4602</v>
      </c>
      <c r="C846" s="424" t="str">
        <f t="shared" si="29"/>
        <v>X</v>
      </c>
      <c r="D846" s="425" t="s">
        <v>3030</v>
      </c>
      <c r="E846" s="527"/>
      <c r="F846" s="540"/>
      <c r="G846" s="422"/>
      <c r="H846" s="422"/>
      <c r="I846" s="165">
        <v>202886.50999999998</v>
      </c>
      <c r="J846" s="527"/>
      <c r="K846" s="527" t="s">
        <v>3555</v>
      </c>
      <c r="L846" s="271">
        <v>2023</v>
      </c>
      <c r="M846" s="227" t="s">
        <v>1890</v>
      </c>
      <c r="N846" s="422" t="s">
        <v>6441</v>
      </c>
      <c r="O846" s="422" t="s">
        <v>6442</v>
      </c>
      <c r="P846" s="227">
        <v>2022</v>
      </c>
      <c r="Q846" s="250" t="s">
        <v>3499</v>
      </c>
      <c r="R846" s="250" t="s">
        <v>3503</v>
      </c>
    </row>
    <row r="847" spans="1:18" ht="15.75" thickBot="1" x14ac:dyDescent="0.3">
      <c r="A847" s="527" t="s">
        <v>4602</v>
      </c>
      <c r="B847" s="529" t="s">
        <v>4602</v>
      </c>
      <c r="C847" s="424" t="str">
        <f t="shared" ref="C847:C850" si="30">IF(A847=B847,"X",RIGHT(A847,LEN(A847)-LEN(B847)-3))</f>
        <v>X</v>
      </c>
      <c r="D847" s="425" t="s">
        <v>3030</v>
      </c>
      <c r="E847" s="527"/>
      <c r="F847" s="540"/>
      <c r="G847" s="422"/>
      <c r="H847" s="422"/>
      <c r="I847" s="165">
        <v>27690</v>
      </c>
      <c r="J847" s="527"/>
      <c r="K847" s="527" t="s">
        <v>3556</v>
      </c>
      <c r="L847" s="271">
        <v>2023</v>
      </c>
      <c r="M847" s="227" t="s">
        <v>1890</v>
      </c>
      <c r="N847" s="422" t="s">
        <v>6441</v>
      </c>
      <c r="O847" s="422" t="s">
        <v>6442</v>
      </c>
      <c r="P847" s="227">
        <v>2022</v>
      </c>
      <c r="Q847" s="250" t="s">
        <v>3499</v>
      </c>
      <c r="R847" s="250" t="s">
        <v>3503</v>
      </c>
    </row>
    <row r="848" spans="1:18" ht="15.75" thickBot="1" x14ac:dyDescent="0.3">
      <c r="A848" s="527" t="s">
        <v>4587</v>
      </c>
      <c r="B848" s="529" t="s">
        <v>4587</v>
      </c>
      <c r="C848" s="424" t="str">
        <f t="shared" si="30"/>
        <v>X</v>
      </c>
      <c r="D848" s="425" t="s">
        <v>2982</v>
      </c>
      <c r="E848" s="527"/>
      <c r="F848" s="540"/>
      <c r="G848" s="93"/>
      <c r="H848" s="93"/>
      <c r="I848" s="165">
        <v>3297.1</v>
      </c>
      <c r="J848" s="425"/>
      <c r="K848" s="527"/>
      <c r="L848" s="271">
        <v>2023</v>
      </c>
      <c r="M848" s="227" t="s">
        <v>1890</v>
      </c>
      <c r="N848" s="422" t="s">
        <v>6432</v>
      </c>
      <c r="O848" s="422" t="s">
        <v>6433</v>
      </c>
      <c r="P848" s="227">
        <v>2022</v>
      </c>
      <c r="Q848" s="250" t="s">
        <v>3499</v>
      </c>
      <c r="R848" s="250" t="s">
        <v>3503</v>
      </c>
    </row>
    <row r="849" spans="1:18" ht="15.75" thickBot="1" x14ac:dyDescent="0.3">
      <c r="A849" s="527" t="s">
        <v>4587</v>
      </c>
      <c r="B849" s="529" t="s">
        <v>4587</v>
      </c>
      <c r="C849" s="424" t="str">
        <f t="shared" si="30"/>
        <v>X</v>
      </c>
      <c r="D849" s="425" t="s">
        <v>1681</v>
      </c>
      <c r="E849" s="527"/>
      <c r="F849" s="540"/>
      <c r="G849" s="422"/>
      <c r="H849" s="422"/>
      <c r="I849" s="165">
        <v>119527.73</v>
      </c>
      <c r="J849" s="425"/>
      <c r="K849" s="527"/>
      <c r="L849" s="271">
        <v>2023</v>
      </c>
      <c r="M849" s="227" t="s">
        <v>1890</v>
      </c>
      <c r="N849" s="422" t="s">
        <v>1681</v>
      </c>
      <c r="O849" s="422" t="s">
        <v>6431</v>
      </c>
      <c r="P849" s="227">
        <v>2022</v>
      </c>
      <c r="Q849" s="250" t="s">
        <v>3499</v>
      </c>
      <c r="R849" s="250" t="s">
        <v>3503</v>
      </c>
    </row>
    <row r="850" spans="1:18" ht="15.75" thickBot="1" x14ac:dyDescent="0.3">
      <c r="A850" s="527" t="s">
        <v>4587</v>
      </c>
      <c r="B850" s="529" t="s">
        <v>4587</v>
      </c>
      <c r="C850" s="424" t="str">
        <f t="shared" si="30"/>
        <v>X</v>
      </c>
      <c r="D850" s="425" t="s">
        <v>3030</v>
      </c>
      <c r="E850" s="527"/>
      <c r="F850" s="540"/>
      <c r="G850" s="422"/>
      <c r="I850" s="165">
        <v>1049213.92</v>
      </c>
      <c r="J850" s="425"/>
      <c r="K850" s="527"/>
      <c r="L850" s="271">
        <v>2023</v>
      </c>
      <c r="M850" s="227" t="s">
        <v>1890</v>
      </c>
      <c r="N850" s="422" t="s">
        <v>6441</v>
      </c>
      <c r="O850" s="422" t="s">
        <v>6442</v>
      </c>
      <c r="P850" s="227">
        <v>2022</v>
      </c>
      <c r="Q850" s="250" t="s">
        <v>3499</v>
      </c>
      <c r="R850" s="250" t="s">
        <v>3503</v>
      </c>
    </row>
    <row r="851" spans="1:18" ht="15.75" thickBot="1" x14ac:dyDescent="0.3">
      <c r="A851" s="680" t="s">
        <v>6582</v>
      </c>
      <c r="B851" s="680" t="s">
        <v>6582</v>
      </c>
      <c r="C851" s="424" t="str">
        <f t="shared" ref="C851:C859" si="31">IF(A851=B851,"X",RIGHT(A851,LEN(A851)-LEN(B851)-3))</f>
        <v>X</v>
      </c>
      <c r="D851" s="425" t="s">
        <v>1681</v>
      </c>
      <c r="I851" s="165">
        <v>63232.09</v>
      </c>
      <c r="L851" s="271">
        <v>2023</v>
      </c>
      <c r="M851" s="227" t="s">
        <v>1890</v>
      </c>
      <c r="N851" s="422" t="s">
        <v>1681</v>
      </c>
      <c r="O851" s="422" t="s">
        <v>6431</v>
      </c>
      <c r="P851" s="227">
        <v>2022</v>
      </c>
      <c r="Q851" s="250" t="s">
        <v>3499</v>
      </c>
      <c r="R851" s="250" t="s">
        <v>3503</v>
      </c>
    </row>
    <row r="852" spans="1:18" ht="15.75" thickBot="1" x14ac:dyDescent="0.3">
      <c r="A852" s="680" t="s">
        <v>6582</v>
      </c>
      <c r="B852" s="680" t="s">
        <v>6582</v>
      </c>
      <c r="C852" s="424" t="str">
        <f t="shared" si="31"/>
        <v>X</v>
      </c>
      <c r="D852" s="425" t="s">
        <v>2982</v>
      </c>
      <c r="I852" s="165">
        <v>187733.51</v>
      </c>
      <c r="L852" s="271">
        <v>2023</v>
      </c>
      <c r="M852" s="227" t="s">
        <v>1890</v>
      </c>
      <c r="N852" s="422" t="s">
        <v>6432</v>
      </c>
      <c r="O852" s="422" t="s">
        <v>6433</v>
      </c>
      <c r="P852" s="227">
        <v>2022</v>
      </c>
      <c r="Q852" s="250" t="s">
        <v>3499</v>
      </c>
      <c r="R852" s="250" t="s">
        <v>3503</v>
      </c>
    </row>
    <row r="853" spans="1:18" ht="15.75" thickBot="1" x14ac:dyDescent="0.3">
      <c r="A853" s="680" t="s">
        <v>6582</v>
      </c>
      <c r="B853" s="680" t="s">
        <v>6582</v>
      </c>
      <c r="C853" s="424" t="str">
        <f t="shared" si="31"/>
        <v>X</v>
      </c>
      <c r="D853" s="425" t="s">
        <v>6585</v>
      </c>
      <c r="I853" s="165">
        <f>139274.31+2890.61+4126+830.2</f>
        <v>147121.12</v>
      </c>
      <c r="L853" s="271">
        <v>2023</v>
      </c>
      <c r="M853" s="227" t="s">
        <v>1890</v>
      </c>
      <c r="N853" s="422" t="s">
        <v>6441</v>
      </c>
      <c r="O853" s="422" t="s">
        <v>6442</v>
      </c>
      <c r="P853" s="227">
        <v>2022</v>
      </c>
      <c r="Q853" s="250" t="s">
        <v>3499</v>
      </c>
      <c r="R853" s="250" t="s">
        <v>3503</v>
      </c>
    </row>
    <row r="854" spans="1:18" ht="15.75" thickBot="1" x14ac:dyDescent="0.3">
      <c r="A854" s="680" t="s">
        <v>6582</v>
      </c>
      <c r="B854" s="680" t="s">
        <v>6582</v>
      </c>
      <c r="C854" s="424" t="str">
        <f t="shared" si="31"/>
        <v>X</v>
      </c>
      <c r="D854" s="425" t="s">
        <v>1659</v>
      </c>
      <c r="I854" s="165">
        <v>41.03</v>
      </c>
      <c r="L854" s="271">
        <v>2023</v>
      </c>
      <c r="M854" s="227" t="s">
        <v>1890</v>
      </c>
      <c r="N854" s="422" t="s">
        <v>6441</v>
      </c>
      <c r="O854" s="422" t="s">
        <v>6442</v>
      </c>
      <c r="P854" s="227">
        <v>2022</v>
      </c>
      <c r="Q854" s="250" t="s">
        <v>3499</v>
      </c>
      <c r="R854" s="250" t="s">
        <v>3503</v>
      </c>
    </row>
    <row r="855" spans="1:18" ht="15.75" thickBot="1" x14ac:dyDescent="0.3">
      <c r="A855" s="680" t="s">
        <v>6583</v>
      </c>
      <c r="B855" s="680" t="s">
        <v>6583</v>
      </c>
      <c r="C855" s="424" t="str">
        <f t="shared" si="31"/>
        <v>X</v>
      </c>
      <c r="D855" s="425" t="s">
        <v>1681</v>
      </c>
      <c r="I855" s="165">
        <v>22177.06</v>
      </c>
      <c r="L855" s="271">
        <v>2023</v>
      </c>
      <c r="M855" s="227" t="s">
        <v>1890</v>
      </c>
      <c r="N855" s="422" t="s">
        <v>1681</v>
      </c>
      <c r="O855" s="422" t="s">
        <v>6431</v>
      </c>
      <c r="P855" s="227">
        <v>2022</v>
      </c>
      <c r="Q855" s="250" t="s">
        <v>3499</v>
      </c>
      <c r="R855" s="250" t="s">
        <v>3503</v>
      </c>
    </row>
    <row r="856" spans="1:18" ht="15.75" thickBot="1" x14ac:dyDescent="0.3">
      <c r="A856" s="680" t="s">
        <v>6583</v>
      </c>
      <c r="B856" s="680" t="s">
        <v>6583</v>
      </c>
      <c r="C856" s="424" t="str">
        <f t="shared" si="31"/>
        <v>X</v>
      </c>
      <c r="D856" s="425" t="s">
        <v>2982</v>
      </c>
      <c r="I856" s="165">
        <f>92850+4996.25</f>
        <v>97846.25</v>
      </c>
      <c r="L856" s="271">
        <v>2023</v>
      </c>
      <c r="M856" s="227" t="s">
        <v>1890</v>
      </c>
      <c r="N856" s="422" t="s">
        <v>6432</v>
      </c>
      <c r="O856" s="422" t="s">
        <v>6433</v>
      </c>
      <c r="P856" s="227">
        <v>2022</v>
      </c>
      <c r="Q856" s="250" t="s">
        <v>3499</v>
      </c>
      <c r="R856" s="250" t="s">
        <v>3503</v>
      </c>
    </row>
    <row r="857" spans="1:18" ht="15.75" thickBot="1" x14ac:dyDescent="0.3">
      <c r="A857" s="680" t="s">
        <v>6583</v>
      </c>
      <c r="B857" s="680" t="s">
        <v>6583</v>
      </c>
      <c r="C857" s="424" t="str">
        <f t="shared" si="31"/>
        <v>X</v>
      </c>
      <c r="D857" s="425" t="s">
        <v>1653</v>
      </c>
      <c r="I857" s="165">
        <v>1444.3</v>
      </c>
      <c r="L857" s="271">
        <v>2023</v>
      </c>
      <c r="M857" s="227" t="s">
        <v>1890</v>
      </c>
      <c r="N857" s="422" t="s">
        <v>6434</v>
      </c>
      <c r="O857" s="422" t="s">
        <v>6435</v>
      </c>
      <c r="P857" s="227">
        <v>2022</v>
      </c>
      <c r="Q857" s="250" t="s">
        <v>3499</v>
      </c>
      <c r="R857" s="250" t="s">
        <v>3503</v>
      </c>
    </row>
    <row r="858" spans="1:18" ht="15.75" thickBot="1" x14ac:dyDescent="0.3">
      <c r="A858" s="680" t="s">
        <v>6583</v>
      </c>
      <c r="B858" s="680" t="s">
        <v>6583</v>
      </c>
      <c r="C858" s="424" t="str">
        <f t="shared" si="31"/>
        <v>X</v>
      </c>
      <c r="D858" s="425" t="s">
        <v>6585</v>
      </c>
      <c r="I858" s="165">
        <f>107108.08+1953.71</f>
        <v>109061.79000000001</v>
      </c>
      <c r="L858" s="271">
        <v>2023</v>
      </c>
      <c r="M858" s="227" t="s">
        <v>1890</v>
      </c>
      <c r="N858" s="422" t="s">
        <v>6441</v>
      </c>
      <c r="O858" s="422" t="s">
        <v>6442</v>
      </c>
      <c r="P858" s="227">
        <v>2022</v>
      </c>
      <c r="Q858" s="250" t="s">
        <v>3499</v>
      </c>
      <c r="R858" s="250" t="s">
        <v>3503</v>
      </c>
    </row>
    <row r="859" spans="1:18" ht="15.75" thickBot="1" x14ac:dyDescent="0.3">
      <c r="A859" s="680" t="s">
        <v>6583</v>
      </c>
      <c r="B859" s="680" t="s">
        <v>6583</v>
      </c>
      <c r="C859" s="424" t="str">
        <f t="shared" si="31"/>
        <v>X</v>
      </c>
      <c r="D859" s="425" t="s">
        <v>1659</v>
      </c>
      <c r="I859" s="165">
        <f>868.13+174.5+368.3+5779.9</f>
        <v>7190.83</v>
      </c>
      <c r="L859" s="271">
        <v>2023</v>
      </c>
      <c r="M859" s="227" t="s">
        <v>1890</v>
      </c>
      <c r="N859" s="422" t="s">
        <v>6441</v>
      </c>
      <c r="O859" s="422" t="s">
        <v>6442</v>
      </c>
      <c r="P859" s="227">
        <v>2022</v>
      </c>
      <c r="Q859" s="250" t="s">
        <v>3499</v>
      </c>
      <c r="R859" s="250" t="s">
        <v>3503</v>
      </c>
    </row>
  </sheetData>
  <autoFilter ref="A1:R850">
    <sortState ref="A4:Q850">
      <sortCondition ref="L1:L850"/>
    </sortState>
  </autoFilter>
  <mergeCells count="17">
    <mergeCell ref="L1:L2"/>
    <mergeCell ref="Q1:Q2"/>
    <mergeCell ref="R1:R2"/>
    <mergeCell ref="M1:M2"/>
    <mergeCell ref="N1:N2"/>
    <mergeCell ref="O1:O2"/>
    <mergeCell ref="P1:P2"/>
    <mergeCell ref="F1:F2"/>
    <mergeCell ref="G1:G2"/>
    <mergeCell ref="I1:I2"/>
    <mergeCell ref="J1:J2"/>
    <mergeCell ref="K1:K2"/>
    <mergeCell ref="A1:A2"/>
    <mergeCell ref="C1:C2"/>
    <mergeCell ref="B1:B2"/>
    <mergeCell ref="D1:D2"/>
    <mergeCell ref="E1:E2"/>
  </mergeCells>
  <dataValidations count="3">
    <dataValidation type="list" allowBlank="1" showInputMessage="1" showErrorMessage="1" sqref="D146:D163 D199:D200 D168:D170 D398:D401 D323:D328 D346:D350 D299:D304 D379 D403:D404 D359:D370 D297 D291:D295 D352:D354 D313:D318 D344 D330:D332 D320:D321 D306:D308 D284:D286 D275:D282 D337:D342 D387:D388 D3:D144 D192 D206:D273 D419:D468 D476:D489 D473:D474 D675:D676 D509 D751:D752 D491 D494 D497 D518:D523 D525:D527 D529 D532:D539 D541:D543 D546:D550 D552:D555 D558:D565 D567:D569 D572:D577 D579:D582 D593:D595 D598:D602 D604:D607 D610:D619 D622:D626 D628:D630 D632:D639 D641:D647 D733 D704 D649:D653 D656 D658:D660 D662:D667 D669:D673 D686 D689:D690 D511:D515 D738 J490 J458:J467 D741 D693:D699 D701:D702 D585:D591 D754:D859">
      <formula1>"Serviço Manutenção, Outros Serviços, Pneus, Componentes/Peças, Vidros, Baterias, Metais, Plásticos, Borrachas, Papel, Contrato Pneus, Outros, Total"</formula1>
    </dataValidation>
    <dataValidation type="list" allowBlank="1" showInputMessage="1" showErrorMessage="1" sqref="D145 D164:D167 D175">
      <formula1>"Serviço Manutenção, Outros Serviços, Pneus, Componentes/Peças, Vidros, Baterias, Metais, Plásticos, Borrachas, Papel, Contrato Pneus, Outros"</formula1>
    </dataValidation>
    <dataValidation type="list" allowBlank="1" showInputMessage="1" showErrorMessage="1" sqref="F362:F363 I147:I150 F246 F338 F314 F292 F270 F754:F850 F3:F5 F7:F28 F383:F392 F401:F422">
      <formula1>"unidades, paletes, contentores, kWh, l (litros), kg (quilos), ton (toneladas), Nm3 (metros cubicos norm.), Outro/NA"</formula1>
    </dataValidation>
  </dataValidations>
  <pageMargins left="0.7" right="0.7" top="0.75" bottom="0.75" header="0.3" footer="0.3"/>
  <pageSetup paperSize="9" orientation="portrait" horizontalDpi="300" verticalDpi="300" r:id="rId1"/>
  <customProperties>
    <customPr name="GU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
  <dimension ref="B1:I44"/>
  <sheetViews>
    <sheetView workbookViewId="0"/>
  </sheetViews>
  <sheetFormatPr defaultRowHeight="15" x14ac:dyDescent="0.25"/>
  <cols>
    <col min="1" max="1" width="2.42578125" style="2" customWidth="1"/>
    <col min="2" max="2" width="44.42578125" style="1" customWidth="1"/>
    <col min="3" max="3" width="32" style="1" customWidth="1"/>
    <col min="4" max="4" width="101.140625" style="1" customWidth="1"/>
    <col min="5" max="5" width="44.7109375" style="1" customWidth="1"/>
    <col min="6" max="6" width="47.5703125" style="2" customWidth="1"/>
    <col min="7" max="7" width="52.42578125" style="2" customWidth="1"/>
    <col min="8" max="8" width="39.7109375" style="1" customWidth="1"/>
    <col min="9" max="9" width="102" style="1" customWidth="1"/>
    <col min="10" max="16384" width="9.140625" style="2"/>
  </cols>
  <sheetData>
    <row r="1" spans="2:9" ht="15.75" thickBot="1" x14ac:dyDescent="0.3">
      <c r="I1" s="5"/>
    </row>
    <row r="2" spans="2:9" ht="21.75" customHeight="1" thickTop="1" x14ac:dyDescent="0.25">
      <c r="B2" s="741" t="s">
        <v>32</v>
      </c>
      <c r="C2" s="742"/>
      <c r="D2" s="743"/>
      <c r="E2" s="747" t="s">
        <v>29</v>
      </c>
      <c r="F2" s="748"/>
      <c r="G2" s="750" t="s">
        <v>92</v>
      </c>
      <c r="H2" s="740" t="s">
        <v>27</v>
      </c>
      <c r="I2" s="724"/>
    </row>
    <row r="3" spans="2:9" ht="21.75" customHeight="1" x14ac:dyDescent="0.25">
      <c r="B3" s="744"/>
      <c r="C3" s="745"/>
      <c r="D3" s="746"/>
      <c r="E3" s="749"/>
      <c r="F3" s="711"/>
      <c r="G3" s="713"/>
      <c r="H3" s="715"/>
      <c r="I3" s="725"/>
    </row>
    <row r="4" spans="2:9" ht="30" customHeight="1" x14ac:dyDescent="0.25">
      <c r="B4" s="744"/>
      <c r="C4" s="745"/>
      <c r="D4" s="746"/>
      <c r="E4" s="727" t="s">
        <v>46</v>
      </c>
      <c r="F4" s="721"/>
      <c r="G4" s="98" t="s">
        <v>93</v>
      </c>
      <c r="H4" s="715"/>
      <c r="I4" s="725"/>
    </row>
    <row r="5" spans="2:9" ht="30" customHeight="1" thickBot="1" x14ac:dyDescent="0.3">
      <c r="B5" s="728" t="s">
        <v>91</v>
      </c>
      <c r="C5" s="729"/>
      <c r="D5" s="12" t="s">
        <v>28</v>
      </c>
      <c r="E5" s="730" t="s">
        <v>90</v>
      </c>
      <c r="F5" s="723"/>
      <c r="G5" s="99" t="s">
        <v>89</v>
      </c>
      <c r="H5" s="716"/>
      <c r="I5" s="726"/>
    </row>
    <row r="6" spans="2:9" ht="33" customHeight="1" x14ac:dyDescent="0.25">
      <c r="B6" s="7" t="s">
        <v>1</v>
      </c>
      <c r="C6" s="8" t="s">
        <v>23</v>
      </c>
      <c r="D6" s="8" t="s">
        <v>0</v>
      </c>
      <c r="E6" s="10" t="s">
        <v>88</v>
      </c>
      <c r="F6" s="100" t="s">
        <v>54</v>
      </c>
      <c r="G6" s="101" t="s">
        <v>44</v>
      </c>
      <c r="H6" s="57" t="s">
        <v>87</v>
      </c>
      <c r="I6" s="6" t="s">
        <v>2</v>
      </c>
    </row>
    <row r="7" spans="2:9" ht="67.5" customHeight="1" x14ac:dyDescent="0.25">
      <c r="B7" s="731" t="s">
        <v>13</v>
      </c>
      <c r="C7" s="734" t="s">
        <v>24</v>
      </c>
      <c r="D7" s="188" t="s">
        <v>94</v>
      </c>
      <c r="E7" s="15" t="s">
        <v>34</v>
      </c>
      <c r="F7" s="102" t="str">
        <f>'A1.1'!D15</f>
        <v>Identificação das fontes de dados pelo responsável local pela recolha de dados</v>
      </c>
      <c r="G7" s="103" t="str">
        <f>'A1.1'!D14</f>
        <v>Identificação do responsável local pela recolha de dados</v>
      </c>
      <c r="H7" s="26" t="s">
        <v>55</v>
      </c>
      <c r="I7" s="19" t="s">
        <v>18</v>
      </c>
    </row>
    <row r="8" spans="2:9" ht="67.5" customHeight="1" x14ac:dyDescent="0.25">
      <c r="B8" s="732"/>
      <c r="C8" s="735"/>
      <c r="D8" s="189" t="s">
        <v>95</v>
      </c>
      <c r="E8" s="16" t="s">
        <v>34</v>
      </c>
      <c r="F8" s="102" t="str">
        <f>'A1.2'!D15</f>
        <v>Identificação das fontes de dados pelo responsável local pela recolha de dados</v>
      </c>
      <c r="G8" s="103" t="str">
        <f>'A1.2'!D14</f>
        <v>Identificação do responsável local pela recolha de dados</v>
      </c>
      <c r="H8" s="27" t="s">
        <v>55</v>
      </c>
      <c r="I8" s="20" t="s">
        <v>19</v>
      </c>
    </row>
    <row r="9" spans="2:9" ht="67.5" customHeight="1" x14ac:dyDescent="0.25">
      <c r="B9" s="732"/>
      <c r="C9" s="735"/>
      <c r="D9" s="189" t="s">
        <v>96</v>
      </c>
      <c r="E9" s="16" t="s">
        <v>34</v>
      </c>
      <c r="F9" s="102" t="str">
        <f>'A1.3'!D15</f>
        <v>Identificação das fontes de dados pelo responsável local pela recolha de dados</v>
      </c>
      <c r="G9" s="103" t="str">
        <f>'A1.3'!D14</f>
        <v>Identificação do responsável local pela recolha de dados</v>
      </c>
      <c r="H9" s="29" t="s">
        <v>56</v>
      </c>
      <c r="I9" s="20" t="s">
        <v>61</v>
      </c>
    </row>
    <row r="10" spans="2:9" ht="66.75" customHeight="1" thickBot="1" x14ac:dyDescent="0.3">
      <c r="B10" s="733"/>
      <c r="C10" s="736"/>
      <c r="D10" s="190" t="s">
        <v>97</v>
      </c>
      <c r="E10" s="17" t="s">
        <v>34</v>
      </c>
      <c r="F10" s="104" t="str">
        <f>'A1.4'!D15</f>
        <v>Identificação das fontes de dados pelo responsável local pela recolha de dados</v>
      </c>
      <c r="G10" s="105" t="str">
        <f>'A1.4'!D14</f>
        <v>Identificação do responsável local pela recolha de dados</v>
      </c>
      <c r="H10" s="28" t="s">
        <v>55</v>
      </c>
      <c r="I10" s="21" t="s">
        <v>20</v>
      </c>
    </row>
    <row r="11" spans="2:9" ht="60" customHeight="1" thickBot="1" x14ac:dyDescent="0.3">
      <c r="B11" s="63" t="s">
        <v>22</v>
      </c>
      <c r="C11" s="14" t="s">
        <v>25</v>
      </c>
      <c r="D11" s="191" t="s">
        <v>98</v>
      </c>
      <c r="E11" s="18" t="s">
        <v>34</v>
      </c>
      <c r="F11" s="106" t="str">
        <f>'A2'!D15</f>
        <v>Identificação das fontes de dados pelo responsável local pela recolha de dados</v>
      </c>
      <c r="G11" s="107" t="str">
        <f>'A2'!D14</f>
        <v>Identificação do responsável local pela recolha de dados</v>
      </c>
      <c r="H11" s="30" t="s">
        <v>57</v>
      </c>
      <c r="I11" s="22" t="s">
        <v>62</v>
      </c>
    </row>
    <row r="12" spans="2:9" ht="67.5" customHeight="1" x14ac:dyDescent="0.25">
      <c r="B12" s="737" t="s">
        <v>26</v>
      </c>
      <c r="C12" s="35" t="s">
        <v>25</v>
      </c>
      <c r="D12" s="192" t="s">
        <v>99</v>
      </c>
      <c r="E12" s="37" t="s">
        <v>34</v>
      </c>
      <c r="F12" s="108" t="str">
        <f>'A3.1'!D15</f>
        <v>Identificação das fontes de dados pelo responsável local pela recolha de dados</v>
      </c>
      <c r="G12" s="109" t="str">
        <f>'A3.1'!D14</f>
        <v>Identificação do responsável local pela recolha de dados</v>
      </c>
      <c r="H12" s="38" t="s">
        <v>58</v>
      </c>
      <c r="I12" s="40" t="s">
        <v>48</v>
      </c>
    </row>
    <row r="13" spans="2:9" ht="44.25" customHeight="1" x14ac:dyDescent="0.25">
      <c r="B13" s="738"/>
      <c r="C13" s="41" t="s">
        <v>25</v>
      </c>
      <c r="D13" s="193" t="s">
        <v>100</v>
      </c>
      <c r="E13" s="43" t="s">
        <v>34</v>
      </c>
      <c r="F13" s="110" t="str">
        <f>'A3.2'!D15</f>
        <v>Identificação das fontes de dados pelo responsável local pela recolha de dados</v>
      </c>
      <c r="G13" s="111" t="str">
        <f>'A3.2'!D14</f>
        <v>Identificação do responsável local pela recolha de dados</v>
      </c>
      <c r="H13" s="44" t="s">
        <v>59</v>
      </c>
      <c r="I13" s="46" t="s">
        <v>437</v>
      </c>
    </row>
    <row r="14" spans="2:9" ht="44.25" customHeight="1" x14ac:dyDescent="0.25">
      <c r="B14" s="738"/>
      <c r="C14" s="41" t="s">
        <v>25</v>
      </c>
      <c r="D14" s="193" t="s">
        <v>101</v>
      </c>
      <c r="E14" s="43" t="s">
        <v>34</v>
      </c>
      <c r="F14" s="110" t="str">
        <f>'A3.3'!D15</f>
        <v>Identificação das fontes de dados pelo responsável local pela recolha de dados</v>
      </c>
      <c r="G14" s="111" t="str">
        <f>'A3.3'!D14</f>
        <v>Identificação do responsável local pela recolha de dados</v>
      </c>
      <c r="H14" s="44" t="s">
        <v>56</v>
      </c>
      <c r="I14" s="49" t="s">
        <v>63</v>
      </c>
    </row>
    <row r="15" spans="2:9" ht="44.25" customHeight="1" x14ac:dyDescent="0.25">
      <c r="B15" s="738"/>
      <c r="C15" s="41" t="s">
        <v>25</v>
      </c>
      <c r="D15" s="193" t="s">
        <v>102</v>
      </c>
      <c r="E15" s="43" t="s">
        <v>41</v>
      </c>
      <c r="F15" s="110" t="str">
        <f>'A3.4'!D15</f>
        <v>Identificação das fontes de dados pelo responsável local pela recolha de dados</v>
      </c>
      <c r="G15" s="111" t="str">
        <f>'A3.4'!D14</f>
        <v>Identificação do responsável local pela recolha de dados</v>
      </c>
      <c r="H15" s="44" t="s">
        <v>84</v>
      </c>
      <c r="I15" s="46" t="s">
        <v>53</v>
      </c>
    </row>
    <row r="16" spans="2:9" ht="44.25" customHeight="1" x14ac:dyDescent="0.25">
      <c r="B16" s="738"/>
      <c r="C16" s="41" t="s">
        <v>25</v>
      </c>
      <c r="D16" s="193" t="s">
        <v>103</v>
      </c>
      <c r="E16" s="43" t="s">
        <v>41</v>
      </c>
      <c r="F16" s="110" t="str">
        <f>'A3.5'!D15</f>
        <v>Identificação das fontes de dados pelo responsável local pela recolha de dados</v>
      </c>
      <c r="G16" s="111" t="str">
        <f>'A3.5'!D14</f>
        <v>Identificação do responsável local pela recolha de dados</v>
      </c>
      <c r="H16" s="44" t="s">
        <v>56</v>
      </c>
      <c r="I16" s="46" t="s">
        <v>6</v>
      </c>
    </row>
    <row r="17" spans="2:9" ht="44.25" customHeight="1" x14ac:dyDescent="0.25">
      <c r="B17" s="738"/>
      <c r="C17" s="41" t="s">
        <v>25</v>
      </c>
      <c r="D17" s="193" t="s">
        <v>104</v>
      </c>
      <c r="E17" s="43" t="s">
        <v>42</v>
      </c>
      <c r="F17" s="110" t="str">
        <f>'A3.6 copy'!D15</f>
        <v>NA</v>
      </c>
      <c r="G17" s="111" t="str">
        <f>'A3.6 copy'!D14</f>
        <v>NA</v>
      </c>
      <c r="H17" s="47" t="s">
        <v>76</v>
      </c>
      <c r="I17" s="46" t="s">
        <v>64</v>
      </c>
    </row>
    <row r="18" spans="2:9" ht="44.25" customHeight="1" x14ac:dyDescent="0.25">
      <c r="B18" s="738"/>
      <c r="C18" s="41" t="s">
        <v>31</v>
      </c>
      <c r="D18" s="193" t="s">
        <v>105</v>
      </c>
      <c r="E18" s="43" t="s">
        <v>42</v>
      </c>
      <c r="F18" s="751" t="str">
        <f>'A3.7'!D15</f>
        <v>Identificação das fontes de dados pelo responsável local pela recolha de dados</v>
      </c>
      <c r="G18" s="754" t="str">
        <f>'A3.7'!D14</f>
        <v>Identificação do responsável local pela recolha de dados</v>
      </c>
      <c r="H18" s="47" t="s">
        <v>76</v>
      </c>
      <c r="I18" s="46" t="s">
        <v>52</v>
      </c>
    </row>
    <row r="19" spans="2:9" ht="44.25" customHeight="1" x14ac:dyDescent="0.25">
      <c r="B19" s="738"/>
      <c r="C19" s="41" t="s">
        <v>31</v>
      </c>
      <c r="D19" s="193" t="s">
        <v>106</v>
      </c>
      <c r="E19" s="43" t="s">
        <v>42</v>
      </c>
      <c r="F19" s="752"/>
      <c r="G19" s="755"/>
      <c r="H19" s="47" t="s">
        <v>76</v>
      </c>
      <c r="I19" s="46" t="s">
        <v>52</v>
      </c>
    </row>
    <row r="20" spans="2:9" ht="44.25" customHeight="1" x14ac:dyDescent="0.25">
      <c r="B20" s="738"/>
      <c r="C20" s="41" t="s">
        <v>31</v>
      </c>
      <c r="D20" s="193" t="s">
        <v>107</v>
      </c>
      <c r="E20" s="43" t="s">
        <v>34</v>
      </c>
      <c r="F20" s="752"/>
      <c r="G20" s="755"/>
      <c r="H20" s="44" t="s">
        <v>56</v>
      </c>
      <c r="I20" s="49" t="s">
        <v>51</v>
      </c>
    </row>
    <row r="21" spans="2:9" ht="44.25" customHeight="1" x14ac:dyDescent="0.25">
      <c r="B21" s="738"/>
      <c r="C21" s="41" t="s">
        <v>31</v>
      </c>
      <c r="D21" s="193" t="s">
        <v>108</v>
      </c>
      <c r="E21" s="43" t="s">
        <v>34</v>
      </c>
      <c r="F21" s="752"/>
      <c r="G21" s="755"/>
      <c r="H21" s="44" t="s">
        <v>56</v>
      </c>
      <c r="I21" s="49" t="s">
        <v>51</v>
      </c>
    </row>
    <row r="22" spans="2:9" ht="44.25" customHeight="1" x14ac:dyDescent="0.25">
      <c r="B22" s="738"/>
      <c r="C22" s="41" t="s">
        <v>31</v>
      </c>
      <c r="D22" s="193" t="s">
        <v>109</v>
      </c>
      <c r="E22" s="43" t="s">
        <v>34</v>
      </c>
      <c r="F22" s="752"/>
      <c r="G22" s="755"/>
      <c r="H22" s="44" t="s">
        <v>55</v>
      </c>
      <c r="I22" s="49" t="s">
        <v>50</v>
      </c>
    </row>
    <row r="23" spans="2:9" ht="44.25" customHeight="1" x14ac:dyDescent="0.25">
      <c r="B23" s="738"/>
      <c r="C23" s="41" t="s">
        <v>31</v>
      </c>
      <c r="D23" s="193" t="s">
        <v>110</v>
      </c>
      <c r="E23" s="43" t="s">
        <v>34</v>
      </c>
      <c r="F23" s="753"/>
      <c r="G23" s="756"/>
      <c r="H23" s="44" t="s">
        <v>55</v>
      </c>
      <c r="I23" s="49" t="s">
        <v>50</v>
      </c>
    </row>
    <row r="24" spans="2:9" ht="44.25" customHeight="1" x14ac:dyDescent="0.25">
      <c r="B24" s="738"/>
      <c r="C24" s="41" t="s">
        <v>31</v>
      </c>
      <c r="D24" s="193" t="s">
        <v>111</v>
      </c>
      <c r="E24" s="43" t="s">
        <v>34</v>
      </c>
      <c r="F24" s="110" t="str">
        <f>'A3.8'!D15</f>
        <v>Identificação das fontes de dados pelo responsável local pela recolha de dados</v>
      </c>
      <c r="G24" s="111" t="str">
        <f>'A3.8'!D14</f>
        <v>Identificação do responsável local pela recolha de dados</v>
      </c>
      <c r="H24" s="44" t="s">
        <v>56</v>
      </c>
      <c r="I24" s="50"/>
    </row>
    <row r="25" spans="2:9" ht="44.25" customHeight="1" x14ac:dyDescent="0.25">
      <c r="B25" s="738"/>
      <c r="C25" s="41" t="s">
        <v>31</v>
      </c>
      <c r="D25" s="193" t="s">
        <v>112</v>
      </c>
      <c r="E25" s="43" t="s">
        <v>34</v>
      </c>
      <c r="F25" s="110" t="str">
        <f>'A3.9.1'!D15</f>
        <v>Identificação das fontes de dados pelo responsável local pela recolha de dados</v>
      </c>
      <c r="G25" s="111" t="str">
        <f>'A3.9.1'!D14</f>
        <v>Identificação do responsável local pela recolha de dados</v>
      </c>
      <c r="H25" s="44" t="s">
        <v>56</v>
      </c>
      <c r="I25" s="49" t="s">
        <v>66</v>
      </c>
    </row>
    <row r="26" spans="2:9" ht="44.25" customHeight="1" x14ac:dyDescent="0.25">
      <c r="B26" s="738"/>
      <c r="C26" s="41" t="s">
        <v>31</v>
      </c>
      <c r="D26" s="193" t="s">
        <v>1843</v>
      </c>
      <c r="E26" s="43" t="s">
        <v>41</v>
      </c>
      <c r="F26" s="110" t="str">
        <f>'A3.10 copy'!D15</f>
        <v>Identificação das fontes de dados pelo responsável local pela recolha de dados</v>
      </c>
      <c r="G26" s="111" t="str">
        <f>'A3.10 copy'!D14</f>
        <v>Identificação do responsável local pela recolha de dados</v>
      </c>
      <c r="H26" s="44" t="s">
        <v>56</v>
      </c>
      <c r="I26" s="49" t="s">
        <v>65</v>
      </c>
    </row>
    <row r="27" spans="2:9" ht="44.25" customHeight="1" x14ac:dyDescent="0.25">
      <c r="B27" s="738"/>
      <c r="C27" s="41" t="s">
        <v>31</v>
      </c>
      <c r="D27" s="193" t="s">
        <v>1844</v>
      </c>
      <c r="E27" s="43" t="s">
        <v>42</v>
      </c>
      <c r="F27" s="110" t="str">
        <f>'A3.11'!D15</f>
        <v>NA</v>
      </c>
      <c r="G27" s="111" t="str">
        <f>'A3.11'!D14</f>
        <v>NA</v>
      </c>
      <c r="H27" s="47" t="s">
        <v>76</v>
      </c>
      <c r="I27" s="46" t="s">
        <v>49</v>
      </c>
    </row>
    <row r="28" spans="2:9" ht="44.25" customHeight="1" x14ac:dyDescent="0.25">
      <c r="B28" s="738"/>
      <c r="C28" s="41" t="s">
        <v>31</v>
      </c>
      <c r="D28" s="193" t="s">
        <v>1845</v>
      </c>
      <c r="E28" s="43" t="s">
        <v>42</v>
      </c>
      <c r="F28" s="110" t="str">
        <f>'A3.12'!D15</f>
        <v>NA</v>
      </c>
      <c r="G28" s="111" t="str">
        <f>'A3.12'!D14</f>
        <v>NA</v>
      </c>
      <c r="H28" s="47" t="s">
        <v>76</v>
      </c>
      <c r="I28" s="46" t="s">
        <v>49</v>
      </c>
    </row>
    <row r="29" spans="2:9" ht="44.25" customHeight="1" thickBot="1" x14ac:dyDescent="0.3">
      <c r="B29" s="739"/>
      <c r="C29" s="51" t="s">
        <v>31</v>
      </c>
      <c r="D29" s="194" t="s">
        <v>1842</v>
      </c>
      <c r="E29" s="52" t="s">
        <v>42</v>
      </c>
      <c r="F29" s="112" t="str">
        <f>'A3.13'!D15</f>
        <v>NA</v>
      </c>
      <c r="G29" s="113" t="str">
        <f>'A3.13'!D14</f>
        <v>NA</v>
      </c>
      <c r="H29" s="53" t="s">
        <v>76</v>
      </c>
      <c r="I29" s="55" t="s">
        <v>49</v>
      </c>
    </row>
    <row r="30" spans="2:9" ht="15.75" thickTop="1" x14ac:dyDescent="0.25">
      <c r="C30" s="3"/>
      <c r="D30" s="2"/>
    </row>
    <row r="31" spans="2:9" x14ac:dyDescent="0.25">
      <c r="D31" s="2"/>
    </row>
    <row r="32" spans="2:9" s="1" customFormat="1" x14ac:dyDescent="0.25">
      <c r="D32" s="2"/>
      <c r="F32" s="2"/>
      <c r="G32" s="2"/>
    </row>
    <row r="33" spans="4:7" s="1" customFormat="1" x14ac:dyDescent="0.25">
      <c r="D33" s="2"/>
      <c r="F33" s="2"/>
      <c r="G33" s="2"/>
    </row>
    <row r="34" spans="4:7" s="1" customFormat="1" x14ac:dyDescent="0.25">
      <c r="D34" s="2"/>
      <c r="F34" s="2"/>
      <c r="G34" s="2"/>
    </row>
    <row r="35" spans="4:7" s="1" customFormat="1" x14ac:dyDescent="0.25">
      <c r="D35" s="2"/>
      <c r="F35" s="2"/>
      <c r="G35" s="2"/>
    </row>
    <row r="36" spans="4:7" s="1" customFormat="1" x14ac:dyDescent="0.25">
      <c r="D36" s="2"/>
      <c r="F36" s="2"/>
      <c r="G36" s="2"/>
    </row>
    <row r="37" spans="4:7" s="1" customFormat="1" x14ac:dyDescent="0.25">
      <c r="D37" s="2"/>
      <c r="F37" s="2"/>
      <c r="G37" s="2"/>
    </row>
    <row r="38" spans="4:7" s="1" customFormat="1" x14ac:dyDescent="0.25">
      <c r="D38" s="2"/>
      <c r="F38" s="2"/>
      <c r="G38" s="2"/>
    </row>
    <row r="39" spans="4:7" s="1" customFormat="1" x14ac:dyDescent="0.25">
      <c r="D39" s="2"/>
      <c r="F39" s="2"/>
      <c r="G39" s="2"/>
    </row>
    <row r="40" spans="4:7" s="1" customFormat="1" x14ac:dyDescent="0.25">
      <c r="D40" s="2"/>
      <c r="F40" s="2"/>
      <c r="G40" s="2"/>
    </row>
    <row r="41" spans="4:7" s="1" customFormat="1" x14ac:dyDescent="0.25">
      <c r="D41" s="2"/>
      <c r="F41" s="2"/>
      <c r="G41" s="2"/>
    </row>
    <row r="42" spans="4:7" s="1" customFormat="1" x14ac:dyDescent="0.25">
      <c r="D42" s="2"/>
      <c r="F42" s="2"/>
      <c r="G42" s="2"/>
    </row>
    <row r="43" spans="4:7" s="1" customFormat="1" x14ac:dyDescent="0.25">
      <c r="D43" s="2"/>
      <c r="F43" s="2"/>
      <c r="G43" s="2"/>
    </row>
    <row r="44" spans="4:7" s="1" customFormat="1" x14ac:dyDescent="0.25">
      <c r="D44" s="2"/>
      <c r="F44" s="2"/>
      <c r="G44" s="2"/>
    </row>
  </sheetData>
  <mergeCells count="13">
    <mergeCell ref="B12:B29"/>
    <mergeCell ref="H2:H5"/>
    <mergeCell ref="B2:D4"/>
    <mergeCell ref="E2:F3"/>
    <mergeCell ref="G2:G3"/>
    <mergeCell ref="F18:F23"/>
    <mergeCell ref="G18:G23"/>
    <mergeCell ref="I2:I5"/>
    <mergeCell ref="E4:F4"/>
    <mergeCell ref="B5:C5"/>
    <mergeCell ref="E5:F5"/>
    <mergeCell ref="B7:B10"/>
    <mergeCell ref="C7:C10"/>
  </mergeCells>
  <dataValidations disablePrompts="1" count="1">
    <dataValidation type="list" allowBlank="1" showInputMessage="1" showErrorMessage="1" sqref="E7:E29">
      <formula1>"Sim, Não, A avaliar/validar"</formula1>
    </dataValidation>
  </dataValidations>
  <hyperlinks>
    <hyperlink ref="D7" location="A1.1!A1" display="A1.1 Consumo de combustíveis frota produtiva"/>
    <hyperlink ref="D8" location="A1.2!A1" display="A1.2 Consumo de combustíveis frota não produtiva"/>
    <hyperlink ref="D9" location="A1.3!A1" display="A1.3 Consumo de combustíveis de outros equipamentos"/>
    <hyperlink ref="D10" location="A1.4!A1" display="A1.4 Emissões fugitivas de gases fluorados (e.g. gases refrigerantes)"/>
    <hyperlink ref="D11" location="'A2'!A1" display="A2 Consumo de energia de fontes secundárias (e.g. energia elétrica)"/>
    <hyperlink ref="D12" location="A3.1!A1" display="A3.1!A1"/>
    <hyperlink ref="D13" location="A3.2!A1" display="A3.2 Bens de capital"/>
    <hyperlink ref="D14" location="A3.3!A1" display="A3.3 Viagens pendulares"/>
    <hyperlink ref="D15" location="A3.4!A1" display="A3.4 Compra de bens e serviços"/>
    <hyperlink ref="D16" location="A3.5!A1" display="A3.5 Transporte a montante"/>
    <hyperlink ref="D17" location="A3.6!A1" display="A3.6 Ativos alugados a montante"/>
    <hyperlink ref="D18" location="A3.7!A1" display="A3.7.1.1 Processamento de produtos vendidos (clientes universo GB)"/>
    <hyperlink ref="D18:D23" location="A3.7!A1" display="A3.7.1.1 Processamento de produtos vendidos (clientes universo GB)"/>
    <hyperlink ref="D24" location="A3.8!A1" display="A3.8 Subcontratação de Serviços de Transporte"/>
    <hyperlink ref="D25" location="A3.9.1!A1" display="A3.9 Resíduos gerados"/>
    <hyperlink ref="D26" location="A3.11!A1" display="A3.11 Transporte a jusante"/>
    <hyperlink ref="D27" location="A3.12!A1" display="A3.12 Ativos alugados a justante"/>
    <hyperlink ref="D28" location="A3.13!A1" display="A3.13 Franchises"/>
    <hyperlink ref="D29" location="A3.14!A1" display="A3.14 Investimentos"/>
  </hyperlinks>
  <pageMargins left="0.7" right="0.7" top="0.75" bottom="0.75" header="0.3" footer="0.3"/>
  <customProperties>
    <customPr name="GUID" r:id="rId1"/>
  </customPropertie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3"/>
  <dimension ref="B6:AA86"/>
  <sheetViews>
    <sheetView workbookViewId="0"/>
  </sheetViews>
  <sheetFormatPr defaultRowHeight="15" x14ac:dyDescent="0.25"/>
  <cols>
    <col min="2" max="2" width="54.7109375" customWidth="1"/>
    <col min="3" max="3" width="35.7109375" customWidth="1"/>
    <col min="4" max="5" width="25.7109375" customWidth="1"/>
    <col min="6" max="6" width="28.5703125" customWidth="1"/>
    <col min="7" max="7" width="25.7109375" customWidth="1"/>
    <col min="8" max="9" width="25.7109375" style="174" customWidth="1"/>
    <col min="10" max="11" width="25.7109375" customWidth="1"/>
    <col min="12" max="12" width="30.5703125" style="172" customWidth="1"/>
    <col min="13" max="13" width="30.5703125" customWidth="1"/>
    <col min="14" max="14" width="43.28515625" customWidth="1"/>
    <col min="15" max="15" width="26.5703125" customWidth="1"/>
    <col min="16" max="16" width="35.7109375" bestFit="1" customWidth="1"/>
    <col min="19" max="19" width="31.85546875" bestFit="1" customWidth="1"/>
    <col min="20" max="24" width="18.7109375" style="1" customWidth="1"/>
    <col min="25" max="25" width="19" style="1" customWidth="1"/>
    <col min="26" max="26" width="9.140625" style="1"/>
  </cols>
  <sheetData>
    <row r="6" spans="2:27" ht="15.75" thickBot="1" x14ac:dyDescent="0.3"/>
    <row r="7" spans="2:27" x14ac:dyDescent="0.25">
      <c r="B7" s="78" t="s">
        <v>118</v>
      </c>
      <c r="C7" s="79"/>
    </row>
    <row r="9" spans="2:27" x14ac:dyDescent="0.25">
      <c r="B9" s="765" t="str">
        <f>"Grupo Barraqueiro: "&amp;'Folha de Rosto'!C6&amp;" "&amp;'Folha de Rosto'!I6&amp;" - Emissões de GEE de Âmbito 3"</f>
        <v>Grupo Barraqueiro: PEGADA DE CARBONO 2022 - Emissões de GEE de Âmbito 3</v>
      </c>
      <c r="C9" s="765"/>
      <c r="D9" s="765"/>
      <c r="E9" s="765"/>
      <c r="F9" s="765"/>
      <c r="G9" s="765"/>
      <c r="H9" s="765"/>
      <c r="I9" s="765"/>
      <c r="J9" s="765"/>
      <c r="K9" s="765"/>
      <c r="L9" s="765"/>
      <c r="M9" s="765"/>
      <c r="N9" s="765"/>
      <c r="O9" s="765"/>
      <c r="P9" s="765"/>
      <c r="Q9" s="765"/>
      <c r="R9" s="765"/>
      <c r="S9" s="765"/>
      <c r="T9" s="765"/>
      <c r="U9" s="765"/>
      <c r="V9" s="765"/>
      <c r="W9" s="765"/>
      <c r="X9" s="765"/>
      <c r="Y9" s="765"/>
      <c r="Z9" s="765"/>
      <c r="AA9" s="765"/>
    </row>
    <row r="10" spans="2:27" ht="15.75" thickBot="1" x14ac:dyDescent="0.3"/>
    <row r="11" spans="2:27" ht="33.6" customHeight="1" thickBot="1" x14ac:dyDescent="0.3">
      <c r="B11" s="761" t="s">
        <v>119</v>
      </c>
      <c r="C11" s="761"/>
      <c r="D11" s="767" t="s">
        <v>522</v>
      </c>
      <c r="E11" s="767"/>
      <c r="F11" s="767"/>
      <c r="G11" s="767"/>
      <c r="H11" s="767"/>
      <c r="I11" s="767"/>
      <c r="J11" s="768"/>
      <c r="K11" s="768"/>
      <c r="L11" s="768"/>
      <c r="M11" s="768"/>
      <c r="N11" s="768"/>
      <c r="O11" s="768"/>
      <c r="P11" s="768"/>
      <c r="Q11" s="768"/>
      <c r="R11" s="768"/>
      <c r="S11" s="768"/>
      <c r="T11" s="769"/>
    </row>
    <row r="12" spans="2:27" ht="60.95" customHeight="1" thickBot="1" x14ac:dyDescent="0.3">
      <c r="B12" s="761" t="s">
        <v>120</v>
      </c>
      <c r="C12" s="761"/>
      <c r="D12" s="770" t="s">
        <v>451</v>
      </c>
      <c r="E12" s="770"/>
      <c r="F12" s="770"/>
      <c r="G12" s="770"/>
      <c r="H12" s="770"/>
      <c r="I12" s="770"/>
      <c r="J12" s="771"/>
      <c r="K12" s="771"/>
      <c r="L12" s="771"/>
      <c r="M12" s="771"/>
      <c r="N12" s="771"/>
      <c r="O12" s="771"/>
      <c r="P12" s="771"/>
      <c r="Q12" s="771"/>
      <c r="R12" s="771"/>
      <c r="S12" s="771"/>
      <c r="T12" s="772"/>
    </row>
    <row r="13" spans="2:27" ht="60.95" customHeight="1" thickBot="1" x14ac:dyDescent="0.3">
      <c r="B13" s="761" t="s">
        <v>121</v>
      </c>
      <c r="C13" s="761"/>
      <c r="D13" s="762" t="s">
        <v>1529</v>
      </c>
      <c r="E13" s="762"/>
      <c r="F13" s="762"/>
      <c r="G13" s="762"/>
      <c r="H13" s="762"/>
      <c r="I13" s="762"/>
      <c r="J13" s="763"/>
      <c r="K13" s="763"/>
      <c r="L13" s="763"/>
      <c r="M13" s="763"/>
      <c r="N13" s="763"/>
      <c r="O13" s="763"/>
      <c r="P13" s="763"/>
      <c r="Q13" s="763"/>
      <c r="R13" s="763"/>
      <c r="S13" s="763"/>
      <c r="T13" s="764"/>
    </row>
    <row r="14" spans="2:27" ht="60.95" customHeight="1" thickBot="1" x14ac:dyDescent="0.3">
      <c r="B14" s="761" t="s">
        <v>122</v>
      </c>
      <c r="C14" s="761"/>
      <c r="D14" s="762" t="s">
        <v>123</v>
      </c>
      <c r="E14" s="762"/>
      <c r="F14" s="762"/>
      <c r="G14" s="762"/>
      <c r="H14" s="762"/>
      <c r="I14" s="762"/>
      <c r="J14" s="763"/>
      <c r="K14" s="763"/>
      <c r="L14" s="763"/>
      <c r="M14" s="763"/>
      <c r="N14" s="763"/>
      <c r="O14" s="763"/>
      <c r="P14" s="763"/>
      <c r="Q14" s="763"/>
      <c r="R14" s="763"/>
      <c r="S14" s="763"/>
      <c r="T14" s="764"/>
    </row>
    <row r="15" spans="2:27" ht="60" customHeight="1" thickBot="1" x14ac:dyDescent="0.3">
      <c r="B15" s="761" t="s">
        <v>128</v>
      </c>
      <c r="C15" s="761"/>
      <c r="D15" s="798" t="s">
        <v>129</v>
      </c>
      <c r="E15" s="799"/>
      <c r="F15" s="799"/>
      <c r="G15" s="799"/>
      <c r="H15" s="799"/>
      <c r="I15" s="799"/>
      <c r="J15" s="799"/>
      <c r="K15" s="799"/>
      <c r="L15" s="799"/>
      <c r="M15" s="799"/>
      <c r="N15" s="799"/>
      <c r="O15" s="799"/>
      <c r="P15" s="799"/>
      <c r="Q15" s="799"/>
      <c r="R15" s="799"/>
      <c r="S15" s="799"/>
      <c r="T15" s="762"/>
    </row>
    <row r="17" spans="2:27" x14ac:dyDescent="0.25">
      <c r="B17" s="765" t="s">
        <v>1819</v>
      </c>
      <c r="C17" s="765"/>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row>
    <row r="18" spans="2:27" x14ac:dyDescent="0.25">
      <c r="B18" t="s">
        <v>130</v>
      </c>
    </row>
    <row r="20" spans="2:27" x14ac:dyDescent="0.25">
      <c r="B20" s="81" t="s">
        <v>135</v>
      </c>
    </row>
    <row r="21" spans="2:27" x14ac:dyDescent="0.25">
      <c r="B21" s="766" t="s">
        <v>1749</v>
      </c>
      <c r="C21" s="766"/>
      <c r="D21" s="766"/>
      <c r="E21" s="766"/>
      <c r="F21" s="766"/>
      <c r="G21" s="766"/>
      <c r="H21" s="766"/>
      <c r="I21" s="766"/>
      <c r="J21" s="766"/>
      <c r="K21" s="766"/>
      <c r="L21" s="766"/>
      <c r="M21" s="766"/>
      <c r="N21" s="766"/>
      <c r="O21" s="766"/>
      <c r="P21" s="766"/>
      <c r="Q21" s="766"/>
      <c r="R21" s="766"/>
      <c r="S21" s="766"/>
      <c r="T21" s="766"/>
      <c r="U21" s="766"/>
      <c r="V21" s="766"/>
      <c r="W21" s="766"/>
      <c r="X21" s="766"/>
      <c r="Y21" s="766"/>
    </row>
    <row r="22" spans="2:27" x14ac:dyDescent="0.25">
      <c r="B22" s="766"/>
      <c r="C22" s="766"/>
      <c r="D22" s="766"/>
      <c r="E22" s="766"/>
      <c r="F22" s="766"/>
      <c r="G22" s="766"/>
      <c r="H22" s="766"/>
      <c r="I22" s="766"/>
      <c r="J22" s="766"/>
      <c r="K22" s="766"/>
      <c r="L22" s="766"/>
      <c r="M22" s="766"/>
      <c r="N22" s="766"/>
      <c r="O22" s="766"/>
      <c r="P22" s="766"/>
      <c r="Q22" s="766"/>
      <c r="R22" s="766"/>
      <c r="S22" s="766"/>
      <c r="T22" s="766"/>
      <c r="U22" s="766"/>
      <c r="V22" s="766"/>
      <c r="W22" s="766"/>
      <c r="X22" s="766"/>
      <c r="Y22" s="766"/>
    </row>
    <row r="24" spans="2:27" ht="15" customHeight="1" x14ac:dyDescent="0.25">
      <c r="B24" s="81" t="s">
        <v>136</v>
      </c>
    </row>
    <row r="25" spans="2:27" x14ac:dyDescent="0.25">
      <c r="B25" s="766"/>
      <c r="C25" s="766"/>
      <c r="D25" s="766"/>
      <c r="E25" s="766"/>
      <c r="F25" s="766"/>
      <c r="G25" s="766"/>
      <c r="H25" s="766"/>
      <c r="I25" s="766"/>
      <c r="J25" s="766"/>
      <c r="K25" s="766"/>
      <c r="L25" s="766"/>
      <c r="M25" s="766"/>
      <c r="N25" s="766"/>
      <c r="O25" s="766"/>
      <c r="P25" s="766"/>
      <c r="Q25" s="766"/>
      <c r="R25" s="766"/>
      <c r="S25" s="766"/>
      <c r="T25" s="766"/>
      <c r="U25" s="766"/>
      <c r="V25" s="766"/>
      <c r="W25" s="766"/>
      <c r="X25" s="766"/>
      <c r="Y25" s="766"/>
    </row>
    <row r="26" spans="2:27" x14ac:dyDescent="0.25">
      <c r="B26" s="766"/>
      <c r="C26" s="766"/>
      <c r="D26" s="766"/>
      <c r="E26" s="766"/>
      <c r="F26" s="766"/>
      <c r="G26" s="766"/>
      <c r="H26" s="766"/>
      <c r="I26" s="766"/>
      <c r="J26" s="766"/>
      <c r="K26" s="766"/>
      <c r="L26" s="766"/>
      <c r="M26" s="766"/>
      <c r="N26" s="766"/>
      <c r="O26" s="766"/>
      <c r="P26" s="766"/>
      <c r="Q26" s="766"/>
      <c r="R26" s="766"/>
      <c r="S26" s="766"/>
      <c r="T26" s="766"/>
      <c r="U26" s="766"/>
      <c r="V26" s="766"/>
      <c r="W26" s="766"/>
      <c r="X26" s="766"/>
      <c r="Y26" s="766"/>
    </row>
    <row r="27" spans="2:27" ht="15.75" thickBot="1" x14ac:dyDescent="0.3"/>
    <row r="28" spans="2:27" s="94" customFormat="1" ht="15.75" customHeight="1" thickBot="1" x14ac:dyDescent="0.3">
      <c r="B28" s="757" t="s">
        <v>131</v>
      </c>
      <c r="C28" s="757" t="s">
        <v>442</v>
      </c>
      <c r="D28" s="759" t="s">
        <v>445</v>
      </c>
      <c r="E28" s="757" t="s">
        <v>449</v>
      </c>
      <c r="F28" s="759" t="s">
        <v>446</v>
      </c>
      <c r="G28" s="759" t="s">
        <v>141</v>
      </c>
      <c r="H28" s="812" t="s">
        <v>1769</v>
      </c>
      <c r="I28" s="813" t="s">
        <v>1791</v>
      </c>
      <c r="J28" s="757" t="s">
        <v>447</v>
      </c>
      <c r="K28" s="757" t="s">
        <v>458</v>
      </c>
      <c r="L28" s="812" t="s">
        <v>448</v>
      </c>
      <c r="M28" s="778" t="s">
        <v>1792</v>
      </c>
      <c r="N28" s="759" t="s">
        <v>1768</v>
      </c>
      <c r="O28" s="759" t="s">
        <v>1770</v>
      </c>
      <c r="P28" s="759" t="s">
        <v>1780</v>
      </c>
      <c r="S28" s="92" t="s">
        <v>1767</v>
      </c>
      <c r="T28" s="169" t="s">
        <v>1752</v>
      </c>
      <c r="U28" s="169" t="s">
        <v>1751</v>
      </c>
      <c r="V28" s="169" t="s">
        <v>1754</v>
      </c>
      <c r="W28" s="169" t="s">
        <v>1750</v>
      </c>
      <c r="X28" s="169" t="s">
        <v>1753</v>
      </c>
      <c r="Y28" s="1"/>
      <c r="Z28" s="1"/>
    </row>
    <row r="29" spans="2:27" s="94" customFormat="1" ht="15" customHeight="1" thickBot="1" x14ac:dyDescent="0.3">
      <c r="B29" s="758"/>
      <c r="C29" s="758"/>
      <c r="D29" s="757"/>
      <c r="E29" s="809"/>
      <c r="F29" s="757"/>
      <c r="G29" s="757"/>
      <c r="H29" s="813"/>
      <c r="I29" s="814"/>
      <c r="J29" s="809"/>
      <c r="K29" s="809"/>
      <c r="L29" s="813"/>
      <c r="M29" s="779"/>
      <c r="N29" s="759"/>
      <c r="O29" s="759"/>
      <c r="P29" s="759"/>
      <c r="S29" s="92" t="s">
        <v>1764</v>
      </c>
      <c r="T29" s="169">
        <v>3.1</v>
      </c>
      <c r="U29" s="169">
        <v>39.9</v>
      </c>
      <c r="V29" s="169">
        <v>39.9</v>
      </c>
      <c r="W29" s="169">
        <v>39.9</v>
      </c>
      <c r="X29" s="169">
        <v>37.6</v>
      </c>
      <c r="Y29" s="1"/>
      <c r="Z29" s="1"/>
    </row>
    <row r="30" spans="2:27" ht="15.75" thickBot="1" x14ac:dyDescent="0.3">
      <c r="B30" s="82" t="s">
        <v>534</v>
      </c>
      <c r="C30" s="82" t="s">
        <v>1653</v>
      </c>
      <c r="D30" s="82" t="s">
        <v>1745</v>
      </c>
      <c r="E30" s="82" t="s">
        <v>1746</v>
      </c>
      <c r="F30" s="82">
        <v>34</v>
      </c>
      <c r="G30" s="82" t="s">
        <v>586</v>
      </c>
      <c r="H30" s="173">
        <v>62</v>
      </c>
      <c r="I30" s="173">
        <f>H30*F30</f>
        <v>2108</v>
      </c>
      <c r="J30" s="82" t="s">
        <v>1747</v>
      </c>
      <c r="K30" s="82" t="s">
        <v>1748</v>
      </c>
      <c r="L30" s="173">
        <f t="shared" ref="L30:L50" si="0">INDEX($T$29:$X$31,MATCH(O30,$S$29:$S$31,0),MATCH(N30,$T$28:$X$28,0))</f>
        <v>3.1</v>
      </c>
      <c r="M30" s="171">
        <f>L30*I30</f>
        <v>6534.8</v>
      </c>
      <c r="N30" s="82" t="s">
        <v>1752</v>
      </c>
      <c r="O30" s="82" t="s">
        <v>1764</v>
      </c>
      <c r="P30" s="82" t="s">
        <v>1759</v>
      </c>
      <c r="S30" s="167" t="s">
        <v>1765</v>
      </c>
      <c r="T30" s="170">
        <v>41</v>
      </c>
      <c r="U30" s="170">
        <v>8.1999999999999993</v>
      </c>
      <c r="V30" s="170">
        <v>8.1999999999999993</v>
      </c>
      <c r="W30" s="170">
        <v>5.8</v>
      </c>
      <c r="X30" s="170">
        <v>10.6</v>
      </c>
    </row>
    <row r="31" spans="2:27" ht="15.75" thickBot="1" x14ac:dyDescent="0.3">
      <c r="B31" s="82" t="s">
        <v>534</v>
      </c>
      <c r="C31" s="82" t="s">
        <v>1653</v>
      </c>
      <c r="D31" s="82" t="s">
        <v>1745</v>
      </c>
      <c r="E31" s="82" t="s">
        <v>1746</v>
      </c>
      <c r="F31" s="82">
        <v>115</v>
      </c>
      <c r="G31" s="82" t="s">
        <v>586</v>
      </c>
      <c r="H31" s="173">
        <v>62</v>
      </c>
      <c r="I31" s="173">
        <f t="shared" ref="I31:I84" si="1">H31*F31</f>
        <v>7130</v>
      </c>
      <c r="J31" s="82" t="s">
        <v>1747</v>
      </c>
      <c r="K31" s="82" t="s">
        <v>1748</v>
      </c>
      <c r="L31" s="173">
        <f t="shared" si="0"/>
        <v>8.1999999999999993</v>
      </c>
      <c r="M31" s="171">
        <f t="shared" ref="M31:M84" si="2">L31*I31</f>
        <v>58465.999999999993</v>
      </c>
      <c r="N31" s="82" t="s">
        <v>1751</v>
      </c>
      <c r="O31" s="82" t="s">
        <v>1765</v>
      </c>
      <c r="P31" s="82" t="s">
        <v>1759</v>
      </c>
      <c r="S31" s="167" t="s">
        <v>1766</v>
      </c>
      <c r="T31" s="170">
        <v>39.299999999999997</v>
      </c>
      <c r="U31" s="170">
        <v>8.1999999999999993</v>
      </c>
      <c r="V31" s="170">
        <v>8.1999999999999993</v>
      </c>
      <c r="W31" s="170">
        <v>10.8</v>
      </c>
      <c r="X31" s="170">
        <v>4.2</v>
      </c>
    </row>
    <row r="32" spans="2:27" ht="15.75" thickBot="1" x14ac:dyDescent="0.3">
      <c r="B32" s="82" t="s">
        <v>534</v>
      </c>
      <c r="C32" s="82" t="s">
        <v>1653</v>
      </c>
      <c r="D32" s="82" t="s">
        <v>1745</v>
      </c>
      <c r="E32" s="82" t="s">
        <v>1746</v>
      </c>
      <c r="F32" s="82">
        <v>256</v>
      </c>
      <c r="G32" s="82" t="s">
        <v>586</v>
      </c>
      <c r="H32" s="173">
        <v>62</v>
      </c>
      <c r="I32" s="173">
        <f t="shared" si="1"/>
        <v>15872</v>
      </c>
      <c r="J32" s="82" t="s">
        <v>1747</v>
      </c>
      <c r="K32" s="82" t="s">
        <v>1748</v>
      </c>
      <c r="L32" s="173">
        <f t="shared" si="0"/>
        <v>39.9</v>
      </c>
      <c r="M32" s="171">
        <f t="shared" si="2"/>
        <v>633292.79999999993</v>
      </c>
      <c r="N32" s="82" t="s">
        <v>1754</v>
      </c>
      <c r="O32" s="82" t="s">
        <v>1764</v>
      </c>
      <c r="P32" s="82" t="s">
        <v>1759</v>
      </c>
    </row>
    <row r="33" spans="2:25" ht="15.75" thickBot="1" x14ac:dyDescent="0.3">
      <c r="B33" s="82" t="s">
        <v>534</v>
      </c>
      <c r="C33" s="82" t="s">
        <v>1653</v>
      </c>
      <c r="D33" s="82" t="s">
        <v>1745</v>
      </c>
      <c r="E33" s="82" t="s">
        <v>1746</v>
      </c>
      <c r="F33" s="82">
        <v>4</v>
      </c>
      <c r="G33" s="82" t="s">
        <v>586</v>
      </c>
      <c r="H33" s="173">
        <v>32</v>
      </c>
      <c r="I33" s="173">
        <f t="shared" si="1"/>
        <v>128</v>
      </c>
      <c r="J33" s="82" t="s">
        <v>1747</v>
      </c>
      <c r="K33" s="82" t="s">
        <v>1748</v>
      </c>
      <c r="L33" s="173">
        <f t="shared" si="0"/>
        <v>3.1</v>
      </c>
      <c r="M33" s="171">
        <f t="shared" si="2"/>
        <v>396.8</v>
      </c>
      <c r="N33" s="82" t="s">
        <v>1752</v>
      </c>
      <c r="O33" s="82" t="s">
        <v>1764</v>
      </c>
      <c r="P33" s="82" t="s">
        <v>1755</v>
      </c>
    </row>
    <row r="34" spans="2:25" ht="15.75" thickBot="1" x14ac:dyDescent="0.3">
      <c r="B34" s="82" t="s">
        <v>534</v>
      </c>
      <c r="C34" s="82" t="s">
        <v>1653</v>
      </c>
      <c r="D34" s="82" t="s">
        <v>1745</v>
      </c>
      <c r="E34" s="82" t="s">
        <v>1746</v>
      </c>
      <c r="F34" s="82">
        <v>1</v>
      </c>
      <c r="G34" s="82" t="s">
        <v>586</v>
      </c>
      <c r="H34" s="173">
        <v>32</v>
      </c>
      <c r="I34" s="173">
        <f t="shared" si="1"/>
        <v>32</v>
      </c>
      <c r="J34" s="82" t="s">
        <v>1747</v>
      </c>
      <c r="K34" s="82" t="s">
        <v>1748</v>
      </c>
      <c r="L34" s="173">
        <f t="shared" si="0"/>
        <v>10.8</v>
      </c>
      <c r="M34" s="171">
        <f t="shared" si="2"/>
        <v>345.6</v>
      </c>
      <c r="N34" s="82" t="s">
        <v>1750</v>
      </c>
      <c r="O34" s="82" t="s">
        <v>1766</v>
      </c>
      <c r="P34" s="82" t="s">
        <v>1755</v>
      </c>
      <c r="S34" s="92" t="s">
        <v>1767</v>
      </c>
      <c r="T34" s="169" t="s">
        <v>1774</v>
      </c>
      <c r="U34" s="169" t="s">
        <v>1775</v>
      </c>
      <c r="V34" s="169" t="s">
        <v>1776</v>
      </c>
      <c r="W34" s="169" t="s">
        <v>1777</v>
      </c>
      <c r="X34" s="169" t="s">
        <v>1778</v>
      </c>
      <c r="Y34" s="1" t="s">
        <v>1779</v>
      </c>
    </row>
    <row r="35" spans="2:25" ht="15.75" thickBot="1" x14ac:dyDescent="0.3">
      <c r="B35" s="82" t="s">
        <v>534</v>
      </c>
      <c r="C35" s="82" t="s">
        <v>1653</v>
      </c>
      <c r="D35" s="82" t="s">
        <v>1745</v>
      </c>
      <c r="E35" s="82" t="s">
        <v>1746</v>
      </c>
      <c r="F35" s="82">
        <v>5</v>
      </c>
      <c r="G35" s="82" t="s">
        <v>586</v>
      </c>
      <c r="H35" s="173">
        <v>32</v>
      </c>
      <c r="I35" s="173">
        <f t="shared" si="1"/>
        <v>160</v>
      </c>
      <c r="J35" s="82" t="s">
        <v>1747</v>
      </c>
      <c r="K35" s="82" t="s">
        <v>1748</v>
      </c>
      <c r="L35" s="173">
        <f t="shared" si="0"/>
        <v>8.1999999999999993</v>
      </c>
      <c r="M35" s="171">
        <f t="shared" si="2"/>
        <v>1312</v>
      </c>
      <c r="N35" s="82" t="s">
        <v>1751</v>
      </c>
      <c r="O35" s="82" t="s">
        <v>1766</v>
      </c>
      <c r="P35" s="82" t="s">
        <v>1755</v>
      </c>
      <c r="S35" s="92" t="s">
        <v>1772</v>
      </c>
      <c r="T35" s="169">
        <v>48.5</v>
      </c>
      <c r="U35" s="169">
        <v>68.599999999999994</v>
      </c>
      <c r="V35" s="169">
        <v>29.9</v>
      </c>
      <c r="W35" s="169">
        <v>47.6</v>
      </c>
      <c r="X35" s="169">
        <v>103</v>
      </c>
      <c r="Y35" s="1">
        <v>4.5</v>
      </c>
    </row>
    <row r="36" spans="2:25" ht="15.75" thickBot="1" x14ac:dyDescent="0.3">
      <c r="B36" s="82" t="s">
        <v>534</v>
      </c>
      <c r="C36" s="82" t="s">
        <v>1653</v>
      </c>
      <c r="D36" s="82" t="s">
        <v>1745</v>
      </c>
      <c r="E36" s="82" t="s">
        <v>1746</v>
      </c>
      <c r="F36" s="82">
        <v>11</v>
      </c>
      <c r="G36" s="82" t="s">
        <v>586</v>
      </c>
      <c r="H36" s="173">
        <v>32</v>
      </c>
      <c r="I36" s="173">
        <f t="shared" si="1"/>
        <v>352</v>
      </c>
      <c r="J36" s="82" t="s">
        <v>1747</v>
      </c>
      <c r="K36" s="82" t="s">
        <v>1748</v>
      </c>
      <c r="L36" s="173">
        <f t="shared" si="0"/>
        <v>8.1999999999999993</v>
      </c>
      <c r="M36" s="171">
        <f t="shared" si="2"/>
        <v>2886.3999999999996</v>
      </c>
      <c r="N36" s="82" t="s">
        <v>1754</v>
      </c>
      <c r="O36" s="82" t="s">
        <v>1765</v>
      </c>
      <c r="P36" s="82" t="s">
        <v>1755</v>
      </c>
      <c r="S36" s="167" t="s">
        <v>1771</v>
      </c>
      <c r="T36" s="170">
        <v>33.1</v>
      </c>
      <c r="U36" s="170">
        <v>30.5</v>
      </c>
      <c r="V36" s="170">
        <v>16.2</v>
      </c>
      <c r="W36" s="170">
        <v>24.5</v>
      </c>
      <c r="X36" s="170">
        <v>128</v>
      </c>
      <c r="Y36" s="170">
        <v>38.5</v>
      </c>
    </row>
    <row r="37" spans="2:25" ht="15.75" thickBot="1" x14ac:dyDescent="0.3">
      <c r="B37" s="82" t="s">
        <v>534</v>
      </c>
      <c r="C37" s="82" t="s">
        <v>1653</v>
      </c>
      <c r="D37" s="82" t="s">
        <v>1745</v>
      </c>
      <c r="E37" s="82" t="s">
        <v>1746</v>
      </c>
      <c r="F37" s="82">
        <v>4</v>
      </c>
      <c r="G37" s="82" t="s">
        <v>586</v>
      </c>
      <c r="H37" s="173">
        <v>44</v>
      </c>
      <c r="I37" s="173">
        <f t="shared" si="1"/>
        <v>176</v>
      </c>
      <c r="J37" s="82" t="s">
        <v>1747</v>
      </c>
      <c r="K37" s="82" t="s">
        <v>1748</v>
      </c>
      <c r="L37" s="173">
        <f t="shared" si="0"/>
        <v>3.1</v>
      </c>
      <c r="M37" s="171">
        <f t="shared" si="2"/>
        <v>545.6</v>
      </c>
      <c r="N37" s="82" t="s">
        <v>1752</v>
      </c>
      <c r="O37" s="82" t="s">
        <v>1764</v>
      </c>
      <c r="P37" s="82" t="s">
        <v>1758</v>
      </c>
      <c r="S37" s="167" t="s">
        <v>1773</v>
      </c>
      <c r="T37" s="170">
        <v>64.099999999999994</v>
      </c>
      <c r="U37" s="170">
        <v>30.3</v>
      </c>
      <c r="V37" s="170">
        <v>41.9</v>
      </c>
      <c r="W37" s="170">
        <v>15.7</v>
      </c>
      <c r="X37" s="170">
        <v>125</v>
      </c>
      <c r="Y37" s="1">
        <v>61.9</v>
      </c>
    </row>
    <row r="38" spans="2:25" ht="15.75" thickBot="1" x14ac:dyDescent="0.3">
      <c r="B38" s="82" t="s">
        <v>534</v>
      </c>
      <c r="C38" s="82" t="s">
        <v>1653</v>
      </c>
      <c r="D38" s="82" t="s">
        <v>1745</v>
      </c>
      <c r="E38" s="82" t="s">
        <v>1746</v>
      </c>
      <c r="F38" s="82">
        <v>4</v>
      </c>
      <c r="G38" s="82" t="s">
        <v>586</v>
      </c>
      <c r="H38" s="173">
        <v>44</v>
      </c>
      <c r="I38" s="173">
        <f t="shared" si="1"/>
        <v>176</v>
      </c>
      <c r="J38" s="82" t="s">
        <v>1747</v>
      </c>
      <c r="K38" s="82" t="s">
        <v>1748</v>
      </c>
      <c r="L38" s="173">
        <f t="shared" si="0"/>
        <v>8.1999999999999993</v>
      </c>
      <c r="M38" s="171">
        <f t="shared" si="2"/>
        <v>1443.1999999999998</v>
      </c>
      <c r="N38" s="82" t="s">
        <v>1751</v>
      </c>
      <c r="O38" s="82" t="s">
        <v>1765</v>
      </c>
      <c r="P38" s="82" t="s">
        <v>1758</v>
      </c>
    </row>
    <row r="39" spans="2:25" ht="15.75" thickBot="1" x14ac:dyDescent="0.3">
      <c r="B39" s="82" t="s">
        <v>534</v>
      </c>
      <c r="C39" s="82" t="s">
        <v>1653</v>
      </c>
      <c r="D39" s="82" t="s">
        <v>1745</v>
      </c>
      <c r="E39" s="82" t="s">
        <v>1746</v>
      </c>
      <c r="F39" s="82">
        <v>5</v>
      </c>
      <c r="G39" s="82" t="s">
        <v>586</v>
      </c>
      <c r="H39" s="173">
        <v>44</v>
      </c>
      <c r="I39" s="173">
        <f t="shared" si="1"/>
        <v>220</v>
      </c>
      <c r="J39" s="82" t="s">
        <v>1747</v>
      </c>
      <c r="K39" s="82" t="s">
        <v>1748</v>
      </c>
      <c r="L39" s="173">
        <f t="shared" si="0"/>
        <v>39.9</v>
      </c>
      <c r="M39" s="171">
        <f t="shared" si="2"/>
        <v>8778</v>
      </c>
      <c r="N39" s="82" t="s">
        <v>1754</v>
      </c>
      <c r="O39" s="82" t="s">
        <v>1764</v>
      </c>
      <c r="P39" s="82" t="s">
        <v>1758</v>
      </c>
    </row>
    <row r="40" spans="2:25" ht="15.75" thickBot="1" x14ac:dyDescent="0.3">
      <c r="B40" s="82" t="s">
        <v>534</v>
      </c>
      <c r="C40" s="82" t="s">
        <v>1653</v>
      </c>
      <c r="D40" s="82" t="s">
        <v>1745</v>
      </c>
      <c r="E40" s="82" t="s">
        <v>1746</v>
      </c>
      <c r="F40" s="82">
        <v>1</v>
      </c>
      <c r="G40" s="82" t="s">
        <v>586</v>
      </c>
      <c r="H40" s="173">
        <v>17.5</v>
      </c>
      <c r="I40" s="173">
        <f t="shared" si="1"/>
        <v>17.5</v>
      </c>
      <c r="J40" s="82" t="s">
        <v>1747</v>
      </c>
      <c r="K40" s="82" t="s">
        <v>1748</v>
      </c>
      <c r="L40" s="173">
        <f t="shared" si="0"/>
        <v>8.1999999999999993</v>
      </c>
      <c r="M40" s="171">
        <f t="shared" si="2"/>
        <v>143.5</v>
      </c>
      <c r="N40" s="82" t="s">
        <v>1754</v>
      </c>
      <c r="O40" s="82" t="s">
        <v>1766</v>
      </c>
      <c r="P40" s="82" t="s">
        <v>1762</v>
      </c>
    </row>
    <row r="41" spans="2:25" ht="15.75" thickBot="1" x14ac:dyDescent="0.3">
      <c r="B41" s="82" t="s">
        <v>534</v>
      </c>
      <c r="C41" s="82" t="s">
        <v>1653</v>
      </c>
      <c r="D41" s="82" t="s">
        <v>1745</v>
      </c>
      <c r="E41" s="82" t="s">
        <v>1746</v>
      </c>
      <c r="F41" s="82">
        <v>8</v>
      </c>
      <c r="G41" s="82" t="s">
        <v>586</v>
      </c>
      <c r="H41" s="173">
        <v>32</v>
      </c>
      <c r="I41" s="173">
        <f t="shared" si="1"/>
        <v>256</v>
      </c>
      <c r="J41" s="82" t="s">
        <v>1747</v>
      </c>
      <c r="K41" s="82" t="s">
        <v>1748</v>
      </c>
      <c r="L41" s="173">
        <f t="shared" si="0"/>
        <v>41</v>
      </c>
      <c r="M41" s="171">
        <f t="shared" si="2"/>
        <v>10496</v>
      </c>
      <c r="N41" s="82" t="s">
        <v>1752</v>
      </c>
      <c r="O41" s="82" t="s">
        <v>1765</v>
      </c>
      <c r="P41" s="82" t="s">
        <v>1755</v>
      </c>
    </row>
    <row r="42" spans="2:25" ht="15.75" thickBot="1" x14ac:dyDescent="0.3">
      <c r="B42" s="82" t="s">
        <v>534</v>
      </c>
      <c r="C42" s="82" t="s">
        <v>1653</v>
      </c>
      <c r="D42" s="82" t="s">
        <v>1745</v>
      </c>
      <c r="E42" s="82" t="s">
        <v>1746</v>
      </c>
      <c r="F42" s="82">
        <v>18</v>
      </c>
      <c r="G42" s="82" t="s">
        <v>586</v>
      </c>
      <c r="H42" s="173">
        <v>32</v>
      </c>
      <c r="I42" s="173">
        <f t="shared" si="1"/>
        <v>576</v>
      </c>
      <c r="J42" s="82" t="s">
        <v>1747</v>
      </c>
      <c r="K42" s="82" t="s">
        <v>1748</v>
      </c>
      <c r="L42" s="173">
        <f t="shared" si="0"/>
        <v>39.9</v>
      </c>
      <c r="M42" s="171">
        <f t="shared" si="2"/>
        <v>22982.399999999998</v>
      </c>
      <c r="N42" s="82" t="s">
        <v>1754</v>
      </c>
      <c r="O42" s="82" t="s">
        <v>1764</v>
      </c>
      <c r="P42" s="82" t="s">
        <v>1755</v>
      </c>
    </row>
    <row r="43" spans="2:25" ht="15.75" thickBot="1" x14ac:dyDescent="0.3">
      <c r="B43" s="82" t="s">
        <v>534</v>
      </c>
      <c r="C43" s="82" t="s">
        <v>1653</v>
      </c>
      <c r="D43" s="82" t="s">
        <v>1745</v>
      </c>
      <c r="E43" s="82" t="s">
        <v>1746</v>
      </c>
      <c r="F43" s="82">
        <v>5</v>
      </c>
      <c r="G43" s="82" t="s">
        <v>586</v>
      </c>
      <c r="H43" s="173">
        <v>29</v>
      </c>
      <c r="I43" s="173">
        <f t="shared" si="1"/>
        <v>145</v>
      </c>
      <c r="J43" s="82" t="s">
        <v>1747</v>
      </c>
      <c r="K43" s="82" t="s">
        <v>1748</v>
      </c>
      <c r="L43" s="173">
        <f t="shared" si="0"/>
        <v>8.1999999999999993</v>
      </c>
      <c r="M43" s="171">
        <f t="shared" si="2"/>
        <v>1189</v>
      </c>
      <c r="N43" s="82" t="s">
        <v>1751</v>
      </c>
      <c r="O43" s="82" t="s">
        <v>1765</v>
      </c>
      <c r="P43" s="82" t="s">
        <v>1757</v>
      </c>
    </row>
    <row r="44" spans="2:25" ht="15.75" thickBot="1" x14ac:dyDescent="0.3">
      <c r="B44" s="82" t="s">
        <v>534</v>
      </c>
      <c r="C44" s="82" t="s">
        <v>1653</v>
      </c>
      <c r="D44" s="82" t="s">
        <v>1745</v>
      </c>
      <c r="E44" s="82" t="s">
        <v>1746</v>
      </c>
      <c r="F44" s="82">
        <v>8</v>
      </c>
      <c r="G44" s="82" t="s">
        <v>586</v>
      </c>
      <c r="H44" s="173">
        <v>29</v>
      </c>
      <c r="I44" s="173">
        <f t="shared" si="1"/>
        <v>232</v>
      </c>
      <c r="J44" s="82" t="s">
        <v>1747</v>
      </c>
      <c r="K44" s="82" t="s">
        <v>1748</v>
      </c>
      <c r="L44" s="173">
        <f t="shared" si="0"/>
        <v>8.1999999999999993</v>
      </c>
      <c r="M44" s="171">
        <f t="shared" si="2"/>
        <v>1902.3999999999999</v>
      </c>
      <c r="N44" s="82" t="s">
        <v>1754</v>
      </c>
      <c r="O44" s="82" t="s">
        <v>1765</v>
      </c>
      <c r="P44" s="82" t="s">
        <v>1757</v>
      </c>
    </row>
    <row r="45" spans="2:25" ht="15.75" thickBot="1" x14ac:dyDescent="0.3">
      <c r="B45" s="82" t="s">
        <v>534</v>
      </c>
      <c r="C45" s="82" t="s">
        <v>1653</v>
      </c>
      <c r="D45" s="82" t="s">
        <v>1745</v>
      </c>
      <c r="E45" s="82" t="s">
        <v>1746</v>
      </c>
      <c r="F45" s="82">
        <v>4</v>
      </c>
      <c r="G45" s="82" t="s">
        <v>586</v>
      </c>
      <c r="H45" s="173">
        <v>12.5</v>
      </c>
      <c r="I45" s="173">
        <f t="shared" si="1"/>
        <v>50</v>
      </c>
      <c r="J45" s="82" t="s">
        <v>1747</v>
      </c>
      <c r="K45" s="82" t="s">
        <v>1748</v>
      </c>
      <c r="L45" s="173">
        <f t="shared" si="0"/>
        <v>4.2</v>
      </c>
      <c r="M45" s="171">
        <f t="shared" si="2"/>
        <v>210</v>
      </c>
      <c r="N45" s="82" t="s">
        <v>1753</v>
      </c>
      <c r="O45" s="82" t="s">
        <v>1766</v>
      </c>
      <c r="P45" s="82" t="s">
        <v>1760</v>
      </c>
    </row>
    <row r="46" spans="2:25" ht="15.75" thickBot="1" x14ac:dyDescent="0.3">
      <c r="B46" s="82" t="s">
        <v>534</v>
      </c>
      <c r="C46" s="82" t="s">
        <v>1653</v>
      </c>
      <c r="D46" s="82" t="s">
        <v>1745</v>
      </c>
      <c r="E46" s="82" t="s">
        <v>1746</v>
      </c>
      <c r="F46" s="82">
        <v>6</v>
      </c>
      <c r="G46" s="82" t="s">
        <v>586</v>
      </c>
      <c r="H46" s="173">
        <v>12.5</v>
      </c>
      <c r="I46" s="173">
        <f t="shared" si="1"/>
        <v>75</v>
      </c>
      <c r="J46" s="82" t="s">
        <v>1747</v>
      </c>
      <c r="K46" s="82" t="s">
        <v>1748</v>
      </c>
      <c r="L46" s="173">
        <f t="shared" si="0"/>
        <v>8.1999999999999993</v>
      </c>
      <c r="M46" s="171">
        <f t="shared" si="2"/>
        <v>615</v>
      </c>
      <c r="N46" s="82" t="s">
        <v>1754</v>
      </c>
      <c r="O46" s="82" t="s">
        <v>1766</v>
      </c>
      <c r="P46" s="82" t="s">
        <v>1760</v>
      </c>
    </row>
    <row r="47" spans="2:25" ht="15.75" thickBot="1" x14ac:dyDescent="0.3">
      <c r="B47" s="82" t="s">
        <v>534</v>
      </c>
      <c r="C47" s="82" t="s">
        <v>1653</v>
      </c>
      <c r="D47" s="82" t="s">
        <v>1745</v>
      </c>
      <c r="E47" s="82" t="s">
        <v>1746</v>
      </c>
      <c r="F47" s="82">
        <v>6</v>
      </c>
      <c r="G47" s="82" t="s">
        <v>586</v>
      </c>
      <c r="H47" s="173">
        <v>29</v>
      </c>
      <c r="I47" s="173">
        <f t="shared" si="1"/>
        <v>174</v>
      </c>
      <c r="J47" s="82" t="s">
        <v>1747</v>
      </c>
      <c r="K47" s="82" t="s">
        <v>1748</v>
      </c>
      <c r="L47" s="173">
        <f t="shared" si="0"/>
        <v>8.1999999999999993</v>
      </c>
      <c r="M47" s="171">
        <f t="shared" si="2"/>
        <v>1426.8</v>
      </c>
      <c r="N47" s="82" t="s">
        <v>1754</v>
      </c>
      <c r="O47" s="82" t="s">
        <v>1765</v>
      </c>
      <c r="P47" s="82" t="s">
        <v>1757</v>
      </c>
    </row>
    <row r="48" spans="2:25" ht="15.75" thickBot="1" x14ac:dyDescent="0.3">
      <c r="B48" s="82" t="s">
        <v>534</v>
      </c>
      <c r="C48" s="82" t="s">
        <v>1653</v>
      </c>
      <c r="D48" s="82" t="s">
        <v>1745</v>
      </c>
      <c r="E48" s="82" t="s">
        <v>1746</v>
      </c>
      <c r="F48" s="82">
        <v>1</v>
      </c>
      <c r="G48" s="82" t="s">
        <v>586</v>
      </c>
      <c r="H48" s="173">
        <v>26.5</v>
      </c>
      <c r="I48" s="173">
        <f t="shared" si="1"/>
        <v>26.5</v>
      </c>
      <c r="J48" s="82" t="s">
        <v>1747</v>
      </c>
      <c r="K48" s="82" t="s">
        <v>1748</v>
      </c>
      <c r="L48" s="173">
        <f t="shared" si="0"/>
        <v>5.8</v>
      </c>
      <c r="M48" s="171">
        <f t="shared" si="2"/>
        <v>153.69999999999999</v>
      </c>
      <c r="N48" s="82" t="s">
        <v>1750</v>
      </c>
      <c r="O48" s="82" t="s">
        <v>1765</v>
      </c>
      <c r="P48" s="82" t="s">
        <v>1756</v>
      </c>
    </row>
    <row r="49" spans="2:24" ht="15.75" thickBot="1" x14ac:dyDescent="0.3">
      <c r="B49" s="82" t="s">
        <v>534</v>
      </c>
      <c r="C49" s="82" t="s">
        <v>1653</v>
      </c>
      <c r="D49" s="82" t="s">
        <v>1745</v>
      </c>
      <c r="E49" s="82" t="s">
        <v>1746</v>
      </c>
      <c r="F49" s="82">
        <v>2</v>
      </c>
      <c r="G49" s="82" t="s">
        <v>586</v>
      </c>
      <c r="H49" s="173">
        <v>19</v>
      </c>
      <c r="I49" s="173">
        <f t="shared" si="1"/>
        <v>38</v>
      </c>
      <c r="J49" s="82" t="s">
        <v>1747</v>
      </c>
      <c r="K49" s="82" t="s">
        <v>1748</v>
      </c>
      <c r="L49" s="173">
        <f t="shared" si="0"/>
        <v>8.1999999999999993</v>
      </c>
      <c r="M49" s="171">
        <f t="shared" si="2"/>
        <v>311.59999999999997</v>
      </c>
      <c r="N49" s="82" t="s">
        <v>1754</v>
      </c>
      <c r="O49" s="82" t="s">
        <v>1766</v>
      </c>
      <c r="P49" s="82" t="s">
        <v>1763</v>
      </c>
    </row>
    <row r="50" spans="2:24" ht="15.75" thickBot="1" x14ac:dyDescent="0.3">
      <c r="B50" s="82" t="s">
        <v>534</v>
      </c>
      <c r="C50" s="82" t="s">
        <v>1653</v>
      </c>
      <c r="D50" s="82" t="s">
        <v>1745</v>
      </c>
      <c r="E50" s="82" t="s">
        <v>1746</v>
      </c>
      <c r="F50" s="83">
        <v>2</v>
      </c>
      <c r="G50" s="82" t="s">
        <v>586</v>
      </c>
      <c r="H50" s="173">
        <v>11</v>
      </c>
      <c r="I50" s="173">
        <f t="shared" si="1"/>
        <v>22</v>
      </c>
      <c r="J50" s="82" t="s">
        <v>1747</v>
      </c>
      <c r="K50" s="82" t="s">
        <v>1748</v>
      </c>
      <c r="L50" s="173">
        <f t="shared" si="0"/>
        <v>8.1999999999999993</v>
      </c>
      <c r="M50" s="171">
        <f t="shared" si="2"/>
        <v>180.39999999999998</v>
      </c>
      <c r="N50" s="83" t="s">
        <v>1754</v>
      </c>
      <c r="O50" s="82" t="s">
        <v>1766</v>
      </c>
      <c r="P50" s="82" t="s">
        <v>1761</v>
      </c>
    </row>
    <row r="51" spans="2:24" ht="15.75" thickBot="1" x14ac:dyDescent="0.3">
      <c r="B51" s="82" t="s">
        <v>534</v>
      </c>
      <c r="C51" s="82" t="s">
        <v>1681</v>
      </c>
      <c r="D51" s="82" t="s">
        <v>1745</v>
      </c>
      <c r="E51" s="82" t="s">
        <v>1746</v>
      </c>
      <c r="F51" s="83">
        <v>16</v>
      </c>
      <c r="G51" s="82" t="s">
        <v>586</v>
      </c>
      <c r="H51" s="175">
        <v>32.5</v>
      </c>
      <c r="I51" s="173">
        <f t="shared" si="1"/>
        <v>520</v>
      </c>
      <c r="J51" s="82" t="s">
        <v>1747</v>
      </c>
      <c r="K51" s="82" t="s">
        <v>1748</v>
      </c>
      <c r="L51" s="173">
        <f t="array" ref="L51">INDEX($T$35:$Y$37,MATCH(O51,$S$35:$S$37,0),MATCH(N51,$T$34:$Y$34,0))</f>
        <v>33.1</v>
      </c>
      <c r="M51" s="171">
        <f>L51*I51</f>
        <v>17212</v>
      </c>
      <c r="N51" s="83" t="s">
        <v>1774</v>
      </c>
      <c r="O51" s="82" t="s">
        <v>1771</v>
      </c>
      <c r="P51" s="82" t="s">
        <v>1781</v>
      </c>
    </row>
    <row r="52" spans="2:24" ht="15.75" thickBot="1" x14ac:dyDescent="0.3">
      <c r="B52" s="82" t="s">
        <v>534</v>
      </c>
      <c r="C52" s="82" t="s">
        <v>1681</v>
      </c>
      <c r="D52" s="82" t="s">
        <v>1745</v>
      </c>
      <c r="E52" s="82" t="s">
        <v>1746</v>
      </c>
      <c r="F52" s="83">
        <v>28</v>
      </c>
      <c r="G52" s="82" t="s">
        <v>586</v>
      </c>
      <c r="H52" s="175">
        <v>38.5</v>
      </c>
      <c r="I52" s="173">
        <f t="shared" si="1"/>
        <v>1078</v>
      </c>
      <c r="J52" s="82" t="s">
        <v>1747</v>
      </c>
      <c r="K52" s="82" t="s">
        <v>1748</v>
      </c>
      <c r="L52" s="173">
        <f t="array" ref="L52">INDEX($T$35:$Y$37,MATCH(O52,$S$35:$S$37,0),MATCH(N52,$T$34:$Y$34,0))</f>
        <v>33.1</v>
      </c>
      <c r="M52" s="171">
        <f t="shared" si="2"/>
        <v>35681.800000000003</v>
      </c>
      <c r="N52" s="83" t="s">
        <v>1774</v>
      </c>
      <c r="O52" s="82" t="s">
        <v>1771</v>
      </c>
      <c r="P52" s="82" t="s">
        <v>1782</v>
      </c>
    </row>
    <row r="53" spans="2:24" ht="15.75" thickBot="1" x14ac:dyDescent="0.3">
      <c r="B53" s="82" t="s">
        <v>534</v>
      </c>
      <c r="C53" s="82" t="s">
        <v>1681</v>
      </c>
      <c r="D53" s="82" t="s">
        <v>1745</v>
      </c>
      <c r="E53" s="82" t="s">
        <v>1746</v>
      </c>
      <c r="F53" s="83">
        <v>138</v>
      </c>
      <c r="G53" s="82" t="s">
        <v>586</v>
      </c>
      <c r="H53" s="175">
        <v>63.5</v>
      </c>
      <c r="I53" s="173">
        <f t="shared" si="1"/>
        <v>8763</v>
      </c>
      <c r="J53" s="82" t="s">
        <v>1747</v>
      </c>
      <c r="K53" s="82" t="s">
        <v>1748</v>
      </c>
      <c r="L53" s="173">
        <f t="array" ref="L53">INDEX($T$35:$Y$37,MATCH(O53,$S$35:$S$37,0),MATCH(N53,$T$34:$Y$34,0))</f>
        <v>33.1</v>
      </c>
      <c r="M53" s="171">
        <f t="shared" si="2"/>
        <v>290055.3</v>
      </c>
      <c r="N53" s="83" t="s">
        <v>1774</v>
      </c>
      <c r="O53" s="82" t="s">
        <v>1771</v>
      </c>
      <c r="P53" s="82" t="s">
        <v>1783</v>
      </c>
    </row>
    <row r="54" spans="2:24" ht="15.75" thickBot="1" x14ac:dyDescent="0.3">
      <c r="B54" s="82" t="s">
        <v>534</v>
      </c>
      <c r="C54" s="82" t="s">
        <v>1681</v>
      </c>
      <c r="D54" s="82" t="s">
        <v>1745</v>
      </c>
      <c r="E54" s="82" t="s">
        <v>1746</v>
      </c>
      <c r="F54" s="83">
        <v>4</v>
      </c>
      <c r="G54" s="82" t="s">
        <v>586</v>
      </c>
      <c r="H54" s="175">
        <v>68</v>
      </c>
      <c r="I54" s="173">
        <f t="shared" si="1"/>
        <v>272</v>
      </c>
      <c r="J54" s="82" t="s">
        <v>1747</v>
      </c>
      <c r="K54" s="82" t="s">
        <v>1748</v>
      </c>
      <c r="L54" s="173">
        <f t="array" ref="L54">INDEX($T$35:$Y$37,MATCH(O54,$S$35:$S$37,0),MATCH(N54,$T$34:$Y$34,0))</f>
        <v>33.1</v>
      </c>
      <c r="M54" s="171">
        <f t="shared" si="2"/>
        <v>9003.2000000000007</v>
      </c>
      <c r="N54" s="83" t="s">
        <v>1774</v>
      </c>
      <c r="O54" s="82" t="s">
        <v>1771</v>
      </c>
      <c r="P54" s="82" t="s">
        <v>1784</v>
      </c>
    </row>
    <row r="55" spans="2:24" ht="15.75" thickBot="1" x14ac:dyDescent="0.3">
      <c r="B55" s="82" t="s">
        <v>534</v>
      </c>
      <c r="C55" s="82" t="s">
        <v>1681</v>
      </c>
      <c r="D55" s="82" t="s">
        <v>1745</v>
      </c>
      <c r="E55" s="82" t="s">
        <v>1746</v>
      </c>
      <c r="F55" s="83">
        <v>44</v>
      </c>
      <c r="G55" s="82" t="s">
        <v>586</v>
      </c>
      <c r="H55" s="175">
        <v>63.5</v>
      </c>
      <c r="I55" s="173">
        <f t="shared" si="1"/>
        <v>2794</v>
      </c>
      <c r="J55" s="82" t="s">
        <v>1747</v>
      </c>
      <c r="K55" s="82" t="s">
        <v>1748</v>
      </c>
      <c r="L55" s="173">
        <f t="array" ref="L55">INDEX($T$35:$Y$37,MATCH(O55,$S$35:$S$37,0),MATCH(N55,$T$34:$Y$34,0))</f>
        <v>30.5</v>
      </c>
      <c r="M55" s="171">
        <f t="shared" si="2"/>
        <v>85217</v>
      </c>
      <c r="N55" s="83" t="s">
        <v>1775</v>
      </c>
      <c r="O55" s="82" t="s">
        <v>1771</v>
      </c>
      <c r="P55" s="82" t="s">
        <v>1783</v>
      </c>
    </row>
    <row r="56" spans="2:24" ht="15.75" thickBot="1" x14ac:dyDescent="0.3">
      <c r="B56" s="82" t="s">
        <v>534</v>
      </c>
      <c r="C56" s="82" t="s">
        <v>1681</v>
      </c>
      <c r="D56" s="82" t="s">
        <v>1745</v>
      </c>
      <c r="E56" s="82" t="s">
        <v>1746</v>
      </c>
      <c r="F56" s="83">
        <v>16</v>
      </c>
      <c r="G56" s="82" t="s">
        <v>586</v>
      </c>
      <c r="H56" s="175">
        <v>38.5</v>
      </c>
      <c r="I56" s="173">
        <f t="shared" si="1"/>
        <v>616</v>
      </c>
      <c r="J56" s="82" t="s">
        <v>1747</v>
      </c>
      <c r="K56" s="82" t="s">
        <v>1748</v>
      </c>
      <c r="L56" s="173">
        <f t="array" ref="L56">INDEX($T$35:$Y$37,MATCH(O56,$S$35:$S$37,0),MATCH(N56,$T$34:$Y$34,0))</f>
        <v>16.2</v>
      </c>
      <c r="M56" s="171">
        <f t="shared" si="2"/>
        <v>9979.1999999999989</v>
      </c>
      <c r="N56" s="83" t="s">
        <v>1776</v>
      </c>
      <c r="O56" s="82" t="s">
        <v>1771</v>
      </c>
      <c r="P56" s="82" t="s">
        <v>1782</v>
      </c>
    </row>
    <row r="57" spans="2:24" ht="15.75" thickBot="1" x14ac:dyDescent="0.3">
      <c r="B57" s="82" t="s">
        <v>534</v>
      </c>
      <c r="C57" s="82" t="s">
        <v>1681</v>
      </c>
      <c r="D57" s="82" t="s">
        <v>1745</v>
      </c>
      <c r="E57" s="82" t="s">
        <v>1746</v>
      </c>
      <c r="F57" s="83">
        <v>194</v>
      </c>
      <c r="G57" s="82" t="s">
        <v>586</v>
      </c>
      <c r="H57" s="175">
        <v>63.5</v>
      </c>
      <c r="I57" s="173">
        <f t="shared" si="1"/>
        <v>12319</v>
      </c>
      <c r="J57" s="82" t="s">
        <v>1747</v>
      </c>
      <c r="K57" s="82" t="s">
        <v>1748</v>
      </c>
      <c r="L57" s="173">
        <f t="array" ref="L57">INDEX($T$35:$Y$37,MATCH(O57,$S$35:$S$37,0),MATCH(N57,$T$34:$Y$34,0))</f>
        <v>16.2</v>
      </c>
      <c r="M57" s="171">
        <f t="shared" si="2"/>
        <v>199567.8</v>
      </c>
      <c r="N57" s="83" t="s">
        <v>1776</v>
      </c>
      <c r="O57" s="82" t="s">
        <v>1771</v>
      </c>
      <c r="P57" s="82" t="s">
        <v>1783</v>
      </c>
      <c r="Q57" s="92"/>
      <c r="R57" s="92"/>
      <c r="S57" s="92"/>
      <c r="T57" s="169"/>
      <c r="U57" s="169"/>
      <c r="V57" s="169"/>
      <c r="W57" s="169"/>
      <c r="X57" s="169"/>
    </row>
    <row r="58" spans="2:24" ht="15.75" thickBot="1" x14ac:dyDescent="0.3">
      <c r="B58" s="82" t="s">
        <v>534</v>
      </c>
      <c r="C58" s="82" t="s">
        <v>1681</v>
      </c>
      <c r="D58" s="82" t="s">
        <v>1745</v>
      </c>
      <c r="E58" s="82" t="s">
        <v>1746</v>
      </c>
      <c r="F58" s="83">
        <v>10</v>
      </c>
      <c r="G58" s="82" t="s">
        <v>586</v>
      </c>
      <c r="H58" s="175">
        <v>68</v>
      </c>
      <c r="I58" s="173">
        <f t="shared" si="1"/>
        <v>680</v>
      </c>
      <c r="J58" s="82" t="s">
        <v>1747</v>
      </c>
      <c r="K58" s="82" t="s">
        <v>1748</v>
      </c>
      <c r="L58" s="173">
        <f t="array" ref="L58">INDEX($T$35:$Y$37,MATCH(O58,$S$35:$S$37,0),MATCH(N58,$T$34:$Y$34,0))</f>
        <v>16.2</v>
      </c>
      <c r="M58" s="171">
        <f t="shared" si="2"/>
        <v>11016</v>
      </c>
      <c r="N58" s="83" t="s">
        <v>1776</v>
      </c>
      <c r="O58" s="82" t="s">
        <v>1771</v>
      </c>
      <c r="P58" s="82" t="s">
        <v>1784</v>
      </c>
      <c r="Q58" s="92"/>
      <c r="R58" s="92"/>
      <c r="S58" s="92"/>
      <c r="T58" s="169"/>
      <c r="U58" s="169"/>
      <c r="V58" s="169"/>
      <c r="W58" s="169"/>
      <c r="X58" s="169"/>
    </row>
    <row r="59" spans="2:24" ht="15.75" thickBot="1" x14ac:dyDescent="0.3">
      <c r="B59" s="82" t="s">
        <v>534</v>
      </c>
      <c r="C59" s="82" t="s">
        <v>1681</v>
      </c>
      <c r="D59" s="82" t="s">
        <v>1745</v>
      </c>
      <c r="E59" s="82" t="s">
        <v>1746</v>
      </c>
      <c r="F59" s="83">
        <v>2</v>
      </c>
      <c r="G59" s="82" t="s">
        <v>586</v>
      </c>
      <c r="H59" s="175">
        <v>14</v>
      </c>
      <c r="I59" s="173">
        <f t="shared" si="1"/>
        <v>28</v>
      </c>
      <c r="J59" s="82" t="s">
        <v>1747</v>
      </c>
      <c r="K59" s="82" t="s">
        <v>1748</v>
      </c>
      <c r="L59" s="173">
        <f t="array" ref="L59">INDEX($T$35:$Y$37,MATCH(O59,$S$35:$S$37,0),MATCH(N59,$T$34:$Y$34,0))</f>
        <v>24.5</v>
      </c>
      <c r="M59" s="171">
        <f t="shared" si="2"/>
        <v>686</v>
      </c>
      <c r="N59" s="83" t="s">
        <v>1777</v>
      </c>
      <c r="O59" s="82" t="s">
        <v>1771</v>
      </c>
      <c r="P59" s="82" t="s">
        <v>1785</v>
      </c>
      <c r="Q59" s="92"/>
      <c r="R59" s="92"/>
      <c r="S59" s="92"/>
      <c r="T59" s="169"/>
      <c r="U59" s="169"/>
      <c r="V59" s="169"/>
      <c r="W59" s="169"/>
      <c r="X59" s="169"/>
    </row>
    <row r="60" spans="2:24" ht="15.75" thickBot="1" x14ac:dyDescent="0.3">
      <c r="B60" s="82" t="s">
        <v>534</v>
      </c>
      <c r="C60" s="82" t="s">
        <v>1681</v>
      </c>
      <c r="D60" s="82" t="s">
        <v>1745</v>
      </c>
      <c r="E60" s="82" t="s">
        <v>1746</v>
      </c>
      <c r="F60" s="83">
        <v>16</v>
      </c>
      <c r="G60" s="82" t="s">
        <v>586</v>
      </c>
      <c r="H60" s="175">
        <v>38.5</v>
      </c>
      <c r="I60" s="173">
        <f t="shared" si="1"/>
        <v>616</v>
      </c>
      <c r="J60" s="82" t="s">
        <v>1747</v>
      </c>
      <c r="K60" s="82" t="s">
        <v>1748</v>
      </c>
      <c r="L60" s="173">
        <f t="array" ref="L60">INDEX($T$35:$Y$37,MATCH(O60,$S$35:$S$37,0),MATCH(N60,$T$34:$Y$34,0))</f>
        <v>24.5</v>
      </c>
      <c r="M60" s="171">
        <f t="shared" si="2"/>
        <v>15092</v>
      </c>
      <c r="N60" s="83" t="s">
        <v>1777</v>
      </c>
      <c r="O60" s="82" t="s">
        <v>1771</v>
      </c>
      <c r="P60" s="82" t="s">
        <v>1782</v>
      </c>
      <c r="Q60" s="168"/>
      <c r="R60" s="168"/>
      <c r="S60" s="168"/>
      <c r="T60" s="170"/>
      <c r="U60" s="170"/>
      <c r="V60" s="170"/>
      <c r="W60" s="170"/>
      <c r="X60" s="170"/>
    </row>
    <row r="61" spans="2:24" ht="15.75" thickBot="1" x14ac:dyDescent="0.3">
      <c r="B61" s="82" t="s">
        <v>534</v>
      </c>
      <c r="C61" s="82" t="s">
        <v>1681</v>
      </c>
      <c r="D61" s="82" t="s">
        <v>1745</v>
      </c>
      <c r="E61" s="82" t="s">
        <v>1746</v>
      </c>
      <c r="F61" s="83">
        <v>550</v>
      </c>
      <c r="G61" s="82" t="s">
        <v>586</v>
      </c>
      <c r="H61" s="175">
        <v>63.5</v>
      </c>
      <c r="I61" s="173">
        <f t="shared" si="1"/>
        <v>34925</v>
      </c>
      <c r="J61" s="82" t="s">
        <v>1747</v>
      </c>
      <c r="K61" s="82" t="s">
        <v>1748</v>
      </c>
      <c r="L61" s="173">
        <f t="array" ref="L61">INDEX($T$35:$Y$37,MATCH(O61,$S$35:$S$37,0),MATCH(N61,$T$34:$Y$34,0))</f>
        <v>24.5</v>
      </c>
      <c r="M61" s="171">
        <f t="shared" si="2"/>
        <v>855662.5</v>
      </c>
      <c r="N61" s="83" t="s">
        <v>1777</v>
      </c>
      <c r="O61" s="82" t="s">
        <v>1771</v>
      </c>
      <c r="P61" s="82" t="s">
        <v>1783</v>
      </c>
      <c r="Q61" s="168"/>
      <c r="R61" s="168"/>
      <c r="S61" s="168"/>
      <c r="T61" s="170"/>
      <c r="U61" s="170"/>
      <c r="V61" s="170"/>
      <c r="W61" s="170"/>
      <c r="X61" s="170"/>
    </row>
    <row r="62" spans="2:24" ht="15.75" thickBot="1" x14ac:dyDescent="0.3">
      <c r="B62" s="82" t="s">
        <v>534</v>
      </c>
      <c r="C62" s="82" t="s">
        <v>1681</v>
      </c>
      <c r="D62" s="82" t="s">
        <v>1745</v>
      </c>
      <c r="E62" s="82" t="s">
        <v>1746</v>
      </c>
      <c r="F62" s="83">
        <v>32</v>
      </c>
      <c r="G62" s="82" t="s">
        <v>586</v>
      </c>
      <c r="H62" s="175">
        <v>68</v>
      </c>
      <c r="I62" s="173">
        <f t="shared" si="1"/>
        <v>2176</v>
      </c>
      <c r="J62" s="82" t="s">
        <v>1747</v>
      </c>
      <c r="K62" s="82" t="s">
        <v>1748</v>
      </c>
      <c r="L62" s="173">
        <f t="array" ref="L62">INDEX($T$35:$Y$37,MATCH(O62,$S$35:$S$37,0),MATCH(N62,$T$34:$Y$34,0))</f>
        <v>24.5</v>
      </c>
      <c r="M62" s="171">
        <f t="shared" si="2"/>
        <v>53312</v>
      </c>
      <c r="N62" s="83" t="s">
        <v>1777</v>
      </c>
      <c r="O62" s="82" t="s">
        <v>1771</v>
      </c>
      <c r="P62" s="82" t="s">
        <v>1784</v>
      </c>
      <c r="Q62" s="168"/>
      <c r="R62" s="168"/>
      <c r="S62" s="168"/>
      <c r="T62" s="170"/>
      <c r="U62" s="170"/>
      <c r="V62" s="170"/>
      <c r="W62" s="170"/>
      <c r="X62" s="170"/>
    </row>
    <row r="63" spans="2:24" ht="15.75" thickBot="1" x14ac:dyDescent="0.3">
      <c r="B63" s="82" t="s">
        <v>534</v>
      </c>
      <c r="C63" s="82" t="s">
        <v>1681</v>
      </c>
      <c r="D63" s="82" t="s">
        <v>1745</v>
      </c>
      <c r="E63" s="82" t="s">
        <v>1746</v>
      </c>
      <c r="F63" s="83">
        <v>2</v>
      </c>
      <c r="G63" s="82" t="s">
        <v>586</v>
      </c>
      <c r="H63" s="175">
        <v>68</v>
      </c>
      <c r="I63" s="173">
        <f t="shared" si="1"/>
        <v>136</v>
      </c>
      <c r="J63" s="82" t="s">
        <v>1747</v>
      </c>
      <c r="K63" s="82" t="s">
        <v>1748</v>
      </c>
      <c r="L63" s="173">
        <f t="array" ref="L63">INDEX($T$35:$Y$37,MATCH(O63,$S$35:$S$37,0),MATCH(N63,$T$34:$Y$34,0))</f>
        <v>38.5</v>
      </c>
      <c r="M63" s="171">
        <f t="shared" si="2"/>
        <v>5236</v>
      </c>
      <c r="N63" s="83" t="s">
        <v>1779</v>
      </c>
      <c r="O63" s="82" t="s">
        <v>1771</v>
      </c>
      <c r="P63" s="82" t="s">
        <v>1784</v>
      </c>
      <c r="Q63" s="168"/>
      <c r="R63" s="168"/>
      <c r="S63" s="168"/>
      <c r="T63" s="170"/>
      <c r="U63" s="170"/>
      <c r="V63" s="170"/>
      <c r="W63" s="170"/>
      <c r="X63" s="170"/>
    </row>
    <row r="64" spans="2:24" ht="15.75" thickBot="1" x14ac:dyDescent="0.3">
      <c r="B64" s="82" t="s">
        <v>534</v>
      </c>
      <c r="C64" s="82" t="s">
        <v>1681</v>
      </c>
      <c r="D64" s="82" t="s">
        <v>1745</v>
      </c>
      <c r="E64" s="82" t="s">
        <v>1746</v>
      </c>
      <c r="F64" s="83">
        <v>34</v>
      </c>
      <c r="G64" s="82" t="s">
        <v>586</v>
      </c>
      <c r="H64" s="175">
        <v>14</v>
      </c>
      <c r="I64" s="173">
        <f t="shared" si="1"/>
        <v>476</v>
      </c>
      <c r="J64" s="82" t="s">
        <v>1747</v>
      </c>
      <c r="K64" s="82" t="s">
        <v>1748</v>
      </c>
      <c r="L64" s="173">
        <f t="array" ref="L64">INDEX($T$35:$Y$37,MATCH(O64,$S$35:$S$37,0),MATCH(N64,$T$34:$Y$34,0))</f>
        <v>48.5</v>
      </c>
      <c r="M64" s="171">
        <f t="shared" si="2"/>
        <v>23086</v>
      </c>
      <c r="N64" s="83" t="s">
        <v>1774</v>
      </c>
      <c r="O64" s="82" t="s">
        <v>1772</v>
      </c>
      <c r="P64" s="82" t="s">
        <v>1785</v>
      </c>
    </row>
    <row r="65" spans="2:16" ht="15.75" thickBot="1" x14ac:dyDescent="0.3">
      <c r="B65" s="82" t="s">
        <v>534</v>
      </c>
      <c r="C65" s="82" t="s">
        <v>1681</v>
      </c>
      <c r="D65" s="82" t="s">
        <v>1745</v>
      </c>
      <c r="E65" s="82" t="s">
        <v>1746</v>
      </c>
      <c r="F65" s="83">
        <v>11</v>
      </c>
      <c r="G65" s="82" t="s">
        <v>586</v>
      </c>
      <c r="H65" s="175">
        <v>16</v>
      </c>
      <c r="I65" s="173">
        <f t="shared" si="1"/>
        <v>176</v>
      </c>
      <c r="J65" s="82" t="s">
        <v>1747</v>
      </c>
      <c r="K65" s="82" t="s">
        <v>1748</v>
      </c>
      <c r="L65" s="173">
        <f t="array" ref="L65">INDEX($T$35:$Y$37,MATCH(O65,$S$35:$S$37,0),MATCH(N65,$T$34:$Y$34,0))</f>
        <v>48.5</v>
      </c>
      <c r="M65" s="171">
        <f t="shared" si="2"/>
        <v>8536</v>
      </c>
      <c r="N65" s="83" t="s">
        <v>1774</v>
      </c>
      <c r="O65" s="82" t="s">
        <v>1772</v>
      </c>
      <c r="P65" s="82" t="s">
        <v>1786</v>
      </c>
    </row>
    <row r="66" spans="2:16" ht="15.75" thickBot="1" x14ac:dyDescent="0.3">
      <c r="B66" s="82" t="s">
        <v>534</v>
      </c>
      <c r="C66" s="82" t="s">
        <v>1681</v>
      </c>
      <c r="D66" s="82" t="s">
        <v>1745</v>
      </c>
      <c r="E66" s="82" t="s">
        <v>1746</v>
      </c>
      <c r="F66" s="83">
        <v>4</v>
      </c>
      <c r="G66" s="82" t="s">
        <v>586</v>
      </c>
      <c r="H66" s="175">
        <v>42</v>
      </c>
      <c r="I66" s="173">
        <f t="shared" si="1"/>
        <v>168</v>
      </c>
      <c r="J66" s="82" t="s">
        <v>1747</v>
      </c>
      <c r="K66" s="82" t="s">
        <v>1748</v>
      </c>
      <c r="L66" s="173">
        <f t="array" ref="L66">INDEX($T$35:$Y$37,MATCH(O66,$S$35:$S$37,0),MATCH(N66,$T$34:$Y$34,0))</f>
        <v>68.599999999999994</v>
      </c>
      <c r="M66" s="171">
        <f t="shared" si="2"/>
        <v>11524.8</v>
      </c>
      <c r="N66" s="83" t="s">
        <v>1775</v>
      </c>
      <c r="O66" s="82" t="s">
        <v>1772</v>
      </c>
      <c r="P66" s="82" t="s">
        <v>1787</v>
      </c>
    </row>
    <row r="67" spans="2:16" ht="15.75" thickBot="1" x14ac:dyDescent="0.3">
      <c r="B67" s="82" t="s">
        <v>534</v>
      </c>
      <c r="C67" s="82" t="s">
        <v>1681</v>
      </c>
      <c r="D67" s="82" t="s">
        <v>1745</v>
      </c>
      <c r="E67" s="82" t="s">
        <v>1746</v>
      </c>
      <c r="F67" s="83">
        <v>27</v>
      </c>
      <c r="G67" s="82" t="s">
        <v>586</v>
      </c>
      <c r="H67" s="175">
        <v>38.5</v>
      </c>
      <c r="I67" s="173">
        <f t="shared" si="1"/>
        <v>1039.5</v>
      </c>
      <c r="J67" s="82" t="s">
        <v>1747</v>
      </c>
      <c r="K67" s="82" t="s">
        <v>1748</v>
      </c>
      <c r="L67" s="173">
        <f t="array" ref="L67">INDEX($T$35:$Y$37,MATCH(O67,$S$35:$S$37,0),MATCH(N67,$T$34:$Y$34,0))</f>
        <v>68.599999999999994</v>
      </c>
      <c r="M67" s="171">
        <f t="shared" si="2"/>
        <v>71309.7</v>
      </c>
      <c r="N67" s="83" t="s">
        <v>1775</v>
      </c>
      <c r="O67" s="82" t="s">
        <v>1772</v>
      </c>
      <c r="P67" s="82" t="s">
        <v>1782</v>
      </c>
    </row>
    <row r="68" spans="2:16" ht="15.75" thickBot="1" x14ac:dyDescent="0.3">
      <c r="B68" s="82" t="s">
        <v>534</v>
      </c>
      <c r="C68" s="82" t="s">
        <v>1681</v>
      </c>
      <c r="D68" s="82" t="s">
        <v>1745</v>
      </c>
      <c r="E68" s="82" t="s">
        <v>1746</v>
      </c>
      <c r="F68" s="83">
        <v>2</v>
      </c>
      <c r="G68" s="82" t="s">
        <v>586</v>
      </c>
      <c r="H68" s="175">
        <v>48</v>
      </c>
      <c r="I68" s="173">
        <f t="shared" si="1"/>
        <v>96</v>
      </c>
      <c r="J68" s="82" t="s">
        <v>1747</v>
      </c>
      <c r="K68" s="82" t="s">
        <v>1748</v>
      </c>
      <c r="L68" s="173">
        <f t="array" ref="L68">INDEX($T$35:$Y$37,MATCH(O68,$S$35:$S$37,0),MATCH(N68,$T$34:$Y$34,0))</f>
        <v>68.599999999999994</v>
      </c>
      <c r="M68" s="171">
        <f t="shared" si="2"/>
        <v>6585.5999999999995</v>
      </c>
      <c r="N68" s="83" t="s">
        <v>1775</v>
      </c>
      <c r="O68" s="82" t="s">
        <v>1772</v>
      </c>
      <c r="P68" s="82" t="s">
        <v>1788</v>
      </c>
    </row>
    <row r="69" spans="2:16" ht="15.75" thickBot="1" x14ac:dyDescent="0.3">
      <c r="B69" s="82" t="s">
        <v>534</v>
      </c>
      <c r="C69" s="82" t="s">
        <v>1681</v>
      </c>
      <c r="D69" s="82" t="s">
        <v>1745</v>
      </c>
      <c r="E69" s="82" t="s">
        <v>1746</v>
      </c>
      <c r="F69" s="83">
        <v>427</v>
      </c>
      <c r="G69" s="82" t="s">
        <v>586</v>
      </c>
      <c r="H69" s="175">
        <v>63.5</v>
      </c>
      <c r="I69" s="173">
        <f t="shared" si="1"/>
        <v>27114.5</v>
      </c>
      <c r="J69" s="82" t="s">
        <v>1747</v>
      </c>
      <c r="K69" s="82" t="s">
        <v>1748</v>
      </c>
      <c r="L69" s="173">
        <f t="array" ref="L69">INDEX($T$35:$Y$37,MATCH(O69,$S$35:$S$37,0),MATCH(N69,$T$34:$Y$34,0))</f>
        <v>68.599999999999994</v>
      </c>
      <c r="M69" s="171">
        <f t="shared" si="2"/>
        <v>1860054.7</v>
      </c>
      <c r="N69" s="83" t="s">
        <v>1775</v>
      </c>
      <c r="O69" s="82" t="s">
        <v>1772</v>
      </c>
      <c r="P69" s="82" t="s">
        <v>1783</v>
      </c>
    </row>
    <row r="70" spans="2:16" ht="15.75" thickBot="1" x14ac:dyDescent="0.3">
      <c r="B70" s="82" t="s">
        <v>534</v>
      </c>
      <c r="C70" s="82" t="s">
        <v>1681</v>
      </c>
      <c r="D70" s="82" t="s">
        <v>1745</v>
      </c>
      <c r="E70" s="82" t="s">
        <v>1746</v>
      </c>
      <c r="F70" s="83">
        <v>2</v>
      </c>
      <c r="G70" s="82" t="s">
        <v>586</v>
      </c>
      <c r="H70" s="175">
        <v>12.5</v>
      </c>
      <c r="I70" s="173">
        <f t="shared" si="1"/>
        <v>25</v>
      </c>
      <c r="J70" s="82" t="s">
        <v>1747</v>
      </c>
      <c r="K70" s="82" t="s">
        <v>1748</v>
      </c>
      <c r="L70" s="173">
        <f t="array" ref="L70">INDEX($T$35:$Y$37,MATCH(O70,$S$35:$S$37,0),MATCH(N70,$T$34:$Y$34,0))</f>
        <v>29.9</v>
      </c>
      <c r="M70" s="171">
        <f t="shared" si="2"/>
        <v>747.5</v>
      </c>
      <c r="N70" s="83" t="s">
        <v>1776</v>
      </c>
      <c r="O70" s="82" t="s">
        <v>1772</v>
      </c>
      <c r="P70" s="82" t="s">
        <v>1789</v>
      </c>
    </row>
    <row r="71" spans="2:16" ht="15.75" thickBot="1" x14ac:dyDescent="0.3">
      <c r="B71" s="82" t="s">
        <v>534</v>
      </c>
      <c r="C71" s="82" t="s">
        <v>1681</v>
      </c>
      <c r="D71" s="82" t="s">
        <v>1745</v>
      </c>
      <c r="E71" s="82" t="s">
        <v>1746</v>
      </c>
      <c r="F71" s="83">
        <v>16</v>
      </c>
      <c r="G71" s="82" t="s">
        <v>586</v>
      </c>
      <c r="H71" s="175">
        <v>14</v>
      </c>
      <c r="I71" s="173">
        <f t="shared" si="1"/>
        <v>224</v>
      </c>
      <c r="J71" s="82" t="s">
        <v>1747</v>
      </c>
      <c r="K71" s="82" t="s">
        <v>1748</v>
      </c>
      <c r="L71" s="173">
        <f t="array" ref="L71">INDEX($T$35:$Y$37,MATCH(O71,$S$35:$S$37,0),MATCH(N71,$T$34:$Y$34,0))</f>
        <v>29.9</v>
      </c>
      <c r="M71" s="171">
        <f t="shared" si="2"/>
        <v>6697.5999999999995</v>
      </c>
      <c r="N71" s="83" t="s">
        <v>1776</v>
      </c>
      <c r="O71" s="82" t="s">
        <v>1772</v>
      </c>
      <c r="P71" s="82" t="s">
        <v>1785</v>
      </c>
    </row>
    <row r="72" spans="2:16" ht="15.75" thickBot="1" x14ac:dyDescent="0.3">
      <c r="B72" s="82" t="s">
        <v>534</v>
      </c>
      <c r="C72" s="82" t="s">
        <v>1681</v>
      </c>
      <c r="D72" s="82" t="s">
        <v>1745</v>
      </c>
      <c r="E72" s="82" t="s">
        <v>1746</v>
      </c>
      <c r="F72" s="83">
        <v>10</v>
      </c>
      <c r="G72" s="82" t="s">
        <v>586</v>
      </c>
      <c r="H72" s="175">
        <v>16</v>
      </c>
      <c r="I72" s="173">
        <f t="shared" si="1"/>
        <v>160</v>
      </c>
      <c r="J72" s="82" t="s">
        <v>1747</v>
      </c>
      <c r="K72" s="82" t="s">
        <v>1748</v>
      </c>
      <c r="L72" s="173">
        <f t="array" ref="L72">INDEX($T$35:$Y$37,MATCH(O72,$S$35:$S$37,0),MATCH(N72,$T$34:$Y$34,0))</f>
        <v>29.9</v>
      </c>
      <c r="M72" s="171">
        <f t="shared" si="2"/>
        <v>4784</v>
      </c>
      <c r="N72" s="83" t="s">
        <v>1776</v>
      </c>
      <c r="O72" s="82" t="s">
        <v>1772</v>
      </c>
      <c r="P72" s="82" t="s">
        <v>1786</v>
      </c>
    </row>
    <row r="73" spans="2:16" ht="15.75" thickBot="1" x14ac:dyDescent="0.3">
      <c r="B73" s="82" t="s">
        <v>534</v>
      </c>
      <c r="C73" s="82" t="s">
        <v>1681</v>
      </c>
      <c r="D73" s="82" t="s">
        <v>1745</v>
      </c>
      <c r="E73" s="82" t="s">
        <v>1746</v>
      </c>
      <c r="F73" s="83">
        <v>16</v>
      </c>
      <c r="G73" s="82" t="s">
        <v>586</v>
      </c>
      <c r="H73" s="175">
        <v>38.5</v>
      </c>
      <c r="I73" s="173">
        <f t="shared" si="1"/>
        <v>616</v>
      </c>
      <c r="J73" s="82" t="s">
        <v>1747</v>
      </c>
      <c r="K73" s="82" t="s">
        <v>1748</v>
      </c>
      <c r="L73" s="173">
        <f t="array" ref="L73">INDEX($T$35:$Y$37,MATCH(O73,$S$35:$S$37,0),MATCH(N73,$T$34:$Y$34,0))</f>
        <v>29.9</v>
      </c>
      <c r="M73" s="171">
        <f t="shared" si="2"/>
        <v>18418.399999999998</v>
      </c>
      <c r="N73" s="83" t="s">
        <v>1776</v>
      </c>
      <c r="O73" s="82" t="s">
        <v>1772</v>
      </c>
      <c r="P73" s="82" t="s">
        <v>1782</v>
      </c>
    </row>
    <row r="74" spans="2:16" ht="15.75" thickBot="1" x14ac:dyDescent="0.3">
      <c r="B74" s="82" t="s">
        <v>534</v>
      </c>
      <c r="C74" s="82" t="s">
        <v>1681</v>
      </c>
      <c r="D74" s="82" t="s">
        <v>1745</v>
      </c>
      <c r="E74" s="82" t="s">
        <v>1746</v>
      </c>
      <c r="F74" s="83">
        <v>8</v>
      </c>
      <c r="G74" s="82" t="s">
        <v>586</v>
      </c>
      <c r="H74" s="175">
        <v>48</v>
      </c>
      <c r="I74" s="173">
        <f t="shared" si="1"/>
        <v>384</v>
      </c>
      <c r="J74" s="82" t="s">
        <v>1747</v>
      </c>
      <c r="K74" s="82" t="s">
        <v>1748</v>
      </c>
      <c r="L74" s="173">
        <f t="array" ref="L74">INDEX($T$35:$Y$37,MATCH(O74,$S$35:$S$37,0),MATCH(N74,$T$34:$Y$34,0))</f>
        <v>29.9</v>
      </c>
      <c r="M74" s="171">
        <f t="shared" si="2"/>
        <v>11481.599999999999</v>
      </c>
      <c r="N74" s="83" t="s">
        <v>1776</v>
      </c>
      <c r="O74" s="82" t="s">
        <v>1772</v>
      </c>
      <c r="P74" s="82" t="s">
        <v>1790</v>
      </c>
    </row>
    <row r="75" spans="2:16" ht="15.75" thickBot="1" x14ac:dyDescent="0.3">
      <c r="B75" s="82" t="s">
        <v>534</v>
      </c>
      <c r="C75" s="82" t="s">
        <v>1681</v>
      </c>
      <c r="D75" s="82" t="s">
        <v>1745</v>
      </c>
      <c r="E75" s="82" t="s">
        <v>1746</v>
      </c>
      <c r="F75" s="83">
        <v>534</v>
      </c>
      <c r="G75" s="82" t="s">
        <v>586</v>
      </c>
      <c r="H75" s="175">
        <v>63.5</v>
      </c>
      <c r="I75" s="173">
        <f t="shared" si="1"/>
        <v>33909</v>
      </c>
      <c r="J75" s="82" t="s">
        <v>1747</v>
      </c>
      <c r="K75" s="82" t="s">
        <v>1748</v>
      </c>
      <c r="L75" s="173">
        <f t="array" ref="L75">INDEX($T$35:$Y$37,MATCH(O75,$S$35:$S$37,0),MATCH(N75,$T$34:$Y$34,0))</f>
        <v>29.9</v>
      </c>
      <c r="M75" s="171">
        <f t="shared" si="2"/>
        <v>1013879.1</v>
      </c>
      <c r="N75" s="83" t="s">
        <v>1776</v>
      </c>
      <c r="O75" s="82" t="s">
        <v>1772</v>
      </c>
      <c r="P75" s="82" t="s">
        <v>1783</v>
      </c>
    </row>
    <row r="76" spans="2:16" ht="15.75" thickBot="1" x14ac:dyDescent="0.3">
      <c r="B76" s="82" t="s">
        <v>534</v>
      </c>
      <c r="C76" s="82" t="s">
        <v>1681</v>
      </c>
      <c r="D76" s="82" t="s">
        <v>1745</v>
      </c>
      <c r="E76" s="82" t="s">
        <v>1746</v>
      </c>
      <c r="F76" s="83">
        <v>2</v>
      </c>
      <c r="G76" s="82" t="s">
        <v>586</v>
      </c>
      <c r="H76" s="175">
        <v>12.5</v>
      </c>
      <c r="I76" s="173">
        <f t="shared" si="1"/>
        <v>25</v>
      </c>
      <c r="J76" s="82" t="s">
        <v>1747</v>
      </c>
      <c r="K76" s="82" t="s">
        <v>1748</v>
      </c>
      <c r="L76" s="173">
        <f t="array" ref="L76">INDEX($T$35:$Y$37,MATCH(O76,$S$35:$S$37,0),MATCH(N76,$T$34:$Y$34,0))</f>
        <v>47.6</v>
      </c>
      <c r="M76" s="171">
        <f t="shared" si="2"/>
        <v>1190</v>
      </c>
      <c r="N76" s="83" t="s">
        <v>1777</v>
      </c>
      <c r="O76" s="82" t="s">
        <v>1772</v>
      </c>
      <c r="P76" s="82" t="s">
        <v>1789</v>
      </c>
    </row>
    <row r="77" spans="2:16" ht="15.75" thickBot="1" x14ac:dyDescent="0.3">
      <c r="B77" s="82" t="s">
        <v>534</v>
      </c>
      <c r="C77" s="82" t="s">
        <v>1681</v>
      </c>
      <c r="D77" s="82" t="s">
        <v>1745</v>
      </c>
      <c r="E77" s="82" t="s">
        <v>1746</v>
      </c>
      <c r="F77" s="83">
        <v>16</v>
      </c>
      <c r="G77" s="82" t="s">
        <v>586</v>
      </c>
      <c r="H77" s="175">
        <v>16</v>
      </c>
      <c r="I77" s="173">
        <f t="shared" si="1"/>
        <v>256</v>
      </c>
      <c r="J77" s="82" t="s">
        <v>1747</v>
      </c>
      <c r="K77" s="82" t="s">
        <v>1748</v>
      </c>
      <c r="L77" s="173">
        <f t="array" ref="L77">INDEX($T$35:$Y$37,MATCH(O77,$S$35:$S$37,0),MATCH(N77,$T$34:$Y$34,0))</f>
        <v>47.6</v>
      </c>
      <c r="M77" s="171">
        <f t="shared" si="2"/>
        <v>12185.6</v>
      </c>
      <c r="N77" s="83" t="s">
        <v>1777</v>
      </c>
      <c r="O77" s="82" t="s">
        <v>1772</v>
      </c>
      <c r="P77" s="82" t="s">
        <v>1786</v>
      </c>
    </row>
    <row r="78" spans="2:16" ht="15.75" thickBot="1" x14ac:dyDescent="0.3">
      <c r="B78" s="82" t="s">
        <v>534</v>
      </c>
      <c r="C78" s="82" t="s">
        <v>1681</v>
      </c>
      <c r="D78" s="82" t="s">
        <v>1745</v>
      </c>
      <c r="E78" s="82" t="s">
        <v>1746</v>
      </c>
      <c r="F78" s="83">
        <v>8</v>
      </c>
      <c r="G78" s="82" t="s">
        <v>586</v>
      </c>
      <c r="H78" s="175">
        <v>48</v>
      </c>
      <c r="I78" s="173">
        <f t="shared" si="1"/>
        <v>384</v>
      </c>
      <c r="J78" s="82" t="s">
        <v>1747</v>
      </c>
      <c r="K78" s="82" t="s">
        <v>1748</v>
      </c>
      <c r="L78" s="173">
        <f t="array" ref="L78">INDEX($T$35:$Y$37,MATCH(O78,$S$35:$S$37,0),MATCH(N78,$T$34:$Y$34,0))</f>
        <v>47.6</v>
      </c>
      <c r="M78" s="171">
        <f t="shared" si="2"/>
        <v>18278.400000000001</v>
      </c>
      <c r="N78" s="83" t="s">
        <v>1777</v>
      </c>
      <c r="O78" s="82" t="s">
        <v>1772</v>
      </c>
      <c r="P78" s="82" t="s">
        <v>1788</v>
      </c>
    </row>
    <row r="79" spans="2:16" ht="15.75" thickBot="1" x14ac:dyDescent="0.3">
      <c r="B79" s="82" t="s">
        <v>534</v>
      </c>
      <c r="C79" s="82" t="s">
        <v>1681</v>
      </c>
      <c r="D79" s="82" t="s">
        <v>1745</v>
      </c>
      <c r="E79" s="82" t="s">
        <v>1746</v>
      </c>
      <c r="F79" s="83">
        <v>69</v>
      </c>
      <c r="G79" s="82" t="s">
        <v>586</v>
      </c>
      <c r="H79" s="175">
        <v>63.5</v>
      </c>
      <c r="I79" s="173">
        <f t="shared" si="1"/>
        <v>4381.5</v>
      </c>
      <c r="J79" s="82" t="s">
        <v>1747</v>
      </c>
      <c r="K79" s="82" t="s">
        <v>1748</v>
      </c>
      <c r="L79" s="173">
        <f t="array" ref="L79">INDEX($T$35:$Y$37,MATCH(O79,$S$35:$S$37,0),MATCH(N79,$T$34:$Y$34,0))</f>
        <v>47.6</v>
      </c>
      <c r="M79" s="171">
        <f t="shared" si="2"/>
        <v>208559.4</v>
      </c>
      <c r="N79" s="83" t="s">
        <v>1777</v>
      </c>
      <c r="O79" s="82" t="s">
        <v>1772</v>
      </c>
      <c r="P79" s="82" t="s">
        <v>1783</v>
      </c>
    </row>
    <row r="80" spans="2:16" ht="15.75" thickBot="1" x14ac:dyDescent="0.3">
      <c r="B80" s="82" t="s">
        <v>534</v>
      </c>
      <c r="C80" s="82" t="s">
        <v>1681</v>
      </c>
      <c r="D80" s="82" t="s">
        <v>1745</v>
      </c>
      <c r="E80" s="82" t="s">
        <v>1746</v>
      </c>
      <c r="F80" s="83">
        <v>2</v>
      </c>
      <c r="G80" s="82" t="s">
        <v>586</v>
      </c>
      <c r="H80" s="175">
        <v>14</v>
      </c>
      <c r="I80" s="173">
        <f t="shared" si="1"/>
        <v>28</v>
      </c>
      <c r="J80" s="82" t="s">
        <v>1747</v>
      </c>
      <c r="K80" s="82" t="s">
        <v>1748</v>
      </c>
      <c r="L80" s="173">
        <f t="array" ref="L80">INDEX($T$35:$Y$37,MATCH(O80,$S$35:$S$37,0),MATCH(N80,$T$34:$Y$34,0))</f>
        <v>103</v>
      </c>
      <c r="M80" s="171">
        <f t="shared" si="2"/>
        <v>2884</v>
      </c>
      <c r="N80" s="83" t="s">
        <v>1778</v>
      </c>
      <c r="O80" s="82" t="s">
        <v>1772</v>
      </c>
      <c r="P80" s="82" t="s">
        <v>1785</v>
      </c>
    </row>
    <row r="81" spans="2:16" ht="15.75" thickBot="1" x14ac:dyDescent="0.3">
      <c r="B81" s="82" t="s">
        <v>534</v>
      </c>
      <c r="C81" s="82" t="s">
        <v>1681</v>
      </c>
      <c r="D81" s="82" t="s">
        <v>1745</v>
      </c>
      <c r="E81" s="82" t="s">
        <v>1746</v>
      </c>
      <c r="F81" s="83">
        <v>2</v>
      </c>
      <c r="G81" s="82" t="s">
        <v>586</v>
      </c>
      <c r="H81" s="175">
        <v>42</v>
      </c>
      <c r="I81" s="173">
        <f t="shared" si="1"/>
        <v>84</v>
      </c>
      <c r="J81" s="82" t="s">
        <v>1747</v>
      </c>
      <c r="K81" s="82" t="s">
        <v>1748</v>
      </c>
      <c r="L81" s="173">
        <f t="array" ref="L81">INDEX($T$35:$Y$37,MATCH(O81,$S$35:$S$37,0),MATCH(N81,$T$34:$Y$34,0))</f>
        <v>103</v>
      </c>
      <c r="M81" s="171">
        <f t="shared" si="2"/>
        <v>8652</v>
      </c>
      <c r="N81" s="83" t="s">
        <v>1778</v>
      </c>
      <c r="O81" s="82" t="s">
        <v>1772</v>
      </c>
      <c r="P81" s="82" t="s">
        <v>1787</v>
      </c>
    </row>
    <row r="82" spans="2:16" ht="15.75" thickBot="1" x14ac:dyDescent="0.3">
      <c r="B82" s="82" t="s">
        <v>534</v>
      </c>
      <c r="C82" s="82" t="s">
        <v>1681</v>
      </c>
      <c r="D82" s="82" t="s">
        <v>1745</v>
      </c>
      <c r="E82" s="82" t="s">
        <v>1746</v>
      </c>
      <c r="F82" s="83">
        <v>8</v>
      </c>
      <c r="G82" s="82" t="s">
        <v>586</v>
      </c>
      <c r="H82" s="175">
        <v>38.5</v>
      </c>
      <c r="I82" s="173">
        <f t="shared" si="1"/>
        <v>308</v>
      </c>
      <c r="J82" s="82" t="s">
        <v>1747</v>
      </c>
      <c r="K82" s="82" t="s">
        <v>1748</v>
      </c>
      <c r="L82" s="173">
        <f t="array" ref="L82">INDEX($T$35:$Y$37,MATCH(O82,$S$35:$S$37,0),MATCH(N82,$T$34:$Y$34,0))</f>
        <v>103</v>
      </c>
      <c r="M82" s="171">
        <f t="shared" si="2"/>
        <v>31724</v>
      </c>
      <c r="N82" s="83" t="s">
        <v>1778</v>
      </c>
      <c r="O82" s="82" t="s">
        <v>1772</v>
      </c>
      <c r="P82" s="82" t="s">
        <v>1782</v>
      </c>
    </row>
    <row r="83" spans="2:16" ht="15.75" thickBot="1" x14ac:dyDescent="0.3">
      <c r="B83" s="82" t="s">
        <v>534</v>
      </c>
      <c r="C83" s="82" t="s">
        <v>1681</v>
      </c>
      <c r="D83" s="82" t="s">
        <v>1745</v>
      </c>
      <c r="E83" s="82" t="s">
        <v>1746</v>
      </c>
      <c r="F83" s="83">
        <v>7</v>
      </c>
      <c r="G83" s="82" t="s">
        <v>586</v>
      </c>
      <c r="H83" s="175">
        <v>63.5</v>
      </c>
      <c r="I83" s="173">
        <f t="shared" si="1"/>
        <v>444.5</v>
      </c>
      <c r="J83" s="82" t="s">
        <v>1747</v>
      </c>
      <c r="K83" s="82" t="s">
        <v>1748</v>
      </c>
      <c r="L83" s="173">
        <f t="array" ref="L83">INDEX($T$35:$Y$37,MATCH(O83,$S$35:$S$37,0),MATCH(N83,$T$34:$Y$34,0))</f>
        <v>4.5</v>
      </c>
      <c r="M83" s="171">
        <f t="shared" si="2"/>
        <v>2000.25</v>
      </c>
      <c r="N83" s="83" t="s">
        <v>1779</v>
      </c>
      <c r="O83" s="82" t="s">
        <v>1772</v>
      </c>
      <c r="P83" s="82" t="s">
        <v>1783</v>
      </c>
    </row>
    <row r="84" spans="2:16" ht="15.75" thickBot="1" x14ac:dyDescent="0.3">
      <c r="B84" s="82" t="s">
        <v>534</v>
      </c>
      <c r="C84" s="82" t="s">
        <v>1681</v>
      </c>
      <c r="D84" s="82" t="s">
        <v>1745</v>
      </c>
      <c r="E84" s="82" t="s">
        <v>1746</v>
      </c>
      <c r="F84" s="83">
        <v>8</v>
      </c>
      <c r="G84" s="82" t="s">
        <v>586</v>
      </c>
      <c r="H84" s="175">
        <v>63.5</v>
      </c>
      <c r="I84" s="173">
        <f t="shared" si="1"/>
        <v>508</v>
      </c>
      <c r="J84" s="82" t="s">
        <v>1747</v>
      </c>
      <c r="K84" s="82" t="s">
        <v>1748</v>
      </c>
      <c r="L84" s="173">
        <f t="array" ref="L84">INDEX($T$35:$Y$37,MATCH(O84,$S$35:$S$37,0),MATCH(N84,$T$34:$Y$34,0))</f>
        <v>15.7</v>
      </c>
      <c r="M84" s="171">
        <f t="shared" si="2"/>
        <v>7975.5999999999995</v>
      </c>
      <c r="N84" s="83" t="s">
        <v>1777</v>
      </c>
      <c r="O84" s="82" t="s">
        <v>1773</v>
      </c>
      <c r="P84" s="82" t="s">
        <v>1783</v>
      </c>
    </row>
    <row r="86" spans="2:16" x14ac:dyDescent="0.25">
      <c r="M86" s="176"/>
    </row>
  </sheetData>
  <mergeCells count="29">
    <mergeCell ref="O28:O29"/>
    <mergeCell ref="H28:H29"/>
    <mergeCell ref="P28:P29"/>
    <mergeCell ref="I28:I29"/>
    <mergeCell ref="M28:M29"/>
    <mergeCell ref="E28:E29"/>
    <mergeCell ref="B9:AA9"/>
    <mergeCell ref="B25:Y26"/>
    <mergeCell ref="B28:B29"/>
    <mergeCell ref="C28:C29"/>
    <mergeCell ref="D28:D29"/>
    <mergeCell ref="F28:F29"/>
    <mergeCell ref="G28:G29"/>
    <mergeCell ref="J28:J29"/>
    <mergeCell ref="K28:K29"/>
    <mergeCell ref="L28:L29"/>
    <mergeCell ref="N28:N29"/>
    <mergeCell ref="B14:C14"/>
    <mergeCell ref="D14:T14"/>
    <mergeCell ref="B15:C15"/>
    <mergeCell ref="D15:T15"/>
    <mergeCell ref="B17:AA17"/>
    <mergeCell ref="B21:Y22"/>
    <mergeCell ref="B11:C11"/>
    <mergeCell ref="D11:T11"/>
    <mergeCell ref="B12:C12"/>
    <mergeCell ref="D12:T12"/>
    <mergeCell ref="B13:C13"/>
    <mergeCell ref="D13:T13"/>
  </mergeCells>
  <dataValidations count="4">
    <dataValidation type="list" allowBlank="1" showInputMessage="1" showErrorMessage="1" sqref="D30:D84">
      <formula1>"Rodoviário, Ferroviário, Aéreo, Marítimo, Outro"</formula1>
    </dataValidation>
    <dataValidation type="list" allowBlank="1" showInputMessage="1" showErrorMessage="1" sqref="G30:G84 H51:H54">
      <formula1>"unidades, paletes, contentores, kWh, l (litros), kg (quilos), ton (toneladas), Nm3 (metros cubicos norm.), Outro/NA"</formula1>
    </dataValidation>
    <dataValidation type="list" allowBlank="1" showInputMessage="1" showErrorMessage="1" sqref="E30:E84">
      <formula1>"Meios Própios Empresa,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C30:C84">
      <formula1>"Serviço Manutenção, Outros Serviços, Pneus, Componentes/Peças, Vidros, Baterias, Metais, Plásticos, Borrachas, Papel, Contrato Pneus, Outros, Total"</formula1>
    </dataValidation>
  </dataValidations>
  <pageMargins left="0.7" right="0.7" top="0.75" bottom="0.75" header="0.3" footer="0.3"/>
  <customProperties>
    <customPr name="GUID" r:id="rId1"/>
  </customPropertie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4" filterMode="1">
    <tabColor theme="7"/>
  </sheetPr>
  <dimension ref="A1:AH471"/>
  <sheetViews>
    <sheetView topLeftCell="C1" zoomScale="70" zoomScaleNormal="70" workbookViewId="0">
      <pane ySplit="2" topLeftCell="A3" activePane="bottomLeft" state="frozen"/>
      <selection pane="bottomLeft" activeCell="P409" sqref="P409"/>
    </sheetView>
  </sheetViews>
  <sheetFormatPr defaultRowHeight="15" x14ac:dyDescent="0.25"/>
  <cols>
    <col min="1" max="2" width="70.140625" bestFit="1" customWidth="1"/>
    <col min="3" max="3" width="6.7109375" bestFit="1" customWidth="1"/>
    <col min="4" max="4" width="14" style="227" bestFit="1" customWidth="1"/>
    <col min="5" max="5" width="38.5703125" bestFit="1" customWidth="1"/>
    <col min="6" max="6" width="23.42578125" bestFit="1" customWidth="1"/>
    <col min="7" max="7" width="23.85546875" bestFit="1" customWidth="1"/>
    <col min="8" max="8" width="62.85546875" customWidth="1"/>
    <col min="9" max="9" width="60.85546875" customWidth="1"/>
    <col min="10" max="10" width="30.7109375" style="428" bestFit="1" customWidth="1"/>
    <col min="11" max="11" width="12.42578125" bestFit="1" customWidth="1"/>
    <col min="12" max="12" width="31.7109375" bestFit="1" customWidth="1"/>
    <col min="13" max="13" width="18.28515625" style="174" bestFit="1" customWidth="1"/>
    <col min="14" max="14" width="12.42578125" style="174" bestFit="1" customWidth="1"/>
    <col min="15" max="15" width="18.85546875" bestFit="1" customWidth="1"/>
    <col min="16" max="16" width="31" bestFit="1" customWidth="1"/>
    <col min="17" max="17" width="27.28515625" style="172" bestFit="1" customWidth="1"/>
    <col min="18" max="18" width="27.42578125" bestFit="1" customWidth="1"/>
    <col min="19" max="19" width="11.140625" bestFit="1" customWidth="1"/>
    <col min="20" max="20" width="35.85546875" bestFit="1" customWidth="1"/>
    <col min="21" max="21" width="29.28515625" bestFit="1" customWidth="1"/>
    <col min="22" max="22" width="48.85546875" bestFit="1" customWidth="1"/>
    <col min="23" max="23" width="9.140625" bestFit="1" customWidth="1"/>
    <col min="24" max="24" width="18.140625" bestFit="1" customWidth="1"/>
    <col min="26" max="26" width="48.7109375" bestFit="1" customWidth="1"/>
    <col min="27" max="27" width="12.85546875" style="1" bestFit="1" customWidth="1"/>
    <col min="28" max="28" width="9.28515625" style="1" bestFit="1" customWidth="1"/>
    <col min="29" max="29" width="14.28515625" style="1" bestFit="1" customWidth="1"/>
    <col min="30" max="30" width="11.42578125" style="1" bestFit="1" customWidth="1"/>
    <col min="31" max="31" width="11.7109375" style="1" bestFit="1" customWidth="1"/>
    <col min="32" max="32" width="14" style="1" bestFit="1" customWidth="1"/>
    <col min="33" max="33" width="9.140625" style="1"/>
  </cols>
  <sheetData>
    <row r="1" spans="1:34" s="94" customFormat="1" ht="15.75" thickBot="1" x14ac:dyDescent="0.3">
      <c r="A1" s="793" t="s">
        <v>1851</v>
      </c>
      <c r="B1" s="757" t="s">
        <v>131</v>
      </c>
      <c r="C1" s="757" t="s">
        <v>1852</v>
      </c>
      <c r="D1" s="757" t="s">
        <v>1856</v>
      </c>
      <c r="E1" s="757" t="s">
        <v>442</v>
      </c>
      <c r="F1" s="759" t="s">
        <v>445</v>
      </c>
      <c r="G1" s="757" t="s">
        <v>449</v>
      </c>
      <c r="H1" s="757" t="s">
        <v>119</v>
      </c>
      <c r="I1" s="219" t="s">
        <v>3108</v>
      </c>
      <c r="J1" s="777" t="s">
        <v>446</v>
      </c>
      <c r="K1" s="759" t="s">
        <v>141</v>
      </c>
      <c r="L1" s="778" t="s">
        <v>1895</v>
      </c>
      <c r="M1" s="812" t="s">
        <v>1769</v>
      </c>
      <c r="N1" s="813" t="s">
        <v>1791</v>
      </c>
      <c r="O1" s="757" t="s">
        <v>447</v>
      </c>
      <c r="P1" s="757" t="s">
        <v>458</v>
      </c>
      <c r="Q1" s="812" t="s">
        <v>448</v>
      </c>
      <c r="R1" s="778" t="s">
        <v>1792</v>
      </c>
      <c r="S1" s="778" t="s">
        <v>1870</v>
      </c>
      <c r="T1" s="759" t="s">
        <v>1768</v>
      </c>
      <c r="U1" s="759" t="s">
        <v>1770</v>
      </c>
      <c r="V1" s="759" t="s">
        <v>1780</v>
      </c>
      <c r="W1" s="777" t="s">
        <v>2812</v>
      </c>
      <c r="X1" s="777" t="s">
        <v>3588</v>
      </c>
      <c r="Y1"/>
      <c r="Z1" s="92" t="s">
        <v>1767</v>
      </c>
      <c r="AA1" s="169" t="s">
        <v>1752</v>
      </c>
      <c r="AB1" s="169" t="s">
        <v>1751</v>
      </c>
      <c r="AC1" s="169" t="s">
        <v>1754</v>
      </c>
      <c r="AD1" s="169" t="s">
        <v>1750</v>
      </c>
      <c r="AE1" s="169" t="s">
        <v>1753</v>
      </c>
      <c r="AF1" s="1"/>
      <c r="AG1" s="1"/>
    </row>
    <row r="2" spans="1:34" s="94" customFormat="1" ht="15.75" hidden="1" thickBot="1" x14ac:dyDescent="0.3">
      <c r="A2" s="794"/>
      <c r="B2" s="758"/>
      <c r="C2" s="758"/>
      <c r="D2" s="758"/>
      <c r="E2" s="758"/>
      <c r="F2" s="757"/>
      <c r="G2" s="809"/>
      <c r="H2" s="809"/>
      <c r="I2" s="226"/>
      <c r="J2" s="778"/>
      <c r="K2" s="757"/>
      <c r="L2" s="779"/>
      <c r="M2" s="813"/>
      <c r="N2" s="814"/>
      <c r="O2" s="809"/>
      <c r="P2" s="809"/>
      <c r="Q2" s="813"/>
      <c r="R2" s="779"/>
      <c r="S2" s="779"/>
      <c r="T2" s="759"/>
      <c r="U2" s="759"/>
      <c r="V2" s="759"/>
      <c r="W2" s="777"/>
      <c r="X2" s="777"/>
      <c r="Y2"/>
      <c r="Z2" s="92" t="s">
        <v>1764</v>
      </c>
      <c r="AA2" s="169">
        <v>3.1</v>
      </c>
      <c r="AB2" s="169">
        <v>39.9</v>
      </c>
      <c r="AC2" s="169">
        <v>39.9</v>
      </c>
      <c r="AD2" s="169">
        <v>39.9</v>
      </c>
      <c r="AE2" s="169">
        <v>37.6</v>
      </c>
      <c r="AF2" s="1"/>
      <c r="AG2" s="1"/>
    </row>
    <row r="3" spans="1:34" ht="15.75" hidden="1" thickBot="1" x14ac:dyDescent="0.3">
      <c r="A3" s="82" t="s">
        <v>45</v>
      </c>
      <c r="B3" s="82" t="str">
        <f>LEFT(A3,IFERROR(FIND(" - ",A3)-1,LEN(A3)))</f>
        <v>Barraqueiro Transportes, S.A.</v>
      </c>
      <c r="C3" s="82" t="str">
        <f>IF(A3=B3,"X",RIGHT(A3,LEN(A3)-LEN(B3)-3))</f>
        <v>X</v>
      </c>
      <c r="D3" s="228">
        <v>2022</v>
      </c>
      <c r="E3" s="82" t="s">
        <v>1653</v>
      </c>
      <c r="F3" s="82" t="s">
        <v>1745</v>
      </c>
      <c r="G3" s="82" t="s">
        <v>1746</v>
      </c>
      <c r="H3" s="227" t="s">
        <v>1864</v>
      </c>
      <c r="I3" s="227" t="s">
        <v>3109</v>
      </c>
      <c r="J3" s="272">
        <v>34</v>
      </c>
      <c r="K3" s="82" t="s">
        <v>586</v>
      </c>
      <c r="L3" s="228"/>
      <c r="M3" s="173">
        <v>62</v>
      </c>
      <c r="N3" s="173">
        <f>M3*J3</f>
        <v>2108</v>
      </c>
      <c r="O3" s="82" t="s">
        <v>1747</v>
      </c>
      <c r="P3" s="82" t="s">
        <v>1748</v>
      </c>
      <c r="Q3" s="173">
        <f t="shared" ref="Q3:Q23" si="0">INDEX($AA$2:$AE$4,MATCH(U3,$Z$2:$Z$4,0),MATCH(T3,$AA$1:$AE$1,0))</f>
        <v>3.1</v>
      </c>
      <c r="R3" s="171">
        <f>Q3*N3</f>
        <v>6534.8</v>
      </c>
      <c r="S3" s="171" t="s">
        <v>1894</v>
      </c>
      <c r="T3" s="82" t="s">
        <v>1752</v>
      </c>
      <c r="U3" s="82" t="s">
        <v>1764</v>
      </c>
      <c r="V3" s="82" t="s">
        <v>1759</v>
      </c>
      <c r="W3" s="250" t="s">
        <v>3499</v>
      </c>
      <c r="X3" s="250" t="s">
        <v>3504</v>
      </c>
      <c r="Z3" s="167" t="s">
        <v>1765</v>
      </c>
      <c r="AA3" s="170">
        <v>41</v>
      </c>
      <c r="AB3" s="170">
        <v>8.1999999999999993</v>
      </c>
      <c r="AC3" s="170">
        <v>8.1999999999999993</v>
      </c>
      <c r="AD3" s="170">
        <v>5.8</v>
      </c>
      <c r="AE3" s="170">
        <v>10.6</v>
      </c>
    </row>
    <row r="4" spans="1:34" ht="15.75" hidden="1" thickBot="1" x14ac:dyDescent="0.3">
      <c r="A4" s="82" t="s">
        <v>45</v>
      </c>
      <c r="B4" s="82" t="str">
        <f t="shared" ref="B4:B57" si="1">LEFT(A4,IFERROR(FIND(" - ",A4)-1,LEN(A4)))</f>
        <v>Barraqueiro Transportes, S.A.</v>
      </c>
      <c r="C4" s="82" t="str">
        <f t="shared" ref="C4:C67" si="2">IF(A4=B4,"X",RIGHT(A4,LEN(A4)-LEN(B4)-3))</f>
        <v>X</v>
      </c>
      <c r="D4" s="228">
        <v>2022</v>
      </c>
      <c r="E4" s="82" t="s">
        <v>1653</v>
      </c>
      <c r="F4" s="82" t="s">
        <v>1745</v>
      </c>
      <c r="G4" s="82" t="s">
        <v>1746</v>
      </c>
      <c r="H4" s="227" t="s">
        <v>1864</v>
      </c>
      <c r="I4" s="227" t="s">
        <v>3109</v>
      </c>
      <c r="J4" s="272">
        <v>115</v>
      </c>
      <c r="K4" s="82" t="s">
        <v>586</v>
      </c>
      <c r="L4" s="228"/>
      <c r="M4" s="173">
        <v>62</v>
      </c>
      <c r="N4" s="173">
        <f t="shared" ref="N4:N57" si="3">M4*J4</f>
        <v>7130</v>
      </c>
      <c r="O4" s="82" t="s">
        <v>1747</v>
      </c>
      <c r="P4" s="82" t="s">
        <v>1748</v>
      </c>
      <c r="Q4" s="173">
        <f t="shared" si="0"/>
        <v>8.1999999999999993</v>
      </c>
      <c r="R4" s="171">
        <f t="shared" ref="R4:R23" si="4">Q4*N4</f>
        <v>58465.999999999993</v>
      </c>
      <c r="S4" s="171" t="s">
        <v>1894</v>
      </c>
      <c r="T4" s="82" t="s">
        <v>1751</v>
      </c>
      <c r="U4" s="82" t="s">
        <v>1765</v>
      </c>
      <c r="V4" s="82" t="s">
        <v>1759</v>
      </c>
      <c r="W4" s="250" t="s">
        <v>3499</v>
      </c>
      <c r="X4" s="250" t="s">
        <v>3504</v>
      </c>
      <c r="Z4" s="167" t="s">
        <v>1766</v>
      </c>
      <c r="AA4" s="170">
        <v>39.299999999999997</v>
      </c>
      <c r="AB4" s="170">
        <v>8.1999999999999993</v>
      </c>
      <c r="AC4" s="170">
        <v>8.1999999999999993</v>
      </c>
      <c r="AD4" s="170">
        <v>10.8</v>
      </c>
      <c r="AE4" s="170">
        <v>4.2</v>
      </c>
    </row>
    <row r="5" spans="1:34" ht="15.75" hidden="1" thickBot="1" x14ac:dyDescent="0.3">
      <c r="A5" s="82" t="s">
        <v>45</v>
      </c>
      <c r="B5" s="82" t="str">
        <f t="shared" si="1"/>
        <v>Barraqueiro Transportes, S.A.</v>
      </c>
      <c r="C5" s="82" t="str">
        <f t="shared" si="2"/>
        <v>X</v>
      </c>
      <c r="D5" s="228">
        <v>2022</v>
      </c>
      <c r="E5" s="82" t="s">
        <v>1653</v>
      </c>
      <c r="F5" s="82" t="s">
        <v>1745</v>
      </c>
      <c r="G5" s="82" t="s">
        <v>1746</v>
      </c>
      <c r="H5" s="227" t="s">
        <v>1864</v>
      </c>
      <c r="I5" s="227" t="s">
        <v>3109</v>
      </c>
      <c r="J5" s="272">
        <v>256</v>
      </c>
      <c r="K5" s="82" t="s">
        <v>586</v>
      </c>
      <c r="L5" s="228"/>
      <c r="M5" s="173">
        <v>62</v>
      </c>
      <c r="N5" s="173">
        <f t="shared" si="3"/>
        <v>15872</v>
      </c>
      <c r="O5" s="82" t="s">
        <v>1747</v>
      </c>
      <c r="P5" s="82" t="s">
        <v>1748</v>
      </c>
      <c r="Q5" s="173">
        <f t="shared" si="0"/>
        <v>39.9</v>
      </c>
      <c r="R5" s="171">
        <f t="shared" si="4"/>
        <v>633292.79999999993</v>
      </c>
      <c r="S5" s="171" t="s">
        <v>1894</v>
      </c>
      <c r="T5" s="82" t="s">
        <v>1754</v>
      </c>
      <c r="U5" s="82" t="s">
        <v>1764</v>
      </c>
      <c r="V5" s="82" t="s">
        <v>1759</v>
      </c>
      <c r="W5" s="250" t="s">
        <v>3499</v>
      </c>
      <c r="X5" s="250" t="s">
        <v>3504</v>
      </c>
    </row>
    <row r="6" spans="1:34" s="1" customFormat="1" ht="15.75" hidden="1" thickBot="1" x14ac:dyDescent="0.3">
      <c r="A6" s="82" t="s">
        <v>45</v>
      </c>
      <c r="B6" s="82" t="str">
        <f t="shared" si="1"/>
        <v>Barraqueiro Transportes, S.A.</v>
      </c>
      <c r="C6" s="82" t="str">
        <f t="shared" si="2"/>
        <v>X</v>
      </c>
      <c r="D6" s="228">
        <v>2022</v>
      </c>
      <c r="E6" s="82" t="s">
        <v>1653</v>
      </c>
      <c r="F6" s="82" t="s">
        <v>1745</v>
      </c>
      <c r="G6" s="82" t="s">
        <v>1746</v>
      </c>
      <c r="H6" s="227" t="s">
        <v>1864</v>
      </c>
      <c r="I6" s="227" t="s">
        <v>3109</v>
      </c>
      <c r="J6" s="272">
        <v>4</v>
      </c>
      <c r="K6" s="82" t="s">
        <v>586</v>
      </c>
      <c r="L6" s="228"/>
      <c r="M6" s="173">
        <v>32</v>
      </c>
      <c r="N6" s="173">
        <f t="shared" si="3"/>
        <v>128</v>
      </c>
      <c r="O6" s="82" t="s">
        <v>1747</v>
      </c>
      <c r="P6" s="82" t="s">
        <v>1748</v>
      </c>
      <c r="Q6" s="173">
        <f t="shared" si="0"/>
        <v>3.1</v>
      </c>
      <c r="R6" s="171">
        <f t="shared" si="4"/>
        <v>396.8</v>
      </c>
      <c r="S6" s="171" t="s">
        <v>1894</v>
      </c>
      <c r="T6" s="82" t="s">
        <v>1752</v>
      </c>
      <c r="U6" s="82" t="s">
        <v>1764</v>
      </c>
      <c r="V6" s="82" t="s">
        <v>1755</v>
      </c>
      <c r="W6" s="250" t="s">
        <v>3499</v>
      </c>
      <c r="X6" s="250" t="s">
        <v>3504</v>
      </c>
      <c r="Y6"/>
      <c r="Z6"/>
      <c r="AH6"/>
    </row>
    <row r="7" spans="1:34" s="1" customFormat="1" ht="15.75" hidden="1" thickBot="1" x14ac:dyDescent="0.3">
      <c r="A7" s="82" t="s">
        <v>45</v>
      </c>
      <c r="B7" s="82" t="str">
        <f t="shared" si="1"/>
        <v>Barraqueiro Transportes, S.A.</v>
      </c>
      <c r="C7" s="82" t="str">
        <f t="shared" si="2"/>
        <v>X</v>
      </c>
      <c r="D7" s="228">
        <v>2022</v>
      </c>
      <c r="E7" s="82" t="s">
        <v>1653</v>
      </c>
      <c r="F7" s="82" t="s">
        <v>1745</v>
      </c>
      <c r="G7" s="82" t="s">
        <v>1746</v>
      </c>
      <c r="H7" s="227" t="s">
        <v>1864</v>
      </c>
      <c r="I7" s="227" t="s">
        <v>3109</v>
      </c>
      <c r="J7" s="272">
        <v>1</v>
      </c>
      <c r="K7" s="82" t="s">
        <v>586</v>
      </c>
      <c r="L7" s="228"/>
      <c r="M7" s="173">
        <v>32</v>
      </c>
      <c r="N7" s="173">
        <f t="shared" si="3"/>
        <v>32</v>
      </c>
      <c r="O7" s="82" t="s">
        <v>1747</v>
      </c>
      <c r="P7" s="82" t="s">
        <v>1748</v>
      </c>
      <c r="Q7" s="173">
        <f t="shared" si="0"/>
        <v>10.8</v>
      </c>
      <c r="R7" s="171">
        <f t="shared" si="4"/>
        <v>345.6</v>
      </c>
      <c r="S7" s="171" t="s">
        <v>1894</v>
      </c>
      <c r="T7" s="82" t="s">
        <v>1750</v>
      </c>
      <c r="U7" s="82" t="s">
        <v>1766</v>
      </c>
      <c r="V7" s="82" t="s">
        <v>1755</v>
      </c>
      <c r="W7" s="250" t="s">
        <v>3499</v>
      </c>
      <c r="X7" s="250" t="s">
        <v>3504</v>
      </c>
      <c r="Y7"/>
      <c r="Z7" s="92" t="s">
        <v>1767</v>
      </c>
      <c r="AA7" s="169" t="s">
        <v>1774</v>
      </c>
      <c r="AB7" s="169" t="s">
        <v>1775</v>
      </c>
      <c r="AC7" s="169" t="s">
        <v>1776</v>
      </c>
      <c r="AD7" s="169" t="s">
        <v>1777</v>
      </c>
      <c r="AE7" s="169" t="s">
        <v>1778</v>
      </c>
      <c r="AF7" s="1" t="s">
        <v>1779</v>
      </c>
      <c r="AH7"/>
    </row>
    <row r="8" spans="1:34" s="1" customFormat="1" ht="15.75" hidden="1" thickBot="1" x14ac:dyDescent="0.3">
      <c r="A8" s="82" t="s">
        <v>45</v>
      </c>
      <c r="B8" s="82" t="str">
        <f t="shared" si="1"/>
        <v>Barraqueiro Transportes, S.A.</v>
      </c>
      <c r="C8" s="82" t="str">
        <f t="shared" si="2"/>
        <v>X</v>
      </c>
      <c r="D8" s="228">
        <v>2022</v>
      </c>
      <c r="E8" s="82" t="s">
        <v>1653</v>
      </c>
      <c r="F8" s="82" t="s">
        <v>1745</v>
      </c>
      <c r="G8" s="82" t="s">
        <v>1746</v>
      </c>
      <c r="H8" s="227" t="s">
        <v>1864</v>
      </c>
      <c r="I8" s="227" t="s">
        <v>3109</v>
      </c>
      <c r="J8" s="272">
        <v>5</v>
      </c>
      <c r="K8" s="82" t="s">
        <v>586</v>
      </c>
      <c r="L8" s="228"/>
      <c r="M8" s="173">
        <v>32</v>
      </c>
      <c r="N8" s="173">
        <f t="shared" si="3"/>
        <v>160</v>
      </c>
      <c r="O8" s="82" t="s">
        <v>1747</v>
      </c>
      <c r="P8" s="82" t="s">
        <v>1748</v>
      </c>
      <c r="Q8" s="173">
        <f t="shared" si="0"/>
        <v>8.1999999999999993</v>
      </c>
      <c r="R8" s="171">
        <f t="shared" si="4"/>
        <v>1312</v>
      </c>
      <c r="S8" s="171" t="s">
        <v>1894</v>
      </c>
      <c r="T8" s="82" t="s">
        <v>1751</v>
      </c>
      <c r="U8" s="82" t="s">
        <v>1766</v>
      </c>
      <c r="V8" s="82" t="s">
        <v>1755</v>
      </c>
      <c r="W8" s="250" t="s">
        <v>3499</v>
      </c>
      <c r="X8" s="250" t="s">
        <v>3504</v>
      </c>
      <c r="Y8"/>
      <c r="Z8" s="92" t="s">
        <v>1772</v>
      </c>
      <c r="AA8" s="169">
        <v>48.5</v>
      </c>
      <c r="AB8" s="169">
        <v>68.599999999999994</v>
      </c>
      <c r="AC8" s="169">
        <v>29.9</v>
      </c>
      <c r="AD8" s="169">
        <v>47.6</v>
      </c>
      <c r="AE8" s="169">
        <v>103</v>
      </c>
      <c r="AF8" s="1">
        <v>4.5</v>
      </c>
      <c r="AH8"/>
    </row>
    <row r="9" spans="1:34" s="1" customFormat="1" ht="15.75" hidden="1" thickBot="1" x14ac:dyDescent="0.3">
      <c r="A9" s="82" t="s">
        <v>45</v>
      </c>
      <c r="B9" s="82" t="str">
        <f t="shared" si="1"/>
        <v>Barraqueiro Transportes, S.A.</v>
      </c>
      <c r="C9" s="82" t="str">
        <f t="shared" si="2"/>
        <v>X</v>
      </c>
      <c r="D9" s="228">
        <v>2022</v>
      </c>
      <c r="E9" s="82" t="s">
        <v>1653</v>
      </c>
      <c r="F9" s="82" t="s">
        <v>1745</v>
      </c>
      <c r="G9" s="82" t="s">
        <v>1746</v>
      </c>
      <c r="H9" s="227" t="s">
        <v>1864</v>
      </c>
      <c r="I9" s="227" t="s">
        <v>3109</v>
      </c>
      <c r="J9" s="272">
        <v>11</v>
      </c>
      <c r="K9" s="82" t="s">
        <v>586</v>
      </c>
      <c r="L9" s="228"/>
      <c r="M9" s="173">
        <v>32</v>
      </c>
      <c r="N9" s="173">
        <f t="shared" si="3"/>
        <v>352</v>
      </c>
      <c r="O9" s="82" t="s">
        <v>1747</v>
      </c>
      <c r="P9" s="82" t="s">
        <v>1748</v>
      </c>
      <c r="Q9" s="173">
        <f t="shared" si="0"/>
        <v>8.1999999999999993</v>
      </c>
      <c r="R9" s="171">
        <f t="shared" si="4"/>
        <v>2886.3999999999996</v>
      </c>
      <c r="S9" s="171" t="s">
        <v>1894</v>
      </c>
      <c r="T9" s="82" t="s">
        <v>1754</v>
      </c>
      <c r="U9" s="82" t="s">
        <v>1765</v>
      </c>
      <c r="V9" s="82" t="s">
        <v>1755</v>
      </c>
      <c r="W9" s="250" t="s">
        <v>3499</v>
      </c>
      <c r="X9" s="250" t="s">
        <v>3504</v>
      </c>
      <c r="Y9"/>
      <c r="Z9" s="167" t="s">
        <v>1771</v>
      </c>
      <c r="AA9" s="170">
        <v>33.1</v>
      </c>
      <c r="AB9" s="170">
        <v>30.5</v>
      </c>
      <c r="AC9" s="170">
        <v>16.2</v>
      </c>
      <c r="AD9" s="170">
        <v>24.5</v>
      </c>
      <c r="AE9" s="170">
        <v>128</v>
      </c>
      <c r="AF9" s="170">
        <v>38.5</v>
      </c>
      <c r="AH9"/>
    </row>
    <row r="10" spans="1:34" s="1" customFormat="1" ht="15.75" hidden="1" thickBot="1" x14ac:dyDescent="0.3">
      <c r="A10" s="82" t="s">
        <v>45</v>
      </c>
      <c r="B10" s="82" t="str">
        <f t="shared" si="1"/>
        <v>Barraqueiro Transportes, S.A.</v>
      </c>
      <c r="C10" s="82" t="str">
        <f t="shared" si="2"/>
        <v>X</v>
      </c>
      <c r="D10" s="228">
        <v>2022</v>
      </c>
      <c r="E10" s="82" t="s">
        <v>1653</v>
      </c>
      <c r="F10" s="82" t="s">
        <v>1745</v>
      </c>
      <c r="G10" s="82" t="s">
        <v>1746</v>
      </c>
      <c r="H10" s="227" t="s">
        <v>1864</v>
      </c>
      <c r="I10" s="227" t="s">
        <v>3109</v>
      </c>
      <c r="J10" s="272">
        <v>4</v>
      </c>
      <c r="K10" s="82" t="s">
        <v>586</v>
      </c>
      <c r="L10" s="228"/>
      <c r="M10" s="173">
        <v>44</v>
      </c>
      <c r="N10" s="173">
        <f t="shared" si="3"/>
        <v>176</v>
      </c>
      <c r="O10" s="82" t="s">
        <v>1747</v>
      </c>
      <c r="P10" s="82" t="s">
        <v>1748</v>
      </c>
      <c r="Q10" s="173">
        <f t="shared" si="0"/>
        <v>3.1</v>
      </c>
      <c r="R10" s="171">
        <f t="shared" si="4"/>
        <v>545.6</v>
      </c>
      <c r="S10" s="171" t="s">
        <v>1894</v>
      </c>
      <c r="T10" s="82" t="s">
        <v>1752</v>
      </c>
      <c r="U10" s="82" t="s">
        <v>1764</v>
      </c>
      <c r="V10" s="82" t="s">
        <v>1758</v>
      </c>
      <c r="W10" s="250" t="s">
        <v>3499</v>
      </c>
      <c r="X10" s="250" t="s">
        <v>3504</v>
      </c>
      <c r="Y10"/>
      <c r="Z10" s="167" t="s">
        <v>1773</v>
      </c>
      <c r="AA10" s="170">
        <v>64.099999999999994</v>
      </c>
      <c r="AB10" s="170">
        <v>30.3</v>
      </c>
      <c r="AC10" s="170">
        <v>41.9</v>
      </c>
      <c r="AD10" s="170">
        <v>15.7</v>
      </c>
      <c r="AE10" s="170">
        <v>125</v>
      </c>
      <c r="AF10" s="1">
        <v>61.9</v>
      </c>
      <c r="AH10"/>
    </row>
    <row r="11" spans="1:34" s="1" customFormat="1" ht="15.75" hidden="1" thickBot="1" x14ac:dyDescent="0.3">
      <c r="A11" s="82" t="s">
        <v>45</v>
      </c>
      <c r="B11" s="82" t="str">
        <f t="shared" si="1"/>
        <v>Barraqueiro Transportes, S.A.</v>
      </c>
      <c r="C11" s="82" t="str">
        <f t="shared" si="2"/>
        <v>X</v>
      </c>
      <c r="D11" s="228">
        <v>2022</v>
      </c>
      <c r="E11" s="82" t="s">
        <v>1653</v>
      </c>
      <c r="F11" s="82" t="s">
        <v>1745</v>
      </c>
      <c r="G11" s="82" t="s">
        <v>1746</v>
      </c>
      <c r="H11" s="227" t="s">
        <v>1864</v>
      </c>
      <c r="I11" s="227" t="s">
        <v>3109</v>
      </c>
      <c r="J11" s="272">
        <v>4</v>
      </c>
      <c r="K11" s="82" t="s">
        <v>586</v>
      </c>
      <c r="L11" s="228"/>
      <c r="M11" s="173">
        <v>44</v>
      </c>
      <c r="N11" s="173">
        <f t="shared" si="3"/>
        <v>176</v>
      </c>
      <c r="O11" s="82" t="s">
        <v>1747</v>
      </c>
      <c r="P11" s="82" t="s">
        <v>1748</v>
      </c>
      <c r="Q11" s="173">
        <f t="shared" si="0"/>
        <v>8.1999999999999993</v>
      </c>
      <c r="R11" s="171">
        <f t="shared" si="4"/>
        <v>1443.1999999999998</v>
      </c>
      <c r="S11" s="171" t="s">
        <v>1894</v>
      </c>
      <c r="T11" s="82" t="s">
        <v>1751</v>
      </c>
      <c r="U11" s="82" t="s">
        <v>1765</v>
      </c>
      <c r="V11" s="82" t="s">
        <v>1758</v>
      </c>
      <c r="W11" s="250" t="s">
        <v>3499</v>
      </c>
      <c r="X11" s="250" t="s">
        <v>3504</v>
      </c>
      <c r="Y11"/>
      <c r="Z11"/>
      <c r="AH11"/>
    </row>
    <row r="12" spans="1:34" s="1" customFormat="1" ht="15.75" hidden="1" thickBot="1" x14ac:dyDescent="0.3">
      <c r="A12" s="82" t="s">
        <v>45</v>
      </c>
      <c r="B12" s="82" t="str">
        <f t="shared" si="1"/>
        <v>Barraqueiro Transportes, S.A.</v>
      </c>
      <c r="C12" s="82" t="str">
        <f t="shared" si="2"/>
        <v>X</v>
      </c>
      <c r="D12" s="228">
        <v>2022</v>
      </c>
      <c r="E12" s="82" t="s">
        <v>1653</v>
      </c>
      <c r="F12" s="82" t="s">
        <v>1745</v>
      </c>
      <c r="G12" s="82" t="s">
        <v>1746</v>
      </c>
      <c r="H12" s="227" t="s">
        <v>1864</v>
      </c>
      <c r="I12" s="227" t="s">
        <v>3109</v>
      </c>
      <c r="J12" s="272">
        <v>5</v>
      </c>
      <c r="K12" s="82" t="s">
        <v>586</v>
      </c>
      <c r="L12" s="228"/>
      <c r="M12" s="173">
        <v>44</v>
      </c>
      <c r="N12" s="173">
        <f t="shared" si="3"/>
        <v>220</v>
      </c>
      <c r="O12" s="82" t="s">
        <v>1747</v>
      </c>
      <c r="P12" s="82" t="s">
        <v>1748</v>
      </c>
      <c r="Q12" s="173">
        <f t="shared" si="0"/>
        <v>39.9</v>
      </c>
      <c r="R12" s="171">
        <f t="shared" si="4"/>
        <v>8778</v>
      </c>
      <c r="S12" s="171" t="s">
        <v>1894</v>
      </c>
      <c r="T12" s="82" t="s">
        <v>1754</v>
      </c>
      <c r="U12" s="82" t="s">
        <v>1764</v>
      </c>
      <c r="V12" s="82" t="s">
        <v>1758</v>
      </c>
      <c r="W12" s="250" t="s">
        <v>3499</v>
      </c>
      <c r="X12" s="250" t="s">
        <v>3504</v>
      </c>
      <c r="Y12"/>
      <c r="Z12"/>
      <c r="AH12"/>
    </row>
    <row r="13" spans="1:34" s="1" customFormat="1" ht="15.75" hidden="1" thickBot="1" x14ac:dyDescent="0.3">
      <c r="A13" s="82" t="s">
        <v>45</v>
      </c>
      <c r="B13" s="82" t="str">
        <f t="shared" si="1"/>
        <v>Barraqueiro Transportes, S.A.</v>
      </c>
      <c r="C13" s="82" t="str">
        <f t="shared" si="2"/>
        <v>X</v>
      </c>
      <c r="D13" s="228">
        <v>2022</v>
      </c>
      <c r="E13" s="82" t="s">
        <v>1653</v>
      </c>
      <c r="F13" s="82" t="s">
        <v>1745</v>
      </c>
      <c r="G13" s="82" t="s">
        <v>1746</v>
      </c>
      <c r="H13" s="227" t="s">
        <v>1864</v>
      </c>
      <c r="I13" s="227" t="s">
        <v>3109</v>
      </c>
      <c r="J13" s="272">
        <v>1</v>
      </c>
      <c r="K13" s="82" t="s">
        <v>586</v>
      </c>
      <c r="L13" s="228"/>
      <c r="M13" s="173">
        <v>17.5</v>
      </c>
      <c r="N13" s="173">
        <f t="shared" si="3"/>
        <v>17.5</v>
      </c>
      <c r="O13" s="82" t="s">
        <v>1747</v>
      </c>
      <c r="P13" s="82" t="s">
        <v>1748</v>
      </c>
      <c r="Q13" s="173">
        <f t="shared" si="0"/>
        <v>8.1999999999999993</v>
      </c>
      <c r="R13" s="171">
        <f t="shared" si="4"/>
        <v>143.5</v>
      </c>
      <c r="S13" s="171" t="s">
        <v>1894</v>
      </c>
      <c r="T13" s="82" t="s">
        <v>1754</v>
      </c>
      <c r="U13" s="82" t="s">
        <v>1766</v>
      </c>
      <c r="V13" s="82" t="s">
        <v>1762</v>
      </c>
      <c r="W13" s="250" t="s">
        <v>3499</v>
      </c>
      <c r="X13" s="250" t="s">
        <v>3504</v>
      </c>
      <c r="Y13"/>
      <c r="Z13"/>
      <c r="AH13"/>
    </row>
    <row r="14" spans="1:34" s="1" customFormat="1" ht="15.75" hidden="1" thickBot="1" x14ac:dyDescent="0.3">
      <c r="A14" s="82" t="s">
        <v>45</v>
      </c>
      <c r="B14" s="82" t="str">
        <f t="shared" si="1"/>
        <v>Barraqueiro Transportes, S.A.</v>
      </c>
      <c r="C14" s="82" t="str">
        <f t="shared" si="2"/>
        <v>X</v>
      </c>
      <c r="D14" s="228">
        <v>2022</v>
      </c>
      <c r="E14" s="82" t="s">
        <v>1653</v>
      </c>
      <c r="F14" s="82" t="s">
        <v>1745</v>
      </c>
      <c r="G14" s="82" t="s">
        <v>1746</v>
      </c>
      <c r="H14" s="227" t="s">
        <v>1864</v>
      </c>
      <c r="I14" s="227" t="s">
        <v>3109</v>
      </c>
      <c r="J14" s="272">
        <v>8</v>
      </c>
      <c r="K14" s="82" t="s">
        <v>586</v>
      </c>
      <c r="L14" s="228"/>
      <c r="M14" s="173">
        <v>32</v>
      </c>
      <c r="N14" s="173">
        <f t="shared" si="3"/>
        <v>256</v>
      </c>
      <c r="O14" s="82" t="s">
        <v>1747</v>
      </c>
      <c r="P14" s="82" t="s">
        <v>1748</v>
      </c>
      <c r="Q14" s="173">
        <f t="shared" si="0"/>
        <v>41</v>
      </c>
      <c r="R14" s="171">
        <f t="shared" si="4"/>
        <v>10496</v>
      </c>
      <c r="S14" s="171" t="s">
        <v>1894</v>
      </c>
      <c r="T14" s="82" t="s">
        <v>1752</v>
      </c>
      <c r="U14" s="82" t="s">
        <v>1765</v>
      </c>
      <c r="V14" s="82" t="s">
        <v>1755</v>
      </c>
      <c r="W14" s="250" t="s">
        <v>3499</v>
      </c>
      <c r="X14" s="250" t="s">
        <v>3504</v>
      </c>
      <c r="Y14"/>
      <c r="Z14"/>
      <c r="AH14"/>
    </row>
    <row r="15" spans="1:34" s="1" customFormat="1" ht="15.75" hidden="1" thickBot="1" x14ac:dyDescent="0.3">
      <c r="A15" s="82" t="s">
        <v>45</v>
      </c>
      <c r="B15" s="82" t="str">
        <f t="shared" si="1"/>
        <v>Barraqueiro Transportes, S.A.</v>
      </c>
      <c r="C15" s="82" t="str">
        <f t="shared" si="2"/>
        <v>X</v>
      </c>
      <c r="D15" s="228">
        <v>2022</v>
      </c>
      <c r="E15" s="82" t="s">
        <v>1653</v>
      </c>
      <c r="F15" s="82" t="s">
        <v>1745</v>
      </c>
      <c r="G15" s="82" t="s">
        <v>1746</v>
      </c>
      <c r="H15" s="227" t="s">
        <v>1864</v>
      </c>
      <c r="I15" s="227" t="s">
        <v>3109</v>
      </c>
      <c r="J15" s="272">
        <v>18</v>
      </c>
      <c r="K15" s="82" t="s">
        <v>586</v>
      </c>
      <c r="L15" s="228"/>
      <c r="M15" s="173">
        <v>32</v>
      </c>
      <c r="N15" s="173">
        <f t="shared" si="3"/>
        <v>576</v>
      </c>
      <c r="O15" s="82" t="s">
        <v>1747</v>
      </c>
      <c r="P15" s="82" t="s">
        <v>1748</v>
      </c>
      <c r="Q15" s="173">
        <f t="shared" si="0"/>
        <v>39.9</v>
      </c>
      <c r="R15" s="171">
        <f t="shared" si="4"/>
        <v>22982.399999999998</v>
      </c>
      <c r="S15" s="171" t="s">
        <v>1894</v>
      </c>
      <c r="T15" s="82" t="s">
        <v>1754</v>
      </c>
      <c r="U15" s="82" t="s">
        <v>1764</v>
      </c>
      <c r="V15" s="82" t="s">
        <v>1755</v>
      </c>
      <c r="W15" s="250" t="s">
        <v>3499</v>
      </c>
      <c r="X15" s="250" t="s">
        <v>3504</v>
      </c>
      <c r="Y15"/>
      <c r="Z15"/>
      <c r="AH15"/>
    </row>
    <row r="16" spans="1:34" s="1" customFormat="1" ht="15.75" hidden="1" thickBot="1" x14ac:dyDescent="0.3">
      <c r="A16" s="82" t="s">
        <v>45</v>
      </c>
      <c r="B16" s="82" t="str">
        <f t="shared" si="1"/>
        <v>Barraqueiro Transportes, S.A.</v>
      </c>
      <c r="C16" s="82" t="str">
        <f t="shared" si="2"/>
        <v>X</v>
      </c>
      <c r="D16" s="228">
        <v>2022</v>
      </c>
      <c r="E16" s="82" t="s">
        <v>1653</v>
      </c>
      <c r="F16" s="82" t="s">
        <v>1745</v>
      </c>
      <c r="G16" s="82" t="s">
        <v>1746</v>
      </c>
      <c r="H16" s="227" t="s">
        <v>1864</v>
      </c>
      <c r="I16" s="227" t="s">
        <v>3109</v>
      </c>
      <c r="J16" s="272">
        <v>5</v>
      </c>
      <c r="K16" s="82" t="s">
        <v>586</v>
      </c>
      <c r="L16" s="228"/>
      <c r="M16" s="173">
        <v>29</v>
      </c>
      <c r="N16" s="173">
        <f t="shared" si="3"/>
        <v>145</v>
      </c>
      <c r="O16" s="82" t="s">
        <v>1747</v>
      </c>
      <c r="P16" s="82" t="s">
        <v>1748</v>
      </c>
      <c r="Q16" s="173">
        <f t="shared" si="0"/>
        <v>8.1999999999999993</v>
      </c>
      <c r="R16" s="171">
        <f t="shared" si="4"/>
        <v>1189</v>
      </c>
      <c r="S16" s="171" t="s">
        <v>1894</v>
      </c>
      <c r="T16" s="82" t="s">
        <v>1751</v>
      </c>
      <c r="U16" s="82" t="s">
        <v>1765</v>
      </c>
      <c r="V16" s="82" t="s">
        <v>1757</v>
      </c>
      <c r="W16" s="250" t="s">
        <v>3499</v>
      </c>
      <c r="X16" s="250" t="s">
        <v>3504</v>
      </c>
      <c r="Y16"/>
      <c r="Z16"/>
      <c r="AH16"/>
    </row>
    <row r="17" spans="1:34" s="1" customFormat="1" ht="15.75" hidden="1" thickBot="1" x14ac:dyDescent="0.3">
      <c r="A17" s="82" t="s">
        <v>45</v>
      </c>
      <c r="B17" s="82" t="str">
        <f t="shared" si="1"/>
        <v>Barraqueiro Transportes, S.A.</v>
      </c>
      <c r="C17" s="82" t="str">
        <f t="shared" si="2"/>
        <v>X</v>
      </c>
      <c r="D17" s="228">
        <v>2022</v>
      </c>
      <c r="E17" s="82" t="s">
        <v>1653</v>
      </c>
      <c r="F17" s="82" t="s">
        <v>1745</v>
      </c>
      <c r="G17" s="82" t="s">
        <v>1746</v>
      </c>
      <c r="H17" s="227" t="s">
        <v>1864</v>
      </c>
      <c r="I17" s="227" t="s">
        <v>3109</v>
      </c>
      <c r="J17" s="272">
        <v>8</v>
      </c>
      <c r="K17" s="82" t="s">
        <v>586</v>
      </c>
      <c r="L17" s="228"/>
      <c r="M17" s="173">
        <v>29</v>
      </c>
      <c r="N17" s="173">
        <f t="shared" si="3"/>
        <v>232</v>
      </c>
      <c r="O17" s="82" t="s">
        <v>1747</v>
      </c>
      <c r="P17" s="82" t="s">
        <v>1748</v>
      </c>
      <c r="Q17" s="173">
        <f t="shared" si="0"/>
        <v>8.1999999999999993</v>
      </c>
      <c r="R17" s="171">
        <f t="shared" si="4"/>
        <v>1902.3999999999999</v>
      </c>
      <c r="S17" s="171" t="s">
        <v>1894</v>
      </c>
      <c r="T17" s="82" t="s">
        <v>1754</v>
      </c>
      <c r="U17" s="82" t="s">
        <v>1765</v>
      </c>
      <c r="V17" s="82" t="s">
        <v>1757</v>
      </c>
      <c r="W17" s="250" t="s">
        <v>3499</v>
      </c>
      <c r="X17" s="250" t="s">
        <v>3504</v>
      </c>
      <c r="Y17"/>
      <c r="Z17" t="s">
        <v>1864</v>
      </c>
      <c r="AH17"/>
    </row>
    <row r="18" spans="1:34" s="1" customFormat="1" ht="15.75" hidden="1" thickBot="1" x14ac:dyDescent="0.3">
      <c r="A18" s="82" t="s">
        <v>45</v>
      </c>
      <c r="B18" s="82" t="str">
        <f t="shared" si="1"/>
        <v>Barraqueiro Transportes, S.A.</v>
      </c>
      <c r="C18" s="82" t="str">
        <f t="shared" si="2"/>
        <v>X</v>
      </c>
      <c r="D18" s="228">
        <v>2022</v>
      </c>
      <c r="E18" s="82" t="s">
        <v>1653</v>
      </c>
      <c r="F18" s="82" t="s">
        <v>1745</v>
      </c>
      <c r="G18" s="82" t="s">
        <v>1746</v>
      </c>
      <c r="H18" s="227" t="s">
        <v>1864</v>
      </c>
      <c r="I18" s="227" t="s">
        <v>3109</v>
      </c>
      <c r="J18" s="272">
        <v>4</v>
      </c>
      <c r="K18" s="82" t="s">
        <v>586</v>
      </c>
      <c r="L18" s="228"/>
      <c r="M18" s="173">
        <v>12.5</v>
      </c>
      <c r="N18" s="173">
        <f t="shared" si="3"/>
        <v>50</v>
      </c>
      <c r="O18" s="82" t="s">
        <v>1747</v>
      </c>
      <c r="P18" s="82" t="s">
        <v>1748</v>
      </c>
      <c r="Q18" s="173">
        <f t="shared" si="0"/>
        <v>4.2</v>
      </c>
      <c r="R18" s="171">
        <f t="shared" si="4"/>
        <v>210</v>
      </c>
      <c r="S18" s="171" t="s">
        <v>1894</v>
      </c>
      <c r="T18" s="82" t="s">
        <v>1753</v>
      </c>
      <c r="U18" s="82" t="s">
        <v>1766</v>
      </c>
      <c r="V18" s="82" t="s">
        <v>1760</v>
      </c>
      <c r="W18" s="250" t="s">
        <v>3499</v>
      </c>
      <c r="X18" s="250" t="s">
        <v>3504</v>
      </c>
      <c r="Y18"/>
      <c r="Z18"/>
      <c r="AH18"/>
    </row>
    <row r="19" spans="1:34" s="1" customFormat="1" ht="15.75" hidden="1" thickBot="1" x14ac:dyDescent="0.3">
      <c r="A19" s="82" t="s">
        <v>45</v>
      </c>
      <c r="B19" s="82" t="str">
        <f t="shared" si="1"/>
        <v>Barraqueiro Transportes, S.A.</v>
      </c>
      <c r="C19" s="82" t="str">
        <f t="shared" si="2"/>
        <v>X</v>
      </c>
      <c r="D19" s="228">
        <v>2022</v>
      </c>
      <c r="E19" s="82" t="s">
        <v>1653</v>
      </c>
      <c r="F19" s="82" t="s">
        <v>1745</v>
      </c>
      <c r="G19" s="82" t="s">
        <v>1746</v>
      </c>
      <c r="H19" s="227" t="s">
        <v>1864</v>
      </c>
      <c r="I19" s="227" t="s">
        <v>3109</v>
      </c>
      <c r="J19" s="272">
        <v>6</v>
      </c>
      <c r="K19" s="82" t="s">
        <v>586</v>
      </c>
      <c r="L19" s="228"/>
      <c r="M19" s="173">
        <v>12.5</v>
      </c>
      <c r="N19" s="173">
        <f t="shared" si="3"/>
        <v>75</v>
      </c>
      <c r="O19" s="82" t="s">
        <v>1747</v>
      </c>
      <c r="P19" s="82" t="s">
        <v>1748</v>
      </c>
      <c r="Q19" s="173">
        <f t="shared" si="0"/>
        <v>8.1999999999999993</v>
      </c>
      <c r="R19" s="171">
        <f t="shared" si="4"/>
        <v>615</v>
      </c>
      <c r="S19" s="171" t="s">
        <v>1894</v>
      </c>
      <c r="T19" s="82" t="s">
        <v>1754</v>
      </c>
      <c r="U19" s="82" t="s">
        <v>1766</v>
      </c>
      <c r="V19" s="82" t="s">
        <v>1760</v>
      </c>
      <c r="W19" s="250" t="s">
        <v>3499</v>
      </c>
      <c r="X19" s="250" t="s">
        <v>3504</v>
      </c>
      <c r="Y19"/>
      <c r="Z19"/>
      <c r="AH19"/>
    </row>
    <row r="20" spans="1:34" s="1" customFormat="1" ht="15.75" hidden="1" thickBot="1" x14ac:dyDescent="0.3">
      <c r="A20" s="82" t="s">
        <v>45</v>
      </c>
      <c r="B20" s="82" t="str">
        <f t="shared" si="1"/>
        <v>Barraqueiro Transportes, S.A.</v>
      </c>
      <c r="C20" s="82" t="str">
        <f t="shared" si="2"/>
        <v>X</v>
      </c>
      <c r="D20" s="228">
        <v>2022</v>
      </c>
      <c r="E20" s="82" t="s">
        <v>1653</v>
      </c>
      <c r="F20" s="82" t="s">
        <v>1745</v>
      </c>
      <c r="G20" s="82" t="s">
        <v>1746</v>
      </c>
      <c r="H20" s="227" t="s">
        <v>1864</v>
      </c>
      <c r="I20" s="227" t="s">
        <v>3109</v>
      </c>
      <c r="J20" s="272">
        <v>6</v>
      </c>
      <c r="K20" s="82" t="s">
        <v>586</v>
      </c>
      <c r="L20" s="228"/>
      <c r="M20" s="173">
        <v>29</v>
      </c>
      <c r="N20" s="173">
        <f t="shared" si="3"/>
        <v>174</v>
      </c>
      <c r="O20" s="82" t="s">
        <v>1747</v>
      </c>
      <c r="P20" s="82" t="s">
        <v>1748</v>
      </c>
      <c r="Q20" s="173">
        <f t="shared" si="0"/>
        <v>8.1999999999999993</v>
      </c>
      <c r="R20" s="171">
        <f t="shared" si="4"/>
        <v>1426.8</v>
      </c>
      <c r="S20" s="171" t="s">
        <v>1894</v>
      </c>
      <c r="T20" s="82" t="s">
        <v>1754</v>
      </c>
      <c r="U20" s="82" t="s">
        <v>1765</v>
      </c>
      <c r="V20" s="82" t="s">
        <v>1757</v>
      </c>
      <c r="W20" s="250" t="s">
        <v>3499</v>
      </c>
      <c r="X20" s="250" t="s">
        <v>3504</v>
      </c>
      <c r="Y20"/>
      <c r="Z20"/>
      <c r="AH20"/>
    </row>
    <row r="21" spans="1:34" s="1" customFormat="1" ht="15.75" hidden="1" thickBot="1" x14ac:dyDescent="0.3">
      <c r="A21" s="82" t="s">
        <v>45</v>
      </c>
      <c r="B21" s="82" t="str">
        <f t="shared" si="1"/>
        <v>Barraqueiro Transportes, S.A.</v>
      </c>
      <c r="C21" s="82" t="str">
        <f t="shared" si="2"/>
        <v>X</v>
      </c>
      <c r="D21" s="228">
        <v>2022</v>
      </c>
      <c r="E21" s="82" t="s">
        <v>1653</v>
      </c>
      <c r="F21" s="82" t="s">
        <v>1745</v>
      </c>
      <c r="G21" s="82" t="s">
        <v>1746</v>
      </c>
      <c r="H21" s="227" t="s">
        <v>1864</v>
      </c>
      <c r="I21" s="227" t="s">
        <v>3109</v>
      </c>
      <c r="J21" s="272">
        <v>1</v>
      </c>
      <c r="K21" s="82" t="s">
        <v>586</v>
      </c>
      <c r="L21" s="228"/>
      <c r="M21" s="173">
        <v>26.5</v>
      </c>
      <c r="N21" s="173">
        <f t="shared" si="3"/>
        <v>26.5</v>
      </c>
      <c r="O21" s="82" t="s">
        <v>1747</v>
      </c>
      <c r="P21" s="82" t="s">
        <v>1748</v>
      </c>
      <c r="Q21" s="173">
        <f t="shared" si="0"/>
        <v>5.8</v>
      </c>
      <c r="R21" s="171">
        <f t="shared" si="4"/>
        <v>153.69999999999999</v>
      </c>
      <c r="S21" s="171" t="s">
        <v>1894</v>
      </c>
      <c r="T21" s="82" t="s">
        <v>1750</v>
      </c>
      <c r="U21" s="82" t="s">
        <v>1765</v>
      </c>
      <c r="V21" s="82" t="s">
        <v>1756</v>
      </c>
      <c r="W21" s="250" t="s">
        <v>3499</v>
      </c>
      <c r="X21" s="250" t="s">
        <v>3504</v>
      </c>
      <c r="Y21"/>
      <c r="Z21"/>
      <c r="AH21"/>
    </row>
    <row r="22" spans="1:34" s="1" customFormat="1" ht="15.75" hidden="1" thickBot="1" x14ac:dyDescent="0.3">
      <c r="A22" s="82" t="s">
        <v>45</v>
      </c>
      <c r="B22" s="82" t="str">
        <f t="shared" si="1"/>
        <v>Barraqueiro Transportes, S.A.</v>
      </c>
      <c r="C22" s="82" t="str">
        <f t="shared" si="2"/>
        <v>X</v>
      </c>
      <c r="D22" s="228">
        <v>2022</v>
      </c>
      <c r="E22" s="82" t="s">
        <v>1653</v>
      </c>
      <c r="F22" s="82" t="s">
        <v>1745</v>
      </c>
      <c r="G22" s="82" t="s">
        <v>1746</v>
      </c>
      <c r="H22" s="227" t="s">
        <v>1864</v>
      </c>
      <c r="I22" s="227" t="s">
        <v>3109</v>
      </c>
      <c r="J22" s="272">
        <v>2</v>
      </c>
      <c r="K22" s="82" t="s">
        <v>586</v>
      </c>
      <c r="L22" s="228"/>
      <c r="M22" s="173">
        <v>19</v>
      </c>
      <c r="N22" s="173">
        <f t="shared" si="3"/>
        <v>38</v>
      </c>
      <c r="O22" s="82" t="s">
        <v>1747</v>
      </c>
      <c r="P22" s="82" t="s">
        <v>1748</v>
      </c>
      <c r="Q22" s="173">
        <f t="shared" si="0"/>
        <v>8.1999999999999993</v>
      </c>
      <c r="R22" s="171">
        <f t="shared" si="4"/>
        <v>311.59999999999997</v>
      </c>
      <c r="S22" s="171" t="s">
        <v>1894</v>
      </c>
      <c r="T22" s="82" t="s">
        <v>1754</v>
      </c>
      <c r="U22" s="82" t="s">
        <v>1766</v>
      </c>
      <c r="V22" s="82" t="s">
        <v>1763</v>
      </c>
      <c r="W22" s="250" t="s">
        <v>3499</v>
      </c>
      <c r="X22" s="250" t="s">
        <v>3504</v>
      </c>
      <c r="Y22"/>
      <c r="Z22"/>
      <c r="AH22"/>
    </row>
    <row r="23" spans="1:34" s="1" customFormat="1" ht="15.75" hidden="1" thickBot="1" x14ac:dyDescent="0.3">
      <c r="A23" s="82" t="s">
        <v>45</v>
      </c>
      <c r="B23" s="82" t="str">
        <f t="shared" si="1"/>
        <v>Barraqueiro Transportes, S.A.</v>
      </c>
      <c r="C23" s="82" t="str">
        <f t="shared" si="2"/>
        <v>X</v>
      </c>
      <c r="D23" s="228">
        <v>2022</v>
      </c>
      <c r="E23" s="82" t="s">
        <v>1653</v>
      </c>
      <c r="F23" s="82" t="s">
        <v>1745</v>
      </c>
      <c r="G23" s="82" t="s">
        <v>1746</v>
      </c>
      <c r="H23" s="227" t="s">
        <v>1864</v>
      </c>
      <c r="I23" s="227" t="s">
        <v>3109</v>
      </c>
      <c r="J23" s="123">
        <v>2</v>
      </c>
      <c r="K23" s="82" t="s">
        <v>586</v>
      </c>
      <c r="L23" s="228"/>
      <c r="M23" s="173">
        <v>11</v>
      </c>
      <c r="N23" s="173">
        <f t="shared" si="3"/>
        <v>22</v>
      </c>
      <c r="O23" s="82" t="s">
        <v>1747</v>
      </c>
      <c r="P23" s="82" t="s">
        <v>1748</v>
      </c>
      <c r="Q23" s="173">
        <f t="shared" si="0"/>
        <v>8.1999999999999993</v>
      </c>
      <c r="R23" s="171">
        <f t="shared" si="4"/>
        <v>180.39999999999998</v>
      </c>
      <c r="S23" s="171" t="s">
        <v>1894</v>
      </c>
      <c r="T23" s="83" t="s">
        <v>1754</v>
      </c>
      <c r="U23" s="82" t="s">
        <v>1766</v>
      </c>
      <c r="V23" s="82" t="s">
        <v>1761</v>
      </c>
      <c r="W23" s="250" t="s">
        <v>3499</v>
      </c>
      <c r="X23" s="250" t="s">
        <v>3504</v>
      </c>
      <c r="Y23"/>
      <c r="Z23"/>
      <c r="AH23"/>
    </row>
    <row r="24" spans="1:34" s="1" customFormat="1" ht="15.75" hidden="1" thickBot="1" x14ac:dyDescent="0.3">
      <c r="A24" s="82" t="s">
        <v>45</v>
      </c>
      <c r="B24" s="82" t="str">
        <f t="shared" si="1"/>
        <v>Barraqueiro Transportes, S.A.</v>
      </c>
      <c r="C24" s="82" t="str">
        <f t="shared" si="2"/>
        <v>X</v>
      </c>
      <c r="D24" s="228">
        <v>2022</v>
      </c>
      <c r="E24" s="82" t="s">
        <v>1681</v>
      </c>
      <c r="F24" s="82" t="s">
        <v>1745</v>
      </c>
      <c r="G24" s="82" t="s">
        <v>1746</v>
      </c>
      <c r="H24" s="227" t="s">
        <v>1864</v>
      </c>
      <c r="I24" s="227" t="s">
        <v>3109</v>
      </c>
      <c r="J24" s="123">
        <v>16</v>
      </c>
      <c r="K24" s="82" t="s">
        <v>586</v>
      </c>
      <c r="L24" s="228"/>
      <c r="M24" s="175">
        <v>32.5</v>
      </c>
      <c r="N24" s="173">
        <f t="shared" si="3"/>
        <v>520</v>
      </c>
      <c r="O24" s="82" t="s">
        <v>1747</v>
      </c>
      <c r="P24" s="82" t="s">
        <v>1748</v>
      </c>
      <c r="Q24" s="173">
        <f t="array" ref="Q24">INDEX($AA$8:$AF$10,MATCH(U24,$Z$8:$Z$10,0),MATCH(T24,$AA$7:$AF$7,0))</f>
        <v>33.1</v>
      </c>
      <c r="R24" s="171">
        <f>Q24*N24</f>
        <v>17212</v>
      </c>
      <c r="S24" s="171" t="s">
        <v>1894</v>
      </c>
      <c r="T24" s="83" t="s">
        <v>1774</v>
      </c>
      <c r="U24" s="82" t="s">
        <v>1771</v>
      </c>
      <c r="V24" s="82" t="s">
        <v>1781</v>
      </c>
      <c r="W24" s="250" t="s">
        <v>3499</v>
      </c>
      <c r="X24" s="250" t="s">
        <v>3504</v>
      </c>
      <c r="Y24"/>
      <c r="Z24"/>
      <c r="AH24"/>
    </row>
    <row r="25" spans="1:34" s="1" customFormat="1" ht="15.75" hidden="1" thickBot="1" x14ac:dyDescent="0.3">
      <c r="A25" s="82" t="s">
        <v>45</v>
      </c>
      <c r="B25" s="82" t="str">
        <f t="shared" si="1"/>
        <v>Barraqueiro Transportes, S.A.</v>
      </c>
      <c r="C25" s="82" t="str">
        <f t="shared" si="2"/>
        <v>X</v>
      </c>
      <c r="D25" s="228">
        <v>2022</v>
      </c>
      <c r="E25" s="82" t="s">
        <v>1681</v>
      </c>
      <c r="F25" s="82" t="s">
        <v>1745</v>
      </c>
      <c r="G25" s="82" t="s">
        <v>1746</v>
      </c>
      <c r="H25" s="227" t="s">
        <v>1864</v>
      </c>
      <c r="I25" s="227" t="s">
        <v>3109</v>
      </c>
      <c r="J25" s="123">
        <v>28</v>
      </c>
      <c r="K25" s="82" t="s">
        <v>586</v>
      </c>
      <c r="L25" s="228"/>
      <c r="M25" s="175">
        <v>38.5</v>
      </c>
      <c r="N25" s="173">
        <f t="shared" si="3"/>
        <v>1078</v>
      </c>
      <c r="O25" s="82" t="s">
        <v>1747</v>
      </c>
      <c r="P25" s="82" t="s">
        <v>1748</v>
      </c>
      <c r="Q25" s="173">
        <f t="array" ref="Q25">INDEX($AA$8:$AF$10,MATCH(U25,$Z$8:$Z$10,0),MATCH(T25,$AA$7:$AF$7,0))</f>
        <v>33.1</v>
      </c>
      <c r="R25" s="171">
        <f t="shared" ref="R25:R57" si="5">Q25*N25</f>
        <v>35681.800000000003</v>
      </c>
      <c r="S25" s="171" t="s">
        <v>1894</v>
      </c>
      <c r="T25" s="83" t="s">
        <v>1774</v>
      </c>
      <c r="U25" s="82" t="s">
        <v>1771</v>
      </c>
      <c r="V25" s="82" t="s">
        <v>1782</v>
      </c>
      <c r="W25" s="250" t="s">
        <v>3499</v>
      </c>
      <c r="X25" s="250" t="s">
        <v>3504</v>
      </c>
      <c r="Y25"/>
      <c r="Z25"/>
      <c r="AH25"/>
    </row>
    <row r="26" spans="1:34" s="1" customFormat="1" ht="15.75" hidden="1" thickBot="1" x14ac:dyDescent="0.3">
      <c r="A26" s="82" t="s">
        <v>45</v>
      </c>
      <c r="B26" s="82" t="str">
        <f t="shared" si="1"/>
        <v>Barraqueiro Transportes, S.A.</v>
      </c>
      <c r="C26" s="82" t="str">
        <f t="shared" si="2"/>
        <v>X</v>
      </c>
      <c r="D26" s="228">
        <v>2022</v>
      </c>
      <c r="E26" s="82" t="s">
        <v>1681</v>
      </c>
      <c r="F26" s="82" t="s">
        <v>1745</v>
      </c>
      <c r="G26" s="82" t="s">
        <v>1746</v>
      </c>
      <c r="H26" s="227" t="s">
        <v>1864</v>
      </c>
      <c r="I26" s="227" t="s">
        <v>3109</v>
      </c>
      <c r="J26" s="123">
        <v>138</v>
      </c>
      <c r="K26" s="82" t="s">
        <v>586</v>
      </c>
      <c r="L26" s="228"/>
      <c r="M26" s="175">
        <v>63.5</v>
      </c>
      <c r="N26" s="173">
        <f t="shared" si="3"/>
        <v>8763</v>
      </c>
      <c r="O26" s="82" t="s">
        <v>1747</v>
      </c>
      <c r="P26" s="82" t="s">
        <v>1748</v>
      </c>
      <c r="Q26" s="173">
        <f t="array" ref="Q26">INDEX($AA$8:$AF$10,MATCH(U26,$Z$8:$Z$10,0),MATCH(T26,$AA$7:$AF$7,0))</f>
        <v>33.1</v>
      </c>
      <c r="R26" s="171">
        <f t="shared" si="5"/>
        <v>290055.3</v>
      </c>
      <c r="S26" s="171" t="s">
        <v>1894</v>
      </c>
      <c r="T26" s="83" t="s">
        <v>1774</v>
      </c>
      <c r="U26" s="82" t="s">
        <v>1771</v>
      </c>
      <c r="V26" s="82" t="s">
        <v>1783</v>
      </c>
      <c r="W26" s="250" t="s">
        <v>3499</v>
      </c>
      <c r="X26" s="250" t="s">
        <v>3504</v>
      </c>
      <c r="Y26"/>
      <c r="Z26"/>
      <c r="AH26"/>
    </row>
    <row r="27" spans="1:34" s="1" customFormat="1" ht="15.75" hidden="1" thickBot="1" x14ac:dyDescent="0.3">
      <c r="A27" s="82" t="s">
        <v>45</v>
      </c>
      <c r="B27" s="82" t="str">
        <f t="shared" si="1"/>
        <v>Barraqueiro Transportes, S.A.</v>
      </c>
      <c r="C27" s="82" t="str">
        <f t="shared" si="2"/>
        <v>X</v>
      </c>
      <c r="D27" s="228">
        <v>2022</v>
      </c>
      <c r="E27" s="82" t="s">
        <v>1681</v>
      </c>
      <c r="F27" s="82" t="s">
        <v>1745</v>
      </c>
      <c r="G27" s="82" t="s">
        <v>1746</v>
      </c>
      <c r="H27" s="227" t="s">
        <v>1864</v>
      </c>
      <c r="I27" s="227" t="s">
        <v>3109</v>
      </c>
      <c r="J27" s="123">
        <v>4</v>
      </c>
      <c r="K27" s="82" t="s">
        <v>586</v>
      </c>
      <c r="L27" s="228"/>
      <c r="M27" s="175">
        <v>68</v>
      </c>
      <c r="N27" s="173">
        <f t="shared" si="3"/>
        <v>272</v>
      </c>
      <c r="O27" s="82" t="s">
        <v>1747</v>
      </c>
      <c r="P27" s="82" t="s">
        <v>1748</v>
      </c>
      <c r="Q27" s="173">
        <f t="array" ref="Q27">INDEX($AA$8:$AF$10,MATCH(U27,$Z$8:$Z$10,0),MATCH(T27,$AA$7:$AF$7,0))</f>
        <v>33.1</v>
      </c>
      <c r="R27" s="171">
        <f t="shared" si="5"/>
        <v>9003.2000000000007</v>
      </c>
      <c r="S27" s="171" t="s">
        <v>1894</v>
      </c>
      <c r="T27" s="83" t="s">
        <v>1774</v>
      </c>
      <c r="U27" s="82" t="s">
        <v>1771</v>
      </c>
      <c r="V27" s="82" t="s">
        <v>1784</v>
      </c>
      <c r="W27" s="250" t="s">
        <v>3499</v>
      </c>
      <c r="X27" s="250" t="s">
        <v>3504</v>
      </c>
      <c r="Y27"/>
      <c r="Z27"/>
      <c r="AH27"/>
    </row>
    <row r="28" spans="1:34" s="1" customFormat="1" ht="15.75" hidden="1" thickBot="1" x14ac:dyDescent="0.3">
      <c r="A28" s="82" t="s">
        <v>45</v>
      </c>
      <c r="B28" s="82" t="str">
        <f t="shared" si="1"/>
        <v>Barraqueiro Transportes, S.A.</v>
      </c>
      <c r="C28" s="82" t="str">
        <f t="shared" si="2"/>
        <v>X</v>
      </c>
      <c r="D28" s="228">
        <v>2022</v>
      </c>
      <c r="E28" s="82" t="s">
        <v>1681</v>
      </c>
      <c r="F28" s="82" t="s">
        <v>1745</v>
      </c>
      <c r="G28" s="82" t="s">
        <v>1746</v>
      </c>
      <c r="H28" s="227" t="s">
        <v>1864</v>
      </c>
      <c r="I28" s="227" t="s">
        <v>3109</v>
      </c>
      <c r="J28" s="123">
        <v>44</v>
      </c>
      <c r="K28" s="82" t="s">
        <v>586</v>
      </c>
      <c r="L28" s="228"/>
      <c r="M28" s="175">
        <v>63.5</v>
      </c>
      <c r="N28" s="173">
        <f t="shared" si="3"/>
        <v>2794</v>
      </c>
      <c r="O28" s="82" t="s">
        <v>1747</v>
      </c>
      <c r="P28" s="82" t="s">
        <v>1748</v>
      </c>
      <c r="Q28" s="173">
        <f t="array" ref="Q28">INDEX($AA$8:$AF$10,MATCH(U28,$Z$8:$Z$10,0),MATCH(T28,$AA$7:$AF$7,0))</f>
        <v>30.5</v>
      </c>
      <c r="R28" s="171">
        <f t="shared" si="5"/>
        <v>85217</v>
      </c>
      <c r="S28" s="171" t="s">
        <v>1894</v>
      </c>
      <c r="T28" s="83" t="s">
        <v>1775</v>
      </c>
      <c r="U28" s="82" t="s">
        <v>1771</v>
      </c>
      <c r="V28" s="82" t="s">
        <v>1783</v>
      </c>
      <c r="W28" s="250" t="s">
        <v>3499</v>
      </c>
      <c r="X28" s="250" t="s">
        <v>3504</v>
      </c>
      <c r="Y28"/>
      <c r="Z28"/>
      <c r="AH28"/>
    </row>
    <row r="29" spans="1:34" s="1" customFormat="1" ht="15.75" hidden="1" thickBot="1" x14ac:dyDescent="0.3">
      <c r="A29" s="82" t="s">
        <v>45</v>
      </c>
      <c r="B29" s="82" t="str">
        <f t="shared" si="1"/>
        <v>Barraqueiro Transportes, S.A.</v>
      </c>
      <c r="C29" s="82" t="str">
        <f t="shared" si="2"/>
        <v>X</v>
      </c>
      <c r="D29" s="228">
        <v>2022</v>
      </c>
      <c r="E29" s="82" t="s">
        <v>1681</v>
      </c>
      <c r="F29" s="82" t="s">
        <v>1745</v>
      </c>
      <c r="G29" s="82" t="s">
        <v>1746</v>
      </c>
      <c r="H29" s="227" t="s">
        <v>1864</v>
      </c>
      <c r="I29" s="227" t="s">
        <v>3109</v>
      </c>
      <c r="J29" s="123">
        <v>16</v>
      </c>
      <c r="K29" s="82" t="s">
        <v>586</v>
      </c>
      <c r="L29" s="228"/>
      <c r="M29" s="175">
        <v>38.5</v>
      </c>
      <c r="N29" s="173">
        <f t="shared" si="3"/>
        <v>616</v>
      </c>
      <c r="O29" s="82" t="s">
        <v>1747</v>
      </c>
      <c r="P29" s="82" t="s">
        <v>1748</v>
      </c>
      <c r="Q29" s="173">
        <f t="array" ref="Q29">INDEX($AA$8:$AF$10,MATCH(U29,$Z$8:$Z$10,0),MATCH(T29,$AA$7:$AF$7,0))</f>
        <v>16.2</v>
      </c>
      <c r="R29" s="171">
        <f t="shared" si="5"/>
        <v>9979.1999999999989</v>
      </c>
      <c r="S29" s="171" t="s">
        <v>1894</v>
      </c>
      <c r="T29" s="83" t="s">
        <v>1776</v>
      </c>
      <c r="U29" s="82" t="s">
        <v>1771</v>
      </c>
      <c r="V29" s="82" t="s">
        <v>1782</v>
      </c>
      <c r="W29" s="250" t="s">
        <v>3499</v>
      </c>
      <c r="X29" s="250" t="s">
        <v>3504</v>
      </c>
      <c r="Y29"/>
      <c r="Z29"/>
      <c r="AH29"/>
    </row>
    <row r="30" spans="1:34" s="1" customFormat="1" ht="15.75" hidden="1" thickBot="1" x14ac:dyDescent="0.3">
      <c r="A30" s="82" t="s">
        <v>45</v>
      </c>
      <c r="B30" s="82" t="str">
        <f t="shared" si="1"/>
        <v>Barraqueiro Transportes, S.A.</v>
      </c>
      <c r="C30" s="82" t="str">
        <f t="shared" si="2"/>
        <v>X</v>
      </c>
      <c r="D30" s="228">
        <v>2022</v>
      </c>
      <c r="E30" s="82" t="s">
        <v>1681</v>
      </c>
      <c r="F30" s="82" t="s">
        <v>1745</v>
      </c>
      <c r="G30" s="82" t="s">
        <v>1746</v>
      </c>
      <c r="H30" s="227" t="s">
        <v>1864</v>
      </c>
      <c r="I30" s="227" t="s">
        <v>3109</v>
      </c>
      <c r="J30" s="123">
        <v>194</v>
      </c>
      <c r="K30" s="82" t="s">
        <v>586</v>
      </c>
      <c r="L30" s="228"/>
      <c r="M30" s="175">
        <v>63.5</v>
      </c>
      <c r="N30" s="173">
        <f t="shared" si="3"/>
        <v>12319</v>
      </c>
      <c r="O30" s="82" t="s">
        <v>1747</v>
      </c>
      <c r="P30" s="82" t="s">
        <v>1748</v>
      </c>
      <c r="Q30" s="173">
        <f t="array" ref="Q30">INDEX($AA$8:$AF$10,MATCH(U30,$Z$8:$Z$10,0),MATCH(T30,$AA$7:$AF$7,0))</f>
        <v>16.2</v>
      </c>
      <c r="R30" s="171">
        <f t="shared" si="5"/>
        <v>199567.8</v>
      </c>
      <c r="S30" s="171" t="s">
        <v>1894</v>
      </c>
      <c r="T30" s="83" t="s">
        <v>1776</v>
      </c>
      <c r="U30" s="82" t="s">
        <v>1771</v>
      </c>
      <c r="V30" s="82" t="s">
        <v>1783</v>
      </c>
      <c r="W30" s="250" t="s">
        <v>3499</v>
      </c>
      <c r="X30" s="250" t="s">
        <v>3504</v>
      </c>
      <c r="Y30" s="92"/>
      <c r="Z30" s="92"/>
      <c r="AA30" s="169"/>
      <c r="AB30" s="169"/>
      <c r="AC30" s="169"/>
      <c r="AD30" s="169"/>
      <c r="AE30" s="169"/>
      <c r="AH30"/>
    </row>
    <row r="31" spans="1:34" s="1" customFormat="1" ht="15.75" hidden="1" thickBot="1" x14ac:dyDescent="0.3">
      <c r="A31" s="82" t="s">
        <v>45</v>
      </c>
      <c r="B31" s="82" t="str">
        <f t="shared" si="1"/>
        <v>Barraqueiro Transportes, S.A.</v>
      </c>
      <c r="C31" s="82" t="str">
        <f t="shared" si="2"/>
        <v>X</v>
      </c>
      <c r="D31" s="228">
        <v>2022</v>
      </c>
      <c r="E31" s="82" t="s">
        <v>1681</v>
      </c>
      <c r="F31" s="82" t="s">
        <v>1745</v>
      </c>
      <c r="G31" s="82" t="s">
        <v>1746</v>
      </c>
      <c r="H31" s="227" t="s">
        <v>1864</v>
      </c>
      <c r="I31" s="227" t="s">
        <v>3109</v>
      </c>
      <c r="J31" s="123">
        <v>10</v>
      </c>
      <c r="K31" s="82" t="s">
        <v>586</v>
      </c>
      <c r="L31" s="228"/>
      <c r="M31" s="175">
        <v>68</v>
      </c>
      <c r="N31" s="173">
        <f t="shared" si="3"/>
        <v>680</v>
      </c>
      <c r="O31" s="82" t="s">
        <v>1747</v>
      </c>
      <c r="P31" s="82" t="s">
        <v>1748</v>
      </c>
      <c r="Q31" s="173">
        <f t="array" ref="Q31">INDEX($AA$8:$AF$10,MATCH(U31,$Z$8:$Z$10,0),MATCH(T31,$AA$7:$AF$7,0))</f>
        <v>16.2</v>
      </c>
      <c r="R31" s="171">
        <f t="shared" si="5"/>
        <v>11016</v>
      </c>
      <c r="S31" s="171" t="s">
        <v>1894</v>
      </c>
      <c r="T31" s="83" t="s">
        <v>1776</v>
      </c>
      <c r="U31" s="82" t="s">
        <v>1771</v>
      </c>
      <c r="V31" s="82" t="s">
        <v>1784</v>
      </c>
      <c r="W31" s="250" t="s">
        <v>3499</v>
      </c>
      <c r="X31" s="250" t="s">
        <v>3504</v>
      </c>
      <c r="Y31" s="92"/>
      <c r="Z31" s="92"/>
      <c r="AA31" s="169"/>
      <c r="AB31" s="169"/>
      <c r="AC31" s="169"/>
      <c r="AD31" s="169"/>
      <c r="AE31" s="169"/>
      <c r="AH31"/>
    </row>
    <row r="32" spans="1:34" s="1" customFormat="1" ht="15.75" hidden="1" thickBot="1" x14ac:dyDescent="0.3">
      <c r="A32" s="82" t="s">
        <v>45</v>
      </c>
      <c r="B32" s="82" t="str">
        <f t="shared" si="1"/>
        <v>Barraqueiro Transportes, S.A.</v>
      </c>
      <c r="C32" s="82" t="str">
        <f t="shared" si="2"/>
        <v>X</v>
      </c>
      <c r="D32" s="228">
        <v>2022</v>
      </c>
      <c r="E32" s="82" t="s">
        <v>1681</v>
      </c>
      <c r="F32" s="82" t="s">
        <v>1745</v>
      </c>
      <c r="G32" s="82" t="s">
        <v>1746</v>
      </c>
      <c r="H32" s="227" t="s">
        <v>1864</v>
      </c>
      <c r="I32" s="227" t="s">
        <v>3109</v>
      </c>
      <c r="J32" s="123">
        <v>2</v>
      </c>
      <c r="K32" s="82" t="s">
        <v>586</v>
      </c>
      <c r="L32" s="228"/>
      <c r="M32" s="175">
        <v>14</v>
      </c>
      <c r="N32" s="173">
        <f t="shared" si="3"/>
        <v>28</v>
      </c>
      <c r="O32" s="82" t="s">
        <v>1747</v>
      </c>
      <c r="P32" s="82" t="s">
        <v>1748</v>
      </c>
      <c r="Q32" s="173">
        <f t="array" ref="Q32">INDEX($AA$8:$AF$10,MATCH(U32,$Z$8:$Z$10,0),MATCH(T32,$AA$7:$AF$7,0))</f>
        <v>24.5</v>
      </c>
      <c r="R32" s="171">
        <f t="shared" si="5"/>
        <v>686</v>
      </c>
      <c r="S32" s="171" t="s">
        <v>1894</v>
      </c>
      <c r="T32" s="83" t="s">
        <v>1777</v>
      </c>
      <c r="U32" s="82" t="s">
        <v>1771</v>
      </c>
      <c r="V32" s="82" t="s">
        <v>1785</v>
      </c>
      <c r="W32" s="250" t="s">
        <v>3499</v>
      </c>
      <c r="X32" s="250" t="s">
        <v>3504</v>
      </c>
      <c r="Y32" s="92"/>
      <c r="Z32" s="92"/>
      <c r="AA32" s="169"/>
      <c r="AB32" s="169"/>
      <c r="AC32" s="169"/>
      <c r="AD32" s="169"/>
      <c r="AE32" s="169"/>
      <c r="AH32"/>
    </row>
    <row r="33" spans="1:34" s="1" customFormat="1" ht="15.75" hidden="1" thickBot="1" x14ac:dyDescent="0.3">
      <c r="A33" s="82" t="s">
        <v>45</v>
      </c>
      <c r="B33" s="82" t="str">
        <f t="shared" si="1"/>
        <v>Barraqueiro Transportes, S.A.</v>
      </c>
      <c r="C33" s="82" t="str">
        <f t="shared" si="2"/>
        <v>X</v>
      </c>
      <c r="D33" s="228">
        <v>2022</v>
      </c>
      <c r="E33" s="82" t="s">
        <v>1681</v>
      </c>
      <c r="F33" s="82" t="s">
        <v>1745</v>
      </c>
      <c r="G33" s="82" t="s">
        <v>1746</v>
      </c>
      <c r="H33" s="227" t="s">
        <v>1864</v>
      </c>
      <c r="I33" s="227" t="s">
        <v>3109</v>
      </c>
      <c r="J33" s="123">
        <v>16</v>
      </c>
      <c r="K33" s="82" t="s">
        <v>586</v>
      </c>
      <c r="L33" s="228"/>
      <c r="M33" s="175">
        <v>38.5</v>
      </c>
      <c r="N33" s="173">
        <f t="shared" si="3"/>
        <v>616</v>
      </c>
      <c r="O33" s="82" t="s">
        <v>1747</v>
      </c>
      <c r="P33" s="82" t="s">
        <v>1748</v>
      </c>
      <c r="Q33" s="173">
        <f t="array" ref="Q33">INDEX($AA$8:$AF$10,MATCH(U33,$Z$8:$Z$10,0),MATCH(T33,$AA$7:$AF$7,0))</f>
        <v>24.5</v>
      </c>
      <c r="R33" s="171">
        <f t="shared" si="5"/>
        <v>15092</v>
      </c>
      <c r="S33" s="171" t="s">
        <v>1894</v>
      </c>
      <c r="T33" s="83" t="s">
        <v>1777</v>
      </c>
      <c r="U33" s="82" t="s">
        <v>1771</v>
      </c>
      <c r="V33" s="82" t="s">
        <v>1782</v>
      </c>
      <c r="W33" s="250" t="s">
        <v>3499</v>
      </c>
      <c r="X33" s="250" t="s">
        <v>3504</v>
      </c>
      <c r="Y33" s="168"/>
      <c r="Z33" s="168"/>
      <c r="AA33" s="170"/>
      <c r="AB33" s="170"/>
      <c r="AC33" s="170"/>
      <c r="AD33" s="170"/>
      <c r="AE33" s="170"/>
      <c r="AH33"/>
    </row>
    <row r="34" spans="1:34" s="1" customFormat="1" ht="15.75" hidden="1" thickBot="1" x14ac:dyDescent="0.3">
      <c r="A34" s="82" t="s">
        <v>45</v>
      </c>
      <c r="B34" s="82" t="str">
        <f t="shared" si="1"/>
        <v>Barraqueiro Transportes, S.A.</v>
      </c>
      <c r="C34" s="82" t="str">
        <f t="shared" si="2"/>
        <v>X</v>
      </c>
      <c r="D34" s="228">
        <v>2022</v>
      </c>
      <c r="E34" s="82" t="s">
        <v>1681</v>
      </c>
      <c r="F34" s="82" t="s">
        <v>1745</v>
      </c>
      <c r="G34" s="82" t="s">
        <v>1746</v>
      </c>
      <c r="H34" s="227" t="s">
        <v>1864</v>
      </c>
      <c r="I34" s="227" t="s">
        <v>3109</v>
      </c>
      <c r="J34" s="123">
        <v>550</v>
      </c>
      <c r="K34" s="82" t="s">
        <v>586</v>
      </c>
      <c r="L34" s="228"/>
      <c r="M34" s="175">
        <v>63.5</v>
      </c>
      <c r="N34" s="173">
        <f t="shared" si="3"/>
        <v>34925</v>
      </c>
      <c r="O34" s="82" t="s">
        <v>1747</v>
      </c>
      <c r="P34" s="82" t="s">
        <v>1748</v>
      </c>
      <c r="Q34" s="173">
        <f t="array" ref="Q34">INDEX($AA$8:$AF$10,MATCH(U34,$Z$8:$Z$10,0),MATCH(T34,$AA$7:$AF$7,0))</f>
        <v>24.5</v>
      </c>
      <c r="R34" s="171">
        <f t="shared" si="5"/>
        <v>855662.5</v>
      </c>
      <c r="S34" s="171" t="s">
        <v>1894</v>
      </c>
      <c r="T34" s="83" t="s">
        <v>1777</v>
      </c>
      <c r="U34" s="82" t="s">
        <v>1771</v>
      </c>
      <c r="V34" s="82" t="s">
        <v>1783</v>
      </c>
      <c r="W34" s="250" t="s">
        <v>3499</v>
      </c>
      <c r="X34" s="250" t="s">
        <v>3504</v>
      </c>
      <c r="Y34" s="168"/>
      <c r="Z34" s="168"/>
      <c r="AA34" s="170"/>
      <c r="AB34" s="170"/>
      <c r="AC34" s="170"/>
      <c r="AD34" s="170"/>
      <c r="AE34" s="170"/>
      <c r="AH34"/>
    </row>
    <row r="35" spans="1:34" s="1" customFormat="1" ht="15.75" hidden="1" thickBot="1" x14ac:dyDescent="0.3">
      <c r="A35" s="82" t="s">
        <v>45</v>
      </c>
      <c r="B35" s="82" t="str">
        <f t="shared" si="1"/>
        <v>Barraqueiro Transportes, S.A.</v>
      </c>
      <c r="C35" s="82" t="str">
        <f t="shared" si="2"/>
        <v>X</v>
      </c>
      <c r="D35" s="228">
        <v>2022</v>
      </c>
      <c r="E35" s="82" t="s">
        <v>1681</v>
      </c>
      <c r="F35" s="82" t="s">
        <v>1745</v>
      </c>
      <c r="G35" s="82" t="s">
        <v>1746</v>
      </c>
      <c r="H35" s="227" t="s">
        <v>1864</v>
      </c>
      <c r="I35" s="227" t="s">
        <v>3109</v>
      </c>
      <c r="J35" s="123">
        <v>32</v>
      </c>
      <c r="K35" s="82" t="s">
        <v>586</v>
      </c>
      <c r="L35" s="228"/>
      <c r="M35" s="175">
        <v>68</v>
      </c>
      <c r="N35" s="173">
        <f t="shared" si="3"/>
        <v>2176</v>
      </c>
      <c r="O35" s="82" t="s">
        <v>1747</v>
      </c>
      <c r="P35" s="82" t="s">
        <v>1748</v>
      </c>
      <c r="Q35" s="173">
        <f t="array" ref="Q35">INDEX($AA$8:$AF$10,MATCH(U35,$Z$8:$Z$10,0),MATCH(T35,$AA$7:$AF$7,0))</f>
        <v>24.5</v>
      </c>
      <c r="R35" s="171">
        <f t="shared" si="5"/>
        <v>53312</v>
      </c>
      <c r="S35" s="171" t="s">
        <v>1894</v>
      </c>
      <c r="T35" s="83" t="s">
        <v>1777</v>
      </c>
      <c r="U35" s="82" t="s">
        <v>1771</v>
      </c>
      <c r="V35" s="82" t="s">
        <v>1784</v>
      </c>
      <c r="W35" s="250" t="s">
        <v>3499</v>
      </c>
      <c r="X35" s="250" t="s">
        <v>3504</v>
      </c>
      <c r="Y35" s="168"/>
      <c r="Z35" s="168"/>
      <c r="AA35" s="170"/>
      <c r="AB35" s="170"/>
      <c r="AC35" s="170"/>
      <c r="AD35" s="170"/>
      <c r="AE35" s="170"/>
      <c r="AH35"/>
    </row>
    <row r="36" spans="1:34" s="1" customFormat="1" ht="15.75" hidden="1" thickBot="1" x14ac:dyDescent="0.3">
      <c r="A36" s="82" t="s">
        <v>45</v>
      </c>
      <c r="B36" s="82" t="str">
        <f t="shared" si="1"/>
        <v>Barraqueiro Transportes, S.A.</v>
      </c>
      <c r="C36" s="82" t="str">
        <f t="shared" si="2"/>
        <v>X</v>
      </c>
      <c r="D36" s="228">
        <v>2022</v>
      </c>
      <c r="E36" s="82" t="s">
        <v>1681</v>
      </c>
      <c r="F36" s="82" t="s">
        <v>1745</v>
      </c>
      <c r="G36" s="82" t="s">
        <v>1746</v>
      </c>
      <c r="H36" s="227" t="s">
        <v>1864</v>
      </c>
      <c r="I36" s="227" t="s">
        <v>3109</v>
      </c>
      <c r="J36" s="123">
        <v>2</v>
      </c>
      <c r="K36" s="82" t="s">
        <v>586</v>
      </c>
      <c r="L36" s="228"/>
      <c r="M36" s="175">
        <v>68</v>
      </c>
      <c r="N36" s="173">
        <f t="shared" si="3"/>
        <v>136</v>
      </c>
      <c r="O36" s="82" t="s">
        <v>1747</v>
      </c>
      <c r="P36" s="82" t="s">
        <v>1748</v>
      </c>
      <c r="Q36" s="173">
        <f t="array" ref="Q36">INDEX($AA$8:$AF$10,MATCH(U36,$Z$8:$Z$10,0),MATCH(T36,$AA$7:$AF$7,0))</f>
        <v>38.5</v>
      </c>
      <c r="R36" s="171">
        <f t="shared" si="5"/>
        <v>5236</v>
      </c>
      <c r="S36" s="171" t="s">
        <v>1894</v>
      </c>
      <c r="T36" s="83" t="s">
        <v>1779</v>
      </c>
      <c r="U36" s="82" t="s">
        <v>1771</v>
      </c>
      <c r="V36" s="82" t="s">
        <v>1784</v>
      </c>
      <c r="W36" s="250" t="s">
        <v>3499</v>
      </c>
      <c r="X36" s="250" t="s">
        <v>3504</v>
      </c>
      <c r="Y36" s="168"/>
      <c r="Z36" s="168"/>
      <c r="AA36" s="170"/>
      <c r="AB36" s="170"/>
      <c r="AC36" s="170"/>
      <c r="AD36" s="170"/>
      <c r="AE36" s="170"/>
      <c r="AH36"/>
    </row>
    <row r="37" spans="1:34" s="1" customFormat="1" ht="15.75" hidden="1" thickBot="1" x14ac:dyDescent="0.3">
      <c r="A37" s="82" t="s">
        <v>45</v>
      </c>
      <c r="B37" s="82" t="str">
        <f t="shared" si="1"/>
        <v>Barraqueiro Transportes, S.A.</v>
      </c>
      <c r="C37" s="82" t="str">
        <f t="shared" si="2"/>
        <v>X</v>
      </c>
      <c r="D37" s="228">
        <v>2022</v>
      </c>
      <c r="E37" s="82" t="s">
        <v>1681</v>
      </c>
      <c r="F37" s="82" t="s">
        <v>1745</v>
      </c>
      <c r="G37" s="82" t="s">
        <v>1746</v>
      </c>
      <c r="H37" s="227" t="s">
        <v>1864</v>
      </c>
      <c r="I37" s="227" t="s">
        <v>3109</v>
      </c>
      <c r="J37" s="123">
        <v>34</v>
      </c>
      <c r="K37" s="82" t="s">
        <v>586</v>
      </c>
      <c r="L37" s="228"/>
      <c r="M37" s="175">
        <v>14</v>
      </c>
      <c r="N37" s="173">
        <f t="shared" si="3"/>
        <v>476</v>
      </c>
      <c r="O37" s="82" t="s">
        <v>1747</v>
      </c>
      <c r="P37" s="82" t="s">
        <v>1748</v>
      </c>
      <c r="Q37" s="173">
        <f t="array" ref="Q37">INDEX($AA$8:$AF$10,MATCH(U37,$Z$8:$Z$10,0),MATCH(T37,$AA$7:$AF$7,0))</f>
        <v>48.5</v>
      </c>
      <c r="R37" s="171">
        <f t="shared" si="5"/>
        <v>23086</v>
      </c>
      <c r="S37" s="171" t="s">
        <v>1894</v>
      </c>
      <c r="T37" s="83" t="s">
        <v>1774</v>
      </c>
      <c r="U37" s="82" t="s">
        <v>1772</v>
      </c>
      <c r="V37" s="82" t="s">
        <v>1785</v>
      </c>
      <c r="W37" s="250" t="s">
        <v>3499</v>
      </c>
      <c r="X37" s="250" t="s">
        <v>3504</v>
      </c>
      <c r="Y37"/>
      <c r="Z37"/>
      <c r="AH37"/>
    </row>
    <row r="38" spans="1:34" ht="15.75" hidden="1" thickBot="1" x14ac:dyDescent="0.3">
      <c r="A38" s="82" t="s">
        <v>45</v>
      </c>
      <c r="B38" s="82" t="str">
        <f t="shared" si="1"/>
        <v>Barraqueiro Transportes, S.A.</v>
      </c>
      <c r="C38" s="82" t="str">
        <f t="shared" si="2"/>
        <v>X</v>
      </c>
      <c r="D38" s="228">
        <v>2022</v>
      </c>
      <c r="E38" s="82" t="s">
        <v>1681</v>
      </c>
      <c r="F38" s="82" t="s">
        <v>1745</v>
      </c>
      <c r="G38" s="82" t="s">
        <v>1746</v>
      </c>
      <c r="H38" s="227" t="s">
        <v>1864</v>
      </c>
      <c r="I38" s="227" t="s">
        <v>3109</v>
      </c>
      <c r="J38" s="123">
        <v>11</v>
      </c>
      <c r="K38" s="82" t="s">
        <v>586</v>
      </c>
      <c r="L38" s="228"/>
      <c r="M38" s="175">
        <v>16</v>
      </c>
      <c r="N38" s="173">
        <f t="shared" si="3"/>
        <v>176</v>
      </c>
      <c r="O38" s="82" t="s">
        <v>1747</v>
      </c>
      <c r="P38" s="82" t="s">
        <v>1748</v>
      </c>
      <c r="Q38" s="173">
        <f t="array" ref="Q38">INDEX($AA$8:$AF$10,MATCH(U38,$Z$8:$Z$10,0),MATCH(T38,$AA$7:$AF$7,0))</f>
        <v>48.5</v>
      </c>
      <c r="R38" s="171">
        <f t="shared" si="5"/>
        <v>8536</v>
      </c>
      <c r="S38" s="171" t="s">
        <v>1894</v>
      </c>
      <c r="T38" s="83" t="s">
        <v>1774</v>
      </c>
      <c r="U38" s="82" t="s">
        <v>1772</v>
      </c>
      <c r="V38" s="82" t="s">
        <v>1786</v>
      </c>
      <c r="W38" s="250" t="s">
        <v>3499</v>
      </c>
      <c r="X38" s="250" t="s">
        <v>3504</v>
      </c>
    </row>
    <row r="39" spans="1:34" ht="15.75" hidden="1" thickBot="1" x14ac:dyDescent="0.3">
      <c r="A39" s="82" t="s">
        <v>45</v>
      </c>
      <c r="B39" s="82" t="str">
        <f t="shared" si="1"/>
        <v>Barraqueiro Transportes, S.A.</v>
      </c>
      <c r="C39" s="82" t="str">
        <f t="shared" si="2"/>
        <v>X</v>
      </c>
      <c r="D39" s="228">
        <v>2022</v>
      </c>
      <c r="E39" s="82" t="s">
        <v>1681</v>
      </c>
      <c r="F39" s="82" t="s">
        <v>1745</v>
      </c>
      <c r="G39" s="82" t="s">
        <v>1746</v>
      </c>
      <c r="H39" s="227" t="s">
        <v>1864</v>
      </c>
      <c r="I39" s="227" t="s">
        <v>3109</v>
      </c>
      <c r="J39" s="123">
        <v>4</v>
      </c>
      <c r="K39" s="82" t="s">
        <v>586</v>
      </c>
      <c r="L39" s="228"/>
      <c r="M39" s="175">
        <v>42</v>
      </c>
      <c r="N39" s="173">
        <f t="shared" si="3"/>
        <v>168</v>
      </c>
      <c r="O39" s="82" t="s">
        <v>1747</v>
      </c>
      <c r="P39" s="82" t="s">
        <v>1748</v>
      </c>
      <c r="Q39" s="173">
        <f t="array" ref="Q39">INDEX($AA$8:$AF$10,MATCH(U39,$Z$8:$Z$10,0),MATCH(T39,$AA$7:$AF$7,0))</f>
        <v>68.599999999999994</v>
      </c>
      <c r="R39" s="171">
        <f t="shared" si="5"/>
        <v>11524.8</v>
      </c>
      <c r="S39" s="171" t="s">
        <v>1894</v>
      </c>
      <c r="T39" s="83" t="s">
        <v>1775</v>
      </c>
      <c r="U39" s="82" t="s">
        <v>1772</v>
      </c>
      <c r="V39" s="82" t="s">
        <v>1787</v>
      </c>
      <c r="W39" s="250" t="s">
        <v>3499</v>
      </c>
      <c r="X39" s="250" t="s">
        <v>3504</v>
      </c>
    </row>
    <row r="40" spans="1:34" ht="15.75" hidden="1" thickBot="1" x14ac:dyDescent="0.3">
      <c r="A40" s="82" t="s">
        <v>45</v>
      </c>
      <c r="B40" s="82" t="str">
        <f t="shared" si="1"/>
        <v>Barraqueiro Transportes, S.A.</v>
      </c>
      <c r="C40" s="82" t="str">
        <f t="shared" si="2"/>
        <v>X</v>
      </c>
      <c r="D40" s="228">
        <v>2022</v>
      </c>
      <c r="E40" s="82" t="s">
        <v>1681</v>
      </c>
      <c r="F40" s="82" t="s">
        <v>1745</v>
      </c>
      <c r="G40" s="82" t="s">
        <v>1746</v>
      </c>
      <c r="H40" s="227" t="s">
        <v>1864</v>
      </c>
      <c r="I40" s="227" t="s">
        <v>3109</v>
      </c>
      <c r="J40" s="123">
        <v>27</v>
      </c>
      <c r="K40" s="82" t="s">
        <v>586</v>
      </c>
      <c r="L40" s="228"/>
      <c r="M40" s="175">
        <v>38.5</v>
      </c>
      <c r="N40" s="173">
        <f t="shared" si="3"/>
        <v>1039.5</v>
      </c>
      <c r="O40" s="82" t="s">
        <v>1747</v>
      </c>
      <c r="P40" s="82" t="s">
        <v>1748</v>
      </c>
      <c r="Q40" s="173">
        <f t="array" ref="Q40">INDEX($AA$8:$AF$10,MATCH(U40,$Z$8:$Z$10,0),MATCH(T40,$AA$7:$AF$7,0))</f>
        <v>68.599999999999994</v>
      </c>
      <c r="R40" s="171">
        <f t="shared" si="5"/>
        <v>71309.7</v>
      </c>
      <c r="S40" s="171" t="s">
        <v>1894</v>
      </c>
      <c r="T40" s="83" t="s">
        <v>1775</v>
      </c>
      <c r="U40" s="82" t="s">
        <v>1772</v>
      </c>
      <c r="V40" s="82" t="s">
        <v>1782</v>
      </c>
      <c r="W40" s="250" t="s">
        <v>3499</v>
      </c>
      <c r="X40" s="250" t="s">
        <v>3504</v>
      </c>
    </row>
    <row r="41" spans="1:34" ht="15.75" hidden="1" thickBot="1" x14ac:dyDescent="0.3">
      <c r="A41" s="82" t="s">
        <v>45</v>
      </c>
      <c r="B41" s="82" t="str">
        <f t="shared" si="1"/>
        <v>Barraqueiro Transportes, S.A.</v>
      </c>
      <c r="C41" s="82" t="str">
        <f t="shared" si="2"/>
        <v>X</v>
      </c>
      <c r="D41" s="228">
        <v>2022</v>
      </c>
      <c r="E41" s="82" t="s">
        <v>1681</v>
      </c>
      <c r="F41" s="82" t="s">
        <v>1745</v>
      </c>
      <c r="G41" s="82" t="s">
        <v>1746</v>
      </c>
      <c r="H41" s="227" t="s">
        <v>1864</v>
      </c>
      <c r="I41" s="227" t="s">
        <v>3109</v>
      </c>
      <c r="J41" s="123">
        <v>2</v>
      </c>
      <c r="K41" s="82" t="s">
        <v>586</v>
      </c>
      <c r="L41" s="228"/>
      <c r="M41" s="175">
        <v>48</v>
      </c>
      <c r="N41" s="173">
        <f t="shared" si="3"/>
        <v>96</v>
      </c>
      <c r="O41" s="82" t="s">
        <v>1747</v>
      </c>
      <c r="P41" s="82" t="s">
        <v>1748</v>
      </c>
      <c r="Q41" s="173">
        <f t="array" ref="Q41">INDEX($AA$8:$AF$10,MATCH(U41,$Z$8:$Z$10,0),MATCH(T41,$AA$7:$AF$7,0))</f>
        <v>68.599999999999994</v>
      </c>
      <c r="R41" s="171">
        <f t="shared" si="5"/>
        <v>6585.5999999999995</v>
      </c>
      <c r="S41" s="171" t="s">
        <v>1894</v>
      </c>
      <c r="T41" s="83" t="s">
        <v>1775</v>
      </c>
      <c r="U41" s="82" t="s">
        <v>1772</v>
      </c>
      <c r="V41" s="82" t="s">
        <v>1788</v>
      </c>
      <c r="W41" s="250" t="s">
        <v>3499</v>
      </c>
      <c r="X41" s="250" t="s">
        <v>3504</v>
      </c>
    </row>
    <row r="42" spans="1:34" ht="15.75" hidden="1" thickBot="1" x14ac:dyDescent="0.3">
      <c r="A42" s="82" t="s">
        <v>45</v>
      </c>
      <c r="B42" s="82" t="str">
        <f t="shared" si="1"/>
        <v>Barraqueiro Transportes, S.A.</v>
      </c>
      <c r="C42" s="82" t="str">
        <f t="shared" si="2"/>
        <v>X</v>
      </c>
      <c r="D42" s="228">
        <v>2022</v>
      </c>
      <c r="E42" s="82" t="s">
        <v>1681</v>
      </c>
      <c r="F42" s="82" t="s">
        <v>1745</v>
      </c>
      <c r="G42" s="82" t="s">
        <v>1746</v>
      </c>
      <c r="H42" s="227" t="s">
        <v>1864</v>
      </c>
      <c r="I42" s="227" t="s">
        <v>3109</v>
      </c>
      <c r="J42" s="123">
        <v>427</v>
      </c>
      <c r="K42" s="82" t="s">
        <v>586</v>
      </c>
      <c r="L42" s="228"/>
      <c r="M42" s="175">
        <v>63.5</v>
      </c>
      <c r="N42" s="173">
        <f t="shared" si="3"/>
        <v>27114.5</v>
      </c>
      <c r="O42" s="82" t="s">
        <v>1747</v>
      </c>
      <c r="P42" s="82" t="s">
        <v>1748</v>
      </c>
      <c r="Q42" s="173">
        <f t="array" ref="Q42">INDEX($AA$8:$AF$10,MATCH(U42,$Z$8:$Z$10,0),MATCH(T42,$AA$7:$AF$7,0))</f>
        <v>68.599999999999994</v>
      </c>
      <c r="R42" s="171">
        <f t="shared" si="5"/>
        <v>1860054.7</v>
      </c>
      <c r="S42" s="171" t="s">
        <v>1894</v>
      </c>
      <c r="T42" s="83" t="s">
        <v>1775</v>
      </c>
      <c r="U42" s="82" t="s">
        <v>1772</v>
      </c>
      <c r="V42" s="82" t="s">
        <v>1783</v>
      </c>
      <c r="W42" s="250" t="s">
        <v>3499</v>
      </c>
      <c r="X42" s="250" t="s">
        <v>3504</v>
      </c>
    </row>
    <row r="43" spans="1:34" ht="15.75" hidden="1" thickBot="1" x14ac:dyDescent="0.3">
      <c r="A43" s="82" t="s">
        <v>45</v>
      </c>
      <c r="B43" s="82" t="str">
        <f t="shared" si="1"/>
        <v>Barraqueiro Transportes, S.A.</v>
      </c>
      <c r="C43" s="82" t="str">
        <f t="shared" si="2"/>
        <v>X</v>
      </c>
      <c r="D43" s="228">
        <v>2022</v>
      </c>
      <c r="E43" s="82" t="s">
        <v>1681</v>
      </c>
      <c r="F43" s="82" t="s">
        <v>1745</v>
      </c>
      <c r="G43" s="82" t="s">
        <v>1746</v>
      </c>
      <c r="H43" s="227" t="s">
        <v>1864</v>
      </c>
      <c r="I43" s="227" t="s">
        <v>3109</v>
      </c>
      <c r="J43" s="123">
        <v>2</v>
      </c>
      <c r="K43" s="82" t="s">
        <v>586</v>
      </c>
      <c r="L43" s="228"/>
      <c r="M43" s="175">
        <v>12.5</v>
      </c>
      <c r="N43" s="173">
        <f t="shared" si="3"/>
        <v>25</v>
      </c>
      <c r="O43" s="82" t="s">
        <v>1747</v>
      </c>
      <c r="P43" s="82" t="s">
        <v>1748</v>
      </c>
      <c r="Q43" s="173">
        <f t="array" ref="Q43">INDEX($AA$8:$AF$10,MATCH(U43,$Z$8:$Z$10,0),MATCH(T43,$AA$7:$AF$7,0))</f>
        <v>29.9</v>
      </c>
      <c r="R43" s="171">
        <f t="shared" si="5"/>
        <v>747.5</v>
      </c>
      <c r="S43" s="171" t="s">
        <v>1894</v>
      </c>
      <c r="T43" s="83" t="s">
        <v>1776</v>
      </c>
      <c r="U43" s="82" t="s">
        <v>1772</v>
      </c>
      <c r="V43" s="82" t="s">
        <v>1789</v>
      </c>
      <c r="W43" s="250" t="s">
        <v>3499</v>
      </c>
      <c r="X43" s="250" t="s">
        <v>3504</v>
      </c>
    </row>
    <row r="44" spans="1:34" ht="15.75" hidden="1" thickBot="1" x14ac:dyDescent="0.3">
      <c r="A44" s="82" t="s">
        <v>45</v>
      </c>
      <c r="B44" s="82" t="str">
        <f t="shared" si="1"/>
        <v>Barraqueiro Transportes, S.A.</v>
      </c>
      <c r="C44" s="82" t="str">
        <f t="shared" si="2"/>
        <v>X</v>
      </c>
      <c r="D44" s="228">
        <v>2022</v>
      </c>
      <c r="E44" s="82" t="s">
        <v>1681</v>
      </c>
      <c r="F44" s="82" t="s">
        <v>1745</v>
      </c>
      <c r="G44" s="82" t="s">
        <v>1746</v>
      </c>
      <c r="H44" s="227" t="s">
        <v>1864</v>
      </c>
      <c r="I44" s="227" t="s">
        <v>3109</v>
      </c>
      <c r="J44" s="123">
        <v>16</v>
      </c>
      <c r="K44" s="82" t="s">
        <v>586</v>
      </c>
      <c r="L44" s="228"/>
      <c r="M44" s="175">
        <v>14</v>
      </c>
      <c r="N44" s="173">
        <f t="shared" si="3"/>
        <v>224</v>
      </c>
      <c r="O44" s="82" t="s">
        <v>1747</v>
      </c>
      <c r="P44" s="82" t="s">
        <v>1748</v>
      </c>
      <c r="Q44" s="173">
        <f t="array" ref="Q44">INDEX($AA$8:$AF$10,MATCH(U44,$Z$8:$Z$10,0),MATCH(T44,$AA$7:$AF$7,0))</f>
        <v>29.9</v>
      </c>
      <c r="R44" s="171">
        <f t="shared" si="5"/>
        <v>6697.5999999999995</v>
      </c>
      <c r="S44" s="171" t="s">
        <v>1894</v>
      </c>
      <c r="T44" s="83" t="s">
        <v>1776</v>
      </c>
      <c r="U44" s="82" t="s">
        <v>1772</v>
      </c>
      <c r="V44" s="82" t="s">
        <v>1785</v>
      </c>
      <c r="W44" s="250" t="s">
        <v>3499</v>
      </c>
      <c r="X44" s="250" t="s">
        <v>3504</v>
      </c>
    </row>
    <row r="45" spans="1:34" ht="15.75" hidden="1" thickBot="1" x14ac:dyDescent="0.3">
      <c r="A45" s="82" t="s">
        <v>45</v>
      </c>
      <c r="B45" s="82" t="str">
        <f t="shared" si="1"/>
        <v>Barraqueiro Transportes, S.A.</v>
      </c>
      <c r="C45" s="82" t="str">
        <f t="shared" si="2"/>
        <v>X</v>
      </c>
      <c r="D45" s="228">
        <v>2022</v>
      </c>
      <c r="E45" s="82" t="s">
        <v>1681</v>
      </c>
      <c r="F45" s="82" t="s">
        <v>1745</v>
      </c>
      <c r="G45" s="82" t="s">
        <v>1746</v>
      </c>
      <c r="H45" s="227" t="s">
        <v>1864</v>
      </c>
      <c r="I45" s="227" t="s">
        <v>3109</v>
      </c>
      <c r="J45" s="123">
        <v>10</v>
      </c>
      <c r="K45" s="82" t="s">
        <v>586</v>
      </c>
      <c r="L45" s="228"/>
      <c r="M45" s="175">
        <v>16</v>
      </c>
      <c r="N45" s="173">
        <f t="shared" si="3"/>
        <v>160</v>
      </c>
      <c r="O45" s="82" t="s">
        <v>1747</v>
      </c>
      <c r="P45" s="82" t="s">
        <v>1748</v>
      </c>
      <c r="Q45" s="173">
        <f t="array" ref="Q45">INDEX($AA$8:$AF$10,MATCH(U45,$Z$8:$Z$10,0),MATCH(T45,$AA$7:$AF$7,0))</f>
        <v>29.9</v>
      </c>
      <c r="R45" s="171">
        <f t="shared" si="5"/>
        <v>4784</v>
      </c>
      <c r="S45" s="171" t="s">
        <v>1894</v>
      </c>
      <c r="T45" s="83" t="s">
        <v>1776</v>
      </c>
      <c r="U45" s="82" t="s">
        <v>1772</v>
      </c>
      <c r="V45" s="82" t="s">
        <v>1786</v>
      </c>
      <c r="W45" s="250" t="s">
        <v>3499</v>
      </c>
      <c r="X45" s="250" t="s">
        <v>3504</v>
      </c>
    </row>
    <row r="46" spans="1:34" ht="15.75" hidden="1" thickBot="1" x14ac:dyDescent="0.3">
      <c r="A46" s="82" t="s">
        <v>45</v>
      </c>
      <c r="B46" s="82" t="str">
        <f t="shared" si="1"/>
        <v>Barraqueiro Transportes, S.A.</v>
      </c>
      <c r="C46" s="82" t="str">
        <f t="shared" si="2"/>
        <v>X</v>
      </c>
      <c r="D46" s="228">
        <v>2022</v>
      </c>
      <c r="E46" s="82" t="s">
        <v>1681</v>
      </c>
      <c r="F46" s="82" t="s">
        <v>1745</v>
      </c>
      <c r="G46" s="82" t="s">
        <v>1746</v>
      </c>
      <c r="H46" s="227" t="s">
        <v>1864</v>
      </c>
      <c r="I46" s="227" t="s">
        <v>3109</v>
      </c>
      <c r="J46" s="123">
        <v>16</v>
      </c>
      <c r="K46" s="82" t="s">
        <v>586</v>
      </c>
      <c r="L46" s="228"/>
      <c r="M46" s="175">
        <v>38.5</v>
      </c>
      <c r="N46" s="173">
        <f t="shared" si="3"/>
        <v>616</v>
      </c>
      <c r="O46" s="82" t="s">
        <v>1747</v>
      </c>
      <c r="P46" s="82" t="s">
        <v>1748</v>
      </c>
      <c r="Q46" s="173">
        <f t="array" ref="Q46">INDEX($AA$8:$AF$10,MATCH(U46,$Z$8:$Z$10,0),MATCH(T46,$AA$7:$AF$7,0))</f>
        <v>29.9</v>
      </c>
      <c r="R46" s="171">
        <f t="shared" si="5"/>
        <v>18418.399999999998</v>
      </c>
      <c r="S46" s="171" t="s">
        <v>1894</v>
      </c>
      <c r="T46" s="83" t="s">
        <v>1776</v>
      </c>
      <c r="U46" s="82" t="s">
        <v>1772</v>
      </c>
      <c r="V46" s="82" t="s">
        <v>1782</v>
      </c>
      <c r="W46" s="250" t="s">
        <v>3499</v>
      </c>
      <c r="X46" s="250" t="s">
        <v>3504</v>
      </c>
    </row>
    <row r="47" spans="1:34" ht="15.75" hidden="1" thickBot="1" x14ac:dyDescent="0.3">
      <c r="A47" s="82" t="s">
        <v>45</v>
      </c>
      <c r="B47" s="82" t="str">
        <f t="shared" si="1"/>
        <v>Barraqueiro Transportes, S.A.</v>
      </c>
      <c r="C47" s="82" t="str">
        <f t="shared" si="2"/>
        <v>X</v>
      </c>
      <c r="D47" s="228">
        <v>2022</v>
      </c>
      <c r="E47" s="82" t="s">
        <v>1681</v>
      </c>
      <c r="F47" s="82" t="s">
        <v>1745</v>
      </c>
      <c r="G47" s="82" t="s">
        <v>1746</v>
      </c>
      <c r="H47" s="227" t="s">
        <v>1864</v>
      </c>
      <c r="I47" s="227" t="s">
        <v>3109</v>
      </c>
      <c r="J47" s="123">
        <v>8</v>
      </c>
      <c r="K47" s="82" t="s">
        <v>586</v>
      </c>
      <c r="L47" s="228"/>
      <c r="M47" s="175">
        <v>48</v>
      </c>
      <c r="N47" s="173">
        <f t="shared" si="3"/>
        <v>384</v>
      </c>
      <c r="O47" s="82" t="s">
        <v>1747</v>
      </c>
      <c r="P47" s="82" t="s">
        <v>1748</v>
      </c>
      <c r="Q47" s="173">
        <f t="array" ref="Q47">INDEX($AA$8:$AF$10,MATCH(U47,$Z$8:$Z$10,0),MATCH(T47,$AA$7:$AF$7,0))</f>
        <v>29.9</v>
      </c>
      <c r="R47" s="171">
        <f t="shared" si="5"/>
        <v>11481.599999999999</v>
      </c>
      <c r="S47" s="171" t="s">
        <v>1894</v>
      </c>
      <c r="T47" s="83" t="s">
        <v>1776</v>
      </c>
      <c r="U47" s="82" t="s">
        <v>1772</v>
      </c>
      <c r="V47" s="82" t="s">
        <v>1790</v>
      </c>
      <c r="W47" s="250" t="s">
        <v>3499</v>
      </c>
      <c r="X47" s="250" t="s">
        <v>3504</v>
      </c>
    </row>
    <row r="48" spans="1:34" ht="15.75" hidden="1" thickBot="1" x14ac:dyDescent="0.3">
      <c r="A48" s="82" t="s">
        <v>45</v>
      </c>
      <c r="B48" s="82" t="str">
        <f t="shared" si="1"/>
        <v>Barraqueiro Transportes, S.A.</v>
      </c>
      <c r="C48" s="82" t="str">
        <f t="shared" si="2"/>
        <v>X</v>
      </c>
      <c r="D48" s="228">
        <v>2022</v>
      </c>
      <c r="E48" s="82" t="s">
        <v>1681</v>
      </c>
      <c r="F48" s="82" t="s">
        <v>1745</v>
      </c>
      <c r="G48" s="82" t="s">
        <v>1746</v>
      </c>
      <c r="H48" s="227" t="s">
        <v>1864</v>
      </c>
      <c r="I48" s="227" t="s">
        <v>3109</v>
      </c>
      <c r="J48" s="123">
        <v>534</v>
      </c>
      <c r="K48" s="82" t="s">
        <v>586</v>
      </c>
      <c r="L48" s="228"/>
      <c r="M48" s="175">
        <v>63.5</v>
      </c>
      <c r="N48" s="173">
        <f t="shared" si="3"/>
        <v>33909</v>
      </c>
      <c r="O48" s="82" t="s">
        <v>1747</v>
      </c>
      <c r="P48" s="82" t="s">
        <v>1748</v>
      </c>
      <c r="Q48" s="173">
        <f t="array" ref="Q48">INDEX($AA$8:$AF$10,MATCH(U48,$Z$8:$Z$10,0),MATCH(T48,$AA$7:$AF$7,0))</f>
        <v>29.9</v>
      </c>
      <c r="R48" s="171">
        <f t="shared" si="5"/>
        <v>1013879.1</v>
      </c>
      <c r="S48" s="171" t="s">
        <v>1894</v>
      </c>
      <c r="T48" s="83" t="s">
        <v>1776</v>
      </c>
      <c r="U48" s="82" t="s">
        <v>1772</v>
      </c>
      <c r="V48" s="82" t="s">
        <v>1783</v>
      </c>
      <c r="W48" s="250" t="s">
        <v>3499</v>
      </c>
      <c r="X48" s="250" t="s">
        <v>3504</v>
      </c>
    </row>
    <row r="49" spans="1:24" ht="15.75" hidden="1" thickBot="1" x14ac:dyDescent="0.3">
      <c r="A49" s="82" t="s">
        <v>45</v>
      </c>
      <c r="B49" s="82" t="str">
        <f t="shared" si="1"/>
        <v>Barraqueiro Transportes, S.A.</v>
      </c>
      <c r="C49" s="82" t="str">
        <f t="shared" si="2"/>
        <v>X</v>
      </c>
      <c r="D49" s="228">
        <v>2022</v>
      </c>
      <c r="E49" s="82" t="s">
        <v>1681</v>
      </c>
      <c r="F49" s="82" t="s">
        <v>1745</v>
      </c>
      <c r="G49" s="82" t="s">
        <v>1746</v>
      </c>
      <c r="H49" s="227" t="s">
        <v>1864</v>
      </c>
      <c r="I49" s="227" t="s">
        <v>3109</v>
      </c>
      <c r="J49" s="123">
        <v>2</v>
      </c>
      <c r="K49" s="82" t="s">
        <v>586</v>
      </c>
      <c r="L49" s="228"/>
      <c r="M49" s="175">
        <v>12.5</v>
      </c>
      <c r="N49" s="173">
        <f t="shared" si="3"/>
        <v>25</v>
      </c>
      <c r="O49" s="82" t="s">
        <v>1747</v>
      </c>
      <c r="P49" s="82" t="s">
        <v>1748</v>
      </c>
      <c r="Q49" s="173">
        <f t="array" ref="Q49">INDEX($AA$8:$AF$10,MATCH(U49,$Z$8:$Z$10,0),MATCH(T49,$AA$7:$AF$7,0))</f>
        <v>47.6</v>
      </c>
      <c r="R49" s="171">
        <f t="shared" si="5"/>
        <v>1190</v>
      </c>
      <c r="S49" s="171" t="s">
        <v>1894</v>
      </c>
      <c r="T49" s="83" t="s">
        <v>1777</v>
      </c>
      <c r="U49" s="82" t="s">
        <v>1772</v>
      </c>
      <c r="V49" s="82" t="s">
        <v>1789</v>
      </c>
      <c r="W49" s="250" t="s">
        <v>3499</v>
      </c>
      <c r="X49" s="250" t="s">
        <v>3504</v>
      </c>
    </row>
    <row r="50" spans="1:24" ht="15.75" hidden="1" thickBot="1" x14ac:dyDescent="0.3">
      <c r="A50" s="82" t="s">
        <v>45</v>
      </c>
      <c r="B50" s="82" t="str">
        <f t="shared" si="1"/>
        <v>Barraqueiro Transportes, S.A.</v>
      </c>
      <c r="C50" s="82" t="str">
        <f t="shared" si="2"/>
        <v>X</v>
      </c>
      <c r="D50" s="228">
        <v>2022</v>
      </c>
      <c r="E50" s="82" t="s">
        <v>1681</v>
      </c>
      <c r="F50" s="82" t="s">
        <v>1745</v>
      </c>
      <c r="G50" s="82" t="s">
        <v>1746</v>
      </c>
      <c r="H50" s="227" t="s">
        <v>1864</v>
      </c>
      <c r="I50" s="227" t="s">
        <v>3109</v>
      </c>
      <c r="J50" s="123">
        <v>16</v>
      </c>
      <c r="K50" s="82" t="s">
        <v>586</v>
      </c>
      <c r="L50" s="228"/>
      <c r="M50" s="175">
        <v>16</v>
      </c>
      <c r="N50" s="173">
        <f t="shared" si="3"/>
        <v>256</v>
      </c>
      <c r="O50" s="82" t="s">
        <v>1747</v>
      </c>
      <c r="P50" s="82" t="s">
        <v>1748</v>
      </c>
      <c r="Q50" s="173">
        <f t="array" ref="Q50">INDEX($AA$8:$AF$10,MATCH(U50,$Z$8:$Z$10,0),MATCH(T50,$AA$7:$AF$7,0))</f>
        <v>47.6</v>
      </c>
      <c r="R50" s="171">
        <f t="shared" si="5"/>
        <v>12185.6</v>
      </c>
      <c r="S50" s="171" t="s">
        <v>1894</v>
      </c>
      <c r="T50" s="83" t="s">
        <v>1777</v>
      </c>
      <c r="U50" s="82" t="s">
        <v>1772</v>
      </c>
      <c r="V50" s="82" t="s">
        <v>1786</v>
      </c>
      <c r="W50" s="250" t="s">
        <v>3499</v>
      </c>
      <c r="X50" s="250" t="s">
        <v>3504</v>
      </c>
    </row>
    <row r="51" spans="1:24" ht="15.75" hidden="1" thickBot="1" x14ac:dyDescent="0.3">
      <c r="A51" s="82" t="s">
        <v>45</v>
      </c>
      <c r="B51" s="82" t="str">
        <f t="shared" si="1"/>
        <v>Barraqueiro Transportes, S.A.</v>
      </c>
      <c r="C51" s="82" t="str">
        <f t="shared" si="2"/>
        <v>X</v>
      </c>
      <c r="D51" s="228">
        <v>2022</v>
      </c>
      <c r="E51" s="82" t="s">
        <v>1681</v>
      </c>
      <c r="F51" s="82" t="s">
        <v>1745</v>
      </c>
      <c r="G51" s="82" t="s">
        <v>1746</v>
      </c>
      <c r="H51" s="227" t="s">
        <v>1864</v>
      </c>
      <c r="I51" s="227" t="s">
        <v>3109</v>
      </c>
      <c r="J51" s="123">
        <v>8</v>
      </c>
      <c r="K51" s="82" t="s">
        <v>586</v>
      </c>
      <c r="L51" s="228"/>
      <c r="M51" s="175">
        <v>48</v>
      </c>
      <c r="N51" s="173">
        <f t="shared" si="3"/>
        <v>384</v>
      </c>
      <c r="O51" s="82" t="s">
        <v>1747</v>
      </c>
      <c r="P51" s="82" t="s">
        <v>1748</v>
      </c>
      <c r="Q51" s="173">
        <f t="array" ref="Q51">INDEX($AA$8:$AF$10,MATCH(U51,$Z$8:$Z$10,0),MATCH(T51,$AA$7:$AF$7,0))</f>
        <v>47.6</v>
      </c>
      <c r="R51" s="171">
        <f t="shared" si="5"/>
        <v>18278.400000000001</v>
      </c>
      <c r="S51" s="171" t="s">
        <v>1894</v>
      </c>
      <c r="T51" s="83" t="s">
        <v>1777</v>
      </c>
      <c r="U51" s="82" t="s">
        <v>1772</v>
      </c>
      <c r="V51" s="82" t="s">
        <v>1788</v>
      </c>
      <c r="W51" s="250" t="s">
        <v>3499</v>
      </c>
      <c r="X51" s="250" t="s">
        <v>3504</v>
      </c>
    </row>
    <row r="52" spans="1:24" ht="15.75" hidden="1" thickBot="1" x14ac:dyDescent="0.3">
      <c r="A52" s="82" t="s">
        <v>45</v>
      </c>
      <c r="B52" s="82" t="str">
        <f t="shared" si="1"/>
        <v>Barraqueiro Transportes, S.A.</v>
      </c>
      <c r="C52" s="82" t="str">
        <f t="shared" si="2"/>
        <v>X</v>
      </c>
      <c r="D52" s="228">
        <v>2022</v>
      </c>
      <c r="E52" s="82" t="s">
        <v>1681</v>
      </c>
      <c r="F52" s="82" t="s">
        <v>1745</v>
      </c>
      <c r="G52" s="82" t="s">
        <v>1746</v>
      </c>
      <c r="H52" s="227" t="s">
        <v>1864</v>
      </c>
      <c r="I52" s="227" t="s">
        <v>3109</v>
      </c>
      <c r="J52" s="123">
        <v>69</v>
      </c>
      <c r="K52" s="82" t="s">
        <v>586</v>
      </c>
      <c r="L52" s="228"/>
      <c r="M52" s="175">
        <v>63.5</v>
      </c>
      <c r="N52" s="173">
        <f t="shared" si="3"/>
        <v>4381.5</v>
      </c>
      <c r="O52" s="82" t="s">
        <v>1747</v>
      </c>
      <c r="P52" s="82" t="s">
        <v>1748</v>
      </c>
      <c r="Q52" s="173">
        <f t="array" ref="Q52">INDEX($AA$8:$AF$10,MATCH(U52,$Z$8:$Z$10,0),MATCH(T52,$AA$7:$AF$7,0))</f>
        <v>47.6</v>
      </c>
      <c r="R52" s="171">
        <f t="shared" si="5"/>
        <v>208559.4</v>
      </c>
      <c r="S52" s="171" t="s">
        <v>1894</v>
      </c>
      <c r="T52" s="83" t="s">
        <v>1777</v>
      </c>
      <c r="U52" s="82" t="s">
        <v>1772</v>
      </c>
      <c r="V52" s="82" t="s">
        <v>1783</v>
      </c>
      <c r="W52" s="250" t="s">
        <v>3499</v>
      </c>
      <c r="X52" s="250" t="s">
        <v>3504</v>
      </c>
    </row>
    <row r="53" spans="1:24" ht="15.75" hidden="1" thickBot="1" x14ac:dyDescent="0.3">
      <c r="A53" s="82" t="s">
        <v>45</v>
      </c>
      <c r="B53" s="82" t="str">
        <f t="shared" si="1"/>
        <v>Barraqueiro Transportes, S.A.</v>
      </c>
      <c r="C53" s="82" t="str">
        <f t="shared" si="2"/>
        <v>X</v>
      </c>
      <c r="D53" s="228">
        <v>2022</v>
      </c>
      <c r="E53" s="82" t="s">
        <v>1681</v>
      </c>
      <c r="F53" s="82" t="s">
        <v>1745</v>
      </c>
      <c r="G53" s="82" t="s">
        <v>1746</v>
      </c>
      <c r="H53" s="227" t="s">
        <v>1864</v>
      </c>
      <c r="I53" s="227" t="s">
        <v>3109</v>
      </c>
      <c r="J53" s="123">
        <v>2</v>
      </c>
      <c r="K53" s="82" t="s">
        <v>586</v>
      </c>
      <c r="L53" s="228"/>
      <c r="M53" s="175">
        <v>14</v>
      </c>
      <c r="N53" s="173">
        <f t="shared" si="3"/>
        <v>28</v>
      </c>
      <c r="O53" s="82" t="s">
        <v>1747</v>
      </c>
      <c r="P53" s="82" t="s">
        <v>1748</v>
      </c>
      <c r="Q53" s="173">
        <f t="array" ref="Q53">INDEX($AA$8:$AF$10,MATCH(U53,$Z$8:$Z$10,0),MATCH(T53,$AA$7:$AF$7,0))</f>
        <v>103</v>
      </c>
      <c r="R53" s="171">
        <f t="shared" si="5"/>
        <v>2884</v>
      </c>
      <c r="S53" s="171" t="s">
        <v>1894</v>
      </c>
      <c r="T53" s="83" t="s">
        <v>1778</v>
      </c>
      <c r="U53" s="82" t="s">
        <v>1772</v>
      </c>
      <c r="V53" s="82" t="s">
        <v>1785</v>
      </c>
      <c r="W53" s="250" t="s">
        <v>3499</v>
      </c>
      <c r="X53" s="250" t="s">
        <v>3504</v>
      </c>
    </row>
    <row r="54" spans="1:24" ht="15.75" hidden="1" thickBot="1" x14ac:dyDescent="0.3">
      <c r="A54" s="82" t="s">
        <v>45</v>
      </c>
      <c r="B54" s="82" t="str">
        <f t="shared" si="1"/>
        <v>Barraqueiro Transportes, S.A.</v>
      </c>
      <c r="C54" s="82" t="str">
        <f t="shared" si="2"/>
        <v>X</v>
      </c>
      <c r="D54" s="228">
        <v>2022</v>
      </c>
      <c r="E54" s="82" t="s">
        <v>1681</v>
      </c>
      <c r="F54" s="82" t="s">
        <v>1745</v>
      </c>
      <c r="G54" s="82" t="s">
        <v>1746</v>
      </c>
      <c r="H54" s="227" t="s">
        <v>1864</v>
      </c>
      <c r="I54" s="227" t="s">
        <v>3109</v>
      </c>
      <c r="J54" s="123">
        <v>2</v>
      </c>
      <c r="K54" s="82" t="s">
        <v>586</v>
      </c>
      <c r="L54" s="228"/>
      <c r="M54" s="175">
        <v>42</v>
      </c>
      <c r="N54" s="173">
        <f t="shared" si="3"/>
        <v>84</v>
      </c>
      <c r="O54" s="82" t="s">
        <v>1747</v>
      </c>
      <c r="P54" s="82" t="s">
        <v>1748</v>
      </c>
      <c r="Q54" s="173">
        <f t="array" ref="Q54">INDEX($AA$8:$AF$10,MATCH(U54,$Z$8:$Z$10,0),MATCH(T54,$AA$7:$AF$7,0))</f>
        <v>103</v>
      </c>
      <c r="R54" s="171">
        <f t="shared" si="5"/>
        <v>8652</v>
      </c>
      <c r="S54" s="171" t="s">
        <v>1894</v>
      </c>
      <c r="T54" s="83" t="s">
        <v>1778</v>
      </c>
      <c r="U54" s="82" t="s">
        <v>1772</v>
      </c>
      <c r="V54" s="82" t="s">
        <v>1787</v>
      </c>
      <c r="W54" s="250" t="s">
        <v>3499</v>
      </c>
      <c r="X54" s="250" t="s">
        <v>3504</v>
      </c>
    </row>
    <row r="55" spans="1:24" ht="15.75" hidden="1" thickBot="1" x14ac:dyDescent="0.3">
      <c r="A55" s="82" t="s">
        <v>45</v>
      </c>
      <c r="B55" s="82" t="str">
        <f t="shared" si="1"/>
        <v>Barraqueiro Transportes, S.A.</v>
      </c>
      <c r="C55" s="82" t="str">
        <f t="shared" si="2"/>
        <v>X</v>
      </c>
      <c r="D55" s="228">
        <v>2022</v>
      </c>
      <c r="E55" s="82" t="s">
        <v>1681</v>
      </c>
      <c r="F55" s="82" t="s">
        <v>1745</v>
      </c>
      <c r="G55" s="82" t="s">
        <v>1746</v>
      </c>
      <c r="H55" s="227" t="s">
        <v>1864</v>
      </c>
      <c r="I55" s="227" t="s">
        <v>3109</v>
      </c>
      <c r="J55" s="123">
        <v>8</v>
      </c>
      <c r="K55" s="82" t="s">
        <v>586</v>
      </c>
      <c r="L55" s="228"/>
      <c r="M55" s="175">
        <v>38.5</v>
      </c>
      <c r="N55" s="173">
        <f t="shared" si="3"/>
        <v>308</v>
      </c>
      <c r="O55" s="82" t="s">
        <v>1747</v>
      </c>
      <c r="P55" s="82" t="s">
        <v>1748</v>
      </c>
      <c r="Q55" s="173">
        <f t="array" ref="Q55">INDEX($AA$8:$AF$10,MATCH(U55,$Z$8:$Z$10,0),MATCH(T55,$AA$7:$AF$7,0))</f>
        <v>103</v>
      </c>
      <c r="R55" s="171">
        <f t="shared" si="5"/>
        <v>31724</v>
      </c>
      <c r="S55" s="171" t="s">
        <v>1894</v>
      </c>
      <c r="T55" s="83" t="s">
        <v>1778</v>
      </c>
      <c r="U55" s="82" t="s">
        <v>1772</v>
      </c>
      <c r="V55" s="82" t="s">
        <v>1782</v>
      </c>
      <c r="W55" s="250" t="s">
        <v>3499</v>
      </c>
      <c r="X55" s="250" t="s">
        <v>3504</v>
      </c>
    </row>
    <row r="56" spans="1:24" ht="15.75" hidden="1" thickBot="1" x14ac:dyDescent="0.3">
      <c r="A56" s="82" t="s">
        <v>45</v>
      </c>
      <c r="B56" s="82" t="str">
        <f t="shared" si="1"/>
        <v>Barraqueiro Transportes, S.A.</v>
      </c>
      <c r="C56" s="82" t="str">
        <f t="shared" si="2"/>
        <v>X</v>
      </c>
      <c r="D56" s="228">
        <v>2022</v>
      </c>
      <c r="E56" s="82" t="s">
        <v>1681</v>
      </c>
      <c r="F56" s="82" t="s">
        <v>1745</v>
      </c>
      <c r="G56" s="82" t="s">
        <v>1746</v>
      </c>
      <c r="H56" s="227" t="s">
        <v>1864</v>
      </c>
      <c r="I56" s="227" t="s">
        <v>3109</v>
      </c>
      <c r="J56" s="123">
        <v>7</v>
      </c>
      <c r="K56" s="82" t="s">
        <v>586</v>
      </c>
      <c r="L56" s="228"/>
      <c r="M56" s="175">
        <v>63.5</v>
      </c>
      <c r="N56" s="173">
        <f t="shared" si="3"/>
        <v>444.5</v>
      </c>
      <c r="O56" s="82" t="s">
        <v>1747</v>
      </c>
      <c r="P56" s="82" t="s">
        <v>1748</v>
      </c>
      <c r="Q56" s="173">
        <f t="array" ref="Q56">INDEX($AA$8:$AF$10,MATCH(U56,$Z$8:$Z$10,0),MATCH(T56,$AA$7:$AF$7,0))</f>
        <v>4.5</v>
      </c>
      <c r="R56" s="171">
        <f t="shared" si="5"/>
        <v>2000.25</v>
      </c>
      <c r="S56" s="171" t="s">
        <v>1894</v>
      </c>
      <c r="T56" s="83" t="s">
        <v>1779</v>
      </c>
      <c r="U56" s="82" t="s">
        <v>1772</v>
      </c>
      <c r="V56" s="82" t="s">
        <v>1783</v>
      </c>
      <c r="W56" s="250" t="s">
        <v>3499</v>
      </c>
      <c r="X56" s="250" t="s">
        <v>3504</v>
      </c>
    </row>
    <row r="57" spans="1:24" ht="15.75" hidden="1" thickBot="1" x14ac:dyDescent="0.3">
      <c r="A57" s="82" t="s">
        <v>45</v>
      </c>
      <c r="B57" s="82" t="str">
        <f t="shared" si="1"/>
        <v>Barraqueiro Transportes, S.A.</v>
      </c>
      <c r="C57" s="82" t="str">
        <f t="shared" si="2"/>
        <v>X</v>
      </c>
      <c r="D57" s="228">
        <v>2022</v>
      </c>
      <c r="E57" s="82" t="s">
        <v>1681</v>
      </c>
      <c r="F57" s="82" t="s">
        <v>1745</v>
      </c>
      <c r="G57" s="82" t="s">
        <v>1746</v>
      </c>
      <c r="H57" s="227" t="s">
        <v>1864</v>
      </c>
      <c r="I57" s="227" t="s">
        <v>3109</v>
      </c>
      <c r="J57" s="123">
        <v>8</v>
      </c>
      <c r="K57" s="82" t="s">
        <v>586</v>
      </c>
      <c r="L57" s="228"/>
      <c r="M57" s="175">
        <v>63.5</v>
      </c>
      <c r="N57" s="173">
        <f t="shared" si="3"/>
        <v>508</v>
      </c>
      <c r="O57" s="82" t="s">
        <v>1747</v>
      </c>
      <c r="P57" s="82" t="s">
        <v>1748</v>
      </c>
      <c r="Q57" s="173">
        <f t="array" ref="Q57">INDEX($AA$8:$AF$10,MATCH(U57,$Z$8:$Z$10,0),MATCH(T57,$AA$7:$AF$7,0))</f>
        <v>15.7</v>
      </c>
      <c r="R57" s="171">
        <f t="shared" si="5"/>
        <v>7975.5999999999995</v>
      </c>
      <c r="S57" s="171" t="s">
        <v>1894</v>
      </c>
      <c r="T57" s="83" t="s">
        <v>1777</v>
      </c>
      <c r="U57" s="82" t="s">
        <v>1773</v>
      </c>
      <c r="V57" s="82" t="s">
        <v>1783</v>
      </c>
      <c r="W57" s="250" t="s">
        <v>3499</v>
      </c>
      <c r="X57" s="250" t="s">
        <v>3504</v>
      </c>
    </row>
    <row r="58" spans="1:24" ht="15.75" hidden="1" thickBot="1" x14ac:dyDescent="0.3">
      <c r="A58" s="82" t="s">
        <v>1912</v>
      </c>
      <c r="B58" s="82" t="s">
        <v>1912</v>
      </c>
      <c r="C58" s="82" t="str">
        <f t="shared" si="2"/>
        <v>X</v>
      </c>
      <c r="D58" s="228">
        <v>2022</v>
      </c>
      <c r="E58" s="82" t="s">
        <v>1653</v>
      </c>
      <c r="F58" s="82" t="s">
        <v>1745</v>
      </c>
      <c r="G58" s="82" t="s">
        <v>1746</v>
      </c>
      <c r="H58" s="227" t="s">
        <v>1864</v>
      </c>
      <c r="I58" s="227" t="s">
        <v>3109</v>
      </c>
      <c r="J58" s="272">
        <v>18</v>
      </c>
      <c r="K58" s="82" t="s">
        <v>586</v>
      </c>
      <c r="L58" s="228"/>
      <c r="M58" s="173">
        <v>62</v>
      </c>
      <c r="N58" s="173">
        <v>1116</v>
      </c>
      <c r="O58" s="82" t="s">
        <v>1747</v>
      </c>
      <c r="P58" s="82" t="s">
        <v>2844</v>
      </c>
      <c r="Q58" s="173">
        <v>12.5</v>
      </c>
      <c r="R58" s="171">
        <f>Q58*N58</f>
        <v>13950</v>
      </c>
      <c r="S58" s="171" t="s">
        <v>1894</v>
      </c>
      <c r="T58" s="82" t="s">
        <v>3062</v>
      </c>
      <c r="U58" s="82" t="s">
        <v>2844</v>
      </c>
      <c r="V58" s="82" t="s">
        <v>1759</v>
      </c>
      <c r="W58" s="250" t="s">
        <v>3499</v>
      </c>
      <c r="X58" s="250" t="s">
        <v>3504</v>
      </c>
    </row>
    <row r="59" spans="1:24" ht="15.75" hidden="1" thickBot="1" x14ac:dyDescent="0.3">
      <c r="A59" s="82" t="s">
        <v>1912</v>
      </c>
      <c r="B59" s="82" t="s">
        <v>1912</v>
      </c>
      <c r="C59" s="82" t="str">
        <f t="shared" si="2"/>
        <v>X</v>
      </c>
      <c r="D59" s="228">
        <v>2022</v>
      </c>
      <c r="E59" s="82" t="s">
        <v>1653</v>
      </c>
      <c r="F59" s="82" t="s">
        <v>1745</v>
      </c>
      <c r="G59" s="82" t="s">
        <v>1746</v>
      </c>
      <c r="H59" s="227" t="s">
        <v>1864</v>
      </c>
      <c r="I59" s="227" t="s">
        <v>3109</v>
      </c>
      <c r="J59" s="272">
        <v>2</v>
      </c>
      <c r="K59" s="82" t="s">
        <v>586</v>
      </c>
      <c r="L59" s="228"/>
      <c r="M59" s="173">
        <v>29</v>
      </c>
      <c r="N59" s="173">
        <v>58</v>
      </c>
      <c r="O59" s="82" t="s">
        <v>1747</v>
      </c>
      <c r="P59" s="82" t="s">
        <v>2844</v>
      </c>
      <c r="Q59" s="173">
        <v>5.2</v>
      </c>
      <c r="R59" s="171">
        <f>Q59*N59</f>
        <v>301.60000000000002</v>
      </c>
      <c r="S59" s="171" t="s">
        <v>1894</v>
      </c>
      <c r="T59" s="82" t="s">
        <v>3063</v>
      </c>
      <c r="U59" s="82" t="s">
        <v>2844</v>
      </c>
      <c r="V59" s="82" t="s">
        <v>1757</v>
      </c>
      <c r="W59" s="250" t="s">
        <v>3499</v>
      </c>
      <c r="X59" s="250" t="s">
        <v>3504</v>
      </c>
    </row>
    <row r="60" spans="1:24" ht="15.75" hidden="1" thickBot="1" x14ac:dyDescent="0.3">
      <c r="A60" s="82" t="s">
        <v>1912</v>
      </c>
      <c r="B60" s="82" t="s">
        <v>1912</v>
      </c>
      <c r="C60" s="82" t="str">
        <f t="shared" si="2"/>
        <v>X</v>
      </c>
      <c r="D60" s="228">
        <v>2022</v>
      </c>
      <c r="E60" s="82" t="s">
        <v>1653</v>
      </c>
      <c r="F60" s="82" t="s">
        <v>1745</v>
      </c>
      <c r="G60" s="82" t="s">
        <v>1746</v>
      </c>
      <c r="H60" s="227" t="s">
        <v>1864</v>
      </c>
      <c r="I60" s="227" t="s">
        <v>3109</v>
      </c>
      <c r="J60" s="272">
        <v>2</v>
      </c>
      <c r="K60" s="82" t="s">
        <v>586</v>
      </c>
      <c r="L60" s="228"/>
      <c r="M60" s="173">
        <v>11</v>
      </c>
      <c r="N60" s="173">
        <v>22</v>
      </c>
      <c r="O60" s="82" t="s">
        <v>1747</v>
      </c>
      <c r="P60" s="82" t="s">
        <v>2844</v>
      </c>
      <c r="Q60" s="173">
        <v>8.1</v>
      </c>
      <c r="R60" s="171">
        <f>Q60*N60</f>
        <v>178.2</v>
      </c>
      <c r="S60" s="171" t="s">
        <v>1894</v>
      </c>
      <c r="T60" s="82" t="s">
        <v>3064</v>
      </c>
      <c r="U60" s="82" t="s">
        <v>2844</v>
      </c>
      <c r="V60" s="82" t="s">
        <v>3065</v>
      </c>
      <c r="W60" s="250" t="s">
        <v>3499</v>
      </c>
      <c r="X60" s="250" t="s">
        <v>3504</v>
      </c>
    </row>
    <row r="61" spans="1:24" ht="15.75" hidden="1" thickBot="1" x14ac:dyDescent="0.3">
      <c r="A61" s="82" t="s">
        <v>4590</v>
      </c>
      <c r="B61" s="82" t="s">
        <v>4590</v>
      </c>
      <c r="C61" s="82" t="str">
        <f t="shared" si="2"/>
        <v>X</v>
      </c>
      <c r="D61" s="228">
        <v>2022</v>
      </c>
      <c r="E61" s="82" t="s">
        <v>1681</v>
      </c>
      <c r="F61" s="82" t="s">
        <v>1745</v>
      </c>
      <c r="G61" s="82" t="s">
        <v>1746</v>
      </c>
      <c r="H61" s="227" t="s">
        <v>1864</v>
      </c>
      <c r="I61" s="227" t="s">
        <v>3110</v>
      </c>
      <c r="J61" s="593">
        <v>327</v>
      </c>
      <c r="K61" s="82" t="s">
        <v>586</v>
      </c>
      <c r="L61" s="228"/>
      <c r="M61" s="173">
        <v>50</v>
      </c>
      <c r="N61" s="173">
        <v>16350</v>
      </c>
      <c r="O61" s="82" t="s">
        <v>1747</v>
      </c>
      <c r="P61" s="82" t="s">
        <v>3066</v>
      </c>
      <c r="Q61" s="173">
        <v>17</v>
      </c>
      <c r="R61" s="277">
        <f>Q61*1*52</f>
        <v>884</v>
      </c>
      <c r="S61" s="278" t="s">
        <v>3105</v>
      </c>
      <c r="T61" s="82" t="s">
        <v>3080</v>
      </c>
      <c r="U61" s="82" t="s">
        <v>3081</v>
      </c>
      <c r="V61" s="82" t="s">
        <v>3082</v>
      </c>
      <c r="W61" s="250" t="s">
        <v>3499</v>
      </c>
      <c r="X61" s="250" t="s">
        <v>3504</v>
      </c>
    </row>
    <row r="62" spans="1:24" ht="15.75" hidden="1" thickBot="1" x14ac:dyDescent="0.3">
      <c r="A62" s="82" t="s">
        <v>4590</v>
      </c>
      <c r="B62" s="82" t="s">
        <v>4590</v>
      </c>
      <c r="C62" s="82" t="str">
        <f t="shared" si="2"/>
        <v>X</v>
      </c>
      <c r="D62" s="228">
        <v>2022</v>
      </c>
      <c r="E62" s="82" t="s">
        <v>1681</v>
      </c>
      <c r="F62" s="82" t="s">
        <v>1745</v>
      </c>
      <c r="G62" s="82" t="s">
        <v>1746</v>
      </c>
      <c r="H62" s="227" t="s">
        <v>1864</v>
      </c>
      <c r="I62" s="227" t="s">
        <v>3110</v>
      </c>
      <c r="J62" s="593">
        <v>109</v>
      </c>
      <c r="K62" s="82" t="s">
        <v>586</v>
      </c>
      <c r="L62" s="228"/>
      <c r="M62" s="173">
        <v>50</v>
      </c>
      <c r="N62" s="173">
        <v>5450</v>
      </c>
      <c r="O62" s="82" t="s">
        <v>1747</v>
      </c>
      <c r="P62" s="82" t="s">
        <v>3067</v>
      </c>
      <c r="Q62" s="173">
        <v>325</v>
      </c>
      <c r="R62" s="277">
        <f>Q62*1*52</f>
        <v>16900</v>
      </c>
      <c r="S62" s="278" t="s">
        <v>3105</v>
      </c>
      <c r="T62" s="82" t="s">
        <v>3083</v>
      </c>
      <c r="U62" s="82" t="s">
        <v>3081</v>
      </c>
      <c r="V62" s="82" t="s">
        <v>3082</v>
      </c>
      <c r="W62" s="250" t="s">
        <v>3499</v>
      </c>
      <c r="X62" s="250" t="s">
        <v>3504</v>
      </c>
    </row>
    <row r="63" spans="1:24" ht="15.75" hidden="1" thickBot="1" x14ac:dyDescent="0.3">
      <c r="A63" s="82" t="s">
        <v>4590</v>
      </c>
      <c r="B63" s="82" t="s">
        <v>4590</v>
      </c>
      <c r="C63" s="82" t="str">
        <f t="shared" si="2"/>
        <v>X</v>
      </c>
      <c r="D63" s="228">
        <v>2022</v>
      </c>
      <c r="E63" s="82" t="s">
        <v>1681</v>
      </c>
      <c r="F63" s="82" t="s">
        <v>1745</v>
      </c>
      <c r="G63" s="82" t="s">
        <v>1746</v>
      </c>
      <c r="H63" s="227" t="s">
        <v>1864</v>
      </c>
      <c r="I63" s="227" t="s">
        <v>3110</v>
      </c>
      <c r="J63" s="593">
        <v>653</v>
      </c>
      <c r="K63" s="82" t="s">
        <v>586</v>
      </c>
      <c r="L63" s="228"/>
      <c r="M63" s="173">
        <v>50</v>
      </c>
      <c r="N63" s="173">
        <v>32650</v>
      </c>
      <c r="O63" s="82" t="s">
        <v>1747</v>
      </c>
      <c r="P63" s="82" t="s">
        <v>3068</v>
      </c>
      <c r="Q63" s="173">
        <v>34.5</v>
      </c>
      <c r="R63" s="240">
        <f>Q63*2*12</f>
        <v>828</v>
      </c>
      <c r="S63" s="278" t="s">
        <v>3105</v>
      </c>
      <c r="T63" s="82" t="s">
        <v>3084</v>
      </c>
      <c r="U63" s="82" t="s">
        <v>3081</v>
      </c>
      <c r="V63" s="82" t="s">
        <v>3085</v>
      </c>
      <c r="W63" s="250" t="s">
        <v>3499</v>
      </c>
      <c r="X63" s="250" t="s">
        <v>3504</v>
      </c>
    </row>
    <row r="64" spans="1:24" ht="15.75" hidden="1" thickBot="1" x14ac:dyDescent="0.3">
      <c r="A64" s="82" t="s">
        <v>4590</v>
      </c>
      <c r="B64" s="82" t="s">
        <v>4590</v>
      </c>
      <c r="C64" s="82" t="str">
        <f t="shared" si="2"/>
        <v>X</v>
      </c>
      <c r="D64" s="228">
        <v>2022</v>
      </c>
      <c r="E64" s="82" t="s">
        <v>1681</v>
      </c>
      <c r="F64" s="82" t="s">
        <v>1745</v>
      </c>
      <c r="G64" s="82" t="s">
        <v>1746</v>
      </c>
      <c r="H64" s="227" t="s">
        <v>1864</v>
      </c>
      <c r="I64" s="227" t="s">
        <v>3109</v>
      </c>
      <c r="J64" s="593">
        <v>24</v>
      </c>
      <c r="K64" s="82" t="s">
        <v>586</v>
      </c>
      <c r="L64" s="228"/>
      <c r="M64" s="173">
        <v>14</v>
      </c>
      <c r="N64" s="173">
        <v>336</v>
      </c>
      <c r="O64" s="82" t="s">
        <v>1747</v>
      </c>
      <c r="P64" s="82" t="s">
        <v>3069</v>
      </c>
      <c r="Q64" s="173">
        <v>5.8</v>
      </c>
      <c r="R64" s="240">
        <f>Q64*N64</f>
        <v>1948.8</v>
      </c>
      <c r="S64" s="171" t="s">
        <v>1894</v>
      </c>
      <c r="T64" s="82" t="s">
        <v>3086</v>
      </c>
      <c r="U64" s="82" t="s">
        <v>3081</v>
      </c>
      <c r="V64" s="82"/>
      <c r="W64" s="250" t="s">
        <v>3499</v>
      </c>
      <c r="X64" s="250" t="s">
        <v>3504</v>
      </c>
    </row>
    <row r="65" spans="1:24" ht="15.75" hidden="1" thickBot="1" x14ac:dyDescent="0.3">
      <c r="A65" s="82" t="s">
        <v>4590</v>
      </c>
      <c r="B65" s="82" t="s">
        <v>4590</v>
      </c>
      <c r="C65" s="82" t="str">
        <f t="shared" si="2"/>
        <v>X</v>
      </c>
      <c r="D65" s="228">
        <v>2022</v>
      </c>
      <c r="E65" s="82" t="s">
        <v>1681</v>
      </c>
      <c r="F65" s="82" t="s">
        <v>1745</v>
      </c>
      <c r="G65" s="82" t="s">
        <v>1746</v>
      </c>
      <c r="H65" s="227" t="s">
        <v>1864</v>
      </c>
      <c r="I65" s="227" t="s">
        <v>3109</v>
      </c>
      <c r="J65" s="593">
        <v>272</v>
      </c>
      <c r="K65" s="82" t="s">
        <v>586</v>
      </c>
      <c r="L65" s="228"/>
      <c r="M65" s="173">
        <v>50</v>
      </c>
      <c r="N65" s="173">
        <v>13600</v>
      </c>
      <c r="O65" s="82" t="s">
        <v>1747</v>
      </c>
      <c r="P65" s="82" t="s">
        <v>3070</v>
      </c>
      <c r="Q65" s="173">
        <v>50.6</v>
      </c>
      <c r="R65" s="240">
        <f>Q65*N65</f>
        <v>688160</v>
      </c>
      <c r="S65" s="171" t="s">
        <v>1894</v>
      </c>
      <c r="T65" s="82" t="s">
        <v>3087</v>
      </c>
      <c r="U65" s="82" t="s">
        <v>3081</v>
      </c>
      <c r="V65" s="82"/>
      <c r="W65" s="250" t="s">
        <v>3499</v>
      </c>
      <c r="X65" s="250" t="s">
        <v>3504</v>
      </c>
    </row>
    <row r="66" spans="1:24" ht="15.75" hidden="1" thickBot="1" x14ac:dyDescent="0.3">
      <c r="A66" s="82" t="s">
        <v>4590</v>
      </c>
      <c r="B66" s="82" t="s">
        <v>4590</v>
      </c>
      <c r="C66" s="82" t="str">
        <f t="shared" si="2"/>
        <v>X</v>
      </c>
      <c r="D66" s="228">
        <v>2022</v>
      </c>
      <c r="E66" s="82" t="s">
        <v>1653</v>
      </c>
      <c r="F66" s="82" t="s">
        <v>1745</v>
      </c>
      <c r="G66" s="82" t="s">
        <v>1746</v>
      </c>
      <c r="H66" s="227" t="s">
        <v>1864</v>
      </c>
      <c r="I66" s="227" t="s">
        <v>3109</v>
      </c>
      <c r="J66" s="593">
        <v>83</v>
      </c>
      <c r="K66" s="82" t="s">
        <v>586</v>
      </c>
      <c r="L66" s="228"/>
      <c r="M66" s="173">
        <v>60</v>
      </c>
      <c r="N66" s="173">
        <v>4980</v>
      </c>
      <c r="O66" s="82" t="s">
        <v>1747</v>
      </c>
      <c r="P66" s="82" t="s">
        <v>3071</v>
      </c>
      <c r="Q66" s="173">
        <v>47.9</v>
      </c>
      <c r="R66" s="240">
        <f>Q66*N66</f>
        <v>238542</v>
      </c>
      <c r="S66" s="171" t="s">
        <v>1894</v>
      </c>
      <c r="T66" s="82" t="s">
        <v>3088</v>
      </c>
      <c r="U66" s="82" t="s">
        <v>3089</v>
      </c>
      <c r="V66" s="82"/>
      <c r="W66" s="250" t="s">
        <v>3499</v>
      </c>
      <c r="X66" s="250" t="s">
        <v>3504</v>
      </c>
    </row>
    <row r="67" spans="1:24" ht="15.75" hidden="1" thickBot="1" x14ac:dyDescent="0.3">
      <c r="A67" s="82" t="s">
        <v>4590</v>
      </c>
      <c r="B67" s="82" t="s">
        <v>4590</v>
      </c>
      <c r="C67" s="82" t="str">
        <f t="shared" si="2"/>
        <v>X</v>
      </c>
      <c r="D67" s="228">
        <v>2022</v>
      </c>
      <c r="E67" s="82" t="s">
        <v>1653</v>
      </c>
      <c r="F67" s="82" t="s">
        <v>1745</v>
      </c>
      <c r="G67" s="82" t="s">
        <v>1746</v>
      </c>
      <c r="H67" s="227" t="s">
        <v>1864</v>
      </c>
      <c r="I67" s="227" t="s">
        <v>3109</v>
      </c>
      <c r="J67" s="593">
        <v>48</v>
      </c>
      <c r="K67" s="82" t="s">
        <v>586</v>
      </c>
      <c r="L67" s="228"/>
      <c r="M67" s="173">
        <v>0.15</v>
      </c>
      <c r="N67" s="173">
        <v>7.1999999999999993</v>
      </c>
      <c r="O67" s="82" t="s">
        <v>1747</v>
      </c>
      <c r="P67" s="82" t="s">
        <v>3072</v>
      </c>
      <c r="Q67" s="173">
        <v>23.2</v>
      </c>
      <c r="R67" s="240">
        <f>Q67*N67</f>
        <v>167.04</v>
      </c>
      <c r="S67" s="171" t="s">
        <v>1894</v>
      </c>
      <c r="T67" s="82" t="s">
        <v>3090</v>
      </c>
      <c r="U67" s="82" t="s">
        <v>3081</v>
      </c>
      <c r="V67" s="82" t="s">
        <v>3091</v>
      </c>
      <c r="W67" s="250" t="s">
        <v>3499</v>
      </c>
      <c r="X67" s="250" t="s">
        <v>3504</v>
      </c>
    </row>
    <row r="68" spans="1:24" ht="15.75" hidden="1" thickBot="1" x14ac:dyDescent="0.3">
      <c r="A68" s="82" t="s">
        <v>4590</v>
      </c>
      <c r="B68" s="82" t="s">
        <v>4590</v>
      </c>
      <c r="C68" s="82" t="str">
        <f t="shared" ref="C68:C131" si="6">IF(A68=B68,"X",RIGHT(A68,LEN(A68)-LEN(B68)-3))</f>
        <v>X</v>
      </c>
      <c r="D68" s="228">
        <v>2022</v>
      </c>
      <c r="E68" s="82" t="s">
        <v>2982</v>
      </c>
      <c r="F68" s="82" t="s">
        <v>1745</v>
      </c>
      <c r="G68" s="82" t="s">
        <v>1746</v>
      </c>
      <c r="H68" s="227" t="s">
        <v>1864</v>
      </c>
      <c r="I68" s="227" t="s">
        <v>3110</v>
      </c>
      <c r="J68" s="593">
        <v>71476</v>
      </c>
      <c r="K68" s="82" t="s">
        <v>586</v>
      </c>
      <c r="L68" s="228"/>
      <c r="M68" s="286">
        <v>0</v>
      </c>
      <c r="N68" s="286">
        <v>0</v>
      </c>
      <c r="O68" s="82" t="s">
        <v>1747</v>
      </c>
      <c r="P68" s="82" t="s">
        <v>3073</v>
      </c>
      <c r="Q68" s="173">
        <v>22.4</v>
      </c>
      <c r="R68" s="240">
        <f>Q68*365</f>
        <v>8175.9999999999991</v>
      </c>
      <c r="S68" s="278" t="s">
        <v>3105</v>
      </c>
      <c r="T68" s="82" t="s">
        <v>3092</v>
      </c>
      <c r="U68" s="82" t="s">
        <v>3081</v>
      </c>
      <c r="V68" s="82" t="s">
        <v>3093</v>
      </c>
      <c r="W68" s="250" t="s">
        <v>3499</v>
      </c>
      <c r="X68" s="250" t="s">
        <v>3504</v>
      </c>
    </row>
    <row r="69" spans="1:24" ht="15.75" hidden="1" thickBot="1" x14ac:dyDescent="0.3">
      <c r="A69" s="82" t="s">
        <v>4590</v>
      </c>
      <c r="B69" s="82" t="s">
        <v>4590</v>
      </c>
      <c r="C69" s="82" t="str">
        <f t="shared" si="6"/>
        <v>X</v>
      </c>
      <c r="D69" s="228">
        <v>2022</v>
      </c>
      <c r="E69" s="82" t="s">
        <v>2982</v>
      </c>
      <c r="F69" s="82" t="s">
        <v>1745</v>
      </c>
      <c r="G69" s="82" t="s">
        <v>1746</v>
      </c>
      <c r="H69" s="227" t="s">
        <v>1864</v>
      </c>
      <c r="I69" s="227" t="s">
        <v>3110</v>
      </c>
      <c r="J69" s="593">
        <v>15316</v>
      </c>
      <c r="K69" s="82" t="s">
        <v>586</v>
      </c>
      <c r="L69" s="228"/>
      <c r="M69" s="286">
        <v>0</v>
      </c>
      <c r="N69" s="286">
        <v>0</v>
      </c>
      <c r="O69" s="82" t="s">
        <v>1747</v>
      </c>
      <c r="P69" s="82" t="s">
        <v>3071</v>
      </c>
      <c r="Q69" s="173">
        <v>51.2</v>
      </c>
      <c r="R69" s="240">
        <f>Q69*1*52</f>
        <v>2662.4</v>
      </c>
      <c r="S69" s="278" t="s">
        <v>3105</v>
      </c>
      <c r="T69" s="82" t="s">
        <v>3094</v>
      </c>
      <c r="U69" s="82" t="s">
        <v>3081</v>
      </c>
      <c r="V69" s="82" t="s">
        <v>3095</v>
      </c>
      <c r="W69" s="250" t="s">
        <v>3499</v>
      </c>
      <c r="X69" s="250" t="s">
        <v>3504</v>
      </c>
    </row>
    <row r="70" spans="1:24" ht="15.75" hidden="1" thickBot="1" x14ac:dyDescent="0.3">
      <c r="A70" s="82" t="s">
        <v>4590</v>
      </c>
      <c r="B70" s="82" t="s">
        <v>4590</v>
      </c>
      <c r="C70" s="82" t="str">
        <f t="shared" si="6"/>
        <v>X</v>
      </c>
      <c r="D70" s="228">
        <v>2022</v>
      </c>
      <c r="E70" s="82" t="s">
        <v>2982</v>
      </c>
      <c r="F70" s="82" t="s">
        <v>1745</v>
      </c>
      <c r="G70" s="82" t="s">
        <v>1746</v>
      </c>
      <c r="H70" s="227" t="s">
        <v>1864</v>
      </c>
      <c r="I70" s="227" t="s">
        <v>3110</v>
      </c>
      <c r="J70" s="593">
        <v>15317</v>
      </c>
      <c r="K70" s="82" t="s">
        <v>586</v>
      </c>
      <c r="L70" s="228"/>
      <c r="M70" s="286">
        <v>0</v>
      </c>
      <c r="N70" s="286">
        <v>0</v>
      </c>
      <c r="O70" s="82" t="s">
        <v>1747</v>
      </c>
      <c r="P70" s="82" t="s">
        <v>3074</v>
      </c>
      <c r="Q70" s="173">
        <v>22.8</v>
      </c>
      <c r="R70" s="240">
        <f>Q70*1*52</f>
        <v>1185.6000000000001</v>
      </c>
      <c r="S70" s="278" t="s">
        <v>3105</v>
      </c>
      <c r="T70" s="82" t="s">
        <v>1751</v>
      </c>
      <c r="U70" s="82" t="s">
        <v>3081</v>
      </c>
      <c r="V70" s="82" t="s">
        <v>3095</v>
      </c>
      <c r="W70" s="250" t="s">
        <v>3499</v>
      </c>
      <c r="X70" s="250" t="s">
        <v>3504</v>
      </c>
    </row>
    <row r="71" spans="1:24" ht="15.75" hidden="1" thickBot="1" x14ac:dyDescent="0.3">
      <c r="A71" s="82" t="s">
        <v>4590</v>
      </c>
      <c r="B71" s="82" t="s">
        <v>4590</v>
      </c>
      <c r="C71" s="82" t="str">
        <f t="shared" si="6"/>
        <v>X</v>
      </c>
      <c r="D71" s="228">
        <v>2022</v>
      </c>
      <c r="E71" s="82" t="s">
        <v>2982</v>
      </c>
      <c r="F71" s="82" t="s">
        <v>1745</v>
      </c>
      <c r="G71" s="82" t="s">
        <v>1746</v>
      </c>
      <c r="H71" s="227" t="s">
        <v>1864</v>
      </c>
      <c r="I71" s="227" t="s">
        <v>3110</v>
      </c>
      <c r="J71" s="593">
        <v>6994.4</v>
      </c>
      <c r="K71" s="82" t="s">
        <v>586</v>
      </c>
      <c r="L71" s="228"/>
      <c r="M71" s="286">
        <v>0</v>
      </c>
      <c r="N71" s="286">
        <v>0</v>
      </c>
      <c r="O71" s="82" t="s">
        <v>1747</v>
      </c>
      <c r="P71" s="82" t="s">
        <v>3075</v>
      </c>
      <c r="Q71" s="173">
        <v>5.5</v>
      </c>
      <c r="R71" s="240">
        <f>Q71*365</f>
        <v>2007.5</v>
      </c>
      <c r="S71" s="278" t="s">
        <v>3105</v>
      </c>
      <c r="T71" s="82" t="s">
        <v>3096</v>
      </c>
      <c r="U71" s="82" t="s">
        <v>3081</v>
      </c>
      <c r="V71" s="82" t="s">
        <v>3093</v>
      </c>
      <c r="W71" s="250" t="s">
        <v>3499</v>
      </c>
      <c r="X71" s="250" t="s">
        <v>3504</v>
      </c>
    </row>
    <row r="72" spans="1:24" ht="15.75" hidden="1" thickBot="1" x14ac:dyDescent="0.3">
      <c r="A72" s="82" t="s">
        <v>4590</v>
      </c>
      <c r="B72" s="82" t="s">
        <v>4590</v>
      </c>
      <c r="C72" s="82" t="str">
        <f t="shared" si="6"/>
        <v>X</v>
      </c>
      <c r="D72" s="228">
        <v>2022</v>
      </c>
      <c r="E72" s="82" t="s">
        <v>2983</v>
      </c>
      <c r="F72" s="82" t="s">
        <v>1745</v>
      </c>
      <c r="G72" s="82" t="s">
        <v>1746</v>
      </c>
      <c r="H72" s="227" t="s">
        <v>1864</v>
      </c>
      <c r="I72" s="227" t="s">
        <v>3110</v>
      </c>
      <c r="J72" s="593">
        <v>150.9</v>
      </c>
      <c r="K72" s="82" t="s">
        <v>586</v>
      </c>
      <c r="L72" s="228"/>
      <c r="M72" s="286">
        <v>0</v>
      </c>
      <c r="N72" s="286">
        <v>0</v>
      </c>
      <c r="O72" s="82" t="s">
        <v>1747</v>
      </c>
      <c r="P72" s="82" t="s">
        <v>3076</v>
      </c>
      <c r="Q72" s="173">
        <v>3.6</v>
      </c>
      <c r="R72" s="240">
        <f>Q72*3*52</f>
        <v>561.6</v>
      </c>
      <c r="S72" s="278" t="s">
        <v>3105</v>
      </c>
      <c r="T72" s="82" t="s">
        <v>3097</v>
      </c>
      <c r="U72" s="82" t="s">
        <v>3081</v>
      </c>
      <c r="V72" s="82" t="s">
        <v>3098</v>
      </c>
      <c r="W72" s="250" t="s">
        <v>3499</v>
      </c>
      <c r="X72" s="250" t="s">
        <v>3504</v>
      </c>
    </row>
    <row r="73" spans="1:24" ht="15.75" hidden="1" thickBot="1" x14ac:dyDescent="0.3">
      <c r="A73" s="82" t="s">
        <v>4590</v>
      </c>
      <c r="B73" s="82" t="s">
        <v>4590</v>
      </c>
      <c r="C73" s="82" t="str">
        <f t="shared" si="6"/>
        <v>X</v>
      </c>
      <c r="D73" s="228">
        <v>2022</v>
      </c>
      <c r="E73" s="82" t="s">
        <v>1659</v>
      </c>
      <c r="F73" s="82" t="s">
        <v>1745</v>
      </c>
      <c r="G73" s="82" t="s">
        <v>1746</v>
      </c>
      <c r="H73" s="227" t="s">
        <v>1864</v>
      </c>
      <c r="I73" s="227" t="s">
        <v>3110</v>
      </c>
      <c r="J73" s="341">
        <v>32587</v>
      </c>
      <c r="K73" s="82" t="s">
        <v>630</v>
      </c>
      <c r="L73" s="228"/>
      <c r="M73" s="286">
        <v>0</v>
      </c>
      <c r="N73" s="286">
        <v>0</v>
      </c>
      <c r="O73" s="82" t="s">
        <v>1747</v>
      </c>
      <c r="P73" s="82" t="s">
        <v>3077</v>
      </c>
      <c r="Q73" s="173">
        <v>8.8000000000000007</v>
      </c>
      <c r="R73" s="240">
        <v>0</v>
      </c>
      <c r="S73" s="278" t="s">
        <v>3105</v>
      </c>
      <c r="T73" s="82" t="s">
        <v>3099</v>
      </c>
      <c r="U73" s="82" t="s">
        <v>3100</v>
      </c>
      <c r="V73" s="276" t="s">
        <v>3101</v>
      </c>
      <c r="W73" s="250" t="s">
        <v>3499</v>
      </c>
      <c r="X73" s="250" t="s">
        <v>3504</v>
      </c>
    </row>
    <row r="74" spans="1:24" ht="15.75" hidden="1" thickBot="1" x14ac:dyDescent="0.3">
      <c r="A74" s="82" t="s">
        <v>4590</v>
      </c>
      <c r="B74" s="82" t="s">
        <v>4590</v>
      </c>
      <c r="C74" s="82" t="str">
        <f t="shared" si="6"/>
        <v>X</v>
      </c>
      <c r="D74" s="228">
        <v>2022</v>
      </c>
      <c r="E74" s="82" t="s">
        <v>1659</v>
      </c>
      <c r="F74" s="82" t="s">
        <v>1745</v>
      </c>
      <c r="G74" s="82" t="s">
        <v>1746</v>
      </c>
      <c r="H74" s="227" t="s">
        <v>1864</v>
      </c>
      <c r="I74" s="227" t="s">
        <v>3110</v>
      </c>
      <c r="J74" s="593">
        <v>130348</v>
      </c>
      <c r="K74" s="82" t="s">
        <v>630</v>
      </c>
      <c r="L74" s="228"/>
      <c r="M74" s="286">
        <v>0</v>
      </c>
      <c r="N74" s="286">
        <v>0</v>
      </c>
      <c r="O74" s="82" t="s">
        <v>1747</v>
      </c>
      <c r="P74" s="82" t="s">
        <v>3078</v>
      </c>
      <c r="Q74" s="173">
        <v>332</v>
      </c>
      <c r="R74" s="240">
        <f>Q74*3*12</f>
        <v>11952</v>
      </c>
      <c r="S74" s="278" t="s">
        <v>3105</v>
      </c>
      <c r="T74" s="82" t="s">
        <v>3099</v>
      </c>
      <c r="U74" s="82" t="s">
        <v>3081</v>
      </c>
      <c r="V74" s="82" t="s">
        <v>3102</v>
      </c>
      <c r="W74" s="250" t="s">
        <v>3499</v>
      </c>
      <c r="X74" s="250" t="s">
        <v>3504</v>
      </c>
    </row>
    <row r="75" spans="1:24" ht="15.75" hidden="1" thickBot="1" x14ac:dyDescent="0.3">
      <c r="A75" s="82" t="s">
        <v>4590</v>
      </c>
      <c r="B75" s="82" t="s">
        <v>4590</v>
      </c>
      <c r="C75" s="82" t="str">
        <f t="shared" si="6"/>
        <v>X</v>
      </c>
      <c r="D75" s="228">
        <v>2022</v>
      </c>
      <c r="E75" s="82" t="s">
        <v>1659</v>
      </c>
      <c r="F75" s="82" t="s">
        <v>1745</v>
      </c>
      <c r="G75" s="82" t="s">
        <v>1746</v>
      </c>
      <c r="H75" s="227" t="s">
        <v>1864</v>
      </c>
      <c r="I75" s="227" t="s">
        <v>3110</v>
      </c>
      <c r="J75" s="341">
        <v>29648</v>
      </c>
      <c r="K75" s="82" t="s">
        <v>586</v>
      </c>
      <c r="L75" s="228"/>
      <c r="M75" s="286">
        <v>0</v>
      </c>
      <c r="N75" s="286">
        <v>0</v>
      </c>
      <c r="O75" s="82" t="s">
        <v>1747</v>
      </c>
      <c r="P75" s="82" t="s">
        <v>2853</v>
      </c>
      <c r="Q75" s="173">
        <v>0.45</v>
      </c>
      <c r="R75" s="240">
        <f>Q75*2*52</f>
        <v>46.800000000000004</v>
      </c>
      <c r="S75" s="278" t="s">
        <v>3105</v>
      </c>
      <c r="T75" s="82" t="s">
        <v>3103</v>
      </c>
      <c r="U75" s="82" t="s">
        <v>3081</v>
      </c>
      <c r="V75" s="82" t="s">
        <v>3106</v>
      </c>
      <c r="W75" s="250" t="s">
        <v>3499</v>
      </c>
      <c r="X75" s="250" t="s">
        <v>3504</v>
      </c>
    </row>
    <row r="76" spans="1:24" ht="15.75" hidden="1" thickBot="1" x14ac:dyDescent="0.3">
      <c r="A76" s="82" t="s">
        <v>4590</v>
      </c>
      <c r="B76" s="82" t="s">
        <v>4590</v>
      </c>
      <c r="C76" s="82" t="str">
        <f t="shared" si="6"/>
        <v>X</v>
      </c>
      <c r="D76" s="228">
        <v>2022</v>
      </c>
      <c r="E76" s="82" t="s">
        <v>1659</v>
      </c>
      <c r="F76" s="82" t="s">
        <v>1745</v>
      </c>
      <c r="G76" s="82" t="s">
        <v>1746</v>
      </c>
      <c r="H76" s="227" t="s">
        <v>1864</v>
      </c>
      <c r="I76" s="227" t="s">
        <v>3110</v>
      </c>
      <c r="J76" s="593">
        <v>29647</v>
      </c>
      <c r="K76" s="82" t="s">
        <v>586</v>
      </c>
      <c r="L76" s="228"/>
      <c r="M76" s="286">
        <v>0</v>
      </c>
      <c r="N76" s="286">
        <v>0</v>
      </c>
      <c r="O76" s="82" t="s">
        <v>1747</v>
      </c>
      <c r="P76" s="82" t="s">
        <v>3079</v>
      </c>
      <c r="Q76" s="173">
        <v>13.1</v>
      </c>
      <c r="R76" s="240">
        <f>Q76*2*52</f>
        <v>1362.3999999999999</v>
      </c>
      <c r="S76" s="278" t="s">
        <v>3105</v>
      </c>
      <c r="T76" s="82" t="s">
        <v>3104</v>
      </c>
      <c r="U76" s="82" t="s">
        <v>3081</v>
      </c>
      <c r="V76" s="82" t="s">
        <v>3107</v>
      </c>
      <c r="W76" s="250" t="s">
        <v>3499</v>
      </c>
      <c r="X76" s="250" t="s">
        <v>3504</v>
      </c>
    </row>
    <row r="77" spans="1:24" ht="15.75" hidden="1" thickBot="1" x14ac:dyDescent="0.3">
      <c r="A77" s="274" t="s">
        <v>2817</v>
      </c>
      <c r="B77" s="274" t="s">
        <v>2817</v>
      </c>
      <c r="C77" s="82" t="str">
        <f t="shared" si="6"/>
        <v>X</v>
      </c>
      <c r="D77" s="228">
        <v>2022</v>
      </c>
      <c r="E77" s="82" t="s">
        <v>1653</v>
      </c>
      <c r="F77" s="82" t="s">
        <v>1745</v>
      </c>
      <c r="G77" s="82" t="s">
        <v>1746</v>
      </c>
      <c r="H77" s="227" t="s">
        <v>1864</v>
      </c>
      <c r="I77" s="227" t="s">
        <v>3110</v>
      </c>
      <c r="J77" s="272">
        <v>19</v>
      </c>
      <c r="K77" s="82" t="s">
        <v>586</v>
      </c>
      <c r="L77" s="228"/>
      <c r="M77" s="173">
        <v>30</v>
      </c>
      <c r="N77" s="173">
        <v>570</v>
      </c>
      <c r="O77" s="82" t="s">
        <v>1747</v>
      </c>
      <c r="P77" s="82" t="s">
        <v>1748</v>
      </c>
      <c r="Q77" s="173">
        <v>25</v>
      </c>
      <c r="R77" s="171">
        <f>N77*Q77</f>
        <v>14250</v>
      </c>
      <c r="S77" s="171" t="s">
        <v>1894</v>
      </c>
      <c r="T77" s="82" t="s">
        <v>3111</v>
      </c>
      <c r="U77" s="82" t="s">
        <v>1797</v>
      </c>
      <c r="V77" s="82" t="s">
        <v>1759</v>
      </c>
      <c r="W77" s="250" t="s">
        <v>3499</v>
      </c>
      <c r="X77" s="250" t="s">
        <v>3504</v>
      </c>
    </row>
    <row r="78" spans="1:24" ht="15.75" hidden="1" thickBot="1" x14ac:dyDescent="0.3">
      <c r="A78" s="274" t="s">
        <v>2817</v>
      </c>
      <c r="B78" s="274" t="s">
        <v>2817</v>
      </c>
      <c r="C78" s="82" t="str">
        <f t="shared" si="6"/>
        <v>X</v>
      </c>
      <c r="D78" s="228">
        <v>2022</v>
      </c>
      <c r="E78" s="82" t="s">
        <v>1681</v>
      </c>
      <c r="F78" s="82" t="s">
        <v>1745</v>
      </c>
      <c r="G78" s="82" t="s">
        <v>1746</v>
      </c>
      <c r="H78" s="227" t="s">
        <v>1864</v>
      </c>
      <c r="I78" s="227" t="s">
        <v>3110</v>
      </c>
      <c r="J78" s="272">
        <v>116</v>
      </c>
      <c r="K78" s="82" t="s">
        <v>586</v>
      </c>
      <c r="L78" s="228"/>
      <c r="M78" s="173">
        <v>64</v>
      </c>
      <c r="N78" s="173">
        <v>7424</v>
      </c>
      <c r="O78" s="82" t="s">
        <v>1747</v>
      </c>
      <c r="P78" s="82" t="s">
        <v>1748</v>
      </c>
      <c r="Q78" s="173">
        <v>25</v>
      </c>
      <c r="R78" s="171">
        <f>N78*Q78</f>
        <v>185600</v>
      </c>
      <c r="S78" s="171" t="s">
        <v>1894</v>
      </c>
      <c r="T78" s="82" t="s">
        <v>3112</v>
      </c>
      <c r="U78" s="82" t="s">
        <v>1797</v>
      </c>
      <c r="V78" s="82" t="s">
        <v>3113</v>
      </c>
      <c r="W78" s="250" t="s">
        <v>3499</v>
      </c>
      <c r="X78" s="250" t="s">
        <v>3504</v>
      </c>
    </row>
    <row r="79" spans="1:24" ht="15.75" hidden="1" thickBot="1" x14ac:dyDescent="0.3">
      <c r="A79" s="82" t="s">
        <v>4595</v>
      </c>
      <c r="B79" s="82" t="s">
        <v>4595</v>
      </c>
      <c r="C79" s="82" t="str">
        <f t="shared" si="6"/>
        <v>X</v>
      </c>
      <c r="D79" s="228">
        <v>2022</v>
      </c>
      <c r="E79" s="83" t="s">
        <v>1653</v>
      </c>
      <c r="F79" s="83" t="s">
        <v>1745</v>
      </c>
      <c r="G79" s="82" t="s">
        <v>1746</v>
      </c>
      <c r="H79" s="227" t="s">
        <v>1864</v>
      </c>
      <c r="I79" s="279" t="s">
        <v>3110</v>
      </c>
      <c r="J79" s="272">
        <v>4</v>
      </c>
      <c r="K79" s="82" t="s">
        <v>586</v>
      </c>
      <c r="L79" s="228"/>
      <c r="M79" s="173">
        <v>54.9</v>
      </c>
      <c r="N79" s="173">
        <v>219.6</v>
      </c>
      <c r="O79" s="82" t="s">
        <v>1747</v>
      </c>
      <c r="P79" s="82" t="s">
        <v>1748</v>
      </c>
      <c r="Q79" s="173">
        <v>108</v>
      </c>
      <c r="R79" s="177">
        <f>Q79</f>
        <v>108</v>
      </c>
      <c r="S79" s="278" t="s">
        <v>3105</v>
      </c>
      <c r="T79" s="82" t="s">
        <v>1751</v>
      </c>
      <c r="U79" s="82"/>
      <c r="V79" s="82" t="s">
        <v>3115</v>
      </c>
      <c r="W79" s="250" t="s">
        <v>3499</v>
      </c>
      <c r="X79" s="250" t="s">
        <v>3504</v>
      </c>
    </row>
    <row r="80" spans="1:24" ht="15.75" hidden="1" thickBot="1" x14ac:dyDescent="0.3">
      <c r="A80" s="82" t="s">
        <v>4595</v>
      </c>
      <c r="B80" s="82" t="s">
        <v>4595</v>
      </c>
      <c r="C80" s="82" t="str">
        <f t="shared" si="6"/>
        <v>X</v>
      </c>
      <c r="D80" s="228">
        <v>2022</v>
      </c>
      <c r="E80" s="83" t="s">
        <v>1653</v>
      </c>
      <c r="F80" s="82" t="s">
        <v>1745</v>
      </c>
      <c r="G80" s="82" t="s">
        <v>1746</v>
      </c>
      <c r="H80" s="227" t="s">
        <v>1864</v>
      </c>
      <c r="I80" s="279" t="s">
        <v>3110</v>
      </c>
      <c r="J80" s="272">
        <v>4</v>
      </c>
      <c r="K80" s="82" t="s">
        <v>586</v>
      </c>
      <c r="L80" s="228"/>
      <c r="M80" s="173">
        <v>54.9</v>
      </c>
      <c r="N80" s="173">
        <v>219.6</v>
      </c>
      <c r="O80" s="82" t="s">
        <v>1747</v>
      </c>
      <c r="P80" s="82" t="s">
        <v>1748</v>
      </c>
      <c r="Q80" s="173">
        <v>108</v>
      </c>
      <c r="R80" s="177">
        <f t="shared" ref="R80:R143" si="7">Q80</f>
        <v>108</v>
      </c>
      <c r="S80" s="278" t="s">
        <v>3105</v>
      </c>
      <c r="T80" s="82" t="s">
        <v>1751</v>
      </c>
      <c r="U80" s="82"/>
      <c r="V80" s="82" t="s">
        <v>3115</v>
      </c>
      <c r="W80" s="250" t="s">
        <v>3499</v>
      </c>
      <c r="X80" s="250" t="s">
        <v>3504</v>
      </c>
    </row>
    <row r="81" spans="1:24" ht="15.75" hidden="1" thickBot="1" x14ac:dyDescent="0.3">
      <c r="A81" s="82" t="s">
        <v>4595</v>
      </c>
      <c r="B81" s="82" t="s">
        <v>4595</v>
      </c>
      <c r="C81" s="82" t="str">
        <f t="shared" si="6"/>
        <v>X</v>
      </c>
      <c r="D81" s="228">
        <v>2022</v>
      </c>
      <c r="E81" s="83" t="s">
        <v>1653</v>
      </c>
      <c r="F81" s="82" t="s">
        <v>1745</v>
      </c>
      <c r="G81" s="82" t="s">
        <v>1746</v>
      </c>
      <c r="H81" s="227" t="s">
        <v>1864</v>
      </c>
      <c r="I81" s="279" t="s">
        <v>3110</v>
      </c>
      <c r="J81" s="272">
        <v>4</v>
      </c>
      <c r="K81" s="82" t="s">
        <v>586</v>
      </c>
      <c r="L81" s="228"/>
      <c r="M81" s="173">
        <v>54.9</v>
      </c>
      <c r="N81" s="173">
        <v>219.6</v>
      </c>
      <c r="O81" s="82" t="s">
        <v>1747</v>
      </c>
      <c r="P81" s="82" t="s">
        <v>1748</v>
      </c>
      <c r="Q81" s="173">
        <v>108</v>
      </c>
      <c r="R81" s="177">
        <f t="shared" si="7"/>
        <v>108</v>
      </c>
      <c r="S81" s="278" t="s">
        <v>3105</v>
      </c>
      <c r="T81" s="82" t="s">
        <v>1751</v>
      </c>
      <c r="U81" s="82"/>
      <c r="V81" s="82" t="s">
        <v>3115</v>
      </c>
      <c r="W81" s="250" t="s">
        <v>3499</v>
      </c>
      <c r="X81" s="250" t="s">
        <v>3504</v>
      </c>
    </row>
    <row r="82" spans="1:24" ht="15.75" hidden="1" thickBot="1" x14ac:dyDescent="0.3">
      <c r="A82" s="82" t="s">
        <v>4595</v>
      </c>
      <c r="B82" s="82" t="s">
        <v>4595</v>
      </c>
      <c r="C82" s="82" t="str">
        <f t="shared" si="6"/>
        <v>X</v>
      </c>
      <c r="D82" s="228">
        <v>2022</v>
      </c>
      <c r="E82" s="83" t="s">
        <v>1653</v>
      </c>
      <c r="F82" s="82" t="s">
        <v>1745</v>
      </c>
      <c r="G82" s="82" t="s">
        <v>1746</v>
      </c>
      <c r="H82" s="227" t="s">
        <v>1864</v>
      </c>
      <c r="I82" s="279" t="s">
        <v>3110</v>
      </c>
      <c r="J82" s="272">
        <v>4</v>
      </c>
      <c r="K82" s="82" t="s">
        <v>586</v>
      </c>
      <c r="L82" s="228"/>
      <c r="M82" s="173">
        <v>54.9</v>
      </c>
      <c r="N82" s="173">
        <v>219.6</v>
      </c>
      <c r="O82" s="82" t="s">
        <v>1747</v>
      </c>
      <c r="P82" s="82" t="s">
        <v>1748</v>
      </c>
      <c r="Q82" s="173">
        <v>108</v>
      </c>
      <c r="R82" s="177">
        <f t="shared" si="7"/>
        <v>108</v>
      </c>
      <c r="S82" s="278" t="s">
        <v>3105</v>
      </c>
      <c r="T82" s="82" t="s">
        <v>1751</v>
      </c>
      <c r="U82" s="82"/>
      <c r="V82" s="82" t="s">
        <v>3115</v>
      </c>
      <c r="W82" s="250" t="s">
        <v>3499</v>
      </c>
      <c r="X82" s="250" t="s">
        <v>3504</v>
      </c>
    </row>
    <row r="83" spans="1:24" ht="15.75" hidden="1" thickBot="1" x14ac:dyDescent="0.3">
      <c r="A83" s="82" t="s">
        <v>4595</v>
      </c>
      <c r="B83" s="82" t="s">
        <v>4595</v>
      </c>
      <c r="C83" s="82" t="str">
        <f t="shared" si="6"/>
        <v>X</v>
      </c>
      <c r="D83" s="228">
        <v>2022</v>
      </c>
      <c r="E83" s="83" t="s">
        <v>1653</v>
      </c>
      <c r="F83" s="82" t="s">
        <v>1745</v>
      </c>
      <c r="G83" s="82" t="s">
        <v>1746</v>
      </c>
      <c r="H83" s="227" t="s">
        <v>1864</v>
      </c>
      <c r="I83" s="279" t="s">
        <v>3110</v>
      </c>
      <c r="J83" s="272">
        <v>4</v>
      </c>
      <c r="K83" s="82" t="s">
        <v>586</v>
      </c>
      <c r="L83" s="228"/>
      <c r="M83" s="173">
        <v>54.9</v>
      </c>
      <c r="N83" s="173">
        <v>219.6</v>
      </c>
      <c r="O83" s="82" t="s">
        <v>1747</v>
      </c>
      <c r="P83" s="82" t="s">
        <v>1748</v>
      </c>
      <c r="Q83" s="173">
        <v>108</v>
      </c>
      <c r="R83" s="177">
        <f t="shared" si="7"/>
        <v>108</v>
      </c>
      <c r="S83" s="278" t="s">
        <v>3105</v>
      </c>
      <c r="T83" s="82" t="s">
        <v>1751</v>
      </c>
      <c r="U83" s="82"/>
      <c r="V83" s="82" t="s">
        <v>3115</v>
      </c>
      <c r="W83" s="250" t="s">
        <v>3499</v>
      </c>
      <c r="X83" s="250" t="s">
        <v>3504</v>
      </c>
    </row>
    <row r="84" spans="1:24" ht="15.75" hidden="1" thickBot="1" x14ac:dyDescent="0.3">
      <c r="A84" s="82" t="s">
        <v>4595</v>
      </c>
      <c r="B84" s="82" t="s">
        <v>4595</v>
      </c>
      <c r="C84" s="82" t="str">
        <f t="shared" si="6"/>
        <v>X</v>
      </c>
      <c r="D84" s="228">
        <v>2022</v>
      </c>
      <c r="E84" s="83" t="s">
        <v>1653</v>
      </c>
      <c r="F84" s="82" t="s">
        <v>1745</v>
      </c>
      <c r="G84" s="82" t="s">
        <v>1746</v>
      </c>
      <c r="H84" s="227" t="s">
        <v>1864</v>
      </c>
      <c r="I84" s="279" t="s">
        <v>3110</v>
      </c>
      <c r="J84" s="272">
        <v>4</v>
      </c>
      <c r="K84" s="82" t="s">
        <v>586</v>
      </c>
      <c r="L84" s="228"/>
      <c r="M84" s="173">
        <v>54.9</v>
      </c>
      <c r="N84" s="173">
        <v>219.6</v>
      </c>
      <c r="O84" s="82" t="s">
        <v>1747</v>
      </c>
      <c r="P84" s="82" t="s">
        <v>1748</v>
      </c>
      <c r="Q84" s="173">
        <v>108</v>
      </c>
      <c r="R84" s="177">
        <f t="shared" si="7"/>
        <v>108</v>
      </c>
      <c r="S84" s="278" t="s">
        <v>3105</v>
      </c>
      <c r="T84" s="82" t="s">
        <v>1751</v>
      </c>
      <c r="U84" s="82"/>
      <c r="V84" s="82" t="s">
        <v>3115</v>
      </c>
      <c r="W84" s="250" t="s">
        <v>3499</v>
      </c>
      <c r="X84" s="250" t="s">
        <v>3504</v>
      </c>
    </row>
    <row r="85" spans="1:24" ht="15.75" hidden="1" thickBot="1" x14ac:dyDescent="0.3">
      <c r="A85" s="82" t="s">
        <v>4595</v>
      </c>
      <c r="B85" s="82" t="s">
        <v>4595</v>
      </c>
      <c r="C85" s="82" t="str">
        <f t="shared" si="6"/>
        <v>X</v>
      </c>
      <c r="D85" s="228">
        <v>2022</v>
      </c>
      <c r="E85" s="83" t="s">
        <v>1653</v>
      </c>
      <c r="F85" s="82" t="s">
        <v>1745</v>
      </c>
      <c r="G85" s="82" t="s">
        <v>1746</v>
      </c>
      <c r="H85" s="227" t="s">
        <v>1864</v>
      </c>
      <c r="I85" s="279" t="s">
        <v>3110</v>
      </c>
      <c r="J85" s="272">
        <v>4</v>
      </c>
      <c r="K85" s="82" t="s">
        <v>586</v>
      </c>
      <c r="L85" s="228"/>
      <c r="M85" s="173">
        <v>54.9</v>
      </c>
      <c r="N85" s="173">
        <v>219.6</v>
      </c>
      <c r="O85" s="82" t="s">
        <v>1747</v>
      </c>
      <c r="P85" s="82" t="s">
        <v>1748</v>
      </c>
      <c r="Q85" s="173">
        <v>108</v>
      </c>
      <c r="R85" s="177">
        <f t="shared" si="7"/>
        <v>108</v>
      </c>
      <c r="S85" s="278" t="s">
        <v>3105</v>
      </c>
      <c r="T85" s="82" t="s">
        <v>1751</v>
      </c>
      <c r="U85" s="82"/>
      <c r="V85" s="82" t="s">
        <v>3115</v>
      </c>
      <c r="W85" s="250" t="s">
        <v>3499</v>
      </c>
      <c r="X85" s="250" t="s">
        <v>3504</v>
      </c>
    </row>
    <row r="86" spans="1:24" ht="15.75" hidden="1" thickBot="1" x14ac:dyDescent="0.3">
      <c r="A86" s="82" t="s">
        <v>4595</v>
      </c>
      <c r="B86" s="82" t="s">
        <v>4595</v>
      </c>
      <c r="C86" s="82" t="str">
        <f t="shared" si="6"/>
        <v>X</v>
      </c>
      <c r="D86" s="228">
        <v>2022</v>
      </c>
      <c r="E86" s="82" t="s">
        <v>1653</v>
      </c>
      <c r="F86" s="82" t="s">
        <v>1745</v>
      </c>
      <c r="G86" s="82" t="s">
        <v>1746</v>
      </c>
      <c r="H86" s="227" t="s">
        <v>1864</v>
      </c>
      <c r="I86" s="279" t="s">
        <v>3110</v>
      </c>
      <c r="J86" s="272">
        <v>4</v>
      </c>
      <c r="K86" s="82" t="s">
        <v>586</v>
      </c>
      <c r="L86" s="228"/>
      <c r="M86" s="173">
        <v>54.9</v>
      </c>
      <c r="N86" s="173">
        <v>219.6</v>
      </c>
      <c r="O86" s="82" t="s">
        <v>1747</v>
      </c>
      <c r="P86" s="82" t="s">
        <v>1748</v>
      </c>
      <c r="Q86" s="173">
        <v>108</v>
      </c>
      <c r="R86" s="177">
        <f t="shared" si="7"/>
        <v>108</v>
      </c>
      <c r="S86" s="278" t="s">
        <v>3105</v>
      </c>
      <c r="T86" s="82" t="s">
        <v>1751</v>
      </c>
      <c r="U86" s="82"/>
      <c r="V86" s="82" t="s">
        <v>3115</v>
      </c>
      <c r="W86" s="250" t="s">
        <v>3499</v>
      </c>
      <c r="X86" s="250" t="s">
        <v>3504</v>
      </c>
    </row>
    <row r="87" spans="1:24" ht="15.75" hidden="1" thickBot="1" x14ac:dyDescent="0.3">
      <c r="A87" s="82" t="s">
        <v>4595</v>
      </c>
      <c r="B87" s="82" t="s">
        <v>4595</v>
      </c>
      <c r="C87" s="82" t="str">
        <f t="shared" si="6"/>
        <v>X</v>
      </c>
      <c r="D87" s="228">
        <v>2022</v>
      </c>
      <c r="E87" s="82" t="s">
        <v>1653</v>
      </c>
      <c r="F87" s="82" t="s">
        <v>1745</v>
      </c>
      <c r="G87" s="82" t="s">
        <v>1746</v>
      </c>
      <c r="H87" s="227" t="s">
        <v>1864</v>
      </c>
      <c r="I87" s="279" t="s">
        <v>3110</v>
      </c>
      <c r="J87" s="272">
        <v>4</v>
      </c>
      <c r="K87" s="82" t="s">
        <v>586</v>
      </c>
      <c r="L87" s="228"/>
      <c r="M87" s="173">
        <v>54.9</v>
      </c>
      <c r="N87" s="173">
        <v>219.6</v>
      </c>
      <c r="O87" s="82" t="s">
        <v>1747</v>
      </c>
      <c r="P87" s="82" t="s">
        <v>1748</v>
      </c>
      <c r="Q87" s="173">
        <v>108</v>
      </c>
      <c r="R87" s="177">
        <f t="shared" si="7"/>
        <v>108</v>
      </c>
      <c r="S87" s="278" t="s">
        <v>3105</v>
      </c>
      <c r="T87" s="82" t="s">
        <v>1751</v>
      </c>
      <c r="U87" s="82"/>
      <c r="V87" s="82" t="s">
        <v>3115</v>
      </c>
      <c r="W87" s="250" t="s">
        <v>3499</v>
      </c>
      <c r="X87" s="250" t="s">
        <v>3504</v>
      </c>
    </row>
    <row r="88" spans="1:24" ht="15.75" hidden="1" thickBot="1" x14ac:dyDescent="0.3">
      <c r="A88" s="82" t="s">
        <v>4595</v>
      </c>
      <c r="B88" s="82" t="s">
        <v>4595</v>
      </c>
      <c r="C88" s="82" t="str">
        <f t="shared" si="6"/>
        <v>X</v>
      </c>
      <c r="D88" s="228">
        <v>2022</v>
      </c>
      <c r="E88" s="82" t="s">
        <v>1653</v>
      </c>
      <c r="F88" s="82" t="s">
        <v>1745</v>
      </c>
      <c r="G88" s="82" t="s">
        <v>1746</v>
      </c>
      <c r="H88" s="227" t="s">
        <v>1864</v>
      </c>
      <c r="I88" s="279" t="s">
        <v>3110</v>
      </c>
      <c r="J88" s="272">
        <v>4</v>
      </c>
      <c r="K88" s="82" t="s">
        <v>586</v>
      </c>
      <c r="L88" s="228"/>
      <c r="M88" s="173">
        <v>54.9</v>
      </c>
      <c r="N88" s="173">
        <v>219.6</v>
      </c>
      <c r="O88" s="82" t="s">
        <v>1747</v>
      </c>
      <c r="P88" s="82" t="s">
        <v>1748</v>
      </c>
      <c r="Q88" s="173">
        <v>108</v>
      </c>
      <c r="R88" s="177">
        <f t="shared" si="7"/>
        <v>108</v>
      </c>
      <c r="S88" s="278" t="s">
        <v>3105</v>
      </c>
      <c r="T88" s="82" t="s">
        <v>1751</v>
      </c>
      <c r="U88" s="82"/>
      <c r="V88" s="82" t="s">
        <v>3115</v>
      </c>
      <c r="W88" s="250" t="s">
        <v>3499</v>
      </c>
      <c r="X88" s="250" t="s">
        <v>3504</v>
      </c>
    </row>
    <row r="89" spans="1:24" ht="15.75" hidden="1" thickBot="1" x14ac:dyDescent="0.3">
      <c r="A89" s="82" t="s">
        <v>4595</v>
      </c>
      <c r="B89" s="82" t="s">
        <v>4595</v>
      </c>
      <c r="C89" s="82" t="str">
        <f t="shared" si="6"/>
        <v>X</v>
      </c>
      <c r="D89" s="228">
        <v>2022</v>
      </c>
      <c r="E89" s="82" t="s">
        <v>1653</v>
      </c>
      <c r="F89" s="82" t="s">
        <v>1745</v>
      </c>
      <c r="G89" s="82" t="s">
        <v>1746</v>
      </c>
      <c r="H89" s="227" t="s">
        <v>1864</v>
      </c>
      <c r="I89" s="279" t="s">
        <v>3110</v>
      </c>
      <c r="J89" s="272">
        <v>4</v>
      </c>
      <c r="K89" s="82" t="s">
        <v>586</v>
      </c>
      <c r="L89" s="228"/>
      <c r="M89" s="173">
        <v>54.9</v>
      </c>
      <c r="N89" s="173">
        <v>219.6</v>
      </c>
      <c r="O89" s="82" t="s">
        <v>1747</v>
      </c>
      <c r="P89" s="82" t="s">
        <v>1748</v>
      </c>
      <c r="Q89" s="173">
        <v>108</v>
      </c>
      <c r="R89" s="177">
        <f t="shared" si="7"/>
        <v>108</v>
      </c>
      <c r="S89" s="278" t="s">
        <v>3105</v>
      </c>
      <c r="T89" s="82" t="s">
        <v>1751</v>
      </c>
      <c r="U89" s="82"/>
      <c r="V89" s="82" t="s">
        <v>3115</v>
      </c>
      <c r="W89" s="250" t="s">
        <v>3499</v>
      </c>
      <c r="X89" s="250" t="s">
        <v>3504</v>
      </c>
    </row>
    <row r="90" spans="1:24" ht="15.75" hidden="1" thickBot="1" x14ac:dyDescent="0.3">
      <c r="A90" s="82" t="s">
        <v>4595</v>
      </c>
      <c r="B90" s="82" t="s">
        <v>4595</v>
      </c>
      <c r="C90" s="82" t="str">
        <f t="shared" si="6"/>
        <v>X</v>
      </c>
      <c r="D90" s="228">
        <v>2022</v>
      </c>
      <c r="E90" s="82" t="s">
        <v>1653</v>
      </c>
      <c r="F90" s="82" t="s">
        <v>1745</v>
      </c>
      <c r="G90" s="82" t="s">
        <v>1746</v>
      </c>
      <c r="H90" s="227" t="s">
        <v>1864</v>
      </c>
      <c r="I90" s="279" t="s">
        <v>3110</v>
      </c>
      <c r="J90" s="272">
        <v>4</v>
      </c>
      <c r="K90" s="82" t="s">
        <v>586</v>
      </c>
      <c r="L90" s="228"/>
      <c r="M90" s="173">
        <v>54.9</v>
      </c>
      <c r="N90" s="173">
        <v>219.6</v>
      </c>
      <c r="O90" s="82" t="s">
        <v>1747</v>
      </c>
      <c r="P90" s="82" t="s">
        <v>1748</v>
      </c>
      <c r="Q90" s="173">
        <v>108</v>
      </c>
      <c r="R90" s="177">
        <f t="shared" si="7"/>
        <v>108</v>
      </c>
      <c r="S90" s="278" t="s">
        <v>3105</v>
      </c>
      <c r="T90" s="82" t="s">
        <v>1751</v>
      </c>
      <c r="U90" s="82"/>
      <c r="V90" s="82" t="s">
        <v>3115</v>
      </c>
      <c r="W90" s="250" t="s">
        <v>3499</v>
      </c>
      <c r="X90" s="250" t="s">
        <v>3504</v>
      </c>
    </row>
    <row r="91" spans="1:24" ht="15.75" hidden="1" thickBot="1" x14ac:dyDescent="0.3">
      <c r="A91" s="82" t="s">
        <v>4595</v>
      </c>
      <c r="B91" s="82" t="s">
        <v>4595</v>
      </c>
      <c r="C91" s="82" t="str">
        <f t="shared" si="6"/>
        <v>X</v>
      </c>
      <c r="D91" s="228">
        <v>2022</v>
      </c>
      <c r="E91" s="82" t="s">
        <v>1653</v>
      </c>
      <c r="F91" s="82" t="s">
        <v>1745</v>
      </c>
      <c r="G91" s="82" t="s">
        <v>1746</v>
      </c>
      <c r="H91" s="227" t="s">
        <v>1864</v>
      </c>
      <c r="I91" s="279" t="s">
        <v>3110</v>
      </c>
      <c r="J91" s="272">
        <v>4</v>
      </c>
      <c r="K91" s="82" t="s">
        <v>586</v>
      </c>
      <c r="L91" s="228"/>
      <c r="M91" s="173">
        <v>54.9</v>
      </c>
      <c r="N91" s="173">
        <v>219.6</v>
      </c>
      <c r="O91" s="82" t="s">
        <v>1747</v>
      </c>
      <c r="P91" s="82" t="s">
        <v>1748</v>
      </c>
      <c r="Q91" s="173">
        <v>108</v>
      </c>
      <c r="R91" s="177">
        <f t="shared" si="7"/>
        <v>108</v>
      </c>
      <c r="S91" s="278" t="s">
        <v>3105</v>
      </c>
      <c r="T91" s="82" t="s">
        <v>1751</v>
      </c>
      <c r="U91" s="82"/>
      <c r="V91" s="82" t="s">
        <v>3115</v>
      </c>
      <c r="W91" s="250" t="s">
        <v>3499</v>
      </c>
      <c r="X91" s="250" t="s">
        <v>3504</v>
      </c>
    </row>
    <row r="92" spans="1:24" ht="15.75" hidden="1" thickBot="1" x14ac:dyDescent="0.3">
      <c r="A92" s="82" t="s">
        <v>4595</v>
      </c>
      <c r="B92" s="82" t="s">
        <v>4595</v>
      </c>
      <c r="C92" s="82" t="str">
        <f t="shared" si="6"/>
        <v>X</v>
      </c>
      <c r="D92" s="228">
        <v>2022</v>
      </c>
      <c r="E92" s="82" t="s">
        <v>1653</v>
      </c>
      <c r="F92" s="82" t="s">
        <v>1745</v>
      </c>
      <c r="G92" s="82" t="s">
        <v>1746</v>
      </c>
      <c r="H92" s="227" t="s">
        <v>1864</v>
      </c>
      <c r="I92" s="279" t="s">
        <v>3110</v>
      </c>
      <c r="J92" s="272">
        <v>4</v>
      </c>
      <c r="K92" s="82" t="s">
        <v>586</v>
      </c>
      <c r="L92" s="228"/>
      <c r="M92" s="173">
        <v>54.9</v>
      </c>
      <c r="N92" s="173">
        <v>219.6</v>
      </c>
      <c r="O92" s="82" t="s">
        <v>1747</v>
      </c>
      <c r="P92" s="82" t="s">
        <v>1748</v>
      </c>
      <c r="Q92" s="173">
        <v>108</v>
      </c>
      <c r="R92" s="177">
        <f t="shared" si="7"/>
        <v>108</v>
      </c>
      <c r="S92" s="278" t="s">
        <v>3105</v>
      </c>
      <c r="T92" s="82" t="s">
        <v>1751</v>
      </c>
      <c r="U92" s="82"/>
      <c r="V92" s="82" t="s">
        <v>3115</v>
      </c>
      <c r="W92" s="250" t="s">
        <v>3499</v>
      </c>
      <c r="X92" s="250" t="s">
        <v>3504</v>
      </c>
    </row>
    <row r="93" spans="1:24" ht="15.75" hidden="1" thickBot="1" x14ac:dyDescent="0.3">
      <c r="A93" s="82" t="s">
        <v>4595</v>
      </c>
      <c r="B93" s="82" t="s">
        <v>4595</v>
      </c>
      <c r="C93" s="82" t="str">
        <f t="shared" si="6"/>
        <v>X</v>
      </c>
      <c r="D93" s="228">
        <v>2022</v>
      </c>
      <c r="E93" s="82" t="s">
        <v>1653</v>
      </c>
      <c r="F93" s="82" t="s">
        <v>1745</v>
      </c>
      <c r="G93" s="82" t="s">
        <v>1746</v>
      </c>
      <c r="H93" s="227" t="s">
        <v>1864</v>
      </c>
      <c r="I93" s="279" t="s">
        <v>3110</v>
      </c>
      <c r="J93" s="272">
        <v>4</v>
      </c>
      <c r="K93" s="82" t="s">
        <v>586</v>
      </c>
      <c r="L93" s="228"/>
      <c r="M93" s="173">
        <v>54.9</v>
      </c>
      <c r="N93" s="173">
        <v>219.6</v>
      </c>
      <c r="O93" s="82" t="s">
        <v>1747</v>
      </c>
      <c r="P93" s="82" t="s">
        <v>1748</v>
      </c>
      <c r="Q93" s="173">
        <v>108</v>
      </c>
      <c r="R93" s="177">
        <f t="shared" si="7"/>
        <v>108</v>
      </c>
      <c r="S93" s="278" t="s">
        <v>3105</v>
      </c>
      <c r="T93" s="82" t="s">
        <v>1751</v>
      </c>
      <c r="U93" s="82"/>
      <c r="V93" s="82" t="s">
        <v>3115</v>
      </c>
      <c r="W93" s="250" t="s">
        <v>3499</v>
      </c>
      <c r="X93" s="250" t="s">
        <v>3504</v>
      </c>
    </row>
    <row r="94" spans="1:24" ht="15.75" hidden="1" thickBot="1" x14ac:dyDescent="0.3">
      <c r="A94" s="82" t="s">
        <v>4595</v>
      </c>
      <c r="B94" s="82" t="s">
        <v>4595</v>
      </c>
      <c r="C94" s="82" t="str">
        <f t="shared" si="6"/>
        <v>X</v>
      </c>
      <c r="D94" s="228">
        <v>2022</v>
      </c>
      <c r="E94" s="82" t="s">
        <v>1653</v>
      </c>
      <c r="F94" s="82" t="s">
        <v>1745</v>
      </c>
      <c r="G94" s="82" t="s">
        <v>1746</v>
      </c>
      <c r="H94" s="227" t="s">
        <v>1864</v>
      </c>
      <c r="I94" s="279" t="s">
        <v>3110</v>
      </c>
      <c r="J94" s="272">
        <v>2</v>
      </c>
      <c r="K94" s="82" t="s">
        <v>586</v>
      </c>
      <c r="L94" s="228"/>
      <c r="M94" s="173">
        <v>54.9</v>
      </c>
      <c r="N94" s="173">
        <v>109.8</v>
      </c>
      <c r="O94" s="82" t="s">
        <v>1747</v>
      </c>
      <c r="P94" s="82" t="s">
        <v>1748</v>
      </c>
      <c r="Q94" s="173">
        <v>108</v>
      </c>
      <c r="R94" s="177">
        <f t="shared" si="7"/>
        <v>108</v>
      </c>
      <c r="S94" s="278" t="s">
        <v>3105</v>
      </c>
      <c r="T94" s="82" t="s">
        <v>1751</v>
      </c>
      <c r="U94" s="82"/>
      <c r="V94" s="82" t="s">
        <v>3115</v>
      </c>
      <c r="W94" s="250" t="s">
        <v>3499</v>
      </c>
      <c r="X94" s="250" t="s">
        <v>3504</v>
      </c>
    </row>
    <row r="95" spans="1:24" ht="15.75" hidden="1" thickBot="1" x14ac:dyDescent="0.3">
      <c r="A95" s="82" t="s">
        <v>4595</v>
      </c>
      <c r="B95" s="82" t="s">
        <v>4595</v>
      </c>
      <c r="C95" s="82" t="str">
        <f t="shared" si="6"/>
        <v>X</v>
      </c>
      <c r="D95" s="228">
        <v>2022</v>
      </c>
      <c r="E95" s="82" t="s">
        <v>1653</v>
      </c>
      <c r="F95" s="82" t="s">
        <v>1745</v>
      </c>
      <c r="G95" s="82" t="s">
        <v>1746</v>
      </c>
      <c r="H95" s="227" t="s">
        <v>1864</v>
      </c>
      <c r="I95" s="279" t="s">
        <v>3110</v>
      </c>
      <c r="J95" s="272">
        <v>2</v>
      </c>
      <c r="K95" s="82" t="s">
        <v>586</v>
      </c>
      <c r="L95" s="228"/>
      <c r="M95" s="173">
        <v>54.9</v>
      </c>
      <c r="N95" s="173">
        <v>109.8</v>
      </c>
      <c r="O95" s="82" t="s">
        <v>1747</v>
      </c>
      <c r="P95" s="82" t="s">
        <v>1748</v>
      </c>
      <c r="Q95" s="173">
        <v>108</v>
      </c>
      <c r="R95" s="177">
        <f t="shared" si="7"/>
        <v>108</v>
      </c>
      <c r="S95" s="278" t="s">
        <v>3105</v>
      </c>
      <c r="T95" s="82" t="s">
        <v>1751</v>
      </c>
      <c r="U95" s="82"/>
      <c r="V95" s="82" t="s">
        <v>3115</v>
      </c>
      <c r="W95" s="250" t="s">
        <v>3499</v>
      </c>
      <c r="X95" s="250" t="s">
        <v>3504</v>
      </c>
    </row>
    <row r="96" spans="1:24" ht="15.75" hidden="1" thickBot="1" x14ac:dyDescent="0.3">
      <c r="A96" s="82" t="s">
        <v>4595</v>
      </c>
      <c r="B96" s="82" t="s">
        <v>4595</v>
      </c>
      <c r="C96" s="82" t="str">
        <f t="shared" si="6"/>
        <v>X</v>
      </c>
      <c r="D96" s="228">
        <v>2022</v>
      </c>
      <c r="E96" s="82" t="s">
        <v>1653</v>
      </c>
      <c r="F96" s="82" t="s">
        <v>1745</v>
      </c>
      <c r="G96" s="82" t="s">
        <v>1746</v>
      </c>
      <c r="H96" s="227" t="s">
        <v>1864</v>
      </c>
      <c r="I96" s="279" t="s">
        <v>3110</v>
      </c>
      <c r="J96" s="272">
        <v>2</v>
      </c>
      <c r="K96" s="82" t="s">
        <v>586</v>
      </c>
      <c r="L96" s="228"/>
      <c r="M96" s="173">
        <v>54.9</v>
      </c>
      <c r="N96" s="173">
        <v>109.8</v>
      </c>
      <c r="O96" s="82" t="s">
        <v>1747</v>
      </c>
      <c r="P96" s="82" t="s">
        <v>1748</v>
      </c>
      <c r="Q96" s="173">
        <v>108</v>
      </c>
      <c r="R96" s="177">
        <f t="shared" si="7"/>
        <v>108</v>
      </c>
      <c r="S96" s="278" t="s">
        <v>3105</v>
      </c>
      <c r="T96" s="82" t="s">
        <v>1751</v>
      </c>
      <c r="U96" s="82"/>
      <c r="V96" s="82" t="s">
        <v>3115</v>
      </c>
      <c r="W96" s="250" t="s">
        <v>3499</v>
      </c>
      <c r="X96" s="250" t="s">
        <v>3504</v>
      </c>
    </row>
    <row r="97" spans="1:24" ht="15.75" hidden="1" thickBot="1" x14ac:dyDescent="0.3">
      <c r="A97" s="82" t="s">
        <v>4595</v>
      </c>
      <c r="B97" s="82" t="s">
        <v>4595</v>
      </c>
      <c r="C97" s="82" t="str">
        <f t="shared" si="6"/>
        <v>X</v>
      </c>
      <c r="D97" s="228">
        <v>2022</v>
      </c>
      <c r="E97" s="82" t="s">
        <v>1653</v>
      </c>
      <c r="F97" s="82" t="s">
        <v>1745</v>
      </c>
      <c r="G97" s="82" t="s">
        <v>1746</v>
      </c>
      <c r="H97" s="227" t="s">
        <v>1864</v>
      </c>
      <c r="I97" s="279" t="s">
        <v>3110</v>
      </c>
      <c r="J97" s="272">
        <v>2</v>
      </c>
      <c r="K97" s="82" t="s">
        <v>586</v>
      </c>
      <c r="L97" s="228"/>
      <c r="M97" s="173">
        <v>54.9</v>
      </c>
      <c r="N97" s="173">
        <v>109.8</v>
      </c>
      <c r="O97" s="82" t="s">
        <v>1747</v>
      </c>
      <c r="P97" s="82" t="s">
        <v>1748</v>
      </c>
      <c r="Q97" s="173">
        <v>108</v>
      </c>
      <c r="R97" s="177">
        <f t="shared" si="7"/>
        <v>108</v>
      </c>
      <c r="S97" s="278" t="s">
        <v>3105</v>
      </c>
      <c r="T97" s="82" t="s">
        <v>1751</v>
      </c>
      <c r="U97" s="82"/>
      <c r="V97" s="82" t="s">
        <v>3115</v>
      </c>
      <c r="W97" s="250" t="s">
        <v>3499</v>
      </c>
      <c r="X97" s="250" t="s">
        <v>3504</v>
      </c>
    </row>
    <row r="98" spans="1:24" ht="15.75" hidden="1" thickBot="1" x14ac:dyDescent="0.3">
      <c r="A98" s="82" t="s">
        <v>4595</v>
      </c>
      <c r="B98" s="82" t="s">
        <v>4595</v>
      </c>
      <c r="C98" s="82" t="str">
        <f t="shared" si="6"/>
        <v>X</v>
      </c>
      <c r="D98" s="228">
        <v>2022</v>
      </c>
      <c r="E98" s="82" t="s">
        <v>1653</v>
      </c>
      <c r="F98" s="82" t="s">
        <v>1745</v>
      </c>
      <c r="G98" s="82" t="s">
        <v>1746</v>
      </c>
      <c r="H98" s="227" t="s">
        <v>1864</v>
      </c>
      <c r="I98" s="279" t="s">
        <v>3110</v>
      </c>
      <c r="J98" s="272">
        <v>2</v>
      </c>
      <c r="K98" s="82" t="s">
        <v>586</v>
      </c>
      <c r="L98" s="228"/>
      <c r="M98" s="173">
        <v>54.9</v>
      </c>
      <c r="N98" s="173">
        <v>109.8</v>
      </c>
      <c r="O98" s="82" t="s">
        <v>1747</v>
      </c>
      <c r="P98" s="82" t="s">
        <v>1748</v>
      </c>
      <c r="Q98" s="173">
        <v>108</v>
      </c>
      <c r="R98" s="177">
        <f t="shared" si="7"/>
        <v>108</v>
      </c>
      <c r="S98" s="278" t="s">
        <v>3105</v>
      </c>
      <c r="T98" s="82" t="s">
        <v>1751</v>
      </c>
      <c r="U98" s="82"/>
      <c r="V98" s="82" t="s">
        <v>3115</v>
      </c>
      <c r="W98" s="250" t="s">
        <v>3499</v>
      </c>
      <c r="X98" s="250" t="s">
        <v>3504</v>
      </c>
    </row>
    <row r="99" spans="1:24" ht="15.75" hidden="1" thickBot="1" x14ac:dyDescent="0.3">
      <c r="A99" s="82" t="s">
        <v>4595</v>
      </c>
      <c r="B99" s="82" t="s">
        <v>4595</v>
      </c>
      <c r="C99" s="82" t="str">
        <f t="shared" si="6"/>
        <v>X</v>
      </c>
      <c r="D99" s="228">
        <v>2022</v>
      </c>
      <c r="E99" s="82" t="s">
        <v>1653</v>
      </c>
      <c r="F99" s="82" t="s">
        <v>1745</v>
      </c>
      <c r="G99" s="82" t="s">
        <v>1746</v>
      </c>
      <c r="H99" s="227" t="s">
        <v>1864</v>
      </c>
      <c r="I99" s="279" t="s">
        <v>3110</v>
      </c>
      <c r="J99" s="123">
        <v>2</v>
      </c>
      <c r="K99" s="82" t="s">
        <v>586</v>
      </c>
      <c r="L99" s="228"/>
      <c r="M99" s="173">
        <v>54.9</v>
      </c>
      <c r="N99" s="173">
        <v>109.8</v>
      </c>
      <c r="O99" s="82" t="s">
        <v>1747</v>
      </c>
      <c r="P99" s="82" t="s">
        <v>1748</v>
      </c>
      <c r="Q99" s="173">
        <v>108</v>
      </c>
      <c r="R99" s="177">
        <f t="shared" si="7"/>
        <v>108</v>
      </c>
      <c r="S99" s="278" t="s">
        <v>3105</v>
      </c>
      <c r="T99" s="83" t="s">
        <v>1751</v>
      </c>
      <c r="U99" s="82"/>
      <c r="V99" s="82" t="s">
        <v>3115</v>
      </c>
      <c r="W99" s="250" t="s">
        <v>3499</v>
      </c>
      <c r="X99" s="250" t="s">
        <v>3504</v>
      </c>
    </row>
    <row r="100" spans="1:24" ht="15.75" hidden="1" thickBot="1" x14ac:dyDescent="0.3">
      <c r="A100" s="82" t="s">
        <v>4595</v>
      </c>
      <c r="B100" s="82" t="s">
        <v>4595</v>
      </c>
      <c r="C100" s="82" t="str">
        <f t="shared" si="6"/>
        <v>X</v>
      </c>
      <c r="D100" s="228">
        <v>2022</v>
      </c>
      <c r="E100" s="82" t="s">
        <v>1653</v>
      </c>
      <c r="F100" s="82" t="s">
        <v>1745</v>
      </c>
      <c r="G100" s="82" t="s">
        <v>1746</v>
      </c>
      <c r="H100" s="227" t="s">
        <v>1864</v>
      </c>
      <c r="I100" s="279" t="s">
        <v>3110</v>
      </c>
      <c r="J100" s="123">
        <v>2</v>
      </c>
      <c r="K100" s="82" t="s">
        <v>586</v>
      </c>
      <c r="L100" s="228"/>
      <c r="M100" s="175">
        <v>54.9</v>
      </c>
      <c r="N100" s="173">
        <v>109.8</v>
      </c>
      <c r="O100" s="82" t="s">
        <v>1747</v>
      </c>
      <c r="P100" s="82" t="s">
        <v>1748</v>
      </c>
      <c r="Q100" s="173">
        <v>108</v>
      </c>
      <c r="R100" s="177">
        <f t="shared" si="7"/>
        <v>108</v>
      </c>
      <c r="S100" s="278" t="s">
        <v>3105</v>
      </c>
      <c r="T100" s="83" t="s">
        <v>1751</v>
      </c>
      <c r="U100" s="82"/>
      <c r="V100" s="82" t="s">
        <v>3115</v>
      </c>
      <c r="W100" s="250" t="s">
        <v>3499</v>
      </c>
      <c r="X100" s="250" t="s">
        <v>3504</v>
      </c>
    </row>
    <row r="101" spans="1:24" ht="15.75" hidden="1" thickBot="1" x14ac:dyDescent="0.3">
      <c r="A101" s="82" t="s">
        <v>4595</v>
      </c>
      <c r="B101" s="82" t="s">
        <v>4595</v>
      </c>
      <c r="C101" s="82" t="str">
        <f t="shared" si="6"/>
        <v>X</v>
      </c>
      <c r="D101" s="228">
        <v>2022</v>
      </c>
      <c r="E101" s="82" t="s">
        <v>1653</v>
      </c>
      <c r="F101" s="82" t="s">
        <v>1745</v>
      </c>
      <c r="G101" s="82" t="s">
        <v>1746</v>
      </c>
      <c r="H101" s="227" t="s">
        <v>1864</v>
      </c>
      <c r="I101" s="279" t="s">
        <v>3110</v>
      </c>
      <c r="J101" s="123">
        <v>6</v>
      </c>
      <c r="K101" s="82" t="s">
        <v>586</v>
      </c>
      <c r="L101" s="228"/>
      <c r="M101" s="175">
        <v>54.9</v>
      </c>
      <c r="N101" s="173">
        <v>329.4</v>
      </c>
      <c r="O101" s="82" t="s">
        <v>1747</v>
      </c>
      <c r="P101" s="82" t="s">
        <v>1748</v>
      </c>
      <c r="Q101" s="173">
        <v>108</v>
      </c>
      <c r="R101" s="177">
        <f t="shared" si="7"/>
        <v>108</v>
      </c>
      <c r="S101" s="278" t="s">
        <v>3105</v>
      </c>
      <c r="T101" s="83" t="s">
        <v>1751</v>
      </c>
      <c r="U101" s="82"/>
      <c r="V101" s="82" t="s">
        <v>3115</v>
      </c>
      <c r="W101" s="250" t="s">
        <v>3499</v>
      </c>
      <c r="X101" s="250" t="s">
        <v>3504</v>
      </c>
    </row>
    <row r="102" spans="1:24" ht="15.75" hidden="1" thickBot="1" x14ac:dyDescent="0.3">
      <c r="A102" s="82" t="s">
        <v>4595</v>
      </c>
      <c r="B102" s="82" t="s">
        <v>4595</v>
      </c>
      <c r="C102" s="82" t="str">
        <f t="shared" si="6"/>
        <v>X</v>
      </c>
      <c r="D102" s="228">
        <v>2022</v>
      </c>
      <c r="E102" s="82" t="s">
        <v>1653</v>
      </c>
      <c r="F102" s="82" t="s">
        <v>1745</v>
      </c>
      <c r="G102" s="82" t="s">
        <v>1746</v>
      </c>
      <c r="H102" s="227" t="s">
        <v>1864</v>
      </c>
      <c r="I102" s="279" t="s">
        <v>3110</v>
      </c>
      <c r="J102" s="123">
        <v>6</v>
      </c>
      <c r="K102" s="82" t="s">
        <v>586</v>
      </c>
      <c r="L102" s="228"/>
      <c r="M102" s="175">
        <v>54.9</v>
      </c>
      <c r="N102" s="173">
        <v>329.4</v>
      </c>
      <c r="O102" s="82" t="s">
        <v>1747</v>
      </c>
      <c r="P102" s="82" t="s">
        <v>1748</v>
      </c>
      <c r="Q102" s="173">
        <v>108</v>
      </c>
      <c r="R102" s="177">
        <f t="shared" si="7"/>
        <v>108</v>
      </c>
      <c r="S102" s="278" t="s">
        <v>3105</v>
      </c>
      <c r="T102" s="83" t="s">
        <v>1751</v>
      </c>
      <c r="U102" s="82"/>
      <c r="V102" s="82" t="s">
        <v>3115</v>
      </c>
      <c r="W102" s="250" t="s">
        <v>3499</v>
      </c>
      <c r="X102" s="250" t="s">
        <v>3504</v>
      </c>
    </row>
    <row r="103" spans="1:24" ht="15.75" hidden="1" thickBot="1" x14ac:dyDescent="0.3">
      <c r="A103" s="82" t="s">
        <v>4595</v>
      </c>
      <c r="B103" s="82" t="s">
        <v>4595</v>
      </c>
      <c r="C103" s="82" t="str">
        <f t="shared" si="6"/>
        <v>X</v>
      </c>
      <c r="D103" s="228">
        <v>2022</v>
      </c>
      <c r="E103" s="82" t="s">
        <v>1653</v>
      </c>
      <c r="F103" s="82" t="s">
        <v>1745</v>
      </c>
      <c r="G103" s="82" t="s">
        <v>1746</v>
      </c>
      <c r="H103" s="227" t="s">
        <v>1864</v>
      </c>
      <c r="I103" s="279" t="s">
        <v>3110</v>
      </c>
      <c r="J103" s="123">
        <v>6</v>
      </c>
      <c r="K103" s="82" t="s">
        <v>586</v>
      </c>
      <c r="L103" s="228"/>
      <c r="M103" s="175">
        <v>54.9</v>
      </c>
      <c r="N103" s="173">
        <v>329.4</v>
      </c>
      <c r="O103" s="82" t="s">
        <v>1747</v>
      </c>
      <c r="P103" s="82" t="s">
        <v>1748</v>
      </c>
      <c r="Q103" s="173">
        <v>108</v>
      </c>
      <c r="R103" s="177">
        <f t="shared" si="7"/>
        <v>108</v>
      </c>
      <c r="S103" s="278" t="s">
        <v>3105</v>
      </c>
      <c r="T103" s="83" t="s">
        <v>1751</v>
      </c>
      <c r="U103" s="82"/>
      <c r="V103" s="82" t="s">
        <v>3115</v>
      </c>
      <c r="W103" s="250" t="s">
        <v>3499</v>
      </c>
      <c r="X103" s="250" t="s">
        <v>3504</v>
      </c>
    </row>
    <row r="104" spans="1:24" ht="15.75" hidden="1" thickBot="1" x14ac:dyDescent="0.3">
      <c r="A104" s="82" t="s">
        <v>4594</v>
      </c>
      <c r="B104" s="82" t="s">
        <v>4594</v>
      </c>
      <c r="C104" s="82" t="str">
        <f t="shared" si="6"/>
        <v>X</v>
      </c>
      <c r="D104" s="228">
        <v>2022</v>
      </c>
      <c r="E104" s="82" t="s">
        <v>1653</v>
      </c>
      <c r="F104" s="82" t="s">
        <v>1745</v>
      </c>
      <c r="G104" s="82" t="s">
        <v>1746</v>
      </c>
      <c r="H104" s="227" t="s">
        <v>1864</v>
      </c>
      <c r="I104" s="279" t="s">
        <v>3110</v>
      </c>
      <c r="J104" s="123">
        <v>4</v>
      </c>
      <c r="K104" s="82" t="s">
        <v>586</v>
      </c>
      <c r="L104" s="228"/>
      <c r="M104" s="175">
        <v>54.9</v>
      </c>
      <c r="N104" s="173">
        <v>219.6</v>
      </c>
      <c r="O104" s="82" t="s">
        <v>1747</v>
      </c>
      <c r="P104" s="82" t="s">
        <v>1748</v>
      </c>
      <c r="Q104" s="173">
        <v>77</v>
      </c>
      <c r="R104" s="177">
        <f t="shared" si="7"/>
        <v>77</v>
      </c>
      <c r="S104" s="278" t="s">
        <v>3105</v>
      </c>
      <c r="T104" s="83" t="s">
        <v>1751</v>
      </c>
      <c r="U104" s="82"/>
      <c r="V104" s="82" t="s">
        <v>3115</v>
      </c>
      <c r="W104" s="250" t="s">
        <v>3499</v>
      </c>
      <c r="X104" s="250" t="s">
        <v>3504</v>
      </c>
    </row>
    <row r="105" spans="1:24" ht="15.75" hidden="1" thickBot="1" x14ac:dyDescent="0.3">
      <c r="A105" s="82" t="s">
        <v>4594</v>
      </c>
      <c r="B105" s="82" t="s">
        <v>4594</v>
      </c>
      <c r="C105" s="82" t="str">
        <f t="shared" si="6"/>
        <v>X</v>
      </c>
      <c r="D105" s="228">
        <v>2022</v>
      </c>
      <c r="E105" s="82" t="s">
        <v>1653</v>
      </c>
      <c r="F105" s="82" t="s">
        <v>1745</v>
      </c>
      <c r="G105" s="82" t="s">
        <v>1746</v>
      </c>
      <c r="H105" s="227" t="s">
        <v>1864</v>
      </c>
      <c r="I105" s="279" t="s">
        <v>3110</v>
      </c>
      <c r="J105" s="123">
        <v>4</v>
      </c>
      <c r="K105" s="82" t="s">
        <v>586</v>
      </c>
      <c r="L105" s="228"/>
      <c r="M105" s="175">
        <v>54.9</v>
      </c>
      <c r="N105" s="173">
        <v>219.6</v>
      </c>
      <c r="O105" s="82" t="s">
        <v>1747</v>
      </c>
      <c r="P105" s="82" t="s">
        <v>1748</v>
      </c>
      <c r="Q105" s="173">
        <v>77</v>
      </c>
      <c r="R105" s="177">
        <f t="shared" si="7"/>
        <v>77</v>
      </c>
      <c r="S105" s="278" t="s">
        <v>3105</v>
      </c>
      <c r="T105" s="83" t="s">
        <v>1751</v>
      </c>
      <c r="U105" s="82"/>
      <c r="V105" s="82" t="s">
        <v>3115</v>
      </c>
      <c r="W105" s="250" t="s">
        <v>3499</v>
      </c>
      <c r="X105" s="250" t="s">
        <v>3504</v>
      </c>
    </row>
    <row r="106" spans="1:24" ht="15.75" hidden="1" thickBot="1" x14ac:dyDescent="0.3">
      <c r="A106" s="82" t="s">
        <v>4594</v>
      </c>
      <c r="B106" s="82" t="s">
        <v>4594</v>
      </c>
      <c r="C106" s="82" t="str">
        <f t="shared" si="6"/>
        <v>X</v>
      </c>
      <c r="D106" s="228">
        <v>2022</v>
      </c>
      <c r="E106" s="82" t="s">
        <v>1653</v>
      </c>
      <c r="F106" s="82" t="s">
        <v>1745</v>
      </c>
      <c r="G106" s="82" t="s">
        <v>1746</v>
      </c>
      <c r="H106" s="227" t="s">
        <v>1864</v>
      </c>
      <c r="I106" s="279" t="s">
        <v>3110</v>
      </c>
      <c r="J106" s="123">
        <v>4</v>
      </c>
      <c r="K106" s="82" t="s">
        <v>586</v>
      </c>
      <c r="L106" s="228"/>
      <c r="M106" s="175">
        <v>54.9</v>
      </c>
      <c r="N106" s="173">
        <v>219.6</v>
      </c>
      <c r="O106" s="82" t="s">
        <v>1747</v>
      </c>
      <c r="P106" s="82" t="s">
        <v>1748</v>
      </c>
      <c r="Q106" s="173">
        <v>77</v>
      </c>
      <c r="R106" s="177">
        <f t="shared" si="7"/>
        <v>77</v>
      </c>
      <c r="S106" s="278" t="s">
        <v>3105</v>
      </c>
      <c r="T106" s="83" t="s">
        <v>1751</v>
      </c>
      <c r="U106" s="82"/>
      <c r="V106" s="82" t="s">
        <v>3115</v>
      </c>
      <c r="W106" s="250" t="s">
        <v>3499</v>
      </c>
      <c r="X106" s="250" t="s">
        <v>3504</v>
      </c>
    </row>
    <row r="107" spans="1:24" ht="15.75" hidden="1" thickBot="1" x14ac:dyDescent="0.3">
      <c r="A107" s="82" t="s">
        <v>4594</v>
      </c>
      <c r="B107" s="82" t="s">
        <v>4594</v>
      </c>
      <c r="C107" s="82" t="str">
        <f t="shared" si="6"/>
        <v>X</v>
      </c>
      <c r="D107" s="228">
        <v>2022</v>
      </c>
      <c r="E107" s="82" t="s">
        <v>1653</v>
      </c>
      <c r="F107" s="82" t="s">
        <v>1745</v>
      </c>
      <c r="G107" s="82" t="s">
        <v>1746</v>
      </c>
      <c r="H107" s="227" t="s">
        <v>1864</v>
      </c>
      <c r="I107" s="279" t="s">
        <v>3110</v>
      </c>
      <c r="J107" s="123">
        <v>4</v>
      </c>
      <c r="K107" s="82" t="s">
        <v>586</v>
      </c>
      <c r="L107" s="228"/>
      <c r="M107" s="175">
        <v>54.9</v>
      </c>
      <c r="N107" s="173">
        <v>219.6</v>
      </c>
      <c r="O107" s="82" t="s">
        <v>1747</v>
      </c>
      <c r="P107" s="82" t="s">
        <v>1748</v>
      </c>
      <c r="Q107" s="173">
        <v>77</v>
      </c>
      <c r="R107" s="177">
        <f t="shared" si="7"/>
        <v>77</v>
      </c>
      <c r="S107" s="278" t="s">
        <v>3105</v>
      </c>
      <c r="T107" s="83" t="s">
        <v>1751</v>
      </c>
      <c r="U107" s="82"/>
      <c r="V107" s="82" t="s">
        <v>3115</v>
      </c>
      <c r="W107" s="250" t="s">
        <v>3499</v>
      </c>
      <c r="X107" s="250" t="s">
        <v>3504</v>
      </c>
    </row>
    <row r="108" spans="1:24" ht="15.75" hidden="1" thickBot="1" x14ac:dyDescent="0.3">
      <c r="A108" s="82" t="s">
        <v>4594</v>
      </c>
      <c r="B108" s="82" t="s">
        <v>4594</v>
      </c>
      <c r="C108" s="82" t="str">
        <f t="shared" si="6"/>
        <v>X</v>
      </c>
      <c r="D108" s="228">
        <v>2022</v>
      </c>
      <c r="E108" s="82" t="s">
        <v>1653</v>
      </c>
      <c r="F108" s="82" t="s">
        <v>1745</v>
      </c>
      <c r="G108" s="82" t="s">
        <v>1746</v>
      </c>
      <c r="H108" s="227" t="s">
        <v>1864</v>
      </c>
      <c r="I108" s="279" t="s">
        <v>3110</v>
      </c>
      <c r="J108" s="123">
        <v>2</v>
      </c>
      <c r="K108" s="82" t="s">
        <v>586</v>
      </c>
      <c r="L108" s="228"/>
      <c r="M108" s="175">
        <v>54.9</v>
      </c>
      <c r="N108" s="173">
        <v>109.8</v>
      </c>
      <c r="O108" s="82" t="s">
        <v>1747</v>
      </c>
      <c r="P108" s="82" t="s">
        <v>1748</v>
      </c>
      <c r="Q108" s="173">
        <v>77</v>
      </c>
      <c r="R108" s="177">
        <f t="shared" si="7"/>
        <v>77</v>
      </c>
      <c r="S108" s="278" t="s">
        <v>3105</v>
      </c>
      <c r="T108" s="83" t="s">
        <v>1751</v>
      </c>
      <c r="U108" s="82"/>
      <c r="V108" s="82" t="s">
        <v>3115</v>
      </c>
      <c r="W108" s="250" t="s">
        <v>3499</v>
      </c>
      <c r="X108" s="250" t="s">
        <v>3504</v>
      </c>
    </row>
    <row r="109" spans="1:24" ht="15.75" hidden="1" thickBot="1" x14ac:dyDescent="0.3">
      <c r="A109" s="82" t="s">
        <v>4594</v>
      </c>
      <c r="B109" s="82" t="s">
        <v>4594</v>
      </c>
      <c r="C109" s="82" t="str">
        <f t="shared" si="6"/>
        <v>X</v>
      </c>
      <c r="D109" s="228">
        <v>2022</v>
      </c>
      <c r="E109" s="82" t="s">
        <v>1653</v>
      </c>
      <c r="F109" s="82" t="s">
        <v>1745</v>
      </c>
      <c r="G109" s="82" t="s">
        <v>1746</v>
      </c>
      <c r="H109" s="227" t="s">
        <v>1864</v>
      </c>
      <c r="I109" s="279" t="s">
        <v>3110</v>
      </c>
      <c r="J109" s="123">
        <v>2</v>
      </c>
      <c r="K109" s="82" t="s">
        <v>586</v>
      </c>
      <c r="L109" s="228"/>
      <c r="M109" s="175">
        <v>54.9</v>
      </c>
      <c r="N109" s="173">
        <v>109.8</v>
      </c>
      <c r="O109" s="82" t="s">
        <v>1747</v>
      </c>
      <c r="P109" s="82" t="s">
        <v>1748</v>
      </c>
      <c r="Q109" s="173">
        <v>77</v>
      </c>
      <c r="R109" s="177">
        <f t="shared" si="7"/>
        <v>77</v>
      </c>
      <c r="S109" s="278" t="s">
        <v>3105</v>
      </c>
      <c r="T109" s="83" t="s">
        <v>1751</v>
      </c>
      <c r="U109" s="82"/>
      <c r="V109" s="82" t="s">
        <v>3115</v>
      </c>
      <c r="W109" s="250" t="s">
        <v>3499</v>
      </c>
      <c r="X109" s="250" t="s">
        <v>3504</v>
      </c>
    </row>
    <row r="110" spans="1:24" ht="15.75" hidden="1" thickBot="1" x14ac:dyDescent="0.3">
      <c r="A110" s="82" t="s">
        <v>4594</v>
      </c>
      <c r="B110" s="82" t="s">
        <v>4594</v>
      </c>
      <c r="C110" s="82" t="str">
        <f t="shared" si="6"/>
        <v>X</v>
      </c>
      <c r="D110" s="228">
        <v>2022</v>
      </c>
      <c r="E110" s="82" t="s">
        <v>1653</v>
      </c>
      <c r="F110" s="82" t="s">
        <v>1745</v>
      </c>
      <c r="G110" s="82" t="s">
        <v>1746</v>
      </c>
      <c r="H110" s="227" t="s">
        <v>1864</v>
      </c>
      <c r="I110" s="279" t="s">
        <v>3110</v>
      </c>
      <c r="J110" s="123">
        <v>2</v>
      </c>
      <c r="K110" s="82" t="s">
        <v>586</v>
      </c>
      <c r="L110" s="228"/>
      <c r="M110" s="175">
        <v>54.9</v>
      </c>
      <c r="N110" s="173">
        <v>109.8</v>
      </c>
      <c r="O110" s="82" t="s">
        <v>1747</v>
      </c>
      <c r="P110" s="82" t="s">
        <v>1748</v>
      </c>
      <c r="Q110" s="173">
        <v>77</v>
      </c>
      <c r="R110" s="177">
        <f t="shared" si="7"/>
        <v>77</v>
      </c>
      <c r="S110" s="278" t="s">
        <v>3105</v>
      </c>
      <c r="T110" s="83" t="s">
        <v>1751</v>
      </c>
      <c r="U110" s="82"/>
      <c r="V110" s="82" t="s">
        <v>3115</v>
      </c>
      <c r="W110" s="250" t="s">
        <v>3499</v>
      </c>
      <c r="X110" s="250" t="s">
        <v>3504</v>
      </c>
    </row>
    <row r="111" spans="1:24" ht="15.75" hidden="1" thickBot="1" x14ac:dyDescent="0.3">
      <c r="A111" s="82" t="s">
        <v>4594</v>
      </c>
      <c r="B111" s="82" t="s">
        <v>4594</v>
      </c>
      <c r="C111" s="82" t="str">
        <f t="shared" si="6"/>
        <v>X</v>
      </c>
      <c r="D111" s="228">
        <v>2022</v>
      </c>
      <c r="E111" s="82" t="s">
        <v>1653</v>
      </c>
      <c r="F111" s="82" t="s">
        <v>1745</v>
      </c>
      <c r="G111" s="82" t="s">
        <v>1746</v>
      </c>
      <c r="H111" s="227" t="s">
        <v>1864</v>
      </c>
      <c r="I111" s="279" t="s">
        <v>3110</v>
      </c>
      <c r="J111" s="123">
        <v>2</v>
      </c>
      <c r="K111" s="82" t="s">
        <v>586</v>
      </c>
      <c r="L111" s="228"/>
      <c r="M111" s="175">
        <v>54.9</v>
      </c>
      <c r="N111" s="173">
        <v>109.8</v>
      </c>
      <c r="O111" s="82" t="s">
        <v>1747</v>
      </c>
      <c r="P111" s="82" t="s">
        <v>1748</v>
      </c>
      <c r="Q111" s="173">
        <v>77</v>
      </c>
      <c r="R111" s="177">
        <f t="shared" si="7"/>
        <v>77</v>
      </c>
      <c r="S111" s="278" t="s">
        <v>3105</v>
      </c>
      <c r="T111" s="83" t="s">
        <v>1751</v>
      </c>
      <c r="U111" s="82"/>
      <c r="V111" s="82" t="s">
        <v>3115</v>
      </c>
      <c r="W111" s="250" t="s">
        <v>3499</v>
      </c>
      <c r="X111" s="250" t="s">
        <v>3504</v>
      </c>
    </row>
    <row r="112" spans="1:24" ht="15.75" hidden="1" thickBot="1" x14ac:dyDescent="0.3">
      <c r="A112" s="82" t="s">
        <v>4594</v>
      </c>
      <c r="B112" s="82" t="s">
        <v>4594</v>
      </c>
      <c r="C112" s="82" t="str">
        <f t="shared" si="6"/>
        <v>X</v>
      </c>
      <c r="D112" s="228">
        <v>2022</v>
      </c>
      <c r="E112" s="82" t="s">
        <v>1653</v>
      </c>
      <c r="F112" s="82" t="s">
        <v>1745</v>
      </c>
      <c r="G112" s="82" t="s">
        <v>1746</v>
      </c>
      <c r="H112" s="227" t="s">
        <v>1864</v>
      </c>
      <c r="I112" s="279" t="s">
        <v>3110</v>
      </c>
      <c r="J112" s="123">
        <v>2</v>
      </c>
      <c r="K112" s="82" t="s">
        <v>586</v>
      </c>
      <c r="L112" s="228"/>
      <c r="M112" s="175">
        <v>54.9</v>
      </c>
      <c r="N112" s="173">
        <v>109.8</v>
      </c>
      <c r="O112" s="82" t="s">
        <v>1747</v>
      </c>
      <c r="P112" s="82" t="s">
        <v>1748</v>
      </c>
      <c r="Q112" s="173">
        <v>77</v>
      </c>
      <c r="R112" s="177">
        <f t="shared" si="7"/>
        <v>77</v>
      </c>
      <c r="S112" s="278" t="s">
        <v>3105</v>
      </c>
      <c r="T112" s="83" t="s">
        <v>1751</v>
      </c>
      <c r="U112" s="82"/>
      <c r="V112" s="82" t="s">
        <v>3115</v>
      </c>
      <c r="W112" s="250" t="s">
        <v>3499</v>
      </c>
      <c r="X112" s="250" t="s">
        <v>3504</v>
      </c>
    </row>
    <row r="113" spans="1:24" ht="15.75" hidden="1" thickBot="1" x14ac:dyDescent="0.3">
      <c r="A113" s="82" t="s">
        <v>4594</v>
      </c>
      <c r="B113" s="82" t="s">
        <v>4594</v>
      </c>
      <c r="C113" s="82" t="str">
        <f t="shared" si="6"/>
        <v>X</v>
      </c>
      <c r="D113" s="228">
        <v>2022</v>
      </c>
      <c r="E113" s="82" t="s">
        <v>1653</v>
      </c>
      <c r="F113" s="82" t="s">
        <v>1745</v>
      </c>
      <c r="G113" s="82" t="s">
        <v>1746</v>
      </c>
      <c r="H113" s="227" t="s">
        <v>1864</v>
      </c>
      <c r="I113" s="279" t="s">
        <v>3110</v>
      </c>
      <c r="J113" s="123">
        <v>6</v>
      </c>
      <c r="K113" s="82" t="s">
        <v>586</v>
      </c>
      <c r="L113" s="228"/>
      <c r="M113" s="175">
        <v>54.9</v>
      </c>
      <c r="N113" s="173">
        <v>329.4</v>
      </c>
      <c r="O113" s="82" t="s">
        <v>1747</v>
      </c>
      <c r="P113" s="82" t="s">
        <v>1748</v>
      </c>
      <c r="Q113" s="173">
        <v>77</v>
      </c>
      <c r="R113" s="177">
        <f t="shared" si="7"/>
        <v>77</v>
      </c>
      <c r="S113" s="278" t="s">
        <v>3105</v>
      </c>
      <c r="T113" s="83" t="s">
        <v>1751</v>
      </c>
      <c r="U113" s="82"/>
      <c r="V113" s="82" t="s">
        <v>3115</v>
      </c>
      <c r="W113" s="250" t="s">
        <v>3499</v>
      </c>
      <c r="X113" s="250" t="s">
        <v>3504</v>
      </c>
    </row>
    <row r="114" spans="1:24" ht="15.75" hidden="1" thickBot="1" x14ac:dyDescent="0.3">
      <c r="A114" s="82" t="s">
        <v>4594</v>
      </c>
      <c r="B114" s="82" t="s">
        <v>4594</v>
      </c>
      <c r="C114" s="82" t="str">
        <f t="shared" si="6"/>
        <v>X</v>
      </c>
      <c r="D114" s="228">
        <v>2022</v>
      </c>
      <c r="E114" s="82" t="s">
        <v>1653</v>
      </c>
      <c r="F114" s="82" t="s">
        <v>1745</v>
      </c>
      <c r="G114" s="82" t="s">
        <v>1746</v>
      </c>
      <c r="H114" s="227" t="s">
        <v>1864</v>
      </c>
      <c r="I114" s="279" t="s">
        <v>3110</v>
      </c>
      <c r="J114" s="123">
        <v>6</v>
      </c>
      <c r="K114" s="82" t="s">
        <v>586</v>
      </c>
      <c r="L114" s="228"/>
      <c r="M114" s="175">
        <v>54.9</v>
      </c>
      <c r="N114" s="173">
        <v>329.4</v>
      </c>
      <c r="O114" s="82" t="s">
        <v>1747</v>
      </c>
      <c r="P114" s="82" t="s">
        <v>1748</v>
      </c>
      <c r="Q114" s="173">
        <v>77</v>
      </c>
      <c r="R114" s="177">
        <f t="shared" si="7"/>
        <v>77</v>
      </c>
      <c r="S114" s="278" t="s">
        <v>3105</v>
      </c>
      <c r="T114" s="83" t="s">
        <v>1751</v>
      </c>
      <c r="U114" s="82"/>
      <c r="V114" s="82" t="s">
        <v>3115</v>
      </c>
      <c r="W114" s="250" t="s">
        <v>3499</v>
      </c>
      <c r="X114" s="250" t="s">
        <v>3504</v>
      </c>
    </row>
    <row r="115" spans="1:24" ht="15.75" hidden="1" thickBot="1" x14ac:dyDescent="0.3">
      <c r="A115" s="82" t="s">
        <v>4594</v>
      </c>
      <c r="B115" s="82" t="s">
        <v>4594</v>
      </c>
      <c r="C115" s="82" t="str">
        <f t="shared" si="6"/>
        <v>X</v>
      </c>
      <c r="D115" s="228">
        <v>2022</v>
      </c>
      <c r="E115" s="82" t="s">
        <v>1653</v>
      </c>
      <c r="F115" s="82" t="s">
        <v>1745</v>
      </c>
      <c r="G115" s="82" t="s">
        <v>1746</v>
      </c>
      <c r="H115" s="227" t="s">
        <v>1864</v>
      </c>
      <c r="I115" s="279" t="s">
        <v>3110</v>
      </c>
      <c r="J115" s="123">
        <v>6</v>
      </c>
      <c r="K115" s="82" t="s">
        <v>586</v>
      </c>
      <c r="L115" s="228"/>
      <c r="M115" s="175">
        <v>54.9</v>
      </c>
      <c r="N115" s="173">
        <v>329.4</v>
      </c>
      <c r="O115" s="82" t="s">
        <v>1747</v>
      </c>
      <c r="P115" s="82" t="s">
        <v>1748</v>
      </c>
      <c r="Q115" s="173">
        <v>77</v>
      </c>
      <c r="R115" s="177">
        <f t="shared" si="7"/>
        <v>77</v>
      </c>
      <c r="S115" s="278" t="s">
        <v>3105</v>
      </c>
      <c r="T115" s="83" t="s">
        <v>1751</v>
      </c>
      <c r="U115" s="82"/>
      <c r="V115" s="82" t="s">
        <v>3115</v>
      </c>
      <c r="W115" s="250" t="s">
        <v>3499</v>
      </c>
      <c r="X115" s="250" t="s">
        <v>3504</v>
      </c>
    </row>
    <row r="116" spans="1:24" ht="15.75" hidden="1" thickBot="1" x14ac:dyDescent="0.3">
      <c r="A116" s="82" t="s">
        <v>4594</v>
      </c>
      <c r="B116" s="82" t="s">
        <v>4594</v>
      </c>
      <c r="C116" s="82" t="str">
        <f t="shared" si="6"/>
        <v>X</v>
      </c>
      <c r="D116" s="228">
        <v>2022</v>
      </c>
      <c r="E116" s="82" t="s">
        <v>1653</v>
      </c>
      <c r="F116" s="82" t="s">
        <v>1745</v>
      </c>
      <c r="G116" s="82" t="s">
        <v>1746</v>
      </c>
      <c r="H116" s="227" t="s">
        <v>1864</v>
      </c>
      <c r="I116" s="279" t="s">
        <v>3110</v>
      </c>
      <c r="J116" s="123">
        <v>6</v>
      </c>
      <c r="K116" s="82" t="s">
        <v>586</v>
      </c>
      <c r="L116" s="228"/>
      <c r="M116" s="175">
        <v>54.9</v>
      </c>
      <c r="N116" s="173">
        <v>329.4</v>
      </c>
      <c r="O116" s="82" t="s">
        <v>1747</v>
      </c>
      <c r="P116" s="82" t="s">
        <v>1748</v>
      </c>
      <c r="Q116" s="173">
        <v>77</v>
      </c>
      <c r="R116" s="177">
        <f t="shared" si="7"/>
        <v>77</v>
      </c>
      <c r="S116" s="278" t="s">
        <v>3105</v>
      </c>
      <c r="T116" s="83" t="s">
        <v>1751</v>
      </c>
      <c r="U116" s="82"/>
      <c r="V116" s="82" t="s">
        <v>3115</v>
      </c>
      <c r="W116" s="250" t="s">
        <v>3499</v>
      </c>
      <c r="X116" s="250" t="s">
        <v>3504</v>
      </c>
    </row>
    <row r="117" spans="1:24" ht="15.75" hidden="1" thickBot="1" x14ac:dyDescent="0.3">
      <c r="A117" s="82" t="s">
        <v>4594</v>
      </c>
      <c r="B117" s="82" t="s">
        <v>4594</v>
      </c>
      <c r="C117" s="82" t="str">
        <f t="shared" si="6"/>
        <v>X</v>
      </c>
      <c r="D117" s="228">
        <v>2022</v>
      </c>
      <c r="E117" s="82" t="s">
        <v>1653</v>
      </c>
      <c r="F117" s="82" t="s">
        <v>1745</v>
      </c>
      <c r="G117" s="82" t="s">
        <v>1746</v>
      </c>
      <c r="H117" s="227" t="s">
        <v>1864</v>
      </c>
      <c r="I117" s="279" t="s">
        <v>3110</v>
      </c>
      <c r="J117" s="123">
        <v>1</v>
      </c>
      <c r="K117" s="82" t="s">
        <v>586</v>
      </c>
      <c r="L117" s="228"/>
      <c r="M117" s="175">
        <v>54.9</v>
      </c>
      <c r="N117" s="173">
        <v>54.9</v>
      </c>
      <c r="O117" s="82" t="s">
        <v>1747</v>
      </c>
      <c r="P117" s="82" t="s">
        <v>1748</v>
      </c>
      <c r="Q117" s="173">
        <v>77</v>
      </c>
      <c r="R117" s="177">
        <f t="shared" si="7"/>
        <v>77</v>
      </c>
      <c r="S117" s="278" t="s">
        <v>3105</v>
      </c>
      <c r="T117" s="83" t="s">
        <v>1751</v>
      </c>
      <c r="U117" s="82"/>
      <c r="V117" s="82" t="s">
        <v>3115</v>
      </c>
      <c r="W117" s="250" t="s">
        <v>3499</v>
      </c>
      <c r="X117" s="250" t="s">
        <v>3504</v>
      </c>
    </row>
    <row r="118" spans="1:24" ht="15.75" hidden="1" thickBot="1" x14ac:dyDescent="0.3">
      <c r="A118" s="82" t="s">
        <v>4593</v>
      </c>
      <c r="B118" s="82" t="s">
        <v>4593</v>
      </c>
      <c r="C118" s="82" t="str">
        <f t="shared" si="6"/>
        <v>X</v>
      </c>
      <c r="D118" s="228">
        <v>2022</v>
      </c>
      <c r="E118" s="82" t="s">
        <v>1653</v>
      </c>
      <c r="F118" s="82" t="s">
        <v>1745</v>
      </c>
      <c r="G118" s="82" t="s">
        <v>1746</v>
      </c>
      <c r="H118" s="227" t="s">
        <v>1864</v>
      </c>
      <c r="I118" s="279" t="s">
        <v>3110</v>
      </c>
      <c r="J118" s="123">
        <v>4</v>
      </c>
      <c r="K118" s="82" t="s">
        <v>586</v>
      </c>
      <c r="L118" s="228"/>
      <c r="M118" s="175">
        <v>54.9</v>
      </c>
      <c r="N118" s="173">
        <v>219.6</v>
      </c>
      <c r="O118" s="82" t="s">
        <v>1747</v>
      </c>
      <c r="P118" s="82" t="s">
        <v>3114</v>
      </c>
      <c r="Q118" s="173">
        <v>3.2</v>
      </c>
      <c r="R118" s="177">
        <f t="shared" si="7"/>
        <v>3.2</v>
      </c>
      <c r="S118" s="278" t="s">
        <v>3105</v>
      </c>
      <c r="T118" s="83" t="s">
        <v>1751</v>
      </c>
      <c r="U118" s="82"/>
      <c r="V118" s="82" t="s">
        <v>3115</v>
      </c>
      <c r="W118" s="250" t="s">
        <v>3499</v>
      </c>
      <c r="X118" s="250" t="s">
        <v>3504</v>
      </c>
    </row>
    <row r="119" spans="1:24" ht="15.75" hidden="1" thickBot="1" x14ac:dyDescent="0.3">
      <c r="A119" s="82" t="s">
        <v>4593</v>
      </c>
      <c r="B119" s="82" t="s">
        <v>4593</v>
      </c>
      <c r="C119" s="82" t="str">
        <f t="shared" si="6"/>
        <v>X</v>
      </c>
      <c r="D119" s="228">
        <v>2022</v>
      </c>
      <c r="E119" s="82" t="s">
        <v>1653</v>
      </c>
      <c r="F119" s="82" t="s">
        <v>1745</v>
      </c>
      <c r="G119" s="82" t="s">
        <v>1746</v>
      </c>
      <c r="H119" s="227" t="s">
        <v>1864</v>
      </c>
      <c r="I119" s="279" t="s">
        <v>3110</v>
      </c>
      <c r="J119" s="123">
        <v>4</v>
      </c>
      <c r="K119" s="82" t="s">
        <v>586</v>
      </c>
      <c r="L119" s="228"/>
      <c r="M119" s="175">
        <v>54.9</v>
      </c>
      <c r="N119" s="173">
        <v>219.6</v>
      </c>
      <c r="O119" s="82" t="s">
        <v>1747</v>
      </c>
      <c r="P119" s="82" t="s">
        <v>3114</v>
      </c>
      <c r="Q119" s="173">
        <v>3.2</v>
      </c>
      <c r="R119" s="177">
        <f t="shared" si="7"/>
        <v>3.2</v>
      </c>
      <c r="S119" s="278" t="s">
        <v>3105</v>
      </c>
      <c r="T119" s="83" t="s">
        <v>1751</v>
      </c>
      <c r="U119" s="82"/>
      <c r="V119" s="82" t="s">
        <v>3115</v>
      </c>
      <c r="W119" s="250" t="s">
        <v>3499</v>
      </c>
      <c r="X119" s="250" t="s">
        <v>3504</v>
      </c>
    </row>
    <row r="120" spans="1:24" ht="15.75" hidden="1" thickBot="1" x14ac:dyDescent="0.3">
      <c r="A120" s="82" t="s">
        <v>4593</v>
      </c>
      <c r="B120" s="82" t="s">
        <v>4593</v>
      </c>
      <c r="C120" s="82" t="str">
        <f t="shared" si="6"/>
        <v>X</v>
      </c>
      <c r="D120" s="228">
        <v>2022</v>
      </c>
      <c r="E120" s="82" t="s">
        <v>1653</v>
      </c>
      <c r="F120" s="82" t="s">
        <v>1745</v>
      </c>
      <c r="G120" s="82" t="s">
        <v>1746</v>
      </c>
      <c r="H120" s="227" t="s">
        <v>1864</v>
      </c>
      <c r="I120" s="279" t="s">
        <v>3110</v>
      </c>
      <c r="J120" s="123">
        <v>4</v>
      </c>
      <c r="K120" s="82" t="s">
        <v>586</v>
      </c>
      <c r="L120" s="228"/>
      <c r="M120" s="175">
        <v>54.9</v>
      </c>
      <c r="N120" s="173">
        <v>219.6</v>
      </c>
      <c r="O120" s="82" t="s">
        <v>1747</v>
      </c>
      <c r="P120" s="82" t="s">
        <v>3114</v>
      </c>
      <c r="Q120" s="173">
        <v>3.2</v>
      </c>
      <c r="R120" s="177">
        <f t="shared" si="7"/>
        <v>3.2</v>
      </c>
      <c r="S120" s="278" t="s">
        <v>3105</v>
      </c>
      <c r="T120" s="83" t="s">
        <v>1751</v>
      </c>
      <c r="U120" s="82"/>
      <c r="V120" s="82" t="s">
        <v>3115</v>
      </c>
      <c r="W120" s="250" t="s">
        <v>3499</v>
      </c>
      <c r="X120" s="250" t="s">
        <v>3504</v>
      </c>
    </row>
    <row r="121" spans="1:24" ht="15.75" hidden="1" thickBot="1" x14ac:dyDescent="0.3">
      <c r="A121" s="82" t="s">
        <v>4593</v>
      </c>
      <c r="B121" s="82" t="s">
        <v>4593</v>
      </c>
      <c r="C121" s="82" t="str">
        <f t="shared" si="6"/>
        <v>X</v>
      </c>
      <c r="D121" s="228">
        <v>2022</v>
      </c>
      <c r="E121" s="82" t="s">
        <v>1653</v>
      </c>
      <c r="F121" s="82" t="s">
        <v>1745</v>
      </c>
      <c r="G121" s="82" t="s">
        <v>1746</v>
      </c>
      <c r="H121" s="227" t="s">
        <v>1864</v>
      </c>
      <c r="I121" s="279" t="s">
        <v>3110</v>
      </c>
      <c r="J121" s="123">
        <v>4</v>
      </c>
      <c r="K121" s="82" t="s">
        <v>586</v>
      </c>
      <c r="L121" s="228"/>
      <c r="M121" s="175">
        <v>54.9</v>
      </c>
      <c r="N121" s="173">
        <v>219.6</v>
      </c>
      <c r="O121" s="82" t="s">
        <v>1747</v>
      </c>
      <c r="P121" s="82" t="s">
        <v>3114</v>
      </c>
      <c r="Q121" s="173">
        <v>3.2</v>
      </c>
      <c r="R121" s="177">
        <f t="shared" si="7"/>
        <v>3.2</v>
      </c>
      <c r="S121" s="278" t="s">
        <v>3105</v>
      </c>
      <c r="T121" s="83" t="s">
        <v>1751</v>
      </c>
      <c r="U121" s="82"/>
      <c r="V121" s="82" t="s">
        <v>3115</v>
      </c>
      <c r="W121" s="250" t="s">
        <v>3499</v>
      </c>
      <c r="X121" s="250" t="s">
        <v>3504</v>
      </c>
    </row>
    <row r="122" spans="1:24" ht="15.75" hidden="1" thickBot="1" x14ac:dyDescent="0.3">
      <c r="A122" s="82" t="s">
        <v>4593</v>
      </c>
      <c r="B122" s="82" t="s">
        <v>4593</v>
      </c>
      <c r="C122" s="82" t="str">
        <f t="shared" si="6"/>
        <v>X</v>
      </c>
      <c r="D122" s="228">
        <v>2022</v>
      </c>
      <c r="E122" s="82" t="s">
        <v>1653</v>
      </c>
      <c r="F122" s="82" t="s">
        <v>1745</v>
      </c>
      <c r="G122" s="82" t="s">
        <v>1746</v>
      </c>
      <c r="H122" s="227" t="s">
        <v>1864</v>
      </c>
      <c r="I122" s="279" t="s">
        <v>3110</v>
      </c>
      <c r="J122" s="123">
        <v>6</v>
      </c>
      <c r="K122" s="82" t="s">
        <v>586</v>
      </c>
      <c r="L122" s="228"/>
      <c r="M122" s="175">
        <v>54.9</v>
      </c>
      <c r="N122" s="173">
        <v>329.4</v>
      </c>
      <c r="O122" s="82" t="s">
        <v>1747</v>
      </c>
      <c r="P122" s="82" t="s">
        <v>3114</v>
      </c>
      <c r="Q122" s="173">
        <v>3.2</v>
      </c>
      <c r="R122" s="177">
        <f t="shared" si="7"/>
        <v>3.2</v>
      </c>
      <c r="S122" s="278" t="s">
        <v>3105</v>
      </c>
      <c r="T122" s="83" t="s">
        <v>1751</v>
      </c>
      <c r="U122" s="82"/>
      <c r="V122" s="82" t="s">
        <v>3115</v>
      </c>
      <c r="W122" s="250" t="s">
        <v>3499</v>
      </c>
      <c r="X122" s="250" t="s">
        <v>3504</v>
      </c>
    </row>
    <row r="123" spans="1:24" ht="15.75" hidden="1" thickBot="1" x14ac:dyDescent="0.3">
      <c r="A123" s="82" t="s">
        <v>4593</v>
      </c>
      <c r="B123" s="82" t="s">
        <v>4593</v>
      </c>
      <c r="C123" s="82" t="str">
        <f t="shared" si="6"/>
        <v>X</v>
      </c>
      <c r="D123" s="228">
        <v>2022</v>
      </c>
      <c r="E123" s="82" t="s">
        <v>1653</v>
      </c>
      <c r="F123" s="82" t="s">
        <v>1745</v>
      </c>
      <c r="G123" s="82" t="s">
        <v>1746</v>
      </c>
      <c r="H123" s="227" t="s">
        <v>1864</v>
      </c>
      <c r="I123" s="279" t="s">
        <v>3110</v>
      </c>
      <c r="J123" s="123">
        <v>6</v>
      </c>
      <c r="K123" s="82" t="s">
        <v>586</v>
      </c>
      <c r="L123" s="228"/>
      <c r="M123" s="175">
        <v>54.9</v>
      </c>
      <c r="N123" s="173">
        <v>329.4</v>
      </c>
      <c r="O123" s="82" t="s">
        <v>1747</v>
      </c>
      <c r="P123" s="82" t="s">
        <v>3114</v>
      </c>
      <c r="Q123" s="173">
        <v>3.2</v>
      </c>
      <c r="R123" s="177">
        <f t="shared" si="7"/>
        <v>3.2</v>
      </c>
      <c r="S123" s="278" t="s">
        <v>3105</v>
      </c>
      <c r="T123" s="83" t="s">
        <v>1751</v>
      </c>
      <c r="U123" s="82"/>
      <c r="V123" s="82" t="s">
        <v>3115</v>
      </c>
      <c r="W123" s="250" t="s">
        <v>3499</v>
      </c>
      <c r="X123" s="250" t="s">
        <v>3504</v>
      </c>
    </row>
    <row r="124" spans="1:24" ht="15.75" hidden="1" thickBot="1" x14ac:dyDescent="0.3">
      <c r="A124" s="82" t="s">
        <v>4593</v>
      </c>
      <c r="B124" s="82" t="s">
        <v>4593</v>
      </c>
      <c r="C124" s="82" t="str">
        <f t="shared" si="6"/>
        <v>X</v>
      </c>
      <c r="D124" s="228">
        <v>2022</v>
      </c>
      <c r="E124" s="82" t="s">
        <v>1653</v>
      </c>
      <c r="F124" s="82" t="s">
        <v>1745</v>
      </c>
      <c r="G124" s="82" t="s">
        <v>1746</v>
      </c>
      <c r="H124" s="227" t="s">
        <v>1864</v>
      </c>
      <c r="I124" s="279" t="s">
        <v>3110</v>
      </c>
      <c r="J124" s="123">
        <v>6</v>
      </c>
      <c r="K124" s="82" t="s">
        <v>586</v>
      </c>
      <c r="L124" s="228"/>
      <c r="M124" s="175">
        <v>54.9</v>
      </c>
      <c r="N124" s="173">
        <v>329.4</v>
      </c>
      <c r="O124" s="82" t="s">
        <v>1747</v>
      </c>
      <c r="P124" s="82" t="s">
        <v>3114</v>
      </c>
      <c r="Q124" s="173">
        <v>3.2</v>
      </c>
      <c r="R124" s="177">
        <f t="shared" si="7"/>
        <v>3.2</v>
      </c>
      <c r="S124" s="278" t="s">
        <v>3105</v>
      </c>
      <c r="T124" s="83" t="s">
        <v>1751</v>
      </c>
      <c r="U124" s="82"/>
      <c r="V124" s="82" t="s">
        <v>3115</v>
      </c>
      <c r="W124" s="250" t="s">
        <v>3499</v>
      </c>
      <c r="X124" s="250" t="s">
        <v>3504</v>
      </c>
    </row>
    <row r="125" spans="1:24" ht="15.75" hidden="1" thickBot="1" x14ac:dyDescent="0.3">
      <c r="A125" s="82" t="s">
        <v>4593</v>
      </c>
      <c r="B125" s="82" t="s">
        <v>4593</v>
      </c>
      <c r="C125" s="82" t="str">
        <f t="shared" si="6"/>
        <v>X</v>
      </c>
      <c r="D125" s="228">
        <v>2022</v>
      </c>
      <c r="E125" s="82" t="s">
        <v>1653</v>
      </c>
      <c r="F125" s="82" t="s">
        <v>1745</v>
      </c>
      <c r="G125" s="82" t="s">
        <v>1746</v>
      </c>
      <c r="H125" s="227" t="s">
        <v>1864</v>
      </c>
      <c r="I125" s="279" t="s">
        <v>3110</v>
      </c>
      <c r="J125" s="123">
        <v>6</v>
      </c>
      <c r="K125" s="82" t="s">
        <v>586</v>
      </c>
      <c r="L125" s="228"/>
      <c r="M125" s="175">
        <v>54.9</v>
      </c>
      <c r="N125" s="173">
        <v>329.4</v>
      </c>
      <c r="O125" s="82" t="s">
        <v>1747</v>
      </c>
      <c r="P125" s="82" t="s">
        <v>3114</v>
      </c>
      <c r="Q125" s="173">
        <v>3.2</v>
      </c>
      <c r="R125" s="177">
        <f t="shared" si="7"/>
        <v>3.2</v>
      </c>
      <c r="S125" s="278" t="s">
        <v>3105</v>
      </c>
      <c r="T125" s="83" t="s">
        <v>1751</v>
      </c>
      <c r="U125" s="82"/>
      <c r="V125" s="82" t="s">
        <v>3115</v>
      </c>
      <c r="W125" s="250" t="s">
        <v>3499</v>
      </c>
      <c r="X125" s="250" t="s">
        <v>3504</v>
      </c>
    </row>
    <row r="126" spans="1:24" ht="15.75" hidden="1" thickBot="1" x14ac:dyDescent="0.3">
      <c r="A126" s="82" t="s">
        <v>4592</v>
      </c>
      <c r="B126" s="82" t="s">
        <v>4592</v>
      </c>
      <c r="C126" s="82" t="str">
        <f t="shared" si="6"/>
        <v>X</v>
      </c>
      <c r="D126" s="228">
        <v>2022</v>
      </c>
      <c r="E126" s="82" t="s">
        <v>1653</v>
      </c>
      <c r="F126" s="82" t="s">
        <v>1745</v>
      </c>
      <c r="G126" s="82" t="s">
        <v>1746</v>
      </c>
      <c r="H126" s="227" t="s">
        <v>1864</v>
      </c>
      <c r="I126" s="279" t="s">
        <v>3110</v>
      </c>
      <c r="J126" s="123">
        <v>4</v>
      </c>
      <c r="K126" s="82" t="s">
        <v>586</v>
      </c>
      <c r="L126" s="228"/>
      <c r="M126" s="175">
        <v>54.9</v>
      </c>
      <c r="N126" s="173">
        <v>219.6</v>
      </c>
      <c r="O126" s="82" t="s">
        <v>1747</v>
      </c>
      <c r="P126" s="82" t="s">
        <v>1748</v>
      </c>
      <c r="Q126" s="173">
        <v>88</v>
      </c>
      <c r="R126" s="177">
        <f t="shared" si="7"/>
        <v>88</v>
      </c>
      <c r="S126" s="278" t="s">
        <v>3105</v>
      </c>
      <c r="T126" s="83" t="s">
        <v>1751</v>
      </c>
      <c r="U126" s="82"/>
      <c r="V126" s="82" t="s">
        <v>3115</v>
      </c>
      <c r="W126" s="250" t="s">
        <v>3499</v>
      </c>
      <c r="X126" s="250" t="s">
        <v>3504</v>
      </c>
    </row>
    <row r="127" spans="1:24" ht="15.75" hidden="1" thickBot="1" x14ac:dyDescent="0.3">
      <c r="A127" s="82" t="s">
        <v>4592</v>
      </c>
      <c r="B127" s="82" t="s">
        <v>4592</v>
      </c>
      <c r="C127" s="82" t="str">
        <f t="shared" si="6"/>
        <v>X</v>
      </c>
      <c r="D127" s="228">
        <v>2022</v>
      </c>
      <c r="E127" s="82" t="s">
        <v>1653</v>
      </c>
      <c r="F127" s="82" t="s">
        <v>1745</v>
      </c>
      <c r="G127" s="82" t="s">
        <v>1746</v>
      </c>
      <c r="H127" s="227" t="s">
        <v>1864</v>
      </c>
      <c r="I127" s="279" t="s">
        <v>3110</v>
      </c>
      <c r="J127" s="123">
        <v>4</v>
      </c>
      <c r="K127" s="82" t="s">
        <v>586</v>
      </c>
      <c r="L127" s="228"/>
      <c r="M127" s="175">
        <v>54.9</v>
      </c>
      <c r="N127" s="173">
        <v>219.6</v>
      </c>
      <c r="O127" s="82" t="s">
        <v>1747</v>
      </c>
      <c r="P127" s="82" t="s">
        <v>1748</v>
      </c>
      <c r="Q127" s="173">
        <v>88</v>
      </c>
      <c r="R127" s="177">
        <f t="shared" si="7"/>
        <v>88</v>
      </c>
      <c r="S127" s="278" t="s">
        <v>3105</v>
      </c>
      <c r="T127" s="83" t="s">
        <v>1751</v>
      </c>
      <c r="U127" s="82"/>
      <c r="V127" s="82" t="s">
        <v>3115</v>
      </c>
      <c r="W127" s="250" t="s">
        <v>3499</v>
      </c>
      <c r="X127" s="250" t="s">
        <v>3504</v>
      </c>
    </row>
    <row r="128" spans="1:24" ht="15.75" hidden="1" thickBot="1" x14ac:dyDescent="0.3">
      <c r="A128" s="82" t="s">
        <v>4592</v>
      </c>
      <c r="B128" s="82" t="s">
        <v>4592</v>
      </c>
      <c r="C128" s="82" t="str">
        <f t="shared" si="6"/>
        <v>X</v>
      </c>
      <c r="D128" s="228">
        <v>2022</v>
      </c>
      <c r="E128" s="82" t="s">
        <v>1653</v>
      </c>
      <c r="F128" s="82" t="s">
        <v>1745</v>
      </c>
      <c r="G128" s="82" t="s">
        <v>1746</v>
      </c>
      <c r="H128" s="227" t="s">
        <v>1864</v>
      </c>
      <c r="I128" s="279" t="s">
        <v>3110</v>
      </c>
      <c r="J128" s="123">
        <v>4</v>
      </c>
      <c r="K128" s="82" t="s">
        <v>586</v>
      </c>
      <c r="L128" s="228"/>
      <c r="M128" s="175">
        <v>54.9</v>
      </c>
      <c r="N128" s="173">
        <v>219.6</v>
      </c>
      <c r="O128" s="82" t="s">
        <v>1747</v>
      </c>
      <c r="P128" s="82" t="s">
        <v>1748</v>
      </c>
      <c r="Q128" s="173">
        <v>88</v>
      </c>
      <c r="R128" s="177">
        <f t="shared" si="7"/>
        <v>88</v>
      </c>
      <c r="S128" s="278" t="s">
        <v>3105</v>
      </c>
      <c r="T128" s="83" t="s">
        <v>1751</v>
      </c>
      <c r="U128" s="82"/>
      <c r="V128" s="82" t="s">
        <v>3115</v>
      </c>
      <c r="W128" s="250" t="s">
        <v>3499</v>
      </c>
      <c r="X128" s="250" t="s">
        <v>3504</v>
      </c>
    </row>
    <row r="129" spans="1:24" ht="15.75" hidden="1" thickBot="1" x14ac:dyDescent="0.3">
      <c r="A129" s="82" t="s">
        <v>4592</v>
      </c>
      <c r="B129" s="82" t="s">
        <v>4592</v>
      </c>
      <c r="C129" s="82" t="str">
        <f t="shared" si="6"/>
        <v>X</v>
      </c>
      <c r="D129" s="228">
        <v>2022</v>
      </c>
      <c r="E129" s="82" t="s">
        <v>1653</v>
      </c>
      <c r="F129" s="82" t="s">
        <v>1745</v>
      </c>
      <c r="G129" s="82" t="s">
        <v>1746</v>
      </c>
      <c r="H129" s="227" t="s">
        <v>1864</v>
      </c>
      <c r="I129" s="279" t="s">
        <v>3110</v>
      </c>
      <c r="J129" s="123">
        <v>4</v>
      </c>
      <c r="K129" s="82" t="s">
        <v>586</v>
      </c>
      <c r="L129" s="228"/>
      <c r="M129" s="175">
        <v>54.9</v>
      </c>
      <c r="N129" s="173">
        <v>219.6</v>
      </c>
      <c r="O129" s="82" t="s">
        <v>1747</v>
      </c>
      <c r="P129" s="82" t="s">
        <v>1748</v>
      </c>
      <c r="Q129" s="173">
        <v>88</v>
      </c>
      <c r="R129" s="177">
        <f t="shared" si="7"/>
        <v>88</v>
      </c>
      <c r="S129" s="278" t="s">
        <v>3105</v>
      </c>
      <c r="T129" s="83" t="s">
        <v>1751</v>
      </c>
      <c r="U129" s="82"/>
      <c r="V129" s="82" t="s">
        <v>3115</v>
      </c>
      <c r="W129" s="250" t="s">
        <v>3499</v>
      </c>
      <c r="X129" s="250" t="s">
        <v>3504</v>
      </c>
    </row>
    <row r="130" spans="1:24" ht="15.75" hidden="1" thickBot="1" x14ac:dyDescent="0.3">
      <c r="A130" s="82" t="s">
        <v>4592</v>
      </c>
      <c r="B130" s="82" t="s">
        <v>4592</v>
      </c>
      <c r="C130" s="82" t="str">
        <f t="shared" si="6"/>
        <v>X</v>
      </c>
      <c r="D130" s="228">
        <v>2022</v>
      </c>
      <c r="E130" s="82" t="s">
        <v>1653</v>
      </c>
      <c r="F130" s="82" t="s">
        <v>1745</v>
      </c>
      <c r="G130" s="82" t="s">
        <v>1746</v>
      </c>
      <c r="H130" s="227" t="s">
        <v>1864</v>
      </c>
      <c r="I130" s="279" t="s">
        <v>3110</v>
      </c>
      <c r="J130" s="123">
        <v>4</v>
      </c>
      <c r="K130" s="82" t="s">
        <v>586</v>
      </c>
      <c r="L130" s="228"/>
      <c r="M130" s="175">
        <v>54.9</v>
      </c>
      <c r="N130" s="173">
        <v>219.6</v>
      </c>
      <c r="O130" s="82" t="s">
        <v>1747</v>
      </c>
      <c r="P130" s="82" t="s">
        <v>1748</v>
      </c>
      <c r="Q130" s="173">
        <v>88</v>
      </c>
      <c r="R130" s="177">
        <f t="shared" si="7"/>
        <v>88</v>
      </c>
      <c r="S130" s="278" t="s">
        <v>3105</v>
      </c>
      <c r="T130" s="83" t="s">
        <v>1751</v>
      </c>
      <c r="U130" s="82"/>
      <c r="V130" s="82" t="s">
        <v>3115</v>
      </c>
      <c r="W130" s="250" t="s">
        <v>3499</v>
      </c>
      <c r="X130" s="250" t="s">
        <v>3504</v>
      </c>
    </row>
    <row r="131" spans="1:24" ht="15.75" hidden="1" thickBot="1" x14ac:dyDescent="0.3">
      <c r="A131" s="82" t="s">
        <v>4592</v>
      </c>
      <c r="B131" s="82" t="s">
        <v>4592</v>
      </c>
      <c r="C131" s="82" t="str">
        <f t="shared" si="6"/>
        <v>X</v>
      </c>
      <c r="D131" s="228">
        <v>2022</v>
      </c>
      <c r="E131" s="82" t="s">
        <v>1653</v>
      </c>
      <c r="F131" s="82" t="s">
        <v>1745</v>
      </c>
      <c r="G131" s="82" t="s">
        <v>1746</v>
      </c>
      <c r="H131" s="227" t="s">
        <v>1864</v>
      </c>
      <c r="I131" s="279" t="s">
        <v>3110</v>
      </c>
      <c r="J131" s="123">
        <v>4</v>
      </c>
      <c r="K131" s="82" t="s">
        <v>586</v>
      </c>
      <c r="L131" s="228"/>
      <c r="M131" s="175">
        <v>54.9</v>
      </c>
      <c r="N131" s="173">
        <v>219.6</v>
      </c>
      <c r="O131" s="82" t="s">
        <v>1747</v>
      </c>
      <c r="P131" s="82" t="s">
        <v>1748</v>
      </c>
      <c r="Q131" s="173">
        <v>88</v>
      </c>
      <c r="R131" s="177">
        <f t="shared" si="7"/>
        <v>88</v>
      </c>
      <c r="S131" s="278" t="s">
        <v>3105</v>
      </c>
      <c r="T131" s="83" t="s">
        <v>1751</v>
      </c>
      <c r="U131" s="82"/>
      <c r="V131" s="82" t="s">
        <v>3115</v>
      </c>
      <c r="W131" s="250" t="s">
        <v>3499</v>
      </c>
      <c r="X131" s="250" t="s">
        <v>3504</v>
      </c>
    </row>
    <row r="132" spans="1:24" ht="15.75" hidden="1" thickBot="1" x14ac:dyDescent="0.3">
      <c r="A132" s="82" t="s">
        <v>4592</v>
      </c>
      <c r="B132" s="82" t="s">
        <v>4592</v>
      </c>
      <c r="C132" s="82" t="str">
        <f t="shared" ref="C132:C195" si="8">IF(A132=B132,"X",RIGHT(A132,LEN(A132)-LEN(B132)-3))</f>
        <v>X</v>
      </c>
      <c r="D132" s="228">
        <v>2022</v>
      </c>
      <c r="E132" s="82" t="s">
        <v>1653</v>
      </c>
      <c r="F132" s="82" t="s">
        <v>1745</v>
      </c>
      <c r="G132" s="82" t="s">
        <v>1746</v>
      </c>
      <c r="H132" s="227" t="s">
        <v>1864</v>
      </c>
      <c r="I132" s="279" t="s">
        <v>3110</v>
      </c>
      <c r="J132" s="123">
        <v>4</v>
      </c>
      <c r="K132" s="82" t="s">
        <v>586</v>
      </c>
      <c r="L132" s="228"/>
      <c r="M132" s="175">
        <v>54.9</v>
      </c>
      <c r="N132" s="173">
        <v>219.6</v>
      </c>
      <c r="O132" s="82" t="s">
        <v>1747</v>
      </c>
      <c r="P132" s="82" t="s">
        <v>1748</v>
      </c>
      <c r="Q132" s="173">
        <v>88</v>
      </c>
      <c r="R132" s="177">
        <f t="shared" si="7"/>
        <v>88</v>
      </c>
      <c r="S132" s="278" t="s">
        <v>3105</v>
      </c>
      <c r="T132" s="83" t="s">
        <v>1751</v>
      </c>
      <c r="U132" s="82"/>
      <c r="V132" s="82" t="s">
        <v>3115</v>
      </c>
      <c r="W132" s="250" t="s">
        <v>3499</v>
      </c>
      <c r="X132" s="250" t="s">
        <v>3504</v>
      </c>
    </row>
    <row r="133" spans="1:24" ht="15.75" hidden="1" thickBot="1" x14ac:dyDescent="0.3">
      <c r="A133" s="82" t="s">
        <v>4592</v>
      </c>
      <c r="B133" s="82" t="s">
        <v>4592</v>
      </c>
      <c r="C133" s="82" t="str">
        <f t="shared" si="8"/>
        <v>X</v>
      </c>
      <c r="D133" s="228">
        <v>2022</v>
      </c>
      <c r="E133" s="82" t="s">
        <v>1653</v>
      </c>
      <c r="F133" s="82" t="s">
        <v>1745</v>
      </c>
      <c r="G133" s="82" t="s">
        <v>1746</v>
      </c>
      <c r="H133" s="227" t="s">
        <v>1864</v>
      </c>
      <c r="I133" s="279" t="s">
        <v>3110</v>
      </c>
      <c r="J133" s="123">
        <v>4</v>
      </c>
      <c r="K133" s="82" t="s">
        <v>586</v>
      </c>
      <c r="L133" s="228"/>
      <c r="M133" s="175">
        <v>54.9</v>
      </c>
      <c r="N133" s="173">
        <v>219.6</v>
      </c>
      <c r="O133" s="82" t="s">
        <v>1747</v>
      </c>
      <c r="P133" s="82" t="s">
        <v>1748</v>
      </c>
      <c r="Q133" s="173">
        <v>88</v>
      </c>
      <c r="R133" s="177">
        <f t="shared" si="7"/>
        <v>88</v>
      </c>
      <c r="S133" s="278" t="s">
        <v>3105</v>
      </c>
      <c r="T133" s="83" t="s">
        <v>1751</v>
      </c>
      <c r="U133" s="82"/>
      <c r="V133" s="82" t="s">
        <v>3115</v>
      </c>
      <c r="W133" s="250" t="s">
        <v>3499</v>
      </c>
      <c r="X133" s="250" t="s">
        <v>3504</v>
      </c>
    </row>
    <row r="134" spans="1:24" ht="15.75" hidden="1" thickBot="1" x14ac:dyDescent="0.3">
      <c r="A134" s="82" t="s">
        <v>4592</v>
      </c>
      <c r="B134" s="82" t="s">
        <v>4592</v>
      </c>
      <c r="C134" s="82" t="str">
        <f t="shared" si="8"/>
        <v>X</v>
      </c>
      <c r="D134" s="228">
        <v>2022</v>
      </c>
      <c r="E134" s="82" t="s">
        <v>1653</v>
      </c>
      <c r="F134" s="82" t="s">
        <v>1745</v>
      </c>
      <c r="G134" s="82" t="s">
        <v>1746</v>
      </c>
      <c r="H134" s="227" t="s">
        <v>1864</v>
      </c>
      <c r="I134" s="279" t="s">
        <v>3110</v>
      </c>
      <c r="J134" s="123">
        <v>4</v>
      </c>
      <c r="K134" s="82" t="s">
        <v>586</v>
      </c>
      <c r="L134" s="228"/>
      <c r="M134" s="175">
        <v>54.9</v>
      </c>
      <c r="N134" s="173">
        <v>219.6</v>
      </c>
      <c r="O134" s="82" t="s">
        <v>1747</v>
      </c>
      <c r="P134" s="82" t="s">
        <v>1748</v>
      </c>
      <c r="Q134" s="173">
        <v>88</v>
      </c>
      <c r="R134" s="177">
        <f t="shared" si="7"/>
        <v>88</v>
      </c>
      <c r="S134" s="278" t="s">
        <v>3105</v>
      </c>
      <c r="T134" s="83" t="s">
        <v>1751</v>
      </c>
      <c r="U134" s="82"/>
      <c r="V134" s="82" t="s">
        <v>3115</v>
      </c>
      <c r="W134" s="250" t="s">
        <v>3499</v>
      </c>
      <c r="X134" s="250" t="s">
        <v>3504</v>
      </c>
    </row>
    <row r="135" spans="1:24" ht="15.75" hidden="1" thickBot="1" x14ac:dyDescent="0.3">
      <c r="A135" s="82" t="s">
        <v>4592</v>
      </c>
      <c r="B135" s="82" t="s">
        <v>4592</v>
      </c>
      <c r="C135" s="82" t="str">
        <f t="shared" si="8"/>
        <v>X</v>
      </c>
      <c r="D135" s="228">
        <v>2022</v>
      </c>
      <c r="E135" s="82" t="s">
        <v>1653</v>
      </c>
      <c r="F135" s="82" t="s">
        <v>1745</v>
      </c>
      <c r="G135" s="82" t="s">
        <v>1746</v>
      </c>
      <c r="H135" s="227" t="s">
        <v>1864</v>
      </c>
      <c r="I135" s="279" t="s">
        <v>3110</v>
      </c>
      <c r="J135" s="123">
        <v>4</v>
      </c>
      <c r="K135" s="82" t="s">
        <v>586</v>
      </c>
      <c r="L135" s="228"/>
      <c r="M135" s="175">
        <v>54.9</v>
      </c>
      <c r="N135" s="173">
        <v>219.6</v>
      </c>
      <c r="O135" s="82" t="s">
        <v>1747</v>
      </c>
      <c r="P135" s="82" t="s">
        <v>1748</v>
      </c>
      <c r="Q135" s="173">
        <v>88</v>
      </c>
      <c r="R135" s="177">
        <f t="shared" si="7"/>
        <v>88</v>
      </c>
      <c r="S135" s="278" t="s">
        <v>3105</v>
      </c>
      <c r="T135" s="83" t="s">
        <v>1751</v>
      </c>
      <c r="U135" s="82"/>
      <c r="V135" s="82" t="s">
        <v>3115</v>
      </c>
      <c r="W135" s="250" t="s">
        <v>3499</v>
      </c>
      <c r="X135" s="250" t="s">
        <v>3504</v>
      </c>
    </row>
    <row r="136" spans="1:24" ht="15.75" hidden="1" thickBot="1" x14ac:dyDescent="0.3">
      <c r="A136" s="82" t="s">
        <v>4592</v>
      </c>
      <c r="B136" s="82" t="s">
        <v>4592</v>
      </c>
      <c r="C136" s="82" t="str">
        <f t="shared" si="8"/>
        <v>X</v>
      </c>
      <c r="D136" s="228">
        <v>2022</v>
      </c>
      <c r="E136" s="82" t="s">
        <v>1653</v>
      </c>
      <c r="F136" s="82" t="s">
        <v>1745</v>
      </c>
      <c r="G136" s="82" t="s">
        <v>1746</v>
      </c>
      <c r="H136" s="227" t="s">
        <v>1864</v>
      </c>
      <c r="I136" s="279" t="s">
        <v>3110</v>
      </c>
      <c r="J136" s="123">
        <v>4</v>
      </c>
      <c r="K136" s="82" t="s">
        <v>586</v>
      </c>
      <c r="L136" s="228"/>
      <c r="M136" s="175">
        <v>54.9</v>
      </c>
      <c r="N136" s="173">
        <v>219.6</v>
      </c>
      <c r="O136" s="82" t="s">
        <v>1747</v>
      </c>
      <c r="P136" s="82" t="s">
        <v>1748</v>
      </c>
      <c r="Q136" s="173">
        <v>88</v>
      </c>
      <c r="R136" s="177">
        <f t="shared" si="7"/>
        <v>88</v>
      </c>
      <c r="S136" s="278" t="s">
        <v>3105</v>
      </c>
      <c r="T136" s="83" t="s">
        <v>1751</v>
      </c>
      <c r="U136" s="82"/>
      <c r="V136" s="82" t="s">
        <v>3115</v>
      </c>
      <c r="W136" s="250" t="s">
        <v>3499</v>
      </c>
      <c r="X136" s="250" t="s">
        <v>3504</v>
      </c>
    </row>
    <row r="137" spans="1:24" ht="15.75" hidden="1" thickBot="1" x14ac:dyDescent="0.3">
      <c r="A137" s="82" t="s">
        <v>4592</v>
      </c>
      <c r="B137" s="82" t="s">
        <v>4592</v>
      </c>
      <c r="C137" s="82" t="str">
        <f t="shared" si="8"/>
        <v>X</v>
      </c>
      <c r="D137" s="228">
        <v>2022</v>
      </c>
      <c r="E137" s="82" t="s">
        <v>1653</v>
      </c>
      <c r="F137" s="82" t="s">
        <v>1745</v>
      </c>
      <c r="G137" s="82" t="s">
        <v>1746</v>
      </c>
      <c r="H137" s="227" t="s">
        <v>1864</v>
      </c>
      <c r="I137" s="279" t="s">
        <v>3110</v>
      </c>
      <c r="J137" s="123">
        <v>4</v>
      </c>
      <c r="K137" s="82" t="s">
        <v>586</v>
      </c>
      <c r="L137" s="228"/>
      <c r="M137" s="175">
        <v>54.9</v>
      </c>
      <c r="N137" s="173">
        <v>219.6</v>
      </c>
      <c r="O137" s="82" t="s">
        <v>1747</v>
      </c>
      <c r="P137" s="82" t="s">
        <v>1748</v>
      </c>
      <c r="Q137" s="173">
        <v>88</v>
      </c>
      <c r="R137" s="177">
        <f t="shared" si="7"/>
        <v>88</v>
      </c>
      <c r="S137" s="278" t="s">
        <v>3105</v>
      </c>
      <c r="T137" s="83" t="s">
        <v>1751</v>
      </c>
      <c r="U137" s="82"/>
      <c r="V137" s="82" t="s">
        <v>3115</v>
      </c>
      <c r="W137" s="250" t="s">
        <v>3499</v>
      </c>
      <c r="X137" s="250" t="s">
        <v>3504</v>
      </c>
    </row>
    <row r="138" spans="1:24" ht="15.75" hidden="1" thickBot="1" x14ac:dyDescent="0.3">
      <c r="A138" s="82" t="s">
        <v>4592</v>
      </c>
      <c r="B138" s="82" t="s">
        <v>4592</v>
      </c>
      <c r="C138" s="82" t="str">
        <f t="shared" si="8"/>
        <v>X</v>
      </c>
      <c r="D138" s="228">
        <v>2022</v>
      </c>
      <c r="E138" s="82" t="s">
        <v>1653</v>
      </c>
      <c r="F138" s="82" t="s">
        <v>1745</v>
      </c>
      <c r="G138" s="82" t="s">
        <v>1746</v>
      </c>
      <c r="H138" s="227" t="s">
        <v>1864</v>
      </c>
      <c r="I138" s="279" t="s">
        <v>3110</v>
      </c>
      <c r="J138" s="123">
        <v>4</v>
      </c>
      <c r="K138" s="82" t="s">
        <v>586</v>
      </c>
      <c r="L138" s="228"/>
      <c r="M138" s="175">
        <v>54.9</v>
      </c>
      <c r="N138" s="173">
        <v>219.6</v>
      </c>
      <c r="O138" s="82" t="s">
        <v>1747</v>
      </c>
      <c r="P138" s="82" t="s">
        <v>1748</v>
      </c>
      <c r="Q138" s="173">
        <v>88</v>
      </c>
      <c r="R138" s="177">
        <f t="shared" si="7"/>
        <v>88</v>
      </c>
      <c r="S138" s="278" t="s">
        <v>3105</v>
      </c>
      <c r="T138" s="83" t="s">
        <v>1751</v>
      </c>
      <c r="U138" s="82"/>
      <c r="V138" s="82" t="s">
        <v>3115</v>
      </c>
      <c r="W138" s="250" t="s">
        <v>3499</v>
      </c>
      <c r="X138" s="250" t="s">
        <v>3504</v>
      </c>
    </row>
    <row r="139" spans="1:24" ht="15.75" hidden="1" thickBot="1" x14ac:dyDescent="0.3">
      <c r="A139" s="82" t="s">
        <v>4592</v>
      </c>
      <c r="B139" s="82" t="s">
        <v>4592</v>
      </c>
      <c r="C139" s="82" t="str">
        <f t="shared" si="8"/>
        <v>X</v>
      </c>
      <c r="D139" s="228">
        <v>2022</v>
      </c>
      <c r="E139" s="82" t="s">
        <v>1653</v>
      </c>
      <c r="F139" s="82" t="s">
        <v>1745</v>
      </c>
      <c r="G139" s="82" t="s">
        <v>1746</v>
      </c>
      <c r="H139" s="227" t="s">
        <v>1864</v>
      </c>
      <c r="I139" s="279" t="s">
        <v>3110</v>
      </c>
      <c r="J139" s="123">
        <v>4</v>
      </c>
      <c r="K139" s="82" t="s">
        <v>586</v>
      </c>
      <c r="L139" s="228"/>
      <c r="M139" s="175">
        <v>54.9</v>
      </c>
      <c r="N139" s="173">
        <v>219.6</v>
      </c>
      <c r="O139" s="82" t="s">
        <v>1747</v>
      </c>
      <c r="P139" s="82" t="s">
        <v>1748</v>
      </c>
      <c r="Q139" s="173">
        <v>88</v>
      </c>
      <c r="R139" s="177">
        <f t="shared" si="7"/>
        <v>88</v>
      </c>
      <c r="S139" s="278" t="s">
        <v>3105</v>
      </c>
      <c r="T139" s="83" t="s">
        <v>1751</v>
      </c>
      <c r="U139" s="82"/>
      <c r="V139" s="82" t="s">
        <v>3115</v>
      </c>
      <c r="W139" s="250" t="s">
        <v>3499</v>
      </c>
      <c r="X139" s="250" t="s">
        <v>3504</v>
      </c>
    </row>
    <row r="140" spans="1:24" ht="15.75" hidden="1" thickBot="1" x14ac:dyDescent="0.3">
      <c r="A140" s="82" t="s">
        <v>4592</v>
      </c>
      <c r="B140" s="82" t="s">
        <v>4592</v>
      </c>
      <c r="C140" s="82" t="str">
        <f t="shared" si="8"/>
        <v>X</v>
      </c>
      <c r="D140" s="228">
        <v>2022</v>
      </c>
      <c r="E140" s="82" t="s">
        <v>1653</v>
      </c>
      <c r="F140" s="82" t="s">
        <v>1745</v>
      </c>
      <c r="G140" s="82" t="s">
        <v>1746</v>
      </c>
      <c r="H140" s="227" t="s">
        <v>1864</v>
      </c>
      <c r="I140" s="279" t="s">
        <v>3110</v>
      </c>
      <c r="J140" s="123">
        <v>4</v>
      </c>
      <c r="K140" s="82" t="s">
        <v>586</v>
      </c>
      <c r="L140" s="228"/>
      <c r="M140" s="175">
        <v>54.9</v>
      </c>
      <c r="N140" s="173">
        <v>219.6</v>
      </c>
      <c r="O140" s="82" t="s">
        <v>1747</v>
      </c>
      <c r="P140" s="82" t="s">
        <v>1748</v>
      </c>
      <c r="Q140" s="173">
        <v>88</v>
      </c>
      <c r="R140" s="177">
        <f t="shared" si="7"/>
        <v>88</v>
      </c>
      <c r="S140" s="278" t="s">
        <v>3105</v>
      </c>
      <c r="T140" s="83" t="s">
        <v>1751</v>
      </c>
      <c r="U140" s="82"/>
      <c r="V140" s="82" t="s">
        <v>3115</v>
      </c>
      <c r="W140" s="250" t="s">
        <v>3499</v>
      </c>
      <c r="X140" s="250" t="s">
        <v>3504</v>
      </c>
    </row>
    <row r="141" spans="1:24" ht="15.75" hidden="1" thickBot="1" x14ac:dyDescent="0.3">
      <c r="A141" s="82" t="s">
        <v>4592</v>
      </c>
      <c r="B141" s="82" t="s">
        <v>4592</v>
      </c>
      <c r="C141" s="82" t="str">
        <f t="shared" si="8"/>
        <v>X</v>
      </c>
      <c r="D141" s="228">
        <v>2022</v>
      </c>
      <c r="E141" s="82" t="s">
        <v>1653</v>
      </c>
      <c r="F141" s="82" t="s">
        <v>1745</v>
      </c>
      <c r="G141" s="82" t="s">
        <v>1746</v>
      </c>
      <c r="H141" s="227" t="s">
        <v>1864</v>
      </c>
      <c r="I141" s="279" t="s">
        <v>3110</v>
      </c>
      <c r="J141" s="123">
        <v>4</v>
      </c>
      <c r="K141" s="82" t="s">
        <v>586</v>
      </c>
      <c r="L141" s="228"/>
      <c r="M141" s="175">
        <v>54.9</v>
      </c>
      <c r="N141" s="173">
        <v>219.6</v>
      </c>
      <c r="O141" s="82" t="s">
        <v>1747</v>
      </c>
      <c r="P141" s="82" t="s">
        <v>1748</v>
      </c>
      <c r="Q141" s="173">
        <v>88</v>
      </c>
      <c r="R141" s="177">
        <f t="shared" si="7"/>
        <v>88</v>
      </c>
      <c r="S141" s="278" t="s">
        <v>3105</v>
      </c>
      <c r="T141" s="83" t="s">
        <v>1751</v>
      </c>
      <c r="U141" s="82"/>
      <c r="V141" s="82" t="s">
        <v>3115</v>
      </c>
      <c r="W141" s="250" t="s">
        <v>3499</v>
      </c>
      <c r="X141" s="250" t="s">
        <v>3504</v>
      </c>
    </row>
    <row r="142" spans="1:24" ht="15.75" hidden="1" thickBot="1" x14ac:dyDescent="0.3">
      <c r="A142" s="82" t="s">
        <v>4592</v>
      </c>
      <c r="B142" s="82" t="s">
        <v>4592</v>
      </c>
      <c r="C142" s="82" t="str">
        <f t="shared" si="8"/>
        <v>X</v>
      </c>
      <c r="D142" s="228">
        <v>2022</v>
      </c>
      <c r="E142" s="82" t="s">
        <v>1653</v>
      </c>
      <c r="F142" s="82" t="s">
        <v>1745</v>
      </c>
      <c r="G142" s="82" t="s">
        <v>1746</v>
      </c>
      <c r="H142" s="227" t="s">
        <v>1864</v>
      </c>
      <c r="I142" s="279" t="s">
        <v>3110</v>
      </c>
      <c r="J142" s="123">
        <v>4</v>
      </c>
      <c r="K142" s="82" t="s">
        <v>586</v>
      </c>
      <c r="L142" s="228"/>
      <c r="M142" s="175">
        <v>54.9</v>
      </c>
      <c r="N142" s="173">
        <v>219.6</v>
      </c>
      <c r="O142" s="82" t="s">
        <v>1747</v>
      </c>
      <c r="P142" s="82" t="s">
        <v>1748</v>
      </c>
      <c r="Q142" s="173">
        <v>88</v>
      </c>
      <c r="R142" s="177">
        <f t="shared" si="7"/>
        <v>88</v>
      </c>
      <c r="S142" s="278" t="s">
        <v>3105</v>
      </c>
      <c r="T142" s="83" t="s">
        <v>1751</v>
      </c>
      <c r="U142" s="82"/>
      <c r="V142" s="82" t="s">
        <v>3115</v>
      </c>
      <c r="W142" s="250" t="s">
        <v>3499</v>
      </c>
      <c r="X142" s="250" t="s">
        <v>3504</v>
      </c>
    </row>
    <row r="143" spans="1:24" ht="15.75" hidden="1" thickBot="1" x14ac:dyDescent="0.3">
      <c r="A143" s="82" t="s">
        <v>4592</v>
      </c>
      <c r="B143" s="82" t="s">
        <v>4592</v>
      </c>
      <c r="C143" s="82" t="str">
        <f t="shared" si="8"/>
        <v>X</v>
      </c>
      <c r="D143" s="228">
        <v>2022</v>
      </c>
      <c r="E143" s="82" t="s">
        <v>1653</v>
      </c>
      <c r="F143" s="82" t="s">
        <v>1745</v>
      </c>
      <c r="G143" s="82" t="s">
        <v>1746</v>
      </c>
      <c r="H143" s="227" t="s">
        <v>1864</v>
      </c>
      <c r="I143" s="279" t="s">
        <v>3110</v>
      </c>
      <c r="J143" s="123">
        <v>4</v>
      </c>
      <c r="K143" s="82" t="s">
        <v>586</v>
      </c>
      <c r="L143" s="228"/>
      <c r="M143" s="175">
        <v>54.9</v>
      </c>
      <c r="N143" s="173">
        <v>219.6</v>
      </c>
      <c r="O143" s="82" t="s">
        <v>1747</v>
      </c>
      <c r="P143" s="82" t="s">
        <v>1748</v>
      </c>
      <c r="Q143" s="173">
        <v>88</v>
      </c>
      <c r="R143" s="177">
        <f t="shared" si="7"/>
        <v>88</v>
      </c>
      <c r="S143" s="278" t="s">
        <v>3105</v>
      </c>
      <c r="T143" s="83" t="s">
        <v>1751</v>
      </c>
      <c r="U143" s="82"/>
      <c r="V143" s="82" t="s">
        <v>3115</v>
      </c>
      <c r="W143" s="250" t="s">
        <v>3499</v>
      </c>
      <c r="X143" s="250" t="s">
        <v>3504</v>
      </c>
    </row>
    <row r="144" spans="1:24" ht="15.75" hidden="1" thickBot="1" x14ac:dyDescent="0.3">
      <c r="A144" s="82" t="s">
        <v>4592</v>
      </c>
      <c r="B144" s="82" t="s">
        <v>4592</v>
      </c>
      <c r="C144" s="82" t="str">
        <f t="shared" si="8"/>
        <v>X</v>
      </c>
      <c r="D144" s="228">
        <v>2022</v>
      </c>
      <c r="E144" s="82" t="s">
        <v>1653</v>
      </c>
      <c r="F144" s="82" t="s">
        <v>1745</v>
      </c>
      <c r="G144" s="82" t="s">
        <v>1746</v>
      </c>
      <c r="H144" s="227" t="s">
        <v>1864</v>
      </c>
      <c r="I144" s="279" t="s">
        <v>3110</v>
      </c>
      <c r="J144" s="123">
        <v>2</v>
      </c>
      <c r="K144" s="82" t="s">
        <v>586</v>
      </c>
      <c r="L144" s="228"/>
      <c r="M144" s="175">
        <v>54.9</v>
      </c>
      <c r="N144" s="173">
        <v>109.8</v>
      </c>
      <c r="O144" s="82" t="s">
        <v>1747</v>
      </c>
      <c r="P144" s="82" t="s">
        <v>1748</v>
      </c>
      <c r="Q144" s="173">
        <v>88</v>
      </c>
      <c r="R144" s="177">
        <f t="shared" ref="R144:R194" si="9">Q144</f>
        <v>88</v>
      </c>
      <c r="S144" s="278" t="s">
        <v>3105</v>
      </c>
      <c r="T144" s="83" t="s">
        <v>1751</v>
      </c>
      <c r="U144" s="82"/>
      <c r="V144" s="82" t="s">
        <v>3115</v>
      </c>
      <c r="W144" s="250" t="s">
        <v>3499</v>
      </c>
      <c r="X144" s="250" t="s">
        <v>3504</v>
      </c>
    </row>
    <row r="145" spans="1:24" ht="15.75" hidden="1" thickBot="1" x14ac:dyDescent="0.3">
      <c r="A145" s="82" t="s">
        <v>4592</v>
      </c>
      <c r="B145" s="82" t="s">
        <v>4592</v>
      </c>
      <c r="C145" s="82" t="str">
        <f t="shared" si="8"/>
        <v>X</v>
      </c>
      <c r="D145" s="228">
        <v>2022</v>
      </c>
      <c r="E145" s="82" t="s">
        <v>1653</v>
      </c>
      <c r="F145" s="82" t="s">
        <v>1745</v>
      </c>
      <c r="G145" s="82" t="s">
        <v>1746</v>
      </c>
      <c r="H145" s="227" t="s">
        <v>1864</v>
      </c>
      <c r="I145" s="279" t="s">
        <v>3110</v>
      </c>
      <c r="J145" s="123">
        <v>2</v>
      </c>
      <c r="K145" s="82" t="s">
        <v>586</v>
      </c>
      <c r="L145" s="228"/>
      <c r="M145" s="175">
        <v>54.9</v>
      </c>
      <c r="N145" s="173">
        <v>109.8</v>
      </c>
      <c r="O145" s="82" t="s">
        <v>1747</v>
      </c>
      <c r="P145" s="82" t="s">
        <v>1748</v>
      </c>
      <c r="Q145" s="173">
        <v>88</v>
      </c>
      <c r="R145" s="177">
        <f t="shared" si="9"/>
        <v>88</v>
      </c>
      <c r="S145" s="278" t="s">
        <v>3105</v>
      </c>
      <c r="T145" s="83" t="s">
        <v>1751</v>
      </c>
      <c r="U145" s="82"/>
      <c r="V145" s="82" t="s">
        <v>3115</v>
      </c>
      <c r="W145" s="250" t="s">
        <v>3499</v>
      </c>
      <c r="X145" s="250" t="s">
        <v>3504</v>
      </c>
    </row>
    <row r="146" spans="1:24" ht="15.75" hidden="1" thickBot="1" x14ac:dyDescent="0.3">
      <c r="A146" s="82" t="s">
        <v>4592</v>
      </c>
      <c r="B146" s="82" t="s">
        <v>4592</v>
      </c>
      <c r="C146" s="82" t="str">
        <f t="shared" si="8"/>
        <v>X</v>
      </c>
      <c r="D146" s="228">
        <v>2022</v>
      </c>
      <c r="E146" s="82" t="s">
        <v>1653</v>
      </c>
      <c r="F146" s="82" t="s">
        <v>1745</v>
      </c>
      <c r="G146" s="82" t="s">
        <v>1746</v>
      </c>
      <c r="H146" s="227" t="s">
        <v>1864</v>
      </c>
      <c r="I146" s="279" t="s">
        <v>3110</v>
      </c>
      <c r="J146" s="123">
        <v>6</v>
      </c>
      <c r="K146" s="82" t="s">
        <v>586</v>
      </c>
      <c r="L146" s="228"/>
      <c r="M146" s="175">
        <v>54.9</v>
      </c>
      <c r="N146" s="173">
        <v>329.4</v>
      </c>
      <c r="O146" s="82" t="s">
        <v>1747</v>
      </c>
      <c r="P146" s="82" t="s">
        <v>1748</v>
      </c>
      <c r="Q146" s="173">
        <v>88</v>
      </c>
      <c r="R146" s="177">
        <f t="shared" si="9"/>
        <v>88</v>
      </c>
      <c r="S146" s="278" t="s">
        <v>3105</v>
      </c>
      <c r="T146" s="83" t="s">
        <v>1751</v>
      </c>
      <c r="U146" s="82"/>
      <c r="V146" s="82" t="s">
        <v>3115</v>
      </c>
      <c r="W146" s="250" t="s">
        <v>3499</v>
      </c>
      <c r="X146" s="250" t="s">
        <v>3504</v>
      </c>
    </row>
    <row r="147" spans="1:24" ht="15.75" hidden="1" thickBot="1" x14ac:dyDescent="0.3">
      <c r="A147" s="82" t="s">
        <v>4592</v>
      </c>
      <c r="B147" s="82" t="s">
        <v>4592</v>
      </c>
      <c r="C147" s="82" t="str">
        <f t="shared" si="8"/>
        <v>X</v>
      </c>
      <c r="D147" s="228">
        <v>2022</v>
      </c>
      <c r="E147" s="82" t="s">
        <v>1653</v>
      </c>
      <c r="F147" s="82" t="s">
        <v>1745</v>
      </c>
      <c r="G147" s="82" t="s">
        <v>1746</v>
      </c>
      <c r="H147" s="227" t="s">
        <v>1864</v>
      </c>
      <c r="I147" s="279" t="s">
        <v>3110</v>
      </c>
      <c r="J147" s="123">
        <v>6</v>
      </c>
      <c r="K147" s="82" t="s">
        <v>586</v>
      </c>
      <c r="L147" s="228"/>
      <c r="M147" s="175">
        <v>54.9</v>
      </c>
      <c r="N147" s="173">
        <v>329.4</v>
      </c>
      <c r="O147" s="82" t="s">
        <v>1747</v>
      </c>
      <c r="P147" s="82" t="s">
        <v>1748</v>
      </c>
      <c r="Q147" s="173">
        <v>88</v>
      </c>
      <c r="R147" s="177">
        <f t="shared" si="9"/>
        <v>88</v>
      </c>
      <c r="S147" s="278" t="s">
        <v>3105</v>
      </c>
      <c r="T147" s="83" t="s">
        <v>1751</v>
      </c>
      <c r="U147" s="82"/>
      <c r="V147" s="82" t="s">
        <v>3115</v>
      </c>
      <c r="W147" s="250" t="s">
        <v>3499</v>
      </c>
      <c r="X147" s="250" t="s">
        <v>3504</v>
      </c>
    </row>
    <row r="148" spans="1:24" ht="15.75" hidden="1" thickBot="1" x14ac:dyDescent="0.3">
      <c r="A148" s="82" t="s">
        <v>4592</v>
      </c>
      <c r="B148" s="82" t="s">
        <v>4592</v>
      </c>
      <c r="C148" s="82" t="str">
        <f t="shared" si="8"/>
        <v>X</v>
      </c>
      <c r="D148" s="228">
        <v>2022</v>
      </c>
      <c r="E148" s="82" t="s">
        <v>1653</v>
      </c>
      <c r="F148" s="82" t="s">
        <v>1745</v>
      </c>
      <c r="G148" s="82" t="s">
        <v>1746</v>
      </c>
      <c r="H148" s="227" t="s">
        <v>1864</v>
      </c>
      <c r="I148" s="279" t="s">
        <v>3110</v>
      </c>
      <c r="J148" s="123">
        <v>6</v>
      </c>
      <c r="K148" s="82" t="s">
        <v>586</v>
      </c>
      <c r="L148" s="228"/>
      <c r="M148" s="175">
        <v>54.9</v>
      </c>
      <c r="N148" s="173">
        <v>329.4</v>
      </c>
      <c r="O148" s="82" t="s">
        <v>1747</v>
      </c>
      <c r="P148" s="82" t="s">
        <v>1748</v>
      </c>
      <c r="Q148" s="173">
        <v>88</v>
      </c>
      <c r="R148" s="177">
        <f t="shared" si="9"/>
        <v>88</v>
      </c>
      <c r="S148" s="278" t="s">
        <v>3105</v>
      </c>
      <c r="T148" s="83" t="s">
        <v>1751</v>
      </c>
      <c r="U148" s="82"/>
      <c r="V148" s="82" t="s">
        <v>3115</v>
      </c>
      <c r="W148" s="250" t="s">
        <v>3499</v>
      </c>
      <c r="X148" s="250" t="s">
        <v>3504</v>
      </c>
    </row>
    <row r="149" spans="1:24" ht="15.75" hidden="1" thickBot="1" x14ac:dyDescent="0.3">
      <c r="A149" s="82" t="s">
        <v>4592</v>
      </c>
      <c r="B149" s="82" t="s">
        <v>4592</v>
      </c>
      <c r="C149" s="82" t="str">
        <f t="shared" si="8"/>
        <v>X</v>
      </c>
      <c r="D149" s="228">
        <v>2022</v>
      </c>
      <c r="E149" s="82" t="s">
        <v>1653</v>
      </c>
      <c r="F149" s="82" t="s">
        <v>1745</v>
      </c>
      <c r="G149" s="82" t="s">
        <v>1746</v>
      </c>
      <c r="H149" s="227" t="s">
        <v>1864</v>
      </c>
      <c r="I149" s="279" t="s">
        <v>3110</v>
      </c>
      <c r="J149" s="123">
        <v>6</v>
      </c>
      <c r="K149" s="82" t="s">
        <v>586</v>
      </c>
      <c r="L149" s="228"/>
      <c r="M149" s="175">
        <v>54.9</v>
      </c>
      <c r="N149" s="173">
        <v>329.4</v>
      </c>
      <c r="O149" s="82" t="s">
        <v>1747</v>
      </c>
      <c r="P149" s="82" t="s">
        <v>1748</v>
      </c>
      <c r="Q149" s="173">
        <v>88</v>
      </c>
      <c r="R149" s="177">
        <f t="shared" si="9"/>
        <v>88</v>
      </c>
      <c r="S149" s="278" t="s">
        <v>3105</v>
      </c>
      <c r="T149" s="83" t="s">
        <v>1751</v>
      </c>
      <c r="U149" s="82"/>
      <c r="V149" s="82" t="s">
        <v>3115</v>
      </c>
      <c r="W149" s="250" t="s">
        <v>3499</v>
      </c>
      <c r="X149" s="250" t="s">
        <v>3504</v>
      </c>
    </row>
    <row r="150" spans="1:24" ht="15.75" hidden="1" thickBot="1" x14ac:dyDescent="0.3">
      <c r="A150" s="82" t="s">
        <v>4592</v>
      </c>
      <c r="B150" s="82" t="s">
        <v>4592</v>
      </c>
      <c r="C150" s="82" t="str">
        <f t="shared" si="8"/>
        <v>X</v>
      </c>
      <c r="D150" s="228">
        <v>2022</v>
      </c>
      <c r="E150" s="82" t="s">
        <v>1653</v>
      </c>
      <c r="F150" s="82" t="s">
        <v>1745</v>
      </c>
      <c r="G150" s="82" t="s">
        <v>1746</v>
      </c>
      <c r="H150" s="227" t="s">
        <v>1864</v>
      </c>
      <c r="I150" s="279" t="s">
        <v>3110</v>
      </c>
      <c r="J150" s="123">
        <v>5</v>
      </c>
      <c r="K150" s="82" t="s">
        <v>586</v>
      </c>
      <c r="L150" s="228"/>
      <c r="M150" s="175">
        <v>54.9</v>
      </c>
      <c r="N150" s="173">
        <v>274.5</v>
      </c>
      <c r="O150" s="82" t="s">
        <v>1747</v>
      </c>
      <c r="P150" s="82" t="s">
        <v>1748</v>
      </c>
      <c r="Q150" s="173">
        <v>88</v>
      </c>
      <c r="R150" s="177">
        <f t="shared" si="9"/>
        <v>88</v>
      </c>
      <c r="S150" s="278" t="s">
        <v>3105</v>
      </c>
      <c r="T150" s="83" t="s">
        <v>1751</v>
      </c>
      <c r="U150" s="82"/>
      <c r="V150" s="82" t="s">
        <v>3115</v>
      </c>
      <c r="W150" s="250" t="s">
        <v>3499</v>
      </c>
      <c r="X150" s="250" t="s">
        <v>3504</v>
      </c>
    </row>
    <row r="151" spans="1:24" ht="15.75" hidden="1" thickBot="1" x14ac:dyDescent="0.3">
      <c r="A151" s="82" t="s">
        <v>4592</v>
      </c>
      <c r="B151" s="82" t="s">
        <v>4592</v>
      </c>
      <c r="C151" s="82" t="str">
        <f t="shared" si="8"/>
        <v>X</v>
      </c>
      <c r="D151" s="228">
        <v>2022</v>
      </c>
      <c r="E151" s="82" t="s">
        <v>1653</v>
      </c>
      <c r="F151" s="82" t="s">
        <v>1745</v>
      </c>
      <c r="G151" s="82" t="s">
        <v>1746</v>
      </c>
      <c r="H151" s="227" t="s">
        <v>1864</v>
      </c>
      <c r="I151" s="279" t="s">
        <v>3110</v>
      </c>
      <c r="J151" s="123">
        <v>3</v>
      </c>
      <c r="K151" s="82" t="s">
        <v>586</v>
      </c>
      <c r="L151" s="228"/>
      <c r="M151" s="175">
        <v>54.9</v>
      </c>
      <c r="N151" s="173">
        <v>164.7</v>
      </c>
      <c r="O151" s="82" t="s">
        <v>1747</v>
      </c>
      <c r="P151" s="82" t="s">
        <v>1748</v>
      </c>
      <c r="Q151" s="173">
        <v>88</v>
      </c>
      <c r="R151" s="177">
        <f t="shared" si="9"/>
        <v>88</v>
      </c>
      <c r="S151" s="278" t="s">
        <v>3105</v>
      </c>
      <c r="T151" s="83" t="s">
        <v>1751</v>
      </c>
      <c r="U151" s="82"/>
      <c r="V151" s="82" t="s">
        <v>3115</v>
      </c>
      <c r="W151" s="250" t="s">
        <v>3499</v>
      </c>
      <c r="X151" s="250" t="s">
        <v>3504</v>
      </c>
    </row>
    <row r="152" spans="1:24" ht="15.75" hidden="1" thickBot="1" x14ac:dyDescent="0.3">
      <c r="A152" s="82" t="s">
        <v>1918</v>
      </c>
      <c r="B152" s="82" t="s">
        <v>1918</v>
      </c>
      <c r="C152" s="82" t="str">
        <f t="shared" si="8"/>
        <v>X</v>
      </c>
      <c r="D152" s="228">
        <v>2022</v>
      </c>
      <c r="E152" s="82" t="s">
        <v>1653</v>
      </c>
      <c r="F152" s="82" t="s">
        <v>1745</v>
      </c>
      <c r="G152" s="82" t="s">
        <v>1746</v>
      </c>
      <c r="H152" s="227" t="s">
        <v>1864</v>
      </c>
      <c r="I152" s="279" t="s">
        <v>3110</v>
      </c>
      <c r="J152" s="123">
        <v>2</v>
      </c>
      <c r="K152" s="82" t="s">
        <v>586</v>
      </c>
      <c r="L152" s="228"/>
      <c r="M152" s="175">
        <v>42.8</v>
      </c>
      <c r="N152" s="173">
        <v>85.6</v>
      </c>
      <c r="O152" s="82" t="s">
        <v>1747</v>
      </c>
      <c r="P152" s="82" t="s">
        <v>1748</v>
      </c>
      <c r="Q152" s="173">
        <v>108</v>
      </c>
      <c r="R152" s="177">
        <f t="shared" si="9"/>
        <v>108</v>
      </c>
      <c r="S152" s="278" t="s">
        <v>3105</v>
      </c>
      <c r="T152" s="83" t="s">
        <v>1751</v>
      </c>
      <c r="U152" s="82"/>
      <c r="V152" s="82" t="s">
        <v>3116</v>
      </c>
      <c r="W152" s="250" t="s">
        <v>3499</v>
      </c>
      <c r="X152" s="250" t="s">
        <v>3504</v>
      </c>
    </row>
    <row r="153" spans="1:24" ht="15.75" hidden="1" thickBot="1" x14ac:dyDescent="0.3">
      <c r="A153" s="82" t="s">
        <v>4594</v>
      </c>
      <c r="B153" s="82" t="s">
        <v>4594</v>
      </c>
      <c r="C153" s="82" t="str">
        <f t="shared" si="8"/>
        <v>X</v>
      </c>
      <c r="D153" s="228">
        <v>2022</v>
      </c>
      <c r="E153" s="82" t="s">
        <v>1653</v>
      </c>
      <c r="F153" s="82" t="s">
        <v>1745</v>
      </c>
      <c r="G153" s="82" t="s">
        <v>1746</v>
      </c>
      <c r="H153" s="227" t="s">
        <v>1864</v>
      </c>
      <c r="I153" s="279" t="s">
        <v>3110</v>
      </c>
      <c r="J153" s="123">
        <v>2</v>
      </c>
      <c r="K153" s="82" t="s">
        <v>586</v>
      </c>
      <c r="L153" s="228"/>
      <c r="M153" s="175">
        <v>42.8</v>
      </c>
      <c r="N153" s="173">
        <v>85.6</v>
      </c>
      <c r="O153" s="82" t="s">
        <v>1747</v>
      </c>
      <c r="P153" s="82" t="s">
        <v>1748</v>
      </c>
      <c r="Q153" s="173">
        <v>77</v>
      </c>
      <c r="R153" s="177">
        <f t="shared" si="9"/>
        <v>77</v>
      </c>
      <c r="S153" s="278" t="s">
        <v>3105</v>
      </c>
      <c r="T153" s="83" t="s">
        <v>1751</v>
      </c>
      <c r="U153" s="82"/>
      <c r="V153" s="82" t="s">
        <v>3116</v>
      </c>
      <c r="W153" s="250" t="s">
        <v>3499</v>
      </c>
      <c r="X153" s="250" t="s">
        <v>3504</v>
      </c>
    </row>
    <row r="154" spans="1:24" ht="15.75" hidden="1" thickBot="1" x14ac:dyDescent="0.3">
      <c r="A154" s="82" t="s">
        <v>4595</v>
      </c>
      <c r="B154" s="82" t="s">
        <v>4595</v>
      </c>
      <c r="C154" s="82" t="str">
        <f t="shared" si="8"/>
        <v>X</v>
      </c>
      <c r="D154" s="228">
        <v>2022</v>
      </c>
      <c r="E154" s="82" t="s">
        <v>1653</v>
      </c>
      <c r="F154" s="82" t="s">
        <v>1745</v>
      </c>
      <c r="G154" s="82" t="s">
        <v>1746</v>
      </c>
      <c r="H154" s="227" t="s">
        <v>1864</v>
      </c>
      <c r="I154" s="279" t="s">
        <v>3110</v>
      </c>
      <c r="J154" s="123">
        <v>1</v>
      </c>
      <c r="K154" s="82" t="s">
        <v>586</v>
      </c>
      <c r="L154" s="228"/>
      <c r="M154" s="175">
        <v>21.6</v>
      </c>
      <c r="N154" s="173">
        <v>21.6</v>
      </c>
      <c r="O154" s="82" t="s">
        <v>1747</v>
      </c>
      <c r="P154" s="82" t="s">
        <v>1748</v>
      </c>
      <c r="Q154" s="173">
        <v>79</v>
      </c>
      <c r="R154" s="177">
        <f t="shared" si="9"/>
        <v>79</v>
      </c>
      <c r="S154" s="278" t="s">
        <v>3105</v>
      </c>
      <c r="T154" s="83" t="s">
        <v>3117</v>
      </c>
      <c r="U154" s="82"/>
      <c r="V154" s="82" t="s">
        <v>3118</v>
      </c>
      <c r="W154" s="250" t="s">
        <v>3499</v>
      </c>
      <c r="X154" s="250" t="s">
        <v>3504</v>
      </c>
    </row>
    <row r="155" spans="1:24" ht="15.75" hidden="1" thickBot="1" x14ac:dyDescent="0.3">
      <c r="A155" s="82" t="s">
        <v>4595</v>
      </c>
      <c r="B155" s="82" t="s">
        <v>4595</v>
      </c>
      <c r="C155" s="82" t="str">
        <f t="shared" si="8"/>
        <v>X</v>
      </c>
      <c r="D155" s="228">
        <v>2022</v>
      </c>
      <c r="E155" s="82" t="s">
        <v>1653</v>
      </c>
      <c r="F155" s="82" t="s">
        <v>1745</v>
      </c>
      <c r="G155" s="82" t="s">
        <v>1746</v>
      </c>
      <c r="H155" s="227" t="s">
        <v>1864</v>
      </c>
      <c r="I155" s="279" t="s">
        <v>3110</v>
      </c>
      <c r="J155" s="123">
        <v>1</v>
      </c>
      <c r="K155" s="82" t="s">
        <v>586</v>
      </c>
      <c r="L155" s="228"/>
      <c r="M155" s="175">
        <v>21.6</v>
      </c>
      <c r="N155" s="173">
        <v>21.6</v>
      </c>
      <c r="O155" s="82" t="s">
        <v>1747</v>
      </c>
      <c r="P155" s="82" t="s">
        <v>1748</v>
      </c>
      <c r="Q155" s="173">
        <v>79</v>
      </c>
      <c r="R155" s="177">
        <f t="shared" si="9"/>
        <v>79</v>
      </c>
      <c r="S155" s="278" t="s">
        <v>3105</v>
      </c>
      <c r="T155" s="83" t="s">
        <v>3117</v>
      </c>
      <c r="U155" s="82"/>
      <c r="V155" s="82" t="s">
        <v>3118</v>
      </c>
      <c r="W155" s="250" t="s">
        <v>3499</v>
      </c>
      <c r="X155" s="250" t="s">
        <v>3504</v>
      </c>
    </row>
    <row r="156" spans="1:24" ht="15.75" hidden="1" thickBot="1" x14ac:dyDescent="0.3">
      <c r="A156" s="82" t="s">
        <v>4595</v>
      </c>
      <c r="B156" s="82" t="s">
        <v>4595</v>
      </c>
      <c r="C156" s="82" t="str">
        <f t="shared" si="8"/>
        <v>X</v>
      </c>
      <c r="D156" s="228">
        <v>2022</v>
      </c>
      <c r="E156" s="82" t="s">
        <v>1653</v>
      </c>
      <c r="F156" s="82" t="s">
        <v>1745</v>
      </c>
      <c r="G156" s="82" t="s">
        <v>1746</v>
      </c>
      <c r="H156" s="227" t="s">
        <v>1864</v>
      </c>
      <c r="I156" s="279" t="s">
        <v>3110</v>
      </c>
      <c r="J156" s="123">
        <v>1</v>
      </c>
      <c r="K156" s="82" t="s">
        <v>586</v>
      </c>
      <c r="L156" s="228"/>
      <c r="M156" s="175">
        <v>21.6</v>
      </c>
      <c r="N156" s="173">
        <v>21.6</v>
      </c>
      <c r="O156" s="82" t="s">
        <v>1747</v>
      </c>
      <c r="P156" s="82" t="s">
        <v>1748</v>
      </c>
      <c r="Q156" s="173">
        <v>79</v>
      </c>
      <c r="R156" s="177">
        <f t="shared" si="9"/>
        <v>79</v>
      </c>
      <c r="S156" s="278" t="s">
        <v>3105</v>
      </c>
      <c r="T156" s="83" t="s">
        <v>3117</v>
      </c>
      <c r="U156" s="82"/>
      <c r="V156" s="82" t="s">
        <v>3118</v>
      </c>
      <c r="W156" s="250" t="s">
        <v>3499</v>
      </c>
      <c r="X156" s="250" t="s">
        <v>3504</v>
      </c>
    </row>
    <row r="157" spans="1:24" ht="15.75" hidden="1" thickBot="1" x14ac:dyDescent="0.3">
      <c r="A157" s="82" t="s">
        <v>4595</v>
      </c>
      <c r="B157" s="82" t="s">
        <v>4595</v>
      </c>
      <c r="C157" s="82" t="str">
        <f t="shared" si="8"/>
        <v>X</v>
      </c>
      <c r="D157" s="228">
        <v>2022</v>
      </c>
      <c r="E157" s="82" t="s">
        <v>1653</v>
      </c>
      <c r="F157" s="82" t="s">
        <v>1745</v>
      </c>
      <c r="G157" s="82" t="s">
        <v>1746</v>
      </c>
      <c r="H157" s="227" t="s">
        <v>1864</v>
      </c>
      <c r="I157" s="279" t="s">
        <v>3110</v>
      </c>
      <c r="J157" s="123">
        <v>1</v>
      </c>
      <c r="K157" s="82" t="s">
        <v>586</v>
      </c>
      <c r="L157" s="228"/>
      <c r="M157" s="175">
        <v>21.6</v>
      </c>
      <c r="N157" s="173">
        <v>21.6</v>
      </c>
      <c r="O157" s="82" t="s">
        <v>1747</v>
      </c>
      <c r="P157" s="82" t="s">
        <v>1748</v>
      </c>
      <c r="Q157" s="173">
        <v>79</v>
      </c>
      <c r="R157" s="177">
        <f t="shared" si="9"/>
        <v>79</v>
      </c>
      <c r="S157" s="278" t="s">
        <v>3105</v>
      </c>
      <c r="T157" s="83" t="s">
        <v>3117</v>
      </c>
      <c r="U157" s="82"/>
      <c r="V157" s="82" t="s">
        <v>3118</v>
      </c>
      <c r="W157" s="250" t="s">
        <v>3499</v>
      </c>
      <c r="X157" s="250" t="s">
        <v>3504</v>
      </c>
    </row>
    <row r="158" spans="1:24" ht="15.75" hidden="1" thickBot="1" x14ac:dyDescent="0.3">
      <c r="A158" s="82" t="s">
        <v>4595</v>
      </c>
      <c r="B158" s="82" t="s">
        <v>4595</v>
      </c>
      <c r="C158" s="82" t="str">
        <f t="shared" si="8"/>
        <v>X</v>
      </c>
      <c r="D158" s="228">
        <v>2022</v>
      </c>
      <c r="E158" s="82" t="s">
        <v>1653</v>
      </c>
      <c r="F158" s="82" t="s">
        <v>1745</v>
      </c>
      <c r="G158" s="82" t="s">
        <v>1746</v>
      </c>
      <c r="H158" s="227" t="s">
        <v>1864</v>
      </c>
      <c r="I158" s="279" t="s">
        <v>3110</v>
      </c>
      <c r="J158" s="123">
        <v>1</v>
      </c>
      <c r="K158" s="82" t="s">
        <v>586</v>
      </c>
      <c r="L158" s="228"/>
      <c r="M158" s="175">
        <v>21.6</v>
      </c>
      <c r="N158" s="173">
        <v>21.6</v>
      </c>
      <c r="O158" s="82" t="s">
        <v>1747</v>
      </c>
      <c r="P158" s="82" t="s">
        <v>1748</v>
      </c>
      <c r="Q158" s="173">
        <v>79</v>
      </c>
      <c r="R158" s="177">
        <f t="shared" si="9"/>
        <v>79</v>
      </c>
      <c r="S158" s="278" t="s">
        <v>3105</v>
      </c>
      <c r="T158" s="83" t="s">
        <v>3117</v>
      </c>
      <c r="U158" s="82"/>
      <c r="V158" s="82" t="s">
        <v>3118</v>
      </c>
      <c r="W158" s="250" t="s">
        <v>3499</v>
      </c>
      <c r="X158" s="250" t="s">
        <v>3504</v>
      </c>
    </row>
    <row r="159" spans="1:24" ht="15.75" hidden="1" thickBot="1" x14ac:dyDescent="0.3">
      <c r="A159" s="82" t="s">
        <v>4595</v>
      </c>
      <c r="B159" s="82" t="s">
        <v>4595</v>
      </c>
      <c r="C159" s="82" t="str">
        <f t="shared" si="8"/>
        <v>X</v>
      </c>
      <c r="D159" s="228">
        <v>2022</v>
      </c>
      <c r="E159" s="82" t="s">
        <v>1653</v>
      </c>
      <c r="F159" s="82" t="s">
        <v>1745</v>
      </c>
      <c r="G159" s="82" t="s">
        <v>1746</v>
      </c>
      <c r="H159" s="227" t="s">
        <v>1864</v>
      </c>
      <c r="I159" s="279" t="s">
        <v>3110</v>
      </c>
      <c r="J159" s="123">
        <v>2</v>
      </c>
      <c r="K159" s="82" t="s">
        <v>586</v>
      </c>
      <c r="L159" s="228"/>
      <c r="M159" s="175">
        <v>21.6</v>
      </c>
      <c r="N159" s="173">
        <v>43.2</v>
      </c>
      <c r="O159" s="82" t="s">
        <v>1747</v>
      </c>
      <c r="P159" s="82" t="s">
        <v>1748</v>
      </c>
      <c r="Q159" s="173">
        <v>79</v>
      </c>
      <c r="R159" s="177">
        <f t="shared" si="9"/>
        <v>79</v>
      </c>
      <c r="S159" s="278" t="s">
        <v>3105</v>
      </c>
      <c r="T159" s="83" t="s">
        <v>3117</v>
      </c>
      <c r="U159" s="82"/>
      <c r="V159" s="82" t="s">
        <v>3118</v>
      </c>
      <c r="W159" s="250" t="s">
        <v>3499</v>
      </c>
      <c r="X159" s="250" t="s">
        <v>3504</v>
      </c>
    </row>
    <row r="160" spans="1:24" ht="15.75" hidden="1" thickBot="1" x14ac:dyDescent="0.3">
      <c r="A160" s="82" t="s">
        <v>4595</v>
      </c>
      <c r="B160" s="82" t="s">
        <v>4595</v>
      </c>
      <c r="C160" s="82" t="str">
        <f t="shared" si="8"/>
        <v>X</v>
      </c>
      <c r="D160" s="228">
        <v>2022</v>
      </c>
      <c r="E160" s="82" t="s">
        <v>1653</v>
      </c>
      <c r="F160" s="82" t="s">
        <v>1745</v>
      </c>
      <c r="G160" s="82" t="s">
        <v>1746</v>
      </c>
      <c r="H160" s="227" t="s">
        <v>1864</v>
      </c>
      <c r="I160" s="279" t="s">
        <v>3110</v>
      </c>
      <c r="J160" s="123">
        <v>2</v>
      </c>
      <c r="K160" s="82" t="s">
        <v>586</v>
      </c>
      <c r="L160" s="228"/>
      <c r="M160" s="175">
        <v>21.6</v>
      </c>
      <c r="N160" s="173">
        <v>43.2</v>
      </c>
      <c r="O160" s="82" t="s">
        <v>1747</v>
      </c>
      <c r="P160" s="82" t="s">
        <v>1748</v>
      </c>
      <c r="Q160" s="173">
        <v>79</v>
      </c>
      <c r="R160" s="177">
        <f t="shared" si="9"/>
        <v>79</v>
      </c>
      <c r="S160" s="278" t="s">
        <v>3105</v>
      </c>
      <c r="T160" s="83" t="s">
        <v>3117</v>
      </c>
      <c r="U160" s="82"/>
      <c r="V160" s="82" t="s">
        <v>3118</v>
      </c>
      <c r="W160" s="250" t="s">
        <v>3499</v>
      </c>
      <c r="X160" s="250" t="s">
        <v>3504</v>
      </c>
    </row>
    <row r="161" spans="1:24" ht="15.75" hidden="1" thickBot="1" x14ac:dyDescent="0.3">
      <c r="A161" s="82" t="s">
        <v>4595</v>
      </c>
      <c r="B161" s="82" t="s">
        <v>4595</v>
      </c>
      <c r="C161" s="82" t="str">
        <f t="shared" si="8"/>
        <v>X</v>
      </c>
      <c r="D161" s="228">
        <v>2022</v>
      </c>
      <c r="E161" s="82" t="s">
        <v>1653</v>
      </c>
      <c r="F161" s="82" t="s">
        <v>1745</v>
      </c>
      <c r="G161" s="82" t="s">
        <v>1746</v>
      </c>
      <c r="H161" s="227" t="s">
        <v>1864</v>
      </c>
      <c r="I161" s="279" t="s">
        <v>3110</v>
      </c>
      <c r="J161" s="123">
        <v>2</v>
      </c>
      <c r="K161" s="82" t="s">
        <v>586</v>
      </c>
      <c r="L161" s="228"/>
      <c r="M161" s="175">
        <v>21.6</v>
      </c>
      <c r="N161" s="173">
        <v>43.2</v>
      </c>
      <c r="O161" s="82" t="s">
        <v>1747</v>
      </c>
      <c r="P161" s="82" t="s">
        <v>1748</v>
      </c>
      <c r="Q161" s="173">
        <v>79</v>
      </c>
      <c r="R161" s="177">
        <f t="shared" si="9"/>
        <v>79</v>
      </c>
      <c r="S161" s="278" t="s">
        <v>3105</v>
      </c>
      <c r="T161" s="83" t="s">
        <v>3117</v>
      </c>
      <c r="U161" s="82"/>
      <c r="V161" s="82" t="s">
        <v>3118</v>
      </c>
      <c r="W161" s="250" t="s">
        <v>3499</v>
      </c>
      <c r="X161" s="250" t="s">
        <v>3504</v>
      </c>
    </row>
    <row r="162" spans="1:24" ht="15.75" hidden="1" thickBot="1" x14ac:dyDescent="0.3">
      <c r="A162" s="82" t="s">
        <v>4593</v>
      </c>
      <c r="B162" s="82" t="s">
        <v>4593</v>
      </c>
      <c r="C162" s="82" t="str">
        <f t="shared" si="8"/>
        <v>X</v>
      </c>
      <c r="D162" s="228">
        <v>2022</v>
      </c>
      <c r="E162" s="82" t="s">
        <v>1653</v>
      </c>
      <c r="F162" s="82" t="s">
        <v>1745</v>
      </c>
      <c r="G162" s="82" t="s">
        <v>1746</v>
      </c>
      <c r="H162" s="227" t="s">
        <v>1864</v>
      </c>
      <c r="I162" s="279" t="s">
        <v>3110</v>
      </c>
      <c r="J162" s="123">
        <v>1</v>
      </c>
      <c r="K162" s="82" t="s">
        <v>586</v>
      </c>
      <c r="L162" s="228"/>
      <c r="M162" s="175">
        <v>21.6</v>
      </c>
      <c r="N162" s="173">
        <v>21.6</v>
      </c>
      <c r="O162" s="82" t="s">
        <v>1747</v>
      </c>
      <c r="P162" s="82" t="s">
        <v>3114</v>
      </c>
      <c r="Q162" s="173">
        <v>115</v>
      </c>
      <c r="R162" s="177">
        <f t="shared" si="9"/>
        <v>115</v>
      </c>
      <c r="S162" s="278" t="s">
        <v>3105</v>
      </c>
      <c r="T162" s="83" t="s">
        <v>3117</v>
      </c>
      <c r="U162" s="82"/>
      <c r="V162" s="82" t="s">
        <v>3118</v>
      </c>
      <c r="W162" s="250" t="s">
        <v>3499</v>
      </c>
      <c r="X162" s="250" t="s">
        <v>3504</v>
      </c>
    </row>
    <row r="163" spans="1:24" ht="15.75" hidden="1" thickBot="1" x14ac:dyDescent="0.3">
      <c r="A163" s="82" t="s">
        <v>4593</v>
      </c>
      <c r="B163" s="82" t="s">
        <v>4593</v>
      </c>
      <c r="C163" s="82" t="str">
        <f t="shared" si="8"/>
        <v>X</v>
      </c>
      <c r="D163" s="228">
        <v>2022</v>
      </c>
      <c r="E163" s="82" t="s">
        <v>1653</v>
      </c>
      <c r="F163" s="82" t="s">
        <v>1745</v>
      </c>
      <c r="G163" s="82" t="s">
        <v>1746</v>
      </c>
      <c r="H163" s="227" t="s">
        <v>1864</v>
      </c>
      <c r="I163" s="279" t="s">
        <v>3110</v>
      </c>
      <c r="J163" s="123">
        <v>1</v>
      </c>
      <c r="K163" s="82" t="s">
        <v>586</v>
      </c>
      <c r="L163" s="228"/>
      <c r="M163" s="175">
        <v>21.6</v>
      </c>
      <c r="N163" s="173">
        <v>21.6</v>
      </c>
      <c r="O163" s="82" t="s">
        <v>1747</v>
      </c>
      <c r="P163" s="82" t="s">
        <v>3114</v>
      </c>
      <c r="Q163" s="173">
        <v>115</v>
      </c>
      <c r="R163" s="177">
        <f t="shared" si="9"/>
        <v>115</v>
      </c>
      <c r="S163" s="278" t="s">
        <v>3105</v>
      </c>
      <c r="T163" s="83" t="s">
        <v>3117</v>
      </c>
      <c r="U163" s="82"/>
      <c r="V163" s="82" t="s">
        <v>3118</v>
      </c>
      <c r="W163" s="250" t="s">
        <v>3499</v>
      </c>
      <c r="X163" s="250" t="s">
        <v>3504</v>
      </c>
    </row>
    <row r="164" spans="1:24" ht="15.75" hidden="1" thickBot="1" x14ac:dyDescent="0.3">
      <c r="A164" s="82" t="s">
        <v>4593</v>
      </c>
      <c r="B164" s="82" t="s">
        <v>4593</v>
      </c>
      <c r="C164" s="82" t="str">
        <f t="shared" si="8"/>
        <v>X</v>
      </c>
      <c r="D164" s="228">
        <v>2022</v>
      </c>
      <c r="E164" s="82" t="s">
        <v>1653</v>
      </c>
      <c r="F164" s="82" t="s">
        <v>1745</v>
      </c>
      <c r="G164" s="82" t="s">
        <v>1746</v>
      </c>
      <c r="H164" s="227" t="s">
        <v>1864</v>
      </c>
      <c r="I164" s="279" t="s">
        <v>3110</v>
      </c>
      <c r="J164" s="123">
        <v>1</v>
      </c>
      <c r="K164" s="82" t="s">
        <v>586</v>
      </c>
      <c r="L164" s="228"/>
      <c r="M164" s="175">
        <v>21.6</v>
      </c>
      <c r="N164" s="173">
        <v>21.6</v>
      </c>
      <c r="O164" s="82" t="s">
        <v>1747</v>
      </c>
      <c r="P164" s="82" t="s">
        <v>3114</v>
      </c>
      <c r="Q164" s="173">
        <v>115</v>
      </c>
      <c r="R164" s="177">
        <f t="shared" si="9"/>
        <v>115</v>
      </c>
      <c r="S164" s="278" t="s">
        <v>3105</v>
      </c>
      <c r="T164" s="83" t="s">
        <v>3117</v>
      </c>
      <c r="U164" s="82"/>
      <c r="V164" s="82" t="s">
        <v>3118</v>
      </c>
      <c r="W164" s="250" t="s">
        <v>3499</v>
      </c>
      <c r="X164" s="250" t="s">
        <v>3504</v>
      </c>
    </row>
    <row r="165" spans="1:24" ht="15.75" hidden="1" thickBot="1" x14ac:dyDescent="0.3">
      <c r="A165" s="82" t="s">
        <v>4593</v>
      </c>
      <c r="B165" s="82" t="s">
        <v>4593</v>
      </c>
      <c r="C165" s="82" t="str">
        <f t="shared" si="8"/>
        <v>X</v>
      </c>
      <c r="D165" s="228">
        <v>2022</v>
      </c>
      <c r="E165" s="82" t="s">
        <v>1653</v>
      </c>
      <c r="F165" s="82" t="s">
        <v>1745</v>
      </c>
      <c r="G165" s="82" t="s">
        <v>1746</v>
      </c>
      <c r="H165" s="227" t="s">
        <v>1864</v>
      </c>
      <c r="I165" s="279" t="s">
        <v>3110</v>
      </c>
      <c r="J165" s="123">
        <v>1</v>
      </c>
      <c r="K165" s="82" t="s">
        <v>586</v>
      </c>
      <c r="L165" s="228"/>
      <c r="M165" s="175">
        <v>21.6</v>
      </c>
      <c r="N165" s="173">
        <v>21.6</v>
      </c>
      <c r="O165" s="82" t="s">
        <v>1747</v>
      </c>
      <c r="P165" s="82" t="s">
        <v>3114</v>
      </c>
      <c r="Q165" s="173">
        <v>115</v>
      </c>
      <c r="R165" s="177">
        <f t="shared" si="9"/>
        <v>115</v>
      </c>
      <c r="S165" s="278" t="s">
        <v>3105</v>
      </c>
      <c r="T165" s="83" t="s">
        <v>3117</v>
      </c>
      <c r="U165" s="82"/>
      <c r="V165" s="82" t="s">
        <v>3118</v>
      </c>
      <c r="W165" s="250" t="s">
        <v>3499</v>
      </c>
      <c r="X165" s="250" t="s">
        <v>3504</v>
      </c>
    </row>
    <row r="166" spans="1:24" ht="15.75" hidden="1" thickBot="1" x14ac:dyDescent="0.3">
      <c r="A166" s="82" t="s">
        <v>4593</v>
      </c>
      <c r="B166" s="82" t="s">
        <v>4593</v>
      </c>
      <c r="C166" s="82" t="str">
        <f t="shared" si="8"/>
        <v>X</v>
      </c>
      <c r="D166" s="228">
        <v>2022</v>
      </c>
      <c r="E166" s="82" t="s">
        <v>1653</v>
      </c>
      <c r="F166" s="82" t="s">
        <v>1745</v>
      </c>
      <c r="G166" s="82" t="s">
        <v>1746</v>
      </c>
      <c r="H166" s="227" t="s">
        <v>1864</v>
      </c>
      <c r="I166" s="279" t="s">
        <v>3110</v>
      </c>
      <c r="J166" s="123">
        <v>1</v>
      </c>
      <c r="K166" s="82" t="s">
        <v>586</v>
      </c>
      <c r="L166" s="228"/>
      <c r="M166" s="175">
        <v>21.6</v>
      </c>
      <c r="N166" s="173">
        <v>21.6</v>
      </c>
      <c r="O166" s="82" t="s">
        <v>1747</v>
      </c>
      <c r="P166" s="82" t="s">
        <v>3114</v>
      </c>
      <c r="Q166" s="173">
        <v>115</v>
      </c>
      <c r="R166" s="177">
        <f t="shared" si="9"/>
        <v>115</v>
      </c>
      <c r="S166" s="278" t="s">
        <v>3105</v>
      </c>
      <c r="T166" s="83" t="s">
        <v>3117</v>
      </c>
      <c r="U166" s="82"/>
      <c r="V166" s="82" t="s">
        <v>3118</v>
      </c>
      <c r="W166" s="250" t="s">
        <v>3499</v>
      </c>
      <c r="X166" s="250" t="s">
        <v>3504</v>
      </c>
    </row>
    <row r="167" spans="1:24" ht="15.75" hidden="1" thickBot="1" x14ac:dyDescent="0.3">
      <c r="A167" s="82" t="s">
        <v>4593</v>
      </c>
      <c r="B167" s="82" t="s">
        <v>4593</v>
      </c>
      <c r="C167" s="82" t="str">
        <f t="shared" si="8"/>
        <v>X</v>
      </c>
      <c r="D167" s="228">
        <v>2022</v>
      </c>
      <c r="E167" s="82" t="s">
        <v>1653</v>
      </c>
      <c r="F167" s="82" t="s">
        <v>1745</v>
      </c>
      <c r="G167" s="82" t="s">
        <v>1746</v>
      </c>
      <c r="H167" s="227" t="s">
        <v>1864</v>
      </c>
      <c r="I167" s="279" t="s">
        <v>3110</v>
      </c>
      <c r="J167" s="123">
        <v>1</v>
      </c>
      <c r="K167" s="82" t="s">
        <v>586</v>
      </c>
      <c r="L167" s="228"/>
      <c r="M167" s="175">
        <v>21.6</v>
      </c>
      <c r="N167" s="173">
        <v>21.6</v>
      </c>
      <c r="O167" s="82" t="s">
        <v>1747</v>
      </c>
      <c r="P167" s="82" t="s">
        <v>3114</v>
      </c>
      <c r="Q167" s="173">
        <v>115</v>
      </c>
      <c r="R167" s="177">
        <f t="shared" si="9"/>
        <v>115</v>
      </c>
      <c r="S167" s="278" t="s">
        <v>3105</v>
      </c>
      <c r="T167" s="83" t="s">
        <v>3117</v>
      </c>
      <c r="U167" s="82"/>
      <c r="V167" s="82" t="s">
        <v>3118</v>
      </c>
      <c r="W167" s="250" t="s">
        <v>3499</v>
      </c>
      <c r="X167" s="250" t="s">
        <v>3504</v>
      </c>
    </row>
    <row r="168" spans="1:24" ht="15.75" hidden="1" thickBot="1" x14ac:dyDescent="0.3">
      <c r="A168" s="82" t="s">
        <v>4592</v>
      </c>
      <c r="B168" s="82" t="s">
        <v>4592</v>
      </c>
      <c r="C168" s="82" t="str">
        <f t="shared" si="8"/>
        <v>X</v>
      </c>
      <c r="D168" s="228">
        <v>2022</v>
      </c>
      <c r="E168" s="82" t="s">
        <v>1653</v>
      </c>
      <c r="F168" s="82" t="s">
        <v>1745</v>
      </c>
      <c r="G168" s="82" t="s">
        <v>1746</v>
      </c>
      <c r="H168" s="227" t="s">
        <v>1864</v>
      </c>
      <c r="I168" s="279" t="s">
        <v>3110</v>
      </c>
      <c r="J168" s="123">
        <v>1</v>
      </c>
      <c r="K168" s="82" t="s">
        <v>586</v>
      </c>
      <c r="L168" s="228"/>
      <c r="M168" s="175">
        <v>21.6</v>
      </c>
      <c r="N168" s="173">
        <v>21.6</v>
      </c>
      <c r="O168" s="82" t="s">
        <v>1747</v>
      </c>
      <c r="P168" s="82" t="s">
        <v>3114</v>
      </c>
      <c r="Q168" s="173">
        <v>67</v>
      </c>
      <c r="R168" s="177">
        <f t="shared" si="9"/>
        <v>67</v>
      </c>
      <c r="S168" s="278" t="s">
        <v>3105</v>
      </c>
      <c r="T168" s="83" t="s">
        <v>3117</v>
      </c>
      <c r="U168" s="82"/>
      <c r="V168" s="82" t="s">
        <v>3118</v>
      </c>
      <c r="W168" s="250" t="s">
        <v>3499</v>
      </c>
      <c r="X168" s="250" t="s">
        <v>3504</v>
      </c>
    </row>
    <row r="169" spans="1:24" ht="15.75" hidden="1" thickBot="1" x14ac:dyDescent="0.3">
      <c r="A169" s="82" t="s">
        <v>4592</v>
      </c>
      <c r="B169" s="82" t="s">
        <v>4592</v>
      </c>
      <c r="C169" s="82" t="str">
        <f t="shared" si="8"/>
        <v>X</v>
      </c>
      <c r="D169" s="228">
        <v>2022</v>
      </c>
      <c r="E169" s="82" t="s">
        <v>1653</v>
      </c>
      <c r="F169" s="82" t="s">
        <v>1745</v>
      </c>
      <c r="G169" s="82" t="s">
        <v>1746</v>
      </c>
      <c r="H169" s="227" t="s">
        <v>1864</v>
      </c>
      <c r="I169" s="279" t="s">
        <v>3110</v>
      </c>
      <c r="J169" s="123">
        <v>1</v>
      </c>
      <c r="K169" s="82" t="s">
        <v>586</v>
      </c>
      <c r="L169" s="228"/>
      <c r="M169" s="175">
        <v>21.6</v>
      </c>
      <c r="N169" s="173">
        <v>21.6</v>
      </c>
      <c r="O169" s="82" t="s">
        <v>1747</v>
      </c>
      <c r="P169" s="82" t="s">
        <v>3114</v>
      </c>
      <c r="Q169" s="173">
        <v>67</v>
      </c>
      <c r="R169" s="177">
        <f t="shared" si="9"/>
        <v>67</v>
      </c>
      <c r="S169" s="278" t="s">
        <v>3105</v>
      </c>
      <c r="T169" s="83" t="s">
        <v>3117</v>
      </c>
      <c r="U169" s="82"/>
      <c r="V169" s="82" t="s">
        <v>3118</v>
      </c>
      <c r="W169" s="250" t="s">
        <v>3499</v>
      </c>
      <c r="X169" s="250" t="s">
        <v>3504</v>
      </c>
    </row>
    <row r="170" spans="1:24" ht="15.75" hidden="1" thickBot="1" x14ac:dyDescent="0.3">
      <c r="A170" s="82" t="s">
        <v>4592</v>
      </c>
      <c r="B170" s="82" t="s">
        <v>4592</v>
      </c>
      <c r="C170" s="82" t="str">
        <f t="shared" si="8"/>
        <v>X</v>
      </c>
      <c r="D170" s="228">
        <v>2022</v>
      </c>
      <c r="E170" s="82" t="s">
        <v>1653</v>
      </c>
      <c r="F170" s="82" t="s">
        <v>1745</v>
      </c>
      <c r="G170" s="82" t="s">
        <v>1746</v>
      </c>
      <c r="H170" s="227" t="s">
        <v>1864</v>
      </c>
      <c r="I170" s="279" t="s">
        <v>3110</v>
      </c>
      <c r="J170" s="123">
        <v>1</v>
      </c>
      <c r="K170" s="82" t="s">
        <v>586</v>
      </c>
      <c r="L170" s="228"/>
      <c r="M170" s="175">
        <v>21.6</v>
      </c>
      <c r="N170" s="173">
        <v>21.6</v>
      </c>
      <c r="O170" s="82" t="s">
        <v>1747</v>
      </c>
      <c r="P170" s="82" t="s">
        <v>3114</v>
      </c>
      <c r="Q170" s="173">
        <v>67</v>
      </c>
      <c r="R170" s="177">
        <f t="shared" si="9"/>
        <v>67</v>
      </c>
      <c r="S170" s="278" t="s">
        <v>3105</v>
      </c>
      <c r="T170" s="83" t="s">
        <v>3117</v>
      </c>
      <c r="U170" s="82"/>
      <c r="V170" s="82" t="s">
        <v>3118</v>
      </c>
      <c r="W170" s="250" t="s">
        <v>3499</v>
      </c>
      <c r="X170" s="250" t="s">
        <v>3504</v>
      </c>
    </row>
    <row r="171" spans="1:24" ht="15.75" hidden="1" thickBot="1" x14ac:dyDescent="0.3">
      <c r="A171" s="82" t="s">
        <v>4592</v>
      </c>
      <c r="B171" s="82" t="s">
        <v>4592</v>
      </c>
      <c r="C171" s="82" t="str">
        <f t="shared" si="8"/>
        <v>X</v>
      </c>
      <c r="D171" s="228">
        <v>2022</v>
      </c>
      <c r="E171" s="82" t="s">
        <v>1653</v>
      </c>
      <c r="F171" s="82" t="s">
        <v>1745</v>
      </c>
      <c r="G171" s="82" t="s">
        <v>1746</v>
      </c>
      <c r="H171" s="227" t="s">
        <v>1864</v>
      </c>
      <c r="I171" s="279" t="s">
        <v>3110</v>
      </c>
      <c r="J171" s="123">
        <v>1</v>
      </c>
      <c r="K171" s="82" t="s">
        <v>586</v>
      </c>
      <c r="L171" s="228"/>
      <c r="M171" s="175">
        <v>21.6</v>
      </c>
      <c r="N171" s="173">
        <v>21.6</v>
      </c>
      <c r="O171" s="82" t="s">
        <v>1747</v>
      </c>
      <c r="P171" s="82" t="s">
        <v>3114</v>
      </c>
      <c r="Q171" s="173">
        <v>67</v>
      </c>
      <c r="R171" s="177">
        <f t="shared" si="9"/>
        <v>67</v>
      </c>
      <c r="S171" s="278" t="s">
        <v>3105</v>
      </c>
      <c r="T171" s="83" t="s">
        <v>3117</v>
      </c>
      <c r="U171" s="82"/>
      <c r="V171" s="82" t="s">
        <v>3118</v>
      </c>
      <c r="W171" s="250" t="s">
        <v>3499</v>
      </c>
      <c r="X171" s="250" t="s">
        <v>3504</v>
      </c>
    </row>
    <row r="172" spans="1:24" ht="15.75" hidden="1" thickBot="1" x14ac:dyDescent="0.3">
      <c r="A172" s="82" t="s">
        <v>4592</v>
      </c>
      <c r="B172" s="82" t="s">
        <v>4592</v>
      </c>
      <c r="C172" s="82" t="str">
        <f t="shared" si="8"/>
        <v>X</v>
      </c>
      <c r="D172" s="228">
        <v>2022</v>
      </c>
      <c r="E172" s="82" t="s">
        <v>1653</v>
      </c>
      <c r="F172" s="82" t="s">
        <v>1745</v>
      </c>
      <c r="G172" s="82" t="s">
        <v>1746</v>
      </c>
      <c r="H172" s="227" t="s">
        <v>1864</v>
      </c>
      <c r="I172" s="279" t="s">
        <v>3110</v>
      </c>
      <c r="J172" s="123">
        <v>2</v>
      </c>
      <c r="K172" s="82" t="s">
        <v>586</v>
      </c>
      <c r="L172" s="228"/>
      <c r="M172" s="175">
        <v>21.6</v>
      </c>
      <c r="N172" s="173">
        <v>43.2</v>
      </c>
      <c r="O172" s="82" t="s">
        <v>1747</v>
      </c>
      <c r="P172" s="82" t="s">
        <v>3114</v>
      </c>
      <c r="Q172" s="173">
        <v>67</v>
      </c>
      <c r="R172" s="177">
        <f t="shared" si="9"/>
        <v>67</v>
      </c>
      <c r="S172" s="278" t="s">
        <v>3105</v>
      </c>
      <c r="T172" s="83" t="s">
        <v>3117</v>
      </c>
      <c r="U172" s="82"/>
      <c r="V172" s="82" t="s">
        <v>3118</v>
      </c>
      <c r="W172" s="250" t="s">
        <v>3499</v>
      </c>
      <c r="X172" s="250" t="s">
        <v>3504</v>
      </c>
    </row>
    <row r="173" spans="1:24" ht="15.75" hidden="1" thickBot="1" x14ac:dyDescent="0.3">
      <c r="A173" s="82" t="s">
        <v>4595</v>
      </c>
      <c r="B173" s="82" t="s">
        <v>4595</v>
      </c>
      <c r="C173" s="82" t="str">
        <f t="shared" si="8"/>
        <v>X</v>
      </c>
      <c r="D173" s="228">
        <v>2022</v>
      </c>
      <c r="E173" s="82" t="s">
        <v>1653</v>
      </c>
      <c r="F173" s="82" t="s">
        <v>1745</v>
      </c>
      <c r="G173" s="82" t="s">
        <v>1746</v>
      </c>
      <c r="H173" s="227" t="s">
        <v>1864</v>
      </c>
      <c r="I173" s="279" t="s">
        <v>3110</v>
      </c>
      <c r="J173" s="123">
        <v>1</v>
      </c>
      <c r="K173" s="82" t="s">
        <v>586</v>
      </c>
      <c r="L173" s="228"/>
      <c r="M173" s="175">
        <v>27.5</v>
      </c>
      <c r="N173" s="173">
        <v>27.5</v>
      </c>
      <c r="O173" s="82" t="s">
        <v>1747</v>
      </c>
      <c r="P173" s="82" t="s">
        <v>1748</v>
      </c>
      <c r="Q173" s="173">
        <v>79</v>
      </c>
      <c r="R173" s="177">
        <f t="shared" si="9"/>
        <v>79</v>
      </c>
      <c r="S173" s="278" t="s">
        <v>3105</v>
      </c>
      <c r="T173" s="83" t="s">
        <v>3117</v>
      </c>
      <c r="U173" s="82"/>
      <c r="V173" s="82" t="s">
        <v>3119</v>
      </c>
      <c r="W173" s="250" t="s">
        <v>3499</v>
      </c>
      <c r="X173" s="250" t="s">
        <v>3504</v>
      </c>
    </row>
    <row r="174" spans="1:24" ht="15.75" hidden="1" thickBot="1" x14ac:dyDescent="0.3">
      <c r="A174" s="82" t="s">
        <v>4595</v>
      </c>
      <c r="B174" s="82" t="s">
        <v>4595</v>
      </c>
      <c r="C174" s="82" t="str">
        <f t="shared" si="8"/>
        <v>X</v>
      </c>
      <c r="D174" s="228">
        <v>2022</v>
      </c>
      <c r="E174" s="82" t="s">
        <v>1653</v>
      </c>
      <c r="F174" s="82" t="s">
        <v>1745</v>
      </c>
      <c r="G174" s="82" t="s">
        <v>1746</v>
      </c>
      <c r="H174" s="227" t="s">
        <v>1864</v>
      </c>
      <c r="I174" s="279" t="s">
        <v>3110</v>
      </c>
      <c r="J174" s="123">
        <v>1</v>
      </c>
      <c r="K174" s="82" t="s">
        <v>586</v>
      </c>
      <c r="L174" s="228"/>
      <c r="M174" s="175">
        <v>27.5</v>
      </c>
      <c r="N174" s="173">
        <v>27.5</v>
      </c>
      <c r="O174" s="82" t="s">
        <v>1747</v>
      </c>
      <c r="P174" s="82" t="s">
        <v>1748</v>
      </c>
      <c r="Q174" s="173">
        <v>79</v>
      </c>
      <c r="R174" s="177">
        <f t="shared" si="9"/>
        <v>79</v>
      </c>
      <c r="S174" s="278" t="s">
        <v>3105</v>
      </c>
      <c r="T174" s="83" t="s">
        <v>3117</v>
      </c>
      <c r="U174" s="82"/>
      <c r="V174" s="82" t="s">
        <v>3119</v>
      </c>
      <c r="W174" s="250" t="s">
        <v>3499</v>
      </c>
      <c r="X174" s="250" t="s">
        <v>3504</v>
      </c>
    </row>
    <row r="175" spans="1:24" ht="15.75" hidden="1" thickBot="1" x14ac:dyDescent="0.3">
      <c r="A175" s="82" t="s">
        <v>4595</v>
      </c>
      <c r="B175" s="82" t="s">
        <v>4595</v>
      </c>
      <c r="C175" s="82" t="str">
        <f t="shared" si="8"/>
        <v>X</v>
      </c>
      <c r="D175" s="228">
        <v>2022</v>
      </c>
      <c r="E175" s="82" t="s">
        <v>1653</v>
      </c>
      <c r="F175" s="82" t="s">
        <v>1745</v>
      </c>
      <c r="G175" s="82" t="s">
        <v>1746</v>
      </c>
      <c r="H175" s="227" t="s">
        <v>1864</v>
      </c>
      <c r="I175" s="279" t="s">
        <v>3110</v>
      </c>
      <c r="J175" s="123">
        <v>1</v>
      </c>
      <c r="K175" s="82" t="s">
        <v>586</v>
      </c>
      <c r="L175" s="228"/>
      <c r="M175" s="175">
        <v>27.5</v>
      </c>
      <c r="N175" s="173">
        <v>27.5</v>
      </c>
      <c r="O175" s="82" t="s">
        <v>1747</v>
      </c>
      <c r="P175" s="82" t="s">
        <v>1748</v>
      </c>
      <c r="Q175" s="173">
        <v>79</v>
      </c>
      <c r="R175" s="177">
        <f t="shared" si="9"/>
        <v>79</v>
      </c>
      <c r="S175" s="278" t="s">
        <v>3105</v>
      </c>
      <c r="T175" s="83" t="s">
        <v>3117</v>
      </c>
      <c r="U175" s="82"/>
      <c r="V175" s="82" t="s">
        <v>3119</v>
      </c>
      <c r="W175" s="250" t="s">
        <v>3499</v>
      </c>
      <c r="X175" s="250" t="s">
        <v>3504</v>
      </c>
    </row>
    <row r="176" spans="1:24" ht="15.75" hidden="1" thickBot="1" x14ac:dyDescent="0.3">
      <c r="A176" s="82" t="s">
        <v>4595</v>
      </c>
      <c r="B176" s="82" t="s">
        <v>4595</v>
      </c>
      <c r="C176" s="82" t="str">
        <f t="shared" si="8"/>
        <v>X</v>
      </c>
      <c r="D176" s="228">
        <v>2022</v>
      </c>
      <c r="E176" s="82" t="s">
        <v>1653</v>
      </c>
      <c r="F176" s="82" t="s">
        <v>1745</v>
      </c>
      <c r="G176" s="82" t="s">
        <v>1746</v>
      </c>
      <c r="H176" s="227" t="s">
        <v>1864</v>
      </c>
      <c r="I176" s="279" t="s">
        <v>3110</v>
      </c>
      <c r="J176" s="123">
        <v>1</v>
      </c>
      <c r="K176" s="82" t="s">
        <v>586</v>
      </c>
      <c r="L176" s="228"/>
      <c r="M176" s="175">
        <v>27.5</v>
      </c>
      <c r="N176" s="173">
        <v>27.5</v>
      </c>
      <c r="O176" s="82" t="s">
        <v>1747</v>
      </c>
      <c r="P176" s="82" t="s">
        <v>1748</v>
      </c>
      <c r="Q176" s="173">
        <v>79</v>
      </c>
      <c r="R176" s="177">
        <f t="shared" si="9"/>
        <v>79</v>
      </c>
      <c r="S176" s="278" t="s">
        <v>3105</v>
      </c>
      <c r="T176" s="83" t="s">
        <v>3117</v>
      </c>
      <c r="U176" s="82"/>
      <c r="V176" s="82" t="s">
        <v>3119</v>
      </c>
      <c r="W176" s="250" t="s">
        <v>3499</v>
      </c>
      <c r="X176" s="250" t="s">
        <v>3504</v>
      </c>
    </row>
    <row r="177" spans="1:24" ht="15.75" hidden="1" thickBot="1" x14ac:dyDescent="0.3">
      <c r="A177" s="82" t="s">
        <v>4595</v>
      </c>
      <c r="B177" s="82" t="s">
        <v>4595</v>
      </c>
      <c r="C177" s="82" t="str">
        <f t="shared" si="8"/>
        <v>X</v>
      </c>
      <c r="D177" s="228">
        <v>2022</v>
      </c>
      <c r="E177" s="82" t="s">
        <v>1653</v>
      </c>
      <c r="F177" s="82" t="s">
        <v>1745</v>
      </c>
      <c r="G177" s="82" t="s">
        <v>1746</v>
      </c>
      <c r="H177" s="227" t="s">
        <v>1864</v>
      </c>
      <c r="I177" s="279" t="s">
        <v>3110</v>
      </c>
      <c r="J177" s="123">
        <v>1</v>
      </c>
      <c r="K177" s="82" t="s">
        <v>586</v>
      </c>
      <c r="L177" s="228"/>
      <c r="M177" s="175">
        <v>27.5</v>
      </c>
      <c r="N177" s="173">
        <v>27.5</v>
      </c>
      <c r="O177" s="82" t="s">
        <v>1747</v>
      </c>
      <c r="P177" s="82" t="s">
        <v>1748</v>
      </c>
      <c r="Q177" s="173">
        <v>79</v>
      </c>
      <c r="R177" s="177">
        <f t="shared" si="9"/>
        <v>79</v>
      </c>
      <c r="S177" s="278" t="s">
        <v>3105</v>
      </c>
      <c r="T177" s="83" t="s">
        <v>3117</v>
      </c>
      <c r="U177" s="82"/>
      <c r="V177" s="82" t="s">
        <v>3119</v>
      </c>
      <c r="W177" s="250" t="s">
        <v>3499</v>
      </c>
      <c r="X177" s="250" t="s">
        <v>3504</v>
      </c>
    </row>
    <row r="178" spans="1:24" ht="15.75" hidden="1" thickBot="1" x14ac:dyDescent="0.3">
      <c r="A178" s="82" t="s">
        <v>4595</v>
      </c>
      <c r="B178" s="82" t="s">
        <v>4595</v>
      </c>
      <c r="C178" s="82" t="str">
        <f t="shared" si="8"/>
        <v>X</v>
      </c>
      <c r="D178" s="228">
        <v>2022</v>
      </c>
      <c r="E178" s="82" t="s">
        <v>1653</v>
      </c>
      <c r="F178" s="82" t="s">
        <v>1745</v>
      </c>
      <c r="G178" s="82" t="s">
        <v>1746</v>
      </c>
      <c r="H178" s="227" t="s">
        <v>1864</v>
      </c>
      <c r="I178" s="279" t="s">
        <v>3110</v>
      </c>
      <c r="J178" s="123">
        <v>1</v>
      </c>
      <c r="K178" s="82" t="s">
        <v>586</v>
      </c>
      <c r="L178" s="228"/>
      <c r="M178" s="175">
        <v>27.5</v>
      </c>
      <c r="N178" s="173">
        <v>27.5</v>
      </c>
      <c r="O178" s="82" t="s">
        <v>1747</v>
      </c>
      <c r="P178" s="82" t="s">
        <v>1748</v>
      </c>
      <c r="Q178" s="173">
        <v>79</v>
      </c>
      <c r="R178" s="177">
        <f t="shared" si="9"/>
        <v>79</v>
      </c>
      <c r="S178" s="278" t="s">
        <v>3105</v>
      </c>
      <c r="T178" s="83" t="s">
        <v>3117</v>
      </c>
      <c r="U178" s="82"/>
      <c r="V178" s="82" t="s">
        <v>3119</v>
      </c>
      <c r="W178" s="250" t="s">
        <v>3499</v>
      </c>
      <c r="X178" s="250" t="s">
        <v>3504</v>
      </c>
    </row>
    <row r="179" spans="1:24" ht="15.75" hidden="1" thickBot="1" x14ac:dyDescent="0.3">
      <c r="A179" s="82" t="s">
        <v>4594</v>
      </c>
      <c r="B179" s="82" t="s">
        <v>4594</v>
      </c>
      <c r="C179" s="82" t="str">
        <f t="shared" si="8"/>
        <v>X</v>
      </c>
      <c r="D179" s="228">
        <v>2022</v>
      </c>
      <c r="E179" s="82" t="s">
        <v>1653</v>
      </c>
      <c r="F179" s="82" t="s">
        <v>1745</v>
      </c>
      <c r="G179" s="82" t="s">
        <v>1746</v>
      </c>
      <c r="H179" s="227" t="s">
        <v>1864</v>
      </c>
      <c r="I179" s="279" t="s">
        <v>3110</v>
      </c>
      <c r="J179" s="123">
        <v>1</v>
      </c>
      <c r="K179" s="82" t="s">
        <v>586</v>
      </c>
      <c r="L179" s="228"/>
      <c r="M179" s="175">
        <v>27.5</v>
      </c>
      <c r="N179" s="173">
        <v>27.5</v>
      </c>
      <c r="O179" s="82" t="s">
        <v>1747</v>
      </c>
      <c r="P179" s="82" t="s">
        <v>1748</v>
      </c>
      <c r="Q179" s="173">
        <v>48</v>
      </c>
      <c r="R179" s="177">
        <f t="shared" si="9"/>
        <v>48</v>
      </c>
      <c r="S179" s="278" t="s">
        <v>3105</v>
      </c>
      <c r="T179" s="83" t="s">
        <v>3117</v>
      </c>
      <c r="U179" s="82"/>
      <c r="V179" s="82" t="s">
        <v>3119</v>
      </c>
      <c r="W179" s="250" t="s">
        <v>3499</v>
      </c>
      <c r="X179" s="250" t="s">
        <v>3504</v>
      </c>
    </row>
    <row r="180" spans="1:24" ht="15.75" hidden="1" thickBot="1" x14ac:dyDescent="0.3">
      <c r="A180" s="82" t="s">
        <v>4594</v>
      </c>
      <c r="B180" s="82" t="s">
        <v>4594</v>
      </c>
      <c r="C180" s="82" t="str">
        <f t="shared" si="8"/>
        <v>X</v>
      </c>
      <c r="D180" s="228">
        <v>2022</v>
      </c>
      <c r="E180" s="82" t="s">
        <v>1653</v>
      </c>
      <c r="F180" s="82" t="s">
        <v>1745</v>
      </c>
      <c r="G180" s="82" t="s">
        <v>1746</v>
      </c>
      <c r="H180" s="227" t="s">
        <v>1864</v>
      </c>
      <c r="I180" s="279" t="s">
        <v>3110</v>
      </c>
      <c r="J180" s="123">
        <v>1</v>
      </c>
      <c r="K180" s="82" t="s">
        <v>586</v>
      </c>
      <c r="L180" s="228"/>
      <c r="M180" s="175">
        <v>27.5</v>
      </c>
      <c r="N180" s="173">
        <v>27.5</v>
      </c>
      <c r="O180" s="82" t="s">
        <v>1747</v>
      </c>
      <c r="P180" s="82" t="s">
        <v>1748</v>
      </c>
      <c r="Q180" s="173">
        <v>48</v>
      </c>
      <c r="R180" s="177">
        <f t="shared" si="9"/>
        <v>48</v>
      </c>
      <c r="S180" s="278" t="s">
        <v>3105</v>
      </c>
      <c r="T180" s="83" t="s">
        <v>3117</v>
      </c>
      <c r="U180" s="82"/>
      <c r="V180" s="82" t="s">
        <v>3119</v>
      </c>
      <c r="W180" s="250" t="s">
        <v>3499</v>
      </c>
      <c r="X180" s="250" t="s">
        <v>3504</v>
      </c>
    </row>
    <row r="181" spans="1:24" ht="15.75" hidden="1" thickBot="1" x14ac:dyDescent="0.3">
      <c r="A181" s="82" t="s">
        <v>4594</v>
      </c>
      <c r="B181" s="82" t="s">
        <v>4594</v>
      </c>
      <c r="C181" s="82" t="str">
        <f t="shared" si="8"/>
        <v>X</v>
      </c>
      <c r="D181" s="228">
        <v>2022</v>
      </c>
      <c r="E181" s="82" t="s">
        <v>1653</v>
      </c>
      <c r="F181" s="82" t="s">
        <v>1745</v>
      </c>
      <c r="G181" s="82" t="s">
        <v>1746</v>
      </c>
      <c r="H181" s="227" t="s">
        <v>1864</v>
      </c>
      <c r="I181" s="279" t="s">
        <v>3110</v>
      </c>
      <c r="J181" s="123">
        <v>1</v>
      </c>
      <c r="K181" s="82" t="s">
        <v>586</v>
      </c>
      <c r="L181" s="228"/>
      <c r="M181" s="175">
        <v>27.5</v>
      </c>
      <c r="N181" s="173">
        <v>27.5</v>
      </c>
      <c r="O181" s="82" t="s">
        <v>1747</v>
      </c>
      <c r="P181" s="82" t="s">
        <v>1748</v>
      </c>
      <c r="Q181" s="173">
        <v>48</v>
      </c>
      <c r="R181" s="177">
        <f t="shared" si="9"/>
        <v>48</v>
      </c>
      <c r="S181" s="278" t="s">
        <v>3105</v>
      </c>
      <c r="T181" s="83" t="s">
        <v>3117</v>
      </c>
      <c r="U181" s="82"/>
      <c r="V181" s="82" t="s">
        <v>3119</v>
      </c>
      <c r="W181" s="250" t="s">
        <v>3499</v>
      </c>
      <c r="X181" s="250" t="s">
        <v>3504</v>
      </c>
    </row>
    <row r="182" spans="1:24" ht="15.75" hidden="1" thickBot="1" x14ac:dyDescent="0.3">
      <c r="A182" s="82" t="s">
        <v>4593</v>
      </c>
      <c r="B182" s="82" t="s">
        <v>4593</v>
      </c>
      <c r="C182" s="82" t="str">
        <f t="shared" si="8"/>
        <v>X</v>
      </c>
      <c r="D182" s="228">
        <v>2022</v>
      </c>
      <c r="E182" s="82" t="s">
        <v>1653</v>
      </c>
      <c r="F182" s="82" t="s">
        <v>1745</v>
      </c>
      <c r="G182" s="82" t="s">
        <v>1746</v>
      </c>
      <c r="H182" s="227" t="s">
        <v>1864</v>
      </c>
      <c r="I182" s="279" t="s">
        <v>3110</v>
      </c>
      <c r="J182" s="123">
        <v>1</v>
      </c>
      <c r="K182" s="82" t="s">
        <v>586</v>
      </c>
      <c r="L182" s="228"/>
      <c r="M182" s="175">
        <v>27.5</v>
      </c>
      <c r="N182" s="173">
        <v>27.5</v>
      </c>
      <c r="O182" s="82" t="s">
        <v>1747</v>
      </c>
      <c r="P182" s="82" t="s">
        <v>1748</v>
      </c>
      <c r="Q182" s="173">
        <v>115</v>
      </c>
      <c r="R182" s="177">
        <f t="shared" si="9"/>
        <v>115</v>
      </c>
      <c r="S182" s="278" t="s">
        <v>3105</v>
      </c>
      <c r="T182" s="83" t="s">
        <v>3117</v>
      </c>
      <c r="U182" s="82"/>
      <c r="V182" s="82" t="s">
        <v>3119</v>
      </c>
      <c r="W182" s="250" t="s">
        <v>3499</v>
      </c>
      <c r="X182" s="250" t="s">
        <v>3504</v>
      </c>
    </row>
    <row r="183" spans="1:24" ht="15.75" hidden="1" thickBot="1" x14ac:dyDescent="0.3">
      <c r="A183" s="82" t="s">
        <v>4593</v>
      </c>
      <c r="B183" s="82" t="s">
        <v>4593</v>
      </c>
      <c r="C183" s="82" t="str">
        <f t="shared" si="8"/>
        <v>X</v>
      </c>
      <c r="D183" s="228">
        <v>2022</v>
      </c>
      <c r="E183" s="82" t="s">
        <v>1653</v>
      </c>
      <c r="F183" s="82" t="s">
        <v>1745</v>
      </c>
      <c r="G183" s="82" t="s">
        <v>1746</v>
      </c>
      <c r="H183" s="227" t="s">
        <v>1864</v>
      </c>
      <c r="I183" s="279" t="s">
        <v>3110</v>
      </c>
      <c r="J183" s="123">
        <v>1</v>
      </c>
      <c r="K183" s="82" t="s">
        <v>586</v>
      </c>
      <c r="L183" s="228"/>
      <c r="M183" s="175">
        <v>27.5</v>
      </c>
      <c r="N183" s="173">
        <v>27.5</v>
      </c>
      <c r="O183" s="82" t="s">
        <v>1747</v>
      </c>
      <c r="P183" s="82" t="s">
        <v>1748</v>
      </c>
      <c r="Q183" s="173">
        <v>115</v>
      </c>
      <c r="R183" s="177">
        <f t="shared" si="9"/>
        <v>115</v>
      </c>
      <c r="S183" s="278" t="s">
        <v>3105</v>
      </c>
      <c r="T183" s="83" t="s">
        <v>3117</v>
      </c>
      <c r="U183" s="82"/>
      <c r="V183" s="82" t="s">
        <v>3119</v>
      </c>
      <c r="W183" s="250" t="s">
        <v>3499</v>
      </c>
      <c r="X183" s="250" t="s">
        <v>3504</v>
      </c>
    </row>
    <row r="184" spans="1:24" ht="15.75" hidden="1" thickBot="1" x14ac:dyDescent="0.3">
      <c r="A184" s="82" t="s">
        <v>4593</v>
      </c>
      <c r="B184" s="82" t="s">
        <v>4593</v>
      </c>
      <c r="C184" s="82" t="str">
        <f t="shared" si="8"/>
        <v>X</v>
      </c>
      <c r="D184" s="228">
        <v>2022</v>
      </c>
      <c r="E184" s="82" t="s">
        <v>1653</v>
      </c>
      <c r="F184" s="82" t="s">
        <v>1745</v>
      </c>
      <c r="G184" s="82" t="s">
        <v>1746</v>
      </c>
      <c r="H184" s="227" t="s">
        <v>1864</v>
      </c>
      <c r="I184" s="279" t="s">
        <v>3110</v>
      </c>
      <c r="J184" s="123">
        <v>1</v>
      </c>
      <c r="K184" s="82" t="s">
        <v>586</v>
      </c>
      <c r="L184" s="228"/>
      <c r="M184" s="175">
        <v>27.5</v>
      </c>
      <c r="N184" s="173">
        <v>27.5</v>
      </c>
      <c r="O184" s="82" t="s">
        <v>1747</v>
      </c>
      <c r="P184" s="82" t="s">
        <v>1748</v>
      </c>
      <c r="Q184" s="173">
        <v>115</v>
      </c>
      <c r="R184" s="177">
        <f t="shared" si="9"/>
        <v>115</v>
      </c>
      <c r="S184" s="278" t="s">
        <v>3105</v>
      </c>
      <c r="T184" s="83" t="s">
        <v>3117</v>
      </c>
      <c r="U184" s="82"/>
      <c r="V184" s="82" t="s">
        <v>3119</v>
      </c>
      <c r="W184" s="250" t="s">
        <v>3499</v>
      </c>
      <c r="X184" s="250" t="s">
        <v>3504</v>
      </c>
    </row>
    <row r="185" spans="1:24" ht="15.75" hidden="1" thickBot="1" x14ac:dyDescent="0.3">
      <c r="A185" s="82" t="s">
        <v>4592</v>
      </c>
      <c r="B185" s="82" t="s">
        <v>4592</v>
      </c>
      <c r="C185" s="82" t="str">
        <f t="shared" si="8"/>
        <v>X</v>
      </c>
      <c r="D185" s="228">
        <v>2022</v>
      </c>
      <c r="E185" s="82" t="s">
        <v>1653</v>
      </c>
      <c r="F185" s="82" t="s">
        <v>1745</v>
      </c>
      <c r="G185" s="82" t="s">
        <v>1746</v>
      </c>
      <c r="H185" s="227" t="s">
        <v>1864</v>
      </c>
      <c r="I185" s="279" t="s">
        <v>3110</v>
      </c>
      <c r="J185" s="123">
        <v>2</v>
      </c>
      <c r="K185" s="82" t="s">
        <v>586</v>
      </c>
      <c r="L185" s="228"/>
      <c r="M185" s="175">
        <v>27.5</v>
      </c>
      <c r="N185" s="173">
        <v>55</v>
      </c>
      <c r="O185" s="82" t="s">
        <v>1747</v>
      </c>
      <c r="P185" s="82" t="s">
        <v>1748</v>
      </c>
      <c r="Q185" s="173">
        <v>67</v>
      </c>
      <c r="R185" s="177">
        <f t="shared" si="9"/>
        <v>67</v>
      </c>
      <c r="S185" s="278" t="s">
        <v>3105</v>
      </c>
      <c r="T185" s="83" t="s">
        <v>3117</v>
      </c>
      <c r="U185" s="82"/>
      <c r="V185" s="82" t="s">
        <v>3119</v>
      </c>
      <c r="W185" s="250" t="s">
        <v>3499</v>
      </c>
      <c r="X185" s="250" t="s">
        <v>3504</v>
      </c>
    </row>
    <row r="186" spans="1:24" ht="15.75" hidden="1" thickBot="1" x14ac:dyDescent="0.3">
      <c r="A186" s="82" t="s">
        <v>4592</v>
      </c>
      <c r="B186" s="82" t="s">
        <v>4592</v>
      </c>
      <c r="C186" s="82" t="str">
        <f t="shared" si="8"/>
        <v>X</v>
      </c>
      <c r="D186" s="228">
        <v>2022</v>
      </c>
      <c r="E186" s="82" t="s">
        <v>1653</v>
      </c>
      <c r="F186" s="82" t="s">
        <v>1745</v>
      </c>
      <c r="G186" s="82" t="s">
        <v>1746</v>
      </c>
      <c r="H186" s="227" t="s">
        <v>1864</v>
      </c>
      <c r="I186" s="279" t="s">
        <v>3110</v>
      </c>
      <c r="J186" s="123">
        <v>1</v>
      </c>
      <c r="K186" s="82" t="s">
        <v>586</v>
      </c>
      <c r="L186" s="228"/>
      <c r="M186" s="175">
        <v>27.5</v>
      </c>
      <c r="N186" s="173">
        <v>27.5</v>
      </c>
      <c r="O186" s="82" t="s">
        <v>1747</v>
      </c>
      <c r="P186" s="82" t="s">
        <v>1748</v>
      </c>
      <c r="Q186" s="173">
        <v>67</v>
      </c>
      <c r="R186" s="177">
        <f t="shared" si="9"/>
        <v>67</v>
      </c>
      <c r="S186" s="278" t="s">
        <v>3105</v>
      </c>
      <c r="T186" s="83" t="s">
        <v>3117</v>
      </c>
      <c r="U186" s="82"/>
      <c r="V186" s="82" t="s">
        <v>3119</v>
      </c>
      <c r="W186" s="250" t="s">
        <v>3499</v>
      </c>
      <c r="X186" s="250" t="s">
        <v>3504</v>
      </c>
    </row>
    <row r="187" spans="1:24" ht="15.75" hidden="1" thickBot="1" x14ac:dyDescent="0.3">
      <c r="A187" s="82" t="s">
        <v>4592</v>
      </c>
      <c r="B187" s="82" t="s">
        <v>4592</v>
      </c>
      <c r="C187" s="82" t="str">
        <f t="shared" si="8"/>
        <v>X</v>
      </c>
      <c r="D187" s="228">
        <v>2022</v>
      </c>
      <c r="E187" s="82" t="s">
        <v>1653</v>
      </c>
      <c r="F187" s="82" t="s">
        <v>1745</v>
      </c>
      <c r="G187" s="82" t="s">
        <v>1746</v>
      </c>
      <c r="H187" s="227" t="s">
        <v>1864</v>
      </c>
      <c r="I187" s="279" t="s">
        <v>3110</v>
      </c>
      <c r="J187" s="123">
        <v>1</v>
      </c>
      <c r="K187" s="82" t="s">
        <v>586</v>
      </c>
      <c r="L187" s="228"/>
      <c r="M187" s="175">
        <v>27.5</v>
      </c>
      <c r="N187" s="173">
        <v>27.5</v>
      </c>
      <c r="O187" s="82" t="s">
        <v>1747</v>
      </c>
      <c r="P187" s="82" t="s">
        <v>1748</v>
      </c>
      <c r="Q187" s="173">
        <v>67</v>
      </c>
      <c r="R187" s="177">
        <f t="shared" si="9"/>
        <v>67</v>
      </c>
      <c r="S187" s="278" t="s">
        <v>3105</v>
      </c>
      <c r="T187" s="83" t="s">
        <v>3117</v>
      </c>
      <c r="U187" s="82"/>
      <c r="V187" s="82" t="s">
        <v>3119</v>
      </c>
      <c r="W187" s="250" t="s">
        <v>3499</v>
      </c>
      <c r="X187" s="250" t="s">
        <v>3504</v>
      </c>
    </row>
    <row r="188" spans="1:24" ht="15.75" hidden="1" thickBot="1" x14ac:dyDescent="0.3">
      <c r="A188" s="82" t="s">
        <v>4592</v>
      </c>
      <c r="B188" s="82" t="s">
        <v>4592</v>
      </c>
      <c r="C188" s="82" t="str">
        <f t="shared" si="8"/>
        <v>X</v>
      </c>
      <c r="D188" s="228">
        <v>2022</v>
      </c>
      <c r="E188" s="82" t="s">
        <v>1653</v>
      </c>
      <c r="F188" s="82" t="s">
        <v>1745</v>
      </c>
      <c r="G188" s="82" t="s">
        <v>1746</v>
      </c>
      <c r="H188" s="227" t="s">
        <v>1864</v>
      </c>
      <c r="I188" s="279" t="s">
        <v>3110</v>
      </c>
      <c r="J188" s="123">
        <v>1</v>
      </c>
      <c r="K188" s="82" t="s">
        <v>586</v>
      </c>
      <c r="L188" s="228"/>
      <c r="M188" s="175">
        <v>27.5</v>
      </c>
      <c r="N188" s="173">
        <v>27.5</v>
      </c>
      <c r="O188" s="82" t="s">
        <v>1747</v>
      </c>
      <c r="P188" s="82" t="s">
        <v>1748</v>
      </c>
      <c r="Q188" s="173">
        <v>67</v>
      </c>
      <c r="R188" s="177">
        <f t="shared" si="9"/>
        <v>67</v>
      </c>
      <c r="S188" s="278" t="s">
        <v>3105</v>
      </c>
      <c r="T188" s="83" t="s">
        <v>3117</v>
      </c>
      <c r="U188" s="82"/>
      <c r="V188" s="82" t="s">
        <v>3119</v>
      </c>
      <c r="W188" s="250" t="s">
        <v>3499</v>
      </c>
      <c r="X188" s="250" t="s">
        <v>3504</v>
      </c>
    </row>
    <row r="189" spans="1:24" ht="15.75" hidden="1" thickBot="1" x14ac:dyDescent="0.3">
      <c r="A189" s="82" t="s">
        <v>4592</v>
      </c>
      <c r="B189" s="82" t="s">
        <v>4592</v>
      </c>
      <c r="C189" s="82" t="str">
        <f t="shared" si="8"/>
        <v>X</v>
      </c>
      <c r="D189" s="228">
        <v>2022</v>
      </c>
      <c r="E189" s="82" t="s">
        <v>1653</v>
      </c>
      <c r="F189" s="82" t="s">
        <v>1745</v>
      </c>
      <c r="G189" s="82" t="s">
        <v>1746</v>
      </c>
      <c r="H189" s="227" t="s">
        <v>1864</v>
      </c>
      <c r="I189" s="279" t="s">
        <v>3110</v>
      </c>
      <c r="J189" s="123">
        <v>1</v>
      </c>
      <c r="K189" s="82" t="s">
        <v>586</v>
      </c>
      <c r="L189" s="228"/>
      <c r="M189" s="175">
        <v>27.5</v>
      </c>
      <c r="N189" s="173">
        <v>27.5</v>
      </c>
      <c r="O189" s="82" t="s">
        <v>1747</v>
      </c>
      <c r="P189" s="82" t="s">
        <v>1748</v>
      </c>
      <c r="Q189" s="173">
        <v>67</v>
      </c>
      <c r="R189" s="177">
        <f t="shared" si="9"/>
        <v>67</v>
      </c>
      <c r="S189" s="278" t="s">
        <v>3105</v>
      </c>
      <c r="T189" s="83" t="s">
        <v>3117</v>
      </c>
      <c r="U189" s="82"/>
      <c r="V189" s="82" t="s">
        <v>3119</v>
      </c>
      <c r="W189" s="250" t="s">
        <v>3499</v>
      </c>
      <c r="X189" s="250" t="s">
        <v>3504</v>
      </c>
    </row>
    <row r="190" spans="1:24" ht="15.75" hidden="1" thickBot="1" x14ac:dyDescent="0.3">
      <c r="A190" s="82" t="s">
        <v>4592</v>
      </c>
      <c r="B190" s="82" t="s">
        <v>4592</v>
      </c>
      <c r="C190" s="82" t="str">
        <f t="shared" si="8"/>
        <v>X</v>
      </c>
      <c r="D190" s="228">
        <v>2022</v>
      </c>
      <c r="E190" s="82" t="s">
        <v>1653</v>
      </c>
      <c r="F190" s="82" t="s">
        <v>1745</v>
      </c>
      <c r="G190" s="82" t="s">
        <v>1746</v>
      </c>
      <c r="H190" s="227" t="s">
        <v>1864</v>
      </c>
      <c r="I190" s="279" t="s">
        <v>3110</v>
      </c>
      <c r="J190" s="123">
        <v>1</v>
      </c>
      <c r="K190" s="82" t="s">
        <v>586</v>
      </c>
      <c r="L190" s="228"/>
      <c r="M190" s="175">
        <v>27.5</v>
      </c>
      <c r="N190" s="173">
        <v>27.5</v>
      </c>
      <c r="O190" s="82" t="s">
        <v>1747</v>
      </c>
      <c r="P190" s="82" t="s">
        <v>1748</v>
      </c>
      <c r="Q190" s="173">
        <v>67</v>
      </c>
      <c r="R190" s="177">
        <f t="shared" si="9"/>
        <v>67</v>
      </c>
      <c r="S190" s="278" t="s">
        <v>3105</v>
      </c>
      <c r="T190" s="83" t="s">
        <v>3117</v>
      </c>
      <c r="U190" s="82"/>
      <c r="V190" s="82" t="s">
        <v>3119</v>
      </c>
      <c r="W190" s="250" t="s">
        <v>3499</v>
      </c>
      <c r="X190" s="250" t="s">
        <v>3504</v>
      </c>
    </row>
    <row r="191" spans="1:24" ht="15.75" hidden="1" thickBot="1" x14ac:dyDescent="0.3">
      <c r="A191" s="82" t="s">
        <v>4595</v>
      </c>
      <c r="B191" s="82" t="s">
        <v>4595</v>
      </c>
      <c r="C191" s="82" t="str">
        <f t="shared" si="8"/>
        <v>X</v>
      </c>
      <c r="D191" s="228">
        <v>2022</v>
      </c>
      <c r="E191" s="82" t="s">
        <v>1653</v>
      </c>
      <c r="F191" s="82" t="s">
        <v>1745</v>
      </c>
      <c r="G191" s="82" t="s">
        <v>1746</v>
      </c>
      <c r="H191" s="227" t="s">
        <v>1864</v>
      </c>
      <c r="I191" s="279" t="s">
        <v>3110</v>
      </c>
      <c r="J191" s="123">
        <v>1</v>
      </c>
      <c r="K191" s="82" t="s">
        <v>586</v>
      </c>
      <c r="L191" s="228"/>
      <c r="M191" s="175">
        <v>25.4</v>
      </c>
      <c r="N191" s="173">
        <v>25.4</v>
      </c>
      <c r="O191" s="82" t="s">
        <v>1747</v>
      </c>
      <c r="P191" s="82" t="s">
        <v>1748</v>
      </c>
      <c r="Q191" s="173">
        <v>79</v>
      </c>
      <c r="R191" s="177">
        <f t="shared" si="9"/>
        <v>79</v>
      </c>
      <c r="S191" s="278" t="s">
        <v>3105</v>
      </c>
      <c r="T191" s="83" t="s">
        <v>3117</v>
      </c>
      <c r="U191" s="82"/>
      <c r="V191" s="82" t="s">
        <v>3120</v>
      </c>
      <c r="W191" s="250" t="s">
        <v>3499</v>
      </c>
      <c r="X191" s="250" t="s">
        <v>3504</v>
      </c>
    </row>
    <row r="192" spans="1:24" ht="15.75" hidden="1" thickBot="1" x14ac:dyDescent="0.3">
      <c r="A192" s="82" t="s">
        <v>4595</v>
      </c>
      <c r="B192" s="82" t="s">
        <v>4595</v>
      </c>
      <c r="C192" s="82" t="str">
        <f t="shared" si="8"/>
        <v>X</v>
      </c>
      <c r="D192" s="228">
        <v>2022</v>
      </c>
      <c r="E192" s="82" t="s">
        <v>1653</v>
      </c>
      <c r="F192" s="82" t="s">
        <v>1745</v>
      </c>
      <c r="G192" s="82" t="s">
        <v>1746</v>
      </c>
      <c r="H192" s="227" t="s">
        <v>1864</v>
      </c>
      <c r="I192" s="279" t="s">
        <v>3110</v>
      </c>
      <c r="J192" s="123">
        <v>1</v>
      </c>
      <c r="K192" s="82" t="s">
        <v>586</v>
      </c>
      <c r="L192" s="228"/>
      <c r="M192" s="175">
        <v>25.4</v>
      </c>
      <c r="N192" s="173">
        <v>25.4</v>
      </c>
      <c r="O192" s="82" t="s">
        <v>1747</v>
      </c>
      <c r="P192" s="82" t="s">
        <v>1748</v>
      </c>
      <c r="Q192" s="173">
        <v>79</v>
      </c>
      <c r="R192" s="177">
        <f t="shared" si="9"/>
        <v>79</v>
      </c>
      <c r="S192" s="278" t="s">
        <v>3105</v>
      </c>
      <c r="T192" s="83" t="s">
        <v>3117</v>
      </c>
      <c r="U192" s="82"/>
      <c r="V192" s="82" t="s">
        <v>3120</v>
      </c>
      <c r="W192" s="250" t="s">
        <v>3499</v>
      </c>
      <c r="X192" s="250" t="s">
        <v>3504</v>
      </c>
    </row>
    <row r="193" spans="1:33" ht="15.75" hidden="1" thickBot="1" x14ac:dyDescent="0.3">
      <c r="A193" s="82" t="s">
        <v>4595</v>
      </c>
      <c r="B193" s="82" t="s">
        <v>4595</v>
      </c>
      <c r="C193" s="82" t="str">
        <f t="shared" si="8"/>
        <v>X</v>
      </c>
      <c r="D193" s="228">
        <v>2022</v>
      </c>
      <c r="E193" s="82" t="s">
        <v>1653</v>
      </c>
      <c r="F193" s="82" t="s">
        <v>1745</v>
      </c>
      <c r="G193" s="82" t="s">
        <v>1746</v>
      </c>
      <c r="H193" s="227" t="s">
        <v>1864</v>
      </c>
      <c r="I193" s="279" t="s">
        <v>3110</v>
      </c>
      <c r="J193" s="123">
        <v>2</v>
      </c>
      <c r="K193" s="82" t="s">
        <v>586</v>
      </c>
      <c r="L193" s="228"/>
      <c r="M193" s="175">
        <v>25.4</v>
      </c>
      <c r="N193" s="173">
        <v>50.8</v>
      </c>
      <c r="O193" s="82" t="s">
        <v>1747</v>
      </c>
      <c r="P193" s="82" t="s">
        <v>1748</v>
      </c>
      <c r="Q193" s="173">
        <v>79</v>
      </c>
      <c r="R193" s="177">
        <f t="shared" si="9"/>
        <v>79</v>
      </c>
      <c r="S193" s="278" t="s">
        <v>3105</v>
      </c>
      <c r="T193" s="83" t="s">
        <v>3117</v>
      </c>
      <c r="U193" s="82"/>
      <c r="V193" s="82" t="s">
        <v>3120</v>
      </c>
      <c r="W193" s="250" t="s">
        <v>3499</v>
      </c>
      <c r="X193" s="250" t="s">
        <v>3504</v>
      </c>
    </row>
    <row r="194" spans="1:33" ht="15.75" hidden="1" thickBot="1" x14ac:dyDescent="0.3">
      <c r="A194" s="82" t="s">
        <v>4595</v>
      </c>
      <c r="B194" s="82" t="s">
        <v>4595</v>
      </c>
      <c r="C194" s="82" t="str">
        <f t="shared" si="8"/>
        <v>X</v>
      </c>
      <c r="D194" s="228">
        <v>2022</v>
      </c>
      <c r="E194" s="82" t="s">
        <v>1653</v>
      </c>
      <c r="F194" s="82" t="s">
        <v>1745</v>
      </c>
      <c r="G194" s="82" t="s">
        <v>1746</v>
      </c>
      <c r="H194" s="227" t="s">
        <v>1864</v>
      </c>
      <c r="I194" s="279" t="s">
        <v>3110</v>
      </c>
      <c r="J194" s="123">
        <v>2</v>
      </c>
      <c r="K194" s="82" t="s">
        <v>586</v>
      </c>
      <c r="L194" s="228"/>
      <c r="M194" s="175">
        <v>25.4</v>
      </c>
      <c r="N194" s="173">
        <v>50.8</v>
      </c>
      <c r="O194" s="82" t="s">
        <v>1747</v>
      </c>
      <c r="P194" s="82" t="s">
        <v>1748</v>
      </c>
      <c r="Q194" s="173">
        <v>79</v>
      </c>
      <c r="R194" s="177">
        <f t="shared" si="9"/>
        <v>79</v>
      </c>
      <c r="S194" s="278" t="s">
        <v>3105</v>
      </c>
      <c r="T194" s="83" t="s">
        <v>3117</v>
      </c>
      <c r="U194" s="82"/>
      <c r="V194" s="82" t="s">
        <v>3120</v>
      </c>
      <c r="W194" s="250" t="s">
        <v>3499</v>
      </c>
      <c r="X194" s="250" t="s">
        <v>3504</v>
      </c>
    </row>
    <row r="195" spans="1:33" s="283" customFormat="1" ht="15.75" thickBot="1" x14ac:dyDescent="0.3">
      <c r="A195" s="276" t="s">
        <v>1910</v>
      </c>
      <c r="B195" s="276" t="s">
        <v>1910</v>
      </c>
      <c r="C195" s="276" t="str">
        <f t="shared" si="8"/>
        <v>X</v>
      </c>
      <c r="D195" s="228">
        <v>2022</v>
      </c>
      <c r="E195" s="263" t="s">
        <v>1681</v>
      </c>
      <c r="F195" s="276" t="s">
        <v>1745</v>
      </c>
      <c r="G195" s="276" t="s">
        <v>1746</v>
      </c>
      <c r="H195" s="357" t="s">
        <v>1864</v>
      </c>
      <c r="I195" s="358" t="s">
        <v>3110</v>
      </c>
      <c r="J195" s="282">
        <v>14156</v>
      </c>
      <c r="M195" s="280">
        <v>25.4</v>
      </c>
      <c r="N195" s="281">
        <v>50.8</v>
      </c>
      <c r="Q195" s="284"/>
      <c r="W195" s="250" t="s">
        <v>3499</v>
      </c>
      <c r="X195" s="250" t="s">
        <v>3504</v>
      </c>
      <c r="AA195" s="285"/>
      <c r="AB195" s="285"/>
      <c r="AC195" s="285"/>
      <c r="AD195" s="285"/>
      <c r="AE195" s="285"/>
      <c r="AF195" s="285"/>
      <c r="AG195" s="285"/>
    </row>
    <row r="196" spans="1:33" s="283" customFormat="1" ht="15.75" thickBot="1" x14ac:dyDescent="0.3">
      <c r="A196" s="276" t="s">
        <v>1910</v>
      </c>
      <c r="B196" s="276" t="s">
        <v>1910</v>
      </c>
      <c r="C196" s="276" t="str">
        <f>IF(A196=B196,"X",RIGHT(A196,LEN(A196)-LEN(B196)-3))</f>
        <v>X</v>
      </c>
      <c r="D196" s="228">
        <v>2022</v>
      </c>
      <c r="E196" s="263" t="s">
        <v>1655</v>
      </c>
      <c r="F196" s="276" t="s">
        <v>1745</v>
      </c>
      <c r="G196" s="276" t="s">
        <v>1746</v>
      </c>
      <c r="H196" s="357" t="s">
        <v>1864</v>
      </c>
      <c r="I196" s="358" t="s">
        <v>3110</v>
      </c>
      <c r="J196" s="282">
        <v>178</v>
      </c>
      <c r="M196" s="280">
        <v>25.4</v>
      </c>
      <c r="N196" s="281">
        <v>50.8</v>
      </c>
      <c r="Q196" s="284"/>
      <c r="W196" s="250" t="s">
        <v>3499</v>
      </c>
      <c r="X196" s="250" t="s">
        <v>3504</v>
      </c>
      <c r="AA196" s="285"/>
      <c r="AB196" s="285"/>
      <c r="AC196" s="285"/>
      <c r="AD196" s="285"/>
      <c r="AE196" s="285"/>
      <c r="AF196" s="285"/>
      <c r="AG196" s="285"/>
    </row>
    <row r="197" spans="1:33" s="283" customFormat="1" ht="15.75" thickBot="1" x14ac:dyDescent="0.3">
      <c r="A197" s="276" t="s">
        <v>1910</v>
      </c>
      <c r="B197" s="276" t="s">
        <v>1910</v>
      </c>
      <c r="C197" s="276" t="str">
        <f>IF(A197=B197,"X",RIGHT(A197,LEN(A197)-LEN(B197)-3))</f>
        <v>X</v>
      </c>
      <c r="D197" s="228">
        <v>2022</v>
      </c>
      <c r="E197" s="263" t="s">
        <v>1653</v>
      </c>
      <c r="F197" s="276" t="s">
        <v>1745</v>
      </c>
      <c r="G197" s="276" t="s">
        <v>1746</v>
      </c>
      <c r="H197" s="357" t="s">
        <v>1864</v>
      </c>
      <c r="I197" s="358" t="s">
        <v>3110</v>
      </c>
      <c r="J197" s="282">
        <v>291</v>
      </c>
      <c r="M197" s="280">
        <v>25.4</v>
      </c>
      <c r="N197" s="281">
        <v>50.8</v>
      </c>
      <c r="Q197" s="284"/>
      <c r="W197" s="250" t="s">
        <v>3499</v>
      </c>
      <c r="X197" s="250" t="s">
        <v>3504</v>
      </c>
      <c r="AA197" s="285"/>
      <c r="AB197" s="285"/>
      <c r="AC197" s="285"/>
      <c r="AD197" s="285"/>
      <c r="AE197" s="285"/>
      <c r="AF197" s="285"/>
      <c r="AG197" s="285"/>
    </row>
    <row r="198" spans="1:33" s="283" customFormat="1" ht="15.75" thickBot="1" x14ac:dyDescent="0.3">
      <c r="A198" s="276" t="s">
        <v>1910</v>
      </c>
      <c r="B198" s="276" t="s">
        <v>1910</v>
      </c>
      <c r="C198" s="276" t="str">
        <f>IF(A198=B198,"X",RIGHT(A198,LEN(A198)-LEN(B198)-3))</f>
        <v>X</v>
      </c>
      <c r="D198" s="228">
        <v>2022</v>
      </c>
      <c r="E198" s="263" t="s">
        <v>1658</v>
      </c>
      <c r="F198" s="276" t="s">
        <v>1745</v>
      </c>
      <c r="G198" s="276" t="s">
        <v>1746</v>
      </c>
      <c r="H198" s="357" t="s">
        <v>1864</v>
      </c>
      <c r="I198" s="358" t="s">
        <v>3110</v>
      </c>
      <c r="J198" s="282">
        <v>73</v>
      </c>
      <c r="M198" s="280">
        <v>25.4</v>
      </c>
      <c r="N198" s="281">
        <v>50.8</v>
      </c>
      <c r="Q198" s="284"/>
      <c r="W198" s="250" t="s">
        <v>3499</v>
      </c>
      <c r="X198" s="250" t="s">
        <v>3504</v>
      </c>
      <c r="AA198" s="285"/>
      <c r="AB198" s="285"/>
      <c r="AC198" s="285"/>
      <c r="AD198" s="285"/>
      <c r="AE198" s="285"/>
      <c r="AF198" s="285"/>
      <c r="AG198" s="285"/>
    </row>
    <row r="199" spans="1:33" s="283" customFormat="1" ht="15.75" thickBot="1" x14ac:dyDescent="0.3">
      <c r="A199" s="276" t="s">
        <v>1910</v>
      </c>
      <c r="B199" s="276" t="s">
        <v>1910</v>
      </c>
      <c r="C199" s="276" t="str">
        <f>IF(A199=B199,"X",RIGHT(A199,LEN(A199)-LEN(B199)-3))</f>
        <v>X</v>
      </c>
      <c r="D199" s="228">
        <v>2022</v>
      </c>
      <c r="E199" s="263" t="s">
        <v>2983</v>
      </c>
      <c r="F199" s="276" t="s">
        <v>1745</v>
      </c>
      <c r="G199" s="276" t="s">
        <v>1746</v>
      </c>
      <c r="H199" s="357" t="s">
        <v>1864</v>
      </c>
      <c r="I199" s="358" t="s">
        <v>3110</v>
      </c>
      <c r="J199" s="282">
        <v>394</v>
      </c>
      <c r="M199" s="280">
        <v>25.4</v>
      </c>
      <c r="N199" s="281">
        <v>50.8</v>
      </c>
      <c r="Q199" s="284"/>
      <c r="W199" s="250" t="s">
        <v>3499</v>
      </c>
      <c r="X199" s="250" t="s">
        <v>3504</v>
      </c>
      <c r="AA199" s="285"/>
      <c r="AB199" s="285"/>
      <c r="AC199" s="285"/>
      <c r="AD199" s="285"/>
      <c r="AE199" s="285"/>
      <c r="AF199" s="285"/>
      <c r="AG199" s="285"/>
    </row>
    <row r="200" spans="1:33" ht="15.75" hidden="1" thickBot="1" x14ac:dyDescent="0.3">
      <c r="A200" t="s">
        <v>2817</v>
      </c>
      <c r="B200" t="s">
        <v>2817</v>
      </c>
      <c r="C200" t="s">
        <v>1950</v>
      </c>
      <c r="D200" s="227">
        <v>2023</v>
      </c>
      <c r="E200" t="s">
        <v>1653</v>
      </c>
      <c r="F200" t="s">
        <v>1745</v>
      </c>
      <c r="G200" t="s">
        <v>1746</v>
      </c>
      <c r="H200" t="s">
        <v>1864</v>
      </c>
      <c r="I200" t="s">
        <v>3110</v>
      </c>
      <c r="J200" s="428">
        <v>19</v>
      </c>
      <c r="K200" t="s">
        <v>586</v>
      </c>
      <c r="M200" s="174">
        <v>30</v>
      </c>
      <c r="N200" s="174">
        <v>570</v>
      </c>
      <c r="O200" t="s">
        <v>1747</v>
      </c>
      <c r="P200" t="s">
        <v>1748</v>
      </c>
      <c r="Q200" s="172">
        <v>25</v>
      </c>
      <c r="R200">
        <v>14250</v>
      </c>
      <c r="S200" s="171" t="s">
        <v>1894</v>
      </c>
      <c r="T200" t="s">
        <v>3111</v>
      </c>
      <c r="U200" t="s">
        <v>1797</v>
      </c>
      <c r="V200" t="s">
        <v>1759</v>
      </c>
      <c r="W200" s="250" t="s">
        <v>3499</v>
      </c>
      <c r="X200" s="250" t="s">
        <v>3504</v>
      </c>
    </row>
    <row r="201" spans="1:33" ht="15.75" hidden="1" thickBot="1" x14ac:dyDescent="0.3">
      <c r="A201" t="s">
        <v>2817</v>
      </c>
      <c r="B201" t="s">
        <v>2817</v>
      </c>
      <c r="C201" s="422" t="s">
        <v>1950</v>
      </c>
      <c r="D201" s="227">
        <v>2023</v>
      </c>
      <c r="E201" t="s">
        <v>1681</v>
      </c>
      <c r="F201" t="s">
        <v>1745</v>
      </c>
      <c r="G201" t="s">
        <v>1746</v>
      </c>
      <c r="H201" t="s">
        <v>1864</v>
      </c>
      <c r="I201" t="s">
        <v>3110</v>
      </c>
      <c r="J201" s="428">
        <v>158</v>
      </c>
      <c r="K201" t="s">
        <v>586</v>
      </c>
      <c r="M201" s="174">
        <v>64</v>
      </c>
      <c r="N201" s="174">
        <v>10112</v>
      </c>
      <c r="O201" t="s">
        <v>1747</v>
      </c>
      <c r="P201" t="s">
        <v>1748</v>
      </c>
      <c r="Q201" s="172">
        <v>25</v>
      </c>
      <c r="R201">
        <v>252800</v>
      </c>
      <c r="S201" s="171" t="s">
        <v>1894</v>
      </c>
      <c r="T201" t="s">
        <v>3112</v>
      </c>
      <c r="U201" t="s">
        <v>1797</v>
      </c>
      <c r="V201" t="s">
        <v>3113</v>
      </c>
      <c r="W201" s="250" t="s">
        <v>3499</v>
      </c>
      <c r="X201" s="250" t="s">
        <v>3504</v>
      </c>
    </row>
    <row r="202" spans="1:33" hidden="1" x14ac:dyDescent="0.25">
      <c r="A202" t="s">
        <v>4593</v>
      </c>
      <c r="B202" t="s">
        <v>4593</v>
      </c>
      <c r="C202" s="422" t="s">
        <v>1950</v>
      </c>
      <c r="D202" s="227">
        <v>2023</v>
      </c>
      <c r="E202" t="s">
        <v>1653</v>
      </c>
      <c r="F202" t="s">
        <v>1745</v>
      </c>
      <c r="G202" t="s">
        <v>1746</v>
      </c>
      <c r="H202" t="s">
        <v>1864</v>
      </c>
      <c r="I202" t="s">
        <v>3110</v>
      </c>
      <c r="J202" s="428">
        <v>1</v>
      </c>
      <c r="K202" t="s">
        <v>586</v>
      </c>
      <c r="M202" s="174">
        <v>21.6</v>
      </c>
      <c r="N202" s="174">
        <v>21.6</v>
      </c>
      <c r="O202" t="s">
        <v>1747</v>
      </c>
      <c r="P202" t="s">
        <v>1748</v>
      </c>
      <c r="Q202" s="172">
        <v>140</v>
      </c>
      <c r="R202">
        <v>1</v>
      </c>
      <c r="S202" s="278" t="s">
        <v>3105</v>
      </c>
      <c r="T202" t="s">
        <v>6464</v>
      </c>
      <c r="U202" t="s">
        <v>6465</v>
      </c>
      <c r="V202" t="s">
        <v>6466</v>
      </c>
      <c r="W202" s="250" t="s">
        <v>3499</v>
      </c>
      <c r="X202" s="250" t="s">
        <v>3504</v>
      </c>
    </row>
    <row r="203" spans="1:33" hidden="1" x14ac:dyDescent="0.25">
      <c r="A203" t="s">
        <v>4593</v>
      </c>
      <c r="B203" t="s">
        <v>4593</v>
      </c>
      <c r="C203" s="422" t="s">
        <v>1950</v>
      </c>
      <c r="D203" s="227">
        <v>2023</v>
      </c>
      <c r="E203" t="s">
        <v>1653</v>
      </c>
      <c r="F203" t="s">
        <v>1745</v>
      </c>
      <c r="G203" t="s">
        <v>1746</v>
      </c>
      <c r="H203" t="s">
        <v>1864</v>
      </c>
      <c r="I203" t="s">
        <v>3110</v>
      </c>
      <c r="J203" s="428">
        <v>1</v>
      </c>
      <c r="K203" t="s">
        <v>586</v>
      </c>
      <c r="M203" s="174">
        <v>21.6</v>
      </c>
      <c r="N203" s="174">
        <v>21.6</v>
      </c>
      <c r="O203" t="s">
        <v>1747</v>
      </c>
      <c r="P203" t="s">
        <v>1748</v>
      </c>
      <c r="Q203" s="172">
        <v>140</v>
      </c>
      <c r="R203">
        <v>1</v>
      </c>
      <c r="S203" s="278" t="s">
        <v>3105</v>
      </c>
      <c r="T203" t="s">
        <v>6464</v>
      </c>
      <c r="U203" t="s">
        <v>6465</v>
      </c>
      <c r="V203" t="s">
        <v>6466</v>
      </c>
      <c r="W203" s="250" t="s">
        <v>3499</v>
      </c>
      <c r="X203" s="250" t="s">
        <v>3504</v>
      </c>
    </row>
    <row r="204" spans="1:33" hidden="1" x14ac:dyDescent="0.25">
      <c r="A204" t="s">
        <v>4593</v>
      </c>
      <c r="B204" t="s">
        <v>4593</v>
      </c>
      <c r="C204" s="422" t="s">
        <v>1950</v>
      </c>
      <c r="D204" s="227">
        <v>2023</v>
      </c>
      <c r="E204" t="s">
        <v>1653</v>
      </c>
      <c r="F204" t="s">
        <v>1745</v>
      </c>
      <c r="G204" t="s">
        <v>1746</v>
      </c>
      <c r="H204" t="s">
        <v>1864</v>
      </c>
      <c r="I204" t="s">
        <v>3110</v>
      </c>
      <c r="J204" s="428">
        <v>1</v>
      </c>
      <c r="K204" t="s">
        <v>586</v>
      </c>
      <c r="M204" s="174">
        <v>21.6</v>
      </c>
      <c r="N204" s="174">
        <v>21.6</v>
      </c>
      <c r="O204" t="s">
        <v>1747</v>
      </c>
      <c r="P204" t="s">
        <v>1748</v>
      </c>
      <c r="Q204" s="172">
        <v>140</v>
      </c>
      <c r="R204">
        <v>1</v>
      </c>
      <c r="S204" s="278" t="s">
        <v>3105</v>
      </c>
      <c r="T204" t="s">
        <v>6464</v>
      </c>
      <c r="U204" t="s">
        <v>6465</v>
      </c>
      <c r="V204" t="s">
        <v>6466</v>
      </c>
      <c r="W204" s="250" t="s">
        <v>3499</v>
      </c>
      <c r="X204" s="250" t="s">
        <v>3504</v>
      </c>
    </row>
    <row r="205" spans="1:33" hidden="1" x14ac:dyDescent="0.25">
      <c r="A205" t="s">
        <v>4593</v>
      </c>
      <c r="B205" t="s">
        <v>4593</v>
      </c>
      <c r="C205" s="422" t="s">
        <v>1950</v>
      </c>
      <c r="D205" s="227">
        <v>2023</v>
      </c>
      <c r="E205" t="s">
        <v>1653</v>
      </c>
      <c r="F205" t="s">
        <v>1745</v>
      </c>
      <c r="G205" t="s">
        <v>1746</v>
      </c>
      <c r="H205" t="s">
        <v>1864</v>
      </c>
      <c r="I205" t="s">
        <v>3110</v>
      </c>
      <c r="J205" s="428">
        <v>1</v>
      </c>
      <c r="K205" t="s">
        <v>586</v>
      </c>
      <c r="M205" s="174">
        <v>21.6</v>
      </c>
      <c r="N205" s="174">
        <v>21.6</v>
      </c>
      <c r="O205" t="s">
        <v>1747</v>
      </c>
      <c r="P205" t="s">
        <v>1748</v>
      </c>
      <c r="Q205" s="172">
        <v>140</v>
      </c>
      <c r="R205">
        <v>1</v>
      </c>
      <c r="S205" s="278" t="s">
        <v>3105</v>
      </c>
      <c r="T205" t="s">
        <v>6464</v>
      </c>
      <c r="U205" t="s">
        <v>6465</v>
      </c>
      <c r="V205" t="s">
        <v>6466</v>
      </c>
      <c r="W205" s="250" t="s">
        <v>3499</v>
      </c>
      <c r="X205" s="250" t="s">
        <v>3504</v>
      </c>
    </row>
    <row r="206" spans="1:33" hidden="1" x14ac:dyDescent="0.25">
      <c r="A206" t="s">
        <v>4593</v>
      </c>
      <c r="B206" t="s">
        <v>4593</v>
      </c>
      <c r="C206" s="422" t="s">
        <v>1950</v>
      </c>
      <c r="D206" s="227">
        <v>2023</v>
      </c>
      <c r="E206" t="s">
        <v>1653</v>
      </c>
      <c r="F206" t="s">
        <v>1745</v>
      </c>
      <c r="G206" t="s">
        <v>1746</v>
      </c>
      <c r="H206" t="s">
        <v>1864</v>
      </c>
      <c r="I206" t="s">
        <v>3110</v>
      </c>
      <c r="J206" s="428">
        <v>1</v>
      </c>
      <c r="K206" t="s">
        <v>586</v>
      </c>
      <c r="M206" s="174">
        <v>21.6</v>
      </c>
      <c r="N206" s="174">
        <v>21.6</v>
      </c>
      <c r="O206" t="s">
        <v>1747</v>
      </c>
      <c r="P206" t="s">
        <v>1748</v>
      </c>
      <c r="Q206" s="172">
        <v>140</v>
      </c>
      <c r="R206">
        <v>1</v>
      </c>
      <c r="S206" s="278" t="s">
        <v>3105</v>
      </c>
      <c r="T206" t="s">
        <v>6464</v>
      </c>
      <c r="U206" t="s">
        <v>6465</v>
      </c>
      <c r="V206" t="s">
        <v>6466</v>
      </c>
      <c r="W206" s="250" t="s">
        <v>3499</v>
      </c>
      <c r="X206" s="250" t="s">
        <v>3504</v>
      </c>
    </row>
    <row r="207" spans="1:33" hidden="1" x14ac:dyDescent="0.25">
      <c r="A207" t="s">
        <v>4593</v>
      </c>
      <c r="B207" t="s">
        <v>4593</v>
      </c>
      <c r="C207" s="422" t="s">
        <v>1950</v>
      </c>
      <c r="D207" s="227">
        <v>2023</v>
      </c>
      <c r="E207" t="s">
        <v>1653</v>
      </c>
      <c r="F207" t="s">
        <v>1745</v>
      </c>
      <c r="G207" t="s">
        <v>1746</v>
      </c>
      <c r="H207" t="s">
        <v>1864</v>
      </c>
      <c r="I207" t="s">
        <v>3110</v>
      </c>
      <c r="J207" s="428">
        <v>1</v>
      </c>
      <c r="K207" t="s">
        <v>586</v>
      </c>
      <c r="M207" s="174">
        <v>21.6</v>
      </c>
      <c r="N207" s="174">
        <v>21.6</v>
      </c>
      <c r="O207" t="s">
        <v>1747</v>
      </c>
      <c r="P207" t="s">
        <v>1748</v>
      </c>
      <c r="Q207" s="172">
        <v>140</v>
      </c>
      <c r="R207">
        <v>1</v>
      </c>
      <c r="S207" s="278" t="s">
        <v>3105</v>
      </c>
      <c r="T207" t="s">
        <v>6464</v>
      </c>
      <c r="U207" t="s">
        <v>6465</v>
      </c>
      <c r="V207" t="s">
        <v>6466</v>
      </c>
      <c r="W207" s="250" t="s">
        <v>3499</v>
      </c>
      <c r="X207" s="250" t="s">
        <v>3504</v>
      </c>
    </row>
    <row r="208" spans="1:33" hidden="1" x14ac:dyDescent="0.25">
      <c r="A208" t="s">
        <v>4592</v>
      </c>
      <c r="B208" t="s">
        <v>4592</v>
      </c>
      <c r="C208" s="422" t="s">
        <v>1950</v>
      </c>
      <c r="D208" s="227">
        <v>2023</v>
      </c>
      <c r="E208" t="s">
        <v>1653</v>
      </c>
      <c r="F208" t="s">
        <v>1745</v>
      </c>
      <c r="G208" t="s">
        <v>1746</v>
      </c>
      <c r="H208" t="s">
        <v>1864</v>
      </c>
      <c r="I208" t="s">
        <v>3110</v>
      </c>
      <c r="J208" s="428">
        <v>1</v>
      </c>
      <c r="K208" t="s">
        <v>586</v>
      </c>
      <c r="M208" s="174">
        <v>21.6</v>
      </c>
      <c r="N208" s="174">
        <v>21.6</v>
      </c>
      <c r="O208" t="s">
        <v>1747</v>
      </c>
      <c r="P208" t="s">
        <v>1748</v>
      </c>
      <c r="Q208" s="172">
        <v>91.7</v>
      </c>
      <c r="R208">
        <v>1</v>
      </c>
      <c r="S208" s="278" t="s">
        <v>3105</v>
      </c>
      <c r="T208" t="s">
        <v>6464</v>
      </c>
      <c r="U208" t="s">
        <v>6467</v>
      </c>
      <c r="V208" t="s">
        <v>6466</v>
      </c>
      <c r="W208" s="250" t="s">
        <v>3499</v>
      </c>
      <c r="X208" s="250" t="s">
        <v>3504</v>
      </c>
    </row>
    <row r="209" spans="1:24" hidden="1" x14ac:dyDescent="0.25">
      <c r="A209" t="s">
        <v>4592</v>
      </c>
      <c r="B209" t="s">
        <v>4592</v>
      </c>
      <c r="C209" s="422" t="s">
        <v>1950</v>
      </c>
      <c r="D209" s="227">
        <v>2023</v>
      </c>
      <c r="E209" t="s">
        <v>1653</v>
      </c>
      <c r="F209" t="s">
        <v>1745</v>
      </c>
      <c r="G209" t="s">
        <v>1746</v>
      </c>
      <c r="H209" t="s">
        <v>1864</v>
      </c>
      <c r="I209" t="s">
        <v>3110</v>
      </c>
      <c r="J209" s="428">
        <v>1</v>
      </c>
      <c r="K209" t="s">
        <v>586</v>
      </c>
      <c r="M209" s="174">
        <v>21.6</v>
      </c>
      <c r="N209" s="174">
        <v>21.6</v>
      </c>
      <c r="O209" t="s">
        <v>1747</v>
      </c>
      <c r="P209" t="s">
        <v>1748</v>
      </c>
      <c r="Q209" s="172">
        <v>91.7</v>
      </c>
      <c r="R209">
        <v>1</v>
      </c>
      <c r="S209" s="278" t="s">
        <v>3105</v>
      </c>
      <c r="T209" t="s">
        <v>6464</v>
      </c>
      <c r="U209" t="s">
        <v>6467</v>
      </c>
      <c r="V209" t="s">
        <v>6466</v>
      </c>
      <c r="W209" s="250" t="s">
        <v>3499</v>
      </c>
      <c r="X209" s="250" t="s">
        <v>3504</v>
      </c>
    </row>
    <row r="210" spans="1:24" hidden="1" x14ac:dyDescent="0.25">
      <c r="A210" s="422" t="s">
        <v>6447</v>
      </c>
      <c r="B210" t="s">
        <v>6447</v>
      </c>
      <c r="C210" s="422" t="s">
        <v>1950</v>
      </c>
      <c r="D210" s="227">
        <v>2023</v>
      </c>
      <c r="E210" t="s">
        <v>1653</v>
      </c>
      <c r="F210" t="s">
        <v>1745</v>
      </c>
      <c r="G210" t="s">
        <v>1746</v>
      </c>
      <c r="H210" t="s">
        <v>1864</v>
      </c>
      <c r="I210" t="s">
        <v>3110</v>
      </c>
      <c r="J210" s="428">
        <v>4</v>
      </c>
      <c r="K210" t="s">
        <v>586</v>
      </c>
      <c r="M210" s="174">
        <v>54.9</v>
      </c>
      <c r="N210" s="174">
        <v>219.6</v>
      </c>
      <c r="O210" t="s">
        <v>1747</v>
      </c>
      <c r="P210" t="s">
        <v>1748</v>
      </c>
      <c r="Q210" s="172">
        <v>141</v>
      </c>
      <c r="R210">
        <v>4</v>
      </c>
      <c r="S210" s="278" t="s">
        <v>3105</v>
      </c>
      <c r="T210" t="s">
        <v>1751</v>
      </c>
      <c r="U210" t="s">
        <v>6465</v>
      </c>
      <c r="V210" t="s">
        <v>6468</v>
      </c>
      <c r="W210" s="250" t="s">
        <v>3499</v>
      </c>
      <c r="X210" s="250" t="s">
        <v>3504</v>
      </c>
    </row>
    <row r="211" spans="1:24" hidden="1" x14ac:dyDescent="0.25">
      <c r="A211" s="422" t="s">
        <v>6447</v>
      </c>
      <c r="B211" s="422" t="s">
        <v>6447</v>
      </c>
      <c r="C211" s="422" t="s">
        <v>1950</v>
      </c>
      <c r="D211" s="227">
        <v>2023</v>
      </c>
      <c r="E211" t="s">
        <v>1653</v>
      </c>
      <c r="F211" t="s">
        <v>1745</v>
      </c>
      <c r="G211" t="s">
        <v>1746</v>
      </c>
      <c r="H211" t="s">
        <v>1864</v>
      </c>
      <c r="I211" t="s">
        <v>3110</v>
      </c>
      <c r="J211" s="428">
        <v>4</v>
      </c>
      <c r="K211" t="s">
        <v>586</v>
      </c>
      <c r="M211" s="174">
        <v>54.9</v>
      </c>
      <c r="N211" s="174">
        <v>219.6</v>
      </c>
      <c r="O211" t="s">
        <v>1747</v>
      </c>
      <c r="P211" t="s">
        <v>1748</v>
      </c>
      <c r="Q211" s="172">
        <v>141</v>
      </c>
      <c r="R211">
        <v>4</v>
      </c>
      <c r="S211" s="278" t="s">
        <v>3105</v>
      </c>
      <c r="T211" t="s">
        <v>1751</v>
      </c>
      <c r="U211" t="s">
        <v>6465</v>
      </c>
      <c r="V211" t="s">
        <v>6468</v>
      </c>
      <c r="W211" s="250" t="s">
        <v>3499</v>
      </c>
      <c r="X211" s="250" t="s">
        <v>3504</v>
      </c>
    </row>
    <row r="212" spans="1:24" hidden="1" x14ac:dyDescent="0.25">
      <c r="A212" s="422" t="s">
        <v>6447</v>
      </c>
      <c r="B212" s="422" t="s">
        <v>6447</v>
      </c>
      <c r="C212" s="422" t="s">
        <v>1950</v>
      </c>
      <c r="D212" s="227">
        <v>2023</v>
      </c>
      <c r="E212" t="s">
        <v>1653</v>
      </c>
      <c r="F212" t="s">
        <v>1745</v>
      </c>
      <c r="G212" t="s">
        <v>1746</v>
      </c>
      <c r="H212" t="s">
        <v>1864</v>
      </c>
      <c r="I212" t="s">
        <v>3110</v>
      </c>
      <c r="J212" s="428">
        <v>6</v>
      </c>
      <c r="K212" t="s">
        <v>586</v>
      </c>
      <c r="M212" s="174">
        <v>54.9</v>
      </c>
      <c r="N212" s="174">
        <v>329.4</v>
      </c>
      <c r="O212" t="s">
        <v>1747</v>
      </c>
      <c r="P212" t="s">
        <v>1748</v>
      </c>
      <c r="Q212" s="172">
        <v>141</v>
      </c>
      <c r="R212">
        <v>6</v>
      </c>
      <c r="S212" s="278" t="s">
        <v>3105</v>
      </c>
      <c r="T212" t="s">
        <v>1751</v>
      </c>
      <c r="U212" t="s">
        <v>6465</v>
      </c>
      <c r="V212" t="s">
        <v>6468</v>
      </c>
      <c r="W212" s="250" t="s">
        <v>3499</v>
      </c>
      <c r="X212" s="250" t="s">
        <v>3504</v>
      </c>
    </row>
    <row r="213" spans="1:24" hidden="1" x14ac:dyDescent="0.25">
      <c r="A213" s="422" t="s">
        <v>6447</v>
      </c>
      <c r="B213" s="422" t="s">
        <v>6447</v>
      </c>
      <c r="C213" s="422" t="s">
        <v>1950</v>
      </c>
      <c r="D213" s="227">
        <v>2023</v>
      </c>
      <c r="E213" t="s">
        <v>1653</v>
      </c>
      <c r="F213" t="s">
        <v>1745</v>
      </c>
      <c r="G213" t="s">
        <v>1746</v>
      </c>
      <c r="H213" t="s">
        <v>1864</v>
      </c>
      <c r="I213" t="s">
        <v>3110</v>
      </c>
      <c r="J213" s="428">
        <v>6</v>
      </c>
      <c r="K213" t="s">
        <v>586</v>
      </c>
      <c r="M213" s="174">
        <v>54.9</v>
      </c>
      <c r="N213" s="174">
        <v>329.4</v>
      </c>
      <c r="O213" t="s">
        <v>1747</v>
      </c>
      <c r="P213" t="s">
        <v>1748</v>
      </c>
      <c r="Q213" s="172">
        <v>141</v>
      </c>
      <c r="R213">
        <v>6</v>
      </c>
      <c r="S213" s="278" t="s">
        <v>3105</v>
      </c>
      <c r="T213" t="s">
        <v>1751</v>
      </c>
      <c r="U213" t="s">
        <v>6465</v>
      </c>
      <c r="V213" t="s">
        <v>6468</v>
      </c>
      <c r="W213" s="250" t="s">
        <v>3499</v>
      </c>
      <c r="X213" s="250" t="s">
        <v>3504</v>
      </c>
    </row>
    <row r="214" spans="1:24" hidden="1" x14ac:dyDescent="0.25">
      <c r="A214" s="422" t="s">
        <v>6447</v>
      </c>
      <c r="B214" s="422" t="s">
        <v>6447</v>
      </c>
      <c r="C214" s="422" t="s">
        <v>1950</v>
      </c>
      <c r="D214" s="227">
        <v>2023</v>
      </c>
      <c r="E214" t="s">
        <v>1653</v>
      </c>
      <c r="F214" t="s">
        <v>1745</v>
      </c>
      <c r="G214" t="s">
        <v>1746</v>
      </c>
      <c r="H214" t="s">
        <v>1864</v>
      </c>
      <c r="I214" t="s">
        <v>3110</v>
      </c>
      <c r="J214" s="428">
        <v>8</v>
      </c>
      <c r="K214" t="s">
        <v>586</v>
      </c>
      <c r="M214" s="174">
        <v>54.9</v>
      </c>
      <c r="N214" s="174">
        <v>439.2</v>
      </c>
      <c r="O214" t="s">
        <v>1747</v>
      </c>
      <c r="P214" t="s">
        <v>1748</v>
      </c>
      <c r="Q214" s="172">
        <v>141</v>
      </c>
      <c r="R214">
        <v>8</v>
      </c>
      <c r="S214" s="278" t="s">
        <v>3105</v>
      </c>
      <c r="T214" t="s">
        <v>1751</v>
      </c>
      <c r="U214" t="s">
        <v>6465</v>
      </c>
      <c r="V214" t="s">
        <v>6468</v>
      </c>
      <c r="W214" s="250" t="s">
        <v>3499</v>
      </c>
      <c r="X214" s="250" t="s">
        <v>3504</v>
      </c>
    </row>
    <row r="215" spans="1:24" hidden="1" x14ac:dyDescent="0.25">
      <c r="A215" s="422" t="s">
        <v>6447</v>
      </c>
      <c r="B215" s="422" t="s">
        <v>6447</v>
      </c>
      <c r="C215" s="422" t="s">
        <v>1950</v>
      </c>
      <c r="D215" s="227">
        <v>2023</v>
      </c>
      <c r="E215" t="s">
        <v>1653</v>
      </c>
      <c r="F215" t="s">
        <v>1745</v>
      </c>
      <c r="G215" t="s">
        <v>1746</v>
      </c>
      <c r="H215" t="s">
        <v>1864</v>
      </c>
      <c r="I215" t="s">
        <v>3110</v>
      </c>
      <c r="J215" s="428">
        <v>6</v>
      </c>
      <c r="K215" t="s">
        <v>586</v>
      </c>
      <c r="M215" s="174">
        <v>54.9</v>
      </c>
      <c r="N215" s="174">
        <v>329.4</v>
      </c>
      <c r="O215" t="s">
        <v>1747</v>
      </c>
      <c r="P215" t="s">
        <v>1748</v>
      </c>
      <c r="Q215" s="172">
        <v>141</v>
      </c>
      <c r="R215">
        <v>6</v>
      </c>
      <c r="S215" s="278" t="s">
        <v>3105</v>
      </c>
      <c r="T215" t="s">
        <v>1751</v>
      </c>
      <c r="U215" t="s">
        <v>6465</v>
      </c>
      <c r="V215" t="s">
        <v>6468</v>
      </c>
      <c r="W215" s="250" t="s">
        <v>3499</v>
      </c>
      <c r="X215" s="250" t="s">
        <v>3504</v>
      </c>
    </row>
    <row r="216" spans="1:24" hidden="1" x14ac:dyDescent="0.25">
      <c r="A216" s="422" t="s">
        <v>6447</v>
      </c>
      <c r="B216" s="422" t="s">
        <v>6447</v>
      </c>
      <c r="C216" s="422" t="s">
        <v>1950</v>
      </c>
      <c r="D216" s="227">
        <v>2023</v>
      </c>
      <c r="E216" t="s">
        <v>1653</v>
      </c>
      <c r="F216" t="s">
        <v>1745</v>
      </c>
      <c r="G216" t="s">
        <v>1746</v>
      </c>
      <c r="H216" t="s">
        <v>1864</v>
      </c>
      <c r="I216" t="s">
        <v>3110</v>
      </c>
      <c r="J216" s="428">
        <v>6</v>
      </c>
      <c r="K216" t="s">
        <v>586</v>
      </c>
      <c r="M216" s="174">
        <v>54.9</v>
      </c>
      <c r="N216" s="174">
        <v>329.4</v>
      </c>
      <c r="O216" t="s">
        <v>1747</v>
      </c>
      <c r="P216" t="s">
        <v>1748</v>
      </c>
      <c r="Q216" s="172">
        <v>141</v>
      </c>
      <c r="R216">
        <v>6</v>
      </c>
      <c r="S216" s="278" t="s">
        <v>3105</v>
      </c>
      <c r="T216" t="s">
        <v>1751</v>
      </c>
      <c r="U216" t="s">
        <v>6465</v>
      </c>
      <c r="V216" t="s">
        <v>6468</v>
      </c>
      <c r="W216" s="250" t="s">
        <v>3499</v>
      </c>
      <c r="X216" s="250" t="s">
        <v>3504</v>
      </c>
    </row>
    <row r="217" spans="1:24" hidden="1" x14ac:dyDescent="0.25">
      <c r="A217" s="422" t="s">
        <v>6447</v>
      </c>
      <c r="B217" s="422" t="s">
        <v>6447</v>
      </c>
      <c r="C217" s="422" t="s">
        <v>1950</v>
      </c>
      <c r="D217" s="227">
        <v>2023</v>
      </c>
      <c r="E217" t="s">
        <v>1653</v>
      </c>
      <c r="F217" t="s">
        <v>1745</v>
      </c>
      <c r="G217" t="s">
        <v>1746</v>
      </c>
      <c r="H217" t="s">
        <v>1864</v>
      </c>
      <c r="I217" t="s">
        <v>3110</v>
      </c>
      <c r="J217" s="428">
        <v>2</v>
      </c>
      <c r="K217" t="s">
        <v>586</v>
      </c>
      <c r="M217" s="174">
        <v>42.8</v>
      </c>
      <c r="N217" s="174">
        <v>85.6</v>
      </c>
      <c r="O217" t="s">
        <v>1747</v>
      </c>
      <c r="P217" t="s">
        <v>1748</v>
      </c>
      <c r="Q217" s="172">
        <v>141</v>
      </c>
      <c r="R217">
        <v>2</v>
      </c>
      <c r="S217" s="278" t="s">
        <v>3105</v>
      </c>
      <c r="T217" t="s">
        <v>1751</v>
      </c>
      <c r="U217" t="s">
        <v>6465</v>
      </c>
      <c r="V217" t="s">
        <v>6469</v>
      </c>
      <c r="W217" s="250" t="s">
        <v>3499</v>
      </c>
      <c r="X217" s="250" t="s">
        <v>3504</v>
      </c>
    </row>
    <row r="218" spans="1:24" hidden="1" x14ac:dyDescent="0.25">
      <c r="A218" s="422" t="s">
        <v>6447</v>
      </c>
      <c r="B218" s="422" t="s">
        <v>6447</v>
      </c>
      <c r="C218" s="422" t="s">
        <v>1950</v>
      </c>
      <c r="D218" s="227">
        <v>2023</v>
      </c>
      <c r="E218" t="s">
        <v>1653</v>
      </c>
      <c r="F218" t="s">
        <v>1745</v>
      </c>
      <c r="G218" t="s">
        <v>1746</v>
      </c>
      <c r="H218" t="s">
        <v>1864</v>
      </c>
      <c r="I218" t="s">
        <v>3110</v>
      </c>
      <c r="J218" s="428">
        <v>2</v>
      </c>
      <c r="K218" t="s">
        <v>586</v>
      </c>
      <c r="M218" s="174">
        <v>42.8</v>
      </c>
      <c r="N218" s="174">
        <v>85.6</v>
      </c>
      <c r="O218" t="s">
        <v>1747</v>
      </c>
      <c r="P218" t="s">
        <v>1748</v>
      </c>
      <c r="Q218" s="172">
        <v>141</v>
      </c>
      <c r="R218">
        <v>2</v>
      </c>
      <c r="S218" s="278" t="s">
        <v>3105</v>
      </c>
      <c r="T218" t="s">
        <v>1751</v>
      </c>
      <c r="U218" t="s">
        <v>6465</v>
      </c>
      <c r="V218" t="s">
        <v>6469</v>
      </c>
      <c r="W218" s="250" t="s">
        <v>3499</v>
      </c>
      <c r="X218" s="250" t="s">
        <v>3504</v>
      </c>
    </row>
    <row r="219" spans="1:24" hidden="1" x14ac:dyDescent="0.25">
      <c r="A219" s="422" t="s">
        <v>6447</v>
      </c>
      <c r="B219" s="422" t="s">
        <v>6447</v>
      </c>
      <c r="C219" s="422" t="s">
        <v>1950</v>
      </c>
      <c r="D219" s="227">
        <v>2023</v>
      </c>
      <c r="E219" t="s">
        <v>1653</v>
      </c>
      <c r="F219" t="s">
        <v>1745</v>
      </c>
      <c r="G219" t="s">
        <v>1746</v>
      </c>
      <c r="H219" t="s">
        <v>1864</v>
      </c>
      <c r="I219" t="s">
        <v>3110</v>
      </c>
      <c r="J219" s="428">
        <v>2</v>
      </c>
      <c r="K219" t="s">
        <v>586</v>
      </c>
      <c r="M219" s="174">
        <v>42.8</v>
      </c>
      <c r="N219" s="174">
        <v>85.6</v>
      </c>
      <c r="O219" t="s">
        <v>1747</v>
      </c>
      <c r="P219" t="s">
        <v>1748</v>
      </c>
      <c r="Q219" s="172">
        <v>141</v>
      </c>
      <c r="R219">
        <v>2</v>
      </c>
      <c r="S219" s="278" t="s">
        <v>3105</v>
      </c>
      <c r="T219" t="s">
        <v>1751</v>
      </c>
      <c r="U219" t="s">
        <v>6465</v>
      </c>
      <c r="V219" t="s">
        <v>6469</v>
      </c>
      <c r="W219" s="250" t="s">
        <v>3499</v>
      </c>
      <c r="X219" s="250" t="s">
        <v>3504</v>
      </c>
    </row>
    <row r="220" spans="1:24" hidden="1" x14ac:dyDescent="0.25">
      <c r="A220" s="422" t="s">
        <v>6447</v>
      </c>
      <c r="B220" s="422" t="s">
        <v>6447</v>
      </c>
      <c r="C220" s="422" t="s">
        <v>1950</v>
      </c>
      <c r="D220" s="227">
        <v>2023</v>
      </c>
      <c r="E220" t="s">
        <v>1653</v>
      </c>
      <c r="F220" t="s">
        <v>1745</v>
      </c>
      <c r="G220" t="s">
        <v>1746</v>
      </c>
      <c r="H220" t="s">
        <v>1864</v>
      </c>
      <c r="I220" t="s">
        <v>3110</v>
      </c>
      <c r="J220" s="428">
        <v>2</v>
      </c>
      <c r="K220" t="s">
        <v>586</v>
      </c>
      <c r="M220" s="174">
        <v>42.8</v>
      </c>
      <c r="N220" s="174">
        <v>85.6</v>
      </c>
      <c r="O220" t="s">
        <v>1747</v>
      </c>
      <c r="P220" t="s">
        <v>1748</v>
      </c>
      <c r="Q220" s="172">
        <v>141</v>
      </c>
      <c r="R220">
        <v>2</v>
      </c>
      <c r="S220" s="278" t="s">
        <v>3105</v>
      </c>
      <c r="T220" t="s">
        <v>1751</v>
      </c>
      <c r="U220" t="s">
        <v>6465</v>
      </c>
      <c r="V220" t="s">
        <v>6469</v>
      </c>
      <c r="W220" s="250" t="s">
        <v>3499</v>
      </c>
      <c r="X220" s="250" t="s">
        <v>3504</v>
      </c>
    </row>
    <row r="221" spans="1:24" hidden="1" x14ac:dyDescent="0.25">
      <c r="A221" s="422" t="s">
        <v>6447</v>
      </c>
      <c r="B221" s="422" t="s">
        <v>6447</v>
      </c>
      <c r="C221" s="422" t="s">
        <v>1950</v>
      </c>
      <c r="D221" s="227">
        <v>2023</v>
      </c>
      <c r="E221" t="s">
        <v>1653</v>
      </c>
      <c r="F221" t="s">
        <v>1745</v>
      </c>
      <c r="G221" t="s">
        <v>1746</v>
      </c>
      <c r="H221" t="s">
        <v>1864</v>
      </c>
      <c r="I221" t="s">
        <v>3110</v>
      </c>
      <c r="J221" s="428">
        <v>2</v>
      </c>
      <c r="K221" t="s">
        <v>586</v>
      </c>
      <c r="M221" s="174">
        <v>21.6</v>
      </c>
      <c r="N221" s="174">
        <v>43.2</v>
      </c>
      <c r="O221" t="s">
        <v>1747</v>
      </c>
      <c r="P221" t="s">
        <v>1748</v>
      </c>
      <c r="Q221" s="172">
        <v>141</v>
      </c>
      <c r="R221">
        <v>2</v>
      </c>
      <c r="S221" s="278" t="s">
        <v>3105</v>
      </c>
      <c r="T221" t="s">
        <v>1751</v>
      </c>
      <c r="U221" t="s">
        <v>6465</v>
      </c>
      <c r="V221" t="s">
        <v>6466</v>
      </c>
      <c r="W221" s="250" t="s">
        <v>3499</v>
      </c>
      <c r="X221" s="250" t="s">
        <v>3504</v>
      </c>
    </row>
    <row r="222" spans="1:24" hidden="1" x14ac:dyDescent="0.25">
      <c r="A222" s="422" t="s">
        <v>6447</v>
      </c>
      <c r="B222" s="422" t="s">
        <v>6447</v>
      </c>
      <c r="C222" s="422" t="s">
        <v>1950</v>
      </c>
      <c r="D222" s="227">
        <v>2023</v>
      </c>
      <c r="E222" t="s">
        <v>1653</v>
      </c>
      <c r="F222" t="s">
        <v>1745</v>
      </c>
      <c r="G222" t="s">
        <v>1746</v>
      </c>
      <c r="H222" t="s">
        <v>1864</v>
      </c>
      <c r="I222" t="s">
        <v>3110</v>
      </c>
      <c r="J222" s="428">
        <v>1</v>
      </c>
      <c r="K222" t="s">
        <v>586</v>
      </c>
      <c r="M222" s="174">
        <v>21.6</v>
      </c>
      <c r="N222" s="174">
        <v>21.6</v>
      </c>
      <c r="O222" t="s">
        <v>1747</v>
      </c>
      <c r="P222" t="s">
        <v>1748</v>
      </c>
      <c r="Q222" s="172">
        <v>111</v>
      </c>
      <c r="R222">
        <v>1</v>
      </c>
      <c r="S222" s="278" t="s">
        <v>3105</v>
      </c>
      <c r="T222" t="s">
        <v>1751</v>
      </c>
      <c r="U222" t="s">
        <v>6470</v>
      </c>
      <c r="V222" t="s">
        <v>6466</v>
      </c>
      <c r="W222" s="250" t="s">
        <v>3499</v>
      </c>
      <c r="X222" s="250" t="s">
        <v>3504</v>
      </c>
    </row>
    <row r="223" spans="1:24" hidden="1" x14ac:dyDescent="0.25">
      <c r="A223" s="422" t="s">
        <v>6447</v>
      </c>
      <c r="B223" s="422" t="s">
        <v>6447</v>
      </c>
      <c r="C223" s="422" t="s">
        <v>1950</v>
      </c>
      <c r="D223" s="227">
        <v>2023</v>
      </c>
      <c r="E223" t="s">
        <v>1653</v>
      </c>
      <c r="F223" t="s">
        <v>1745</v>
      </c>
      <c r="G223" t="s">
        <v>1746</v>
      </c>
      <c r="H223" t="s">
        <v>1864</v>
      </c>
      <c r="I223" t="s">
        <v>3110</v>
      </c>
      <c r="J223" s="428">
        <v>4</v>
      </c>
      <c r="K223" t="s">
        <v>586</v>
      </c>
      <c r="M223" s="174">
        <v>54.9</v>
      </c>
      <c r="N223" s="174">
        <v>219.6</v>
      </c>
      <c r="O223" t="s">
        <v>1747</v>
      </c>
      <c r="P223" t="s">
        <v>1748</v>
      </c>
      <c r="Q223" s="172">
        <v>111</v>
      </c>
      <c r="R223">
        <v>4</v>
      </c>
      <c r="S223" s="278" t="s">
        <v>3105</v>
      </c>
      <c r="T223" t="s">
        <v>1751</v>
      </c>
      <c r="U223" t="s">
        <v>6470</v>
      </c>
      <c r="V223" t="s">
        <v>6468</v>
      </c>
      <c r="W223" s="250" t="s">
        <v>3499</v>
      </c>
      <c r="X223" s="250" t="s">
        <v>3504</v>
      </c>
    </row>
    <row r="224" spans="1:24" hidden="1" x14ac:dyDescent="0.25">
      <c r="A224" s="422" t="s">
        <v>6447</v>
      </c>
      <c r="B224" s="422" t="s">
        <v>6447</v>
      </c>
      <c r="C224" s="422" t="s">
        <v>1950</v>
      </c>
      <c r="D224" s="227">
        <v>2023</v>
      </c>
      <c r="E224" t="s">
        <v>1653</v>
      </c>
      <c r="F224" t="s">
        <v>1745</v>
      </c>
      <c r="G224" t="s">
        <v>1746</v>
      </c>
      <c r="H224" t="s">
        <v>1864</v>
      </c>
      <c r="I224" t="s">
        <v>3110</v>
      </c>
      <c r="J224" s="428">
        <v>2</v>
      </c>
      <c r="K224" t="s">
        <v>586</v>
      </c>
      <c r="M224" s="174">
        <v>54.9</v>
      </c>
      <c r="N224" s="174">
        <v>109.8</v>
      </c>
      <c r="O224" t="s">
        <v>1747</v>
      </c>
      <c r="P224" t="s">
        <v>1748</v>
      </c>
      <c r="Q224" s="172">
        <v>111</v>
      </c>
      <c r="R224">
        <v>2</v>
      </c>
      <c r="S224" s="278" t="s">
        <v>3105</v>
      </c>
      <c r="T224" t="s">
        <v>1751</v>
      </c>
      <c r="U224" t="s">
        <v>6470</v>
      </c>
      <c r="V224" t="s">
        <v>6468</v>
      </c>
      <c r="W224" s="250" t="s">
        <v>3499</v>
      </c>
      <c r="X224" s="250" t="s">
        <v>3504</v>
      </c>
    </row>
    <row r="225" spans="1:24" hidden="1" x14ac:dyDescent="0.25">
      <c r="A225" s="422" t="s">
        <v>6447</v>
      </c>
      <c r="B225" s="422" t="s">
        <v>6447</v>
      </c>
      <c r="C225" s="422" t="s">
        <v>1950</v>
      </c>
      <c r="D225" s="227">
        <v>2023</v>
      </c>
      <c r="E225" t="s">
        <v>1653</v>
      </c>
      <c r="F225" t="s">
        <v>1745</v>
      </c>
      <c r="G225" t="s">
        <v>1746</v>
      </c>
      <c r="H225" t="s">
        <v>1864</v>
      </c>
      <c r="I225" t="s">
        <v>3110</v>
      </c>
      <c r="J225" s="428">
        <v>4</v>
      </c>
      <c r="K225" t="s">
        <v>586</v>
      </c>
      <c r="M225" s="174">
        <v>54.9</v>
      </c>
      <c r="N225" s="174">
        <v>219.6</v>
      </c>
      <c r="O225" t="s">
        <v>1747</v>
      </c>
      <c r="P225" t="s">
        <v>1748</v>
      </c>
      <c r="Q225" s="172">
        <v>111</v>
      </c>
      <c r="R225">
        <v>4</v>
      </c>
      <c r="S225" s="278" t="s">
        <v>3105</v>
      </c>
      <c r="T225" t="s">
        <v>1751</v>
      </c>
      <c r="U225" t="s">
        <v>6470</v>
      </c>
      <c r="V225" t="s">
        <v>6468</v>
      </c>
      <c r="W225" s="250" t="s">
        <v>3499</v>
      </c>
      <c r="X225" s="250" t="s">
        <v>3504</v>
      </c>
    </row>
    <row r="226" spans="1:24" hidden="1" x14ac:dyDescent="0.25">
      <c r="A226" s="422" t="s">
        <v>6447</v>
      </c>
      <c r="B226" s="422" t="s">
        <v>6447</v>
      </c>
      <c r="C226" s="422" t="s">
        <v>1950</v>
      </c>
      <c r="D226" s="227">
        <v>2023</v>
      </c>
      <c r="E226" t="s">
        <v>1653</v>
      </c>
      <c r="F226" t="s">
        <v>1745</v>
      </c>
      <c r="G226" t="s">
        <v>1746</v>
      </c>
      <c r="H226" t="s">
        <v>1864</v>
      </c>
      <c r="I226" t="s">
        <v>3110</v>
      </c>
      <c r="J226" s="428">
        <v>4</v>
      </c>
      <c r="K226" t="s">
        <v>586</v>
      </c>
      <c r="M226" s="174">
        <v>54.9</v>
      </c>
      <c r="N226" s="174">
        <v>219.6</v>
      </c>
      <c r="O226" t="s">
        <v>1747</v>
      </c>
      <c r="P226" t="s">
        <v>1748</v>
      </c>
      <c r="Q226" s="172">
        <v>111</v>
      </c>
      <c r="R226">
        <v>4</v>
      </c>
      <c r="S226" s="278" t="s">
        <v>3105</v>
      </c>
      <c r="T226" t="s">
        <v>1751</v>
      </c>
      <c r="U226" t="s">
        <v>6470</v>
      </c>
      <c r="V226" t="s">
        <v>6468</v>
      </c>
      <c r="W226" s="250" t="s">
        <v>3499</v>
      </c>
      <c r="X226" s="250" t="s">
        <v>3504</v>
      </c>
    </row>
    <row r="227" spans="1:24" hidden="1" x14ac:dyDescent="0.25">
      <c r="A227" s="422" t="s">
        <v>6447</v>
      </c>
      <c r="B227" s="422" t="s">
        <v>6447</v>
      </c>
      <c r="C227" s="422" t="s">
        <v>1950</v>
      </c>
      <c r="D227" s="227">
        <v>2023</v>
      </c>
      <c r="E227" t="s">
        <v>1653</v>
      </c>
      <c r="F227" t="s">
        <v>1745</v>
      </c>
      <c r="G227" t="s">
        <v>1746</v>
      </c>
      <c r="H227" t="s">
        <v>1864</v>
      </c>
      <c r="I227" t="s">
        <v>3110</v>
      </c>
      <c r="J227" s="428">
        <v>6</v>
      </c>
      <c r="K227" t="s">
        <v>586</v>
      </c>
      <c r="M227" s="174">
        <v>54.9</v>
      </c>
      <c r="N227" s="174">
        <v>329.4</v>
      </c>
      <c r="O227" t="s">
        <v>1747</v>
      </c>
      <c r="P227" t="s">
        <v>1748</v>
      </c>
      <c r="Q227" s="172">
        <v>111</v>
      </c>
      <c r="R227">
        <v>6</v>
      </c>
      <c r="S227" s="278" t="s">
        <v>3105</v>
      </c>
      <c r="T227" t="s">
        <v>1751</v>
      </c>
      <c r="U227" t="s">
        <v>6470</v>
      </c>
      <c r="V227" t="s">
        <v>6468</v>
      </c>
      <c r="W227" s="250" t="s">
        <v>3499</v>
      </c>
      <c r="X227" s="250" t="s">
        <v>3504</v>
      </c>
    </row>
    <row r="228" spans="1:24" hidden="1" x14ac:dyDescent="0.25">
      <c r="A228" s="422" t="s">
        <v>6447</v>
      </c>
      <c r="B228" s="422" t="s">
        <v>6447</v>
      </c>
      <c r="C228" s="422" t="s">
        <v>1950</v>
      </c>
      <c r="D228" s="227">
        <v>2023</v>
      </c>
      <c r="E228" t="s">
        <v>1653</v>
      </c>
      <c r="F228" t="s">
        <v>1745</v>
      </c>
      <c r="G228" t="s">
        <v>1746</v>
      </c>
      <c r="H228" t="s">
        <v>1864</v>
      </c>
      <c r="I228" t="s">
        <v>3110</v>
      </c>
      <c r="J228" s="428">
        <v>2</v>
      </c>
      <c r="K228" t="s">
        <v>586</v>
      </c>
      <c r="M228" s="174">
        <v>54.9</v>
      </c>
      <c r="N228" s="174">
        <v>109.8</v>
      </c>
      <c r="O228" t="s">
        <v>1747</v>
      </c>
      <c r="P228" t="s">
        <v>1748</v>
      </c>
      <c r="Q228" s="172">
        <v>111</v>
      </c>
      <c r="R228">
        <v>2</v>
      </c>
      <c r="S228" s="278" t="s">
        <v>3105</v>
      </c>
      <c r="T228" t="s">
        <v>1751</v>
      </c>
      <c r="U228" t="s">
        <v>6470</v>
      </c>
      <c r="V228" t="s">
        <v>6468</v>
      </c>
      <c r="W228" s="250" t="s">
        <v>3499</v>
      </c>
      <c r="X228" s="250" t="s">
        <v>3504</v>
      </c>
    </row>
    <row r="229" spans="1:24" hidden="1" x14ac:dyDescent="0.25">
      <c r="A229" s="422" t="s">
        <v>6447</v>
      </c>
      <c r="B229" s="422" t="s">
        <v>6447</v>
      </c>
      <c r="C229" s="422" t="s">
        <v>1950</v>
      </c>
      <c r="D229" s="227">
        <v>2023</v>
      </c>
      <c r="E229" t="s">
        <v>1653</v>
      </c>
      <c r="F229" t="s">
        <v>1745</v>
      </c>
      <c r="G229" t="s">
        <v>1746</v>
      </c>
      <c r="H229" t="s">
        <v>1864</v>
      </c>
      <c r="I229" t="s">
        <v>3110</v>
      </c>
      <c r="J229" s="428">
        <v>6</v>
      </c>
      <c r="K229" t="s">
        <v>586</v>
      </c>
      <c r="M229" s="174">
        <v>54.9</v>
      </c>
      <c r="N229" s="174">
        <v>329.4</v>
      </c>
      <c r="O229" t="s">
        <v>1747</v>
      </c>
      <c r="P229" t="s">
        <v>1748</v>
      </c>
      <c r="Q229" s="172">
        <v>111</v>
      </c>
      <c r="R229">
        <v>6</v>
      </c>
      <c r="S229" s="278" t="s">
        <v>3105</v>
      </c>
      <c r="T229" t="s">
        <v>1751</v>
      </c>
      <c r="U229" t="s">
        <v>6470</v>
      </c>
      <c r="V229" t="s">
        <v>6468</v>
      </c>
      <c r="W229" s="250" t="s">
        <v>3499</v>
      </c>
      <c r="X229" s="250" t="s">
        <v>3504</v>
      </c>
    </row>
    <row r="230" spans="1:24" hidden="1" x14ac:dyDescent="0.25">
      <c r="A230" s="422" t="s">
        <v>6447</v>
      </c>
      <c r="B230" s="422" t="s">
        <v>6447</v>
      </c>
      <c r="C230" s="422" t="s">
        <v>1950</v>
      </c>
      <c r="D230" s="227">
        <v>2023</v>
      </c>
      <c r="E230" t="s">
        <v>1653</v>
      </c>
      <c r="F230" t="s">
        <v>1745</v>
      </c>
      <c r="G230" t="s">
        <v>1746</v>
      </c>
      <c r="H230" t="s">
        <v>1864</v>
      </c>
      <c r="I230" t="s">
        <v>3110</v>
      </c>
      <c r="J230" s="428">
        <v>4</v>
      </c>
      <c r="K230" t="s">
        <v>586</v>
      </c>
      <c r="M230" s="174">
        <v>54.9</v>
      </c>
      <c r="N230" s="174">
        <v>219.6</v>
      </c>
      <c r="O230" t="s">
        <v>1747</v>
      </c>
      <c r="P230" t="s">
        <v>1748</v>
      </c>
      <c r="Q230" s="172">
        <v>111</v>
      </c>
      <c r="R230">
        <v>4</v>
      </c>
      <c r="S230" s="278" t="s">
        <v>3105</v>
      </c>
      <c r="T230" t="s">
        <v>1751</v>
      </c>
      <c r="U230" t="s">
        <v>6470</v>
      </c>
      <c r="V230" t="s">
        <v>6468</v>
      </c>
      <c r="W230" s="250" t="s">
        <v>3499</v>
      </c>
      <c r="X230" s="250" t="s">
        <v>3504</v>
      </c>
    </row>
    <row r="231" spans="1:24" hidden="1" x14ac:dyDescent="0.25">
      <c r="A231" s="422" t="s">
        <v>6447</v>
      </c>
      <c r="B231" s="422" t="s">
        <v>6447</v>
      </c>
      <c r="C231" s="422" t="s">
        <v>1950</v>
      </c>
      <c r="D231" s="227">
        <v>2023</v>
      </c>
      <c r="E231" t="s">
        <v>1653</v>
      </c>
      <c r="F231" t="s">
        <v>1745</v>
      </c>
      <c r="G231" t="s">
        <v>1746</v>
      </c>
      <c r="H231" t="s">
        <v>1864</v>
      </c>
      <c r="I231" t="s">
        <v>3110</v>
      </c>
      <c r="J231" s="428">
        <v>4</v>
      </c>
      <c r="K231" t="s">
        <v>586</v>
      </c>
      <c r="M231" s="174">
        <v>54.9</v>
      </c>
      <c r="N231" s="174">
        <v>219.6</v>
      </c>
      <c r="O231" t="s">
        <v>1747</v>
      </c>
      <c r="P231" t="s">
        <v>1748</v>
      </c>
      <c r="Q231" s="172">
        <v>111</v>
      </c>
      <c r="R231">
        <v>4</v>
      </c>
      <c r="S231" s="278" t="s">
        <v>3105</v>
      </c>
      <c r="T231" t="s">
        <v>1751</v>
      </c>
      <c r="U231" t="s">
        <v>6470</v>
      </c>
      <c r="V231" t="s">
        <v>6468</v>
      </c>
      <c r="W231" s="250" t="s">
        <v>3499</v>
      </c>
      <c r="X231" s="250" t="s">
        <v>3504</v>
      </c>
    </row>
    <row r="232" spans="1:24" hidden="1" x14ac:dyDescent="0.25">
      <c r="A232" s="422" t="s">
        <v>6447</v>
      </c>
      <c r="B232" s="422" t="s">
        <v>6447</v>
      </c>
      <c r="C232" s="422" t="s">
        <v>1950</v>
      </c>
      <c r="D232" s="227">
        <v>2023</v>
      </c>
      <c r="E232" t="s">
        <v>1653</v>
      </c>
      <c r="F232" t="s">
        <v>1745</v>
      </c>
      <c r="G232" t="s">
        <v>1746</v>
      </c>
      <c r="H232" t="s">
        <v>1864</v>
      </c>
      <c r="I232" t="s">
        <v>3110</v>
      </c>
      <c r="J232" s="428">
        <v>4</v>
      </c>
      <c r="K232" t="s">
        <v>586</v>
      </c>
      <c r="M232" s="174">
        <v>54.9</v>
      </c>
      <c r="N232" s="174">
        <v>219.6</v>
      </c>
      <c r="O232" t="s">
        <v>1747</v>
      </c>
      <c r="P232" t="s">
        <v>1748</v>
      </c>
      <c r="Q232" s="172">
        <v>111</v>
      </c>
      <c r="R232">
        <v>4</v>
      </c>
      <c r="S232" s="278" t="s">
        <v>3105</v>
      </c>
      <c r="T232" t="s">
        <v>1751</v>
      </c>
      <c r="U232" t="s">
        <v>6470</v>
      </c>
      <c r="V232" t="s">
        <v>6468</v>
      </c>
      <c r="W232" s="250" t="s">
        <v>3499</v>
      </c>
      <c r="X232" s="250" t="s">
        <v>3504</v>
      </c>
    </row>
    <row r="233" spans="1:24" hidden="1" x14ac:dyDescent="0.25">
      <c r="A233" s="422" t="s">
        <v>6447</v>
      </c>
      <c r="B233" s="422" t="s">
        <v>6447</v>
      </c>
      <c r="C233" s="422" t="s">
        <v>1950</v>
      </c>
      <c r="D233" s="227">
        <v>2023</v>
      </c>
      <c r="E233" t="s">
        <v>1653</v>
      </c>
      <c r="F233" t="s">
        <v>1745</v>
      </c>
      <c r="G233" t="s">
        <v>1746</v>
      </c>
      <c r="H233" t="s">
        <v>1864</v>
      </c>
      <c r="I233" t="s">
        <v>3110</v>
      </c>
      <c r="J233" s="428">
        <v>6</v>
      </c>
      <c r="K233" t="s">
        <v>586</v>
      </c>
      <c r="M233" s="174">
        <v>54.9</v>
      </c>
      <c r="N233" s="174">
        <v>329.4</v>
      </c>
      <c r="O233" t="s">
        <v>1747</v>
      </c>
      <c r="P233" t="s">
        <v>1748</v>
      </c>
      <c r="Q233" s="172">
        <v>111</v>
      </c>
      <c r="R233">
        <v>6</v>
      </c>
      <c r="S233" s="278" t="s">
        <v>3105</v>
      </c>
      <c r="T233" t="s">
        <v>1751</v>
      </c>
      <c r="U233" t="s">
        <v>6470</v>
      </c>
      <c r="V233" t="s">
        <v>6468</v>
      </c>
      <c r="W233" s="250" t="s">
        <v>3499</v>
      </c>
      <c r="X233" s="250" t="s">
        <v>3504</v>
      </c>
    </row>
    <row r="234" spans="1:24" hidden="1" x14ac:dyDescent="0.25">
      <c r="A234" s="422" t="s">
        <v>6447</v>
      </c>
      <c r="B234" s="422" t="s">
        <v>6447</v>
      </c>
      <c r="C234" s="422" t="s">
        <v>1950</v>
      </c>
      <c r="D234" s="227">
        <v>2023</v>
      </c>
      <c r="E234" t="s">
        <v>1653</v>
      </c>
      <c r="F234" t="s">
        <v>1745</v>
      </c>
      <c r="G234" t="s">
        <v>1746</v>
      </c>
      <c r="H234" t="s">
        <v>1864</v>
      </c>
      <c r="I234" t="s">
        <v>3110</v>
      </c>
      <c r="J234" s="428">
        <v>2</v>
      </c>
      <c r="K234" t="s">
        <v>586</v>
      </c>
      <c r="M234" s="174">
        <v>54.9</v>
      </c>
      <c r="N234" s="174">
        <v>109.8</v>
      </c>
      <c r="O234" t="s">
        <v>1747</v>
      </c>
      <c r="P234" t="s">
        <v>1748</v>
      </c>
      <c r="Q234" s="172">
        <v>111</v>
      </c>
      <c r="R234">
        <v>2</v>
      </c>
      <c r="S234" s="278" t="s">
        <v>3105</v>
      </c>
      <c r="T234" t="s">
        <v>1751</v>
      </c>
      <c r="U234" t="s">
        <v>6470</v>
      </c>
      <c r="V234" t="s">
        <v>6468</v>
      </c>
      <c r="W234" s="250" t="s">
        <v>3499</v>
      </c>
      <c r="X234" s="250" t="s">
        <v>3504</v>
      </c>
    </row>
    <row r="235" spans="1:24" hidden="1" x14ac:dyDescent="0.25">
      <c r="A235" s="422" t="s">
        <v>6447</v>
      </c>
      <c r="B235" s="422" t="s">
        <v>6447</v>
      </c>
      <c r="C235" s="422" t="s">
        <v>1950</v>
      </c>
      <c r="D235" s="227">
        <v>2023</v>
      </c>
      <c r="E235" t="s">
        <v>1653</v>
      </c>
      <c r="F235" t="s">
        <v>1745</v>
      </c>
      <c r="G235" t="s">
        <v>1746</v>
      </c>
      <c r="H235" t="s">
        <v>1864</v>
      </c>
      <c r="I235" t="s">
        <v>3110</v>
      </c>
      <c r="J235" s="428">
        <v>6</v>
      </c>
      <c r="K235" t="s">
        <v>586</v>
      </c>
      <c r="M235" s="174">
        <v>54.9</v>
      </c>
      <c r="N235" s="174">
        <v>329.4</v>
      </c>
      <c r="O235" t="s">
        <v>1747</v>
      </c>
      <c r="P235" t="s">
        <v>1748</v>
      </c>
      <c r="Q235" s="172">
        <v>111</v>
      </c>
      <c r="R235">
        <v>6</v>
      </c>
      <c r="S235" s="278" t="s">
        <v>3105</v>
      </c>
      <c r="T235" t="s">
        <v>1751</v>
      </c>
      <c r="U235" t="s">
        <v>6470</v>
      </c>
      <c r="V235" t="s">
        <v>6468</v>
      </c>
      <c r="W235" s="250" t="s">
        <v>3499</v>
      </c>
      <c r="X235" s="250" t="s">
        <v>3504</v>
      </c>
    </row>
    <row r="236" spans="1:24" hidden="1" x14ac:dyDescent="0.25">
      <c r="A236" s="422" t="s">
        <v>6447</v>
      </c>
      <c r="B236" s="422" t="s">
        <v>6447</v>
      </c>
      <c r="C236" s="422" t="s">
        <v>1950</v>
      </c>
      <c r="D236" s="227">
        <v>2023</v>
      </c>
      <c r="E236" t="s">
        <v>1653</v>
      </c>
      <c r="F236" t="s">
        <v>1745</v>
      </c>
      <c r="G236" t="s">
        <v>1746</v>
      </c>
      <c r="H236" t="s">
        <v>1864</v>
      </c>
      <c r="I236" t="s">
        <v>3110</v>
      </c>
      <c r="J236" s="428">
        <v>4</v>
      </c>
      <c r="K236" t="s">
        <v>586</v>
      </c>
      <c r="M236" s="174">
        <v>54.9</v>
      </c>
      <c r="N236" s="174">
        <v>219.6</v>
      </c>
      <c r="O236" t="s">
        <v>1747</v>
      </c>
      <c r="P236" t="s">
        <v>1748</v>
      </c>
      <c r="Q236" s="172">
        <v>111</v>
      </c>
      <c r="R236">
        <v>4</v>
      </c>
      <c r="S236" s="278" t="s">
        <v>3105</v>
      </c>
      <c r="T236" t="s">
        <v>1751</v>
      </c>
      <c r="U236" t="s">
        <v>6470</v>
      </c>
      <c r="V236" t="s">
        <v>6468</v>
      </c>
      <c r="W236" s="250" t="s">
        <v>3499</v>
      </c>
      <c r="X236" s="250" t="s">
        <v>3504</v>
      </c>
    </row>
    <row r="237" spans="1:24" hidden="1" x14ac:dyDescent="0.25">
      <c r="A237" s="422" t="s">
        <v>6447</v>
      </c>
      <c r="B237" s="422" t="s">
        <v>6447</v>
      </c>
      <c r="C237" s="422" t="s">
        <v>1950</v>
      </c>
      <c r="D237" s="227">
        <v>2023</v>
      </c>
      <c r="E237" t="s">
        <v>1653</v>
      </c>
      <c r="F237" t="s">
        <v>1745</v>
      </c>
      <c r="G237" t="s">
        <v>1746</v>
      </c>
      <c r="H237" t="s">
        <v>1864</v>
      </c>
      <c r="I237" t="s">
        <v>3110</v>
      </c>
      <c r="J237" s="428">
        <v>2</v>
      </c>
      <c r="K237" t="s">
        <v>586</v>
      </c>
      <c r="M237" s="174">
        <v>21.6</v>
      </c>
      <c r="N237" s="174">
        <v>43.2</v>
      </c>
      <c r="O237" t="s">
        <v>1747</v>
      </c>
      <c r="P237" t="s">
        <v>1748</v>
      </c>
      <c r="Q237" s="172">
        <v>111</v>
      </c>
      <c r="R237">
        <v>2</v>
      </c>
      <c r="S237" s="278" t="s">
        <v>3105</v>
      </c>
      <c r="T237" t="s">
        <v>1751</v>
      </c>
      <c r="U237" t="s">
        <v>6470</v>
      </c>
      <c r="V237" t="s">
        <v>6466</v>
      </c>
      <c r="W237" s="250" t="s">
        <v>3499</v>
      </c>
      <c r="X237" s="250" t="s">
        <v>3504</v>
      </c>
    </row>
    <row r="238" spans="1:24" hidden="1" x14ac:dyDescent="0.25">
      <c r="A238" s="422" t="s">
        <v>6447</v>
      </c>
      <c r="B238" t="s">
        <v>6447</v>
      </c>
      <c r="C238" s="422" t="s">
        <v>1950</v>
      </c>
      <c r="D238" s="227">
        <v>2023</v>
      </c>
      <c r="E238" t="s">
        <v>1653</v>
      </c>
      <c r="F238" t="s">
        <v>1745</v>
      </c>
      <c r="G238" t="s">
        <v>1746</v>
      </c>
      <c r="H238" t="s">
        <v>1864</v>
      </c>
      <c r="I238" t="s">
        <v>3110</v>
      </c>
      <c r="J238" s="428">
        <v>1</v>
      </c>
      <c r="K238" t="s">
        <v>586</v>
      </c>
      <c r="M238" s="174">
        <v>21.6</v>
      </c>
      <c r="N238" s="174">
        <v>21.6</v>
      </c>
      <c r="O238" t="s">
        <v>1747</v>
      </c>
      <c r="P238" t="s">
        <v>1748</v>
      </c>
      <c r="Q238" s="172">
        <v>111</v>
      </c>
      <c r="R238">
        <v>1</v>
      </c>
      <c r="S238" s="278" t="s">
        <v>3105</v>
      </c>
      <c r="T238" t="s">
        <v>1751</v>
      </c>
      <c r="U238" t="s">
        <v>6470</v>
      </c>
      <c r="V238" t="s">
        <v>6466</v>
      </c>
      <c r="W238" s="250" t="s">
        <v>3499</v>
      </c>
      <c r="X238" s="250" t="s">
        <v>3504</v>
      </c>
    </row>
    <row r="239" spans="1:24" hidden="1" x14ac:dyDescent="0.25">
      <c r="A239" t="s">
        <v>4595</v>
      </c>
      <c r="B239" t="s">
        <v>4595</v>
      </c>
      <c r="C239" s="422" t="s">
        <v>1950</v>
      </c>
      <c r="D239" s="227">
        <v>2023</v>
      </c>
      <c r="E239" t="s">
        <v>1653</v>
      </c>
      <c r="F239" t="s">
        <v>1745</v>
      </c>
      <c r="G239" t="s">
        <v>1746</v>
      </c>
      <c r="H239" t="s">
        <v>1864</v>
      </c>
      <c r="I239" t="s">
        <v>3110</v>
      </c>
      <c r="J239" s="428">
        <v>4</v>
      </c>
      <c r="K239" t="s">
        <v>586</v>
      </c>
      <c r="M239" s="174">
        <v>54.9</v>
      </c>
      <c r="N239" s="174">
        <v>219.6</v>
      </c>
      <c r="O239" t="s">
        <v>1747</v>
      </c>
      <c r="P239" t="s">
        <v>1748</v>
      </c>
      <c r="Q239" s="172">
        <v>111</v>
      </c>
      <c r="R239">
        <v>4</v>
      </c>
      <c r="S239" s="278" t="s">
        <v>3105</v>
      </c>
      <c r="T239" t="s">
        <v>1751</v>
      </c>
      <c r="U239" t="s">
        <v>6470</v>
      </c>
      <c r="V239" t="s">
        <v>6468</v>
      </c>
      <c r="W239" s="250" t="s">
        <v>3499</v>
      </c>
      <c r="X239" s="250" t="s">
        <v>3504</v>
      </c>
    </row>
    <row r="240" spans="1:24" hidden="1" x14ac:dyDescent="0.25">
      <c r="A240" t="s">
        <v>4595</v>
      </c>
      <c r="B240" t="s">
        <v>4595</v>
      </c>
      <c r="C240" s="422" t="s">
        <v>1950</v>
      </c>
      <c r="D240" s="227">
        <v>2023</v>
      </c>
      <c r="E240" t="s">
        <v>1653</v>
      </c>
      <c r="F240" t="s">
        <v>1745</v>
      </c>
      <c r="G240" t="s">
        <v>1746</v>
      </c>
      <c r="H240" t="s">
        <v>1864</v>
      </c>
      <c r="I240" t="s">
        <v>3110</v>
      </c>
      <c r="J240" s="428">
        <v>4</v>
      </c>
      <c r="K240" t="s">
        <v>586</v>
      </c>
      <c r="M240" s="174">
        <v>54.9</v>
      </c>
      <c r="N240" s="174">
        <v>219.6</v>
      </c>
      <c r="O240" t="s">
        <v>1747</v>
      </c>
      <c r="P240" t="s">
        <v>1748</v>
      </c>
      <c r="Q240" s="172">
        <v>111</v>
      </c>
      <c r="R240">
        <v>4</v>
      </c>
      <c r="S240" s="278" t="s">
        <v>3105</v>
      </c>
      <c r="T240" t="s">
        <v>1751</v>
      </c>
      <c r="U240" t="s">
        <v>6470</v>
      </c>
      <c r="V240" t="s">
        <v>6468</v>
      </c>
      <c r="W240" s="250" t="s">
        <v>3499</v>
      </c>
      <c r="X240" s="250" t="s">
        <v>3504</v>
      </c>
    </row>
    <row r="241" spans="1:24" hidden="1" x14ac:dyDescent="0.25">
      <c r="A241" t="s">
        <v>4595</v>
      </c>
      <c r="B241" t="s">
        <v>4595</v>
      </c>
      <c r="C241" s="422" t="s">
        <v>1950</v>
      </c>
      <c r="D241" s="227">
        <v>2023</v>
      </c>
      <c r="E241" t="s">
        <v>1653</v>
      </c>
      <c r="F241" t="s">
        <v>1745</v>
      </c>
      <c r="G241" t="s">
        <v>1746</v>
      </c>
      <c r="H241" t="s">
        <v>1864</v>
      </c>
      <c r="I241" t="s">
        <v>3110</v>
      </c>
      <c r="J241" s="428">
        <v>1</v>
      </c>
      <c r="K241" t="s">
        <v>586</v>
      </c>
      <c r="M241" s="174">
        <v>21.6</v>
      </c>
      <c r="N241" s="174">
        <v>21.6</v>
      </c>
      <c r="O241" t="s">
        <v>1747</v>
      </c>
      <c r="P241" t="s">
        <v>3114</v>
      </c>
      <c r="Q241" s="172">
        <v>8</v>
      </c>
      <c r="R241">
        <v>1</v>
      </c>
      <c r="S241" s="278" t="s">
        <v>3105</v>
      </c>
      <c r="T241" t="s">
        <v>6471</v>
      </c>
      <c r="U241" t="s">
        <v>6470</v>
      </c>
      <c r="V241" t="s">
        <v>6466</v>
      </c>
      <c r="W241" s="250" t="s">
        <v>3499</v>
      </c>
      <c r="X241" s="250" t="s">
        <v>3504</v>
      </c>
    </row>
    <row r="242" spans="1:24" hidden="1" x14ac:dyDescent="0.25">
      <c r="A242" t="s">
        <v>4595</v>
      </c>
      <c r="B242" t="s">
        <v>4595</v>
      </c>
      <c r="C242" s="422" t="s">
        <v>1950</v>
      </c>
      <c r="D242" s="227">
        <v>2023</v>
      </c>
      <c r="E242" t="s">
        <v>1653</v>
      </c>
      <c r="F242" t="s">
        <v>1745</v>
      </c>
      <c r="G242" t="s">
        <v>1746</v>
      </c>
      <c r="H242" t="s">
        <v>1864</v>
      </c>
      <c r="I242" t="s">
        <v>3110</v>
      </c>
      <c r="J242" s="428">
        <v>6</v>
      </c>
      <c r="K242" t="s">
        <v>586</v>
      </c>
      <c r="M242" s="174">
        <v>54.9</v>
      </c>
      <c r="N242" s="174">
        <v>329.4</v>
      </c>
      <c r="O242" t="s">
        <v>1747</v>
      </c>
      <c r="P242" t="s">
        <v>3114</v>
      </c>
      <c r="Q242" s="172">
        <v>111</v>
      </c>
      <c r="R242">
        <v>6</v>
      </c>
      <c r="S242" s="278" t="s">
        <v>3105</v>
      </c>
      <c r="T242" t="s">
        <v>1751</v>
      </c>
      <c r="U242" t="s">
        <v>6470</v>
      </c>
      <c r="V242" t="s">
        <v>6468</v>
      </c>
      <c r="W242" s="250" t="s">
        <v>3499</v>
      </c>
      <c r="X242" s="250" t="s">
        <v>3504</v>
      </c>
    </row>
    <row r="243" spans="1:24" hidden="1" x14ac:dyDescent="0.25">
      <c r="A243" t="s">
        <v>4595</v>
      </c>
      <c r="B243" t="s">
        <v>4595</v>
      </c>
      <c r="C243" s="422" t="s">
        <v>1950</v>
      </c>
      <c r="D243" s="227">
        <v>2023</v>
      </c>
      <c r="E243" t="s">
        <v>1653</v>
      </c>
      <c r="F243" t="s">
        <v>1745</v>
      </c>
      <c r="G243" t="s">
        <v>1746</v>
      </c>
      <c r="H243" t="s">
        <v>1864</v>
      </c>
      <c r="I243" t="s">
        <v>3110</v>
      </c>
      <c r="J243" s="428">
        <v>2</v>
      </c>
      <c r="K243" t="s">
        <v>586</v>
      </c>
      <c r="M243" s="174">
        <v>54.9</v>
      </c>
      <c r="N243" s="174">
        <v>109.8</v>
      </c>
      <c r="O243" t="s">
        <v>1747</v>
      </c>
      <c r="P243" t="s">
        <v>3114</v>
      </c>
      <c r="Q243" s="172">
        <v>111</v>
      </c>
      <c r="R243">
        <v>2</v>
      </c>
      <c r="S243" s="278" t="s">
        <v>3105</v>
      </c>
      <c r="T243" t="s">
        <v>1751</v>
      </c>
      <c r="U243" t="s">
        <v>6470</v>
      </c>
      <c r="V243" t="s">
        <v>6468</v>
      </c>
      <c r="W243" s="250" t="s">
        <v>3499</v>
      </c>
      <c r="X243" s="250" t="s">
        <v>3504</v>
      </c>
    </row>
    <row r="244" spans="1:24" hidden="1" x14ac:dyDescent="0.25">
      <c r="A244" t="s">
        <v>4595</v>
      </c>
      <c r="B244" t="s">
        <v>4595</v>
      </c>
      <c r="C244" s="422" t="s">
        <v>1950</v>
      </c>
      <c r="D244" s="227">
        <v>2023</v>
      </c>
      <c r="E244" t="s">
        <v>1653</v>
      </c>
      <c r="F244" t="s">
        <v>1745</v>
      </c>
      <c r="G244" t="s">
        <v>1746</v>
      </c>
      <c r="H244" t="s">
        <v>1864</v>
      </c>
      <c r="I244" t="s">
        <v>3110</v>
      </c>
      <c r="J244" s="428">
        <v>4</v>
      </c>
      <c r="K244" t="s">
        <v>586</v>
      </c>
      <c r="M244" s="174">
        <v>54.9</v>
      </c>
      <c r="N244" s="174">
        <v>219.6</v>
      </c>
      <c r="O244" t="s">
        <v>1747</v>
      </c>
      <c r="P244" t="s">
        <v>3114</v>
      </c>
      <c r="Q244" s="172">
        <v>111</v>
      </c>
      <c r="R244">
        <v>4</v>
      </c>
      <c r="S244" s="278" t="s">
        <v>3105</v>
      </c>
      <c r="T244" t="s">
        <v>1751</v>
      </c>
      <c r="U244" t="s">
        <v>6470</v>
      </c>
      <c r="V244" t="s">
        <v>6468</v>
      </c>
      <c r="W244" s="250" t="s">
        <v>3499</v>
      </c>
      <c r="X244" s="250" t="s">
        <v>3504</v>
      </c>
    </row>
    <row r="245" spans="1:24" hidden="1" x14ac:dyDescent="0.25">
      <c r="A245" t="s">
        <v>4595</v>
      </c>
      <c r="B245" t="s">
        <v>4595</v>
      </c>
      <c r="C245" s="422" t="s">
        <v>1950</v>
      </c>
      <c r="D245" s="227">
        <v>2023</v>
      </c>
      <c r="E245" t="s">
        <v>1653</v>
      </c>
      <c r="F245" t="s">
        <v>1745</v>
      </c>
      <c r="G245" t="s">
        <v>1746</v>
      </c>
      <c r="H245" t="s">
        <v>1864</v>
      </c>
      <c r="I245" t="s">
        <v>3110</v>
      </c>
      <c r="J245" s="428">
        <v>2</v>
      </c>
      <c r="K245" t="s">
        <v>586</v>
      </c>
      <c r="M245" s="174">
        <v>54.9</v>
      </c>
      <c r="N245" s="174">
        <v>109.8</v>
      </c>
      <c r="O245" t="s">
        <v>1747</v>
      </c>
      <c r="P245" t="s">
        <v>3114</v>
      </c>
      <c r="Q245" s="172">
        <v>111</v>
      </c>
      <c r="R245">
        <v>2</v>
      </c>
      <c r="S245" s="278" t="s">
        <v>3105</v>
      </c>
      <c r="T245" t="s">
        <v>1751</v>
      </c>
      <c r="U245" t="s">
        <v>6470</v>
      </c>
      <c r="V245" t="s">
        <v>6468</v>
      </c>
      <c r="W245" s="250" t="s">
        <v>3499</v>
      </c>
      <c r="X245" s="250" t="s">
        <v>3504</v>
      </c>
    </row>
    <row r="246" spans="1:24" hidden="1" x14ac:dyDescent="0.25">
      <c r="A246" t="s">
        <v>4595</v>
      </c>
      <c r="B246" t="s">
        <v>4595</v>
      </c>
      <c r="C246" s="422" t="s">
        <v>1950</v>
      </c>
      <c r="D246" s="227">
        <v>2023</v>
      </c>
      <c r="E246" t="s">
        <v>1653</v>
      </c>
      <c r="F246" t="s">
        <v>1745</v>
      </c>
      <c r="G246" t="s">
        <v>1746</v>
      </c>
      <c r="H246" t="s">
        <v>1864</v>
      </c>
      <c r="I246" t="s">
        <v>3110</v>
      </c>
      <c r="J246" s="428">
        <v>2</v>
      </c>
      <c r="K246" t="s">
        <v>586</v>
      </c>
      <c r="M246" s="174">
        <v>54.9</v>
      </c>
      <c r="N246" s="174">
        <v>109.8</v>
      </c>
      <c r="O246" t="s">
        <v>1747</v>
      </c>
      <c r="P246" t="s">
        <v>3114</v>
      </c>
      <c r="Q246" s="172">
        <v>111</v>
      </c>
      <c r="R246">
        <v>2</v>
      </c>
      <c r="S246" s="278" t="s">
        <v>3105</v>
      </c>
      <c r="T246" t="s">
        <v>1751</v>
      </c>
      <c r="U246" t="s">
        <v>6470</v>
      </c>
      <c r="V246" t="s">
        <v>6468</v>
      </c>
      <c r="W246" s="250" t="s">
        <v>3499</v>
      </c>
      <c r="X246" s="250" t="s">
        <v>3504</v>
      </c>
    </row>
    <row r="247" spans="1:24" hidden="1" x14ac:dyDescent="0.25">
      <c r="A247" t="s">
        <v>4595</v>
      </c>
      <c r="B247" t="s">
        <v>4595</v>
      </c>
      <c r="C247" s="422" t="s">
        <v>1950</v>
      </c>
      <c r="D247" s="227">
        <v>2023</v>
      </c>
      <c r="E247" t="s">
        <v>1653</v>
      </c>
      <c r="F247" t="s">
        <v>1745</v>
      </c>
      <c r="G247" t="s">
        <v>1746</v>
      </c>
      <c r="H247" t="s">
        <v>1864</v>
      </c>
      <c r="I247" t="s">
        <v>3110</v>
      </c>
      <c r="J247" s="428">
        <v>2</v>
      </c>
      <c r="K247" t="s">
        <v>586</v>
      </c>
      <c r="M247" s="174">
        <v>54.9</v>
      </c>
      <c r="N247" s="174">
        <v>109.8</v>
      </c>
      <c r="O247" t="s">
        <v>1747</v>
      </c>
      <c r="P247" t="s">
        <v>3114</v>
      </c>
      <c r="Q247" s="172">
        <v>111</v>
      </c>
      <c r="R247">
        <v>2</v>
      </c>
      <c r="S247" s="278" t="s">
        <v>3105</v>
      </c>
      <c r="T247" t="s">
        <v>1751</v>
      </c>
      <c r="U247" t="s">
        <v>6470</v>
      </c>
      <c r="V247" t="s">
        <v>6468</v>
      </c>
      <c r="W247" s="250" t="s">
        <v>3499</v>
      </c>
      <c r="X247" s="250" t="s">
        <v>3504</v>
      </c>
    </row>
    <row r="248" spans="1:24" hidden="1" x14ac:dyDescent="0.25">
      <c r="A248" t="s">
        <v>4595</v>
      </c>
      <c r="B248" t="s">
        <v>4595</v>
      </c>
      <c r="C248" s="422" t="s">
        <v>1950</v>
      </c>
      <c r="D248" s="227">
        <v>2023</v>
      </c>
      <c r="E248" t="s">
        <v>1653</v>
      </c>
      <c r="F248" t="s">
        <v>1745</v>
      </c>
      <c r="G248" t="s">
        <v>1746</v>
      </c>
      <c r="H248" t="s">
        <v>1864</v>
      </c>
      <c r="I248" t="s">
        <v>3110</v>
      </c>
      <c r="J248" s="428">
        <v>2</v>
      </c>
      <c r="K248" t="s">
        <v>586</v>
      </c>
      <c r="M248" s="174">
        <v>54.9</v>
      </c>
      <c r="N248" s="174">
        <v>109.8</v>
      </c>
      <c r="O248" t="s">
        <v>1747</v>
      </c>
      <c r="P248" t="s">
        <v>3114</v>
      </c>
      <c r="Q248" s="172">
        <v>111</v>
      </c>
      <c r="R248">
        <v>2</v>
      </c>
      <c r="S248" s="278" t="s">
        <v>3105</v>
      </c>
      <c r="T248" t="s">
        <v>1751</v>
      </c>
      <c r="U248" t="s">
        <v>6470</v>
      </c>
      <c r="V248" t="s">
        <v>6468</v>
      </c>
      <c r="W248" s="250" t="s">
        <v>3499</v>
      </c>
      <c r="X248" s="250" t="s">
        <v>3504</v>
      </c>
    </row>
    <row r="249" spans="1:24" hidden="1" x14ac:dyDescent="0.25">
      <c r="A249" t="s">
        <v>4595</v>
      </c>
      <c r="B249" t="s">
        <v>4595</v>
      </c>
      <c r="C249" s="422" t="s">
        <v>1950</v>
      </c>
      <c r="D249" s="227">
        <v>2023</v>
      </c>
      <c r="E249" t="s">
        <v>1653</v>
      </c>
      <c r="F249" t="s">
        <v>1745</v>
      </c>
      <c r="G249" t="s">
        <v>1746</v>
      </c>
      <c r="H249" t="s">
        <v>1864</v>
      </c>
      <c r="I249" t="s">
        <v>3110</v>
      </c>
      <c r="J249" s="428">
        <v>2</v>
      </c>
      <c r="K249" t="s">
        <v>586</v>
      </c>
      <c r="M249" s="174">
        <v>54.9</v>
      </c>
      <c r="N249" s="174">
        <v>109.8</v>
      </c>
      <c r="O249" t="s">
        <v>1747</v>
      </c>
      <c r="P249" t="s">
        <v>1748</v>
      </c>
      <c r="Q249" s="172">
        <v>111</v>
      </c>
      <c r="R249">
        <v>2</v>
      </c>
      <c r="S249" s="278" t="s">
        <v>3105</v>
      </c>
      <c r="T249" t="s">
        <v>1751</v>
      </c>
      <c r="U249" t="s">
        <v>6470</v>
      </c>
      <c r="V249" t="s">
        <v>6468</v>
      </c>
      <c r="W249" s="250" t="s">
        <v>3499</v>
      </c>
      <c r="X249" s="250" t="s">
        <v>3504</v>
      </c>
    </row>
    <row r="250" spans="1:24" hidden="1" x14ac:dyDescent="0.25">
      <c r="A250" t="s">
        <v>4595</v>
      </c>
      <c r="B250" t="s">
        <v>4595</v>
      </c>
      <c r="C250" s="422" t="s">
        <v>1950</v>
      </c>
      <c r="D250" s="227">
        <v>2023</v>
      </c>
      <c r="E250" t="s">
        <v>1653</v>
      </c>
      <c r="F250" t="s">
        <v>1745</v>
      </c>
      <c r="G250" t="s">
        <v>1746</v>
      </c>
      <c r="H250" t="s">
        <v>1864</v>
      </c>
      <c r="I250" t="s">
        <v>3110</v>
      </c>
      <c r="J250" s="428">
        <v>2</v>
      </c>
      <c r="K250" t="s">
        <v>586</v>
      </c>
      <c r="M250" s="174">
        <v>54.9</v>
      </c>
      <c r="N250" s="174">
        <v>109.8</v>
      </c>
      <c r="O250" t="s">
        <v>1747</v>
      </c>
      <c r="P250" t="s">
        <v>1748</v>
      </c>
      <c r="Q250" s="172">
        <v>111</v>
      </c>
      <c r="R250">
        <v>2</v>
      </c>
      <c r="S250" s="278" t="s">
        <v>3105</v>
      </c>
      <c r="T250" t="s">
        <v>1751</v>
      </c>
      <c r="U250" t="s">
        <v>6470</v>
      </c>
      <c r="V250" t="s">
        <v>6468</v>
      </c>
      <c r="W250" s="250" t="s">
        <v>3499</v>
      </c>
      <c r="X250" s="250" t="s">
        <v>3504</v>
      </c>
    </row>
    <row r="251" spans="1:24" hidden="1" x14ac:dyDescent="0.25">
      <c r="A251" t="s">
        <v>4595</v>
      </c>
      <c r="B251" t="s">
        <v>4595</v>
      </c>
      <c r="C251" s="422" t="s">
        <v>1950</v>
      </c>
      <c r="D251" s="227">
        <v>2023</v>
      </c>
      <c r="E251" t="s">
        <v>1653</v>
      </c>
      <c r="F251" t="s">
        <v>1745</v>
      </c>
      <c r="G251" t="s">
        <v>1746</v>
      </c>
      <c r="H251" t="s">
        <v>1864</v>
      </c>
      <c r="I251" t="s">
        <v>3110</v>
      </c>
      <c r="J251" s="428">
        <v>6</v>
      </c>
      <c r="K251" t="s">
        <v>586</v>
      </c>
      <c r="M251" s="174">
        <v>54.9</v>
      </c>
      <c r="N251" s="174">
        <v>329.4</v>
      </c>
      <c r="O251" t="s">
        <v>1747</v>
      </c>
      <c r="P251" t="s">
        <v>1748</v>
      </c>
      <c r="Q251" s="172">
        <v>111</v>
      </c>
      <c r="R251">
        <v>6</v>
      </c>
      <c r="S251" s="278" t="s">
        <v>3105</v>
      </c>
      <c r="T251" t="s">
        <v>1751</v>
      </c>
      <c r="U251" t="s">
        <v>6470</v>
      </c>
      <c r="V251" t="s">
        <v>6468</v>
      </c>
      <c r="W251" s="250" t="s">
        <v>3499</v>
      </c>
      <c r="X251" s="250" t="s">
        <v>3504</v>
      </c>
    </row>
    <row r="252" spans="1:24" hidden="1" x14ac:dyDescent="0.25">
      <c r="A252" t="s">
        <v>4595</v>
      </c>
      <c r="B252" t="s">
        <v>4595</v>
      </c>
      <c r="C252" s="422" t="s">
        <v>1950</v>
      </c>
      <c r="D252" s="227">
        <v>2023</v>
      </c>
      <c r="E252" t="s">
        <v>1653</v>
      </c>
      <c r="F252" t="s">
        <v>1745</v>
      </c>
      <c r="G252" t="s">
        <v>1746</v>
      </c>
      <c r="H252" t="s">
        <v>1864</v>
      </c>
      <c r="I252" t="s">
        <v>3110</v>
      </c>
      <c r="J252" s="428">
        <v>4</v>
      </c>
      <c r="K252" t="s">
        <v>586</v>
      </c>
      <c r="M252" s="174">
        <v>54.9</v>
      </c>
      <c r="N252" s="174">
        <v>219.6</v>
      </c>
      <c r="O252" t="s">
        <v>1747</v>
      </c>
      <c r="P252" t="s">
        <v>1748</v>
      </c>
      <c r="Q252" s="172">
        <v>111</v>
      </c>
      <c r="R252">
        <v>4</v>
      </c>
      <c r="S252" s="278" t="s">
        <v>3105</v>
      </c>
      <c r="T252" t="s">
        <v>1751</v>
      </c>
      <c r="U252" t="s">
        <v>6470</v>
      </c>
      <c r="V252" t="s">
        <v>6468</v>
      </c>
      <c r="W252" s="250" t="s">
        <v>3499</v>
      </c>
      <c r="X252" s="250" t="s">
        <v>3504</v>
      </c>
    </row>
    <row r="253" spans="1:24" hidden="1" x14ac:dyDescent="0.25">
      <c r="A253" t="s">
        <v>4595</v>
      </c>
      <c r="B253" t="s">
        <v>4595</v>
      </c>
      <c r="C253" s="422" t="s">
        <v>1950</v>
      </c>
      <c r="D253" s="227">
        <v>2023</v>
      </c>
      <c r="E253" t="s">
        <v>1653</v>
      </c>
      <c r="F253" t="s">
        <v>1745</v>
      </c>
      <c r="G253" t="s">
        <v>1746</v>
      </c>
      <c r="H253" t="s">
        <v>1864</v>
      </c>
      <c r="I253" t="s">
        <v>3110</v>
      </c>
      <c r="J253" s="428">
        <v>4</v>
      </c>
      <c r="K253" t="s">
        <v>586</v>
      </c>
      <c r="M253" s="174">
        <v>54.9</v>
      </c>
      <c r="N253" s="174">
        <v>219.6</v>
      </c>
      <c r="O253" t="s">
        <v>1747</v>
      </c>
      <c r="P253" t="s">
        <v>1748</v>
      </c>
      <c r="Q253" s="172">
        <v>111</v>
      </c>
      <c r="R253">
        <v>4</v>
      </c>
      <c r="S253" s="278" t="s">
        <v>3105</v>
      </c>
      <c r="T253" t="s">
        <v>1751</v>
      </c>
      <c r="U253" t="s">
        <v>6470</v>
      </c>
      <c r="V253" t="s">
        <v>6468</v>
      </c>
      <c r="W253" s="250" t="s">
        <v>3499</v>
      </c>
      <c r="X253" s="250" t="s">
        <v>3504</v>
      </c>
    </row>
    <row r="254" spans="1:24" hidden="1" x14ac:dyDescent="0.25">
      <c r="A254" t="s">
        <v>4595</v>
      </c>
      <c r="B254" t="s">
        <v>4595</v>
      </c>
      <c r="C254" s="422" t="s">
        <v>1950</v>
      </c>
      <c r="D254" s="227">
        <v>2023</v>
      </c>
      <c r="E254" t="s">
        <v>1653</v>
      </c>
      <c r="F254" t="s">
        <v>1745</v>
      </c>
      <c r="G254" t="s">
        <v>1746</v>
      </c>
      <c r="H254" t="s">
        <v>1864</v>
      </c>
      <c r="I254" t="s">
        <v>3110</v>
      </c>
      <c r="J254" s="428">
        <v>4</v>
      </c>
      <c r="K254" t="s">
        <v>586</v>
      </c>
      <c r="M254" s="174">
        <v>54.9</v>
      </c>
      <c r="N254" s="174">
        <v>219.6</v>
      </c>
      <c r="O254" t="s">
        <v>1747</v>
      </c>
      <c r="P254" t="s">
        <v>1748</v>
      </c>
      <c r="Q254" s="172">
        <v>111</v>
      </c>
      <c r="R254">
        <v>4</v>
      </c>
      <c r="S254" s="278" t="s">
        <v>3105</v>
      </c>
      <c r="T254" t="s">
        <v>1751</v>
      </c>
      <c r="U254" t="s">
        <v>6470</v>
      </c>
      <c r="V254" t="s">
        <v>6468</v>
      </c>
      <c r="W254" s="250" t="s">
        <v>3499</v>
      </c>
      <c r="X254" s="250" t="s">
        <v>3504</v>
      </c>
    </row>
    <row r="255" spans="1:24" hidden="1" x14ac:dyDescent="0.25">
      <c r="A255" t="s">
        <v>4595</v>
      </c>
      <c r="B255" t="s">
        <v>4595</v>
      </c>
      <c r="C255" s="422" t="s">
        <v>1950</v>
      </c>
      <c r="D255" s="227">
        <v>2023</v>
      </c>
      <c r="E255" t="s">
        <v>1653</v>
      </c>
      <c r="F255" t="s">
        <v>1745</v>
      </c>
      <c r="G255" t="s">
        <v>1746</v>
      </c>
      <c r="H255" t="s">
        <v>1864</v>
      </c>
      <c r="I255" t="s">
        <v>3110</v>
      </c>
      <c r="J255" s="428">
        <v>1</v>
      </c>
      <c r="K255" t="s">
        <v>586</v>
      </c>
      <c r="M255" s="174">
        <v>21.6</v>
      </c>
      <c r="N255" s="174">
        <v>21.6</v>
      </c>
      <c r="O255" t="s">
        <v>1747</v>
      </c>
      <c r="P255" t="s">
        <v>1748</v>
      </c>
      <c r="Q255" s="172">
        <v>111</v>
      </c>
      <c r="R255">
        <v>1</v>
      </c>
      <c r="S255" s="278" t="s">
        <v>3105</v>
      </c>
      <c r="T255" t="s">
        <v>1751</v>
      </c>
      <c r="U255" t="s">
        <v>6470</v>
      </c>
      <c r="V255" t="s">
        <v>6466</v>
      </c>
      <c r="W255" s="250" t="s">
        <v>3499</v>
      </c>
      <c r="X255" s="250" t="s">
        <v>3504</v>
      </c>
    </row>
    <row r="256" spans="1:24" hidden="1" x14ac:dyDescent="0.25">
      <c r="A256" t="s">
        <v>4595</v>
      </c>
      <c r="B256" t="s">
        <v>4595</v>
      </c>
      <c r="C256" s="422" t="s">
        <v>1950</v>
      </c>
      <c r="D256" s="227">
        <v>2023</v>
      </c>
      <c r="E256" t="s">
        <v>1653</v>
      </c>
      <c r="F256" t="s">
        <v>1745</v>
      </c>
      <c r="G256" t="s">
        <v>1746</v>
      </c>
      <c r="H256" t="s">
        <v>1864</v>
      </c>
      <c r="I256" t="s">
        <v>3110</v>
      </c>
      <c r="J256" s="428">
        <v>1</v>
      </c>
      <c r="K256" t="s">
        <v>586</v>
      </c>
      <c r="M256" s="174">
        <v>21.6</v>
      </c>
      <c r="N256" s="174">
        <v>21.6</v>
      </c>
      <c r="O256" t="s">
        <v>1747</v>
      </c>
      <c r="P256" t="s">
        <v>1748</v>
      </c>
      <c r="Q256" s="172">
        <v>111</v>
      </c>
      <c r="R256">
        <v>1</v>
      </c>
      <c r="S256" s="278" t="s">
        <v>3105</v>
      </c>
      <c r="T256" t="s">
        <v>1751</v>
      </c>
      <c r="U256" t="s">
        <v>6470</v>
      </c>
      <c r="V256" t="s">
        <v>6466</v>
      </c>
      <c r="W256" s="250" t="s">
        <v>3499</v>
      </c>
      <c r="X256" s="250" t="s">
        <v>3504</v>
      </c>
    </row>
    <row r="257" spans="1:24" hidden="1" x14ac:dyDescent="0.25">
      <c r="A257" t="s">
        <v>4594</v>
      </c>
      <c r="B257" t="s">
        <v>4594</v>
      </c>
      <c r="C257" s="422" t="s">
        <v>1950</v>
      </c>
      <c r="D257" s="227">
        <v>2023</v>
      </c>
      <c r="E257" t="s">
        <v>1653</v>
      </c>
      <c r="F257" t="s">
        <v>1745</v>
      </c>
      <c r="G257" t="s">
        <v>1746</v>
      </c>
      <c r="H257" t="s">
        <v>1864</v>
      </c>
      <c r="I257" t="s">
        <v>3110</v>
      </c>
      <c r="J257" s="428">
        <v>4</v>
      </c>
      <c r="K257" t="s">
        <v>586</v>
      </c>
      <c r="M257" s="174">
        <v>54.9</v>
      </c>
      <c r="N257" s="174">
        <v>219.6</v>
      </c>
      <c r="O257" t="s">
        <v>1747</v>
      </c>
      <c r="P257" t="s">
        <v>1748</v>
      </c>
      <c r="Q257" s="172">
        <v>78</v>
      </c>
      <c r="R257">
        <v>4</v>
      </c>
      <c r="S257" s="278" t="s">
        <v>3105</v>
      </c>
      <c r="T257" t="s">
        <v>1751</v>
      </c>
      <c r="U257" t="s">
        <v>6472</v>
      </c>
      <c r="V257" t="s">
        <v>6468</v>
      </c>
      <c r="W257" s="250" t="s">
        <v>3499</v>
      </c>
      <c r="X257" s="250" t="s">
        <v>3504</v>
      </c>
    </row>
    <row r="258" spans="1:24" hidden="1" x14ac:dyDescent="0.25">
      <c r="A258" t="s">
        <v>4594</v>
      </c>
      <c r="B258" t="s">
        <v>4594</v>
      </c>
      <c r="C258" s="422" t="s">
        <v>1950</v>
      </c>
      <c r="D258" s="227">
        <v>2023</v>
      </c>
      <c r="E258" t="s">
        <v>1653</v>
      </c>
      <c r="F258" t="s">
        <v>1745</v>
      </c>
      <c r="G258" t="s">
        <v>1746</v>
      </c>
      <c r="H258" t="s">
        <v>1864</v>
      </c>
      <c r="I258" t="s">
        <v>3110</v>
      </c>
      <c r="J258" s="428">
        <v>2</v>
      </c>
      <c r="K258" t="s">
        <v>586</v>
      </c>
      <c r="M258" s="174">
        <v>54.9</v>
      </c>
      <c r="N258" s="174">
        <v>109.8</v>
      </c>
      <c r="O258" t="s">
        <v>1747</v>
      </c>
      <c r="P258" t="s">
        <v>1748</v>
      </c>
      <c r="Q258" s="172">
        <v>78</v>
      </c>
      <c r="R258">
        <v>2</v>
      </c>
      <c r="S258" s="278" t="s">
        <v>3105</v>
      </c>
      <c r="T258" t="s">
        <v>1751</v>
      </c>
      <c r="U258" t="s">
        <v>6472</v>
      </c>
      <c r="V258" t="s">
        <v>6468</v>
      </c>
      <c r="W258" s="250" t="s">
        <v>3499</v>
      </c>
      <c r="X258" s="250" t="s">
        <v>3504</v>
      </c>
    </row>
    <row r="259" spans="1:24" hidden="1" x14ac:dyDescent="0.25">
      <c r="A259" t="s">
        <v>4594</v>
      </c>
      <c r="B259" t="s">
        <v>4594</v>
      </c>
      <c r="C259" s="422" t="s">
        <v>1950</v>
      </c>
      <c r="D259" s="227">
        <v>2023</v>
      </c>
      <c r="E259" t="s">
        <v>1653</v>
      </c>
      <c r="F259" t="s">
        <v>1745</v>
      </c>
      <c r="G259" t="s">
        <v>1746</v>
      </c>
      <c r="H259" t="s">
        <v>1864</v>
      </c>
      <c r="I259" t="s">
        <v>3110</v>
      </c>
      <c r="J259" s="428">
        <v>4</v>
      </c>
      <c r="K259" t="s">
        <v>586</v>
      </c>
      <c r="M259" s="174">
        <v>54.9</v>
      </c>
      <c r="N259" s="174">
        <v>219.6</v>
      </c>
      <c r="O259" t="s">
        <v>1747</v>
      </c>
      <c r="P259" t="s">
        <v>1748</v>
      </c>
      <c r="Q259" s="172">
        <v>78</v>
      </c>
      <c r="R259">
        <v>4</v>
      </c>
      <c r="S259" s="278" t="s">
        <v>3105</v>
      </c>
      <c r="T259" t="s">
        <v>1751</v>
      </c>
      <c r="U259" t="s">
        <v>6472</v>
      </c>
      <c r="V259" t="s">
        <v>6468</v>
      </c>
      <c r="W259" s="250" t="s">
        <v>3499</v>
      </c>
      <c r="X259" s="250" t="s">
        <v>3504</v>
      </c>
    </row>
    <row r="260" spans="1:24" hidden="1" x14ac:dyDescent="0.25">
      <c r="A260" t="s">
        <v>4594</v>
      </c>
      <c r="B260" t="s">
        <v>4594</v>
      </c>
      <c r="C260" s="422" t="s">
        <v>1950</v>
      </c>
      <c r="D260" s="227">
        <v>2023</v>
      </c>
      <c r="E260" t="s">
        <v>1653</v>
      </c>
      <c r="F260" t="s">
        <v>1745</v>
      </c>
      <c r="G260" t="s">
        <v>1746</v>
      </c>
      <c r="H260" t="s">
        <v>1864</v>
      </c>
      <c r="I260" t="s">
        <v>3110</v>
      </c>
      <c r="J260" s="428">
        <v>6</v>
      </c>
      <c r="K260" t="s">
        <v>586</v>
      </c>
      <c r="M260" s="174">
        <v>54.9</v>
      </c>
      <c r="N260" s="174">
        <v>329.4</v>
      </c>
      <c r="O260" t="s">
        <v>1747</v>
      </c>
      <c r="P260" t="s">
        <v>1748</v>
      </c>
      <c r="Q260" s="172">
        <v>78</v>
      </c>
      <c r="R260">
        <v>6</v>
      </c>
      <c r="S260" s="278" t="s">
        <v>3105</v>
      </c>
      <c r="T260" t="s">
        <v>1751</v>
      </c>
      <c r="U260" t="s">
        <v>6472</v>
      </c>
      <c r="V260" t="s">
        <v>6468</v>
      </c>
      <c r="W260" s="250" t="s">
        <v>3499</v>
      </c>
      <c r="X260" s="250" t="s">
        <v>3504</v>
      </c>
    </row>
    <row r="261" spans="1:24" hidden="1" x14ac:dyDescent="0.25">
      <c r="A261" t="s">
        <v>4594</v>
      </c>
      <c r="B261" t="s">
        <v>4594</v>
      </c>
      <c r="C261" s="422" t="s">
        <v>1950</v>
      </c>
      <c r="D261" s="227">
        <v>2023</v>
      </c>
      <c r="E261" t="s">
        <v>1653</v>
      </c>
      <c r="F261" t="s">
        <v>1745</v>
      </c>
      <c r="G261" t="s">
        <v>1746</v>
      </c>
      <c r="H261" t="s">
        <v>1864</v>
      </c>
      <c r="I261" t="s">
        <v>3110</v>
      </c>
      <c r="J261" s="428">
        <v>6</v>
      </c>
      <c r="K261" t="s">
        <v>586</v>
      </c>
      <c r="M261" s="174">
        <v>54.9</v>
      </c>
      <c r="N261" s="174">
        <v>329.4</v>
      </c>
      <c r="O261" t="s">
        <v>1747</v>
      </c>
      <c r="P261" t="s">
        <v>1748</v>
      </c>
      <c r="Q261" s="172">
        <v>78</v>
      </c>
      <c r="R261">
        <v>6</v>
      </c>
      <c r="S261" s="278" t="s">
        <v>3105</v>
      </c>
      <c r="T261" t="s">
        <v>1751</v>
      </c>
      <c r="U261" t="s">
        <v>6472</v>
      </c>
      <c r="V261" t="s">
        <v>6468</v>
      </c>
      <c r="W261" s="250" t="s">
        <v>3499</v>
      </c>
      <c r="X261" s="250" t="s">
        <v>3504</v>
      </c>
    </row>
    <row r="262" spans="1:24" hidden="1" x14ac:dyDescent="0.25">
      <c r="A262" t="s">
        <v>4594</v>
      </c>
      <c r="B262" t="s">
        <v>4594</v>
      </c>
      <c r="C262" s="422" t="s">
        <v>1950</v>
      </c>
      <c r="D262" s="227">
        <v>2023</v>
      </c>
      <c r="E262" t="s">
        <v>1653</v>
      </c>
      <c r="F262" t="s">
        <v>1745</v>
      </c>
      <c r="G262" t="s">
        <v>1746</v>
      </c>
      <c r="H262" t="s">
        <v>1864</v>
      </c>
      <c r="I262" t="s">
        <v>3110</v>
      </c>
      <c r="J262" s="428">
        <v>8</v>
      </c>
      <c r="K262" t="s">
        <v>586</v>
      </c>
      <c r="M262" s="174">
        <v>54.9</v>
      </c>
      <c r="N262" s="174">
        <v>439.2</v>
      </c>
      <c r="O262" t="s">
        <v>1747</v>
      </c>
      <c r="P262" t="s">
        <v>1748</v>
      </c>
      <c r="Q262" s="172">
        <v>78</v>
      </c>
      <c r="R262">
        <v>8</v>
      </c>
      <c r="S262" s="278" t="s">
        <v>3105</v>
      </c>
      <c r="T262" t="s">
        <v>1751</v>
      </c>
      <c r="U262" t="s">
        <v>6472</v>
      </c>
      <c r="V262" t="s">
        <v>6468</v>
      </c>
      <c r="W262" s="250" t="s">
        <v>3499</v>
      </c>
      <c r="X262" s="250" t="s">
        <v>3504</v>
      </c>
    </row>
    <row r="263" spans="1:24" hidden="1" x14ac:dyDescent="0.25">
      <c r="A263" t="s">
        <v>4594</v>
      </c>
      <c r="B263" t="s">
        <v>4594</v>
      </c>
      <c r="C263" s="422" t="s">
        <v>1950</v>
      </c>
      <c r="D263" s="227">
        <v>2023</v>
      </c>
      <c r="E263" t="s">
        <v>1653</v>
      </c>
      <c r="F263" t="s">
        <v>1745</v>
      </c>
      <c r="G263" t="s">
        <v>1746</v>
      </c>
      <c r="H263" t="s">
        <v>1864</v>
      </c>
      <c r="I263" t="s">
        <v>3110</v>
      </c>
      <c r="J263" s="428">
        <v>6</v>
      </c>
      <c r="K263" t="s">
        <v>586</v>
      </c>
      <c r="M263" s="174">
        <v>54.9</v>
      </c>
      <c r="N263" s="174">
        <v>329.4</v>
      </c>
      <c r="O263" t="s">
        <v>1747</v>
      </c>
      <c r="P263" t="s">
        <v>1748</v>
      </c>
      <c r="Q263" s="172">
        <v>78</v>
      </c>
      <c r="R263">
        <v>6</v>
      </c>
      <c r="S263" s="278" t="s">
        <v>3105</v>
      </c>
      <c r="T263" t="s">
        <v>1751</v>
      </c>
      <c r="U263" t="s">
        <v>6472</v>
      </c>
      <c r="V263" t="s">
        <v>6468</v>
      </c>
      <c r="W263" s="250" t="s">
        <v>3499</v>
      </c>
      <c r="X263" s="250" t="s">
        <v>3504</v>
      </c>
    </row>
    <row r="264" spans="1:24" hidden="1" x14ac:dyDescent="0.25">
      <c r="A264" t="s">
        <v>4594</v>
      </c>
      <c r="B264" t="s">
        <v>4594</v>
      </c>
      <c r="C264" s="422" t="s">
        <v>1950</v>
      </c>
      <c r="D264" s="227">
        <v>2023</v>
      </c>
      <c r="E264" t="s">
        <v>1653</v>
      </c>
      <c r="F264" t="s">
        <v>1745</v>
      </c>
      <c r="G264" t="s">
        <v>1746</v>
      </c>
      <c r="H264" t="s">
        <v>1864</v>
      </c>
      <c r="I264" t="s">
        <v>3110</v>
      </c>
      <c r="J264" s="428">
        <v>4</v>
      </c>
      <c r="K264" t="s">
        <v>586</v>
      </c>
      <c r="M264" s="174">
        <v>54.9</v>
      </c>
      <c r="N264" s="174">
        <v>219.6</v>
      </c>
      <c r="O264" t="s">
        <v>1747</v>
      </c>
      <c r="P264" t="s">
        <v>1748</v>
      </c>
      <c r="Q264" s="172">
        <v>78</v>
      </c>
      <c r="R264">
        <v>4</v>
      </c>
      <c r="S264" s="278" t="s">
        <v>3105</v>
      </c>
      <c r="T264" t="s">
        <v>1751</v>
      </c>
      <c r="U264" t="s">
        <v>6472</v>
      </c>
      <c r="V264" t="s">
        <v>6468</v>
      </c>
      <c r="W264" s="250" t="s">
        <v>3499</v>
      </c>
      <c r="X264" s="250" t="s">
        <v>3504</v>
      </c>
    </row>
    <row r="265" spans="1:24" hidden="1" x14ac:dyDescent="0.25">
      <c r="A265" t="s">
        <v>4594</v>
      </c>
      <c r="B265" t="s">
        <v>4594</v>
      </c>
      <c r="C265" s="422" t="s">
        <v>1950</v>
      </c>
      <c r="D265" s="227">
        <v>2023</v>
      </c>
      <c r="E265" t="s">
        <v>1653</v>
      </c>
      <c r="F265" t="s">
        <v>1745</v>
      </c>
      <c r="G265" t="s">
        <v>1746</v>
      </c>
      <c r="H265" t="s">
        <v>1864</v>
      </c>
      <c r="I265" t="s">
        <v>3110</v>
      </c>
      <c r="J265" s="428">
        <v>6</v>
      </c>
      <c r="K265" t="s">
        <v>586</v>
      </c>
      <c r="M265" s="174">
        <v>54.9</v>
      </c>
      <c r="N265" s="174">
        <v>329.4</v>
      </c>
      <c r="O265" t="s">
        <v>1747</v>
      </c>
      <c r="P265" t="s">
        <v>1748</v>
      </c>
      <c r="Q265" s="172">
        <v>78</v>
      </c>
      <c r="R265">
        <v>6</v>
      </c>
      <c r="S265" s="278" t="s">
        <v>3105</v>
      </c>
      <c r="T265" t="s">
        <v>1751</v>
      </c>
      <c r="U265" t="s">
        <v>6472</v>
      </c>
      <c r="V265" t="s">
        <v>6468</v>
      </c>
      <c r="W265" s="250" t="s">
        <v>3499</v>
      </c>
      <c r="X265" s="250" t="s">
        <v>3504</v>
      </c>
    </row>
    <row r="266" spans="1:24" hidden="1" x14ac:dyDescent="0.25">
      <c r="A266" t="s">
        <v>4594</v>
      </c>
      <c r="B266" t="s">
        <v>4594</v>
      </c>
      <c r="C266" s="422" t="s">
        <v>1950</v>
      </c>
      <c r="D266" s="227">
        <v>2023</v>
      </c>
      <c r="E266" t="s">
        <v>1653</v>
      </c>
      <c r="F266" t="s">
        <v>1745</v>
      </c>
      <c r="G266" t="s">
        <v>1746</v>
      </c>
      <c r="H266" t="s">
        <v>1864</v>
      </c>
      <c r="I266" t="s">
        <v>3110</v>
      </c>
      <c r="J266" s="428">
        <v>3</v>
      </c>
      <c r="K266" t="s">
        <v>586</v>
      </c>
      <c r="M266" s="174">
        <v>54.9</v>
      </c>
      <c r="N266" s="174">
        <v>164.7</v>
      </c>
      <c r="O266" t="s">
        <v>1747</v>
      </c>
      <c r="P266" t="s">
        <v>1748</v>
      </c>
      <c r="Q266" s="172">
        <v>78</v>
      </c>
      <c r="R266">
        <v>3</v>
      </c>
      <c r="S266" s="278" t="s">
        <v>3105</v>
      </c>
      <c r="T266" t="s">
        <v>1751</v>
      </c>
      <c r="U266" t="s">
        <v>6472</v>
      </c>
      <c r="V266" t="s">
        <v>6468</v>
      </c>
      <c r="W266" s="250" t="s">
        <v>3499</v>
      </c>
      <c r="X266" s="250" t="s">
        <v>3504</v>
      </c>
    </row>
    <row r="267" spans="1:24" hidden="1" x14ac:dyDescent="0.25">
      <c r="A267" t="s">
        <v>4594</v>
      </c>
      <c r="B267" t="s">
        <v>4594</v>
      </c>
      <c r="C267" s="422" t="s">
        <v>1950</v>
      </c>
      <c r="D267" s="227">
        <v>2023</v>
      </c>
      <c r="E267" t="s">
        <v>1653</v>
      </c>
      <c r="F267" t="s">
        <v>1745</v>
      </c>
      <c r="G267" t="s">
        <v>1746</v>
      </c>
      <c r="H267" t="s">
        <v>1864</v>
      </c>
      <c r="I267" t="s">
        <v>3110</v>
      </c>
      <c r="J267" s="428">
        <v>4</v>
      </c>
      <c r="K267" t="s">
        <v>586</v>
      </c>
      <c r="M267" s="174">
        <v>54.9</v>
      </c>
      <c r="N267" s="174">
        <v>219.6</v>
      </c>
      <c r="O267" t="s">
        <v>1747</v>
      </c>
      <c r="P267" t="s">
        <v>1748</v>
      </c>
      <c r="Q267" s="172">
        <v>78</v>
      </c>
      <c r="R267">
        <v>4</v>
      </c>
      <c r="S267" s="278" t="s">
        <v>3105</v>
      </c>
      <c r="T267" t="s">
        <v>1751</v>
      </c>
      <c r="U267" t="s">
        <v>6472</v>
      </c>
      <c r="V267" t="s">
        <v>6468</v>
      </c>
      <c r="W267" s="250" t="s">
        <v>3499</v>
      </c>
      <c r="X267" s="250" t="s">
        <v>3504</v>
      </c>
    </row>
    <row r="268" spans="1:24" hidden="1" x14ac:dyDescent="0.25">
      <c r="A268" t="s">
        <v>4594</v>
      </c>
      <c r="B268" t="s">
        <v>4594</v>
      </c>
      <c r="C268" s="422" t="s">
        <v>1950</v>
      </c>
      <c r="D268" s="227">
        <v>2023</v>
      </c>
      <c r="E268" t="s">
        <v>1653</v>
      </c>
      <c r="F268" t="s">
        <v>1745</v>
      </c>
      <c r="G268" t="s">
        <v>1746</v>
      </c>
      <c r="H268" t="s">
        <v>1864</v>
      </c>
      <c r="I268" t="s">
        <v>3110</v>
      </c>
      <c r="J268" s="428">
        <v>2</v>
      </c>
      <c r="K268" t="s">
        <v>586</v>
      </c>
      <c r="M268" s="174">
        <v>54.9</v>
      </c>
      <c r="N268" s="174">
        <v>109.8</v>
      </c>
      <c r="O268" t="s">
        <v>1747</v>
      </c>
      <c r="P268" t="s">
        <v>1748</v>
      </c>
      <c r="Q268" s="172">
        <v>78</v>
      </c>
      <c r="R268">
        <v>2</v>
      </c>
      <c r="S268" s="278" t="s">
        <v>3105</v>
      </c>
      <c r="T268" t="s">
        <v>1751</v>
      </c>
      <c r="U268" t="s">
        <v>6472</v>
      </c>
      <c r="V268" t="s">
        <v>6468</v>
      </c>
      <c r="W268" s="250" t="s">
        <v>3499</v>
      </c>
      <c r="X268" s="250" t="s">
        <v>3504</v>
      </c>
    </row>
    <row r="269" spans="1:24" hidden="1" x14ac:dyDescent="0.25">
      <c r="A269" t="s">
        <v>4594</v>
      </c>
      <c r="B269" t="s">
        <v>4594</v>
      </c>
      <c r="C269" s="422" t="s">
        <v>1950</v>
      </c>
      <c r="D269" s="227">
        <v>2023</v>
      </c>
      <c r="E269" t="s">
        <v>1653</v>
      </c>
      <c r="F269" t="s">
        <v>1745</v>
      </c>
      <c r="G269" t="s">
        <v>1746</v>
      </c>
      <c r="H269" t="s">
        <v>1864</v>
      </c>
      <c r="I269" t="s">
        <v>3110</v>
      </c>
      <c r="J269" s="428">
        <v>4</v>
      </c>
      <c r="K269" t="s">
        <v>586</v>
      </c>
      <c r="M269" s="174">
        <v>54.9</v>
      </c>
      <c r="N269" s="174">
        <v>219.6</v>
      </c>
      <c r="O269" t="s">
        <v>1747</v>
      </c>
      <c r="P269" t="s">
        <v>1748</v>
      </c>
      <c r="Q269" s="172">
        <v>78</v>
      </c>
      <c r="R269">
        <v>4</v>
      </c>
      <c r="S269" s="278" t="s">
        <v>3105</v>
      </c>
      <c r="T269" t="s">
        <v>1751</v>
      </c>
      <c r="U269" t="s">
        <v>6472</v>
      </c>
      <c r="V269" t="s">
        <v>6468</v>
      </c>
      <c r="W269" s="250" t="s">
        <v>3499</v>
      </c>
      <c r="X269" s="250" t="s">
        <v>3504</v>
      </c>
    </row>
    <row r="270" spans="1:24" hidden="1" x14ac:dyDescent="0.25">
      <c r="A270" t="s">
        <v>4594</v>
      </c>
      <c r="B270" t="s">
        <v>4594</v>
      </c>
      <c r="C270" s="422" t="s">
        <v>1950</v>
      </c>
      <c r="D270" s="227">
        <v>2023</v>
      </c>
      <c r="E270" t="s">
        <v>1653</v>
      </c>
      <c r="F270" t="s">
        <v>1745</v>
      </c>
      <c r="G270" t="s">
        <v>1746</v>
      </c>
      <c r="H270" t="s">
        <v>1864</v>
      </c>
      <c r="I270" t="s">
        <v>3110</v>
      </c>
      <c r="J270" s="428">
        <v>2</v>
      </c>
      <c r="K270" t="s">
        <v>586</v>
      </c>
      <c r="M270" s="174">
        <v>54.9</v>
      </c>
      <c r="N270" s="174">
        <v>109.8</v>
      </c>
      <c r="O270" t="s">
        <v>1747</v>
      </c>
      <c r="P270" t="s">
        <v>1748</v>
      </c>
      <c r="Q270" s="172">
        <v>78</v>
      </c>
      <c r="R270">
        <v>2</v>
      </c>
      <c r="S270" s="278" t="s">
        <v>3105</v>
      </c>
      <c r="T270" t="s">
        <v>1751</v>
      </c>
      <c r="U270" t="s">
        <v>6472</v>
      </c>
      <c r="V270" t="s">
        <v>6468</v>
      </c>
      <c r="W270" s="250" t="s">
        <v>3499</v>
      </c>
      <c r="X270" s="250" t="s">
        <v>3504</v>
      </c>
    </row>
    <row r="271" spans="1:24" hidden="1" x14ac:dyDescent="0.25">
      <c r="A271" t="s">
        <v>4594</v>
      </c>
      <c r="B271" t="s">
        <v>4594</v>
      </c>
      <c r="C271" s="422" t="s">
        <v>1950</v>
      </c>
      <c r="D271" s="227">
        <v>2023</v>
      </c>
      <c r="E271" t="s">
        <v>1653</v>
      </c>
      <c r="F271" t="s">
        <v>1745</v>
      </c>
      <c r="G271" t="s">
        <v>1746</v>
      </c>
      <c r="H271" t="s">
        <v>1864</v>
      </c>
      <c r="I271" t="s">
        <v>3110</v>
      </c>
      <c r="J271" s="428">
        <v>6</v>
      </c>
      <c r="K271" t="s">
        <v>586</v>
      </c>
      <c r="M271" s="174">
        <v>54.9</v>
      </c>
      <c r="N271" s="174">
        <v>329.4</v>
      </c>
      <c r="O271" t="s">
        <v>1747</v>
      </c>
      <c r="P271" t="s">
        <v>1748</v>
      </c>
      <c r="Q271" s="172">
        <v>78</v>
      </c>
      <c r="R271">
        <v>6</v>
      </c>
      <c r="S271" s="278" t="s">
        <v>3105</v>
      </c>
      <c r="T271" t="s">
        <v>1751</v>
      </c>
      <c r="U271" t="s">
        <v>6472</v>
      </c>
      <c r="V271" t="s">
        <v>6468</v>
      </c>
      <c r="W271" s="250" t="s">
        <v>3499</v>
      </c>
      <c r="X271" s="250" t="s">
        <v>3504</v>
      </c>
    </row>
    <row r="272" spans="1:24" hidden="1" x14ac:dyDescent="0.25">
      <c r="A272" t="s">
        <v>4594</v>
      </c>
      <c r="B272" t="s">
        <v>4594</v>
      </c>
      <c r="C272" s="422" t="s">
        <v>1950</v>
      </c>
      <c r="D272" s="227">
        <v>2023</v>
      </c>
      <c r="E272" t="s">
        <v>1653</v>
      </c>
      <c r="F272" t="s">
        <v>1745</v>
      </c>
      <c r="G272" t="s">
        <v>1746</v>
      </c>
      <c r="H272" t="s">
        <v>1864</v>
      </c>
      <c r="I272" t="s">
        <v>3110</v>
      </c>
      <c r="J272" s="428">
        <v>8</v>
      </c>
      <c r="K272" t="s">
        <v>586</v>
      </c>
      <c r="M272" s="174">
        <v>54.9</v>
      </c>
      <c r="N272" s="174">
        <v>439.2</v>
      </c>
      <c r="O272" t="s">
        <v>1747</v>
      </c>
      <c r="P272" t="s">
        <v>1748</v>
      </c>
      <c r="Q272" s="172">
        <v>78</v>
      </c>
      <c r="R272">
        <v>8</v>
      </c>
      <c r="S272" s="278" t="s">
        <v>3105</v>
      </c>
      <c r="T272" t="s">
        <v>1751</v>
      </c>
      <c r="U272" t="s">
        <v>6472</v>
      </c>
      <c r="V272" t="s">
        <v>6468</v>
      </c>
      <c r="W272" s="250" t="s">
        <v>3499</v>
      </c>
      <c r="X272" s="250" t="s">
        <v>3504</v>
      </c>
    </row>
    <row r="273" spans="1:24" hidden="1" x14ac:dyDescent="0.25">
      <c r="A273" t="s">
        <v>4594</v>
      </c>
      <c r="B273" t="s">
        <v>4594</v>
      </c>
      <c r="C273" s="422" t="s">
        <v>1950</v>
      </c>
      <c r="D273" s="227">
        <v>2023</v>
      </c>
      <c r="E273" t="s">
        <v>1653</v>
      </c>
      <c r="F273" t="s">
        <v>1745</v>
      </c>
      <c r="G273" t="s">
        <v>1746</v>
      </c>
      <c r="H273" t="s">
        <v>1864</v>
      </c>
      <c r="I273" t="s">
        <v>3110</v>
      </c>
      <c r="J273" s="428">
        <v>4</v>
      </c>
      <c r="K273" t="s">
        <v>586</v>
      </c>
      <c r="M273" s="174">
        <v>54.9</v>
      </c>
      <c r="N273" s="174">
        <v>219.6</v>
      </c>
      <c r="O273" t="s">
        <v>1747</v>
      </c>
      <c r="P273" t="s">
        <v>1748</v>
      </c>
      <c r="Q273" s="172">
        <v>78</v>
      </c>
      <c r="R273">
        <v>4</v>
      </c>
      <c r="S273" s="278" t="s">
        <v>3105</v>
      </c>
      <c r="T273" t="s">
        <v>1751</v>
      </c>
      <c r="U273" t="s">
        <v>6472</v>
      </c>
      <c r="V273" t="s">
        <v>6468</v>
      </c>
      <c r="W273" s="250" t="s">
        <v>3499</v>
      </c>
      <c r="X273" s="250" t="s">
        <v>3504</v>
      </c>
    </row>
    <row r="274" spans="1:24" hidden="1" x14ac:dyDescent="0.25">
      <c r="A274" t="s">
        <v>4594</v>
      </c>
      <c r="B274" t="s">
        <v>4594</v>
      </c>
      <c r="C274" s="422" t="s">
        <v>1950</v>
      </c>
      <c r="D274" s="227">
        <v>2023</v>
      </c>
      <c r="E274" t="s">
        <v>1653</v>
      </c>
      <c r="F274" t="s">
        <v>1745</v>
      </c>
      <c r="G274" t="s">
        <v>1746</v>
      </c>
      <c r="H274" t="s">
        <v>1864</v>
      </c>
      <c r="I274" t="s">
        <v>3110</v>
      </c>
      <c r="J274" s="428">
        <v>6</v>
      </c>
      <c r="K274" t="s">
        <v>586</v>
      </c>
      <c r="M274" s="174">
        <v>54.9</v>
      </c>
      <c r="N274" s="174">
        <v>329.4</v>
      </c>
      <c r="O274" t="s">
        <v>1747</v>
      </c>
      <c r="P274" t="s">
        <v>1748</v>
      </c>
      <c r="Q274" s="172">
        <v>78</v>
      </c>
      <c r="R274">
        <v>6</v>
      </c>
      <c r="S274" s="278" t="s">
        <v>3105</v>
      </c>
      <c r="T274" t="s">
        <v>1751</v>
      </c>
      <c r="U274" t="s">
        <v>6472</v>
      </c>
      <c r="V274" t="s">
        <v>6468</v>
      </c>
      <c r="W274" s="250" t="s">
        <v>3499</v>
      </c>
      <c r="X274" s="250" t="s">
        <v>3504</v>
      </c>
    </row>
    <row r="275" spans="1:24" hidden="1" x14ac:dyDescent="0.25">
      <c r="A275" t="s">
        <v>4594</v>
      </c>
      <c r="B275" t="s">
        <v>4594</v>
      </c>
      <c r="C275" s="422" t="s">
        <v>1950</v>
      </c>
      <c r="D275" s="227">
        <v>2023</v>
      </c>
      <c r="E275" t="s">
        <v>1653</v>
      </c>
      <c r="F275" t="s">
        <v>1745</v>
      </c>
      <c r="G275" t="s">
        <v>1746</v>
      </c>
      <c r="H275" t="s">
        <v>1864</v>
      </c>
      <c r="I275" t="s">
        <v>3110</v>
      </c>
      <c r="J275" s="428">
        <v>6</v>
      </c>
      <c r="K275" t="s">
        <v>586</v>
      </c>
      <c r="M275" s="174">
        <v>54.9</v>
      </c>
      <c r="N275" s="174">
        <v>329.4</v>
      </c>
      <c r="O275" t="s">
        <v>1747</v>
      </c>
      <c r="P275" t="s">
        <v>1748</v>
      </c>
      <c r="Q275" s="172">
        <v>78</v>
      </c>
      <c r="R275">
        <v>6</v>
      </c>
      <c r="S275" s="278" t="s">
        <v>3105</v>
      </c>
      <c r="T275" t="s">
        <v>1751</v>
      </c>
      <c r="U275" t="s">
        <v>6472</v>
      </c>
      <c r="V275" t="s">
        <v>6468</v>
      </c>
      <c r="W275" s="250" t="s">
        <v>3499</v>
      </c>
      <c r="X275" s="250" t="s">
        <v>3504</v>
      </c>
    </row>
    <row r="276" spans="1:24" hidden="1" x14ac:dyDescent="0.25">
      <c r="A276" t="s">
        <v>4594</v>
      </c>
      <c r="B276" t="s">
        <v>4594</v>
      </c>
      <c r="C276" s="422" t="s">
        <v>1950</v>
      </c>
      <c r="D276" s="227">
        <v>2023</v>
      </c>
      <c r="E276" t="s">
        <v>1653</v>
      </c>
      <c r="F276" t="s">
        <v>1745</v>
      </c>
      <c r="G276" t="s">
        <v>1746</v>
      </c>
      <c r="H276" t="s">
        <v>1864</v>
      </c>
      <c r="I276" t="s">
        <v>3110</v>
      </c>
      <c r="J276" s="428">
        <v>8</v>
      </c>
      <c r="K276" t="s">
        <v>586</v>
      </c>
      <c r="M276" s="174">
        <v>54.9</v>
      </c>
      <c r="N276" s="174">
        <v>439.2</v>
      </c>
      <c r="O276" t="s">
        <v>1747</v>
      </c>
      <c r="P276" t="s">
        <v>1748</v>
      </c>
      <c r="Q276" s="172">
        <v>78</v>
      </c>
      <c r="R276">
        <v>8</v>
      </c>
      <c r="S276" s="278" t="s">
        <v>3105</v>
      </c>
      <c r="T276" t="s">
        <v>1751</v>
      </c>
      <c r="U276" t="s">
        <v>6472</v>
      </c>
      <c r="V276" t="s">
        <v>6468</v>
      </c>
      <c r="W276" s="250" t="s">
        <v>3499</v>
      </c>
      <c r="X276" s="250" t="s">
        <v>3504</v>
      </c>
    </row>
    <row r="277" spans="1:24" hidden="1" x14ac:dyDescent="0.25">
      <c r="A277" t="s">
        <v>4594</v>
      </c>
      <c r="B277" t="s">
        <v>4594</v>
      </c>
      <c r="C277" s="422" t="s">
        <v>1950</v>
      </c>
      <c r="D277" s="227">
        <v>2023</v>
      </c>
      <c r="E277" t="s">
        <v>1653</v>
      </c>
      <c r="F277" t="s">
        <v>1745</v>
      </c>
      <c r="G277" t="s">
        <v>1746</v>
      </c>
      <c r="H277" t="s">
        <v>1864</v>
      </c>
      <c r="I277" t="s">
        <v>3110</v>
      </c>
      <c r="J277" s="428">
        <v>6</v>
      </c>
      <c r="K277" t="s">
        <v>586</v>
      </c>
      <c r="M277" s="174">
        <v>54.9</v>
      </c>
      <c r="N277" s="174">
        <v>329.4</v>
      </c>
      <c r="O277" t="s">
        <v>1747</v>
      </c>
      <c r="P277" t="s">
        <v>1748</v>
      </c>
      <c r="Q277" s="172">
        <v>78</v>
      </c>
      <c r="R277">
        <v>6</v>
      </c>
      <c r="S277" s="278" t="s">
        <v>3105</v>
      </c>
      <c r="T277" t="s">
        <v>1751</v>
      </c>
      <c r="U277" t="s">
        <v>6472</v>
      </c>
      <c r="V277" t="s">
        <v>6468</v>
      </c>
      <c r="W277" s="250" t="s">
        <v>3499</v>
      </c>
      <c r="X277" s="250" t="s">
        <v>3504</v>
      </c>
    </row>
    <row r="278" spans="1:24" hidden="1" x14ac:dyDescent="0.25">
      <c r="A278" t="s">
        <v>4594</v>
      </c>
      <c r="B278" t="s">
        <v>4594</v>
      </c>
      <c r="C278" s="422" t="s">
        <v>1950</v>
      </c>
      <c r="D278" s="227">
        <v>2023</v>
      </c>
      <c r="E278" t="s">
        <v>1653</v>
      </c>
      <c r="F278" t="s">
        <v>1745</v>
      </c>
      <c r="G278" t="s">
        <v>1746</v>
      </c>
      <c r="H278" t="s">
        <v>1864</v>
      </c>
      <c r="I278" t="s">
        <v>3110</v>
      </c>
      <c r="J278" s="428">
        <v>4</v>
      </c>
      <c r="K278" t="s">
        <v>586</v>
      </c>
      <c r="M278" s="174">
        <v>54.9</v>
      </c>
      <c r="N278" s="174">
        <v>219.6</v>
      </c>
      <c r="O278" t="s">
        <v>1747</v>
      </c>
      <c r="P278" t="s">
        <v>1748</v>
      </c>
      <c r="Q278" s="172">
        <v>78</v>
      </c>
      <c r="R278">
        <v>4</v>
      </c>
      <c r="S278" s="278" t="s">
        <v>3105</v>
      </c>
      <c r="T278" t="s">
        <v>1751</v>
      </c>
      <c r="U278" t="s">
        <v>6472</v>
      </c>
      <c r="V278" t="s">
        <v>6468</v>
      </c>
      <c r="W278" s="250" t="s">
        <v>3499</v>
      </c>
      <c r="X278" s="250" t="s">
        <v>3504</v>
      </c>
    </row>
    <row r="279" spans="1:24" hidden="1" x14ac:dyDescent="0.25">
      <c r="A279" t="s">
        <v>4594</v>
      </c>
      <c r="B279" t="s">
        <v>4594</v>
      </c>
      <c r="C279" s="422" t="s">
        <v>1950</v>
      </c>
      <c r="D279" s="227">
        <v>2023</v>
      </c>
      <c r="E279" t="s">
        <v>1653</v>
      </c>
      <c r="F279" t="s">
        <v>1745</v>
      </c>
      <c r="G279" t="s">
        <v>1746</v>
      </c>
      <c r="H279" t="s">
        <v>1864</v>
      </c>
      <c r="I279" t="s">
        <v>3110</v>
      </c>
      <c r="J279" s="428">
        <v>6</v>
      </c>
      <c r="K279" t="s">
        <v>586</v>
      </c>
      <c r="M279" s="174">
        <v>54.9</v>
      </c>
      <c r="N279" s="174">
        <v>329.4</v>
      </c>
      <c r="O279" t="s">
        <v>1747</v>
      </c>
      <c r="P279" t="s">
        <v>1748</v>
      </c>
      <c r="Q279" s="172">
        <v>78</v>
      </c>
      <c r="R279">
        <v>6</v>
      </c>
      <c r="S279" s="278" t="s">
        <v>3105</v>
      </c>
      <c r="T279" t="s">
        <v>1751</v>
      </c>
      <c r="U279" t="s">
        <v>6472</v>
      </c>
      <c r="V279" t="s">
        <v>6468</v>
      </c>
      <c r="W279" s="250" t="s">
        <v>3499</v>
      </c>
      <c r="X279" s="250" t="s">
        <v>3504</v>
      </c>
    </row>
    <row r="280" spans="1:24" hidden="1" x14ac:dyDescent="0.25">
      <c r="A280" t="s">
        <v>4594</v>
      </c>
      <c r="B280" t="s">
        <v>4594</v>
      </c>
      <c r="C280" s="422" t="s">
        <v>1950</v>
      </c>
      <c r="D280" s="227">
        <v>2023</v>
      </c>
      <c r="E280" t="s">
        <v>1653</v>
      </c>
      <c r="F280" t="s">
        <v>1745</v>
      </c>
      <c r="G280" t="s">
        <v>1746</v>
      </c>
      <c r="H280" t="s">
        <v>1864</v>
      </c>
      <c r="I280" t="s">
        <v>3110</v>
      </c>
      <c r="J280" s="428">
        <v>3</v>
      </c>
      <c r="K280" t="s">
        <v>586</v>
      </c>
      <c r="M280" s="174">
        <v>54.9</v>
      </c>
      <c r="N280" s="174">
        <v>164.7</v>
      </c>
      <c r="O280" t="s">
        <v>1747</v>
      </c>
      <c r="P280" t="s">
        <v>1748</v>
      </c>
      <c r="Q280" s="172">
        <v>78</v>
      </c>
      <c r="R280">
        <v>3</v>
      </c>
      <c r="S280" s="278" t="s">
        <v>3105</v>
      </c>
      <c r="T280" t="s">
        <v>1751</v>
      </c>
      <c r="U280" t="s">
        <v>6472</v>
      </c>
      <c r="V280" t="s">
        <v>6468</v>
      </c>
      <c r="W280" s="250" t="s">
        <v>3499</v>
      </c>
      <c r="X280" s="250" t="s">
        <v>3504</v>
      </c>
    </row>
    <row r="281" spans="1:24" hidden="1" x14ac:dyDescent="0.25">
      <c r="A281" t="s">
        <v>4594</v>
      </c>
      <c r="B281" t="s">
        <v>4594</v>
      </c>
      <c r="C281" s="422" t="s">
        <v>1950</v>
      </c>
      <c r="D281" s="227">
        <v>2023</v>
      </c>
      <c r="E281" t="s">
        <v>1653</v>
      </c>
      <c r="F281" t="s">
        <v>1745</v>
      </c>
      <c r="G281" t="s">
        <v>1746</v>
      </c>
      <c r="H281" t="s">
        <v>1864</v>
      </c>
      <c r="I281" t="s">
        <v>3110</v>
      </c>
      <c r="J281" s="428">
        <v>4</v>
      </c>
      <c r="K281" t="s">
        <v>586</v>
      </c>
      <c r="M281" s="174">
        <v>54.9</v>
      </c>
      <c r="N281" s="174">
        <v>219.6</v>
      </c>
      <c r="O281" t="s">
        <v>1747</v>
      </c>
      <c r="P281" t="s">
        <v>1748</v>
      </c>
      <c r="Q281" s="172">
        <v>78</v>
      </c>
      <c r="R281">
        <v>4</v>
      </c>
      <c r="S281" s="278" t="s">
        <v>3105</v>
      </c>
      <c r="T281" t="s">
        <v>1751</v>
      </c>
      <c r="U281" t="s">
        <v>6472</v>
      </c>
      <c r="V281" t="s">
        <v>6468</v>
      </c>
      <c r="W281" s="250" t="s">
        <v>3499</v>
      </c>
      <c r="X281" s="250" t="s">
        <v>3504</v>
      </c>
    </row>
    <row r="282" spans="1:24" hidden="1" x14ac:dyDescent="0.25">
      <c r="A282" t="s">
        <v>4594</v>
      </c>
      <c r="B282" t="s">
        <v>4594</v>
      </c>
      <c r="C282" s="422" t="s">
        <v>1950</v>
      </c>
      <c r="D282" s="227">
        <v>2023</v>
      </c>
      <c r="E282" t="s">
        <v>1653</v>
      </c>
      <c r="F282" t="s">
        <v>1745</v>
      </c>
      <c r="G282" t="s">
        <v>1746</v>
      </c>
      <c r="H282" t="s">
        <v>1864</v>
      </c>
      <c r="I282" t="s">
        <v>3110</v>
      </c>
      <c r="J282" s="428">
        <v>2</v>
      </c>
      <c r="K282" t="s">
        <v>586</v>
      </c>
      <c r="M282" s="174">
        <v>54.9</v>
      </c>
      <c r="N282" s="174">
        <v>109.8</v>
      </c>
      <c r="O282" t="s">
        <v>1747</v>
      </c>
      <c r="P282" t="s">
        <v>1748</v>
      </c>
      <c r="Q282" s="172">
        <v>78</v>
      </c>
      <c r="R282">
        <v>2</v>
      </c>
      <c r="S282" s="278" t="s">
        <v>3105</v>
      </c>
      <c r="T282" t="s">
        <v>1751</v>
      </c>
      <c r="U282" t="s">
        <v>6472</v>
      </c>
      <c r="V282" t="s">
        <v>6468</v>
      </c>
      <c r="W282" s="250" t="s">
        <v>3499</v>
      </c>
      <c r="X282" s="250" t="s">
        <v>3504</v>
      </c>
    </row>
    <row r="283" spans="1:24" hidden="1" x14ac:dyDescent="0.25">
      <c r="A283" t="s">
        <v>4594</v>
      </c>
      <c r="B283" t="s">
        <v>4594</v>
      </c>
      <c r="C283" s="422" t="s">
        <v>1950</v>
      </c>
      <c r="D283" s="227">
        <v>2023</v>
      </c>
      <c r="E283" t="s">
        <v>1653</v>
      </c>
      <c r="F283" t="s">
        <v>1745</v>
      </c>
      <c r="G283" t="s">
        <v>1746</v>
      </c>
      <c r="H283" t="s">
        <v>1864</v>
      </c>
      <c r="I283" t="s">
        <v>3110</v>
      </c>
      <c r="J283" s="428">
        <v>4</v>
      </c>
      <c r="K283" t="s">
        <v>586</v>
      </c>
      <c r="M283" s="174">
        <v>54.9</v>
      </c>
      <c r="N283" s="174">
        <v>219.6</v>
      </c>
      <c r="O283" t="s">
        <v>1747</v>
      </c>
      <c r="P283" t="s">
        <v>1748</v>
      </c>
      <c r="Q283" s="172">
        <v>78</v>
      </c>
      <c r="R283">
        <v>4</v>
      </c>
      <c r="S283" s="278" t="s">
        <v>3105</v>
      </c>
      <c r="T283" t="s">
        <v>1751</v>
      </c>
      <c r="U283" t="s">
        <v>6472</v>
      </c>
      <c r="V283" t="s">
        <v>6468</v>
      </c>
      <c r="W283" s="250" t="s">
        <v>3499</v>
      </c>
      <c r="X283" s="250" t="s">
        <v>3504</v>
      </c>
    </row>
    <row r="284" spans="1:24" hidden="1" x14ac:dyDescent="0.25">
      <c r="A284" s="422" t="s">
        <v>4594</v>
      </c>
      <c r="B284" s="422" t="s">
        <v>4594</v>
      </c>
      <c r="C284" s="422" t="s">
        <v>1950</v>
      </c>
      <c r="D284" s="227">
        <v>2023</v>
      </c>
      <c r="E284" t="s">
        <v>1653</v>
      </c>
      <c r="F284" t="s">
        <v>1745</v>
      </c>
      <c r="G284" t="s">
        <v>1746</v>
      </c>
      <c r="H284" t="s">
        <v>1864</v>
      </c>
      <c r="I284" t="s">
        <v>3110</v>
      </c>
      <c r="J284" s="428">
        <v>2</v>
      </c>
      <c r="K284" t="s">
        <v>586</v>
      </c>
      <c r="M284" s="174">
        <v>54.9</v>
      </c>
      <c r="N284" s="174">
        <v>109.8</v>
      </c>
      <c r="O284" t="s">
        <v>1747</v>
      </c>
      <c r="P284" t="s">
        <v>1748</v>
      </c>
      <c r="Q284" s="172">
        <v>78</v>
      </c>
      <c r="R284">
        <v>2</v>
      </c>
      <c r="S284" s="278" t="s">
        <v>3105</v>
      </c>
      <c r="T284" t="s">
        <v>1751</v>
      </c>
      <c r="U284" t="s">
        <v>6472</v>
      </c>
      <c r="V284" t="s">
        <v>6468</v>
      </c>
      <c r="W284" s="250" t="s">
        <v>3499</v>
      </c>
      <c r="X284" s="250" t="s">
        <v>3504</v>
      </c>
    </row>
    <row r="285" spans="1:24" hidden="1" x14ac:dyDescent="0.25">
      <c r="A285" t="s">
        <v>4594</v>
      </c>
      <c r="B285" t="s">
        <v>4594</v>
      </c>
      <c r="C285" s="422" t="s">
        <v>1950</v>
      </c>
      <c r="D285" s="227">
        <v>2023</v>
      </c>
      <c r="E285" t="s">
        <v>1653</v>
      </c>
      <c r="F285" t="s">
        <v>1745</v>
      </c>
      <c r="G285" t="s">
        <v>1746</v>
      </c>
      <c r="H285" t="s">
        <v>1864</v>
      </c>
      <c r="I285" t="s">
        <v>3110</v>
      </c>
      <c r="J285" s="428">
        <v>6</v>
      </c>
      <c r="K285" t="s">
        <v>586</v>
      </c>
      <c r="M285" s="174">
        <v>54.9</v>
      </c>
      <c r="N285" s="174">
        <v>329.4</v>
      </c>
      <c r="O285" t="s">
        <v>1747</v>
      </c>
      <c r="P285" t="s">
        <v>3114</v>
      </c>
      <c r="Q285" s="172">
        <v>78</v>
      </c>
      <c r="R285">
        <v>6</v>
      </c>
      <c r="S285" s="278" t="s">
        <v>3105</v>
      </c>
      <c r="T285" t="s">
        <v>1751</v>
      </c>
      <c r="U285" t="s">
        <v>6472</v>
      </c>
      <c r="V285" t="s">
        <v>6468</v>
      </c>
      <c r="W285" s="250" t="s">
        <v>3499</v>
      </c>
      <c r="X285" s="250" t="s">
        <v>3504</v>
      </c>
    </row>
    <row r="286" spans="1:24" hidden="1" x14ac:dyDescent="0.25">
      <c r="A286" t="s">
        <v>4594</v>
      </c>
      <c r="B286" t="s">
        <v>4594</v>
      </c>
      <c r="C286" s="422" t="s">
        <v>1950</v>
      </c>
      <c r="D286" s="227">
        <v>2023</v>
      </c>
      <c r="E286" t="s">
        <v>1653</v>
      </c>
      <c r="F286" t="s">
        <v>1745</v>
      </c>
      <c r="G286" t="s">
        <v>1746</v>
      </c>
      <c r="H286" t="s">
        <v>1864</v>
      </c>
      <c r="I286" t="s">
        <v>3110</v>
      </c>
      <c r="J286" s="428">
        <v>4</v>
      </c>
      <c r="K286" t="s">
        <v>586</v>
      </c>
      <c r="M286" s="174">
        <v>54.9</v>
      </c>
      <c r="N286" s="174">
        <v>219.6</v>
      </c>
      <c r="O286" t="s">
        <v>1747</v>
      </c>
      <c r="P286" t="s">
        <v>3114</v>
      </c>
      <c r="Q286" s="172">
        <v>78</v>
      </c>
      <c r="R286">
        <v>4</v>
      </c>
      <c r="S286" s="278" t="s">
        <v>3105</v>
      </c>
      <c r="T286" t="s">
        <v>1751</v>
      </c>
      <c r="U286" t="s">
        <v>6472</v>
      </c>
      <c r="V286" t="s">
        <v>6468</v>
      </c>
      <c r="W286" s="250" t="s">
        <v>3499</v>
      </c>
      <c r="X286" s="250" t="s">
        <v>3504</v>
      </c>
    </row>
    <row r="287" spans="1:24" hidden="1" x14ac:dyDescent="0.25">
      <c r="A287" t="s">
        <v>4594</v>
      </c>
      <c r="B287" t="s">
        <v>4594</v>
      </c>
      <c r="C287" s="422" t="s">
        <v>1950</v>
      </c>
      <c r="D287" s="227">
        <v>2023</v>
      </c>
      <c r="E287" t="s">
        <v>1653</v>
      </c>
      <c r="F287" t="s">
        <v>1745</v>
      </c>
      <c r="G287" t="s">
        <v>1746</v>
      </c>
      <c r="H287" t="s">
        <v>1864</v>
      </c>
      <c r="I287" t="s">
        <v>3110</v>
      </c>
      <c r="J287" s="428">
        <v>4</v>
      </c>
      <c r="K287" t="s">
        <v>586</v>
      </c>
      <c r="M287" s="174">
        <v>54.9</v>
      </c>
      <c r="N287" s="174">
        <v>219.6</v>
      </c>
      <c r="O287" t="s">
        <v>1747</v>
      </c>
      <c r="P287" t="s">
        <v>3114</v>
      </c>
      <c r="Q287" s="172">
        <v>78</v>
      </c>
      <c r="R287">
        <v>4</v>
      </c>
      <c r="S287" s="278" t="s">
        <v>3105</v>
      </c>
      <c r="T287" t="s">
        <v>1751</v>
      </c>
      <c r="U287" t="s">
        <v>6472</v>
      </c>
      <c r="V287" t="s">
        <v>6468</v>
      </c>
      <c r="W287" s="250" t="s">
        <v>3499</v>
      </c>
      <c r="X287" s="250" t="s">
        <v>3504</v>
      </c>
    </row>
    <row r="288" spans="1:24" hidden="1" x14ac:dyDescent="0.25">
      <c r="A288" t="s">
        <v>4594</v>
      </c>
      <c r="B288" t="s">
        <v>4594</v>
      </c>
      <c r="C288" s="422" t="s">
        <v>1950</v>
      </c>
      <c r="D288" s="227">
        <v>2023</v>
      </c>
      <c r="E288" t="s">
        <v>1653</v>
      </c>
      <c r="F288" t="s">
        <v>1745</v>
      </c>
      <c r="G288" t="s">
        <v>1746</v>
      </c>
      <c r="H288" t="s">
        <v>1864</v>
      </c>
      <c r="I288" t="s">
        <v>3110</v>
      </c>
      <c r="J288" s="428">
        <v>2</v>
      </c>
      <c r="K288" t="s">
        <v>586</v>
      </c>
      <c r="M288" s="174">
        <v>54.9</v>
      </c>
      <c r="N288" s="174">
        <v>109.8</v>
      </c>
      <c r="O288" t="s">
        <v>1747</v>
      </c>
      <c r="P288" t="s">
        <v>3114</v>
      </c>
      <c r="Q288" s="172">
        <v>78</v>
      </c>
      <c r="R288">
        <v>2</v>
      </c>
      <c r="S288" s="278" t="s">
        <v>3105</v>
      </c>
      <c r="T288" t="s">
        <v>1751</v>
      </c>
      <c r="U288" t="s">
        <v>6472</v>
      </c>
      <c r="V288" t="s">
        <v>6468</v>
      </c>
      <c r="W288" s="250" t="s">
        <v>3499</v>
      </c>
      <c r="X288" s="250" t="s">
        <v>3504</v>
      </c>
    </row>
    <row r="289" spans="1:24" hidden="1" x14ac:dyDescent="0.25">
      <c r="A289" t="s">
        <v>4594</v>
      </c>
      <c r="B289" t="s">
        <v>4594</v>
      </c>
      <c r="C289" s="422" t="s">
        <v>1950</v>
      </c>
      <c r="D289" s="227">
        <v>2023</v>
      </c>
      <c r="E289" t="s">
        <v>1653</v>
      </c>
      <c r="F289" t="s">
        <v>1745</v>
      </c>
      <c r="G289" t="s">
        <v>1746</v>
      </c>
      <c r="H289" t="s">
        <v>1864</v>
      </c>
      <c r="I289" t="s">
        <v>3110</v>
      </c>
      <c r="J289" s="428">
        <v>4</v>
      </c>
      <c r="K289" t="s">
        <v>586</v>
      </c>
      <c r="M289" s="174">
        <v>54.9</v>
      </c>
      <c r="N289" s="174">
        <v>219.6</v>
      </c>
      <c r="O289" t="s">
        <v>1747</v>
      </c>
      <c r="P289" t="s">
        <v>3114</v>
      </c>
      <c r="Q289" s="172">
        <v>78</v>
      </c>
      <c r="R289">
        <v>4</v>
      </c>
      <c r="S289" s="278" t="s">
        <v>3105</v>
      </c>
      <c r="T289" t="s">
        <v>1751</v>
      </c>
      <c r="U289" t="s">
        <v>6472</v>
      </c>
      <c r="V289" t="s">
        <v>6468</v>
      </c>
      <c r="W289" s="250" t="s">
        <v>3499</v>
      </c>
      <c r="X289" s="250" t="s">
        <v>3504</v>
      </c>
    </row>
    <row r="290" spans="1:24" hidden="1" x14ac:dyDescent="0.25">
      <c r="A290" t="s">
        <v>4594</v>
      </c>
      <c r="B290" t="s">
        <v>4594</v>
      </c>
      <c r="C290" s="422" t="s">
        <v>1950</v>
      </c>
      <c r="D290" s="227">
        <v>2023</v>
      </c>
      <c r="E290" t="s">
        <v>1653</v>
      </c>
      <c r="F290" t="s">
        <v>1745</v>
      </c>
      <c r="G290" t="s">
        <v>1746</v>
      </c>
      <c r="H290" t="s">
        <v>1864</v>
      </c>
      <c r="I290" t="s">
        <v>3110</v>
      </c>
      <c r="J290" s="428">
        <v>4</v>
      </c>
      <c r="K290" t="s">
        <v>586</v>
      </c>
      <c r="M290" s="174">
        <v>54.9</v>
      </c>
      <c r="N290" s="174">
        <v>219.6</v>
      </c>
      <c r="O290" t="s">
        <v>1747</v>
      </c>
      <c r="P290" t="s">
        <v>3114</v>
      </c>
      <c r="Q290" s="172">
        <v>78</v>
      </c>
      <c r="R290">
        <v>4</v>
      </c>
      <c r="S290" s="278" t="s">
        <v>3105</v>
      </c>
      <c r="T290" t="s">
        <v>1751</v>
      </c>
      <c r="U290" t="s">
        <v>6472</v>
      </c>
      <c r="V290" t="s">
        <v>6468</v>
      </c>
      <c r="W290" s="250" t="s">
        <v>3499</v>
      </c>
      <c r="X290" s="250" t="s">
        <v>3504</v>
      </c>
    </row>
    <row r="291" spans="1:24" hidden="1" x14ac:dyDescent="0.25">
      <c r="A291" t="s">
        <v>4594</v>
      </c>
      <c r="B291" t="s">
        <v>4594</v>
      </c>
      <c r="C291" s="422" t="s">
        <v>1950</v>
      </c>
      <c r="D291" s="227">
        <v>2023</v>
      </c>
      <c r="E291" t="s">
        <v>1653</v>
      </c>
      <c r="F291" t="s">
        <v>1745</v>
      </c>
      <c r="G291" t="s">
        <v>1746</v>
      </c>
      <c r="H291" t="s">
        <v>1864</v>
      </c>
      <c r="I291" t="s">
        <v>3110</v>
      </c>
      <c r="J291" s="428">
        <v>4</v>
      </c>
      <c r="K291" t="s">
        <v>586</v>
      </c>
      <c r="M291" s="174">
        <v>54.9</v>
      </c>
      <c r="N291" s="174">
        <v>219.6</v>
      </c>
      <c r="O291" t="s">
        <v>1747</v>
      </c>
      <c r="P291" t="s">
        <v>3114</v>
      </c>
      <c r="Q291" s="172">
        <v>78</v>
      </c>
      <c r="R291">
        <v>4</v>
      </c>
      <c r="S291" s="278" t="s">
        <v>3105</v>
      </c>
      <c r="T291" t="s">
        <v>1751</v>
      </c>
      <c r="U291" t="s">
        <v>6472</v>
      </c>
      <c r="V291" t="s">
        <v>6468</v>
      </c>
      <c r="W291" s="250" t="s">
        <v>3499</v>
      </c>
      <c r="X291" s="250" t="s">
        <v>3504</v>
      </c>
    </row>
    <row r="292" spans="1:24" hidden="1" x14ac:dyDescent="0.25">
      <c r="A292" t="s">
        <v>4594</v>
      </c>
      <c r="B292" t="s">
        <v>4594</v>
      </c>
      <c r="C292" s="422" t="s">
        <v>1950</v>
      </c>
      <c r="D292" s="227">
        <v>2023</v>
      </c>
      <c r="E292" t="s">
        <v>1653</v>
      </c>
      <c r="F292" t="s">
        <v>1745</v>
      </c>
      <c r="G292" t="s">
        <v>1746</v>
      </c>
      <c r="H292" t="s">
        <v>1864</v>
      </c>
      <c r="I292" t="s">
        <v>3110</v>
      </c>
      <c r="J292" s="428">
        <v>6</v>
      </c>
      <c r="K292" t="s">
        <v>586</v>
      </c>
      <c r="M292" s="174">
        <v>54.9</v>
      </c>
      <c r="N292" s="174">
        <v>329.4</v>
      </c>
      <c r="O292" t="s">
        <v>1747</v>
      </c>
      <c r="P292" t="s">
        <v>3114</v>
      </c>
      <c r="Q292" s="172">
        <v>78</v>
      </c>
      <c r="R292">
        <v>6</v>
      </c>
      <c r="S292" s="278" t="s">
        <v>3105</v>
      </c>
      <c r="T292" t="s">
        <v>1751</v>
      </c>
      <c r="U292" t="s">
        <v>6472</v>
      </c>
      <c r="V292" t="s">
        <v>6468</v>
      </c>
      <c r="W292" s="250" t="s">
        <v>3499</v>
      </c>
      <c r="X292" s="250" t="s">
        <v>3504</v>
      </c>
    </row>
    <row r="293" spans="1:24" hidden="1" x14ac:dyDescent="0.25">
      <c r="A293" t="s">
        <v>4594</v>
      </c>
      <c r="B293" t="s">
        <v>4594</v>
      </c>
      <c r="C293" s="422" t="s">
        <v>1950</v>
      </c>
      <c r="D293" s="227">
        <v>2023</v>
      </c>
      <c r="E293" t="s">
        <v>1653</v>
      </c>
      <c r="F293" t="s">
        <v>1745</v>
      </c>
      <c r="G293" t="s">
        <v>1746</v>
      </c>
      <c r="H293" t="s">
        <v>1864</v>
      </c>
      <c r="I293" t="s">
        <v>3110</v>
      </c>
      <c r="J293" s="428">
        <v>6</v>
      </c>
      <c r="K293" t="s">
        <v>586</v>
      </c>
      <c r="M293" s="174">
        <v>54.9</v>
      </c>
      <c r="N293" s="174">
        <v>329.4</v>
      </c>
      <c r="O293" t="s">
        <v>1747</v>
      </c>
      <c r="P293" t="s">
        <v>3114</v>
      </c>
      <c r="Q293" s="172">
        <v>78</v>
      </c>
      <c r="R293">
        <v>6</v>
      </c>
      <c r="S293" s="278" t="s">
        <v>3105</v>
      </c>
      <c r="T293" t="s">
        <v>1751</v>
      </c>
      <c r="U293" t="s">
        <v>6472</v>
      </c>
      <c r="V293" t="s">
        <v>6468</v>
      </c>
      <c r="W293" s="250" t="s">
        <v>3499</v>
      </c>
      <c r="X293" s="250" t="s">
        <v>3504</v>
      </c>
    </row>
    <row r="294" spans="1:24" hidden="1" x14ac:dyDescent="0.25">
      <c r="A294" t="s">
        <v>4594</v>
      </c>
      <c r="B294" t="s">
        <v>4594</v>
      </c>
      <c r="C294" s="422" t="s">
        <v>1950</v>
      </c>
      <c r="D294" s="227">
        <v>2023</v>
      </c>
      <c r="E294" t="s">
        <v>1653</v>
      </c>
      <c r="F294" t="s">
        <v>1745</v>
      </c>
      <c r="G294" t="s">
        <v>1746</v>
      </c>
      <c r="H294" t="s">
        <v>1864</v>
      </c>
      <c r="I294" t="s">
        <v>3110</v>
      </c>
      <c r="J294" s="428">
        <v>8</v>
      </c>
      <c r="K294" t="s">
        <v>586</v>
      </c>
      <c r="M294" s="174">
        <v>54.9</v>
      </c>
      <c r="N294" s="174">
        <v>439.2</v>
      </c>
      <c r="O294" t="s">
        <v>1747</v>
      </c>
      <c r="P294" t="s">
        <v>3114</v>
      </c>
      <c r="Q294" s="172">
        <v>78</v>
      </c>
      <c r="R294">
        <v>8</v>
      </c>
      <c r="S294" s="278" t="s">
        <v>3105</v>
      </c>
      <c r="T294" t="s">
        <v>1751</v>
      </c>
      <c r="U294" t="s">
        <v>6472</v>
      </c>
      <c r="V294" t="s">
        <v>6468</v>
      </c>
      <c r="W294" s="250" t="s">
        <v>3499</v>
      </c>
      <c r="X294" s="250" t="s">
        <v>3504</v>
      </c>
    </row>
    <row r="295" spans="1:24" hidden="1" x14ac:dyDescent="0.25">
      <c r="A295" t="s">
        <v>4594</v>
      </c>
      <c r="B295" t="s">
        <v>4594</v>
      </c>
      <c r="C295" s="422" t="s">
        <v>1950</v>
      </c>
      <c r="D295" s="227">
        <v>2023</v>
      </c>
      <c r="E295" t="s">
        <v>1653</v>
      </c>
      <c r="F295" t="s">
        <v>1745</v>
      </c>
      <c r="G295" t="s">
        <v>1746</v>
      </c>
      <c r="H295" t="s">
        <v>1864</v>
      </c>
      <c r="I295" t="s">
        <v>3110</v>
      </c>
      <c r="J295" s="428">
        <v>6</v>
      </c>
      <c r="K295" t="s">
        <v>586</v>
      </c>
      <c r="M295" s="174">
        <v>54.9</v>
      </c>
      <c r="N295" s="174">
        <v>329.4</v>
      </c>
      <c r="O295" t="s">
        <v>1747</v>
      </c>
      <c r="P295" t="s">
        <v>3114</v>
      </c>
      <c r="Q295" s="172">
        <v>78</v>
      </c>
      <c r="R295">
        <v>6</v>
      </c>
      <c r="S295" s="278" t="s">
        <v>3105</v>
      </c>
      <c r="T295" t="s">
        <v>1751</v>
      </c>
      <c r="U295" t="s">
        <v>6472</v>
      </c>
      <c r="V295" t="s">
        <v>6468</v>
      </c>
      <c r="W295" s="250" t="s">
        <v>3499</v>
      </c>
      <c r="X295" s="250" t="s">
        <v>3504</v>
      </c>
    </row>
    <row r="296" spans="1:24" hidden="1" x14ac:dyDescent="0.25">
      <c r="A296" t="s">
        <v>4594</v>
      </c>
      <c r="B296" t="s">
        <v>4594</v>
      </c>
      <c r="C296" s="422" t="s">
        <v>1950</v>
      </c>
      <c r="D296" s="227">
        <v>2023</v>
      </c>
      <c r="E296" t="s">
        <v>1653</v>
      </c>
      <c r="F296" t="s">
        <v>1745</v>
      </c>
      <c r="G296" t="s">
        <v>1746</v>
      </c>
      <c r="H296" t="s">
        <v>1864</v>
      </c>
      <c r="I296" t="s">
        <v>3110</v>
      </c>
      <c r="J296" s="428">
        <v>4</v>
      </c>
      <c r="K296" t="s">
        <v>586</v>
      </c>
      <c r="M296" s="174">
        <v>54.9</v>
      </c>
      <c r="N296" s="174">
        <v>219.6</v>
      </c>
      <c r="O296" t="s">
        <v>1747</v>
      </c>
      <c r="P296" t="s">
        <v>1748</v>
      </c>
      <c r="Q296" s="172">
        <v>78</v>
      </c>
      <c r="R296">
        <v>4</v>
      </c>
      <c r="S296" s="278" t="s">
        <v>3105</v>
      </c>
      <c r="T296" t="s">
        <v>1751</v>
      </c>
      <c r="U296" t="s">
        <v>6472</v>
      </c>
      <c r="V296" t="s">
        <v>6468</v>
      </c>
      <c r="W296" s="250" t="s">
        <v>3499</v>
      </c>
      <c r="X296" s="250" t="s">
        <v>3504</v>
      </c>
    </row>
    <row r="297" spans="1:24" hidden="1" x14ac:dyDescent="0.25">
      <c r="A297" t="s">
        <v>4594</v>
      </c>
      <c r="B297" t="s">
        <v>4594</v>
      </c>
      <c r="C297" s="422" t="s">
        <v>1950</v>
      </c>
      <c r="D297" s="227">
        <v>2023</v>
      </c>
      <c r="E297" t="s">
        <v>1653</v>
      </c>
      <c r="F297" t="s">
        <v>1745</v>
      </c>
      <c r="G297" t="s">
        <v>1746</v>
      </c>
      <c r="H297" t="s">
        <v>1864</v>
      </c>
      <c r="I297" t="s">
        <v>3110</v>
      </c>
      <c r="J297" s="428">
        <v>6</v>
      </c>
      <c r="K297" t="s">
        <v>586</v>
      </c>
      <c r="M297" s="174">
        <v>54.9</v>
      </c>
      <c r="N297" s="174">
        <v>329.4</v>
      </c>
      <c r="O297" t="s">
        <v>1747</v>
      </c>
      <c r="P297" t="s">
        <v>1748</v>
      </c>
      <c r="Q297" s="172">
        <v>78</v>
      </c>
      <c r="R297">
        <v>6</v>
      </c>
      <c r="S297" s="278" t="s">
        <v>3105</v>
      </c>
      <c r="T297" t="s">
        <v>1751</v>
      </c>
      <c r="U297" t="s">
        <v>6472</v>
      </c>
      <c r="V297" t="s">
        <v>6468</v>
      </c>
      <c r="W297" s="250" t="s">
        <v>3499</v>
      </c>
      <c r="X297" s="250" t="s">
        <v>3504</v>
      </c>
    </row>
    <row r="298" spans="1:24" hidden="1" x14ac:dyDescent="0.25">
      <c r="A298" t="s">
        <v>4594</v>
      </c>
      <c r="B298" t="s">
        <v>4594</v>
      </c>
      <c r="C298" s="422" t="s">
        <v>1950</v>
      </c>
      <c r="D298" s="227">
        <v>2023</v>
      </c>
      <c r="E298" t="s">
        <v>1653</v>
      </c>
      <c r="F298" t="s">
        <v>1745</v>
      </c>
      <c r="G298" t="s">
        <v>1746</v>
      </c>
      <c r="H298" t="s">
        <v>1864</v>
      </c>
      <c r="I298" t="s">
        <v>3110</v>
      </c>
      <c r="J298" s="428">
        <v>3</v>
      </c>
      <c r="K298" t="s">
        <v>586</v>
      </c>
      <c r="M298" s="174">
        <v>54.9</v>
      </c>
      <c r="N298" s="174">
        <v>164.7</v>
      </c>
      <c r="O298" t="s">
        <v>1747</v>
      </c>
      <c r="P298" t="s">
        <v>1748</v>
      </c>
      <c r="Q298" s="172">
        <v>78</v>
      </c>
      <c r="R298">
        <v>3</v>
      </c>
      <c r="S298" s="278" t="s">
        <v>3105</v>
      </c>
      <c r="T298" t="s">
        <v>1751</v>
      </c>
      <c r="U298" t="s">
        <v>6472</v>
      </c>
      <c r="V298" t="s">
        <v>6468</v>
      </c>
      <c r="W298" s="250" t="s">
        <v>3499</v>
      </c>
      <c r="X298" s="250" t="s">
        <v>3504</v>
      </c>
    </row>
    <row r="299" spans="1:24" hidden="1" x14ac:dyDescent="0.25">
      <c r="A299" t="s">
        <v>4594</v>
      </c>
      <c r="B299" t="s">
        <v>4594</v>
      </c>
      <c r="C299" s="422" t="s">
        <v>1950</v>
      </c>
      <c r="D299" s="227">
        <v>2023</v>
      </c>
      <c r="E299" t="s">
        <v>1653</v>
      </c>
      <c r="F299" t="s">
        <v>1745</v>
      </c>
      <c r="G299" t="s">
        <v>1746</v>
      </c>
      <c r="H299" t="s">
        <v>1864</v>
      </c>
      <c r="I299" t="s">
        <v>3110</v>
      </c>
      <c r="J299" s="428">
        <v>4</v>
      </c>
      <c r="K299" t="s">
        <v>586</v>
      </c>
      <c r="M299" s="174">
        <v>54.9</v>
      </c>
      <c r="N299" s="174">
        <v>219.6</v>
      </c>
      <c r="O299" t="s">
        <v>1747</v>
      </c>
      <c r="P299" t="s">
        <v>1748</v>
      </c>
      <c r="Q299" s="172">
        <v>78</v>
      </c>
      <c r="R299">
        <v>4</v>
      </c>
      <c r="S299" s="278" t="s">
        <v>3105</v>
      </c>
      <c r="T299" t="s">
        <v>1751</v>
      </c>
      <c r="U299" t="s">
        <v>6472</v>
      </c>
      <c r="V299" t="s">
        <v>6468</v>
      </c>
      <c r="W299" s="250" t="s">
        <v>3499</v>
      </c>
      <c r="X299" s="250" t="s">
        <v>3504</v>
      </c>
    </row>
    <row r="300" spans="1:24" hidden="1" x14ac:dyDescent="0.25">
      <c r="A300" t="s">
        <v>4594</v>
      </c>
      <c r="B300" t="s">
        <v>4594</v>
      </c>
      <c r="C300" s="422" t="s">
        <v>1950</v>
      </c>
      <c r="D300" s="227">
        <v>2023</v>
      </c>
      <c r="E300" t="s">
        <v>1653</v>
      </c>
      <c r="F300" t="s">
        <v>1745</v>
      </c>
      <c r="G300" t="s">
        <v>1746</v>
      </c>
      <c r="H300" t="s">
        <v>1864</v>
      </c>
      <c r="I300" t="s">
        <v>3110</v>
      </c>
      <c r="J300" s="428">
        <v>2</v>
      </c>
      <c r="K300" t="s">
        <v>586</v>
      </c>
      <c r="M300" s="174">
        <v>54.9</v>
      </c>
      <c r="N300" s="174">
        <v>109.8</v>
      </c>
      <c r="O300" t="s">
        <v>1747</v>
      </c>
      <c r="P300" t="s">
        <v>1748</v>
      </c>
      <c r="Q300" s="172">
        <v>78</v>
      </c>
      <c r="R300">
        <v>2</v>
      </c>
      <c r="S300" s="278" t="s">
        <v>3105</v>
      </c>
      <c r="T300" t="s">
        <v>1751</v>
      </c>
      <c r="U300" t="s">
        <v>6472</v>
      </c>
      <c r="V300" t="s">
        <v>6468</v>
      </c>
      <c r="W300" s="250" t="s">
        <v>3499</v>
      </c>
      <c r="X300" s="250" t="s">
        <v>3504</v>
      </c>
    </row>
    <row r="301" spans="1:24" hidden="1" x14ac:dyDescent="0.25">
      <c r="A301" t="s">
        <v>4594</v>
      </c>
      <c r="B301" t="s">
        <v>4594</v>
      </c>
      <c r="C301" s="422" t="s">
        <v>1950</v>
      </c>
      <c r="D301" s="227">
        <v>2023</v>
      </c>
      <c r="E301" t="s">
        <v>1653</v>
      </c>
      <c r="F301" t="s">
        <v>1745</v>
      </c>
      <c r="G301" t="s">
        <v>1746</v>
      </c>
      <c r="H301" t="s">
        <v>1864</v>
      </c>
      <c r="I301" t="s">
        <v>3110</v>
      </c>
      <c r="J301" s="428">
        <v>4</v>
      </c>
      <c r="K301" t="s">
        <v>586</v>
      </c>
      <c r="M301" s="174">
        <v>54.9</v>
      </c>
      <c r="N301" s="174">
        <v>219.6</v>
      </c>
      <c r="O301" t="s">
        <v>1747</v>
      </c>
      <c r="P301" t="s">
        <v>1748</v>
      </c>
      <c r="Q301" s="172">
        <v>78</v>
      </c>
      <c r="R301">
        <v>4</v>
      </c>
      <c r="S301" s="278" t="s">
        <v>3105</v>
      </c>
      <c r="T301" t="s">
        <v>1751</v>
      </c>
      <c r="U301" t="s">
        <v>6472</v>
      </c>
      <c r="V301" t="s">
        <v>6468</v>
      </c>
      <c r="W301" s="250" t="s">
        <v>3499</v>
      </c>
      <c r="X301" s="250" t="s">
        <v>3504</v>
      </c>
    </row>
    <row r="302" spans="1:24" hidden="1" x14ac:dyDescent="0.25">
      <c r="A302" t="s">
        <v>4594</v>
      </c>
      <c r="B302" t="s">
        <v>4594</v>
      </c>
      <c r="C302" s="422" t="s">
        <v>1950</v>
      </c>
      <c r="D302" s="227">
        <v>2023</v>
      </c>
      <c r="E302" t="s">
        <v>1653</v>
      </c>
      <c r="F302" t="s">
        <v>1745</v>
      </c>
      <c r="G302" t="s">
        <v>1746</v>
      </c>
      <c r="H302" t="s">
        <v>1864</v>
      </c>
      <c r="I302" t="s">
        <v>3110</v>
      </c>
      <c r="J302" s="428">
        <v>2</v>
      </c>
      <c r="K302" t="s">
        <v>586</v>
      </c>
      <c r="M302" s="174">
        <v>54.9</v>
      </c>
      <c r="N302" s="174">
        <v>109.8</v>
      </c>
      <c r="O302" t="s">
        <v>1747</v>
      </c>
      <c r="P302" t="s">
        <v>1748</v>
      </c>
      <c r="Q302" s="172">
        <v>78</v>
      </c>
      <c r="R302">
        <v>2</v>
      </c>
      <c r="S302" s="278" t="s">
        <v>3105</v>
      </c>
      <c r="T302" t="s">
        <v>1751</v>
      </c>
      <c r="U302" t="s">
        <v>6472</v>
      </c>
      <c r="V302" t="s">
        <v>6468</v>
      </c>
      <c r="W302" s="250" t="s">
        <v>3499</v>
      </c>
      <c r="X302" s="250" t="s">
        <v>3504</v>
      </c>
    </row>
    <row r="303" spans="1:24" hidden="1" x14ac:dyDescent="0.25">
      <c r="A303" t="s">
        <v>4594</v>
      </c>
      <c r="B303" t="s">
        <v>4594</v>
      </c>
      <c r="C303" s="422" t="s">
        <v>1950</v>
      </c>
      <c r="D303" s="227">
        <v>2023</v>
      </c>
      <c r="E303" t="s">
        <v>1653</v>
      </c>
      <c r="F303" t="s">
        <v>1745</v>
      </c>
      <c r="G303" t="s">
        <v>1746</v>
      </c>
      <c r="H303" t="s">
        <v>1864</v>
      </c>
      <c r="I303" t="s">
        <v>3110</v>
      </c>
      <c r="J303" s="428">
        <v>6</v>
      </c>
      <c r="K303" t="s">
        <v>586</v>
      </c>
      <c r="M303" s="174">
        <v>54.9</v>
      </c>
      <c r="N303" s="174">
        <v>329.4</v>
      </c>
      <c r="O303" t="s">
        <v>1747</v>
      </c>
      <c r="P303" t="s">
        <v>1748</v>
      </c>
      <c r="Q303" s="172">
        <v>78</v>
      </c>
      <c r="R303">
        <v>6</v>
      </c>
      <c r="S303" s="278" t="s">
        <v>3105</v>
      </c>
      <c r="T303" t="s">
        <v>1751</v>
      </c>
      <c r="U303" t="s">
        <v>6472</v>
      </c>
      <c r="V303" t="s">
        <v>6468</v>
      </c>
      <c r="W303" s="250" t="s">
        <v>3499</v>
      </c>
      <c r="X303" s="250" t="s">
        <v>3504</v>
      </c>
    </row>
    <row r="304" spans="1:24" hidden="1" x14ac:dyDescent="0.25">
      <c r="A304" t="s">
        <v>4594</v>
      </c>
      <c r="B304" t="s">
        <v>4594</v>
      </c>
      <c r="C304" s="422" t="s">
        <v>1950</v>
      </c>
      <c r="D304" s="227">
        <v>2023</v>
      </c>
      <c r="E304" t="s">
        <v>1653</v>
      </c>
      <c r="F304" t="s">
        <v>1745</v>
      </c>
      <c r="G304" t="s">
        <v>1746</v>
      </c>
      <c r="H304" t="s">
        <v>1864</v>
      </c>
      <c r="I304" t="s">
        <v>3110</v>
      </c>
      <c r="J304" s="428">
        <v>4</v>
      </c>
      <c r="K304" t="s">
        <v>586</v>
      </c>
      <c r="M304" s="174">
        <v>54.9</v>
      </c>
      <c r="N304" s="174">
        <v>219.6</v>
      </c>
      <c r="O304" t="s">
        <v>1747</v>
      </c>
      <c r="P304" t="s">
        <v>1748</v>
      </c>
      <c r="Q304" s="172">
        <v>78</v>
      </c>
      <c r="R304">
        <v>4</v>
      </c>
      <c r="S304" s="278" t="s">
        <v>3105</v>
      </c>
      <c r="T304" t="s">
        <v>1751</v>
      </c>
      <c r="U304" t="s">
        <v>6472</v>
      </c>
      <c r="V304" t="s">
        <v>6468</v>
      </c>
      <c r="W304" s="250" t="s">
        <v>3499</v>
      </c>
      <c r="X304" s="250" t="s">
        <v>3504</v>
      </c>
    </row>
    <row r="305" spans="1:24" hidden="1" x14ac:dyDescent="0.25">
      <c r="A305" t="s">
        <v>4594</v>
      </c>
      <c r="B305" t="s">
        <v>4594</v>
      </c>
      <c r="C305" s="422" t="s">
        <v>1950</v>
      </c>
      <c r="D305" s="227">
        <v>2023</v>
      </c>
      <c r="E305" t="s">
        <v>1653</v>
      </c>
      <c r="F305" t="s">
        <v>1745</v>
      </c>
      <c r="G305" t="s">
        <v>1746</v>
      </c>
      <c r="H305" t="s">
        <v>1864</v>
      </c>
      <c r="I305" t="s">
        <v>3110</v>
      </c>
      <c r="J305" s="428">
        <v>4</v>
      </c>
      <c r="K305" t="s">
        <v>586</v>
      </c>
      <c r="M305" s="174">
        <v>54.9</v>
      </c>
      <c r="N305" s="174">
        <v>219.6</v>
      </c>
      <c r="O305" t="s">
        <v>1747</v>
      </c>
      <c r="P305" t="s">
        <v>1748</v>
      </c>
      <c r="Q305" s="172">
        <v>78</v>
      </c>
      <c r="R305">
        <v>4</v>
      </c>
      <c r="S305" s="278" t="s">
        <v>3105</v>
      </c>
      <c r="T305" t="s">
        <v>1751</v>
      </c>
      <c r="U305" t="s">
        <v>6472</v>
      </c>
      <c r="V305" t="s">
        <v>6468</v>
      </c>
      <c r="W305" s="250" t="s">
        <v>3499</v>
      </c>
      <c r="X305" s="250" t="s">
        <v>3504</v>
      </c>
    </row>
    <row r="306" spans="1:24" hidden="1" x14ac:dyDescent="0.25">
      <c r="A306" t="s">
        <v>4594</v>
      </c>
      <c r="B306" t="s">
        <v>4594</v>
      </c>
      <c r="C306" s="422" t="s">
        <v>1950</v>
      </c>
      <c r="D306" s="227">
        <v>2023</v>
      </c>
      <c r="E306" t="s">
        <v>1653</v>
      </c>
      <c r="F306" t="s">
        <v>1745</v>
      </c>
      <c r="G306" t="s">
        <v>1746</v>
      </c>
      <c r="H306" t="s">
        <v>1864</v>
      </c>
      <c r="I306" t="s">
        <v>3110</v>
      </c>
      <c r="J306" s="428">
        <v>2</v>
      </c>
      <c r="K306" t="s">
        <v>586</v>
      </c>
      <c r="M306" s="174">
        <v>54.9</v>
      </c>
      <c r="N306" s="174">
        <v>109.8</v>
      </c>
      <c r="O306" t="s">
        <v>1747</v>
      </c>
      <c r="P306" t="s">
        <v>1748</v>
      </c>
      <c r="Q306" s="172">
        <v>78</v>
      </c>
      <c r="R306">
        <v>2</v>
      </c>
      <c r="S306" s="278" t="s">
        <v>3105</v>
      </c>
      <c r="T306" t="s">
        <v>1751</v>
      </c>
      <c r="U306" t="s">
        <v>6472</v>
      </c>
      <c r="V306" t="s">
        <v>6468</v>
      </c>
      <c r="W306" s="250" t="s">
        <v>3499</v>
      </c>
      <c r="X306" s="250" t="s">
        <v>3504</v>
      </c>
    </row>
    <row r="307" spans="1:24" hidden="1" x14ac:dyDescent="0.25">
      <c r="A307" t="s">
        <v>4594</v>
      </c>
      <c r="B307" t="s">
        <v>4594</v>
      </c>
      <c r="C307" s="422" t="s">
        <v>1950</v>
      </c>
      <c r="D307" s="227">
        <v>2023</v>
      </c>
      <c r="E307" t="s">
        <v>1653</v>
      </c>
      <c r="F307" t="s">
        <v>1745</v>
      </c>
      <c r="G307" t="s">
        <v>1746</v>
      </c>
      <c r="H307" t="s">
        <v>1864</v>
      </c>
      <c r="I307" t="s">
        <v>3110</v>
      </c>
      <c r="J307" s="428">
        <v>4</v>
      </c>
      <c r="K307" t="s">
        <v>586</v>
      </c>
      <c r="M307" s="174">
        <v>54.9</v>
      </c>
      <c r="N307" s="174">
        <v>219.6</v>
      </c>
      <c r="O307" t="s">
        <v>1747</v>
      </c>
      <c r="P307" t="s">
        <v>1748</v>
      </c>
      <c r="Q307" s="172">
        <v>78</v>
      </c>
      <c r="R307">
        <v>4</v>
      </c>
      <c r="S307" s="278" t="s">
        <v>3105</v>
      </c>
      <c r="T307" t="s">
        <v>1751</v>
      </c>
      <c r="U307" t="s">
        <v>6472</v>
      </c>
      <c r="V307" t="s">
        <v>6468</v>
      </c>
      <c r="W307" s="250" t="s">
        <v>3499</v>
      </c>
      <c r="X307" s="250" t="s">
        <v>3504</v>
      </c>
    </row>
    <row r="308" spans="1:24" hidden="1" x14ac:dyDescent="0.25">
      <c r="A308" t="s">
        <v>4594</v>
      </c>
      <c r="B308" t="s">
        <v>4594</v>
      </c>
      <c r="C308" s="422" t="s">
        <v>1950</v>
      </c>
      <c r="D308" s="227">
        <v>2023</v>
      </c>
      <c r="E308" t="s">
        <v>1653</v>
      </c>
      <c r="F308" t="s">
        <v>1745</v>
      </c>
      <c r="G308" t="s">
        <v>1746</v>
      </c>
      <c r="H308" t="s">
        <v>1864</v>
      </c>
      <c r="I308" t="s">
        <v>3110</v>
      </c>
      <c r="J308" s="428">
        <v>4</v>
      </c>
      <c r="K308" t="s">
        <v>586</v>
      </c>
      <c r="M308" s="174">
        <v>54.9</v>
      </c>
      <c r="N308" s="174">
        <v>219.6</v>
      </c>
      <c r="O308" t="s">
        <v>1747</v>
      </c>
      <c r="P308" t="s">
        <v>1748</v>
      </c>
      <c r="Q308" s="172">
        <v>78</v>
      </c>
      <c r="R308">
        <v>4</v>
      </c>
      <c r="S308" s="278" t="s">
        <v>3105</v>
      </c>
      <c r="T308" t="s">
        <v>1751</v>
      </c>
      <c r="U308" t="s">
        <v>6472</v>
      </c>
      <c r="V308" t="s">
        <v>6468</v>
      </c>
      <c r="W308" s="250" t="s">
        <v>3499</v>
      </c>
      <c r="X308" s="250" t="s">
        <v>3504</v>
      </c>
    </row>
    <row r="309" spans="1:24" ht="15.75" hidden="1" thickBot="1" x14ac:dyDescent="0.3">
      <c r="A309" s="424" t="s">
        <v>4593</v>
      </c>
      <c r="B309" s="424" t="s">
        <v>4593</v>
      </c>
      <c r="C309" s="422" t="s">
        <v>1950</v>
      </c>
      <c r="D309" s="227">
        <v>2023</v>
      </c>
      <c r="E309" t="s">
        <v>1653</v>
      </c>
      <c r="F309" t="s">
        <v>1745</v>
      </c>
      <c r="G309" t="s">
        <v>1746</v>
      </c>
      <c r="H309" t="s">
        <v>1864</v>
      </c>
      <c r="I309" t="s">
        <v>3110</v>
      </c>
      <c r="J309" s="428">
        <v>2</v>
      </c>
      <c r="K309" t="s">
        <v>586</v>
      </c>
      <c r="M309" s="174">
        <v>42.8</v>
      </c>
      <c r="N309" s="174">
        <v>85.6</v>
      </c>
      <c r="O309" t="s">
        <v>1747</v>
      </c>
      <c r="P309" t="s">
        <v>1748</v>
      </c>
      <c r="Q309" s="172">
        <v>141</v>
      </c>
      <c r="R309">
        <v>2</v>
      </c>
      <c r="S309" s="278" t="s">
        <v>3105</v>
      </c>
      <c r="T309" t="s">
        <v>1751</v>
      </c>
      <c r="U309" t="s">
        <v>6465</v>
      </c>
      <c r="V309" t="s">
        <v>6469</v>
      </c>
      <c r="W309" s="250" t="s">
        <v>3499</v>
      </c>
      <c r="X309" s="250" t="s">
        <v>3504</v>
      </c>
    </row>
    <row r="310" spans="1:24" ht="15.75" hidden="1" thickBot="1" x14ac:dyDescent="0.3">
      <c r="A310" s="424" t="s">
        <v>4593</v>
      </c>
      <c r="B310" s="424" t="s">
        <v>4593</v>
      </c>
      <c r="C310" s="422" t="s">
        <v>1950</v>
      </c>
      <c r="D310" s="227">
        <v>2023</v>
      </c>
      <c r="E310" t="s">
        <v>1653</v>
      </c>
      <c r="F310" t="s">
        <v>1745</v>
      </c>
      <c r="G310" t="s">
        <v>1746</v>
      </c>
      <c r="H310" t="s">
        <v>1864</v>
      </c>
      <c r="I310" t="s">
        <v>3110</v>
      </c>
      <c r="J310" s="428">
        <v>2</v>
      </c>
      <c r="K310" t="s">
        <v>586</v>
      </c>
      <c r="M310" s="174">
        <v>42.8</v>
      </c>
      <c r="N310" s="174">
        <v>85.6</v>
      </c>
      <c r="O310" t="s">
        <v>1747</v>
      </c>
      <c r="P310" t="s">
        <v>1748</v>
      </c>
      <c r="Q310" s="172">
        <v>141</v>
      </c>
      <c r="R310">
        <v>2</v>
      </c>
      <c r="S310" s="278" t="s">
        <v>3105</v>
      </c>
      <c r="T310" t="s">
        <v>1751</v>
      </c>
      <c r="U310" t="s">
        <v>6465</v>
      </c>
      <c r="V310" t="s">
        <v>6469</v>
      </c>
      <c r="W310" s="250" t="s">
        <v>3499</v>
      </c>
      <c r="X310" s="250" t="s">
        <v>3504</v>
      </c>
    </row>
    <row r="311" spans="1:24" ht="15.75" hidden="1" thickBot="1" x14ac:dyDescent="0.3">
      <c r="A311" s="424" t="s">
        <v>4593</v>
      </c>
      <c r="B311" s="424" t="s">
        <v>4593</v>
      </c>
      <c r="C311" s="422" t="s">
        <v>1950</v>
      </c>
      <c r="D311" s="227">
        <v>2023</v>
      </c>
      <c r="E311" t="s">
        <v>1653</v>
      </c>
      <c r="F311" t="s">
        <v>1745</v>
      </c>
      <c r="G311" t="s">
        <v>1746</v>
      </c>
      <c r="H311" t="s">
        <v>1864</v>
      </c>
      <c r="I311" t="s">
        <v>3110</v>
      </c>
      <c r="J311" s="428">
        <v>8</v>
      </c>
      <c r="K311" t="s">
        <v>586</v>
      </c>
      <c r="M311" s="174">
        <v>54.9</v>
      </c>
      <c r="N311" s="174">
        <v>439.2</v>
      </c>
      <c r="O311" t="s">
        <v>1747</v>
      </c>
      <c r="P311" t="s">
        <v>1748</v>
      </c>
      <c r="Q311" s="172">
        <v>141</v>
      </c>
      <c r="R311">
        <v>8</v>
      </c>
      <c r="S311" s="278" t="s">
        <v>3105</v>
      </c>
      <c r="T311" t="s">
        <v>1751</v>
      </c>
      <c r="U311" t="s">
        <v>6465</v>
      </c>
      <c r="V311" t="s">
        <v>6468</v>
      </c>
      <c r="W311" s="250" t="s">
        <v>3499</v>
      </c>
      <c r="X311" s="250" t="s">
        <v>3504</v>
      </c>
    </row>
    <row r="312" spans="1:24" ht="15.75" hidden="1" thickBot="1" x14ac:dyDescent="0.3">
      <c r="A312" s="424" t="s">
        <v>4593</v>
      </c>
      <c r="B312" s="424" t="s">
        <v>4593</v>
      </c>
      <c r="C312" s="422" t="s">
        <v>1950</v>
      </c>
      <c r="D312" s="227">
        <v>2023</v>
      </c>
      <c r="E312" t="s">
        <v>1653</v>
      </c>
      <c r="F312" t="s">
        <v>1745</v>
      </c>
      <c r="G312" t="s">
        <v>1746</v>
      </c>
      <c r="H312" t="s">
        <v>1864</v>
      </c>
      <c r="I312" t="s">
        <v>3110</v>
      </c>
      <c r="J312" s="428">
        <v>6</v>
      </c>
      <c r="K312" t="s">
        <v>586</v>
      </c>
      <c r="M312" s="174">
        <v>54.9</v>
      </c>
      <c r="N312" s="174">
        <v>329.4</v>
      </c>
      <c r="O312" t="s">
        <v>1747</v>
      </c>
      <c r="P312" t="s">
        <v>1748</v>
      </c>
      <c r="Q312" s="172">
        <v>141</v>
      </c>
      <c r="R312">
        <v>6</v>
      </c>
      <c r="S312" s="278" t="s">
        <v>3105</v>
      </c>
      <c r="T312" t="s">
        <v>1751</v>
      </c>
      <c r="U312" t="s">
        <v>6465</v>
      </c>
      <c r="V312" t="s">
        <v>6468</v>
      </c>
      <c r="W312" s="250" t="s">
        <v>3499</v>
      </c>
      <c r="X312" s="250" t="s">
        <v>3504</v>
      </c>
    </row>
    <row r="313" spans="1:24" ht="15.75" hidden="1" thickBot="1" x14ac:dyDescent="0.3">
      <c r="A313" s="424" t="s">
        <v>4593</v>
      </c>
      <c r="B313" s="424" t="s">
        <v>4593</v>
      </c>
      <c r="C313" s="422" t="s">
        <v>1950</v>
      </c>
      <c r="D313" s="227">
        <v>2023</v>
      </c>
      <c r="E313" t="s">
        <v>1653</v>
      </c>
      <c r="F313" t="s">
        <v>1745</v>
      </c>
      <c r="G313" t="s">
        <v>1746</v>
      </c>
      <c r="H313" t="s">
        <v>1864</v>
      </c>
      <c r="I313" t="s">
        <v>3110</v>
      </c>
      <c r="J313" s="428">
        <v>6</v>
      </c>
      <c r="K313" t="s">
        <v>586</v>
      </c>
      <c r="M313" s="174">
        <v>54.9</v>
      </c>
      <c r="N313" s="174">
        <v>329.4</v>
      </c>
      <c r="O313" t="s">
        <v>1747</v>
      </c>
      <c r="P313" t="s">
        <v>1748</v>
      </c>
      <c r="Q313" s="172">
        <v>141</v>
      </c>
      <c r="R313">
        <v>6</v>
      </c>
      <c r="S313" s="278" t="s">
        <v>3105</v>
      </c>
      <c r="T313" t="s">
        <v>1751</v>
      </c>
      <c r="U313" t="s">
        <v>6465</v>
      </c>
      <c r="V313" t="s">
        <v>6468</v>
      </c>
      <c r="W313" s="250" t="s">
        <v>3499</v>
      </c>
      <c r="X313" s="250" t="s">
        <v>3504</v>
      </c>
    </row>
    <row r="314" spans="1:24" ht="15.75" hidden="1" thickBot="1" x14ac:dyDescent="0.3">
      <c r="A314" s="424" t="s">
        <v>4593</v>
      </c>
      <c r="B314" s="424" t="s">
        <v>4593</v>
      </c>
      <c r="C314" s="422" t="s">
        <v>1950</v>
      </c>
      <c r="D314" s="227">
        <v>2023</v>
      </c>
      <c r="E314" t="s">
        <v>1653</v>
      </c>
      <c r="F314" t="s">
        <v>1745</v>
      </c>
      <c r="G314" t="s">
        <v>1746</v>
      </c>
      <c r="H314" t="s">
        <v>1864</v>
      </c>
      <c r="I314" t="s">
        <v>3110</v>
      </c>
      <c r="J314" s="428">
        <v>6</v>
      </c>
      <c r="K314" t="s">
        <v>586</v>
      </c>
      <c r="M314" s="174">
        <v>54.9</v>
      </c>
      <c r="N314" s="174">
        <v>329.4</v>
      </c>
      <c r="O314" t="s">
        <v>1747</v>
      </c>
      <c r="P314" t="s">
        <v>1748</v>
      </c>
      <c r="Q314" s="172">
        <v>141</v>
      </c>
      <c r="R314">
        <v>6</v>
      </c>
      <c r="S314" s="278" t="s">
        <v>3105</v>
      </c>
      <c r="T314" t="s">
        <v>1751</v>
      </c>
      <c r="U314" t="s">
        <v>6465</v>
      </c>
      <c r="V314" t="s">
        <v>6468</v>
      </c>
      <c r="W314" s="250" t="s">
        <v>3499</v>
      </c>
      <c r="X314" s="250" t="s">
        <v>3504</v>
      </c>
    </row>
    <row r="315" spans="1:24" ht="15.75" hidden="1" thickBot="1" x14ac:dyDescent="0.3">
      <c r="A315" s="424" t="s">
        <v>4593</v>
      </c>
      <c r="B315" s="424" t="s">
        <v>4593</v>
      </c>
      <c r="C315" s="422" t="s">
        <v>1950</v>
      </c>
      <c r="D315" s="227">
        <v>2023</v>
      </c>
      <c r="E315" t="s">
        <v>1653</v>
      </c>
      <c r="F315" t="s">
        <v>1745</v>
      </c>
      <c r="G315" t="s">
        <v>1746</v>
      </c>
      <c r="H315" t="s">
        <v>1864</v>
      </c>
      <c r="I315" t="s">
        <v>3110</v>
      </c>
      <c r="J315" s="428">
        <v>8</v>
      </c>
      <c r="K315" t="s">
        <v>586</v>
      </c>
      <c r="M315" s="174">
        <v>54.9</v>
      </c>
      <c r="N315" s="174">
        <v>439.2</v>
      </c>
      <c r="O315" t="s">
        <v>1747</v>
      </c>
      <c r="P315" t="s">
        <v>1748</v>
      </c>
      <c r="Q315" s="172">
        <v>141</v>
      </c>
      <c r="R315">
        <v>8</v>
      </c>
      <c r="S315" s="278" t="s">
        <v>3105</v>
      </c>
      <c r="T315" t="s">
        <v>1751</v>
      </c>
      <c r="U315" t="s">
        <v>6465</v>
      </c>
      <c r="V315" t="s">
        <v>6468</v>
      </c>
      <c r="W315" s="250" t="s">
        <v>3499</v>
      </c>
      <c r="X315" s="250" t="s">
        <v>3504</v>
      </c>
    </row>
    <row r="316" spans="1:24" ht="15.75" hidden="1" thickBot="1" x14ac:dyDescent="0.3">
      <c r="A316" s="424" t="s">
        <v>4593</v>
      </c>
      <c r="B316" s="424" t="s">
        <v>4593</v>
      </c>
      <c r="C316" s="422" t="s">
        <v>1950</v>
      </c>
      <c r="D316" s="227">
        <v>2023</v>
      </c>
      <c r="E316" t="s">
        <v>1653</v>
      </c>
      <c r="F316" t="s">
        <v>1745</v>
      </c>
      <c r="G316" t="s">
        <v>1746</v>
      </c>
      <c r="H316" t="s">
        <v>1864</v>
      </c>
      <c r="I316" t="s">
        <v>3110</v>
      </c>
      <c r="J316" s="428">
        <v>4</v>
      </c>
      <c r="K316" t="s">
        <v>586</v>
      </c>
      <c r="M316" s="174">
        <v>54.9</v>
      </c>
      <c r="N316" s="174">
        <v>219.6</v>
      </c>
      <c r="O316" t="s">
        <v>1747</v>
      </c>
      <c r="P316" t="s">
        <v>1748</v>
      </c>
      <c r="Q316" s="172">
        <v>141</v>
      </c>
      <c r="R316">
        <v>4</v>
      </c>
      <c r="S316" s="278" t="s">
        <v>3105</v>
      </c>
      <c r="T316" t="s">
        <v>1751</v>
      </c>
      <c r="U316" t="s">
        <v>6465</v>
      </c>
      <c r="V316" t="s">
        <v>6468</v>
      </c>
      <c r="W316" s="250" t="s">
        <v>3499</v>
      </c>
      <c r="X316" s="250" t="s">
        <v>3504</v>
      </c>
    </row>
    <row r="317" spans="1:24" ht="15.75" hidden="1" thickBot="1" x14ac:dyDescent="0.3">
      <c r="A317" s="424" t="s">
        <v>4593</v>
      </c>
      <c r="B317" s="424" t="s">
        <v>4593</v>
      </c>
      <c r="C317" s="422" t="s">
        <v>1950</v>
      </c>
      <c r="D317" s="227">
        <v>2023</v>
      </c>
      <c r="E317" t="s">
        <v>1653</v>
      </c>
      <c r="F317" t="s">
        <v>1745</v>
      </c>
      <c r="G317" t="s">
        <v>1746</v>
      </c>
      <c r="H317" t="s">
        <v>1864</v>
      </c>
      <c r="I317" t="s">
        <v>3110</v>
      </c>
      <c r="J317" s="428">
        <v>8</v>
      </c>
      <c r="K317" t="s">
        <v>586</v>
      </c>
      <c r="M317" s="174">
        <v>54.9</v>
      </c>
      <c r="N317" s="174">
        <v>439.2</v>
      </c>
      <c r="O317" t="s">
        <v>1747</v>
      </c>
      <c r="P317" t="s">
        <v>1748</v>
      </c>
      <c r="Q317" s="172">
        <v>141</v>
      </c>
      <c r="R317">
        <v>8</v>
      </c>
      <c r="S317" s="278" t="s">
        <v>3105</v>
      </c>
      <c r="T317" t="s">
        <v>1751</v>
      </c>
      <c r="U317" t="s">
        <v>6465</v>
      </c>
      <c r="V317" t="s">
        <v>6468</v>
      </c>
      <c r="W317" s="250" t="s">
        <v>3499</v>
      </c>
      <c r="X317" s="250" t="s">
        <v>3504</v>
      </c>
    </row>
    <row r="318" spans="1:24" ht="15.75" hidden="1" thickBot="1" x14ac:dyDescent="0.3">
      <c r="A318" s="424" t="s">
        <v>4593</v>
      </c>
      <c r="B318" s="424" t="s">
        <v>4593</v>
      </c>
      <c r="C318" s="422" t="s">
        <v>1950</v>
      </c>
      <c r="D318" s="227">
        <v>2023</v>
      </c>
      <c r="E318" t="s">
        <v>1653</v>
      </c>
      <c r="F318" t="s">
        <v>1745</v>
      </c>
      <c r="G318" t="s">
        <v>1746</v>
      </c>
      <c r="H318" t="s">
        <v>1864</v>
      </c>
      <c r="I318" t="s">
        <v>3110</v>
      </c>
      <c r="J318" s="428">
        <v>6</v>
      </c>
      <c r="K318" t="s">
        <v>586</v>
      </c>
      <c r="M318" s="174">
        <v>54.9</v>
      </c>
      <c r="N318" s="174">
        <v>329.4</v>
      </c>
      <c r="O318" t="s">
        <v>1747</v>
      </c>
      <c r="P318" t="s">
        <v>1748</v>
      </c>
      <c r="Q318" s="172">
        <v>141</v>
      </c>
      <c r="R318">
        <v>6</v>
      </c>
      <c r="S318" s="278" t="s">
        <v>3105</v>
      </c>
      <c r="T318" t="s">
        <v>1751</v>
      </c>
      <c r="U318" t="s">
        <v>6465</v>
      </c>
      <c r="V318" t="s">
        <v>6468</v>
      </c>
      <c r="W318" s="250" t="s">
        <v>3499</v>
      </c>
      <c r="X318" s="250" t="s">
        <v>3504</v>
      </c>
    </row>
    <row r="319" spans="1:24" ht="15.75" hidden="1" thickBot="1" x14ac:dyDescent="0.3">
      <c r="A319" s="424" t="s">
        <v>4593</v>
      </c>
      <c r="B319" s="424" t="s">
        <v>4593</v>
      </c>
      <c r="C319" s="422" t="s">
        <v>1950</v>
      </c>
      <c r="D319" s="227">
        <v>2023</v>
      </c>
      <c r="E319" t="s">
        <v>1653</v>
      </c>
      <c r="F319" t="s">
        <v>1745</v>
      </c>
      <c r="G319" t="s">
        <v>1746</v>
      </c>
      <c r="H319" t="s">
        <v>1864</v>
      </c>
      <c r="I319" t="s">
        <v>3110</v>
      </c>
      <c r="J319" s="428">
        <v>6</v>
      </c>
      <c r="K319" t="s">
        <v>586</v>
      </c>
      <c r="M319" s="174">
        <v>54.9</v>
      </c>
      <c r="N319" s="174">
        <v>329.4</v>
      </c>
      <c r="O319" t="s">
        <v>1747</v>
      </c>
      <c r="P319" t="s">
        <v>1748</v>
      </c>
      <c r="Q319" s="172">
        <v>141</v>
      </c>
      <c r="R319">
        <v>6</v>
      </c>
      <c r="S319" s="278" t="s">
        <v>3105</v>
      </c>
      <c r="T319" t="s">
        <v>1751</v>
      </c>
      <c r="U319" t="s">
        <v>6465</v>
      </c>
      <c r="V319" t="s">
        <v>6468</v>
      </c>
      <c r="W319" s="250" t="s">
        <v>3499</v>
      </c>
      <c r="X319" s="250" t="s">
        <v>3504</v>
      </c>
    </row>
    <row r="320" spans="1:24" ht="15.75" hidden="1" thickBot="1" x14ac:dyDescent="0.3">
      <c r="A320" s="424" t="s">
        <v>4593</v>
      </c>
      <c r="B320" s="424" t="s">
        <v>4593</v>
      </c>
      <c r="C320" s="422" t="s">
        <v>1950</v>
      </c>
      <c r="D320" s="227">
        <v>2023</v>
      </c>
      <c r="E320" t="s">
        <v>1653</v>
      </c>
      <c r="F320" t="s">
        <v>1745</v>
      </c>
      <c r="G320" t="s">
        <v>1746</v>
      </c>
      <c r="H320" t="s">
        <v>1864</v>
      </c>
      <c r="I320" t="s">
        <v>3110</v>
      </c>
      <c r="J320" s="428">
        <v>6</v>
      </c>
      <c r="K320" t="s">
        <v>586</v>
      </c>
      <c r="M320" s="174">
        <v>54.9</v>
      </c>
      <c r="N320" s="174">
        <v>329.4</v>
      </c>
      <c r="O320" t="s">
        <v>1747</v>
      </c>
      <c r="P320" t="s">
        <v>1748</v>
      </c>
      <c r="Q320" s="172">
        <v>141</v>
      </c>
      <c r="R320">
        <v>6</v>
      </c>
      <c r="S320" s="278" t="s">
        <v>3105</v>
      </c>
      <c r="T320" t="s">
        <v>1751</v>
      </c>
      <c r="U320" t="s">
        <v>6465</v>
      </c>
      <c r="V320" t="s">
        <v>6468</v>
      </c>
      <c r="W320" s="250" t="s">
        <v>3499</v>
      </c>
      <c r="X320" s="250" t="s">
        <v>3504</v>
      </c>
    </row>
    <row r="321" spans="1:24" ht="15.75" hidden="1" thickBot="1" x14ac:dyDescent="0.3">
      <c r="A321" s="424" t="s">
        <v>4593</v>
      </c>
      <c r="B321" s="424" t="s">
        <v>4593</v>
      </c>
      <c r="C321" s="422" t="s">
        <v>1950</v>
      </c>
      <c r="D321" s="227">
        <v>2023</v>
      </c>
      <c r="E321" t="s">
        <v>1653</v>
      </c>
      <c r="F321" t="s">
        <v>1745</v>
      </c>
      <c r="G321" t="s">
        <v>1746</v>
      </c>
      <c r="H321" t="s">
        <v>1864</v>
      </c>
      <c r="I321" t="s">
        <v>3110</v>
      </c>
      <c r="J321" s="428">
        <v>8</v>
      </c>
      <c r="K321" t="s">
        <v>586</v>
      </c>
      <c r="M321" s="174">
        <v>54.9</v>
      </c>
      <c r="N321" s="174">
        <v>439.2</v>
      </c>
      <c r="O321" t="s">
        <v>1747</v>
      </c>
      <c r="P321" t="s">
        <v>1748</v>
      </c>
      <c r="Q321" s="172">
        <v>141</v>
      </c>
      <c r="R321">
        <v>8</v>
      </c>
      <c r="S321" s="278" t="s">
        <v>3105</v>
      </c>
      <c r="T321" t="s">
        <v>1751</v>
      </c>
      <c r="U321" t="s">
        <v>6465</v>
      </c>
      <c r="V321" t="s">
        <v>6468</v>
      </c>
      <c r="W321" s="250" t="s">
        <v>3499</v>
      </c>
      <c r="X321" s="250" t="s">
        <v>3504</v>
      </c>
    </row>
    <row r="322" spans="1:24" ht="15.75" hidden="1" thickBot="1" x14ac:dyDescent="0.3">
      <c r="A322" s="424" t="s">
        <v>4593</v>
      </c>
      <c r="B322" s="424" t="s">
        <v>4593</v>
      </c>
      <c r="C322" s="422" t="s">
        <v>1950</v>
      </c>
      <c r="D322" s="227">
        <v>2023</v>
      </c>
      <c r="E322" t="s">
        <v>1653</v>
      </c>
      <c r="F322" t="s">
        <v>1745</v>
      </c>
      <c r="G322" t="s">
        <v>1746</v>
      </c>
      <c r="H322" t="s">
        <v>1864</v>
      </c>
      <c r="I322" t="s">
        <v>3110</v>
      </c>
      <c r="J322" s="428">
        <v>4</v>
      </c>
      <c r="K322" t="s">
        <v>586</v>
      </c>
      <c r="M322" s="174">
        <v>54.9</v>
      </c>
      <c r="N322" s="174">
        <v>219.6</v>
      </c>
      <c r="O322" t="s">
        <v>1747</v>
      </c>
      <c r="P322" t="s">
        <v>1748</v>
      </c>
      <c r="Q322" s="172">
        <v>141</v>
      </c>
      <c r="R322">
        <v>4</v>
      </c>
      <c r="S322" s="278" t="s">
        <v>3105</v>
      </c>
      <c r="T322" t="s">
        <v>1751</v>
      </c>
      <c r="U322" t="s">
        <v>6465</v>
      </c>
      <c r="V322" t="s">
        <v>6468</v>
      </c>
      <c r="W322" s="250" t="s">
        <v>3499</v>
      </c>
      <c r="X322" s="250" t="s">
        <v>3504</v>
      </c>
    </row>
    <row r="323" spans="1:24" ht="15.75" hidden="1" thickBot="1" x14ac:dyDescent="0.3">
      <c r="A323" s="424" t="s">
        <v>4593</v>
      </c>
      <c r="B323" s="424" t="s">
        <v>4593</v>
      </c>
      <c r="C323" s="422" t="s">
        <v>1950</v>
      </c>
      <c r="D323" s="227">
        <v>2023</v>
      </c>
      <c r="E323" t="s">
        <v>1653</v>
      </c>
      <c r="F323" t="s">
        <v>1745</v>
      </c>
      <c r="G323" t="s">
        <v>1746</v>
      </c>
      <c r="H323" t="s">
        <v>1864</v>
      </c>
      <c r="I323" t="s">
        <v>3110</v>
      </c>
      <c r="J323" s="428">
        <v>2</v>
      </c>
      <c r="K323" t="s">
        <v>586</v>
      </c>
      <c r="M323" s="174">
        <v>42.8</v>
      </c>
      <c r="N323" s="174">
        <v>85.6</v>
      </c>
      <c r="O323" t="s">
        <v>1747</v>
      </c>
      <c r="P323" t="s">
        <v>1748</v>
      </c>
      <c r="Q323" s="172">
        <v>141</v>
      </c>
      <c r="R323">
        <v>2</v>
      </c>
      <c r="S323" s="278" t="s">
        <v>3105</v>
      </c>
      <c r="T323" t="s">
        <v>1751</v>
      </c>
      <c r="U323" t="s">
        <v>6465</v>
      </c>
      <c r="V323" t="s">
        <v>6469</v>
      </c>
      <c r="W323" s="250" t="s">
        <v>3499</v>
      </c>
      <c r="X323" s="250" t="s">
        <v>3504</v>
      </c>
    </row>
    <row r="324" spans="1:24" ht="15.75" hidden="1" thickBot="1" x14ac:dyDescent="0.3">
      <c r="A324" s="424" t="s">
        <v>4593</v>
      </c>
      <c r="B324" s="424" t="s">
        <v>4593</v>
      </c>
      <c r="C324" s="422" t="s">
        <v>1950</v>
      </c>
      <c r="D324" s="227">
        <v>2023</v>
      </c>
      <c r="E324" t="s">
        <v>1653</v>
      </c>
      <c r="F324" t="s">
        <v>1745</v>
      </c>
      <c r="G324" t="s">
        <v>1746</v>
      </c>
      <c r="H324" t="s">
        <v>1864</v>
      </c>
      <c r="I324" t="s">
        <v>3110</v>
      </c>
      <c r="J324" s="428">
        <v>2</v>
      </c>
      <c r="K324" t="s">
        <v>586</v>
      </c>
      <c r="M324" s="174">
        <v>42.8</v>
      </c>
      <c r="N324" s="174">
        <v>85.6</v>
      </c>
      <c r="O324" t="s">
        <v>1747</v>
      </c>
      <c r="P324" t="s">
        <v>1748</v>
      </c>
      <c r="Q324" s="172">
        <v>141</v>
      </c>
      <c r="R324">
        <v>2</v>
      </c>
      <c r="S324" s="278" t="s">
        <v>3105</v>
      </c>
      <c r="T324" t="s">
        <v>1751</v>
      </c>
      <c r="U324" t="s">
        <v>6465</v>
      </c>
      <c r="V324" t="s">
        <v>6469</v>
      </c>
      <c r="W324" s="250" t="s">
        <v>3499</v>
      </c>
      <c r="X324" s="250" t="s">
        <v>3504</v>
      </c>
    </row>
    <row r="325" spans="1:24" ht="15.75" hidden="1" thickBot="1" x14ac:dyDescent="0.3">
      <c r="A325" s="424" t="s">
        <v>4593</v>
      </c>
      <c r="B325" s="424" t="s">
        <v>4593</v>
      </c>
      <c r="C325" s="422" t="s">
        <v>1950</v>
      </c>
      <c r="D325" s="227">
        <v>2023</v>
      </c>
      <c r="E325" t="s">
        <v>1653</v>
      </c>
      <c r="F325" t="s">
        <v>1745</v>
      </c>
      <c r="G325" t="s">
        <v>1746</v>
      </c>
      <c r="H325" t="s">
        <v>1864</v>
      </c>
      <c r="I325" t="s">
        <v>3110</v>
      </c>
      <c r="J325" s="428">
        <v>2</v>
      </c>
      <c r="K325" t="s">
        <v>586</v>
      </c>
      <c r="M325" s="174">
        <v>42.8</v>
      </c>
      <c r="N325" s="174">
        <v>85.6</v>
      </c>
      <c r="O325" t="s">
        <v>1747</v>
      </c>
      <c r="P325" t="s">
        <v>1748</v>
      </c>
      <c r="Q325" s="172">
        <v>141</v>
      </c>
      <c r="R325">
        <v>2</v>
      </c>
      <c r="S325" s="278" t="s">
        <v>3105</v>
      </c>
      <c r="T325" t="s">
        <v>1751</v>
      </c>
      <c r="U325" t="s">
        <v>6465</v>
      </c>
      <c r="V325" t="s">
        <v>6469</v>
      </c>
      <c r="W325" s="250" t="s">
        <v>3499</v>
      </c>
      <c r="X325" s="250" t="s">
        <v>3504</v>
      </c>
    </row>
    <row r="326" spans="1:24" ht="15.75" hidden="1" thickBot="1" x14ac:dyDescent="0.3">
      <c r="A326" s="424" t="s">
        <v>4593</v>
      </c>
      <c r="B326" s="424" t="s">
        <v>4593</v>
      </c>
      <c r="C326" s="422" t="s">
        <v>1950</v>
      </c>
      <c r="D326" s="227">
        <v>2023</v>
      </c>
      <c r="E326" t="s">
        <v>1653</v>
      </c>
      <c r="F326" t="s">
        <v>1745</v>
      </c>
      <c r="G326" t="s">
        <v>1746</v>
      </c>
      <c r="H326" t="s">
        <v>1864</v>
      </c>
      <c r="I326" t="s">
        <v>3110</v>
      </c>
      <c r="J326" s="428">
        <v>2</v>
      </c>
      <c r="K326" t="s">
        <v>586</v>
      </c>
      <c r="M326" s="174">
        <v>42.8</v>
      </c>
      <c r="N326" s="174">
        <v>85.6</v>
      </c>
      <c r="O326" t="s">
        <v>1747</v>
      </c>
      <c r="P326" t="s">
        <v>1748</v>
      </c>
      <c r="Q326" s="172">
        <v>141</v>
      </c>
      <c r="R326">
        <v>2</v>
      </c>
      <c r="S326" s="278" t="s">
        <v>3105</v>
      </c>
      <c r="T326" t="s">
        <v>1751</v>
      </c>
      <c r="U326" t="s">
        <v>6465</v>
      </c>
      <c r="V326" t="s">
        <v>6469</v>
      </c>
      <c r="W326" s="250" t="s">
        <v>3499</v>
      </c>
      <c r="X326" s="250" t="s">
        <v>3504</v>
      </c>
    </row>
    <row r="327" spans="1:24" ht="15.75" hidden="1" thickBot="1" x14ac:dyDescent="0.3">
      <c r="A327" s="424" t="s">
        <v>4593</v>
      </c>
      <c r="B327" s="424" t="s">
        <v>4593</v>
      </c>
      <c r="C327" s="422" t="s">
        <v>1950</v>
      </c>
      <c r="D327" s="227">
        <v>2023</v>
      </c>
      <c r="E327" t="s">
        <v>1653</v>
      </c>
      <c r="F327" t="s">
        <v>1745</v>
      </c>
      <c r="G327" t="s">
        <v>1746</v>
      </c>
      <c r="H327" t="s">
        <v>1864</v>
      </c>
      <c r="I327" t="s">
        <v>3110</v>
      </c>
      <c r="J327" s="428">
        <v>2</v>
      </c>
      <c r="K327" t="s">
        <v>586</v>
      </c>
      <c r="M327" s="174">
        <v>42.8</v>
      </c>
      <c r="N327" s="174">
        <v>85.6</v>
      </c>
      <c r="O327" t="s">
        <v>1747</v>
      </c>
      <c r="P327" t="s">
        <v>1748</v>
      </c>
      <c r="Q327" s="172">
        <v>141</v>
      </c>
      <c r="R327">
        <v>2</v>
      </c>
      <c r="S327" s="278" t="s">
        <v>3105</v>
      </c>
      <c r="T327" t="s">
        <v>1751</v>
      </c>
      <c r="U327" t="s">
        <v>6465</v>
      </c>
      <c r="V327" t="s">
        <v>6469</v>
      </c>
      <c r="W327" s="250" t="s">
        <v>3499</v>
      </c>
      <c r="X327" s="250" t="s">
        <v>3504</v>
      </c>
    </row>
    <row r="328" spans="1:24" ht="15.75" hidden="1" thickBot="1" x14ac:dyDescent="0.3">
      <c r="A328" s="424" t="s">
        <v>4593</v>
      </c>
      <c r="B328" s="424" t="s">
        <v>4593</v>
      </c>
      <c r="C328" s="422" t="s">
        <v>1950</v>
      </c>
      <c r="D328" s="227">
        <v>2023</v>
      </c>
      <c r="E328" t="s">
        <v>1653</v>
      </c>
      <c r="F328" t="s">
        <v>1745</v>
      </c>
      <c r="G328" t="s">
        <v>1746</v>
      </c>
      <c r="H328" t="s">
        <v>1864</v>
      </c>
      <c r="I328" t="s">
        <v>3110</v>
      </c>
      <c r="J328" s="428">
        <v>2</v>
      </c>
      <c r="K328" t="s">
        <v>586</v>
      </c>
      <c r="M328" s="174">
        <v>42.8</v>
      </c>
      <c r="N328" s="174">
        <v>85.6</v>
      </c>
      <c r="O328" t="s">
        <v>1747</v>
      </c>
      <c r="P328" t="s">
        <v>1748</v>
      </c>
      <c r="Q328" s="172">
        <v>141</v>
      </c>
      <c r="R328">
        <v>2</v>
      </c>
      <c r="S328" s="278" t="s">
        <v>3105</v>
      </c>
      <c r="T328" t="s">
        <v>1751</v>
      </c>
      <c r="U328" t="s">
        <v>6465</v>
      </c>
      <c r="V328" t="s">
        <v>6469</v>
      </c>
      <c r="W328" s="250" t="s">
        <v>3499</v>
      </c>
      <c r="X328" s="250" t="s">
        <v>3504</v>
      </c>
    </row>
    <row r="329" spans="1:24" hidden="1" x14ac:dyDescent="0.25">
      <c r="A329" t="s">
        <v>4592</v>
      </c>
      <c r="B329" t="s">
        <v>4592</v>
      </c>
      <c r="C329" s="422" t="s">
        <v>1950</v>
      </c>
      <c r="D329" s="227">
        <v>2023</v>
      </c>
      <c r="E329" t="s">
        <v>1653</v>
      </c>
      <c r="F329" t="s">
        <v>1745</v>
      </c>
      <c r="G329" t="s">
        <v>1746</v>
      </c>
      <c r="H329" t="s">
        <v>1864</v>
      </c>
      <c r="I329" t="s">
        <v>3110</v>
      </c>
      <c r="J329" s="428">
        <v>4</v>
      </c>
      <c r="K329" t="s">
        <v>586</v>
      </c>
      <c r="M329" s="174">
        <v>54.9</v>
      </c>
      <c r="N329" s="174">
        <v>219.6</v>
      </c>
      <c r="O329" t="s">
        <v>1747</v>
      </c>
      <c r="P329" t="s">
        <v>1748</v>
      </c>
      <c r="Q329" s="172">
        <v>92</v>
      </c>
      <c r="R329">
        <v>4</v>
      </c>
      <c r="S329" s="278" t="s">
        <v>3105</v>
      </c>
      <c r="T329" t="s">
        <v>1751</v>
      </c>
      <c r="U329" t="s">
        <v>6467</v>
      </c>
      <c r="V329" t="s">
        <v>6468</v>
      </c>
      <c r="W329" s="250" t="s">
        <v>3499</v>
      </c>
      <c r="X329" s="250" t="s">
        <v>3504</v>
      </c>
    </row>
    <row r="330" spans="1:24" hidden="1" x14ac:dyDescent="0.25">
      <c r="A330" t="s">
        <v>4592</v>
      </c>
      <c r="B330" t="s">
        <v>4592</v>
      </c>
      <c r="C330" s="422" t="s">
        <v>1950</v>
      </c>
      <c r="D330" s="227">
        <v>2023</v>
      </c>
      <c r="E330" t="s">
        <v>1653</v>
      </c>
      <c r="F330" t="s">
        <v>1745</v>
      </c>
      <c r="G330" t="s">
        <v>1746</v>
      </c>
      <c r="H330" t="s">
        <v>1864</v>
      </c>
      <c r="I330" t="s">
        <v>3110</v>
      </c>
      <c r="J330" s="428">
        <v>4</v>
      </c>
      <c r="K330" t="s">
        <v>586</v>
      </c>
      <c r="M330" s="174">
        <v>54.9</v>
      </c>
      <c r="N330" s="174">
        <v>219.6</v>
      </c>
      <c r="O330" t="s">
        <v>1747</v>
      </c>
      <c r="P330" t="s">
        <v>1748</v>
      </c>
      <c r="Q330" s="172">
        <v>92</v>
      </c>
      <c r="R330">
        <v>4</v>
      </c>
      <c r="S330" s="278" t="s">
        <v>3105</v>
      </c>
      <c r="T330" t="s">
        <v>1751</v>
      </c>
      <c r="U330" t="s">
        <v>6467</v>
      </c>
      <c r="V330" t="s">
        <v>6468</v>
      </c>
      <c r="W330" s="250" t="s">
        <v>3499</v>
      </c>
      <c r="X330" s="250" t="s">
        <v>3504</v>
      </c>
    </row>
    <row r="331" spans="1:24" hidden="1" x14ac:dyDescent="0.25">
      <c r="A331" t="s">
        <v>4592</v>
      </c>
      <c r="B331" t="s">
        <v>4592</v>
      </c>
      <c r="C331" s="422" t="s">
        <v>1950</v>
      </c>
      <c r="D331" s="227">
        <v>2023</v>
      </c>
      <c r="E331" t="s">
        <v>1653</v>
      </c>
      <c r="F331" t="s">
        <v>1745</v>
      </c>
      <c r="G331" t="s">
        <v>1746</v>
      </c>
      <c r="H331" t="s">
        <v>1864</v>
      </c>
      <c r="I331" t="s">
        <v>3110</v>
      </c>
      <c r="J331" s="428">
        <v>4</v>
      </c>
      <c r="K331" t="s">
        <v>586</v>
      </c>
      <c r="M331" s="174">
        <v>54.9</v>
      </c>
      <c r="N331" s="174">
        <v>219.6</v>
      </c>
      <c r="O331" t="s">
        <v>1747</v>
      </c>
      <c r="P331" t="s">
        <v>1748</v>
      </c>
      <c r="Q331" s="172">
        <v>92</v>
      </c>
      <c r="R331">
        <v>4</v>
      </c>
      <c r="S331" s="278" t="s">
        <v>3105</v>
      </c>
      <c r="T331" t="s">
        <v>1751</v>
      </c>
      <c r="U331" t="s">
        <v>6467</v>
      </c>
      <c r="V331" t="s">
        <v>6468</v>
      </c>
      <c r="W331" s="250" t="s">
        <v>3499</v>
      </c>
      <c r="X331" s="250" t="s">
        <v>3504</v>
      </c>
    </row>
    <row r="332" spans="1:24" hidden="1" x14ac:dyDescent="0.25">
      <c r="A332" t="s">
        <v>4592</v>
      </c>
      <c r="B332" t="s">
        <v>4592</v>
      </c>
      <c r="C332" s="422" t="s">
        <v>1950</v>
      </c>
      <c r="D332" s="227">
        <v>2023</v>
      </c>
      <c r="E332" t="s">
        <v>1653</v>
      </c>
      <c r="F332" t="s">
        <v>1745</v>
      </c>
      <c r="G332" t="s">
        <v>1746</v>
      </c>
      <c r="H332" t="s">
        <v>1864</v>
      </c>
      <c r="I332" t="s">
        <v>3110</v>
      </c>
      <c r="J332" s="428">
        <v>4</v>
      </c>
      <c r="K332" t="s">
        <v>586</v>
      </c>
      <c r="M332" s="174">
        <v>54.9</v>
      </c>
      <c r="N332" s="174">
        <v>219.6</v>
      </c>
      <c r="O332" t="s">
        <v>1747</v>
      </c>
      <c r="P332" t="s">
        <v>1748</v>
      </c>
      <c r="Q332" s="172">
        <v>92</v>
      </c>
      <c r="R332">
        <v>4</v>
      </c>
      <c r="S332" s="278" t="s">
        <v>3105</v>
      </c>
      <c r="T332" t="s">
        <v>1751</v>
      </c>
      <c r="U332" t="s">
        <v>6467</v>
      </c>
      <c r="V332" t="s">
        <v>6468</v>
      </c>
      <c r="W332" s="250" t="s">
        <v>3499</v>
      </c>
      <c r="X332" s="250" t="s">
        <v>3504</v>
      </c>
    </row>
    <row r="333" spans="1:24" hidden="1" x14ac:dyDescent="0.25">
      <c r="A333" t="s">
        <v>4592</v>
      </c>
      <c r="B333" t="s">
        <v>4592</v>
      </c>
      <c r="C333" s="422" t="s">
        <v>1950</v>
      </c>
      <c r="D333" s="227">
        <v>2023</v>
      </c>
      <c r="E333" t="s">
        <v>1653</v>
      </c>
      <c r="F333" t="s">
        <v>1745</v>
      </c>
      <c r="G333" t="s">
        <v>1746</v>
      </c>
      <c r="H333" t="s">
        <v>1864</v>
      </c>
      <c r="I333" t="s">
        <v>3110</v>
      </c>
      <c r="J333" s="428">
        <v>6</v>
      </c>
      <c r="K333" t="s">
        <v>586</v>
      </c>
      <c r="M333" s="174">
        <v>54.9</v>
      </c>
      <c r="N333" s="174">
        <v>329.4</v>
      </c>
      <c r="O333" t="s">
        <v>1747</v>
      </c>
      <c r="P333" t="s">
        <v>1748</v>
      </c>
      <c r="Q333" s="172">
        <v>92</v>
      </c>
      <c r="R333">
        <v>6</v>
      </c>
      <c r="S333" s="278" t="s">
        <v>3105</v>
      </c>
      <c r="T333" t="s">
        <v>1751</v>
      </c>
      <c r="U333" t="s">
        <v>6467</v>
      </c>
      <c r="V333" t="s">
        <v>6468</v>
      </c>
      <c r="W333" s="250" t="s">
        <v>3499</v>
      </c>
      <c r="X333" s="250" t="s">
        <v>3504</v>
      </c>
    </row>
    <row r="334" spans="1:24" hidden="1" x14ac:dyDescent="0.25">
      <c r="A334" t="s">
        <v>4592</v>
      </c>
      <c r="B334" t="s">
        <v>4592</v>
      </c>
      <c r="C334" s="422" t="s">
        <v>1950</v>
      </c>
      <c r="D334" s="227">
        <v>2023</v>
      </c>
      <c r="E334" t="s">
        <v>1653</v>
      </c>
      <c r="F334" t="s">
        <v>1745</v>
      </c>
      <c r="G334" t="s">
        <v>1746</v>
      </c>
      <c r="H334" t="s">
        <v>1864</v>
      </c>
      <c r="I334" t="s">
        <v>3110</v>
      </c>
      <c r="J334" s="428">
        <v>6</v>
      </c>
      <c r="K334" t="s">
        <v>586</v>
      </c>
      <c r="M334" s="174">
        <v>54.9</v>
      </c>
      <c r="N334" s="174">
        <v>329.4</v>
      </c>
      <c r="O334" t="s">
        <v>1747</v>
      </c>
      <c r="P334" t="s">
        <v>1748</v>
      </c>
      <c r="Q334" s="172">
        <v>92</v>
      </c>
      <c r="R334">
        <v>6</v>
      </c>
      <c r="S334" s="278" t="s">
        <v>3105</v>
      </c>
      <c r="T334" t="s">
        <v>1751</v>
      </c>
      <c r="U334" t="s">
        <v>6467</v>
      </c>
      <c r="V334" t="s">
        <v>6468</v>
      </c>
      <c r="W334" s="250" t="s">
        <v>3499</v>
      </c>
      <c r="X334" s="250" t="s">
        <v>3504</v>
      </c>
    </row>
    <row r="335" spans="1:24" hidden="1" x14ac:dyDescent="0.25">
      <c r="A335" t="s">
        <v>4592</v>
      </c>
      <c r="B335" t="s">
        <v>4592</v>
      </c>
      <c r="C335" s="422" t="s">
        <v>1950</v>
      </c>
      <c r="D335" s="227">
        <v>2023</v>
      </c>
      <c r="E335" t="s">
        <v>1653</v>
      </c>
      <c r="F335" t="s">
        <v>1745</v>
      </c>
      <c r="G335" t="s">
        <v>1746</v>
      </c>
      <c r="H335" t="s">
        <v>1864</v>
      </c>
      <c r="I335" t="s">
        <v>3110</v>
      </c>
      <c r="J335" s="428">
        <v>6</v>
      </c>
      <c r="K335" t="s">
        <v>586</v>
      </c>
      <c r="M335" s="174">
        <v>54.9</v>
      </c>
      <c r="N335" s="174">
        <v>329.4</v>
      </c>
      <c r="O335" t="s">
        <v>1747</v>
      </c>
      <c r="P335" t="s">
        <v>1748</v>
      </c>
      <c r="Q335" s="172">
        <v>92</v>
      </c>
      <c r="R335">
        <v>6</v>
      </c>
      <c r="S335" s="278" t="s">
        <v>3105</v>
      </c>
      <c r="T335" t="s">
        <v>1751</v>
      </c>
      <c r="U335" t="s">
        <v>6467</v>
      </c>
      <c r="V335" t="s">
        <v>6468</v>
      </c>
      <c r="W335" s="250" t="s">
        <v>3499</v>
      </c>
      <c r="X335" s="250" t="s">
        <v>3504</v>
      </c>
    </row>
    <row r="336" spans="1:24" hidden="1" x14ac:dyDescent="0.25">
      <c r="A336" t="s">
        <v>4592</v>
      </c>
      <c r="B336" t="s">
        <v>4592</v>
      </c>
      <c r="C336" s="422" t="s">
        <v>1950</v>
      </c>
      <c r="D336" s="227">
        <v>2023</v>
      </c>
      <c r="E336" t="s">
        <v>1653</v>
      </c>
      <c r="F336" t="s">
        <v>1745</v>
      </c>
      <c r="G336" t="s">
        <v>1746</v>
      </c>
      <c r="H336" t="s">
        <v>1864</v>
      </c>
      <c r="I336" t="s">
        <v>3110</v>
      </c>
      <c r="J336" s="428">
        <v>4</v>
      </c>
      <c r="K336" t="s">
        <v>586</v>
      </c>
      <c r="M336" s="174">
        <v>54.9</v>
      </c>
      <c r="N336" s="174">
        <v>219.6</v>
      </c>
      <c r="O336" t="s">
        <v>1747</v>
      </c>
      <c r="P336" t="s">
        <v>1748</v>
      </c>
      <c r="Q336" s="172">
        <v>92</v>
      </c>
      <c r="R336">
        <v>4</v>
      </c>
      <c r="S336" s="278" t="s">
        <v>3105</v>
      </c>
      <c r="T336" t="s">
        <v>1751</v>
      </c>
      <c r="U336" t="s">
        <v>6467</v>
      </c>
      <c r="V336" t="s">
        <v>6468</v>
      </c>
      <c r="W336" s="250" t="s">
        <v>3499</v>
      </c>
      <c r="X336" s="250" t="s">
        <v>3504</v>
      </c>
    </row>
    <row r="337" spans="1:24" hidden="1" x14ac:dyDescent="0.25">
      <c r="A337" t="s">
        <v>4592</v>
      </c>
      <c r="B337" t="s">
        <v>4592</v>
      </c>
      <c r="C337" s="422" t="s">
        <v>1950</v>
      </c>
      <c r="D337" s="227">
        <v>2023</v>
      </c>
      <c r="E337" t="s">
        <v>1653</v>
      </c>
      <c r="F337" t="s">
        <v>1745</v>
      </c>
      <c r="G337" t="s">
        <v>1746</v>
      </c>
      <c r="H337" t="s">
        <v>1864</v>
      </c>
      <c r="I337" t="s">
        <v>3110</v>
      </c>
      <c r="J337" s="428">
        <v>2</v>
      </c>
      <c r="K337" t="s">
        <v>586</v>
      </c>
      <c r="M337" s="174">
        <v>54.9</v>
      </c>
      <c r="N337" s="174">
        <v>109.8</v>
      </c>
      <c r="O337" t="s">
        <v>1747</v>
      </c>
      <c r="P337" t="s">
        <v>1748</v>
      </c>
      <c r="Q337" s="172">
        <v>92</v>
      </c>
      <c r="R337">
        <v>2</v>
      </c>
      <c r="S337" s="278" t="s">
        <v>3105</v>
      </c>
      <c r="T337" t="s">
        <v>1751</v>
      </c>
      <c r="U337" t="s">
        <v>6467</v>
      </c>
      <c r="V337" t="s">
        <v>6468</v>
      </c>
      <c r="W337" s="250" t="s">
        <v>3499</v>
      </c>
      <c r="X337" s="250" t="s">
        <v>3504</v>
      </c>
    </row>
    <row r="338" spans="1:24" hidden="1" x14ac:dyDescent="0.25">
      <c r="A338" t="s">
        <v>4592</v>
      </c>
      <c r="B338" t="s">
        <v>4592</v>
      </c>
      <c r="C338" s="422" t="s">
        <v>1950</v>
      </c>
      <c r="D338" s="227">
        <v>2023</v>
      </c>
      <c r="E338" t="s">
        <v>1653</v>
      </c>
      <c r="F338" t="s">
        <v>1745</v>
      </c>
      <c r="G338" t="s">
        <v>1746</v>
      </c>
      <c r="H338" t="s">
        <v>1864</v>
      </c>
      <c r="I338" t="s">
        <v>3110</v>
      </c>
      <c r="J338" s="428">
        <v>4</v>
      </c>
      <c r="K338" t="s">
        <v>586</v>
      </c>
      <c r="M338" s="174">
        <v>54.9</v>
      </c>
      <c r="N338" s="174">
        <v>219.6</v>
      </c>
      <c r="O338" t="s">
        <v>1747</v>
      </c>
      <c r="P338" t="s">
        <v>1748</v>
      </c>
      <c r="Q338" s="172">
        <v>92</v>
      </c>
      <c r="R338">
        <v>4</v>
      </c>
      <c r="S338" s="278" t="s">
        <v>3105</v>
      </c>
      <c r="T338" t="s">
        <v>1751</v>
      </c>
      <c r="U338" t="s">
        <v>6467</v>
      </c>
      <c r="V338" t="s">
        <v>6468</v>
      </c>
      <c r="W338" s="250" t="s">
        <v>3499</v>
      </c>
      <c r="X338" s="250" t="s">
        <v>3504</v>
      </c>
    </row>
    <row r="339" spans="1:24" hidden="1" x14ac:dyDescent="0.25">
      <c r="A339" t="s">
        <v>4592</v>
      </c>
      <c r="B339" t="s">
        <v>4592</v>
      </c>
      <c r="C339" s="422" t="s">
        <v>1950</v>
      </c>
      <c r="D339" s="227">
        <v>2023</v>
      </c>
      <c r="E339" t="s">
        <v>1653</v>
      </c>
      <c r="F339" t="s">
        <v>1745</v>
      </c>
      <c r="G339" t="s">
        <v>1746</v>
      </c>
      <c r="H339" t="s">
        <v>1864</v>
      </c>
      <c r="I339" t="s">
        <v>3110</v>
      </c>
      <c r="J339" s="428">
        <v>4</v>
      </c>
      <c r="K339" t="s">
        <v>586</v>
      </c>
      <c r="M339" s="174">
        <v>54.9</v>
      </c>
      <c r="N339" s="174">
        <v>219.6</v>
      </c>
      <c r="O339" t="s">
        <v>1747</v>
      </c>
      <c r="P339" t="s">
        <v>1748</v>
      </c>
      <c r="Q339" s="172">
        <v>92</v>
      </c>
      <c r="R339">
        <v>4</v>
      </c>
      <c r="S339" s="278" t="s">
        <v>3105</v>
      </c>
      <c r="T339" t="s">
        <v>1751</v>
      </c>
      <c r="U339" t="s">
        <v>6467</v>
      </c>
      <c r="V339" t="s">
        <v>6468</v>
      </c>
      <c r="W339" s="250" t="s">
        <v>3499</v>
      </c>
      <c r="X339" s="250" t="s">
        <v>3504</v>
      </c>
    </row>
    <row r="340" spans="1:24" hidden="1" x14ac:dyDescent="0.25">
      <c r="A340" t="s">
        <v>4592</v>
      </c>
      <c r="B340" t="s">
        <v>4592</v>
      </c>
      <c r="C340" s="422" t="s">
        <v>1950</v>
      </c>
      <c r="D340" s="227">
        <v>2023</v>
      </c>
      <c r="E340" t="s">
        <v>1653</v>
      </c>
      <c r="F340" t="s">
        <v>1745</v>
      </c>
      <c r="G340" t="s">
        <v>1746</v>
      </c>
      <c r="H340" t="s">
        <v>1864</v>
      </c>
      <c r="I340" t="s">
        <v>3110</v>
      </c>
      <c r="J340" s="428">
        <v>6</v>
      </c>
      <c r="K340" t="s">
        <v>586</v>
      </c>
      <c r="M340" s="174">
        <v>54.9</v>
      </c>
      <c r="N340" s="174">
        <v>329.4</v>
      </c>
      <c r="O340" t="s">
        <v>1747</v>
      </c>
      <c r="P340" t="s">
        <v>1748</v>
      </c>
      <c r="Q340" s="172">
        <v>92</v>
      </c>
      <c r="R340">
        <v>6</v>
      </c>
      <c r="S340" s="278" t="s">
        <v>3105</v>
      </c>
      <c r="T340" t="s">
        <v>1751</v>
      </c>
      <c r="U340" t="s">
        <v>6467</v>
      </c>
      <c r="V340" t="s">
        <v>6468</v>
      </c>
      <c r="W340" s="250" t="s">
        <v>3499</v>
      </c>
      <c r="X340" s="250" t="s">
        <v>3504</v>
      </c>
    </row>
    <row r="341" spans="1:24" hidden="1" x14ac:dyDescent="0.25">
      <c r="A341" t="s">
        <v>4592</v>
      </c>
      <c r="B341" t="s">
        <v>4592</v>
      </c>
      <c r="C341" s="422" t="s">
        <v>1950</v>
      </c>
      <c r="D341" s="227">
        <v>2023</v>
      </c>
      <c r="E341" t="s">
        <v>1653</v>
      </c>
      <c r="F341" t="s">
        <v>1745</v>
      </c>
      <c r="G341" t="s">
        <v>1746</v>
      </c>
      <c r="H341" t="s">
        <v>1864</v>
      </c>
      <c r="I341" t="s">
        <v>3110</v>
      </c>
      <c r="J341" s="428">
        <v>6</v>
      </c>
      <c r="K341" t="s">
        <v>586</v>
      </c>
      <c r="M341" s="174">
        <v>54.9</v>
      </c>
      <c r="N341" s="174">
        <v>329.4</v>
      </c>
      <c r="O341" t="s">
        <v>1747</v>
      </c>
      <c r="P341" t="s">
        <v>1748</v>
      </c>
      <c r="Q341" s="172">
        <v>92</v>
      </c>
      <c r="R341">
        <v>6</v>
      </c>
      <c r="S341" s="278" t="s">
        <v>3105</v>
      </c>
      <c r="T341" t="s">
        <v>1751</v>
      </c>
      <c r="U341" t="s">
        <v>6467</v>
      </c>
      <c r="V341" t="s">
        <v>6468</v>
      </c>
      <c r="W341" s="250" t="s">
        <v>3499</v>
      </c>
      <c r="X341" s="250" t="s">
        <v>3504</v>
      </c>
    </row>
    <row r="342" spans="1:24" hidden="1" x14ac:dyDescent="0.25">
      <c r="A342" t="s">
        <v>4592</v>
      </c>
      <c r="B342" t="s">
        <v>4592</v>
      </c>
      <c r="C342" s="422" t="s">
        <v>1950</v>
      </c>
      <c r="D342" s="227">
        <v>2023</v>
      </c>
      <c r="E342" t="s">
        <v>1653</v>
      </c>
      <c r="F342" t="s">
        <v>1745</v>
      </c>
      <c r="G342" t="s">
        <v>1746</v>
      </c>
      <c r="H342" t="s">
        <v>1864</v>
      </c>
      <c r="I342" t="s">
        <v>3110</v>
      </c>
      <c r="J342" s="428">
        <v>4</v>
      </c>
      <c r="K342" t="s">
        <v>586</v>
      </c>
      <c r="M342" s="174">
        <v>54.9</v>
      </c>
      <c r="N342" s="174">
        <v>219.6</v>
      </c>
      <c r="O342" t="s">
        <v>1747</v>
      </c>
      <c r="P342" t="s">
        <v>1748</v>
      </c>
      <c r="Q342" s="172">
        <v>92</v>
      </c>
      <c r="R342">
        <v>4</v>
      </c>
      <c r="S342" s="278" t="s">
        <v>3105</v>
      </c>
      <c r="T342" t="s">
        <v>1751</v>
      </c>
      <c r="U342" t="s">
        <v>6467</v>
      </c>
      <c r="V342" t="s">
        <v>6468</v>
      </c>
      <c r="W342" s="250" t="s">
        <v>3499</v>
      </c>
      <c r="X342" s="250" t="s">
        <v>3504</v>
      </c>
    </row>
    <row r="343" spans="1:24" hidden="1" x14ac:dyDescent="0.25">
      <c r="A343" t="s">
        <v>4592</v>
      </c>
      <c r="B343" t="s">
        <v>4592</v>
      </c>
      <c r="C343" s="422" t="s">
        <v>1950</v>
      </c>
      <c r="D343" s="227">
        <v>2023</v>
      </c>
      <c r="E343" t="s">
        <v>1653</v>
      </c>
      <c r="F343" t="s">
        <v>1745</v>
      </c>
      <c r="G343" t="s">
        <v>1746</v>
      </c>
      <c r="H343" t="s">
        <v>1864</v>
      </c>
      <c r="I343" t="s">
        <v>3110</v>
      </c>
      <c r="J343" s="428">
        <v>6</v>
      </c>
      <c r="K343" t="s">
        <v>586</v>
      </c>
      <c r="M343" s="174">
        <v>54.9</v>
      </c>
      <c r="N343" s="174">
        <v>329.4</v>
      </c>
      <c r="O343" t="s">
        <v>1747</v>
      </c>
      <c r="P343" t="s">
        <v>1748</v>
      </c>
      <c r="Q343" s="172">
        <v>92</v>
      </c>
      <c r="R343">
        <v>6</v>
      </c>
      <c r="S343" s="278" t="s">
        <v>3105</v>
      </c>
      <c r="T343" t="s">
        <v>1751</v>
      </c>
      <c r="U343" t="s">
        <v>6467</v>
      </c>
      <c r="V343" t="s">
        <v>6468</v>
      </c>
      <c r="W343" s="250" t="s">
        <v>3499</v>
      </c>
      <c r="X343" s="250" t="s">
        <v>3504</v>
      </c>
    </row>
    <row r="344" spans="1:24" hidden="1" x14ac:dyDescent="0.25">
      <c r="A344" t="s">
        <v>4592</v>
      </c>
      <c r="B344" t="s">
        <v>4592</v>
      </c>
      <c r="C344" s="422" t="s">
        <v>1950</v>
      </c>
      <c r="D344" s="227">
        <v>2023</v>
      </c>
      <c r="E344" t="s">
        <v>1653</v>
      </c>
      <c r="F344" t="s">
        <v>1745</v>
      </c>
      <c r="G344" t="s">
        <v>1746</v>
      </c>
      <c r="H344" t="s">
        <v>1864</v>
      </c>
      <c r="I344" t="s">
        <v>3110</v>
      </c>
      <c r="J344" s="428">
        <v>6</v>
      </c>
      <c r="K344" t="s">
        <v>586</v>
      </c>
      <c r="M344" s="174">
        <v>54.9</v>
      </c>
      <c r="N344" s="174">
        <v>329.4</v>
      </c>
      <c r="O344" t="s">
        <v>1747</v>
      </c>
      <c r="P344" t="s">
        <v>1748</v>
      </c>
      <c r="Q344" s="172">
        <v>92</v>
      </c>
      <c r="R344">
        <v>6</v>
      </c>
      <c r="S344" s="278" t="s">
        <v>3105</v>
      </c>
      <c r="T344" t="s">
        <v>1751</v>
      </c>
      <c r="U344" t="s">
        <v>6467</v>
      </c>
      <c r="V344" t="s">
        <v>6468</v>
      </c>
      <c r="W344" s="250" t="s">
        <v>3499</v>
      </c>
      <c r="X344" s="250" t="s">
        <v>3504</v>
      </c>
    </row>
    <row r="345" spans="1:24" hidden="1" x14ac:dyDescent="0.25">
      <c r="A345" t="s">
        <v>4592</v>
      </c>
      <c r="B345" t="s">
        <v>4592</v>
      </c>
      <c r="C345" s="422" t="s">
        <v>1950</v>
      </c>
      <c r="D345" s="227">
        <v>2023</v>
      </c>
      <c r="E345" t="s">
        <v>1653</v>
      </c>
      <c r="F345" t="s">
        <v>1745</v>
      </c>
      <c r="G345" t="s">
        <v>1746</v>
      </c>
      <c r="H345" t="s">
        <v>1864</v>
      </c>
      <c r="I345" t="s">
        <v>3110</v>
      </c>
      <c r="J345" s="428">
        <v>6</v>
      </c>
      <c r="K345" t="s">
        <v>586</v>
      </c>
      <c r="M345" s="174">
        <v>54.9</v>
      </c>
      <c r="N345" s="174">
        <v>329.4</v>
      </c>
      <c r="O345" t="s">
        <v>1747</v>
      </c>
      <c r="P345" t="s">
        <v>1748</v>
      </c>
      <c r="Q345" s="172">
        <v>92</v>
      </c>
      <c r="R345">
        <v>6</v>
      </c>
      <c r="S345" s="278" t="s">
        <v>3105</v>
      </c>
      <c r="T345" t="s">
        <v>1751</v>
      </c>
      <c r="U345" t="s">
        <v>6467</v>
      </c>
      <c r="V345" t="s">
        <v>6468</v>
      </c>
      <c r="W345" s="250" t="s">
        <v>3499</v>
      </c>
      <c r="X345" s="250" t="s">
        <v>3504</v>
      </c>
    </row>
    <row r="346" spans="1:24" hidden="1" x14ac:dyDescent="0.25">
      <c r="A346" t="s">
        <v>4592</v>
      </c>
      <c r="B346" t="s">
        <v>4592</v>
      </c>
      <c r="C346" s="422" t="s">
        <v>1950</v>
      </c>
      <c r="D346" s="227">
        <v>2023</v>
      </c>
      <c r="E346" t="s">
        <v>1653</v>
      </c>
      <c r="F346" t="s">
        <v>1745</v>
      </c>
      <c r="G346" t="s">
        <v>1746</v>
      </c>
      <c r="H346" t="s">
        <v>1864</v>
      </c>
      <c r="I346" t="s">
        <v>3110</v>
      </c>
      <c r="J346" s="428">
        <v>6</v>
      </c>
      <c r="K346" t="s">
        <v>586</v>
      </c>
      <c r="M346" s="174">
        <v>54.9</v>
      </c>
      <c r="N346" s="174">
        <v>329.4</v>
      </c>
      <c r="O346" t="s">
        <v>1747</v>
      </c>
      <c r="P346" t="s">
        <v>1748</v>
      </c>
      <c r="Q346" s="172">
        <v>92</v>
      </c>
      <c r="R346">
        <v>6</v>
      </c>
      <c r="S346" s="278" t="s">
        <v>3105</v>
      </c>
      <c r="T346" t="s">
        <v>1751</v>
      </c>
      <c r="U346" t="s">
        <v>6467</v>
      </c>
      <c r="V346" t="s">
        <v>6468</v>
      </c>
      <c r="W346" s="250" t="s">
        <v>3499</v>
      </c>
      <c r="X346" s="250" t="s">
        <v>3504</v>
      </c>
    </row>
    <row r="347" spans="1:24" hidden="1" x14ac:dyDescent="0.25">
      <c r="A347" t="s">
        <v>4592</v>
      </c>
      <c r="B347" t="s">
        <v>4592</v>
      </c>
      <c r="C347" s="422" t="s">
        <v>1950</v>
      </c>
      <c r="D347" s="227">
        <v>2023</v>
      </c>
      <c r="E347" t="s">
        <v>1653</v>
      </c>
      <c r="F347" t="s">
        <v>1745</v>
      </c>
      <c r="G347" t="s">
        <v>1746</v>
      </c>
      <c r="H347" t="s">
        <v>1864</v>
      </c>
      <c r="I347" t="s">
        <v>3110</v>
      </c>
      <c r="J347" s="428">
        <v>6</v>
      </c>
      <c r="K347" t="s">
        <v>586</v>
      </c>
      <c r="M347" s="174">
        <v>54.9</v>
      </c>
      <c r="N347" s="174">
        <v>329.4</v>
      </c>
      <c r="O347" t="s">
        <v>1747</v>
      </c>
      <c r="P347" t="s">
        <v>1748</v>
      </c>
      <c r="Q347" s="172">
        <v>92</v>
      </c>
      <c r="R347">
        <v>6</v>
      </c>
      <c r="S347" s="278" t="s">
        <v>3105</v>
      </c>
      <c r="T347" t="s">
        <v>1751</v>
      </c>
      <c r="U347" t="s">
        <v>6467</v>
      </c>
      <c r="V347" t="s">
        <v>6468</v>
      </c>
      <c r="W347" s="250" t="s">
        <v>3499</v>
      </c>
      <c r="X347" s="250" t="s">
        <v>3504</v>
      </c>
    </row>
    <row r="348" spans="1:24" hidden="1" x14ac:dyDescent="0.25">
      <c r="A348" t="s">
        <v>4592</v>
      </c>
      <c r="B348" t="s">
        <v>4592</v>
      </c>
      <c r="C348" s="422" t="s">
        <v>1950</v>
      </c>
      <c r="D348" s="227">
        <v>2023</v>
      </c>
      <c r="E348" t="s">
        <v>1653</v>
      </c>
      <c r="F348" t="s">
        <v>1745</v>
      </c>
      <c r="G348" t="s">
        <v>1746</v>
      </c>
      <c r="H348" t="s">
        <v>1864</v>
      </c>
      <c r="I348" t="s">
        <v>3110</v>
      </c>
      <c r="J348" s="428">
        <v>4</v>
      </c>
      <c r="K348" t="s">
        <v>586</v>
      </c>
      <c r="M348" s="174">
        <v>54.9</v>
      </c>
      <c r="N348" s="174">
        <v>219.6</v>
      </c>
      <c r="O348" t="s">
        <v>1747</v>
      </c>
      <c r="P348" t="s">
        <v>1748</v>
      </c>
      <c r="Q348" s="172">
        <v>92</v>
      </c>
      <c r="R348">
        <v>4</v>
      </c>
      <c r="S348" s="278" t="s">
        <v>3105</v>
      </c>
      <c r="T348" t="s">
        <v>1751</v>
      </c>
      <c r="U348" t="s">
        <v>6467</v>
      </c>
      <c r="V348" t="s">
        <v>6468</v>
      </c>
      <c r="W348" s="250" t="s">
        <v>3499</v>
      </c>
      <c r="X348" s="250" t="s">
        <v>3504</v>
      </c>
    </row>
    <row r="349" spans="1:24" hidden="1" x14ac:dyDescent="0.25">
      <c r="A349" t="s">
        <v>4592</v>
      </c>
      <c r="B349" t="s">
        <v>4592</v>
      </c>
      <c r="C349" s="422" t="s">
        <v>1950</v>
      </c>
      <c r="D349" s="227">
        <v>2023</v>
      </c>
      <c r="E349" t="s">
        <v>1653</v>
      </c>
      <c r="F349" t="s">
        <v>1745</v>
      </c>
      <c r="G349" t="s">
        <v>1746</v>
      </c>
      <c r="H349" t="s">
        <v>1864</v>
      </c>
      <c r="I349" t="s">
        <v>3110</v>
      </c>
      <c r="J349" s="428">
        <v>4</v>
      </c>
      <c r="K349" t="s">
        <v>586</v>
      </c>
      <c r="M349" s="174">
        <v>54.9</v>
      </c>
      <c r="N349" s="174">
        <v>219.6</v>
      </c>
      <c r="O349" t="s">
        <v>1747</v>
      </c>
      <c r="P349" t="s">
        <v>1748</v>
      </c>
      <c r="Q349" s="172">
        <v>92</v>
      </c>
      <c r="R349">
        <v>4</v>
      </c>
      <c r="S349" s="278" t="s">
        <v>3105</v>
      </c>
      <c r="T349" t="s">
        <v>1751</v>
      </c>
      <c r="U349" t="s">
        <v>6467</v>
      </c>
      <c r="V349" t="s">
        <v>6468</v>
      </c>
      <c r="W349" s="250" t="s">
        <v>3499</v>
      </c>
      <c r="X349" s="250" t="s">
        <v>3504</v>
      </c>
    </row>
    <row r="350" spans="1:24" hidden="1" x14ac:dyDescent="0.25">
      <c r="A350" t="s">
        <v>4592</v>
      </c>
      <c r="B350" t="s">
        <v>4592</v>
      </c>
      <c r="C350" s="422" t="s">
        <v>1950</v>
      </c>
      <c r="D350" s="227">
        <v>2023</v>
      </c>
      <c r="E350" t="s">
        <v>1653</v>
      </c>
      <c r="F350" t="s">
        <v>1745</v>
      </c>
      <c r="G350" t="s">
        <v>1746</v>
      </c>
      <c r="H350" t="s">
        <v>1864</v>
      </c>
      <c r="I350" t="s">
        <v>3110</v>
      </c>
      <c r="J350" s="428">
        <v>4</v>
      </c>
      <c r="K350" t="s">
        <v>586</v>
      </c>
      <c r="M350" s="174">
        <v>54.9</v>
      </c>
      <c r="N350" s="174">
        <v>219.6</v>
      </c>
      <c r="O350" t="s">
        <v>1747</v>
      </c>
      <c r="P350" t="s">
        <v>1748</v>
      </c>
      <c r="Q350" s="172">
        <v>92</v>
      </c>
      <c r="R350">
        <v>4</v>
      </c>
      <c r="S350" s="278" t="s">
        <v>3105</v>
      </c>
      <c r="T350" t="s">
        <v>1751</v>
      </c>
      <c r="U350" t="s">
        <v>6467</v>
      </c>
      <c r="V350" t="s">
        <v>6468</v>
      </c>
      <c r="W350" s="250" t="s">
        <v>3499</v>
      </c>
      <c r="X350" s="250" t="s">
        <v>3504</v>
      </c>
    </row>
    <row r="351" spans="1:24" hidden="1" x14ac:dyDescent="0.25">
      <c r="A351" t="s">
        <v>4592</v>
      </c>
      <c r="B351" t="s">
        <v>4592</v>
      </c>
      <c r="C351" s="422" t="s">
        <v>1950</v>
      </c>
      <c r="D351" s="227">
        <v>2023</v>
      </c>
      <c r="E351" t="s">
        <v>1653</v>
      </c>
      <c r="F351" t="s">
        <v>1745</v>
      </c>
      <c r="G351" t="s">
        <v>1746</v>
      </c>
      <c r="H351" t="s">
        <v>1864</v>
      </c>
      <c r="I351" t="s">
        <v>3110</v>
      </c>
      <c r="J351" s="428">
        <v>8</v>
      </c>
      <c r="K351" t="s">
        <v>586</v>
      </c>
      <c r="M351" s="174">
        <v>54.9</v>
      </c>
      <c r="N351" s="174">
        <v>439.2</v>
      </c>
      <c r="O351" t="s">
        <v>1747</v>
      </c>
      <c r="P351" t="s">
        <v>1748</v>
      </c>
      <c r="Q351" s="172">
        <v>92</v>
      </c>
      <c r="R351">
        <v>8</v>
      </c>
      <c r="S351" s="278" t="s">
        <v>3105</v>
      </c>
      <c r="T351" t="s">
        <v>1751</v>
      </c>
      <c r="U351" t="s">
        <v>6467</v>
      </c>
      <c r="V351" t="s">
        <v>6468</v>
      </c>
      <c r="W351" s="250" t="s">
        <v>3499</v>
      </c>
      <c r="X351" s="250" t="s">
        <v>3504</v>
      </c>
    </row>
    <row r="352" spans="1:24" hidden="1" x14ac:dyDescent="0.25">
      <c r="A352" t="s">
        <v>4592</v>
      </c>
      <c r="B352" t="s">
        <v>4592</v>
      </c>
      <c r="C352" s="422" t="s">
        <v>1950</v>
      </c>
      <c r="D352" s="227">
        <v>2023</v>
      </c>
      <c r="E352" t="s">
        <v>1653</v>
      </c>
      <c r="F352" t="s">
        <v>1745</v>
      </c>
      <c r="G352" t="s">
        <v>1746</v>
      </c>
      <c r="H352" t="s">
        <v>1864</v>
      </c>
      <c r="I352" t="s">
        <v>3110</v>
      </c>
      <c r="J352" s="428">
        <v>6</v>
      </c>
      <c r="K352" t="s">
        <v>586</v>
      </c>
      <c r="M352" s="174">
        <v>54.9</v>
      </c>
      <c r="N352" s="174">
        <v>329.4</v>
      </c>
      <c r="O352" t="s">
        <v>1747</v>
      </c>
      <c r="P352" t="s">
        <v>1748</v>
      </c>
      <c r="Q352" s="172">
        <v>92</v>
      </c>
      <c r="R352">
        <v>6</v>
      </c>
      <c r="S352" s="278" t="s">
        <v>3105</v>
      </c>
      <c r="T352" t="s">
        <v>1751</v>
      </c>
      <c r="U352" t="s">
        <v>6467</v>
      </c>
      <c r="V352" t="s">
        <v>6468</v>
      </c>
      <c r="W352" s="250" t="s">
        <v>3499</v>
      </c>
      <c r="X352" s="250" t="s">
        <v>3504</v>
      </c>
    </row>
    <row r="353" spans="1:24" hidden="1" x14ac:dyDescent="0.25">
      <c r="A353" t="s">
        <v>4592</v>
      </c>
      <c r="B353" t="s">
        <v>4592</v>
      </c>
      <c r="C353" s="422" t="s">
        <v>1950</v>
      </c>
      <c r="D353" s="227">
        <v>2023</v>
      </c>
      <c r="E353" t="s">
        <v>1653</v>
      </c>
      <c r="F353" t="s">
        <v>1745</v>
      </c>
      <c r="G353" t="s">
        <v>1746</v>
      </c>
      <c r="H353" t="s">
        <v>1864</v>
      </c>
      <c r="I353" t="s">
        <v>3110</v>
      </c>
      <c r="J353" s="428">
        <v>8</v>
      </c>
      <c r="K353" t="s">
        <v>586</v>
      </c>
      <c r="M353" s="174">
        <v>54.9</v>
      </c>
      <c r="N353" s="174">
        <v>439.2</v>
      </c>
      <c r="O353" t="s">
        <v>1747</v>
      </c>
      <c r="P353" t="s">
        <v>1748</v>
      </c>
      <c r="Q353" s="172">
        <v>92</v>
      </c>
      <c r="R353">
        <v>8</v>
      </c>
      <c r="S353" s="278" t="s">
        <v>3105</v>
      </c>
      <c r="T353" t="s">
        <v>1751</v>
      </c>
      <c r="U353" t="s">
        <v>6467</v>
      </c>
      <c r="V353" t="s">
        <v>6468</v>
      </c>
      <c r="W353" s="250" t="s">
        <v>3499</v>
      </c>
      <c r="X353" s="250" t="s">
        <v>3504</v>
      </c>
    </row>
    <row r="354" spans="1:24" hidden="1" x14ac:dyDescent="0.25">
      <c r="A354" t="s">
        <v>4592</v>
      </c>
      <c r="B354" t="s">
        <v>4592</v>
      </c>
      <c r="C354" s="422" t="s">
        <v>1950</v>
      </c>
      <c r="D354" s="227">
        <v>2023</v>
      </c>
      <c r="E354" t="s">
        <v>1653</v>
      </c>
      <c r="F354" t="s">
        <v>1745</v>
      </c>
      <c r="G354" t="s">
        <v>1746</v>
      </c>
      <c r="H354" t="s">
        <v>1864</v>
      </c>
      <c r="I354" t="s">
        <v>3110</v>
      </c>
      <c r="J354" s="428">
        <v>6</v>
      </c>
      <c r="K354" t="s">
        <v>586</v>
      </c>
      <c r="M354" s="174">
        <v>54.9</v>
      </c>
      <c r="N354" s="174">
        <v>329.4</v>
      </c>
      <c r="O354" t="s">
        <v>1747</v>
      </c>
      <c r="P354" t="s">
        <v>1748</v>
      </c>
      <c r="Q354" s="172">
        <v>92</v>
      </c>
      <c r="R354">
        <v>6</v>
      </c>
      <c r="S354" s="278" t="s">
        <v>3105</v>
      </c>
      <c r="T354" t="s">
        <v>1751</v>
      </c>
      <c r="U354" t="s">
        <v>6467</v>
      </c>
      <c r="V354" t="s">
        <v>6468</v>
      </c>
      <c r="W354" s="250" t="s">
        <v>3499</v>
      </c>
      <c r="X354" s="250" t="s">
        <v>3504</v>
      </c>
    </row>
    <row r="355" spans="1:24" hidden="1" x14ac:dyDescent="0.25">
      <c r="A355" t="s">
        <v>4592</v>
      </c>
      <c r="B355" t="s">
        <v>4592</v>
      </c>
      <c r="C355" s="422" t="s">
        <v>1950</v>
      </c>
      <c r="D355" s="227">
        <v>2023</v>
      </c>
      <c r="E355" t="s">
        <v>1653</v>
      </c>
      <c r="F355" t="s">
        <v>1745</v>
      </c>
      <c r="G355" t="s">
        <v>1746</v>
      </c>
      <c r="H355" t="s">
        <v>1864</v>
      </c>
      <c r="I355" t="s">
        <v>3110</v>
      </c>
      <c r="J355" s="428">
        <v>6</v>
      </c>
      <c r="K355" t="s">
        <v>586</v>
      </c>
      <c r="M355" s="174">
        <v>54.9</v>
      </c>
      <c r="N355" s="174">
        <v>329.4</v>
      </c>
      <c r="O355" t="s">
        <v>1747</v>
      </c>
      <c r="P355" t="s">
        <v>1748</v>
      </c>
      <c r="Q355" s="172">
        <v>92</v>
      </c>
      <c r="R355">
        <v>6</v>
      </c>
      <c r="S355" s="278" t="s">
        <v>3105</v>
      </c>
      <c r="T355" t="s">
        <v>1751</v>
      </c>
      <c r="U355" t="s">
        <v>6467</v>
      </c>
      <c r="V355" t="s">
        <v>6468</v>
      </c>
      <c r="W355" s="250" t="s">
        <v>3499</v>
      </c>
      <c r="X355" s="250" t="s">
        <v>3504</v>
      </c>
    </row>
    <row r="356" spans="1:24" hidden="1" x14ac:dyDescent="0.25">
      <c r="A356" t="s">
        <v>4592</v>
      </c>
      <c r="B356" t="s">
        <v>4592</v>
      </c>
      <c r="C356" s="422" t="s">
        <v>1950</v>
      </c>
      <c r="D356" s="227">
        <v>2023</v>
      </c>
      <c r="E356" t="s">
        <v>1653</v>
      </c>
      <c r="F356" t="s">
        <v>1745</v>
      </c>
      <c r="G356" t="s">
        <v>1746</v>
      </c>
      <c r="H356" t="s">
        <v>1864</v>
      </c>
      <c r="I356" t="s">
        <v>3110</v>
      </c>
      <c r="J356" s="428">
        <v>6</v>
      </c>
      <c r="K356" t="s">
        <v>586</v>
      </c>
      <c r="M356" s="174">
        <v>54.9</v>
      </c>
      <c r="N356" s="174">
        <v>329.4</v>
      </c>
      <c r="O356" t="s">
        <v>1747</v>
      </c>
      <c r="P356" t="s">
        <v>1748</v>
      </c>
      <c r="Q356" s="172">
        <v>92</v>
      </c>
      <c r="R356">
        <v>6</v>
      </c>
      <c r="S356" s="278" t="s">
        <v>3105</v>
      </c>
      <c r="T356" t="s">
        <v>1751</v>
      </c>
      <c r="U356" t="s">
        <v>6467</v>
      </c>
      <c r="V356" t="s">
        <v>6468</v>
      </c>
      <c r="W356" s="250" t="s">
        <v>3499</v>
      </c>
      <c r="X356" s="250" t="s">
        <v>3504</v>
      </c>
    </row>
    <row r="357" spans="1:24" hidden="1" x14ac:dyDescent="0.25">
      <c r="A357" t="s">
        <v>4592</v>
      </c>
      <c r="B357" t="s">
        <v>4592</v>
      </c>
      <c r="C357" s="422" t="s">
        <v>1950</v>
      </c>
      <c r="D357" s="227">
        <v>2023</v>
      </c>
      <c r="E357" t="s">
        <v>1653</v>
      </c>
      <c r="F357" t="s">
        <v>1745</v>
      </c>
      <c r="G357" t="s">
        <v>1746</v>
      </c>
      <c r="H357" t="s">
        <v>1864</v>
      </c>
      <c r="I357" t="s">
        <v>3110</v>
      </c>
      <c r="J357" s="428">
        <v>2</v>
      </c>
      <c r="K357" t="s">
        <v>586</v>
      </c>
      <c r="M357" s="174">
        <v>54.9</v>
      </c>
      <c r="N357" s="174">
        <v>109.8</v>
      </c>
      <c r="O357" t="s">
        <v>1747</v>
      </c>
      <c r="P357" t="s">
        <v>1748</v>
      </c>
      <c r="Q357" s="172">
        <v>92</v>
      </c>
      <c r="R357">
        <v>2</v>
      </c>
      <c r="S357" s="278" t="s">
        <v>3105</v>
      </c>
      <c r="T357" t="s">
        <v>1751</v>
      </c>
      <c r="U357" t="s">
        <v>6467</v>
      </c>
      <c r="V357" t="s">
        <v>6468</v>
      </c>
      <c r="W357" s="250" t="s">
        <v>3499</v>
      </c>
      <c r="X357" s="250" t="s">
        <v>3504</v>
      </c>
    </row>
    <row r="358" spans="1:24" hidden="1" x14ac:dyDescent="0.25">
      <c r="A358" t="s">
        <v>4592</v>
      </c>
      <c r="B358" t="s">
        <v>4592</v>
      </c>
      <c r="C358" s="422" t="s">
        <v>1950</v>
      </c>
      <c r="D358" s="227">
        <v>2023</v>
      </c>
      <c r="E358" t="s">
        <v>1653</v>
      </c>
      <c r="F358" t="s">
        <v>1745</v>
      </c>
      <c r="G358" t="s">
        <v>1746</v>
      </c>
      <c r="H358" t="s">
        <v>1864</v>
      </c>
      <c r="I358" t="s">
        <v>3110</v>
      </c>
      <c r="J358" s="428">
        <v>6</v>
      </c>
      <c r="K358" t="s">
        <v>586</v>
      </c>
      <c r="M358" s="174">
        <v>54.9</v>
      </c>
      <c r="N358" s="174">
        <v>329.4</v>
      </c>
      <c r="O358" t="s">
        <v>1747</v>
      </c>
      <c r="P358" t="s">
        <v>1748</v>
      </c>
      <c r="Q358" s="172">
        <v>92</v>
      </c>
      <c r="R358">
        <v>6</v>
      </c>
      <c r="S358" s="278" t="s">
        <v>3105</v>
      </c>
      <c r="T358" t="s">
        <v>1751</v>
      </c>
      <c r="U358" t="s">
        <v>6467</v>
      </c>
      <c r="V358" t="s">
        <v>6468</v>
      </c>
      <c r="W358" s="250" t="s">
        <v>3499</v>
      </c>
      <c r="X358" s="250" t="s">
        <v>3504</v>
      </c>
    </row>
    <row r="359" spans="1:24" hidden="1" x14ac:dyDescent="0.25">
      <c r="A359" s="422" t="s">
        <v>6447</v>
      </c>
      <c r="B359" t="s">
        <v>6447</v>
      </c>
      <c r="C359" s="422" t="s">
        <v>1950</v>
      </c>
      <c r="D359" s="227">
        <v>2023</v>
      </c>
      <c r="E359" t="s">
        <v>1653</v>
      </c>
      <c r="F359" t="s">
        <v>1745</v>
      </c>
      <c r="G359" t="s">
        <v>1746</v>
      </c>
      <c r="H359" t="s">
        <v>1864</v>
      </c>
      <c r="I359" t="s">
        <v>3110</v>
      </c>
      <c r="J359" s="428">
        <v>1</v>
      </c>
      <c r="K359" t="s">
        <v>586</v>
      </c>
      <c r="M359" s="174">
        <v>27.5</v>
      </c>
      <c r="N359" s="174">
        <v>27.5</v>
      </c>
      <c r="O359" t="s">
        <v>1747</v>
      </c>
      <c r="P359" t="s">
        <v>1748</v>
      </c>
      <c r="Q359" s="172">
        <v>112</v>
      </c>
      <c r="R359">
        <v>1</v>
      </c>
      <c r="S359" s="278" t="s">
        <v>3105</v>
      </c>
      <c r="T359" t="s">
        <v>3088</v>
      </c>
      <c r="U359" t="s">
        <v>6465</v>
      </c>
      <c r="V359" t="s">
        <v>6473</v>
      </c>
      <c r="W359" s="250" t="s">
        <v>3499</v>
      </c>
      <c r="X359" s="250" t="s">
        <v>3504</v>
      </c>
    </row>
    <row r="360" spans="1:24" hidden="1" x14ac:dyDescent="0.25">
      <c r="A360" s="422" t="s">
        <v>6447</v>
      </c>
      <c r="B360" s="422" t="s">
        <v>6447</v>
      </c>
      <c r="C360" s="422" t="s">
        <v>1950</v>
      </c>
      <c r="D360" s="227">
        <v>2023</v>
      </c>
      <c r="E360" t="s">
        <v>1653</v>
      </c>
      <c r="F360" t="s">
        <v>1745</v>
      </c>
      <c r="G360" t="s">
        <v>1746</v>
      </c>
      <c r="H360" t="s">
        <v>1864</v>
      </c>
      <c r="I360" t="s">
        <v>3110</v>
      </c>
      <c r="J360" s="428">
        <v>1</v>
      </c>
      <c r="K360" t="s">
        <v>586</v>
      </c>
      <c r="M360" s="174">
        <v>27.5</v>
      </c>
      <c r="N360" s="174">
        <v>27.5</v>
      </c>
      <c r="O360" t="s">
        <v>1747</v>
      </c>
      <c r="P360" t="s">
        <v>1748</v>
      </c>
      <c r="Q360" s="172">
        <v>112</v>
      </c>
      <c r="R360">
        <v>1</v>
      </c>
      <c r="S360" s="278" t="s">
        <v>3105</v>
      </c>
      <c r="T360" t="s">
        <v>3088</v>
      </c>
      <c r="U360" t="s">
        <v>6465</v>
      </c>
      <c r="V360" t="s">
        <v>6473</v>
      </c>
      <c r="W360" s="250" t="s">
        <v>3499</v>
      </c>
      <c r="X360" s="250" t="s">
        <v>3504</v>
      </c>
    </row>
    <row r="361" spans="1:24" hidden="1" x14ac:dyDescent="0.25">
      <c r="A361" s="422" t="s">
        <v>6447</v>
      </c>
      <c r="B361" s="422" t="s">
        <v>6447</v>
      </c>
      <c r="C361" s="422" t="s">
        <v>1950</v>
      </c>
      <c r="D361" s="227">
        <v>2023</v>
      </c>
      <c r="E361" t="s">
        <v>1653</v>
      </c>
      <c r="F361" t="s">
        <v>1745</v>
      </c>
      <c r="G361" t="s">
        <v>1746</v>
      </c>
      <c r="H361" t="s">
        <v>1864</v>
      </c>
      <c r="I361" t="s">
        <v>3110</v>
      </c>
      <c r="J361" s="428">
        <v>1</v>
      </c>
      <c r="K361" t="s">
        <v>586</v>
      </c>
      <c r="M361" s="174">
        <v>27.5</v>
      </c>
      <c r="N361" s="174">
        <v>27.5</v>
      </c>
      <c r="O361" t="s">
        <v>1747</v>
      </c>
      <c r="P361" t="s">
        <v>1748</v>
      </c>
      <c r="Q361" s="172">
        <v>82</v>
      </c>
      <c r="R361">
        <v>1</v>
      </c>
      <c r="S361" s="278" t="s">
        <v>3105</v>
      </c>
      <c r="T361" t="s">
        <v>3088</v>
      </c>
      <c r="U361" t="s">
        <v>6470</v>
      </c>
      <c r="V361" t="s">
        <v>6473</v>
      </c>
      <c r="W361" s="250" t="s">
        <v>3499</v>
      </c>
      <c r="X361" s="250" t="s">
        <v>3504</v>
      </c>
    </row>
    <row r="362" spans="1:24" hidden="1" x14ac:dyDescent="0.25">
      <c r="A362" s="422" t="s">
        <v>6447</v>
      </c>
      <c r="B362" s="422" t="s">
        <v>6447</v>
      </c>
      <c r="C362" s="422" t="s">
        <v>1950</v>
      </c>
      <c r="D362" s="227">
        <v>2023</v>
      </c>
      <c r="E362" t="s">
        <v>1653</v>
      </c>
      <c r="F362" t="s">
        <v>1745</v>
      </c>
      <c r="G362" t="s">
        <v>1746</v>
      </c>
      <c r="H362" t="s">
        <v>1864</v>
      </c>
      <c r="I362" t="s">
        <v>3110</v>
      </c>
      <c r="J362" s="428">
        <v>1</v>
      </c>
      <c r="K362" t="s">
        <v>586</v>
      </c>
      <c r="M362" s="174">
        <v>25.4</v>
      </c>
      <c r="N362" s="174">
        <v>25.4</v>
      </c>
      <c r="O362" t="s">
        <v>1747</v>
      </c>
      <c r="P362" t="s">
        <v>1748</v>
      </c>
      <c r="Q362" s="172">
        <v>82</v>
      </c>
      <c r="R362">
        <v>1</v>
      </c>
      <c r="S362" s="278" t="s">
        <v>3105</v>
      </c>
      <c r="T362" t="s">
        <v>3088</v>
      </c>
      <c r="U362" t="s">
        <v>6470</v>
      </c>
      <c r="V362" t="s">
        <v>6474</v>
      </c>
      <c r="W362" s="250" t="s">
        <v>3499</v>
      </c>
      <c r="X362" s="250" t="s">
        <v>3504</v>
      </c>
    </row>
    <row r="363" spans="1:24" hidden="1" x14ac:dyDescent="0.25">
      <c r="A363" s="422" t="s">
        <v>6447</v>
      </c>
      <c r="B363" s="422" t="s">
        <v>6447</v>
      </c>
      <c r="C363" s="422" t="s">
        <v>1950</v>
      </c>
      <c r="D363" s="227">
        <v>2023</v>
      </c>
      <c r="E363" t="s">
        <v>1653</v>
      </c>
      <c r="F363" t="s">
        <v>1745</v>
      </c>
      <c r="G363" t="s">
        <v>1746</v>
      </c>
      <c r="H363" t="s">
        <v>1864</v>
      </c>
      <c r="I363" t="s">
        <v>3110</v>
      </c>
      <c r="J363" s="428">
        <v>1</v>
      </c>
      <c r="K363" t="s">
        <v>586</v>
      </c>
      <c r="M363" s="174">
        <v>27.5</v>
      </c>
      <c r="N363" s="174">
        <v>27.5</v>
      </c>
      <c r="O363" t="s">
        <v>1747</v>
      </c>
      <c r="P363" t="s">
        <v>1748</v>
      </c>
      <c r="Q363" s="172">
        <v>82</v>
      </c>
      <c r="R363">
        <v>1</v>
      </c>
      <c r="S363" s="278" t="s">
        <v>3105</v>
      </c>
      <c r="T363" t="s">
        <v>3088</v>
      </c>
      <c r="U363" t="s">
        <v>6470</v>
      </c>
      <c r="V363" t="s">
        <v>6473</v>
      </c>
      <c r="W363" s="250" t="s">
        <v>3499</v>
      </c>
      <c r="X363" s="250" t="s">
        <v>3504</v>
      </c>
    </row>
    <row r="364" spans="1:24" hidden="1" x14ac:dyDescent="0.25">
      <c r="A364" s="422" t="s">
        <v>6447</v>
      </c>
      <c r="B364" t="s">
        <v>6447</v>
      </c>
      <c r="C364" s="422" t="s">
        <v>1950</v>
      </c>
      <c r="D364" s="227">
        <v>2023</v>
      </c>
      <c r="E364" t="s">
        <v>1653</v>
      </c>
      <c r="F364" t="s">
        <v>1745</v>
      </c>
      <c r="G364" t="s">
        <v>1746</v>
      </c>
      <c r="H364" t="s">
        <v>1864</v>
      </c>
      <c r="I364" t="s">
        <v>3110</v>
      </c>
      <c r="J364" s="428">
        <v>2</v>
      </c>
      <c r="K364" t="s">
        <v>586</v>
      </c>
      <c r="M364" s="174">
        <v>27.5</v>
      </c>
      <c r="N364" s="174">
        <v>55</v>
      </c>
      <c r="O364" t="s">
        <v>1747</v>
      </c>
      <c r="P364" t="s">
        <v>1748</v>
      </c>
      <c r="Q364" s="172">
        <v>82</v>
      </c>
      <c r="R364">
        <v>2</v>
      </c>
      <c r="S364" s="278" t="s">
        <v>3105</v>
      </c>
      <c r="T364" t="s">
        <v>3088</v>
      </c>
      <c r="U364" t="s">
        <v>6470</v>
      </c>
      <c r="V364" t="s">
        <v>6473</v>
      </c>
      <c r="W364" s="250" t="s">
        <v>3499</v>
      </c>
      <c r="X364" s="250" t="s">
        <v>3504</v>
      </c>
    </row>
    <row r="365" spans="1:24" hidden="1" x14ac:dyDescent="0.25">
      <c r="A365" t="s">
        <v>4592</v>
      </c>
      <c r="B365" t="s">
        <v>4592</v>
      </c>
      <c r="C365" s="422" t="s">
        <v>1950</v>
      </c>
      <c r="D365" s="227">
        <v>2023</v>
      </c>
      <c r="E365" t="s">
        <v>1653</v>
      </c>
      <c r="F365" t="s">
        <v>1745</v>
      </c>
      <c r="G365" t="s">
        <v>1746</v>
      </c>
      <c r="H365" t="s">
        <v>1864</v>
      </c>
      <c r="I365" t="s">
        <v>3110</v>
      </c>
      <c r="J365" s="428">
        <v>1</v>
      </c>
      <c r="K365" t="s">
        <v>586</v>
      </c>
      <c r="M365" s="174">
        <v>21.6</v>
      </c>
      <c r="N365" s="174">
        <v>21.6</v>
      </c>
      <c r="O365" t="s">
        <v>1747</v>
      </c>
      <c r="P365" t="s">
        <v>1748</v>
      </c>
      <c r="Q365" s="172">
        <v>60</v>
      </c>
      <c r="R365">
        <v>1</v>
      </c>
      <c r="S365" s="278" t="s">
        <v>3105</v>
      </c>
      <c r="T365" t="s">
        <v>6475</v>
      </c>
      <c r="U365" t="s">
        <v>6467</v>
      </c>
      <c r="V365" t="s">
        <v>6466</v>
      </c>
      <c r="W365" s="250" t="s">
        <v>3499</v>
      </c>
      <c r="X365" s="250" t="s">
        <v>3504</v>
      </c>
    </row>
    <row r="366" spans="1:24" hidden="1" x14ac:dyDescent="0.25">
      <c r="A366" t="s">
        <v>4592</v>
      </c>
      <c r="B366" t="s">
        <v>4592</v>
      </c>
      <c r="C366" s="422" t="s">
        <v>1950</v>
      </c>
      <c r="D366" s="227">
        <v>2023</v>
      </c>
      <c r="E366" t="s">
        <v>1653</v>
      </c>
      <c r="F366" t="s">
        <v>1745</v>
      </c>
      <c r="G366" t="s">
        <v>1746</v>
      </c>
      <c r="H366" t="s">
        <v>1864</v>
      </c>
      <c r="I366" t="s">
        <v>3110</v>
      </c>
      <c r="J366" s="428">
        <v>2</v>
      </c>
      <c r="K366" t="s">
        <v>586</v>
      </c>
      <c r="M366" s="174">
        <v>21.6</v>
      </c>
      <c r="N366" s="174">
        <v>43.2</v>
      </c>
      <c r="O366" t="s">
        <v>1747</v>
      </c>
      <c r="P366" t="s">
        <v>1748</v>
      </c>
      <c r="Q366" s="172">
        <v>60</v>
      </c>
      <c r="R366">
        <v>2</v>
      </c>
      <c r="S366" s="278" t="s">
        <v>3105</v>
      </c>
      <c r="T366" t="s">
        <v>6475</v>
      </c>
      <c r="U366" t="s">
        <v>6467</v>
      </c>
      <c r="V366" t="s">
        <v>6466</v>
      </c>
      <c r="W366" s="250" t="s">
        <v>3499</v>
      </c>
      <c r="X366" s="250" t="s">
        <v>3504</v>
      </c>
    </row>
    <row r="367" spans="1:24" hidden="1" x14ac:dyDescent="0.25">
      <c r="A367" t="s">
        <v>4592</v>
      </c>
      <c r="B367" t="s">
        <v>4592</v>
      </c>
      <c r="C367" s="422" t="s">
        <v>1950</v>
      </c>
      <c r="D367" s="227">
        <v>2023</v>
      </c>
      <c r="E367" t="s">
        <v>1653</v>
      </c>
      <c r="F367" t="s">
        <v>1745</v>
      </c>
      <c r="G367" t="s">
        <v>1746</v>
      </c>
      <c r="H367" t="s">
        <v>1864</v>
      </c>
      <c r="I367" t="s">
        <v>3110</v>
      </c>
      <c r="J367" s="428">
        <v>2</v>
      </c>
      <c r="K367" t="s">
        <v>586</v>
      </c>
      <c r="M367" s="174">
        <v>21.6</v>
      </c>
      <c r="N367" s="174">
        <v>43.2</v>
      </c>
      <c r="O367" t="s">
        <v>1747</v>
      </c>
      <c r="P367" t="s">
        <v>1748</v>
      </c>
      <c r="Q367" s="172">
        <v>60</v>
      </c>
      <c r="R367">
        <v>2</v>
      </c>
      <c r="S367" s="278" t="s">
        <v>3105</v>
      </c>
      <c r="T367" t="s">
        <v>6475</v>
      </c>
      <c r="U367" t="s">
        <v>6467</v>
      </c>
      <c r="V367" t="s">
        <v>6466</v>
      </c>
      <c r="W367" s="250" t="s">
        <v>3499</v>
      </c>
      <c r="X367" s="250" t="s">
        <v>3504</v>
      </c>
    </row>
    <row r="368" spans="1:24" hidden="1" x14ac:dyDescent="0.25">
      <c r="A368" t="s">
        <v>4595</v>
      </c>
      <c r="B368" t="s">
        <v>4595</v>
      </c>
      <c r="C368" s="422" t="s">
        <v>1950</v>
      </c>
      <c r="D368" s="227">
        <v>2023</v>
      </c>
      <c r="E368" t="s">
        <v>1653</v>
      </c>
      <c r="F368" t="s">
        <v>1745</v>
      </c>
      <c r="G368" t="s">
        <v>1746</v>
      </c>
      <c r="H368" t="s">
        <v>1864</v>
      </c>
      <c r="I368" t="s">
        <v>3110</v>
      </c>
      <c r="J368" s="428">
        <v>2</v>
      </c>
      <c r="K368" t="s">
        <v>586</v>
      </c>
      <c r="M368" s="174">
        <v>27.5</v>
      </c>
      <c r="N368" s="174">
        <v>55</v>
      </c>
      <c r="O368" t="s">
        <v>1747</v>
      </c>
      <c r="P368" t="s">
        <v>1748</v>
      </c>
      <c r="Q368" s="172">
        <v>82</v>
      </c>
      <c r="R368">
        <v>2</v>
      </c>
      <c r="S368" s="278" t="s">
        <v>3105</v>
      </c>
      <c r="T368" t="s">
        <v>3088</v>
      </c>
      <c r="U368" t="s">
        <v>6470</v>
      </c>
      <c r="V368" t="s">
        <v>6473</v>
      </c>
      <c r="W368" s="250" t="s">
        <v>3499</v>
      </c>
      <c r="X368" s="250" t="s">
        <v>3504</v>
      </c>
    </row>
    <row r="369" spans="1:24" hidden="1" x14ac:dyDescent="0.25">
      <c r="A369" t="s">
        <v>4595</v>
      </c>
      <c r="B369" t="s">
        <v>4595</v>
      </c>
      <c r="C369" s="422" t="s">
        <v>1950</v>
      </c>
      <c r="D369" s="227">
        <v>2023</v>
      </c>
      <c r="E369" t="s">
        <v>1653</v>
      </c>
      <c r="F369" t="s">
        <v>1745</v>
      </c>
      <c r="G369" t="s">
        <v>1746</v>
      </c>
      <c r="H369" t="s">
        <v>1864</v>
      </c>
      <c r="I369" t="s">
        <v>3110</v>
      </c>
      <c r="J369" s="428">
        <v>1</v>
      </c>
      <c r="K369" t="s">
        <v>586</v>
      </c>
      <c r="M369" s="174">
        <v>27.5</v>
      </c>
      <c r="N369" s="174">
        <v>27.5</v>
      </c>
      <c r="O369" t="s">
        <v>1747</v>
      </c>
      <c r="P369" t="s">
        <v>1748</v>
      </c>
      <c r="Q369" s="172">
        <v>82</v>
      </c>
      <c r="R369">
        <v>1</v>
      </c>
      <c r="S369" s="278" t="s">
        <v>3105</v>
      </c>
      <c r="T369" t="s">
        <v>3088</v>
      </c>
      <c r="U369" t="s">
        <v>6470</v>
      </c>
      <c r="V369" t="s">
        <v>6473</v>
      </c>
      <c r="W369" s="250" t="s">
        <v>3499</v>
      </c>
      <c r="X369" s="250" t="s">
        <v>3504</v>
      </c>
    </row>
    <row r="370" spans="1:24" hidden="1" x14ac:dyDescent="0.25">
      <c r="A370" t="s">
        <v>4595</v>
      </c>
      <c r="B370" t="s">
        <v>4595</v>
      </c>
      <c r="C370" s="422" t="s">
        <v>1950</v>
      </c>
      <c r="D370" s="227">
        <v>2023</v>
      </c>
      <c r="E370" t="s">
        <v>1653</v>
      </c>
      <c r="F370" t="s">
        <v>1745</v>
      </c>
      <c r="G370" t="s">
        <v>1746</v>
      </c>
      <c r="H370" t="s">
        <v>1864</v>
      </c>
      <c r="I370" t="s">
        <v>3110</v>
      </c>
      <c r="J370" s="428">
        <v>1</v>
      </c>
      <c r="K370" t="s">
        <v>586</v>
      </c>
      <c r="M370" s="174">
        <v>27.5</v>
      </c>
      <c r="N370" s="174">
        <v>27.5</v>
      </c>
      <c r="O370" t="s">
        <v>1747</v>
      </c>
      <c r="P370" t="s">
        <v>1748</v>
      </c>
      <c r="Q370" s="172">
        <v>82</v>
      </c>
      <c r="R370">
        <v>1</v>
      </c>
      <c r="S370" s="278" t="s">
        <v>3105</v>
      </c>
      <c r="T370" t="s">
        <v>3088</v>
      </c>
      <c r="U370" t="s">
        <v>6470</v>
      </c>
      <c r="V370" t="s">
        <v>6473</v>
      </c>
      <c r="W370" s="250" t="s">
        <v>3499</v>
      </c>
      <c r="X370" s="250" t="s">
        <v>3504</v>
      </c>
    </row>
    <row r="371" spans="1:24" hidden="1" x14ac:dyDescent="0.25">
      <c r="A371" t="s">
        <v>4595</v>
      </c>
      <c r="B371" t="s">
        <v>4595</v>
      </c>
      <c r="C371" s="422" t="s">
        <v>1950</v>
      </c>
      <c r="D371" s="227">
        <v>2023</v>
      </c>
      <c r="E371" t="s">
        <v>1653</v>
      </c>
      <c r="F371" t="s">
        <v>1745</v>
      </c>
      <c r="G371" t="s">
        <v>1746</v>
      </c>
      <c r="H371" t="s">
        <v>1864</v>
      </c>
      <c r="I371" t="s">
        <v>3110</v>
      </c>
      <c r="J371" s="428">
        <v>1</v>
      </c>
      <c r="K371" t="s">
        <v>586</v>
      </c>
      <c r="M371" s="174">
        <v>25.4</v>
      </c>
      <c r="N371" s="174">
        <v>25.4</v>
      </c>
      <c r="O371" t="s">
        <v>1747</v>
      </c>
      <c r="P371" t="s">
        <v>1748</v>
      </c>
      <c r="Q371" s="172">
        <v>82</v>
      </c>
      <c r="R371">
        <v>1</v>
      </c>
      <c r="S371" s="278" t="s">
        <v>3105</v>
      </c>
      <c r="T371" t="s">
        <v>3088</v>
      </c>
      <c r="U371" t="s">
        <v>6470</v>
      </c>
      <c r="V371" t="s">
        <v>6474</v>
      </c>
      <c r="W371" s="250" t="s">
        <v>3499</v>
      </c>
      <c r="X371" s="250" t="s">
        <v>3504</v>
      </c>
    </row>
    <row r="372" spans="1:24" hidden="1" x14ac:dyDescent="0.25">
      <c r="A372" t="s">
        <v>4595</v>
      </c>
      <c r="B372" t="s">
        <v>4595</v>
      </c>
      <c r="C372" s="422" t="s">
        <v>1950</v>
      </c>
      <c r="D372" s="227">
        <v>2023</v>
      </c>
      <c r="E372" t="s">
        <v>1653</v>
      </c>
      <c r="F372" t="s">
        <v>1745</v>
      </c>
      <c r="G372" t="s">
        <v>1746</v>
      </c>
      <c r="H372" t="s">
        <v>1864</v>
      </c>
      <c r="I372" t="s">
        <v>3110</v>
      </c>
      <c r="J372" s="428">
        <v>2</v>
      </c>
      <c r="K372" t="s">
        <v>586</v>
      </c>
      <c r="M372" s="174">
        <v>25.4</v>
      </c>
      <c r="N372" s="174">
        <v>50.8</v>
      </c>
      <c r="O372" t="s">
        <v>1747</v>
      </c>
      <c r="P372" t="s">
        <v>1748</v>
      </c>
      <c r="Q372" s="172">
        <v>82</v>
      </c>
      <c r="R372">
        <v>2</v>
      </c>
      <c r="S372" s="278" t="s">
        <v>3105</v>
      </c>
      <c r="T372" t="s">
        <v>3088</v>
      </c>
      <c r="U372" t="s">
        <v>6470</v>
      </c>
      <c r="V372" t="s">
        <v>6474</v>
      </c>
      <c r="W372" s="250" t="s">
        <v>3499</v>
      </c>
      <c r="X372" s="250" t="s">
        <v>3504</v>
      </c>
    </row>
    <row r="373" spans="1:24" hidden="1" x14ac:dyDescent="0.25">
      <c r="A373" s="422" t="s">
        <v>4594</v>
      </c>
      <c r="B373" s="422" t="s">
        <v>4594</v>
      </c>
      <c r="C373" s="422" t="s">
        <v>1950</v>
      </c>
      <c r="D373" s="227">
        <v>2023</v>
      </c>
      <c r="E373" t="s">
        <v>1653</v>
      </c>
      <c r="F373" t="s">
        <v>1745</v>
      </c>
      <c r="G373" t="s">
        <v>1746</v>
      </c>
      <c r="H373" t="s">
        <v>1864</v>
      </c>
      <c r="I373" t="s">
        <v>3110</v>
      </c>
      <c r="J373" s="428">
        <v>2</v>
      </c>
      <c r="K373" t="s">
        <v>586</v>
      </c>
      <c r="M373" s="174">
        <v>27.5</v>
      </c>
      <c r="N373" s="174">
        <v>55</v>
      </c>
      <c r="O373" t="s">
        <v>1747</v>
      </c>
      <c r="P373" t="s">
        <v>1748</v>
      </c>
      <c r="Q373" s="172">
        <v>46</v>
      </c>
      <c r="R373">
        <v>2</v>
      </c>
      <c r="S373" s="278" t="s">
        <v>3105</v>
      </c>
      <c r="T373" t="s">
        <v>3088</v>
      </c>
      <c r="U373" t="s">
        <v>6472</v>
      </c>
      <c r="V373" t="s">
        <v>6473</v>
      </c>
      <c r="W373" s="250" t="s">
        <v>3499</v>
      </c>
      <c r="X373" s="250" t="s">
        <v>3504</v>
      </c>
    </row>
    <row r="374" spans="1:24" hidden="1" x14ac:dyDescent="0.25">
      <c r="A374" s="422" t="s">
        <v>4594</v>
      </c>
      <c r="B374" s="422" t="s">
        <v>4594</v>
      </c>
      <c r="C374" s="422" t="s">
        <v>1950</v>
      </c>
      <c r="D374" s="227">
        <v>2023</v>
      </c>
      <c r="E374" t="s">
        <v>1653</v>
      </c>
      <c r="F374" t="s">
        <v>1745</v>
      </c>
      <c r="G374" t="s">
        <v>1746</v>
      </c>
      <c r="H374" t="s">
        <v>1864</v>
      </c>
      <c r="I374" t="s">
        <v>3110</v>
      </c>
      <c r="J374" s="428">
        <v>2</v>
      </c>
      <c r="K374" t="s">
        <v>586</v>
      </c>
      <c r="M374" s="174">
        <v>27.5</v>
      </c>
      <c r="N374" s="174">
        <v>55</v>
      </c>
      <c r="O374" t="s">
        <v>1747</v>
      </c>
      <c r="P374" t="s">
        <v>1748</v>
      </c>
      <c r="Q374" s="172">
        <v>46</v>
      </c>
      <c r="R374">
        <v>2</v>
      </c>
      <c r="S374" s="278" t="s">
        <v>3105</v>
      </c>
      <c r="T374" t="s">
        <v>3088</v>
      </c>
      <c r="U374" t="s">
        <v>6472</v>
      </c>
      <c r="V374" t="s">
        <v>6473</v>
      </c>
      <c r="W374" s="250" t="s">
        <v>3499</v>
      </c>
      <c r="X374" s="250" t="s">
        <v>3504</v>
      </c>
    </row>
    <row r="375" spans="1:24" hidden="1" x14ac:dyDescent="0.25">
      <c r="A375" s="422" t="s">
        <v>4594</v>
      </c>
      <c r="B375" s="422" t="s">
        <v>4594</v>
      </c>
      <c r="C375" s="422" t="s">
        <v>1950</v>
      </c>
      <c r="D375" s="227">
        <v>2023</v>
      </c>
      <c r="E375" t="s">
        <v>1653</v>
      </c>
      <c r="F375" t="s">
        <v>1745</v>
      </c>
      <c r="G375" t="s">
        <v>1746</v>
      </c>
      <c r="H375" t="s">
        <v>1864</v>
      </c>
      <c r="I375" t="s">
        <v>3110</v>
      </c>
      <c r="J375" s="428">
        <v>2</v>
      </c>
      <c r="K375" t="s">
        <v>586</v>
      </c>
      <c r="M375" s="174">
        <v>27.5</v>
      </c>
      <c r="N375" s="174">
        <v>55</v>
      </c>
      <c r="O375" t="s">
        <v>1747</v>
      </c>
      <c r="P375" t="s">
        <v>1748</v>
      </c>
      <c r="Q375" s="172">
        <v>46</v>
      </c>
      <c r="R375">
        <v>2</v>
      </c>
      <c r="S375" s="278" t="s">
        <v>3105</v>
      </c>
      <c r="T375" t="s">
        <v>3088</v>
      </c>
      <c r="U375" t="s">
        <v>6472</v>
      </c>
      <c r="V375" t="s">
        <v>6473</v>
      </c>
      <c r="W375" s="250" t="s">
        <v>3499</v>
      </c>
      <c r="X375" s="250" t="s">
        <v>3504</v>
      </c>
    </row>
    <row r="376" spans="1:24" hidden="1" x14ac:dyDescent="0.25">
      <c r="A376" t="s">
        <v>4593</v>
      </c>
      <c r="B376" t="s">
        <v>4593</v>
      </c>
      <c r="C376" s="422" t="s">
        <v>1950</v>
      </c>
      <c r="D376" s="227">
        <v>2023</v>
      </c>
      <c r="E376" t="s">
        <v>1653</v>
      </c>
      <c r="F376" t="s">
        <v>1745</v>
      </c>
      <c r="G376" t="s">
        <v>1746</v>
      </c>
      <c r="H376" t="s">
        <v>1864</v>
      </c>
      <c r="I376" t="s">
        <v>3110</v>
      </c>
      <c r="J376" s="428">
        <v>1</v>
      </c>
      <c r="K376" t="s">
        <v>586</v>
      </c>
      <c r="M376" s="174">
        <v>27.5</v>
      </c>
      <c r="N376" s="174">
        <v>27.5</v>
      </c>
      <c r="O376" t="s">
        <v>1747</v>
      </c>
      <c r="P376" t="s">
        <v>1748</v>
      </c>
      <c r="Q376" s="172">
        <v>112</v>
      </c>
      <c r="R376">
        <v>1</v>
      </c>
      <c r="S376" s="278" t="s">
        <v>3105</v>
      </c>
      <c r="T376" t="s">
        <v>3088</v>
      </c>
      <c r="U376" t="s">
        <v>6465</v>
      </c>
      <c r="V376" t="s">
        <v>6473</v>
      </c>
      <c r="W376" s="250" t="s">
        <v>3499</v>
      </c>
      <c r="X376" s="250" t="s">
        <v>3504</v>
      </c>
    </row>
    <row r="377" spans="1:24" hidden="1" x14ac:dyDescent="0.25">
      <c r="A377" t="s">
        <v>4593</v>
      </c>
      <c r="B377" t="s">
        <v>4593</v>
      </c>
      <c r="C377" s="422" t="s">
        <v>1950</v>
      </c>
      <c r="D377" s="227">
        <v>2023</v>
      </c>
      <c r="E377" t="s">
        <v>1653</v>
      </c>
      <c r="F377" t="s">
        <v>1745</v>
      </c>
      <c r="G377" t="s">
        <v>1746</v>
      </c>
      <c r="H377" t="s">
        <v>1864</v>
      </c>
      <c r="I377" t="s">
        <v>3110</v>
      </c>
      <c r="J377" s="428">
        <v>1</v>
      </c>
      <c r="K377" t="s">
        <v>586</v>
      </c>
      <c r="M377" s="174">
        <v>27.5</v>
      </c>
      <c r="N377" s="174">
        <v>27.5</v>
      </c>
      <c r="O377" t="s">
        <v>1747</v>
      </c>
      <c r="P377" t="s">
        <v>1748</v>
      </c>
      <c r="Q377" s="172">
        <v>112</v>
      </c>
      <c r="R377">
        <v>1</v>
      </c>
      <c r="S377" s="278" t="s">
        <v>3105</v>
      </c>
      <c r="T377" t="s">
        <v>3088</v>
      </c>
      <c r="U377" t="s">
        <v>6465</v>
      </c>
      <c r="V377" t="s">
        <v>6473</v>
      </c>
      <c r="W377" s="250" t="s">
        <v>3499</v>
      </c>
      <c r="X377" s="250" t="s">
        <v>3504</v>
      </c>
    </row>
    <row r="378" spans="1:24" hidden="1" x14ac:dyDescent="0.25">
      <c r="A378" t="s">
        <v>4592</v>
      </c>
      <c r="B378" t="s">
        <v>4592</v>
      </c>
      <c r="C378" s="422" t="s">
        <v>1950</v>
      </c>
      <c r="D378" s="227">
        <v>2023</v>
      </c>
      <c r="E378" t="s">
        <v>1653</v>
      </c>
      <c r="F378" t="s">
        <v>1745</v>
      </c>
      <c r="G378" t="s">
        <v>1746</v>
      </c>
      <c r="H378" t="s">
        <v>1864</v>
      </c>
      <c r="I378" t="s">
        <v>3110</v>
      </c>
      <c r="J378" s="428">
        <v>1</v>
      </c>
      <c r="K378" t="s">
        <v>586</v>
      </c>
      <c r="M378" s="174">
        <v>27.5</v>
      </c>
      <c r="N378" s="174">
        <v>27.5</v>
      </c>
      <c r="O378" t="s">
        <v>1747</v>
      </c>
      <c r="P378" t="s">
        <v>1748</v>
      </c>
      <c r="Q378" s="172">
        <v>73</v>
      </c>
      <c r="R378">
        <v>1</v>
      </c>
      <c r="S378" s="278" t="s">
        <v>3105</v>
      </c>
      <c r="T378" t="s">
        <v>3088</v>
      </c>
      <c r="U378" t="s">
        <v>6467</v>
      </c>
      <c r="V378" t="s">
        <v>6473</v>
      </c>
      <c r="W378" s="250" t="s">
        <v>3499</v>
      </c>
      <c r="X378" s="250" t="s">
        <v>3504</v>
      </c>
    </row>
    <row r="379" spans="1:24" hidden="1" x14ac:dyDescent="0.25">
      <c r="A379" t="s">
        <v>4592</v>
      </c>
      <c r="B379" t="s">
        <v>4592</v>
      </c>
      <c r="C379" s="422" t="s">
        <v>1950</v>
      </c>
      <c r="D379" s="227">
        <v>2023</v>
      </c>
      <c r="E379" t="s">
        <v>1653</v>
      </c>
      <c r="F379" t="s">
        <v>1745</v>
      </c>
      <c r="G379" t="s">
        <v>1746</v>
      </c>
      <c r="H379" t="s">
        <v>1864</v>
      </c>
      <c r="I379" t="s">
        <v>3110</v>
      </c>
      <c r="J379" s="428">
        <v>1</v>
      </c>
      <c r="K379" t="s">
        <v>586</v>
      </c>
      <c r="M379" s="174">
        <v>27.5</v>
      </c>
      <c r="N379" s="174">
        <v>27.5</v>
      </c>
      <c r="O379" t="s">
        <v>1747</v>
      </c>
      <c r="P379" t="s">
        <v>1748</v>
      </c>
      <c r="Q379" s="172">
        <v>73</v>
      </c>
      <c r="R379">
        <v>1</v>
      </c>
      <c r="S379" s="278" t="s">
        <v>3105</v>
      </c>
      <c r="T379" t="s">
        <v>3088</v>
      </c>
      <c r="U379" t="s">
        <v>6467</v>
      </c>
      <c r="V379" t="s">
        <v>6473</v>
      </c>
      <c r="W379" s="250" t="s">
        <v>3499</v>
      </c>
      <c r="X379" s="250" t="s">
        <v>3504</v>
      </c>
    </row>
    <row r="380" spans="1:24" hidden="1" x14ac:dyDescent="0.25">
      <c r="A380" t="s">
        <v>4592</v>
      </c>
      <c r="B380" t="s">
        <v>4592</v>
      </c>
      <c r="C380" s="422" t="s">
        <v>1950</v>
      </c>
      <c r="D380" s="227">
        <v>2023</v>
      </c>
      <c r="E380" t="s">
        <v>1653</v>
      </c>
      <c r="F380" t="s">
        <v>1745</v>
      </c>
      <c r="G380" t="s">
        <v>1746</v>
      </c>
      <c r="H380" t="s">
        <v>1864</v>
      </c>
      <c r="I380" t="s">
        <v>3110</v>
      </c>
      <c r="J380" s="428">
        <v>2</v>
      </c>
      <c r="K380" t="s">
        <v>586</v>
      </c>
      <c r="M380" s="174">
        <v>27.5</v>
      </c>
      <c r="N380" s="174">
        <v>55</v>
      </c>
      <c r="O380" t="s">
        <v>1747</v>
      </c>
      <c r="P380" t="s">
        <v>1748</v>
      </c>
      <c r="Q380" s="172">
        <v>73</v>
      </c>
      <c r="R380">
        <v>2</v>
      </c>
      <c r="S380" s="278" t="s">
        <v>3105</v>
      </c>
      <c r="T380" t="s">
        <v>3088</v>
      </c>
      <c r="U380" t="s">
        <v>6467</v>
      </c>
      <c r="V380" t="s">
        <v>6473</v>
      </c>
      <c r="W380" s="250" t="s">
        <v>3499</v>
      </c>
      <c r="X380" s="250" t="s">
        <v>3504</v>
      </c>
    </row>
    <row r="381" spans="1:24" hidden="1" x14ac:dyDescent="0.25">
      <c r="A381" t="s">
        <v>4592</v>
      </c>
      <c r="B381" t="s">
        <v>4592</v>
      </c>
      <c r="C381" s="422" t="s">
        <v>1950</v>
      </c>
      <c r="D381" s="227">
        <v>2023</v>
      </c>
      <c r="E381" t="s">
        <v>1653</v>
      </c>
      <c r="F381" t="s">
        <v>1745</v>
      </c>
      <c r="G381" t="s">
        <v>1746</v>
      </c>
      <c r="H381" t="s">
        <v>1864</v>
      </c>
      <c r="I381" t="s">
        <v>3110</v>
      </c>
      <c r="J381" s="428">
        <v>2</v>
      </c>
      <c r="K381" t="s">
        <v>586</v>
      </c>
      <c r="M381" s="174">
        <v>27.5</v>
      </c>
      <c r="N381" s="174">
        <v>55</v>
      </c>
      <c r="O381" t="s">
        <v>1747</v>
      </c>
      <c r="P381" t="s">
        <v>1748</v>
      </c>
      <c r="Q381" s="172">
        <v>73</v>
      </c>
      <c r="R381">
        <v>2</v>
      </c>
      <c r="S381" s="278" t="s">
        <v>3105</v>
      </c>
      <c r="T381" t="s">
        <v>3088</v>
      </c>
      <c r="U381" t="s">
        <v>6467</v>
      </c>
      <c r="V381" t="s">
        <v>6473</v>
      </c>
      <c r="W381" s="250" t="s">
        <v>3499</v>
      </c>
      <c r="X381" s="250" t="s">
        <v>3504</v>
      </c>
    </row>
    <row r="382" spans="1:24" hidden="1" x14ac:dyDescent="0.25">
      <c r="A382" t="s">
        <v>4592</v>
      </c>
      <c r="B382" t="s">
        <v>4592</v>
      </c>
      <c r="C382" s="422" t="s">
        <v>1950</v>
      </c>
      <c r="D382" s="227">
        <v>2023</v>
      </c>
      <c r="E382" t="s">
        <v>1653</v>
      </c>
      <c r="F382" t="s">
        <v>1745</v>
      </c>
      <c r="G382" t="s">
        <v>1746</v>
      </c>
      <c r="H382" t="s">
        <v>1864</v>
      </c>
      <c r="I382" t="s">
        <v>3110</v>
      </c>
      <c r="J382" s="428">
        <v>2</v>
      </c>
      <c r="K382" t="s">
        <v>586</v>
      </c>
      <c r="M382" s="174">
        <v>27.5</v>
      </c>
      <c r="N382" s="174">
        <v>55</v>
      </c>
      <c r="O382" t="s">
        <v>1747</v>
      </c>
      <c r="P382" t="s">
        <v>1748</v>
      </c>
      <c r="Q382" s="172">
        <v>73</v>
      </c>
      <c r="R382">
        <v>2</v>
      </c>
      <c r="S382" s="278" t="s">
        <v>3105</v>
      </c>
      <c r="T382" t="s">
        <v>3088</v>
      </c>
      <c r="U382" t="s">
        <v>6467</v>
      </c>
      <c r="V382" t="s">
        <v>6473</v>
      </c>
      <c r="W382" s="250" t="s">
        <v>3499</v>
      </c>
      <c r="X382" s="250" t="s">
        <v>3504</v>
      </c>
    </row>
    <row r="383" spans="1:24" hidden="1" x14ac:dyDescent="0.25">
      <c r="A383" t="s">
        <v>4594</v>
      </c>
      <c r="B383" s="422" t="s">
        <v>4594</v>
      </c>
      <c r="C383" s="422" t="s">
        <v>1950</v>
      </c>
      <c r="D383" s="227">
        <v>2023</v>
      </c>
      <c r="E383" t="s">
        <v>1653</v>
      </c>
      <c r="F383" t="s">
        <v>1745</v>
      </c>
      <c r="G383" t="s">
        <v>1746</v>
      </c>
      <c r="H383" t="s">
        <v>1864</v>
      </c>
      <c r="I383" t="s">
        <v>3110</v>
      </c>
      <c r="J383" s="428">
        <v>1</v>
      </c>
      <c r="K383" t="s">
        <v>586</v>
      </c>
      <c r="M383" s="174">
        <v>21.6</v>
      </c>
      <c r="N383" s="174">
        <v>21.6</v>
      </c>
      <c r="O383" t="s">
        <v>1747</v>
      </c>
      <c r="P383" t="s">
        <v>1748</v>
      </c>
      <c r="Q383" s="172">
        <v>58</v>
      </c>
      <c r="R383">
        <v>1</v>
      </c>
      <c r="S383" s="278" t="s">
        <v>3105</v>
      </c>
      <c r="T383" t="s">
        <v>6476</v>
      </c>
      <c r="U383" t="s">
        <v>6472</v>
      </c>
      <c r="V383" t="s">
        <v>6466</v>
      </c>
      <c r="W383" s="250" t="s">
        <v>3499</v>
      </c>
      <c r="X383" s="250" t="s">
        <v>3504</v>
      </c>
    </row>
    <row r="384" spans="1:24" hidden="1" x14ac:dyDescent="0.25">
      <c r="A384" s="422" t="s">
        <v>4594</v>
      </c>
      <c r="B384" s="422" t="s">
        <v>4594</v>
      </c>
      <c r="C384" s="422" t="s">
        <v>1950</v>
      </c>
      <c r="D384" s="227">
        <v>2023</v>
      </c>
      <c r="E384" t="s">
        <v>1653</v>
      </c>
      <c r="F384" t="s">
        <v>1745</v>
      </c>
      <c r="G384" t="s">
        <v>1746</v>
      </c>
      <c r="H384" t="s">
        <v>1864</v>
      </c>
      <c r="I384" t="s">
        <v>3110</v>
      </c>
      <c r="J384" s="428">
        <v>1</v>
      </c>
      <c r="K384" t="s">
        <v>586</v>
      </c>
      <c r="M384" s="174">
        <v>21.6</v>
      </c>
      <c r="N384" s="174">
        <v>21.6</v>
      </c>
      <c r="O384" t="s">
        <v>1747</v>
      </c>
      <c r="P384" t="s">
        <v>1748</v>
      </c>
      <c r="Q384" s="172">
        <v>58</v>
      </c>
      <c r="R384">
        <v>1</v>
      </c>
      <c r="S384" s="278" t="s">
        <v>3105</v>
      </c>
      <c r="T384" t="s">
        <v>6476</v>
      </c>
      <c r="U384" t="s">
        <v>6472</v>
      </c>
      <c r="V384" t="s">
        <v>6466</v>
      </c>
      <c r="W384" s="250" t="s">
        <v>3499</v>
      </c>
      <c r="X384" s="250" t="s">
        <v>3504</v>
      </c>
    </row>
    <row r="385" spans="1:24" hidden="1" x14ac:dyDescent="0.25">
      <c r="A385" s="422" t="s">
        <v>4594</v>
      </c>
      <c r="B385" s="422" t="s">
        <v>4594</v>
      </c>
      <c r="C385" s="422" t="s">
        <v>1950</v>
      </c>
      <c r="D385" s="227">
        <v>2023</v>
      </c>
      <c r="E385" t="s">
        <v>1653</v>
      </c>
      <c r="F385" t="s">
        <v>1745</v>
      </c>
      <c r="G385" t="s">
        <v>1746</v>
      </c>
      <c r="H385" t="s">
        <v>1864</v>
      </c>
      <c r="I385" t="s">
        <v>3110</v>
      </c>
      <c r="J385" s="428">
        <v>1</v>
      </c>
      <c r="K385" t="s">
        <v>586</v>
      </c>
      <c r="M385" s="174">
        <v>21.6</v>
      </c>
      <c r="N385" s="174">
        <v>21.6</v>
      </c>
      <c r="O385" t="s">
        <v>1747</v>
      </c>
      <c r="P385" t="s">
        <v>1748</v>
      </c>
      <c r="Q385" s="172">
        <v>58</v>
      </c>
      <c r="R385">
        <v>1</v>
      </c>
      <c r="S385" s="278" t="s">
        <v>3105</v>
      </c>
      <c r="T385" t="s">
        <v>6476</v>
      </c>
      <c r="U385" t="s">
        <v>6472</v>
      </c>
      <c r="V385" t="s">
        <v>6466</v>
      </c>
      <c r="W385" s="250" t="s">
        <v>3499</v>
      </c>
      <c r="X385" s="250" t="s">
        <v>3504</v>
      </c>
    </row>
    <row r="386" spans="1:24" hidden="1" x14ac:dyDescent="0.25">
      <c r="A386" s="422" t="s">
        <v>4594</v>
      </c>
      <c r="B386" s="422" t="s">
        <v>4594</v>
      </c>
      <c r="C386" s="422" t="s">
        <v>1950</v>
      </c>
      <c r="D386" s="227">
        <v>2023</v>
      </c>
      <c r="E386" t="s">
        <v>1653</v>
      </c>
      <c r="F386" t="s">
        <v>1745</v>
      </c>
      <c r="G386" t="s">
        <v>1746</v>
      </c>
      <c r="H386" t="s">
        <v>1864</v>
      </c>
      <c r="I386" t="s">
        <v>3110</v>
      </c>
      <c r="J386" s="428">
        <v>1</v>
      </c>
      <c r="K386" t="s">
        <v>586</v>
      </c>
      <c r="M386" s="174">
        <v>21.6</v>
      </c>
      <c r="N386" s="174">
        <v>21.6</v>
      </c>
      <c r="O386" t="s">
        <v>1747</v>
      </c>
      <c r="P386" t="s">
        <v>1748</v>
      </c>
      <c r="Q386" s="172">
        <v>58</v>
      </c>
      <c r="R386">
        <v>1</v>
      </c>
      <c r="S386" s="278" t="s">
        <v>3105</v>
      </c>
      <c r="T386" t="s">
        <v>6476</v>
      </c>
      <c r="U386" t="s">
        <v>6472</v>
      </c>
      <c r="V386" t="s">
        <v>6466</v>
      </c>
      <c r="W386" s="250" t="s">
        <v>3499</v>
      </c>
      <c r="X386" s="250" t="s">
        <v>3504</v>
      </c>
    </row>
    <row r="387" spans="1:24" hidden="1" x14ac:dyDescent="0.25">
      <c r="A387" t="s">
        <v>4592</v>
      </c>
      <c r="B387" t="s">
        <v>4592</v>
      </c>
      <c r="C387" s="422" t="s">
        <v>1950</v>
      </c>
      <c r="D387" s="227">
        <v>2023</v>
      </c>
      <c r="E387" t="s">
        <v>1653</v>
      </c>
      <c r="F387" t="s">
        <v>1745</v>
      </c>
      <c r="G387" t="s">
        <v>1746</v>
      </c>
      <c r="H387" t="s">
        <v>1864</v>
      </c>
      <c r="I387" t="s">
        <v>3110</v>
      </c>
      <c r="J387" s="428">
        <v>1</v>
      </c>
      <c r="K387" t="s">
        <v>586</v>
      </c>
      <c r="M387" s="174">
        <v>21.6</v>
      </c>
      <c r="N387" s="174">
        <v>21.6</v>
      </c>
      <c r="O387" t="s">
        <v>1747</v>
      </c>
      <c r="P387" t="s">
        <v>1748</v>
      </c>
      <c r="Q387" s="172">
        <v>81.900000000000006</v>
      </c>
      <c r="R387">
        <v>1</v>
      </c>
      <c r="S387" s="278" t="s">
        <v>3105</v>
      </c>
      <c r="T387" t="s">
        <v>6476</v>
      </c>
      <c r="U387" t="s">
        <v>6467</v>
      </c>
      <c r="V387" t="s">
        <v>6466</v>
      </c>
      <c r="W387" s="250" t="s">
        <v>3499</v>
      </c>
      <c r="X387" s="250" t="s">
        <v>3504</v>
      </c>
    </row>
    <row r="388" spans="1:24" hidden="1" x14ac:dyDescent="0.25">
      <c r="A388" t="s">
        <v>4592</v>
      </c>
      <c r="B388" t="s">
        <v>4592</v>
      </c>
      <c r="C388" s="422" t="s">
        <v>1950</v>
      </c>
      <c r="D388" s="227">
        <v>2023</v>
      </c>
      <c r="E388" t="s">
        <v>1653</v>
      </c>
      <c r="F388" t="s">
        <v>1745</v>
      </c>
      <c r="G388" t="s">
        <v>1746</v>
      </c>
      <c r="H388" t="s">
        <v>1864</v>
      </c>
      <c r="I388" t="s">
        <v>3110</v>
      </c>
      <c r="J388" s="428">
        <v>1</v>
      </c>
      <c r="K388" t="s">
        <v>586</v>
      </c>
      <c r="M388" s="174">
        <v>21.6</v>
      </c>
      <c r="N388" s="174">
        <v>21.6</v>
      </c>
      <c r="O388" t="s">
        <v>1747</v>
      </c>
      <c r="P388" t="s">
        <v>1748</v>
      </c>
      <c r="Q388" s="172">
        <v>81.900000000000006</v>
      </c>
      <c r="R388">
        <v>1</v>
      </c>
      <c r="S388" s="278" t="s">
        <v>3105</v>
      </c>
      <c r="T388" t="s">
        <v>6476</v>
      </c>
      <c r="U388" t="s">
        <v>6467</v>
      </c>
      <c r="V388" t="s">
        <v>6466</v>
      </c>
      <c r="W388" s="250" t="s">
        <v>3499</v>
      </c>
      <c r="X388" s="250" t="s">
        <v>3504</v>
      </c>
    </row>
    <row r="389" spans="1:24" hidden="1" x14ac:dyDescent="0.25">
      <c r="A389" t="s">
        <v>4592</v>
      </c>
      <c r="B389" t="s">
        <v>4592</v>
      </c>
      <c r="C389" s="422" t="s">
        <v>1950</v>
      </c>
      <c r="D389" s="227">
        <v>2023</v>
      </c>
      <c r="E389" t="s">
        <v>1653</v>
      </c>
      <c r="F389" t="s">
        <v>1745</v>
      </c>
      <c r="G389" t="s">
        <v>1746</v>
      </c>
      <c r="H389" t="s">
        <v>1864</v>
      </c>
      <c r="I389" t="s">
        <v>3110</v>
      </c>
      <c r="J389" s="428">
        <v>1</v>
      </c>
      <c r="K389" t="s">
        <v>586</v>
      </c>
      <c r="M389" s="174">
        <v>21.6</v>
      </c>
      <c r="N389" s="174">
        <v>21.6</v>
      </c>
      <c r="O389" t="s">
        <v>1747</v>
      </c>
      <c r="P389" t="s">
        <v>1748</v>
      </c>
      <c r="Q389" s="172">
        <v>81.900000000000006</v>
      </c>
      <c r="R389">
        <v>1</v>
      </c>
      <c r="S389" s="278" t="s">
        <v>3105</v>
      </c>
      <c r="T389" t="s">
        <v>6476</v>
      </c>
      <c r="U389" t="s">
        <v>6467</v>
      </c>
      <c r="V389" t="s">
        <v>6466</v>
      </c>
      <c r="W389" s="250" t="s">
        <v>3499</v>
      </c>
      <c r="X389" s="250" t="s">
        <v>3504</v>
      </c>
    </row>
    <row r="390" spans="1:24" hidden="1" x14ac:dyDescent="0.25">
      <c r="A390" t="s">
        <v>4592</v>
      </c>
      <c r="B390" t="s">
        <v>4592</v>
      </c>
      <c r="C390" s="422" t="s">
        <v>1950</v>
      </c>
      <c r="D390" s="227">
        <v>2023</v>
      </c>
      <c r="E390" t="s">
        <v>1653</v>
      </c>
      <c r="F390" t="s">
        <v>1745</v>
      </c>
      <c r="G390" t="s">
        <v>1746</v>
      </c>
      <c r="H390" t="s">
        <v>1864</v>
      </c>
      <c r="I390" t="s">
        <v>3110</v>
      </c>
      <c r="J390" s="428">
        <v>1</v>
      </c>
      <c r="K390" t="s">
        <v>586</v>
      </c>
      <c r="M390" s="174">
        <v>21.6</v>
      </c>
      <c r="N390" s="174">
        <v>21.6</v>
      </c>
      <c r="O390" t="s">
        <v>1747</v>
      </c>
      <c r="P390" t="s">
        <v>1748</v>
      </c>
      <c r="Q390" s="172">
        <v>81.900000000000006</v>
      </c>
      <c r="R390">
        <v>1</v>
      </c>
      <c r="S390" s="278" t="s">
        <v>3105</v>
      </c>
      <c r="T390" t="s">
        <v>6476</v>
      </c>
      <c r="U390" t="s">
        <v>6467</v>
      </c>
      <c r="V390" t="s">
        <v>6466</v>
      </c>
      <c r="W390" s="250" t="s">
        <v>3499</v>
      </c>
      <c r="X390" s="250" t="s">
        <v>3504</v>
      </c>
    </row>
    <row r="391" spans="1:24" hidden="1" x14ac:dyDescent="0.25">
      <c r="A391" s="422" t="s">
        <v>6447</v>
      </c>
      <c r="B391" t="s">
        <v>6447</v>
      </c>
      <c r="C391" s="422" t="s">
        <v>1950</v>
      </c>
      <c r="D391" s="227">
        <v>2023</v>
      </c>
      <c r="E391" t="s">
        <v>1653</v>
      </c>
      <c r="F391" t="s">
        <v>1745</v>
      </c>
      <c r="G391" t="s">
        <v>1746</v>
      </c>
      <c r="H391" t="s">
        <v>1864</v>
      </c>
      <c r="I391" t="s">
        <v>3110</v>
      </c>
      <c r="J391" s="428">
        <v>1</v>
      </c>
      <c r="K391" t="s">
        <v>586</v>
      </c>
      <c r="M391" s="174">
        <v>27.5</v>
      </c>
      <c r="N391" s="174">
        <v>27.5</v>
      </c>
      <c r="O391" t="s">
        <v>1747</v>
      </c>
      <c r="P391" t="s">
        <v>1748</v>
      </c>
      <c r="Q391" s="172">
        <v>134</v>
      </c>
      <c r="R391">
        <v>1</v>
      </c>
      <c r="S391" s="278" t="s">
        <v>3105</v>
      </c>
      <c r="T391" t="s">
        <v>6477</v>
      </c>
      <c r="U391" t="s">
        <v>6465</v>
      </c>
      <c r="V391" t="s">
        <v>6473</v>
      </c>
      <c r="W391" s="250" t="s">
        <v>3499</v>
      </c>
      <c r="X391" s="250" t="s">
        <v>3504</v>
      </c>
    </row>
    <row r="392" spans="1:24" hidden="1" x14ac:dyDescent="0.25">
      <c r="A392" s="422" t="s">
        <v>6447</v>
      </c>
      <c r="B392" s="422" t="s">
        <v>6447</v>
      </c>
      <c r="C392" s="422" t="s">
        <v>1950</v>
      </c>
      <c r="D392" s="227">
        <v>2023</v>
      </c>
      <c r="E392" t="s">
        <v>1653</v>
      </c>
      <c r="F392" t="s">
        <v>1745</v>
      </c>
      <c r="G392" t="s">
        <v>1746</v>
      </c>
      <c r="H392" t="s">
        <v>1864</v>
      </c>
      <c r="I392" t="s">
        <v>3110</v>
      </c>
      <c r="J392" s="428">
        <v>2</v>
      </c>
      <c r="K392" t="s">
        <v>586</v>
      </c>
      <c r="M392" s="174">
        <v>54.9</v>
      </c>
      <c r="N392" s="174">
        <v>109.8</v>
      </c>
      <c r="O392" t="s">
        <v>1747</v>
      </c>
      <c r="P392" t="s">
        <v>1748</v>
      </c>
      <c r="Q392" s="172">
        <v>104</v>
      </c>
      <c r="R392">
        <v>2</v>
      </c>
      <c r="S392" s="278" t="s">
        <v>3105</v>
      </c>
      <c r="T392" t="s">
        <v>6477</v>
      </c>
      <c r="U392" t="s">
        <v>6470</v>
      </c>
      <c r="V392" t="s">
        <v>6468</v>
      </c>
      <c r="W392" s="250" t="s">
        <v>3499</v>
      </c>
      <c r="X392" s="250" t="s">
        <v>3504</v>
      </c>
    </row>
    <row r="393" spans="1:24" hidden="1" x14ac:dyDescent="0.25">
      <c r="A393" s="422" t="s">
        <v>6447</v>
      </c>
      <c r="B393" s="422" t="s">
        <v>6447</v>
      </c>
      <c r="C393" s="422" t="s">
        <v>1950</v>
      </c>
      <c r="D393" s="227">
        <v>2023</v>
      </c>
      <c r="E393" t="s">
        <v>1653</v>
      </c>
      <c r="F393" t="s">
        <v>1745</v>
      </c>
      <c r="G393" t="s">
        <v>1746</v>
      </c>
      <c r="H393" t="s">
        <v>1864</v>
      </c>
      <c r="I393" t="s">
        <v>3110</v>
      </c>
      <c r="J393" s="428">
        <v>2</v>
      </c>
      <c r="K393" t="s">
        <v>586</v>
      </c>
      <c r="M393" s="174">
        <v>54.9</v>
      </c>
      <c r="N393" s="174">
        <v>109.8</v>
      </c>
      <c r="O393" t="s">
        <v>1747</v>
      </c>
      <c r="P393" t="s">
        <v>1748</v>
      </c>
      <c r="Q393" s="172">
        <v>104</v>
      </c>
      <c r="R393">
        <v>2</v>
      </c>
      <c r="S393" s="278" t="s">
        <v>3105</v>
      </c>
      <c r="T393" t="s">
        <v>6477</v>
      </c>
      <c r="U393" t="s">
        <v>6470</v>
      </c>
      <c r="V393" t="s">
        <v>6468</v>
      </c>
      <c r="W393" s="250" t="s">
        <v>3499</v>
      </c>
      <c r="X393" s="250" t="s">
        <v>3504</v>
      </c>
    </row>
    <row r="394" spans="1:24" hidden="1" x14ac:dyDescent="0.25">
      <c r="A394" s="422" t="s">
        <v>6447</v>
      </c>
      <c r="B394" s="422" t="s">
        <v>6447</v>
      </c>
      <c r="C394" s="422" t="s">
        <v>1950</v>
      </c>
      <c r="D394" s="227">
        <v>2023</v>
      </c>
      <c r="E394" t="s">
        <v>1653</v>
      </c>
      <c r="F394" t="s">
        <v>1745</v>
      </c>
      <c r="G394" t="s">
        <v>1746</v>
      </c>
      <c r="H394" t="s">
        <v>1864</v>
      </c>
      <c r="I394" t="s">
        <v>3110</v>
      </c>
      <c r="J394" s="428">
        <v>4</v>
      </c>
      <c r="K394" t="s">
        <v>586</v>
      </c>
      <c r="M394" s="174">
        <v>54.9</v>
      </c>
      <c r="N394" s="174">
        <v>219.6</v>
      </c>
      <c r="O394" t="s">
        <v>1747</v>
      </c>
      <c r="P394" t="s">
        <v>1748</v>
      </c>
      <c r="Q394" s="172">
        <v>104</v>
      </c>
      <c r="R394">
        <v>4</v>
      </c>
      <c r="S394" s="278" t="s">
        <v>3105</v>
      </c>
      <c r="T394" t="s">
        <v>6477</v>
      </c>
      <c r="U394" t="s">
        <v>6470</v>
      </c>
      <c r="V394" t="s">
        <v>6468</v>
      </c>
      <c r="W394" s="250" t="s">
        <v>3499</v>
      </c>
      <c r="X394" s="250" t="s">
        <v>3504</v>
      </c>
    </row>
    <row r="395" spans="1:24" hidden="1" x14ac:dyDescent="0.25">
      <c r="A395" s="422" t="s">
        <v>4594</v>
      </c>
      <c r="B395" s="422" t="s">
        <v>4594</v>
      </c>
      <c r="C395" s="422" t="s">
        <v>1950</v>
      </c>
      <c r="D395" s="227">
        <v>2023</v>
      </c>
      <c r="E395" t="s">
        <v>1653</v>
      </c>
      <c r="F395" t="s">
        <v>1745</v>
      </c>
      <c r="G395" t="s">
        <v>1746</v>
      </c>
      <c r="H395" t="s">
        <v>1864</v>
      </c>
      <c r="I395" t="s">
        <v>3110</v>
      </c>
      <c r="J395" s="428">
        <v>2</v>
      </c>
      <c r="K395" t="s">
        <v>586</v>
      </c>
      <c r="M395" s="174">
        <v>27.5</v>
      </c>
      <c r="N395" s="174">
        <v>55</v>
      </c>
      <c r="O395" t="s">
        <v>1747</v>
      </c>
      <c r="P395" t="s">
        <v>1748</v>
      </c>
      <c r="Q395" s="172">
        <v>71.7</v>
      </c>
      <c r="R395">
        <v>2</v>
      </c>
      <c r="S395" s="278" t="s">
        <v>3105</v>
      </c>
      <c r="T395" t="s">
        <v>6477</v>
      </c>
      <c r="U395" t="s">
        <v>6472</v>
      </c>
      <c r="V395" t="s">
        <v>6473</v>
      </c>
      <c r="W395" s="250" t="s">
        <v>3499</v>
      </c>
      <c r="X395" s="250" t="s">
        <v>3504</v>
      </c>
    </row>
    <row r="396" spans="1:24" hidden="1" x14ac:dyDescent="0.25">
      <c r="A396" s="422" t="s">
        <v>4594</v>
      </c>
      <c r="B396" s="422" t="s">
        <v>4594</v>
      </c>
      <c r="C396" s="422" t="s">
        <v>1950</v>
      </c>
      <c r="D396" s="227">
        <v>2023</v>
      </c>
      <c r="E396" t="s">
        <v>1653</v>
      </c>
      <c r="F396" t="s">
        <v>1745</v>
      </c>
      <c r="G396" t="s">
        <v>1746</v>
      </c>
      <c r="H396" t="s">
        <v>1864</v>
      </c>
      <c r="I396" t="s">
        <v>3110</v>
      </c>
      <c r="J396" s="428">
        <v>2</v>
      </c>
      <c r="K396" t="s">
        <v>586</v>
      </c>
      <c r="M396" s="174">
        <v>27.5</v>
      </c>
      <c r="N396" s="174">
        <v>55</v>
      </c>
      <c r="O396" t="s">
        <v>1747</v>
      </c>
      <c r="P396" t="s">
        <v>1748</v>
      </c>
      <c r="Q396" s="172">
        <v>71.7</v>
      </c>
      <c r="R396">
        <v>2</v>
      </c>
      <c r="S396" s="278" t="s">
        <v>3105</v>
      </c>
      <c r="T396" t="s">
        <v>6477</v>
      </c>
      <c r="U396" t="s">
        <v>6472</v>
      </c>
      <c r="V396" t="s">
        <v>6473</v>
      </c>
      <c r="W396" s="250" t="s">
        <v>3499</v>
      </c>
      <c r="X396" s="250" t="s">
        <v>3504</v>
      </c>
    </row>
    <row r="397" spans="1:24" hidden="1" x14ac:dyDescent="0.25">
      <c r="A397" s="422" t="s">
        <v>4594</v>
      </c>
      <c r="B397" s="422" t="s">
        <v>4594</v>
      </c>
      <c r="C397" s="422" t="s">
        <v>1950</v>
      </c>
      <c r="D397" s="227">
        <v>2023</v>
      </c>
      <c r="E397" t="s">
        <v>1653</v>
      </c>
      <c r="F397" t="s">
        <v>1745</v>
      </c>
      <c r="G397" t="s">
        <v>1746</v>
      </c>
      <c r="H397" t="s">
        <v>1864</v>
      </c>
      <c r="I397" t="s">
        <v>3110</v>
      </c>
      <c r="J397" s="428">
        <v>6</v>
      </c>
      <c r="K397" t="s">
        <v>586</v>
      </c>
      <c r="M397" s="174">
        <v>54.9</v>
      </c>
      <c r="N397" s="174">
        <v>329.4</v>
      </c>
      <c r="O397" t="s">
        <v>1747</v>
      </c>
      <c r="P397" t="s">
        <v>1748</v>
      </c>
      <c r="Q397" s="172">
        <v>71.7</v>
      </c>
      <c r="R397">
        <v>6</v>
      </c>
      <c r="S397" s="278" t="s">
        <v>3105</v>
      </c>
      <c r="T397" t="s">
        <v>6477</v>
      </c>
      <c r="U397" t="s">
        <v>6472</v>
      </c>
      <c r="V397" t="s">
        <v>6468</v>
      </c>
      <c r="W397" s="250" t="s">
        <v>3499</v>
      </c>
      <c r="X397" s="250" t="s">
        <v>3504</v>
      </c>
    </row>
    <row r="398" spans="1:24" hidden="1" x14ac:dyDescent="0.25">
      <c r="A398" s="422" t="s">
        <v>4594</v>
      </c>
      <c r="B398" s="422" t="s">
        <v>4594</v>
      </c>
      <c r="C398" s="422" t="s">
        <v>1950</v>
      </c>
      <c r="D398" s="227">
        <v>2023</v>
      </c>
      <c r="E398" t="s">
        <v>1653</v>
      </c>
      <c r="F398" t="s">
        <v>1745</v>
      </c>
      <c r="G398" t="s">
        <v>1746</v>
      </c>
      <c r="H398" t="s">
        <v>1864</v>
      </c>
      <c r="I398" t="s">
        <v>3110</v>
      </c>
      <c r="J398" s="428">
        <v>6</v>
      </c>
      <c r="K398" t="s">
        <v>586</v>
      </c>
      <c r="M398" s="174">
        <v>54.9</v>
      </c>
      <c r="N398" s="174">
        <v>329.4</v>
      </c>
      <c r="O398" t="s">
        <v>1747</v>
      </c>
      <c r="P398" t="s">
        <v>1748</v>
      </c>
      <c r="Q398" s="172">
        <v>71.7</v>
      </c>
      <c r="R398">
        <v>6</v>
      </c>
      <c r="S398" s="278" t="s">
        <v>3105</v>
      </c>
      <c r="T398" t="s">
        <v>6477</v>
      </c>
      <c r="U398" t="s">
        <v>6472</v>
      </c>
      <c r="V398" t="s">
        <v>6468</v>
      </c>
      <c r="W398" s="250" t="s">
        <v>3499</v>
      </c>
      <c r="X398" s="250" t="s">
        <v>3504</v>
      </c>
    </row>
    <row r="399" spans="1:24" hidden="1" x14ac:dyDescent="0.25">
      <c r="A399" s="422" t="s">
        <v>4594</v>
      </c>
      <c r="B399" s="422" t="s">
        <v>4594</v>
      </c>
      <c r="C399" s="422" t="s">
        <v>1950</v>
      </c>
      <c r="D399" s="227">
        <v>2023</v>
      </c>
      <c r="E399" t="s">
        <v>1653</v>
      </c>
      <c r="F399" t="s">
        <v>1745</v>
      </c>
      <c r="G399" t="s">
        <v>1746</v>
      </c>
      <c r="H399" t="s">
        <v>1864</v>
      </c>
      <c r="I399" t="s">
        <v>3110</v>
      </c>
      <c r="J399" s="428">
        <v>6</v>
      </c>
      <c r="K399" t="s">
        <v>586</v>
      </c>
      <c r="M399" s="174">
        <v>54.9</v>
      </c>
      <c r="N399" s="174">
        <v>329.4</v>
      </c>
      <c r="O399" t="s">
        <v>1747</v>
      </c>
      <c r="P399" t="s">
        <v>1748</v>
      </c>
      <c r="Q399" s="172">
        <v>71.7</v>
      </c>
      <c r="R399">
        <v>6</v>
      </c>
      <c r="S399" s="278" t="s">
        <v>3105</v>
      </c>
      <c r="T399" t="s">
        <v>6477</v>
      </c>
      <c r="U399" t="s">
        <v>6472</v>
      </c>
      <c r="V399" t="s">
        <v>6468</v>
      </c>
      <c r="W399" s="250" t="s">
        <v>3499</v>
      </c>
      <c r="X399" s="250" t="s">
        <v>3504</v>
      </c>
    </row>
    <row r="400" spans="1:24" hidden="1" x14ac:dyDescent="0.25">
      <c r="A400" s="422" t="s">
        <v>4594</v>
      </c>
      <c r="B400" s="422" t="s">
        <v>4594</v>
      </c>
      <c r="C400" s="422" t="s">
        <v>1950</v>
      </c>
      <c r="D400" s="227">
        <v>2023</v>
      </c>
      <c r="E400" t="s">
        <v>1653</v>
      </c>
      <c r="F400" t="s">
        <v>1745</v>
      </c>
      <c r="G400" t="s">
        <v>1746</v>
      </c>
      <c r="H400" t="s">
        <v>1864</v>
      </c>
      <c r="I400" t="s">
        <v>3110</v>
      </c>
      <c r="J400" s="428">
        <v>6</v>
      </c>
      <c r="K400" t="s">
        <v>586</v>
      </c>
      <c r="M400" s="174">
        <v>54.9</v>
      </c>
      <c r="N400" s="174">
        <v>329.4</v>
      </c>
      <c r="O400" t="s">
        <v>1747</v>
      </c>
      <c r="P400" t="s">
        <v>1748</v>
      </c>
      <c r="Q400" s="172">
        <v>71.7</v>
      </c>
      <c r="R400">
        <v>6</v>
      </c>
      <c r="S400" s="278" t="s">
        <v>3105</v>
      </c>
      <c r="T400" t="s">
        <v>6477</v>
      </c>
      <c r="U400" t="s">
        <v>6472</v>
      </c>
      <c r="V400" t="s">
        <v>6468</v>
      </c>
      <c r="W400" s="250" t="s">
        <v>3499</v>
      </c>
      <c r="X400" s="250" t="s">
        <v>3504</v>
      </c>
    </row>
    <row r="401" spans="1:24" hidden="1" x14ac:dyDescent="0.25">
      <c r="A401" t="s">
        <v>4592</v>
      </c>
      <c r="B401" t="s">
        <v>4592</v>
      </c>
      <c r="C401" s="422" t="s">
        <v>1950</v>
      </c>
      <c r="D401" s="227">
        <v>2023</v>
      </c>
      <c r="E401" t="s">
        <v>1653</v>
      </c>
      <c r="F401" t="s">
        <v>1745</v>
      </c>
      <c r="G401" t="s">
        <v>1746</v>
      </c>
      <c r="H401" t="s">
        <v>1864</v>
      </c>
      <c r="I401" t="s">
        <v>3110</v>
      </c>
      <c r="J401" s="428">
        <v>8</v>
      </c>
      <c r="K401" t="s">
        <v>586</v>
      </c>
      <c r="M401" s="174">
        <v>54.9</v>
      </c>
      <c r="N401" s="174">
        <v>439.2</v>
      </c>
      <c r="O401" t="s">
        <v>1747</v>
      </c>
      <c r="P401" t="s">
        <v>1748</v>
      </c>
      <c r="Q401" s="172">
        <v>92.1</v>
      </c>
      <c r="R401">
        <v>8</v>
      </c>
      <c r="S401" s="278" t="s">
        <v>3105</v>
      </c>
      <c r="T401" t="s">
        <v>6477</v>
      </c>
      <c r="U401" t="s">
        <v>6467</v>
      </c>
      <c r="V401" t="s">
        <v>6468</v>
      </c>
      <c r="W401" s="250" t="s">
        <v>3499</v>
      </c>
      <c r="X401" s="250" t="s">
        <v>3504</v>
      </c>
    </row>
    <row r="402" spans="1:24" hidden="1" x14ac:dyDescent="0.25">
      <c r="A402" t="s">
        <v>4592</v>
      </c>
      <c r="B402" t="s">
        <v>4592</v>
      </c>
      <c r="C402" s="422" t="s">
        <v>1950</v>
      </c>
      <c r="D402" s="227">
        <v>2023</v>
      </c>
      <c r="E402" t="s">
        <v>1653</v>
      </c>
      <c r="F402" t="s">
        <v>1745</v>
      </c>
      <c r="G402" t="s">
        <v>1746</v>
      </c>
      <c r="H402" t="s">
        <v>1864</v>
      </c>
      <c r="I402" t="s">
        <v>3110</v>
      </c>
      <c r="J402" s="428">
        <v>8</v>
      </c>
      <c r="K402" t="s">
        <v>586</v>
      </c>
      <c r="M402" s="174">
        <v>54.9</v>
      </c>
      <c r="N402" s="174">
        <v>439.2</v>
      </c>
      <c r="O402" t="s">
        <v>1747</v>
      </c>
      <c r="P402" t="s">
        <v>1748</v>
      </c>
      <c r="Q402" s="172">
        <v>92.1</v>
      </c>
      <c r="R402">
        <v>8</v>
      </c>
      <c r="S402" s="278" t="s">
        <v>3105</v>
      </c>
      <c r="T402" t="s">
        <v>6477</v>
      </c>
      <c r="U402" t="s">
        <v>6467</v>
      </c>
      <c r="V402" t="s">
        <v>6468</v>
      </c>
      <c r="W402" s="250" t="s">
        <v>3499</v>
      </c>
      <c r="X402" s="250" t="s">
        <v>3504</v>
      </c>
    </row>
    <row r="403" spans="1:24" hidden="1" x14ac:dyDescent="0.25">
      <c r="A403" t="s">
        <v>4592</v>
      </c>
      <c r="B403" t="s">
        <v>4592</v>
      </c>
      <c r="C403" s="422" t="s">
        <v>1950</v>
      </c>
      <c r="D403" s="227">
        <v>2023</v>
      </c>
      <c r="E403" t="s">
        <v>1653</v>
      </c>
      <c r="F403" t="s">
        <v>1745</v>
      </c>
      <c r="G403" t="s">
        <v>1746</v>
      </c>
      <c r="H403" t="s">
        <v>1864</v>
      </c>
      <c r="I403" t="s">
        <v>3110</v>
      </c>
      <c r="J403" s="428">
        <v>4</v>
      </c>
      <c r="K403" t="s">
        <v>586</v>
      </c>
      <c r="M403" s="174">
        <v>54.9</v>
      </c>
      <c r="N403" s="174">
        <v>219.6</v>
      </c>
      <c r="O403" t="s">
        <v>1747</v>
      </c>
      <c r="P403" t="s">
        <v>1748</v>
      </c>
      <c r="Q403" s="172">
        <v>92.1</v>
      </c>
      <c r="R403">
        <v>4</v>
      </c>
      <c r="S403" s="278" t="s">
        <v>3105</v>
      </c>
      <c r="T403" t="s">
        <v>6477</v>
      </c>
      <c r="U403" t="s">
        <v>6467</v>
      </c>
      <c r="V403" t="s">
        <v>6468</v>
      </c>
      <c r="W403" s="250" t="s">
        <v>3499</v>
      </c>
      <c r="X403" s="250" t="s">
        <v>3504</v>
      </c>
    </row>
    <row r="404" spans="1:24" x14ac:dyDescent="0.25">
      <c r="A404" t="s">
        <v>1910</v>
      </c>
      <c r="B404" t="s">
        <v>1910</v>
      </c>
      <c r="C404" s="422" t="s">
        <v>1950</v>
      </c>
      <c r="D404" s="227">
        <v>2023</v>
      </c>
      <c r="E404" t="s">
        <v>3001</v>
      </c>
      <c r="F404" t="s">
        <v>1745</v>
      </c>
      <c r="G404" t="s">
        <v>1746</v>
      </c>
      <c r="H404" t="s">
        <v>1864</v>
      </c>
      <c r="I404" t="s">
        <v>3110</v>
      </c>
      <c r="J404" s="428">
        <v>3560</v>
      </c>
      <c r="K404" t="s">
        <v>586</v>
      </c>
      <c r="M404" s="174">
        <v>1</v>
      </c>
      <c r="N404" s="174">
        <v>3560</v>
      </c>
      <c r="O404" t="s">
        <v>6233</v>
      </c>
      <c r="P404" t="s">
        <v>1748</v>
      </c>
      <c r="Q404" s="172">
        <v>17</v>
      </c>
      <c r="R404">
        <f>N404*Q404</f>
        <v>60520</v>
      </c>
      <c r="S404" s="278" t="s">
        <v>1894</v>
      </c>
      <c r="T404" t="s">
        <v>1751</v>
      </c>
      <c r="U404" t="s">
        <v>6478</v>
      </c>
      <c r="W404" s="250" t="s">
        <v>3499</v>
      </c>
      <c r="X404" s="250" t="s">
        <v>3504</v>
      </c>
    </row>
    <row r="405" spans="1:24" x14ac:dyDescent="0.25">
      <c r="A405" t="s">
        <v>1910</v>
      </c>
      <c r="B405" t="s">
        <v>1910</v>
      </c>
      <c r="C405" s="422" t="s">
        <v>1950</v>
      </c>
      <c r="D405" s="227">
        <v>2023</v>
      </c>
      <c r="E405" t="s">
        <v>3002</v>
      </c>
      <c r="F405" t="s">
        <v>1745</v>
      </c>
      <c r="G405" t="s">
        <v>1746</v>
      </c>
      <c r="H405" t="s">
        <v>1864</v>
      </c>
      <c r="I405" t="s">
        <v>3110</v>
      </c>
      <c r="J405" s="428">
        <v>2028</v>
      </c>
      <c r="K405" t="s">
        <v>586</v>
      </c>
      <c r="M405" s="174">
        <v>1</v>
      </c>
      <c r="N405" s="174">
        <v>2028</v>
      </c>
      <c r="O405" t="s">
        <v>6233</v>
      </c>
      <c r="P405" t="s">
        <v>1748</v>
      </c>
      <c r="Q405" s="172">
        <v>17</v>
      </c>
      <c r="R405">
        <v>2028</v>
      </c>
      <c r="S405" t="s">
        <v>1894</v>
      </c>
      <c r="T405" t="s">
        <v>1751</v>
      </c>
      <c r="U405" t="s">
        <v>6478</v>
      </c>
      <c r="W405" s="250" t="s">
        <v>3499</v>
      </c>
      <c r="X405" s="250" t="s">
        <v>3504</v>
      </c>
    </row>
    <row r="406" spans="1:24" x14ac:dyDescent="0.25">
      <c r="A406" t="s">
        <v>1910</v>
      </c>
      <c r="B406" t="s">
        <v>1910</v>
      </c>
      <c r="C406" s="422" t="s">
        <v>1950</v>
      </c>
      <c r="D406" s="227">
        <v>2023</v>
      </c>
      <c r="E406" t="s">
        <v>3003</v>
      </c>
      <c r="F406" t="s">
        <v>1745</v>
      </c>
      <c r="G406" t="s">
        <v>1746</v>
      </c>
      <c r="H406" t="s">
        <v>1864</v>
      </c>
      <c r="I406" t="s">
        <v>3110</v>
      </c>
      <c r="J406" s="428">
        <v>192</v>
      </c>
      <c r="K406" t="s">
        <v>586</v>
      </c>
      <c r="M406" s="174">
        <v>1</v>
      </c>
      <c r="N406" s="174">
        <v>192</v>
      </c>
      <c r="O406" t="s">
        <v>6233</v>
      </c>
      <c r="P406" t="s">
        <v>1748</v>
      </c>
      <c r="Q406" s="172">
        <v>17</v>
      </c>
      <c r="R406">
        <v>192</v>
      </c>
      <c r="S406" t="s">
        <v>1894</v>
      </c>
      <c r="T406" t="s">
        <v>1751</v>
      </c>
      <c r="U406" t="s">
        <v>6478</v>
      </c>
      <c r="W406" s="250" t="s">
        <v>3499</v>
      </c>
      <c r="X406" s="250" t="s">
        <v>3504</v>
      </c>
    </row>
    <row r="407" spans="1:24" x14ac:dyDescent="0.25">
      <c r="A407" t="s">
        <v>1910</v>
      </c>
      <c r="B407" t="s">
        <v>1910</v>
      </c>
      <c r="C407" s="422" t="s">
        <v>1950</v>
      </c>
      <c r="D407" s="227">
        <v>2023</v>
      </c>
      <c r="E407" t="s">
        <v>3004</v>
      </c>
      <c r="F407" t="s">
        <v>1745</v>
      </c>
      <c r="G407" t="s">
        <v>1746</v>
      </c>
      <c r="H407" t="s">
        <v>1864</v>
      </c>
      <c r="I407" t="s">
        <v>3110</v>
      </c>
      <c r="J407" s="428">
        <v>387</v>
      </c>
      <c r="K407" t="s">
        <v>586</v>
      </c>
      <c r="M407" s="174">
        <v>1</v>
      </c>
      <c r="N407" s="174">
        <v>387</v>
      </c>
      <c r="O407" t="s">
        <v>6233</v>
      </c>
      <c r="P407" t="s">
        <v>1748</v>
      </c>
      <c r="Q407" s="172">
        <v>17</v>
      </c>
      <c r="R407">
        <v>387</v>
      </c>
      <c r="S407" t="s">
        <v>1894</v>
      </c>
      <c r="T407" t="s">
        <v>1751</v>
      </c>
      <c r="U407" t="s">
        <v>6478</v>
      </c>
      <c r="W407" s="250" t="s">
        <v>3499</v>
      </c>
      <c r="X407" s="250" t="s">
        <v>3504</v>
      </c>
    </row>
    <row r="408" spans="1:24" x14ac:dyDescent="0.25">
      <c r="A408" t="s">
        <v>1910</v>
      </c>
      <c r="B408" t="s">
        <v>1910</v>
      </c>
      <c r="C408" s="422" t="s">
        <v>1950</v>
      </c>
      <c r="D408" s="227">
        <v>2023</v>
      </c>
      <c r="E408" t="s">
        <v>3005</v>
      </c>
      <c r="F408" t="s">
        <v>1745</v>
      </c>
      <c r="G408" t="s">
        <v>1746</v>
      </c>
      <c r="H408" t="s">
        <v>1864</v>
      </c>
      <c r="I408" t="s">
        <v>3110</v>
      </c>
      <c r="J408" s="428">
        <v>771</v>
      </c>
      <c r="K408" t="s">
        <v>586</v>
      </c>
      <c r="M408" s="174">
        <v>1</v>
      </c>
      <c r="N408" s="174">
        <v>771</v>
      </c>
      <c r="O408" t="s">
        <v>6233</v>
      </c>
      <c r="P408" t="s">
        <v>1748</v>
      </c>
      <c r="Q408" s="172">
        <v>17</v>
      </c>
      <c r="R408">
        <v>771</v>
      </c>
      <c r="S408" t="s">
        <v>1894</v>
      </c>
      <c r="T408" t="s">
        <v>1751</v>
      </c>
      <c r="U408" t="s">
        <v>6478</v>
      </c>
      <c r="W408" s="250" t="s">
        <v>3499</v>
      </c>
      <c r="X408" s="250" t="s">
        <v>3504</v>
      </c>
    </row>
    <row r="409" spans="1:24" x14ac:dyDescent="0.25">
      <c r="A409" t="s">
        <v>1910</v>
      </c>
      <c r="B409" t="s">
        <v>1910</v>
      </c>
      <c r="C409" s="422" t="s">
        <v>1950</v>
      </c>
      <c r="D409" s="227">
        <v>2023</v>
      </c>
      <c r="E409" t="s">
        <v>3006</v>
      </c>
      <c r="F409" t="s">
        <v>1745</v>
      </c>
      <c r="G409" t="s">
        <v>1746</v>
      </c>
      <c r="H409" t="s">
        <v>1864</v>
      </c>
      <c r="I409" t="s">
        <v>3110</v>
      </c>
      <c r="J409" s="428">
        <v>374</v>
      </c>
      <c r="K409" t="s">
        <v>586</v>
      </c>
      <c r="M409" s="174">
        <v>1</v>
      </c>
      <c r="N409" s="174">
        <v>374</v>
      </c>
      <c r="O409" t="s">
        <v>6233</v>
      </c>
      <c r="P409" t="s">
        <v>1748</v>
      </c>
      <c r="Q409" s="172">
        <v>17</v>
      </c>
      <c r="R409">
        <v>374</v>
      </c>
      <c r="S409" t="s">
        <v>1894</v>
      </c>
      <c r="T409" t="s">
        <v>1751</v>
      </c>
      <c r="U409" t="s">
        <v>6478</v>
      </c>
      <c r="W409" s="250" t="s">
        <v>3499</v>
      </c>
      <c r="X409" s="250" t="s">
        <v>3504</v>
      </c>
    </row>
    <row r="410" spans="1:24" x14ac:dyDescent="0.25">
      <c r="A410" t="s">
        <v>1910</v>
      </c>
      <c r="B410" t="s">
        <v>1910</v>
      </c>
      <c r="C410" s="422" t="s">
        <v>1950</v>
      </c>
      <c r="D410" s="227">
        <v>2023</v>
      </c>
      <c r="E410" t="s">
        <v>3007</v>
      </c>
      <c r="F410" t="s">
        <v>1745</v>
      </c>
      <c r="G410" t="s">
        <v>1746</v>
      </c>
      <c r="H410" t="s">
        <v>1864</v>
      </c>
      <c r="I410" t="s">
        <v>3110</v>
      </c>
      <c r="J410" s="428">
        <v>187</v>
      </c>
      <c r="K410" t="s">
        <v>586</v>
      </c>
      <c r="M410" s="174">
        <v>1</v>
      </c>
      <c r="N410" s="174">
        <v>187</v>
      </c>
      <c r="O410" t="s">
        <v>6233</v>
      </c>
      <c r="P410" t="s">
        <v>1748</v>
      </c>
      <c r="Q410" s="172">
        <v>17</v>
      </c>
      <c r="R410">
        <v>187</v>
      </c>
      <c r="S410" t="s">
        <v>1894</v>
      </c>
      <c r="T410" t="s">
        <v>1751</v>
      </c>
      <c r="U410" t="s">
        <v>6478</v>
      </c>
      <c r="W410" s="250" t="s">
        <v>3499</v>
      </c>
      <c r="X410" s="250" t="s">
        <v>3504</v>
      </c>
    </row>
    <row r="411" spans="1:24" x14ac:dyDescent="0.25">
      <c r="A411" t="s">
        <v>1910</v>
      </c>
      <c r="B411" t="s">
        <v>1910</v>
      </c>
      <c r="C411" s="422" t="s">
        <v>1950</v>
      </c>
      <c r="D411" s="227">
        <v>2023</v>
      </c>
      <c r="E411" t="s">
        <v>6448</v>
      </c>
      <c r="F411" t="s">
        <v>1745</v>
      </c>
      <c r="G411" t="s">
        <v>1746</v>
      </c>
      <c r="H411" t="s">
        <v>1864</v>
      </c>
      <c r="I411" t="s">
        <v>3110</v>
      </c>
      <c r="J411" s="428">
        <v>60</v>
      </c>
      <c r="K411" t="s">
        <v>586</v>
      </c>
      <c r="M411" s="174">
        <v>1</v>
      </c>
      <c r="N411" s="174">
        <v>60</v>
      </c>
      <c r="O411" t="s">
        <v>6233</v>
      </c>
      <c r="P411" t="s">
        <v>1748</v>
      </c>
      <c r="Q411" s="172">
        <v>17</v>
      </c>
      <c r="R411">
        <v>60</v>
      </c>
      <c r="S411" t="s">
        <v>1894</v>
      </c>
      <c r="T411" t="s">
        <v>1751</v>
      </c>
      <c r="U411" t="s">
        <v>6478</v>
      </c>
      <c r="W411" s="250" t="s">
        <v>3499</v>
      </c>
      <c r="X411" s="250" t="s">
        <v>3504</v>
      </c>
    </row>
    <row r="412" spans="1:24" x14ac:dyDescent="0.25">
      <c r="A412" t="s">
        <v>1910</v>
      </c>
      <c r="B412" t="s">
        <v>1910</v>
      </c>
      <c r="C412" s="422" t="s">
        <v>1950</v>
      </c>
      <c r="D412" s="227">
        <v>2023</v>
      </c>
      <c r="E412" t="s">
        <v>3008</v>
      </c>
      <c r="F412" t="s">
        <v>1745</v>
      </c>
      <c r="G412" t="s">
        <v>1746</v>
      </c>
      <c r="H412" t="s">
        <v>1864</v>
      </c>
      <c r="I412" t="s">
        <v>3110</v>
      </c>
      <c r="J412" s="428">
        <v>140</v>
      </c>
      <c r="K412" t="s">
        <v>586</v>
      </c>
      <c r="M412" s="174">
        <v>1</v>
      </c>
      <c r="N412" s="174">
        <v>140</v>
      </c>
      <c r="O412" t="s">
        <v>6233</v>
      </c>
      <c r="P412" t="s">
        <v>1748</v>
      </c>
      <c r="Q412" s="172">
        <v>17</v>
      </c>
      <c r="R412">
        <v>140</v>
      </c>
      <c r="S412" t="s">
        <v>1894</v>
      </c>
      <c r="T412" t="s">
        <v>1751</v>
      </c>
      <c r="U412" t="s">
        <v>6478</v>
      </c>
      <c r="W412" s="250" t="s">
        <v>3499</v>
      </c>
      <c r="X412" s="250" t="s">
        <v>3504</v>
      </c>
    </row>
    <row r="413" spans="1:24" x14ac:dyDescent="0.25">
      <c r="A413" t="s">
        <v>1910</v>
      </c>
      <c r="B413" t="s">
        <v>1910</v>
      </c>
      <c r="C413" s="422" t="s">
        <v>1950</v>
      </c>
      <c r="D413" s="227">
        <v>2023</v>
      </c>
      <c r="E413" t="s">
        <v>3629</v>
      </c>
      <c r="F413" t="s">
        <v>1745</v>
      </c>
      <c r="G413" t="s">
        <v>1746</v>
      </c>
      <c r="H413" t="s">
        <v>1864</v>
      </c>
      <c r="I413" t="s">
        <v>3110</v>
      </c>
      <c r="J413" s="428">
        <v>4699</v>
      </c>
      <c r="K413" t="s">
        <v>586</v>
      </c>
      <c r="M413" s="174">
        <v>1</v>
      </c>
      <c r="N413" s="174">
        <v>4699</v>
      </c>
      <c r="O413" t="s">
        <v>6233</v>
      </c>
      <c r="P413" t="s">
        <v>1748</v>
      </c>
      <c r="Q413" s="172">
        <v>17</v>
      </c>
      <c r="R413">
        <v>4699</v>
      </c>
      <c r="S413" t="s">
        <v>1894</v>
      </c>
      <c r="T413" t="s">
        <v>1751</v>
      </c>
      <c r="U413" t="s">
        <v>6478</v>
      </c>
      <c r="W413" s="250" t="s">
        <v>3499</v>
      </c>
      <c r="X413" s="250" t="s">
        <v>3504</v>
      </c>
    </row>
    <row r="414" spans="1:24" x14ac:dyDescent="0.25">
      <c r="A414" t="s">
        <v>1910</v>
      </c>
      <c r="B414" t="s">
        <v>1910</v>
      </c>
      <c r="C414" s="422" t="s">
        <v>1950</v>
      </c>
      <c r="D414" s="227">
        <v>2023</v>
      </c>
      <c r="E414" t="s">
        <v>3009</v>
      </c>
      <c r="F414" t="s">
        <v>1745</v>
      </c>
      <c r="G414" t="s">
        <v>1746</v>
      </c>
      <c r="H414" t="s">
        <v>1864</v>
      </c>
      <c r="I414" t="s">
        <v>3110</v>
      </c>
      <c r="J414" s="428">
        <v>208</v>
      </c>
      <c r="K414" t="s">
        <v>586</v>
      </c>
      <c r="M414" s="174">
        <v>1</v>
      </c>
      <c r="N414" s="174">
        <v>208</v>
      </c>
      <c r="O414" t="s">
        <v>6233</v>
      </c>
      <c r="P414" t="s">
        <v>1748</v>
      </c>
      <c r="Q414" s="172">
        <v>17</v>
      </c>
      <c r="R414">
        <v>208</v>
      </c>
      <c r="S414" t="s">
        <v>1894</v>
      </c>
      <c r="T414" t="s">
        <v>1751</v>
      </c>
      <c r="U414" t="s">
        <v>6478</v>
      </c>
      <c r="W414" s="250" t="s">
        <v>3499</v>
      </c>
      <c r="X414" s="250" t="s">
        <v>3504</v>
      </c>
    </row>
    <row r="415" spans="1:24" x14ac:dyDescent="0.25">
      <c r="A415" t="s">
        <v>1910</v>
      </c>
      <c r="B415" t="s">
        <v>1910</v>
      </c>
      <c r="C415" s="422" t="s">
        <v>1950</v>
      </c>
      <c r="D415" s="227">
        <v>2023</v>
      </c>
      <c r="E415" t="s">
        <v>3010</v>
      </c>
      <c r="F415" t="s">
        <v>1745</v>
      </c>
      <c r="G415" t="s">
        <v>1746</v>
      </c>
      <c r="H415" t="s">
        <v>1864</v>
      </c>
      <c r="I415" t="s">
        <v>3110</v>
      </c>
      <c r="J415" s="428">
        <v>93</v>
      </c>
      <c r="K415" t="s">
        <v>586</v>
      </c>
      <c r="M415" s="174">
        <v>1</v>
      </c>
      <c r="N415" s="174">
        <v>93</v>
      </c>
      <c r="O415" t="s">
        <v>6233</v>
      </c>
      <c r="P415" t="s">
        <v>1748</v>
      </c>
      <c r="Q415" s="172">
        <v>17</v>
      </c>
      <c r="R415">
        <v>93</v>
      </c>
      <c r="S415" t="s">
        <v>1894</v>
      </c>
      <c r="T415" t="s">
        <v>1751</v>
      </c>
      <c r="U415" t="s">
        <v>6478</v>
      </c>
      <c r="W415" s="250" t="s">
        <v>3499</v>
      </c>
      <c r="X415" s="250" t="s">
        <v>3504</v>
      </c>
    </row>
    <row r="416" spans="1:24" x14ac:dyDescent="0.25">
      <c r="A416" t="s">
        <v>1910</v>
      </c>
      <c r="B416" t="s">
        <v>1910</v>
      </c>
      <c r="C416" s="422" t="s">
        <v>1950</v>
      </c>
      <c r="D416" s="227">
        <v>2023</v>
      </c>
      <c r="E416" t="s">
        <v>3011</v>
      </c>
      <c r="F416" t="s">
        <v>1745</v>
      </c>
      <c r="G416" t="s">
        <v>1746</v>
      </c>
      <c r="H416" t="s">
        <v>1864</v>
      </c>
      <c r="I416" t="s">
        <v>3110</v>
      </c>
      <c r="J416" s="428">
        <v>30</v>
      </c>
      <c r="K416" t="s">
        <v>586</v>
      </c>
      <c r="M416" s="174">
        <v>1</v>
      </c>
      <c r="N416" s="174">
        <v>30</v>
      </c>
      <c r="O416" t="s">
        <v>6233</v>
      </c>
      <c r="P416" t="s">
        <v>1748</v>
      </c>
      <c r="Q416" s="172">
        <v>17</v>
      </c>
      <c r="R416">
        <v>30</v>
      </c>
      <c r="S416" t="s">
        <v>1894</v>
      </c>
      <c r="T416" t="s">
        <v>1751</v>
      </c>
      <c r="U416" t="s">
        <v>6478</v>
      </c>
      <c r="W416" s="250" t="s">
        <v>3499</v>
      </c>
      <c r="X416" s="250" t="s">
        <v>3504</v>
      </c>
    </row>
    <row r="417" spans="1:24" x14ac:dyDescent="0.25">
      <c r="A417" t="s">
        <v>1910</v>
      </c>
      <c r="B417" t="s">
        <v>1910</v>
      </c>
      <c r="C417" s="422" t="s">
        <v>1950</v>
      </c>
      <c r="D417" s="227">
        <v>2023</v>
      </c>
      <c r="E417" t="s">
        <v>1659</v>
      </c>
      <c r="F417" t="s">
        <v>1745</v>
      </c>
      <c r="G417" t="s">
        <v>1746</v>
      </c>
      <c r="H417" t="s">
        <v>1864</v>
      </c>
      <c r="I417" t="s">
        <v>3110</v>
      </c>
      <c r="J417" s="428">
        <v>16088</v>
      </c>
      <c r="K417" t="s">
        <v>586</v>
      </c>
      <c r="M417" s="174">
        <v>1</v>
      </c>
      <c r="N417" s="174">
        <v>16088</v>
      </c>
      <c r="O417" t="s">
        <v>6233</v>
      </c>
      <c r="P417" t="s">
        <v>1748</v>
      </c>
      <c r="Q417" s="172">
        <v>17</v>
      </c>
      <c r="R417">
        <v>16088</v>
      </c>
      <c r="S417" t="s">
        <v>1894</v>
      </c>
      <c r="T417" t="s">
        <v>1751</v>
      </c>
      <c r="U417" t="s">
        <v>6478</v>
      </c>
      <c r="W417" s="250" t="s">
        <v>3499</v>
      </c>
      <c r="X417" s="250" t="s">
        <v>3504</v>
      </c>
    </row>
    <row r="418" spans="1:24" x14ac:dyDescent="0.25">
      <c r="A418" t="s">
        <v>1910</v>
      </c>
      <c r="B418" t="s">
        <v>1910</v>
      </c>
      <c r="C418" s="422" t="s">
        <v>1950</v>
      </c>
      <c r="D418" s="227">
        <v>2023</v>
      </c>
      <c r="E418" t="s">
        <v>1658</v>
      </c>
      <c r="F418" t="s">
        <v>1745</v>
      </c>
      <c r="G418" t="s">
        <v>1746</v>
      </c>
      <c r="H418" t="s">
        <v>1864</v>
      </c>
      <c r="I418" t="s">
        <v>3110</v>
      </c>
      <c r="J418" s="428">
        <v>9</v>
      </c>
      <c r="K418" t="s">
        <v>586</v>
      </c>
      <c r="M418" s="174">
        <v>1</v>
      </c>
      <c r="N418" s="174">
        <v>9</v>
      </c>
      <c r="O418" t="s">
        <v>6233</v>
      </c>
      <c r="P418" t="s">
        <v>1748</v>
      </c>
      <c r="Q418" s="172">
        <v>17</v>
      </c>
      <c r="R418">
        <v>9</v>
      </c>
      <c r="S418" t="s">
        <v>1894</v>
      </c>
      <c r="T418" t="s">
        <v>1751</v>
      </c>
      <c r="U418" t="s">
        <v>6478</v>
      </c>
      <c r="W418" s="250" t="s">
        <v>3499</v>
      </c>
      <c r="X418" s="250" t="s">
        <v>3504</v>
      </c>
    </row>
    <row r="419" spans="1:24" x14ac:dyDescent="0.25">
      <c r="A419" t="s">
        <v>1910</v>
      </c>
      <c r="B419" t="s">
        <v>1910</v>
      </c>
      <c r="C419" s="422" t="s">
        <v>1950</v>
      </c>
      <c r="D419" s="227">
        <v>2023</v>
      </c>
      <c r="E419" t="s">
        <v>3012</v>
      </c>
      <c r="F419" t="s">
        <v>1745</v>
      </c>
      <c r="G419" t="s">
        <v>1746</v>
      </c>
      <c r="H419" t="s">
        <v>1864</v>
      </c>
      <c r="I419" t="s">
        <v>3110</v>
      </c>
      <c r="J419" s="428">
        <v>7</v>
      </c>
      <c r="K419" t="s">
        <v>586</v>
      </c>
      <c r="M419" s="174">
        <v>1</v>
      </c>
      <c r="N419" s="174">
        <v>7</v>
      </c>
      <c r="O419" t="s">
        <v>6233</v>
      </c>
      <c r="P419" t="s">
        <v>1748</v>
      </c>
      <c r="Q419" s="172">
        <v>17</v>
      </c>
      <c r="R419">
        <v>7</v>
      </c>
      <c r="S419" t="s">
        <v>1894</v>
      </c>
      <c r="T419" t="s">
        <v>1751</v>
      </c>
      <c r="U419" t="s">
        <v>6478</v>
      </c>
      <c r="W419" s="250" t="s">
        <v>3499</v>
      </c>
      <c r="X419" s="250" t="s">
        <v>3504</v>
      </c>
    </row>
    <row r="420" spans="1:24" x14ac:dyDescent="0.25">
      <c r="A420" t="s">
        <v>1910</v>
      </c>
      <c r="B420" t="s">
        <v>1910</v>
      </c>
      <c r="C420" s="422" t="s">
        <v>1950</v>
      </c>
      <c r="D420" s="227">
        <v>2023</v>
      </c>
      <c r="E420" t="s">
        <v>1655</v>
      </c>
      <c r="F420" t="s">
        <v>1745</v>
      </c>
      <c r="G420" t="s">
        <v>1746</v>
      </c>
      <c r="H420" t="s">
        <v>1864</v>
      </c>
      <c r="I420" t="s">
        <v>3110</v>
      </c>
      <c r="J420" s="428">
        <v>339</v>
      </c>
      <c r="K420" t="s">
        <v>586</v>
      </c>
      <c r="M420" s="174">
        <v>1</v>
      </c>
      <c r="N420" s="174">
        <v>339</v>
      </c>
      <c r="O420" t="s">
        <v>6233</v>
      </c>
      <c r="P420" t="s">
        <v>1748</v>
      </c>
      <c r="Q420" s="172">
        <v>17</v>
      </c>
      <c r="R420">
        <v>339</v>
      </c>
      <c r="S420" t="s">
        <v>1894</v>
      </c>
      <c r="T420" t="s">
        <v>1751</v>
      </c>
      <c r="U420" t="s">
        <v>6478</v>
      </c>
      <c r="W420" s="250" t="s">
        <v>3499</v>
      </c>
      <c r="X420" s="250" t="s">
        <v>3504</v>
      </c>
    </row>
    <row r="421" spans="1:24" x14ac:dyDescent="0.25">
      <c r="A421" t="s">
        <v>1910</v>
      </c>
      <c r="B421" t="s">
        <v>1910</v>
      </c>
      <c r="C421" s="422" t="s">
        <v>1950</v>
      </c>
      <c r="D421" s="227">
        <v>2023</v>
      </c>
      <c r="E421" t="s">
        <v>6449</v>
      </c>
      <c r="F421" t="s">
        <v>1745</v>
      </c>
      <c r="G421" t="s">
        <v>1746</v>
      </c>
      <c r="H421" t="s">
        <v>1864</v>
      </c>
      <c r="I421" t="s">
        <v>3110</v>
      </c>
      <c r="J421" s="428">
        <v>103</v>
      </c>
      <c r="K421" t="s">
        <v>586</v>
      </c>
      <c r="M421" s="174">
        <v>1</v>
      </c>
      <c r="N421" s="174">
        <v>103</v>
      </c>
      <c r="O421" t="s">
        <v>6233</v>
      </c>
      <c r="P421" t="s">
        <v>1748</v>
      </c>
      <c r="Q421" s="172">
        <v>17</v>
      </c>
      <c r="R421">
        <v>103</v>
      </c>
      <c r="S421" t="s">
        <v>1894</v>
      </c>
      <c r="T421" t="s">
        <v>1751</v>
      </c>
      <c r="U421" t="s">
        <v>6478</v>
      </c>
      <c r="W421" s="250" t="s">
        <v>3499</v>
      </c>
      <c r="X421" s="250" t="s">
        <v>3504</v>
      </c>
    </row>
    <row r="422" spans="1:24" x14ac:dyDescent="0.25">
      <c r="A422" t="s">
        <v>1910</v>
      </c>
      <c r="B422" t="s">
        <v>1910</v>
      </c>
      <c r="C422" s="422" t="s">
        <v>1950</v>
      </c>
      <c r="D422" s="227">
        <v>2023</v>
      </c>
      <c r="E422" t="s">
        <v>3013</v>
      </c>
      <c r="F422" t="s">
        <v>1745</v>
      </c>
      <c r="G422" t="s">
        <v>1746</v>
      </c>
      <c r="H422" t="s">
        <v>1864</v>
      </c>
      <c r="I422" t="s">
        <v>3110</v>
      </c>
      <c r="J422" s="428">
        <v>5622.2</v>
      </c>
      <c r="K422" t="s">
        <v>586</v>
      </c>
      <c r="M422" s="174">
        <v>1</v>
      </c>
      <c r="N422" s="174">
        <v>5622.2</v>
      </c>
      <c r="O422" t="s">
        <v>6233</v>
      </c>
      <c r="P422" t="s">
        <v>1748</v>
      </c>
      <c r="Q422" s="172">
        <v>17</v>
      </c>
      <c r="R422">
        <v>5622.2</v>
      </c>
      <c r="S422" t="s">
        <v>1894</v>
      </c>
      <c r="T422" t="s">
        <v>1751</v>
      </c>
      <c r="U422" t="s">
        <v>6478</v>
      </c>
      <c r="W422" s="250" t="s">
        <v>3499</v>
      </c>
      <c r="X422" s="250" t="s">
        <v>3504</v>
      </c>
    </row>
    <row r="423" spans="1:24" x14ac:dyDescent="0.25">
      <c r="A423" t="s">
        <v>1910</v>
      </c>
      <c r="B423" t="s">
        <v>1910</v>
      </c>
      <c r="C423" s="422" t="s">
        <v>1950</v>
      </c>
      <c r="D423" s="227">
        <v>2023</v>
      </c>
      <c r="E423" t="s">
        <v>3014</v>
      </c>
      <c r="F423" t="s">
        <v>1745</v>
      </c>
      <c r="G423" t="s">
        <v>1746</v>
      </c>
      <c r="H423" t="s">
        <v>1864</v>
      </c>
      <c r="I423" t="s">
        <v>3110</v>
      </c>
      <c r="J423" s="428">
        <v>487</v>
      </c>
      <c r="K423" t="s">
        <v>586</v>
      </c>
      <c r="M423" s="174">
        <v>1</v>
      </c>
      <c r="N423" s="174">
        <v>487</v>
      </c>
      <c r="O423" t="s">
        <v>6233</v>
      </c>
      <c r="P423" t="s">
        <v>1748</v>
      </c>
      <c r="Q423" s="172">
        <v>17</v>
      </c>
      <c r="R423">
        <v>487</v>
      </c>
      <c r="S423" t="s">
        <v>1894</v>
      </c>
      <c r="T423" t="s">
        <v>1751</v>
      </c>
      <c r="U423" t="s">
        <v>6478</v>
      </c>
      <c r="W423" s="250" t="s">
        <v>3499</v>
      </c>
      <c r="X423" s="250" t="s">
        <v>3504</v>
      </c>
    </row>
    <row r="424" spans="1:24" x14ac:dyDescent="0.25">
      <c r="A424" t="s">
        <v>1910</v>
      </c>
      <c r="B424" t="s">
        <v>1910</v>
      </c>
      <c r="C424" s="422" t="s">
        <v>1950</v>
      </c>
      <c r="D424" s="227">
        <v>2023</v>
      </c>
      <c r="E424" t="s">
        <v>6450</v>
      </c>
      <c r="F424" t="s">
        <v>1745</v>
      </c>
      <c r="G424" t="s">
        <v>1746</v>
      </c>
      <c r="H424" t="s">
        <v>1864</v>
      </c>
      <c r="I424" t="s">
        <v>3110</v>
      </c>
      <c r="J424" s="428">
        <v>1484</v>
      </c>
      <c r="K424" t="s">
        <v>586</v>
      </c>
      <c r="M424" s="174">
        <v>1</v>
      </c>
      <c r="N424" s="174">
        <v>1484</v>
      </c>
      <c r="O424" t="s">
        <v>6233</v>
      </c>
      <c r="P424" t="s">
        <v>1748</v>
      </c>
      <c r="Q424" s="172">
        <v>17</v>
      </c>
      <c r="R424">
        <v>1484</v>
      </c>
      <c r="S424" t="s">
        <v>1894</v>
      </c>
      <c r="T424" t="s">
        <v>1751</v>
      </c>
      <c r="U424" t="s">
        <v>6478</v>
      </c>
      <c r="W424" s="250" t="s">
        <v>3499</v>
      </c>
      <c r="X424" s="250" t="s">
        <v>3504</v>
      </c>
    </row>
    <row r="425" spans="1:24" x14ac:dyDescent="0.25">
      <c r="A425" t="s">
        <v>1910</v>
      </c>
      <c r="B425" t="s">
        <v>1910</v>
      </c>
      <c r="C425" s="422" t="s">
        <v>1950</v>
      </c>
      <c r="D425" s="227">
        <v>2023</v>
      </c>
      <c r="E425" t="s">
        <v>3015</v>
      </c>
      <c r="F425" t="s">
        <v>1745</v>
      </c>
      <c r="G425" t="s">
        <v>1746</v>
      </c>
      <c r="H425" t="s">
        <v>1864</v>
      </c>
      <c r="I425" t="s">
        <v>3110</v>
      </c>
      <c r="J425" s="428">
        <v>11111</v>
      </c>
      <c r="K425" t="s">
        <v>586</v>
      </c>
      <c r="M425" s="174">
        <v>1</v>
      </c>
      <c r="N425" s="174">
        <v>11111</v>
      </c>
      <c r="O425" t="s">
        <v>6233</v>
      </c>
      <c r="P425" t="s">
        <v>1748</v>
      </c>
      <c r="Q425" s="172">
        <v>17</v>
      </c>
      <c r="R425">
        <v>11111</v>
      </c>
      <c r="S425" t="s">
        <v>1894</v>
      </c>
      <c r="T425" t="s">
        <v>1751</v>
      </c>
      <c r="U425" t="s">
        <v>6478</v>
      </c>
      <c r="W425" s="250" t="s">
        <v>3499</v>
      </c>
      <c r="X425" s="250" t="s">
        <v>3504</v>
      </c>
    </row>
    <row r="426" spans="1:24" x14ac:dyDescent="0.25">
      <c r="A426" t="s">
        <v>1910</v>
      </c>
      <c r="B426" t="s">
        <v>1910</v>
      </c>
      <c r="C426" s="422" t="s">
        <v>1950</v>
      </c>
      <c r="D426" s="227">
        <v>2023</v>
      </c>
      <c r="E426" t="s">
        <v>3016</v>
      </c>
      <c r="F426" t="s">
        <v>1745</v>
      </c>
      <c r="G426" t="s">
        <v>1746</v>
      </c>
      <c r="H426" t="s">
        <v>1864</v>
      </c>
      <c r="I426" t="s">
        <v>3110</v>
      </c>
      <c r="J426" s="428">
        <v>748</v>
      </c>
      <c r="K426" t="s">
        <v>586</v>
      </c>
      <c r="M426" s="174">
        <v>1</v>
      </c>
      <c r="N426" s="174">
        <v>748</v>
      </c>
      <c r="O426" t="s">
        <v>6233</v>
      </c>
      <c r="P426" t="s">
        <v>1748</v>
      </c>
      <c r="Q426" s="172">
        <v>17</v>
      </c>
      <c r="R426">
        <v>748</v>
      </c>
      <c r="S426" t="s">
        <v>1894</v>
      </c>
      <c r="T426" t="s">
        <v>1751</v>
      </c>
      <c r="U426" t="s">
        <v>6478</v>
      </c>
      <c r="W426" s="250" t="s">
        <v>3499</v>
      </c>
      <c r="X426" s="250" t="s">
        <v>3504</v>
      </c>
    </row>
    <row r="427" spans="1:24" x14ac:dyDescent="0.25">
      <c r="A427" t="s">
        <v>1910</v>
      </c>
      <c r="B427" t="s">
        <v>1910</v>
      </c>
      <c r="C427" s="422" t="s">
        <v>1950</v>
      </c>
      <c r="D427" s="227">
        <v>2023</v>
      </c>
      <c r="E427" t="s">
        <v>3017</v>
      </c>
      <c r="F427" t="s">
        <v>1745</v>
      </c>
      <c r="G427" t="s">
        <v>1746</v>
      </c>
      <c r="H427" t="s">
        <v>1864</v>
      </c>
      <c r="I427" t="s">
        <v>3110</v>
      </c>
      <c r="J427" s="428">
        <v>9211.2199999999993</v>
      </c>
      <c r="K427" t="s">
        <v>586</v>
      </c>
      <c r="M427" s="174">
        <v>1</v>
      </c>
      <c r="N427" s="174">
        <v>9211.2199999999993</v>
      </c>
      <c r="O427" t="s">
        <v>6233</v>
      </c>
      <c r="P427" t="s">
        <v>1748</v>
      </c>
      <c r="Q427" s="172">
        <v>17</v>
      </c>
      <c r="R427">
        <v>9211.2199999999993</v>
      </c>
      <c r="S427" t="s">
        <v>1894</v>
      </c>
      <c r="T427" t="s">
        <v>1751</v>
      </c>
      <c r="U427" t="s">
        <v>6478</v>
      </c>
      <c r="W427" s="250" t="s">
        <v>3499</v>
      </c>
      <c r="X427" s="250" t="s">
        <v>3504</v>
      </c>
    </row>
    <row r="428" spans="1:24" x14ac:dyDescent="0.25">
      <c r="A428" t="s">
        <v>1910</v>
      </c>
      <c r="B428" t="s">
        <v>1910</v>
      </c>
      <c r="C428" s="422" t="s">
        <v>1950</v>
      </c>
      <c r="D428" s="227">
        <v>2023</v>
      </c>
      <c r="E428" t="s">
        <v>6007</v>
      </c>
      <c r="F428" t="s">
        <v>1745</v>
      </c>
      <c r="G428" t="s">
        <v>1746</v>
      </c>
      <c r="H428" t="s">
        <v>1864</v>
      </c>
      <c r="I428" t="s">
        <v>3110</v>
      </c>
      <c r="J428" s="428">
        <v>4316</v>
      </c>
      <c r="K428" t="s">
        <v>586</v>
      </c>
      <c r="M428" s="174">
        <v>1</v>
      </c>
      <c r="N428" s="174">
        <v>4316</v>
      </c>
      <c r="O428" t="s">
        <v>6233</v>
      </c>
      <c r="P428" t="s">
        <v>1748</v>
      </c>
      <c r="Q428" s="172">
        <v>17</v>
      </c>
      <c r="R428">
        <v>4316</v>
      </c>
      <c r="S428" t="s">
        <v>1894</v>
      </c>
      <c r="T428" t="s">
        <v>1751</v>
      </c>
      <c r="U428" t="s">
        <v>6478</v>
      </c>
      <c r="W428" s="250" t="s">
        <v>3499</v>
      </c>
      <c r="X428" s="250" t="s">
        <v>3504</v>
      </c>
    </row>
    <row r="429" spans="1:24" x14ac:dyDescent="0.25">
      <c r="A429" t="s">
        <v>1910</v>
      </c>
      <c r="B429" t="s">
        <v>1910</v>
      </c>
      <c r="C429" s="422" t="s">
        <v>1950</v>
      </c>
      <c r="D429" s="227">
        <v>2023</v>
      </c>
      <c r="E429" t="s">
        <v>3019</v>
      </c>
      <c r="F429" t="s">
        <v>1745</v>
      </c>
      <c r="G429" t="s">
        <v>1746</v>
      </c>
      <c r="H429" t="s">
        <v>1864</v>
      </c>
      <c r="I429" t="s">
        <v>3110</v>
      </c>
      <c r="J429" s="428">
        <v>3497</v>
      </c>
      <c r="K429" t="s">
        <v>630</v>
      </c>
      <c r="M429" s="174">
        <v>1</v>
      </c>
      <c r="N429" s="174">
        <v>3497</v>
      </c>
      <c r="O429" t="s">
        <v>6233</v>
      </c>
      <c r="P429" t="s">
        <v>1748</v>
      </c>
      <c r="Q429" s="172">
        <v>17</v>
      </c>
      <c r="R429">
        <v>3497</v>
      </c>
      <c r="S429" t="s">
        <v>1894</v>
      </c>
      <c r="T429" t="s">
        <v>1751</v>
      </c>
      <c r="U429" t="s">
        <v>6478</v>
      </c>
      <c r="W429" s="250" t="s">
        <v>3499</v>
      </c>
      <c r="X429" s="250" t="s">
        <v>3504</v>
      </c>
    </row>
    <row r="430" spans="1:24" x14ac:dyDescent="0.25">
      <c r="A430" t="s">
        <v>1910</v>
      </c>
      <c r="B430" t="s">
        <v>1910</v>
      </c>
      <c r="C430" s="422" t="s">
        <v>1950</v>
      </c>
      <c r="D430" s="227">
        <v>2023</v>
      </c>
      <c r="E430" t="s">
        <v>3020</v>
      </c>
      <c r="F430" t="s">
        <v>1745</v>
      </c>
      <c r="G430" t="s">
        <v>1746</v>
      </c>
      <c r="H430" t="s">
        <v>1864</v>
      </c>
      <c r="I430" t="s">
        <v>3110</v>
      </c>
      <c r="J430" s="428">
        <v>13670</v>
      </c>
      <c r="K430" t="s">
        <v>586</v>
      </c>
      <c r="M430" s="174">
        <v>1</v>
      </c>
      <c r="N430" s="174">
        <v>13670</v>
      </c>
      <c r="O430" t="s">
        <v>6233</v>
      </c>
      <c r="P430" t="s">
        <v>1748</v>
      </c>
      <c r="Q430" s="172">
        <v>17</v>
      </c>
      <c r="R430">
        <v>13670</v>
      </c>
      <c r="S430" t="s">
        <v>1894</v>
      </c>
      <c r="T430" t="s">
        <v>1751</v>
      </c>
      <c r="U430" t="s">
        <v>6478</v>
      </c>
      <c r="W430" s="250" t="s">
        <v>3499</v>
      </c>
      <c r="X430" s="250" t="s">
        <v>3504</v>
      </c>
    </row>
    <row r="431" spans="1:24" x14ac:dyDescent="0.25">
      <c r="A431" t="s">
        <v>1910</v>
      </c>
      <c r="B431" t="s">
        <v>1910</v>
      </c>
      <c r="C431" s="422" t="s">
        <v>1950</v>
      </c>
      <c r="D431" s="227">
        <v>2023</v>
      </c>
      <c r="E431" t="s">
        <v>1659</v>
      </c>
      <c r="F431" t="s">
        <v>1745</v>
      </c>
      <c r="G431" t="s">
        <v>1746</v>
      </c>
      <c r="H431" t="s">
        <v>1864</v>
      </c>
      <c r="I431" t="s">
        <v>3110</v>
      </c>
      <c r="J431" s="428">
        <v>3280</v>
      </c>
      <c r="K431" t="s">
        <v>586</v>
      </c>
      <c r="M431" s="174">
        <v>1</v>
      </c>
      <c r="N431" s="174">
        <v>3280</v>
      </c>
      <c r="O431" t="s">
        <v>6233</v>
      </c>
      <c r="P431" t="s">
        <v>1748</v>
      </c>
      <c r="Q431" s="172">
        <v>17</v>
      </c>
      <c r="R431">
        <v>3280</v>
      </c>
      <c r="S431" t="s">
        <v>1894</v>
      </c>
      <c r="T431" t="s">
        <v>1751</v>
      </c>
      <c r="U431" t="s">
        <v>6478</v>
      </c>
      <c r="W431" s="250" t="s">
        <v>3499</v>
      </c>
      <c r="X431" s="250" t="s">
        <v>3504</v>
      </c>
    </row>
    <row r="432" spans="1:24" x14ac:dyDescent="0.25">
      <c r="A432" t="s">
        <v>1910</v>
      </c>
      <c r="B432" t="s">
        <v>1910</v>
      </c>
      <c r="C432" s="422" t="s">
        <v>1950</v>
      </c>
      <c r="D432" s="227">
        <v>2023</v>
      </c>
      <c r="E432" t="s">
        <v>620</v>
      </c>
      <c r="F432" t="s">
        <v>1745</v>
      </c>
      <c r="G432" t="s">
        <v>1746</v>
      </c>
      <c r="H432" t="s">
        <v>1864</v>
      </c>
      <c r="I432" t="s">
        <v>3110</v>
      </c>
      <c r="J432" s="428">
        <v>2313.79</v>
      </c>
      <c r="K432" t="s">
        <v>630</v>
      </c>
      <c r="M432" s="174">
        <v>0.83699999999999997</v>
      </c>
      <c r="N432" s="174">
        <v>1936.6422299999999</v>
      </c>
      <c r="O432" t="s">
        <v>6233</v>
      </c>
      <c r="P432" t="s">
        <v>1748</v>
      </c>
      <c r="Q432" s="172">
        <v>17</v>
      </c>
      <c r="R432">
        <v>2313.79</v>
      </c>
      <c r="S432" t="s">
        <v>1894</v>
      </c>
      <c r="T432" t="s">
        <v>1751</v>
      </c>
      <c r="U432" t="s">
        <v>6478</v>
      </c>
      <c r="W432" s="250" t="s">
        <v>3499</v>
      </c>
      <c r="X432" s="250" t="s">
        <v>3504</v>
      </c>
    </row>
    <row r="433" spans="1:33" x14ac:dyDescent="0.25">
      <c r="A433" t="s">
        <v>1910</v>
      </c>
      <c r="B433" t="s">
        <v>1910</v>
      </c>
      <c r="C433" s="422" t="s">
        <v>1950</v>
      </c>
      <c r="D433" s="227">
        <v>2023</v>
      </c>
      <c r="E433" t="s">
        <v>3021</v>
      </c>
      <c r="F433" t="s">
        <v>1745</v>
      </c>
      <c r="G433" t="s">
        <v>1746</v>
      </c>
      <c r="H433" t="s">
        <v>1864</v>
      </c>
      <c r="I433" t="s">
        <v>3110</v>
      </c>
      <c r="J433" s="428">
        <v>14549.9</v>
      </c>
      <c r="K433" t="s">
        <v>630</v>
      </c>
      <c r="M433" s="174">
        <v>0.9</v>
      </c>
      <c r="N433" s="174">
        <v>13094.91</v>
      </c>
      <c r="O433" t="s">
        <v>6233</v>
      </c>
      <c r="P433" t="s">
        <v>1748</v>
      </c>
      <c r="Q433" s="172">
        <v>17</v>
      </c>
      <c r="R433">
        <v>14549.9</v>
      </c>
      <c r="S433" t="s">
        <v>1894</v>
      </c>
      <c r="T433" t="s">
        <v>1751</v>
      </c>
      <c r="U433" t="s">
        <v>6478</v>
      </c>
      <c r="W433" s="250" t="s">
        <v>3499</v>
      </c>
      <c r="X433" s="250" t="s">
        <v>3504</v>
      </c>
    </row>
    <row r="434" spans="1:33" x14ac:dyDescent="0.25">
      <c r="A434" t="s">
        <v>1910</v>
      </c>
      <c r="B434" t="s">
        <v>1910</v>
      </c>
      <c r="C434" s="422" t="s">
        <v>1950</v>
      </c>
      <c r="D434" s="227">
        <v>2023</v>
      </c>
      <c r="E434" t="s">
        <v>3022</v>
      </c>
      <c r="F434" t="s">
        <v>1745</v>
      </c>
      <c r="G434" t="s">
        <v>1746</v>
      </c>
      <c r="H434" t="s">
        <v>1864</v>
      </c>
      <c r="I434" t="s">
        <v>3110</v>
      </c>
      <c r="J434" s="428">
        <v>480.9</v>
      </c>
      <c r="K434" t="s">
        <v>557</v>
      </c>
      <c r="M434" s="174">
        <v>0.94399999999999995</v>
      </c>
      <c r="N434" s="174">
        <v>453.96959999999996</v>
      </c>
      <c r="O434" t="s">
        <v>6233</v>
      </c>
      <c r="P434" t="s">
        <v>1748</v>
      </c>
      <c r="Q434" s="172">
        <v>17</v>
      </c>
      <c r="R434">
        <v>480.9</v>
      </c>
      <c r="S434" t="s">
        <v>1894</v>
      </c>
      <c r="T434" t="s">
        <v>1751</v>
      </c>
      <c r="U434" t="s">
        <v>6478</v>
      </c>
      <c r="W434" s="250" t="s">
        <v>3499</v>
      </c>
      <c r="X434" s="250" t="s">
        <v>3504</v>
      </c>
    </row>
    <row r="435" spans="1:33" x14ac:dyDescent="0.25">
      <c r="A435" t="s">
        <v>1910</v>
      </c>
      <c r="B435" t="s">
        <v>1910</v>
      </c>
      <c r="C435" s="422" t="s">
        <v>1950</v>
      </c>
      <c r="D435" s="227">
        <v>2023</v>
      </c>
      <c r="E435" t="s">
        <v>3023</v>
      </c>
      <c r="F435" t="s">
        <v>1745</v>
      </c>
      <c r="G435" t="s">
        <v>1746</v>
      </c>
      <c r="H435" t="s">
        <v>1864</v>
      </c>
      <c r="I435" t="s">
        <v>3110</v>
      </c>
      <c r="J435" s="428">
        <v>14313</v>
      </c>
      <c r="K435" t="s">
        <v>586</v>
      </c>
      <c r="M435" s="174">
        <v>60</v>
      </c>
      <c r="N435" s="174">
        <v>858780</v>
      </c>
      <c r="O435" t="s">
        <v>6233</v>
      </c>
      <c r="P435" t="s">
        <v>6453</v>
      </c>
      <c r="Q435" s="172">
        <v>37</v>
      </c>
      <c r="R435">
        <v>14313</v>
      </c>
      <c r="S435" t="s">
        <v>1894</v>
      </c>
      <c r="T435" t="s">
        <v>6479</v>
      </c>
      <c r="U435" t="s">
        <v>6478</v>
      </c>
      <c r="W435" s="250" t="s">
        <v>3499</v>
      </c>
      <c r="X435" s="250" t="s">
        <v>3504</v>
      </c>
    </row>
    <row r="436" spans="1:33" x14ac:dyDescent="0.25">
      <c r="A436" t="s">
        <v>1910</v>
      </c>
      <c r="B436" t="s">
        <v>1910</v>
      </c>
      <c r="C436" s="422" t="s">
        <v>1950</v>
      </c>
      <c r="D436" s="227">
        <v>2023</v>
      </c>
      <c r="E436" t="s">
        <v>3024</v>
      </c>
      <c r="F436" t="s">
        <v>1745</v>
      </c>
      <c r="G436" t="s">
        <v>1746</v>
      </c>
      <c r="H436" t="s">
        <v>1864</v>
      </c>
      <c r="I436" t="s">
        <v>3110</v>
      </c>
      <c r="J436" s="428">
        <v>570</v>
      </c>
      <c r="K436" t="s">
        <v>586</v>
      </c>
      <c r="M436" s="174">
        <v>60</v>
      </c>
      <c r="N436" s="174">
        <v>34200</v>
      </c>
      <c r="O436" t="s">
        <v>6233</v>
      </c>
      <c r="P436" t="s">
        <v>6453</v>
      </c>
      <c r="Q436" s="172">
        <v>37</v>
      </c>
      <c r="R436">
        <v>570</v>
      </c>
      <c r="S436" t="s">
        <v>1894</v>
      </c>
      <c r="T436" t="s">
        <v>6479</v>
      </c>
      <c r="U436" t="s">
        <v>6478</v>
      </c>
      <c r="W436" s="250" t="s">
        <v>3499</v>
      </c>
      <c r="X436" s="250" t="s">
        <v>3504</v>
      </c>
    </row>
    <row r="437" spans="1:33" x14ac:dyDescent="0.25">
      <c r="A437" t="s">
        <v>1910</v>
      </c>
      <c r="B437" t="s">
        <v>1910</v>
      </c>
      <c r="C437" s="422" t="s">
        <v>1950</v>
      </c>
      <c r="D437" s="227">
        <v>2023</v>
      </c>
      <c r="E437" t="s">
        <v>1653</v>
      </c>
      <c r="F437" t="s">
        <v>1745</v>
      </c>
      <c r="G437" t="s">
        <v>1746</v>
      </c>
      <c r="H437" t="s">
        <v>1864</v>
      </c>
      <c r="I437" t="s">
        <v>3110</v>
      </c>
      <c r="J437" s="428">
        <v>335</v>
      </c>
      <c r="K437" t="s">
        <v>586</v>
      </c>
      <c r="M437" s="174">
        <v>45</v>
      </c>
      <c r="N437" s="174">
        <v>15075</v>
      </c>
      <c r="O437" t="s">
        <v>6233</v>
      </c>
      <c r="P437" t="s">
        <v>1748</v>
      </c>
      <c r="Q437" s="172">
        <v>17</v>
      </c>
      <c r="R437">
        <v>335</v>
      </c>
      <c r="S437" t="s">
        <v>1894</v>
      </c>
      <c r="T437" t="s">
        <v>1751</v>
      </c>
      <c r="U437" t="s">
        <v>6478</v>
      </c>
      <c r="W437" s="250" t="s">
        <v>3499</v>
      </c>
      <c r="X437" s="250" t="s">
        <v>3504</v>
      </c>
    </row>
    <row r="438" spans="1:33" x14ac:dyDescent="0.25">
      <c r="A438" t="s">
        <v>1910</v>
      </c>
      <c r="B438" t="s">
        <v>1910</v>
      </c>
      <c r="C438" s="422" t="s">
        <v>1950</v>
      </c>
      <c r="D438" s="227">
        <v>2023</v>
      </c>
      <c r="E438" t="s">
        <v>3025</v>
      </c>
      <c r="F438" t="s">
        <v>1745</v>
      </c>
      <c r="G438" t="s">
        <v>1746</v>
      </c>
      <c r="H438" t="s">
        <v>1864</v>
      </c>
      <c r="I438" t="s">
        <v>3110</v>
      </c>
      <c r="J438" s="428">
        <v>383</v>
      </c>
      <c r="K438" t="s">
        <v>586</v>
      </c>
      <c r="M438" s="174">
        <v>60</v>
      </c>
      <c r="N438" s="174">
        <v>22980</v>
      </c>
      <c r="O438" t="s">
        <v>6233</v>
      </c>
      <c r="P438" t="s">
        <v>6453</v>
      </c>
      <c r="Q438" s="172">
        <v>37</v>
      </c>
      <c r="R438">
        <v>383</v>
      </c>
      <c r="S438" t="s">
        <v>1894</v>
      </c>
      <c r="T438" t="s">
        <v>6479</v>
      </c>
      <c r="U438" t="s">
        <v>6478</v>
      </c>
      <c r="W438" s="250" t="s">
        <v>3499</v>
      </c>
      <c r="X438" s="250" t="s">
        <v>3504</v>
      </c>
    </row>
    <row r="439" spans="1:33" x14ac:dyDescent="0.25">
      <c r="A439" t="s">
        <v>1910</v>
      </c>
      <c r="B439" t="s">
        <v>1910</v>
      </c>
      <c r="C439" s="422" t="s">
        <v>1950</v>
      </c>
      <c r="D439" s="227">
        <v>2023</v>
      </c>
      <c r="E439" t="s">
        <v>3026</v>
      </c>
      <c r="F439" t="s">
        <v>1745</v>
      </c>
      <c r="G439" t="s">
        <v>6236</v>
      </c>
      <c r="H439" s="422" t="s">
        <v>3168</v>
      </c>
      <c r="I439" s="422" t="s">
        <v>3109</v>
      </c>
      <c r="J439" s="428">
        <v>328449.65999999997</v>
      </c>
      <c r="K439" t="s">
        <v>630</v>
      </c>
      <c r="M439" s="174">
        <v>1</v>
      </c>
      <c r="N439" s="174">
        <v>328449.65999999997</v>
      </c>
      <c r="O439" t="s">
        <v>6233</v>
      </c>
      <c r="P439" t="s">
        <v>1748</v>
      </c>
      <c r="Q439" s="172">
        <v>17</v>
      </c>
      <c r="R439">
        <v>328449.65999999997</v>
      </c>
      <c r="S439" t="s">
        <v>1894</v>
      </c>
      <c r="T439" t="s">
        <v>1751</v>
      </c>
      <c r="U439" t="s">
        <v>6478</v>
      </c>
      <c r="W439" s="250" t="s">
        <v>3499</v>
      </c>
      <c r="X439" s="250" t="s">
        <v>3504</v>
      </c>
    </row>
    <row r="440" spans="1:33" s="357" customFormat="1" hidden="1" x14ac:dyDescent="0.25">
      <c r="A440" s="357" t="s">
        <v>4668</v>
      </c>
      <c r="B440" s="357" t="s">
        <v>4668</v>
      </c>
      <c r="C440" s="357" t="s">
        <v>1950</v>
      </c>
      <c r="D440" s="357">
        <v>2023</v>
      </c>
      <c r="E440" s="357" t="s">
        <v>1681</v>
      </c>
      <c r="F440" s="357" t="s">
        <v>1745</v>
      </c>
      <c r="G440" s="357" t="s">
        <v>6452</v>
      </c>
      <c r="H440" s="357" t="s">
        <v>1864</v>
      </c>
      <c r="I440" s="357" t="s">
        <v>3110</v>
      </c>
      <c r="J440" s="493">
        <v>30</v>
      </c>
      <c r="K440" s="357" t="s">
        <v>586</v>
      </c>
      <c r="M440" s="590">
        <v>53</v>
      </c>
      <c r="N440" s="590">
        <v>1590</v>
      </c>
      <c r="O440" s="357" t="s">
        <v>1747</v>
      </c>
      <c r="P440" s="357" t="s">
        <v>3068</v>
      </c>
      <c r="Q440" s="591">
        <v>34.5</v>
      </c>
      <c r="S440" s="357" t="s">
        <v>3105</v>
      </c>
      <c r="T440" s="357" t="s">
        <v>6480</v>
      </c>
      <c r="U440" s="357" t="s">
        <v>6481</v>
      </c>
      <c r="V440" s="357" t="s">
        <v>6482</v>
      </c>
      <c r="W440" s="250" t="s">
        <v>3499</v>
      </c>
      <c r="X440" s="250" t="s">
        <v>3504</v>
      </c>
      <c r="AA440" s="592"/>
      <c r="AB440" s="592"/>
      <c r="AC440" s="592"/>
      <c r="AD440" s="592"/>
      <c r="AE440" s="592"/>
      <c r="AF440" s="592"/>
      <c r="AG440" s="592"/>
    </row>
    <row r="441" spans="1:33" s="357" customFormat="1" hidden="1" x14ac:dyDescent="0.25">
      <c r="A441" s="357" t="s">
        <v>4668</v>
      </c>
      <c r="B441" s="357" t="s">
        <v>4668</v>
      </c>
      <c r="C441" s="357" t="s">
        <v>1950</v>
      </c>
      <c r="D441" s="357">
        <v>2023</v>
      </c>
      <c r="E441" s="357" t="s">
        <v>1681</v>
      </c>
      <c r="F441" s="357" t="s">
        <v>1745</v>
      </c>
      <c r="G441" s="357" t="s">
        <v>6452</v>
      </c>
      <c r="H441" s="357" t="s">
        <v>1864</v>
      </c>
      <c r="I441" s="357" t="s">
        <v>3110</v>
      </c>
      <c r="J441" s="493">
        <v>30</v>
      </c>
      <c r="K441" s="357" t="s">
        <v>586</v>
      </c>
      <c r="M441" s="590">
        <v>53</v>
      </c>
      <c r="N441" s="590">
        <v>1590</v>
      </c>
      <c r="O441" s="357" t="s">
        <v>1747</v>
      </c>
      <c r="P441" s="357" t="s">
        <v>6453</v>
      </c>
      <c r="Q441" s="591">
        <v>0.8</v>
      </c>
      <c r="S441" s="357" t="s">
        <v>3105</v>
      </c>
      <c r="T441" s="357" t="s">
        <v>6483</v>
      </c>
      <c r="U441" s="357" t="s">
        <v>6481</v>
      </c>
      <c r="V441" s="357" t="s">
        <v>6482</v>
      </c>
      <c r="W441" s="250" t="s">
        <v>3499</v>
      </c>
      <c r="X441" s="250" t="s">
        <v>3504</v>
      </c>
      <c r="AA441" s="592"/>
      <c r="AB441" s="592"/>
      <c r="AC441" s="592"/>
      <c r="AD441" s="592"/>
      <c r="AE441" s="592"/>
      <c r="AF441" s="592"/>
      <c r="AG441" s="592"/>
    </row>
    <row r="442" spans="1:33" s="357" customFormat="1" hidden="1" x14ac:dyDescent="0.25">
      <c r="A442" s="357" t="s">
        <v>4668</v>
      </c>
      <c r="B442" s="357" t="s">
        <v>4668</v>
      </c>
      <c r="C442" s="357" t="s">
        <v>1950</v>
      </c>
      <c r="D442" s="357">
        <v>2023</v>
      </c>
      <c r="E442" s="357" t="s">
        <v>1681</v>
      </c>
      <c r="F442" s="357" t="s">
        <v>1745</v>
      </c>
      <c r="G442" s="357" t="s">
        <v>6452</v>
      </c>
      <c r="H442" s="357" t="s">
        <v>1864</v>
      </c>
      <c r="I442" s="357" t="s">
        <v>3110</v>
      </c>
      <c r="J442" s="493">
        <v>38</v>
      </c>
      <c r="K442" s="357" t="s">
        <v>586</v>
      </c>
      <c r="M442" s="590">
        <v>12</v>
      </c>
      <c r="N442" s="590">
        <v>456</v>
      </c>
      <c r="O442" s="357" t="s">
        <v>1747</v>
      </c>
      <c r="P442" s="357" t="s">
        <v>6453</v>
      </c>
      <c r="Q442" s="591">
        <v>18</v>
      </c>
      <c r="S442" s="357" t="s">
        <v>3105</v>
      </c>
      <c r="T442" s="357" t="s">
        <v>6483</v>
      </c>
      <c r="U442" s="357" t="s">
        <v>6481</v>
      </c>
      <c r="V442" s="357" t="s">
        <v>6484</v>
      </c>
      <c r="W442" s="250" t="s">
        <v>3499</v>
      </c>
      <c r="X442" s="250" t="s">
        <v>3504</v>
      </c>
      <c r="AA442" s="592"/>
      <c r="AB442" s="592"/>
      <c r="AC442" s="592"/>
      <c r="AD442" s="592"/>
      <c r="AE442" s="592"/>
      <c r="AF442" s="592"/>
      <c r="AG442" s="592"/>
    </row>
    <row r="443" spans="1:33" s="357" customFormat="1" hidden="1" x14ac:dyDescent="0.25">
      <c r="A443" s="357" t="s">
        <v>4668</v>
      </c>
      <c r="B443" s="357" t="s">
        <v>4668</v>
      </c>
      <c r="C443" s="357" t="s">
        <v>1950</v>
      </c>
      <c r="D443" s="357">
        <v>2023</v>
      </c>
      <c r="E443" s="357" t="s">
        <v>1681</v>
      </c>
      <c r="F443" s="357" t="s">
        <v>1745</v>
      </c>
      <c r="G443" s="357" t="s">
        <v>6452</v>
      </c>
      <c r="H443" s="357" t="s">
        <v>1864</v>
      </c>
      <c r="I443" s="357" t="s">
        <v>3110</v>
      </c>
      <c r="J443" s="493">
        <v>45</v>
      </c>
      <c r="K443" s="357" t="s">
        <v>586</v>
      </c>
      <c r="M443" s="590">
        <v>9</v>
      </c>
      <c r="N443" s="590">
        <v>405</v>
      </c>
      <c r="O443" s="357" t="s">
        <v>1747</v>
      </c>
      <c r="P443" s="357" t="s">
        <v>3068</v>
      </c>
      <c r="Q443" s="591">
        <v>34.5</v>
      </c>
      <c r="S443" s="357" t="s">
        <v>3105</v>
      </c>
      <c r="T443" s="357" t="s">
        <v>6480</v>
      </c>
      <c r="U443" s="357" t="s">
        <v>6481</v>
      </c>
      <c r="V443" s="357" t="s">
        <v>6485</v>
      </c>
      <c r="W443" s="250" t="s">
        <v>3499</v>
      </c>
      <c r="X443" s="250" t="s">
        <v>3504</v>
      </c>
      <c r="AA443" s="592"/>
      <c r="AB443" s="592"/>
      <c r="AC443" s="592"/>
      <c r="AD443" s="592"/>
      <c r="AE443" s="592"/>
      <c r="AF443" s="592"/>
      <c r="AG443" s="592"/>
    </row>
    <row r="444" spans="1:33" s="357" customFormat="1" hidden="1" x14ac:dyDescent="0.25">
      <c r="A444" s="357" t="s">
        <v>4668</v>
      </c>
      <c r="B444" s="357" t="s">
        <v>4668</v>
      </c>
      <c r="C444" s="357" t="s">
        <v>1950</v>
      </c>
      <c r="D444" s="357">
        <v>2023</v>
      </c>
      <c r="E444" s="357" t="s">
        <v>1681</v>
      </c>
      <c r="F444" s="357" t="s">
        <v>1745</v>
      </c>
      <c r="G444" s="357" t="s">
        <v>6452</v>
      </c>
      <c r="H444" s="357" t="s">
        <v>1864</v>
      </c>
      <c r="I444" s="357" t="s">
        <v>3110</v>
      </c>
      <c r="J444" s="493">
        <v>608</v>
      </c>
      <c r="K444" s="357" t="s">
        <v>586</v>
      </c>
      <c r="M444" s="590">
        <v>57</v>
      </c>
      <c r="N444" s="590">
        <v>34656</v>
      </c>
      <c r="O444" s="357" t="s">
        <v>1747</v>
      </c>
      <c r="P444" s="357" t="s">
        <v>3068</v>
      </c>
      <c r="Q444" s="591">
        <v>34.5</v>
      </c>
      <c r="S444" s="357" t="s">
        <v>3105</v>
      </c>
      <c r="T444" s="357" t="s">
        <v>6480</v>
      </c>
      <c r="U444" s="357" t="s">
        <v>6481</v>
      </c>
      <c r="V444" s="357" t="s">
        <v>6486</v>
      </c>
      <c r="W444" s="250" t="s">
        <v>3499</v>
      </c>
      <c r="X444" s="250" t="s">
        <v>3504</v>
      </c>
      <c r="AA444" s="592"/>
      <c r="AB444" s="592"/>
      <c r="AC444" s="592"/>
      <c r="AD444" s="592"/>
      <c r="AE444" s="592"/>
      <c r="AF444" s="592"/>
      <c r="AG444" s="592"/>
    </row>
    <row r="445" spans="1:33" s="357" customFormat="1" hidden="1" x14ac:dyDescent="0.25">
      <c r="A445" s="357" t="s">
        <v>4668</v>
      </c>
      <c r="B445" s="357" t="s">
        <v>4668</v>
      </c>
      <c r="C445" s="357" t="s">
        <v>1950</v>
      </c>
      <c r="D445" s="357">
        <v>2023</v>
      </c>
      <c r="E445" s="357" t="s">
        <v>1681</v>
      </c>
      <c r="F445" s="357" t="s">
        <v>1745</v>
      </c>
      <c r="G445" s="357" t="s">
        <v>6452</v>
      </c>
      <c r="H445" s="357" t="s">
        <v>1864</v>
      </c>
      <c r="I445" s="357" t="s">
        <v>3110</v>
      </c>
      <c r="J445" s="493">
        <v>108</v>
      </c>
      <c r="K445" s="357" t="s">
        <v>586</v>
      </c>
      <c r="M445" s="590">
        <v>20</v>
      </c>
      <c r="N445" s="590">
        <v>2160</v>
      </c>
      <c r="O445" s="357" t="s">
        <v>1747</v>
      </c>
      <c r="P445" s="357" t="s">
        <v>6453</v>
      </c>
      <c r="Q445" s="591">
        <v>18</v>
      </c>
      <c r="S445" s="357" t="s">
        <v>3105</v>
      </c>
      <c r="T445" s="357" t="s">
        <v>6483</v>
      </c>
      <c r="U445" s="357" t="s">
        <v>6481</v>
      </c>
      <c r="V445" s="357" t="s">
        <v>6487</v>
      </c>
      <c r="W445" s="250" t="s">
        <v>3499</v>
      </c>
      <c r="X445" s="250" t="s">
        <v>3504</v>
      </c>
      <c r="AA445" s="592"/>
      <c r="AB445" s="592"/>
      <c r="AC445" s="592"/>
      <c r="AD445" s="592"/>
      <c r="AE445" s="592"/>
      <c r="AF445" s="592"/>
      <c r="AG445" s="592"/>
    </row>
    <row r="446" spans="1:33" s="357" customFormat="1" hidden="1" x14ac:dyDescent="0.25">
      <c r="A446" s="357" t="s">
        <v>4668</v>
      </c>
      <c r="B446" s="357" t="s">
        <v>4668</v>
      </c>
      <c r="C446" s="357" t="s">
        <v>1950</v>
      </c>
      <c r="D446" s="357">
        <v>2023</v>
      </c>
      <c r="E446" s="357" t="s">
        <v>2982</v>
      </c>
      <c r="F446" s="357" t="s">
        <v>1745</v>
      </c>
      <c r="G446" s="357" t="s">
        <v>6452</v>
      </c>
      <c r="H446" s="357" t="s">
        <v>1864</v>
      </c>
      <c r="I446" s="357" t="s">
        <v>3110</v>
      </c>
      <c r="J446" s="493">
        <v>726</v>
      </c>
      <c r="K446" s="357" t="s">
        <v>586</v>
      </c>
      <c r="M446" s="590"/>
      <c r="N446" s="590"/>
      <c r="O446" s="357" t="s">
        <v>1747</v>
      </c>
      <c r="P446" s="357" t="s">
        <v>6454</v>
      </c>
      <c r="Q446" s="591">
        <v>7.7</v>
      </c>
      <c r="S446" s="357" t="s">
        <v>3105</v>
      </c>
      <c r="T446" s="357" t="s">
        <v>6488</v>
      </c>
      <c r="U446" s="357" t="s">
        <v>6481</v>
      </c>
      <c r="W446" s="250" t="s">
        <v>3499</v>
      </c>
      <c r="X446" s="250" t="s">
        <v>3504</v>
      </c>
      <c r="AA446" s="592"/>
      <c r="AB446" s="592"/>
      <c r="AC446" s="592"/>
      <c r="AD446" s="592"/>
      <c r="AE446" s="592"/>
      <c r="AF446" s="592"/>
      <c r="AG446" s="592"/>
    </row>
    <row r="447" spans="1:33" s="357" customFormat="1" hidden="1" x14ac:dyDescent="0.25">
      <c r="A447" s="357" t="s">
        <v>4668</v>
      </c>
      <c r="B447" s="357" t="s">
        <v>4668</v>
      </c>
      <c r="C447" s="357" t="s">
        <v>1950</v>
      </c>
      <c r="D447" s="357">
        <v>2023</v>
      </c>
      <c r="E447" s="357" t="s">
        <v>2982</v>
      </c>
      <c r="F447" s="357" t="s">
        <v>1745</v>
      </c>
      <c r="G447" s="357" t="s">
        <v>6452</v>
      </c>
      <c r="H447" s="357" t="s">
        <v>1864</v>
      </c>
      <c r="I447" s="357" t="s">
        <v>3110</v>
      </c>
      <c r="J447" s="493">
        <v>83</v>
      </c>
      <c r="K447" s="357" t="s">
        <v>586</v>
      </c>
      <c r="M447" s="590"/>
      <c r="N447" s="590"/>
      <c r="O447" s="357" t="s">
        <v>1747</v>
      </c>
      <c r="P447" s="357" t="s">
        <v>2853</v>
      </c>
      <c r="Q447" s="591">
        <v>0.45</v>
      </c>
      <c r="S447" s="357" t="s">
        <v>3105</v>
      </c>
      <c r="T447" s="357" t="s">
        <v>6489</v>
      </c>
      <c r="U447" s="357" t="s">
        <v>6481</v>
      </c>
      <c r="V447" s="357" t="s">
        <v>6490</v>
      </c>
      <c r="W447" s="250" t="s">
        <v>3499</v>
      </c>
      <c r="X447" s="250" t="s">
        <v>3504</v>
      </c>
      <c r="AA447" s="592"/>
      <c r="AB447" s="592"/>
      <c r="AC447" s="592"/>
      <c r="AD447" s="592"/>
      <c r="AE447" s="592"/>
      <c r="AF447" s="592"/>
      <c r="AG447" s="592"/>
    </row>
    <row r="448" spans="1:33" s="357" customFormat="1" hidden="1" x14ac:dyDescent="0.25">
      <c r="A448" s="357" t="s">
        <v>4668</v>
      </c>
      <c r="B448" s="357" t="s">
        <v>4668</v>
      </c>
      <c r="C448" s="357" t="s">
        <v>1950</v>
      </c>
      <c r="D448" s="357">
        <v>2023</v>
      </c>
      <c r="E448" s="357" t="s">
        <v>2982</v>
      </c>
      <c r="F448" s="357" t="s">
        <v>1745</v>
      </c>
      <c r="G448" s="357" t="s">
        <v>6452</v>
      </c>
      <c r="H448" s="357" t="s">
        <v>1864</v>
      </c>
      <c r="I448" s="357" t="s">
        <v>3110</v>
      </c>
      <c r="J448" s="493">
        <v>98</v>
      </c>
      <c r="K448" s="357" t="s">
        <v>586</v>
      </c>
      <c r="M448" s="590"/>
      <c r="N448" s="590"/>
      <c r="O448" s="357" t="s">
        <v>1747</v>
      </c>
      <c r="P448" s="357" t="s">
        <v>1748</v>
      </c>
      <c r="Q448" s="591">
        <v>15.3</v>
      </c>
      <c r="S448" s="357" t="s">
        <v>3105</v>
      </c>
      <c r="T448" s="357" t="s">
        <v>6491</v>
      </c>
      <c r="U448" s="357" t="s">
        <v>6481</v>
      </c>
      <c r="W448" s="250" t="s">
        <v>3499</v>
      </c>
      <c r="X448" s="250" t="s">
        <v>3504</v>
      </c>
      <c r="AA448" s="592"/>
      <c r="AB448" s="592"/>
      <c r="AC448" s="592"/>
      <c r="AD448" s="592"/>
      <c r="AE448" s="592"/>
      <c r="AF448" s="592"/>
      <c r="AG448" s="592"/>
    </row>
    <row r="449" spans="1:33" s="357" customFormat="1" hidden="1" x14ac:dyDescent="0.25">
      <c r="A449" s="357" t="s">
        <v>4668</v>
      </c>
      <c r="B449" s="357" t="s">
        <v>4668</v>
      </c>
      <c r="C449" s="357" t="s">
        <v>1950</v>
      </c>
      <c r="D449" s="357">
        <v>2023</v>
      </c>
      <c r="E449" s="357" t="s">
        <v>2982</v>
      </c>
      <c r="F449" s="357" t="s">
        <v>1745</v>
      </c>
      <c r="G449" s="357" t="s">
        <v>6452</v>
      </c>
      <c r="H449" s="357" t="s">
        <v>1864</v>
      </c>
      <c r="I449" s="357" t="s">
        <v>3110</v>
      </c>
      <c r="J449" s="493">
        <v>-2343</v>
      </c>
      <c r="K449" s="357" t="s">
        <v>586</v>
      </c>
      <c r="M449" s="590"/>
      <c r="N449" s="590"/>
      <c r="O449" s="357" t="s">
        <v>1747</v>
      </c>
      <c r="P449" s="357" t="s">
        <v>6455</v>
      </c>
      <c r="Q449" s="591">
        <v>51.2</v>
      </c>
      <c r="S449" s="357" t="s">
        <v>3105</v>
      </c>
      <c r="T449" s="357" t="s">
        <v>1659</v>
      </c>
      <c r="U449" s="357" t="s">
        <v>6481</v>
      </c>
      <c r="W449" s="250" t="s">
        <v>3499</v>
      </c>
      <c r="X449" s="250" t="s">
        <v>3504</v>
      </c>
      <c r="AA449" s="592"/>
      <c r="AB449" s="592"/>
      <c r="AC449" s="592"/>
      <c r="AD449" s="592"/>
      <c r="AE449" s="592"/>
      <c r="AF449" s="592"/>
      <c r="AG449" s="592"/>
    </row>
    <row r="450" spans="1:33" s="357" customFormat="1" hidden="1" x14ac:dyDescent="0.25">
      <c r="A450" s="357" t="s">
        <v>4668</v>
      </c>
      <c r="B450" s="357" t="s">
        <v>4668</v>
      </c>
      <c r="C450" s="357" t="s">
        <v>1950</v>
      </c>
      <c r="D450" s="357">
        <v>2023</v>
      </c>
      <c r="E450" s="357" t="s">
        <v>2982</v>
      </c>
      <c r="F450" s="357" t="s">
        <v>1745</v>
      </c>
      <c r="G450" s="357" t="s">
        <v>6452</v>
      </c>
      <c r="H450" s="357" t="s">
        <v>1864</v>
      </c>
      <c r="I450" s="357" t="s">
        <v>3110</v>
      </c>
      <c r="J450" s="493">
        <v>1436</v>
      </c>
      <c r="K450" s="357" t="s">
        <v>586</v>
      </c>
      <c r="M450" s="590"/>
      <c r="N450" s="590"/>
      <c r="O450" s="357" t="s">
        <v>1747</v>
      </c>
      <c r="P450" s="357" t="s">
        <v>3073</v>
      </c>
      <c r="Q450" s="591">
        <v>22.4</v>
      </c>
      <c r="S450" s="357" t="s">
        <v>3105</v>
      </c>
      <c r="T450" s="357" t="s">
        <v>6492</v>
      </c>
      <c r="U450" s="357" t="s">
        <v>6481</v>
      </c>
      <c r="V450" s="357" t="s">
        <v>3093</v>
      </c>
      <c r="W450" s="250" t="s">
        <v>3499</v>
      </c>
      <c r="X450" s="250" t="s">
        <v>3504</v>
      </c>
      <c r="AA450" s="592"/>
      <c r="AB450" s="592"/>
      <c r="AC450" s="592"/>
      <c r="AD450" s="592"/>
      <c r="AE450" s="592"/>
      <c r="AF450" s="592"/>
      <c r="AG450" s="592"/>
    </row>
    <row r="451" spans="1:33" s="357" customFormat="1" hidden="1" x14ac:dyDescent="0.25">
      <c r="A451" s="357" t="s">
        <v>4668</v>
      </c>
      <c r="B451" s="357" t="s">
        <v>4668</v>
      </c>
      <c r="C451" s="357" t="s">
        <v>1950</v>
      </c>
      <c r="D451" s="357">
        <v>2023</v>
      </c>
      <c r="E451" s="357" t="s">
        <v>2982</v>
      </c>
      <c r="F451" s="357" t="s">
        <v>1745</v>
      </c>
      <c r="G451" s="357" t="s">
        <v>6452</v>
      </c>
      <c r="H451" s="357" t="s">
        <v>1864</v>
      </c>
      <c r="I451" s="357" t="s">
        <v>3110</v>
      </c>
      <c r="J451" s="493">
        <v>357</v>
      </c>
      <c r="K451" s="357" t="s">
        <v>586</v>
      </c>
      <c r="M451" s="590"/>
      <c r="N451" s="590"/>
      <c r="O451" s="357" t="s">
        <v>1747</v>
      </c>
      <c r="P451" s="357" t="s">
        <v>3075</v>
      </c>
      <c r="Q451" s="591">
        <v>5.5</v>
      </c>
      <c r="S451" s="357" t="s">
        <v>3105</v>
      </c>
      <c r="T451" s="357" t="s">
        <v>6493</v>
      </c>
      <c r="U451" s="357" t="s">
        <v>6481</v>
      </c>
      <c r="V451" s="357" t="s">
        <v>3093</v>
      </c>
      <c r="W451" s="250" t="s">
        <v>3499</v>
      </c>
      <c r="X451" s="250" t="s">
        <v>3504</v>
      </c>
      <c r="AA451" s="592"/>
      <c r="AB451" s="592"/>
      <c r="AC451" s="592"/>
      <c r="AD451" s="592"/>
      <c r="AE451" s="592"/>
      <c r="AF451" s="592"/>
      <c r="AG451" s="592"/>
    </row>
    <row r="452" spans="1:33" hidden="1" x14ac:dyDescent="0.25">
      <c r="A452" t="s">
        <v>4668</v>
      </c>
      <c r="B452" t="s">
        <v>4668</v>
      </c>
      <c r="C452" s="422" t="s">
        <v>1950</v>
      </c>
      <c r="D452" s="227">
        <v>2023</v>
      </c>
      <c r="E452" t="s">
        <v>1655</v>
      </c>
      <c r="F452" t="s">
        <v>1745</v>
      </c>
      <c r="G452" t="s">
        <v>1746</v>
      </c>
      <c r="H452" t="s">
        <v>1864</v>
      </c>
      <c r="I452" t="s">
        <v>3110</v>
      </c>
      <c r="J452" s="428">
        <v>386</v>
      </c>
      <c r="K452" t="s">
        <v>586</v>
      </c>
      <c r="L452">
        <v>4</v>
      </c>
      <c r="O452" t="s">
        <v>1747</v>
      </c>
      <c r="P452" t="s">
        <v>3073</v>
      </c>
      <c r="Q452" s="172">
        <v>22.4</v>
      </c>
      <c r="R452" s="422">
        <f>Q452*J452*50</f>
        <v>432320</v>
      </c>
      <c r="S452" s="422" t="s">
        <v>3105</v>
      </c>
      <c r="T452" t="s">
        <v>6492</v>
      </c>
      <c r="U452" t="s">
        <v>6481</v>
      </c>
      <c r="V452" t="s">
        <v>6494</v>
      </c>
      <c r="W452" s="250" t="s">
        <v>3499</v>
      </c>
      <c r="X452" s="250" t="s">
        <v>3504</v>
      </c>
    </row>
    <row r="453" spans="1:33" hidden="1" x14ac:dyDescent="0.25">
      <c r="A453" t="s">
        <v>4668</v>
      </c>
      <c r="B453" t="s">
        <v>4668</v>
      </c>
      <c r="C453" s="422" t="s">
        <v>1950</v>
      </c>
      <c r="D453" s="227">
        <v>2023</v>
      </c>
      <c r="E453" t="s">
        <v>1655</v>
      </c>
      <c r="F453" t="s">
        <v>1745</v>
      </c>
      <c r="G453" t="s">
        <v>1746</v>
      </c>
      <c r="H453" t="s">
        <v>1864</v>
      </c>
      <c r="I453" t="s">
        <v>3110</v>
      </c>
      <c r="J453" s="428">
        <v>38</v>
      </c>
      <c r="K453" t="s">
        <v>586</v>
      </c>
      <c r="L453">
        <v>4</v>
      </c>
      <c r="O453" t="s">
        <v>1747</v>
      </c>
      <c r="P453" t="s">
        <v>6456</v>
      </c>
      <c r="Q453" s="172">
        <v>7.5</v>
      </c>
      <c r="R453">
        <f>Q453*J453/L453</f>
        <v>71.25</v>
      </c>
      <c r="S453" t="s">
        <v>3105</v>
      </c>
      <c r="T453" t="s">
        <v>6495</v>
      </c>
      <c r="U453" t="s">
        <v>6481</v>
      </c>
      <c r="W453" s="250" t="s">
        <v>3499</v>
      </c>
      <c r="X453" s="250" t="s">
        <v>3504</v>
      </c>
    </row>
    <row r="454" spans="1:33" hidden="1" x14ac:dyDescent="0.25">
      <c r="A454" t="s">
        <v>4668</v>
      </c>
      <c r="B454" t="s">
        <v>4668</v>
      </c>
      <c r="C454" s="422" t="s">
        <v>1950</v>
      </c>
      <c r="D454" s="227">
        <v>2023</v>
      </c>
      <c r="E454" t="s">
        <v>1655</v>
      </c>
      <c r="F454" t="s">
        <v>1745</v>
      </c>
      <c r="G454" t="s">
        <v>1746</v>
      </c>
      <c r="H454" t="s">
        <v>1864</v>
      </c>
      <c r="I454" t="s">
        <v>3110</v>
      </c>
      <c r="J454" s="428">
        <v>15</v>
      </c>
      <c r="K454" t="s">
        <v>586</v>
      </c>
      <c r="L454">
        <v>8</v>
      </c>
      <c r="O454" t="s">
        <v>1747</v>
      </c>
      <c r="P454" t="s">
        <v>6457</v>
      </c>
      <c r="Q454" s="172">
        <v>315</v>
      </c>
      <c r="R454" s="422">
        <f>Q454*J454/L454</f>
        <v>590.625</v>
      </c>
      <c r="S454" t="s">
        <v>3105</v>
      </c>
      <c r="T454" t="s">
        <v>6496</v>
      </c>
      <c r="U454" t="s">
        <v>6481</v>
      </c>
      <c r="W454" s="250" t="s">
        <v>3499</v>
      </c>
      <c r="X454" s="250" t="s">
        <v>3504</v>
      </c>
    </row>
    <row r="455" spans="1:33" hidden="1" x14ac:dyDescent="0.25">
      <c r="A455" t="s">
        <v>4668</v>
      </c>
      <c r="B455" t="s">
        <v>4668</v>
      </c>
      <c r="C455" s="422" t="s">
        <v>1950</v>
      </c>
      <c r="D455" s="227">
        <v>2023</v>
      </c>
      <c r="E455" t="s">
        <v>1653</v>
      </c>
      <c r="F455" t="s">
        <v>1745</v>
      </c>
      <c r="G455" t="s">
        <v>1746</v>
      </c>
      <c r="H455" t="s">
        <v>1864</v>
      </c>
      <c r="I455" t="s">
        <v>3110</v>
      </c>
      <c r="J455" s="428">
        <v>76</v>
      </c>
      <c r="K455" t="s">
        <v>586</v>
      </c>
      <c r="L455">
        <v>4</v>
      </c>
      <c r="M455" s="174">
        <v>57</v>
      </c>
      <c r="N455" s="174">
        <v>4332</v>
      </c>
      <c r="O455" t="s">
        <v>1747</v>
      </c>
      <c r="P455" t="s">
        <v>3073</v>
      </c>
      <c r="Q455" s="172">
        <v>22.4</v>
      </c>
      <c r="R455">
        <f>Q455*N455</f>
        <v>97036.799999999988</v>
      </c>
      <c r="S455" t="s">
        <v>1894</v>
      </c>
      <c r="T455" t="s">
        <v>6492</v>
      </c>
      <c r="U455" t="s">
        <v>6481</v>
      </c>
      <c r="V455" t="s">
        <v>6494</v>
      </c>
      <c r="W455" s="250" t="s">
        <v>3499</v>
      </c>
      <c r="X455" s="250" t="s">
        <v>3504</v>
      </c>
    </row>
    <row r="456" spans="1:33" s="357" customFormat="1" hidden="1" x14ac:dyDescent="0.25">
      <c r="A456" s="357" t="s">
        <v>4668</v>
      </c>
      <c r="B456" s="357" t="s">
        <v>4668</v>
      </c>
      <c r="C456" s="357" t="s">
        <v>1950</v>
      </c>
      <c r="D456" s="357">
        <v>2023</v>
      </c>
      <c r="E456" s="357" t="s">
        <v>1653</v>
      </c>
      <c r="F456" s="357" t="s">
        <v>1745</v>
      </c>
      <c r="G456" s="357" t="s">
        <v>6452</v>
      </c>
      <c r="H456" s="357" t="s">
        <v>1864</v>
      </c>
      <c r="I456" s="357" t="s">
        <v>3110</v>
      </c>
      <c r="J456" s="493">
        <v>3</v>
      </c>
      <c r="K456" s="357" t="s">
        <v>586</v>
      </c>
      <c r="M456" s="590">
        <v>57</v>
      </c>
      <c r="N456" s="590">
        <v>171</v>
      </c>
      <c r="O456" s="357" t="s">
        <v>1747</v>
      </c>
      <c r="P456" s="357" t="s">
        <v>6456</v>
      </c>
      <c r="Q456" s="591">
        <v>7.5</v>
      </c>
      <c r="S456" s="357" t="s">
        <v>3105</v>
      </c>
      <c r="T456" s="357" t="s">
        <v>6495</v>
      </c>
      <c r="U456" s="357" t="s">
        <v>6481</v>
      </c>
      <c r="W456" s="250" t="s">
        <v>3499</v>
      </c>
      <c r="X456" s="250" t="s">
        <v>3504</v>
      </c>
      <c r="AA456" s="592"/>
      <c r="AB456" s="592"/>
      <c r="AC456" s="592"/>
      <c r="AD456" s="592"/>
      <c r="AE456" s="592"/>
      <c r="AF456" s="592"/>
      <c r="AG456" s="592"/>
    </row>
    <row r="457" spans="1:33" s="357" customFormat="1" hidden="1" x14ac:dyDescent="0.25">
      <c r="A457" s="357" t="s">
        <v>4668</v>
      </c>
      <c r="B457" s="357" t="s">
        <v>4668</v>
      </c>
      <c r="C457" s="357" t="s">
        <v>1950</v>
      </c>
      <c r="D457" s="357">
        <v>2023</v>
      </c>
      <c r="E457" s="357" t="s">
        <v>1653</v>
      </c>
      <c r="F457" s="357" t="s">
        <v>1745</v>
      </c>
      <c r="G457" s="357" t="s">
        <v>6452</v>
      </c>
      <c r="H457" s="357" t="s">
        <v>1864</v>
      </c>
      <c r="I457" s="357" t="s">
        <v>3110</v>
      </c>
      <c r="J457" s="493">
        <v>22</v>
      </c>
      <c r="K457" s="357" t="s">
        <v>586</v>
      </c>
      <c r="M457" s="590">
        <v>11</v>
      </c>
      <c r="N457" s="590">
        <v>242</v>
      </c>
      <c r="O457" s="357" t="s">
        <v>1747</v>
      </c>
      <c r="P457" s="357" t="s">
        <v>3073</v>
      </c>
      <c r="Q457" s="591">
        <v>22.4</v>
      </c>
      <c r="S457" s="357" t="s">
        <v>3105</v>
      </c>
      <c r="T457" s="357" t="s">
        <v>6492</v>
      </c>
      <c r="U457" s="357" t="s">
        <v>6481</v>
      </c>
      <c r="V457" s="357" t="s">
        <v>3093</v>
      </c>
      <c r="W457" s="250" t="s">
        <v>3499</v>
      </c>
      <c r="X457" s="250" t="s">
        <v>3504</v>
      </c>
      <c r="AA457" s="592"/>
      <c r="AB457" s="592"/>
      <c r="AC457" s="592"/>
      <c r="AD457" s="592"/>
      <c r="AE457" s="592"/>
      <c r="AF457" s="592"/>
      <c r="AG457" s="592"/>
    </row>
    <row r="458" spans="1:33" s="357" customFormat="1" hidden="1" x14ac:dyDescent="0.25">
      <c r="A458" s="357" t="s">
        <v>4668</v>
      </c>
      <c r="B458" s="357" t="s">
        <v>4668</v>
      </c>
      <c r="C458" s="357" t="s">
        <v>1950</v>
      </c>
      <c r="D458" s="357">
        <v>2023</v>
      </c>
      <c r="E458" s="357" t="s">
        <v>2983</v>
      </c>
      <c r="F458" s="357" t="s">
        <v>1745</v>
      </c>
      <c r="G458" s="357" t="s">
        <v>6452</v>
      </c>
      <c r="H458" s="357" t="s">
        <v>1864</v>
      </c>
      <c r="I458" s="357" t="s">
        <v>3110</v>
      </c>
      <c r="J458" s="493">
        <v>4800</v>
      </c>
      <c r="K458" s="357" t="s">
        <v>586</v>
      </c>
      <c r="M458" s="590">
        <v>5.0000000000000001E-3</v>
      </c>
      <c r="N458" s="590">
        <v>24</v>
      </c>
      <c r="O458" s="357" t="s">
        <v>1747</v>
      </c>
      <c r="P458" s="357" t="s">
        <v>3075</v>
      </c>
      <c r="Q458" s="591">
        <v>5.5</v>
      </c>
      <c r="S458" s="357" t="s">
        <v>3105</v>
      </c>
      <c r="T458" s="357" t="s">
        <v>3096</v>
      </c>
      <c r="U458" s="357" t="s">
        <v>6481</v>
      </c>
      <c r="V458" s="357" t="s">
        <v>6497</v>
      </c>
      <c r="W458" s="250" t="s">
        <v>3499</v>
      </c>
      <c r="X458" s="250" t="s">
        <v>3504</v>
      </c>
      <c r="AA458" s="592"/>
      <c r="AB458" s="592"/>
      <c r="AC458" s="592"/>
      <c r="AD458" s="592"/>
      <c r="AE458" s="592"/>
      <c r="AF458" s="592"/>
      <c r="AG458" s="592"/>
    </row>
    <row r="459" spans="1:33" s="357" customFormat="1" hidden="1" x14ac:dyDescent="0.25">
      <c r="A459" s="357" t="s">
        <v>4668</v>
      </c>
      <c r="B459" s="357" t="s">
        <v>4668</v>
      </c>
      <c r="C459" s="357" t="s">
        <v>1950</v>
      </c>
      <c r="D459" s="357">
        <v>2023</v>
      </c>
      <c r="E459" s="357" t="s">
        <v>2983</v>
      </c>
      <c r="F459" s="357" t="s">
        <v>1745</v>
      </c>
      <c r="G459" s="357" t="s">
        <v>6452</v>
      </c>
      <c r="H459" s="357" t="s">
        <v>1864</v>
      </c>
      <c r="I459" s="357" t="s">
        <v>3110</v>
      </c>
      <c r="J459" s="493">
        <v>2055</v>
      </c>
      <c r="K459" s="357" t="s">
        <v>586</v>
      </c>
      <c r="M459" s="590">
        <v>5.0000000000000001E-3</v>
      </c>
      <c r="N459" s="590">
        <v>10.275</v>
      </c>
      <c r="O459" s="357" t="s">
        <v>1747</v>
      </c>
      <c r="P459" s="357" t="s">
        <v>6458</v>
      </c>
      <c r="Q459" s="591">
        <v>11</v>
      </c>
      <c r="S459" s="357" t="s">
        <v>3105</v>
      </c>
      <c r="T459" s="357" t="s">
        <v>6498</v>
      </c>
      <c r="U459" s="357" t="s">
        <v>6481</v>
      </c>
      <c r="V459" s="357" t="s">
        <v>6499</v>
      </c>
      <c r="W459" s="250" t="s">
        <v>3499</v>
      </c>
      <c r="X459" s="250" t="s">
        <v>3504</v>
      </c>
      <c r="AA459" s="592"/>
      <c r="AB459" s="592"/>
      <c r="AC459" s="592"/>
      <c r="AD459" s="592"/>
      <c r="AE459" s="592"/>
      <c r="AF459" s="592"/>
      <c r="AG459" s="592"/>
    </row>
    <row r="460" spans="1:33" s="357" customFormat="1" hidden="1" x14ac:dyDescent="0.25">
      <c r="A460" s="357" t="s">
        <v>4668</v>
      </c>
      <c r="B460" s="357" t="s">
        <v>4668</v>
      </c>
      <c r="C460" s="357" t="s">
        <v>1950</v>
      </c>
      <c r="D460" s="357">
        <v>2023</v>
      </c>
      <c r="E460" s="357" t="s">
        <v>2983</v>
      </c>
      <c r="F460" s="357" t="s">
        <v>1745</v>
      </c>
      <c r="G460" s="357" t="s">
        <v>6452</v>
      </c>
      <c r="H460" s="357" t="s">
        <v>1864</v>
      </c>
      <c r="I460" s="357" t="s">
        <v>3110</v>
      </c>
      <c r="J460" s="493">
        <v>1525</v>
      </c>
      <c r="K460" s="357" t="s">
        <v>586</v>
      </c>
      <c r="M460" s="590">
        <v>5.0000000000000001E-3</v>
      </c>
      <c r="N460" s="590">
        <v>7.625</v>
      </c>
      <c r="O460" s="357" t="s">
        <v>1747</v>
      </c>
      <c r="P460" s="357" t="s">
        <v>6459</v>
      </c>
      <c r="Q460" s="591">
        <v>4.4000000000000004</v>
      </c>
      <c r="S460" s="357" t="s">
        <v>3105</v>
      </c>
      <c r="T460" s="357" t="s">
        <v>6500</v>
      </c>
      <c r="U460" s="357" t="s">
        <v>6481</v>
      </c>
      <c r="V460" s="357" t="s">
        <v>6499</v>
      </c>
      <c r="W460" s="250" t="s">
        <v>3499</v>
      </c>
      <c r="X460" s="250" t="s">
        <v>3504</v>
      </c>
      <c r="AA460" s="592"/>
      <c r="AB460" s="592"/>
      <c r="AC460" s="592"/>
      <c r="AD460" s="592"/>
      <c r="AE460" s="592"/>
      <c r="AF460" s="592"/>
      <c r="AG460" s="592"/>
    </row>
    <row r="461" spans="1:33" s="357" customFormat="1" hidden="1" x14ac:dyDescent="0.25">
      <c r="A461" s="357" t="s">
        <v>4668</v>
      </c>
      <c r="B461" s="357" t="s">
        <v>4668</v>
      </c>
      <c r="C461" s="357" t="s">
        <v>1950</v>
      </c>
      <c r="D461" s="357">
        <v>2023</v>
      </c>
      <c r="E461" s="357" t="s">
        <v>2983</v>
      </c>
      <c r="F461" s="357" t="s">
        <v>1745</v>
      </c>
      <c r="G461" s="357" t="s">
        <v>6452</v>
      </c>
      <c r="H461" s="357" t="s">
        <v>1864</v>
      </c>
      <c r="I461" s="357" t="s">
        <v>3110</v>
      </c>
      <c r="J461" s="493">
        <v>207</v>
      </c>
      <c r="K461" s="357" t="s">
        <v>557</v>
      </c>
      <c r="M461" s="590"/>
      <c r="N461" s="590"/>
      <c r="O461" s="357" t="s">
        <v>1747</v>
      </c>
      <c r="P461" s="357" t="s">
        <v>6458</v>
      </c>
      <c r="Q461" s="591">
        <v>17.3</v>
      </c>
      <c r="S461" s="357" t="s">
        <v>3105</v>
      </c>
      <c r="T461" s="357" t="s">
        <v>6501</v>
      </c>
      <c r="U461" s="357" t="s">
        <v>6481</v>
      </c>
      <c r="V461" s="357" t="s">
        <v>6502</v>
      </c>
      <c r="W461" s="250" t="s">
        <v>3499</v>
      </c>
      <c r="X461" s="250" t="s">
        <v>3504</v>
      </c>
      <c r="AA461" s="592"/>
      <c r="AB461" s="592"/>
      <c r="AC461" s="592"/>
      <c r="AD461" s="592"/>
      <c r="AE461" s="592"/>
      <c r="AF461" s="592"/>
      <c r="AG461" s="592"/>
    </row>
    <row r="462" spans="1:33" s="357" customFormat="1" hidden="1" x14ac:dyDescent="0.25">
      <c r="A462" s="357" t="s">
        <v>4668</v>
      </c>
      <c r="B462" s="357" t="s">
        <v>4668</v>
      </c>
      <c r="C462" s="357" t="s">
        <v>1950</v>
      </c>
      <c r="D462" s="357">
        <v>2023</v>
      </c>
      <c r="E462" s="357" t="s">
        <v>6362</v>
      </c>
      <c r="F462" s="357" t="s">
        <v>1745</v>
      </c>
      <c r="G462" s="357" t="s">
        <v>6452</v>
      </c>
      <c r="H462" s="357" t="s">
        <v>1864</v>
      </c>
      <c r="I462" s="357" t="s">
        <v>3110</v>
      </c>
      <c r="J462" s="493">
        <v>4</v>
      </c>
      <c r="K462" s="357" t="s">
        <v>586</v>
      </c>
      <c r="M462" s="590">
        <v>6.15</v>
      </c>
      <c r="N462" s="590">
        <v>24.6</v>
      </c>
      <c r="O462" s="357" t="s">
        <v>1747</v>
      </c>
      <c r="P462" s="357" t="s">
        <v>6460</v>
      </c>
      <c r="Q462" s="591">
        <v>14.3</v>
      </c>
      <c r="S462" s="357" t="s">
        <v>3105</v>
      </c>
      <c r="T462" s="357" t="s">
        <v>6503</v>
      </c>
      <c r="U462" s="357" t="s">
        <v>6481</v>
      </c>
      <c r="V462" s="357" t="s">
        <v>6504</v>
      </c>
      <c r="W462" s="250" t="s">
        <v>3499</v>
      </c>
      <c r="X462" s="250" t="s">
        <v>3504</v>
      </c>
      <c r="AA462" s="592"/>
      <c r="AB462" s="592"/>
      <c r="AC462" s="592"/>
      <c r="AD462" s="592"/>
      <c r="AE462" s="592"/>
      <c r="AF462" s="592"/>
      <c r="AG462" s="592"/>
    </row>
    <row r="463" spans="1:33" s="357" customFormat="1" hidden="1" x14ac:dyDescent="0.25">
      <c r="A463" s="357" t="s">
        <v>4668</v>
      </c>
      <c r="B463" s="357" t="s">
        <v>4668</v>
      </c>
      <c r="C463" s="357" t="s">
        <v>1950</v>
      </c>
      <c r="D463" s="357">
        <v>2023</v>
      </c>
      <c r="E463" s="357" t="s">
        <v>6362</v>
      </c>
      <c r="F463" s="357" t="s">
        <v>1745</v>
      </c>
      <c r="G463" s="357" t="s">
        <v>6452</v>
      </c>
      <c r="H463" s="357" t="s">
        <v>1864</v>
      </c>
      <c r="I463" s="357" t="s">
        <v>3110</v>
      </c>
      <c r="J463" s="493">
        <v>6</v>
      </c>
      <c r="K463" s="357" t="s">
        <v>586</v>
      </c>
      <c r="M463" s="590">
        <v>6.2</v>
      </c>
      <c r="N463" s="590">
        <v>37.200000000000003</v>
      </c>
      <c r="O463" s="357" t="s">
        <v>1747</v>
      </c>
      <c r="P463" s="357" t="s">
        <v>3066</v>
      </c>
      <c r="Q463" s="591">
        <v>6.1</v>
      </c>
      <c r="S463" s="357" t="s">
        <v>3105</v>
      </c>
      <c r="T463" s="357" t="s">
        <v>6505</v>
      </c>
      <c r="U463" s="357" t="s">
        <v>6481</v>
      </c>
      <c r="V463" s="357" t="s">
        <v>6504</v>
      </c>
      <c r="W463" s="250" t="s">
        <v>3499</v>
      </c>
      <c r="X463" s="250" t="s">
        <v>3504</v>
      </c>
      <c r="AA463" s="592"/>
      <c r="AB463" s="592"/>
      <c r="AC463" s="592"/>
      <c r="AD463" s="592"/>
      <c r="AE463" s="592"/>
      <c r="AF463" s="592"/>
      <c r="AG463" s="592"/>
    </row>
    <row r="464" spans="1:33" s="357" customFormat="1" hidden="1" x14ac:dyDescent="0.25">
      <c r="A464" s="357" t="s">
        <v>4668</v>
      </c>
      <c r="B464" s="357" t="s">
        <v>4668</v>
      </c>
      <c r="C464" s="357" t="s">
        <v>1950</v>
      </c>
      <c r="D464" s="357">
        <v>2023</v>
      </c>
      <c r="E464" s="357" t="s">
        <v>6451</v>
      </c>
      <c r="F464" s="357" t="s">
        <v>1745</v>
      </c>
      <c r="G464" s="357" t="s">
        <v>6452</v>
      </c>
      <c r="H464" s="357" t="s">
        <v>1864</v>
      </c>
      <c r="I464" s="357" t="s">
        <v>3110</v>
      </c>
      <c r="J464" s="493">
        <v>232</v>
      </c>
      <c r="K464" s="357" t="s">
        <v>630</v>
      </c>
      <c r="M464" s="590"/>
      <c r="N464" s="590"/>
      <c r="O464" s="357" t="s">
        <v>1747</v>
      </c>
      <c r="P464" s="357" t="s">
        <v>3066</v>
      </c>
      <c r="Q464" s="591">
        <v>6.1</v>
      </c>
      <c r="S464" s="357" t="s">
        <v>3105</v>
      </c>
      <c r="T464" s="357" t="s">
        <v>6505</v>
      </c>
      <c r="U464" s="357" t="s">
        <v>6481</v>
      </c>
      <c r="V464" s="357" t="s">
        <v>6506</v>
      </c>
      <c r="W464" s="250" t="s">
        <v>3499</v>
      </c>
      <c r="X464" s="250" t="s">
        <v>3504</v>
      </c>
      <c r="AA464" s="592"/>
      <c r="AB464" s="592"/>
      <c r="AC464" s="592"/>
      <c r="AD464" s="592"/>
      <c r="AE464" s="592"/>
      <c r="AF464" s="592"/>
      <c r="AG464" s="592"/>
    </row>
    <row r="465" spans="1:33" s="357" customFormat="1" hidden="1" x14ac:dyDescent="0.25">
      <c r="A465" s="357" t="s">
        <v>4668</v>
      </c>
      <c r="B465" s="357" t="s">
        <v>4668</v>
      </c>
      <c r="C465" s="357" t="s">
        <v>1950</v>
      </c>
      <c r="D465" s="357">
        <v>2023</v>
      </c>
      <c r="E465" s="357" t="s">
        <v>6451</v>
      </c>
      <c r="F465" s="357" t="s">
        <v>1745</v>
      </c>
      <c r="G465" s="357" t="s">
        <v>6452</v>
      </c>
      <c r="H465" s="357" t="s">
        <v>1864</v>
      </c>
      <c r="I465" s="357" t="s">
        <v>3110</v>
      </c>
      <c r="J465" s="493">
        <v>133</v>
      </c>
      <c r="K465" s="357" t="s">
        <v>630</v>
      </c>
      <c r="M465" s="590"/>
      <c r="N465" s="590"/>
      <c r="O465" s="357" t="s">
        <v>1747</v>
      </c>
      <c r="P465" s="357" t="s">
        <v>6458</v>
      </c>
      <c r="Q465" s="591">
        <v>11</v>
      </c>
      <c r="S465" s="357" t="s">
        <v>3105</v>
      </c>
      <c r="T465" s="357" t="s">
        <v>6498</v>
      </c>
      <c r="U465" s="357" t="s">
        <v>6481</v>
      </c>
      <c r="V465" s="357" t="s">
        <v>6507</v>
      </c>
      <c r="W465" s="250" t="s">
        <v>3499</v>
      </c>
      <c r="X465" s="250" t="s">
        <v>3504</v>
      </c>
      <c r="AA465" s="592"/>
      <c r="AB465" s="592"/>
      <c r="AC465" s="592"/>
      <c r="AD465" s="592"/>
      <c r="AE465" s="592"/>
      <c r="AF465" s="592"/>
      <c r="AG465" s="592"/>
    </row>
    <row r="466" spans="1:33" s="357" customFormat="1" hidden="1" x14ac:dyDescent="0.25">
      <c r="A466" s="357" t="s">
        <v>4668</v>
      </c>
      <c r="B466" s="357" t="s">
        <v>4668</v>
      </c>
      <c r="C466" s="357" t="s">
        <v>1950</v>
      </c>
      <c r="D466" s="357">
        <v>2023</v>
      </c>
      <c r="E466" s="357" t="s">
        <v>6451</v>
      </c>
      <c r="F466" s="357" t="s">
        <v>1745</v>
      </c>
      <c r="G466" s="357" t="s">
        <v>6452</v>
      </c>
      <c r="H466" s="357" t="s">
        <v>1864</v>
      </c>
      <c r="I466" s="357" t="s">
        <v>3110</v>
      </c>
      <c r="J466" s="493">
        <v>170</v>
      </c>
      <c r="K466" s="357" t="s">
        <v>630</v>
      </c>
      <c r="M466" s="590"/>
      <c r="N466" s="590"/>
      <c r="O466" s="357" t="s">
        <v>1747</v>
      </c>
      <c r="P466" s="357" t="s">
        <v>6461</v>
      </c>
      <c r="Q466" s="591">
        <v>10.1</v>
      </c>
      <c r="S466" s="357" t="s">
        <v>3105</v>
      </c>
      <c r="T466" s="357" t="s">
        <v>6508</v>
      </c>
      <c r="U466" s="357" t="s">
        <v>6481</v>
      </c>
      <c r="V466" s="357" t="s">
        <v>6509</v>
      </c>
      <c r="W466" s="250" t="s">
        <v>3499</v>
      </c>
      <c r="X466" s="250" t="s">
        <v>3504</v>
      </c>
      <c r="AA466" s="592"/>
      <c r="AB466" s="592"/>
      <c r="AC466" s="592"/>
      <c r="AD466" s="592"/>
      <c r="AE466" s="592"/>
      <c r="AF466" s="592"/>
      <c r="AG466" s="592"/>
    </row>
    <row r="467" spans="1:33" s="357" customFormat="1" hidden="1" x14ac:dyDescent="0.25">
      <c r="A467" s="357" t="s">
        <v>4668</v>
      </c>
      <c r="B467" s="357" t="s">
        <v>4668</v>
      </c>
      <c r="C467" s="357" t="s">
        <v>1950</v>
      </c>
      <c r="D467" s="357">
        <v>2023</v>
      </c>
      <c r="E467" s="357" t="s">
        <v>6451</v>
      </c>
      <c r="F467" s="357" t="s">
        <v>1745</v>
      </c>
      <c r="G467" s="357" t="s">
        <v>6452</v>
      </c>
      <c r="H467" s="357" t="s">
        <v>1864</v>
      </c>
      <c r="I467" s="357" t="s">
        <v>3110</v>
      </c>
      <c r="J467" s="493">
        <v>2506</v>
      </c>
      <c r="K467" s="357" t="s">
        <v>630</v>
      </c>
      <c r="M467" s="590"/>
      <c r="N467" s="590"/>
      <c r="O467" s="357" t="s">
        <v>1747</v>
      </c>
      <c r="P467" s="357" t="s">
        <v>6456</v>
      </c>
      <c r="Q467" s="591">
        <v>7.5</v>
      </c>
      <c r="S467" s="357" t="s">
        <v>3105</v>
      </c>
      <c r="T467" s="357" t="s">
        <v>6495</v>
      </c>
      <c r="U467" s="357" t="s">
        <v>6481</v>
      </c>
      <c r="V467" s="357" t="s">
        <v>6510</v>
      </c>
      <c r="W467" s="250" t="s">
        <v>3499</v>
      </c>
      <c r="X467" s="250" t="s">
        <v>3504</v>
      </c>
      <c r="AA467" s="592"/>
      <c r="AB467" s="592"/>
      <c r="AC467" s="592"/>
      <c r="AD467" s="592"/>
      <c r="AE467" s="592"/>
      <c r="AF467" s="592"/>
      <c r="AG467" s="592"/>
    </row>
    <row r="468" spans="1:33" s="357" customFormat="1" hidden="1" x14ac:dyDescent="0.25">
      <c r="A468" s="357" t="s">
        <v>4668</v>
      </c>
      <c r="B468" s="357" t="s">
        <v>4668</v>
      </c>
      <c r="C468" s="357" t="s">
        <v>1950</v>
      </c>
      <c r="D468" s="357">
        <v>2023</v>
      </c>
      <c r="E468" s="357" t="s">
        <v>6451</v>
      </c>
      <c r="F468" s="357" t="s">
        <v>1745</v>
      </c>
      <c r="G468" s="357" t="s">
        <v>6452</v>
      </c>
      <c r="H468" s="357" t="s">
        <v>1864</v>
      </c>
      <c r="I468" s="357" t="s">
        <v>3110</v>
      </c>
      <c r="J468" s="493">
        <v>1033</v>
      </c>
      <c r="K468" s="357" t="s">
        <v>630</v>
      </c>
      <c r="M468" s="590"/>
      <c r="N468" s="590"/>
      <c r="O468" s="357" t="s">
        <v>1747</v>
      </c>
      <c r="P468" s="357" t="s">
        <v>6462</v>
      </c>
      <c r="Q468" s="591">
        <v>51.8</v>
      </c>
      <c r="S468" s="357" t="s">
        <v>3105</v>
      </c>
      <c r="T468" s="357" t="s">
        <v>6511</v>
      </c>
      <c r="U468" s="357" t="s">
        <v>6481</v>
      </c>
      <c r="V468" s="357" t="s">
        <v>6512</v>
      </c>
      <c r="W468" s="250" t="s">
        <v>3499</v>
      </c>
      <c r="X468" s="250" t="s">
        <v>3504</v>
      </c>
      <c r="AA468" s="592"/>
      <c r="AB468" s="592"/>
      <c r="AC468" s="592"/>
      <c r="AD468" s="592"/>
      <c r="AE468" s="592"/>
      <c r="AF468" s="592"/>
      <c r="AG468" s="592"/>
    </row>
    <row r="469" spans="1:33" s="357" customFormat="1" hidden="1" x14ac:dyDescent="0.25">
      <c r="A469" s="357" t="s">
        <v>4668</v>
      </c>
      <c r="B469" s="357" t="s">
        <v>4668</v>
      </c>
      <c r="C469" s="357" t="s">
        <v>1950</v>
      </c>
      <c r="D469" s="357">
        <v>2023</v>
      </c>
      <c r="E469" s="357" t="s">
        <v>1659</v>
      </c>
      <c r="F469" s="357" t="s">
        <v>1745</v>
      </c>
      <c r="G469" s="357" t="s">
        <v>6452</v>
      </c>
      <c r="H469" s="357" t="s">
        <v>1864</v>
      </c>
      <c r="I469" s="357" t="s">
        <v>3110</v>
      </c>
      <c r="J469" s="493">
        <v>472</v>
      </c>
      <c r="K469" s="357" t="s">
        <v>586</v>
      </c>
      <c r="M469" s="590"/>
      <c r="N469" s="590"/>
      <c r="O469" s="357" t="s">
        <v>1747</v>
      </c>
      <c r="P469" s="357" t="s">
        <v>2853</v>
      </c>
      <c r="Q469" s="591">
        <v>0.45</v>
      </c>
      <c r="S469" s="357" t="s">
        <v>3105</v>
      </c>
      <c r="T469" s="357" t="s">
        <v>3103</v>
      </c>
      <c r="U469" s="357" t="s">
        <v>6481</v>
      </c>
      <c r="V469" s="357" t="s">
        <v>6490</v>
      </c>
      <c r="W469" s="250" t="s">
        <v>3499</v>
      </c>
      <c r="X469" s="250" t="s">
        <v>3504</v>
      </c>
      <c r="AA469" s="592"/>
      <c r="AB469" s="592"/>
      <c r="AC469" s="592"/>
      <c r="AD469" s="592"/>
      <c r="AE469" s="592"/>
      <c r="AF469" s="592"/>
      <c r="AG469" s="592"/>
    </row>
    <row r="470" spans="1:33" s="357" customFormat="1" hidden="1" x14ac:dyDescent="0.25">
      <c r="A470" s="357" t="s">
        <v>4668</v>
      </c>
      <c r="B470" s="357" t="s">
        <v>4668</v>
      </c>
      <c r="C470" s="357" t="s">
        <v>1950</v>
      </c>
      <c r="D470" s="357">
        <v>2023</v>
      </c>
      <c r="E470" s="357" t="s">
        <v>1659</v>
      </c>
      <c r="F470" s="357" t="s">
        <v>1745</v>
      </c>
      <c r="G470" s="357" t="s">
        <v>6452</v>
      </c>
      <c r="H470" s="357" t="s">
        <v>1864</v>
      </c>
      <c r="I470" s="357" t="s">
        <v>3110</v>
      </c>
      <c r="J470" s="493">
        <v>156</v>
      </c>
      <c r="K470" s="357" t="s">
        <v>586</v>
      </c>
      <c r="M470" s="590"/>
      <c r="N470" s="590"/>
      <c r="O470" s="357" t="s">
        <v>1747</v>
      </c>
      <c r="P470" s="357" t="s">
        <v>3073</v>
      </c>
      <c r="Q470" s="591">
        <v>22.4</v>
      </c>
      <c r="S470" s="357" t="s">
        <v>3105</v>
      </c>
      <c r="T470" s="357" t="s">
        <v>6492</v>
      </c>
      <c r="U470" s="357" t="s">
        <v>6481</v>
      </c>
      <c r="V470" s="357" t="s">
        <v>6513</v>
      </c>
      <c r="W470" s="250" t="s">
        <v>3499</v>
      </c>
      <c r="X470" s="250" t="s">
        <v>3504</v>
      </c>
      <c r="AA470" s="592"/>
      <c r="AB470" s="592"/>
      <c r="AC470" s="592"/>
      <c r="AD470" s="592"/>
      <c r="AE470" s="592"/>
      <c r="AF470" s="592"/>
      <c r="AG470" s="592"/>
    </row>
    <row r="471" spans="1:33" s="357" customFormat="1" hidden="1" x14ac:dyDescent="0.25">
      <c r="A471" s="357" t="s">
        <v>4668</v>
      </c>
      <c r="B471" s="357" t="s">
        <v>4668</v>
      </c>
      <c r="C471" s="357" t="s">
        <v>1950</v>
      </c>
      <c r="D471" s="357">
        <v>2023</v>
      </c>
      <c r="E471" s="357" t="s">
        <v>1659</v>
      </c>
      <c r="F471" s="357" t="s">
        <v>1745</v>
      </c>
      <c r="G471" s="357" t="s">
        <v>6452</v>
      </c>
      <c r="H471" s="357" t="s">
        <v>1864</v>
      </c>
      <c r="I471" s="357" t="s">
        <v>3110</v>
      </c>
      <c r="J471" s="493">
        <v>4329</v>
      </c>
      <c r="K471" s="357" t="s">
        <v>586</v>
      </c>
      <c r="M471" s="590"/>
      <c r="N471" s="590"/>
      <c r="O471" s="357" t="s">
        <v>1747</v>
      </c>
      <c r="P471" s="357" t="s">
        <v>6463</v>
      </c>
      <c r="Q471" s="591">
        <v>16</v>
      </c>
      <c r="S471" s="357" t="s">
        <v>3105</v>
      </c>
      <c r="T471" s="357" t="s">
        <v>6514</v>
      </c>
      <c r="U471" s="357" t="s">
        <v>6481</v>
      </c>
      <c r="V471" s="357" t="s">
        <v>6515</v>
      </c>
      <c r="W471" s="250" t="s">
        <v>3499</v>
      </c>
      <c r="X471" s="250" t="s">
        <v>3504</v>
      </c>
      <c r="AA471" s="592"/>
      <c r="AB471" s="592"/>
      <c r="AC471" s="592"/>
      <c r="AD471" s="592"/>
      <c r="AE471" s="592"/>
      <c r="AF471" s="592"/>
      <c r="AG471" s="592"/>
    </row>
  </sheetData>
  <autoFilter ref="A1:X471">
    <filterColumn colId="1">
      <filters>
        <filter val="Rodoviária de Lisboa, S.A."/>
      </filters>
    </filterColumn>
  </autoFilter>
  <mergeCells count="23">
    <mergeCell ref="W1:W2"/>
    <mergeCell ref="X1:X2"/>
    <mergeCell ref="T1:T2"/>
    <mergeCell ref="U1:U2"/>
    <mergeCell ref="V1:V2"/>
    <mergeCell ref="A1:A2"/>
    <mergeCell ref="H1:H2"/>
    <mergeCell ref="B1:B2"/>
    <mergeCell ref="F1:F2"/>
    <mergeCell ref="C1:C2"/>
    <mergeCell ref="G1:G2"/>
    <mergeCell ref="D1:D2"/>
    <mergeCell ref="S1:S2"/>
    <mergeCell ref="P1:P2"/>
    <mergeCell ref="Q1:Q2"/>
    <mergeCell ref="R1:R2"/>
    <mergeCell ref="E1:E2"/>
    <mergeCell ref="K1:K2"/>
    <mergeCell ref="M1:M2"/>
    <mergeCell ref="N1:N2"/>
    <mergeCell ref="O1:O2"/>
    <mergeCell ref="J1:J2"/>
    <mergeCell ref="L1:L2"/>
  </mergeCells>
  <dataValidations count="4">
    <dataValidation type="list" allowBlank="1" showInputMessage="1" showErrorMessage="1" sqref="G3:G134">
      <formula1>"Meios Própios Empresa,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M24:M27 K3:K194 M100:M103">
      <formula1>"unidades, paletes, contentores, kWh, l (litros), kg (quilos), ton (toneladas), Nm3 (metros cubicos norm.), Outro/NA"</formula1>
    </dataValidation>
    <dataValidation type="list" allowBlank="1" showInputMessage="1" showErrorMessage="1" sqref="F3:F78 F80:F134">
      <formula1>"Rodoviário, Ferroviário, Aéreo, Marítimo, Outro"</formula1>
    </dataValidation>
    <dataValidation type="list" allowBlank="1" showInputMessage="1" showErrorMessage="1" sqref="E3:E133 E195:E199">
      <formula1>"Serviço Manutenção, Outros Serviços, Pneus, Componentes/Peças, Vidros, Baterias, Metais, Plásticos, Borrachas, Papel, Contrato Pneus, Outros, Total"</formula1>
    </dataValidation>
  </dataValidations>
  <pageMargins left="0.7" right="0.7" top="0.75" bottom="0.75" header="0.3" footer="0.3"/>
  <pageSetup paperSize="9" orientation="portrait" r:id="rId1"/>
  <customProperties>
    <customPr name="GUID" r:id="rId2"/>
  </customProperties>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5"/>
  <dimension ref="B6:X134"/>
  <sheetViews>
    <sheetView topLeftCell="A25" workbookViewId="0"/>
  </sheetViews>
  <sheetFormatPr defaultRowHeight="15" x14ac:dyDescent="0.25"/>
  <cols>
    <col min="2" max="2" width="28.85546875" bestFit="1" customWidth="1"/>
    <col min="3" max="3" width="33.85546875" bestFit="1" customWidth="1"/>
    <col min="4" max="4" width="23" bestFit="1" customWidth="1"/>
    <col min="5" max="5" width="17.85546875" bestFit="1" customWidth="1"/>
    <col min="6" max="6" width="18.7109375" bestFit="1" customWidth="1"/>
    <col min="7" max="7" width="36.42578125" bestFit="1" customWidth="1"/>
    <col min="8" max="8" width="20" bestFit="1" customWidth="1"/>
    <col min="9" max="9" width="18.85546875" bestFit="1" customWidth="1"/>
    <col min="12" max="12" width="13.85546875" customWidth="1"/>
    <col min="13" max="13" width="60.28515625" bestFit="1" customWidth="1"/>
  </cols>
  <sheetData>
    <row r="6" spans="2:24" ht="15.75" thickBot="1" x14ac:dyDescent="0.3"/>
    <row r="7" spans="2:24" x14ac:dyDescent="0.25">
      <c r="B7" s="78" t="s">
        <v>118</v>
      </c>
      <c r="C7" s="79"/>
    </row>
    <row r="9" spans="2:24" x14ac:dyDescent="0.25">
      <c r="B9" s="765" t="str">
        <f>"Grupo Barraqueiro: "&amp;'Folha de Rosto'!C6&amp;" "&amp;'Folha de Rosto'!I6&amp;" - Emissões de GEE de Âmbito 3"</f>
        <v>Grupo Barraqueiro: PEGADA DE CARBONO 2022 - Emissões de GEE de Âmbito 3</v>
      </c>
      <c r="C9" s="765"/>
      <c r="D9" s="765"/>
      <c r="E9" s="765"/>
      <c r="F9" s="765"/>
      <c r="G9" s="765"/>
      <c r="H9" s="765"/>
      <c r="I9" s="765"/>
      <c r="J9" s="765"/>
      <c r="K9" s="765"/>
      <c r="L9" s="765"/>
      <c r="M9" s="765"/>
      <c r="N9" s="765"/>
      <c r="O9" s="765"/>
      <c r="P9" s="765"/>
      <c r="Q9" s="765"/>
      <c r="R9" s="765"/>
      <c r="S9" s="765"/>
      <c r="T9" s="765"/>
      <c r="U9" s="765"/>
      <c r="V9" s="765"/>
      <c r="W9" s="87"/>
      <c r="X9" s="87"/>
    </row>
    <row r="10" spans="2:24" ht="15.75" thickBot="1" x14ac:dyDescent="0.3"/>
    <row r="11" spans="2:24" ht="33.6" customHeight="1" thickBot="1" x14ac:dyDescent="0.3">
      <c r="B11" s="761" t="s">
        <v>119</v>
      </c>
      <c r="C11" s="761"/>
      <c r="D11" s="767" t="s">
        <v>522</v>
      </c>
      <c r="E11" s="767"/>
      <c r="F11" s="767"/>
      <c r="G11" s="767"/>
      <c r="H11" s="768"/>
      <c r="I11" s="768"/>
      <c r="J11" s="768"/>
      <c r="K11" s="768"/>
      <c r="L11" s="768"/>
      <c r="M11" s="768"/>
      <c r="N11" s="768"/>
      <c r="O11" s="768"/>
      <c r="P11" s="768"/>
      <c r="Q11" s="769"/>
    </row>
    <row r="12" spans="2:24" ht="60.95" customHeight="1" thickBot="1" x14ac:dyDescent="0.3">
      <c r="B12" s="761" t="s">
        <v>120</v>
      </c>
      <c r="C12" s="761"/>
      <c r="D12" s="770" t="s">
        <v>450</v>
      </c>
      <c r="E12" s="770"/>
      <c r="F12" s="770"/>
      <c r="G12" s="770"/>
      <c r="H12" s="771"/>
      <c r="I12" s="771"/>
      <c r="J12" s="771"/>
      <c r="K12" s="771"/>
      <c r="L12" s="771"/>
      <c r="M12" s="771"/>
      <c r="N12" s="771"/>
      <c r="O12" s="771"/>
      <c r="P12" s="771"/>
      <c r="Q12" s="772"/>
    </row>
    <row r="13" spans="2:24" ht="60.95" customHeight="1" thickBot="1" x14ac:dyDescent="0.3">
      <c r="B13" s="761" t="s">
        <v>121</v>
      </c>
      <c r="C13" s="761"/>
      <c r="D13" s="815" t="s">
        <v>76</v>
      </c>
      <c r="E13" s="815"/>
      <c r="F13" s="815"/>
      <c r="G13" s="815"/>
      <c r="H13" s="816"/>
      <c r="I13" s="816"/>
      <c r="J13" s="816"/>
      <c r="K13" s="816"/>
      <c r="L13" s="816"/>
      <c r="M13" s="816"/>
      <c r="N13" s="816"/>
      <c r="O13" s="816"/>
      <c r="P13" s="816"/>
      <c r="Q13" s="817"/>
    </row>
    <row r="14" spans="2:24" ht="60.95" customHeight="1" thickBot="1" x14ac:dyDescent="0.3">
      <c r="B14" s="761" t="s">
        <v>122</v>
      </c>
      <c r="C14" s="761"/>
      <c r="D14" s="815" t="s">
        <v>76</v>
      </c>
      <c r="E14" s="815"/>
      <c r="F14" s="815"/>
      <c r="G14" s="815"/>
      <c r="H14" s="816"/>
      <c r="I14" s="816"/>
      <c r="J14" s="816"/>
      <c r="K14" s="816"/>
      <c r="L14" s="816"/>
      <c r="M14" s="816"/>
      <c r="N14" s="816"/>
      <c r="O14" s="816"/>
      <c r="P14" s="816"/>
      <c r="Q14" s="817"/>
    </row>
    <row r="15" spans="2:24" ht="60" customHeight="1" thickBot="1" x14ac:dyDescent="0.3">
      <c r="B15" s="761" t="s">
        <v>128</v>
      </c>
      <c r="C15" s="761"/>
      <c r="D15" s="818" t="s">
        <v>76</v>
      </c>
      <c r="E15" s="819"/>
      <c r="F15" s="819"/>
      <c r="G15" s="819"/>
      <c r="H15" s="819"/>
      <c r="I15" s="819"/>
      <c r="J15" s="819"/>
      <c r="K15" s="819"/>
      <c r="L15" s="819"/>
      <c r="M15" s="819"/>
      <c r="N15" s="819"/>
      <c r="O15" s="819"/>
      <c r="P15" s="819"/>
      <c r="Q15" s="815"/>
    </row>
    <row r="17" spans="2:24" x14ac:dyDescent="0.25">
      <c r="B17" s="765" t="s">
        <v>1818</v>
      </c>
      <c r="C17" s="765"/>
      <c r="D17" s="765"/>
      <c r="E17" s="765"/>
      <c r="F17" s="765"/>
      <c r="G17" s="765"/>
      <c r="H17" s="765"/>
      <c r="I17" s="765"/>
      <c r="J17" s="765"/>
      <c r="K17" s="765"/>
      <c r="L17" s="765"/>
      <c r="M17" s="765"/>
      <c r="N17" s="765"/>
      <c r="O17" s="765"/>
      <c r="P17" s="765"/>
      <c r="Q17" s="765"/>
      <c r="R17" s="765"/>
      <c r="S17" s="765"/>
      <c r="T17" s="765"/>
      <c r="U17" s="765"/>
      <c r="V17" s="765"/>
      <c r="W17" s="765"/>
      <c r="X17" s="765"/>
    </row>
    <row r="18" spans="2:24" x14ac:dyDescent="0.25">
      <c r="B18" t="s">
        <v>130</v>
      </c>
    </row>
    <row r="20" spans="2:24" x14ac:dyDescent="0.25">
      <c r="B20" s="81" t="s">
        <v>135</v>
      </c>
    </row>
    <row r="21" spans="2:24" x14ac:dyDescent="0.25">
      <c r="B21" s="766"/>
      <c r="C21" s="766"/>
      <c r="D21" s="766"/>
      <c r="E21" s="766"/>
      <c r="F21" s="766"/>
      <c r="G21" s="766"/>
      <c r="H21" s="766"/>
      <c r="I21" s="766"/>
      <c r="J21" s="766"/>
      <c r="K21" s="766"/>
      <c r="L21" s="766"/>
      <c r="M21" s="766"/>
      <c r="N21" s="766"/>
      <c r="O21" s="766"/>
      <c r="P21" s="766"/>
      <c r="Q21" s="766"/>
      <c r="R21" s="766"/>
      <c r="S21" s="766"/>
      <c r="T21" s="766"/>
      <c r="U21" s="766"/>
      <c r="V21" s="766"/>
    </row>
    <row r="22" spans="2:24" x14ac:dyDescent="0.25">
      <c r="B22" s="766"/>
      <c r="C22" s="766"/>
      <c r="D22" s="766"/>
      <c r="E22" s="766"/>
      <c r="F22" s="766"/>
      <c r="G22" s="766"/>
      <c r="H22" s="766"/>
      <c r="I22" s="766"/>
      <c r="J22" s="766"/>
      <c r="K22" s="766"/>
      <c r="L22" s="766"/>
      <c r="M22" s="766"/>
      <c r="N22" s="766"/>
      <c r="O22" s="766"/>
      <c r="P22" s="766"/>
      <c r="Q22" s="766"/>
      <c r="R22" s="766"/>
      <c r="S22" s="766"/>
      <c r="T22" s="766"/>
      <c r="U22" s="766"/>
      <c r="V22" s="766"/>
    </row>
    <row r="24" spans="2:24" ht="15" customHeight="1" x14ac:dyDescent="0.25">
      <c r="B24" s="81" t="s">
        <v>136</v>
      </c>
    </row>
    <row r="25" spans="2:24" x14ac:dyDescent="0.25">
      <c r="B25" s="766"/>
      <c r="C25" s="766"/>
      <c r="D25" s="766"/>
      <c r="E25" s="766"/>
      <c r="F25" s="766"/>
      <c r="G25" s="766"/>
      <c r="H25" s="766"/>
      <c r="I25" s="766"/>
      <c r="J25" s="766"/>
      <c r="K25" s="766"/>
      <c r="L25" s="766"/>
      <c r="M25" s="766"/>
      <c r="N25" s="766"/>
      <c r="O25" s="766"/>
      <c r="P25" s="766"/>
      <c r="Q25" s="766"/>
      <c r="R25" s="766"/>
      <c r="S25" s="766"/>
      <c r="T25" s="766"/>
      <c r="U25" s="766"/>
      <c r="V25" s="766"/>
    </row>
    <row r="26" spans="2:24" x14ac:dyDescent="0.25">
      <c r="B26" s="766"/>
      <c r="C26" s="766"/>
      <c r="D26" s="766"/>
      <c r="E26" s="766"/>
      <c r="F26" s="766"/>
      <c r="G26" s="766"/>
      <c r="H26" s="766"/>
      <c r="I26" s="766"/>
      <c r="J26" s="766"/>
      <c r="K26" s="766"/>
      <c r="L26" s="766"/>
      <c r="M26" s="766"/>
      <c r="N26" s="766"/>
      <c r="O26" s="766"/>
      <c r="P26" s="766"/>
      <c r="Q26" s="766"/>
      <c r="R26" s="766"/>
      <c r="S26" s="766"/>
      <c r="T26" s="766"/>
      <c r="U26" s="766"/>
      <c r="V26" s="766"/>
    </row>
    <row r="27" spans="2:24" ht="15.75" thickBot="1" x14ac:dyDescent="0.3"/>
    <row r="28" spans="2:24" ht="15.75" thickBot="1" x14ac:dyDescent="0.3">
      <c r="B28" s="757" t="s">
        <v>131</v>
      </c>
      <c r="C28" s="757" t="s">
        <v>529</v>
      </c>
      <c r="D28" s="757" t="s">
        <v>525</v>
      </c>
      <c r="E28" s="759" t="s">
        <v>445</v>
      </c>
      <c r="F28" s="757" t="s">
        <v>449</v>
      </c>
      <c r="G28" s="778" t="s">
        <v>526</v>
      </c>
      <c r="H28" s="759" t="s">
        <v>5979</v>
      </c>
      <c r="I28" s="759" t="s">
        <v>134</v>
      </c>
      <c r="J28" s="759" t="s">
        <v>5980</v>
      </c>
      <c r="K28" s="820" t="s">
        <v>5984</v>
      </c>
      <c r="L28" s="757" t="s">
        <v>5985</v>
      </c>
      <c r="M28" s="820" t="s">
        <v>5986</v>
      </c>
    </row>
    <row r="29" spans="2:24" ht="15.75" thickBot="1" x14ac:dyDescent="0.3">
      <c r="B29" s="758"/>
      <c r="C29" s="758"/>
      <c r="D29" s="758"/>
      <c r="E29" s="757"/>
      <c r="F29" s="809"/>
      <c r="G29" s="779"/>
      <c r="H29" s="757"/>
      <c r="I29" s="759"/>
      <c r="J29" s="757"/>
      <c r="K29" s="820"/>
      <c r="L29" s="758"/>
      <c r="M29" s="820"/>
    </row>
    <row r="30" spans="2:24" ht="15.75" thickBot="1" x14ac:dyDescent="0.3">
      <c r="B30" s="424" t="s">
        <v>4668</v>
      </c>
      <c r="C30" s="425" t="s">
        <v>5968</v>
      </c>
      <c r="D30" s="425" t="s">
        <v>34</v>
      </c>
      <c r="E30" s="425" t="s">
        <v>1745</v>
      </c>
      <c r="F30" s="425" t="s">
        <v>1836</v>
      </c>
      <c r="G30" s="425" t="s">
        <v>34</v>
      </c>
      <c r="H30" s="471">
        <v>852.68</v>
      </c>
      <c r="I30" s="472" t="s">
        <v>5969</v>
      </c>
      <c r="J30" s="287" t="s">
        <v>5981</v>
      </c>
      <c r="K30" s="423">
        <v>2023</v>
      </c>
      <c r="L30" t="s">
        <v>42</v>
      </c>
      <c r="M30" t="s">
        <v>5987</v>
      </c>
    </row>
    <row r="31" spans="2:24" ht="15.75" thickBot="1" x14ac:dyDescent="0.3">
      <c r="B31" s="424" t="s">
        <v>4668</v>
      </c>
      <c r="C31" s="425" t="s">
        <v>5968</v>
      </c>
      <c r="D31" s="425" t="s">
        <v>34</v>
      </c>
      <c r="E31" s="425" t="s">
        <v>1745</v>
      </c>
      <c r="F31" s="425" t="s">
        <v>1836</v>
      </c>
      <c r="G31" s="425" t="s">
        <v>34</v>
      </c>
      <c r="H31" s="471">
        <v>852.68</v>
      </c>
      <c r="I31" s="472" t="s">
        <v>5969</v>
      </c>
      <c r="J31" s="287" t="s">
        <v>5981</v>
      </c>
      <c r="K31" s="423">
        <v>2023</v>
      </c>
      <c r="L31" s="422" t="s">
        <v>42</v>
      </c>
      <c r="M31" s="422" t="s">
        <v>5987</v>
      </c>
    </row>
    <row r="32" spans="2:24" ht="15.75" thickBot="1" x14ac:dyDescent="0.3">
      <c r="B32" s="424" t="s">
        <v>4668</v>
      </c>
      <c r="C32" s="425" t="s">
        <v>5968</v>
      </c>
      <c r="D32" s="425" t="s">
        <v>34</v>
      </c>
      <c r="E32" s="425" t="s">
        <v>1745</v>
      </c>
      <c r="F32" s="425" t="s">
        <v>1836</v>
      </c>
      <c r="G32" s="425" t="s">
        <v>34</v>
      </c>
      <c r="H32" s="471">
        <v>852.68</v>
      </c>
      <c r="I32" s="472" t="s">
        <v>5969</v>
      </c>
      <c r="J32" s="287" t="s">
        <v>5981</v>
      </c>
      <c r="K32" s="423">
        <v>2023</v>
      </c>
      <c r="L32" s="422" t="s">
        <v>42</v>
      </c>
      <c r="M32" s="422" t="s">
        <v>5987</v>
      </c>
    </row>
    <row r="33" spans="2:13" ht="15.75" thickBot="1" x14ac:dyDescent="0.3">
      <c r="B33" s="424" t="s">
        <v>4668</v>
      </c>
      <c r="C33" s="425" t="s">
        <v>5968</v>
      </c>
      <c r="D33" s="425" t="s">
        <v>34</v>
      </c>
      <c r="E33" s="425" t="s">
        <v>1745</v>
      </c>
      <c r="F33" s="425" t="s">
        <v>1836</v>
      </c>
      <c r="G33" s="425" t="s">
        <v>34</v>
      </c>
      <c r="H33" s="471">
        <v>852.68</v>
      </c>
      <c r="I33" s="472" t="s">
        <v>5969</v>
      </c>
      <c r="J33" s="287" t="s">
        <v>5981</v>
      </c>
      <c r="K33" s="423">
        <v>2023</v>
      </c>
      <c r="L33" s="422" t="s">
        <v>42</v>
      </c>
      <c r="M33" s="422" t="s">
        <v>5987</v>
      </c>
    </row>
    <row r="34" spans="2:13" ht="15.75" thickBot="1" x14ac:dyDescent="0.3">
      <c r="B34" s="424" t="s">
        <v>4668</v>
      </c>
      <c r="C34" s="425" t="s">
        <v>5968</v>
      </c>
      <c r="D34" s="425" t="s">
        <v>34</v>
      </c>
      <c r="E34" s="425" t="s">
        <v>1745</v>
      </c>
      <c r="F34" s="425" t="s">
        <v>1836</v>
      </c>
      <c r="G34" s="425" t="s">
        <v>34</v>
      </c>
      <c r="H34" s="471">
        <v>852.68</v>
      </c>
      <c r="I34" s="472" t="s">
        <v>5969</v>
      </c>
      <c r="J34" s="287" t="s">
        <v>5981</v>
      </c>
      <c r="K34" s="423">
        <v>2023</v>
      </c>
      <c r="L34" s="422" t="s">
        <v>42</v>
      </c>
      <c r="M34" s="422" t="s">
        <v>5987</v>
      </c>
    </row>
    <row r="35" spans="2:13" ht="15.75" thickBot="1" x14ac:dyDescent="0.3">
      <c r="B35" s="424" t="s">
        <v>4668</v>
      </c>
      <c r="C35" s="425" t="s">
        <v>5968</v>
      </c>
      <c r="D35" s="425" t="s">
        <v>34</v>
      </c>
      <c r="E35" s="425" t="s">
        <v>1745</v>
      </c>
      <c r="F35" s="425" t="s">
        <v>1836</v>
      </c>
      <c r="G35" s="425" t="s">
        <v>34</v>
      </c>
      <c r="H35" s="471">
        <v>852.68</v>
      </c>
      <c r="I35" s="472" t="s">
        <v>5969</v>
      </c>
      <c r="J35" s="287" t="s">
        <v>5981</v>
      </c>
      <c r="K35" s="423">
        <v>2023</v>
      </c>
      <c r="L35" s="422" t="s">
        <v>42</v>
      </c>
      <c r="M35" s="422" t="s">
        <v>5987</v>
      </c>
    </row>
    <row r="36" spans="2:13" ht="15.75" thickBot="1" x14ac:dyDescent="0.3">
      <c r="B36" s="424" t="s">
        <v>4668</v>
      </c>
      <c r="C36" s="425" t="s">
        <v>5968</v>
      </c>
      <c r="D36" s="425" t="s">
        <v>34</v>
      </c>
      <c r="E36" s="425" t="s">
        <v>1745</v>
      </c>
      <c r="F36" s="425" t="s">
        <v>1836</v>
      </c>
      <c r="G36" s="425" t="s">
        <v>34</v>
      </c>
      <c r="H36" s="471">
        <v>852.68</v>
      </c>
      <c r="I36" s="472" t="s">
        <v>5969</v>
      </c>
      <c r="J36" s="287" t="s">
        <v>5981</v>
      </c>
      <c r="K36" s="423">
        <v>2023</v>
      </c>
      <c r="L36" s="422" t="s">
        <v>42</v>
      </c>
      <c r="M36" s="422" t="s">
        <v>5987</v>
      </c>
    </row>
    <row r="37" spans="2:13" ht="15.75" thickBot="1" x14ac:dyDescent="0.3">
      <c r="B37" s="424" t="s">
        <v>4668</v>
      </c>
      <c r="C37" s="425" t="s">
        <v>5968</v>
      </c>
      <c r="D37" s="425" t="s">
        <v>34</v>
      </c>
      <c r="E37" s="425" t="s">
        <v>1745</v>
      </c>
      <c r="F37" s="425" t="s">
        <v>1836</v>
      </c>
      <c r="G37" s="425" t="s">
        <v>34</v>
      </c>
      <c r="H37" s="471">
        <v>852.68</v>
      </c>
      <c r="I37" s="472" t="s">
        <v>5969</v>
      </c>
      <c r="J37" s="287" t="s">
        <v>5981</v>
      </c>
      <c r="K37" s="423">
        <v>2023</v>
      </c>
      <c r="L37" s="422" t="s">
        <v>42</v>
      </c>
      <c r="M37" s="422" t="s">
        <v>5987</v>
      </c>
    </row>
    <row r="38" spans="2:13" ht="15.75" thickBot="1" x14ac:dyDescent="0.3">
      <c r="B38" s="424" t="s">
        <v>4668</v>
      </c>
      <c r="C38" s="425" t="s">
        <v>5968</v>
      </c>
      <c r="D38" s="425" t="s">
        <v>34</v>
      </c>
      <c r="E38" s="425" t="s">
        <v>1745</v>
      </c>
      <c r="F38" s="425" t="s">
        <v>1836</v>
      </c>
      <c r="G38" s="425" t="s">
        <v>34</v>
      </c>
      <c r="H38" s="471">
        <v>852.68</v>
      </c>
      <c r="I38" s="472" t="s">
        <v>5969</v>
      </c>
      <c r="J38" s="287" t="s">
        <v>5981</v>
      </c>
      <c r="K38" s="423">
        <v>2023</v>
      </c>
      <c r="L38" s="422" t="s">
        <v>42</v>
      </c>
      <c r="M38" s="422" t="s">
        <v>5987</v>
      </c>
    </row>
    <row r="39" spans="2:13" ht="15.75" thickBot="1" x14ac:dyDescent="0.3">
      <c r="B39" s="424" t="s">
        <v>4668</v>
      </c>
      <c r="C39" s="425" t="s">
        <v>5968</v>
      </c>
      <c r="D39" s="425" t="s">
        <v>34</v>
      </c>
      <c r="E39" s="425" t="s">
        <v>1745</v>
      </c>
      <c r="F39" s="425" t="s">
        <v>1836</v>
      </c>
      <c r="G39" s="425" t="s">
        <v>34</v>
      </c>
      <c r="H39" s="471">
        <v>852.68</v>
      </c>
      <c r="I39" s="472" t="s">
        <v>5969</v>
      </c>
      <c r="J39" s="287" t="s">
        <v>5981</v>
      </c>
      <c r="K39" s="423">
        <v>2023</v>
      </c>
      <c r="L39" s="422" t="s">
        <v>42</v>
      </c>
      <c r="M39" s="422" t="s">
        <v>5987</v>
      </c>
    </row>
    <row r="40" spans="2:13" ht="15.75" thickBot="1" x14ac:dyDescent="0.3">
      <c r="B40" s="424" t="s">
        <v>4668</v>
      </c>
      <c r="C40" s="425" t="s">
        <v>5968</v>
      </c>
      <c r="D40" s="425" t="s">
        <v>34</v>
      </c>
      <c r="E40" s="425" t="s">
        <v>1745</v>
      </c>
      <c r="F40" s="425" t="s">
        <v>1836</v>
      </c>
      <c r="G40" s="425" t="s">
        <v>34</v>
      </c>
      <c r="H40" s="471">
        <v>852.68</v>
      </c>
      <c r="I40" s="472" t="s">
        <v>5969</v>
      </c>
      <c r="J40" s="287" t="s">
        <v>5981</v>
      </c>
      <c r="K40" s="423">
        <v>2023</v>
      </c>
      <c r="L40" s="422" t="s">
        <v>42</v>
      </c>
      <c r="M40" s="422" t="s">
        <v>5987</v>
      </c>
    </row>
    <row r="41" spans="2:13" ht="15.75" thickBot="1" x14ac:dyDescent="0.3">
      <c r="B41" s="424" t="s">
        <v>4668</v>
      </c>
      <c r="C41" s="425" t="s">
        <v>5968</v>
      </c>
      <c r="D41" s="425" t="s">
        <v>34</v>
      </c>
      <c r="E41" s="425" t="s">
        <v>1745</v>
      </c>
      <c r="F41" s="425" t="s">
        <v>1836</v>
      </c>
      <c r="G41" s="425" t="s">
        <v>34</v>
      </c>
      <c r="H41" s="471">
        <v>852.68</v>
      </c>
      <c r="I41" s="472" t="s">
        <v>5969</v>
      </c>
      <c r="J41" s="287" t="s">
        <v>5981</v>
      </c>
      <c r="K41" s="423">
        <v>2023</v>
      </c>
      <c r="L41" s="422" t="s">
        <v>42</v>
      </c>
      <c r="M41" s="422" t="s">
        <v>5987</v>
      </c>
    </row>
    <row r="42" spans="2:13" ht="15.75" thickBot="1" x14ac:dyDescent="0.3">
      <c r="B42" s="424" t="s">
        <v>4668</v>
      </c>
      <c r="C42" s="425" t="s">
        <v>5968</v>
      </c>
      <c r="D42" s="425" t="s">
        <v>34</v>
      </c>
      <c r="E42" s="425" t="s">
        <v>1745</v>
      </c>
      <c r="F42" s="425" t="s">
        <v>1836</v>
      </c>
      <c r="G42" s="425" t="s">
        <v>34</v>
      </c>
      <c r="H42" s="471">
        <v>852.68</v>
      </c>
      <c r="I42" s="472" t="s">
        <v>5969</v>
      </c>
      <c r="J42" s="287" t="s">
        <v>5981</v>
      </c>
      <c r="K42" s="423">
        <v>2023</v>
      </c>
      <c r="L42" s="422" t="s">
        <v>42</v>
      </c>
      <c r="M42" s="422" t="s">
        <v>5987</v>
      </c>
    </row>
    <row r="43" spans="2:13" ht="15.75" thickBot="1" x14ac:dyDescent="0.3">
      <c r="B43" s="424" t="s">
        <v>4668</v>
      </c>
      <c r="C43" s="425" t="s">
        <v>5968</v>
      </c>
      <c r="D43" s="425" t="s">
        <v>34</v>
      </c>
      <c r="E43" s="425" t="s">
        <v>1745</v>
      </c>
      <c r="F43" s="425" t="s">
        <v>1836</v>
      </c>
      <c r="G43" s="425" t="s">
        <v>34</v>
      </c>
      <c r="H43" s="471">
        <v>852.68</v>
      </c>
      <c r="I43" s="472" t="s">
        <v>5969</v>
      </c>
      <c r="J43" s="287" t="s">
        <v>5981</v>
      </c>
      <c r="K43" s="423">
        <v>2023</v>
      </c>
      <c r="L43" s="422" t="s">
        <v>42</v>
      </c>
      <c r="M43" s="422" t="s">
        <v>5987</v>
      </c>
    </row>
    <row r="44" spans="2:13" ht="15.75" thickBot="1" x14ac:dyDescent="0.3">
      <c r="B44" s="424" t="s">
        <v>4668</v>
      </c>
      <c r="C44" s="425" t="s">
        <v>5968</v>
      </c>
      <c r="D44" s="425" t="s">
        <v>34</v>
      </c>
      <c r="E44" s="425" t="s">
        <v>1745</v>
      </c>
      <c r="F44" s="425" t="s">
        <v>1836</v>
      </c>
      <c r="G44" s="425" t="s">
        <v>34</v>
      </c>
      <c r="H44" s="471">
        <v>852.68</v>
      </c>
      <c r="I44" s="472" t="s">
        <v>5969</v>
      </c>
      <c r="J44" s="287" t="s">
        <v>5981</v>
      </c>
      <c r="K44" s="423">
        <v>2023</v>
      </c>
      <c r="L44" s="422" t="s">
        <v>42</v>
      </c>
      <c r="M44" s="422" t="s">
        <v>5987</v>
      </c>
    </row>
    <row r="45" spans="2:13" ht="15.75" thickBot="1" x14ac:dyDescent="0.3">
      <c r="B45" s="424" t="s">
        <v>4668</v>
      </c>
      <c r="C45" s="425" t="s">
        <v>5968</v>
      </c>
      <c r="D45" s="425" t="s">
        <v>34</v>
      </c>
      <c r="E45" s="425" t="s">
        <v>1745</v>
      </c>
      <c r="F45" s="425" t="s">
        <v>1836</v>
      </c>
      <c r="G45" s="425" t="s">
        <v>34</v>
      </c>
      <c r="H45" s="471">
        <v>852.68</v>
      </c>
      <c r="I45" s="472" t="s">
        <v>5969</v>
      </c>
      <c r="J45" s="287" t="s">
        <v>5981</v>
      </c>
      <c r="K45" s="423">
        <v>2023</v>
      </c>
      <c r="L45" s="422" t="s">
        <v>42</v>
      </c>
      <c r="M45" s="422" t="s">
        <v>5987</v>
      </c>
    </row>
    <row r="46" spans="2:13" ht="15.75" thickBot="1" x14ac:dyDescent="0.3">
      <c r="B46" s="424" t="s">
        <v>4668</v>
      </c>
      <c r="C46" s="425" t="s">
        <v>5968</v>
      </c>
      <c r="D46" s="425" t="s">
        <v>34</v>
      </c>
      <c r="E46" s="425" t="s">
        <v>1745</v>
      </c>
      <c r="F46" s="425" t="s">
        <v>1836</v>
      </c>
      <c r="G46" s="425" t="s">
        <v>34</v>
      </c>
      <c r="H46" s="471">
        <v>852.68</v>
      </c>
      <c r="I46" s="472" t="s">
        <v>5969</v>
      </c>
      <c r="J46" s="287" t="s">
        <v>5981</v>
      </c>
      <c r="K46" s="423">
        <v>2023</v>
      </c>
      <c r="L46" s="422" t="s">
        <v>42</v>
      </c>
      <c r="M46" s="422" t="s">
        <v>5987</v>
      </c>
    </row>
    <row r="47" spans="2:13" ht="15.75" thickBot="1" x14ac:dyDescent="0.3">
      <c r="B47" s="424" t="s">
        <v>4668</v>
      </c>
      <c r="C47" s="425" t="s">
        <v>5968</v>
      </c>
      <c r="D47" s="425" t="s">
        <v>34</v>
      </c>
      <c r="E47" s="425" t="s">
        <v>1745</v>
      </c>
      <c r="F47" s="425" t="s">
        <v>1836</v>
      </c>
      <c r="G47" s="425" t="s">
        <v>34</v>
      </c>
      <c r="H47" s="471">
        <v>993.01</v>
      </c>
      <c r="I47" s="472" t="s">
        <v>5970</v>
      </c>
      <c r="J47" s="287" t="s">
        <v>5981</v>
      </c>
      <c r="K47" s="423">
        <v>2023</v>
      </c>
      <c r="L47" s="422" t="s">
        <v>42</v>
      </c>
      <c r="M47" s="422" t="s">
        <v>5987</v>
      </c>
    </row>
    <row r="48" spans="2:13" ht="15.75" thickBot="1" x14ac:dyDescent="0.3">
      <c r="B48" s="424" t="s">
        <v>4668</v>
      </c>
      <c r="C48" s="425" t="s">
        <v>5968</v>
      </c>
      <c r="D48" s="425" t="s">
        <v>34</v>
      </c>
      <c r="E48" s="425" t="s">
        <v>1745</v>
      </c>
      <c r="F48" s="425" t="s">
        <v>1836</v>
      </c>
      <c r="G48" s="425" t="s">
        <v>34</v>
      </c>
      <c r="H48" s="471">
        <v>993.01</v>
      </c>
      <c r="I48" s="472" t="s">
        <v>5970</v>
      </c>
      <c r="J48" s="287" t="s">
        <v>5981</v>
      </c>
      <c r="K48" s="423">
        <v>2023</v>
      </c>
      <c r="L48" s="422" t="s">
        <v>42</v>
      </c>
      <c r="M48" s="422" t="s">
        <v>5987</v>
      </c>
    </row>
    <row r="49" spans="2:13" ht="15.75" thickBot="1" x14ac:dyDescent="0.3">
      <c r="B49" s="424" t="s">
        <v>4668</v>
      </c>
      <c r="C49" s="425" t="s">
        <v>5968</v>
      </c>
      <c r="D49" s="425" t="s">
        <v>34</v>
      </c>
      <c r="E49" s="425" t="s">
        <v>1745</v>
      </c>
      <c r="F49" s="425" t="s">
        <v>1836</v>
      </c>
      <c r="G49" s="425" t="s">
        <v>34</v>
      </c>
      <c r="H49" s="471">
        <v>993.01</v>
      </c>
      <c r="I49" s="472" t="s">
        <v>5970</v>
      </c>
      <c r="J49" s="287" t="s">
        <v>5981</v>
      </c>
      <c r="K49" s="423">
        <v>2023</v>
      </c>
      <c r="L49" s="422" t="s">
        <v>42</v>
      </c>
      <c r="M49" s="422" t="s">
        <v>5987</v>
      </c>
    </row>
    <row r="50" spans="2:13" ht="15.75" thickBot="1" x14ac:dyDescent="0.3">
      <c r="B50" s="424" t="s">
        <v>4668</v>
      </c>
      <c r="C50" s="425" t="s">
        <v>5968</v>
      </c>
      <c r="D50" s="425" t="s">
        <v>34</v>
      </c>
      <c r="E50" s="425" t="s">
        <v>1745</v>
      </c>
      <c r="F50" s="425" t="s">
        <v>1836</v>
      </c>
      <c r="G50" s="425" t="s">
        <v>34</v>
      </c>
      <c r="H50" s="471">
        <v>993.01</v>
      </c>
      <c r="I50" s="472" t="s">
        <v>5970</v>
      </c>
      <c r="J50" s="287" t="s">
        <v>5981</v>
      </c>
      <c r="K50" s="423">
        <v>2023</v>
      </c>
      <c r="L50" s="422" t="s">
        <v>42</v>
      </c>
      <c r="M50" s="422" t="s">
        <v>5987</v>
      </c>
    </row>
    <row r="51" spans="2:13" ht="15.75" thickBot="1" x14ac:dyDescent="0.3">
      <c r="B51" s="424" t="s">
        <v>4668</v>
      </c>
      <c r="C51" s="425" t="s">
        <v>5968</v>
      </c>
      <c r="D51" s="425" t="s">
        <v>34</v>
      </c>
      <c r="E51" s="425" t="s">
        <v>1745</v>
      </c>
      <c r="F51" s="425" t="s">
        <v>1836</v>
      </c>
      <c r="G51" s="425" t="s">
        <v>34</v>
      </c>
      <c r="H51" s="471">
        <v>993.01</v>
      </c>
      <c r="I51" s="472" t="s">
        <v>5970</v>
      </c>
      <c r="J51" s="287" t="s">
        <v>5981</v>
      </c>
      <c r="K51" s="423">
        <v>2023</v>
      </c>
      <c r="L51" s="422" t="s">
        <v>42</v>
      </c>
      <c r="M51" s="422" t="s">
        <v>5987</v>
      </c>
    </row>
    <row r="52" spans="2:13" ht="15.75" thickBot="1" x14ac:dyDescent="0.3">
      <c r="B52" s="424" t="s">
        <v>4668</v>
      </c>
      <c r="C52" s="425" t="s">
        <v>5968</v>
      </c>
      <c r="D52" s="425" t="s">
        <v>34</v>
      </c>
      <c r="E52" s="425" t="s">
        <v>1745</v>
      </c>
      <c r="F52" s="425" t="s">
        <v>1836</v>
      </c>
      <c r="G52" s="425" t="s">
        <v>34</v>
      </c>
      <c r="H52" s="471">
        <v>993.01</v>
      </c>
      <c r="I52" s="472" t="s">
        <v>5970</v>
      </c>
      <c r="J52" s="287" t="s">
        <v>5981</v>
      </c>
      <c r="K52" s="423">
        <v>2023</v>
      </c>
      <c r="L52" s="422" t="s">
        <v>42</v>
      </c>
      <c r="M52" s="422" t="s">
        <v>5987</v>
      </c>
    </row>
    <row r="53" spans="2:13" ht="15.75" thickBot="1" x14ac:dyDescent="0.3">
      <c r="B53" s="424" t="s">
        <v>4668</v>
      </c>
      <c r="C53" s="425" t="s">
        <v>5968</v>
      </c>
      <c r="D53" s="425" t="s">
        <v>34</v>
      </c>
      <c r="E53" s="425" t="s">
        <v>1745</v>
      </c>
      <c r="F53" s="425" t="s">
        <v>1836</v>
      </c>
      <c r="G53" s="425" t="s">
        <v>34</v>
      </c>
      <c r="H53" s="471">
        <v>993.01</v>
      </c>
      <c r="I53" s="472" t="s">
        <v>5970</v>
      </c>
      <c r="J53" s="287" t="s">
        <v>5981</v>
      </c>
      <c r="K53" s="423">
        <v>2023</v>
      </c>
      <c r="L53" s="422" t="s">
        <v>42</v>
      </c>
      <c r="M53" s="422" t="s">
        <v>5987</v>
      </c>
    </row>
    <row r="54" spans="2:13" ht="15.75" thickBot="1" x14ac:dyDescent="0.3">
      <c r="B54" s="424" t="s">
        <v>4668</v>
      </c>
      <c r="C54" s="425" t="s">
        <v>5968</v>
      </c>
      <c r="D54" s="425" t="s">
        <v>34</v>
      </c>
      <c r="E54" s="425" t="s">
        <v>1745</v>
      </c>
      <c r="F54" s="425" t="s">
        <v>1836</v>
      </c>
      <c r="G54" s="425" t="s">
        <v>34</v>
      </c>
      <c r="H54" s="471">
        <v>993.01</v>
      </c>
      <c r="I54" s="472" t="s">
        <v>5970</v>
      </c>
      <c r="J54" s="287" t="s">
        <v>5981</v>
      </c>
      <c r="K54" s="423">
        <v>2023</v>
      </c>
      <c r="L54" s="422" t="s">
        <v>42</v>
      </c>
      <c r="M54" s="422" t="s">
        <v>5987</v>
      </c>
    </row>
    <row r="55" spans="2:13" ht="15.75" thickBot="1" x14ac:dyDescent="0.3">
      <c r="B55" s="424" t="s">
        <v>4668</v>
      </c>
      <c r="C55" s="425" t="s">
        <v>5968</v>
      </c>
      <c r="D55" s="425" t="s">
        <v>34</v>
      </c>
      <c r="E55" s="425" t="s">
        <v>1745</v>
      </c>
      <c r="F55" s="425" t="s">
        <v>1836</v>
      </c>
      <c r="G55" s="425" t="s">
        <v>34</v>
      </c>
      <c r="H55" s="471">
        <v>993.01</v>
      </c>
      <c r="I55" s="472" t="s">
        <v>5970</v>
      </c>
      <c r="J55" s="287" t="s">
        <v>5981</v>
      </c>
      <c r="K55" s="423">
        <v>2023</v>
      </c>
      <c r="L55" s="422" t="s">
        <v>42</v>
      </c>
      <c r="M55" s="422" t="s">
        <v>5987</v>
      </c>
    </row>
    <row r="56" spans="2:13" ht="15.75" thickBot="1" x14ac:dyDescent="0.3">
      <c r="B56" s="424" t="s">
        <v>4668</v>
      </c>
      <c r="C56" s="425" t="s">
        <v>5968</v>
      </c>
      <c r="D56" s="425" t="s">
        <v>34</v>
      </c>
      <c r="E56" s="425" t="s">
        <v>1745</v>
      </c>
      <c r="F56" s="425" t="s">
        <v>1836</v>
      </c>
      <c r="G56" s="425" t="s">
        <v>34</v>
      </c>
      <c r="H56" s="471">
        <v>993.01</v>
      </c>
      <c r="I56" s="472" t="s">
        <v>5970</v>
      </c>
      <c r="J56" s="287" t="s">
        <v>5981</v>
      </c>
      <c r="K56" s="423">
        <v>2023</v>
      </c>
      <c r="L56" s="422" t="s">
        <v>42</v>
      </c>
      <c r="M56" s="422" t="s">
        <v>5987</v>
      </c>
    </row>
    <row r="57" spans="2:13" ht="15.75" thickBot="1" x14ac:dyDescent="0.3">
      <c r="B57" s="424" t="s">
        <v>4668</v>
      </c>
      <c r="C57" s="425" t="s">
        <v>5968</v>
      </c>
      <c r="D57" s="425" t="s">
        <v>34</v>
      </c>
      <c r="E57" s="425" t="s">
        <v>1745</v>
      </c>
      <c r="F57" s="425" t="s">
        <v>1836</v>
      </c>
      <c r="G57" s="425" t="s">
        <v>34</v>
      </c>
      <c r="H57" s="471">
        <v>993.01</v>
      </c>
      <c r="I57" s="472" t="s">
        <v>5970</v>
      </c>
      <c r="J57" s="287" t="s">
        <v>5981</v>
      </c>
      <c r="K57" s="423">
        <v>2023</v>
      </c>
      <c r="L57" s="422" t="s">
        <v>42</v>
      </c>
      <c r="M57" s="422" t="s">
        <v>5987</v>
      </c>
    </row>
    <row r="58" spans="2:13" ht="15.75" thickBot="1" x14ac:dyDescent="0.3">
      <c r="B58" s="424" t="s">
        <v>4668</v>
      </c>
      <c r="C58" s="425" t="s">
        <v>5968</v>
      </c>
      <c r="D58" s="425" t="s">
        <v>34</v>
      </c>
      <c r="E58" s="425" t="s">
        <v>1745</v>
      </c>
      <c r="F58" s="425" t="s">
        <v>1836</v>
      </c>
      <c r="G58" s="425" t="s">
        <v>34</v>
      </c>
      <c r="H58" s="471">
        <v>993.01</v>
      </c>
      <c r="I58" s="472" t="s">
        <v>5970</v>
      </c>
      <c r="J58" s="287" t="s">
        <v>5981</v>
      </c>
      <c r="K58" s="423">
        <v>2023</v>
      </c>
      <c r="L58" s="422" t="s">
        <v>42</v>
      </c>
      <c r="M58" s="422" t="s">
        <v>5987</v>
      </c>
    </row>
    <row r="59" spans="2:13" ht="15.75" thickBot="1" x14ac:dyDescent="0.3">
      <c r="B59" s="424" t="s">
        <v>4668</v>
      </c>
      <c r="C59" s="425" t="s">
        <v>5968</v>
      </c>
      <c r="D59" s="425" t="s">
        <v>34</v>
      </c>
      <c r="E59" s="425" t="s">
        <v>1745</v>
      </c>
      <c r="F59" s="425" t="s">
        <v>1836</v>
      </c>
      <c r="G59" s="425" t="s">
        <v>34</v>
      </c>
      <c r="H59" s="471">
        <v>993.01</v>
      </c>
      <c r="I59" s="472" t="s">
        <v>5970</v>
      </c>
      <c r="J59" s="287" t="s">
        <v>5981</v>
      </c>
      <c r="K59" s="423">
        <v>2023</v>
      </c>
      <c r="L59" s="422" t="s">
        <v>42</v>
      </c>
      <c r="M59" s="422" t="s">
        <v>5987</v>
      </c>
    </row>
    <row r="60" spans="2:13" ht="15.75" thickBot="1" x14ac:dyDescent="0.3">
      <c r="B60" s="424" t="s">
        <v>4668</v>
      </c>
      <c r="C60" s="425" t="s">
        <v>5968</v>
      </c>
      <c r="D60" s="425" t="s">
        <v>34</v>
      </c>
      <c r="E60" s="425" t="s">
        <v>1745</v>
      </c>
      <c r="F60" s="425" t="s">
        <v>1836</v>
      </c>
      <c r="G60" s="425" t="s">
        <v>34</v>
      </c>
      <c r="H60" s="471">
        <v>993.01</v>
      </c>
      <c r="I60" s="472" t="s">
        <v>5970</v>
      </c>
      <c r="J60" s="287" t="s">
        <v>5981</v>
      </c>
      <c r="K60" s="423">
        <v>2023</v>
      </c>
      <c r="L60" s="422" t="s">
        <v>42</v>
      </c>
      <c r="M60" s="422" t="s">
        <v>5987</v>
      </c>
    </row>
    <row r="61" spans="2:13" ht="15.75" thickBot="1" x14ac:dyDescent="0.3">
      <c r="B61" s="424" t="s">
        <v>4668</v>
      </c>
      <c r="C61" s="425" t="s">
        <v>5968</v>
      </c>
      <c r="D61" s="425" t="s">
        <v>34</v>
      </c>
      <c r="E61" s="425" t="s">
        <v>1745</v>
      </c>
      <c r="F61" s="425" t="s">
        <v>1836</v>
      </c>
      <c r="G61" s="425" t="s">
        <v>34</v>
      </c>
      <c r="H61" s="471">
        <v>993.01</v>
      </c>
      <c r="I61" s="472" t="s">
        <v>5970</v>
      </c>
      <c r="J61" s="287" t="s">
        <v>5981</v>
      </c>
      <c r="K61" s="423">
        <v>2023</v>
      </c>
      <c r="L61" s="422" t="s">
        <v>42</v>
      </c>
      <c r="M61" s="422" t="s">
        <v>5987</v>
      </c>
    </row>
    <row r="62" spans="2:13" ht="15.75" thickBot="1" x14ac:dyDescent="0.3">
      <c r="B62" s="424" t="s">
        <v>4668</v>
      </c>
      <c r="C62" s="425" t="s">
        <v>5968</v>
      </c>
      <c r="D62" s="425" t="s">
        <v>34</v>
      </c>
      <c r="E62" s="425" t="s">
        <v>1745</v>
      </c>
      <c r="F62" s="425" t="s">
        <v>1836</v>
      </c>
      <c r="G62" s="425" t="s">
        <v>34</v>
      </c>
      <c r="H62" s="471">
        <v>993.01</v>
      </c>
      <c r="I62" s="472" t="s">
        <v>5970</v>
      </c>
      <c r="J62" s="287" t="s">
        <v>5981</v>
      </c>
      <c r="K62" s="423">
        <v>2023</v>
      </c>
      <c r="L62" s="422" t="s">
        <v>42</v>
      </c>
      <c r="M62" s="422" t="s">
        <v>5987</v>
      </c>
    </row>
    <row r="63" spans="2:13" ht="15.75" thickBot="1" x14ac:dyDescent="0.3">
      <c r="B63" s="424" t="s">
        <v>4668</v>
      </c>
      <c r="C63" s="425" t="s">
        <v>5968</v>
      </c>
      <c r="D63" s="425" t="s">
        <v>34</v>
      </c>
      <c r="E63" s="425" t="s">
        <v>1745</v>
      </c>
      <c r="F63" s="425" t="s">
        <v>1836</v>
      </c>
      <c r="G63" s="425" t="s">
        <v>34</v>
      </c>
      <c r="H63" s="471">
        <v>993.01</v>
      </c>
      <c r="I63" s="472" t="s">
        <v>5970</v>
      </c>
      <c r="J63" s="287" t="s">
        <v>5981</v>
      </c>
      <c r="K63" s="423">
        <v>2023</v>
      </c>
      <c r="L63" s="422" t="s">
        <v>42</v>
      </c>
      <c r="M63" s="422" t="s">
        <v>5987</v>
      </c>
    </row>
    <row r="64" spans="2:13" ht="15.75" thickBot="1" x14ac:dyDescent="0.3">
      <c r="B64" s="424" t="s">
        <v>4668</v>
      </c>
      <c r="C64" s="425" t="s">
        <v>5968</v>
      </c>
      <c r="D64" s="425" t="s">
        <v>34</v>
      </c>
      <c r="E64" s="425" t="s">
        <v>1745</v>
      </c>
      <c r="F64" s="425" t="s">
        <v>1836</v>
      </c>
      <c r="G64" s="425" t="s">
        <v>34</v>
      </c>
      <c r="H64" s="471">
        <v>993.01</v>
      </c>
      <c r="I64" s="472" t="s">
        <v>5970</v>
      </c>
      <c r="J64" s="287" t="s">
        <v>5981</v>
      </c>
      <c r="K64" s="423">
        <v>2023</v>
      </c>
      <c r="L64" s="422" t="s">
        <v>42</v>
      </c>
      <c r="M64" s="422" t="s">
        <v>5987</v>
      </c>
    </row>
    <row r="65" spans="2:13" ht="15.75" thickBot="1" x14ac:dyDescent="0.3">
      <c r="B65" s="424" t="s">
        <v>4668</v>
      </c>
      <c r="C65" s="425" t="s">
        <v>5968</v>
      </c>
      <c r="D65" s="425" t="s">
        <v>34</v>
      </c>
      <c r="E65" s="425" t="s">
        <v>1745</v>
      </c>
      <c r="F65" s="425" t="s">
        <v>1836</v>
      </c>
      <c r="G65" s="425" t="s">
        <v>34</v>
      </c>
      <c r="H65" s="471">
        <v>993.01</v>
      </c>
      <c r="I65" s="472" t="s">
        <v>5970</v>
      </c>
      <c r="J65" s="287" t="s">
        <v>5981</v>
      </c>
      <c r="K65" s="423">
        <v>2023</v>
      </c>
      <c r="L65" s="422" t="s">
        <v>42</v>
      </c>
      <c r="M65" s="422" t="s">
        <v>5987</v>
      </c>
    </row>
    <row r="66" spans="2:13" ht="15.75" thickBot="1" x14ac:dyDescent="0.3">
      <c r="B66" s="424" t="s">
        <v>4668</v>
      </c>
      <c r="C66" s="425" t="s">
        <v>5968</v>
      </c>
      <c r="D66" s="425" t="s">
        <v>34</v>
      </c>
      <c r="E66" s="425" t="s">
        <v>1745</v>
      </c>
      <c r="F66" s="425" t="s">
        <v>1836</v>
      </c>
      <c r="G66" s="425" t="s">
        <v>34</v>
      </c>
      <c r="H66" s="471">
        <v>993.01</v>
      </c>
      <c r="I66" s="472" t="s">
        <v>5970</v>
      </c>
      <c r="J66" s="287" t="s">
        <v>5981</v>
      </c>
      <c r="K66" s="423">
        <v>2023</v>
      </c>
      <c r="L66" s="422" t="s">
        <v>42</v>
      </c>
      <c r="M66" s="422" t="s">
        <v>5987</v>
      </c>
    </row>
    <row r="67" spans="2:13" ht="15.75" thickBot="1" x14ac:dyDescent="0.3">
      <c r="B67" s="424" t="s">
        <v>4668</v>
      </c>
      <c r="C67" s="425" t="s">
        <v>5968</v>
      </c>
      <c r="D67" s="425" t="s">
        <v>34</v>
      </c>
      <c r="E67" s="425" t="s">
        <v>1745</v>
      </c>
      <c r="F67" s="425" t="s">
        <v>1836</v>
      </c>
      <c r="G67" s="425" t="s">
        <v>34</v>
      </c>
      <c r="H67" s="471">
        <v>993.01</v>
      </c>
      <c r="I67" s="472" t="s">
        <v>5970</v>
      </c>
      <c r="J67" s="287" t="s">
        <v>5981</v>
      </c>
      <c r="K67" s="423">
        <v>2023</v>
      </c>
      <c r="L67" s="422" t="s">
        <v>42</v>
      </c>
      <c r="M67" s="422" t="s">
        <v>5987</v>
      </c>
    </row>
    <row r="68" spans="2:13" ht="15.75" thickBot="1" x14ac:dyDescent="0.3">
      <c r="B68" s="424" t="s">
        <v>4668</v>
      </c>
      <c r="C68" s="425" t="s">
        <v>5968</v>
      </c>
      <c r="D68" s="425" t="s">
        <v>34</v>
      </c>
      <c r="E68" s="425" t="s">
        <v>1745</v>
      </c>
      <c r="F68" s="425" t="s">
        <v>1836</v>
      </c>
      <c r="G68" s="425" t="s">
        <v>34</v>
      </c>
      <c r="H68" s="471">
        <v>993.01</v>
      </c>
      <c r="I68" s="472" t="s">
        <v>5970</v>
      </c>
      <c r="J68" s="287" t="s">
        <v>5981</v>
      </c>
      <c r="K68" s="423">
        <v>2023</v>
      </c>
      <c r="L68" s="422" t="s">
        <v>42</v>
      </c>
      <c r="M68" s="422" t="s">
        <v>5987</v>
      </c>
    </row>
    <row r="69" spans="2:13" ht="15.75" thickBot="1" x14ac:dyDescent="0.3">
      <c r="B69" s="424" t="s">
        <v>4668</v>
      </c>
      <c r="C69" s="425" t="s">
        <v>5968</v>
      </c>
      <c r="D69" s="425" t="s">
        <v>34</v>
      </c>
      <c r="E69" s="425" t="s">
        <v>1745</v>
      </c>
      <c r="F69" s="425" t="s">
        <v>1836</v>
      </c>
      <c r="G69" s="425" t="s">
        <v>34</v>
      </c>
      <c r="H69" s="471">
        <v>993.01</v>
      </c>
      <c r="I69" s="472" t="s">
        <v>5970</v>
      </c>
      <c r="J69" s="287" t="s">
        <v>5981</v>
      </c>
      <c r="K69" s="423">
        <v>2023</v>
      </c>
      <c r="L69" s="422" t="s">
        <v>42</v>
      </c>
      <c r="M69" s="422" t="s">
        <v>5987</v>
      </c>
    </row>
    <row r="70" spans="2:13" ht="15.75" thickBot="1" x14ac:dyDescent="0.3">
      <c r="B70" s="424" t="s">
        <v>4668</v>
      </c>
      <c r="C70" s="425" t="s">
        <v>5968</v>
      </c>
      <c r="D70" s="425" t="s">
        <v>34</v>
      </c>
      <c r="E70" s="425" t="s">
        <v>1745</v>
      </c>
      <c r="F70" s="425" t="s">
        <v>1836</v>
      </c>
      <c r="G70" s="425" t="s">
        <v>34</v>
      </c>
      <c r="H70" s="471">
        <v>993.01</v>
      </c>
      <c r="I70" s="472" t="s">
        <v>5970</v>
      </c>
      <c r="J70" s="287" t="s">
        <v>5981</v>
      </c>
      <c r="K70" s="423">
        <v>2023</v>
      </c>
      <c r="L70" s="422" t="s">
        <v>42</v>
      </c>
      <c r="M70" s="422" t="s">
        <v>5987</v>
      </c>
    </row>
    <row r="71" spans="2:13" ht="15.75" thickBot="1" x14ac:dyDescent="0.3">
      <c r="B71" s="424" t="s">
        <v>4668</v>
      </c>
      <c r="C71" s="425" t="s">
        <v>5968</v>
      </c>
      <c r="D71" s="425" t="s">
        <v>34</v>
      </c>
      <c r="E71" s="425" t="s">
        <v>1745</v>
      </c>
      <c r="F71" s="425" t="s">
        <v>1836</v>
      </c>
      <c r="G71" s="425" t="s">
        <v>34</v>
      </c>
      <c r="H71" s="471">
        <v>993.01</v>
      </c>
      <c r="I71" s="472" t="s">
        <v>5970</v>
      </c>
      <c r="J71" s="287" t="s">
        <v>5981</v>
      </c>
      <c r="K71" s="423">
        <v>2023</v>
      </c>
      <c r="L71" s="422" t="s">
        <v>42</v>
      </c>
      <c r="M71" s="422" t="s">
        <v>5987</v>
      </c>
    </row>
    <row r="72" spans="2:13" ht="15.75" thickBot="1" x14ac:dyDescent="0.3">
      <c r="B72" s="424" t="s">
        <v>4668</v>
      </c>
      <c r="C72" s="425" t="s">
        <v>5968</v>
      </c>
      <c r="D72" s="425" t="s">
        <v>34</v>
      </c>
      <c r="E72" s="425" t="s">
        <v>1745</v>
      </c>
      <c r="F72" s="425" t="s">
        <v>1836</v>
      </c>
      <c r="G72" s="425" t="s">
        <v>34</v>
      </c>
      <c r="H72" s="471">
        <v>993.01</v>
      </c>
      <c r="I72" s="472" t="s">
        <v>5970</v>
      </c>
      <c r="J72" s="287" t="s">
        <v>5981</v>
      </c>
      <c r="K72" s="423">
        <v>2023</v>
      </c>
      <c r="L72" s="422" t="s">
        <v>42</v>
      </c>
      <c r="M72" s="422" t="s">
        <v>5987</v>
      </c>
    </row>
    <row r="73" spans="2:13" ht="15.75" thickBot="1" x14ac:dyDescent="0.3">
      <c r="B73" s="424" t="s">
        <v>4668</v>
      </c>
      <c r="C73" s="425" t="s">
        <v>5968</v>
      </c>
      <c r="D73" s="425" t="s">
        <v>34</v>
      </c>
      <c r="E73" s="425" t="s">
        <v>1745</v>
      </c>
      <c r="F73" s="425" t="s">
        <v>1836</v>
      </c>
      <c r="G73" s="425" t="s">
        <v>34</v>
      </c>
      <c r="H73" s="471">
        <v>993.01</v>
      </c>
      <c r="I73" s="472" t="s">
        <v>5970</v>
      </c>
      <c r="J73" s="287" t="s">
        <v>5981</v>
      </c>
      <c r="K73" s="423">
        <v>2023</v>
      </c>
      <c r="L73" s="422" t="s">
        <v>42</v>
      </c>
      <c r="M73" s="422" t="s">
        <v>5987</v>
      </c>
    </row>
    <row r="74" spans="2:13" ht="15.75" thickBot="1" x14ac:dyDescent="0.3">
      <c r="B74" s="424" t="s">
        <v>4668</v>
      </c>
      <c r="C74" s="425" t="s">
        <v>5968</v>
      </c>
      <c r="D74" s="425" t="s">
        <v>34</v>
      </c>
      <c r="E74" s="425" t="s">
        <v>1745</v>
      </c>
      <c r="F74" s="425" t="s">
        <v>1836</v>
      </c>
      <c r="G74" s="425" t="s">
        <v>34</v>
      </c>
      <c r="H74" s="471">
        <v>993.01</v>
      </c>
      <c r="I74" s="472" t="s">
        <v>5970</v>
      </c>
      <c r="J74" s="287" t="s">
        <v>5981</v>
      </c>
      <c r="K74" s="423">
        <v>2023</v>
      </c>
      <c r="L74" s="422" t="s">
        <v>42</v>
      </c>
      <c r="M74" s="422" t="s">
        <v>5987</v>
      </c>
    </row>
    <row r="75" spans="2:13" ht="15.75" thickBot="1" x14ac:dyDescent="0.3">
      <c r="B75" s="424" t="s">
        <v>4668</v>
      </c>
      <c r="C75" s="425" t="s">
        <v>5968</v>
      </c>
      <c r="D75" s="425" t="s">
        <v>34</v>
      </c>
      <c r="E75" s="425" t="s">
        <v>1745</v>
      </c>
      <c r="F75" s="425" t="s">
        <v>1836</v>
      </c>
      <c r="G75" s="425" t="s">
        <v>34</v>
      </c>
      <c r="H75" s="471">
        <v>993.01</v>
      </c>
      <c r="I75" s="472" t="s">
        <v>5970</v>
      </c>
      <c r="J75" s="287" t="s">
        <v>5981</v>
      </c>
      <c r="K75" s="423">
        <v>2023</v>
      </c>
      <c r="L75" s="422" t="s">
        <v>42</v>
      </c>
      <c r="M75" s="422" t="s">
        <v>5987</v>
      </c>
    </row>
    <row r="76" spans="2:13" ht="15.75" thickBot="1" x14ac:dyDescent="0.3">
      <c r="B76" s="424" t="s">
        <v>4668</v>
      </c>
      <c r="C76" s="425" t="s">
        <v>5968</v>
      </c>
      <c r="D76" s="425" t="s">
        <v>34</v>
      </c>
      <c r="E76" s="425" t="s">
        <v>1745</v>
      </c>
      <c r="F76" s="425" t="s">
        <v>1836</v>
      </c>
      <c r="G76" s="425" t="s">
        <v>34</v>
      </c>
      <c r="H76" s="471">
        <v>993.01</v>
      </c>
      <c r="I76" s="472" t="s">
        <v>5970</v>
      </c>
      <c r="J76" s="287" t="s">
        <v>5981</v>
      </c>
      <c r="K76" s="423">
        <v>2023</v>
      </c>
      <c r="L76" s="422" t="s">
        <v>42</v>
      </c>
      <c r="M76" s="422" t="s">
        <v>5987</v>
      </c>
    </row>
    <row r="77" spans="2:13" ht="15.75" thickBot="1" x14ac:dyDescent="0.3">
      <c r="B77" s="424" t="s">
        <v>4668</v>
      </c>
      <c r="C77" s="425" t="s">
        <v>5971</v>
      </c>
      <c r="D77" s="425" t="s">
        <v>42</v>
      </c>
      <c r="E77" s="425" t="s">
        <v>1745</v>
      </c>
      <c r="F77" s="425" t="s">
        <v>1836</v>
      </c>
      <c r="G77" s="425" t="s">
        <v>34</v>
      </c>
      <c r="H77" s="471">
        <v>852.68</v>
      </c>
      <c r="I77" s="472" t="s">
        <v>5969</v>
      </c>
      <c r="J77" s="287" t="s">
        <v>5981</v>
      </c>
      <c r="K77" s="423">
        <v>2023</v>
      </c>
      <c r="L77" s="422" t="s">
        <v>42</v>
      </c>
      <c r="M77" s="422" t="s">
        <v>5988</v>
      </c>
    </row>
    <row r="78" spans="2:13" ht="15.75" thickBot="1" x14ac:dyDescent="0.3">
      <c r="B78" s="424" t="s">
        <v>4668</v>
      </c>
      <c r="C78" s="425" t="s">
        <v>5971</v>
      </c>
      <c r="D78" s="425" t="s">
        <v>42</v>
      </c>
      <c r="E78" s="425" t="s">
        <v>1745</v>
      </c>
      <c r="F78" s="425" t="s">
        <v>1836</v>
      </c>
      <c r="G78" s="425" t="s">
        <v>34</v>
      </c>
      <c r="H78" s="471">
        <v>852.68</v>
      </c>
      <c r="I78" s="472" t="s">
        <v>5969</v>
      </c>
      <c r="J78" s="287" t="s">
        <v>5981</v>
      </c>
      <c r="K78" s="423">
        <v>2023</v>
      </c>
      <c r="L78" s="422" t="s">
        <v>42</v>
      </c>
      <c r="M78" s="422" t="s">
        <v>5988</v>
      </c>
    </row>
    <row r="79" spans="2:13" ht="15.75" thickBot="1" x14ac:dyDescent="0.3">
      <c r="B79" s="424" t="s">
        <v>4668</v>
      </c>
      <c r="C79" s="425" t="s">
        <v>5971</v>
      </c>
      <c r="D79" s="425" t="s">
        <v>42</v>
      </c>
      <c r="E79" s="425" t="s">
        <v>1745</v>
      </c>
      <c r="F79" s="425" t="s">
        <v>1836</v>
      </c>
      <c r="G79" s="425" t="s">
        <v>34</v>
      </c>
      <c r="H79" s="471">
        <v>852.68</v>
      </c>
      <c r="I79" s="472" t="s">
        <v>5969</v>
      </c>
      <c r="J79" s="287" t="s">
        <v>5981</v>
      </c>
      <c r="K79" s="423">
        <v>2023</v>
      </c>
      <c r="L79" s="422" t="s">
        <v>42</v>
      </c>
      <c r="M79" s="422" t="s">
        <v>5988</v>
      </c>
    </row>
    <row r="80" spans="2:13" ht="15.75" thickBot="1" x14ac:dyDescent="0.3">
      <c r="B80" s="424" t="s">
        <v>4668</v>
      </c>
      <c r="C80" s="425" t="s">
        <v>5971</v>
      </c>
      <c r="D80" s="425" t="s">
        <v>42</v>
      </c>
      <c r="E80" s="425" t="s">
        <v>1745</v>
      </c>
      <c r="F80" s="425" t="s">
        <v>1836</v>
      </c>
      <c r="G80" s="425" t="s">
        <v>34</v>
      </c>
      <c r="H80" s="471">
        <v>852.68</v>
      </c>
      <c r="I80" s="472" t="s">
        <v>5969</v>
      </c>
      <c r="J80" s="287" t="s">
        <v>5981</v>
      </c>
      <c r="K80" s="423">
        <v>2023</v>
      </c>
      <c r="L80" s="422" t="s">
        <v>42</v>
      </c>
      <c r="M80" s="422" t="s">
        <v>5988</v>
      </c>
    </row>
    <row r="81" spans="2:13" ht="15.75" thickBot="1" x14ac:dyDescent="0.3">
      <c r="B81" s="424" t="s">
        <v>4668</v>
      </c>
      <c r="C81" s="425" t="s">
        <v>5971</v>
      </c>
      <c r="D81" s="425" t="s">
        <v>42</v>
      </c>
      <c r="E81" s="425" t="s">
        <v>1745</v>
      </c>
      <c r="F81" s="425" t="s">
        <v>1836</v>
      </c>
      <c r="G81" s="425" t="s">
        <v>34</v>
      </c>
      <c r="H81" s="471">
        <v>852.68</v>
      </c>
      <c r="I81" s="472" t="s">
        <v>5969</v>
      </c>
      <c r="J81" s="287" t="s">
        <v>5981</v>
      </c>
      <c r="K81" s="423">
        <v>2023</v>
      </c>
      <c r="L81" s="422" t="s">
        <v>42</v>
      </c>
      <c r="M81" s="422" t="s">
        <v>5988</v>
      </c>
    </row>
    <row r="82" spans="2:13" ht="15.75" thickBot="1" x14ac:dyDescent="0.3">
      <c r="B82" s="424" t="s">
        <v>4668</v>
      </c>
      <c r="C82" s="425" t="s">
        <v>5971</v>
      </c>
      <c r="D82" s="425" t="s">
        <v>42</v>
      </c>
      <c r="E82" s="425" t="s">
        <v>1745</v>
      </c>
      <c r="F82" s="425" t="s">
        <v>1836</v>
      </c>
      <c r="G82" s="425" t="s">
        <v>34</v>
      </c>
      <c r="H82" s="471">
        <v>852.68</v>
      </c>
      <c r="I82" s="472" t="s">
        <v>5969</v>
      </c>
      <c r="J82" s="287" t="s">
        <v>5981</v>
      </c>
      <c r="K82" s="423">
        <v>2023</v>
      </c>
      <c r="L82" s="422" t="s">
        <v>42</v>
      </c>
      <c r="M82" s="422" t="s">
        <v>5988</v>
      </c>
    </row>
    <row r="83" spans="2:13" ht="15.75" thickBot="1" x14ac:dyDescent="0.3">
      <c r="B83" s="424" t="s">
        <v>4668</v>
      </c>
      <c r="C83" s="425" t="s">
        <v>5971</v>
      </c>
      <c r="D83" s="425" t="s">
        <v>42</v>
      </c>
      <c r="E83" s="425" t="s">
        <v>1745</v>
      </c>
      <c r="F83" s="425" t="s">
        <v>1836</v>
      </c>
      <c r="G83" s="425" t="s">
        <v>34</v>
      </c>
      <c r="H83" s="471">
        <v>993.01</v>
      </c>
      <c r="I83" s="472" t="s">
        <v>5972</v>
      </c>
      <c r="J83" s="287" t="s">
        <v>5981</v>
      </c>
      <c r="K83" s="423">
        <v>2023</v>
      </c>
      <c r="L83" s="422" t="s">
        <v>42</v>
      </c>
      <c r="M83" s="422" t="s">
        <v>5988</v>
      </c>
    </row>
    <row r="84" spans="2:13" ht="15.75" thickBot="1" x14ac:dyDescent="0.3">
      <c r="B84" s="424" t="s">
        <v>4668</v>
      </c>
      <c r="C84" s="425" t="s">
        <v>5971</v>
      </c>
      <c r="D84" s="425" t="s">
        <v>42</v>
      </c>
      <c r="E84" s="425" t="s">
        <v>1745</v>
      </c>
      <c r="F84" s="425" t="s">
        <v>1836</v>
      </c>
      <c r="G84" s="425" t="s">
        <v>34</v>
      </c>
      <c r="H84" s="471">
        <v>993.01</v>
      </c>
      <c r="I84" s="472" t="s">
        <v>5972</v>
      </c>
      <c r="J84" s="287" t="s">
        <v>5981</v>
      </c>
      <c r="K84" s="423">
        <v>2023</v>
      </c>
      <c r="L84" s="422" t="s">
        <v>42</v>
      </c>
      <c r="M84" s="422" t="s">
        <v>5988</v>
      </c>
    </row>
    <row r="85" spans="2:13" ht="15.75" thickBot="1" x14ac:dyDescent="0.3">
      <c r="B85" s="424" t="s">
        <v>4668</v>
      </c>
      <c r="C85" s="425" t="s">
        <v>5971</v>
      </c>
      <c r="D85" s="425" t="s">
        <v>42</v>
      </c>
      <c r="E85" s="425" t="s">
        <v>1745</v>
      </c>
      <c r="F85" s="425" t="s">
        <v>1836</v>
      </c>
      <c r="G85" s="425" t="s">
        <v>34</v>
      </c>
      <c r="H85" s="471">
        <v>993.01</v>
      </c>
      <c r="I85" s="472" t="s">
        <v>5972</v>
      </c>
      <c r="J85" s="287" t="s">
        <v>5981</v>
      </c>
      <c r="K85" s="423">
        <v>2023</v>
      </c>
      <c r="L85" s="422" t="s">
        <v>42</v>
      </c>
      <c r="M85" s="422" t="s">
        <v>5988</v>
      </c>
    </row>
    <row r="86" spans="2:13" ht="15.75" thickBot="1" x14ac:dyDescent="0.3">
      <c r="B86" s="424" t="s">
        <v>4668</v>
      </c>
      <c r="C86" s="425" t="s">
        <v>5971</v>
      </c>
      <c r="D86" s="425" t="s">
        <v>42</v>
      </c>
      <c r="E86" s="425" t="s">
        <v>1745</v>
      </c>
      <c r="F86" s="425" t="s">
        <v>1836</v>
      </c>
      <c r="G86" s="425" t="s">
        <v>34</v>
      </c>
      <c r="H86" s="471">
        <v>993.01</v>
      </c>
      <c r="I86" s="472" t="s">
        <v>5972</v>
      </c>
      <c r="J86" s="287" t="s">
        <v>5981</v>
      </c>
      <c r="K86" s="423">
        <v>2023</v>
      </c>
      <c r="L86" s="422" t="s">
        <v>42</v>
      </c>
      <c r="M86" s="422" t="s">
        <v>5988</v>
      </c>
    </row>
    <row r="87" spans="2:13" ht="15.75" thickBot="1" x14ac:dyDescent="0.3">
      <c r="B87" s="424" t="s">
        <v>4668</v>
      </c>
      <c r="C87" s="425" t="s">
        <v>5971</v>
      </c>
      <c r="D87" s="425" t="s">
        <v>42</v>
      </c>
      <c r="E87" s="425" t="s">
        <v>1745</v>
      </c>
      <c r="F87" s="425" t="s">
        <v>1836</v>
      </c>
      <c r="G87" s="425" t="s">
        <v>34</v>
      </c>
      <c r="H87" s="471">
        <v>993.01</v>
      </c>
      <c r="I87" s="472" t="s">
        <v>5972</v>
      </c>
      <c r="J87" s="287" t="s">
        <v>5981</v>
      </c>
      <c r="K87" s="423">
        <v>2023</v>
      </c>
      <c r="L87" s="422" t="s">
        <v>42</v>
      </c>
      <c r="M87" s="422" t="s">
        <v>5988</v>
      </c>
    </row>
    <row r="88" spans="2:13" ht="15.75" thickBot="1" x14ac:dyDescent="0.3">
      <c r="B88" s="424" t="s">
        <v>4668</v>
      </c>
      <c r="C88" s="425" t="s">
        <v>5971</v>
      </c>
      <c r="D88" s="425" t="s">
        <v>42</v>
      </c>
      <c r="E88" s="425" t="s">
        <v>1745</v>
      </c>
      <c r="F88" s="425" t="s">
        <v>1836</v>
      </c>
      <c r="G88" s="425" t="s">
        <v>34</v>
      </c>
      <c r="H88" s="471">
        <v>993.01</v>
      </c>
      <c r="I88" s="472" t="s">
        <v>5972</v>
      </c>
      <c r="J88" s="287" t="s">
        <v>5981</v>
      </c>
      <c r="K88" s="423">
        <v>2023</v>
      </c>
      <c r="L88" s="422" t="s">
        <v>42</v>
      </c>
      <c r="M88" s="422" t="s">
        <v>5988</v>
      </c>
    </row>
    <row r="89" spans="2:13" ht="15.75" thickBot="1" x14ac:dyDescent="0.3">
      <c r="B89" s="424" t="s">
        <v>4668</v>
      </c>
      <c r="C89" s="425" t="s">
        <v>5971</v>
      </c>
      <c r="D89" s="425" t="s">
        <v>42</v>
      </c>
      <c r="E89" s="425" t="s">
        <v>1745</v>
      </c>
      <c r="F89" s="425" t="s">
        <v>1836</v>
      </c>
      <c r="G89" s="425" t="s">
        <v>34</v>
      </c>
      <c r="H89" s="471">
        <v>993.01</v>
      </c>
      <c r="I89" s="472" t="s">
        <v>5972</v>
      </c>
      <c r="J89" s="287" t="s">
        <v>5981</v>
      </c>
      <c r="K89" s="423">
        <v>2023</v>
      </c>
      <c r="L89" s="422" t="s">
        <v>42</v>
      </c>
      <c r="M89" s="422" t="s">
        <v>5988</v>
      </c>
    </row>
    <row r="90" spans="2:13" ht="15.75" thickBot="1" x14ac:dyDescent="0.3">
      <c r="B90" s="424" t="s">
        <v>4668</v>
      </c>
      <c r="C90" s="425" t="s">
        <v>5971</v>
      </c>
      <c r="D90" s="425" t="s">
        <v>42</v>
      </c>
      <c r="E90" s="425" t="s">
        <v>1745</v>
      </c>
      <c r="F90" s="425" t="s">
        <v>1836</v>
      </c>
      <c r="G90" s="425" t="s">
        <v>34</v>
      </c>
      <c r="H90" s="471">
        <v>993.01</v>
      </c>
      <c r="I90" s="472" t="s">
        <v>5972</v>
      </c>
      <c r="J90" s="287" t="s">
        <v>5981</v>
      </c>
      <c r="K90" s="423">
        <v>2023</v>
      </c>
      <c r="L90" s="422" t="s">
        <v>42</v>
      </c>
      <c r="M90" s="422" t="s">
        <v>5988</v>
      </c>
    </row>
    <row r="91" spans="2:13" ht="15.75" thickBot="1" x14ac:dyDescent="0.3">
      <c r="B91" s="424" t="s">
        <v>4668</v>
      </c>
      <c r="C91" s="425" t="s">
        <v>5971</v>
      </c>
      <c r="D91" s="425" t="s">
        <v>42</v>
      </c>
      <c r="E91" s="425" t="s">
        <v>1745</v>
      </c>
      <c r="F91" s="425" t="s">
        <v>1836</v>
      </c>
      <c r="G91" s="425" t="s">
        <v>34</v>
      </c>
      <c r="H91" s="471">
        <v>993.01</v>
      </c>
      <c r="I91" s="472" t="s">
        <v>5972</v>
      </c>
      <c r="J91" s="287" t="s">
        <v>5981</v>
      </c>
      <c r="K91" s="423">
        <v>2023</v>
      </c>
      <c r="L91" s="422" t="s">
        <v>42</v>
      </c>
      <c r="M91" s="422" t="s">
        <v>5988</v>
      </c>
    </row>
    <row r="92" spans="2:13" ht="15.75" thickBot="1" x14ac:dyDescent="0.3">
      <c r="B92" s="424" t="s">
        <v>4668</v>
      </c>
      <c r="C92" s="425" t="s">
        <v>5971</v>
      </c>
      <c r="D92" s="425" t="s">
        <v>42</v>
      </c>
      <c r="E92" s="425" t="s">
        <v>1745</v>
      </c>
      <c r="F92" s="425" t="s">
        <v>1836</v>
      </c>
      <c r="G92" s="425" t="s">
        <v>34</v>
      </c>
      <c r="H92" s="471">
        <v>993.01</v>
      </c>
      <c r="I92" s="472" t="s">
        <v>5972</v>
      </c>
      <c r="J92" s="287" t="s">
        <v>5981</v>
      </c>
      <c r="K92" s="423">
        <v>2023</v>
      </c>
      <c r="L92" s="422" t="s">
        <v>42</v>
      </c>
      <c r="M92" s="422" t="s">
        <v>5988</v>
      </c>
    </row>
    <row r="93" spans="2:13" ht="15.75" thickBot="1" x14ac:dyDescent="0.3">
      <c r="B93" s="424" t="s">
        <v>4668</v>
      </c>
      <c r="C93" s="425" t="s">
        <v>5971</v>
      </c>
      <c r="D93" s="425" t="s">
        <v>42</v>
      </c>
      <c r="E93" s="425" t="s">
        <v>1745</v>
      </c>
      <c r="F93" s="425" t="s">
        <v>1836</v>
      </c>
      <c r="G93" s="425" t="s">
        <v>34</v>
      </c>
      <c r="H93" s="471">
        <v>943.48</v>
      </c>
      <c r="I93" s="472" t="s">
        <v>5973</v>
      </c>
      <c r="J93" s="287" t="s">
        <v>5981</v>
      </c>
      <c r="K93" s="423">
        <v>2023</v>
      </c>
      <c r="L93" s="422" t="s">
        <v>42</v>
      </c>
      <c r="M93" s="422" t="s">
        <v>5988</v>
      </c>
    </row>
    <row r="94" spans="2:13" ht="15.75" thickBot="1" x14ac:dyDescent="0.3">
      <c r="B94" s="424" t="s">
        <v>4668</v>
      </c>
      <c r="C94" s="425" t="s">
        <v>5971</v>
      </c>
      <c r="D94" s="425" t="s">
        <v>42</v>
      </c>
      <c r="E94" s="425" t="s">
        <v>1745</v>
      </c>
      <c r="F94" s="425" t="s">
        <v>1836</v>
      </c>
      <c r="G94" s="425" t="s">
        <v>34</v>
      </c>
      <c r="H94" s="471">
        <v>943.48</v>
      </c>
      <c r="I94" s="472" t="s">
        <v>5973</v>
      </c>
      <c r="J94" s="287" t="s">
        <v>5981</v>
      </c>
      <c r="K94" s="423">
        <v>2023</v>
      </c>
      <c r="L94" s="422" t="s">
        <v>42</v>
      </c>
      <c r="M94" s="422" t="s">
        <v>5988</v>
      </c>
    </row>
    <row r="95" spans="2:13" ht="15.75" thickBot="1" x14ac:dyDescent="0.3">
      <c r="B95" s="424" t="s">
        <v>4668</v>
      </c>
      <c r="C95" s="425" t="s">
        <v>5971</v>
      </c>
      <c r="D95" s="425" t="s">
        <v>42</v>
      </c>
      <c r="E95" s="425" t="s">
        <v>1745</v>
      </c>
      <c r="F95" s="425" t="s">
        <v>1836</v>
      </c>
      <c r="G95" s="425" t="s">
        <v>34</v>
      </c>
      <c r="H95" s="471">
        <v>943.48</v>
      </c>
      <c r="I95" s="472" t="s">
        <v>5973</v>
      </c>
      <c r="J95" s="287" t="s">
        <v>5981</v>
      </c>
      <c r="K95" s="423">
        <v>2023</v>
      </c>
      <c r="L95" s="422" t="s">
        <v>42</v>
      </c>
      <c r="M95" s="422" t="s">
        <v>5988</v>
      </c>
    </row>
    <row r="96" spans="2:13" ht="15.75" thickBot="1" x14ac:dyDescent="0.3">
      <c r="B96" s="424" t="s">
        <v>4668</v>
      </c>
      <c r="C96" s="425" t="s">
        <v>5971</v>
      </c>
      <c r="D96" s="425" t="s">
        <v>42</v>
      </c>
      <c r="E96" s="425" t="s">
        <v>1745</v>
      </c>
      <c r="F96" s="425" t="s">
        <v>1836</v>
      </c>
      <c r="G96" s="425" t="s">
        <v>34</v>
      </c>
      <c r="H96" s="471">
        <v>1219.08</v>
      </c>
      <c r="I96" s="472" t="s">
        <v>5974</v>
      </c>
      <c r="J96" s="287" t="s">
        <v>5981</v>
      </c>
      <c r="K96" s="423">
        <v>2023</v>
      </c>
      <c r="L96" s="422" t="s">
        <v>42</v>
      </c>
      <c r="M96" s="422" t="s">
        <v>5988</v>
      </c>
    </row>
    <row r="97" spans="2:13" ht="15.75" thickBot="1" x14ac:dyDescent="0.3">
      <c r="B97" s="424" t="s">
        <v>4668</v>
      </c>
      <c r="C97" s="425" t="s">
        <v>5971</v>
      </c>
      <c r="D97" s="425" t="s">
        <v>42</v>
      </c>
      <c r="E97" s="425" t="s">
        <v>1745</v>
      </c>
      <c r="F97" s="425" t="s">
        <v>1836</v>
      </c>
      <c r="G97" s="425" t="s">
        <v>34</v>
      </c>
      <c r="H97" s="471">
        <v>1194.08</v>
      </c>
      <c r="I97" s="472" t="s">
        <v>5975</v>
      </c>
      <c r="J97" s="287" t="s">
        <v>5981</v>
      </c>
      <c r="K97" s="423">
        <v>2023</v>
      </c>
      <c r="L97" s="422" t="s">
        <v>42</v>
      </c>
      <c r="M97" s="422" t="s">
        <v>5988</v>
      </c>
    </row>
    <row r="98" spans="2:13" ht="15.75" thickBot="1" x14ac:dyDescent="0.3">
      <c r="B98" s="424" t="s">
        <v>4668</v>
      </c>
      <c r="C98" s="425" t="s">
        <v>5971</v>
      </c>
      <c r="D98" s="425" t="s">
        <v>42</v>
      </c>
      <c r="E98" s="425" t="s">
        <v>1745</v>
      </c>
      <c r="F98" s="425" t="s">
        <v>1836</v>
      </c>
      <c r="G98" s="425" t="s">
        <v>34</v>
      </c>
      <c r="H98" s="471">
        <v>1072.46</v>
      </c>
      <c r="I98" s="472" t="s">
        <v>5972</v>
      </c>
      <c r="J98" s="287" t="s">
        <v>5981</v>
      </c>
      <c r="K98" s="423">
        <v>2023</v>
      </c>
      <c r="L98" s="422" t="s">
        <v>42</v>
      </c>
      <c r="M98" s="422" t="s">
        <v>5988</v>
      </c>
    </row>
    <row r="99" spans="2:13" ht="15.75" thickBot="1" x14ac:dyDescent="0.3">
      <c r="B99" s="424" t="s">
        <v>4668</v>
      </c>
      <c r="C99" s="425" t="s">
        <v>5971</v>
      </c>
      <c r="D99" s="425" t="s">
        <v>42</v>
      </c>
      <c r="E99" s="425" t="s">
        <v>1745</v>
      </c>
      <c r="F99" s="425" t="s">
        <v>1836</v>
      </c>
      <c r="G99" s="425" t="s">
        <v>34</v>
      </c>
      <c r="H99" s="471">
        <v>1072.46</v>
      </c>
      <c r="I99" s="472" t="s">
        <v>5972</v>
      </c>
      <c r="J99" s="287" t="s">
        <v>5981</v>
      </c>
      <c r="K99" s="423">
        <v>2023</v>
      </c>
      <c r="L99" s="422" t="s">
        <v>42</v>
      </c>
      <c r="M99" s="422" t="s">
        <v>5988</v>
      </c>
    </row>
    <row r="100" spans="2:13" ht="15.75" thickBot="1" x14ac:dyDescent="0.3">
      <c r="B100" s="424" t="s">
        <v>4668</v>
      </c>
      <c r="C100" s="425" t="s">
        <v>5971</v>
      </c>
      <c r="D100" s="425" t="s">
        <v>42</v>
      </c>
      <c r="E100" s="425" t="s">
        <v>1745</v>
      </c>
      <c r="F100" s="425" t="s">
        <v>1836</v>
      </c>
      <c r="G100" s="425" t="s">
        <v>34</v>
      </c>
      <c r="H100" s="471">
        <v>1072.46</v>
      </c>
      <c r="I100" s="472" t="s">
        <v>5972</v>
      </c>
      <c r="J100" s="287" t="s">
        <v>5981</v>
      </c>
      <c r="K100" s="423">
        <v>2023</v>
      </c>
      <c r="L100" s="422" t="s">
        <v>42</v>
      </c>
      <c r="M100" s="422" t="s">
        <v>5988</v>
      </c>
    </row>
    <row r="101" spans="2:13" ht="15.75" thickBot="1" x14ac:dyDescent="0.3">
      <c r="B101" s="424" t="s">
        <v>4668</v>
      </c>
      <c r="C101" s="425" t="s">
        <v>5971</v>
      </c>
      <c r="D101" s="425" t="s">
        <v>42</v>
      </c>
      <c r="E101" s="425" t="s">
        <v>1745</v>
      </c>
      <c r="F101" s="425" t="s">
        <v>1836</v>
      </c>
      <c r="G101" s="425" t="s">
        <v>34</v>
      </c>
      <c r="H101" s="471">
        <v>1072.46</v>
      </c>
      <c r="I101" s="472" t="s">
        <v>5972</v>
      </c>
      <c r="J101" s="287" t="s">
        <v>5981</v>
      </c>
      <c r="K101" s="423">
        <v>2023</v>
      </c>
      <c r="L101" s="422" t="s">
        <v>42</v>
      </c>
      <c r="M101" s="422" t="s">
        <v>5988</v>
      </c>
    </row>
    <row r="102" spans="2:13" ht="15.75" thickBot="1" x14ac:dyDescent="0.3">
      <c r="B102" s="424" t="s">
        <v>4668</v>
      </c>
      <c r="C102" s="425" t="s">
        <v>5971</v>
      </c>
      <c r="D102" s="425" t="s">
        <v>42</v>
      </c>
      <c r="E102" s="425" t="s">
        <v>1745</v>
      </c>
      <c r="F102" s="425" t="s">
        <v>1836</v>
      </c>
      <c r="G102" s="425" t="s">
        <v>34</v>
      </c>
      <c r="H102" s="471">
        <v>1072.46</v>
      </c>
      <c r="I102" s="472" t="s">
        <v>5972</v>
      </c>
      <c r="J102" s="287" t="s">
        <v>5981</v>
      </c>
      <c r="K102" s="423">
        <v>2023</v>
      </c>
      <c r="L102" s="422" t="s">
        <v>42</v>
      </c>
      <c r="M102" s="422" t="s">
        <v>5988</v>
      </c>
    </row>
    <row r="103" spans="2:13" ht="15.75" thickBot="1" x14ac:dyDescent="0.3">
      <c r="B103" s="424" t="s">
        <v>4668</v>
      </c>
      <c r="C103" s="425" t="s">
        <v>5971</v>
      </c>
      <c r="D103" s="425" t="s">
        <v>42</v>
      </c>
      <c r="E103" s="425" t="s">
        <v>1745</v>
      </c>
      <c r="F103" s="425" t="s">
        <v>1836</v>
      </c>
      <c r="G103" s="425" t="s">
        <v>34</v>
      </c>
      <c r="H103" s="471">
        <v>1072.46</v>
      </c>
      <c r="I103" s="472" t="s">
        <v>5972</v>
      </c>
      <c r="J103" s="287" t="s">
        <v>5981</v>
      </c>
      <c r="K103" s="423">
        <v>2023</v>
      </c>
      <c r="L103" s="422" t="s">
        <v>42</v>
      </c>
      <c r="M103" s="422" t="s">
        <v>5988</v>
      </c>
    </row>
    <row r="104" spans="2:13" ht="15.75" thickBot="1" x14ac:dyDescent="0.3">
      <c r="B104" s="424" t="s">
        <v>4668</v>
      </c>
      <c r="C104" s="425" t="s">
        <v>5971</v>
      </c>
      <c r="D104" s="425" t="s">
        <v>42</v>
      </c>
      <c r="E104" s="425" t="s">
        <v>1745</v>
      </c>
      <c r="F104" s="425" t="s">
        <v>1836</v>
      </c>
      <c r="G104" s="425" t="s">
        <v>34</v>
      </c>
      <c r="H104" s="471">
        <v>1072.46</v>
      </c>
      <c r="I104" s="472" t="s">
        <v>5972</v>
      </c>
      <c r="J104" s="287" t="s">
        <v>5981</v>
      </c>
      <c r="K104" s="423">
        <v>2023</v>
      </c>
      <c r="L104" s="422" t="s">
        <v>42</v>
      </c>
      <c r="M104" s="422" t="s">
        <v>5988</v>
      </c>
    </row>
    <row r="105" spans="2:13" ht="15.75" thickBot="1" x14ac:dyDescent="0.3">
      <c r="B105" s="424" t="s">
        <v>4668</v>
      </c>
      <c r="C105" s="425" t="s">
        <v>5971</v>
      </c>
      <c r="D105" s="425" t="s">
        <v>42</v>
      </c>
      <c r="E105" s="425" t="s">
        <v>1745</v>
      </c>
      <c r="F105" s="425" t="s">
        <v>1836</v>
      </c>
      <c r="G105" s="425" t="s">
        <v>34</v>
      </c>
      <c r="H105" s="471">
        <v>1072.46</v>
      </c>
      <c r="I105" s="472" t="s">
        <v>5972</v>
      </c>
      <c r="J105" s="287" t="s">
        <v>5981</v>
      </c>
      <c r="K105" s="423">
        <v>2023</v>
      </c>
      <c r="L105" s="422" t="s">
        <v>42</v>
      </c>
      <c r="M105" s="422" t="s">
        <v>5988</v>
      </c>
    </row>
    <row r="106" spans="2:13" ht="15.75" thickBot="1" x14ac:dyDescent="0.3">
      <c r="B106" s="424" t="s">
        <v>4668</v>
      </c>
      <c r="C106" s="425" t="s">
        <v>5971</v>
      </c>
      <c r="D106" s="425" t="s">
        <v>42</v>
      </c>
      <c r="E106" s="425" t="s">
        <v>1745</v>
      </c>
      <c r="F106" s="425" t="s">
        <v>1836</v>
      </c>
      <c r="G106" s="425" t="s">
        <v>34</v>
      </c>
      <c r="H106" s="471">
        <v>1072.46</v>
      </c>
      <c r="I106" s="472" t="s">
        <v>5972</v>
      </c>
      <c r="J106" s="287" t="s">
        <v>5981</v>
      </c>
      <c r="K106" s="423">
        <v>2023</v>
      </c>
      <c r="L106" s="422" t="s">
        <v>42</v>
      </c>
      <c r="M106" s="422" t="s">
        <v>5988</v>
      </c>
    </row>
    <row r="107" spans="2:13" ht="15.75" thickBot="1" x14ac:dyDescent="0.3">
      <c r="B107" s="424" t="s">
        <v>4668</v>
      </c>
      <c r="C107" s="425" t="s">
        <v>5971</v>
      </c>
      <c r="D107" s="425" t="s">
        <v>42</v>
      </c>
      <c r="E107" s="425" t="s">
        <v>1745</v>
      </c>
      <c r="F107" s="425" t="s">
        <v>1836</v>
      </c>
      <c r="G107" s="425" t="s">
        <v>34</v>
      </c>
      <c r="H107" s="471">
        <v>1072.46</v>
      </c>
      <c r="I107" s="472" t="s">
        <v>5972</v>
      </c>
      <c r="J107" s="287" t="s">
        <v>5981</v>
      </c>
      <c r="K107" s="423">
        <v>2023</v>
      </c>
      <c r="L107" s="422" t="s">
        <v>42</v>
      </c>
      <c r="M107" s="422" t="s">
        <v>5988</v>
      </c>
    </row>
    <row r="108" spans="2:13" ht="15.75" thickBot="1" x14ac:dyDescent="0.3">
      <c r="B108" s="424" t="s">
        <v>4668</v>
      </c>
      <c r="C108" s="425" t="s">
        <v>5971</v>
      </c>
      <c r="D108" s="425" t="s">
        <v>42</v>
      </c>
      <c r="E108" s="425" t="s">
        <v>1745</v>
      </c>
      <c r="F108" s="425" t="s">
        <v>1836</v>
      </c>
      <c r="G108" s="425" t="s">
        <v>34</v>
      </c>
      <c r="H108" s="471">
        <v>511.38</v>
      </c>
      <c r="I108" s="472" t="s">
        <v>5976</v>
      </c>
      <c r="J108" s="287" t="s">
        <v>5981</v>
      </c>
      <c r="K108" s="423">
        <v>2023</v>
      </c>
      <c r="L108" s="422" t="s">
        <v>42</v>
      </c>
      <c r="M108" s="422" t="s">
        <v>5988</v>
      </c>
    </row>
    <row r="109" spans="2:13" ht="15.75" thickBot="1" x14ac:dyDescent="0.3">
      <c r="B109" s="424" t="s">
        <v>4668</v>
      </c>
      <c r="C109" s="425" t="s">
        <v>5971</v>
      </c>
      <c r="D109" s="425" t="s">
        <v>42</v>
      </c>
      <c r="E109" s="425" t="s">
        <v>1745</v>
      </c>
      <c r="F109" s="425" t="s">
        <v>1836</v>
      </c>
      <c r="G109" s="425" t="s">
        <v>34</v>
      </c>
      <c r="H109" s="471">
        <v>511.38</v>
      </c>
      <c r="I109" s="472" t="s">
        <v>5976</v>
      </c>
      <c r="J109" s="287" t="s">
        <v>5981</v>
      </c>
      <c r="K109" s="423">
        <v>2023</v>
      </c>
      <c r="L109" s="422" t="s">
        <v>42</v>
      </c>
      <c r="M109" s="422" t="s">
        <v>5988</v>
      </c>
    </row>
    <row r="110" spans="2:13" ht="15.75" thickBot="1" x14ac:dyDescent="0.3">
      <c r="B110" s="424" t="s">
        <v>4668</v>
      </c>
      <c r="C110" s="425" t="s">
        <v>5971</v>
      </c>
      <c r="D110" s="425" t="s">
        <v>42</v>
      </c>
      <c r="E110" s="425" t="s">
        <v>1745</v>
      </c>
      <c r="F110" s="425" t="s">
        <v>1836</v>
      </c>
      <c r="G110" s="425" t="s">
        <v>34</v>
      </c>
      <c r="H110" s="471">
        <v>502.19</v>
      </c>
      <c r="I110" s="472" t="s">
        <v>5977</v>
      </c>
      <c r="J110" s="287" t="s">
        <v>5981</v>
      </c>
      <c r="K110" s="423">
        <v>2023</v>
      </c>
      <c r="L110" s="422" t="s">
        <v>42</v>
      </c>
      <c r="M110" s="422" t="s">
        <v>5988</v>
      </c>
    </row>
    <row r="111" spans="2:13" ht="15.75" thickBot="1" x14ac:dyDescent="0.3">
      <c r="B111" s="424" t="s">
        <v>4668</v>
      </c>
      <c r="C111" s="425" t="s">
        <v>5971</v>
      </c>
      <c r="D111" s="425" t="s">
        <v>42</v>
      </c>
      <c r="E111" s="425" t="s">
        <v>1745</v>
      </c>
      <c r="F111" s="425" t="s">
        <v>1836</v>
      </c>
      <c r="G111" s="425" t="s">
        <v>34</v>
      </c>
      <c r="H111" s="471">
        <v>502.19</v>
      </c>
      <c r="I111" s="472" t="s">
        <v>5976</v>
      </c>
      <c r="J111" s="287" t="s">
        <v>5981</v>
      </c>
      <c r="K111" s="423">
        <v>2023</v>
      </c>
      <c r="L111" s="422" t="s">
        <v>42</v>
      </c>
      <c r="M111" s="422" t="s">
        <v>5988</v>
      </c>
    </row>
    <row r="112" spans="2:13" ht="15.75" thickBot="1" x14ac:dyDescent="0.3">
      <c r="B112" s="424" t="s">
        <v>4668</v>
      </c>
      <c r="C112" s="425" t="s">
        <v>5971</v>
      </c>
      <c r="D112" s="425" t="s">
        <v>42</v>
      </c>
      <c r="E112" s="425" t="s">
        <v>1745</v>
      </c>
      <c r="F112" s="425" t="s">
        <v>1836</v>
      </c>
      <c r="G112" s="425" t="s">
        <v>34</v>
      </c>
      <c r="H112" s="471">
        <v>502.19</v>
      </c>
      <c r="I112" s="472" t="s">
        <v>5976</v>
      </c>
      <c r="J112" s="287" t="s">
        <v>5981</v>
      </c>
      <c r="K112" s="423">
        <v>2023</v>
      </c>
      <c r="L112" s="422" t="s">
        <v>42</v>
      </c>
      <c r="M112" s="422" t="s">
        <v>5988</v>
      </c>
    </row>
    <row r="113" spans="2:13" ht="15.75" thickBot="1" x14ac:dyDescent="0.3">
      <c r="B113" s="424" t="s">
        <v>4668</v>
      </c>
      <c r="C113" s="425" t="s">
        <v>5971</v>
      </c>
      <c r="D113" s="425" t="s">
        <v>42</v>
      </c>
      <c r="E113" s="425" t="s">
        <v>1745</v>
      </c>
      <c r="F113" s="425" t="s">
        <v>1836</v>
      </c>
      <c r="G113" s="425" t="s">
        <v>34</v>
      </c>
      <c r="H113" s="471">
        <v>511.38</v>
      </c>
      <c r="I113" s="472" t="s">
        <v>5976</v>
      </c>
      <c r="J113" s="287" t="s">
        <v>5981</v>
      </c>
      <c r="K113" s="423">
        <v>2023</v>
      </c>
      <c r="L113" s="422" t="s">
        <v>42</v>
      </c>
      <c r="M113" s="422" t="s">
        <v>5988</v>
      </c>
    </row>
    <row r="114" spans="2:13" ht="15.75" thickBot="1" x14ac:dyDescent="0.3">
      <c r="B114" s="424" t="s">
        <v>4668</v>
      </c>
      <c r="C114" s="425" t="s">
        <v>5971</v>
      </c>
      <c r="D114" s="425" t="s">
        <v>42</v>
      </c>
      <c r="E114" s="425" t="s">
        <v>1745</v>
      </c>
      <c r="F114" s="425" t="s">
        <v>1836</v>
      </c>
      <c r="G114" s="425" t="s">
        <v>34</v>
      </c>
      <c r="H114" s="471">
        <v>1236.76</v>
      </c>
      <c r="I114" s="472" t="s">
        <v>5975</v>
      </c>
      <c r="J114" s="287" t="s">
        <v>5981</v>
      </c>
      <c r="K114" s="423">
        <v>2023</v>
      </c>
      <c r="L114" s="422" t="s">
        <v>42</v>
      </c>
      <c r="M114" s="422" t="s">
        <v>5988</v>
      </c>
    </row>
    <row r="115" spans="2:13" ht="15.75" thickBot="1" x14ac:dyDescent="0.3">
      <c r="B115" s="424" t="s">
        <v>4668</v>
      </c>
      <c r="C115" s="425" t="s">
        <v>5971</v>
      </c>
      <c r="D115" s="425" t="s">
        <v>42</v>
      </c>
      <c r="E115" s="425" t="s">
        <v>1745</v>
      </c>
      <c r="F115" s="425" t="s">
        <v>1836</v>
      </c>
      <c r="G115" s="425" t="s">
        <v>34</v>
      </c>
      <c r="H115" s="471">
        <v>1236.76</v>
      </c>
      <c r="I115" s="472" t="s">
        <v>5975</v>
      </c>
      <c r="J115" s="287" t="s">
        <v>5981</v>
      </c>
      <c r="K115" s="423">
        <v>2023</v>
      </c>
      <c r="L115" s="422" t="s">
        <v>42</v>
      </c>
      <c r="M115" s="422" t="s">
        <v>5988</v>
      </c>
    </row>
    <row r="116" spans="2:13" ht="15.75" thickBot="1" x14ac:dyDescent="0.3">
      <c r="B116" s="424" t="s">
        <v>4668</v>
      </c>
      <c r="C116" s="425" t="s">
        <v>5971</v>
      </c>
      <c r="D116" s="425" t="s">
        <v>42</v>
      </c>
      <c r="E116" s="425" t="s">
        <v>1745</v>
      </c>
      <c r="F116" s="425" t="s">
        <v>1836</v>
      </c>
      <c r="G116" s="425" t="s">
        <v>34</v>
      </c>
      <c r="H116" s="471">
        <v>1236.76</v>
      </c>
      <c r="I116" s="472" t="s">
        <v>5975</v>
      </c>
      <c r="J116" s="287" t="s">
        <v>5981</v>
      </c>
      <c r="K116" s="423">
        <v>2023</v>
      </c>
      <c r="L116" s="422" t="s">
        <v>42</v>
      </c>
      <c r="M116" s="422" t="s">
        <v>5988</v>
      </c>
    </row>
    <row r="117" spans="2:13" ht="15.75" thickBot="1" x14ac:dyDescent="0.3">
      <c r="B117" s="424" t="s">
        <v>4668</v>
      </c>
      <c r="C117" s="425" t="s">
        <v>5971</v>
      </c>
      <c r="D117" s="425" t="s">
        <v>42</v>
      </c>
      <c r="E117" s="425" t="s">
        <v>1745</v>
      </c>
      <c r="F117" s="425" t="s">
        <v>1836</v>
      </c>
      <c r="G117" s="425" t="s">
        <v>34</v>
      </c>
      <c r="H117" s="471">
        <v>1297.44</v>
      </c>
      <c r="I117" s="472" t="s">
        <v>5974</v>
      </c>
      <c r="J117" s="287" t="s">
        <v>5981</v>
      </c>
      <c r="K117" s="423">
        <v>2023</v>
      </c>
      <c r="L117" s="422" t="s">
        <v>42</v>
      </c>
      <c r="M117" s="422" t="s">
        <v>5988</v>
      </c>
    </row>
    <row r="118" spans="2:13" ht="15.75" thickBot="1" x14ac:dyDescent="0.3">
      <c r="B118" s="424" t="s">
        <v>4668</v>
      </c>
      <c r="C118" s="425" t="s">
        <v>5971</v>
      </c>
      <c r="D118" s="425" t="s">
        <v>42</v>
      </c>
      <c r="E118" s="425" t="s">
        <v>1745</v>
      </c>
      <c r="F118" s="425" t="s">
        <v>1836</v>
      </c>
      <c r="G118" s="425" t="s">
        <v>34</v>
      </c>
      <c r="H118" s="471">
        <v>1289.19</v>
      </c>
      <c r="I118" s="472" t="s">
        <v>5974</v>
      </c>
      <c r="J118" s="287" t="s">
        <v>5981</v>
      </c>
      <c r="K118" s="423">
        <v>2023</v>
      </c>
      <c r="L118" s="422" t="s">
        <v>42</v>
      </c>
      <c r="M118" s="422" t="s">
        <v>5988</v>
      </c>
    </row>
    <row r="119" spans="2:13" ht="15.75" thickBot="1" x14ac:dyDescent="0.3">
      <c r="B119" s="424" t="s">
        <v>4668</v>
      </c>
      <c r="C119" s="425" t="s">
        <v>5971</v>
      </c>
      <c r="D119" s="425" t="s">
        <v>42</v>
      </c>
      <c r="E119" s="425" t="s">
        <v>1745</v>
      </c>
      <c r="F119" s="425" t="s">
        <v>1836</v>
      </c>
      <c r="G119" s="425" t="s">
        <v>34</v>
      </c>
      <c r="H119" s="471">
        <v>1289.19</v>
      </c>
      <c r="I119" s="472" t="s">
        <v>5974</v>
      </c>
      <c r="J119" s="287" t="s">
        <v>5981</v>
      </c>
      <c r="K119" s="423">
        <v>2023</v>
      </c>
      <c r="L119" s="422" t="s">
        <v>42</v>
      </c>
      <c r="M119" s="422" t="s">
        <v>5988</v>
      </c>
    </row>
    <row r="120" spans="2:13" ht="15.75" thickBot="1" x14ac:dyDescent="0.3">
      <c r="B120" s="424" t="s">
        <v>4668</v>
      </c>
      <c r="C120" s="425" t="s">
        <v>5971</v>
      </c>
      <c r="D120" s="425" t="s">
        <v>42</v>
      </c>
      <c r="E120" s="425" t="s">
        <v>1745</v>
      </c>
      <c r="F120" s="425" t="s">
        <v>1836</v>
      </c>
      <c r="G120" s="425" t="s">
        <v>34</v>
      </c>
      <c r="H120" s="471">
        <v>1289.19</v>
      </c>
      <c r="I120" s="472" t="s">
        <v>5974</v>
      </c>
      <c r="J120" s="287" t="s">
        <v>5981</v>
      </c>
      <c r="K120" s="423">
        <v>2023</v>
      </c>
      <c r="L120" s="422" t="s">
        <v>42</v>
      </c>
      <c r="M120" s="422" t="s">
        <v>5988</v>
      </c>
    </row>
    <row r="121" spans="2:13" ht="15.75" thickBot="1" x14ac:dyDescent="0.3">
      <c r="B121" s="424" t="s">
        <v>4668</v>
      </c>
      <c r="C121" s="425" t="s">
        <v>5971</v>
      </c>
      <c r="D121" s="425" t="s">
        <v>42</v>
      </c>
      <c r="E121" s="425" t="s">
        <v>1745</v>
      </c>
      <c r="F121" s="425" t="s">
        <v>1836</v>
      </c>
      <c r="G121" s="425" t="s">
        <v>34</v>
      </c>
      <c r="H121" s="471">
        <v>1289.19</v>
      </c>
      <c r="I121" s="472" t="s">
        <v>5974</v>
      </c>
      <c r="J121" s="287" t="s">
        <v>5981</v>
      </c>
      <c r="K121" s="423">
        <v>2023</v>
      </c>
      <c r="L121" s="422" t="s">
        <v>42</v>
      </c>
      <c r="M121" s="422" t="s">
        <v>5988</v>
      </c>
    </row>
    <row r="122" spans="2:13" ht="15.75" thickBot="1" x14ac:dyDescent="0.3">
      <c r="B122" s="424" t="s">
        <v>4668</v>
      </c>
      <c r="C122" s="425" t="s">
        <v>5971</v>
      </c>
      <c r="D122" s="425" t="s">
        <v>42</v>
      </c>
      <c r="E122" s="425" t="s">
        <v>1745</v>
      </c>
      <c r="F122" s="425" t="s">
        <v>1836</v>
      </c>
      <c r="G122" s="425" t="s">
        <v>34</v>
      </c>
      <c r="H122" s="471">
        <v>1289.19</v>
      </c>
      <c r="I122" s="472" t="s">
        <v>5974</v>
      </c>
      <c r="J122" s="287" t="s">
        <v>5981</v>
      </c>
      <c r="K122" s="423">
        <v>2023</v>
      </c>
      <c r="L122" s="422" t="s">
        <v>42</v>
      </c>
      <c r="M122" s="422" t="s">
        <v>5988</v>
      </c>
    </row>
    <row r="123" spans="2:13" ht="15.75" thickBot="1" x14ac:dyDescent="0.3">
      <c r="B123" s="424" t="s">
        <v>4668</v>
      </c>
      <c r="C123" s="425" t="s">
        <v>5971</v>
      </c>
      <c r="D123" s="425" t="s">
        <v>42</v>
      </c>
      <c r="E123" s="425" t="s">
        <v>1745</v>
      </c>
      <c r="F123" s="425" t="s">
        <v>1836</v>
      </c>
      <c r="G123" s="425" t="s">
        <v>34</v>
      </c>
      <c r="H123" s="471">
        <v>1024.08</v>
      </c>
      <c r="I123" s="472" t="s">
        <v>5978</v>
      </c>
      <c r="J123" s="287" t="s">
        <v>5981</v>
      </c>
      <c r="K123" s="423">
        <v>2023</v>
      </c>
      <c r="L123" s="422" t="s">
        <v>42</v>
      </c>
      <c r="M123" s="422" t="s">
        <v>5988</v>
      </c>
    </row>
    <row r="124" spans="2:13" ht="15.75" thickBot="1" x14ac:dyDescent="0.3">
      <c r="B124" s="424" t="s">
        <v>4668</v>
      </c>
      <c r="C124" s="425" t="s">
        <v>5971</v>
      </c>
      <c r="D124" s="425" t="s">
        <v>42</v>
      </c>
      <c r="E124" s="425" t="s">
        <v>1745</v>
      </c>
      <c r="F124" s="425" t="s">
        <v>1836</v>
      </c>
      <c r="G124" s="425" t="s">
        <v>34</v>
      </c>
      <c r="H124" s="471">
        <v>1024.08</v>
      </c>
      <c r="I124" s="472" t="s">
        <v>5978</v>
      </c>
      <c r="J124" s="287" t="s">
        <v>5981</v>
      </c>
      <c r="K124" s="423">
        <v>2023</v>
      </c>
      <c r="L124" s="422" t="s">
        <v>42</v>
      </c>
      <c r="M124" s="422" t="s">
        <v>5988</v>
      </c>
    </row>
    <row r="125" spans="2:13" ht="15.75" thickBot="1" x14ac:dyDescent="0.3">
      <c r="B125" s="424" t="s">
        <v>4668</v>
      </c>
      <c r="C125" s="425" t="s">
        <v>5971</v>
      </c>
      <c r="D125" s="425" t="s">
        <v>42</v>
      </c>
      <c r="E125" s="425" t="s">
        <v>1745</v>
      </c>
      <c r="F125" s="425" t="s">
        <v>1836</v>
      </c>
      <c r="G125" s="425" t="s">
        <v>34</v>
      </c>
      <c r="H125" s="471">
        <v>1024.08</v>
      </c>
      <c r="I125" s="472" t="s">
        <v>5978</v>
      </c>
      <c r="J125" s="287" t="s">
        <v>5981</v>
      </c>
      <c r="K125" s="423">
        <v>2023</v>
      </c>
      <c r="L125" s="422" t="s">
        <v>42</v>
      </c>
      <c r="M125" s="422" t="s">
        <v>5988</v>
      </c>
    </row>
    <row r="126" spans="2:13" ht="15.75" thickBot="1" x14ac:dyDescent="0.3">
      <c r="B126" s="424" t="s">
        <v>4668</v>
      </c>
      <c r="C126" s="425" t="s">
        <v>5971</v>
      </c>
      <c r="D126" s="425" t="s">
        <v>42</v>
      </c>
      <c r="E126" s="425" t="s">
        <v>1745</v>
      </c>
      <c r="F126" s="425" t="s">
        <v>1836</v>
      </c>
      <c r="G126" s="425" t="s">
        <v>34</v>
      </c>
      <c r="H126" s="471">
        <v>508.13</v>
      </c>
      <c r="I126" s="472" t="s">
        <v>5977</v>
      </c>
      <c r="J126" s="287" t="s">
        <v>5981</v>
      </c>
      <c r="K126" s="423">
        <v>2023</v>
      </c>
      <c r="L126" s="422" t="s">
        <v>42</v>
      </c>
      <c r="M126" s="422" t="s">
        <v>5988</v>
      </c>
    </row>
    <row r="127" spans="2:13" ht="15.75" thickBot="1" x14ac:dyDescent="0.3">
      <c r="B127" s="424" t="s">
        <v>4668</v>
      </c>
      <c r="C127" s="425" t="s">
        <v>5971</v>
      </c>
      <c r="D127" s="425" t="s">
        <v>42</v>
      </c>
      <c r="E127" s="425" t="s">
        <v>1745</v>
      </c>
      <c r="F127" s="425" t="s">
        <v>1836</v>
      </c>
      <c r="G127" s="425" t="s">
        <v>34</v>
      </c>
      <c r="H127" s="471">
        <v>508.13</v>
      </c>
      <c r="I127" s="472" t="s">
        <v>5977</v>
      </c>
      <c r="J127" s="287" t="s">
        <v>5981</v>
      </c>
      <c r="K127" s="423">
        <v>2023</v>
      </c>
      <c r="L127" s="422" t="s">
        <v>42</v>
      </c>
      <c r="M127" s="422" t="s">
        <v>5988</v>
      </c>
    </row>
    <row r="128" spans="2:13" ht="15.75" thickBot="1" x14ac:dyDescent="0.3">
      <c r="B128" s="424" t="s">
        <v>4668</v>
      </c>
      <c r="C128" s="425" t="s">
        <v>5971</v>
      </c>
      <c r="D128" s="425" t="s">
        <v>42</v>
      </c>
      <c r="E128" s="425" t="s">
        <v>1745</v>
      </c>
      <c r="F128" s="425" t="s">
        <v>1836</v>
      </c>
      <c r="G128" s="425" t="s">
        <v>34</v>
      </c>
      <c r="H128" s="471">
        <v>508.13</v>
      </c>
      <c r="I128" s="472" t="s">
        <v>5977</v>
      </c>
      <c r="J128" s="287" t="s">
        <v>5981</v>
      </c>
      <c r="K128" s="423">
        <v>2023</v>
      </c>
      <c r="L128" s="422" t="s">
        <v>42</v>
      </c>
      <c r="M128" s="422" t="s">
        <v>5988</v>
      </c>
    </row>
    <row r="129" spans="2:13" ht="15.75" thickBot="1" x14ac:dyDescent="0.3">
      <c r="B129" s="424" t="s">
        <v>4668</v>
      </c>
      <c r="C129" s="425" t="s">
        <v>5971</v>
      </c>
      <c r="D129" s="425" t="s">
        <v>42</v>
      </c>
      <c r="E129" s="425" t="s">
        <v>1745</v>
      </c>
      <c r="F129" s="425" t="s">
        <v>1836</v>
      </c>
      <c r="G129" s="425" t="s">
        <v>34</v>
      </c>
      <c r="H129" s="471">
        <v>514.38</v>
      </c>
      <c r="I129" s="472" t="s">
        <v>5977</v>
      </c>
      <c r="J129" s="287" t="s">
        <v>5981</v>
      </c>
      <c r="K129" s="423">
        <v>2023</v>
      </c>
      <c r="L129" s="422" t="s">
        <v>42</v>
      </c>
      <c r="M129" s="422" t="s">
        <v>5988</v>
      </c>
    </row>
    <row r="130" spans="2:13" ht="15.75" thickBot="1" x14ac:dyDescent="0.3">
      <c r="B130" s="424" t="s">
        <v>4668</v>
      </c>
      <c r="C130" s="425" t="s">
        <v>5971</v>
      </c>
      <c r="D130" s="425" t="s">
        <v>42</v>
      </c>
      <c r="E130" s="425" t="s">
        <v>1745</v>
      </c>
      <c r="F130" s="425" t="s">
        <v>1836</v>
      </c>
      <c r="G130" s="425" t="s">
        <v>34</v>
      </c>
      <c r="H130" s="471">
        <v>514.38</v>
      </c>
      <c r="I130" s="472" t="s">
        <v>5977</v>
      </c>
      <c r="J130" s="287" t="s">
        <v>5981</v>
      </c>
      <c r="K130" s="423">
        <v>2023</v>
      </c>
      <c r="L130" s="422" t="s">
        <v>42</v>
      </c>
      <c r="M130" s="422" t="s">
        <v>5988</v>
      </c>
    </row>
    <row r="131" spans="2:13" ht="15.75" thickBot="1" x14ac:dyDescent="0.3">
      <c r="B131" t="s">
        <v>4668</v>
      </c>
      <c r="C131" t="s">
        <v>5968</v>
      </c>
      <c r="D131" s="425" t="s">
        <v>34</v>
      </c>
      <c r="E131" s="425" t="s">
        <v>1745</v>
      </c>
      <c r="F131" s="425" t="s">
        <v>1836</v>
      </c>
      <c r="G131" s="425" t="s">
        <v>34</v>
      </c>
      <c r="H131" s="459">
        <f t="array" ref="H131">SUMPRODUCT(H$30:H$130,IF(C$30:C$130=C131,1,0))*12</f>
        <v>531430.32000000007</v>
      </c>
      <c r="I131" s="474" t="s">
        <v>5983</v>
      </c>
      <c r="J131" s="287" t="s">
        <v>5982</v>
      </c>
      <c r="K131" s="423">
        <v>2023</v>
      </c>
      <c r="L131" s="422" t="s">
        <v>42</v>
      </c>
      <c r="M131" s="422" t="s">
        <v>5988</v>
      </c>
    </row>
    <row r="132" spans="2:13" ht="15.75" thickBot="1" x14ac:dyDescent="0.3">
      <c r="B132" s="424" t="s">
        <v>4668</v>
      </c>
      <c r="C132" s="425" t="s">
        <v>5971</v>
      </c>
      <c r="D132" s="425" t="s">
        <v>42</v>
      </c>
      <c r="E132" s="425" t="s">
        <v>1745</v>
      </c>
      <c r="F132" s="425" t="s">
        <v>1836</v>
      </c>
      <c r="G132" s="425" t="s">
        <v>34</v>
      </c>
      <c r="H132" s="459">
        <f t="array" ref="H132">SUMPRODUCT(H$30:H$130,IF(C$30:C$130=C132,1,0))*12</f>
        <v>613609.80000000005</v>
      </c>
      <c r="I132" s="474" t="s">
        <v>5983</v>
      </c>
      <c r="J132" s="287" t="s">
        <v>5982</v>
      </c>
      <c r="K132" s="423">
        <v>2023</v>
      </c>
      <c r="L132" s="422" t="s">
        <v>42</v>
      </c>
      <c r="M132" s="422" t="s">
        <v>5988</v>
      </c>
    </row>
    <row r="133" spans="2:13" x14ac:dyDescent="0.25">
      <c r="H133" s="473"/>
    </row>
    <row r="134" spans="2:13" x14ac:dyDescent="0.25">
      <c r="H134" s="473"/>
    </row>
  </sheetData>
  <mergeCells count="26">
    <mergeCell ref="L28:L29"/>
    <mergeCell ref="M28:M29"/>
    <mergeCell ref="G28:G29"/>
    <mergeCell ref="H28:H29"/>
    <mergeCell ref="I28:I29"/>
    <mergeCell ref="J28:J29"/>
    <mergeCell ref="K28:K29"/>
    <mergeCell ref="B28:B29"/>
    <mergeCell ref="C28:C29"/>
    <mergeCell ref="D28:D29"/>
    <mergeCell ref="E28:E29"/>
    <mergeCell ref="F28:F29"/>
    <mergeCell ref="B25:V26"/>
    <mergeCell ref="B14:C14"/>
    <mergeCell ref="D14:Q14"/>
    <mergeCell ref="B15:C15"/>
    <mergeCell ref="D15:Q15"/>
    <mergeCell ref="B17:X17"/>
    <mergeCell ref="B21:V22"/>
    <mergeCell ref="B13:C13"/>
    <mergeCell ref="D13:Q13"/>
    <mergeCell ref="B9:V9"/>
    <mergeCell ref="B11:C11"/>
    <mergeCell ref="D11:Q11"/>
    <mergeCell ref="B12:C12"/>
    <mergeCell ref="D12:Q12"/>
  </mergeCells>
  <dataValidations count="3">
    <dataValidation type="list" allowBlank="1" showInputMessage="1" showErrorMessage="1" sqref="G30:G132 D30:D132">
      <formula1>"Sim, Não"</formula1>
    </dataValidation>
    <dataValidation type="list" allowBlank="1" showInputMessage="1" showErrorMessage="1" sqref="E30:E132">
      <formula1>"Rodoviário, Ferroviário, Aéreo, Marítimo, Outro"</formula1>
    </dataValidation>
    <dataValidation type="list" allowBlank="1" showInputMessage="1" showErrorMessage="1" sqref="F30:F132">
      <formula1>"Bus, LCV/Van, HDV Rigid, HDV Articulated, HDV Avg, HDV refrigerated, Freight Flights, Rail, Sea Tanker (products), Sea Tanker (chem. Tanker), Cargo Ship (bulk), Cargo Ship (general), Cargo Ship (container ship), Outro"</formula1>
    </dataValidation>
  </dataValidations>
  <pageMargins left="0.7" right="0.7" top="0.75" bottom="0.75" header="0.3" footer="0.3"/>
  <customProperties>
    <customPr name="GUID" r:id="rId1"/>
  </customPropertie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6"/>
  <dimension ref="B6:X76"/>
  <sheetViews>
    <sheetView workbookViewId="0"/>
  </sheetViews>
  <sheetFormatPr defaultRowHeight="15" x14ac:dyDescent="0.25"/>
  <cols>
    <col min="2" max="2" width="43" customWidth="1"/>
    <col min="3" max="3" width="35.7109375" customWidth="1"/>
    <col min="4" max="4" width="40.85546875" customWidth="1"/>
    <col min="5" max="5" width="55.42578125" bestFit="1" customWidth="1"/>
    <col min="6" max="6" width="24.140625" customWidth="1"/>
    <col min="7" max="8" width="25.7109375" customWidth="1"/>
    <col min="9" max="9" width="28.7109375" style="177" customWidth="1"/>
    <col min="10" max="10" width="25.7109375" customWidth="1"/>
    <col min="11" max="11" width="43.28515625" customWidth="1"/>
  </cols>
  <sheetData>
    <row r="6" spans="2:22" ht="15.75" thickBot="1" x14ac:dyDescent="0.3"/>
    <row r="7" spans="2:22" x14ac:dyDescent="0.25">
      <c r="B7" s="78" t="s">
        <v>118</v>
      </c>
      <c r="C7" s="79"/>
      <c r="D7" s="93"/>
      <c r="E7" s="93"/>
      <c r="F7" s="93"/>
    </row>
    <row r="9" spans="2:22" x14ac:dyDescent="0.25">
      <c r="B9" s="765" t="str">
        <f>"Grupo Barraqueiro: "&amp;'Folha de Rosto'!C6&amp;" "&amp;'Folha de Rosto'!I6&amp;" - Emissões de GEE de Âmbito 3"</f>
        <v>Grupo Barraqueiro: PEGADA DE CARBONO 2022 - Emissões de GEE de Âmbito 3</v>
      </c>
      <c r="C9" s="765"/>
      <c r="D9" s="765"/>
      <c r="E9" s="765"/>
      <c r="F9" s="765"/>
      <c r="G9" s="765"/>
      <c r="H9" s="765"/>
      <c r="I9" s="765"/>
      <c r="J9" s="765"/>
      <c r="K9" s="765"/>
      <c r="L9" s="765"/>
      <c r="M9" s="765"/>
      <c r="N9" s="765"/>
      <c r="O9" s="765"/>
      <c r="P9" s="765"/>
      <c r="Q9" s="765"/>
      <c r="R9" s="765"/>
      <c r="S9" s="765"/>
      <c r="T9" s="765"/>
      <c r="U9" s="765"/>
      <c r="V9" s="765"/>
    </row>
    <row r="10" spans="2:22" ht="15.75" thickBot="1" x14ac:dyDescent="0.3"/>
    <row r="11" spans="2:22" ht="33.6" customHeight="1" thickBot="1" x14ac:dyDescent="0.3">
      <c r="B11" s="761" t="s">
        <v>119</v>
      </c>
      <c r="C11" s="761"/>
      <c r="D11" s="802" t="s">
        <v>522</v>
      </c>
      <c r="E11" s="803"/>
      <c r="F11" s="803"/>
      <c r="G11" s="803"/>
      <c r="H11" s="767"/>
    </row>
    <row r="12" spans="2:22" ht="60.95" customHeight="1" thickBot="1" x14ac:dyDescent="0.3">
      <c r="B12" s="761" t="s">
        <v>120</v>
      </c>
      <c r="C12" s="761"/>
      <c r="D12" s="805" t="s">
        <v>523</v>
      </c>
      <c r="E12" s="806"/>
      <c r="F12" s="806"/>
      <c r="G12" s="806"/>
      <c r="H12" s="770"/>
    </row>
    <row r="13" spans="2:22" ht="60.95" customHeight="1" thickBot="1" x14ac:dyDescent="0.3">
      <c r="B13" s="761" t="s">
        <v>121</v>
      </c>
      <c r="C13" s="761"/>
      <c r="D13" s="798" t="s">
        <v>1529</v>
      </c>
      <c r="E13" s="799"/>
      <c r="F13" s="799"/>
      <c r="G13" s="799"/>
      <c r="H13" s="762"/>
    </row>
    <row r="14" spans="2:22" ht="60.95" customHeight="1" thickBot="1" x14ac:dyDescent="0.3">
      <c r="B14" s="761" t="s">
        <v>122</v>
      </c>
      <c r="C14" s="761"/>
      <c r="D14" s="798" t="s">
        <v>123</v>
      </c>
      <c r="E14" s="799"/>
      <c r="F14" s="799"/>
      <c r="G14" s="799"/>
      <c r="H14" s="762"/>
    </row>
    <row r="15" spans="2:22" ht="60" customHeight="1" thickBot="1" x14ac:dyDescent="0.3">
      <c r="B15" s="761" t="s">
        <v>128</v>
      </c>
      <c r="C15" s="761"/>
      <c r="D15" s="798" t="s">
        <v>129</v>
      </c>
      <c r="E15" s="799"/>
      <c r="F15" s="799"/>
      <c r="G15" s="799"/>
      <c r="H15" s="799"/>
    </row>
    <row r="17" spans="2:24" x14ac:dyDescent="0.25">
      <c r="B17" s="765" t="s">
        <v>1817</v>
      </c>
      <c r="C17" s="765"/>
      <c r="D17" s="765"/>
      <c r="E17" s="765"/>
      <c r="F17" s="765"/>
      <c r="G17" s="765"/>
      <c r="H17" s="765"/>
      <c r="I17" s="765"/>
      <c r="J17" s="765"/>
      <c r="K17" s="765"/>
      <c r="L17" s="765"/>
      <c r="M17" s="765"/>
      <c r="N17" s="765"/>
      <c r="O17" s="765"/>
      <c r="P17" s="765"/>
      <c r="Q17" s="765"/>
      <c r="R17" s="765"/>
      <c r="S17" s="765"/>
      <c r="T17" s="765"/>
      <c r="U17" s="765"/>
      <c r="V17" s="765"/>
      <c r="W17" s="765"/>
      <c r="X17" s="765"/>
    </row>
    <row r="18" spans="2:24" x14ac:dyDescent="0.25">
      <c r="B18" t="s">
        <v>130</v>
      </c>
    </row>
    <row r="20" spans="2:24" x14ac:dyDescent="0.25">
      <c r="B20" s="81" t="s">
        <v>135</v>
      </c>
    </row>
    <row r="21" spans="2:24" x14ac:dyDescent="0.25">
      <c r="B21" s="766"/>
      <c r="C21" s="766"/>
      <c r="D21" s="766"/>
      <c r="E21" s="766"/>
      <c r="F21" s="766"/>
      <c r="G21" s="766"/>
      <c r="H21" s="766"/>
      <c r="I21" s="766"/>
      <c r="J21" s="766"/>
      <c r="K21" s="766"/>
      <c r="L21" s="766"/>
      <c r="M21" s="766"/>
      <c r="N21" s="766"/>
      <c r="O21" s="766"/>
      <c r="P21" s="766"/>
      <c r="Q21" s="766"/>
      <c r="R21" s="766"/>
      <c r="S21" s="766"/>
      <c r="T21" s="766"/>
      <c r="U21" s="766"/>
      <c r="V21" s="766"/>
    </row>
    <row r="22" spans="2:24" x14ac:dyDescent="0.25">
      <c r="B22" s="766"/>
      <c r="C22" s="766"/>
      <c r="D22" s="766"/>
      <c r="E22" s="766"/>
      <c r="F22" s="766"/>
      <c r="G22" s="766"/>
      <c r="H22" s="766"/>
      <c r="I22" s="766"/>
      <c r="J22" s="766"/>
      <c r="K22" s="766"/>
      <c r="L22" s="766"/>
      <c r="M22" s="766"/>
      <c r="N22" s="766"/>
      <c r="O22" s="766"/>
      <c r="P22" s="766"/>
      <c r="Q22" s="766"/>
      <c r="R22" s="766"/>
      <c r="S22" s="766"/>
      <c r="T22" s="766"/>
      <c r="U22" s="766"/>
      <c r="V22" s="766"/>
    </row>
    <row r="24" spans="2:24" ht="15" customHeight="1" x14ac:dyDescent="0.25">
      <c r="B24" s="81" t="s">
        <v>136</v>
      </c>
    </row>
    <row r="25" spans="2:24" x14ac:dyDescent="0.25">
      <c r="B25" s="766"/>
      <c r="C25" s="766"/>
      <c r="D25" s="766"/>
      <c r="E25" s="766"/>
      <c r="F25" s="766"/>
      <c r="G25" s="766"/>
      <c r="H25" s="766"/>
      <c r="I25" s="766"/>
      <c r="J25" s="766"/>
      <c r="K25" s="766"/>
      <c r="L25" s="766"/>
      <c r="M25" s="766"/>
      <c r="N25" s="766"/>
      <c r="O25" s="766"/>
      <c r="P25" s="766"/>
      <c r="Q25" s="766"/>
      <c r="R25" s="766"/>
      <c r="S25" s="766"/>
      <c r="T25" s="766"/>
      <c r="U25" s="766"/>
      <c r="V25" s="766"/>
    </row>
    <row r="26" spans="2:24" x14ac:dyDescent="0.25">
      <c r="B26" s="766"/>
      <c r="C26" s="766"/>
      <c r="D26" s="766"/>
      <c r="E26" s="766"/>
      <c r="F26" s="766"/>
      <c r="G26" s="766"/>
      <c r="H26" s="766"/>
      <c r="I26" s="766"/>
      <c r="J26" s="766"/>
      <c r="K26" s="766"/>
      <c r="L26" s="766"/>
      <c r="M26" s="766"/>
      <c r="N26" s="766"/>
      <c r="O26" s="766"/>
      <c r="P26" s="766"/>
      <c r="Q26" s="766"/>
      <c r="R26" s="766"/>
      <c r="S26" s="766"/>
      <c r="T26" s="766"/>
      <c r="U26" s="766"/>
      <c r="V26" s="766"/>
    </row>
    <row r="27" spans="2:24" ht="15.75" thickBot="1" x14ac:dyDescent="0.3"/>
    <row r="28" spans="2:24" s="94" customFormat="1" ht="15.75" customHeight="1" thickBot="1" x14ac:dyDescent="0.3">
      <c r="B28" s="757" t="s">
        <v>131</v>
      </c>
      <c r="C28" s="757" t="s">
        <v>459</v>
      </c>
      <c r="D28" s="757" t="s">
        <v>460</v>
      </c>
      <c r="E28" s="757" t="s">
        <v>461</v>
      </c>
      <c r="F28" s="757" t="s">
        <v>462</v>
      </c>
      <c r="G28" s="759" t="s">
        <v>445</v>
      </c>
      <c r="H28" s="757" t="s">
        <v>449</v>
      </c>
      <c r="I28" s="821" t="s">
        <v>556</v>
      </c>
      <c r="J28" s="759" t="s">
        <v>141</v>
      </c>
      <c r="K28" s="759" t="s">
        <v>134</v>
      </c>
    </row>
    <row r="29" spans="2:24" s="94" customFormat="1" ht="15" customHeight="1" thickBot="1" x14ac:dyDescent="0.3">
      <c r="B29" s="758"/>
      <c r="C29" s="758"/>
      <c r="D29" s="758"/>
      <c r="E29" s="758"/>
      <c r="F29" s="758"/>
      <c r="G29" s="757"/>
      <c r="H29" s="809"/>
      <c r="I29" s="822"/>
      <c r="J29" s="757"/>
      <c r="K29" s="759"/>
    </row>
    <row r="30" spans="2:24" ht="15.75" thickBot="1" x14ac:dyDescent="0.3">
      <c r="B30" s="82" t="s">
        <v>534</v>
      </c>
      <c r="C30" s="82" t="s">
        <v>553</v>
      </c>
      <c r="D30" s="83" t="s">
        <v>182</v>
      </c>
      <c r="E30" s="83" t="s">
        <v>554</v>
      </c>
      <c r="F30" s="83" t="s">
        <v>34</v>
      </c>
      <c r="G30" s="83" t="s">
        <v>558</v>
      </c>
      <c r="H30" s="83" t="s">
        <v>555</v>
      </c>
      <c r="I30" s="120">
        <v>12</v>
      </c>
      <c r="J30" s="85" t="s">
        <v>557</v>
      </c>
      <c r="K30" s="83"/>
    </row>
    <row r="31" spans="2:24" ht="15.75" thickBot="1" x14ac:dyDescent="0.3">
      <c r="B31" s="82" t="s">
        <v>534</v>
      </c>
      <c r="C31" s="82" t="s">
        <v>553</v>
      </c>
      <c r="D31" s="83" t="s">
        <v>182</v>
      </c>
      <c r="E31" s="83" t="s">
        <v>559</v>
      </c>
      <c r="F31" s="83" t="s">
        <v>34</v>
      </c>
      <c r="G31" s="83" t="s">
        <v>558</v>
      </c>
      <c r="H31" s="83" t="s">
        <v>555</v>
      </c>
      <c r="I31" s="120">
        <v>79.5</v>
      </c>
      <c r="J31" s="85" t="s">
        <v>557</v>
      </c>
      <c r="K31" s="83"/>
    </row>
    <row r="32" spans="2:24" ht="15.75" thickBot="1" x14ac:dyDescent="0.3">
      <c r="B32" s="82" t="s">
        <v>534</v>
      </c>
      <c r="C32" s="82" t="s">
        <v>553</v>
      </c>
      <c r="D32" s="83" t="s">
        <v>182</v>
      </c>
      <c r="E32" s="83" t="s">
        <v>565</v>
      </c>
      <c r="F32" s="83" t="s">
        <v>34</v>
      </c>
      <c r="G32" s="83" t="s">
        <v>558</v>
      </c>
      <c r="H32" s="83" t="s">
        <v>555</v>
      </c>
      <c r="I32" s="120">
        <v>12</v>
      </c>
      <c r="J32" s="85" t="s">
        <v>557</v>
      </c>
      <c r="K32" s="83"/>
    </row>
    <row r="33" spans="2:11" ht="15.75" thickBot="1" x14ac:dyDescent="0.3">
      <c r="B33" s="82" t="s">
        <v>534</v>
      </c>
      <c r="C33" s="82" t="s">
        <v>553</v>
      </c>
      <c r="D33" s="83" t="s">
        <v>182</v>
      </c>
      <c r="E33" s="83" t="s">
        <v>566</v>
      </c>
      <c r="F33" s="83" t="s">
        <v>34</v>
      </c>
      <c r="G33" s="83" t="s">
        <v>558</v>
      </c>
      <c r="H33" s="83" t="s">
        <v>555</v>
      </c>
      <c r="I33" s="120">
        <v>8</v>
      </c>
      <c r="J33" s="85" t="s">
        <v>557</v>
      </c>
      <c r="K33" s="83"/>
    </row>
    <row r="34" spans="2:11" ht="15.75" thickBot="1" x14ac:dyDescent="0.3">
      <c r="B34" s="82" t="s">
        <v>534</v>
      </c>
      <c r="C34" s="82" t="s">
        <v>553</v>
      </c>
      <c r="D34" s="83" t="s">
        <v>182</v>
      </c>
      <c r="E34" s="83" t="s">
        <v>567</v>
      </c>
      <c r="F34" s="83" t="s">
        <v>34</v>
      </c>
      <c r="G34" s="83" t="s">
        <v>558</v>
      </c>
      <c r="H34" s="83" t="s">
        <v>555</v>
      </c>
      <c r="I34" s="120">
        <v>30</v>
      </c>
      <c r="J34" s="85" t="s">
        <v>557</v>
      </c>
      <c r="K34" s="83"/>
    </row>
    <row r="35" spans="2:11" ht="15.75" thickBot="1" x14ac:dyDescent="0.3">
      <c r="B35" s="82" t="s">
        <v>534</v>
      </c>
      <c r="C35" s="82" t="s">
        <v>553</v>
      </c>
      <c r="D35" s="83" t="s">
        <v>182</v>
      </c>
      <c r="E35" s="83" t="s">
        <v>571</v>
      </c>
      <c r="F35" s="83" t="s">
        <v>34</v>
      </c>
      <c r="G35" s="83" t="s">
        <v>558</v>
      </c>
      <c r="H35" s="83" t="s">
        <v>555</v>
      </c>
      <c r="I35" s="120">
        <v>10</v>
      </c>
      <c r="J35" s="85" t="s">
        <v>557</v>
      </c>
      <c r="K35" s="83"/>
    </row>
    <row r="36" spans="2:11" ht="15.75" thickBot="1" x14ac:dyDescent="0.3">
      <c r="B36" s="82" t="s">
        <v>534</v>
      </c>
      <c r="C36" s="82" t="s">
        <v>553</v>
      </c>
      <c r="D36" s="83" t="s">
        <v>182</v>
      </c>
      <c r="E36" s="83" t="s">
        <v>577</v>
      </c>
      <c r="F36" s="83" t="s">
        <v>34</v>
      </c>
      <c r="G36" s="83" t="s">
        <v>558</v>
      </c>
      <c r="H36" s="83" t="s">
        <v>555</v>
      </c>
      <c r="I36" s="120">
        <v>3</v>
      </c>
      <c r="J36" s="85" t="s">
        <v>557</v>
      </c>
      <c r="K36" s="83"/>
    </row>
    <row r="37" spans="2:11" ht="15.75" thickBot="1" x14ac:dyDescent="0.3">
      <c r="B37" s="82" t="s">
        <v>534</v>
      </c>
      <c r="C37" s="82" t="s">
        <v>553</v>
      </c>
      <c r="D37" s="83" t="s">
        <v>182</v>
      </c>
      <c r="E37" s="83" t="s">
        <v>578</v>
      </c>
      <c r="F37" s="83" t="s">
        <v>34</v>
      </c>
      <c r="G37" s="83" t="s">
        <v>558</v>
      </c>
      <c r="H37" s="83" t="s">
        <v>555</v>
      </c>
      <c r="I37" s="120">
        <v>15</v>
      </c>
      <c r="J37" s="85" t="s">
        <v>557</v>
      </c>
      <c r="K37" s="83"/>
    </row>
    <row r="38" spans="2:11" ht="15.75" thickBot="1" x14ac:dyDescent="0.3">
      <c r="B38" s="82" t="s">
        <v>534</v>
      </c>
      <c r="C38" s="82" t="s">
        <v>553</v>
      </c>
      <c r="D38" s="83" t="s">
        <v>182</v>
      </c>
      <c r="E38" s="83" t="s">
        <v>583</v>
      </c>
      <c r="F38" s="83" t="s">
        <v>34</v>
      </c>
      <c r="G38" s="83" t="s">
        <v>558</v>
      </c>
      <c r="H38" s="83" t="s">
        <v>555</v>
      </c>
      <c r="I38" s="120">
        <v>128</v>
      </c>
      <c r="J38" s="85" t="s">
        <v>557</v>
      </c>
      <c r="K38" s="83"/>
    </row>
    <row r="39" spans="2:11" ht="15.75" thickBot="1" x14ac:dyDescent="0.3">
      <c r="B39" s="82" t="s">
        <v>534</v>
      </c>
      <c r="C39" s="82" t="s">
        <v>553</v>
      </c>
      <c r="D39" s="83" t="s">
        <v>182</v>
      </c>
      <c r="E39" s="83" t="s">
        <v>563</v>
      </c>
      <c r="F39" s="83" t="s">
        <v>42</v>
      </c>
      <c r="G39" s="83" t="s">
        <v>558</v>
      </c>
      <c r="H39" s="83" t="s">
        <v>555</v>
      </c>
      <c r="I39" s="120">
        <v>3</v>
      </c>
      <c r="J39" s="85" t="s">
        <v>557</v>
      </c>
      <c r="K39" s="83"/>
    </row>
    <row r="40" spans="2:11" ht="15.75" thickBot="1" x14ac:dyDescent="0.3">
      <c r="B40" s="82" t="s">
        <v>534</v>
      </c>
      <c r="C40" s="82" t="s">
        <v>553</v>
      </c>
      <c r="D40" s="83" t="s">
        <v>182</v>
      </c>
      <c r="E40" s="83" t="s">
        <v>564</v>
      </c>
      <c r="F40" s="83" t="s">
        <v>42</v>
      </c>
      <c r="G40" s="83" t="s">
        <v>558</v>
      </c>
      <c r="H40" s="83" t="s">
        <v>555</v>
      </c>
      <c r="I40" s="120">
        <v>4</v>
      </c>
      <c r="J40" s="85" t="s">
        <v>557</v>
      </c>
      <c r="K40" s="83"/>
    </row>
    <row r="41" spans="2:11" ht="15.75" thickBot="1" x14ac:dyDescent="0.3">
      <c r="B41" s="82" t="s">
        <v>534</v>
      </c>
      <c r="C41" s="82" t="s">
        <v>553</v>
      </c>
      <c r="D41" s="83" t="s">
        <v>182</v>
      </c>
      <c r="E41" s="83" t="s">
        <v>560</v>
      </c>
      <c r="F41" s="83" t="s">
        <v>42</v>
      </c>
      <c r="G41" s="83" t="s">
        <v>558</v>
      </c>
      <c r="H41" s="83" t="s">
        <v>555</v>
      </c>
      <c r="I41" s="120">
        <v>13</v>
      </c>
      <c r="J41" s="85" t="s">
        <v>557</v>
      </c>
      <c r="K41" s="83"/>
    </row>
    <row r="42" spans="2:11" ht="15.75" thickBot="1" x14ac:dyDescent="0.3">
      <c r="B42" s="82" t="s">
        <v>534</v>
      </c>
      <c r="C42" s="82" t="s">
        <v>553</v>
      </c>
      <c r="D42" s="83" t="s">
        <v>182</v>
      </c>
      <c r="E42" s="83" t="s">
        <v>561</v>
      </c>
      <c r="F42" s="83" t="s">
        <v>42</v>
      </c>
      <c r="G42" s="83" t="s">
        <v>558</v>
      </c>
      <c r="H42" s="83" t="s">
        <v>555</v>
      </c>
      <c r="I42" s="120">
        <v>235.1</v>
      </c>
      <c r="J42" s="85" t="s">
        <v>557</v>
      </c>
      <c r="K42" s="83"/>
    </row>
    <row r="43" spans="2:11" ht="15.75" thickBot="1" x14ac:dyDescent="0.3">
      <c r="B43" s="82" t="s">
        <v>534</v>
      </c>
      <c r="C43" s="82" t="s">
        <v>553</v>
      </c>
      <c r="D43" s="83" t="s">
        <v>182</v>
      </c>
      <c r="E43" s="83" t="s">
        <v>562</v>
      </c>
      <c r="F43" s="83" t="s">
        <v>42</v>
      </c>
      <c r="G43" s="83" t="s">
        <v>558</v>
      </c>
      <c r="H43" s="83" t="s">
        <v>555</v>
      </c>
      <c r="I43" s="120">
        <v>6</v>
      </c>
      <c r="J43" s="85" t="s">
        <v>557</v>
      </c>
      <c r="K43" s="83"/>
    </row>
    <row r="44" spans="2:11" ht="15.75" thickBot="1" x14ac:dyDescent="0.3">
      <c r="B44" s="82" t="s">
        <v>534</v>
      </c>
      <c r="C44" s="82" t="s">
        <v>553</v>
      </c>
      <c r="D44" s="83" t="s">
        <v>182</v>
      </c>
      <c r="E44" s="83" t="s">
        <v>568</v>
      </c>
      <c r="F44" s="83" t="s">
        <v>42</v>
      </c>
      <c r="G44" s="83" t="s">
        <v>558</v>
      </c>
      <c r="H44" s="83" t="s">
        <v>555</v>
      </c>
      <c r="I44" s="120">
        <v>3</v>
      </c>
      <c r="J44" s="85" t="s">
        <v>557</v>
      </c>
      <c r="K44" s="83"/>
    </row>
    <row r="45" spans="2:11" ht="15.75" thickBot="1" x14ac:dyDescent="0.3">
      <c r="B45" s="82" t="s">
        <v>534</v>
      </c>
      <c r="C45" s="82" t="s">
        <v>553</v>
      </c>
      <c r="D45" s="83" t="s">
        <v>182</v>
      </c>
      <c r="E45" s="83" t="s">
        <v>569</v>
      </c>
      <c r="F45" s="119" t="s">
        <v>42</v>
      </c>
      <c r="G45" s="83" t="s">
        <v>558</v>
      </c>
      <c r="H45" s="83" t="s">
        <v>555</v>
      </c>
      <c r="I45" s="120">
        <v>23.5</v>
      </c>
      <c r="J45" s="85" t="s">
        <v>557</v>
      </c>
      <c r="K45" s="83"/>
    </row>
    <row r="46" spans="2:11" ht="15.75" thickBot="1" x14ac:dyDescent="0.3">
      <c r="B46" s="82" t="s">
        <v>534</v>
      </c>
      <c r="C46" s="82" t="s">
        <v>553</v>
      </c>
      <c r="D46" s="83" t="s">
        <v>182</v>
      </c>
      <c r="E46" s="83" t="s">
        <v>570</v>
      </c>
      <c r="F46" s="83" t="s">
        <v>42</v>
      </c>
      <c r="G46" s="83" t="s">
        <v>558</v>
      </c>
      <c r="H46" s="83" t="s">
        <v>555</v>
      </c>
      <c r="I46" s="120">
        <v>2</v>
      </c>
      <c r="J46" s="85" t="s">
        <v>557</v>
      </c>
      <c r="K46" s="83"/>
    </row>
    <row r="47" spans="2:11" ht="15.75" thickBot="1" x14ac:dyDescent="0.3">
      <c r="B47" s="82" t="s">
        <v>534</v>
      </c>
      <c r="C47" s="82" t="s">
        <v>553</v>
      </c>
      <c r="D47" s="83" t="s">
        <v>182</v>
      </c>
      <c r="E47" s="83" t="s">
        <v>572</v>
      </c>
      <c r="F47" s="83" t="s">
        <v>42</v>
      </c>
      <c r="G47" s="83" t="s">
        <v>558</v>
      </c>
      <c r="H47" s="83" t="s">
        <v>555</v>
      </c>
      <c r="I47" s="120">
        <v>5</v>
      </c>
      <c r="J47" s="85" t="s">
        <v>557</v>
      </c>
      <c r="K47" s="83"/>
    </row>
    <row r="48" spans="2:11" ht="15.75" thickBot="1" x14ac:dyDescent="0.3">
      <c r="B48" s="82" t="s">
        <v>534</v>
      </c>
      <c r="C48" s="82" t="s">
        <v>553</v>
      </c>
      <c r="D48" s="83" t="s">
        <v>182</v>
      </c>
      <c r="E48" s="83" t="s">
        <v>573</v>
      </c>
      <c r="F48" s="83" t="s">
        <v>42</v>
      </c>
      <c r="G48" s="83" t="s">
        <v>558</v>
      </c>
      <c r="H48" s="83" t="s">
        <v>555</v>
      </c>
      <c r="I48" s="120">
        <v>1.5</v>
      </c>
      <c r="J48" s="85" t="s">
        <v>557</v>
      </c>
      <c r="K48" s="83"/>
    </row>
    <row r="49" spans="2:21" ht="15.75" thickBot="1" x14ac:dyDescent="0.3">
      <c r="B49" s="82" t="s">
        <v>534</v>
      </c>
      <c r="C49" s="82" t="s">
        <v>553</v>
      </c>
      <c r="D49" s="83" t="s">
        <v>182</v>
      </c>
      <c r="E49" s="83" t="s">
        <v>574</v>
      </c>
      <c r="F49" s="83" t="s">
        <v>42</v>
      </c>
      <c r="G49" s="83" t="s">
        <v>558</v>
      </c>
      <c r="H49" s="83" t="s">
        <v>555</v>
      </c>
      <c r="I49" s="120">
        <v>1</v>
      </c>
      <c r="J49" s="85" t="s">
        <v>557</v>
      </c>
      <c r="K49" s="83"/>
    </row>
    <row r="50" spans="2:21" ht="15.75" thickBot="1" x14ac:dyDescent="0.3">
      <c r="B50" s="82" t="s">
        <v>534</v>
      </c>
      <c r="C50" s="82" t="s">
        <v>553</v>
      </c>
      <c r="D50" s="83" t="s">
        <v>182</v>
      </c>
      <c r="E50" s="83" t="s">
        <v>575</v>
      </c>
      <c r="F50" s="83" t="s">
        <v>42</v>
      </c>
      <c r="G50" s="83" t="s">
        <v>558</v>
      </c>
      <c r="H50" s="83" t="s">
        <v>555</v>
      </c>
      <c r="I50" s="120">
        <v>14.5</v>
      </c>
      <c r="J50" s="85" t="s">
        <v>557</v>
      </c>
      <c r="K50" s="83"/>
    </row>
    <row r="51" spans="2:21" ht="15.75" thickBot="1" x14ac:dyDescent="0.3">
      <c r="B51" s="82" t="s">
        <v>534</v>
      </c>
      <c r="C51" s="82" t="s">
        <v>553</v>
      </c>
      <c r="D51" s="83" t="s">
        <v>182</v>
      </c>
      <c r="E51" s="83" t="s">
        <v>576</v>
      </c>
      <c r="F51" s="83" t="s">
        <v>42</v>
      </c>
      <c r="G51" s="83" t="s">
        <v>558</v>
      </c>
      <c r="H51" s="83" t="s">
        <v>555</v>
      </c>
      <c r="I51" s="120">
        <v>2</v>
      </c>
      <c r="J51" s="85" t="s">
        <v>557</v>
      </c>
      <c r="K51" s="83"/>
    </row>
    <row r="52" spans="2:21" ht="15.75" thickBot="1" x14ac:dyDescent="0.3">
      <c r="B52" s="82" t="s">
        <v>534</v>
      </c>
      <c r="C52" s="82" t="s">
        <v>553</v>
      </c>
      <c r="D52" s="83" t="s">
        <v>182</v>
      </c>
      <c r="E52" s="83" t="s">
        <v>579</v>
      </c>
      <c r="F52" s="83" t="s">
        <v>42</v>
      </c>
      <c r="G52" s="83" t="s">
        <v>558</v>
      </c>
      <c r="H52" s="83" t="s">
        <v>555</v>
      </c>
      <c r="I52" s="120">
        <v>6</v>
      </c>
      <c r="J52" s="85" t="s">
        <v>557</v>
      </c>
      <c r="K52" s="83"/>
    </row>
    <row r="53" spans="2:21" ht="15.75" thickBot="1" x14ac:dyDescent="0.3">
      <c r="B53" s="82" t="s">
        <v>534</v>
      </c>
      <c r="C53" s="82" t="s">
        <v>553</v>
      </c>
      <c r="D53" s="83" t="s">
        <v>182</v>
      </c>
      <c r="E53" s="83" t="s">
        <v>580</v>
      </c>
      <c r="F53" s="83" t="s">
        <v>42</v>
      </c>
      <c r="G53" s="83" t="s">
        <v>558</v>
      </c>
      <c r="H53" s="83" t="s">
        <v>555</v>
      </c>
      <c r="I53" s="120">
        <v>10</v>
      </c>
      <c r="J53" s="85" t="s">
        <v>557</v>
      </c>
      <c r="K53" s="83"/>
    </row>
    <row r="54" spans="2:21" ht="15.75" thickBot="1" x14ac:dyDescent="0.3">
      <c r="B54" s="82" t="s">
        <v>534</v>
      </c>
      <c r="C54" s="82" t="s">
        <v>553</v>
      </c>
      <c r="D54" s="83" t="s">
        <v>182</v>
      </c>
      <c r="E54" s="83" t="s">
        <v>581</v>
      </c>
      <c r="F54" s="83" t="s">
        <v>42</v>
      </c>
      <c r="G54" s="83" t="s">
        <v>558</v>
      </c>
      <c r="H54" s="83" t="s">
        <v>555</v>
      </c>
      <c r="I54" s="120">
        <v>162.5</v>
      </c>
      <c r="J54" s="85" t="s">
        <v>557</v>
      </c>
      <c r="K54" s="83"/>
    </row>
    <row r="55" spans="2:21" ht="15.75" thickBot="1" x14ac:dyDescent="0.3">
      <c r="B55" s="82" t="s">
        <v>534</v>
      </c>
      <c r="C55" s="82" t="s">
        <v>553</v>
      </c>
      <c r="D55" s="83" t="s">
        <v>182</v>
      </c>
      <c r="E55" s="83" t="s">
        <v>582</v>
      </c>
      <c r="F55" s="83" t="s">
        <v>42</v>
      </c>
      <c r="G55" s="83" t="s">
        <v>558</v>
      </c>
      <c r="H55" s="83" t="s">
        <v>555</v>
      </c>
      <c r="I55" s="120">
        <v>3</v>
      </c>
      <c r="J55" s="85" t="s">
        <v>557</v>
      </c>
      <c r="K55" s="83"/>
    </row>
    <row r="56" spans="2:21" ht="15.75" thickBot="1" x14ac:dyDescent="0.3">
      <c r="B56" s="82" t="s">
        <v>534</v>
      </c>
      <c r="C56" s="82" t="s">
        <v>585</v>
      </c>
      <c r="D56" s="83" t="s">
        <v>604</v>
      </c>
      <c r="E56" s="83"/>
      <c r="F56" s="83" t="s">
        <v>42</v>
      </c>
      <c r="G56" s="83" t="s">
        <v>558</v>
      </c>
      <c r="H56" s="83" t="s">
        <v>584</v>
      </c>
      <c r="I56" s="120">
        <v>1</v>
      </c>
      <c r="J56" s="85" t="s">
        <v>586</v>
      </c>
      <c r="K56" s="83" t="s">
        <v>587</v>
      </c>
      <c r="M56" s="126" t="s">
        <v>606</v>
      </c>
    </row>
    <row r="57" spans="2:21" ht="15.75" thickBot="1" x14ac:dyDescent="0.3">
      <c r="B57" s="82" t="s">
        <v>534</v>
      </c>
      <c r="C57" s="82" t="s">
        <v>585</v>
      </c>
      <c r="D57" s="83" t="s">
        <v>614</v>
      </c>
      <c r="E57" s="83"/>
      <c r="F57" s="83" t="s">
        <v>42</v>
      </c>
      <c r="G57" s="83" t="s">
        <v>558</v>
      </c>
      <c r="H57" s="83" t="s">
        <v>584</v>
      </c>
      <c r="I57" s="120">
        <v>14</v>
      </c>
      <c r="J57" s="85" t="s">
        <v>586</v>
      </c>
      <c r="K57" s="83" t="s">
        <v>615</v>
      </c>
      <c r="M57" s="126" t="s">
        <v>613</v>
      </c>
      <c r="U57" s="126" t="s">
        <v>612</v>
      </c>
    </row>
    <row r="58" spans="2:21" ht="15.75" thickBot="1" x14ac:dyDescent="0.3">
      <c r="B58" s="82" t="s">
        <v>534</v>
      </c>
      <c r="C58" s="82" t="s">
        <v>585</v>
      </c>
      <c r="D58" s="83" t="s">
        <v>603</v>
      </c>
      <c r="E58" s="83"/>
      <c r="F58" s="83" t="s">
        <v>42</v>
      </c>
      <c r="G58" s="83" t="s">
        <v>558</v>
      </c>
      <c r="H58" s="83" t="s">
        <v>584</v>
      </c>
      <c r="I58" s="120">
        <v>6</v>
      </c>
      <c r="J58" s="85" t="s">
        <v>586</v>
      </c>
      <c r="K58" s="83" t="s">
        <v>587</v>
      </c>
      <c r="M58" s="126" t="s">
        <v>608</v>
      </c>
    </row>
    <row r="59" spans="2:21" ht="15.75" thickBot="1" x14ac:dyDescent="0.3">
      <c r="B59" s="82" t="s">
        <v>534</v>
      </c>
      <c r="C59" s="82" t="s">
        <v>585</v>
      </c>
      <c r="D59" s="83" t="s">
        <v>610</v>
      </c>
      <c r="E59" s="83"/>
      <c r="F59" s="83" t="s">
        <v>42</v>
      </c>
      <c r="G59" s="83" t="s">
        <v>558</v>
      </c>
      <c r="H59" s="83" t="s">
        <v>584</v>
      </c>
      <c r="I59" s="120">
        <v>47</v>
      </c>
      <c r="J59" s="85" t="s">
        <v>586</v>
      </c>
      <c r="K59" s="83" t="s">
        <v>615</v>
      </c>
      <c r="M59" s="126" t="s">
        <v>611</v>
      </c>
      <c r="U59" s="126" t="s">
        <v>609</v>
      </c>
    </row>
    <row r="60" spans="2:21" ht="15.75" thickBot="1" x14ac:dyDescent="0.3">
      <c r="B60" s="82" t="s">
        <v>534</v>
      </c>
      <c r="C60" s="82" t="s">
        <v>585</v>
      </c>
      <c r="D60" s="83" t="s">
        <v>605</v>
      </c>
      <c r="E60" s="83"/>
      <c r="F60" s="83" t="s">
        <v>42</v>
      </c>
      <c r="G60" s="83" t="s">
        <v>558</v>
      </c>
      <c r="H60" s="83" t="s">
        <v>584</v>
      </c>
      <c r="I60" s="120">
        <v>1</v>
      </c>
      <c r="J60" s="85" t="s">
        <v>586</v>
      </c>
      <c r="K60" s="83" t="s">
        <v>587</v>
      </c>
      <c r="M60" s="126" t="s">
        <v>607</v>
      </c>
    </row>
    <row r="61" spans="2:21" ht="15.75" thickBot="1" x14ac:dyDescent="0.3">
      <c r="B61" s="82" t="s">
        <v>534</v>
      </c>
      <c r="C61" s="82" t="s">
        <v>1528</v>
      </c>
      <c r="D61" s="83" t="s">
        <v>620</v>
      </c>
      <c r="E61" s="83" t="s">
        <v>567</v>
      </c>
      <c r="F61" s="83" t="s">
        <v>34</v>
      </c>
      <c r="G61" s="83" t="s">
        <v>558</v>
      </c>
      <c r="H61" s="83" t="s">
        <v>555</v>
      </c>
      <c r="I61" s="120">
        <v>918.55000000000007</v>
      </c>
      <c r="J61" s="85" t="s">
        <v>630</v>
      </c>
      <c r="K61" s="83"/>
    </row>
    <row r="62" spans="2:21" ht="15.75" thickBot="1" x14ac:dyDescent="0.3">
      <c r="B62" s="82" t="s">
        <v>534</v>
      </c>
      <c r="C62" s="82" t="s">
        <v>1528</v>
      </c>
      <c r="D62" s="83" t="s">
        <v>620</v>
      </c>
      <c r="E62" s="83" t="s">
        <v>571</v>
      </c>
      <c r="F62" s="83" t="s">
        <v>34</v>
      </c>
      <c r="G62" s="83" t="s">
        <v>558</v>
      </c>
      <c r="H62" s="83" t="s">
        <v>555</v>
      </c>
      <c r="I62" s="120">
        <v>801301.57000000018</v>
      </c>
      <c r="J62" s="85" t="s">
        <v>630</v>
      </c>
      <c r="K62" s="83"/>
    </row>
    <row r="63" spans="2:21" ht="15.75" thickBot="1" x14ac:dyDescent="0.3">
      <c r="B63" s="82" t="s">
        <v>534</v>
      </c>
      <c r="C63" s="82" t="s">
        <v>1528</v>
      </c>
      <c r="D63" s="83" t="s">
        <v>620</v>
      </c>
      <c r="E63" s="83" t="s">
        <v>1795</v>
      </c>
      <c r="F63" s="83" t="s">
        <v>34</v>
      </c>
      <c r="G63" s="83" t="s">
        <v>558</v>
      </c>
      <c r="H63" s="83" t="s">
        <v>555</v>
      </c>
      <c r="I63" s="120">
        <f>7963.54+7930.46</f>
        <v>15894</v>
      </c>
      <c r="J63" s="85" t="s">
        <v>630</v>
      </c>
      <c r="K63" s="83"/>
    </row>
    <row r="64" spans="2:21" ht="15.75" thickBot="1" x14ac:dyDescent="0.3">
      <c r="B64" s="82" t="s">
        <v>534</v>
      </c>
      <c r="C64" s="82" t="s">
        <v>1528</v>
      </c>
      <c r="D64" s="83" t="s">
        <v>620</v>
      </c>
      <c r="E64" s="83" t="s">
        <v>565</v>
      </c>
      <c r="F64" s="83" t="s">
        <v>34</v>
      </c>
      <c r="G64" s="83" t="s">
        <v>558</v>
      </c>
      <c r="H64" s="83" t="s">
        <v>555</v>
      </c>
      <c r="I64" s="120">
        <v>3449.6899999999996</v>
      </c>
      <c r="J64" s="85" t="s">
        <v>630</v>
      </c>
      <c r="K64" s="83"/>
    </row>
    <row r="65" spans="2:11" ht="15.75" thickBot="1" x14ac:dyDescent="0.3">
      <c r="B65" s="82" t="s">
        <v>534</v>
      </c>
      <c r="C65" s="82" t="s">
        <v>1528</v>
      </c>
      <c r="D65" s="83" t="s">
        <v>620</v>
      </c>
      <c r="E65" s="83" t="s">
        <v>1799</v>
      </c>
      <c r="F65" s="83" t="s">
        <v>34</v>
      </c>
      <c r="G65" s="83" t="s">
        <v>558</v>
      </c>
      <c r="H65" s="83" t="s">
        <v>555</v>
      </c>
      <c r="I65" s="120">
        <v>101519.51000000001</v>
      </c>
      <c r="J65" s="85" t="s">
        <v>630</v>
      </c>
      <c r="K65" s="83"/>
    </row>
    <row r="66" spans="2:11" ht="15.75" thickBot="1" x14ac:dyDescent="0.3">
      <c r="B66" s="82" t="s">
        <v>534</v>
      </c>
      <c r="C66" s="82" t="s">
        <v>1528</v>
      </c>
      <c r="D66" s="83" t="s">
        <v>620</v>
      </c>
      <c r="E66" s="83" t="s">
        <v>583</v>
      </c>
      <c r="F66" s="83" t="s">
        <v>34</v>
      </c>
      <c r="G66" s="83" t="s">
        <v>558</v>
      </c>
      <c r="H66" s="83" t="s">
        <v>555</v>
      </c>
      <c r="I66" s="120">
        <v>8829.8100000000013</v>
      </c>
      <c r="J66" s="85" t="s">
        <v>630</v>
      </c>
      <c r="K66" s="83"/>
    </row>
    <row r="67" spans="2:11" ht="15.75" thickBot="1" x14ac:dyDescent="0.3">
      <c r="B67" s="82" t="s">
        <v>534</v>
      </c>
      <c r="C67" s="82" t="s">
        <v>1528</v>
      </c>
      <c r="D67" s="83" t="s">
        <v>620</v>
      </c>
      <c r="E67" s="83" t="s">
        <v>1796</v>
      </c>
      <c r="F67" s="83" t="s">
        <v>34</v>
      </c>
      <c r="G67" s="83" t="s">
        <v>558</v>
      </c>
      <c r="H67" s="83" t="s">
        <v>555</v>
      </c>
      <c r="I67" s="120">
        <v>7285.7499999999991</v>
      </c>
      <c r="J67" s="85" t="s">
        <v>630</v>
      </c>
      <c r="K67" s="83"/>
    </row>
    <row r="68" spans="2:11" ht="15.75" thickBot="1" x14ac:dyDescent="0.3">
      <c r="B68" s="82" t="s">
        <v>534</v>
      </c>
      <c r="C68" s="82" t="s">
        <v>1528</v>
      </c>
      <c r="D68" s="83" t="s">
        <v>620</v>
      </c>
      <c r="E68" s="83" t="s">
        <v>1794</v>
      </c>
      <c r="F68" s="83" t="s">
        <v>34</v>
      </c>
      <c r="G68" s="83" t="s">
        <v>558</v>
      </c>
      <c r="H68" s="83" t="s">
        <v>555</v>
      </c>
      <c r="I68" s="120">
        <v>163507.21</v>
      </c>
      <c r="J68" s="85" t="s">
        <v>630</v>
      </c>
      <c r="K68" s="83"/>
    </row>
    <row r="69" spans="2:11" ht="15.75" thickBot="1" x14ac:dyDescent="0.3">
      <c r="B69" s="82" t="s">
        <v>534</v>
      </c>
      <c r="C69" s="82" t="s">
        <v>1528</v>
      </c>
      <c r="D69" s="83" t="s">
        <v>620</v>
      </c>
      <c r="E69" s="83" t="s">
        <v>559</v>
      </c>
      <c r="F69" s="83" t="s">
        <v>34</v>
      </c>
      <c r="G69" s="83" t="s">
        <v>558</v>
      </c>
      <c r="H69" s="83" t="s">
        <v>555</v>
      </c>
      <c r="I69" s="120">
        <v>17142.89</v>
      </c>
      <c r="J69" s="85" t="s">
        <v>630</v>
      </c>
      <c r="K69" s="83"/>
    </row>
    <row r="70" spans="2:11" ht="15.75" thickBot="1" x14ac:dyDescent="0.3">
      <c r="B70" s="82" t="s">
        <v>534</v>
      </c>
      <c r="C70" s="82" t="s">
        <v>1528</v>
      </c>
      <c r="D70" s="83" t="s">
        <v>620</v>
      </c>
      <c r="E70" s="83" t="s">
        <v>578</v>
      </c>
      <c r="F70" s="83" t="s">
        <v>34</v>
      </c>
      <c r="G70" s="83" t="s">
        <v>558</v>
      </c>
      <c r="H70" s="83" t="s">
        <v>555</v>
      </c>
      <c r="I70" s="120">
        <v>70051.3</v>
      </c>
      <c r="J70" s="85" t="s">
        <v>630</v>
      </c>
      <c r="K70" s="83"/>
    </row>
    <row r="71" spans="2:11" ht="15.75" thickBot="1" x14ac:dyDescent="0.3">
      <c r="B71" s="82" t="s">
        <v>534</v>
      </c>
      <c r="C71" s="82" t="s">
        <v>1528</v>
      </c>
      <c r="D71" s="83" t="s">
        <v>620</v>
      </c>
      <c r="E71" s="83" t="s">
        <v>566</v>
      </c>
      <c r="F71" s="83" t="s">
        <v>34</v>
      </c>
      <c r="G71" s="83" t="s">
        <v>558</v>
      </c>
      <c r="H71" s="83" t="s">
        <v>555</v>
      </c>
      <c r="I71" s="120">
        <v>6761.1299999999992</v>
      </c>
      <c r="J71" s="85" t="s">
        <v>630</v>
      </c>
      <c r="K71" s="83"/>
    </row>
    <row r="72" spans="2:11" ht="15.75" thickBot="1" x14ac:dyDescent="0.3">
      <c r="B72" s="82" t="s">
        <v>534</v>
      </c>
      <c r="C72" s="82" t="s">
        <v>1528</v>
      </c>
      <c r="D72" s="83" t="s">
        <v>620</v>
      </c>
      <c r="E72" s="83" t="s">
        <v>1797</v>
      </c>
      <c r="F72" s="83" t="s">
        <v>34</v>
      </c>
      <c r="G72" s="83" t="s">
        <v>558</v>
      </c>
      <c r="H72" s="83" t="s">
        <v>555</v>
      </c>
      <c r="I72" s="120">
        <v>33305.33</v>
      </c>
      <c r="J72" s="85" t="s">
        <v>630</v>
      </c>
      <c r="K72" s="83"/>
    </row>
    <row r="73" spans="2:11" ht="15.75" thickBot="1" x14ac:dyDescent="0.3">
      <c r="B73" s="82" t="s">
        <v>534</v>
      </c>
      <c r="C73" s="82" t="s">
        <v>1528</v>
      </c>
      <c r="D73" s="83" t="s">
        <v>620</v>
      </c>
      <c r="E73" s="83" t="s">
        <v>1798</v>
      </c>
      <c r="F73" s="83" t="s">
        <v>34</v>
      </c>
      <c r="G73" s="83" t="s">
        <v>558</v>
      </c>
      <c r="H73" s="83" t="s">
        <v>555</v>
      </c>
      <c r="I73" s="120">
        <v>62285.520000000004</v>
      </c>
      <c r="J73" s="85" t="s">
        <v>630</v>
      </c>
      <c r="K73" s="83"/>
    </row>
    <row r="74" spans="2:11" ht="15.75" thickBot="1" x14ac:dyDescent="0.3">
      <c r="B74" s="82" t="s">
        <v>534</v>
      </c>
      <c r="C74" s="82" t="s">
        <v>1528</v>
      </c>
      <c r="D74" s="83" t="s">
        <v>620</v>
      </c>
      <c r="E74" s="83" t="s">
        <v>554</v>
      </c>
      <c r="F74" s="83" t="s">
        <v>34</v>
      </c>
      <c r="G74" s="83" t="s">
        <v>558</v>
      </c>
      <c r="H74" s="83" t="s">
        <v>555</v>
      </c>
      <c r="I74" s="120">
        <v>49922.01999999999</v>
      </c>
      <c r="J74" s="85" t="s">
        <v>630</v>
      </c>
      <c r="K74" s="83"/>
    </row>
    <row r="75" spans="2:11" ht="15.75" thickBot="1" x14ac:dyDescent="0.3">
      <c r="B75" s="82" t="s">
        <v>534</v>
      </c>
      <c r="C75" s="82" t="s">
        <v>1528</v>
      </c>
      <c r="D75" s="83" t="s">
        <v>620</v>
      </c>
      <c r="E75" s="83" t="s">
        <v>1793</v>
      </c>
      <c r="F75" s="83" t="s">
        <v>34</v>
      </c>
      <c r="G75" s="83" t="s">
        <v>558</v>
      </c>
      <c r="H75" s="83" t="s">
        <v>555</v>
      </c>
      <c r="I75" s="120">
        <v>8306.49</v>
      </c>
      <c r="J75" s="85" t="s">
        <v>630</v>
      </c>
      <c r="K75" s="83"/>
    </row>
    <row r="76" spans="2:11" ht="15.75" thickBot="1" x14ac:dyDescent="0.3">
      <c r="B76" s="82" t="s">
        <v>534</v>
      </c>
      <c r="C76" s="82" t="s">
        <v>1528</v>
      </c>
      <c r="D76" s="83" t="s">
        <v>620</v>
      </c>
      <c r="E76" s="83" t="s">
        <v>577</v>
      </c>
      <c r="F76" s="83" t="s">
        <v>34</v>
      </c>
      <c r="G76" s="83" t="s">
        <v>558</v>
      </c>
      <c r="H76" s="83" t="s">
        <v>555</v>
      </c>
      <c r="I76" s="120">
        <v>2504.71</v>
      </c>
      <c r="J76" s="85" t="s">
        <v>630</v>
      </c>
      <c r="K76" s="83"/>
    </row>
  </sheetData>
  <mergeCells count="24">
    <mergeCell ref="K28:K29"/>
    <mergeCell ref="B25:V26"/>
    <mergeCell ref="B28:B29"/>
    <mergeCell ref="C28:C29"/>
    <mergeCell ref="D28:D29"/>
    <mergeCell ref="E28:E29"/>
    <mergeCell ref="F28:F29"/>
    <mergeCell ref="G28:G29"/>
    <mergeCell ref="H28:H29"/>
    <mergeCell ref="I28:I29"/>
    <mergeCell ref="J28:J29"/>
    <mergeCell ref="B21:V22"/>
    <mergeCell ref="B9:V9"/>
    <mergeCell ref="B11:C11"/>
    <mergeCell ref="D11:H11"/>
    <mergeCell ref="B12:C12"/>
    <mergeCell ref="D12:H12"/>
    <mergeCell ref="B13:C13"/>
    <mergeCell ref="D13:H13"/>
    <mergeCell ref="B14:C14"/>
    <mergeCell ref="D14:H14"/>
    <mergeCell ref="B15:C15"/>
    <mergeCell ref="D15:H15"/>
    <mergeCell ref="B17:X17"/>
  </mergeCells>
  <dataValidations count="5">
    <dataValidation type="list" allowBlank="1" showInputMessage="1" showErrorMessage="1" sqref="H30:H76">
      <formula1>"Meios Próprios Cliente,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F30:F76">
      <formula1>"Sim, Não"</formula1>
    </dataValidation>
    <dataValidation type="list" allowBlank="1" showInputMessage="1" showErrorMessage="1" sqref="C30:C76">
      <formula1>"Combustíveis, Óleos e Aditivos, Equipamentos de AC, Gases Refrigerantes, Outro"</formula1>
    </dataValidation>
    <dataValidation type="list" allowBlank="1" showInputMessage="1" showErrorMessage="1" sqref="G30:G76">
      <formula1>"Não Aplicável, Rodoviário, Ferroviário, Aéreo, Marítimo, Outro"</formula1>
    </dataValidation>
    <dataValidation type="list" allowBlank="1" showInputMessage="1" showErrorMessage="1" sqref="J30:J76">
      <formula1>"unidades, paletes, contentores, kWh, l (litros), kg (quilos), ton (toneladas), Nm3 (metros cubicos norm.), Outro/NA"</formula1>
    </dataValidation>
  </dataValidations>
  <hyperlinks>
    <hyperlink ref="M56" r:id="rId1" display="https://esevel.pt/wp-content/uploads/2021/05/AC_515.pdf"/>
    <hyperlink ref="M60" r:id="rId2" display="https://esevel.pt/wp-content/uploads/2021/05/AC_520.pdf"/>
    <hyperlink ref="M58" r:id="rId3" display="https://esevel.pt/wp-content/uploads/2021/06/Broschure_AC353-5_en.pdf"/>
    <hyperlink ref="M59" r:id="rId4"/>
    <hyperlink ref="U59" r:id="rId5"/>
    <hyperlink ref="U57" r:id="rId6"/>
    <hyperlink ref="M57" r:id="rId7"/>
  </hyperlinks>
  <pageMargins left="0.7" right="0.7" top="0.75" bottom="0.75" header="0.3" footer="0.3"/>
  <customProperties>
    <customPr name="GUID" r:id="rId8"/>
  </customProperties>
  <drawing r:id="rId9"/>
  <legacyDrawing r:id="rId1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7"/>
  <dimension ref="A1:W162"/>
  <sheetViews>
    <sheetView topLeftCell="A85" zoomScale="55" zoomScaleNormal="55" workbookViewId="0">
      <selection activeCell="I107" sqref="I107"/>
    </sheetView>
  </sheetViews>
  <sheetFormatPr defaultRowHeight="15" x14ac:dyDescent="0.25"/>
  <cols>
    <col min="1" max="2" width="69" bestFit="1" customWidth="1"/>
    <col min="3" max="3" width="43" customWidth="1"/>
    <col min="4" max="4" width="35.7109375" customWidth="1"/>
    <col min="5" max="7" width="40.85546875" customWidth="1"/>
    <col min="8" max="8" width="60.7109375" bestFit="1" customWidth="1"/>
    <col min="9" max="9" width="60.7109375" style="422" customWidth="1"/>
    <col min="10" max="10" width="70.7109375" bestFit="1" customWidth="1"/>
    <col min="11" max="11" width="55.42578125" bestFit="1" customWidth="1"/>
    <col min="12" max="12" width="24.140625" customWidth="1"/>
    <col min="13" max="14" width="25.7109375" customWidth="1"/>
    <col min="15" max="15" width="28.7109375" style="174" customWidth="1"/>
    <col min="16" max="16" width="28.7109375" style="177" customWidth="1"/>
    <col min="17" max="17" width="25.7109375" style="1" customWidth="1"/>
    <col min="18" max="18" width="43.28515625" customWidth="1"/>
    <col min="19" max="19" width="26.7109375" style="422" bestFit="1" customWidth="1"/>
    <col min="20" max="22" width="43.28515625" customWidth="1"/>
    <col min="23" max="23" width="23.140625" customWidth="1"/>
  </cols>
  <sheetData>
    <row r="1" spans="1:23" s="94" customFormat="1" ht="15.75" thickBot="1" x14ac:dyDescent="0.3">
      <c r="A1" s="793" t="s">
        <v>1851</v>
      </c>
      <c r="B1" s="757" t="s">
        <v>131</v>
      </c>
      <c r="C1" s="757" t="s">
        <v>1852</v>
      </c>
      <c r="D1" s="757" t="s">
        <v>459</v>
      </c>
      <c r="E1" s="757" t="s">
        <v>460</v>
      </c>
      <c r="F1" s="209" t="s">
        <v>1896</v>
      </c>
      <c r="G1" s="209" t="s">
        <v>1659</v>
      </c>
      <c r="H1" s="778" t="s">
        <v>1878</v>
      </c>
      <c r="I1" s="778" t="s">
        <v>6572</v>
      </c>
      <c r="J1" s="211" t="s">
        <v>1897</v>
      </c>
      <c r="K1" s="757" t="s">
        <v>461</v>
      </c>
      <c r="L1" s="757" t="s">
        <v>462</v>
      </c>
      <c r="M1" s="759" t="s">
        <v>445</v>
      </c>
      <c r="N1" s="757" t="s">
        <v>449</v>
      </c>
      <c r="O1" s="812" t="s">
        <v>556</v>
      </c>
      <c r="P1" s="759" t="s">
        <v>141</v>
      </c>
      <c r="Q1" s="777" t="s">
        <v>1860</v>
      </c>
      <c r="R1" s="759" t="s">
        <v>134</v>
      </c>
      <c r="S1" s="759" t="s">
        <v>6039</v>
      </c>
      <c r="T1" s="289" t="s">
        <v>1856</v>
      </c>
      <c r="U1" s="777" t="s">
        <v>2812</v>
      </c>
      <c r="V1" s="777" t="s">
        <v>3588</v>
      </c>
      <c r="W1" s="777" t="s">
        <v>3628</v>
      </c>
    </row>
    <row r="2" spans="1:23" s="94" customFormat="1" ht="15.75" thickBot="1" x14ac:dyDescent="0.3">
      <c r="A2" s="794"/>
      <c r="B2" s="758"/>
      <c r="C2" s="758"/>
      <c r="D2" s="758"/>
      <c r="E2" s="758"/>
      <c r="F2" s="210"/>
      <c r="G2" s="210"/>
      <c r="H2" s="779"/>
      <c r="I2" s="779"/>
      <c r="J2" s="212"/>
      <c r="K2" s="758"/>
      <c r="L2" s="758"/>
      <c r="M2" s="757"/>
      <c r="N2" s="809"/>
      <c r="O2" s="813"/>
      <c r="P2" s="757"/>
      <c r="Q2" s="778"/>
      <c r="R2" s="759"/>
      <c r="S2" s="759"/>
      <c r="T2" s="289"/>
      <c r="U2" s="777"/>
      <c r="V2" s="777"/>
      <c r="W2" s="777"/>
    </row>
    <row r="3" spans="1:23" ht="15.75" thickBot="1" x14ac:dyDescent="0.3">
      <c r="A3" s="82" t="s">
        <v>45</v>
      </c>
      <c r="B3" s="82" t="str">
        <f>LEFT(A3,IFERROR(FIND(" - ",A3)-1,LEN(A3)))</f>
        <v>Barraqueiro Transportes, S.A.</v>
      </c>
      <c r="C3" s="82" t="str">
        <f>IF(A3=B3,"X",RIGHT(A3,LEN(A3)-LEN(B3)-3))</f>
        <v>X</v>
      </c>
      <c r="D3" s="82" t="s">
        <v>553</v>
      </c>
      <c r="E3" s="83" t="s">
        <v>1862</v>
      </c>
      <c r="F3" s="229">
        <v>1</v>
      </c>
      <c r="G3" s="229"/>
      <c r="H3" s="83" t="str">
        <f>D3&amp;": "&amp;E3</f>
        <v>Gases Refrigerantes: HFC134a</v>
      </c>
      <c r="I3" s="425" t="str">
        <f>H3&amp;" :: "&amp;T3</f>
        <v>Gases Refrigerantes: HFC134a :: 2022</v>
      </c>
      <c r="J3" s="83" t="str">
        <f>IF(G3="",H3,H3&amp;": "&amp;G3)</f>
        <v>Gases Refrigerantes: HFC134a</v>
      </c>
      <c r="K3" s="83" t="s">
        <v>554</v>
      </c>
      <c r="L3" s="83" t="s">
        <v>34</v>
      </c>
      <c r="M3" s="83" t="s">
        <v>558</v>
      </c>
      <c r="N3" s="83" t="s">
        <v>555</v>
      </c>
      <c r="O3" s="120">
        <v>12</v>
      </c>
      <c r="P3" s="175" t="s">
        <v>1863</v>
      </c>
      <c r="Q3" s="125" t="s">
        <v>557</v>
      </c>
      <c r="R3" s="83"/>
      <c r="S3" s="458"/>
      <c r="T3" s="271">
        <v>2022</v>
      </c>
      <c r="U3" s="250" t="s">
        <v>3499</v>
      </c>
      <c r="V3" s="250" t="s">
        <v>3506</v>
      </c>
      <c r="W3" t="str">
        <f>IF(L3="Sim","Sim","Não")</f>
        <v>Sim</v>
      </c>
    </row>
    <row r="4" spans="1:23" ht="15.75" thickBot="1" x14ac:dyDescent="0.3">
      <c r="A4" s="82" t="s">
        <v>45</v>
      </c>
      <c r="B4" s="82" t="str">
        <f t="shared" ref="B4:B49" si="0">LEFT(A4,IFERROR(FIND(" - ",A4)-1,LEN(A4)))</f>
        <v>Barraqueiro Transportes, S.A.</v>
      </c>
      <c r="C4" s="82" t="str">
        <f t="shared" ref="C4:C61" si="1">IF(A4=B4,"X",RIGHT(A4,LEN(A4)-LEN(B4)-3))</f>
        <v>X</v>
      </c>
      <c r="D4" s="82" t="s">
        <v>553</v>
      </c>
      <c r="E4" s="83" t="s">
        <v>1862</v>
      </c>
      <c r="F4" s="229">
        <v>1</v>
      </c>
      <c r="G4" s="229"/>
      <c r="H4" s="83" t="str">
        <f t="shared" ref="H4:H49" si="2">D4&amp;": "&amp;E4</f>
        <v>Gases Refrigerantes: HFC134a</v>
      </c>
      <c r="I4" s="425" t="str">
        <f t="shared" ref="I4:I67" si="3">H4&amp;" :: "&amp;T4</f>
        <v>Gases Refrigerantes: HFC134a :: 2022</v>
      </c>
      <c r="J4" s="83" t="str">
        <f t="shared" ref="J4:J49" si="4">IF(G4="",H4,H4&amp;": "&amp;G4)</f>
        <v>Gases Refrigerantes: HFC134a</v>
      </c>
      <c r="K4" s="83" t="s">
        <v>559</v>
      </c>
      <c r="L4" s="83" t="s">
        <v>34</v>
      </c>
      <c r="M4" s="83" t="s">
        <v>558</v>
      </c>
      <c r="N4" s="83" t="s">
        <v>555</v>
      </c>
      <c r="O4" s="120">
        <v>79.5</v>
      </c>
      <c r="P4" s="175" t="s">
        <v>1863</v>
      </c>
      <c r="Q4" s="125" t="s">
        <v>557</v>
      </c>
      <c r="R4" s="83"/>
      <c r="S4" s="458"/>
      <c r="T4" s="271">
        <v>2022</v>
      </c>
      <c r="U4" s="250" t="s">
        <v>3499</v>
      </c>
      <c r="V4" s="250" t="s">
        <v>3506</v>
      </c>
      <c r="W4" t="str">
        <f t="shared" ref="W4:W67" si="5">IF(L4="Sim","Sim","Não")</f>
        <v>Sim</v>
      </c>
    </row>
    <row r="5" spans="1:23" ht="15.75" thickBot="1" x14ac:dyDescent="0.3">
      <c r="A5" s="82" t="s">
        <v>45</v>
      </c>
      <c r="B5" s="82" t="str">
        <f t="shared" si="0"/>
        <v>Barraqueiro Transportes, S.A.</v>
      </c>
      <c r="C5" s="82" t="str">
        <f t="shared" si="1"/>
        <v>X</v>
      </c>
      <c r="D5" s="82" t="s">
        <v>553</v>
      </c>
      <c r="E5" s="83" t="s">
        <v>1862</v>
      </c>
      <c r="F5" s="229">
        <v>1</v>
      </c>
      <c r="G5" s="229"/>
      <c r="H5" s="83" t="str">
        <f t="shared" si="2"/>
        <v>Gases Refrigerantes: HFC134a</v>
      </c>
      <c r="I5" s="425" t="str">
        <f t="shared" si="3"/>
        <v>Gases Refrigerantes: HFC134a :: 2022</v>
      </c>
      <c r="J5" s="83" t="str">
        <f t="shared" si="4"/>
        <v>Gases Refrigerantes: HFC134a</v>
      </c>
      <c r="K5" s="83" t="s">
        <v>565</v>
      </c>
      <c r="L5" s="83" t="s">
        <v>34</v>
      </c>
      <c r="M5" s="83" t="s">
        <v>558</v>
      </c>
      <c r="N5" s="83" t="s">
        <v>555</v>
      </c>
      <c r="O5" s="120">
        <v>12</v>
      </c>
      <c r="P5" s="175" t="s">
        <v>1863</v>
      </c>
      <c r="Q5" s="125" t="s">
        <v>557</v>
      </c>
      <c r="R5" s="83"/>
      <c r="S5" s="458"/>
      <c r="T5" s="271">
        <v>2022</v>
      </c>
      <c r="U5" s="250" t="s">
        <v>3499</v>
      </c>
      <c r="V5" s="250" t="s">
        <v>3506</v>
      </c>
      <c r="W5" t="str">
        <f t="shared" si="5"/>
        <v>Sim</v>
      </c>
    </row>
    <row r="6" spans="1:23" ht="15.75" thickBot="1" x14ac:dyDescent="0.3">
      <c r="A6" s="82" t="s">
        <v>45</v>
      </c>
      <c r="B6" s="82" t="str">
        <f t="shared" si="0"/>
        <v>Barraqueiro Transportes, S.A.</v>
      </c>
      <c r="C6" s="82" t="str">
        <f t="shared" si="1"/>
        <v>X</v>
      </c>
      <c r="D6" s="82" t="s">
        <v>553</v>
      </c>
      <c r="E6" s="83" t="s">
        <v>1862</v>
      </c>
      <c r="F6" s="229">
        <v>1</v>
      </c>
      <c r="G6" s="229"/>
      <c r="H6" s="83" t="str">
        <f t="shared" si="2"/>
        <v>Gases Refrigerantes: HFC134a</v>
      </c>
      <c r="I6" s="425" t="str">
        <f t="shared" si="3"/>
        <v>Gases Refrigerantes: HFC134a :: 2022</v>
      </c>
      <c r="J6" s="83" t="str">
        <f t="shared" si="4"/>
        <v>Gases Refrigerantes: HFC134a</v>
      </c>
      <c r="K6" s="83" t="s">
        <v>566</v>
      </c>
      <c r="L6" s="83" t="s">
        <v>34</v>
      </c>
      <c r="M6" s="83" t="s">
        <v>558</v>
      </c>
      <c r="N6" s="83" t="s">
        <v>555</v>
      </c>
      <c r="O6" s="120">
        <v>8</v>
      </c>
      <c r="P6" s="175" t="s">
        <v>1863</v>
      </c>
      <c r="Q6" s="125" t="s">
        <v>557</v>
      </c>
      <c r="R6" s="83"/>
      <c r="S6" s="458"/>
      <c r="T6" s="271">
        <v>2022</v>
      </c>
      <c r="U6" s="250" t="s">
        <v>3499</v>
      </c>
      <c r="V6" s="250" t="s">
        <v>3506</v>
      </c>
      <c r="W6" t="str">
        <f t="shared" si="5"/>
        <v>Sim</v>
      </c>
    </row>
    <row r="7" spans="1:23" ht="15.75" thickBot="1" x14ac:dyDescent="0.3">
      <c r="A7" s="82" t="s">
        <v>45</v>
      </c>
      <c r="B7" s="82" t="str">
        <f t="shared" si="0"/>
        <v>Barraqueiro Transportes, S.A.</v>
      </c>
      <c r="C7" s="82" t="str">
        <f t="shared" si="1"/>
        <v>X</v>
      </c>
      <c r="D7" s="82" t="s">
        <v>553</v>
      </c>
      <c r="E7" s="83" t="s">
        <v>1862</v>
      </c>
      <c r="F7" s="229">
        <v>1</v>
      </c>
      <c r="G7" s="229"/>
      <c r="H7" s="83" t="str">
        <f t="shared" si="2"/>
        <v>Gases Refrigerantes: HFC134a</v>
      </c>
      <c r="I7" s="425" t="str">
        <f t="shared" si="3"/>
        <v>Gases Refrigerantes: HFC134a :: 2022</v>
      </c>
      <c r="J7" s="83" t="str">
        <f t="shared" si="4"/>
        <v>Gases Refrigerantes: HFC134a</v>
      </c>
      <c r="K7" s="83" t="s">
        <v>567</v>
      </c>
      <c r="L7" s="83" t="s">
        <v>34</v>
      </c>
      <c r="M7" s="83" t="s">
        <v>558</v>
      </c>
      <c r="N7" s="83" t="s">
        <v>555</v>
      </c>
      <c r="O7" s="120">
        <v>30</v>
      </c>
      <c r="P7" s="175" t="s">
        <v>1863</v>
      </c>
      <c r="Q7" s="125" t="s">
        <v>557</v>
      </c>
      <c r="R7" s="83"/>
      <c r="S7" s="458"/>
      <c r="T7" s="271">
        <v>2022</v>
      </c>
      <c r="U7" s="250" t="s">
        <v>3499</v>
      </c>
      <c r="V7" s="250" t="s">
        <v>3506</v>
      </c>
      <c r="W7" t="str">
        <f t="shared" si="5"/>
        <v>Sim</v>
      </c>
    </row>
    <row r="8" spans="1:23" ht="15.75" thickBot="1" x14ac:dyDescent="0.3">
      <c r="A8" s="82" t="s">
        <v>45</v>
      </c>
      <c r="B8" s="82" t="str">
        <f t="shared" si="0"/>
        <v>Barraqueiro Transportes, S.A.</v>
      </c>
      <c r="C8" s="82" t="str">
        <f t="shared" si="1"/>
        <v>X</v>
      </c>
      <c r="D8" s="82" t="s">
        <v>553</v>
      </c>
      <c r="E8" s="83" t="s">
        <v>1862</v>
      </c>
      <c r="F8" s="229">
        <v>1</v>
      </c>
      <c r="G8" s="229"/>
      <c r="H8" s="83" t="str">
        <f t="shared" si="2"/>
        <v>Gases Refrigerantes: HFC134a</v>
      </c>
      <c r="I8" s="425" t="str">
        <f t="shared" si="3"/>
        <v>Gases Refrigerantes: HFC134a :: 2022</v>
      </c>
      <c r="J8" s="83" t="str">
        <f t="shared" si="4"/>
        <v>Gases Refrigerantes: HFC134a</v>
      </c>
      <c r="K8" s="83" t="s">
        <v>571</v>
      </c>
      <c r="L8" s="83" t="s">
        <v>34</v>
      </c>
      <c r="M8" s="83" t="s">
        <v>558</v>
      </c>
      <c r="N8" s="83" t="s">
        <v>555</v>
      </c>
      <c r="O8" s="120">
        <v>10</v>
      </c>
      <c r="P8" s="175" t="s">
        <v>1863</v>
      </c>
      <c r="Q8" s="125" t="s">
        <v>557</v>
      </c>
      <c r="R8" s="83"/>
      <c r="S8" s="458"/>
      <c r="T8" s="271">
        <v>2022</v>
      </c>
      <c r="U8" s="250" t="s">
        <v>3499</v>
      </c>
      <c r="V8" s="250" t="s">
        <v>3506</v>
      </c>
      <c r="W8" t="str">
        <f t="shared" si="5"/>
        <v>Sim</v>
      </c>
    </row>
    <row r="9" spans="1:23" ht="15.75" thickBot="1" x14ac:dyDescent="0.3">
      <c r="A9" s="82" t="s">
        <v>45</v>
      </c>
      <c r="B9" s="82" t="str">
        <f t="shared" si="0"/>
        <v>Barraqueiro Transportes, S.A.</v>
      </c>
      <c r="C9" s="82" t="str">
        <f t="shared" si="1"/>
        <v>X</v>
      </c>
      <c r="D9" s="82" t="s">
        <v>553</v>
      </c>
      <c r="E9" s="83" t="s">
        <v>1862</v>
      </c>
      <c r="F9" s="229">
        <v>1</v>
      </c>
      <c r="G9" s="229"/>
      <c r="H9" s="83" t="str">
        <f t="shared" si="2"/>
        <v>Gases Refrigerantes: HFC134a</v>
      </c>
      <c r="I9" s="425" t="str">
        <f t="shared" si="3"/>
        <v>Gases Refrigerantes: HFC134a :: 2022</v>
      </c>
      <c r="J9" s="83" t="str">
        <f t="shared" si="4"/>
        <v>Gases Refrigerantes: HFC134a</v>
      </c>
      <c r="K9" s="83" t="s">
        <v>577</v>
      </c>
      <c r="L9" s="83" t="s">
        <v>34</v>
      </c>
      <c r="M9" s="83" t="s">
        <v>558</v>
      </c>
      <c r="N9" s="83" t="s">
        <v>555</v>
      </c>
      <c r="O9" s="120">
        <v>3</v>
      </c>
      <c r="P9" s="175" t="s">
        <v>1863</v>
      </c>
      <c r="Q9" s="125" t="s">
        <v>557</v>
      </c>
      <c r="R9" s="83"/>
      <c r="S9" s="458"/>
      <c r="T9" s="271">
        <v>2022</v>
      </c>
      <c r="U9" s="250" t="s">
        <v>3499</v>
      </c>
      <c r="V9" s="250" t="s">
        <v>3506</v>
      </c>
      <c r="W9" t="str">
        <f t="shared" si="5"/>
        <v>Sim</v>
      </c>
    </row>
    <row r="10" spans="1:23" ht="15.75" thickBot="1" x14ac:dyDescent="0.3">
      <c r="A10" s="82" t="s">
        <v>45</v>
      </c>
      <c r="B10" s="82" t="str">
        <f t="shared" si="0"/>
        <v>Barraqueiro Transportes, S.A.</v>
      </c>
      <c r="C10" s="82" t="str">
        <f t="shared" si="1"/>
        <v>X</v>
      </c>
      <c r="D10" s="82" t="s">
        <v>553</v>
      </c>
      <c r="E10" s="83" t="s">
        <v>1862</v>
      </c>
      <c r="F10" s="229">
        <v>1</v>
      </c>
      <c r="G10" s="229"/>
      <c r="H10" s="83" t="str">
        <f t="shared" si="2"/>
        <v>Gases Refrigerantes: HFC134a</v>
      </c>
      <c r="I10" s="425" t="str">
        <f t="shared" si="3"/>
        <v>Gases Refrigerantes: HFC134a :: 2022</v>
      </c>
      <c r="J10" s="83" t="str">
        <f t="shared" si="4"/>
        <v>Gases Refrigerantes: HFC134a</v>
      </c>
      <c r="K10" s="83" t="s">
        <v>578</v>
      </c>
      <c r="L10" s="83" t="s">
        <v>34</v>
      </c>
      <c r="M10" s="83" t="s">
        <v>558</v>
      </c>
      <c r="N10" s="83" t="s">
        <v>555</v>
      </c>
      <c r="O10" s="120">
        <v>15</v>
      </c>
      <c r="P10" s="175" t="s">
        <v>1863</v>
      </c>
      <c r="Q10" s="125" t="s">
        <v>557</v>
      </c>
      <c r="R10" s="83"/>
      <c r="S10" s="458"/>
      <c r="T10" s="271">
        <v>2022</v>
      </c>
      <c r="U10" s="250" t="s">
        <v>3499</v>
      </c>
      <c r="V10" s="250" t="s">
        <v>3506</v>
      </c>
      <c r="W10" t="str">
        <f t="shared" si="5"/>
        <v>Sim</v>
      </c>
    </row>
    <row r="11" spans="1:23" ht="15.75" thickBot="1" x14ac:dyDescent="0.3">
      <c r="A11" s="82" t="s">
        <v>45</v>
      </c>
      <c r="B11" s="82" t="str">
        <f t="shared" si="0"/>
        <v>Barraqueiro Transportes, S.A.</v>
      </c>
      <c r="C11" s="82" t="str">
        <f t="shared" si="1"/>
        <v>X</v>
      </c>
      <c r="D11" s="82" t="s">
        <v>553</v>
      </c>
      <c r="E11" s="83" t="s">
        <v>1862</v>
      </c>
      <c r="F11" s="229">
        <v>1</v>
      </c>
      <c r="G11" s="229"/>
      <c r="H11" s="83" t="str">
        <f t="shared" si="2"/>
        <v>Gases Refrigerantes: HFC134a</v>
      </c>
      <c r="I11" s="425" t="str">
        <f t="shared" si="3"/>
        <v>Gases Refrigerantes: HFC134a :: 2022</v>
      </c>
      <c r="J11" s="83" t="str">
        <f t="shared" si="4"/>
        <v>Gases Refrigerantes: HFC134a</v>
      </c>
      <c r="K11" s="83" t="s">
        <v>583</v>
      </c>
      <c r="L11" s="83" t="s">
        <v>34</v>
      </c>
      <c r="M11" s="83" t="s">
        <v>558</v>
      </c>
      <c r="N11" s="83" t="s">
        <v>555</v>
      </c>
      <c r="O11" s="120">
        <v>128</v>
      </c>
      <c r="P11" s="175" t="s">
        <v>1863</v>
      </c>
      <c r="Q11" s="125" t="s">
        <v>557</v>
      </c>
      <c r="R11" s="83"/>
      <c r="S11" s="458"/>
      <c r="T11" s="271">
        <v>2022</v>
      </c>
      <c r="U11" s="250" t="s">
        <v>3499</v>
      </c>
      <c r="V11" s="250" t="s">
        <v>3506</v>
      </c>
      <c r="W11" t="str">
        <f t="shared" si="5"/>
        <v>Sim</v>
      </c>
    </row>
    <row r="12" spans="1:23" ht="15.75" thickBot="1" x14ac:dyDescent="0.3">
      <c r="A12" s="82" t="s">
        <v>45</v>
      </c>
      <c r="B12" s="82" t="str">
        <f t="shared" si="0"/>
        <v>Barraqueiro Transportes, S.A.</v>
      </c>
      <c r="C12" s="82" t="str">
        <f t="shared" si="1"/>
        <v>X</v>
      </c>
      <c r="D12" s="82" t="s">
        <v>553</v>
      </c>
      <c r="E12" s="83" t="s">
        <v>1862</v>
      </c>
      <c r="F12" s="229">
        <v>1</v>
      </c>
      <c r="G12" s="229"/>
      <c r="H12" s="83" t="str">
        <f t="shared" si="2"/>
        <v>Gases Refrigerantes: HFC134a</v>
      </c>
      <c r="I12" s="425" t="str">
        <f t="shared" si="3"/>
        <v>Gases Refrigerantes: HFC134a :: 2022</v>
      </c>
      <c r="J12" s="83" t="str">
        <f t="shared" si="4"/>
        <v>Gases Refrigerantes: HFC134a</v>
      </c>
      <c r="K12" s="83" t="s">
        <v>563</v>
      </c>
      <c r="L12" s="83" t="s">
        <v>42</v>
      </c>
      <c r="M12" s="83" t="s">
        <v>558</v>
      </c>
      <c r="N12" s="83" t="s">
        <v>555</v>
      </c>
      <c r="O12" s="120">
        <v>3</v>
      </c>
      <c r="P12" s="175" t="s">
        <v>1863</v>
      </c>
      <c r="Q12" s="125" t="s">
        <v>557</v>
      </c>
      <c r="R12" s="83"/>
      <c r="S12" s="458"/>
      <c r="T12" s="271">
        <v>2022</v>
      </c>
      <c r="U12" s="250" t="s">
        <v>3499</v>
      </c>
      <c r="V12" s="250" t="s">
        <v>3506</v>
      </c>
      <c r="W12" t="str">
        <f t="shared" si="5"/>
        <v>Não</v>
      </c>
    </row>
    <row r="13" spans="1:23" ht="15.75" thickBot="1" x14ac:dyDescent="0.3">
      <c r="A13" s="82" t="s">
        <v>45</v>
      </c>
      <c r="B13" s="82" t="str">
        <f t="shared" si="0"/>
        <v>Barraqueiro Transportes, S.A.</v>
      </c>
      <c r="C13" s="82" t="str">
        <f t="shared" si="1"/>
        <v>X</v>
      </c>
      <c r="D13" s="82" t="s">
        <v>553</v>
      </c>
      <c r="E13" s="83" t="s">
        <v>1862</v>
      </c>
      <c r="F13" s="229">
        <v>1</v>
      </c>
      <c r="G13" s="229"/>
      <c r="H13" s="83" t="str">
        <f t="shared" si="2"/>
        <v>Gases Refrigerantes: HFC134a</v>
      </c>
      <c r="I13" s="425" t="str">
        <f t="shared" si="3"/>
        <v>Gases Refrigerantes: HFC134a :: 2022</v>
      </c>
      <c r="J13" s="83" t="str">
        <f t="shared" si="4"/>
        <v>Gases Refrigerantes: HFC134a</v>
      </c>
      <c r="K13" s="83" t="s">
        <v>564</v>
      </c>
      <c r="L13" s="83" t="s">
        <v>42</v>
      </c>
      <c r="M13" s="83" t="s">
        <v>558</v>
      </c>
      <c r="N13" s="83" t="s">
        <v>555</v>
      </c>
      <c r="O13" s="120">
        <v>4</v>
      </c>
      <c r="P13" s="175" t="s">
        <v>1863</v>
      </c>
      <c r="Q13" s="125" t="s">
        <v>557</v>
      </c>
      <c r="R13" s="83"/>
      <c r="S13" s="458"/>
      <c r="T13" s="271">
        <v>2022</v>
      </c>
      <c r="U13" s="250" t="s">
        <v>3499</v>
      </c>
      <c r="V13" s="250" t="s">
        <v>3506</v>
      </c>
      <c r="W13" t="str">
        <f t="shared" si="5"/>
        <v>Não</v>
      </c>
    </row>
    <row r="14" spans="1:23" ht="15.75" thickBot="1" x14ac:dyDescent="0.3">
      <c r="A14" s="82" t="s">
        <v>45</v>
      </c>
      <c r="B14" s="82" t="str">
        <f t="shared" si="0"/>
        <v>Barraqueiro Transportes, S.A.</v>
      </c>
      <c r="C14" s="82" t="str">
        <f t="shared" si="1"/>
        <v>X</v>
      </c>
      <c r="D14" s="82" t="s">
        <v>553</v>
      </c>
      <c r="E14" s="83" t="s">
        <v>1862</v>
      </c>
      <c r="F14" s="229">
        <v>1</v>
      </c>
      <c r="G14" s="229"/>
      <c r="H14" s="83" t="str">
        <f t="shared" si="2"/>
        <v>Gases Refrigerantes: HFC134a</v>
      </c>
      <c r="I14" s="425" t="str">
        <f t="shared" si="3"/>
        <v>Gases Refrigerantes: HFC134a :: 2022</v>
      </c>
      <c r="J14" s="83" t="str">
        <f t="shared" si="4"/>
        <v>Gases Refrigerantes: HFC134a</v>
      </c>
      <c r="K14" s="83" t="s">
        <v>560</v>
      </c>
      <c r="L14" s="83" t="s">
        <v>42</v>
      </c>
      <c r="M14" s="83" t="s">
        <v>558</v>
      </c>
      <c r="N14" s="83" t="s">
        <v>555</v>
      </c>
      <c r="O14" s="120">
        <v>13</v>
      </c>
      <c r="P14" s="175" t="s">
        <v>1863</v>
      </c>
      <c r="Q14" s="125" t="s">
        <v>557</v>
      </c>
      <c r="R14" s="83"/>
      <c r="S14" s="458"/>
      <c r="T14" s="271">
        <v>2022</v>
      </c>
      <c r="U14" s="250" t="s">
        <v>3499</v>
      </c>
      <c r="V14" s="250" t="s">
        <v>3506</v>
      </c>
      <c r="W14" t="str">
        <f t="shared" si="5"/>
        <v>Não</v>
      </c>
    </row>
    <row r="15" spans="1:23" ht="15.75" thickBot="1" x14ac:dyDescent="0.3">
      <c r="A15" s="82" t="s">
        <v>45</v>
      </c>
      <c r="B15" s="82" t="str">
        <f t="shared" si="0"/>
        <v>Barraqueiro Transportes, S.A.</v>
      </c>
      <c r="C15" s="82" t="str">
        <f t="shared" si="1"/>
        <v>X</v>
      </c>
      <c r="D15" s="82" t="s">
        <v>553</v>
      </c>
      <c r="E15" s="83" t="s">
        <v>1862</v>
      </c>
      <c r="F15" s="229">
        <v>1</v>
      </c>
      <c r="G15" s="229"/>
      <c r="H15" s="83" t="str">
        <f t="shared" si="2"/>
        <v>Gases Refrigerantes: HFC134a</v>
      </c>
      <c r="I15" s="425" t="str">
        <f t="shared" si="3"/>
        <v>Gases Refrigerantes: HFC134a :: 2022</v>
      </c>
      <c r="J15" s="83" t="str">
        <f t="shared" si="4"/>
        <v>Gases Refrigerantes: HFC134a</v>
      </c>
      <c r="K15" s="83" t="s">
        <v>561</v>
      </c>
      <c r="L15" s="83" t="s">
        <v>42</v>
      </c>
      <c r="M15" s="83" t="s">
        <v>558</v>
      </c>
      <c r="N15" s="83" t="s">
        <v>555</v>
      </c>
      <c r="O15" s="120">
        <v>235.1</v>
      </c>
      <c r="P15" s="175" t="s">
        <v>1863</v>
      </c>
      <c r="Q15" s="125" t="s">
        <v>557</v>
      </c>
      <c r="R15" s="83"/>
      <c r="S15" s="458"/>
      <c r="T15" s="271">
        <v>2022</v>
      </c>
      <c r="U15" s="250" t="s">
        <v>3499</v>
      </c>
      <c r="V15" s="250" t="s">
        <v>3506</v>
      </c>
      <c r="W15" t="str">
        <f t="shared" si="5"/>
        <v>Não</v>
      </c>
    </row>
    <row r="16" spans="1:23" ht="15.75" thickBot="1" x14ac:dyDescent="0.3">
      <c r="A16" s="82" t="s">
        <v>45</v>
      </c>
      <c r="B16" s="82" t="str">
        <f t="shared" si="0"/>
        <v>Barraqueiro Transportes, S.A.</v>
      </c>
      <c r="C16" s="82" t="str">
        <f t="shared" si="1"/>
        <v>X</v>
      </c>
      <c r="D16" s="82" t="s">
        <v>553</v>
      </c>
      <c r="E16" s="83" t="s">
        <v>1862</v>
      </c>
      <c r="F16" s="229">
        <v>1</v>
      </c>
      <c r="G16" s="229"/>
      <c r="H16" s="83" t="str">
        <f t="shared" si="2"/>
        <v>Gases Refrigerantes: HFC134a</v>
      </c>
      <c r="I16" s="425" t="str">
        <f t="shared" si="3"/>
        <v>Gases Refrigerantes: HFC134a :: 2022</v>
      </c>
      <c r="J16" s="83" t="str">
        <f t="shared" si="4"/>
        <v>Gases Refrigerantes: HFC134a</v>
      </c>
      <c r="K16" s="83" t="s">
        <v>562</v>
      </c>
      <c r="L16" s="83" t="s">
        <v>42</v>
      </c>
      <c r="M16" s="83" t="s">
        <v>558</v>
      </c>
      <c r="N16" s="83" t="s">
        <v>555</v>
      </c>
      <c r="O16" s="120">
        <v>6</v>
      </c>
      <c r="P16" s="175" t="s">
        <v>1863</v>
      </c>
      <c r="Q16" s="125" t="s">
        <v>557</v>
      </c>
      <c r="R16" s="83"/>
      <c r="S16" s="458"/>
      <c r="T16" s="271">
        <v>2022</v>
      </c>
      <c r="U16" s="250" t="s">
        <v>3499</v>
      </c>
      <c r="V16" s="250" t="s">
        <v>3506</v>
      </c>
      <c r="W16" t="str">
        <f t="shared" si="5"/>
        <v>Não</v>
      </c>
    </row>
    <row r="17" spans="1:23" ht="15.75" thickBot="1" x14ac:dyDescent="0.3">
      <c r="A17" s="82" t="s">
        <v>45</v>
      </c>
      <c r="B17" s="82" t="str">
        <f t="shared" si="0"/>
        <v>Barraqueiro Transportes, S.A.</v>
      </c>
      <c r="C17" s="82" t="str">
        <f t="shared" si="1"/>
        <v>X</v>
      </c>
      <c r="D17" s="82" t="s">
        <v>553</v>
      </c>
      <c r="E17" s="83" t="s">
        <v>1862</v>
      </c>
      <c r="F17" s="229">
        <v>1</v>
      </c>
      <c r="G17" s="229"/>
      <c r="H17" s="83" t="str">
        <f t="shared" si="2"/>
        <v>Gases Refrigerantes: HFC134a</v>
      </c>
      <c r="I17" s="425" t="str">
        <f t="shared" si="3"/>
        <v>Gases Refrigerantes: HFC134a :: 2022</v>
      </c>
      <c r="J17" s="83" t="str">
        <f t="shared" si="4"/>
        <v>Gases Refrigerantes: HFC134a</v>
      </c>
      <c r="K17" s="83" t="s">
        <v>568</v>
      </c>
      <c r="L17" s="83" t="s">
        <v>42</v>
      </c>
      <c r="M17" s="83" t="s">
        <v>558</v>
      </c>
      <c r="N17" s="83" t="s">
        <v>555</v>
      </c>
      <c r="O17" s="120">
        <v>3</v>
      </c>
      <c r="P17" s="175" t="s">
        <v>1863</v>
      </c>
      <c r="Q17" s="125" t="s">
        <v>557</v>
      </c>
      <c r="R17" s="83"/>
      <c r="S17" s="458"/>
      <c r="T17" s="271">
        <v>2022</v>
      </c>
      <c r="U17" s="250" t="s">
        <v>3499</v>
      </c>
      <c r="V17" s="250" t="s">
        <v>3506</v>
      </c>
      <c r="W17" t="str">
        <f t="shared" si="5"/>
        <v>Não</v>
      </c>
    </row>
    <row r="18" spans="1:23" ht="15.75" thickBot="1" x14ac:dyDescent="0.3">
      <c r="A18" s="82" t="s">
        <v>45</v>
      </c>
      <c r="B18" s="82" t="str">
        <f t="shared" si="0"/>
        <v>Barraqueiro Transportes, S.A.</v>
      </c>
      <c r="C18" s="82" t="str">
        <f t="shared" si="1"/>
        <v>X</v>
      </c>
      <c r="D18" s="82" t="s">
        <v>553</v>
      </c>
      <c r="E18" s="83" t="s">
        <v>1862</v>
      </c>
      <c r="F18" s="229">
        <v>1</v>
      </c>
      <c r="G18" s="229"/>
      <c r="H18" s="83" t="str">
        <f t="shared" si="2"/>
        <v>Gases Refrigerantes: HFC134a</v>
      </c>
      <c r="I18" s="425" t="str">
        <f t="shared" si="3"/>
        <v>Gases Refrigerantes: HFC134a :: 2022</v>
      </c>
      <c r="J18" s="83" t="str">
        <f t="shared" si="4"/>
        <v>Gases Refrigerantes: HFC134a</v>
      </c>
      <c r="K18" s="83" t="s">
        <v>569</v>
      </c>
      <c r="L18" s="119" t="s">
        <v>42</v>
      </c>
      <c r="M18" s="83" t="s">
        <v>558</v>
      </c>
      <c r="N18" s="83" t="s">
        <v>555</v>
      </c>
      <c r="O18" s="120">
        <v>23.5</v>
      </c>
      <c r="P18" s="175" t="s">
        <v>1863</v>
      </c>
      <c r="Q18" s="125" t="s">
        <v>557</v>
      </c>
      <c r="R18" s="83"/>
      <c r="S18" s="458"/>
      <c r="T18" s="271">
        <v>2022</v>
      </c>
      <c r="U18" s="250" t="s">
        <v>3499</v>
      </c>
      <c r="V18" s="250" t="s">
        <v>3506</v>
      </c>
      <c r="W18" t="str">
        <f t="shared" si="5"/>
        <v>Não</v>
      </c>
    </row>
    <row r="19" spans="1:23" ht="15.75" thickBot="1" x14ac:dyDescent="0.3">
      <c r="A19" s="82" t="s">
        <v>45</v>
      </c>
      <c r="B19" s="82" t="str">
        <f t="shared" si="0"/>
        <v>Barraqueiro Transportes, S.A.</v>
      </c>
      <c r="C19" s="82" t="str">
        <f t="shared" si="1"/>
        <v>X</v>
      </c>
      <c r="D19" s="82" t="s">
        <v>553</v>
      </c>
      <c r="E19" s="83" t="s">
        <v>1862</v>
      </c>
      <c r="F19" s="229">
        <v>1</v>
      </c>
      <c r="G19" s="229"/>
      <c r="H19" s="83" t="str">
        <f t="shared" si="2"/>
        <v>Gases Refrigerantes: HFC134a</v>
      </c>
      <c r="I19" s="425" t="str">
        <f t="shared" si="3"/>
        <v>Gases Refrigerantes: HFC134a :: 2022</v>
      </c>
      <c r="J19" s="83" t="str">
        <f t="shared" si="4"/>
        <v>Gases Refrigerantes: HFC134a</v>
      </c>
      <c r="K19" s="83" t="s">
        <v>570</v>
      </c>
      <c r="L19" s="83" t="s">
        <v>42</v>
      </c>
      <c r="M19" s="83" t="s">
        <v>558</v>
      </c>
      <c r="N19" s="83" t="s">
        <v>555</v>
      </c>
      <c r="O19" s="120">
        <v>2</v>
      </c>
      <c r="P19" s="175" t="s">
        <v>1863</v>
      </c>
      <c r="Q19" s="125" t="s">
        <v>557</v>
      </c>
      <c r="R19" s="83"/>
      <c r="S19" s="458"/>
      <c r="T19" s="271">
        <v>2022</v>
      </c>
      <c r="U19" s="250" t="s">
        <v>3499</v>
      </c>
      <c r="V19" s="250" t="s">
        <v>3506</v>
      </c>
      <c r="W19" t="str">
        <f t="shared" si="5"/>
        <v>Não</v>
      </c>
    </row>
    <row r="20" spans="1:23" ht="15.75" thickBot="1" x14ac:dyDescent="0.3">
      <c r="A20" s="82" t="s">
        <v>45</v>
      </c>
      <c r="B20" s="82" t="str">
        <f t="shared" si="0"/>
        <v>Barraqueiro Transportes, S.A.</v>
      </c>
      <c r="C20" s="82" t="str">
        <f t="shared" si="1"/>
        <v>X</v>
      </c>
      <c r="D20" s="82" t="s">
        <v>553</v>
      </c>
      <c r="E20" s="83" t="s">
        <v>1862</v>
      </c>
      <c r="F20" s="229">
        <v>1</v>
      </c>
      <c r="G20" s="229"/>
      <c r="H20" s="83" t="str">
        <f t="shared" si="2"/>
        <v>Gases Refrigerantes: HFC134a</v>
      </c>
      <c r="I20" s="425" t="str">
        <f t="shared" si="3"/>
        <v>Gases Refrigerantes: HFC134a :: 2022</v>
      </c>
      <c r="J20" s="83" t="str">
        <f t="shared" si="4"/>
        <v>Gases Refrigerantes: HFC134a</v>
      </c>
      <c r="K20" s="83" t="s">
        <v>572</v>
      </c>
      <c r="L20" s="83" t="s">
        <v>42</v>
      </c>
      <c r="M20" s="83" t="s">
        <v>558</v>
      </c>
      <c r="N20" s="83" t="s">
        <v>555</v>
      </c>
      <c r="O20" s="120">
        <v>5</v>
      </c>
      <c r="P20" s="175" t="s">
        <v>1863</v>
      </c>
      <c r="Q20" s="125" t="s">
        <v>557</v>
      </c>
      <c r="R20" s="83"/>
      <c r="S20" s="458"/>
      <c r="T20" s="271">
        <v>2022</v>
      </c>
      <c r="U20" s="250" t="s">
        <v>3499</v>
      </c>
      <c r="V20" s="250" t="s">
        <v>3506</v>
      </c>
      <c r="W20" t="str">
        <f t="shared" si="5"/>
        <v>Não</v>
      </c>
    </row>
    <row r="21" spans="1:23" ht="15.75" thickBot="1" x14ac:dyDescent="0.3">
      <c r="A21" s="82" t="s">
        <v>45</v>
      </c>
      <c r="B21" s="82" t="str">
        <f t="shared" si="0"/>
        <v>Barraqueiro Transportes, S.A.</v>
      </c>
      <c r="C21" s="82" t="str">
        <f t="shared" si="1"/>
        <v>X</v>
      </c>
      <c r="D21" s="82" t="s">
        <v>553</v>
      </c>
      <c r="E21" s="83" t="s">
        <v>1862</v>
      </c>
      <c r="F21" s="229">
        <v>1</v>
      </c>
      <c r="G21" s="229"/>
      <c r="H21" s="83" t="str">
        <f t="shared" si="2"/>
        <v>Gases Refrigerantes: HFC134a</v>
      </c>
      <c r="I21" s="425" t="str">
        <f t="shared" si="3"/>
        <v>Gases Refrigerantes: HFC134a :: 2022</v>
      </c>
      <c r="J21" s="83" t="str">
        <f t="shared" si="4"/>
        <v>Gases Refrigerantes: HFC134a</v>
      </c>
      <c r="K21" s="83" t="s">
        <v>573</v>
      </c>
      <c r="L21" s="83" t="s">
        <v>42</v>
      </c>
      <c r="M21" s="83" t="s">
        <v>558</v>
      </c>
      <c r="N21" s="83" t="s">
        <v>555</v>
      </c>
      <c r="O21" s="120">
        <v>1.5</v>
      </c>
      <c r="P21" s="175" t="s">
        <v>1863</v>
      </c>
      <c r="Q21" s="125" t="s">
        <v>557</v>
      </c>
      <c r="R21" s="83"/>
      <c r="S21" s="458"/>
      <c r="T21" s="271">
        <v>2022</v>
      </c>
      <c r="U21" s="250" t="s">
        <v>3499</v>
      </c>
      <c r="V21" s="250" t="s">
        <v>3506</v>
      </c>
      <c r="W21" t="str">
        <f t="shared" si="5"/>
        <v>Não</v>
      </c>
    </row>
    <row r="22" spans="1:23" ht="15.75" thickBot="1" x14ac:dyDescent="0.3">
      <c r="A22" s="82" t="s">
        <v>45</v>
      </c>
      <c r="B22" s="82" t="str">
        <f t="shared" si="0"/>
        <v>Barraqueiro Transportes, S.A.</v>
      </c>
      <c r="C22" s="82" t="str">
        <f t="shared" si="1"/>
        <v>X</v>
      </c>
      <c r="D22" s="82" t="s">
        <v>553</v>
      </c>
      <c r="E22" s="83" t="s">
        <v>1862</v>
      </c>
      <c r="F22" s="229">
        <v>1</v>
      </c>
      <c r="G22" s="229"/>
      <c r="H22" s="83" t="str">
        <f t="shared" si="2"/>
        <v>Gases Refrigerantes: HFC134a</v>
      </c>
      <c r="I22" s="425" t="str">
        <f t="shared" si="3"/>
        <v>Gases Refrigerantes: HFC134a :: 2022</v>
      </c>
      <c r="J22" s="83" t="str">
        <f t="shared" si="4"/>
        <v>Gases Refrigerantes: HFC134a</v>
      </c>
      <c r="K22" s="83" t="s">
        <v>574</v>
      </c>
      <c r="L22" s="83" t="s">
        <v>42</v>
      </c>
      <c r="M22" s="83" t="s">
        <v>558</v>
      </c>
      <c r="N22" s="83" t="s">
        <v>555</v>
      </c>
      <c r="O22" s="120">
        <v>1</v>
      </c>
      <c r="P22" s="175" t="s">
        <v>1863</v>
      </c>
      <c r="Q22" s="125" t="s">
        <v>557</v>
      </c>
      <c r="R22" s="83"/>
      <c r="S22" s="458"/>
      <c r="T22" s="271">
        <v>2022</v>
      </c>
      <c r="U22" s="250" t="s">
        <v>3499</v>
      </c>
      <c r="V22" s="250" t="s">
        <v>3506</v>
      </c>
      <c r="W22" t="str">
        <f t="shared" si="5"/>
        <v>Não</v>
      </c>
    </row>
    <row r="23" spans="1:23" ht="15.75" thickBot="1" x14ac:dyDescent="0.3">
      <c r="A23" s="82" t="s">
        <v>45</v>
      </c>
      <c r="B23" s="82" t="str">
        <f t="shared" si="0"/>
        <v>Barraqueiro Transportes, S.A.</v>
      </c>
      <c r="C23" s="82" t="str">
        <f t="shared" si="1"/>
        <v>X</v>
      </c>
      <c r="D23" s="82" t="s">
        <v>553</v>
      </c>
      <c r="E23" s="83" t="s">
        <v>1862</v>
      </c>
      <c r="F23" s="229">
        <v>1</v>
      </c>
      <c r="G23" s="229"/>
      <c r="H23" s="83" t="str">
        <f t="shared" si="2"/>
        <v>Gases Refrigerantes: HFC134a</v>
      </c>
      <c r="I23" s="425" t="str">
        <f t="shared" si="3"/>
        <v>Gases Refrigerantes: HFC134a :: 2022</v>
      </c>
      <c r="J23" s="83" t="str">
        <f t="shared" si="4"/>
        <v>Gases Refrigerantes: HFC134a</v>
      </c>
      <c r="K23" s="83" t="s">
        <v>575</v>
      </c>
      <c r="L23" s="83" t="s">
        <v>42</v>
      </c>
      <c r="M23" s="83" t="s">
        <v>558</v>
      </c>
      <c r="N23" s="83" t="s">
        <v>555</v>
      </c>
      <c r="O23" s="120">
        <v>14.5</v>
      </c>
      <c r="P23" s="175" t="s">
        <v>1863</v>
      </c>
      <c r="Q23" s="125" t="s">
        <v>557</v>
      </c>
      <c r="R23" s="83"/>
      <c r="S23" s="458"/>
      <c r="T23" s="271">
        <v>2022</v>
      </c>
      <c r="U23" s="250" t="s">
        <v>3499</v>
      </c>
      <c r="V23" s="250" t="s">
        <v>3506</v>
      </c>
      <c r="W23" t="str">
        <f t="shared" si="5"/>
        <v>Não</v>
      </c>
    </row>
    <row r="24" spans="1:23" ht="15.75" thickBot="1" x14ac:dyDescent="0.3">
      <c r="A24" s="82" t="s">
        <v>45</v>
      </c>
      <c r="B24" s="82" t="str">
        <f t="shared" si="0"/>
        <v>Barraqueiro Transportes, S.A.</v>
      </c>
      <c r="C24" s="82" t="str">
        <f t="shared" si="1"/>
        <v>X</v>
      </c>
      <c r="D24" s="82" t="s">
        <v>553</v>
      </c>
      <c r="E24" s="83" t="s">
        <v>1862</v>
      </c>
      <c r="F24" s="229">
        <v>1</v>
      </c>
      <c r="G24" s="229"/>
      <c r="H24" s="83" t="str">
        <f t="shared" si="2"/>
        <v>Gases Refrigerantes: HFC134a</v>
      </c>
      <c r="I24" s="425" t="str">
        <f t="shared" si="3"/>
        <v>Gases Refrigerantes: HFC134a :: 2022</v>
      </c>
      <c r="J24" s="83" t="str">
        <f t="shared" si="4"/>
        <v>Gases Refrigerantes: HFC134a</v>
      </c>
      <c r="K24" s="83" t="s">
        <v>576</v>
      </c>
      <c r="L24" s="83" t="s">
        <v>42</v>
      </c>
      <c r="M24" s="83" t="s">
        <v>558</v>
      </c>
      <c r="N24" s="83" t="s">
        <v>555</v>
      </c>
      <c r="O24" s="120">
        <v>2</v>
      </c>
      <c r="P24" s="175" t="s">
        <v>1863</v>
      </c>
      <c r="Q24" s="125" t="s">
        <v>557</v>
      </c>
      <c r="R24" s="83"/>
      <c r="S24" s="458"/>
      <c r="T24" s="271">
        <v>2022</v>
      </c>
      <c r="U24" s="250" t="s">
        <v>3499</v>
      </c>
      <c r="V24" s="250" t="s">
        <v>3506</v>
      </c>
      <c r="W24" t="str">
        <f t="shared" si="5"/>
        <v>Não</v>
      </c>
    </row>
    <row r="25" spans="1:23" ht="15.75" thickBot="1" x14ac:dyDescent="0.3">
      <c r="A25" s="82" t="s">
        <v>45</v>
      </c>
      <c r="B25" s="82" t="str">
        <f t="shared" si="0"/>
        <v>Barraqueiro Transportes, S.A.</v>
      </c>
      <c r="C25" s="82" t="str">
        <f t="shared" si="1"/>
        <v>X</v>
      </c>
      <c r="D25" s="82" t="s">
        <v>553</v>
      </c>
      <c r="E25" s="83" t="s">
        <v>1862</v>
      </c>
      <c r="F25" s="229">
        <v>1</v>
      </c>
      <c r="G25" s="229"/>
      <c r="H25" s="83" t="str">
        <f t="shared" si="2"/>
        <v>Gases Refrigerantes: HFC134a</v>
      </c>
      <c r="I25" s="425" t="str">
        <f t="shared" si="3"/>
        <v>Gases Refrigerantes: HFC134a :: 2022</v>
      </c>
      <c r="J25" s="83" t="str">
        <f t="shared" si="4"/>
        <v>Gases Refrigerantes: HFC134a</v>
      </c>
      <c r="K25" s="83" t="s">
        <v>579</v>
      </c>
      <c r="L25" s="83" t="s">
        <v>42</v>
      </c>
      <c r="M25" s="83" t="s">
        <v>558</v>
      </c>
      <c r="N25" s="83" t="s">
        <v>555</v>
      </c>
      <c r="O25" s="120">
        <v>6</v>
      </c>
      <c r="P25" s="175" t="s">
        <v>1863</v>
      </c>
      <c r="Q25" s="125" t="s">
        <v>557</v>
      </c>
      <c r="R25" s="83"/>
      <c r="S25" s="458"/>
      <c r="T25" s="271">
        <v>2022</v>
      </c>
      <c r="U25" s="250" t="s">
        <v>3499</v>
      </c>
      <c r="V25" s="250" t="s">
        <v>3506</v>
      </c>
      <c r="W25" t="str">
        <f t="shared" si="5"/>
        <v>Não</v>
      </c>
    </row>
    <row r="26" spans="1:23" ht="15.75" thickBot="1" x14ac:dyDescent="0.3">
      <c r="A26" s="82" t="s">
        <v>45</v>
      </c>
      <c r="B26" s="82" t="str">
        <f t="shared" si="0"/>
        <v>Barraqueiro Transportes, S.A.</v>
      </c>
      <c r="C26" s="82" t="str">
        <f t="shared" si="1"/>
        <v>X</v>
      </c>
      <c r="D26" s="82" t="s">
        <v>553</v>
      </c>
      <c r="E26" s="83" t="s">
        <v>1862</v>
      </c>
      <c r="F26" s="229">
        <v>1</v>
      </c>
      <c r="G26" s="229"/>
      <c r="H26" s="83" t="str">
        <f t="shared" si="2"/>
        <v>Gases Refrigerantes: HFC134a</v>
      </c>
      <c r="I26" s="425" t="str">
        <f t="shared" si="3"/>
        <v>Gases Refrigerantes: HFC134a :: 2022</v>
      </c>
      <c r="J26" s="83" t="str">
        <f t="shared" si="4"/>
        <v>Gases Refrigerantes: HFC134a</v>
      </c>
      <c r="K26" s="83" t="s">
        <v>580</v>
      </c>
      <c r="L26" s="83" t="s">
        <v>42</v>
      </c>
      <c r="M26" s="83" t="s">
        <v>558</v>
      </c>
      <c r="N26" s="83" t="s">
        <v>555</v>
      </c>
      <c r="O26" s="120">
        <v>10</v>
      </c>
      <c r="P26" s="175" t="s">
        <v>1863</v>
      </c>
      <c r="Q26" s="125" t="s">
        <v>557</v>
      </c>
      <c r="R26" s="83"/>
      <c r="S26" s="458"/>
      <c r="T26" s="271">
        <v>2022</v>
      </c>
      <c r="U26" s="250" t="s">
        <v>3499</v>
      </c>
      <c r="V26" s="250" t="s">
        <v>3506</v>
      </c>
      <c r="W26" t="str">
        <f t="shared" si="5"/>
        <v>Não</v>
      </c>
    </row>
    <row r="27" spans="1:23" ht="15.75" thickBot="1" x14ac:dyDescent="0.3">
      <c r="A27" s="82" t="s">
        <v>45</v>
      </c>
      <c r="B27" s="82" t="str">
        <f t="shared" si="0"/>
        <v>Barraqueiro Transportes, S.A.</v>
      </c>
      <c r="C27" s="82" t="str">
        <f t="shared" si="1"/>
        <v>X</v>
      </c>
      <c r="D27" s="82" t="s">
        <v>553</v>
      </c>
      <c r="E27" s="83" t="s">
        <v>1862</v>
      </c>
      <c r="F27" s="229">
        <v>1</v>
      </c>
      <c r="G27" s="229"/>
      <c r="H27" s="83" t="str">
        <f t="shared" si="2"/>
        <v>Gases Refrigerantes: HFC134a</v>
      </c>
      <c r="I27" s="425" t="str">
        <f t="shared" si="3"/>
        <v>Gases Refrigerantes: HFC134a :: 2022</v>
      </c>
      <c r="J27" s="83" t="str">
        <f t="shared" si="4"/>
        <v>Gases Refrigerantes: HFC134a</v>
      </c>
      <c r="K27" s="83" t="s">
        <v>581</v>
      </c>
      <c r="L27" s="83" t="s">
        <v>42</v>
      </c>
      <c r="M27" s="83" t="s">
        <v>558</v>
      </c>
      <c r="N27" s="83" t="s">
        <v>555</v>
      </c>
      <c r="O27" s="120">
        <v>162.5</v>
      </c>
      <c r="P27" s="175" t="s">
        <v>1863</v>
      </c>
      <c r="Q27" s="125" t="s">
        <v>557</v>
      </c>
      <c r="R27" s="83"/>
      <c r="S27" s="458"/>
      <c r="T27" s="271">
        <v>2022</v>
      </c>
      <c r="U27" s="250" t="s">
        <v>3499</v>
      </c>
      <c r="V27" s="250" t="s">
        <v>3506</v>
      </c>
      <c r="W27" t="str">
        <f t="shared" si="5"/>
        <v>Não</v>
      </c>
    </row>
    <row r="28" spans="1:23" ht="15.75" thickBot="1" x14ac:dyDescent="0.3">
      <c r="A28" s="82" t="s">
        <v>45</v>
      </c>
      <c r="B28" s="82" t="str">
        <f t="shared" si="0"/>
        <v>Barraqueiro Transportes, S.A.</v>
      </c>
      <c r="C28" s="82" t="str">
        <f t="shared" si="1"/>
        <v>X</v>
      </c>
      <c r="D28" s="82" t="s">
        <v>553</v>
      </c>
      <c r="E28" s="83" t="s">
        <v>1862</v>
      </c>
      <c r="F28" s="229">
        <v>1</v>
      </c>
      <c r="G28" s="229"/>
      <c r="H28" s="83" t="str">
        <f t="shared" si="2"/>
        <v>Gases Refrigerantes: HFC134a</v>
      </c>
      <c r="I28" s="425" t="str">
        <f t="shared" si="3"/>
        <v>Gases Refrigerantes: HFC134a :: 2022</v>
      </c>
      <c r="J28" s="83" t="str">
        <f t="shared" si="4"/>
        <v>Gases Refrigerantes: HFC134a</v>
      </c>
      <c r="K28" s="83" t="s">
        <v>582</v>
      </c>
      <c r="L28" s="83" t="s">
        <v>42</v>
      </c>
      <c r="M28" s="83" t="s">
        <v>558</v>
      </c>
      <c r="N28" s="83" t="s">
        <v>555</v>
      </c>
      <c r="O28" s="120">
        <v>3</v>
      </c>
      <c r="P28" s="175" t="s">
        <v>1863</v>
      </c>
      <c r="Q28" s="125" t="s">
        <v>557</v>
      </c>
      <c r="R28" s="83"/>
      <c r="S28" s="458"/>
      <c r="T28" s="271">
        <v>2022</v>
      </c>
      <c r="U28" s="250" t="s">
        <v>3499</v>
      </c>
      <c r="V28" s="250" t="s">
        <v>3506</v>
      </c>
      <c r="W28" t="str">
        <f t="shared" si="5"/>
        <v>Não</v>
      </c>
    </row>
    <row r="29" spans="1:23" ht="15.75" thickBot="1" x14ac:dyDescent="0.3">
      <c r="A29" s="82" t="s">
        <v>45</v>
      </c>
      <c r="B29" s="82" t="str">
        <f t="shared" si="0"/>
        <v>Barraqueiro Transportes, S.A.</v>
      </c>
      <c r="C29" s="82" t="str">
        <f t="shared" si="1"/>
        <v>X</v>
      </c>
      <c r="D29" s="82" t="s">
        <v>585</v>
      </c>
      <c r="E29" s="83" t="s">
        <v>604</v>
      </c>
      <c r="F29" s="229">
        <v>2.5</v>
      </c>
      <c r="G29" s="229" t="s">
        <v>1862</v>
      </c>
      <c r="H29" s="83" t="str">
        <f t="shared" si="2"/>
        <v>Equipamentos de AC: AC EB515 15kW 93kg; 2,5kg r134a</v>
      </c>
      <c r="I29" s="425" t="str">
        <f t="shared" si="3"/>
        <v>Equipamentos de AC: AC EB515 15kW 93kg; 2,5kg r134a :: 2022</v>
      </c>
      <c r="J29" s="83" t="str">
        <f t="shared" si="4"/>
        <v>Equipamentos de AC: AC EB515 15kW 93kg; 2,5kg r134a: HFC134a</v>
      </c>
      <c r="K29" s="83"/>
      <c r="L29" s="83" t="s">
        <v>42</v>
      </c>
      <c r="M29" s="83" t="s">
        <v>558</v>
      </c>
      <c r="N29" s="83" t="s">
        <v>6236</v>
      </c>
      <c r="O29" s="120">
        <v>1</v>
      </c>
      <c r="P29" s="175" t="s">
        <v>1870</v>
      </c>
      <c r="Q29" s="125" t="s">
        <v>586</v>
      </c>
      <c r="R29" s="83" t="s">
        <v>587</v>
      </c>
      <c r="S29" s="458">
        <f>O29*93/1000*2000</f>
        <v>186</v>
      </c>
      <c r="T29" s="271">
        <v>2022</v>
      </c>
      <c r="U29" s="250" t="s">
        <v>3499</v>
      </c>
      <c r="V29" s="250" t="s">
        <v>3506</v>
      </c>
      <c r="W29" t="str">
        <f t="shared" si="5"/>
        <v>Não</v>
      </c>
    </row>
    <row r="30" spans="1:23" ht="15.75" thickBot="1" x14ac:dyDescent="0.3">
      <c r="A30" s="82" t="s">
        <v>45</v>
      </c>
      <c r="B30" s="82" t="str">
        <f t="shared" si="0"/>
        <v>Barraqueiro Transportes, S.A.</v>
      </c>
      <c r="C30" s="82" t="str">
        <f t="shared" si="1"/>
        <v>X</v>
      </c>
      <c r="D30" s="82" t="s">
        <v>585</v>
      </c>
      <c r="E30" s="83" t="s">
        <v>614</v>
      </c>
      <c r="F30" s="229">
        <v>3.5</v>
      </c>
      <c r="G30" s="229" t="s">
        <v>1862</v>
      </c>
      <c r="H30" s="83" t="str">
        <f t="shared" si="2"/>
        <v>Equipamentos de AC: AC Olmo 34 SC 34kW 44kg; 3,5kg r134a</v>
      </c>
      <c r="I30" s="425" t="str">
        <f t="shared" si="3"/>
        <v>Equipamentos de AC: AC Olmo 34 SC 34kW 44kg; 3,5kg r134a :: 2022</v>
      </c>
      <c r="J30" s="83" t="str">
        <f t="shared" si="4"/>
        <v>Equipamentos de AC: AC Olmo 34 SC 34kW 44kg; 3,5kg r134a: HFC134a</v>
      </c>
      <c r="K30" s="83"/>
      <c r="L30" s="83" t="s">
        <v>42</v>
      </c>
      <c r="M30" s="83" t="s">
        <v>558</v>
      </c>
      <c r="N30" s="83" t="s">
        <v>6236</v>
      </c>
      <c r="O30" s="120">
        <v>14</v>
      </c>
      <c r="P30" s="175" t="s">
        <v>1870</v>
      </c>
      <c r="Q30" s="125" t="s">
        <v>586</v>
      </c>
      <c r="R30" s="83" t="s">
        <v>615</v>
      </c>
      <c r="S30" s="458">
        <f>+O30*44/1000*3500</f>
        <v>2156</v>
      </c>
      <c r="T30" s="271">
        <v>2022</v>
      </c>
      <c r="U30" s="250" t="s">
        <v>3499</v>
      </c>
      <c r="V30" s="250" t="s">
        <v>3506</v>
      </c>
      <c r="W30" t="str">
        <f t="shared" si="5"/>
        <v>Não</v>
      </c>
    </row>
    <row r="31" spans="1:23" ht="15.75" thickBot="1" x14ac:dyDescent="0.3">
      <c r="A31" s="82" t="s">
        <v>45</v>
      </c>
      <c r="B31" s="82" t="str">
        <f t="shared" si="0"/>
        <v>Barraqueiro Transportes, S.A.</v>
      </c>
      <c r="C31" s="82" t="str">
        <f t="shared" si="1"/>
        <v>X</v>
      </c>
      <c r="D31" s="82" t="s">
        <v>585</v>
      </c>
      <c r="E31" s="83" t="s">
        <v>603</v>
      </c>
      <c r="F31" s="229">
        <v>5.5</v>
      </c>
      <c r="G31" s="229" t="s">
        <v>1862</v>
      </c>
      <c r="H31" s="83" t="str">
        <f t="shared" si="2"/>
        <v>Equipamentos de AC: AC EB353 32kW 121 kg; 5,5kg r134a</v>
      </c>
      <c r="I31" s="425" t="str">
        <f t="shared" si="3"/>
        <v>Equipamentos de AC: AC EB353 32kW 121 kg; 5,5kg r134a :: 2022</v>
      </c>
      <c r="J31" s="83" t="str">
        <f t="shared" si="4"/>
        <v>Equipamentos de AC: AC EB353 32kW 121 kg; 5,5kg r134a: HFC134a</v>
      </c>
      <c r="K31" s="83"/>
      <c r="L31" s="83" t="s">
        <v>42</v>
      </c>
      <c r="M31" s="83" t="s">
        <v>558</v>
      </c>
      <c r="N31" s="83" t="s">
        <v>6236</v>
      </c>
      <c r="O31" s="120">
        <v>6</v>
      </c>
      <c r="P31" s="175" t="s">
        <v>1870</v>
      </c>
      <c r="Q31" s="125" t="s">
        <v>586</v>
      </c>
      <c r="R31" s="83" t="s">
        <v>587</v>
      </c>
      <c r="S31" s="458">
        <f>+O31*121/1000*2000</f>
        <v>1452</v>
      </c>
      <c r="T31" s="271">
        <v>2022</v>
      </c>
      <c r="U31" s="250" t="s">
        <v>3499</v>
      </c>
      <c r="V31" s="250" t="s">
        <v>3506</v>
      </c>
      <c r="W31" t="str">
        <f t="shared" si="5"/>
        <v>Não</v>
      </c>
    </row>
    <row r="32" spans="1:23" ht="15.75" thickBot="1" x14ac:dyDescent="0.3">
      <c r="A32" s="82" t="s">
        <v>45</v>
      </c>
      <c r="B32" s="82" t="str">
        <f t="shared" si="0"/>
        <v>Barraqueiro Transportes, S.A.</v>
      </c>
      <c r="C32" s="82" t="str">
        <f t="shared" si="1"/>
        <v>X</v>
      </c>
      <c r="D32" s="82" t="s">
        <v>585</v>
      </c>
      <c r="E32" s="83" t="s">
        <v>610</v>
      </c>
      <c r="F32" s="229">
        <v>1.5</v>
      </c>
      <c r="G32" s="229" t="s">
        <v>1862</v>
      </c>
      <c r="H32" s="83" t="str">
        <f t="shared" si="2"/>
        <v>Equipamentos de AC: AC Dreiha 12SC 11kW 38kg; 1,5kg r134a</v>
      </c>
      <c r="I32" s="425" t="str">
        <f t="shared" si="3"/>
        <v>Equipamentos de AC: AC Dreiha 12SC 11kW 38kg; 1,5kg r134a :: 2022</v>
      </c>
      <c r="J32" s="83" t="str">
        <f t="shared" si="4"/>
        <v>Equipamentos de AC: AC Dreiha 12SC 11kW 38kg; 1,5kg r134a: HFC134a</v>
      </c>
      <c r="K32" s="83"/>
      <c r="L32" s="83" t="s">
        <v>42</v>
      </c>
      <c r="M32" s="83" t="s">
        <v>558</v>
      </c>
      <c r="N32" s="83" t="s">
        <v>6236</v>
      </c>
      <c r="O32" s="120">
        <v>47</v>
      </c>
      <c r="P32" s="175" t="s">
        <v>1870</v>
      </c>
      <c r="Q32" s="125" t="s">
        <v>586</v>
      </c>
      <c r="R32" s="83" t="s">
        <v>615</v>
      </c>
      <c r="S32" s="458">
        <f>+O32*38/1000*3500</f>
        <v>6251</v>
      </c>
      <c r="T32" s="271">
        <v>2022</v>
      </c>
      <c r="U32" s="250" t="s">
        <v>3499</v>
      </c>
      <c r="V32" s="250" t="s">
        <v>3506</v>
      </c>
      <c r="W32" t="str">
        <f t="shared" si="5"/>
        <v>Não</v>
      </c>
    </row>
    <row r="33" spans="1:23" ht="15.75" thickBot="1" x14ac:dyDescent="0.3">
      <c r="A33" s="82" t="s">
        <v>45</v>
      </c>
      <c r="B33" s="82" t="str">
        <f t="shared" si="0"/>
        <v>Barraqueiro Transportes, S.A.</v>
      </c>
      <c r="C33" s="82" t="str">
        <f t="shared" si="1"/>
        <v>X</v>
      </c>
      <c r="D33" s="82" t="s">
        <v>585</v>
      </c>
      <c r="E33" s="83" t="s">
        <v>605</v>
      </c>
      <c r="F33" s="229">
        <v>3</v>
      </c>
      <c r="G33" s="229" t="s">
        <v>1862</v>
      </c>
      <c r="H33" s="83" t="str">
        <f t="shared" si="2"/>
        <v>Equipamentos de AC: AC EB520 20kW 167kg; 3,0kg r134a</v>
      </c>
      <c r="I33" s="425" t="str">
        <f t="shared" si="3"/>
        <v>Equipamentos de AC: AC EB520 20kW 167kg; 3,0kg r134a :: 2022</v>
      </c>
      <c r="J33" s="83" t="str">
        <f t="shared" si="4"/>
        <v>Equipamentos de AC: AC EB520 20kW 167kg; 3,0kg r134a: HFC134a</v>
      </c>
      <c r="K33" s="83"/>
      <c r="L33" s="83" t="s">
        <v>42</v>
      </c>
      <c r="M33" s="83" t="s">
        <v>558</v>
      </c>
      <c r="N33" s="83" t="s">
        <v>6236</v>
      </c>
      <c r="O33" s="120">
        <v>1</v>
      </c>
      <c r="P33" s="175" t="s">
        <v>1870</v>
      </c>
      <c r="Q33" s="125" t="s">
        <v>586</v>
      </c>
      <c r="R33" s="83" t="s">
        <v>587</v>
      </c>
      <c r="S33" s="458">
        <f>+O33*167/1000*2000</f>
        <v>334</v>
      </c>
      <c r="T33" s="271">
        <v>2022</v>
      </c>
      <c r="U33" s="250" t="s">
        <v>3499</v>
      </c>
      <c r="V33" s="250" t="s">
        <v>3506</v>
      </c>
      <c r="W33" t="str">
        <f t="shared" si="5"/>
        <v>Não</v>
      </c>
    </row>
    <row r="34" spans="1:23" ht="15.75" thickBot="1" x14ac:dyDescent="0.3">
      <c r="A34" s="82" t="s">
        <v>45</v>
      </c>
      <c r="B34" s="82" t="str">
        <f t="shared" si="0"/>
        <v>Barraqueiro Transportes, S.A.</v>
      </c>
      <c r="C34" s="82" t="str">
        <f t="shared" si="1"/>
        <v>X</v>
      </c>
      <c r="D34" s="82" t="s">
        <v>1528</v>
      </c>
      <c r="E34" s="83" t="s">
        <v>620</v>
      </c>
      <c r="F34" s="229">
        <v>1</v>
      </c>
      <c r="G34" s="229"/>
      <c r="H34" s="83" t="str">
        <f t="shared" si="2"/>
        <v>Combustíveis: Gasóleo</v>
      </c>
      <c r="I34" s="425" t="str">
        <f t="shared" si="3"/>
        <v>Combustíveis: Gasóleo :: 2022</v>
      </c>
      <c r="J34" s="83" t="str">
        <f t="shared" si="4"/>
        <v>Combustíveis: Gasóleo</v>
      </c>
      <c r="K34" s="83" t="s">
        <v>567</v>
      </c>
      <c r="L34" s="83" t="s">
        <v>34</v>
      </c>
      <c r="M34" s="83" t="s">
        <v>558</v>
      </c>
      <c r="N34" s="83" t="s">
        <v>555</v>
      </c>
      <c r="O34" s="120">
        <v>918.55000000000007</v>
      </c>
      <c r="P34" s="175" t="s">
        <v>1861</v>
      </c>
      <c r="Q34" s="125" t="s">
        <v>630</v>
      </c>
      <c r="R34" s="83"/>
      <c r="S34" s="458"/>
      <c r="T34" s="271">
        <v>2022</v>
      </c>
      <c r="U34" s="250" t="s">
        <v>3499</v>
      </c>
      <c r="V34" s="250" t="s">
        <v>3506</v>
      </c>
      <c r="W34" t="str">
        <f t="shared" si="5"/>
        <v>Sim</v>
      </c>
    </row>
    <row r="35" spans="1:23" ht="15.75" thickBot="1" x14ac:dyDescent="0.3">
      <c r="A35" s="82" t="s">
        <v>45</v>
      </c>
      <c r="B35" s="82" t="str">
        <f t="shared" si="0"/>
        <v>Barraqueiro Transportes, S.A.</v>
      </c>
      <c r="C35" s="82" t="str">
        <f t="shared" si="1"/>
        <v>X</v>
      </c>
      <c r="D35" s="82" t="s">
        <v>1528</v>
      </c>
      <c r="E35" s="83" t="s">
        <v>620</v>
      </c>
      <c r="F35" s="229">
        <v>1</v>
      </c>
      <c r="G35" s="229"/>
      <c r="H35" s="83" t="str">
        <f t="shared" si="2"/>
        <v>Combustíveis: Gasóleo</v>
      </c>
      <c r="I35" s="425" t="str">
        <f t="shared" si="3"/>
        <v>Combustíveis: Gasóleo :: 2022</v>
      </c>
      <c r="J35" s="83" t="str">
        <f t="shared" si="4"/>
        <v>Combustíveis: Gasóleo</v>
      </c>
      <c r="K35" s="83" t="s">
        <v>571</v>
      </c>
      <c r="L35" s="83" t="s">
        <v>34</v>
      </c>
      <c r="M35" s="83" t="s">
        <v>558</v>
      </c>
      <c r="N35" s="83" t="s">
        <v>555</v>
      </c>
      <c r="O35" s="120">
        <v>801301.57000000018</v>
      </c>
      <c r="P35" s="175" t="s">
        <v>1861</v>
      </c>
      <c r="Q35" s="125" t="s">
        <v>630</v>
      </c>
      <c r="R35" s="83"/>
      <c r="S35" s="458"/>
      <c r="T35" s="271">
        <v>2022</v>
      </c>
      <c r="U35" s="250" t="s">
        <v>3499</v>
      </c>
      <c r="V35" s="250" t="s">
        <v>3506</v>
      </c>
      <c r="W35" t="str">
        <f t="shared" si="5"/>
        <v>Sim</v>
      </c>
    </row>
    <row r="36" spans="1:23" ht="15.75" thickBot="1" x14ac:dyDescent="0.3">
      <c r="A36" s="82" t="s">
        <v>45</v>
      </c>
      <c r="B36" s="82" t="str">
        <f t="shared" si="0"/>
        <v>Barraqueiro Transportes, S.A.</v>
      </c>
      <c r="C36" s="82" t="str">
        <f t="shared" si="1"/>
        <v>X</v>
      </c>
      <c r="D36" s="82" t="s">
        <v>1528</v>
      </c>
      <c r="E36" s="83" t="s">
        <v>620</v>
      </c>
      <c r="F36" s="229">
        <v>1</v>
      </c>
      <c r="G36" s="229"/>
      <c r="H36" s="83" t="str">
        <f t="shared" si="2"/>
        <v>Combustíveis: Gasóleo</v>
      </c>
      <c r="I36" s="425" t="str">
        <f t="shared" si="3"/>
        <v>Combustíveis: Gasóleo :: 2022</v>
      </c>
      <c r="J36" s="83" t="str">
        <f t="shared" si="4"/>
        <v>Combustíveis: Gasóleo</v>
      </c>
      <c r="K36" s="83" t="s">
        <v>1795</v>
      </c>
      <c r="L36" s="83" t="s">
        <v>34</v>
      </c>
      <c r="M36" s="83" t="s">
        <v>558</v>
      </c>
      <c r="N36" s="83" t="s">
        <v>555</v>
      </c>
      <c r="O36" s="120">
        <f>7963.54+7930.46</f>
        <v>15894</v>
      </c>
      <c r="P36" s="175" t="s">
        <v>1861</v>
      </c>
      <c r="Q36" s="125" t="s">
        <v>630</v>
      </c>
      <c r="R36" s="83"/>
      <c r="S36" s="458"/>
      <c r="T36" s="271">
        <v>2022</v>
      </c>
      <c r="U36" s="250" t="s">
        <v>3499</v>
      </c>
      <c r="V36" s="250" t="s">
        <v>3506</v>
      </c>
      <c r="W36" t="str">
        <f t="shared" si="5"/>
        <v>Sim</v>
      </c>
    </row>
    <row r="37" spans="1:23" ht="15.75" thickBot="1" x14ac:dyDescent="0.3">
      <c r="A37" s="82" t="s">
        <v>45</v>
      </c>
      <c r="B37" s="82" t="str">
        <f t="shared" si="0"/>
        <v>Barraqueiro Transportes, S.A.</v>
      </c>
      <c r="C37" s="82" t="str">
        <f t="shared" si="1"/>
        <v>X</v>
      </c>
      <c r="D37" s="82" t="s">
        <v>1528</v>
      </c>
      <c r="E37" s="83" t="s">
        <v>620</v>
      </c>
      <c r="F37" s="229">
        <v>1</v>
      </c>
      <c r="G37" s="229"/>
      <c r="H37" s="83" t="str">
        <f t="shared" si="2"/>
        <v>Combustíveis: Gasóleo</v>
      </c>
      <c r="I37" s="425" t="str">
        <f t="shared" si="3"/>
        <v>Combustíveis: Gasóleo :: 2022</v>
      </c>
      <c r="J37" s="83" t="str">
        <f t="shared" si="4"/>
        <v>Combustíveis: Gasóleo</v>
      </c>
      <c r="K37" s="83" t="s">
        <v>565</v>
      </c>
      <c r="L37" s="83" t="s">
        <v>34</v>
      </c>
      <c r="M37" s="83" t="s">
        <v>558</v>
      </c>
      <c r="N37" s="83" t="s">
        <v>555</v>
      </c>
      <c r="O37" s="120">
        <v>3449.6899999999996</v>
      </c>
      <c r="P37" s="175" t="s">
        <v>1861</v>
      </c>
      <c r="Q37" s="125" t="s">
        <v>630</v>
      </c>
      <c r="R37" s="83"/>
      <c r="S37" s="458"/>
      <c r="T37" s="271">
        <v>2022</v>
      </c>
      <c r="U37" s="250" t="s">
        <v>3499</v>
      </c>
      <c r="V37" s="250" t="s">
        <v>3506</v>
      </c>
      <c r="W37" t="str">
        <f t="shared" si="5"/>
        <v>Sim</v>
      </c>
    </row>
    <row r="38" spans="1:23" ht="15.75" thickBot="1" x14ac:dyDescent="0.3">
      <c r="A38" s="82" t="s">
        <v>45</v>
      </c>
      <c r="B38" s="82" t="str">
        <f t="shared" si="0"/>
        <v>Barraqueiro Transportes, S.A.</v>
      </c>
      <c r="C38" s="82" t="str">
        <f t="shared" si="1"/>
        <v>X</v>
      </c>
      <c r="D38" s="82" t="s">
        <v>1528</v>
      </c>
      <c r="E38" s="83" t="s">
        <v>620</v>
      </c>
      <c r="F38" s="229">
        <v>1</v>
      </c>
      <c r="G38" s="229"/>
      <c r="H38" s="83" t="str">
        <f t="shared" si="2"/>
        <v>Combustíveis: Gasóleo</v>
      </c>
      <c r="I38" s="425" t="str">
        <f t="shared" si="3"/>
        <v>Combustíveis: Gasóleo :: 2022</v>
      </c>
      <c r="J38" s="83" t="str">
        <f t="shared" si="4"/>
        <v>Combustíveis: Gasóleo</v>
      </c>
      <c r="K38" s="83" t="s">
        <v>1799</v>
      </c>
      <c r="L38" s="83" t="s">
        <v>34</v>
      </c>
      <c r="M38" s="83" t="s">
        <v>558</v>
      </c>
      <c r="N38" s="83" t="s">
        <v>555</v>
      </c>
      <c r="O38" s="120">
        <v>101519.51000000001</v>
      </c>
      <c r="P38" s="175" t="s">
        <v>1861</v>
      </c>
      <c r="Q38" s="125" t="s">
        <v>630</v>
      </c>
      <c r="R38" s="83"/>
      <c r="S38" s="458"/>
      <c r="T38" s="271">
        <v>2022</v>
      </c>
      <c r="U38" s="250" t="s">
        <v>3499</v>
      </c>
      <c r="V38" s="250" t="s">
        <v>3506</v>
      </c>
      <c r="W38" t="str">
        <f t="shared" si="5"/>
        <v>Sim</v>
      </c>
    </row>
    <row r="39" spans="1:23" ht="15.75" thickBot="1" x14ac:dyDescent="0.3">
      <c r="A39" s="82" t="s">
        <v>45</v>
      </c>
      <c r="B39" s="82" t="str">
        <f t="shared" si="0"/>
        <v>Barraqueiro Transportes, S.A.</v>
      </c>
      <c r="C39" s="82" t="str">
        <f t="shared" si="1"/>
        <v>X</v>
      </c>
      <c r="D39" s="82" t="s">
        <v>1528</v>
      </c>
      <c r="E39" s="83" t="s">
        <v>620</v>
      </c>
      <c r="F39" s="229">
        <v>1</v>
      </c>
      <c r="G39" s="229"/>
      <c r="H39" s="83" t="str">
        <f t="shared" si="2"/>
        <v>Combustíveis: Gasóleo</v>
      </c>
      <c r="I39" s="425" t="str">
        <f t="shared" si="3"/>
        <v>Combustíveis: Gasóleo :: 2022</v>
      </c>
      <c r="J39" s="83" t="str">
        <f t="shared" si="4"/>
        <v>Combustíveis: Gasóleo</v>
      </c>
      <c r="K39" s="83" t="s">
        <v>583</v>
      </c>
      <c r="L39" s="83" t="s">
        <v>34</v>
      </c>
      <c r="M39" s="83" t="s">
        <v>558</v>
      </c>
      <c r="N39" s="83" t="s">
        <v>555</v>
      </c>
      <c r="O39" s="120">
        <v>8829.8100000000013</v>
      </c>
      <c r="P39" s="175" t="s">
        <v>1861</v>
      </c>
      <c r="Q39" s="125" t="s">
        <v>630</v>
      </c>
      <c r="R39" s="83"/>
      <c r="S39" s="458"/>
      <c r="T39" s="271">
        <v>2022</v>
      </c>
      <c r="U39" s="250" t="s">
        <v>3499</v>
      </c>
      <c r="V39" s="250" t="s">
        <v>3506</v>
      </c>
      <c r="W39" t="str">
        <f t="shared" si="5"/>
        <v>Sim</v>
      </c>
    </row>
    <row r="40" spans="1:23" ht="15.75" thickBot="1" x14ac:dyDescent="0.3">
      <c r="A40" s="82" t="s">
        <v>45</v>
      </c>
      <c r="B40" s="82" t="str">
        <f t="shared" si="0"/>
        <v>Barraqueiro Transportes, S.A.</v>
      </c>
      <c r="C40" s="82" t="str">
        <f t="shared" si="1"/>
        <v>X</v>
      </c>
      <c r="D40" s="82" t="s">
        <v>1528</v>
      </c>
      <c r="E40" s="83" t="s">
        <v>620</v>
      </c>
      <c r="F40" s="229">
        <v>1</v>
      </c>
      <c r="G40" s="229"/>
      <c r="H40" s="83" t="str">
        <f t="shared" si="2"/>
        <v>Combustíveis: Gasóleo</v>
      </c>
      <c r="I40" s="425" t="str">
        <f t="shared" si="3"/>
        <v>Combustíveis: Gasóleo :: 2022</v>
      </c>
      <c r="J40" s="83" t="str">
        <f t="shared" si="4"/>
        <v>Combustíveis: Gasóleo</v>
      </c>
      <c r="K40" s="83" t="s">
        <v>1796</v>
      </c>
      <c r="L40" s="83" t="s">
        <v>34</v>
      </c>
      <c r="M40" s="83" t="s">
        <v>558</v>
      </c>
      <c r="N40" s="83" t="s">
        <v>555</v>
      </c>
      <c r="O40" s="120">
        <v>7285.7499999999991</v>
      </c>
      <c r="P40" s="175" t="s">
        <v>1861</v>
      </c>
      <c r="Q40" s="125" t="s">
        <v>630</v>
      </c>
      <c r="R40" s="83"/>
      <c r="S40" s="458"/>
      <c r="T40" s="271">
        <v>2022</v>
      </c>
      <c r="U40" s="250" t="s">
        <v>3499</v>
      </c>
      <c r="V40" s="250" t="s">
        <v>3506</v>
      </c>
      <c r="W40" t="str">
        <f t="shared" si="5"/>
        <v>Sim</v>
      </c>
    </row>
    <row r="41" spans="1:23" ht="15.75" thickBot="1" x14ac:dyDescent="0.3">
      <c r="A41" s="82" t="s">
        <v>45</v>
      </c>
      <c r="B41" s="82" t="str">
        <f t="shared" si="0"/>
        <v>Barraqueiro Transportes, S.A.</v>
      </c>
      <c r="C41" s="82" t="str">
        <f t="shared" si="1"/>
        <v>X</v>
      </c>
      <c r="D41" s="82" t="s">
        <v>1528</v>
      </c>
      <c r="E41" s="83" t="s">
        <v>620</v>
      </c>
      <c r="F41" s="229">
        <v>1</v>
      </c>
      <c r="G41" s="229"/>
      <c r="H41" s="83" t="str">
        <f t="shared" si="2"/>
        <v>Combustíveis: Gasóleo</v>
      </c>
      <c r="I41" s="425" t="str">
        <f t="shared" si="3"/>
        <v>Combustíveis: Gasóleo :: 2022</v>
      </c>
      <c r="J41" s="83" t="str">
        <f t="shared" si="4"/>
        <v>Combustíveis: Gasóleo</v>
      </c>
      <c r="K41" s="83" t="s">
        <v>1794</v>
      </c>
      <c r="L41" s="83" t="s">
        <v>34</v>
      </c>
      <c r="M41" s="83" t="s">
        <v>558</v>
      </c>
      <c r="N41" s="83" t="s">
        <v>555</v>
      </c>
      <c r="O41" s="120">
        <v>163507.21</v>
      </c>
      <c r="P41" s="175" t="s">
        <v>1861</v>
      </c>
      <c r="Q41" s="125" t="s">
        <v>630</v>
      </c>
      <c r="R41" s="83"/>
      <c r="S41" s="458"/>
      <c r="T41" s="271">
        <v>2022</v>
      </c>
      <c r="U41" s="250" t="s">
        <v>3499</v>
      </c>
      <c r="V41" s="250" t="s">
        <v>3506</v>
      </c>
      <c r="W41" t="str">
        <f t="shared" si="5"/>
        <v>Sim</v>
      </c>
    </row>
    <row r="42" spans="1:23" ht="15.75" thickBot="1" x14ac:dyDescent="0.3">
      <c r="A42" s="82" t="s">
        <v>45</v>
      </c>
      <c r="B42" s="82" t="str">
        <f t="shared" si="0"/>
        <v>Barraqueiro Transportes, S.A.</v>
      </c>
      <c r="C42" s="82" t="str">
        <f t="shared" si="1"/>
        <v>X</v>
      </c>
      <c r="D42" s="82" t="s">
        <v>1528</v>
      </c>
      <c r="E42" s="83" t="s">
        <v>620</v>
      </c>
      <c r="F42" s="229">
        <v>1</v>
      </c>
      <c r="G42" s="229"/>
      <c r="H42" s="83" t="str">
        <f t="shared" si="2"/>
        <v>Combustíveis: Gasóleo</v>
      </c>
      <c r="I42" s="425" t="str">
        <f t="shared" si="3"/>
        <v>Combustíveis: Gasóleo :: 2022</v>
      </c>
      <c r="J42" s="83" t="str">
        <f t="shared" si="4"/>
        <v>Combustíveis: Gasóleo</v>
      </c>
      <c r="K42" s="83" t="s">
        <v>559</v>
      </c>
      <c r="L42" s="83" t="s">
        <v>34</v>
      </c>
      <c r="M42" s="83" t="s">
        <v>558</v>
      </c>
      <c r="N42" s="83" t="s">
        <v>555</v>
      </c>
      <c r="O42" s="120">
        <v>17142.89</v>
      </c>
      <c r="P42" s="175" t="s">
        <v>1861</v>
      </c>
      <c r="Q42" s="125" t="s">
        <v>630</v>
      </c>
      <c r="R42" s="83"/>
      <c r="S42" s="458"/>
      <c r="T42" s="271">
        <v>2022</v>
      </c>
      <c r="U42" s="250" t="s">
        <v>3499</v>
      </c>
      <c r="V42" s="250" t="s">
        <v>3506</v>
      </c>
      <c r="W42" t="str">
        <f t="shared" si="5"/>
        <v>Sim</v>
      </c>
    </row>
    <row r="43" spans="1:23" ht="15.75" thickBot="1" x14ac:dyDescent="0.3">
      <c r="A43" s="82" t="s">
        <v>45</v>
      </c>
      <c r="B43" s="82" t="str">
        <f t="shared" si="0"/>
        <v>Barraqueiro Transportes, S.A.</v>
      </c>
      <c r="C43" s="82" t="str">
        <f t="shared" si="1"/>
        <v>X</v>
      </c>
      <c r="D43" s="82" t="s">
        <v>1528</v>
      </c>
      <c r="E43" s="83" t="s">
        <v>620</v>
      </c>
      <c r="F43" s="229">
        <v>1</v>
      </c>
      <c r="G43" s="229"/>
      <c r="H43" s="83" t="str">
        <f t="shared" si="2"/>
        <v>Combustíveis: Gasóleo</v>
      </c>
      <c r="I43" s="425" t="str">
        <f t="shared" si="3"/>
        <v>Combustíveis: Gasóleo :: 2022</v>
      </c>
      <c r="J43" s="83" t="str">
        <f t="shared" si="4"/>
        <v>Combustíveis: Gasóleo</v>
      </c>
      <c r="K43" s="83" t="s">
        <v>578</v>
      </c>
      <c r="L43" s="83" t="s">
        <v>34</v>
      </c>
      <c r="M43" s="83" t="s">
        <v>558</v>
      </c>
      <c r="N43" s="83" t="s">
        <v>555</v>
      </c>
      <c r="O43" s="120">
        <v>70051.3</v>
      </c>
      <c r="P43" s="175" t="s">
        <v>1861</v>
      </c>
      <c r="Q43" s="125" t="s">
        <v>630</v>
      </c>
      <c r="R43" s="83"/>
      <c r="S43" s="458"/>
      <c r="T43" s="271">
        <v>2022</v>
      </c>
      <c r="U43" s="250" t="s">
        <v>3499</v>
      </c>
      <c r="V43" s="250" t="s">
        <v>3506</v>
      </c>
      <c r="W43" t="str">
        <f t="shared" si="5"/>
        <v>Sim</v>
      </c>
    </row>
    <row r="44" spans="1:23" ht="15.75" thickBot="1" x14ac:dyDescent="0.3">
      <c r="A44" s="82" t="s">
        <v>45</v>
      </c>
      <c r="B44" s="82" t="str">
        <f t="shared" si="0"/>
        <v>Barraqueiro Transportes, S.A.</v>
      </c>
      <c r="C44" s="82" t="str">
        <f t="shared" si="1"/>
        <v>X</v>
      </c>
      <c r="D44" s="82" t="s">
        <v>1528</v>
      </c>
      <c r="E44" s="83" t="s">
        <v>620</v>
      </c>
      <c r="F44" s="229">
        <v>1</v>
      </c>
      <c r="G44" s="229"/>
      <c r="H44" s="83" t="str">
        <f t="shared" si="2"/>
        <v>Combustíveis: Gasóleo</v>
      </c>
      <c r="I44" s="425" t="str">
        <f t="shared" si="3"/>
        <v>Combustíveis: Gasóleo :: 2022</v>
      </c>
      <c r="J44" s="83" t="str">
        <f t="shared" si="4"/>
        <v>Combustíveis: Gasóleo</v>
      </c>
      <c r="K44" s="83" t="s">
        <v>566</v>
      </c>
      <c r="L44" s="83" t="s">
        <v>34</v>
      </c>
      <c r="M44" s="83" t="s">
        <v>558</v>
      </c>
      <c r="N44" s="83" t="s">
        <v>555</v>
      </c>
      <c r="O44" s="120">
        <v>6761.1299999999992</v>
      </c>
      <c r="P44" s="175" t="s">
        <v>1861</v>
      </c>
      <c r="Q44" s="125" t="s">
        <v>630</v>
      </c>
      <c r="R44" s="83"/>
      <c r="S44" s="458"/>
      <c r="T44" s="271">
        <v>2022</v>
      </c>
      <c r="U44" s="250" t="s">
        <v>3499</v>
      </c>
      <c r="V44" s="250" t="s">
        <v>3506</v>
      </c>
      <c r="W44" t="str">
        <f t="shared" si="5"/>
        <v>Sim</v>
      </c>
    </row>
    <row r="45" spans="1:23" ht="15.75" thickBot="1" x14ac:dyDescent="0.3">
      <c r="A45" s="82" t="s">
        <v>45</v>
      </c>
      <c r="B45" s="82" t="str">
        <f t="shared" si="0"/>
        <v>Barraqueiro Transportes, S.A.</v>
      </c>
      <c r="C45" s="82" t="str">
        <f t="shared" si="1"/>
        <v>X</v>
      </c>
      <c r="D45" s="82" t="s">
        <v>1528</v>
      </c>
      <c r="E45" s="83" t="s">
        <v>620</v>
      </c>
      <c r="F45" s="229">
        <v>1</v>
      </c>
      <c r="G45" s="229"/>
      <c r="H45" s="83" t="str">
        <f t="shared" si="2"/>
        <v>Combustíveis: Gasóleo</v>
      </c>
      <c r="I45" s="425" t="str">
        <f t="shared" si="3"/>
        <v>Combustíveis: Gasóleo :: 2022</v>
      </c>
      <c r="J45" s="83" t="str">
        <f t="shared" si="4"/>
        <v>Combustíveis: Gasóleo</v>
      </c>
      <c r="K45" s="83" t="s">
        <v>1797</v>
      </c>
      <c r="L45" s="83" t="s">
        <v>34</v>
      </c>
      <c r="M45" s="83" t="s">
        <v>558</v>
      </c>
      <c r="N45" s="83" t="s">
        <v>555</v>
      </c>
      <c r="O45" s="120">
        <v>33305.33</v>
      </c>
      <c r="P45" s="175" t="s">
        <v>1861</v>
      </c>
      <c r="Q45" s="125" t="s">
        <v>630</v>
      </c>
      <c r="R45" s="83"/>
      <c r="S45" s="458"/>
      <c r="T45" s="271">
        <v>2022</v>
      </c>
      <c r="U45" s="250" t="s">
        <v>3499</v>
      </c>
      <c r="V45" s="250" t="s">
        <v>3506</v>
      </c>
      <c r="W45" t="str">
        <f t="shared" si="5"/>
        <v>Sim</v>
      </c>
    </row>
    <row r="46" spans="1:23" ht="15.75" thickBot="1" x14ac:dyDescent="0.3">
      <c r="A46" s="82" t="s">
        <v>45</v>
      </c>
      <c r="B46" s="82" t="str">
        <f t="shared" si="0"/>
        <v>Barraqueiro Transportes, S.A.</v>
      </c>
      <c r="C46" s="82" t="str">
        <f t="shared" si="1"/>
        <v>X</v>
      </c>
      <c r="D46" s="82" t="s">
        <v>1528</v>
      </c>
      <c r="E46" s="83" t="s">
        <v>620</v>
      </c>
      <c r="F46" s="229">
        <v>1</v>
      </c>
      <c r="G46" s="229"/>
      <c r="H46" s="83" t="str">
        <f t="shared" si="2"/>
        <v>Combustíveis: Gasóleo</v>
      </c>
      <c r="I46" s="425" t="str">
        <f t="shared" si="3"/>
        <v>Combustíveis: Gasóleo :: 2022</v>
      </c>
      <c r="J46" s="83" t="str">
        <f t="shared" si="4"/>
        <v>Combustíveis: Gasóleo</v>
      </c>
      <c r="K46" s="83" t="s">
        <v>1798</v>
      </c>
      <c r="L46" s="83" t="s">
        <v>34</v>
      </c>
      <c r="M46" s="83" t="s">
        <v>558</v>
      </c>
      <c r="N46" s="83" t="s">
        <v>555</v>
      </c>
      <c r="O46" s="120">
        <v>62285.520000000004</v>
      </c>
      <c r="P46" s="175" t="s">
        <v>1861</v>
      </c>
      <c r="Q46" s="125" t="s">
        <v>630</v>
      </c>
      <c r="R46" s="83"/>
      <c r="S46" s="458"/>
      <c r="T46" s="271">
        <v>2022</v>
      </c>
      <c r="U46" s="250" t="s">
        <v>3499</v>
      </c>
      <c r="V46" s="250" t="s">
        <v>3506</v>
      </c>
      <c r="W46" t="str">
        <f t="shared" si="5"/>
        <v>Sim</v>
      </c>
    </row>
    <row r="47" spans="1:23" ht="15.75" thickBot="1" x14ac:dyDescent="0.3">
      <c r="A47" s="82" t="s">
        <v>45</v>
      </c>
      <c r="B47" s="82" t="str">
        <f t="shared" si="0"/>
        <v>Barraqueiro Transportes, S.A.</v>
      </c>
      <c r="C47" s="82" t="str">
        <f t="shared" si="1"/>
        <v>X</v>
      </c>
      <c r="D47" s="82" t="s">
        <v>1528</v>
      </c>
      <c r="E47" s="83" t="s">
        <v>620</v>
      </c>
      <c r="F47" s="229">
        <v>1</v>
      </c>
      <c r="G47" s="229"/>
      <c r="H47" s="83" t="str">
        <f t="shared" si="2"/>
        <v>Combustíveis: Gasóleo</v>
      </c>
      <c r="I47" s="425" t="str">
        <f t="shared" si="3"/>
        <v>Combustíveis: Gasóleo :: 2022</v>
      </c>
      <c r="J47" s="83" t="str">
        <f t="shared" si="4"/>
        <v>Combustíveis: Gasóleo</v>
      </c>
      <c r="K47" s="83" t="s">
        <v>554</v>
      </c>
      <c r="L47" s="83" t="s">
        <v>34</v>
      </c>
      <c r="M47" s="83" t="s">
        <v>558</v>
      </c>
      <c r="N47" s="83" t="s">
        <v>555</v>
      </c>
      <c r="O47" s="120">
        <v>49922.01999999999</v>
      </c>
      <c r="P47" s="175" t="s">
        <v>1861</v>
      </c>
      <c r="Q47" s="125" t="s">
        <v>630</v>
      </c>
      <c r="R47" s="83"/>
      <c r="S47" s="458"/>
      <c r="T47" s="271">
        <v>2022</v>
      </c>
      <c r="U47" s="250" t="s">
        <v>3499</v>
      </c>
      <c r="V47" s="250" t="s">
        <v>3506</v>
      </c>
      <c r="W47" t="str">
        <f t="shared" si="5"/>
        <v>Sim</v>
      </c>
    </row>
    <row r="48" spans="1:23" ht="15.75" thickBot="1" x14ac:dyDescent="0.3">
      <c r="A48" s="82" t="s">
        <v>45</v>
      </c>
      <c r="B48" s="82" t="str">
        <f t="shared" si="0"/>
        <v>Barraqueiro Transportes, S.A.</v>
      </c>
      <c r="C48" s="82" t="str">
        <f t="shared" si="1"/>
        <v>X</v>
      </c>
      <c r="D48" s="82" t="s">
        <v>1528</v>
      </c>
      <c r="E48" s="83" t="s">
        <v>620</v>
      </c>
      <c r="F48" s="229">
        <v>1</v>
      </c>
      <c r="G48" s="229"/>
      <c r="H48" s="83" t="str">
        <f t="shared" si="2"/>
        <v>Combustíveis: Gasóleo</v>
      </c>
      <c r="I48" s="425" t="str">
        <f t="shared" si="3"/>
        <v>Combustíveis: Gasóleo :: 2022</v>
      </c>
      <c r="J48" s="83" t="str">
        <f t="shared" si="4"/>
        <v>Combustíveis: Gasóleo</v>
      </c>
      <c r="K48" s="83" t="s">
        <v>1793</v>
      </c>
      <c r="L48" s="83" t="s">
        <v>34</v>
      </c>
      <c r="M48" s="83" t="s">
        <v>558</v>
      </c>
      <c r="N48" s="83" t="s">
        <v>555</v>
      </c>
      <c r="O48" s="120">
        <v>8306.49</v>
      </c>
      <c r="P48" s="175" t="s">
        <v>1861</v>
      </c>
      <c r="Q48" s="125" t="s">
        <v>630</v>
      </c>
      <c r="R48" s="83"/>
      <c r="S48" s="458"/>
      <c r="T48" s="271">
        <v>2022</v>
      </c>
      <c r="U48" s="250" t="s">
        <v>3499</v>
      </c>
      <c r="V48" s="250" t="s">
        <v>3506</v>
      </c>
      <c r="W48" t="str">
        <f t="shared" si="5"/>
        <v>Sim</v>
      </c>
    </row>
    <row r="49" spans="1:23" ht="15.75" thickBot="1" x14ac:dyDescent="0.3">
      <c r="A49" s="82" t="s">
        <v>45</v>
      </c>
      <c r="B49" s="82" t="str">
        <f t="shared" si="0"/>
        <v>Barraqueiro Transportes, S.A.</v>
      </c>
      <c r="C49" s="82" t="str">
        <f t="shared" si="1"/>
        <v>X</v>
      </c>
      <c r="D49" s="82" t="s">
        <v>1528</v>
      </c>
      <c r="E49" s="83" t="s">
        <v>620</v>
      </c>
      <c r="F49" s="229">
        <v>1</v>
      </c>
      <c r="G49" s="229"/>
      <c r="H49" s="83" t="str">
        <f t="shared" si="2"/>
        <v>Combustíveis: Gasóleo</v>
      </c>
      <c r="I49" s="425" t="str">
        <f t="shared" si="3"/>
        <v>Combustíveis: Gasóleo :: 2022</v>
      </c>
      <c r="J49" s="83" t="str">
        <f t="shared" si="4"/>
        <v>Combustíveis: Gasóleo</v>
      </c>
      <c r="K49" s="83" t="s">
        <v>577</v>
      </c>
      <c r="L49" s="83" t="s">
        <v>34</v>
      </c>
      <c r="M49" s="83" t="s">
        <v>558</v>
      </c>
      <c r="N49" s="83" t="s">
        <v>555</v>
      </c>
      <c r="O49" s="120">
        <v>2504.71</v>
      </c>
      <c r="P49" s="175" t="s">
        <v>1861</v>
      </c>
      <c r="Q49" s="125" t="s">
        <v>630</v>
      </c>
      <c r="R49" s="83"/>
      <c r="S49" s="458"/>
      <c r="T49" s="271">
        <v>2022</v>
      </c>
      <c r="U49" s="250" t="s">
        <v>3499</v>
      </c>
      <c r="V49" s="250" t="s">
        <v>3506</v>
      </c>
      <c r="W49" t="str">
        <f t="shared" si="5"/>
        <v>Sim</v>
      </c>
    </row>
    <row r="50" spans="1:23" ht="15.75" thickBot="1" x14ac:dyDescent="0.3">
      <c r="A50" t="s">
        <v>1910</v>
      </c>
      <c r="B50" t="s">
        <v>1910</v>
      </c>
      <c r="C50" s="82" t="str">
        <f t="shared" si="1"/>
        <v>X</v>
      </c>
      <c r="D50" s="82" t="s">
        <v>1528</v>
      </c>
      <c r="E50" s="83" t="s">
        <v>620</v>
      </c>
      <c r="F50" s="229">
        <v>1</v>
      </c>
      <c r="G50" s="229"/>
      <c r="H50" s="83" t="str">
        <f>D50&amp;": "&amp;E50</f>
        <v>Combustíveis: Gasóleo</v>
      </c>
      <c r="I50" s="425" t="str">
        <f t="shared" si="3"/>
        <v>Combustíveis: Gasóleo :: 2022</v>
      </c>
      <c r="J50" s="83" t="str">
        <f>IF(G50="",H50,H50&amp;": "&amp;G50)</f>
        <v>Combustíveis: Gasóleo</v>
      </c>
      <c r="K50" s="83" t="s">
        <v>558</v>
      </c>
      <c r="L50" s="287" t="s">
        <v>34</v>
      </c>
      <c r="M50" s="83" t="s">
        <v>558</v>
      </c>
      <c r="N50" s="83" t="s">
        <v>555</v>
      </c>
      <c r="O50" s="120">
        <v>9395.32</v>
      </c>
      <c r="P50" s="175" t="s">
        <v>1861</v>
      </c>
      <c r="Q50" s="288" t="s">
        <v>630</v>
      </c>
      <c r="R50" s="83"/>
      <c r="S50" s="458"/>
      <c r="T50" s="271">
        <v>2022</v>
      </c>
      <c r="U50" s="250" t="s">
        <v>3499</v>
      </c>
      <c r="V50" s="250" t="s">
        <v>3506</v>
      </c>
      <c r="W50" t="str">
        <f t="shared" si="5"/>
        <v>Sim</v>
      </c>
    </row>
    <row r="51" spans="1:23" ht="15.75" thickBot="1" x14ac:dyDescent="0.3">
      <c r="A51" s="82" t="s">
        <v>4593</v>
      </c>
      <c r="B51" s="82" t="s">
        <v>4593</v>
      </c>
      <c r="C51" s="82" t="str">
        <f t="shared" si="1"/>
        <v>X</v>
      </c>
      <c r="D51" s="82" t="s">
        <v>1528</v>
      </c>
      <c r="E51" s="83" t="s">
        <v>620</v>
      </c>
      <c r="F51" s="229">
        <v>1</v>
      </c>
      <c r="G51" s="229"/>
      <c r="H51" s="83" t="str">
        <f>D51&amp;": "&amp;E51</f>
        <v>Combustíveis: Gasóleo</v>
      </c>
      <c r="I51" s="425" t="str">
        <f t="shared" si="3"/>
        <v>Combustíveis: Gasóleo :: 2022</v>
      </c>
      <c r="J51" s="83" t="str">
        <f>IF(G51="",H51,H51&amp;": "&amp;G51)</f>
        <v>Combustíveis: Gasóleo</v>
      </c>
      <c r="K51" s="83" t="s">
        <v>3121</v>
      </c>
      <c r="L51" s="83" t="s">
        <v>42</v>
      </c>
      <c r="M51" s="83" t="s">
        <v>558</v>
      </c>
      <c r="N51" s="83" t="s">
        <v>555</v>
      </c>
      <c r="O51" s="120">
        <v>14736</v>
      </c>
      <c r="P51" s="175" t="s">
        <v>1861</v>
      </c>
      <c r="Q51" s="125" t="s">
        <v>630</v>
      </c>
      <c r="R51" s="83"/>
      <c r="S51" s="458"/>
      <c r="T51" s="271">
        <v>2022</v>
      </c>
      <c r="U51" s="250" t="s">
        <v>3499</v>
      </c>
      <c r="V51" s="250" t="s">
        <v>3506</v>
      </c>
      <c r="W51" t="str">
        <f t="shared" si="5"/>
        <v>Não</v>
      </c>
    </row>
    <row r="52" spans="1:23" ht="15.75" thickBot="1" x14ac:dyDescent="0.3">
      <c r="A52" s="82" t="s">
        <v>4593</v>
      </c>
      <c r="B52" s="82" t="s">
        <v>4593</v>
      </c>
      <c r="C52" s="82" t="str">
        <f t="shared" si="1"/>
        <v>X</v>
      </c>
      <c r="D52" s="82" t="s">
        <v>1528</v>
      </c>
      <c r="E52" s="83" t="s">
        <v>620</v>
      </c>
      <c r="F52" s="229">
        <v>1</v>
      </c>
      <c r="G52" s="229"/>
      <c r="H52" s="83" t="str">
        <f>D52&amp;": "&amp;E52</f>
        <v>Combustíveis: Gasóleo</v>
      </c>
      <c r="I52" s="425" t="str">
        <f t="shared" si="3"/>
        <v>Combustíveis: Gasóleo :: 2022</v>
      </c>
      <c r="J52" s="83" t="str">
        <f>IF(G52="",H52,H52&amp;": "&amp;G52)</f>
        <v>Combustíveis: Gasóleo</v>
      </c>
      <c r="K52" s="83" t="s">
        <v>3122</v>
      </c>
      <c r="L52" s="83" t="s">
        <v>42</v>
      </c>
      <c r="M52" s="83" t="s">
        <v>558</v>
      </c>
      <c r="N52" s="83" t="s">
        <v>555</v>
      </c>
      <c r="O52" s="120">
        <v>141</v>
      </c>
      <c r="P52" s="175" t="s">
        <v>1861</v>
      </c>
      <c r="Q52" s="125" t="s">
        <v>630</v>
      </c>
      <c r="R52" s="83"/>
      <c r="S52" s="458"/>
      <c r="T52" s="271">
        <v>2022</v>
      </c>
      <c r="U52" s="250" t="s">
        <v>3499</v>
      </c>
      <c r="V52" s="250" t="s">
        <v>3506</v>
      </c>
      <c r="W52" t="str">
        <f t="shared" si="5"/>
        <v>Não</v>
      </c>
    </row>
    <row r="53" spans="1:23" ht="15.75" thickBot="1" x14ac:dyDescent="0.3">
      <c r="A53" s="82" t="s">
        <v>4593</v>
      </c>
      <c r="B53" s="82" t="s">
        <v>4593</v>
      </c>
      <c r="C53" s="82" t="str">
        <f t="shared" si="1"/>
        <v>X</v>
      </c>
      <c r="D53" s="82" t="s">
        <v>1528</v>
      </c>
      <c r="E53" s="83" t="s">
        <v>620</v>
      </c>
      <c r="F53" s="229">
        <v>1</v>
      </c>
      <c r="G53" s="229"/>
      <c r="H53" s="83" t="str">
        <f t="shared" ref="H53:H61" si="6">D53&amp;": "&amp;E53</f>
        <v>Combustíveis: Gasóleo</v>
      </c>
      <c r="I53" s="425" t="str">
        <f t="shared" si="3"/>
        <v>Combustíveis: Gasóleo :: 2022</v>
      </c>
      <c r="J53" s="83" t="str">
        <f t="shared" ref="J53:J61" si="7">IF(G53="",H53,H53&amp;": "&amp;G53)</f>
        <v>Combustíveis: Gasóleo</v>
      </c>
      <c r="K53" s="83" t="s">
        <v>534</v>
      </c>
      <c r="L53" s="83" t="s">
        <v>34</v>
      </c>
      <c r="M53" s="83" t="s">
        <v>558</v>
      </c>
      <c r="N53" s="83" t="s">
        <v>555</v>
      </c>
      <c r="O53" s="120">
        <v>1772</v>
      </c>
      <c r="P53" s="175" t="s">
        <v>1861</v>
      </c>
      <c r="Q53" s="288" t="s">
        <v>630</v>
      </c>
      <c r="R53" s="83"/>
      <c r="S53" s="458"/>
      <c r="T53" s="271">
        <v>2022</v>
      </c>
      <c r="U53" s="250" t="s">
        <v>3499</v>
      </c>
      <c r="V53" s="250" t="s">
        <v>3506</v>
      </c>
      <c r="W53" t="str">
        <f t="shared" si="5"/>
        <v>Sim</v>
      </c>
    </row>
    <row r="54" spans="1:23" ht="15.75" thickBot="1" x14ac:dyDescent="0.3">
      <c r="A54" s="82" t="s">
        <v>4593</v>
      </c>
      <c r="B54" s="82" t="s">
        <v>4593</v>
      </c>
      <c r="C54" s="82" t="str">
        <f t="shared" si="1"/>
        <v>X</v>
      </c>
      <c r="D54" s="82" t="s">
        <v>1528</v>
      </c>
      <c r="E54" s="83" t="s">
        <v>620</v>
      </c>
      <c r="F54" s="229">
        <v>1</v>
      </c>
      <c r="G54" s="229"/>
      <c r="H54" s="83" t="str">
        <f t="shared" si="6"/>
        <v>Combustíveis: Gasóleo</v>
      </c>
      <c r="I54" s="425" t="str">
        <f t="shared" si="3"/>
        <v>Combustíveis: Gasóleo :: 2022</v>
      </c>
      <c r="J54" s="83" t="str">
        <f t="shared" si="7"/>
        <v>Combustíveis: Gasóleo</v>
      </c>
      <c r="K54" s="83" t="s">
        <v>3123</v>
      </c>
      <c r="L54" s="83" t="s">
        <v>34</v>
      </c>
      <c r="M54" s="83" t="s">
        <v>558</v>
      </c>
      <c r="N54" s="83" t="s">
        <v>555</v>
      </c>
      <c r="O54" s="120">
        <v>292</v>
      </c>
      <c r="P54" s="175" t="s">
        <v>1861</v>
      </c>
      <c r="Q54" s="125" t="s">
        <v>630</v>
      </c>
      <c r="R54" s="83"/>
      <c r="S54" s="458"/>
      <c r="T54" s="271">
        <v>2022</v>
      </c>
      <c r="U54" s="250" t="s">
        <v>3499</v>
      </c>
      <c r="V54" s="250" t="s">
        <v>3506</v>
      </c>
      <c r="W54" t="str">
        <f t="shared" si="5"/>
        <v>Sim</v>
      </c>
    </row>
    <row r="55" spans="1:23" ht="15.75" thickBot="1" x14ac:dyDescent="0.3">
      <c r="A55" s="82" t="s">
        <v>4593</v>
      </c>
      <c r="B55" s="82" t="s">
        <v>4593</v>
      </c>
      <c r="C55" s="82" t="str">
        <f t="shared" si="1"/>
        <v>X</v>
      </c>
      <c r="D55" s="82" t="s">
        <v>1528</v>
      </c>
      <c r="E55" s="83" t="s">
        <v>620</v>
      </c>
      <c r="F55" s="229">
        <v>1</v>
      </c>
      <c r="G55" s="229"/>
      <c r="H55" s="83" t="str">
        <f t="shared" si="6"/>
        <v>Combustíveis: Gasóleo</v>
      </c>
      <c r="I55" s="425" t="str">
        <f t="shared" si="3"/>
        <v>Combustíveis: Gasóleo :: 2022</v>
      </c>
      <c r="J55" s="83" t="str">
        <f t="shared" si="7"/>
        <v>Combustíveis: Gasóleo</v>
      </c>
      <c r="K55" s="83" t="s">
        <v>3029</v>
      </c>
      <c r="L55" s="83" t="s">
        <v>34</v>
      </c>
      <c r="M55" s="83" t="s">
        <v>558</v>
      </c>
      <c r="N55" s="83" t="s">
        <v>555</v>
      </c>
      <c r="O55" s="120">
        <v>4933</v>
      </c>
      <c r="P55" s="175" t="s">
        <v>1861</v>
      </c>
      <c r="Q55" s="125" t="s">
        <v>630</v>
      </c>
      <c r="R55" s="83"/>
      <c r="S55" s="458"/>
      <c r="T55" s="271">
        <v>2022</v>
      </c>
      <c r="U55" s="250" t="s">
        <v>3499</v>
      </c>
      <c r="V55" s="250" t="s">
        <v>3506</v>
      </c>
      <c r="W55" t="str">
        <f t="shared" si="5"/>
        <v>Sim</v>
      </c>
    </row>
    <row r="56" spans="1:23" ht="15.75" thickBot="1" x14ac:dyDescent="0.3">
      <c r="A56" s="82" t="s">
        <v>4593</v>
      </c>
      <c r="B56" s="82" t="s">
        <v>4593</v>
      </c>
      <c r="C56" s="82" t="str">
        <f t="shared" si="1"/>
        <v>X</v>
      </c>
      <c r="D56" s="82" t="s">
        <v>1528</v>
      </c>
      <c r="E56" s="83" t="s">
        <v>620</v>
      </c>
      <c r="F56" s="229">
        <v>1</v>
      </c>
      <c r="G56" s="229"/>
      <c r="H56" s="83" t="str">
        <f t="shared" si="6"/>
        <v>Combustíveis: Gasóleo</v>
      </c>
      <c r="I56" s="425" t="str">
        <f t="shared" si="3"/>
        <v>Combustíveis: Gasóleo :: 2022</v>
      </c>
      <c r="J56" s="83" t="str">
        <f t="shared" si="7"/>
        <v>Combustíveis: Gasóleo</v>
      </c>
      <c r="K56" s="83" t="s">
        <v>3124</v>
      </c>
      <c r="L56" s="83" t="s">
        <v>34</v>
      </c>
      <c r="M56" s="83" t="s">
        <v>558</v>
      </c>
      <c r="N56" s="83" t="s">
        <v>555</v>
      </c>
      <c r="O56" s="120">
        <v>410</v>
      </c>
      <c r="P56" s="175" t="s">
        <v>1861</v>
      </c>
      <c r="Q56" s="288" t="s">
        <v>630</v>
      </c>
      <c r="R56" s="83"/>
      <c r="S56" s="458"/>
      <c r="T56" s="271">
        <v>2022</v>
      </c>
      <c r="U56" s="250" t="s">
        <v>3499</v>
      </c>
      <c r="V56" s="250" t="s">
        <v>3506</v>
      </c>
      <c r="W56" t="str">
        <f t="shared" si="5"/>
        <v>Sim</v>
      </c>
    </row>
    <row r="57" spans="1:23" ht="15.75" thickBot="1" x14ac:dyDescent="0.3">
      <c r="A57" s="82" t="s">
        <v>4593</v>
      </c>
      <c r="B57" s="82" t="s">
        <v>4593</v>
      </c>
      <c r="C57" s="82" t="str">
        <f t="shared" si="1"/>
        <v>X</v>
      </c>
      <c r="D57" s="82" t="s">
        <v>1528</v>
      </c>
      <c r="E57" s="83" t="s">
        <v>620</v>
      </c>
      <c r="F57" s="229">
        <v>1</v>
      </c>
      <c r="G57" s="229"/>
      <c r="H57" s="83" t="str">
        <f t="shared" si="6"/>
        <v>Combustíveis: Gasóleo</v>
      </c>
      <c r="I57" s="425" t="str">
        <f t="shared" si="3"/>
        <v>Combustíveis: Gasóleo :: 2022</v>
      </c>
      <c r="J57" s="83" t="str">
        <f t="shared" si="7"/>
        <v>Combustíveis: Gasóleo</v>
      </c>
      <c r="K57" s="83" t="s">
        <v>3125</v>
      </c>
      <c r="L57" s="83" t="s">
        <v>34</v>
      </c>
      <c r="M57" s="83" t="s">
        <v>558</v>
      </c>
      <c r="N57" s="83" t="s">
        <v>555</v>
      </c>
      <c r="O57" s="120">
        <v>2835</v>
      </c>
      <c r="P57" s="175" t="s">
        <v>1861</v>
      </c>
      <c r="Q57" s="125" t="s">
        <v>630</v>
      </c>
      <c r="R57" s="83"/>
      <c r="S57" s="458"/>
      <c r="T57" s="271">
        <v>2022</v>
      </c>
      <c r="U57" s="250" t="s">
        <v>3499</v>
      </c>
      <c r="V57" s="250" t="s">
        <v>3506</v>
      </c>
      <c r="W57" t="str">
        <f t="shared" si="5"/>
        <v>Sim</v>
      </c>
    </row>
    <row r="58" spans="1:23" ht="15.75" thickBot="1" x14ac:dyDescent="0.3">
      <c r="A58" s="82" t="s">
        <v>4592</v>
      </c>
      <c r="B58" s="82" t="s">
        <v>4592</v>
      </c>
      <c r="C58" s="82" t="str">
        <f t="shared" si="1"/>
        <v>X</v>
      </c>
      <c r="D58" s="82" t="s">
        <v>1528</v>
      </c>
      <c r="E58" s="83" t="s">
        <v>620</v>
      </c>
      <c r="F58" s="229">
        <v>1</v>
      </c>
      <c r="G58" s="229"/>
      <c r="H58" s="83" t="str">
        <f t="shared" si="6"/>
        <v>Combustíveis: Gasóleo</v>
      </c>
      <c r="I58" s="425" t="str">
        <f t="shared" si="3"/>
        <v>Combustíveis: Gasóleo :: 2022</v>
      </c>
      <c r="J58" s="83" t="str">
        <f t="shared" si="7"/>
        <v>Combustíveis: Gasóleo</v>
      </c>
      <c r="K58" s="83" t="s">
        <v>534</v>
      </c>
      <c r="L58" s="83" t="s">
        <v>34</v>
      </c>
      <c r="M58" s="83" t="s">
        <v>558</v>
      </c>
      <c r="N58" s="83" t="s">
        <v>555</v>
      </c>
      <c r="O58" s="120">
        <v>150</v>
      </c>
      <c r="P58" s="175" t="s">
        <v>1861</v>
      </c>
      <c r="Q58" s="125" t="s">
        <v>630</v>
      </c>
      <c r="R58" s="83"/>
      <c r="S58" s="458"/>
      <c r="T58" s="271">
        <v>2022</v>
      </c>
      <c r="U58" s="250" t="s">
        <v>3499</v>
      </c>
      <c r="V58" s="250" t="s">
        <v>3506</v>
      </c>
      <c r="W58" t="str">
        <f t="shared" si="5"/>
        <v>Sim</v>
      </c>
    </row>
    <row r="59" spans="1:23" ht="15.75" thickBot="1" x14ac:dyDescent="0.3">
      <c r="A59" s="82" t="s">
        <v>4592</v>
      </c>
      <c r="B59" s="82" t="s">
        <v>4592</v>
      </c>
      <c r="C59" s="82" t="str">
        <f t="shared" si="1"/>
        <v>X</v>
      </c>
      <c r="D59" s="82" t="s">
        <v>1528</v>
      </c>
      <c r="E59" s="83" t="s">
        <v>620</v>
      </c>
      <c r="F59" s="229">
        <v>1</v>
      </c>
      <c r="G59" s="229"/>
      <c r="H59" s="83" t="str">
        <f t="shared" si="6"/>
        <v>Combustíveis: Gasóleo</v>
      </c>
      <c r="I59" s="425" t="str">
        <f t="shared" si="3"/>
        <v>Combustíveis: Gasóleo :: 2022</v>
      </c>
      <c r="J59" s="83" t="str">
        <f t="shared" si="7"/>
        <v>Combustíveis: Gasóleo</v>
      </c>
      <c r="K59" s="83" t="s">
        <v>3124</v>
      </c>
      <c r="L59" s="83" t="s">
        <v>34</v>
      </c>
      <c r="M59" s="83" t="s">
        <v>558</v>
      </c>
      <c r="N59" s="83" t="s">
        <v>555</v>
      </c>
      <c r="O59" s="120">
        <v>10023</v>
      </c>
      <c r="P59" s="175" t="s">
        <v>1861</v>
      </c>
      <c r="Q59" s="288" t="s">
        <v>630</v>
      </c>
      <c r="R59" s="83"/>
      <c r="S59" s="458"/>
      <c r="T59" s="271">
        <v>2022</v>
      </c>
      <c r="U59" s="250" t="s">
        <v>3499</v>
      </c>
      <c r="V59" s="250" t="s">
        <v>3506</v>
      </c>
      <c r="W59" t="str">
        <f t="shared" si="5"/>
        <v>Sim</v>
      </c>
    </row>
    <row r="60" spans="1:23" ht="15.75" thickBot="1" x14ac:dyDescent="0.3">
      <c r="A60" s="82" t="s">
        <v>4595</v>
      </c>
      <c r="B60" s="82" t="s">
        <v>4595</v>
      </c>
      <c r="C60" s="82" t="str">
        <f t="shared" si="1"/>
        <v>X</v>
      </c>
      <c r="D60" s="82" t="s">
        <v>1528</v>
      </c>
      <c r="E60" s="83" t="s">
        <v>620</v>
      </c>
      <c r="F60" s="229">
        <v>1</v>
      </c>
      <c r="G60" s="229"/>
      <c r="H60" s="83" t="str">
        <f t="shared" si="6"/>
        <v>Combustíveis: Gasóleo</v>
      </c>
      <c r="I60" s="425" t="str">
        <f t="shared" si="3"/>
        <v>Combustíveis: Gasóleo :: 2022</v>
      </c>
      <c r="J60" s="83" t="str">
        <f t="shared" si="7"/>
        <v>Combustíveis: Gasóleo</v>
      </c>
      <c r="K60" s="83" t="s">
        <v>3126</v>
      </c>
      <c r="L60" s="83" t="s">
        <v>42</v>
      </c>
      <c r="M60" s="83" t="s">
        <v>558</v>
      </c>
      <c r="N60" s="83" t="s">
        <v>555</v>
      </c>
      <c r="O60" s="120">
        <v>49</v>
      </c>
      <c r="P60" s="175" t="s">
        <v>1861</v>
      </c>
      <c r="Q60" s="125" t="s">
        <v>630</v>
      </c>
      <c r="R60" s="83"/>
      <c r="S60" s="458"/>
      <c r="T60" s="271">
        <v>2022</v>
      </c>
      <c r="U60" s="250" t="s">
        <v>3499</v>
      </c>
      <c r="V60" s="250" t="s">
        <v>3506</v>
      </c>
      <c r="W60" t="str">
        <f t="shared" si="5"/>
        <v>Não</v>
      </c>
    </row>
    <row r="61" spans="1:23" ht="15.75" thickBot="1" x14ac:dyDescent="0.3">
      <c r="A61" s="82" t="s">
        <v>4595</v>
      </c>
      <c r="B61" s="82" t="s">
        <v>4595</v>
      </c>
      <c r="C61" s="82" t="str">
        <f t="shared" si="1"/>
        <v>X</v>
      </c>
      <c r="D61" s="82" t="s">
        <v>1528</v>
      </c>
      <c r="E61" s="83" t="s">
        <v>620</v>
      </c>
      <c r="F61" s="229">
        <v>1</v>
      </c>
      <c r="G61" s="229"/>
      <c r="H61" s="83" t="str">
        <f t="shared" si="6"/>
        <v>Combustíveis: Gasóleo</v>
      </c>
      <c r="I61" s="425" t="str">
        <f t="shared" si="3"/>
        <v>Combustíveis: Gasóleo :: 2022</v>
      </c>
      <c r="J61" s="83" t="str">
        <f t="shared" si="7"/>
        <v>Combustíveis: Gasóleo</v>
      </c>
      <c r="K61" s="83" t="s">
        <v>3122</v>
      </c>
      <c r="L61" s="83" t="s">
        <v>42</v>
      </c>
      <c r="M61" s="83" t="s">
        <v>558</v>
      </c>
      <c r="N61" s="83" t="s">
        <v>555</v>
      </c>
      <c r="O61" s="120">
        <v>1599</v>
      </c>
      <c r="P61" s="175" t="s">
        <v>1861</v>
      </c>
      <c r="Q61" s="125" t="s">
        <v>630</v>
      </c>
      <c r="R61" s="83"/>
      <c r="S61" s="458"/>
      <c r="T61" s="271">
        <v>2022</v>
      </c>
      <c r="U61" s="250" t="s">
        <v>3499</v>
      </c>
      <c r="V61" s="250" t="s">
        <v>3506</v>
      </c>
      <c r="W61" t="str">
        <f t="shared" si="5"/>
        <v>Não</v>
      </c>
    </row>
    <row r="62" spans="1:23" ht="15.75" thickBot="1" x14ac:dyDescent="0.3">
      <c r="A62" s="82" t="s">
        <v>1912</v>
      </c>
      <c r="B62" s="82" t="s">
        <v>1912</v>
      </c>
      <c r="C62" s="82" t="str">
        <f t="shared" ref="C62:C125" si="8">IF(A62=B62,"X",RIGHT(A62,LEN(A62)-LEN(B62)-3))</f>
        <v>X</v>
      </c>
      <c r="D62" s="82" t="s">
        <v>1528</v>
      </c>
      <c r="E62" s="83" t="s">
        <v>620</v>
      </c>
      <c r="F62" s="229">
        <v>1</v>
      </c>
      <c r="G62" s="229"/>
      <c r="H62" s="83" t="str">
        <f>D62&amp;": "&amp;E62</f>
        <v>Combustíveis: Gasóleo</v>
      </c>
      <c r="I62" s="425" t="str">
        <f t="shared" si="3"/>
        <v>Combustíveis: Gasóleo :: 2022</v>
      </c>
      <c r="J62" s="83" t="str">
        <f>IF(G62="",H62,H62&amp;": "&amp;G62)</f>
        <v>Combustíveis: Gasóleo</v>
      </c>
      <c r="K62" s="83" t="s">
        <v>534</v>
      </c>
      <c r="L62" s="83" t="s">
        <v>34</v>
      </c>
      <c r="M62" s="83" t="s">
        <v>558</v>
      </c>
      <c r="N62" s="83" t="s">
        <v>555</v>
      </c>
      <c r="O62" s="120">
        <v>768.98</v>
      </c>
      <c r="P62" s="175" t="s">
        <v>1861</v>
      </c>
      <c r="Q62" s="125" t="s">
        <v>630</v>
      </c>
      <c r="R62" s="83"/>
      <c r="S62" s="458"/>
      <c r="T62" s="271">
        <v>2022</v>
      </c>
      <c r="U62" s="250" t="s">
        <v>3499</v>
      </c>
      <c r="V62" s="250" t="s">
        <v>3506</v>
      </c>
      <c r="W62" t="str">
        <f t="shared" si="5"/>
        <v>Sim</v>
      </c>
    </row>
    <row r="63" spans="1:23" ht="15.75" thickBot="1" x14ac:dyDescent="0.3">
      <c r="A63" s="274" t="s">
        <v>2817</v>
      </c>
      <c r="B63" s="274" t="s">
        <v>2817</v>
      </c>
      <c r="C63" s="82" t="str">
        <f t="shared" si="8"/>
        <v>X</v>
      </c>
      <c r="D63" s="82" t="s">
        <v>553</v>
      </c>
      <c r="E63" s="83" t="s">
        <v>1862</v>
      </c>
      <c r="F63" s="229">
        <v>1</v>
      </c>
      <c r="G63" s="229"/>
      <c r="H63" s="83" t="str">
        <f>D63&amp;": "&amp;E63</f>
        <v>Gases Refrigerantes: HFC134a</v>
      </c>
      <c r="I63" s="425" t="str">
        <f t="shared" si="3"/>
        <v>Gases Refrigerantes: HFC134a :: 2022</v>
      </c>
      <c r="J63" s="83" t="str">
        <f>IF(G63="",H63,H63&amp;": "&amp;G63)</f>
        <v>Gases Refrigerantes: HFC134a</v>
      </c>
      <c r="K63" s="83" t="s">
        <v>3128</v>
      </c>
      <c r="L63" s="83" t="s">
        <v>42</v>
      </c>
      <c r="M63" s="83" t="s">
        <v>558</v>
      </c>
      <c r="N63" s="83" t="s">
        <v>555</v>
      </c>
      <c r="O63" s="120">
        <v>105</v>
      </c>
      <c r="P63" s="175" t="s">
        <v>1863</v>
      </c>
      <c r="Q63" s="125" t="s">
        <v>557</v>
      </c>
      <c r="R63" s="83" t="s">
        <v>3127</v>
      </c>
      <c r="S63" s="458"/>
      <c r="T63" s="271">
        <v>2022</v>
      </c>
      <c r="U63" s="250" t="s">
        <v>3499</v>
      </c>
      <c r="V63" s="250" t="s">
        <v>3506</v>
      </c>
      <c r="W63" t="str">
        <f t="shared" si="5"/>
        <v>Não</v>
      </c>
    </row>
    <row r="64" spans="1:23" s="283" customFormat="1" ht="15.75" thickBot="1" x14ac:dyDescent="0.3">
      <c r="A64" s="137" t="s">
        <v>4590</v>
      </c>
      <c r="B64" s="137" t="s">
        <v>4590</v>
      </c>
      <c r="C64" s="137" t="str">
        <f t="shared" si="8"/>
        <v>X</v>
      </c>
      <c r="D64" s="137" t="s">
        <v>3129</v>
      </c>
      <c r="E64" s="141" t="s">
        <v>3130</v>
      </c>
      <c r="F64" s="141">
        <v>1</v>
      </c>
      <c r="G64" s="141"/>
      <c r="H64" s="141" t="str">
        <f t="shared" ref="H64:H110" si="9">D64&amp;": "&amp;E64</f>
        <v>Outro: Cartão Navegante (plást. PVC + chip)</v>
      </c>
      <c r="I64" s="425" t="str">
        <f t="shared" si="3"/>
        <v>Outro: Cartão Navegante (plást. PVC + chip) :: 2022</v>
      </c>
      <c r="J64" s="141" t="str">
        <f t="shared" ref="J64:J110" si="10">IF(G64="",H64,H64&amp;": "&amp;G64)</f>
        <v>Outro: Cartão Navegante (plást. PVC + chip)</v>
      </c>
      <c r="K64" s="239"/>
      <c r="L64" s="141" t="s">
        <v>42</v>
      </c>
      <c r="M64" s="141" t="s">
        <v>558</v>
      </c>
      <c r="N64" s="141" t="s">
        <v>555</v>
      </c>
      <c r="O64" s="338">
        <v>2887</v>
      </c>
      <c r="P64" s="339"/>
      <c r="Q64" s="340" t="s">
        <v>586</v>
      </c>
      <c r="R64" s="337">
        <v>16571.27</v>
      </c>
      <c r="S64" s="479"/>
      <c r="T64" s="292">
        <v>2022</v>
      </c>
      <c r="U64" s="250" t="s">
        <v>3499</v>
      </c>
      <c r="V64" s="250" t="s">
        <v>3506</v>
      </c>
      <c r="W64" t="str">
        <f t="shared" si="5"/>
        <v>Não</v>
      </c>
    </row>
    <row r="65" spans="1:23" s="283" customFormat="1" ht="15.75" thickBot="1" x14ac:dyDescent="0.3">
      <c r="A65" s="276" t="s">
        <v>1910</v>
      </c>
      <c r="B65" s="283" t="s">
        <v>1910</v>
      </c>
      <c r="C65" s="276" t="str">
        <f t="shared" si="8"/>
        <v>X</v>
      </c>
      <c r="D65" s="276" t="s">
        <v>3131</v>
      </c>
      <c r="E65" s="263" t="s">
        <v>3133</v>
      </c>
      <c r="F65" s="263">
        <v>1</v>
      </c>
      <c r="G65" s="263"/>
      <c r="H65" s="263" t="str">
        <f t="shared" si="9"/>
        <v>Óleos e Aditivos: óleo</v>
      </c>
      <c r="I65" s="425" t="str">
        <f t="shared" si="3"/>
        <v>Óleos e Aditivos: óleo :: 2022</v>
      </c>
      <c r="J65" s="263" t="str">
        <f t="shared" si="10"/>
        <v>Óleos e Aditivos: óleo</v>
      </c>
      <c r="L65" s="263" t="s">
        <v>34</v>
      </c>
      <c r="M65" s="263" t="s">
        <v>558</v>
      </c>
      <c r="N65" s="263" t="s">
        <v>555</v>
      </c>
      <c r="O65" s="291">
        <v>60</v>
      </c>
      <c r="P65" s="290"/>
      <c r="Q65" s="293" t="s">
        <v>630</v>
      </c>
      <c r="R65" s="263" t="s">
        <v>3139</v>
      </c>
      <c r="S65" s="292"/>
      <c r="T65" s="292">
        <v>2022</v>
      </c>
      <c r="U65" s="250" t="s">
        <v>3499</v>
      </c>
      <c r="V65" s="250" t="s">
        <v>3506</v>
      </c>
      <c r="W65" t="str">
        <f t="shared" si="5"/>
        <v>Sim</v>
      </c>
    </row>
    <row r="66" spans="1:23" s="283" customFormat="1" ht="15.75" thickBot="1" x14ac:dyDescent="0.3">
      <c r="A66" s="276" t="s">
        <v>1910</v>
      </c>
      <c r="B66" s="283" t="s">
        <v>1910</v>
      </c>
      <c r="C66" s="276" t="str">
        <f t="shared" si="8"/>
        <v>X</v>
      </c>
      <c r="D66" s="276" t="s">
        <v>3131</v>
      </c>
      <c r="E66" s="263" t="s">
        <v>3134</v>
      </c>
      <c r="F66" s="263">
        <v>1</v>
      </c>
      <c r="G66" s="263"/>
      <c r="H66" s="263" t="str">
        <f t="shared" si="9"/>
        <v>Óleos e Aditivos: adblue</v>
      </c>
      <c r="I66" s="425" t="str">
        <f t="shared" si="3"/>
        <v>Óleos e Aditivos: adblue :: 2022</v>
      </c>
      <c r="J66" s="263" t="str">
        <f t="shared" si="10"/>
        <v>Óleos e Aditivos: adblue</v>
      </c>
      <c r="L66" s="263" t="s">
        <v>34</v>
      </c>
      <c r="M66" s="263" t="s">
        <v>558</v>
      </c>
      <c r="N66" s="263" t="s">
        <v>555</v>
      </c>
      <c r="O66" s="291">
        <v>169.72</v>
      </c>
      <c r="P66" s="290"/>
      <c r="Q66" s="293" t="s">
        <v>630</v>
      </c>
      <c r="R66" s="263" t="s">
        <v>3140</v>
      </c>
      <c r="S66" s="292"/>
      <c r="T66" s="292">
        <v>2022</v>
      </c>
      <c r="U66" s="250" t="s">
        <v>3499</v>
      </c>
      <c r="V66" s="250" t="s">
        <v>3506</v>
      </c>
      <c r="W66" t="str">
        <f t="shared" si="5"/>
        <v>Sim</v>
      </c>
    </row>
    <row r="67" spans="1:23" s="283" customFormat="1" ht="15.75" thickBot="1" x14ac:dyDescent="0.3">
      <c r="A67" s="276" t="s">
        <v>1910</v>
      </c>
      <c r="B67" s="283" t="s">
        <v>1910</v>
      </c>
      <c r="C67" s="276" t="str">
        <f t="shared" si="8"/>
        <v>X</v>
      </c>
      <c r="D67" s="276" t="s">
        <v>3129</v>
      </c>
      <c r="E67" s="263" t="s">
        <v>3001</v>
      </c>
      <c r="F67" s="263">
        <v>1</v>
      </c>
      <c r="G67" s="263"/>
      <c r="H67" s="263" t="str">
        <f t="shared" si="9"/>
        <v>Outro: Motor</v>
      </c>
      <c r="I67" s="425" t="str">
        <f t="shared" si="3"/>
        <v>Outro: Motor :: 2022</v>
      </c>
      <c r="J67" s="263" t="str">
        <f t="shared" si="10"/>
        <v>Outro: Motor</v>
      </c>
      <c r="L67" s="263" t="s">
        <v>34</v>
      </c>
      <c r="M67" s="263" t="s">
        <v>558</v>
      </c>
      <c r="N67" s="263" t="s">
        <v>555</v>
      </c>
      <c r="O67" s="291">
        <v>2</v>
      </c>
      <c r="P67" s="290"/>
      <c r="Q67" s="293" t="s">
        <v>586</v>
      </c>
      <c r="R67" s="263" t="s">
        <v>3141</v>
      </c>
      <c r="S67" s="292"/>
      <c r="T67" s="292">
        <v>2022</v>
      </c>
      <c r="U67" s="250" t="s">
        <v>3499</v>
      </c>
      <c r="V67" s="250" t="s">
        <v>3506</v>
      </c>
      <c r="W67" t="str">
        <f t="shared" si="5"/>
        <v>Sim</v>
      </c>
    </row>
    <row r="68" spans="1:23" s="283" customFormat="1" ht="15.75" thickBot="1" x14ac:dyDescent="0.3">
      <c r="A68" s="276" t="s">
        <v>1910</v>
      </c>
      <c r="B68" s="283" t="s">
        <v>1910</v>
      </c>
      <c r="C68" s="276" t="str">
        <f t="shared" si="8"/>
        <v>X</v>
      </c>
      <c r="D68" s="276" t="s">
        <v>3129</v>
      </c>
      <c r="E68" s="263" t="s">
        <v>3010</v>
      </c>
      <c r="F68" s="263">
        <v>1</v>
      </c>
      <c r="G68" s="263"/>
      <c r="H68" s="263" t="str">
        <f t="shared" si="9"/>
        <v>Outro: Aparelhos sonoros</v>
      </c>
      <c r="I68" s="425" t="str">
        <f t="shared" ref="I68:I131" si="11">H68&amp;" :: "&amp;T68</f>
        <v>Outro: Aparelhos sonoros :: 2022</v>
      </c>
      <c r="J68" s="263" t="str">
        <f t="shared" si="10"/>
        <v>Outro: Aparelhos sonoros</v>
      </c>
      <c r="L68" s="263" t="s">
        <v>34</v>
      </c>
      <c r="M68" s="263" t="s">
        <v>558</v>
      </c>
      <c r="N68" s="263" t="s">
        <v>555</v>
      </c>
      <c r="O68" s="291">
        <v>4</v>
      </c>
      <c r="P68" s="290"/>
      <c r="Q68" s="293" t="s">
        <v>586</v>
      </c>
      <c r="R68" s="263" t="s">
        <v>3142</v>
      </c>
      <c r="S68" s="292"/>
      <c r="T68" s="292">
        <v>2022</v>
      </c>
      <c r="U68" s="250" t="s">
        <v>3499</v>
      </c>
      <c r="V68" s="250" t="s">
        <v>3506</v>
      </c>
      <c r="W68" t="str">
        <f t="shared" ref="W68:W78" si="12">IF(L68="Sim","Sim","Não")</f>
        <v>Sim</v>
      </c>
    </row>
    <row r="69" spans="1:23" s="283" customFormat="1" ht="15.75" thickBot="1" x14ac:dyDescent="0.3">
      <c r="A69" s="276" t="s">
        <v>1910</v>
      </c>
      <c r="B69" s="283" t="s">
        <v>1910</v>
      </c>
      <c r="C69" s="276" t="str">
        <f t="shared" si="8"/>
        <v>X</v>
      </c>
      <c r="D69" s="276" t="s">
        <v>3129</v>
      </c>
      <c r="E69" s="263" t="s">
        <v>3015</v>
      </c>
      <c r="F69" s="263">
        <v>1</v>
      </c>
      <c r="G69" s="263"/>
      <c r="H69" s="263" t="str">
        <f t="shared" si="9"/>
        <v>Outro: Material elétrico</v>
      </c>
      <c r="I69" s="425" t="str">
        <f t="shared" si="11"/>
        <v>Outro: Material elétrico :: 2022</v>
      </c>
      <c r="J69" s="263" t="str">
        <f t="shared" si="10"/>
        <v>Outro: Material elétrico</v>
      </c>
      <c r="L69" s="263" t="s">
        <v>34</v>
      </c>
      <c r="M69" s="263" t="s">
        <v>558</v>
      </c>
      <c r="N69" s="263" t="s">
        <v>555</v>
      </c>
      <c r="O69" s="291">
        <v>1626</v>
      </c>
      <c r="P69" s="290"/>
      <c r="Q69" s="293" t="s">
        <v>586</v>
      </c>
      <c r="R69" s="263" t="s">
        <v>3143</v>
      </c>
      <c r="S69" s="292"/>
      <c r="T69" s="292">
        <v>2022</v>
      </c>
      <c r="U69" s="250" t="s">
        <v>3499</v>
      </c>
      <c r="V69" s="250" t="s">
        <v>3506</v>
      </c>
      <c r="W69" t="str">
        <f t="shared" si="12"/>
        <v>Sim</v>
      </c>
    </row>
    <row r="70" spans="1:23" s="283" customFormat="1" ht="15.75" thickBot="1" x14ac:dyDescent="0.3">
      <c r="A70" s="276" t="s">
        <v>1910</v>
      </c>
      <c r="B70" s="283" t="s">
        <v>1910</v>
      </c>
      <c r="C70" s="276" t="str">
        <f t="shared" si="8"/>
        <v>X</v>
      </c>
      <c r="D70" s="276" t="s">
        <v>3129</v>
      </c>
      <c r="E70" s="263" t="s">
        <v>3016</v>
      </c>
      <c r="F70" s="263">
        <v>1</v>
      </c>
      <c r="G70" s="263"/>
      <c r="H70" s="263" t="str">
        <f t="shared" si="9"/>
        <v>Outro: Material de soldadura</v>
      </c>
      <c r="I70" s="425" t="str">
        <f t="shared" si="11"/>
        <v>Outro: Material de soldadura :: 2022</v>
      </c>
      <c r="J70" s="263" t="str">
        <f t="shared" si="10"/>
        <v>Outro: Material de soldadura</v>
      </c>
      <c r="L70" s="263" t="s">
        <v>34</v>
      </c>
      <c r="M70" s="263" t="s">
        <v>558</v>
      </c>
      <c r="N70" s="263" t="s">
        <v>555</v>
      </c>
      <c r="O70" s="291">
        <v>10</v>
      </c>
      <c r="P70" s="290"/>
      <c r="Q70" s="257" t="s">
        <v>586</v>
      </c>
      <c r="R70" s="263" t="s">
        <v>3144</v>
      </c>
      <c r="S70" s="292"/>
      <c r="T70" s="292">
        <v>2022</v>
      </c>
      <c r="U70" s="250" t="s">
        <v>3499</v>
      </c>
      <c r="V70" s="250" t="s">
        <v>3506</v>
      </c>
      <c r="W70" t="str">
        <f t="shared" si="12"/>
        <v>Sim</v>
      </c>
    </row>
    <row r="71" spans="1:23" s="283" customFormat="1" ht="15.75" thickBot="1" x14ac:dyDescent="0.3">
      <c r="A71" s="276" t="s">
        <v>1910</v>
      </c>
      <c r="B71" s="283" t="s">
        <v>1910</v>
      </c>
      <c r="C71" s="276" t="str">
        <f t="shared" si="8"/>
        <v>X</v>
      </c>
      <c r="D71" s="276" t="s">
        <v>3129</v>
      </c>
      <c r="E71" s="263" t="s">
        <v>3018</v>
      </c>
      <c r="F71" s="263">
        <v>1</v>
      </c>
      <c r="G71" s="263"/>
      <c r="H71" s="263" t="str">
        <f t="shared" si="9"/>
        <v>Outro: Acessórios de carrocaria</v>
      </c>
      <c r="I71" s="425" t="str">
        <f t="shared" si="11"/>
        <v>Outro: Acessórios de carrocaria :: 2022</v>
      </c>
      <c r="J71" s="263" t="str">
        <f t="shared" si="10"/>
        <v>Outro: Acessórios de carrocaria</v>
      </c>
      <c r="L71" s="263" t="s">
        <v>34</v>
      </c>
      <c r="M71" s="263" t="s">
        <v>558</v>
      </c>
      <c r="N71" s="263" t="s">
        <v>555</v>
      </c>
      <c r="O71" s="291">
        <v>2</v>
      </c>
      <c r="P71" s="290"/>
      <c r="Q71" s="257" t="s">
        <v>586</v>
      </c>
      <c r="R71" s="263" t="s">
        <v>3145</v>
      </c>
      <c r="S71" s="292"/>
      <c r="T71" s="292">
        <v>2022</v>
      </c>
      <c r="U71" s="250" t="s">
        <v>3499</v>
      </c>
      <c r="V71" s="250" t="s">
        <v>3506</v>
      </c>
      <c r="W71" t="str">
        <f t="shared" si="12"/>
        <v>Sim</v>
      </c>
    </row>
    <row r="72" spans="1:23" s="283" customFormat="1" ht="15.75" thickBot="1" x14ac:dyDescent="0.3">
      <c r="A72" s="276" t="s">
        <v>1910</v>
      </c>
      <c r="B72" s="283" t="s">
        <v>1910</v>
      </c>
      <c r="C72" s="276" t="str">
        <f t="shared" si="8"/>
        <v>X</v>
      </c>
      <c r="D72" s="276" t="s">
        <v>3129</v>
      </c>
      <c r="E72" s="263" t="s">
        <v>3135</v>
      </c>
      <c r="F72" s="263">
        <v>1</v>
      </c>
      <c r="G72" s="263"/>
      <c r="H72" s="263" t="str">
        <f t="shared" si="9"/>
        <v>Outro: Ferram.e utens.de desg. Rapido</v>
      </c>
      <c r="I72" s="425" t="str">
        <f t="shared" si="11"/>
        <v>Outro: Ferram.e utens.de desg. Rapido :: 2022</v>
      </c>
      <c r="J72" s="263" t="str">
        <f t="shared" si="10"/>
        <v>Outro: Ferram.e utens.de desg. Rapido</v>
      </c>
      <c r="L72" s="263" t="s">
        <v>34</v>
      </c>
      <c r="M72" s="263" t="s">
        <v>558</v>
      </c>
      <c r="N72" s="263" t="s">
        <v>555</v>
      </c>
      <c r="O72" s="291">
        <v>412</v>
      </c>
      <c r="P72" s="290"/>
      <c r="Q72" s="257" t="s">
        <v>586</v>
      </c>
      <c r="R72" s="263" t="s">
        <v>3146</v>
      </c>
      <c r="S72" s="292"/>
      <c r="T72" s="292">
        <v>2022</v>
      </c>
      <c r="U72" s="250" t="s">
        <v>3499</v>
      </c>
      <c r="V72" s="250" t="s">
        <v>3506</v>
      </c>
      <c r="W72" t="str">
        <f t="shared" si="12"/>
        <v>Sim</v>
      </c>
    </row>
    <row r="73" spans="1:23" s="283" customFormat="1" ht="15.75" thickBot="1" x14ac:dyDescent="0.3">
      <c r="A73" s="276" t="s">
        <v>1910</v>
      </c>
      <c r="B73" s="283" t="s">
        <v>1910</v>
      </c>
      <c r="C73" s="276" t="str">
        <f t="shared" si="8"/>
        <v>X</v>
      </c>
      <c r="D73" s="276" t="s">
        <v>3129</v>
      </c>
      <c r="E73" s="263" t="s">
        <v>1653</v>
      </c>
      <c r="F73" s="263">
        <v>1</v>
      </c>
      <c r="G73" s="263"/>
      <c r="H73" s="263" t="str">
        <f t="shared" si="9"/>
        <v>Outro: Baterias</v>
      </c>
      <c r="I73" s="425" t="str">
        <f t="shared" si="11"/>
        <v>Outro: Baterias :: 2022</v>
      </c>
      <c r="J73" s="263" t="str">
        <f t="shared" si="10"/>
        <v>Outro: Baterias</v>
      </c>
      <c r="L73" s="263" t="s">
        <v>34</v>
      </c>
      <c r="M73" s="263" t="s">
        <v>558</v>
      </c>
      <c r="N73" s="263" t="s">
        <v>555</v>
      </c>
      <c r="O73" s="291">
        <v>3</v>
      </c>
      <c r="P73" s="290"/>
      <c r="Q73" s="257" t="s">
        <v>586</v>
      </c>
      <c r="R73" s="263" t="s">
        <v>3147</v>
      </c>
      <c r="S73" s="292"/>
      <c r="T73" s="292">
        <v>2022</v>
      </c>
      <c r="U73" s="250" t="s">
        <v>3499</v>
      </c>
      <c r="V73" s="250" t="s">
        <v>3506</v>
      </c>
      <c r="W73" t="str">
        <f t="shared" si="12"/>
        <v>Sim</v>
      </c>
    </row>
    <row r="74" spans="1:23" s="283" customFormat="1" ht="15.75" thickBot="1" x14ac:dyDescent="0.3">
      <c r="A74" s="276" t="s">
        <v>1910</v>
      </c>
      <c r="B74" s="283" t="s">
        <v>1910</v>
      </c>
      <c r="C74" s="276" t="str">
        <f t="shared" si="8"/>
        <v>X</v>
      </c>
      <c r="D74" s="276" t="s">
        <v>3129</v>
      </c>
      <c r="E74" s="263" t="s">
        <v>3136</v>
      </c>
      <c r="F74" s="263">
        <v>1</v>
      </c>
      <c r="G74" s="263"/>
      <c r="H74" s="263" t="str">
        <f t="shared" si="9"/>
        <v>Outro: Material de expediente</v>
      </c>
      <c r="I74" s="425" t="str">
        <f t="shared" si="11"/>
        <v>Outro: Material de expediente :: 2022</v>
      </c>
      <c r="J74" s="263" t="str">
        <f t="shared" si="10"/>
        <v>Outro: Material de expediente</v>
      </c>
      <c r="L74" s="263" t="s">
        <v>34</v>
      </c>
      <c r="M74" s="263" t="s">
        <v>558</v>
      </c>
      <c r="N74" s="263" t="s">
        <v>555</v>
      </c>
      <c r="O74" s="291">
        <v>490</v>
      </c>
      <c r="P74" s="290"/>
      <c r="Q74" s="257" t="s">
        <v>586</v>
      </c>
      <c r="R74" s="263" t="s">
        <v>3148</v>
      </c>
      <c r="S74" s="292"/>
      <c r="T74" s="292">
        <v>2022</v>
      </c>
      <c r="U74" s="250" t="s">
        <v>3499</v>
      </c>
      <c r="V74" s="250" t="s">
        <v>3506</v>
      </c>
      <c r="W74" t="str">
        <f t="shared" si="12"/>
        <v>Sim</v>
      </c>
    </row>
    <row r="75" spans="1:23" s="283" customFormat="1" ht="15.75" thickBot="1" x14ac:dyDescent="0.3">
      <c r="A75" s="276" t="s">
        <v>1910</v>
      </c>
      <c r="B75" s="283" t="s">
        <v>1910</v>
      </c>
      <c r="C75" s="276" t="str">
        <f t="shared" si="8"/>
        <v>X</v>
      </c>
      <c r="D75" s="276" t="s">
        <v>3129</v>
      </c>
      <c r="E75" s="263" t="s">
        <v>3137</v>
      </c>
      <c r="F75" s="263">
        <v>1</v>
      </c>
      <c r="G75" s="263"/>
      <c r="H75" s="263" t="str">
        <f t="shared" si="9"/>
        <v>Outro: Bilhetes e senhas de despacho</v>
      </c>
      <c r="I75" s="425" t="str">
        <f t="shared" si="11"/>
        <v>Outro: Bilhetes e senhas de despacho :: 2022</v>
      </c>
      <c r="J75" s="263" t="str">
        <f t="shared" si="10"/>
        <v>Outro: Bilhetes e senhas de despacho</v>
      </c>
      <c r="L75" s="263" t="s">
        <v>34</v>
      </c>
      <c r="M75" s="263" t="s">
        <v>558</v>
      </c>
      <c r="N75" s="263" t="s">
        <v>555</v>
      </c>
      <c r="O75" s="291">
        <v>3460</v>
      </c>
      <c r="P75" s="290"/>
      <c r="Q75" s="257" t="s">
        <v>586</v>
      </c>
      <c r="R75" s="263" t="s">
        <v>3149</v>
      </c>
      <c r="S75" s="292"/>
      <c r="T75" s="292">
        <v>2022</v>
      </c>
      <c r="U75" s="250" t="s">
        <v>3499</v>
      </c>
      <c r="V75" s="250" t="s">
        <v>3506</v>
      </c>
      <c r="W75" t="str">
        <f t="shared" si="12"/>
        <v>Sim</v>
      </c>
    </row>
    <row r="76" spans="1:23" s="283" customFormat="1" ht="15.75" thickBot="1" x14ac:dyDescent="0.3">
      <c r="A76" s="137" t="s">
        <v>1910</v>
      </c>
      <c r="B76" s="239" t="s">
        <v>1910</v>
      </c>
      <c r="C76" s="137" t="str">
        <f t="shared" si="8"/>
        <v>X</v>
      </c>
      <c r="D76" s="137" t="s">
        <v>3129</v>
      </c>
      <c r="E76" s="141" t="s">
        <v>3138</v>
      </c>
      <c r="F76" s="141">
        <v>1</v>
      </c>
      <c r="G76" s="141"/>
      <c r="H76" s="141" t="str">
        <f t="shared" si="9"/>
        <v>Outro: Fardamentos e equipamento individual</v>
      </c>
      <c r="I76" s="425" t="str">
        <f t="shared" si="11"/>
        <v>Outro: Fardamentos e equipamento individual :: 2022</v>
      </c>
      <c r="J76" s="141" t="str">
        <f t="shared" si="10"/>
        <v>Outro: Fardamentos e equipamento individual</v>
      </c>
      <c r="K76" s="239"/>
      <c r="L76" s="141" t="s">
        <v>34</v>
      </c>
      <c r="M76" s="141" t="s">
        <v>558</v>
      </c>
      <c r="N76" s="141" t="s">
        <v>555</v>
      </c>
      <c r="O76" s="338">
        <v>5227</v>
      </c>
      <c r="P76" s="339"/>
      <c r="Q76" s="340" t="s">
        <v>586</v>
      </c>
      <c r="R76" s="141" t="s">
        <v>3150</v>
      </c>
      <c r="S76" s="480"/>
      <c r="T76" s="292">
        <v>2022</v>
      </c>
      <c r="U76" s="250" t="s">
        <v>3499</v>
      </c>
      <c r="V76" s="250" t="s">
        <v>3506</v>
      </c>
      <c r="W76" t="str">
        <f t="shared" si="12"/>
        <v>Sim</v>
      </c>
    </row>
    <row r="77" spans="1:23" s="283" customFormat="1" ht="15.75" thickBot="1" x14ac:dyDescent="0.3">
      <c r="A77" s="276" t="s">
        <v>1910</v>
      </c>
      <c r="B77" s="283" t="s">
        <v>1910</v>
      </c>
      <c r="C77" s="276" t="str">
        <f t="shared" si="8"/>
        <v>X</v>
      </c>
      <c r="D77" s="276" t="s">
        <v>3129</v>
      </c>
      <c r="E77" s="263" t="s">
        <v>3028</v>
      </c>
      <c r="F77" s="263">
        <v>1</v>
      </c>
      <c r="G77" s="263"/>
      <c r="H77" s="263" t="str">
        <f t="shared" si="9"/>
        <v>Outro: Artigos de higiene e conforto</v>
      </c>
      <c r="I77" s="425" t="str">
        <f t="shared" si="11"/>
        <v>Outro: Artigos de higiene e conforto :: 2022</v>
      </c>
      <c r="J77" s="263" t="str">
        <f t="shared" si="10"/>
        <v>Outro: Artigos de higiene e conforto</v>
      </c>
      <c r="L77" s="263" t="s">
        <v>34</v>
      </c>
      <c r="M77" s="263" t="s">
        <v>558</v>
      </c>
      <c r="N77" s="263" t="s">
        <v>555</v>
      </c>
      <c r="O77" s="291">
        <v>867</v>
      </c>
      <c r="P77" s="290"/>
      <c r="Q77" s="257" t="s">
        <v>586</v>
      </c>
      <c r="R77" s="263" t="s">
        <v>3151</v>
      </c>
      <c r="S77" s="292"/>
      <c r="T77" s="292">
        <v>2022</v>
      </c>
      <c r="U77" s="250" t="s">
        <v>3499</v>
      </c>
      <c r="V77" s="250" t="s">
        <v>3506</v>
      </c>
      <c r="W77" t="str">
        <f t="shared" si="12"/>
        <v>Sim</v>
      </c>
    </row>
    <row r="78" spans="1:23" s="283" customFormat="1" ht="15.75" thickBot="1" x14ac:dyDescent="0.3">
      <c r="A78" s="276" t="s">
        <v>1910</v>
      </c>
      <c r="B78" s="283" t="s">
        <v>1910</v>
      </c>
      <c r="C78" s="276" t="str">
        <f t="shared" si="8"/>
        <v>X</v>
      </c>
      <c r="D78" s="276" t="s">
        <v>3129</v>
      </c>
      <c r="E78" s="263" t="s">
        <v>1659</v>
      </c>
      <c r="F78" s="263">
        <v>1</v>
      </c>
      <c r="G78" s="263"/>
      <c r="H78" s="263" t="str">
        <f t="shared" si="9"/>
        <v>Outro: Outros</v>
      </c>
      <c r="I78" s="425" t="str">
        <f t="shared" si="11"/>
        <v>Outro: Outros :: 2022</v>
      </c>
      <c r="J78" s="263" t="str">
        <f t="shared" si="10"/>
        <v>Outro: Outros</v>
      </c>
      <c r="L78" s="263" t="s">
        <v>34</v>
      </c>
      <c r="M78" s="263" t="s">
        <v>558</v>
      </c>
      <c r="N78" s="263" t="s">
        <v>555</v>
      </c>
      <c r="O78" s="291">
        <v>9</v>
      </c>
      <c r="P78" s="290"/>
      <c r="Q78" s="257" t="s">
        <v>586</v>
      </c>
      <c r="R78" s="263" t="s">
        <v>3152</v>
      </c>
      <c r="S78" s="292"/>
      <c r="T78" s="292">
        <v>2022</v>
      </c>
      <c r="U78" s="250" t="s">
        <v>3499</v>
      </c>
      <c r="V78" s="250" t="s">
        <v>3506</v>
      </c>
      <c r="W78" t="str">
        <f t="shared" si="12"/>
        <v>Sim</v>
      </c>
    </row>
    <row r="79" spans="1:23" ht="15.75" thickBot="1" x14ac:dyDescent="0.3">
      <c r="A79" s="422" t="s">
        <v>1910</v>
      </c>
      <c r="B79" t="s">
        <v>1910</v>
      </c>
      <c r="C79" s="424" t="str">
        <f t="shared" si="8"/>
        <v>X</v>
      </c>
      <c r="D79" t="s">
        <v>1528</v>
      </c>
      <c r="E79" t="s">
        <v>620</v>
      </c>
      <c r="F79" s="229">
        <v>1</v>
      </c>
      <c r="H79" s="425" t="str">
        <f t="shared" si="9"/>
        <v>Combustíveis: Gasóleo</v>
      </c>
      <c r="I79" s="425" t="str">
        <f t="shared" si="11"/>
        <v>Combustíveis: Gasóleo :: 2023</v>
      </c>
      <c r="J79" s="425" t="str">
        <f t="shared" si="10"/>
        <v>Combustíveis: Gasóleo</v>
      </c>
      <c r="K79" t="s">
        <v>5989</v>
      </c>
      <c r="L79" s="425" t="s">
        <v>42</v>
      </c>
      <c r="M79" t="s">
        <v>558</v>
      </c>
      <c r="N79" t="s">
        <v>555</v>
      </c>
      <c r="O79" s="174">
        <v>170.03</v>
      </c>
      <c r="P79" s="175" t="s">
        <v>1861</v>
      </c>
      <c r="Q79" s="177" t="s">
        <v>630</v>
      </c>
      <c r="T79" s="475">
        <v>2023</v>
      </c>
      <c r="U79" s="476" t="s">
        <v>3499</v>
      </c>
      <c r="V79" s="476" t="s">
        <v>3506</v>
      </c>
      <c r="W79" s="422" t="str">
        <f t="shared" ref="W79:W107" si="13">IF(L79="Sim","Sim","Não")</f>
        <v>Não</v>
      </c>
    </row>
    <row r="80" spans="1:23" ht="15.75" thickBot="1" x14ac:dyDescent="0.3">
      <c r="A80" s="422" t="s">
        <v>4593</v>
      </c>
      <c r="B80" t="s">
        <v>4593</v>
      </c>
      <c r="C80" s="424" t="str">
        <f t="shared" si="8"/>
        <v>X</v>
      </c>
      <c r="D80" t="s">
        <v>1528</v>
      </c>
      <c r="E80" t="s">
        <v>620</v>
      </c>
      <c r="F80" s="229">
        <v>1</v>
      </c>
      <c r="H80" s="425" t="str">
        <f t="shared" si="9"/>
        <v>Combustíveis: Gasóleo</v>
      </c>
      <c r="I80" s="425" t="str">
        <f t="shared" si="11"/>
        <v>Combustíveis: Gasóleo :: 2023</v>
      </c>
      <c r="J80" s="425" t="str">
        <f t="shared" si="10"/>
        <v>Combustíveis: Gasóleo</v>
      </c>
      <c r="K80" t="s">
        <v>5990</v>
      </c>
      <c r="L80" s="425" t="s">
        <v>42</v>
      </c>
      <c r="M80" t="s">
        <v>558</v>
      </c>
      <c r="N80" t="s">
        <v>555</v>
      </c>
      <c r="O80" s="174">
        <v>78.92</v>
      </c>
      <c r="P80" s="175" t="s">
        <v>1861</v>
      </c>
      <c r="Q80" s="177" t="s">
        <v>630</v>
      </c>
      <c r="T80" s="475">
        <v>2023</v>
      </c>
      <c r="U80" s="476" t="s">
        <v>3499</v>
      </c>
      <c r="V80" s="476" t="s">
        <v>3506</v>
      </c>
      <c r="W80" s="422" t="str">
        <f t="shared" si="13"/>
        <v>Não</v>
      </c>
    </row>
    <row r="81" spans="1:23" ht="15.75" thickBot="1" x14ac:dyDescent="0.3">
      <c r="A81" s="422" t="s">
        <v>4595</v>
      </c>
      <c r="B81" s="422" t="s">
        <v>4595</v>
      </c>
      <c r="C81" s="424" t="str">
        <f t="shared" si="8"/>
        <v>X</v>
      </c>
      <c r="D81" t="s">
        <v>1528</v>
      </c>
      <c r="E81" t="s">
        <v>620</v>
      </c>
      <c r="F81" s="229">
        <v>1</v>
      </c>
      <c r="H81" s="425" t="str">
        <f t="shared" si="9"/>
        <v>Combustíveis: Gasóleo</v>
      </c>
      <c r="I81" s="425" t="str">
        <f t="shared" si="11"/>
        <v>Combustíveis: Gasóleo :: 2023</v>
      </c>
      <c r="J81" s="425" t="str">
        <f t="shared" si="10"/>
        <v>Combustíveis: Gasóleo</v>
      </c>
      <c r="K81" t="s">
        <v>5991</v>
      </c>
      <c r="L81" s="425" t="s">
        <v>34</v>
      </c>
      <c r="M81" t="s">
        <v>558</v>
      </c>
      <c r="N81" t="s">
        <v>555</v>
      </c>
      <c r="O81" s="174">
        <v>875.96</v>
      </c>
      <c r="P81" s="175" t="s">
        <v>1861</v>
      </c>
      <c r="Q81" s="177" t="s">
        <v>630</v>
      </c>
      <c r="T81" s="475">
        <v>2023</v>
      </c>
      <c r="U81" s="476" t="s">
        <v>3499</v>
      </c>
      <c r="V81" s="476" t="s">
        <v>3506</v>
      </c>
      <c r="W81" s="422" t="str">
        <f t="shared" si="13"/>
        <v>Sim</v>
      </c>
    </row>
    <row r="82" spans="1:23" ht="15.75" thickBot="1" x14ac:dyDescent="0.3">
      <c r="A82" s="422" t="s">
        <v>4593</v>
      </c>
      <c r="B82" t="s">
        <v>4593</v>
      </c>
      <c r="C82" s="424" t="str">
        <f t="shared" si="8"/>
        <v>X</v>
      </c>
      <c r="D82" t="s">
        <v>1528</v>
      </c>
      <c r="E82" t="s">
        <v>620</v>
      </c>
      <c r="F82" s="229">
        <v>1</v>
      </c>
      <c r="H82" s="425" t="str">
        <f t="shared" si="9"/>
        <v>Combustíveis: Gasóleo</v>
      </c>
      <c r="I82" s="425" t="str">
        <f t="shared" si="11"/>
        <v>Combustíveis: Gasóleo :: 2023</v>
      </c>
      <c r="J82" s="425" t="str">
        <f t="shared" si="10"/>
        <v>Combustíveis: Gasóleo</v>
      </c>
      <c r="K82" t="s">
        <v>5992</v>
      </c>
      <c r="L82" s="425" t="s">
        <v>42</v>
      </c>
      <c r="M82" t="s">
        <v>558</v>
      </c>
      <c r="N82" t="s">
        <v>555</v>
      </c>
      <c r="O82" s="174">
        <v>10025.960000000001</v>
      </c>
      <c r="P82" s="175" t="s">
        <v>1861</v>
      </c>
      <c r="Q82" s="177" t="s">
        <v>630</v>
      </c>
      <c r="T82" s="475">
        <v>2023</v>
      </c>
      <c r="U82" s="476" t="s">
        <v>3499</v>
      </c>
      <c r="V82" s="476" t="s">
        <v>3506</v>
      </c>
      <c r="W82" s="422" t="str">
        <f t="shared" si="13"/>
        <v>Não</v>
      </c>
    </row>
    <row r="83" spans="1:23" ht="15.75" thickBot="1" x14ac:dyDescent="0.3">
      <c r="A83" s="422" t="s">
        <v>4595</v>
      </c>
      <c r="B83" s="422" t="s">
        <v>4595</v>
      </c>
      <c r="C83" s="424" t="str">
        <f t="shared" si="8"/>
        <v>X</v>
      </c>
      <c r="D83" t="s">
        <v>1528</v>
      </c>
      <c r="E83" t="s">
        <v>620</v>
      </c>
      <c r="F83" s="229">
        <v>1</v>
      </c>
      <c r="H83" s="425" t="str">
        <f t="shared" si="9"/>
        <v>Combustíveis: Gasóleo</v>
      </c>
      <c r="I83" s="425" t="str">
        <f t="shared" si="11"/>
        <v>Combustíveis: Gasóleo :: 2023</v>
      </c>
      <c r="J83" s="425" t="str">
        <f t="shared" si="10"/>
        <v>Combustíveis: Gasóleo</v>
      </c>
      <c r="K83" t="s">
        <v>5993</v>
      </c>
      <c r="L83" s="425" t="s">
        <v>34</v>
      </c>
      <c r="M83" t="s">
        <v>558</v>
      </c>
      <c r="N83" t="s">
        <v>555</v>
      </c>
      <c r="O83" s="174">
        <v>263</v>
      </c>
      <c r="P83" s="175" t="s">
        <v>1861</v>
      </c>
      <c r="Q83" s="177" t="s">
        <v>630</v>
      </c>
      <c r="T83" s="475">
        <v>2023</v>
      </c>
      <c r="U83" s="476" t="s">
        <v>3499</v>
      </c>
      <c r="V83" s="476" t="s">
        <v>3506</v>
      </c>
      <c r="W83" s="422" t="str">
        <f t="shared" si="13"/>
        <v>Sim</v>
      </c>
    </row>
    <row r="84" spans="1:23" ht="15.75" thickBot="1" x14ac:dyDescent="0.3">
      <c r="A84" s="422" t="s">
        <v>4593</v>
      </c>
      <c r="B84" t="s">
        <v>4593</v>
      </c>
      <c r="C84" s="424" t="str">
        <f t="shared" si="8"/>
        <v>X</v>
      </c>
      <c r="D84" t="s">
        <v>1528</v>
      </c>
      <c r="E84" t="s">
        <v>620</v>
      </c>
      <c r="F84" s="229">
        <v>1</v>
      </c>
      <c r="H84" s="425" t="str">
        <f t="shared" si="9"/>
        <v>Combustíveis: Gasóleo</v>
      </c>
      <c r="I84" s="425" t="str">
        <f t="shared" si="11"/>
        <v>Combustíveis: Gasóleo :: 2023</v>
      </c>
      <c r="J84" s="425" t="str">
        <f t="shared" si="10"/>
        <v>Combustíveis: Gasóleo</v>
      </c>
      <c r="K84" t="s">
        <v>5994</v>
      </c>
      <c r="L84" s="425" t="s">
        <v>34</v>
      </c>
      <c r="M84" t="s">
        <v>558</v>
      </c>
      <c r="N84" t="s">
        <v>555</v>
      </c>
      <c r="O84" s="174">
        <v>4176.3200000000006</v>
      </c>
      <c r="P84" s="175" t="s">
        <v>1861</v>
      </c>
      <c r="Q84" s="177" t="s">
        <v>630</v>
      </c>
      <c r="T84" s="475">
        <v>2023</v>
      </c>
      <c r="U84" s="476" t="s">
        <v>3499</v>
      </c>
      <c r="V84" s="476" t="s">
        <v>3506</v>
      </c>
      <c r="W84" s="422" t="str">
        <f t="shared" si="13"/>
        <v>Sim</v>
      </c>
    </row>
    <row r="85" spans="1:23" ht="15.75" thickBot="1" x14ac:dyDescent="0.3">
      <c r="A85" s="422" t="s">
        <v>4595</v>
      </c>
      <c r="B85" t="s">
        <v>4595</v>
      </c>
      <c r="C85" s="424" t="str">
        <f t="shared" si="8"/>
        <v>X</v>
      </c>
      <c r="D85" t="s">
        <v>1528</v>
      </c>
      <c r="E85" t="s">
        <v>620</v>
      </c>
      <c r="F85" s="229">
        <v>1</v>
      </c>
      <c r="H85" s="425" t="str">
        <f t="shared" si="9"/>
        <v>Combustíveis: Gasóleo</v>
      </c>
      <c r="I85" s="425" t="str">
        <f t="shared" si="11"/>
        <v>Combustíveis: Gasóleo :: 2023</v>
      </c>
      <c r="J85" s="425" t="str">
        <f t="shared" si="10"/>
        <v>Combustíveis: Gasóleo</v>
      </c>
      <c r="K85" t="s">
        <v>5995</v>
      </c>
      <c r="L85" s="425" t="s">
        <v>34</v>
      </c>
      <c r="M85" t="s">
        <v>558</v>
      </c>
      <c r="N85" t="s">
        <v>555</v>
      </c>
      <c r="O85" s="174">
        <v>300.14999999999998</v>
      </c>
      <c r="P85" s="175" t="s">
        <v>1861</v>
      </c>
      <c r="Q85" s="177" t="s">
        <v>630</v>
      </c>
      <c r="T85" s="475">
        <v>2023</v>
      </c>
      <c r="U85" s="476" t="s">
        <v>3499</v>
      </c>
      <c r="V85" s="476" t="s">
        <v>3506</v>
      </c>
      <c r="W85" s="422" t="str">
        <f t="shared" si="13"/>
        <v>Sim</v>
      </c>
    </row>
    <row r="86" spans="1:23" ht="15.75" thickBot="1" x14ac:dyDescent="0.3">
      <c r="A86" s="422" t="s">
        <v>4670</v>
      </c>
      <c r="B86" t="s">
        <v>4670</v>
      </c>
      <c r="C86" s="424" t="str">
        <f t="shared" si="8"/>
        <v>X</v>
      </c>
      <c r="D86" t="s">
        <v>1528</v>
      </c>
      <c r="E86" t="s">
        <v>620</v>
      </c>
      <c r="F86" s="229">
        <v>1</v>
      </c>
      <c r="H86" s="425" t="str">
        <f t="shared" si="9"/>
        <v>Combustíveis: Gasóleo</v>
      </c>
      <c r="I86" s="425" t="str">
        <f t="shared" si="11"/>
        <v>Combustíveis: Gasóleo :: 2023</v>
      </c>
      <c r="J86" s="425" t="str">
        <f t="shared" si="10"/>
        <v>Combustíveis: Gasóleo</v>
      </c>
      <c r="K86" t="s">
        <v>5996</v>
      </c>
      <c r="L86" s="425" t="s">
        <v>42</v>
      </c>
      <c r="M86" t="s">
        <v>558</v>
      </c>
      <c r="N86" t="s">
        <v>555</v>
      </c>
      <c r="O86" s="174">
        <v>1208.7599999999998</v>
      </c>
      <c r="P86" s="175" t="s">
        <v>1861</v>
      </c>
      <c r="Q86" s="177" t="s">
        <v>630</v>
      </c>
      <c r="T86" s="475">
        <v>2023</v>
      </c>
      <c r="U86" s="476" t="s">
        <v>3499</v>
      </c>
      <c r="V86" s="476" t="s">
        <v>3506</v>
      </c>
      <c r="W86" s="422" t="str">
        <f t="shared" si="13"/>
        <v>Não</v>
      </c>
    </row>
    <row r="87" spans="1:23" ht="15.75" thickBot="1" x14ac:dyDescent="0.3">
      <c r="A87" s="422" t="s">
        <v>4592</v>
      </c>
      <c r="B87" t="s">
        <v>4592</v>
      </c>
      <c r="C87" s="424" t="str">
        <f t="shared" si="8"/>
        <v>X</v>
      </c>
      <c r="D87" t="s">
        <v>1528</v>
      </c>
      <c r="E87" t="s">
        <v>620</v>
      </c>
      <c r="F87" s="229">
        <v>1</v>
      </c>
      <c r="H87" s="425" t="str">
        <f t="shared" si="9"/>
        <v>Combustíveis: Gasóleo</v>
      </c>
      <c r="I87" s="425" t="str">
        <f t="shared" si="11"/>
        <v>Combustíveis: Gasóleo :: 2023</v>
      </c>
      <c r="J87" s="425" t="str">
        <f t="shared" si="10"/>
        <v>Combustíveis: Gasóleo</v>
      </c>
      <c r="K87" t="s">
        <v>5996</v>
      </c>
      <c r="L87" s="425" t="s">
        <v>42</v>
      </c>
      <c r="M87" t="s">
        <v>558</v>
      </c>
      <c r="N87" t="s">
        <v>555</v>
      </c>
      <c r="O87" s="174">
        <v>47.36</v>
      </c>
      <c r="P87" s="175" t="s">
        <v>1861</v>
      </c>
      <c r="Q87" s="177" t="s">
        <v>630</v>
      </c>
      <c r="T87" s="475">
        <v>2023</v>
      </c>
      <c r="U87" s="476" t="s">
        <v>3499</v>
      </c>
      <c r="V87" s="476" t="s">
        <v>3506</v>
      </c>
      <c r="W87" s="422" t="str">
        <f t="shared" si="13"/>
        <v>Não</v>
      </c>
    </row>
    <row r="88" spans="1:23" ht="15.75" thickBot="1" x14ac:dyDescent="0.3">
      <c r="A88" s="422" t="s">
        <v>4592</v>
      </c>
      <c r="B88" t="s">
        <v>4592</v>
      </c>
      <c r="C88" s="424" t="str">
        <f t="shared" si="8"/>
        <v>X</v>
      </c>
      <c r="D88" t="s">
        <v>1528</v>
      </c>
      <c r="E88" t="s">
        <v>620</v>
      </c>
      <c r="F88" s="229">
        <v>1</v>
      </c>
      <c r="H88" s="425" t="str">
        <f t="shared" si="9"/>
        <v>Combustíveis: Gasóleo</v>
      </c>
      <c r="I88" s="425" t="str">
        <f t="shared" si="11"/>
        <v>Combustíveis: Gasóleo :: 2023</v>
      </c>
      <c r="J88" s="425" t="str">
        <f t="shared" si="10"/>
        <v>Combustíveis: Gasóleo</v>
      </c>
      <c r="K88" t="s">
        <v>5997</v>
      </c>
      <c r="L88" s="425" t="s">
        <v>34</v>
      </c>
      <c r="M88" t="s">
        <v>558</v>
      </c>
      <c r="N88" t="s">
        <v>555</v>
      </c>
      <c r="O88" s="174">
        <v>570</v>
      </c>
      <c r="P88" s="175" t="s">
        <v>1861</v>
      </c>
      <c r="Q88" s="177" t="s">
        <v>630</v>
      </c>
      <c r="T88" s="475">
        <v>2023</v>
      </c>
      <c r="U88" s="476" t="s">
        <v>3499</v>
      </c>
      <c r="V88" s="476" t="s">
        <v>3506</v>
      </c>
      <c r="W88" s="422" t="str">
        <f t="shared" si="13"/>
        <v>Sim</v>
      </c>
    </row>
    <row r="89" spans="1:23" ht="15.75" thickBot="1" x14ac:dyDescent="0.3">
      <c r="A89" s="422" t="s">
        <v>4592</v>
      </c>
      <c r="B89" t="s">
        <v>4592</v>
      </c>
      <c r="C89" s="424" t="str">
        <f t="shared" si="8"/>
        <v>X</v>
      </c>
      <c r="D89" t="s">
        <v>1528</v>
      </c>
      <c r="E89" t="s">
        <v>620</v>
      </c>
      <c r="F89" s="229">
        <v>1</v>
      </c>
      <c r="H89" s="425" t="str">
        <f t="shared" si="9"/>
        <v>Combustíveis: Gasóleo</v>
      </c>
      <c r="I89" s="425" t="str">
        <f t="shared" si="11"/>
        <v>Combustíveis: Gasóleo :: 2023</v>
      </c>
      <c r="J89" s="425" t="str">
        <f t="shared" si="10"/>
        <v>Combustíveis: Gasóleo</v>
      </c>
      <c r="K89" t="s">
        <v>5998</v>
      </c>
      <c r="L89" s="425" t="s">
        <v>42</v>
      </c>
      <c r="M89" t="s">
        <v>558</v>
      </c>
      <c r="N89" t="s">
        <v>555</v>
      </c>
      <c r="O89" s="174">
        <v>10584.350000000004</v>
      </c>
      <c r="P89" s="175" t="s">
        <v>1861</v>
      </c>
      <c r="Q89" s="177" t="s">
        <v>630</v>
      </c>
      <c r="T89" s="475">
        <v>2023</v>
      </c>
      <c r="U89" s="476" t="s">
        <v>3499</v>
      </c>
      <c r="V89" s="476" t="s">
        <v>3506</v>
      </c>
      <c r="W89" s="422" t="str">
        <f t="shared" si="13"/>
        <v>Não</v>
      </c>
    </row>
    <row r="90" spans="1:23" ht="15.75" thickBot="1" x14ac:dyDescent="0.3">
      <c r="A90" s="422" t="s">
        <v>2868</v>
      </c>
      <c r="B90" t="s">
        <v>2868</v>
      </c>
      <c r="C90" s="424" t="str">
        <f t="shared" si="8"/>
        <v>X</v>
      </c>
      <c r="D90" t="s">
        <v>1528</v>
      </c>
      <c r="E90" t="s">
        <v>620</v>
      </c>
      <c r="F90" s="229">
        <v>1</v>
      </c>
      <c r="H90" s="425" t="str">
        <f t="shared" si="9"/>
        <v>Combustíveis: Gasóleo</v>
      </c>
      <c r="I90" s="425" t="str">
        <f t="shared" si="11"/>
        <v>Combustíveis: Gasóleo :: 2023</v>
      </c>
      <c r="J90" s="425" t="str">
        <f t="shared" si="10"/>
        <v>Combustíveis: Gasóleo</v>
      </c>
      <c r="K90" t="s">
        <v>5990</v>
      </c>
      <c r="L90" s="425" t="s">
        <v>42</v>
      </c>
      <c r="M90" t="s">
        <v>558</v>
      </c>
      <c r="N90" t="s">
        <v>555</v>
      </c>
      <c r="O90" s="174">
        <v>597.31000000000006</v>
      </c>
      <c r="P90" s="175" t="s">
        <v>1861</v>
      </c>
      <c r="Q90" s="177" t="s">
        <v>630</v>
      </c>
      <c r="T90" s="475">
        <v>2023</v>
      </c>
      <c r="U90" s="476" t="s">
        <v>3499</v>
      </c>
      <c r="V90" s="476" t="s">
        <v>3506</v>
      </c>
      <c r="W90" s="422" t="str">
        <f t="shared" si="13"/>
        <v>Não</v>
      </c>
    </row>
    <row r="91" spans="1:23" ht="15.75" thickBot="1" x14ac:dyDescent="0.3">
      <c r="A91" s="422" t="s">
        <v>2868</v>
      </c>
      <c r="B91" t="s">
        <v>2868</v>
      </c>
      <c r="C91" s="424" t="str">
        <f t="shared" si="8"/>
        <v>X</v>
      </c>
      <c r="D91" t="s">
        <v>1528</v>
      </c>
      <c r="E91" t="s">
        <v>620</v>
      </c>
      <c r="F91" s="229">
        <v>1</v>
      </c>
      <c r="H91" s="425" t="str">
        <f t="shared" si="9"/>
        <v>Combustíveis: Gasóleo</v>
      </c>
      <c r="I91" s="425" t="str">
        <f t="shared" si="11"/>
        <v>Combustíveis: Gasóleo :: 2023</v>
      </c>
      <c r="J91" s="425" t="str">
        <f t="shared" si="10"/>
        <v>Combustíveis: Gasóleo</v>
      </c>
      <c r="K91" t="s">
        <v>5999</v>
      </c>
      <c r="L91" s="425" t="s">
        <v>34</v>
      </c>
      <c r="M91" t="s">
        <v>558</v>
      </c>
      <c r="N91" t="s">
        <v>555</v>
      </c>
      <c r="O91" s="174">
        <v>989.74999999999989</v>
      </c>
      <c r="P91" s="175" t="s">
        <v>1861</v>
      </c>
      <c r="Q91" s="177" t="s">
        <v>630</v>
      </c>
      <c r="T91" s="475">
        <v>2023</v>
      </c>
      <c r="U91" s="476" t="s">
        <v>3499</v>
      </c>
      <c r="V91" s="476" t="s">
        <v>3506</v>
      </c>
      <c r="W91" s="422" t="str">
        <f t="shared" si="13"/>
        <v>Sim</v>
      </c>
    </row>
    <row r="92" spans="1:23" ht="15.75" thickBot="1" x14ac:dyDescent="0.3">
      <c r="A92" s="422" t="s">
        <v>2868</v>
      </c>
      <c r="B92" t="s">
        <v>2868</v>
      </c>
      <c r="C92" s="424" t="str">
        <f t="shared" si="8"/>
        <v>X</v>
      </c>
      <c r="D92" t="s">
        <v>1528</v>
      </c>
      <c r="E92" t="s">
        <v>620</v>
      </c>
      <c r="F92" s="229">
        <v>1</v>
      </c>
      <c r="H92" s="425" t="str">
        <f t="shared" si="9"/>
        <v>Combustíveis: Gasóleo</v>
      </c>
      <c r="I92" s="425" t="str">
        <f t="shared" si="11"/>
        <v>Combustíveis: Gasóleo :: 2023</v>
      </c>
      <c r="J92" s="425" t="str">
        <f t="shared" si="10"/>
        <v>Combustíveis: Gasóleo</v>
      </c>
      <c r="K92" t="s">
        <v>6000</v>
      </c>
      <c r="L92" s="425" t="s">
        <v>42</v>
      </c>
      <c r="M92" t="s">
        <v>558</v>
      </c>
      <c r="N92" t="s">
        <v>555</v>
      </c>
      <c r="O92" s="174">
        <v>4607.7499999999991</v>
      </c>
      <c r="P92" s="175" t="s">
        <v>1861</v>
      </c>
      <c r="Q92" s="177" t="s">
        <v>630</v>
      </c>
      <c r="T92" s="475">
        <v>2023</v>
      </c>
      <c r="U92" s="476" t="s">
        <v>3499</v>
      </c>
      <c r="V92" s="476" t="s">
        <v>3506</v>
      </c>
      <c r="W92" s="422" t="str">
        <f t="shared" si="13"/>
        <v>Não</v>
      </c>
    </row>
    <row r="93" spans="1:23" ht="15.75" thickBot="1" x14ac:dyDescent="0.3">
      <c r="A93" s="422" t="s">
        <v>2868</v>
      </c>
      <c r="B93" t="s">
        <v>2868</v>
      </c>
      <c r="C93" s="424" t="str">
        <f t="shared" si="8"/>
        <v>X</v>
      </c>
      <c r="D93" t="s">
        <v>1528</v>
      </c>
      <c r="E93" t="s">
        <v>620</v>
      </c>
      <c r="F93" s="229">
        <v>1</v>
      </c>
      <c r="H93" s="425" t="str">
        <f t="shared" si="9"/>
        <v>Combustíveis: Gasóleo</v>
      </c>
      <c r="I93" s="425" t="str">
        <f t="shared" si="11"/>
        <v>Combustíveis: Gasóleo :: 2023</v>
      </c>
      <c r="J93" s="425" t="str">
        <f t="shared" si="10"/>
        <v>Combustíveis: Gasóleo</v>
      </c>
      <c r="K93" t="s">
        <v>6001</v>
      </c>
      <c r="L93" s="425" t="s">
        <v>34</v>
      </c>
      <c r="M93" t="s">
        <v>558</v>
      </c>
      <c r="N93" t="s">
        <v>555</v>
      </c>
      <c r="O93" s="174">
        <v>346.94</v>
      </c>
      <c r="P93" s="175" t="s">
        <v>1861</v>
      </c>
      <c r="Q93" s="177" t="s">
        <v>630</v>
      </c>
      <c r="T93" s="475">
        <v>2023</v>
      </c>
      <c r="U93" s="476" t="s">
        <v>3499</v>
      </c>
      <c r="V93" s="476" t="s">
        <v>3506</v>
      </c>
      <c r="W93" s="422" t="str">
        <f t="shared" si="13"/>
        <v>Sim</v>
      </c>
    </row>
    <row r="94" spans="1:23" ht="15.75" thickBot="1" x14ac:dyDescent="0.3">
      <c r="A94" s="422" t="s">
        <v>2868</v>
      </c>
      <c r="B94" t="s">
        <v>2868</v>
      </c>
      <c r="C94" s="424" t="str">
        <f t="shared" si="8"/>
        <v>X</v>
      </c>
      <c r="D94" t="s">
        <v>1528</v>
      </c>
      <c r="E94" t="s">
        <v>620</v>
      </c>
      <c r="F94" s="229">
        <v>1</v>
      </c>
      <c r="H94" s="425" t="str">
        <f t="shared" si="9"/>
        <v>Combustíveis: Gasóleo</v>
      </c>
      <c r="I94" s="425" t="str">
        <f t="shared" si="11"/>
        <v>Combustíveis: Gasóleo :: 2023</v>
      </c>
      <c r="J94" s="425" t="str">
        <f t="shared" si="10"/>
        <v>Combustíveis: Gasóleo</v>
      </c>
      <c r="K94" t="s">
        <v>6002</v>
      </c>
      <c r="L94" s="425" t="s">
        <v>34</v>
      </c>
      <c r="M94" t="s">
        <v>558</v>
      </c>
      <c r="N94" t="s">
        <v>555</v>
      </c>
      <c r="O94" s="174">
        <v>1840.9899999999998</v>
      </c>
      <c r="P94" s="175" t="s">
        <v>1861</v>
      </c>
      <c r="Q94" s="177" t="s">
        <v>630</v>
      </c>
      <c r="T94" s="475">
        <v>2023</v>
      </c>
      <c r="U94" s="476" t="s">
        <v>3499</v>
      </c>
      <c r="V94" s="476" t="s">
        <v>3506</v>
      </c>
      <c r="W94" s="422" t="str">
        <f t="shared" si="13"/>
        <v>Sim</v>
      </c>
    </row>
    <row r="95" spans="1:23" ht="15.75" thickBot="1" x14ac:dyDescent="0.3">
      <c r="A95" s="422" t="s">
        <v>2868</v>
      </c>
      <c r="B95" t="s">
        <v>2868</v>
      </c>
      <c r="C95" s="424" t="str">
        <f t="shared" si="8"/>
        <v>X</v>
      </c>
      <c r="D95" t="s">
        <v>1528</v>
      </c>
      <c r="E95" t="s">
        <v>620</v>
      </c>
      <c r="F95" s="229">
        <v>1</v>
      </c>
      <c r="H95" s="425" t="str">
        <f t="shared" si="9"/>
        <v>Combustíveis: Gasóleo</v>
      </c>
      <c r="I95" s="425" t="str">
        <f t="shared" si="11"/>
        <v>Combustíveis: Gasóleo :: 2023</v>
      </c>
      <c r="J95" s="425" t="str">
        <f t="shared" si="10"/>
        <v>Combustíveis: Gasóleo</v>
      </c>
      <c r="K95" t="s">
        <v>6003</v>
      </c>
      <c r="L95" s="425" t="s">
        <v>34</v>
      </c>
      <c r="M95" t="s">
        <v>558</v>
      </c>
      <c r="N95" t="s">
        <v>555</v>
      </c>
      <c r="O95" s="174">
        <v>1048.31</v>
      </c>
      <c r="P95" s="175" t="s">
        <v>1861</v>
      </c>
      <c r="Q95" s="177" t="s">
        <v>630</v>
      </c>
      <c r="T95" s="475">
        <v>2023</v>
      </c>
      <c r="U95" s="476" t="s">
        <v>3499</v>
      </c>
      <c r="V95" s="476" t="s">
        <v>3506</v>
      </c>
      <c r="W95" s="422" t="str">
        <f t="shared" si="13"/>
        <v>Sim</v>
      </c>
    </row>
    <row r="96" spans="1:23" ht="15.75" thickBot="1" x14ac:dyDescent="0.3">
      <c r="A96" s="422" t="s">
        <v>2868</v>
      </c>
      <c r="B96" t="s">
        <v>2868</v>
      </c>
      <c r="C96" s="424" t="str">
        <f t="shared" si="8"/>
        <v>X</v>
      </c>
      <c r="D96" t="s">
        <v>1528</v>
      </c>
      <c r="E96" t="s">
        <v>620</v>
      </c>
      <c r="F96" s="229">
        <v>1</v>
      </c>
      <c r="H96" s="425" t="str">
        <f t="shared" si="9"/>
        <v>Combustíveis: Gasóleo</v>
      </c>
      <c r="I96" s="425" t="str">
        <f t="shared" si="11"/>
        <v>Combustíveis: Gasóleo :: 2023</v>
      </c>
      <c r="J96" s="425" t="str">
        <f t="shared" si="10"/>
        <v>Combustíveis: Gasóleo</v>
      </c>
      <c r="K96" t="s">
        <v>6004</v>
      </c>
      <c r="L96" s="425" t="s">
        <v>42</v>
      </c>
      <c r="M96" t="s">
        <v>558</v>
      </c>
      <c r="N96" t="s">
        <v>555</v>
      </c>
      <c r="O96" s="174">
        <v>201.01</v>
      </c>
      <c r="P96" s="175" t="s">
        <v>1861</v>
      </c>
      <c r="Q96" s="177" t="s">
        <v>630</v>
      </c>
      <c r="T96" s="475">
        <v>2023</v>
      </c>
      <c r="U96" s="476" t="s">
        <v>3499</v>
      </c>
      <c r="V96" s="476" t="s">
        <v>3506</v>
      </c>
      <c r="W96" s="422" t="str">
        <f t="shared" si="13"/>
        <v>Não</v>
      </c>
    </row>
    <row r="97" spans="1:23" ht="15.75" thickBot="1" x14ac:dyDescent="0.3">
      <c r="A97" s="283" t="s">
        <v>2868</v>
      </c>
      <c r="B97" s="283" t="s">
        <v>2868</v>
      </c>
      <c r="C97" s="276" t="str">
        <f t="shared" si="8"/>
        <v>X</v>
      </c>
      <c r="D97" s="283" t="s">
        <v>1528</v>
      </c>
      <c r="E97" s="283" t="s">
        <v>620</v>
      </c>
      <c r="F97" s="263">
        <v>1</v>
      </c>
      <c r="G97" s="283"/>
      <c r="H97" s="263" t="str">
        <f t="shared" si="9"/>
        <v>Combustíveis: Gasóleo</v>
      </c>
      <c r="I97" s="425" t="str">
        <f t="shared" si="11"/>
        <v>Combustíveis: Gasóleo :: 2023</v>
      </c>
      <c r="J97" s="263" t="str">
        <f t="shared" si="10"/>
        <v>Combustíveis: Gasóleo</v>
      </c>
      <c r="K97" s="283" t="s">
        <v>6005</v>
      </c>
      <c r="L97" s="263" t="s">
        <v>34</v>
      </c>
      <c r="M97" s="283" t="s">
        <v>558</v>
      </c>
      <c r="N97" s="283" t="s">
        <v>555</v>
      </c>
      <c r="O97" s="481">
        <v>180</v>
      </c>
      <c r="P97" s="280" t="s">
        <v>1861</v>
      </c>
      <c r="Q97" s="290" t="s">
        <v>630</v>
      </c>
      <c r="R97" s="283"/>
      <c r="S97" s="283"/>
      <c r="T97" s="292">
        <v>2023</v>
      </c>
      <c r="U97" s="482" t="s">
        <v>3499</v>
      </c>
      <c r="V97" s="482" t="s">
        <v>3506</v>
      </c>
      <c r="W97" s="283" t="str">
        <f t="shared" si="13"/>
        <v>Sim</v>
      </c>
    </row>
    <row r="98" spans="1:23" ht="15.75" thickBot="1" x14ac:dyDescent="0.3">
      <c r="A98" s="283" t="s">
        <v>1910</v>
      </c>
      <c r="B98" s="283" t="s">
        <v>1910</v>
      </c>
      <c r="C98" s="276" t="str">
        <f t="shared" si="8"/>
        <v>X</v>
      </c>
      <c r="D98" s="283" t="s">
        <v>3129</v>
      </c>
      <c r="E98" s="283" t="s">
        <v>3001</v>
      </c>
      <c r="F98" s="263">
        <v>1</v>
      </c>
      <c r="G98" s="283"/>
      <c r="H98" s="263" t="str">
        <f t="shared" si="9"/>
        <v>Outro: Motor</v>
      </c>
      <c r="I98" s="425" t="str">
        <f t="shared" si="11"/>
        <v>Outro: Motor :: 2023</v>
      </c>
      <c r="J98" s="263" t="str">
        <f t="shared" si="10"/>
        <v>Outro: Motor</v>
      </c>
      <c r="K98" s="283" t="s">
        <v>6006</v>
      </c>
      <c r="L98" s="263" t="s">
        <v>34</v>
      </c>
      <c r="M98" s="283" t="s">
        <v>1745</v>
      </c>
      <c r="N98" s="283" t="s">
        <v>1746</v>
      </c>
      <c r="O98" s="481">
        <v>5</v>
      </c>
      <c r="P98" s="290" t="s">
        <v>1870</v>
      </c>
      <c r="Q98" s="290" t="s">
        <v>586</v>
      </c>
      <c r="R98" s="283"/>
      <c r="S98" s="283"/>
      <c r="T98" s="292">
        <v>2023</v>
      </c>
      <c r="U98" s="482" t="s">
        <v>3499</v>
      </c>
      <c r="V98" s="482" t="s">
        <v>3506</v>
      </c>
      <c r="W98" s="283" t="str">
        <f t="shared" si="13"/>
        <v>Sim</v>
      </c>
    </row>
    <row r="99" spans="1:23" ht="15.75" thickBot="1" x14ac:dyDescent="0.3">
      <c r="A99" s="283" t="s">
        <v>1910</v>
      </c>
      <c r="B99" s="283" t="s">
        <v>1910</v>
      </c>
      <c r="C99" s="276" t="str">
        <f t="shared" si="8"/>
        <v>X</v>
      </c>
      <c r="D99" s="283" t="s">
        <v>3129</v>
      </c>
      <c r="E99" s="283" t="s">
        <v>3002</v>
      </c>
      <c r="F99" s="263">
        <v>1</v>
      </c>
      <c r="G99" s="283"/>
      <c r="H99" s="263" t="str">
        <f t="shared" si="9"/>
        <v>Outro: Direcção, eixos e travões</v>
      </c>
      <c r="I99" s="425" t="str">
        <f t="shared" si="11"/>
        <v>Outro: Direcção, eixos e travões :: 2023</v>
      </c>
      <c r="J99" s="263" t="str">
        <f t="shared" si="10"/>
        <v>Outro: Direcção, eixos e travões</v>
      </c>
      <c r="K99" s="283" t="s">
        <v>6006</v>
      </c>
      <c r="L99" s="263" t="s">
        <v>34</v>
      </c>
      <c r="M99" s="283" t="s">
        <v>1745</v>
      </c>
      <c r="N99" s="283" t="s">
        <v>1746</v>
      </c>
      <c r="O99" s="481">
        <v>2</v>
      </c>
      <c r="P99" s="290" t="s">
        <v>1870</v>
      </c>
      <c r="Q99" s="290" t="s">
        <v>586</v>
      </c>
      <c r="R99" s="283"/>
      <c r="S99" s="283"/>
      <c r="T99" s="292">
        <v>2023</v>
      </c>
      <c r="U99" s="482" t="s">
        <v>3499</v>
      </c>
      <c r="V99" s="482" t="s">
        <v>3506</v>
      </c>
      <c r="W99" s="283" t="str">
        <f t="shared" si="13"/>
        <v>Sim</v>
      </c>
    </row>
    <row r="100" spans="1:23" ht="15.75" thickBot="1" x14ac:dyDescent="0.3">
      <c r="A100" s="283" t="s">
        <v>1910</v>
      </c>
      <c r="B100" s="283" t="s">
        <v>1910</v>
      </c>
      <c r="C100" s="276" t="str">
        <f t="shared" si="8"/>
        <v>X</v>
      </c>
      <c r="D100" s="283" t="s">
        <v>3129</v>
      </c>
      <c r="E100" s="283" t="s">
        <v>3003</v>
      </c>
      <c r="F100" s="263">
        <v>1</v>
      </c>
      <c r="G100" s="283"/>
      <c r="H100" s="263" t="str">
        <f t="shared" si="9"/>
        <v>Outro: Transmissão</v>
      </c>
      <c r="I100" s="425" t="str">
        <f t="shared" si="11"/>
        <v>Outro: Transmissão :: 2023</v>
      </c>
      <c r="J100" s="263" t="str">
        <f t="shared" si="10"/>
        <v>Outro: Transmissão</v>
      </c>
      <c r="K100" s="283" t="s">
        <v>6006</v>
      </c>
      <c r="L100" s="263" t="s">
        <v>34</v>
      </c>
      <c r="M100" s="283" t="s">
        <v>1745</v>
      </c>
      <c r="N100" s="283" t="s">
        <v>1746</v>
      </c>
      <c r="O100" s="481">
        <v>2</v>
      </c>
      <c r="P100" s="290" t="s">
        <v>1870</v>
      </c>
      <c r="Q100" s="290" t="s">
        <v>586</v>
      </c>
      <c r="R100" s="283"/>
      <c r="S100" s="283"/>
      <c r="T100" s="292">
        <v>2023</v>
      </c>
      <c r="U100" s="482" t="s">
        <v>3499</v>
      </c>
      <c r="V100" s="482" t="s">
        <v>3506</v>
      </c>
      <c r="W100" s="283" t="str">
        <f t="shared" si="13"/>
        <v>Sim</v>
      </c>
    </row>
    <row r="101" spans="1:23" ht="15.75" thickBot="1" x14ac:dyDescent="0.3">
      <c r="A101" s="283" t="s">
        <v>1910</v>
      </c>
      <c r="B101" s="283" t="s">
        <v>1910</v>
      </c>
      <c r="C101" s="276" t="str">
        <f t="shared" si="8"/>
        <v>X</v>
      </c>
      <c r="D101" s="283" t="s">
        <v>3129</v>
      </c>
      <c r="E101" s="283" t="s">
        <v>3005</v>
      </c>
      <c r="F101" s="263">
        <v>1</v>
      </c>
      <c r="G101" s="283"/>
      <c r="H101" s="263" t="str">
        <f t="shared" si="9"/>
        <v>Outro: Alimentação do motor</v>
      </c>
      <c r="I101" s="425" t="str">
        <f t="shared" si="11"/>
        <v>Outro: Alimentação do motor :: 2023</v>
      </c>
      <c r="J101" s="263" t="str">
        <f t="shared" si="10"/>
        <v>Outro: Alimentação do motor</v>
      </c>
      <c r="K101" s="283" t="s">
        <v>6006</v>
      </c>
      <c r="L101" s="263" t="s">
        <v>34</v>
      </c>
      <c r="M101" s="283" t="s">
        <v>1745</v>
      </c>
      <c r="N101" s="283" t="s">
        <v>1746</v>
      </c>
      <c r="O101" s="481">
        <v>5</v>
      </c>
      <c r="P101" s="290" t="s">
        <v>1870</v>
      </c>
      <c r="Q101" s="290" t="s">
        <v>586</v>
      </c>
      <c r="R101" s="283"/>
      <c r="S101" s="283"/>
      <c r="T101" s="292">
        <v>2023</v>
      </c>
      <c r="U101" s="482" t="s">
        <v>3499</v>
      </c>
      <c r="V101" s="482" t="s">
        <v>3506</v>
      </c>
      <c r="W101" s="283" t="str">
        <f t="shared" si="13"/>
        <v>Sim</v>
      </c>
    </row>
    <row r="102" spans="1:23" ht="15.75" thickBot="1" x14ac:dyDescent="0.3">
      <c r="A102" s="283" t="s">
        <v>1910</v>
      </c>
      <c r="B102" s="283" t="s">
        <v>1910</v>
      </c>
      <c r="C102" s="276" t="str">
        <f t="shared" si="8"/>
        <v>X</v>
      </c>
      <c r="D102" s="283" t="s">
        <v>3129</v>
      </c>
      <c r="E102" s="283" t="s">
        <v>6007</v>
      </c>
      <c r="F102" s="263">
        <v>1</v>
      </c>
      <c r="G102" s="283"/>
      <c r="H102" s="263" t="str">
        <f t="shared" si="9"/>
        <v>Outro: Acessórios de carroçarias</v>
      </c>
      <c r="I102" s="425" t="str">
        <f t="shared" si="11"/>
        <v>Outro: Acessórios de carroçarias :: 2023</v>
      </c>
      <c r="J102" s="263" t="str">
        <f t="shared" si="10"/>
        <v>Outro: Acessórios de carroçarias</v>
      </c>
      <c r="K102" s="283" t="s">
        <v>6006</v>
      </c>
      <c r="L102" s="263" t="s">
        <v>34</v>
      </c>
      <c r="M102" s="283" t="s">
        <v>1745</v>
      </c>
      <c r="N102" s="283" t="s">
        <v>1746</v>
      </c>
      <c r="O102" s="481">
        <v>3</v>
      </c>
      <c r="P102" s="290" t="s">
        <v>1870</v>
      </c>
      <c r="Q102" s="290" t="s">
        <v>586</v>
      </c>
      <c r="R102" s="283"/>
      <c r="S102" s="283"/>
      <c r="T102" s="292">
        <v>2023</v>
      </c>
      <c r="U102" s="482" t="s">
        <v>3499</v>
      </c>
      <c r="V102" s="482" t="s">
        <v>3506</v>
      </c>
      <c r="W102" s="283" t="str">
        <f t="shared" si="13"/>
        <v>Sim</v>
      </c>
    </row>
    <row r="103" spans="1:23" ht="15.75" thickBot="1" x14ac:dyDescent="0.3">
      <c r="A103" s="283" t="s">
        <v>1910</v>
      </c>
      <c r="B103" s="283" t="s">
        <v>1910</v>
      </c>
      <c r="C103" s="276" t="str">
        <f t="shared" si="8"/>
        <v>X</v>
      </c>
      <c r="D103" s="283" t="s">
        <v>1528</v>
      </c>
      <c r="E103" s="283" t="s">
        <v>620</v>
      </c>
      <c r="F103" s="263">
        <v>1</v>
      </c>
      <c r="G103" s="283"/>
      <c r="H103" s="263" t="str">
        <f t="shared" si="9"/>
        <v>Combustíveis: Gasóleo</v>
      </c>
      <c r="I103" s="425" t="str">
        <f t="shared" si="11"/>
        <v>Combustíveis: Gasóleo :: 2023</v>
      </c>
      <c r="J103" s="263" t="str">
        <f t="shared" si="10"/>
        <v>Combustíveis: Gasóleo</v>
      </c>
      <c r="K103" s="283" t="s">
        <v>6006</v>
      </c>
      <c r="L103" s="263" t="s">
        <v>34</v>
      </c>
      <c r="M103" s="283" t="s">
        <v>1745</v>
      </c>
      <c r="N103" s="283" t="s">
        <v>1746</v>
      </c>
      <c r="O103" s="481">
        <v>8371.23</v>
      </c>
      <c r="P103" s="280" t="s">
        <v>1861</v>
      </c>
      <c r="Q103" s="290" t="s">
        <v>630</v>
      </c>
      <c r="R103" s="283"/>
      <c r="S103" s="283"/>
      <c r="T103" s="292">
        <v>2023</v>
      </c>
      <c r="U103" s="482" t="s">
        <v>3499</v>
      </c>
      <c r="V103" s="482" t="s">
        <v>3506</v>
      </c>
      <c r="W103" s="283" t="str">
        <f t="shared" si="13"/>
        <v>Sim</v>
      </c>
    </row>
    <row r="104" spans="1:23" ht="15.75" thickBot="1" x14ac:dyDescent="0.3">
      <c r="A104" s="283" t="s">
        <v>1910</v>
      </c>
      <c r="B104" s="283" t="s">
        <v>1910</v>
      </c>
      <c r="C104" s="276" t="str">
        <f t="shared" si="8"/>
        <v>X</v>
      </c>
      <c r="D104" s="283" t="s">
        <v>3131</v>
      </c>
      <c r="E104" s="283" t="s">
        <v>3021</v>
      </c>
      <c r="F104" s="263">
        <v>1</v>
      </c>
      <c r="G104" s="283"/>
      <c r="H104" s="263" t="str">
        <f t="shared" si="9"/>
        <v>Óleos e Aditivos: Óleos</v>
      </c>
      <c r="I104" s="425" t="str">
        <f t="shared" si="11"/>
        <v>Óleos e Aditivos: Óleos :: 2023</v>
      </c>
      <c r="J104" s="263" t="str">
        <f t="shared" si="10"/>
        <v>Óleos e Aditivos: Óleos</v>
      </c>
      <c r="K104" s="283" t="s">
        <v>6006</v>
      </c>
      <c r="L104" s="263" t="s">
        <v>34</v>
      </c>
      <c r="M104" s="283" t="s">
        <v>1745</v>
      </c>
      <c r="N104" s="283" t="s">
        <v>1746</v>
      </c>
      <c r="O104" s="481">
        <v>178.5</v>
      </c>
      <c r="P104" s="280" t="s">
        <v>1861</v>
      </c>
      <c r="Q104" s="290" t="s">
        <v>630</v>
      </c>
      <c r="R104" s="283"/>
      <c r="S104" s="283"/>
      <c r="T104" s="292">
        <v>2023</v>
      </c>
      <c r="U104" s="482" t="s">
        <v>3499</v>
      </c>
      <c r="V104" s="482" t="s">
        <v>3506</v>
      </c>
      <c r="W104" s="283" t="str">
        <f t="shared" si="13"/>
        <v>Sim</v>
      </c>
    </row>
    <row r="105" spans="1:23" ht="15.75" thickBot="1" x14ac:dyDescent="0.3">
      <c r="A105" s="283" t="s">
        <v>1910</v>
      </c>
      <c r="B105" s="283" t="s">
        <v>1910</v>
      </c>
      <c r="C105" s="276" t="str">
        <f t="shared" si="8"/>
        <v>X</v>
      </c>
      <c r="D105" s="283" t="s">
        <v>3131</v>
      </c>
      <c r="E105" s="283" t="s">
        <v>3026</v>
      </c>
      <c r="F105" s="263">
        <v>1</v>
      </c>
      <c r="G105" s="283"/>
      <c r="H105" s="263" t="str">
        <f t="shared" si="9"/>
        <v>Óleos e Aditivos: Adblue</v>
      </c>
      <c r="I105" s="425" t="str">
        <f t="shared" si="11"/>
        <v>Óleos e Aditivos: Adblue :: 2023</v>
      </c>
      <c r="J105" s="263" t="str">
        <f t="shared" si="10"/>
        <v>Óleos e Aditivos: Adblue</v>
      </c>
      <c r="K105" s="283" t="s">
        <v>6006</v>
      </c>
      <c r="L105" s="263" t="s">
        <v>34</v>
      </c>
      <c r="M105" s="283" t="s">
        <v>1745</v>
      </c>
      <c r="N105" s="283" t="s">
        <v>1746</v>
      </c>
      <c r="O105" s="481">
        <v>60.1</v>
      </c>
      <c r="P105" s="280" t="s">
        <v>1861</v>
      </c>
      <c r="Q105" s="290" t="s">
        <v>630</v>
      </c>
      <c r="R105" s="283"/>
      <c r="S105" s="283"/>
      <c r="T105" s="292">
        <v>2023</v>
      </c>
      <c r="U105" s="482" t="s">
        <v>3499</v>
      </c>
      <c r="V105" s="482" t="s">
        <v>3506</v>
      </c>
      <c r="W105" s="283" t="str">
        <f t="shared" si="13"/>
        <v>Sim</v>
      </c>
    </row>
    <row r="106" spans="1:23" ht="15.75" thickBot="1" x14ac:dyDescent="0.3">
      <c r="A106" s="283" t="s">
        <v>1910</v>
      </c>
      <c r="B106" s="283" t="s">
        <v>1910</v>
      </c>
      <c r="C106" s="276" t="str">
        <f t="shared" si="8"/>
        <v>X</v>
      </c>
      <c r="D106" s="283" t="s">
        <v>3129</v>
      </c>
      <c r="E106" s="283" t="s">
        <v>6008</v>
      </c>
      <c r="F106" s="263">
        <v>1</v>
      </c>
      <c r="G106" s="283"/>
      <c r="H106" s="263" t="str">
        <f t="shared" si="9"/>
        <v>Outro: Fardamentos e equipam. Individual</v>
      </c>
      <c r="I106" s="425" t="str">
        <f t="shared" si="11"/>
        <v>Outro: Fardamentos e equipam. Individual :: 2023</v>
      </c>
      <c r="J106" s="263" t="str">
        <f t="shared" si="10"/>
        <v>Outro: Fardamentos e equipam. Individual</v>
      </c>
      <c r="K106" s="283" t="s">
        <v>6006</v>
      </c>
      <c r="L106" s="263" t="s">
        <v>34</v>
      </c>
      <c r="M106" s="283" t="s">
        <v>1745</v>
      </c>
      <c r="N106" s="283" t="s">
        <v>1746</v>
      </c>
      <c r="O106" s="481">
        <v>1364</v>
      </c>
      <c r="P106" s="290"/>
      <c r="Q106" s="290" t="s">
        <v>586</v>
      </c>
      <c r="R106" s="283"/>
      <c r="S106" s="283"/>
      <c r="T106" s="292">
        <v>2023</v>
      </c>
      <c r="U106" s="482" t="s">
        <v>3499</v>
      </c>
      <c r="V106" s="482" t="s">
        <v>3506</v>
      </c>
      <c r="W106" s="283" t="str">
        <f t="shared" si="13"/>
        <v>Sim</v>
      </c>
    </row>
    <row r="107" spans="1:23" ht="15.75" thickBot="1" x14ac:dyDescent="0.3">
      <c r="A107" s="422" t="s">
        <v>1910</v>
      </c>
      <c r="B107" t="s">
        <v>1910</v>
      </c>
      <c r="C107" s="424" t="str">
        <f t="shared" si="8"/>
        <v>X</v>
      </c>
      <c r="D107" s="422" t="s">
        <v>6574</v>
      </c>
      <c r="E107" t="s">
        <v>6041</v>
      </c>
      <c r="F107" s="229">
        <v>1</v>
      </c>
      <c r="H107" s="425" t="str">
        <f t="shared" si="9"/>
        <v>Autocarro Std: Abate</v>
      </c>
      <c r="I107" s="425" t="str">
        <f t="shared" si="11"/>
        <v>Autocarro Std: Abate :: 2023</v>
      </c>
      <c r="J107" s="425" t="str">
        <f t="shared" si="10"/>
        <v>Autocarro Std: Abate</v>
      </c>
      <c r="K107" t="s">
        <v>6041</v>
      </c>
      <c r="L107" s="425" t="s">
        <v>42</v>
      </c>
      <c r="M107" t="s">
        <v>1745</v>
      </c>
      <c r="N107" t="s">
        <v>1746</v>
      </c>
      <c r="O107" s="174">
        <v>53</v>
      </c>
      <c r="P107" s="177" t="s">
        <v>1870</v>
      </c>
      <c r="Q107" s="177" t="s">
        <v>586</v>
      </c>
      <c r="R107" t="s">
        <v>6010</v>
      </c>
      <c r="T107" s="475">
        <v>2023</v>
      </c>
      <c r="U107" s="476" t="s">
        <v>3499</v>
      </c>
      <c r="V107" s="476" t="s">
        <v>3506</v>
      </c>
      <c r="W107" s="422" t="str">
        <f t="shared" si="13"/>
        <v>Não</v>
      </c>
    </row>
    <row r="108" spans="1:23" ht="15.75" thickBot="1" x14ac:dyDescent="0.3">
      <c r="A108" s="422" t="s">
        <v>45</v>
      </c>
      <c r="B108" t="s">
        <v>45</v>
      </c>
      <c r="C108" s="424" t="str">
        <f t="shared" si="8"/>
        <v>X</v>
      </c>
      <c r="D108" s="477" t="s">
        <v>585</v>
      </c>
      <c r="E108" s="438" t="s">
        <v>604</v>
      </c>
      <c r="F108" s="229">
        <v>1</v>
      </c>
      <c r="H108" s="425" t="str">
        <f t="shared" si="9"/>
        <v>Equipamentos de AC: AC EB515 15kW 93kg; 2,5kg r134a</v>
      </c>
      <c r="I108" s="425" t="str">
        <f t="shared" si="11"/>
        <v>Equipamentos de AC: AC EB515 15kW 93kg; 2,5kg r134a :: 2023</v>
      </c>
      <c r="J108" s="425" t="str">
        <f t="shared" si="10"/>
        <v>Equipamentos de AC: AC EB515 15kW 93kg; 2,5kg r134a</v>
      </c>
      <c r="K108" s="283" t="s">
        <v>6038</v>
      </c>
      <c r="L108" s="438" t="s">
        <v>42</v>
      </c>
      <c r="M108" s="438" t="s">
        <v>1745</v>
      </c>
      <c r="N108" s="438" t="s">
        <v>6236</v>
      </c>
      <c r="O108" s="478">
        <v>2</v>
      </c>
      <c r="P108" s="439" t="s">
        <v>1870</v>
      </c>
      <c r="Q108" s="439" t="s">
        <v>586</v>
      </c>
      <c r="R108" s="1" t="s">
        <v>587</v>
      </c>
      <c r="S108" s="458">
        <f>O108*93/1000*2000</f>
        <v>372</v>
      </c>
      <c r="T108" s="475">
        <v>2023</v>
      </c>
      <c r="U108" s="476" t="s">
        <v>3499</v>
      </c>
      <c r="V108" s="476" t="s">
        <v>3506</v>
      </c>
      <c r="W108" s="422" t="str">
        <f t="shared" ref="W108:W162" si="14">IF(L108="Sim","Sim","Não")</f>
        <v>Não</v>
      </c>
    </row>
    <row r="109" spans="1:23" ht="15.75" thickBot="1" x14ac:dyDescent="0.3">
      <c r="A109" s="422" t="s">
        <v>45</v>
      </c>
      <c r="B109" t="s">
        <v>45</v>
      </c>
      <c r="C109" s="424" t="str">
        <f t="shared" si="8"/>
        <v>X</v>
      </c>
      <c r="D109" s="477" t="s">
        <v>585</v>
      </c>
      <c r="E109" s="438" t="s">
        <v>614</v>
      </c>
      <c r="F109" s="229">
        <v>1</v>
      </c>
      <c r="H109" s="425" t="str">
        <f t="shared" si="9"/>
        <v>Equipamentos de AC: AC Olmo 34 SC 34kW 44kg; 3,5kg r134a</v>
      </c>
      <c r="I109" s="425" t="str">
        <f t="shared" si="11"/>
        <v>Equipamentos de AC: AC Olmo 34 SC 34kW 44kg; 3,5kg r134a :: 2023</v>
      </c>
      <c r="J109" s="425" t="str">
        <f t="shared" si="10"/>
        <v>Equipamentos de AC: AC Olmo 34 SC 34kW 44kg; 3,5kg r134a</v>
      </c>
      <c r="K109" s="283" t="s">
        <v>6038</v>
      </c>
      <c r="L109" s="438" t="s">
        <v>42</v>
      </c>
      <c r="M109" s="438" t="s">
        <v>1745</v>
      </c>
      <c r="N109" s="438" t="s">
        <v>6236</v>
      </c>
      <c r="O109" s="478">
        <v>82</v>
      </c>
      <c r="P109" s="439" t="s">
        <v>1870</v>
      </c>
      <c r="Q109" s="439" t="s">
        <v>586</v>
      </c>
      <c r="R109" s="1" t="s">
        <v>615</v>
      </c>
      <c r="S109" s="458">
        <f>+O109*44/1000*3500</f>
        <v>12628</v>
      </c>
      <c r="T109" s="475">
        <v>2023</v>
      </c>
      <c r="U109" s="476" t="s">
        <v>3499</v>
      </c>
      <c r="V109" s="476" t="s">
        <v>3506</v>
      </c>
      <c r="W109" s="422" t="str">
        <f t="shared" si="14"/>
        <v>Não</v>
      </c>
    </row>
    <row r="110" spans="1:23" ht="15.75" thickBot="1" x14ac:dyDescent="0.3">
      <c r="A110" s="422" t="s">
        <v>45</v>
      </c>
      <c r="B110" t="s">
        <v>45</v>
      </c>
      <c r="C110" s="424" t="str">
        <f t="shared" si="8"/>
        <v>X</v>
      </c>
      <c r="D110" s="477" t="s">
        <v>585</v>
      </c>
      <c r="E110" s="438" t="s">
        <v>603</v>
      </c>
      <c r="F110" s="229">
        <v>1</v>
      </c>
      <c r="H110" s="425" t="str">
        <f t="shared" si="9"/>
        <v>Equipamentos de AC: AC EB353 32kW 121 kg; 5,5kg r134a</v>
      </c>
      <c r="I110" s="425" t="str">
        <f t="shared" si="11"/>
        <v>Equipamentos de AC: AC EB353 32kW 121 kg; 5,5kg r134a :: 2023</v>
      </c>
      <c r="J110" s="425" t="str">
        <f t="shared" si="10"/>
        <v>Equipamentos de AC: AC EB353 32kW 121 kg; 5,5kg r134a</v>
      </c>
      <c r="K110" s="283" t="s">
        <v>6038</v>
      </c>
      <c r="L110" s="438" t="s">
        <v>42</v>
      </c>
      <c r="M110" s="438" t="s">
        <v>1745</v>
      </c>
      <c r="N110" s="438" t="s">
        <v>6236</v>
      </c>
      <c r="O110" s="478">
        <v>44</v>
      </c>
      <c r="P110" s="439" t="s">
        <v>1870</v>
      </c>
      <c r="Q110" s="439" t="s">
        <v>586</v>
      </c>
      <c r="R110" s="1" t="s">
        <v>587</v>
      </c>
      <c r="S110" s="458">
        <f>+O110*121/1000*2000</f>
        <v>10648</v>
      </c>
      <c r="T110" s="475">
        <v>2023</v>
      </c>
      <c r="U110" s="476" t="s">
        <v>3499</v>
      </c>
      <c r="V110" s="476" t="s">
        <v>3506</v>
      </c>
      <c r="W110" s="422" t="str">
        <f t="shared" si="14"/>
        <v>Não</v>
      </c>
    </row>
    <row r="111" spans="1:23" ht="15.75" thickBot="1" x14ac:dyDescent="0.3">
      <c r="A111" s="422" t="s">
        <v>45</v>
      </c>
      <c r="B111" t="s">
        <v>45</v>
      </c>
      <c r="C111" s="424" t="str">
        <f t="shared" si="8"/>
        <v>X</v>
      </c>
      <c r="D111" s="477" t="s">
        <v>585</v>
      </c>
      <c r="E111" s="438" t="s">
        <v>6036</v>
      </c>
      <c r="F111" s="229">
        <v>1</v>
      </c>
      <c r="H111" s="425" t="str">
        <f t="shared" ref="H111:H112" si="15">D111&amp;": "&amp;E111</f>
        <v>Equipamentos de AC: Outros  (não especificado)</v>
      </c>
      <c r="I111" s="425" t="str">
        <f t="shared" si="11"/>
        <v>Equipamentos de AC: Outros  (não especificado) :: 2023</v>
      </c>
      <c r="J111" s="425" t="str">
        <f t="shared" ref="J111" si="16">IF(G111="",H111,H111&amp;": "&amp;G111)</f>
        <v>Equipamentos de AC: Outros  (não especificado)</v>
      </c>
      <c r="K111" s="283" t="s">
        <v>6038</v>
      </c>
      <c r="L111" s="438" t="s">
        <v>42</v>
      </c>
      <c r="M111" s="438" t="s">
        <v>1745</v>
      </c>
      <c r="N111" s="438" t="s">
        <v>6236</v>
      </c>
      <c r="O111" s="478">
        <v>9</v>
      </c>
      <c r="P111" s="439" t="s">
        <v>1870</v>
      </c>
      <c r="Q111" s="439" t="s">
        <v>586</v>
      </c>
      <c r="R111" s="1" t="s">
        <v>6037</v>
      </c>
      <c r="S111" s="458">
        <f>+O111*167/1000*2000</f>
        <v>3006</v>
      </c>
      <c r="T111" s="475">
        <v>2023</v>
      </c>
      <c r="U111" s="476" t="s">
        <v>3499</v>
      </c>
      <c r="V111" s="476" t="s">
        <v>3506</v>
      </c>
      <c r="W111" s="422" t="str">
        <f t="shared" si="14"/>
        <v>Não</v>
      </c>
    </row>
    <row r="112" spans="1:23" ht="15.75" thickBot="1" x14ac:dyDescent="0.3">
      <c r="A112" s="422" t="s">
        <v>45</v>
      </c>
      <c r="B112" t="s">
        <v>45</v>
      </c>
      <c r="C112" s="424" t="str">
        <f t="shared" si="8"/>
        <v>X</v>
      </c>
      <c r="D112" s="477" t="s">
        <v>553</v>
      </c>
      <c r="E112" s="438" t="s">
        <v>1862</v>
      </c>
      <c r="F112" s="229">
        <v>1</v>
      </c>
      <c r="H112" s="425" t="str">
        <f t="shared" si="15"/>
        <v>Gases Refrigerantes: HFC134a</v>
      </c>
      <c r="I112" s="425" t="str">
        <f t="shared" si="11"/>
        <v>Gases Refrigerantes: HFC134a :: 2023</v>
      </c>
      <c r="J112" s="425" t="s">
        <v>6573</v>
      </c>
      <c r="K112" s="424" t="s">
        <v>6011</v>
      </c>
      <c r="L112" s="438" t="s">
        <v>34</v>
      </c>
      <c r="M112" s="438" t="s">
        <v>558</v>
      </c>
      <c r="N112" s="438" t="s">
        <v>555</v>
      </c>
      <c r="O112" s="120">
        <v>5</v>
      </c>
      <c r="P112" s="175" t="s">
        <v>1863</v>
      </c>
      <c r="Q112" s="439" t="s">
        <v>557</v>
      </c>
      <c r="T112" s="475">
        <v>2023</v>
      </c>
      <c r="U112" s="476" t="s">
        <v>3499</v>
      </c>
      <c r="V112" s="476" t="s">
        <v>3506</v>
      </c>
      <c r="W112" s="422" t="str">
        <f t="shared" si="14"/>
        <v>Sim</v>
      </c>
    </row>
    <row r="113" spans="1:23" ht="15.75" thickBot="1" x14ac:dyDescent="0.3">
      <c r="A113" s="422" t="s">
        <v>45</v>
      </c>
      <c r="B113" t="s">
        <v>45</v>
      </c>
      <c r="C113" s="424" t="str">
        <f t="shared" si="8"/>
        <v>X</v>
      </c>
      <c r="D113" s="477" t="s">
        <v>553</v>
      </c>
      <c r="E113" s="438" t="s">
        <v>1862</v>
      </c>
      <c r="F113" s="229">
        <v>1</v>
      </c>
      <c r="H113" s="425" t="str">
        <f t="shared" ref="H113:H145" si="17">D113&amp;": "&amp;E113</f>
        <v>Gases Refrigerantes: HFC134a</v>
      </c>
      <c r="I113" s="425" t="str">
        <f t="shared" si="11"/>
        <v>Gases Refrigerantes: HFC134a :: 2023</v>
      </c>
      <c r="J113" s="425" t="s">
        <v>6573</v>
      </c>
      <c r="K113" s="424" t="s">
        <v>6012</v>
      </c>
      <c r="L113" s="438" t="s">
        <v>34</v>
      </c>
      <c r="M113" s="438" t="s">
        <v>558</v>
      </c>
      <c r="N113" s="438" t="s">
        <v>555</v>
      </c>
      <c r="O113" s="120">
        <v>10</v>
      </c>
      <c r="P113" s="175" t="s">
        <v>1863</v>
      </c>
      <c r="Q113" s="439" t="s">
        <v>557</v>
      </c>
      <c r="T113" s="475">
        <v>2023</v>
      </c>
      <c r="U113" s="476" t="s">
        <v>3499</v>
      </c>
      <c r="V113" s="476" t="s">
        <v>3506</v>
      </c>
      <c r="W113" s="422" t="str">
        <f t="shared" si="14"/>
        <v>Sim</v>
      </c>
    </row>
    <row r="114" spans="1:23" ht="15.75" thickBot="1" x14ac:dyDescent="0.3">
      <c r="A114" s="422" t="s">
        <v>45</v>
      </c>
      <c r="B114" t="s">
        <v>45</v>
      </c>
      <c r="C114" s="424" t="str">
        <f t="shared" si="8"/>
        <v>X</v>
      </c>
      <c r="D114" s="477" t="s">
        <v>553</v>
      </c>
      <c r="E114" s="438" t="s">
        <v>1862</v>
      </c>
      <c r="F114" s="229">
        <v>1</v>
      </c>
      <c r="H114" s="425" t="str">
        <f t="shared" si="17"/>
        <v>Gases Refrigerantes: HFC134a</v>
      </c>
      <c r="I114" s="425" t="str">
        <f t="shared" si="11"/>
        <v>Gases Refrigerantes: HFC134a :: 2023</v>
      </c>
      <c r="J114" s="425" t="s">
        <v>6573</v>
      </c>
      <c r="K114" s="424" t="s">
        <v>578</v>
      </c>
      <c r="L114" s="438" t="s">
        <v>34</v>
      </c>
      <c r="M114" s="438" t="s">
        <v>558</v>
      </c>
      <c r="N114" s="438" t="s">
        <v>555</v>
      </c>
      <c r="O114" s="120">
        <v>50.5</v>
      </c>
      <c r="P114" s="175" t="s">
        <v>1863</v>
      </c>
      <c r="Q114" s="439" t="s">
        <v>557</v>
      </c>
      <c r="T114" s="475">
        <v>2023</v>
      </c>
      <c r="U114" s="476" t="s">
        <v>3499</v>
      </c>
      <c r="V114" s="476" t="s">
        <v>3506</v>
      </c>
      <c r="W114" s="422" t="str">
        <f t="shared" si="14"/>
        <v>Sim</v>
      </c>
    </row>
    <row r="115" spans="1:23" ht="15.75" thickBot="1" x14ac:dyDescent="0.3">
      <c r="A115" s="422" t="s">
        <v>45</v>
      </c>
      <c r="B115" t="s">
        <v>45</v>
      </c>
      <c r="C115" s="424" t="str">
        <f t="shared" si="8"/>
        <v>X</v>
      </c>
      <c r="D115" s="477" t="s">
        <v>553</v>
      </c>
      <c r="E115" s="438" t="s">
        <v>1862</v>
      </c>
      <c r="F115" s="229">
        <v>1</v>
      </c>
      <c r="H115" s="425" t="str">
        <f t="shared" si="17"/>
        <v>Gases Refrigerantes: HFC134a</v>
      </c>
      <c r="I115" s="425" t="str">
        <f t="shared" si="11"/>
        <v>Gases Refrigerantes: HFC134a :: 2023</v>
      </c>
      <c r="J115" s="425" t="s">
        <v>6573</v>
      </c>
      <c r="K115" s="424" t="s">
        <v>583</v>
      </c>
      <c r="L115" s="438" t="s">
        <v>34</v>
      </c>
      <c r="M115" s="438" t="s">
        <v>558</v>
      </c>
      <c r="N115" s="438" t="s">
        <v>555</v>
      </c>
      <c r="O115" s="120">
        <v>208.5</v>
      </c>
      <c r="P115" s="175" t="s">
        <v>1863</v>
      </c>
      <c r="Q115" s="439" t="s">
        <v>557</v>
      </c>
      <c r="T115" s="475">
        <v>2023</v>
      </c>
      <c r="U115" s="476" t="s">
        <v>3499</v>
      </c>
      <c r="V115" s="476" t="s">
        <v>3506</v>
      </c>
      <c r="W115" s="422" t="str">
        <f t="shared" si="14"/>
        <v>Sim</v>
      </c>
    </row>
    <row r="116" spans="1:23" ht="15.75" thickBot="1" x14ac:dyDescent="0.3">
      <c r="A116" s="422" t="s">
        <v>45</v>
      </c>
      <c r="B116" t="s">
        <v>45</v>
      </c>
      <c r="C116" s="424" t="str">
        <f t="shared" si="8"/>
        <v>X</v>
      </c>
      <c r="D116" s="477" t="s">
        <v>553</v>
      </c>
      <c r="E116" s="438" t="s">
        <v>1862</v>
      </c>
      <c r="F116" s="229">
        <v>1</v>
      </c>
      <c r="H116" s="425" t="str">
        <f t="shared" si="17"/>
        <v>Gases Refrigerantes: HFC134a</v>
      </c>
      <c r="I116" s="425" t="str">
        <f t="shared" si="11"/>
        <v>Gases Refrigerantes: HFC134a :: 2023</v>
      </c>
      <c r="J116" s="425" t="s">
        <v>6573</v>
      </c>
      <c r="K116" s="424" t="s">
        <v>566</v>
      </c>
      <c r="L116" s="438" t="s">
        <v>34</v>
      </c>
      <c r="M116" s="438" t="s">
        <v>558</v>
      </c>
      <c r="N116" s="438" t="s">
        <v>555</v>
      </c>
      <c r="O116" s="120">
        <v>10</v>
      </c>
      <c r="P116" s="175" t="s">
        <v>1863</v>
      </c>
      <c r="Q116" s="439" t="s">
        <v>557</v>
      </c>
      <c r="T116" s="475">
        <v>2023</v>
      </c>
      <c r="U116" s="476" t="s">
        <v>3499</v>
      </c>
      <c r="V116" s="476" t="s">
        <v>3506</v>
      </c>
      <c r="W116" s="422" t="str">
        <f t="shared" si="14"/>
        <v>Sim</v>
      </c>
    </row>
    <row r="117" spans="1:23" ht="15.75" thickBot="1" x14ac:dyDescent="0.3">
      <c r="A117" s="422" t="s">
        <v>45</v>
      </c>
      <c r="B117" t="s">
        <v>45</v>
      </c>
      <c r="C117" s="424" t="str">
        <f t="shared" si="8"/>
        <v>X</v>
      </c>
      <c r="D117" s="477" t="s">
        <v>553</v>
      </c>
      <c r="E117" s="438" t="s">
        <v>1862</v>
      </c>
      <c r="F117" s="229">
        <v>1</v>
      </c>
      <c r="H117" s="425" t="str">
        <f t="shared" si="17"/>
        <v>Gases Refrigerantes: HFC134a</v>
      </c>
      <c r="I117" s="425" t="str">
        <f t="shared" si="11"/>
        <v>Gases Refrigerantes: HFC134a :: 2023</v>
      </c>
      <c r="J117" s="425" t="s">
        <v>6573</v>
      </c>
      <c r="K117" s="424" t="s">
        <v>6013</v>
      </c>
      <c r="L117" s="438" t="s">
        <v>42</v>
      </c>
      <c r="M117" s="438" t="s">
        <v>558</v>
      </c>
      <c r="N117" s="438" t="s">
        <v>555</v>
      </c>
      <c r="O117" s="120">
        <v>10</v>
      </c>
      <c r="P117" s="175" t="s">
        <v>1863</v>
      </c>
      <c r="Q117" s="439" t="s">
        <v>557</v>
      </c>
      <c r="T117" s="475">
        <v>2023</v>
      </c>
      <c r="U117" s="476" t="s">
        <v>3499</v>
      </c>
      <c r="V117" s="476" t="s">
        <v>3506</v>
      </c>
      <c r="W117" s="422" t="str">
        <f t="shared" si="14"/>
        <v>Não</v>
      </c>
    </row>
    <row r="118" spans="1:23" ht="15.75" thickBot="1" x14ac:dyDescent="0.3">
      <c r="A118" s="422" t="s">
        <v>45</v>
      </c>
      <c r="B118" t="s">
        <v>45</v>
      </c>
      <c r="C118" s="424" t="str">
        <f t="shared" si="8"/>
        <v>X</v>
      </c>
      <c r="D118" s="477" t="s">
        <v>553</v>
      </c>
      <c r="E118" s="438" t="s">
        <v>1862</v>
      </c>
      <c r="F118" s="229">
        <v>1</v>
      </c>
      <c r="H118" s="425" t="str">
        <f t="shared" si="17"/>
        <v>Gases Refrigerantes: HFC134a</v>
      </c>
      <c r="I118" s="425" t="str">
        <f t="shared" si="11"/>
        <v>Gases Refrigerantes: HFC134a :: 2023</v>
      </c>
      <c r="J118" s="425" t="s">
        <v>6573</v>
      </c>
      <c r="K118" s="424" t="s">
        <v>565</v>
      </c>
      <c r="L118" s="438" t="s">
        <v>34</v>
      </c>
      <c r="M118" s="438" t="s">
        <v>558</v>
      </c>
      <c r="N118" s="438" t="s">
        <v>555</v>
      </c>
      <c r="O118" s="120">
        <v>17.5</v>
      </c>
      <c r="P118" s="175" t="s">
        <v>1863</v>
      </c>
      <c r="Q118" s="439" t="s">
        <v>557</v>
      </c>
      <c r="T118" s="475">
        <v>2023</v>
      </c>
      <c r="U118" s="476" t="s">
        <v>3499</v>
      </c>
      <c r="V118" s="476" t="s">
        <v>3506</v>
      </c>
      <c r="W118" s="422" t="str">
        <f t="shared" si="14"/>
        <v>Sim</v>
      </c>
    </row>
    <row r="119" spans="1:23" ht="15.75" thickBot="1" x14ac:dyDescent="0.3">
      <c r="A119" s="422" t="s">
        <v>45</v>
      </c>
      <c r="B119" t="s">
        <v>45</v>
      </c>
      <c r="C119" s="424" t="str">
        <f t="shared" si="8"/>
        <v>X</v>
      </c>
      <c r="D119" s="477" t="s">
        <v>553</v>
      </c>
      <c r="E119" s="438" t="s">
        <v>1862</v>
      </c>
      <c r="F119" s="229">
        <v>1</v>
      </c>
      <c r="H119" s="425" t="str">
        <f t="shared" si="17"/>
        <v>Gases Refrigerantes: HFC134a</v>
      </c>
      <c r="I119" s="425" t="str">
        <f t="shared" si="11"/>
        <v>Gases Refrigerantes: HFC134a :: 2023</v>
      </c>
      <c r="J119" s="425" t="s">
        <v>6573</v>
      </c>
      <c r="K119" s="424" t="s">
        <v>5989</v>
      </c>
      <c r="L119" s="425" t="s">
        <v>42</v>
      </c>
      <c r="M119" s="438" t="s">
        <v>558</v>
      </c>
      <c r="N119" s="438" t="s">
        <v>555</v>
      </c>
      <c r="O119" s="120">
        <v>92.3</v>
      </c>
      <c r="P119" s="175" t="s">
        <v>1863</v>
      </c>
      <c r="Q119" s="439" t="s">
        <v>557</v>
      </c>
      <c r="T119" s="475">
        <v>2023</v>
      </c>
      <c r="U119" s="476" t="s">
        <v>3499</v>
      </c>
      <c r="V119" s="476" t="s">
        <v>3506</v>
      </c>
      <c r="W119" s="422" t="str">
        <f t="shared" si="14"/>
        <v>Não</v>
      </c>
    </row>
    <row r="120" spans="1:23" ht="15.75" thickBot="1" x14ac:dyDescent="0.3">
      <c r="A120" s="422" t="s">
        <v>45</v>
      </c>
      <c r="B120" t="s">
        <v>45</v>
      </c>
      <c r="C120" s="424" t="str">
        <f t="shared" si="8"/>
        <v>X</v>
      </c>
      <c r="D120" s="477" t="s">
        <v>553</v>
      </c>
      <c r="E120" s="438" t="s">
        <v>1862</v>
      </c>
      <c r="F120" s="229">
        <v>1</v>
      </c>
      <c r="H120" s="425" t="str">
        <f t="shared" si="17"/>
        <v>Gases Refrigerantes: HFC134a</v>
      </c>
      <c r="I120" s="425" t="str">
        <f t="shared" si="11"/>
        <v>Gases Refrigerantes: HFC134a :: 2023</v>
      </c>
      <c r="J120" s="425" t="s">
        <v>6573</v>
      </c>
      <c r="K120" s="424" t="s">
        <v>561</v>
      </c>
      <c r="L120" s="425" t="s">
        <v>42</v>
      </c>
      <c r="M120" s="438" t="s">
        <v>558</v>
      </c>
      <c r="N120" s="438" t="s">
        <v>555</v>
      </c>
      <c r="O120" s="120">
        <v>15.6</v>
      </c>
      <c r="P120" s="175" t="s">
        <v>1863</v>
      </c>
      <c r="Q120" s="439" t="s">
        <v>557</v>
      </c>
      <c r="T120" s="475">
        <v>2023</v>
      </c>
      <c r="U120" s="476" t="s">
        <v>3499</v>
      </c>
      <c r="V120" s="476" t="s">
        <v>3506</v>
      </c>
      <c r="W120" s="422" t="str">
        <f t="shared" si="14"/>
        <v>Não</v>
      </c>
    </row>
    <row r="121" spans="1:23" ht="15.75" thickBot="1" x14ac:dyDescent="0.3">
      <c r="A121" s="422" t="s">
        <v>45</v>
      </c>
      <c r="B121" t="s">
        <v>45</v>
      </c>
      <c r="C121" s="424" t="str">
        <f t="shared" si="8"/>
        <v>X</v>
      </c>
      <c r="D121" s="477" t="s">
        <v>553</v>
      </c>
      <c r="E121" s="438" t="s">
        <v>1862</v>
      </c>
      <c r="F121" s="229">
        <v>1</v>
      </c>
      <c r="H121" s="425" t="str">
        <f t="shared" si="17"/>
        <v>Gases Refrigerantes: HFC134a</v>
      </c>
      <c r="I121" s="425" t="str">
        <f t="shared" si="11"/>
        <v>Gases Refrigerantes: HFC134a :: 2023</v>
      </c>
      <c r="J121" s="425" t="s">
        <v>6573</v>
      </c>
      <c r="K121" s="424" t="s">
        <v>581</v>
      </c>
      <c r="L121" s="425" t="s">
        <v>42</v>
      </c>
      <c r="M121" s="438" t="s">
        <v>558</v>
      </c>
      <c r="N121" s="438" t="s">
        <v>555</v>
      </c>
      <c r="O121" s="120">
        <v>123.5</v>
      </c>
      <c r="P121" s="175" t="s">
        <v>1863</v>
      </c>
      <c r="Q121" s="439" t="s">
        <v>557</v>
      </c>
      <c r="T121" s="475">
        <v>2023</v>
      </c>
      <c r="U121" s="476" t="s">
        <v>3499</v>
      </c>
      <c r="V121" s="476" t="s">
        <v>3506</v>
      </c>
      <c r="W121" s="422" t="str">
        <f t="shared" si="14"/>
        <v>Não</v>
      </c>
    </row>
    <row r="122" spans="1:23" ht="15.75" thickBot="1" x14ac:dyDescent="0.3">
      <c r="A122" s="422" t="s">
        <v>45</v>
      </c>
      <c r="B122" t="s">
        <v>45</v>
      </c>
      <c r="C122" s="424" t="str">
        <f t="shared" si="8"/>
        <v>X</v>
      </c>
      <c r="D122" s="477" t="s">
        <v>553</v>
      </c>
      <c r="E122" s="438" t="s">
        <v>1862</v>
      </c>
      <c r="F122" s="229">
        <v>1</v>
      </c>
      <c r="H122" s="425" t="str">
        <f t="shared" si="17"/>
        <v>Gases Refrigerantes: HFC134a</v>
      </c>
      <c r="I122" s="425" t="str">
        <f t="shared" si="11"/>
        <v>Gases Refrigerantes: HFC134a :: 2023</v>
      </c>
      <c r="J122" s="425" t="s">
        <v>6573</v>
      </c>
      <c r="K122" s="424" t="s">
        <v>6014</v>
      </c>
      <c r="L122" s="425" t="s">
        <v>42</v>
      </c>
      <c r="M122" s="438" t="s">
        <v>558</v>
      </c>
      <c r="N122" s="438" t="s">
        <v>555</v>
      </c>
      <c r="O122" s="120">
        <v>2</v>
      </c>
      <c r="P122" s="175" t="s">
        <v>1863</v>
      </c>
      <c r="Q122" s="439" t="s">
        <v>557</v>
      </c>
      <c r="T122" s="475">
        <v>2023</v>
      </c>
      <c r="U122" s="476" t="s">
        <v>3499</v>
      </c>
      <c r="V122" s="476" t="s">
        <v>3506</v>
      </c>
      <c r="W122" s="422" t="str">
        <f t="shared" si="14"/>
        <v>Não</v>
      </c>
    </row>
    <row r="123" spans="1:23" ht="15.75" thickBot="1" x14ac:dyDescent="0.3">
      <c r="A123" s="422" t="s">
        <v>45</v>
      </c>
      <c r="B123" t="s">
        <v>45</v>
      </c>
      <c r="C123" s="424" t="str">
        <f t="shared" si="8"/>
        <v>X</v>
      </c>
      <c r="D123" s="477" t="s">
        <v>553</v>
      </c>
      <c r="E123" s="438" t="s">
        <v>1862</v>
      </c>
      <c r="F123" s="229">
        <v>1</v>
      </c>
      <c r="H123" s="425" t="str">
        <f t="shared" si="17"/>
        <v>Gases Refrigerantes: HFC134a</v>
      </c>
      <c r="I123" s="425" t="str">
        <f t="shared" si="11"/>
        <v>Gases Refrigerantes: HFC134a :: 2023</v>
      </c>
      <c r="J123" s="425" t="s">
        <v>6573</v>
      </c>
      <c r="K123" s="424" t="s">
        <v>6015</v>
      </c>
      <c r="L123" s="425" t="s">
        <v>42</v>
      </c>
      <c r="M123" s="438" t="s">
        <v>558</v>
      </c>
      <c r="N123" s="438" t="s">
        <v>555</v>
      </c>
      <c r="O123" s="120">
        <v>7</v>
      </c>
      <c r="P123" s="175" t="s">
        <v>1863</v>
      </c>
      <c r="Q123" s="439" t="s">
        <v>557</v>
      </c>
      <c r="T123" s="475">
        <v>2023</v>
      </c>
      <c r="U123" s="476" t="s">
        <v>3499</v>
      </c>
      <c r="V123" s="476" t="s">
        <v>3506</v>
      </c>
      <c r="W123" s="422" t="str">
        <f t="shared" si="14"/>
        <v>Não</v>
      </c>
    </row>
    <row r="124" spans="1:23" ht="15.75" thickBot="1" x14ac:dyDescent="0.3">
      <c r="A124" s="422" t="s">
        <v>45</v>
      </c>
      <c r="B124" t="s">
        <v>45</v>
      </c>
      <c r="C124" s="424" t="str">
        <f t="shared" si="8"/>
        <v>X</v>
      </c>
      <c r="D124" s="477" t="s">
        <v>553</v>
      </c>
      <c r="E124" s="438" t="s">
        <v>1862</v>
      </c>
      <c r="F124" s="229">
        <v>1</v>
      </c>
      <c r="H124" s="425" t="str">
        <f t="shared" si="17"/>
        <v>Gases Refrigerantes: HFC134a</v>
      </c>
      <c r="I124" s="425" t="str">
        <f t="shared" si="11"/>
        <v>Gases Refrigerantes: HFC134a :: 2023</v>
      </c>
      <c r="J124" s="425" t="s">
        <v>6573</v>
      </c>
      <c r="K124" s="424" t="s">
        <v>6016</v>
      </c>
      <c r="L124" s="425" t="s">
        <v>42</v>
      </c>
      <c r="M124" s="438" t="s">
        <v>558</v>
      </c>
      <c r="N124" s="438" t="s">
        <v>555</v>
      </c>
      <c r="O124" s="120">
        <v>6.5</v>
      </c>
      <c r="P124" s="175" t="s">
        <v>1863</v>
      </c>
      <c r="Q124" s="439" t="s">
        <v>557</v>
      </c>
      <c r="T124" s="475">
        <v>2023</v>
      </c>
      <c r="U124" s="476" t="s">
        <v>3499</v>
      </c>
      <c r="V124" s="476" t="s">
        <v>3506</v>
      </c>
      <c r="W124" s="422" t="str">
        <f t="shared" si="14"/>
        <v>Não</v>
      </c>
    </row>
    <row r="125" spans="1:23" ht="15.75" thickBot="1" x14ac:dyDescent="0.3">
      <c r="A125" s="422" t="s">
        <v>45</v>
      </c>
      <c r="B125" t="s">
        <v>45</v>
      </c>
      <c r="C125" s="424" t="str">
        <f t="shared" si="8"/>
        <v>X</v>
      </c>
      <c r="D125" s="477" t="s">
        <v>553</v>
      </c>
      <c r="E125" s="438" t="s">
        <v>1862</v>
      </c>
      <c r="F125" s="229">
        <v>1</v>
      </c>
      <c r="H125" s="425" t="str">
        <f t="shared" si="17"/>
        <v>Gases Refrigerantes: HFC134a</v>
      </c>
      <c r="I125" s="425" t="str">
        <f t="shared" si="11"/>
        <v>Gases Refrigerantes: HFC134a :: 2023</v>
      </c>
      <c r="J125" s="425" t="s">
        <v>6573</v>
      </c>
      <c r="K125" s="424" t="s">
        <v>6017</v>
      </c>
      <c r="L125" s="425" t="s">
        <v>42</v>
      </c>
      <c r="M125" s="438" t="s">
        <v>558</v>
      </c>
      <c r="N125" s="438" t="s">
        <v>555</v>
      </c>
      <c r="O125" s="120">
        <v>3</v>
      </c>
      <c r="P125" s="175" t="s">
        <v>1863</v>
      </c>
      <c r="Q125" s="439" t="s">
        <v>557</v>
      </c>
      <c r="T125" s="475">
        <v>2023</v>
      </c>
      <c r="U125" s="476" t="s">
        <v>3499</v>
      </c>
      <c r="V125" s="476" t="s">
        <v>3506</v>
      </c>
      <c r="W125" s="422" t="str">
        <f t="shared" si="14"/>
        <v>Não</v>
      </c>
    </row>
    <row r="126" spans="1:23" ht="15.75" thickBot="1" x14ac:dyDescent="0.3">
      <c r="A126" s="422" t="s">
        <v>45</v>
      </c>
      <c r="B126" t="s">
        <v>45</v>
      </c>
      <c r="C126" s="424" t="str">
        <f t="shared" ref="C126:C162" si="18">IF(A126=B126,"X",RIGHT(A126,LEN(A126)-LEN(B126)-3))</f>
        <v>X</v>
      </c>
      <c r="D126" s="477" t="s">
        <v>553</v>
      </c>
      <c r="E126" s="438" t="s">
        <v>1862</v>
      </c>
      <c r="F126" s="229">
        <v>1</v>
      </c>
      <c r="H126" s="425" t="str">
        <f t="shared" si="17"/>
        <v>Gases Refrigerantes: HFC134a</v>
      </c>
      <c r="I126" s="425" t="str">
        <f t="shared" si="11"/>
        <v>Gases Refrigerantes: HFC134a :: 2023</v>
      </c>
      <c r="J126" s="425" t="s">
        <v>6573</v>
      </c>
      <c r="K126" s="424" t="s">
        <v>6018</v>
      </c>
      <c r="L126" s="425" t="s">
        <v>42</v>
      </c>
      <c r="M126" s="438" t="s">
        <v>558</v>
      </c>
      <c r="N126" s="438" t="s">
        <v>555</v>
      </c>
      <c r="O126" s="120">
        <v>5.5</v>
      </c>
      <c r="P126" s="175" t="s">
        <v>1863</v>
      </c>
      <c r="Q126" s="439" t="s">
        <v>557</v>
      </c>
      <c r="T126" s="475">
        <v>2023</v>
      </c>
      <c r="U126" s="476" t="s">
        <v>3499</v>
      </c>
      <c r="V126" s="476" t="s">
        <v>3506</v>
      </c>
      <c r="W126" s="422" t="str">
        <f t="shared" si="14"/>
        <v>Não</v>
      </c>
    </row>
    <row r="127" spans="1:23" ht="15.75" thickBot="1" x14ac:dyDescent="0.3">
      <c r="A127" s="422" t="s">
        <v>45</v>
      </c>
      <c r="B127" t="s">
        <v>45</v>
      </c>
      <c r="C127" s="424" t="str">
        <f t="shared" si="18"/>
        <v>X</v>
      </c>
      <c r="D127" s="477" t="s">
        <v>553</v>
      </c>
      <c r="E127" s="438" t="s">
        <v>1862</v>
      </c>
      <c r="F127" s="229">
        <v>1</v>
      </c>
      <c r="H127" s="425" t="str">
        <f t="shared" si="17"/>
        <v>Gases Refrigerantes: HFC134a</v>
      </c>
      <c r="I127" s="425" t="str">
        <f t="shared" si="11"/>
        <v>Gases Refrigerantes: HFC134a :: 2023</v>
      </c>
      <c r="J127" s="425" t="s">
        <v>6573</v>
      </c>
      <c r="K127" s="424" t="s">
        <v>6019</v>
      </c>
      <c r="L127" s="425" t="s">
        <v>42</v>
      </c>
      <c r="M127" s="438" t="s">
        <v>558</v>
      </c>
      <c r="N127" s="438" t="s">
        <v>555</v>
      </c>
      <c r="O127" s="120">
        <v>3</v>
      </c>
      <c r="P127" s="175" t="s">
        <v>1863</v>
      </c>
      <c r="Q127" s="439" t="s">
        <v>557</v>
      </c>
      <c r="T127" s="475">
        <v>2023</v>
      </c>
      <c r="U127" s="476" t="s">
        <v>3499</v>
      </c>
      <c r="V127" s="476" t="s">
        <v>3506</v>
      </c>
      <c r="W127" s="422" t="str">
        <f t="shared" si="14"/>
        <v>Não</v>
      </c>
    </row>
    <row r="128" spans="1:23" ht="15.75" thickBot="1" x14ac:dyDescent="0.3">
      <c r="A128" s="422" t="s">
        <v>45</v>
      </c>
      <c r="B128" t="s">
        <v>45</v>
      </c>
      <c r="C128" s="424" t="str">
        <f t="shared" si="18"/>
        <v>X</v>
      </c>
      <c r="D128" s="477" t="s">
        <v>553</v>
      </c>
      <c r="E128" s="438" t="s">
        <v>1862</v>
      </c>
      <c r="F128" s="229">
        <v>1</v>
      </c>
      <c r="H128" s="425" t="str">
        <f t="shared" si="17"/>
        <v>Gases Refrigerantes: HFC134a</v>
      </c>
      <c r="I128" s="425" t="str">
        <f t="shared" si="11"/>
        <v>Gases Refrigerantes: HFC134a :: 2023</v>
      </c>
      <c r="J128" s="425" t="s">
        <v>6573</v>
      </c>
      <c r="K128" s="424" t="s">
        <v>559</v>
      </c>
      <c r="L128" s="438" t="s">
        <v>34</v>
      </c>
      <c r="M128" s="438" t="s">
        <v>558</v>
      </c>
      <c r="N128" s="438" t="s">
        <v>555</v>
      </c>
      <c r="O128" s="120">
        <v>108.25</v>
      </c>
      <c r="P128" s="175" t="s">
        <v>1863</v>
      </c>
      <c r="Q128" s="439" t="s">
        <v>557</v>
      </c>
      <c r="T128" s="475">
        <v>2023</v>
      </c>
      <c r="U128" s="476" t="s">
        <v>3499</v>
      </c>
      <c r="V128" s="476" t="s">
        <v>3506</v>
      </c>
      <c r="W128" s="422" t="str">
        <f t="shared" si="14"/>
        <v>Sim</v>
      </c>
    </row>
    <row r="129" spans="1:23" ht="15.75" thickBot="1" x14ac:dyDescent="0.3">
      <c r="A129" s="422" t="s">
        <v>45</v>
      </c>
      <c r="B129" t="s">
        <v>45</v>
      </c>
      <c r="C129" s="424" t="str">
        <f t="shared" si="18"/>
        <v>X</v>
      </c>
      <c r="D129" s="477" t="s">
        <v>553</v>
      </c>
      <c r="E129" s="438" t="s">
        <v>1862</v>
      </c>
      <c r="F129" s="229">
        <v>1</v>
      </c>
      <c r="H129" s="425" t="str">
        <f t="shared" si="17"/>
        <v>Gases Refrigerantes: HFC134a</v>
      </c>
      <c r="I129" s="425" t="str">
        <f t="shared" si="11"/>
        <v>Gases Refrigerantes: HFC134a :: 2023</v>
      </c>
      <c r="J129" s="425" t="s">
        <v>6573</v>
      </c>
      <c r="K129" s="424" t="s">
        <v>6020</v>
      </c>
      <c r="L129" s="438" t="s">
        <v>34</v>
      </c>
      <c r="M129" s="438" t="s">
        <v>558</v>
      </c>
      <c r="N129" s="438" t="s">
        <v>555</v>
      </c>
      <c r="O129" s="120">
        <v>3</v>
      </c>
      <c r="P129" s="175" t="s">
        <v>1863</v>
      </c>
      <c r="Q129" s="439" t="s">
        <v>557</v>
      </c>
      <c r="T129" s="475">
        <v>2023</v>
      </c>
      <c r="U129" s="476" t="s">
        <v>3499</v>
      </c>
      <c r="V129" s="476" t="s">
        <v>3506</v>
      </c>
      <c r="W129" s="422" t="str">
        <f t="shared" si="14"/>
        <v>Sim</v>
      </c>
    </row>
    <row r="130" spans="1:23" ht="15.75" thickBot="1" x14ac:dyDescent="0.3">
      <c r="A130" s="422" t="s">
        <v>45</v>
      </c>
      <c r="B130" t="s">
        <v>45</v>
      </c>
      <c r="C130" s="424" t="str">
        <f t="shared" si="18"/>
        <v>X</v>
      </c>
      <c r="D130" s="477" t="s">
        <v>553</v>
      </c>
      <c r="E130" s="438" t="s">
        <v>1862</v>
      </c>
      <c r="F130" s="229">
        <v>1</v>
      </c>
      <c r="H130" s="425" t="str">
        <f t="shared" si="17"/>
        <v>Gases Refrigerantes: HFC134a</v>
      </c>
      <c r="I130" s="425" t="str">
        <f t="shared" si="11"/>
        <v>Gases Refrigerantes: HFC134a :: 2023</v>
      </c>
      <c r="J130" s="425" t="s">
        <v>6573</v>
      </c>
      <c r="K130" s="424" t="s">
        <v>6021</v>
      </c>
      <c r="L130" s="425" t="s">
        <v>42</v>
      </c>
      <c r="M130" s="438" t="s">
        <v>558</v>
      </c>
      <c r="N130" s="438" t="s">
        <v>555</v>
      </c>
      <c r="O130" s="120">
        <v>7</v>
      </c>
      <c r="P130" s="175" t="s">
        <v>1863</v>
      </c>
      <c r="Q130" s="439" t="s">
        <v>557</v>
      </c>
      <c r="T130" s="475">
        <v>2023</v>
      </c>
      <c r="U130" s="476" t="s">
        <v>3499</v>
      </c>
      <c r="V130" s="476" t="s">
        <v>3506</v>
      </c>
      <c r="W130" s="422" t="str">
        <f t="shared" si="14"/>
        <v>Não</v>
      </c>
    </row>
    <row r="131" spans="1:23" ht="15.75" thickBot="1" x14ac:dyDescent="0.3">
      <c r="A131" s="422" t="s">
        <v>45</v>
      </c>
      <c r="B131" t="s">
        <v>45</v>
      </c>
      <c r="C131" s="424" t="str">
        <f t="shared" si="18"/>
        <v>X</v>
      </c>
      <c r="D131" s="477" t="s">
        <v>553</v>
      </c>
      <c r="E131" s="438" t="s">
        <v>1862</v>
      </c>
      <c r="F131" s="229">
        <v>1</v>
      </c>
      <c r="H131" s="425" t="str">
        <f t="shared" si="17"/>
        <v>Gases Refrigerantes: HFC134a</v>
      </c>
      <c r="I131" s="425" t="str">
        <f t="shared" si="11"/>
        <v>Gases Refrigerantes: HFC134a :: 2023</v>
      </c>
      <c r="J131" s="425" t="s">
        <v>6573</v>
      </c>
      <c r="K131" s="424" t="s">
        <v>6022</v>
      </c>
      <c r="L131" s="425" t="s">
        <v>42</v>
      </c>
      <c r="M131" s="438" t="s">
        <v>558</v>
      </c>
      <c r="N131" s="438" t="s">
        <v>555</v>
      </c>
      <c r="O131" s="120">
        <v>1</v>
      </c>
      <c r="P131" s="175" t="s">
        <v>1863</v>
      </c>
      <c r="Q131" s="439" t="s">
        <v>557</v>
      </c>
      <c r="T131" s="475">
        <v>2023</v>
      </c>
      <c r="U131" s="476" t="s">
        <v>3499</v>
      </c>
      <c r="V131" s="476" t="s">
        <v>3506</v>
      </c>
      <c r="W131" s="422" t="str">
        <f t="shared" si="14"/>
        <v>Não</v>
      </c>
    </row>
    <row r="132" spans="1:23" ht="15.75" thickBot="1" x14ac:dyDescent="0.3">
      <c r="A132" s="422" t="s">
        <v>45</v>
      </c>
      <c r="B132" t="s">
        <v>45</v>
      </c>
      <c r="C132" s="424" t="str">
        <f t="shared" si="18"/>
        <v>X</v>
      </c>
      <c r="D132" s="477" t="s">
        <v>553</v>
      </c>
      <c r="E132" s="438" t="s">
        <v>1862</v>
      </c>
      <c r="F132" s="229">
        <v>1</v>
      </c>
      <c r="H132" s="425" t="str">
        <f t="shared" si="17"/>
        <v>Gases Refrigerantes: HFC134a</v>
      </c>
      <c r="I132" s="425" t="str">
        <f t="shared" ref="I132:I162" si="19">H132&amp;" :: "&amp;T132</f>
        <v>Gases Refrigerantes: HFC134a :: 2023</v>
      </c>
      <c r="J132" s="425" t="s">
        <v>6573</v>
      </c>
      <c r="K132" s="424" t="s">
        <v>572</v>
      </c>
      <c r="L132" s="425" t="s">
        <v>42</v>
      </c>
      <c r="M132" s="438" t="s">
        <v>558</v>
      </c>
      <c r="N132" s="438" t="s">
        <v>555</v>
      </c>
      <c r="O132" s="120">
        <v>7</v>
      </c>
      <c r="P132" s="175" t="s">
        <v>1863</v>
      </c>
      <c r="Q132" s="439" t="s">
        <v>557</v>
      </c>
      <c r="T132" s="475">
        <v>2023</v>
      </c>
      <c r="U132" s="476" t="s">
        <v>3499</v>
      </c>
      <c r="V132" s="476" t="s">
        <v>3506</v>
      </c>
      <c r="W132" s="422" t="str">
        <f t="shared" si="14"/>
        <v>Não</v>
      </c>
    </row>
    <row r="133" spans="1:23" ht="15.75" thickBot="1" x14ac:dyDescent="0.3">
      <c r="A133" s="422" t="s">
        <v>45</v>
      </c>
      <c r="B133" t="s">
        <v>45</v>
      </c>
      <c r="C133" s="424" t="str">
        <f t="shared" si="18"/>
        <v>X</v>
      </c>
      <c r="D133" s="477" t="s">
        <v>553</v>
      </c>
      <c r="E133" s="438" t="s">
        <v>1862</v>
      </c>
      <c r="F133" s="229">
        <v>1</v>
      </c>
      <c r="H133" s="425" t="str">
        <f t="shared" si="17"/>
        <v>Gases Refrigerantes: HFC134a</v>
      </c>
      <c r="I133" s="425" t="str">
        <f t="shared" si="19"/>
        <v>Gases Refrigerantes: HFC134a :: 2023</v>
      </c>
      <c r="J133" s="425" t="s">
        <v>6573</v>
      </c>
      <c r="K133" s="424" t="s">
        <v>554</v>
      </c>
      <c r="L133" s="438" t="s">
        <v>34</v>
      </c>
      <c r="M133" s="438" t="s">
        <v>558</v>
      </c>
      <c r="N133" s="438" t="s">
        <v>555</v>
      </c>
      <c r="O133" s="120">
        <v>12</v>
      </c>
      <c r="P133" s="175" t="s">
        <v>1863</v>
      </c>
      <c r="Q133" s="439" t="s">
        <v>557</v>
      </c>
      <c r="T133" s="475">
        <v>2023</v>
      </c>
      <c r="U133" s="476" t="s">
        <v>3499</v>
      </c>
      <c r="V133" s="476" t="s">
        <v>3506</v>
      </c>
      <c r="W133" s="422" t="str">
        <f t="shared" si="14"/>
        <v>Sim</v>
      </c>
    </row>
    <row r="134" spans="1:23" ht="15.75" thickBot="1" x14ac:dyDescent="0.3">
      <c r="A134" s="422" t="s">
        <v>45</v>
      </c>
      <c r="B134" t="s">
        <v>45</v>
      </c>
      <c r="C134" s="424" t="str">
        <f t="shared" si="18"/>
        <v>X</v>
      </c>
      <c r="D134" s="477" t="s">
        <v>553</v>
      </c>
      <c r="E134" s="438" t="s">
        <v>1862</v>
      </c>
      <c r="F134" s="229">
        <v>1</v>
      </c>
      <c r="H134" s="425" t="str">
        <f t="shared" si="17"/>
        <v>Gases Refrigerantes: HFC134a</v>
      </c>
      <c r="I134" s="425" t="str">
        <f t="shared" si="19"/>
        <v>Gases Refrigerantes: HFC134a :: 2023</v>
      </c>
      <c r="J134" s="425" t="s">
        <v>6573</v>
      </c>
      <c r="K134" s="424" t="s">
        <v>6023</v>
      </c>
      <c r="L134" s="425" t="s">
        <v>42</v>
      </c>
      <c r="M134" s="438" t="s">
        <v>558</v>
      </c>
      <c r="N134" s="438" t="s">
        <v>555</v>
      </c>
      <c r="O134" s="120">
        <v>1</v>
      </c>
      <c r="P134" s="175" t="s">
        <v>1863</v>
      </c>
      <c r="Q134" s="439" t="s">
        <v>557</v>
      </c>
      <c r="T134" s="475">
        <v>2023</v>
      </c>
      <c r="U134" s="476" t="s">
        <v>3499</v>
      </c>
      <c r="V134" s="476" t="s">
        <v>3506</v>
      </c>
      <c r="W134" s="422" t="str">
        <f t="shared" si="14"/>
        <v>Não</v>
      </c>
    </row>
    <row r="135" spans="1:23" ht="15.75" thickBot="1" x14ac:dyDescent="0.3">
      <c r="A135" s="422" t="s">
        <v>45</v>
      </c>
      <c r="B135" t="s">
        <v>45</v>
      </c>
      <c r="C135" s="424" t="str">
        <f t="shared" si="18"/>
        <v>X</v>
      </c>
      <c r="D135" s="477" t="s">
        <v>553</v>
      </c>
      <c r="E135" s="438" t="s">
        <v>1862</v>
      </c>
      <c r="F135" s="229">
        <v>1</v>
      </c>
      <c r="H135" s="425" t="str">
        <f t="shared" si="17"/>
        <v>Gases Refrigerantes: HFC134a</v>
      </c>
      <c r="I135" s="425" t="str">
        <f t="shared" si="19"/>
        <v>Gases Refrigerantes: HFC134a :: 2023</v>
      </c>
      <c r="J135" s="425" t="s">
        <v>6573</v>
      </c>
      <c r="K135" s="424" t="s">
        <v>569</v>
      </c>
      <c r="L135" s="425" t="s">
        <v>42</v>
      </c>
      <c r="M135" s="438" t="s">
        <v>558</v>
      </c>
      <c r="N135" s="438" t="s">
        <v>555</v>
      </c>
      <c r="O135" s="120">
        <v>35.5</v>
      </c>
      <c r="P135" s="175" t="s">
        <v>1863</v>
      </c>
      <c r="Q135" s="439" t="s">
        <v>557</v>
      </c>
      <c r="T135" s="475">
        <v>2023</v>
      </c>
      <c r="U135" s="476" t="s">
        <v>3499</v>
      </c>
      <c r="V135" s="476" t="s">
        <v>3506</v>
      </c>
      <c r="W135" s="422" t="str">
        <f t="shared" si="14"/>
        <v>Não</v>
      </c>
    </row>
    <row r="136" spans="1:23" ht="15.75" thickBot="1" x14ac:dyDescent="0.3">
      <c r="A136" s="422" t="s">
        <v>45</v>
      </c>
      <c r="B136" t="s">
        <v>45</v>
      </c>
      <c r="C136" s="424" t="str">
        <f t="shared" si="18"/>
        <v>X</v>
      </c>
      <c r="D136" s="477" t="s">
        <v>553</v>
      </c>
      <c r="E136" s="438" t="s">
        <v>1862</v>
      </c>
      <c r="F136" s="229">
        <v>1</v>
      </c>
      <c r="H136" s="425" t="str">
        <f t="shared" si="17"/>
        <v>Gases Refrigerantes: HFC134a</v>
      </c>
      <c r="I136" s="425" t="str">
        <f t="shared" si="19"/>
        <v>Gases Refrigerantes: HFC134a :: 2023</v>
      </c>
      <c r="J136" s="425" t="s">
        <v>6573</v>
      </c>
      <c r="K136" s="424" t="s">
        <v>6024</v>
      </c>
      <c r="L136" s="425" t="s">
        <v>42</v>
      </c>
      <c r="M136" s="438" t="s">
        <v>558</v>
      </c>
      <c r="N136" s="438" t="s">
        <v>555</v>
      </c>
      <c r="O136" s="120">
        <v>3</v>
      </c>
      <c r="P136" s="175" t="s">
        <v>1863</v>
      </c>
      <c r="Q136" s="439" t="s">
        <v>557</v>
      </c>
      <c r="T136" s="475">
        <v>2023</v>
      </c>
      <c r="U136" s="476" t="s">
        <v>3499</v>
      </c>
      <c r="V136" s="476" t="s">
        <v>3506</v>
      </c>
      <c r="W136" s="422" t="str">
        <f t="shared" si="14"/>
        <v>Não</v>
      </c>
    </row>
    <row r="137" spans="1:23" ht="15.75" thickBot="1" x14ac:dyDescent="0.3">
      <c r="A137" s="422" t="s">
        <v>45</v>
      </c>
      <c r="B137" t="s">
        <v>45</v>
      </c>
      <c r="C137" s="424" t="str">
        <f t="shared" si="18"/>
        <v>X</v>
      </c>
      <c r="D137" s="477" t="s">
        <v>553</v>
      </c>
      <c r="E137" s="438" t="s">
        <v>1862</v>
      </c>
      <c r="F137" s="229">
        <v>1</v>
      </c>
      <c r="H137" s="425" t="str">
        <f t="shared" si="17"/>
        <v>Gases Refrigerantes: HFC134a</v>
      </c>
      <c r="I137" s="425" t="str">
        <f t="shared" si="19"/>
        <v>Gases Refrigerantes: HFC134a :: 2023</v>
      </c>
      <c r="J137" s="425" t="s">
        <v>6573</v>
      </c>
      <c r="K137" s="424" t="s">
        <v>6025</v>
      </c>
      <c r="L137" s="438" t="s">
        <v>34</v>
      </c>
      <c r="M137" s="438" t="s">
        <v>558</v>
      </c>
      <c r="N137" s="438" t="s">
        <v>555</v>
      </c>
      <c r="O137" s="120">
        <v>3</v>
      </c>
      <c r="P137" s="175" t="s">
        <v>1863</v>
      </c>
      <c r="Q137" s="439" t="s">
        <v>557</v>
      </c>
      <c r="T137" s="475">
        <v>2023</v>
      </c>
      <c r="U137" s="476" t="s">
        <v>3499</v>
      </c>
      <c r="V137" s="476" t="s">
        <v>3506</v>
      </c>
      <c r="W137" s="422" t="str">
        <f t="shared" si="14"/>
        <v>Sim</v>
      </c>
    </row>
    <row r="138" spans="1:23" ht="15.75" thickBot="1" x14ac:dyDescent="0.3">
      <c r="A138" s="422" t="s">
        <v>45</v>
      </c>
      <c r="B138" t="s">
        <v>45</v>
      </c>
      <c r="C138" s="424" t="str">
        <f t="shared" si="18"/>
        <v>X</v>
      </c>
      <c r="D138" s="477" t="s">
        <v>553</v>
      </c>
      <c r="E138" s="438" t="s">
        <v>1862</v>
      </c>
      <c r="F138" s="229">
        <v>1</v>
      </c>
      <c r="H138" s="425" t="str">
        <f t="shared" si="17"/>
        <v>Gases Refrigerantes: HFC134a</v>
      </c>
      <c r="I138" s="425" t="str">
        <f t="shared" si="19"/>
        <v>Gases Refrigerantes: HFC134a :: 2023</v>
      </c>
      <c r="J138" s="425" t="s">
        <v>6573</v>
      </c>
      <c r="K138" s="424" t="s">
        <v>582</v>
      </c>
      <c r="L138" s="425" t="s">
        <v>42</v>
      </c>
      <c r="M138" s="438" t="s">
        <v>558</v>
      </c>
      <c r="N138" s="438" t="s">
        <v>555</v>
      </c>
      <c r="O138" s="120">
        <v>1</v>
      </c>
      <c r="P138" s="175" t="s">
        <v>1863</v>
      </c>
      <c r="Q138" s="439" t="s">
        <v>557</v>
      </c>
      <c r="T138" s="475">
        <v>2023</v>
      </c>
      <c r="U138" s="476" t="s">
        <v>3499</v>
      </c>
      <c r="V138" s="476" t="s">
        <v>3506</v>
      </c>
      <c r="W138" s="422" t="str">
        <f t="shared" si="14"/>
        <v>Não</v>
      </c>
    </row>
    <row r="139" spans="1:23" ht="15.75" thickBot="1" x14ac:dyDescent="0.3">
      <c r="A139" s="422" t="s">
        <v>45</v>
      </c>
      <c r="B139" t="s">
        <v>45</v>
      </c>
      <c r="C139" s="424" t="str">
        <f t="shared" si="18"/>
        <v>X</v>
      </c>
      <c r="D139" s="477" t="s">
        <v>553</v>
      </c>
      <c r="E139" s="438" t="s">
        <v>1862</v>
      </c>
      <c r="F139" s="229">
        <v>1</v>
      </c>
      <c r="H139" s="425" t="str">
        <f t="shared" si="17"/>
        <v>Gases Refrigerantes: HFC134a</v>
      </c>
      <c r="I139" s="425" t="str">
        <f t="shared" si="19"/>
        <v>Gases Refrigerantes: HFC134a :: 2023</v>
      </c>
      <c r="J139" s="425" t="s">
        <v>6573</v>
      </c>
      <c r="K139" s="424" t="s">
        <v>562</v>
      </c>
      <c r="L139" s="425" t="s">
        <v>42</v>
      </c>
      <c r="M139" s="438" t="s">
        <v>558</v>
      </c>
      <c r="N139" s="438" t="s">
        <v>555</v>
      </c>
      <c r="O139" s="120">
        <v>6</v>
      </c>
      <c r="P139" s="175" t="s">
        <v>1863</v>
      </c>
      <c r="Q139" s="439" t="s">
        <v>557</v>
      </c>
      <c r="T139" s="475">
        <v>2023</v>
      </c>
      <c r="U139" s="476" t="s">
        <v>3499</v>
      </c>
      <c r="V139" s="476" t="s">
        <v>3506</v>
      </c>
      <c r="W139" s="422" t="str">
        <f t="shared" si="14"/>
        <v>Não</v>
      </c>
    </row>
    <row r="140" spans="1:23" ht="15.75" thickBot="1" x14ac:dyDescent="0.3">
      <c r="A140" s="422" t="s">
        <v>45</v>
      </c>
      <c r="B140" t="s">
        <v>45</v>
      </c>
      <c r="C140" s="424" t="str">
        <f t="shared" si="18"/>
        <v>X</v>
      </c>
      <c r="D140" s="477" t="s">
        <v>553</v>
      </c>
      <c r="E140" s="438" t="s">
        <v>1862</v>
      </c>
      <c r="F140" s="229">
        <v>1</v>
      </c>
      <c r="H140" s="425" t="str">
        <f t="shared" si="17"/>
        <v>Gases Refrigerantes: HFC134a</v>
      </c>
      <c r="I140" s="425" t="str">
        <f t="shared" si="19"/>
        <v>Gases Refrigerantes: HFC134a :: 2023</v>
      </c>
      <c r="J140" s="425" t="s">
        <v>6573</v>
      </c>
      <c r="K140" s="424" t="s">
        <v>6026</v>
      </c>
      <c r="L140" s="425" t="s">
        <v>42</v>
      </c>
      <c r="M140" s="438" t="s">
        <v>558</v>
      </c>
      <c r="N140" s="438" t="s">
        <v>555</v>
      </c>
      <c r="O140" s="120">
        <v>52.6</v>
      </c>
      <c r="P140" s="175" t="s">
        <v>1863</v>
      </c>
      <c r="Q140" s="439" t="s">
        <v>557</v>
      </c>
      <c r="T140" s="475">
        <v>2023</v>
      </c>
      <c r="U140" s="476" t="s">
        <v>3499</v>
      </c>
      <c r="V140" s="476" t="s">
        <v>3506</v>
      </c>
      <c r="W140" s="422" t="str">
        <f t="shared" si="14"/>
        <v>Não</v>
      </c>
    </row>
    <row r="141" spans="1:23" ht="15.75" thickBot="1" x14ac:dyDescent="0.3">
      <c r="A141" s="422" t="s">
        <v>45</v>
      </c>
      <c r="B141" t="s">
        <v>45</v>
      </c>
      <c r="C141" s="424" t="str">
        <f t="shared" si="18"/>
        <v>X</v>
      </c>
      <c r="D141" s="477" t="s">
        <v>553</v>
      </c>
      <c r="E141" s="438" t="s">
        <v>1862</v>
      </c>
      <c r="F141" s="229">
        <v>1</v>
      </c>
      <c r="H141" s="425" t="str">
        <f t="shared" si="17"/>
        <v>Gases Refrigerantes: HFC134a</v>
      </c>
      <c r="I141" s="425" t="str">
        <f t="shared" si="19"/>
        <v>Gases Refrigerantes: HFC134a :: 2023</v>
      </c>
      <c r="J141" s="425" t="s">
        <v>6573</v>
      </c>
      <c r="K141" s="424" t="s">
        <v>6027</v>
      </c>
      <c r="L141" s="425" t="s">
        <v>42</v>
      </c>
      <c r="M141" s="438" t="s">
        <v>558</v>
      </c>
      <c r="N141" s="438" t="s">
        <v>555</v>
      </c>
      <c r="O141" s="120">
        <v>2.5</v>
      </c>
      <c r="P141" s="175" t="s">
        <v>1863</v>
      </c>
      <c r="Q141" s="439" t="s">
        <v>557</v>
      </c>
      <c r="T141" s="475">
        <v>2023</v>
      </c>
      <c r="U141" s="476" t="s">
        <v>3499</v>
      </c>
      <c r="V141" s="476" t="s">
        <v>3506</v>
      </c>
      <c r="W141" s="422" t="str">
        <f t="shared" si="14"/>
        <v>Não</v>
      </c>
    </row>
    <row r="142" spans="1:23" ht="15.75" thickBot="1" x14ac:dyDescent="0.3">
      <c r="A142" s="422" t="s">
        <v>45</v>
      </c>
      <c r="B142" t="s">
        <v>45</v>
      </c>
      <c r="C142" s="424" t="str">
        <f t="shared" si="18"/>
        <v>X</v>
      </c>
      <c r="D142" s="477" t="s">
        <v>553</v>
      </c>
      <c r="E142" s="438" t="s">
        <v>1862</v>
      </c>
      <c r="F142" s="229">
        <v>1</v>
      </c>
      <c r="H142" s="425" t="str">
        <f t="shared" si="17"/>
        <v>Gases Refrigerantes: HFC134a</v>
      </c>
      <c r="I142" s="425" t="str">
        <f t="shared" si="19"/>
        <v>Gases Refrigerantes: HFC134a :: 2023</v>
      </c>
      <c r="J142" s="425" t="s">
        <v>6573</v>
      </c>
      <c r="K142" s="424" t="s">
        <v>6028</v>
      </c>
      <c r="L142" s="425" t="s">
        <v>42</v>
      </c>
      <c r="M142" s="438" t="s">
        <v>558</v>
      </c>
      <c r="N142" s="438" t="s">
        <v>555</v>
      </c>
      <c r="O142" s="120">
        <v>96.40000000000002</v>
      </c>
      <c r="P142" s="175" t="s">
        <v>1863</v>
      </c>
      <c r="Q142" s="439" t="s">
        <v>557</v>
      </c>
      <c r="T142" s="475">
        <v>2023</v>
      </c>
      <c r="U142" s="476" t="s">
        <v>3499</v>
      </c>
      <c r="V142" s="476" t="s">
        <v>3506</v>
      </c>
      <c r="W142" s="422" t="str">
        <f t="shared" si="14"/>
        <v>Não</v>
      </c>
    </row>
    <row r="143" spans="1:23" ht="15.75" thickBot="1" x14ac:dyDescent="0.3">
      <c r="A143" s="422" t="s">
        <v>45</v>
      </c>
      <c r="B143" t="s">
        <v>45</v>
      </c>
      <c r="C143" s="424" t="str">
        <f t="shared" si="18"/>
        <v>X</v>
      </c>
      <c r="D143" s="477" t="s">
        <v>553</v>
      </c>
      <c r="E143" s="438" t="s">
        <v>1862</v>
      </c>
      <c r="F143" s="229">
        <v>1</v>
      </c>
      <c r="H143" s="425" t="str">
        <f t="shared" si="17"/>
        <v>Gases Refrigerantes: HFC134a</v>
      </c>
      <c r="I143" s="425" t="str">
        <f t="shared" si="19"/>
        <v>Gases Refrigerantes: HFC134a :: 2023</v>
      </c>
      <c r="J143" s="425" t="s">
        <v>6573</v>
      </c>
      <c r="K143" s="424" t="s">
        <v>6029</v>
      </c>
      <c r="L143" s="425" t="s">
        <v>42</v>
      </c>
      <c r="M143" s="438" t="s">
        <v>558</v>
      </c>
      <c r="N143" s="438" t="s">
        <v>555</v>
      </c>
      <c r="O143" s="120">
        <v>3.5</v>
      </c>
      <c r="P143" s="175" t="s">
        <v>1863</v>
      </c>
      <c r="Q143" s="439" t="s">
        <v>557</v>
      </c>
      <c r="T143" s="475">
        <v>2023</v>
      </c>
      <c r="U143" s="476" t="s">
        <v>3499</v>
      </c>
      <c r="V143" s="476" t="s">
        <v>3506</v>
      </c>
      <c r="W143" s="422" t="str">
        <f t="shared" si="14"/>
        <v>Não</v>
      </c>
    </row>
    <row r="144" spans="1:23" ht="15.75" thickBot="1" x14ac:dyDescent="0.3">
      <c r="A144" s="422" t="s">
        <v>45</v>
      </c>
      <c r="B144" t="s">
        <v>45</v>
      </c>
      <c r="C144" s="424" t="str">
        <f t="shared" si="18"/>
        <v>X</v>
      </c>
      <c r="D144" s="477" t="s">
        <v>553</v>
      </c>
      <c r="E144" s="438" t="s">
        <v>1862</v>
      </c>
      <c r="F144" s="229">
        <v>1</v>
      </c>
      <c r="H144" s="425" t="str">
        <f t="shared" si="17"/>
        <v>Gases Refrigerantes: HFC134a</v>
      </c>
      <c r="I144" s="425" t="str">
        <f t="shared" si="19"/>
        <v>Gases Refrigerantes: HFC134a :: 2023</v>
      </c>
      <c r="J144" s="425" t="s">
        <v>6573</v>
      </c>
      <c r="K144" s="424" t="s">
        <v>575</v>
      </c>
      <c r="L144" s="425" t="s">
        <v>42</v>
      </c>
      <c r="M144" s="438" t="s">
        <v>558</v>
      </c>
      <c r="N144" s="438" t="s">
        <v>555</v>
      </c>
      <c r="O144" s="120">
        <v>9</v>
      </c>
      <c r="P144" s="175" t="s">
        <v>1863</v>
      </c>
      <c r="Q144" s="439" t="s">
        <v>557</v>
      </c>
      <c r="T144" s="475">
        <v>2023</v>
      </c>
      <c r="U144" s="476" t="s">
        <v>3499</v>
      </c>
      <c r="V144" s="476" t="s">
        <v>3506</v>
      </c>
      <c r="W144" s="422" t="str">
        <f t="shared" si="14"/>
        <v>Não</v>
      </c>
    </row>
    <row r="145" spans="1:23" ht="15.75" thickBot="1" x14ac:dyDescent="0.3">
      <c r="A145" s="422" t="s">
        <v>45</v>
      </c>
      <c r="B145" t="s">
        <v>45</v>
      </c>
      <c r="C145" s="424" t="str">
        <f t="shared" si="18"/>
        <v>X</v>
      </c>
      <c r="D145" s="477" t="s">
        <v>553</v>
      </c>
      <c r="E145" s="438" t="s">
        <v>1862</v>
      </c>
      <c r="F145" s="229">
        <v>1</v>
      </c>
      <c r="H145" s="425" t="str">
        <f t="shared" si="17"/>
        <v>Gases Refrigerantes: HFC134a</v>
      </c>
      <c r="I145" s="425" t="str">
        <f t="shared" si="19"/>
        <v>Gases Refrigerantes: HFC134a :: 2023</v>
      </c>
      <c r="J145" s="425" t="s">
        <v>6573</v>
      </c>
      <c r="K145" s="424" t="s">
        <v>6030</v>
      </c>
      <c r="L145" s="425" t="s">
        <v>42</v>
      </c>
      <c r="M145" s="438" t="s">
        <v>558</v>
      </c>
      <c r="N145" s="438" t="s">
        <v>555</v>
      </c>
      <c r="O145" s="120">
        <v>4</v>
      </c>
      <c r="P145" s="175" t="s">
        <v>1863</v>
      </c>
      <c r="Q145" s="439" t="s">
        <v>557</v>
      </c>
      <c r="T145" s="475">
        <v>2023</v>
      </c>
      <c r="U145" s="476" t="s">
        <v>3499</v>
      </c>
      <c r="V145" s="476" t="s">
        <v>3506</v>
      </c>
      <c r="W145" s="422" t="str">
        <f t="shared" si="14"/>
        <v>Não</v>
      </c>
    </row>
    <row r="146" spans="1:23" ht="15.75" thickBot="1" x14ac:dyDescent="0.3">
      <c r="A146" s="422" t="s">
        <v>45</v>
      </c>
      <c r="B146" t="s">
        <v>45</v>
      </c>
      <c r="C146" s="424" t="str">
        <f t="shared" si="18"/>
        <v>X</v>
      </c>
      <c r="D146" s="477" t="s">
        <v>1528</v>
      </c>
      <c r="E146" s="438" t="s">
        <v>620</v>
      </c>
      <c r="F146" s="229">
        <v>1</v>
      </c>
      <c r="H146" s="425" t="str">
        <f t="shared" ref="H146" si="20">D146&amp;": "&amp;E146</f>
        <v>Combustíveis: Gasóleo</v>
      </c>
      <c r="I146" s="425" t="str">
        <f t="shared" si="19"/>
        <v>Combustíveis: Gasóleo :: 2023</v>
      </c>
      <c r="J146" t="s">
        <v>6040</v>
      </c>
      <c r="K146" s="424" t="s">
        <v>6011</v>
      </c>
      <c r="L146" s="438" t="s">
        <v>34</v>
      </c>
      <c r="M146" s="438" t="s">
        <v>558</v>
      </c>
      <c r="N146" s="438" t="s">
        <v>555</v>
      </c>
      <c r="O146" s="120">
        <v>1696.95</v>
      </c>
      <c r="P146" s="175" t="s">
        <v>1861</v>
      </c>
      <c r="Q146" s="439" t="s">
        <v>630</v>
      </c>
      <c r="T146" s="475">
        <v>2023</v>
      </c>
      <c r="U146" s="476" t="s">
        <v>3499</v>
      </c>
      <c r="V146" s="476" t="s">
        <v>3506</v>
      </c>
      <c r="W146" s="422" t="str">
        <f t="shared" si="14"/>
        <v>Sim</v>
      </c>
    </row>
    <row r="147" spans="1:23" ht="15.75" thickBot="1" x14ac:dyDescent="0.3">
      <c r="A147" s="422" t="s">
        <v>45</v>
      </c>
      <c r="B147" t="s">
        <v>45</v>
      </c>
      <c r="C147" s="424" t="str">
        <f t="shared" si="18"/>
        <v>X</v>
      </c>
      <c r="D147" s="477" t="s">
        <v>1528</v>
      </c>
      <c r="E147" s="438" t="s">
        <v>620</v>
      </c>
      <c r="F147" s="229">
        <v>1</v>
      </c>
      <c r="H147" s="425" t="str">
        <f t="shared" ref="H147:H162" si="21">D147&amp;": "&amp;E147</f>
        <v>Combustíveis: Gasóleo</v>
      </c>
      <c r="I147" s="425" t="str">
        <f t="shared" si="19"/>
        <v>Combustíveis: Gasóleo :: 2023</v>
      </c>
      <c r="J147" s="422" t="s">
        <v>6040</v>
      </c>
      <c r="K147" s="424" t="s">
        <v>6020</v>
      </c>
      <c r="L147" s="438" t="s">
        <v>34</v>
      </c>
      <c r="M147" s="438" t="s">
        <v>558</v>
      </c>
      <c r="N147" s="438" t="s">
        <v>555</v>
      </c>
      <c r="O147" s="120">
        <v>36081.21</v>
      </c>
      <c r="P147" s="175" t="s">
        <v>1861</v>
      </c>
      <c r="Q147" s="439" t="s">
        <v>630</v>
      </c>
      <c r="T147" s="475">
        <v>2023</v>
      </c>
      <c r="U147" s="476" t="s">
        <v>3499</v>
      </c>
      <c r="V147" s="476" t="s">
        <v>3506</v>
      </c>
      <c r="W147" s="422" t="str">
        <f t="shared" si="14"/>
        <v>Sim</v>
      </c>
    </row>
    <row r="148" spans="1:23" ht="15.75" thickBot="1" x14ac:dyDescent="0.3">
      <c r="A148" s="422" t="s">
        <v>45</v>
      </c>
      <c r="B148" t="s">
        <v>45</v>
      </c>
      <c r="C148" s="424" t="str">
        <f t="shared" si="18"/>
        <v>X</v>
      </c>
      <c r="D148" s="477" t="s">
        <v>1528</v>
      </c>
      <c r="E148" s="438" t="s">
        <v>620</v>
      </c>
      <c r="F148" s="229">
        <v>1</v>
      </c>
      <c r="H148" s="425" t="str">
        <f t="shared" si="21"/>
        <v>Combustíveis: Gasóleo</v>
      </c>
      <c r="I148" s="425" t="str">
        <f t="shared" si="19"/>
        <v>Combustíveis: Gasóleo :: 2023</v>
      </c>
      <c r="J148" s="422" t="s">
        <v>6040</v>
      </c>
      <c r="K148" s="424" t="s">
        <v>6031</v>
      </c>
      <c r="L148" s="438" t="s">
        <v>34</v>
      </c>
      <c r="M148" s="438" t="s">
        <v>558</v>
      </c>
      <c r="N148" s="438" t="s">
        <v>555</v>
      </c>
      <c r="O148" s="120">
        <v>115.04</v>
      </c>
      <c r="P148" s="175" t="s">
        <v>1861</v>
      </c>
      <c r="Q148" s="439" t="s">
        <v>630</v>
      </c>
      <c r="T148" s="475">
        <v>2023</v>
      </c>
      <c r="U148" s="476" t="s">
        <v>3499</v>
      </c>
      <c r="V148" s="476" t="s">
        <v>3506</v>
      </c>
      <c r="W148" s="422" t="str">
        <f t="shared" si="14"/>
        <v>Sim</v>
      </c>
    </row>
    <row r="149" spans="1:23" ht="15.75" thickBot="1" x14ac:dyDescent="0.3">
      <c r="A149" s="422" t="s">
        <v>45</v>
      </c>
      <c r="B149" t="s">
        <v>45</v>
      </c>
      <c r="C149" s="424" t="str">
        <f t="shared" si="18"/>
        <v>X</v>
      </c>
      <c r="D149" s="477" t="s">
        <v>1528</v>
      </c>
      <c r="E149" s="438" t="s">
        <v>620</v>
      </c>
      <c r="F149" s="229">
        <v>1</v>
      </c>
      <c r="H149" s="425" t="str">
        <f t="shared" si="21"/>
        <v>Combustíveis: Gasóleo</v>
      </c>
      <c r="I149" s="425" t="str">
        <f t="shared" si="19"/>
        <v>Combustíveis: Gasóleo :: 2023</v>
      </c>
      <c r="J149" s="422" t="s">
        <v>6040</v>
      </c>
      <c r="K149" s="424" t="s">
        <v>6032</v>
      </c>
      <c r="L149" s="438" t="s">
        <v>34</v>
      </c>
      <c r="M149" s="438" t="s">
        <v>558</v>
      </c>
      <c r="N149" s="438" t="s">
        <v>555</v>
      </c>
      <c r="O149" s="120">
        <v>55</v>
      </c>
      <c r="P149" s="175" t="s">
        <v>1861</v>
      </c>
      <c r="Q149" s="439" t="s">
        <v>630</v>
      </c>
      <c r="T149" s="475">
        <v>2023</v>
      </c>
      <c r="U149" s="476" t="s">
        <v>3499</v>
      </c>
      <c r="V149" s="476" t="s">
        <v>3506</v>
      </c>
      <c r="W149" s="422" t="str">
        <f t="shared" si="14"/>
        <v>Sim</v>
      </c>
    </row>
    <row r="150" spans="1:23" ht="15.75" thickBot="1" x14ac:dyDescent="0.3">
      <c r="A150" s="422" t="s">
        <v>45</v>
      </c>
      <c r="B150" t="s">
        <v>45</v>
      </c>
      <c r="C150" s="424" t="str">
        <f t="shared" si="18"/>
        <v>X</v>
      </c>
      <c r="D150" s="477" t="s">
        <v>1528</v>
      </c>
      <c r="E150" s="438" t="s">
        <v>620</v>
      </c>
      <c r="F150" s="229">
        <v>1</v>
      </c>
      <c r="H150" s="425" t="str">
        <f t="shared" si="21"/>
        <v>Combustíveis: Gasóleo</v>
      </c>
      <c r="I150" s="425" t="str">
        <f t="shared" si="19"/>
        <v>Combustíveis: Gasóleo :: 2023</v>
      </c>
      <c r="J150" s="422" t="s">
        <v>6040</v>
      </c>
      <c r="K150" s="424" t="s">
        <v>6012</v>
      </c>
      <c r="L150" s="438" t="s">
        <v>34</v>
      </c>
      <c r="M150" s="438" t="s">
        <v>558</v>
      </c>
      <c r="N150" s="438" t="s">
        <v>555</v>
      </c>
      <c r="O150" s="120">
        <v>8571.56</v>
      </c>
      <c r="P150" s="175" t="s">
        <v>1861</v>
      </c>
      <c r="Q150" s="439" t="s">
        <v>630</v>
      </c>
      <c r="T150" s="475">
        <v>2023</v>
      </c>
      <c r="U150" s="476" t="s">
        <v>3499</v>
      </c>
      <c r="V150" s="476" t="s">
        <v>3506</v>
      </c>
      <c r="W150" s="422" t="str">
        <f t="shared" si="14"/>
        <v>Sim</v>
      </c>
    </row>
    <row r="151" spans="1:23" ht="15.75" thickBot="1" x14ac:dyDescent="0.3">
      <c r="A151" s="422" t="s">
        <v>45</v>
      </c>
      <c r="B151" t="s">
        <v>45</v>
      </c>
      <c r="C151" s="424" t="str">
        <f t="shared" si="18"/>
        <v>X</v>
      </c>
      <c r="D151" s="477" t="s">
        <v>1528</v>
      </c>
      <c r="E151" s="438" t="s">
        <v>620</v>
      </c>
      <c r="F151" s="229">
        <v>1</v>
      </c>
      <c r="H151" s="425" t="str">
        <f t="shared" si="21"/>
        <v>Combustíveis: Gasóleo</v>
      </c>
      <c r="I151" s="425" t="str">
        <f t="shared" si="19"/>
        <v>Combustíveis: Gasóleo :: 2023</v>
      </c>
      <c r="J151" s="422" t="s">
        <v>6040</v>
      </c>
      <c r="K151" s="424" t="s">
        <v>6025</v>
      </c>
      <c r="L151" s="438" t="s">
        <v>34</v>
      </c>
      <c r="M151" s="438" t="s">
        <v>558</v>
      </c>
      <c r="N151" s="438" t="s">
        <v>555</v>
      </c>
      <c r="O151" s="120">
        <v>3252.25</v>
      </c>
      <c r="P151" s="175" t="s">
        <v>1861</v>
      </c>
      <c r="Q151" s="439" t="s">
        <v>630</v>
      </c>
      <c r="T151" s="475">
        <v>2023</v>
      </c>
      <c r="U151" s="476" t="s">
        <v>3499</v>
      </c>
      <c r="V151" s="476" t="s">
        <v>3506</v>
      </c>
      <c r="W151" s="422" t="str">
        <f t="shared" si="14"/>
        <v>Sim</v>
      </c>
    </row>
    <row r="152" spans="1:23" ht="15.75" thickBot="1" x14ac:dyDescent="0.3">
      <c r="A152" s="422" t="s">
        <v>45</v>
      </c>
      <c r="B152" t="s">
        <v>45</v>
      </c>
      <c r="C152" s="424" t="str">
        <f t="shared" si="18"/>
        <v>X</v>
      </c>
      <c r="D152" s="477" t="s">
        <v>1528</v>
      </c>
      <c r="E152" s="438" t="s">
        <v>620</v>
      </c>
      <c r="F152" s="229">
        <v>1</v>
      </c>
      <c r="H152" s="425" t="str">
        <f t="shared" si="21"/>
        <v>Combustíveis: Gasóleo</v>
      </c>
      <c r="I152" s="425" t="str">
        <f t="shared" si="19"/>
        <v>Combustíveis: Gasóleo :: 2023</v>
      </c>
      <c r="J152" s="422" t="s">
        <v>6040</v>
      </c>
      <c r="K152" s="424" t="s">
        <v>578</v>
      </c>
      <c r="L152" s="438" t="s">
        <v>34</v>
      </c>
      <c r="M152" s="438" t="s">
        <v>558</v>
      </c>
      <c r="N152" s="438" t="s">
        <v>555</v>
      </c>
      <c r="O152" s="120">
        <v>92566.93</v>
      </c>
      <c r="P152" s="175" t="s">
        <v>1861</v>
      </c>
      <c r="Q152" s="439" t="s">
        <v>630</v>
      </c>
      <c r="T152" s="475">
        <v>2023</v>
      </c>
      <c r="U152" s="476" t="s">
        <v>3499</v>
      </c>
      <c r="V152" s="476" t="s">
        <v>3506</v>
      </c>
      <c r="W152" s="422" t="str">
        <f t="shared" si="14"/>
        <v>Sim</v>
      </c>
    </row>
    <row r="153" spans="1:23" ht="15.75" thickBot="1" x14ac:dyDescent="0.3">
      <c r="A153" s="422" t="s">
        <v>45</v>
      </c>
      <c r="B153" t="s">
        <v>45</v>
      </c>
      <c r="C153" s="424" t="str">
        <f t="shared" si="18"/>
        <v>X</v>
      </c>
      <c r="D153" s="477" t="s">
        <v>1528</v>
      </c>
      <c r="E153" s="438" t="s">
        <v>620</v>
      </c>
      <c r="F153" s="229">
        <v>1</v>
      </c>
      <c r="H153" s="425" t="str">
        <f t="shared" si="21"/>
        <v>Combustíveis: Gasóleo</v>
      </c>
      <c r="I153" s="425" t="str">
        <f t="shared" si="19"/>
        <v>Combustíveis: Gasóleo :: 2023</v>
      </c>
      <c r="J153" s="422" t="s">
        <v>6040</v>
      </c>
      <c r="K153" s="424" t="s">
        <v>559</v>
      </c>
      <c r="L153" s="438" t="s">
        <v>34</v>
      </c>
      <c r="M153" s="438" t="s">
        <v>558</v>
      </c>
      <c r="N153" s="438" t="s">
        <v>555</v>
      </c>
      <c r="O153" s="120">
        <v>3346.12</v>
      </c>
      <c r="P153" s="175" t="s">
        <v>1861</v>
      </c>
      <c r="Q153" s="439" t="s">
        <v>630</v>
      </c>
      <c r="T153" s="475">
        <v>2023</v>
      </c>
      <c r="U153" s="476" t="s">
        <v>3499</v>
      </c>
      <c r="V153" s="476" t="s">
        <v>3506</v>
      </c>
      <c r="W153" s="422" t="str">
        <f t="shared" si="14"/>
        <v>Sim</v>
      </c>
    </row>
    <row r="154" spans="1:23" ht="15.75" thickBot="1" x14ac:dyDescent="0.3">
      <c r="A154" s="422" t="s">
        <v>45</v>
      </c>
      <c r="B154" t="s">
        <v>45</v>
      </c>
      <c r="C154" s="424" t="str">
        <f t="shared" si="18"/>
        <v>X</v>
      </c>
      <c r="D154" s="477" t="s">
        <v>1528</v>
      </c>
      <c r="E154" s="438" t="s">
        <v>620</v>
      </c>
      <c r="F154" s="229">
        <v>1</v>
      </c>
      <c r="H154" s="425" t="str">
        <f t="shared" si="21"/>
        <v>Combustíveis: Gasóleo</v>
      </c>
      <c r="I154" s="425" t="str">
        <f t="shared" si="19"/>
        <v>Combustíveis: Gasóleo :: 2023</v>
      </c>
      <c r="J154" s="422" t="s">
        <v>6040</v>
      </c>
      <c r="K154" s="424" t="s">
        <v>566</v>
      </c>
      <c r="L154" s="438" t="s">
        <v>34</v>
      </c>
      <c r="M154" s="438" t="s">
        <v>558</v>
      </c>
      <c r="N154" s="438" t="s">
        <v>555</v>
      </c>
      <c r="O154" s="120">
        <v>3522.67</v>
      </c>
      <c r="P154" s="175" t="s">
        <v>1861</v>
      </c>
      <c r="Q154" s="439" t="s">
        <v>630</v>
      </c>
      <c r="T154" s="475">
        <v>2023</v>
      </c>
      <c r="U154" s="476" t="s">
        <v>3499</v>
      </c>
      <c r="V154" s="476" t="s">
        <v>3506</v>
      </c>
      <c r="W154" s="422" t="str">
        <f t="shared" si="14"/>
        <v>Sim</v>
      </c>
    </row>
    <row r="155" spans="1:23" ht="15.75" thickBot="1" x14ac:dyDescent="0.3">
      <c r="A155" s="422" t="s">
        <v>45</v>
      </c>
      <c r="B155" t="s">
        <v>45</v>
      </c>
      <c r="C155" s="424" t="str">
        <f t="shared" si="18"/>
        <v>X</v>
      </c>
      <c r="D155" s="477" t="s">
        <v>1528</v>
      </c>
      <c r="E155" s="438" t="s">
        <v>620</v>
      </c>
      <c r="F155" s="229">
        <v>1</v>
      </c>
      <c r="H155" s="425" t="str">
        <f t="shared" si="21"/>
        <v>Combustíveis: Gasóleo</v>
      </c>
      <c r="I155" s="425" t="str">
        <f t="shared" si="19"/>
        <v>Combustíveis: Gasóleo :: 2023</v>
      </c>
      <c r="J155" s="422" t="s">
        <v>6040</v>
      </c>
      <c r="K155" s="424" t="s">
        <v>6033</v>
      </c>
      <c r="L155" s="438" t="s">
        <v>34</v>
      </c>
      <c r="M155" s="438" t="s">
        <v>558</v>
      </c>
      <c r="N155" s="438" t="s">
        <v>555</v>
      </c>
      <c r="O155" s="120">
        <v>485.94899999999996</v>
      </c>
      <c r="P155" s="175" t="s">
        <v>1861</v>
      </c>
      <c r="Q155" s="439" t="s">
        <v>630</v>
      </c>
      <c r="T155" s="475">
        <v>2023</v>
      </c>
      <c r="U155" s="476" t="s">
        <v>3499</v>
      </c>
      <c r="V155" s="476" t="s">
        <v>3506</v>
      </c>
      <c r="W155" s="422" t="str">
        <f t="shared" si="14"/>
        <v>Sim</v>
      </c>
    </row>
    <row r="156" spans="1:23" ht="15.75" thickBot="1" x14ac:dyDescent="0.3">
      <c r="A156" s="422" t="s">
        <v>45</v>
      </c>
      <c r="B156" t="s">
        <v>45</v>
      </c>
      <c r="C156" s="424" t="str">
        <f t="shared" si="18"/>
        <v>X</v>
      </c>
      <c r="D156" s="477" t="s">
        <v>1528</v>
      </c>
      <c r="E156" s="438" t="s">
        <v>620</v>
      </c>
      <c r="F156" s="229">
        <v>1</v>
      </c>
      <c r="H156" s="425" t="str">
        <f t="shared" si="21"/>
        <v>Combustíveis: Gasóleo</v>
      </c>
      <c r="I156" s="425" t="str">
        <f t="shared" si="19"/>
        <v>Combustíveis: Gasóleo :: 2023</v>
      </c>
      <c r="J156" s="422" t="s">
        <v>6040</v>
      </c>
      <c r="K156" s="424" t="s">
        <v>6034</v>
      </c>
      <c r="L156" s="438" t="s">
        <v>34</v>
      </c>
      <c r="M156" s="438" t="s">
        <v>558</v>
      </c>
      <c r="N156" s="438" t="s">
        <v>555</v>
      </c>
      <c r="O156" s="120">
        <v>14803.310000000003</v>
      </c>
      <c r="P156" s="175" t="s">
        <v>1861</v>
      </c>
      <c r="Q156" s="439" t="s">
        <v>630</v>
      </c>
      <c r="T156" s="475">
        <v>2023</v>
      </c>
      <c r="U156" s="476" t="s">
        <v>3499</v>
      </c>
      <c r="V156" s="476" t="s">
        <v>3506</v>
      </c>
      <c r="W156" s="422" t="str">
        <f t="shared" si="14"/>
        <v>Sim</v>
      </c>
    </row>
    <row r="157" spans="1:23" ht="15.75" thickBot="1" x14ac:dyDescent="0.3">
      <c r="A157" s="422" t="s">
        <v>45</v>
      </c>
      <c r="B157" t="s">
        <v>45</v>
      </c>
      <c r="C157" s="424" t="str">
        <f t="shared" si="18"/>
        <v>X</v>
      </c>
      <c r="D157" s="477" t="s">
        <v>1528</v>
      </c>
      <c r="E157" s="438" t="s">
        <v>620</v>
      </c>
      <c r="F157" s="229">
        <v>1</v>
      </c>
      <c r="H157" s="425" t="str">
        <f t="shared" si="21"/>
        <v>Combustíveis: Gasóleo</v>
      </c>
      <c r="I157" s="425" t="str">
        <f t="shared" si="19"/>
        <v>Combustíveis: Gasóleo :: 2023</v>
      </c>
      <c r="J157" s="422" t="s">
        <v>6040</v>
      </c>
      <c r="K157" s="424" t="s">
        <v>4618</v>
      </c>
      <c r="L157" s="438" t="s">
        <v>34</v>
      </c>
      <c r="M157" s="438" t="s">
        <v>558</v>
      </c>
      <c r="N157" s="438" t="s">
        <v>555</v>
      </c>
      <c r="O157" s="120">
        <v>48941.41</v>
      </c>
      <c r="P157" s="175" t="s">
        <v>1861</v>
      </c>
      <c r="Q157" s="439" t="s">
        <v>630</v>
      </c>
      <c r="T157" s="475">
        <v>2023</v>
      </c>
      <c r="U157" s="476" t="s">
        <v>3499</v>
      </c>
      <c r="V157" s="476" t="s">
        <v>3506</v>
      </c>
      <c r="W157" s="422" t="str">
        <f t="shared" si="14"/>
        <v>Sim</v>
      </c>
    </row>
    <row r="158" spans="1:23" ht="15.75" thickBot="1" x14ac:dyDescent="0.3">
      <c r="A158" s="422" t="s">
        <v>45</v>
      </c>
      <c r="B158" t="s">
        <v>45</v>
      </c>
      <c r="C158" s="424" t="str">
        <f t="shared" si="18"/>
        <v>X</v>
      </c>
      <c r="D158" s="477" t="s">
        <v>1528</v>
      </c>
      <c r="E158" s="438" t="s">
        <v>620</v>
      </c>
      <c r="F158" s="229">
        <v>1</v>
      </c>
      <c r="H158" s="425" t="str">
        <f t="shared" si="21"/>
        <v>Combustíveis: Gasóleo</v>
      </c>
      <c r="I158" s="425" t="str">
        <f t="shared" si="19"/>
        <v>Combustíveis: Gasóleo :: 2023</v>
      </c>
      <c r="J158" s="422" t="s">
        <v>6040</v>
      </c>
      <c r="K158" s="424" t="s">
        <v>3124</v>
      </c>
      <c r="L158" s="438" t="s">
        <v>34</v>
      </c>
      <c r="M158" s="438" t="s">
        <v>558</v>
      </c>
      <c r="N158" s="438" t="s">
        <v>555</v>
      </c>
      <c r="O158" s="120">
        <v>7352.3399999999992</v>
      </c>
      <c r="P158" s="175" t="s">
        <v>1861</v>
      </c>
      <c r="Q158" s="439" t="s">
        <v>630</v>
      </c>
      <c r="T158" s="475">
        <v>2023</v>
      </c>
      <c r="U158" s="476" t="s">
        <v>3499</v>
      </c>
      <c r="V158" s="476" t="s">
        <v>3506</v>
      </c>
      <c r="W158" s="422" t="str">
        <f t="shared" si="14"/>
        <v>Sim</v>
      </c>
    </row>
    <row r="159" spans="1:23" ht="15.75" thickBot="1" x14ac:dyDescent="0.3">
      <c r="A159" s="422" t="s">
        <v>45</v>
      </c>
      <c r="B159" t="s">
        <v>45</v>
      </c>
      <c r="C159" s="424" t="str">
        <f t="shared" si="18"/>
        <v>X</v>
      </c>
      <c r="D159" s="477" t="s">
        <v>1528</v>
      </c>
      <c r="E159" s="438" t="s">
        <v>620</v>
      </c>
      <c r="F159" s="229">
        <v>1</v>
      </c>
      <c r="H159" s="425" t="str">
        <f t="shared" si="21"/>
        <v>Combustíveis: Gasóleo</v>
      </c>
      <c r="I159" s="425" t="str">
        <f t="shared" si="19"/>
        <v>Combustíveis: Gasóleo :: 2023</v>
      </c>
      <c r="J159" s="422" t="s">
        <v>6040</v>
      </c>
      <c r="K159" s="424" t="s">
        <v>565</v>
      </c>
      <c r="L159" s="438" t="s">
        <v>34</v>
      </c>
      <c r="M159" s="438" t="s">
        <v>558</v>
      </c>
      <c r="N159" s="438" t="s">
        <v>555</v>
      </c>
      <c r="O159" s="120">
        <v>1873.1399999999999</v>
      </c>
      <c r="P159" s="175" t="s">
        <v>1861</v>
      </c>
      <c r="Q159" s="439" t="s">
        <v>630</v>
      </c>
      <c r="T159" s="475">
        <v>2023</v>
      </c>
      <c r="U159" s="476" t="s">
        <v>3499</v>
      </c>
      <c r="V159" s="476" t="s">
        <v>3506</v>
      </c>
      <c r="W159" s="422" t="str">
        <f t="shared" si="14"/>
        <v>Sim</v>
      </c>
    </row>
    <row r="160" spans="1:23" ht="15.75" thickBot="1" x14ac:dyDescent="0.3">
      <c r="A160" s="422" t="s">
        <v>45</v>
      </c>
      <c r="B160" t="s">
        <v>45</v>
      </c>
      <c r="C160" s="424" t="str">
        <f t="shared" si="18"/>
        <v>X</v>
      </c>
      <c r="D160" s="477" t="s">
        <v>1528</v>
      </c>
      <c r="E160" s="438" t="s">
        <v>620</v>
      </c>
      <c r="F160" s="229">
        <v>1</v>
      </c>
      <c r="H160" s="425" t="str">
        <f t="shared" si="21"/>
        <v>Combustíveis: Gasóleo</v>
      </c>
      <c r="I160" s="425" t="str">
        <f t="shared" si="19"/>
        <v>Combustíveis: Gasóleo :: 2023</v>
      </c>
      <c r="J160" s="422" t="s">
        <v>6040</v>
      </c>
      <c r="K160" s="424" t="s">
        <v>6035</v>
      </c>
      <c r="L160" s="438" t="s">
        <v>34</v>
      </c>
      <c r="M160" s="438" t="s">
        <v>558</v>
      </c>
      <c r="N160" s="438" t="s">
        <v>555</v>
      </c>
      <c r="O160" s="120">
        <v>81543.62000000001</v>
      </c>
      <c r="P160" s="175" t="s">
        <v>1861</v>
      </c>
      <c r="Q160" s="439" t="s">
        <v>630</v>
      </c>
      <c r="T160" s="475">
        <v>2023</v>
      </c>
      <c r="U160" s="476" t="s">
        <v>3499</v>
      </c>
      <c r="V160" s="476" t="s">
        <v>3506</v>
      </c>
      <c r="W160" s="422" t="str">
        <f t="shared" si="14"/>
        <v>Sim</v>
      </c>
    </row>
    <row r="161" spans="1:23" ht="15.75" thickBot="1" x14ac:dyDescent="0.3">
      <c r="A161" s="422" t="s">
        <v>45</v>
      </c>
      <c r="B161" t="s">
        <v>45</v>
      </c>
      <c r="C161" s="424" t="str">
        <f t="shared" si="18"/>
        <v>X</v>
      </c>
      <c r="D161" s="477" t="s">
        <v>1528</v>
      </c>
      <c r="E161" s="438" t="s">
        <v>620</v>
      </c>
      <c r="F161" s="229">
        <v>1</v>
      </c>
      <c r="H161" s="425" t="str">
        <f t="shared" si="21"/>
        <v>Combustíveis: Gasóleo</v>
      </c>
      <c r="I161" s="425" t="str">
        <f t="shared" si="19"/>
        <v>Combustíveis: Gasóleo :: 2023</v>
      </c>
      <c r="J161" s="422" t="s">
        <v>6040</v>
      </c>
      <c r="K161" s="424" t="s">
        <v>583</v>
      </c>
      <c r="L161" s="438" t="s">
        <v>34</v>
      </c>
      <c r="M161" s="438" t="s">
        <v>558</v>
      </c>
      <c r="N161" s="438" t="s">
        <v>555</v>
      </c>
      <c r="O161" s="120">
        <v>72445.39</v>
      </c>
      <c r="P161" s="175" t="s">
        <v>1861</v>
      </c>
      <c r="Q161" s="439" t="s">
        <v>630</v>
      </c>
      <c r="T161" s="475">
        <v>2023</v>
      </c>
      <c r="U161" s="476" t="s">
        <v>3499</v>
      </c>
      <c r="V161" s="476" t="s">
        <v>3506</v>
      </c>
      <c r="W161" s="422" t="str">
        <f t="shared" si="14"/>
        <v>Sim</v>
      </c>
    </row>
    <row r="162" spans="1:23" ht="15.75" thickBot="1" x14ac:dyDescent="0.3">
      <c r="A162" s="422" t="s">
        <v>45</v>
      </c>
      <c r="B162" t="s">
        <v>45</v>
      </c>
      <c r="C162" s="424" t="str">
        <f t="shared" si="18"/>
        <v>X</v>
      </c>
      <c r="D162" s="477" t="s">
        <v>1528</v>
      </c>
      <c r="E162" s="438" t="s">
        <v>620</v>
      </c>
      <c r="F162" s="229">
        <v>1</v>
      </c>
      <c r="H162" s="425" t="str">
        <f t="shared" si="21"/>
        <v>Combustíveis: Gasóleo</v>
      </c>
      <c r="I162" s="425" t="str">
        <f t="shared" si="19"/>
        <v>Combustíveis: Gasóleo :: 2023</v>
      </c>
      <c r="J162" s="422" t="s">
        <v>6040</v>
      </c>
      <c r="K162" s="424" t="s">
        <v>554</v>
      </c>
      <c r="L162" s="438" t="s">
        <v>34</v>
      </c>
      <c r="M162" s="438" t="s">
        <v>558</v>
      </c>
      <c r="N162" s="438" t="s">
        <v>555</v>
      </c>
      <c r="O162" s="120">
        <v>46467.6</v>
      </c>
      <c r="P162" s="175" t="s">
        <v>1861</v>
      </c>
      <c r="Q162" s="439" t="s">
        <v>630</v>
      </c>
      <c r="T162" s="475">
        <v>2023</v>
      </c>
      <c r="U162" s="476" t="s">
        <v>3499</v>
      </c>
      <c r="V162" s="476" t="s">
        <v>3506</v>
      </c>
      <c r="W162" s="422" t="str">
        <f t="shared" si="14"/>
        <v>Sim</v>
      </c>
    </row>
  </sheetData>
  <mergeCells count="19">
    <mergeCell ref="Q1:Q2"/>
    <mergeCell ref="W1:W2"/>
    <mergeCell ref="U1:U2"/>
    <mergeCell ref="V1:V2"/>
    <mergeCell ref="R1:R2"/>
    <mergeCell ref="S1:S2"/>
    <mergeCell ref="A1:A2"/>
    <mergeCell ref="P1:P2"/>
    <mergeCell ref="C1:C2"/>
    <mergeCell ref="H1:H2"/>
    <mergeCell ref="B1:B2"/>
    <mergeCell ref="D1:D2"/>
    <mergeCell ref="E1:E2"/>
    <mergeCell ref="K1:K2"/>
    <mergeCell ref="L1:L2"/>
    <mergeCell ref="M1:M2"/>
    <mergeCell ref="N1:N2"/>
    <mergeCell ref="O1:O2"/>
    <mergeCell ref="I1:I2"/>
  </mergeCells>
  <dataValidations disablePrompts="1" count="5">
    <dataValidation type="list" allowBlank="1" showInputMessage="1" showErrorMessage="1" sqref="Q3:Q62 Q64:Q78">
      <formula1>"unidades, paletes, contentores, kWh, l (litros), kg (quilos), ton (toneladas), Nm3 (metros cubicos norm.), Outro/NA"</formula1>
    </dataValidation>
    <dataValidation type="list" allowBlank="1" showInputMessage="1" showErrorMessage="1" sqref="K50 M3:M78">
      <formula1>"Não Aplicável, Rodoviário, Ferroviário, Aéreo, Marítimo, Outro"</formula1>
    </dataValidation>
    <dataValidation type="list" allowBlank="1" showInputMessage="1" showErrorMessage="1" sqref="D3:D78 O51:O54">
      <formula1>"Combustíveis, Óleos e Aditivos, Equipamentos de AC, Gases Refrigerantes, Outro"</formula1>
    </dataValidation>
    <dataValidation type="list" allowBlank="1" showInputMessage="1" showErrorMessage="1" sqref="L3:L49 L51:L98 L134:L136 L130:L132 L119:L127 L138:L145">
      <formula1>"Sim, Não"</formula1>
    </dataValidation>
    <dataValidation type="list" allowBlank="1" showInputMessage="1" showErrorMessage="1" sqref="N3:N78">
      <formula1>"Meios Próprios Cliente, LCV/Van, HDV Rigid, HDV Articulated, HDV Avg, HDV refrigerated, Freight Flights, Rail, Sea Tanker (products), Sea Tanker (chem. Tanker), Cargo Ship (bulk), Cargo Ship (general), Cargo Ship (container ship), Outro"</formula1>
    </dataValidation>
  </dataValidations>
  <pageMargins left="0.7" right="0.7" top="0.75" bottom="0.75" header="0.3" footer="0.3"/>
  <customProperties>
    <customPr name="GUID" r:id="rId1"/>
  </customPropertie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8"/>
  <dimension ref="B6:AC45"/>
  <sheetViews>
    <sheetView workbookViewId="0"/>
  </sheetViews>
  <sheetFormatPr defaultRowHeight="15" x14ac:dyDescent="0.25"/>
  <cols>
    <col min="2" max="2" width="53.140625" customWidth="1"/>
    <col min="3" max="5" width="35.7109375" customWidth="1"/>
    <col min="6" max="7" width="24.140625" customWidth="1"/>
    <col min="8" max="8" width="20.5703125" customWidth="1"/>
    <col min="9" max="9" width="20.28515625" customWidth="1"/>
    <col min="10" max="10" width="25.7109375" customWidth="1"/>
    <col min="11" max="11" width="28.7109375" customWidth="1"/>
    <col min="12" max="13" width="25.7109375" customWidth="1"/>
    <col min="14" max="14" width="88.5703125" bestFit="1" customWidth="1"/>
    <col min="15" max="15" width="30.5703125" customWidth="1"/>
    <col min="16" max="16" width="43.28515625" customWidth="1"/>
  </cols>
  <sheetData>
    <row r="6" spans="2:27" ht="15.75" thickBot="1" x14ac:dyDescent="0.3"/>
    <row r="7" spans="2:27" x14ac:dyDescent="0.25">
      <c r="B7" s="78" t="s">
        <v>118</v>
      </c>
      <c r="C7" s="79"/>
      <c r="D7" s="93"/>
      <c r="E7" s="93"/>
      <c r="F7" s="93"/>
      <c r="G7" s="93"/>
      <c r="H7" s="93"/>
    </row>
    <row r="9" spans="2:27" x14ac:dyDescent="0.25">
      <c r="B9" s="765" t="str">
        <f>"Grupo Barraqueiro: "&amp;'Folha de Rosto'!C6&amp;" "&amp;'Folha de Rosto'!I6&amp;" - Emissões de GEE de Âmbito 3"</f>
        <v>Grupo Barraqueiro: PEGADA DE CARBONO 2022 - Emissões de GEE de Âmbito 3</v>
      </c>
      <c r="C9" s="765"/>
      <c r="D9" s="765"/>
      <c r="E9" s="765"/>
      <c r="F9" s="765"/>
      <c r="G9" s="765"/>
      <c r="H9" s="765"/>
      <c r="I9" s="765"/>
      <c r="J9" s="765"/>
      <c r="K9" s="765"/>
      <c r="L9" s="765"/>
      <c r="M9" s="765"/>
      <c r="N9" s="765"/>
      <c r="O9" s="765"/>
      <c r="P9" s="765"/>
      <c r="Q9" s="765"/>
      <c r="R9" s="765"/>
      <c r="S9" s="765"/>
      <c r="T9" s="765"/>
      <c r="U9" s="765"/>
      <c r="V9" s="765"/>
      <c r="W9" s="765"/>
      <c r="X9" s="765"/>
      <c r="Y9" s="765"/>
      <c r="Z9" s="765"/>
      <c r="AA9" s="765"/>
    </row>
    <row r="10" spans="2:27" ht="15.75" thickBot="1" x14ac:dyDescent="0.3"/>
    <row r="11" spans="2:27" ht="33.6" customHeight="1" thickBot="1" x14ac:dyDescent="0.3">
      <c r="B11" s="761" t="s">
        <v>119</v>
      </c>
      <c r="C11" s="761"/>
      <c r="D11" s="802" t="s">
        <v>522</v>
      </c>
      <c r="E11" s="803"/>
      <c r="F11" s="803"/>
      <c r="G11" s="803"/>
      <c r="H11" s="803"/>
      <c r="I11" s="803"/>
      <c r="J11" s="767"/>
    </row>
    <row r="12" spans="2:27" ht="60.95" customHeight="1" thickBot="1" x14ac:dyDescent="0.3">
      <c r="B12" s="761" t="s">
        <v>120</v>
      </c>
      <c r="C12" s="761"/>
      <c r="D12" s="805" t="s">
        <v>524</v>
      </c>
      <c r="E12" s="806"/>
      <c r="F12" s="806"/>
      <c r="G12" s="806"/>
      <c r="H12" s="806"/>
      <c r="I12" s="806"/>
      <c r="J12" s="770"/>
    </row>
    <row r="13" spans="2:27" ht="60.95" customHeight="1" thickBot="1" x14ac:dyDescent="0.3">
      <c r="B13" s="761" t="s">
        <v>121</v>
      </c>
      <c r="C13" s="761"/>
      <c r="D13" s="798" t="s">
        <v>1529</v>
      </c>
      <c r="E13" s="799"/>
      <c r="F13" s="799"/>
      <c r="G13" s="799"/>
      <c r="H13" s="799"/>
      <c r="I13" s="799"/>
      <c r="J13" s="762"/>
    </row>
    <row r="14" spans="2:27" ht="60.95" customHeight="1" thickBot="1" x14ac:dyDescent="0.3">
      <c r="B14" s="761" t="s">
        <v>122</v>
      </c>
      <c r="C14" s="761"/>
      <c r="D14" s="798" t="s">
        <v>123</v>
      </c>
      <c r="E14" s="799"/>
      <c r="F14" s="799"/>
      <c r="G14" s="799"/>
      <c r="H14" s="799"/>
      <c r="I14" s="799"/>
      <c r="J14" s="762"/>
    </row>
    <row r="15" spans="2:27" ht="60" customHeight="1" thickBot="1" x14ac:dyDescent="0.3">
      <c r="B15" s="761" t="s">
        <v>128</v>
      </c>
      <c r="C15" s="761"/>
      <c r="D15" s="798" t="s">
        <v>129</v>
      </c>
      <c r="E15" s="799"/>
      <c r="F15" s="799"/>
      <c r="G15" s="799"/>
      <c r="H15" s="799"/>
      <c r="I15" s="799"/>
      <c r="J15" s="799"/>
    </row>
    <row r="17" spans="2:29" x14ac:dyDescent="0.25">
      <c r="B17" s="765" t="s">
        <v>43</v>
      </c>
      <c r="C17" s="765"/>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row>
    <row r="18" spans="2:29" x14ac:dyDescent="0.25">
      <c r="B18" t="s">
        <v>130</v>
      </c>
    </row>
    <row r="20" spans="2:29" x14ac:dyDescent="0.25">
      <c r="B20" s="81" t="s">
        <v>135</v>
      </c>
    </row>
    <row r="21" spans="2:29" x14ac:dyDescent="0.25">
      <c r="B21" s="766" t="s">
        <v>1811</v>
      </c>
      <c r="C21" s="766"/>
      <c r="D21" s="766"/>
      <c r="E21" s="766"/>
      <c r="F21" s="766"/>
      <c r="G21" s="766"/>
      <c r="H21" s="766"/>
      <c r="I21" s="766"/>
      <c r="J21" s="766"/>
      <c r="K21" s="766"/>
      <c r="L21" s="766"/>
      <c r="M21" s="766"/>
      <c r="N21" s="766"/>
      <c r="O21" s="766"/>
      <c r="P21" s="766"/>
      <c r="Q21" s="766"/>
      <c r="R21" s="766"/>
      <c r="S21" s="766"/>
      <c r="T21" s="766"/>
      <c r="U21" s="766"/>
      <c r="V21" s="766"/>
      <c r="W21" s="766"/>
      <c r="X21" s="766"/>
      <c r="Y21" s="766"/>
      <c r="Z21" s="766"/>
      <c r="AA21" s="766"/>
    </row>
    <row r="22" spans="2:29" x14ac:dyDescent="0.25">
      <c r="B22" s="766"/>
      <c r="C22" s="766"/>
      <c r="D22" s="766"/>
      <c r="E22" s="766"/>
      <c r="F22" s="766"/>
      <c r="G22" s="766"/>
      <c r="H22" s="766"/>
      <c r="I22" s="766"/>
      <c r="J22" s="766"/>
      <c r="K22" s="766"/>
      <c r="L22" s="766"/>
      <c r="M22" s="766"/>
      <c r="N22" s="766"/>
      <c r="O22" s="766"/>
      <c r="P22" s="766"/>
      <c r="Q22" s="766"/>
      <c r="R22" s="766"/>
      <c r="S22" s="766"/>
      <c r="T22" s="766"/>
      <c r="U22" s="766"/>
      <c r="V22" s="766"/>
      <c r="W22" s="766"/>
      <c r="X22" s="766"/>
      <c r="Y22" s="766"/>
      <c r="Z22" s="766"/>
      <c r="AA22" s="766"/>
    </row>
    <row r="24" spans="2:29" ht="15" customHeight="1" x14ac:dyDescent="0.25">
      <c r="B24" s="81" t="s">
        <v>136</v>
      </c>
    </row>
    <row r="25" spans="2:29" x14ac:dyDescent="0.25">
      <c r="B25" s="766" t="s">
        <v>1812</v>
      </c>
      <c r="C25" s="766"/>
      <c r="D25" s="766"/>
      <c r="E25" s="766"/>
      <c r="F25" s="766"/>
      <c r="G25" s="766"/>
      <c r="H25" s="766"/>
      <c r="I25" s="766"/>
      <c r="J25" s="766"/>
      <c r="K25" s="766"/>
      <c r="L25" s="766"/>
      <c r="M25" s="766"/>
      <c r="N25" s="766"/>
      <c r="O25" s="766"/>
      <c r="P25" s="766"/>
      <c r="Q25" s="766"/>
      <c r="R25" s="766"/>
      <c r="S25" s="766"/>
      <c r="T25" s="766"/>
      <c r="U25" s="766"/>
      <c r="V25" s="766"/>
      <c r="W25" s="766"/>
      <c r="X25" s="766"/>
      <c r="Y25" s="766"/>
      <c r="Z25" s="766"/>
      <c r="AA25" s="766"/>
    </row>
    <row r="26" spans="2:29" x14ac:dyDescent="0.25">
      <c r="B26" s="766"/>
      <c r="C26" s="766"/>
      <c r="D26" s="766"/>
      <c r="E26" s="766"/>
      <c r="F26" s="766"/>
      <c r="G26" s="766"/>
      <c r="H26" s="766"/>
      <c r="I26" s="766"/>
      <c r="J26" s="766"/>
      <c r="K26" s="766"/>
      <c r="L26" s="766"/>
      <c r="M26" s="766"/>
      <c r="N26" s="766"/>
      <c r="O26" s="766"/>
      <c r="P26" s="766"/>
      <c r="Q26" s="766"/>
      <c r="R26" s="766"/>
      <c r="S26" s="766"/>
      <c r="T26" s="766"/>
      <c r="U26" s="766"/>
      <c r="V26" s="766"/>
      <c r="W26" s="766"/>
      <c r="X26" s="766"/>
      <c r="Y26" s="766"/>
      <c r="Z26" s="766"/>
      <c r="AA26" s="766"/>
    </row>
    <row r="27" spans="2:29" ht="15.75" thickBot="1" x14ac:dyDescent="0.3"/>
    <row r="28" spans="2:29" s="94" customFormat="1" ht="15.75" customHeight="1" thickBot="1" x14ac:dyDescent="0.3">
      <c r="B28" s="757" t="s">
        <v>131</v>
      </c>
      <c r="C28" s="757" t="s">
        <v>529</v>
      </c>
      <c r="D28" s="757" t="s">
        <v>525</v>
      </c>
      <c r="E28" s="759" t="s">
        <v>445</v>
      </c>
      <c r="F28" s="757" t="s">
        <v>449</v>
      </c>
      <c r="G28" s="778" t="s">
        <v>1743</v>
      </c>
      <c r="H28" s="778" t="s">
        <v>526</v>
      </c>
      <c r="I28" s="759" t="s">
        <v>446</v>
      </c>
      <c r="J28" s="759" t="s">
        <v>141</v>
      </c>
      <c r="K28" s="757" t="s">
        <v>527</v>
      </c>
      <c r="L28" s="757" t="s">
        <v>528</v>
      </c>
      <c r="M28" s="759" t="s">
        <v>448</v>
      </c>
      <c r="N28" s="759" t="s">
        <v>134</v>
      </c>
    </row>
    <row r="29" spans="2:29" s="94" customFormat="1" ht="15" customHeight="1" thickBot="1" x14ac:dyDescent="0.3">
      <c r="B29" s="758"/>
      <c r="C29" s="758"/>
      <c r="D29" s="758"/>
      <c r="E29" s="757"/>
      <c r="F29" s="809"/>
      <c r="G29" s="779"/>
      <c r="H29" s="779"/>
      <c r="I29" s="757"/>
      <c r="J29" s="757"/>
      <c r="K29" s="809"/>
      <c r="L29" s="809"/>
      <c r="M29" s="757"/>
      <c r="N29" s="759"/>
    </row>
    <row r="30" spans="2:29" ht="15.75" thickBot="1" x14ac:dyDescent="0.3">
      <c r="B30" s="82" t="s">
        <v>534</v>
      </c>
      <c r="C30" s="83" t="s">
        <v>1835</v>
      </c>
      <c r="D30" s="83"/>
      <c r="E30" s="83" t="s">
        <v>1745</v>
      </c>
      <c r="F30" s="83" t="s">
        <v>1836</v>
      </c>
      <c r="G30" s="83"/>
      <c r="H30" s="83" t="s">
        <v>34</v>
      </c>
      <c r="I30" s="160">
        <f>SUM(I31:I36)</f>
        <v>4803925.8900000006</v>
      </c>
      <c r="J30" s="85" t="s">
        <v>1837</v>
      </c>
      <c r="K30" s="83"/>
      <c r="L30" s="83"/>
      <c r="M30" s="83"/>
      <c r="N30" s="83" t="s">
        <v>1838</v>
      </c>
    </row>
    <row r="31" spans="2:29" ht="15.75" thickBot="1" x14ac:dyDescent="0.3">
      <c r="B31" s="82" t="s">
        <v>1072</v>
      </c>
      <c r="C31" s="83" t="s">
        <v>1835</v>
      </c>
      <c r="D31" s="83"/>
      <c r="E31" s="83" t="s">
        <v>1745</v>
      </c>
      <c r="F31" s="83" t="s">
        <v>1836</v>
      </c>
      <c r="G31" s="83"/>
      <c r="H31" s="83" t="s">
        <v>34</v>
      </c>
      <c r="I31" s="160">
        <v>1597749.55</v>
      </c>
      <c r="J31" s="85" t="s">
        <v>1837</v>
      </c>
      <c r="K31" s="83"/>
      <c r="L31" s="83"/>
      <c r="M31" s="83"/>
      <c r="N31" s="83" t="s">
        <v>1838</v>
      </c>
    </row>
    <row r="32" spans="2:29" ht="15.75" thickBot="1" x14ac:dyDescent="0.3">
      <c r="B32" s="82" t="s">
        <v>545</v>
      </c>
      <c r="C32" s="83" t="s">
        <v>1835</v>
      </c>
      <c r="D32" s="83"/>
      <c r="E32" s="83" t="s">
        <v>1745</v>
      </c>
      <c r="F32" s="83" t="s">
        <v>1836</v>
      </c>
      <c r="G32" s="83"/>
      <c r="H32" s="83" t="s">
        <v>34</v>
      </c>
      <c r="I32" s="160">
        <f>1113833.47+146.23</f>
        <v>1113979.7</v>
      </c>
      <c r="J32" s="85" t="s">
        <v>1837</v>
      </c>
      <c r="K32" s="83"/>
      <c r="L32" s="83"/>
      <c r="M32" s="83"/>
      <c r="N32" s="83" t="s">
        <v>1838</v>
      </c>
    </row>
    <row r="33" spans="2:14" ht="15.75" thickBot="1" x14ac:dyDescent="0.3">
      <c r="B33" s="82" t="s">
        <v>542</v>
      </c>
      <c r="C33" s="83" t="s">
        <v>1835</v>
      </c>
      <c r="D33" s="83"/>
      <c r="E33" s="83" t="s">
        <v>1745</v>
      </c>
      <c r="F33" s="83" t="s">
        <v>1836</v>
      </c>
      <c r="G33" s="83"/>
      <c r="H33" s="83" t="s">
        <v>34</v>
      </c>
      <c r="I33" s="160">
        <v>180</v>
      </c>
      <c r="J33" s="85" t="s">
        <v>1837</v>
      </c>
      <c r="K33" s="83"/>
      <c r="L33" s="83"/>
      <c r="M33" s="83"/>
      <c r="N33" s="83" t="s">
        <v>1838</v>
      </c>
    </row>
    <row r="34" spans="2:14" ht="15.75" thickBot="1" x14ac:dyDescent="0.3">
      <c r="B34" s="82" t="s">
        <v>543</v>
      </c>
      <c r="C34" s="83" t="s">
        <v>1835</v>
      </c>
      <c r="D34" s="83"/>
      <c r="E34" s="83" t="s">
        <v>1745</v>
      </c>
      <c r="F34" s="83" t="s">
        <v>1836</v>
      </c>
      <c r="G34" s="83"/>
      <c r="H34" s="83" t="s">
        <v>34</v>
      </c>
      <c r="I34" s="160">
        <v>560300.35</v>
      </c>
      <c r="J34" s="85" t="s">
        <v>1837</v>
      </c>
      <c r="K34" s="83"/>
      <c r="L34" s="83"/>
      <c r="M34" s="83"/>
      <c r="N34" s="83" t="s">
        <v>1838</v>
      </c>
    </row>
    <row r="35" spans="2:14" ht="15.75" thickBot="1" x14ac:dyDescent="0.3">
      <c r="B35" s="82" t="s">
        <v>544</v>
      </c>
      <c r="C35" s="83" t="s">
        <v>1835</v>
      </c>
      <c r="D35" s="83"/>
      <c r="E35" s="83" t="s">
        <v>1745</v>
      </c>
      <c r="F35" s="83" t="s">
        <v>1836</v>
      </c>
      <c r="G35" s="83"/>
      <c r="H35" s="83" t="s">
        <v>34</v>
      </c>
      <c r="I35" s="160">
        <v>31709.35</v>
      </c>
      <c r="J35" s="85" t="s">
        <v>1837</v>
      </c>
      <c r="K35" s="83"/>
      <c r="L35" s="83"/>
      <c r="M35" s="83"/>
      <c r="N35" s="83" t="s">
        <v>1838</v>
      </c>
    </row>
    <row r="36" spans="2:14" ht="15.75" thickBot="1" x14ac:dyDescent="0.3">
      <c r="B36" s="82" t="s">
        <v>541</v>
      </c>
      <c r="C36" s="83" t="s">
        <v>1835</v>
      </c>
      <c r="D36" s="83"/>
      <c r="E36" s="83" t="s">
        <v>1745</v>
      </c>
      <c r="F36" s="83" t="s">
        <v>1836</v>
      </c>
      <c r="G36" s="83"/>
      <c r="H36" s="83" t="s">
        <v>34</v>
      </c>
      <c r="I36" s="160">
        <v>1500006.94</v>
      </c>
      <c r="J36" s="85" t="s">
        <v>1837</v>
      </c>
      <c r="K36" s="83"/>
      <c r="L36" s="83"/>
      <c r="M36" s="83"/>
      <c r="N36" s="83" t="s">
        <v>1838</v>
      </c>
    </row>
    <row r="37" spans="2:14" ht="15.75" thickBot="1" x14ac:dyDescent="0.3">
      <c r="B37" s="82"/>
      <c r="C37" s="83"/>
      <c r="D37" s="83"/>
      <c r="E37" s="83"/>
      <c r="F37" s="83"/>
      <c r="G37" s="83"/>
      <c r="H37" s="83"/>
      <c r="I37" s="83"/>
      <c r="J37" s="85"/>
      <c r="K37" s="83"/>
      <c r="L37" s="83"/>
      <c r="M37" s="83"/>
      <c r="N37" s="83"/>
    </row>
    <row r="38" spans="2:14" ht="15.75" thickBot="1" x14ac:dyDescent="0.3">
      <c r="B38" s="82"/>
      <c r="C38" s="83"/>
      <c r="D38" s="83"/>
      <c r="E38" s="83"/>
      <c r="F38" s="83"/>
      <c r="G38" s="83"/>
      <c r="H38" s="83"/>
      <c r="I38" s="83"/>
      <c r="J38" s="85"/>
      <c r="K38" s="83"/>
      <c r="L38" s="83"/>
      <c r="M38" s="83"/>
      <c r="N38" s="83"/>
    </row>
    <row r="39" spans="2:14" ht="15.75" thickBot="1" x14ac:dyDescent="0.3">
      <c r="B39" s="82"/>
      <c r="C39" s="83"/>
      <c r="D39" s="83"/>
      <c r="E39" s="83"/>
      <c r="F39" s="83"/>
      <c r="G39" s="83"/>
      <c r="H39" s="83"/>
      <c r="I39" s="83"/>
      <c r="J39" s="85"/>
      <c r="K39" s="83"/>
      <c r="L39" s="83"/>
      <c r="M39" s="83"/>
      <c r="N39" s="83"/>
    </row>
    <row r="40" spans="2:14" ht="15.75" thickBot="1" x14ac:dyDescent="0.3">
      <c r="B40" s="82"/>
      <c r="C40" s="83"/>
      <c r="D40" s="83"/>
      <c r="E40" s="83"/>
      <c r="F40" s="83"/>
      <c r="G40" s="83"/>
      <c r="H40" s="83"/>
      <c r="I40" s="83"/>
      <c r="J40" s="85"/>
      <c r="K40" s="83"/>
      <c r="L40" s="83"/>
      <c r="M40" s="83"/>
      <c r="N40" s="83"/>
    </row>
    <row r="41" spans="2:14" ht="15.75" thickBot="1" x14ac:dyDescent="0.3">
      <c r="B41" s="82"/>
      <c r="C41" s="83"/>
      <c r="D41" s="83"/>
      <c r="E41" s="83"/>
      <c r="F41" s="83"/>
      <c r="G41" s="83"/>
      <c r="H41" s="83"/>
      <c r="I41" s="83"/>
      <c r="J41" s="85"/>
      <c r="K41" s="83"/>
      <c r="L41" s="83"/>
      <c r="M41" s="83"/>
      <c r="N41" s="83"/>
    </row>
    <row r="42" spans="2:14" ht="15.75" thickBot="1" x14ac:dyDescent="0.3">
      <c r="B42" s="82"/>
      <c r="C42" s="83"/>
      <c r="D42" s="83"/>
      <c r="E42" s="83"/>
      <c r="F42" s="83"/>
      <c r="G42" s="83"/>
      <c r="H42" s="83"/>
      <c r="I42" s="83"/>
      <c r="J42" s="85"/>
      <c r="K42" s="83"/>
      <c r="L42" s="83"/>
      <c r="M42" s="83"/>
      <c r="N42" s="83"/>
    </row>
    <row r="43" spans="2:14" ht="15.75" thickBot="1" x14ac:dyDescent="0.3">
      <c r="B43" s="82"/>
      <c r="C43" s="83"/>
      <c r="D43" s="83"/>
      <c r="E43" s="83"/>
      <c r="F43" s="83"/>
      <c r="G43" s="83"/>
      <c r="H43" s="83"/>
      <c r="I43" s="83"/>
      <c r="J43" s="85"/>
      <c r="K43" s="83"/>
      <c r="L43" s="83"/>
      <c r="M43" s="83"/>
      <c r="N43" s="83"/>
    </row>
    <row r="44" spans="2:14" ht="15.75" thickBot="1" x14ac:dyDescent="0.3">
      <c r="B44" s="82"/>
      <c r="C44" s="83"/>
      <c r="D44" s="83"/>
      <c r="E44" s="83"/>
      <c r="F44" s="83"/>
      <c r="G44" s="83"/>
      <c r="H44" s="83"/>
      <c r="I44" s="83"/>
      <c r="J44" s="85"/>
      <c r="K44" s="83"/>
      <c r="L44" s="83"/>
      <c r="M44" s="83"/>
      <c r="N44" s="83"/>
    </row>
    <row r="45" spans="2:14" ht="15.75" thickBot="1" x14ac:dyDescent="0.3">
      <c r="B45" s="82"/>
      <c r="C45" s="83"/>
      <c r="D45" s="83"/>
      <c r="E45" s="83"/>
      <c r="F45" s="83"/>
      <c r="G45" s="83"/>
      <c r="H45" s="83"/>
      <c r="I45" s="83"/>
      <c r="J45" s="85"/>
      <c r="K45" s="83"/>
      <c r="L45" s="83"/>
      <c r="M45" s="83"/>
      <c r="N45" s="83"/>
    </row>
  </sheetData>
  <mergeCells count="27">
    <mergeCell ref="B25:AA26"/>
    <mergeCell ref="B28:B29"/>
    <mergeCell ref="C28:C29"/>
    <mergeCell ref="D28:D29"/>
    <mergeCell ref="E28:E29"/>
    <mergeCell ref="F28:F29"/>
    <mergeCell ref="I28:I29"/>
    <mergeCell ref="J28:J29"/>
    <mergeCell ref="K28:K29"/>
    <mergeCell ref="L28:L29"/>
    <mergeCell ref="M28:M29"/>
    <mergeCell ref="N28:N29"/>
    <mergeCell ref="G28:G29"/>
    <mergeCell ref="H28:H29"/>
    <mergeCell ref="B21:AA22"/>
    <mergeCell ref="B9:AA9"/>
    <mergeCell ref="B11:C11"/>
    <mergeCell ref="D11:J11"/>
    <mergeCell ref="B12:C12"/>
    <mergeCell ref="D12:J12"/>
    <mergeCell ref="B13:C13"/>
    <mergeCell ref="D13:J13"/>
    <mergeCell ref="B14:C14"/>
    <mergeCell ref="D14:J14"/>
    <mergeCell ref="B15:C15"/>
    <mergeCell ref="D15:J15"/>
    <mergeCell ref="B17:AC17"/>
  </mergeCells>
  <dataValidations disablePrompts="1" count="5">
    <dataValidation type="list" allowBlank="1" showInputMessage="1" showErrorMessage="1" sqref="F37:F45">
      <formula1>"Meios Próprios Cliente,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H30:H45 D30:D45">
      <formula1>"Sim, Não"</formula1>
    </dataValidation>
    <dataValidation type="list" allowBlank="1" showInputMessage="1" showErrorMessage="1" sqref="E30:E45">
      <formula1>"Rodoviário, Ferroviário, Aéreo, Marítimo, Outro"</formula1>
    </dataValidation>
    <dataValidation type="list" allowBlank="1" showInputMessage="1" showErrorMessage="1" sqref="F30:F36">
      <formula1>"Bus,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J30:J45">
      <formula1>"passageiros, unidades, paletes, contentores, kWh, l (litros), kg (quilos), ton (toneladas), Nm3 (metros cubicos norm.), Outro/NA"</formula1>
    </dataValidation>
  </dataValidations>
  <pageMargins left="0.7" right="0.7" top="0.75" bottom="0.75" header="0.3" footer="0.3"/>
  <customProperties>
    <customPr name="GUID" r:id="rId1"/>
  </customPropertie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39"/>
  <dimension ref="A1:V204"/>
  <sheetViews>
    <sheetView tabSelected="1" topLeftCell="K1" workbookViewId="0">
      <pane ySplit="2" topLeftCell="A3" activePane="bottomLeft" state="frozen"/>
      <selection activeCell="K1" sqref="K1"/>
      <selection pane="bottomLeft" activeCell="C14" activeCellId="3" sqref="A17:XFD18 A20:XFD20 A27:XFD32 A14:XFD14"/>
    </sheetView>
  </sheetViews>
  <sheetFormatPr defaultRowHeight="15" x14ac:dyDescent="0.25"/>
  <cols>
    <col min="1" max="2" width="53.140625" customWidth="1"/>
    <col min="3" max="3" width="21.140625" bestFit="1" customWidth="1"/>
    <col min="4" max="4" width="57.28515625" bestFit="1" customWidth="1"/>
    <col min="5" max="5" width="35.7109375" customWidth="1"/>
    <col min="6" max="6" width="17.85546875" bestFit="1" customWidth="1"/>
    <col min="7" max="7" width="18.7109375" bestFit="1" customWidth="1"/>
    <col min="8" max="8" width="24.140625" customWidth="1"/>
    <col min="9" max="9" width="51.85546875" customWidth="1"/>
    <col min="10" max="10" width="24.140625" customWidth="1"/>
    <col min="11" max="11" width="20.5703125" customWidth="1"/>
    <col min="12" max="12" width="20.28515625" style="335" customWidth="1"/>
    <col min="13" max="13" width="25.7109375" customWidth="1"/>
    <col min="14" max="14" width="28.7109375" customWidth="1"/>
    <col min="15" max="15" width="25.7109375" customWidth="1"/>
    <col min="16" max="16" width="25.7109375" style="487" customWidth="1"/>
    <col min="17" max="17" width="88.5703125" bestFit="1" customWidth="1"/>
    <col min="18" max="18" width="30.5703125" customWidth="1"/>
    <col min="19" max="19" width="43.28515625" customWidth="1"/>
    <col min="22" max="22" width="14.140625" customWidth="1"/>
  </cols>
  <sheetData>
    <row r="1" spans="1:22" s="94" customFormat="1" ht="15.75" customHeight="1" thickBot="1" x14ac:dyDescent="0.3">
      <c r="A1" s="793" t="s">
        <v>1851</v>
      </c>
      <c r="B1" s="757" t="s">
        <v>131</v>
      </c>
      <c r="C1" s="757" t="s">
        <v>1852</v>
      </c>
      <c r="D1" s="757" t="s">
        <v>529</v>
      </c>
      <c r="E1" s="757" t="s">
        <v>525</v>
      </c>
      <c r="F1" s="759" t="s">
        <v>445</v>
      </c>
      <c r="G1" s="757" t="s">
        <v>449</v>
      </c>
      <c r="H1" s="219" t="s">
        <v>3108</v>
      </c>
      <c r="I1" s="757" t="s">
        <v>119</v>
      </c>
      <c r="J1" s="778" t="s">
        <v>1743</v>
      </c>
      <c r="K1" s="778" t="s">
        <v>526</v>
      </c>
      <c r="L1" s="823" t="s">
        <v>446</v>
      </c>
      <c r="M1" s="759" t="s">
        <v>141</v>
      </c>
      <c r="N1" s="757" t="s">
        <v>527</v>
      </c>
      <c r="O1" s="757" t="s">
        <v>528</v>
      </c>
      <c r="P1" s="824" t="s">
        <v>448</v>
      </c>
      <c r="Q1" s="759" t="s">
        <v>134</v>
      </c>
      <c r="R1" s="757" t="s">
        <v>1898</v>
      </c>
      <c r="S1" s="757" t="s">
        <v>1856</v>
      </c>
      <c r="T1" s="777" t="s">
        <v>2812</v>
      </c>
      <c r="U1" s="777" t="s">
        <v>3588</v>
      </c>
      <c r="V1" s="777" t="s">
        <v>3628</v>
      </c>
    </row>
    <row r="2" spans="1:22" s="94" customFormat="1" ht="15" customHeight="1" thickBot="1" x14ac:dyDescent="0.3">
      <c r="A2" s="794"/>
      <c r="B2" s="758"/>
      <c r="C2" s="758"/>
      <c r="D2" s="758"/>
      <c r="E2" s="758"/>
      <c r="F2" s="757"/>
      <c r="G2" s="809"/>
      <c r="H2" s="226"/>
      <c r="I2" s="809"/>
      <c r="J2" s="779"/>
      <c r="K2" s="779"/>
      <c r="L2" s="810"/>
      <c r="M2" s="757"/>
      <c r="N2" s="809"/>
      <c r="O2" s="809"/>
      <c r="P2" s="825"/>
      <c r="Q2" s="759"/>
      <c r="R2" s="809"/>
      <c r="S2" s="809"/>
      <c r="T2" s="777"/>
      <c r="U2" s="777"/>
      <c r="V2" s="777"/>
    </row>
    <row r="3" spans="1:22" ht="15.75" thickBot="1" x14ac:dyDescent="0.3">
      <c r="A3" s="82" t="s">
        <v>45</v>
      </c>
      <c r="B3" s="82" t="str">
        <f>LEFT(A3,IFERROR(FIND(" - ",A3)-1,LEN(A3)))</f>
        <v>Barraqueiro Transportes, S.A.</v>
      </c>
      <c r="C3" s="82" t="str">
        <f>IF(A3=B3,"X",RIGHT(A3,LEN(A3)-LEN(B3)-3))</f>
        <v>X</v>
      </c>
      <c r="D3" s="83" t="s">
        <v>1835</v>
      </c>
      <c r="E3" s="83" t="s">
        <v>1835</v>
      </c>
      <c r="F3" s="83" t="s">
        <v>1745</v>
      </c>
      <c r="G3" s="83" t="s">
        <v>1836</v>
      </c>
      <c r="H3" s="83" t="s">
        <v>3166</v>
      </c>
      <c r="I3" s="83" t="s">
        <v>3167</v>
      </c>
      <c r="J3" s="83"/>
      <c r="K3" s="83" t="s">
        <v>34</v>
      </c>
      <c r="L3" s="334">
        <f>SUM(L4:L9)</f>
        <v>4803925.8900000006</v>
      </c>
      <c r="M3" s="85" t="s">
        <v>1837</v>
      </c>
      <c r="N3" s="83"/>
      <c r="O3" s="83"/>
      <c r="P3" s="484">
        <f>L3/R3</f>
        <v>3202617.2600000002</v>
      </c>
      <c r="Q3" s="83" t="s">
        <v>1838</v>
      </c>
      <c r="R3" s="294">
        <v>1.5</v>
      </c>
      <c r="S3" s="227">
        <v>2022</v>
      </c>
      <c r="T3" s="250" t="s">
        <v>3499</v>
      </c>
      <c r="U3" s="250" t="s">
        <v>3507</v>
      </c>
      <c r="V3" t="str">
        <f>IF(E3="Sim","Sim","Não")</f>
        <v>Não</v>
      </c>
    </row>
    <row r="4" spans="1:22" ht="15.75" thickBot="1" x14ac:dyDescent="0.3">
      <c r="A4" s="82" t="s">
        <v>3472</v>
      </c>
      <c r="B4" s="82" t="str">
        <f t="shared" ref="B4:B9" si="0">LEFT(A4,IFERROR(FIND(" - ",A4)-1,LEN(A4)))</f>
        <v>Barraqueiro Transportes, S.A.</v>
      </c>
      <c r="C4" s="82" t="str">
        <f t="shared" ref="C4:C26" si="1">IF(A4=B4,"X",RIGHT(A4,LEN(A4)-LEN(B4)-3))</f>
        <v>Frota Azul</v>
      </c>
      <c r="D4" s="83" t="s">
        <v>1835</v>
      </c>
      <c r="E4" s="83" t="s">
        <v>1835</v>
      </c>
      <c r="F4" s="83" t="s">
        <v>1745</v>
      </c>
      <c r="G4" s="83" t="s">
        <v>1836</v>
      </c>
      <c r="H4" s="83" t="s">
        <v>3166</v>
      </c>
      <c r="I4" s="83" t="s">
        <v>3167</v>
      </c>
      <c r="J4" s="83"/>
      <c r="K4" s="83" t="s">
        <v>34</v>
      </c>
      <c r="L4" s="334">
        <v>1597749.55</v>
      </c>
      <c r="M4" s="85" t="s">
        <v>1837</v>
      </c>
      <c r="N4" s="83"/>
      <c r="O4" s="83"/>
      <c r="P4" s="484">
        <f t="shared" ref="P4:P12" si="2">L4/R4</f>
        <v>1065166.3666666667</v>
      </c>
      <c r="Q4" s="83" t="s">
        <v>1838</v>
      </c>
      <c r="R4" s="294">
        <v>1.5</v>
      </c>
      <c r="S4" s="227">
        <v>2022</v>
      </c>
      <c r="T4" s="250" t="s">
        <v>3499</v>
      </c>
      <c r="U4" s="250" t="s">
        <v>3507</v>
      </c>
      <c r="V4" t="str">
        <f t="shared" ref="V4:V25" si="3">IF(E4="Sim","Sim","Não")</f>
        <v>Não</v>
      </c>
    </row>
    <row r="5" spans="1:22" ht="15.75" thickBot="1" x14ac:dyDescent="0.3">
      <c r="A5" s="82" t="s">
        <v>3471</v>
      </c>
      <c r="B5" s="82" t="str">
        <f t="shared" si="0"/>
        <v>Barraqueiro Transportes, S.A.</v>
      </c>
      <c r="C5" s="82" t="str">
        <f t="shared" si="1"/>
        <v>Estremadura</v>
      </c>
      <c r="D5" s="83" t="s">
        <v>1835</v>
      </c>
      <c r="E5" s="83" t="s">
        <v>1835</v>
      </c>
      <c r="F5" s="83" t="s">
        <v>1745</v>
      </c>
      <c r="G5" s="83" t="s">
        <v>1836</v>
      </c>
      <c r="H5" s="83" t="s">
        <v>3166</v>
      </c>
      <c r="I5" s="83" t="s">
        <v>3167</v>
      </c>
      <c r="J5" s="83"/>
      <c r="K5" s="83" t="s">
        <v>34</v>
      </c>
      <c r="L5" s="334">
        <f>1113833.47+146.23</f>
        <v>1113979.7</v>
      </c>
      <c r="M5" s="85" t="s">
        <v>1837</v>
      </c>
      <c r="N5" s="83"/>
      <c r="O5" s="83"/>
      <c r="P5" s="484">
        <f t="shared" si="2"/>
        <v>742653.1333333333</v>
      </c>
      <c r="Q5" s="83" t="s">
        <v>1838</v>
      </c>
      <c r="R5" s="294">
        <v>1.5</v>
      </c>
      <c r="S5" s="227">
        <v>2022</v>
      </c>
      <c r="T5" s="250" t="s">
        <v>3499</v>
      </c>
      <c r="U5" s="250" t="s">
        <v>3507</v>
      </c>
      <c r="V5" t="str">
        <f t="shared" si="3"/>
        <v>Não</v>
      </c>
    </row>
    <row r="6" spans="1:22" ht="15.75" thickBot="1" x14ac:dyDescent="0.3">
      <c r="A6" s="82" t="s">
        <v>3473</v>
      </c>
      <c r="B6" s="82" t="str">
        <f t="shared" si="0"/>
        <v>Barraqueiro Transportes, S.A.</v>
      </c>
      <c r="C6" s="82" t="str">
        <f t="shared" si="1"/>
        <v>Barraqueiro Oeste</v>
      </c>
      <c r="D6" s="83" t="s">
        <v>1835</v>
      </c>
      <c r="E6" s="83" t="s">
        <v>1835</v>
      </c>
      <c r="F6" s="83" t="s">
        <v>1745</v>
      </c>
      <c r="G6" s="83" t="s">
        <v>1836</v>
      </c>
      <c r="H6" s="83" t="s">
        <v>3166</v>
      </c>
      <c r="I6" s="83" t="s">
        <v>3167</v>
      </c>
      <c r="J6" s="83"/>
      <c r="K6" s="83" t="s">
        <v>34</v>
      </c>
      <c r="L6" s="334">
        <v>180</v>
      </c>
      <c r="M6" s="85" t="s">
        <v>1837</v>
      </c>
      <c r="N6" s="83"/>
      <c r="O6" s="83"/>
      <c r="P6" s="484">
        <f t="shared" si="2"/>
        <v>120</v>
      </c>
      <c r="Q6" s="83" t="s">
        <v>1838</v>
      </c>
      <c r="R6" s="294">
        <v>1.5</v>
      </c>
      <c r="S6" s="227">
        <v>2022</v>
      </c>
      <c r="T6" s="250" t="s">
        <v>3499</v>
      </c>
      <c r="U6" s="250" t="s">
        <v>3507</v>
      </c>
      <c r="V6" t="str">
        <f t="shared" si="3"/>
        <v>Não</v>
      </c>
    </row>
    <row r="7" spans="1:22" ht="15.75" thickBot="1" x14ac:dyDescent="0.3">
      <c r="A7" s="82" t="s">
        <v>3474</v>
      </c>
      <c r="B7" s="82" t="str">
        <f t="shared" si="0"/>
        <v>Barraqueiro Transportes, S.A.</v>
      </c>
      <c r="C7" s="82" t="str">
        <f t="shared" si="1"/>
        <v>Boa Viagem</v>
      </c>
      <c r="D7" s="83" t="s">
        <v>1835</v>
      </c>
      <c r="E7" s="83" t="s">
        <v>1835</v>
      </c>
      <c r="F7" s="83" t="s">
        <v>1745</v>
      </c>
      <c r="G7" s="83" t="s">
        <v>1836</v>
      </c>
      <c r="H7" s="83" t="s">
        <v>3166</v>
      </c>
      <c r="I7" s="83" t="s">
        <v>3167</v>
      </c>
      <c r="J7" s="83"/>
      <c r="K7" s="83" t="s">
        <v>34</v>
      </c>
      <c r="L7" s="334">
        <v>560300.35</v>
      </c>
      <c r="M7" s="85" t="s">
        <v>1837</v>
      </c>
      <c r="N7" s="83"/>
      <c r="O7" s="83"/>
      <c r="P7" s="484">
        <f t="shared" si="2"/>
        <v>373533.56666666665</v>
      </c>
      <c r="Q7" s="83" t="s">
        <v>1838</v>
      </c>
      <c r="R7" s="294">
        <v>1.5</v>
      </c>
      <c r="S7" s="227">
        <v>2022</v>
      </c>
      <c r="T7" s="250" t="s">
        <v>3499</v>
      </c>
      <c r="U7" s="250" t="s">
        <v>3507</v>
      </c>
      <c r="V7" t="str">
        <f t="shared" si="3"/>
        <v>Não</v>
      </c>
    </row>
    <row r="8" spans="1:22" ht="15.75" thickBot="1" x14ac:dyDescent="0.3">
      <c r="A8" s="82" t="s">
        <v>3470</v>
      </c>
      <c r="B8" s="82" t="str">
        <f t="shared" si="0"/>
        <v>Barraqueiro Transportes, S.A.</v>
      </c>
      <c r="C8" s="82" t="str">
        <f t="shared" si="1"/>
        <v>Mafrense</v>
      </c>
      <c r="D8" s="83" t="s">
        <v>1835</v>
      </c>
      <c r="E8" s="83" t="s">
        <v>1835</v>
      </c>
      <c r="F8" s="83" t="s">
        <v>1745</v>
      </c>
      <c r="G8" s="83" t="s">
        <v>1836</v>
      </c>
      <c r="H8" s="83" t="s">
        <v>3166</v>
      </c>
      <c r="I8" s="83" t="s">
        <v>3167</v>
      </c>
      <c r="J8" s="83"/>
      <c r="K8" s="83" t="s">
        <v>34</v>
      </c>
      <c r="L8" s="334">
        <v>31709.35</v>
      </c>
      <c r="M8" s="85" t="s">
        <v>1837</v>
      </c>
      <c r="N8" s="83"/>
      <c r="O8" s="83"/>
      <c r="P8" s="484">
        <f t="shared" si="2"/>
        <v>21139.566666666666</v>
      </c>
      <c r="Q8" s="83" t="s">
        <v>1838</v>
      </c>
      <c r="R8" s="294">
        <v>1.5</v>
      </c>
      <c r="S8" s="227">
        <v>2022</v>
      </c>
      <c r="T8" s="250" t="s">
        <v>3499</v>
      </c>
      <c r="U8" s="250" t="s">
        <v>3507</v>
      </c>
      <c r="V8" t="str">
        <f t="shared" si="3"/>
        <v>Não</v>
      </c>
    </row>
    <row r="9" spans="1:22" ht="15.75" thickBot="1" x14ac:dyDescent="0.3">
      <c r="A9" s="82" t="s">
        <v>3278</v>
      </c>
      <c r="B9" s="82" t="str">
        <f t="shared" si="0"/>
        <v>Barraqueiro Transportes, S.A.</v>
      </c>
      <c r="C9" s="82" t="str">
        <f t="shared" si="1"/>
        <v>Barraqueiro Alugueres</v>
      </c>
      <c r="D9" s="83" t="s">
        <v>1835</v>
      </c>
      <c r="E9" s="83" t="s">
        <v>1835</v>
      </c>
      <c r="F9" s="83" t="s">
        <v>1745</v>
      </c>
      <c r="G9" s="83" t="s">
        <v>1836</v>
      </c>
      <c r="H9" s="83" t="s">
        <v>3166</v>
      </c>
      <c r="I9" s="83" t="s">
        <v>3167</v>
      </c>
      <c r="J9" s="83"/>
      <c r="K9" s="83" t="s">
        <v>34</v>
      </c>
      <c r="L9" s="334">
        <v>1500006.94</v>
      </c>
      <c r="M9" s="85" t="s">
        <v>1837</v>
      </c>
      <c r="N9" s="83"/>
      <c r="O9" s="83"/>
      <c r="P9" s="484">
        <f t="shared" si="2"/>
        <v>1000004.6266666666</v>
      </c>
      <c r="Q9" s="83" t="s">
        <v>1838</v>
      </c>
      <c r="R9" s="294">
        <v>1.5</v>
      </c>
      <c r="S9" s="227">
        <v>2022</v>
      </c>
      <c r="T9" s="250" t="s">
        <v>3499</v>
      </c>
      <c r="U9" s="250" t="s">
        <v>3507</v>
      </c>
      <c r="V9" t="str">
        <f t="shared" si="3"/>
        <v>Não</v>
      </c>
    </row>
    <row r="10" spans="1:22" ht="15.75" thickBot="1" x14ac:dyDescent="0.3">
      <c r="A10" s="82" t="s">
        <v>1912</v>
      </c>
      <c r="B10" s="82" t="s">
        <v>1912</v>
      </c>
      <c r="C10" s="82" t="str">
        <f t="shared" si="1"/>
        <v>X</v>
      </c>
      <c r="D10" s="83" t="s">
        <v>1835</v>
      </c>
      <c r="E10" s="83" t="s">
        <v>1835</v>
      </c>
      <c r="F10" s="83" t="s">
        <v>1745</v>
      </c>
      <c r="G10" s="83" t="s">
        <v>1836</v>
      </c>
      <c r="H10" s="83" t="s">
        <v>3166</v>
      </c>
      <c r="I10" s="83" t="s">
        <v>3167</v>
      </c>
      <c r="J10" s="83"/>
      <c r="K10" s="83" t="s">
        <v>34</v>
      </c>
      <c r="L10" s="334">
        <v>11689</v>
      </c>
      <c r="M10" s="85" t="s">
        <v>1837</v>
      </c>
      <c r="P10" s="485">
        <f t="shared" si="2"/>
        <v>7792.666666666667</v>
      </c>
      <c r="Q10" s="83"/>
      <c r="R10" s="295">
        <v>1.5</v>
      </c>
      <c r="S10" s="227">
        <v>2022</v>
      </c>
      <c r="T10" s="250" t="s">
        <v>3499</v>
      </c>
      <c r="U10" s="250" t="s">
        <v>3507</v>
      </c>
      <c r="V10" t="str">
        <f t="shared" si="3"/>
        <v>Não</v>
      </c>
    </row>
    <row r="11" spans="1:22" ht="15.75" thickBot="1" x14ac:dyDescent="0.3">
      <c r="A11" s="82" t="s">
        <v>1916</v>
      </c>
      <c r="B11" s="82" t="s">
        <v>1916</v>
      </c>
      <c r="C11" s="82" t="str">
        <f t="shared" si="1"/>
        <v>X</v>
      </c>
      <c r="D11" s="83" t="s">
        <v>1835</v>
      </c>
      <c r="E11" s="83" t="s">
        <v>1835</v>
      </c>
      <c r="F11" s="83" t="s">
        <v>1745</v>
      </c>
      <c r="G11" s="83" t="s">
        <v>1836</v>
      </c>
      <c r="H11" s="83" t="s">
        <v>3166</v>
      </c>
      <c r="I11" s="83" t="s">
        <v>3167</v>
      </c>
      <c r="J11" s="83"/>
      <c r="K11" s="83" t="s">
        <v>34</v>
      </c>
      <c r="L11" s="334">
        <v>12366</v>
      </c>
      <c r="M11" s="85" t="s">
        <v>1837</v>
      </c>
      <c r="P11" s="485">
        <f t="shared" si="2"/>
        <v>8244</v>
      </c>
      <c r="Q11" s="83" t="s">
        <v>1838</v>
      </c>
      <c r="R11" s="295">
        <v>1.5</v>
      </c>
      <c r="S11" s="227">
        <v>2022</v>
      </c>
      <c r="T11" s="250" t="s">
        <v>3499</v>
      </c>
      <c r="U11" s="250" t="s">
        <v>3507</v>
      </c>
      <c r="V11" t="str">
        <f t="shared" si="3"/>
        <v>Não</v>
      </c>
    </row>
    <row r="12" spans="1:22" ht="15.75" thickBot="1" x14ac:dyDescent="0.3">
      <c r="A12" s="82" t="s">
        <v>2943</v>
      </c>
      <c r="B12" s="82" t="s">
        <v>2943</v>
      </c>
      <c r="C12" s="82" t="str">
        <f t="shared" si="1"/>
        <v>X</v>
      </c>
      <c r="D12" s="83" t="s">
        <v>3153</v>
      </c>
      <c r="E12" s="83" t="s">
        <v>42</v>
      </c>
      <c r="F12" s="83" t="s">
        <v>1745</v>
      </c>
      <c r="G12" s="83" t="s">
        <v>1836</v>
      </c>
      <c r="H12" s="83" t="s">
        <v>3166</v>
      </c>
      <c r="I12" s="83" t="s">
        <v>3167</v>
      </c>
      <c r="J12" s="83"/>
      <c r="K12" s="83" t="s">
        <v>34</v>
      </c>
      <c r="L12" s="334">
        <v>182362</v>
      </c>
      <c r="M12" s="85" t="s">
        <v>1837</v>
      </c>
      <c r="P12" s="485">
        <f t="shared" si="2"/>
        <v>121574.66666666667</v>
      </c>
      <c r="Q12" s="83" t="s">
        <v>1838</v>
      </c>
      <c r="R12" s="295">
        <v>1.5</v>
      </c>
      <c r="S12" s="227">
        <v>2022</v>
      </c>
      <c r="T12" s="250" t="s">
        <v>3499</v>
      </c>
      <c r="U12" s="250" t="s">
        <v>3507</v>
      </c>
      <c r="V12" t="str">
        <f t="shared" si="3"/>
        <v>Não</v>
      </c>
    </row>
    <row r="13" spans="1:22" ht="15.75" thickBot="1" x14ac:dyDescent="0.3">
      <c r="A13" s="82" t="s">
        <v>4583</v>
      </c>
      <c r="B13" s="82" t="s">
        <v>4583</v>
      </c>
      <c r="C13" s="82" t="str">
        <f t="shared" si="1"/>
        <v>X</v>
      </c>
      <c r="D13" s="83" t="s">
        <v>3154</v>
      </c>
      <c r="E13" s="83" t="s">
        <v>1835</v>
      </c>
      <c r="F13" s="83" t="s">
        <v>1745</v>
      </c>
      <c r="G13" s="83" t="s">
        <v>1836</v>
      </c>
      <c r="H13" s="83" t="s">
        <v>3166</v>
      </c>
      <c r="I13" s="83" t="s">
        <v>3167</v>
      </c>
      <c r="J13" s="83"/>
      <c r="K13" s="83" t="s">
        <v>34</v>
      </c>
      <c r="L13" s="372">
        <f>P13*R13</f>
        <v>5657.5199999999995</v>
      </c>
      <c r="M13" s="85" t="s">
        <v>1837</v>
      </c>
      <c r="P13" s="486">
        <v>3771.68</v>
      </c>
      <c r="Q13" s="83"/>
      <c r="R13" s="295">
        <v>1.5</v>
      </c>
      <c r="S13" s="227">
        <v>2022</v>
      </c>
      <c r="T13" s="250" t="s">
        <v>3499</v>
      </c>
      <c r="U13" s="250" t="s">
        <v>3507</v>
      </c>
      <c r="V13" t="str">
        <f t="shared" si="3"/>
        <v>Não</v>
      </c>
    </row>
    <row r="14" spans="1:22" ht="15.75" thickBot="1" x14ac:dyDescent="0.3">
      <c r="A14" s="82" t="s">
        <v>4583</v>
      </c>
      <c r="B14" s="82" t="s">
        <v>4583</v>
      </c>
      <c r="C14" s="82" t="str">
        <f t="shared" si="1"/>
        <v>X</v>
      </c>
      <c r="D14" s="82" t="s">
        <v>1916</v>
      </c>
      <c r="E14" s="83" t="s">
        <v>34</v>
      </c>
      <c r="F14" s="83" t="s">
        <v>1745</v>
      </c>
      <c r="G14" s="83" t="s">
        <v>1836</v>
      </c>
      <c r="H14" s="83" t="s">
        <v>3166</v>
      </c>
      <c r="I14" s="83" t="s">
        <v>3167</v>
      </c>
      <c r="J14" s="83"/>
      <c r="K14" s="83" t="s">
        <v>34</v>
      </c>
      <c r="L14" s="372">
        <f t="shared" ref="L14:L21" si="4">P14*R14</f>
        <v>4785</v>
      </c>
      <c r="M14" s="85" t="s">
        <v>1837</v>
      </c>
      <c r="P14" s="486">
        <v>3190</v>
      </c>
      <c r="Q14" s="83"/>
      <c r="R14" s="295">
        <v>1.5</v>
      </c>
      <c r="S14" s="227">
        <v>2022</v>
      </c>
      <c r="T14" s="250" t="s">
        <v>3499</v>
      </c>
      <c r="U14" s="250" t="s">
        <v>3507</v>
      </c>
      <c r="V14" t="str">
        <f t="shared" si="3"/>
        <v>Sim</v>
      </c>
    </row>
    <row r="15" spans="1:22" ht="15.75" thickBot="1" x14ac:dyDescent="0.3">
      <c r="A15" s="82" t="s">
        <v>4583</v>
      </c>
      <c r="B15" s="82" t="s">
        <v>4583</v>
      </c>
      <c r="C15" s="82" t="str">
        <f t="shared" si="1"/>
        <v>X</v>
      </c>
      <c r="D15" s="83" t="s">
        <v>3155</v>
      </c>
      <c r="E15" s="83" t="s">
        <v>42</v>
      </c>
      <c r="F15" s="83" t="s">
        <v>1745</v>
      </c>
      <c r="G15" s="83" t="s">
        <v>1836</v>
      </c>
      <c r="H15" s="83" t="s">
        <v>3166</v>
      </c>
      <c r="I15" s="83" t="s">
        <v>3167</v>
      </c>
      <c r="J15" s="83"/>
      <c r="K15" s="83" t="s">
        <v>34</v>
      </c>
      <c r="L15" s="372">
        <f t="shared" si="4"/>
        <v>600</v>
      </c>
      <c r="M15" s="85" t="s">
        <v>1837</v>
      </c>
      <c r="P15" s="486">
        <v>400</v>
      </c>
      <c r="Q15" s="83"/>
      <c r="R15" s="295">
        <v>1.5</v>
      </c>
      <c r="S15" s="227">
        <v>2022</v>
      </c>
      <c r="T15" s="250" t="s">
        <v>3499</v>
      </c>
      <c r="U15" s="250" t="s">
        <v>3507</v>
      </c>
      <c r="V15" t="str">
        <f t="shared" si="3"/>
        <v>Não</v>
      </c>
    </row>
    <row r="16" spans="1:22" ht="15.75" thickBot="1" x14ac:dyDescent="0.3">
      <c r="A16" s="82" t="s">
        <v>4583</v>
      </c>
      <c r="B16" s="82" t="s">
        <v>4583</v>
      </c>
      <c r="C16" s="82" t="str">
        <f t="shared" si="1"/>
        <v>X</v>
      </c>
      <c r="D16" s="83" t="s">
        <v>3156</v>
      </c>
      <c r="E16" s="83" t="s">
        <v>42</v>
      </c>
      <c r="F16" s="83" t="s">
        <v>1745</v>
      </c>
      <c r="G16" s="83" t="s">
        <v>1836</v>
      </c>
      <c r="H16" s="83" t="s">
        <v>3166</v>
      </c>
      <c r="I16" s="83" t="s">
        <v>3167</v>
      </c>
      <c r="J16" s="83"/>
      <c r="K16" s="83" t="s">
        <v>34</v>
      </c>
      <c r="L16" s="372">
        <f t="shared" si="4"/>
        <v>9742.89</v>
      </c>
      <c r="M16" s="85" t="s">
        <v>1837</v>
      </c>
      <c r="P16" s="486">
        <v>6495.26</v>
      </c>
      <c r="Q16" s="83"/>
      <c r="R16" s="295">
        <v>1.5</v>
      </c>
      <c r="S16" s="227">
        <v>2022</v>
      </c>
      <c r="T16" s="250" t="s">
        <v>3499</v>
      </c>
      <c r="U16" s="250" t="s">
        <v>3507</v>
      </c>
      <c r="V16" t="str">
        <f t="shared" si="3"/>
        <v>Não</v>
      </c>
    </row>
    <row r="17" spans="1:22" ht="15.75" thickBot="1" x14ac:dyDescent="0.3">
      <c r="A17" s="82" t="s">
        <v>4583</v>
      </c>
      <c r="B17" s="82" t="s">
        <v>4583</v>
      </c>
      <c r="C17" s="82" t="str">
        <f t="shared" si="1"/>
        <v>X</v>
      </c>
      <c r="D17" s="83" t="s">
        <v>3157</v>
      </c>
      <c r="E17" s="83" t="s">
        <v>34</v>
      </c>
      <c r="F17" s="83" t="s">
        <v>1745</v>
      </c>
      <c r="G17" s="83" t="s">
        <v>1836</v>
      </c>
      <c r="H17" s="83" t="s">
        <v>3166</v>
      </c>
      <c r="I17" s="83" t="s">
        <v>3167</v>
      </c>
      <c r="J17" s="83"/>
      <c r="K17" s="83" t="s">
        <v>34</v>
      </c>
      <c r="L17" s="372">
        <f t="shared" si="4"/>
        <v>1415.085</v>
      </c>
      <c r="M17" s="85" t="s">
        <v>1837</v>
      </c>
      <c r="P17" s="486">
        <v>943.39</v>
      </c>
      <c r="Q17" s="83"/>
      <c r="R17" s="295">
        <v>1.5</v>
      </c>
      <c r="S17" s="227">
        <v>2022</v>
      </c>
      <c r="T17" s="250" t="s">
        <v>3499</v>
      </c>
      <c r="U17" s="250" t="s">
        <v>3507</v>
      </c>
      <c r="V17" t="str">
        <f t="shared" si="3"/>
        <v>Sim</v>
      </c>
    </row>
    <row r="18" spans="1:22" ht="15.75" thickBot="1" x14ac:dyDescent="0.3">
      <c r="A18" s="82" t="s">
        <v>4583</v>
      </c>
      <c r="B18" s="82" t="s">
        <v>4583</v>
      </c>
      <c r="C18" s="82" t="str">
        <f t="shared" si="1"/>
        <v>X</v>
      </c>
      <c r="D18" s="83" t="s">
        <v>3158</v>
      </c>
      <c r="E18" s="83" t="s">
        <v>34</v>
      </c>
      <c r="F18" s="83" t="s">
        <v>1745</v>
      </c>
      <c r="G18" s="83" t="s">
        <v>1836</v>
      </c>
      <c r="H18" s="83" t="s">
        <v>3166</v>
      </c>
      <c r="I18" s="83" t="s">
        <v>3167</v>
      </c>
      <c r="J18" s="83"/>
      <c r="K18" s="83" t="s">
        <v>34</v>
      </c>
      <c r="L18" s="372">
        <f t="shared" si="4"/>
        <v>5727.7650000000003</v>
      </c>
      <c r="M18" s="85" t="s">
        <v>1837</v>
      </c>
      <c r="P18" s="486">
        <v>3818.51</v>
      </c>
      <c r="Q18" s="83"/>
      <c r="R18" s="295">
        <v>1.5</v>
      </c>
      <c r="S18" s="227">
        <v>2022</v>
      </c>
      <c r="T18" s="250" t="s">
        <v>3499</v>
      </c>
      <c r="U18" s="250" t="s">
        <v>3507</v>
      </c>
      <c r="V18" t="str">
        <f t="shared" si="3"/>
        <v>Sim</v>
      </c>
    </row>
    <row r="19" spans="1:22" ht="15.75" thickBot="1" x14ac:dyDescent="0.3">
      <c r="A19" s="82" t="s">
        <v>4584</v>
      </c>
      <c r="B19" s="82" t="s">
        <v>4584</v>
      </c>
      <c r="C19" s="82" t="str">
        <f t="shared" si="1"/>
        <v>X</v>
      </c>
      <c r="D19" s="83" t="s">
        <v>3154</v>
      </c>
      <c r="E19" s="83" t="s">
        <v>42</v>
      </c>
      <c r="F19" s="83" t="s">
        <v>1745</v>
      </c>
      <c r="G19" s="83" t="s">
        <v>1836</v>
      </c>
      <c r="H19" s="83" t="s">
        <v>3166</v>
      </c>
      <c r="I19" s="83" t="s">
        <v>3167</v>
      </c>
      <c r="J19" s="83"/>
      <c r="K19" s="83" t="s">
        <v>34</v>
      </c>
      <c r="L19" s="372">
        <f t="shared" si="4"/>
        <v>1342108.5</v>
      </c>
      <c r="M19" s="85" t="s">
        <v>1837</v>
      </c>
      <c r="P19" s="486">
        <v>894739</v>
      </c>
      <c r="Q19" s="83"/>
      <c r="R19" s="295">
        <v>1.5</v>
      </c>
      <c r="S19" s="227">
        <v>2022</v>
      </c>
      <c r="T19" s="250" t="s">
        <v>3499</v>
      </c>
      <c r="U19" s="250" t="s">
        <v>3507</v>
      </c>
      <c r="V19" t="str">
        <f t="shared" si="3"/>
        <v>Não</v>
      </c>
    </row>
    <row r="20" spans="1:22" ht="15.75" thickBot="1" x14ac:dyDescent="0.3">
      <c r="A20" s="82" t="s">
        <v>4584</v>
      </c>
      <c r="B20" s="82" t="s">
        <v>4584</v>
      </c>
      <c r="C20" s="82" t="str">
        <f t="shared" si="1"/>
        <v>X</v>
      </c>
      <c r="D20" s="83" t="s">
        <v>3158</v>
      </c>
      <c r="E20" s="83" t="s">
        <v>34</v>
      </c>
      <c r="F20" s="83" t="s">
        <v>1745</v>
      </c>
      <c r="G20" s="83" t="s">
        <v>1836</v>
      </c>
      <c r="H20" s="83" t="s">
        <v>3166</v>
      </c>
      <c r="I20" s="83" t="s">
        <v>3167</v>
      </c>
      <c r="J20" s="83"/>
      <c r="K20" s="83" t="s">
        <v>34</v>
      </c>
      <c r="L20" s="372">
        <f t="shared" si="4"/>
        <v>71898</v>
      </c>
      <c r="M20" s="85" t="s">
        <v>1837</v>
      </c>
      <c r="P20" s="486">
        <v>47932</v>
      </c>
      <c r="Q20" s="83"/>
      <c r="R20" s="295">
        <v>1.5</v>
      </c>
      <c r="S20" s="227">
        <v>2022</v>
      </c>
      <c r="T20" s="250" t="s">
        <v>3499</v>
      </c>
      <c r="U20" s="250" t="s">
        <v>3507</v>
      </c>
      <c r="V20" t="str">
        <f t="shared" si="3"/>
        <v>Sim</v>
      </c>
    </row>
    <row r="21" spans="1:22" ht="15.75" thickBot="1" x14ac:dyDescent="0.3">
      <c r="A21" s="82" t="s">
        <v>4584</v>
      </c>
      <c r="B21" s="82" t="s">
        <v>4584</v>
      </c>
      <c r="C21" s="82" t="str">
        <f t="shared" si="1"/>
        <v>X</v>
      </c>
      <c r="D21" s="83" t="s">
        <v>3159</v>
      </c>
      <c r="E21" s="83" t="s">
        <v>42</v>
      </c>
      <c r="F21" s="83" t="s">
        <v>1745</v>
      </c>
      <c r="G21" s="83" t="s">
        <v>1836</v>
      </c>
      <c r="H21" s="83" t="s">
        <v>3166</v>
      </c>
      <c r="I21" s="83" t="s">
        <v>3167</v>
      </c>
      <c r="J21" s="83"/>
      <c r="K21" s="83" t="s">
        <v>34</v>
      </c>
      <c r="L21" s="372">
        <f t="shared" si="4"/>
        <v>62902.5</v>
      </c>
      <c r="M21" s="85" t="s">
        <v>1837</v>
      </c>
      <c r="P21" s="486">
        <v>41935</v>
      </c>
      <c r="Q21" s="83"/>
      <c r="R21" s="295">
        <v>1.5</v>
      </c>
      <c r="S21" s="227">
        <v>2022</v>
      </c>
      <c r="T21" s="250" t="s">
        <v>3499</v>
      </c>
      <c r="U21" s="250" t="s">
        <v>3507</v>
      </c>
      <c r="V21" t="str">
        <f t="shared" si="3"/>
        <v>Não</v>
      </c>
    </row>
    <row r="22" spans="1:22" ht="15.75" thickBot="1" x14ac:dyDescent="0.3">
      <c r="A22" s="82" t="s">
        <v>4591</v>
      </c>
      <c r="B22" s="82" t="s">
        <v>4591</v>
      </c>
      <c r="C22" s="82" t="str">
        <f t="shared" si="1"/>
        <v>X</v>
      </c>
      <c r="D22" s="83" t="s">
        <v>3161</v>
      </c>
      <c r="E22" s="83" t="s">
        <v>42</v>
      </c>
      <c r="F22" s="83" t="s">
        <v>1745</v>
      </c>
      <c r="G22" s="83" t="s">
        <v>3162</v>
      </c>
      <c r="H22" s="263" t="s">
        <v>3166</v>
      </c>
      <c r="I22" s="283" t="s">
        <v>3168</v>
      </c>
      <c r="J22" s="263"/>
      <c r="K22" s="263" t="s">
        <v>42</v>
      </c>
      <c r="L22" s="334">
        <v>25339.86</v>
      </c>
      <c r="M22" s="85" t="s">
        <v>1837</v>
      </c>
      <c r="P22" s="485">
        <f>L22/R22</f>
        <v>12669.93</v>
      </c>
      <c r="Q22" s="83" t="s">
        <v>3163</v>
      </c>
      <c r="R22" s="295">
        <v>2</v>
      </c>
      <c r="S22" s="227">
        <v>2022</v>
      </c>
      <c r="T22" s="250" t="s">
        <v>3499</v>
      </c>
      <c r="U22" s="250" t="s">
        <v>3507</v>
      </c>
      <c r="V22" t="str">
        <f t="shared" si="3"/>
        <v>Não</v>
      </c>
    </row>
    <row r="23" spans="1:22" ht="15.75" thickBot="1" x14ac:dyDescent="0.3">
      <c r="A23" s="82" t="s">
        <v>4591</v>
      </c>
      <c r="B23" s="82" t="s">
        <v>4591</v>
      </c>
      <c r="C23" s="82" t="str">
        <f t="shared" si="1"/>
        <v>X</v>
      </c>
      <c r="D23" s="83" t="s">
        <v>3160</v>
      </c>
      <c r="E23" s="83" t="s">
        <v>42</v>
      </c>
      <c r="F23" s="83" t="s">
        <v>1745</v>
      </c>
      <c r="G23" s="83" t="s">
        <v>3162</v>
      </c>
      <c r="H23" s="263" t="s">
        <v>3166</v>
      </c>
      <c r="I23" s="283" t="s">
        <v>3168</v>
      </c>
      <c r="J23" s="263"/>
      <c r="K23" s="263" t="s">
        <v>42</v>
      </c>
      <c r="L23" s="334">
        <v>896645.06</v>
      </c>
      <c r="M23" s="85" t="s">
        <v>1837</v>
      </c>
      <c r="P23" s="485">
        <f>L23/R23</f>
        <v>448322.53</v>
      </c>
      <c r="Q23" s="83" t="s">
        <v>3163</v>
      </c>
      <c r="R23" s="295">
        <v>2</v>
      </c>
      <c r="S23" s="227">
        <v>2022</v>
      </c>
      <c r="T23" s="250" t="s">
        <v>3499</v>
      </c>
      <c r="U23" s="250" t="s">
        <v>3507</v>
      </c>
      <c r="V23" t="str">
        <f t="shared" si="3"/>
        <v>Não</v>
      </c>
    </row>
    <row r="24" spans="1:22" ht="15.75" thickBot="1" x14ac:dyDescent="0.3">
      <c r="A24" s="82" t="s">
        <v>2817</v>
      </c>
      <c r="B24" s="82" t="s">
        <v>2817</v>
      </c>
      <c r="C24" s="82" t="str">
        <f t="shared" si="1"/>
        <v>X</v>
      </c>
      <c r="D24" s="83" t="s">
        <v>1835</v>
      </c>
      <c r="E24" s="83" t="s">
        <v>1835</v>
      </c>
      <c r="F24" s="83" t="s">
        <v>1745</v>
      </c>
      <c r="G24" s="83" t="s">
        <v>1836</v>
      </c>
      <c r="H24" s="83" t="s">
        <v>3166</v>
      </c>
      <c r="I24" s="83" t="s">
        <v>3167</v>
      </c>
      <c r="J24" s="83"/>
      <c r="K24" s="83" t="s">
        <v>34</v>
      </c>
      <c r="L24" s="334">
        <v>189248.03</v>
      </c>
      <c r="M24" s="85" t="s">
        <v>1837</v>
      </c>
      <c r="P24" s="486">
        <f>L24/R24</f>
        <v>126165.35333333333</v>
      </c>
      <c r="Q24" s="229" t="s">
        <v>3164</v>
      </c>
      <c r="R24" s="296">
        <v>1.5</v>
      </c>
      <c r="S24" s="227">
        <v>2022</v>
      </c>
      <c r="T24" s="250" t="s">
        <v>3499</v>
      </c>
      <c r="U24" s="250" t="s">
        <v>3507</v>
      </c>
      <c r="V24" t="str">
        <f t="shared" si="3"/>
        <v>Não</v>
      </c>
    </row>
    <row r="25" spans="1:22" ht="15.75" thickBot="1" x14ac:dyDescent="0.3">
      <c r="A25" s="276" t="s">
        <v>2868</v>
      </c>
      <c r="B25" s="276" t="s">
        <v>2868</v>
      </c>
      <c r="C25" s="82" t="str">
        <f t="shared" si="1"/>
        <v>X</v>
      </c>
      <c r="D25" s="83" t="s">
        <v>1835</v>
      </c>
      <c r="E25" s="83" t="s">
        <v>1835</v>
      </c>
      <c r="F25" s="83" t="s">
        <v>1745</v>
      </c>
      <c r="G25" s="83" t="s">
        <v>1836</v>
      </c>
      <c r="H25" s="83" t="s">
        <v>3166</v>
      </c>
      <c r="I25" s="83" t="s">
        <v>3167</v>
      </c>
      <c r="J25" s="83"/>
      <c r="K25" s="83" t="s">
        <v>34</v>
      </c>
      <c r="L25" s="332">
        <v>819596</v>
      </c>
      <c r="M25" s="85" t="s">
        <v>1837</v>
      </c>
      <c r="P25" s="485">
        <f>L25/R25</f>
        <v>546397.33333333337</v>
      </c>
      <c r="Q25" s="83" t="s">
        <v>3165</v>
      </c>
      <c r="R25" s="295">
        <v>1.5</v>
      </c>
      <c r="S25" s="227">
        <v>2022</v>
      </c>
      <c r="T25" s="250" t="s">
        <v>3499</v>
      </c>
      <c r="U25" s="250" t="s">
        <v>3507</v>
      </c>
      <c r="V25" t="str">
        <f t="shared" si="3"/>
        <v>Não</v>
      </c>
    </row>
    <row r="26" spans="1:22" ht="15.75" thickBot="1" x14ac:dyDescent="0.3">
      <c r="A26" s="82" t="s">
        <v>4601</v>
      </c>
      <c r="B26" s="82" t="s">
        <v>4601</v>
      </c>
      <c r="C26" s="82" t="str">
        <f t="shared" si="1"/>
        <v>X</v>
      </c>
      <c r="D26" s="83" t="s">
        <v>3824</v>
      </c>
      <c r="E26" s="83" t="s">
        <v>42</v>
      </c>
      <c r="F26" s="83" t="s">
        <v>1745</v>
      </c>
      <c r="G26" s="83" t="s">
        <v>1836</v>
      </c>
      <c r="H26" s="83" t="s">
        <v>3166</v>
      </c>
      <c r="I26" s="83" t="s">
        <v>3167</v>
      </c>
      <c r="J26" s="83"/>
      <c r="K26" s="83" t="s">
        <v>34</v>
      </c>
      <c r="L26" s="332">
        <v>1685984.52</v>
      </c>
      <c r="M26" s="85" t="s">
        <v>1837</v>
      </c>
      <c r="P26" s="484">
        <f>L26/R26</f>
        <v>842992.26</v>
      </c>
      <c r="Q26" s="83" t="s">
        <v>1838</v>
      </c>
      <c r="R26" s="373">
        <v>2</v>
      </c>
      <c r="S26" s="227">
        <v>2022</v>
      </c>
      <c r="T26" s="250" t="s">
        <v>3499</v>
      </c>
      <c r="U26" s="250" t="s">
        <v>3507</v>
      </c>
      <c r="V26" s="283" t="str">
        <f t="shared" ref="V26:V27" si="5">IF(E26="Sim","Sim","Não")</f>
        <v>Não</v>
      </c>
    </row>
    <row r="27" spans="1:22" ht="15.75" thickBot="1" x14ac:dyDescent="0.3">
      <c r="A27" t="s">
        <v>4615</v>
      </c>
      <c r="B27" t="s">
        <v>4615</v>
      </c>
      <c r="C27" t="s">
        <v>1950</v>
      </c>
      <c r="D27" s="83" t="s">
        <v>3029</v>
      </c>
      <c r="E27" s="83" t="s">
        <v>34</v>
      </c>
      <c r="F27" s="83" t="s">
        <v>1745</v>
      </c>
      <c r="G27" s="83" t="s">
        <v>1836</v>
      </c>
      <c r="H27" s="83" t="s">
        <v>3166</v>
      </c>
      <c r="I27" s="83" t="s">
        <v>4640</v>
      </c>
      <c r="K27" s="83" t="s">
        <v>34</v>
      </c>
      <c r="L27" s="174">
        <v>4682410</v>
      </c>
      <c r="M27" s="85" t="s">
        <v>1837</v>
      </c>
      <c r="P27" s="487">
        <v>4682410</v>
      </c>
      <c r="Q27" s="83" t="s">
        <v>4641</v>
      </c>
      <c r="S27" s="227">
        <v>2022</v>
      </c>
      <c r="T27" s="250" t="s">
        <v>3499</v>
      </c>
      <c r="U27" s="250" t="s">
        <v>3507</v>
      </c>
      <c r="V27" t="str">
        <f t="shared" si="5"/>
        <v>Sim</v>
      </c>
    </row>
    <row r="28" spans="1:22" ht="15.75" thickBot="1" x14ac:dyDescent="0.3">
      <c r="A28" t="s">
        <v>4615</v>
      </c>
      <c r="B28" t="s">
        <v>4615</v>
      </c>
      <c r="C28" t="s">
        <v>1950</v>
      </c>
      <c r="D28" s="83" t="s">
        <v>4617</v>
      </c>
      <c r="E28" s="83" t="s">
        <v>34</v>
      </c>
      <c r="F28" s="83" t="s">
        <v>1745</v>
      </c>
      <c r="G28" s="83" t="s">
        <v>1836</v>
      </c>
      <c r="H28" s="83" t="s">
        <v>3166</v>
      </c>
      <c r="I28" s="83" t="s">
        <v>4640</v>
      </c>
      <c r="K28" s="83" t="s">
        <v>34</v>
      </c>
      <c r="L28" s="174">
        <v>8905764</v>
      </c>
      <c r="M28" s="85" t="s">
        <v>1837</v>
      </c>
      <c r="P28" s="487">
        <v>8905764</v>
      </c>
      <c r="Q28" s="83" t="s">
        <v>4641</v>
      </c>
      <c r="S28" s="227">
        <v>2022</v>
      </c>
      <c r="T28" s="250" t="s">
        <v>3499</v>
      </c>
      <c r="U28" s="250" t="s">
        <v>3507</v>
      </c>
      <c r="V28" t="str">
        <f t="shared" ref="V28:V53" si="6">IF(E28="Sim","Sim","Não")</f>
        <v>Sim</v>
      </c>
    </row>
    <row r="29" spans="1:22" ht="15.75" thickBot="1" x14ac:dyDescent="0.3">
      <c r="A29" t="s">
        <v>4615</v>
      </c>
      <c r="B29" t="s">
        <v>4615</v>
      </c>
      <c r="C29" t="s">
        <v>1950</v>
      </c>
      <c r="D29" s="83" t="s">
        <v>534</v>
      </c>
      <c r="E29" s="83" t="s">
        <v>34</v>
      </c>
      <c r="F29" s="83" t="s">
        <v>1745</v>
      </c>
      <c r="G29" s="83" t="s">
        <v>1836</v>
      </c>
      <c r="H29" s="83" t="s">
        <v>3166</v>
      </c>
      <c r="I29" s="83" t="s">
        <v>4640</v>
      </c>
      <c r="K29" s="83" t="s">
        <v>34</v>
      </c>
      <c r="L29" s="174">
        <v>11504268</v>
      </c>
      <c r="M29" s="85" t="s">
        <v>1837</v>
      </c>
      <c r="P29" s="487">
        <v>11504268</v>
      </c>
      <c r="Q29" s="83" t="s">
        <v>4641</v>
      </c>
      <c r="S29" s="227">
        <v>2022</v>
      </c>
      <c r="T29" s="250" t="s">
        <v>3499</v>
      </c>
      <c r="U29" s="250" t="s">
        <v>3507</v>
      </c>
      <c r="V29" t="str">
        <f t="shared" si="6"/>
        <v>Sim</v>
      </c>
    </row>
    <row r="30" spans="1:22" ht="15.75" thickBot="1" x14ac:dyDescent="0.3">
      <c r="A30" t="s">
        <v>4615</v>
      </c>
      <c r="B30" t="s">
        <v>4615</v>
      </c>
      <c r="C30" t="s">
        <v>1950</v>
      </c>
      <c r="D30" s="83" t="s">
        <v>3125</v>
      </c>
      <c r="E30" s="83" t="s">
        <v>34</v>
      </c>
      <c r="F30" s="83" t="s">
        <v>1745</v>
      </c>
      <c r="G30" s="83" t="s">
        <v>1836</v>
      </c>
      <c r="H30" s="83" t="s">
        <v>3166</v>
      </c>
      <c r="I30" s="83" t="s">
        <v>4640</v>
      </c>
      <c r="K30" s="83" t="s">
        <v>34</v>
      </c>
      <c r="L30" s="174">
        <v>1346084</v>
      </c>
      <c r="M30" s="85" t="s">
        <v>1837</v>
      </c>
      <c r="P30" s="487">
        <v>1346084</v>
      </c>
      <c r="Q30" s="83" t="s">
        <v>4641</v>
      </c>
      <c r="S30" s="227">
        <v>2022</v>
      </c>
      <c r="T30" s="250" t="s">
        <v>3499</v>
      </c>
      <c r="U30" s="250" t="s">
        <v>3507</v>
      </c>
      <c r="V30" t="str">
        <f t="shared" si="6"/>
        <v>Sim</v>
      </c>
    </row>
    <row r="31" spans="1:22" ht="15.75" thickBot="1" x14ac:dyDescent="0.3">
      <c r="A31" t="s">
        <v>4615</v>
      </c>
      <c r="B31" t="s">
        <v>4615</v>
      </c>
      <c r="C31" t="s">
        <v>1950</v>
      </c>
      <c r="D31" s="83" t="s">
        <v>4618</v>
      </c>
      <c r="E31" s="83" t="s">
        <v>34</v>
      </c>
      <c r="F31" s="83" t="s">
        <v>1745</v>
      </c>
      <c r="G31" s="83" t="s">
        <v>1836</v>
      </c>
      <c r="H31" s="83" t="s">
        <v>3166</v>
      </c>
      <c r="I31" s="83" t="s">
        <v>4640</v>
      </c>
      <c r="K31" s="83" t="s">
        <v>34</v>
      </c>
      <c r="L31" s="174">
        <v>987467</v>
      </c>
      <c r="M31" s="85" t="s">
        <v>1837</v>
      </c>
      <c r="P31" s="487">
        <v>987467</v>
      </c>
      <c r="Q31" s="83" t="s">
        <v>4641</v>
      </c>
      <c r="S31" s="227">
        <v>2022</v>
      </c>
      <c r="T31" s="250" t="s">
        <v>3499</v>
      </c>
      <c r="U31" s="250" t="s">
        <v>3507</v>
      </c>
      <c r="V31" t="str">
        <f t="shared" si="6"/>
        <v>Sim</v>
      </c>
    </row>
    <row r="32" spans="1:22" ht="15.75" thickBot="1" x14ac:dyDescent="0.3">
      <c r="A32" t="s">
        <v>4615</v>
      </c>
      <c r="B32" t="s">
        <v>4615</v>
      </c>
      <c r="C32" t="s">
        <v>1950</v>
      </c>
      <c r="D32" s="83" t="s">
        <v>4619</v>
      </c>
      <c r="E32" s="83" t="s">
        <v>34</v>
      </c>
      <c r="F32" s="83" t="s">
        <v>1745</v>
      </c>
      <c r="G32" s="83" t="s">
        <v>1836</v>
      </c>
      <c r="H32" s="83" t="s">
        <v>3166</v>
      </c>
      <c r="I32" s="83" t="s">
        <v>4640</v>
      </c>
      <c r="K32" s="83" t="s">
        <v>34</v>
      </c>
      <c r="L32" s="174">
        <v>1574364</v>
      </c>
      <c r="M32" s="85" t="s">
        <v>1837</v>
      </c>
      <c r="P32" s="487">
        <v>1574364</v>
      </c>
      <c r="Q32" s="83" t="s">
        <v>4641</v>
      </c>
      <c r="S32" s="227">
        <v>2022</v>
      </c>
      <c r="T32" s="250" t="s">
        <v>3499</v>
      </c>
      <c r="U32" s="250" t="s">
        <v>3507</v>
      </c>
      <c r="V32" t="str">
        <f t="shared" si="6"/>
        <v>Sim</v>
      </c>
    </row>
    <row r="33" spans="1:22" ht="15.75" thickBot="1" x14ac:dyDescent="0.3">
      <c r="A33" t="s">
        <v>4615</v>
      </c>
      <c r="B33" t="s">
        <v>4615</v>
      </c>
      <c r="C33" t="s">
        <v>1950</v>
      </c>
      <c r="D33" s="83" t="s">
        <v>3126</v>
      </c>
      <c r="E33" s="83" t="s">
        <v>42</v>
      </c>
      <c r="F33" s="83" t="s">
        <v>1745</v>
      </c>
      <c r="G33" s="83" t="s">
        <v>1836</v>
      </c>
      <c r="H33" s="83" t="s">
        <v>3166</v>
      </c>
      <c r="I33" s="83" t="s">
        <v>4640</v>
      </c>
      <c r="K33" s="83" t="s">
        <v>34</v>
      </c>
      <c r="L33" s="174">
        <v>5064582</v>
      </c>
      <c r="M33" s="85" t="s">
        <v>1837</v>
      </c>
      <c r="P33" s="487">
        <v>5064582</v>
      </c>
      <c r="Q33" s="83" t="s">
        <v>4641</v>
      </c>
      <c r="S33" s="227">
        <v>2022</v>
      </c>
      <c r="T33" s="250" t="s">
        <v>3499</v>
      </c>
      <c r="U33" s="250" t="s">
        <v>3507</v>
      </c>
      <c r="V33" t="str">
        <f t="shared" si="6"/>
        <v>Não</v>
      </c>
    </row>
    <row r="34" spans="1:22" ht="15.75" thickBot="1" x14ac:dyDescent="0.3">
      <c r="A34" t="s">
        <v>4615</v>
      </c>
      <c r="B34" t="s">
        <v>4615</v>
      </c>
      <c r="C34" t="s">
        <v>1950</v>
      </c>
      <c r="D34" s="83" t="s">
        <v>4620</v>
      </c>
      <c r="E34" s="83" t="s">
        <v>42</v>
      </c>
      <c r="F34" s="83" t="s">
        <v>1745</v>
      </c>
      <c r="G34" s="83" t="s">
        <v>1836</v>
      </c>
      <c r="H34" s="83" t="s">
        <v>3166</v>
      </c>
      <c r="I34" s="83" t="s">
        <v>4640</v>
      </c>
      <c r="K34" s="83" t="s">
        <v>34</v>
      </c>
      <c r="L34" s="174">
        <v>4826153</v>
      </c>
      <c r="M34" s="85" t="s">
        <v>1837</v>
      </c>
      <c r="P34" s="487">
        <v>4826153</v>
      </c>
      <c r="Q34" s="83" t="s">
        <v>4641</v>
      </c>
      <c r="S34" s="227">
        <v>2022</v>
      </c>
      <c r="T34" s="250" t="s">
        <v>3499</v>
      </c>
      <c r="U34" s="250" t="s">
        <v>3507</v>
      </c>
      <c r="V34" t="str">
        <f t="shared" si="6"/>
        <v>Não</v>
      </c>
    </row>
    <row r="35" spans="1:22" ht="15.75" thickBot="1" x14ac:dyDescent="0.3">
      <c r="A35" t="s">
        <v>4615</v>
      </c>
      <c r="B35" t="s">
        <v>4615</v>
      </c>
      <c r="C35" t="s">
        <v>1950</v>
      </c>
      <c r="D35" s="83" t="s">
        <v>4621</v>
      </c>
      <c r="E35" s="83" t="s">
        <v>42</v>
      </c>
      <c r="F35" s="83" t="s">
        <v>1745</v>
      </c>
      <c r="G35" s="83" t="s">
        <v>1836</v>
      </c>
      <c r="H35" s="83" t="s">
        <v>3166</v>
      </c>
      <c r="I35" s="83" t="s">
        <v>4640</v>
      </c>
      <c r="K35" s="83" t="s">
        <v>34</v>
      </c>
      <c r="L35" s="174">
        <v>3380633</v>
      </c>
      <c r="M35" s="85" t="s">
        <v>1837</v>
      </c>
      <c r="P35" s="487">
        <v>3380633</v>
      </c>
      <c r="Q35" s="83" t="s">
        <v>4641</v>
      </c>
      <c r="S35" s="227">
        <v>2022</v>
      </c>
      <c r="T35" s="250" t="s">
        <v>3499</v>
      </c>
      <c r="U35" s="250" t="s">
        <v>3507</v>
      </c>
      <c r="V35" t="str">
        <f t="shared" si="6"/>
        <v>Não</v>
      </c>
    </row>
    <row r="36" spans="1:22" ht="15.75" thickBot="1" x14ac:dyDescent="0.3">
      <c r="A36" t="s">
        <v>4615</v>
      </c>
      <c r="B36" t="s">
        <v>4615</v>
      </c>
      <c r="C36" t="s">
        <v>1950</v>
      </c>
      <c r="D36" s="83" t="s">
        <v>4622</v>
      </c>
      <c r="E36" s="83" t="s">
        <v>42</v>
      </c>
      <c r="F36" s="83" t="s">
        <v>1745</v>
      </c>
      <c r="G36" s="83" t="s">
        <v>1836</v>
      </c>
      <c r="H36" s="83" t="s">
        <v>3166</v>
      </c>
      <c r="I36" s="83" t="s">
        <v>4640</v>
      </c>
      <c r="K36" s="83" t="s">
        <v>34</v>
      </c>
      <c r="L36" s="174">
        <v>4445721</v>
      </c>
      <c r="M36" s="85" t="s">
        <v>1837</v>
      </c>
      <c r="P36" s="487">
        <v>4445721</v>
      </c>
      <c r="Q36" s="83" t="s">
        <v>4641</v>
      </c>
      <c r="S36" s="227">
        <v>2022</v>
      </c>
      <c r="T36" s="250" t="s">
        <v>3499</v>
      </c>
      <c r="U36" s="250" t="s">
        <v>3507</v>
      </c>
      <c r="V36" t="str">
        <f t="shared" si="6"/>
        <v>Não</v>
      </c>
    </row>
    <row r="37" spans="1:22" ht="15.75" thickBot="1" x14ac:dyDescent="0.3">
      <c r="A37" t="s">
        <v>4615</v>
      </c>
      <c r="B37" t="s">
        <v>4615</v>
      </c>
      <c r="C37" t="s">
        <v>1950</v>
      </c>
      <c r="D37" s="83" t="s">
        <v>4623</v>
      </c>
      <c r="E37" s="83" t="s">
        <v>42</v>
      </c>
      <c r="F37" s="83" t="s">
        <v>1745</v>
      </c>
      <c r="G37" s="83" t="s">
        <v>1836</v>
      </c>
      <c r="H37" s="83" t="s">
        <v>3166</v>
      </c>
      <c r="I37" s="83" t="s">
        <v>4640</v>
      </c>
      <c r="K37" s="83" t="s">
        <v>34</v>
      </c>
      <c r="L37" s="174">
        <v>64181</v>
      </c>
      <c r="M37" s="85" t="s">
        <v>1837</v>
      </c>
      <c r="P37" s="487">
        <v>64181</v>
      </c>
      <c r="Q37" s="83" t="s">
        <v>4641</v>
      </c>
      <c r="S37" s="227">
        <v>2022</v>
      </c>
      <c r="T37" s="250" t="s">
        <v>3499</v>
      </c>
      <c r="U37" s="250" t="s">
        <v>3507</v>
      </c>
      <c r="V37" t="str">
        <f t="shared" si="6"/>
        <v>Não</v>
      </c>
    </row>
    <row r="38" spans="1:22" ht="15.75" thickBot="1" x14ac:dyDescent="0.3">
      <c r="A38" t="s">
        <v>4615</v>
      </c>
      <c r="B38" t="s">
        <v>4615</v>
      </c>
      <c r="C38" t="s">
        <v>1950</v>
      </c>
      <c r="D38" s="83" t="s">
        <v>4624</v>
      </c>
      <c r="E38" s="83" t="s">
        <v>42</v>
      </c>
      <c r="F38" s="83" t="s">
        <v>1745</v>
      </c>
      <c r="G38" s="83" t="s">
        <v>1836</v>
      </c>
      <c r="H38" s="83" t="s">
        <v>3166</v>
      </c>
      <c r="I38" s="83" t="s">
        <v>4640</v>
      </c>
      <c r="K38" s="83" t="s">
        <v>34</v>
      </c>
      <c r="L38" s="174">
        <v>1537564</v>
      </c>
      <c r="M38" s="85" t="s">
        <v>1837</v>
      </c>
      <c r="P38" s="487">
        <v>1537564</v>
      </c>
      <c r="Q38" s="83" t="s">
        <v>4641</v>
      </c>
      <c r="S38" s="227">
        <v>2022</v>
      </c>
      <c r="T38" s="250" t="s">
        <v>3499</v>
      </c>
      <c r="U38" s="250" t="s">
        <v>3507</v>
      </c>
      <c r="V38" t="str">
        <f t="shared" si="6"/>
        <v>Não</v>
      </c>
    </row>
    <row r="39" spans="1:22" ht="15.75" thickBot="1" x14ac:dyDescent="0.3">
      <c r="A39" t="s">
        <v>4615</v>
      </c>
      <c r="B39" t="s">
        <v>4615</v>
      </c>
      <c r="C39" t="s">
        <v>1950</v>
      </c>
      <c r="D39" s="83" t="s">
        <v>4625</v>
      </c>
      <c r="E39" s="83" t="s">
        <v>34</v>
      </c>
      <c r="F39" s="83" t="s">
        <v>1745</v>
      </c>
      <c r="G39" s="83" t="s">
        <v>1836</v>
      </c>
      <c r="H39" s="83" t="s">
        <v>3166</v>
      </c>
      <c r="I39" s="83" t="s">
        <v>4640</v>
      </c>
      <c r="K39" s="83" t="s">
        <v>34</v>
      </c>
      <c r="L39" s="174">
        <v>730504</v>
      </c>
      <c r="M39" s="85" t="s">
        <v>1837</v>
      </c>
      <c r="P39" s="487">
        <v>730504</v>
      </c>
      <c r="Q39" s="83" t="s">
        <v>4641</v>
      </c>
      <c r="S39" s="227">
        <v>2022</v>
      </c>
      <c r="T39" s="250" t="s">
        <v>3499</v>
      </c>
      <c r="U39" s="250" t="s">
        <v>3507</v>
      </c>
      <c r="V39" t="str">
        <f t="shared" si="6"/>
        <v>Sim</v>
      </c>
    </row>
    <row r="40" spans="1:22" ht="15.75" thickBot="1" x14ac:dyDescent="0.3">
      <c r="A40" t="s">
        <v>4615</v>
      </c>
      <c r="B40" t="s">
        <v>4615</v>
      </c>
      <c r="C40" t="s">
        <v>1950</v>
      </c>
      <c r="D40" s="83" t="s">
        <v>4626</v>
      </c>
      <c r="E40" s="83" t="s">
        <v>34</v>
      </c>
      <c r="F40" s="83" t="s">
        <v>1745</v>
      </c>
      <c r="G40" s="83" t="s">
        <v>1836</v>
      </c>
      <c r="H40" s="83" t="s">
        <v>3166</v>
      </c>
      <c r="I40" s="83" t="s">
        <v>4640</v>
      </c>
      <c r="K40" s="83" t="s">
        <v>34</v>
      </c>
      <c r="L40" s="174">
        <v>2519409</v>
      </c>
      <c r="M40" s="85" t="s">
        <v>1837</v>
      </c>
      <c r="P40" s="487">
        <v>2519409</v>
      </c>
      <c r="Q40" s="83" t="s">
        <v>4641</v>
      </c>
      <c r="S40" s="227">
        <v>2022</v>
      </c>
      <c r="T40" s="250" t="s">
        <v>3499</v>
      </c>
      <c r="U40" s="250" t="s">
        <v>3507</v>
      </c>
      <c r="V40" t="str">
        <f t="shared" si="6"/>
        <v>Sim</v>
      </c>
    </row>
    <row r="41" spans="1:22" ht="15.75" thickBot="1" x14ac:dyDescent="0.3">
      <c r="A41" t="s">
        <v>4615</v>
      </c>
      <c r="B41" t="s">
        <v>4615</v>
      </c>
      <c r="C41" t="s">
        <v>1950</v>
      </c>
      <c r="D41" s="83" t="s">
        <v>4627</v>
      </c>
      <c r="E41" s="83" t="s">
        <v>34</v>
      </c>
      <c r="F41" s="83" t="s">
        <v>1745</v>
      </c>
      <c r="G41" s="83" t="s">
        <v>1836</v>
      </c>
      <c r="H41" s="83" t="s">
        <v>3166</v>
      </c>
      <c r="I41" s="83" t="s">
        <v>4640</v>
      </c>
      <c r="K41" s="83" t="s">
        <v>34</v>
      </c>
      <c r="L41" s="174">
        <v>1198906</v>
      </c>
      <c r="M41" s="85" t="s">
        <v>1837</v>
      </c>
      <c r="P41" s="487">
        <v>1198906</v>
      </c>
      <c r="Q41" s="83" t="s">
        <v>4641</v>
      </c>
      <c r="S41" s="227">
        <v>2022</v>
      </c>
      <c r="T41" s="250" t="s">
        <v>3499</v>
      </c>
      <c r="U41" s="250" t="s">
        <v>3507</v>
      </c>
      <c r="V41" t="str">
        <f t="shared" si="6"/>
        <v>Sim</v>
      </c>
    </row>
    <row r="42" spans="1:22" ht="15.75" thickBot="1" x14ac:dyDescent="0.3">
      <c r="A42" t="s">
        <v>4615</v>
      </c>
      <c r="B42" t="s">
        <v>4615</v>
      </c>
      <c r="C42" t="s">
        <v>1950</v>
      </c>
      <c r="D42" s="83" t="s">
        <v>4628</v>
      </c>
      <c r="E42" s="83" t="s">
        <v>34</v>
      </c>
      <c r="F42" s="83" t="s">
        <v>1745</v>
      </c>
      <c r="G42" s="83" t="s">
        <v>1836</v>
      </c>
      <c r="H42" s="83" t="s">
        <v>3166</v>
      </c>
      <c r="I42" s="83" t="s">
        <v>4640</v>
      </c>
      <c r="K42" s="83" t="s">
        <v>34</v>
      </c>
      <c r="L42" s="174">
        <v>618087</v>
      </c>
      <c r="M42" s="85" t="s">
        <v>1837</v>
      </c>
      <c r="P42" s="487">
        <v>618087</v>
      </c>
      <c r="Q42" s="83" t="s">
        <v>4641</v>
      </c>
      <c r="S42" s="227">
        <v>2022</v>
      </c>
      <c r="T42" s="250" t="s">
        <v>3499</v>
      </c>
      <c r="U42" s="250" t="s">
        <v>3507</v>
      </c>
      <c r="V42" t="str">
        <f t="shared" si="6"/>
        <v>Sim</v>
      </c>
    </row>
    <row r="43" spans="1:22" ht="15.75" thickBot="1" x14ac:dyDescent="0.3">
      <c r="A43" t="s">
        <v>4615</v>
      </c>
      <c r="B43" t="s">
        <v>4615</v>
      </c>
      <c r="C43" t="s">
        <v>1950</v>
      </c>
      <c r="D43" s="83" t="s">
        <v>4629</v>
      </c>
      <c r="E43" s="83" t="s">
        <v>42</v>
      </c>
      <c r="F43" s="83" t="s">
        <v>1745</v>
      </c>
      <c r="G43" s="83" t="s">
        <v>1836</v>
      </c>
      <c r="H43" s="83" t="s">
        <v>3166</v>
      </c>
      <c r="I43" s="83" t="s">
        <v>4640</v>
      </c>
      <c r="K43" s="83" t="s">
        <v>34</v>
      </c>
      <c r="L43" s="174">
        <v>700636</v>
      </c>
      <c r="M43" s="85" t="s">
        <v>1837</v>
      </c>
      <c r="P43" s="487">
        <v>700636</v>
      </c>
      <c r="Q43" s="83" t="s">
        <v>4641</v>
      </c>
      <c r="S43" s="227">
        <v>2022</v>
      </c>
      <c r="T43" s="250" t="s">
        <v>3499</v>
      </c>
      <c r="U43" s="250" t="s">
        <v>3507</v>
      </c>
      <c r="V43" t="str">
        <f t="shared" si="6"/>
        <v>Não</v>
      </c>
    </row>
    <row r="44" spans="1:22" ht="15.75" thickBot="1" x14ac:dyDescent="0.3">
      <c r="A44" t="s">
        <v>4615</v>
      </c>
      <c r="B44" t="s">
        <v>4615</v>
      </c>
      <c r="C44" t="s">
        <v>1950</v>
      </c>
      <c r="D44" s="83" t="s">
        <v>4630</v>
      </c>
      <c r="E44" s="83" t="s">
        <v>42</v>
      </c>
      <c r="F44" s="83" t="s">
        <v>1745</v>
      </c>
      <c r="G44" s="83" t="s">
        <v>1836</v>
      </c>
      <c r="H44" s="83" t="s">
        <v>3166</v>
      </c>
      <c r="I44" s="83" t="s">
        <v>4640</v>
      </c>
      <c r="K44" s="83" t="s">
        <v>34</v>
      </c>
      <c r="L44" s="174">
        <v>1660709</v>
      </c>
      <c r="M44" s="85" t="s">
        <v>1837</v>
      </c>
      <c r="P44" s="487">
        <v>1660709</v>
      </c>
      <c r="Q44" s="83" t="s">
        <v>4641</v>
      </c>
      <c r="S44" s="227">
        <v>2022</v>
      </c>
      <c r="T44" s="250" t="s">
        <v>3499</v>
      </c>
      <c r="U44" s="250" t="s">
        <v>3507</v>
      </c>
      <c r="V44" t="str">
        <f t="shared" si="6"/>
        <v>Não</v>
      </c>
    </row>
    <row r="45" spans="1:22" ht="15.75" thickBot="1" x14ac:dyDescent="0.3">
      <c r="A45" t="s">
        <v>4615</v>
      </c>
      <c r="B45" t="s">
        <v>4615</v>
      </c>
      <c r="C45" t="s">
        <v>1950</v>
      </c>
      <c r="D45" s="83" t="s">
        <v>4631</v>
      </c>
      <c r="E45" s="83" t="s">
        <v>34</v>
      </c>
      <c r="F45" s="83" t="s">
        <v>1745</v>
      </c>
      <c r="G45" s="83" t="s">
        <v>1836</v>
      </c>
      <c r="H45" s="83" t="s">
        <v>3166</v>
      </c>
      <c r="I45" s="83" t="s">
        <v>4640</v>
      </c>
      <c r="K45" s="83" t="s">
        <v>34</v>
      </c>
      <c r="L45" s="174">
        <v>2001495</v>
      </c>
      <c r="M45" s="85" t="s">
        <v>1837</v>
      </c>
      <c r="P45" s="487">
        <v>2001495</v>
      </c>
      <c r="Q45" s="83" t="s">
        <v>4641</v>
      </c>
      <c r="S45" s="227">
        <v>2022</v>
      </c>
      <c r="T45" s="250" t="s">
        <v>3499</v>
      </c>
      <c r="U45" s="250" t="s">
        <v>3507</v>
      </c>
      <c r="V45" t="str">
        <f t="shared" si="6"/>
        <v>Sim</v>
      </c>
    </row>
    <row r="46" spans="1:22" ht="15.75" thickBot="1" x14ac:dyDescent="0.3">
      <c r="A46" t="s">
        <v>4615</v>
      </c>
      <c r="B46" t="s">
        <v>4615</v>
      </c>
      <c r="C46" t="s">
        <v>1950</v>
      </c>
      <c r="D46" s="83" t="s">
        <v>4632</v>
      </c>
      <c r="E46" s="83" t="s">
        <v>42</v>
      </c>
      <c r="F46" s="83" t="s">
        <v>1745</v>
      </c>
      <c r="G46" s="83" t="s">
        <v>1836</v>
      </c>
      <c r="H46" s="83" t="s">
        <v>3166</v>
      </c>
      <c r="I46" s="83" t="s">
        <v>4640</v>
      </c>
      <c r="K46" s="83" t="s">
        <v>34</v>
      </c>
      <c r="L46" s="174">
        <v>1136664</v>
      </c>
      <c r="M46" s="85" t="s">
        <v>1837</v>
      </c>
      <c r="P46" s="487">
        <v>1136664</v>
      </c>
      <c r="Q46" s="83" t="s">
        <v>4641</v>
      </c>
      <c r="S46" s="227">
        <v>2022</v>
      </c>
      <c r="T46" s="250" t="s">
        <v>3499</v>
      </c>
      <c r="U46" s="250" t="s">
        <v>3507</v>
      </c>
      <c r="V46" t="str">
        <f t="shared" si="6"/>
        <v>Não</v>
      </c>
    </row>
    <row r="47" spans="1:22" ht="15.75" thickBot="1" x14ac:dyDescent="0.3">
      <c r="A47" t="s">
        <v>4615</v>
      </c>
      <c r="B47" t="s">
        <v>4615</v>
      </c>
      <c r="C47" t="s">
        <v>1950</v>
      </c>
      <c r="D47" s="83" t="s">
        <v>4633</v>
      </c>
      <c r="E47" s="83" t="s">
        <v>42</v>
      </c>
      <c r="F47" s="83" t="s">
        <v>1745</v>
      </c>
      <c r="G47" s="83" t="s">
        <v>1836</v>
      </c>
      <c r="H47" s="83" t="s">
        <v>3166</v>
      </c>
      <c r="I47" s="83" t="s">
        <v>4640</v>
      </c>
      <c r="K47" s="83" t="s">
        <v>34</v>
      </c>
      <c r="L47" s="174">
        <v>597377</v>
      </c>
      <c r="M47" s="85" t="s">
        <v>1837</v>
      </c>
      <c r="P47" s="487">
        <v>597377</v>
      </c>
      <c r="Q47" s="83" t="s">
        <v>4641</v>
      </c>
      <c r="S47" s="227">
        <v>2022</v>
      </c>
      <c r="T47" s="250" t="s">
        <v>3499</v>
      </c>
      <c r="U47" s="250" t="s">
        <v>3507</v>
      </c>
      <c r="V47" t="str">
        <f t="shared" si="6"/>
        <v>Não</v>
      </c>
    </row>
    <row r="48" spans="1:22" ht="15.75" thickBot="1" x14ac:dyDescent="0.3">
      <c r="A48" t="s">
        <v>4615</v>
      </c>
      <c r="B48" t="s">
        <v>4615</v>
      </c>
      <c r="C48" t="s">
        <v>1950</v>
      </c>
      <c r="D48" s="83" t="s">
        <v>4634</v>
      </c>
      <c r="E48" s="83" t="s">
        <v>42</v>
      </c>
      <c r="F48" s="83" t="s">
        <v>1745</v>
      </c>
      <c r="G48" s="83" t="s">
        <v>1836</v>
      </c>
      <c r="H48" s="83" t="s">
        <v>3166</v>
      </c>
      <c r="I48" s="83" t="s">
        <v>4640</v>
      </c>
      <c r="K48" s="83" t="s">
        <v>34</v>
      </c>
      <c r="L48" s="174">
        <v>2047728</v>
      </c>
      <c r="M48" s="85" t="s">
        <v>1837</v>
      </c>
      <c r="P48" s="487">
        <v>2047728</v>
      </c>
      <c r="Q48" s="83" t="s">
        <v>4641</v>
      </c>
      <c r="S48" s="227">
        <v>2022</v>
      </c>
      <c r="T48" s="250" t="s">
        <v>3499</v>
      </c>
      <c r="U48" s="250" t="s">
        <v>3507</v>
      </c>
      <c r="V48" t="str">
        <f t="shared" si="6"/>
        <v>Não</v>
      </c>
    </row>
    <row r="49" spans="1:22" ht="15.75" thickBot="1" x14ac:dyDescent="0.3">
      <c r="A49" t="s">
        <v>4615</v>
      </c>
      <c r="B49" t="s">
        <v>4615</v>
      </c>
      <c r="C49" t="s">
        <v>1950</v>
      </c>
      <c r="D49" s="83" t="s">
        <v>4635</v>
      </c>
      <c r="E49" s="83" t="s">
        <v>42</v>
      </c>
      <c r="F49" s="83" t="s">
        <v>1745</v>
      </c>
      <c r="G49" s="83" t="s">
        <v>1836</v>
      </c>
      <c r="H49" s="83" t="s">
        <v>3166</v>
      </c>
      <c r="I49" s="83" t="s">
        <v>4640</v>
      </c>
      <c r="K49" s="83" t="s">
        <v>34</v>
      </c>
      <c r="L49" s="174">
        <v>6950108</v>
      </c>
      <c r="M49" s="85" t="s">
        <v>1837</v>
      </c>
      <c r="P49" s="487">
        <v>6950108</v>
      </c>
      <c r="Q49" s="83" t="s">
        <v>4641</v>
      </c>
      <c r="S49" s="227">
        <v>2022</v>
      </c>
      <c r="T49" s="250" t="s">
        <v>3499</v>
      </c>
      <c r="U49" s="250" t="s">
        <v>3507</v>
      </c>
      <c r="V49" t="str">
        <f t="shared" si="6"/>
        <v>Não</v>
      </c>
    </row>
    <row r="50" spans="1:22" ht="15.75" thickBot="1" x14ac:dyDescent="0.3">
      <c r="A50" t="s">
        <v>4615</v>
      </c>
      <c r="B50" t="s">
        <v>4615</v>
      </c>
      <c r="C50" t="s">
        <v>1950</v>
      </c>
      <c r="D50" s="83" t="s">
        <v>4636</v>
      </c>
      <c r="E50" s="83" t="s">
        <v>42</v>
      </c>
      <c r="F50" s="83" t="s">
        <v>1745</v>
      </c>
      <c r="G50" s="83" t="s">
        <v>1836</v>
      </c>
      <c r="H50" s="83" t="s">
        <v>3166</v>
      </c>
      <c r="I50" s="425" t="s">
        <v>4640</v>
      </c>
      <c r="K50" s="83" t="s">
        <v>34</v>
      </c>
      <c r="L50" s="174">
        <v>332675</v>
      </c>
      <c r="M50" s="85" t="s">
        <v>1837</v>
      </c>
      <c r="P50" s="487">
        <v>332675</v>
      </c>
      <c r="Q50" s="83" t="s">
        <v>4641</v>
      </c>
      <c r="S50" s="227">
        <v>2022</v>
      </c>
      <c r="T50" s="250" t="s">
        <v>3499</v>
      </c>
      <c r="U50" s="250" t="s">
        <v>3507</v>
      </c>
      <c r="V50" t="str">
        <f t="shared" si="6"/>
        <v>Não</v>
      </c>
    </row>
    <row r="51" spans="1:22" ht="15.75" thickBot="1" x14ac:dyDescent="0.3">
      <c r="A51" t="s">
        <v>4615</v>
      </c>
      <c r="B51" t="s">
        <v>4615</v>
      </c>
      <c r="C51" t="s">
        <v>1950</v>
      </c>
      <c r="D51" s="83" t="s">
        <v>4637</v>
      </c>
      <c r="E51" s="83" t="s">
        <v>42</v>
      </c>
      <c r="F51" s="83" t="s">
        <v>1745</v>
      </c>
      <c r="G51" s="83" t="s">
        <v>1836</v>
      </c>
      <c r="H51" s="83" t="s">
        <v>3166</v>
      </c>
      <c r="I51" s="83" t="s">
        <v>4640</v>
      </c>
      <c r="K51" s="83" t="s">
        <v>34</v>
      </c>
      <c r="L51" s="174">
        <v>1179466</v>
      </c>
      <c r="M51" s="85" t="s">
        <v>1837</v>
      </c>
      <c r="P51" s="487">
        <v>1179466</v>
      </c>
      <c r="Q51" s="83" t="s">
        <v>4641</v>
      </c>
      <c r="S51" s="227">
        <v>2022</v>
      </c>
      <c r="T51" s="250" t="s">
        <v>3499</v>
      </c>
      <c r="U51" s="250" t="s">
        <v>3507</v>
      </c>
      <c r="V51" t="str">
        <f t="shared" si="6"/>
        <v>Não</v>
      </c>
    </row>
    <row r="52" spans="1:22" ht="15.75" thickBot="1" x14ac:dyDescent="0.3">
      <c r="A52" t="s">
        <v>4615</v>
      </c>
      <c r="B52" t="s">
        <v>4615</v>
      </c>
      <c r="C52" t="s">
        <v>1950</v>
      </c>
      <c r="D52" s="83" t="s">
        <v>4638</v>
      </c>
      <c r="E52" s="83" t="s">
        <v>42</v>
      </c>
      <c r="F52" s="83" t="s">
        <v>1745</v>
      </c>
      <c r="G52" s="83" t="s">
        <v>1836</v>
      </c>
      <c r="H52" s="83" t="s">
        <v>3166</v>
      </c>
      <c r="I52" s="83" t="s">
        <v>4640</v>
      </c>
      <c r="K52" s="83" t="s">
        <v>34</v>
      </c>
      <c r="L52" s="174">
        <v>383306</v>
      </c>
      <c r="M52" s="85" t="s">
        <v>1837</v>
      </c>
      <c r="P52" s="487">
        <v>383306</v>
      </c>
      <c r="Q52" s="83" t="s">
        <v>4641</v>
      </c>
      <c r="S52" s="227">
        <v>2022</v>
      </c>
      <c r="T52" s="250" t="s">
        <v>3499</v>
      </c>
      <c r="U52" s="250" t="s">
        <v>3507</v>
      </c>
      <c r="V52" t="str">
        <f t="shared" si="6"/>
        <v>Não</v>
      </c>
    </row>
    <row r="53" spans="1:22" ht="15.75" thickBot="1" x14ac:dyDescent="0.3">
      <c r="A53" t="s">
        <v>4615</v>
      </c>
      <c r="B53" t="s">
        <v>4615</v>
      </c>
      <c r="C53" s="422" t="s">
        <v>1950</v>
      </c>
      <c r="D53" s="83" t="s">
        <v>4639</v>
      </c>
      <c r="E53" s="83" t="s">
        <v>42</v>
      </c>
      <c r="F53" s="83" t="s">
        <v>1745</v>
      </c>
      <c r="G53" s="83" t="s">
        <v>1836</v>
      </c>
      <c r="H53" s="83" t="s">
        <v>3166</v>
      </c>
      <c r="I53" s="83" t="s">
        <v>4640</v>
      </c>
      <c r="K53" s="83" t="s">
        <v>34</v>
      </c>
      <c r="L53" s="174">
        <v>455297</v>
      </c>
      <c r="M53" s="85" t="s">
        <v>1837</v>
      </c>
      <c r="P53" s="487">
        <v>455297</v>
      </c>
      <c r="Q53" s="83" t="s">
        <v>4641</v>
      </c>
      <c r="S53" s="227">
        <v>2022</v>
      </c>
      <c r="T53" s="250" t="s">
        <v>3499</v>
      </c>
      <c r="U53" s="250" t="s">
        <v>3507</v>
      </c>
      <c r="V53" t="str">
        <f t="shared" si="6"/>
        <v>Não</v>
      </c>
    </row>
    <row r="54" spans="1:22" ht="15.75" thickBot="1" x14ac:dyDescent="0.3">
      <c r="A54" t="s">
        <v>4591</v>
      </c>
      <c r="B54" t="s">
        <v>4591</v>
      </c>
      <c r="C54" s="422" t="s">
        <v>1950</v>
      </c>
      <c r="D54" t="s">
        <v>6042</v>
      </c>
      <c r="E54" t="s">
        <v>42</v>
      </c>
      <c r="F54" t="s">
        <v>1745</v>
      </c>
      <c r="G54" t="s">
        <v>3162</v>
      </c>
      <c r="H54" s="425" t="s">
        <v>3166</v>
      </c>
      <c r="I54" s="283" t="s">
        <v>3168</v>
      </c>
      <c r="K54" s="422" t="s">
        <v>34</v>
      </c>
      <c r="L54" s="483">
        <v>20957.38</v>
      </c>
      <c r="M54" t="s">
        <v>1837</v>
      </c>
      <c r="N54" s="425" t="s">
        <v>6067</v>
      </c>
      <c r="O54" s="425" t="s">
        <v>6068</v>
      </c>
      <c r="P54" s="485">
        <f>L54/R54</f>
        <v>10478.69</v>
      </c>
      <c r="Q54" s="425" t="s">
        <v>3163</v>
      </c>
      <c r="R54" s="295">
        <v>2</v>
      </c>
      <c r="S54" s="227">
        <v>2023</v>
      </c>
      <c r="T54" s="250" t="s">
        <v>3499</v>
      </c>
      <c r="U54" s="250" t="s">
        <v>3507</v>
      </c>
      <c r="V54" s="422" t="str">
        <f t="shared" ref="V54:V55" si="7">IF(E54="Sim","Sim","Não")</f>
        <v>Não</v>
      </c>
    </row>
    <row r="55" spans="1:22" ht="15.75" thickBot="1" x14ac:dyDescent="0.3">
      <c r="A55" t="s">
        <v>4591</v>
      </c>
      <c r="B55" t="s">
        <v>4591</v>
      </c>
      <c r="C55" s="422" t="s">
        <v>1950</v>
      </c>
      <c r="D55" t="s">
        <v>6043</v>
      </c>
      <c r="E55" t="s">
        <v>42</v>
      </c>
      <c r="F55" t="s">
        <v>1745</v>
      </c>
      <c r="G55" t="s">
        <v>3162</v>
      </c>
      <c r="H55" s="425" t="s">
        <v>3166</v>
      </c>
      <c r="I55" s="283" t="s">
        <v>3168</v>
      </c>
      <c r="K55" s="422" t="s">
        <v>34</v>
      </c>
      <c r="L55" s="483">
        <v>733279.99</v>
      </c>
      <c r="M55" t="s">
        <v>1837</v>
      </c>
      <c r="N55" s="425" t="s">
        <v>6068</v>
      </c>
      <c r="O55" s="425" t="s">
        <v>6068</v>
      </c>
      <c r="P55" s="485">
        <f>L55/R55</f>
        <v>366639.995</v>
      </c>
      <c r="Q55" s="425" t="s">
        <v>3163</v>
      </c>
      <c r="R55" s="295">
        <v>2</v>
      </c>
      <c r="S55" s="227">
        <v>2023</v>
      </c>
      <c r="T55" s="250" t="s">
        <v>3499</v>
      </c>
      <c r="U55" s="250" t="s">
        <v>3507</v>
      </c>
      <c r="V55" s="422" t="str">
        <f t="shared" si="7"/>
        <v>Não</v>
      </c>
    </row>
    <row r="56" spans="1:22" ht="15.75" thickBot="1" x14ac:dyDescent="0.3">
      <c r="A56" t="s">
        <v>1916</v>
      </c>
      <c r="B56" t="s">
        <v>1916</v>
      </c>
      <c r="C56" s="422" t="s">
        <v>1950</v>
      </c>
      <c r="D56" t="s">
        <v>1835</v>
      </c>
      <c r="E56" t="s">
        <v>42</v>
      </c>
      <c r="F56" t="s">
        <v>1745</v>
      </c>
      <c r="G56" t="s">
        <v>1836</v>
      </c>
      <c r="H56" s="425" t="s">
        <v>3166</v>
      </c>
      <c r="I56" s="425" t="s">
        <v>3167</v>
      </c>
      <c r="K56" t="s">
        <v>34</v>
      </c>
      <c r="L56" s="483">
        <v>178921.18</v>
      </c>
      <c r="M56" t="s">
        <v>1837</v>
      </c>
      <c r="P56" s="485">
        <f>L56/R56</f>
        <v>89460.59</v>
      </c>
      <c r="Q56" s="425" t="s">
        <v>3163</v>
      </c>
      <c r="R56" s="295">
        <v>2</v>
      </c>
      <c r="S56" s="227">
        <v>2023</v>
      </c>
      <c r="T56" s="250" t="s">
        <v>3499</v>
      </c>
      <c r="U56" s="250" t="s">
        <v>3507</v>
      </c>
      <c r="V56" s="422" t="str">
        <f t="shared" ref="V56:V109" si="8">IF(E56="Sim","Sim","Não")</f>
        <v>Não</v>
      </c>
    </row>
    <row r="57" spans="1:22" ht="15.75" thickBot="1" x14ac:dyDescent="0.3">
      <c r="A57" t="s">
        <v>2943</v>
      </c>
      <c r="B57" t="s">
        <v>2943</v>
      </c>
      <c r="C57" s="422" t="s">
        <v>1950</v>
      </c>
      <c r="D57" t="s">
        <v>3153</v>
      </c>
      <c r="E57" t="s">
        <v>42</v>
      </c>
      <c r="F57" t="s">
        <v>1745</v>
      </c>
      <c r="G57" t="s">
        <v>1836</v>
      </c>
      <c r="H57" s="425" t="s">
        <v>3166</v>
      </c>
      <c r="I57" s="425" t="s">
        <v>3167</v>
      </c>
      <c r="K57" t="s">
        <v>34</v>
      </c>
      <c r="L57" s="483">
        <v>195448.32000000001</v>
      </c>
      <c r="M57" t="s">
        <v>1837</v>
      </c>
      <c r="P57" s="485">
        <f>L57/R57</f>
        <v>97724.160000000003</v>
      </c>
      <c r="Q57" s="425" t="s">
        <v>3163</v>
      </c>
      <c r="R57" s="295">
        <v>2</v>
      </c>
      <c r="S57" s="227">
        <v>2023</v>
      </c>
      <c r="T57" s="250" t="s">
        <v>3499</v>
      </c>
      <c r="U57" s="250" t="s">
        <v>3507</v>
      </c>
      <c r="V57" s="422" t="str">
        <f t="shared" si="8"/>
        <v>Não</v>
      </c>
    </row>
    <row r="58" spans="1:22" ht="15.75" thickBot="1" x14ac:dyDescent="0.3">
      <c r="A58" t="s">
        <v>4599</v>
      </c>
      <c r="B58" t="s">
        <v>4599</v>
      </c>
      <c r="C58" s="422" t="s">
        <v>1950</v>
      </c>
      <c r="D58" t="s">
        <v>4630</v>
      </c>
      <c r="E58" t="s">
        <v>42</v>
      </c>
      <c r="F58" t="s">
        <v>1745</v>
      </c>
      <c r="G58" t="s">
        <v>1836</v>
      </c>
      <c r="H58" s="425" t="s">
        <v>3166</v>
      </c>
      <c r="I58" s="425" t="s">
        <v>3167</v>
      </c>
      <c r="J58">
        <v>90</v>
      </c>
      <c r="K58" t="s">
        <v>34</v>
      </c>
      <c r="L58" s="247">
        <v>301970.63682398578</v>
      </c>
      <c r="M58" t="s">
        <v>6066</v>
      </c>
      <c r="P58" s="487">
        <v>276010.69999999995</v>
      </c>
      <c r="S58" s="227">
        <v>2023</v>
      </c>
      <c r="T58" s="250" t="s">
        <v>3499</v>
      </c>
      <c r="U58" s="250" t="s">
        <v>3507</v>
      </c>
      <c r="V58" s="422" t="str">
        <f t="shared" si="8"/>
        <v>Não</v>
      </c>
    </row>
    <row r="59" spans="1:22" ht="15.75" thickBot="1" x14ac:dyDescent="0.3">
      <c r="A59" t="s">
        <v>4599</v>
      </c>
      <c r="B59" t="s">
        <v>4599</v>
      </c>
      <c r="C59" s="422" t="s">
        <v>1950</v>
      </c>
      <c r="D59" t="s">
        <v>6044</v>
      </c>
      <c r="E59" t="s">
        <v>34</v>
      </c>
      <c r="F59" t="s">
        <v>1745</v>
      </c>
      <c r="G59" t="s">
        <v>1836</v>
      </c>
      <c r="H59" s="425" t="s">
        <v>3166</v>
      </c>
      <c r="I59" s="425" t="s">
        <v>3167</v>
      </c>
      <c r="J59">
        <v>90</v>
      </c>
      <c r="K59" t="s">
        <v>34</v>
      </c>
      <c r="L59" s="247">
        <v>202934.72094559937</v>
      </c>
      <c r="M59" t="s">
        <v>6066</v>
      </c>
      <c r="O59" s="422"/>
      <c r="P59" s="487">
        <v>197744.09</v>
      </c>
      <c r="S59" s="227">
        <v>2023</v>
      </c>
      <c r="T59" s="250" t="s">
        <v>3499</v>
      </c>
      <c r="U59" s="250" t="s">
        <v>3507</v>
      </c>
      <c r="V59" s="422" t="str">
        <f t="shared" si="8"/>
        <v>Sim</v>
      </c>
    </row>
    <row r="60" spans="1:22" ht="15.75" thickBot="1" x14ac:dyDescent="0.3">
      <c r="A60" t="s">
        <v>4599</v>
      </c>
      <c r="B60" t="s">
        <v>4599</v>
      </c>
      <c r="C60" s="422" t="s">
        <v>1950</v>
      </c>
      <c r="D60" t="s">
        <v>6045</v>
      </c>
      <c r="E60" t="s">
        <v>42</v>
      </c>
      <c r="F60" t="s">
        <v>1745</v>
      </c>
      <c r="G60" t="s">
        <v>1836</v>
      </c>
      <c r="H60" s="425" t="s">
        <v>3166</v>
      </c>
      <c r="I60" s="83" t="s">
        <v>4640</v>
      </c>
      <c r="J60">
        <v>90</v>
      </c>
      <c r="K60" t="s">
        <v>34</v>
      </c>
      <c r="L60" s="247">
        <v>42598.291071533793</v>
      </c>
      <c r="M60" t="s">
        <v>6066</v>
      </c>
      <c r="P60" s="487">
        <v>40845.600000000013</v>
      </c>
      <c r="S60" s="227">
        <v>2023</v>
      </c>
      <c r="T60" s="250" t="s">
        <v>3499</v>
      </c>
      <c r="U60" s="250" t="s">
        <v>3507</v>
      </c>
      <c r="V60" s="422" t="str">
        <f t="shared" si="8"/>
        <v>Não</v>
      </c>
    </row>
    <row r="61" spans="1:22" ht="15.75" thickBot="1" x14ac:dyDescent="0.3">
      <c r="A61" t="s">
        <v>4615</v>
      </c>
      <c r="B61" t="s">
        <v>4615</v>
      </c>
      <c r="C61" s="422" t="s">
        <v>1950</v>
      </c>
      <c r="D61" t="s">
        <v>3029</v>
      </c>
      <c r="E61" t="s">
        <v>34</v>
      </c>
      <c r="F61" t="s">
        <v>1745</v>
      </c>
      <c r="G61" t="s">
        <v>1836</v>
      </c>
      <c r="H61" s="425" t="s">
        <v>3166</v>
      </c>
      <c r="I61" s="425" t="s">
        <v>4640</v>
      </c>
      <c r="K61" s="422" t="s">
        <v>34</v>
      </c>
      <c r="P61" s="487">
        <v>5138922</v>
      </c>
      <c r="Q61" s="425" t="s">
        <v>4641</v>
      </c>
      <c r="S61" s="227">
        <v>2023</v>
      </c>
      <c r="T61" s="250" t="s">
        <v>3499</v>
      </c>
      <c r="U61" s="250" t="s">
        <v>3507</v>
      </c>
      <c r="V61" s="422" t="str">
        <f t="shared" si="8"/>
        <v>Sim</v>
      </c>
    </row>
    <row r="62" spans="1:22" ht="15.75" thickBot="1" x14ac:dyDescent="0.3">
      <c r="A62" t="s">
        <v>4615</v>
      </c>
      <c r="B62" t="s">
        <v>4615</v>
      </c>
      <c r="C62" s="422" t="s">
        <v>1950</v>
      </c>
      <c r="D62" t="s">
        <v>4617</v>
      </c>
      <c r="E62" t="s">
        <v>34</v>
      </c>
      <c r="F62" t="s">
        <v>1745</v>
      </c>
      <c r="G62" t="s">
        <v>1836</v>
      </c>
      <c r="H62" s="425" t="s">
        <v>3166</v>
      </c>
      <c r="I62" s="425" t="s">
        <v>4640</v>
      </c>
      <c r="K62" s="422" t="s">
        <v>34</v>
      </c>
      <c r="P62" s="487">
        <v>9733350</v>
      </c>
      <c r="Q62" s="425" t="s">
        <v>4641</v>
      </c>
      <c r="S62" s="227">
        <v>2023</v>
      </c>
      <c r="T62" s="250" t="s">
        <v>3499</v>
      </c>
      <c r="U62" s="250" t="s">
        <v>3507</v>
      </c>
      <c r="V62" s="422" t="str">
        <f t="shared" si="8"/>
        <v>Sim</v>
      </c>
    </row>
    <row r="63" spans="1:22" ht="15.75" thickBot="1" x14ac:dyDescent="0.3">
      <c r="A63" t="s">
        <v>4615</v>
      </c>
      <c r="B63" t="s">
        <v>4615</v>
      </c>
      <c r="C63" s="422" t="s">
        <v>1950</v>
      </c>
      <c r="D63" t="s">
        <v>534</v>
      </c>
      <c r="E63" t="s">
        <v>34</v>
      </c>
      <c r="F63" t="s">
        <v>1745</v>
      </c>
      <c r="G63" t="s">
        <v>1836</v>
      </c>
      <c r="H63" s="425" t="s">
        <v>3166</v>
      </c>
      <c r="I63" s="425" t="s">
        <v>4640</v>
      </c>
      <c r="K63" s="422" t="s">
        <v>34</v>
      </c>
      <c r="P63" s="487">
        <v>13092368</v>
      </c>
      <c r="Q63" s="425" t="s">
        <v>4641</v>
      </c>
      <c r="S63" s="227">
        <v>2023</v>
      </c>
      <c r="T63" s="250" t="s">
        <v>3499</v>
      </c>
      <c r="U63" s="250" t="s">
        <v>3507</v>
      </c>
      <c r="V63" s="422" t="str">
        <f t="shared" si="8"/>
        <v>Sim</v>
      </c>
    </row>
    <row r="64" spans="1:22" ht="15.75" thickBot="1" x14ac:dyDescent="0.3">
      <c r="A64" t="s">
        <v>4615</v>
      </c>
      <c r="B64" t="s">
        <v>4615</v>
      </c>
      <c r="C64" s="422" t="s">
        <v>1950</v>
      </c>
      <c r="D64" t="s">
        <v>3125</v>
      </c>
      <c r="E64" t="s">
        <v>34</v>
      </c>
      <c r="F64" t="s">
        <v>1745</v>
      </c>
      <c r="G64" t="s">
        <v>1836</v>
      </c>
      <c r="H64" s="425" t="s">
        <v>3166</v>
      </c>
      <c r="I64" s="425" t="s">
        <v>4640</v>
      </c>
      <c r="K64" s="422" t="s">
        <v>34</v>
      </c>
      <c r="P64" s="487">
        <v>1952324</v>
      </c>
      <c r="Q64" s="425" t="s">
        <v>4641</v>
      </c>
      <c r="S64" s="227">
        <v>2023</v>
      </c>
      <c r="T64" s="250" t="s">
        <v>3499</v>
      </c>
      <c r="U64" s="250" t="s">
        <v>3507</v>
      </c>
      <c r="V64" s="422" t="str">
        <f t="shared" si="8"/>
        <v>Sim</v>
      </c>
    </row>
    <row r="65" spans="1:22" ht="15.75" thickBot="1" x14ac:dyDescent="0.3">
      <c r="A65" t="s">
        <v>4615</v>
      </c>
      <c r="B65" t="s">
        <v>4615</v>
      </c>
      <c r="C65" s="422" t="s">
        <v>1950</v>
      </c>
      <c r="D65" t="s">
        <v>4618</v>
      </c>
      <c r="E65" t="s">
        <v>34</v>
      </c>
      <c r="F65" t="s">
        <v>1745</v>
      </c>
      <c r="G65" t="s">
        <v>1836</v>
      </c>
      <c r="H65" s="425" t="s">
        <v>3166</v>
      </c>
      <c r="I65" s="425" t="s">
        <v>4640</v>
      </c>
      <c r="K65" s="422" t="s">
        <v>34</v>
      </c>
      <c r="P65" s="487">
        <v>1064357</v>
      </c>
      <c r="Q65" s="425" t="s">
        <v>4641</v>
      </c>
      <c r="S65" s="227">
        <v>2023</v>
      </c>
      <c r="T65" s="250" t="s">
        <v>3499</v>
      </c>
      <c r="U65" s="250" t="s">
        <v>3507</v>
      </c>
      <c r="V65" s="422" t="str">
        <f t="shared" si="8"/>
        <v>Sim</v>
      </c>
    </row>
    <row r="66" spans="1:22" ht="15.75" thickBot="1" x14ac:dyDescent="0.3">
      <c r="A66" t="s">
        <v>4615</v>
      </c>
      <c r="B66" t="s">
        <v>4615</v>
      </c>
      <c r="C66" s="422" t="s">
        <v>1950</v>
      </c>
      <c r="D66" t="s">
        <v>4619</v>
      </c>
      <c r="E66" t="s">
        <v>34</v>
      </c>
      <c r="F66" t="s">
        <v>1745</v>
      </c>
      <c r="G66" t="s">
        <v>1836</v>
      </c>
      <c r="H66" s="425" t="s">
        <v>3166</v>
      </c>
      <c r="I66" s="425" t="s">
        <v>4640</v>
      </c>
      <c r="K66" s="422" t="s">
        <v>34</v>
      </c>
      <c r="P66" s="487">
        <v>1597120</v>
      </c>
      <c r="Q66" s="425" t="s">
        <v>4641</v>
      </c>
      <c r="S66" s="227">
        <v>2023</v>
      </c>
      <c r="T66" s="250" t="s">
        <v>3499</v>
      </c>
      <c r="U66" s="250" t="s">
        <v>3507</v>
      </c>
      <c r="V66" s="422" t="str">
        <f t="shared" si="8"/>
        <v>Sim</v>
      </c>
    </row>
    <row r="67" spans="1:22" ht="15.75" thickBot="1" x14ac:dyDescent="0.3">
      <c r="A67" t="s">
        <v>4615</v>
      </c>
      <c r="B67" t="s">
        <v>4615</v>
      </c>
      <c r="C67" s="422" t="s">
        <v>1950</v>
      </c>
      <c r="D67" t="s">
        <v>2868</v>
      </c>
      <c r="E67" t="s">
        <v>34</v>
      </c>
      <c r="F67" t="s">
        <v>1745</v>
      </c>
      <c r="G67" t="s">
        <v>1836</v>
      </c>
      <c r="H67" s="425" t="s">
        <v>3166</v>
      </c>
      <c r="I67" s="425" t="s">
        <v>4640</v>
      </c>
      <c r="K67" s="422" t="s">
        <v>34</v>
      </c>
      <c r="P67" s="487">
        <v>2557181</v>
      </c>
      <c r="Q67" s="425" t="s">
        <v>4641</v>
      </c>
      <c r="S67" s="227">
        <v>2023</v>
      </c>
      <c r="T67" s="250" t="s">
        <v>3499</v>
      </c>
      <c r="U67" s="250" t="s">
        <v>3507</v>
      </c>
      <c r="V67" s="422" t="str">
        <f t="shared" si="8"/>
        <v>Sim</v>
      </c>
    </row>
    <row r="68" spans="1:22" ht="15.75" thickBot="1" x14ac:dyDescent="0.3">
      <c r="A68" t="s">
        <v>4615</v>
      </c>
      <c r="B68" t="s">
        <v>4615</v>
      </c>
      <c r="C68" s="422" t="s">
        <v>1950</v>
      </c>
      <c r="D68" t="s">
        <v>4625</v>
      </c>
      <c r="E68" t="s">
        <v>34</v>
      </c>
      <c r="F68" t="s">
        <v>1745</v>
      </c>
      <c r="G68" t="s">
        <v>1836</v>
      </c>
      <c r="H68" s="425" t="s">
        <v>3166</v>
      </c>
      <c r="I68" s="425" t="s">
        <v>4640</v>
      </c>
      <c r="K68" s="422" t="s">
        <v>34</v>
      </c>
      <c r="P68" s="487">
        <v>443716</v>
      </c>
      <c r="Q68" s="425" t="s">
        <v>4641</v>
      </c>
      <c r="S68" s="227">
        <v>2023</v>
      </c>
      <c r="T68" s="250" t="s">
        <v>3499</v>
      </c>
      <c r="U68" s="250" t="s">
        <v>3507</v>
      </c>
      <c r="V68" s="422" t="str">
        <f t="shared" si="8"/>
        <v>Sim</v>
      </c>
    </row>
    <row r="69" spans="1:22" ht="15.75" thickBot="1" x14ac:dyDescent="0.3">
      <c r="A69" t="s">
        <v>4615</v>
      </c>
      <c r="B69" t="s">
        <v>4615</v>
      </c>
      <c r="C69" s="422" t="s">
        <v>1950</v>
      </c>
      <c r="D69" t="s">
        <v>4626</v>
      </c>
      <c r="E69" t="s">
        <v>34</v>
      </c>
      <c r="F69" t="s">
        <v>1745</v>
      </c>
      <c r="G69" t="s">
        <v>1836</v>
      </c>
      <c r="H69" s="425" t="s">
        <v>3166</v>
      </c>
      <c r="I69" s="425" t="s">
        <v>4640</v>
      </c>
      <c r="K69" s="422" t="s">
        <v>34</v>
      </c>
      <c r="P69" s="487">
        <v>1695556</v>
      </c>
      <c r="Q69" s="425" t="s">
        <v>4641</v>
      </c>
      <c r="S69" s="227">
        <v>2023</v>
      </c>
      <c r="T69" s="250" t="s">
        <v>3499</v>
      </c>
      <c r="U69" s="250" t="s">
        <v>3507</v>
      </c>
      <c r="V69" s="422" t="str">
        <f t="shared" si="8"/>
        <v>Sim</v>
      </c>
    </row>
    <row r="70" spans="1:22" ht="15.75" thickBot="1" x14ac:dyDescent="0.3">
      <c r="A70" t="s">
        <v>4615</v>
      </c>
      <c r="B70" t="s">
        <v>4615</v>
      </c>
      <c r="C70" s="422" t="s">
        <v>1950</v>
      </c>
      <c r="D70" t="s">
        <v>4627</v>
      </c>
      <c r="E70" t="s">
        <v>34</v>
      </c>
      <c r="F70" t="s">
        <v>1745</v>
      </c>
      <c r="G70" t="s">
        <v>1836</v>
      </c>
      <c r="H70" s="425" t="s">
        <v>3166</v>
      </c>
      <c r="I70" s="425" t="s">
        <v>4640</v>
      </c>
      <c r="K70" s="422" t="s">
        <v>34</v>
      </c>
      <c r="P70" s="487">
        <v>784480</v>
      </c>
      <c r="Q70" s="425" t="s">
        <v>4641</v>
      </c>
      <c r="S70" s="227">
        <v>2023</v>
      </c>
      <c r="T70" s="250" t="s">
        <v>3499</v>
      </c>
      <c r="U70" s="250" t="s">
        <v>3507</v>
      </c>
      <c r="V70" s="422" t="str">
        <f t="shared" si="8"/>
        <v>Sim</v>
      </c>
    </row>
    <row r="71" spans="1:22" ht="15.75" thickBot="1" x14ac:dyDescent="0.3">
      <c r="A71" t="s">
        <v>4615</v>
      </c>
      <c r="B71" t="s">
        <v>4615</v>
      </c>
      <c r="C71" s="422" t="s">
        <v>1950</v>
      </c>
      <c r="D71" t="s">
        <v>4628</v>
      </c>
      <c r="E71" t="s">
        <v>34</v>
      </c>
      <c r="F71" t="s">
        <v>1745</v>
      </c>
      <c r="G71" t="s">
        <v>1836</v>
      </c>
      <c r="H71" s="425" t="s">
        <v>3166</v>
      </c>
      <c r="I71" s="425" t="s">
        <v>4640</v>
      </c>
      <c r="K71" s="422" t="s">
        <v>34</v>
      </c>
      <c r="P71" s="487">
        <v>454528</v>
      </c>
      <c r="Q71" s="425" t="s">
        <v>4641</v>
      </c>
      <c r="S71" s="227">
        <v>2023</v>
      </c>
      <c r="T71" s="250" t="s">
        <v>3499</v>
      </c>
      <c r="U71" s="250" t="s">
        <v>3507</v>
      </c>
      <c r="V71" s="422" t="str">
        <f t="shared" si="8"/>
        <v>Sim</v>
      </c>
    </row>
    <row r="72" spans="1:22" ht="15.75" thickBot="1" x14ac:dyDescent="0.3">
      <c r="A72" t="s">
        <v>4615</v>
      </c>
      <c r="B72" t="s">
        <v>4615</v>
      </c>
      <c r="C72" s="422" t="s">
        <v>1950</v>
      </c>
      <c r="D72" t="s">
        <v>4630</v>
      </c>
      <c r="E72" t="s">
        <v>42</v>
      </c>
      <c r="F72" t="s">
        <v>1745</v>
      </c>
      <c r="G72" t="s">
        <v>1836</v>
      </c>
      <c r="H72" s="425" t="s">
        <v>3166</v>
      </c>
      <c r="I72" s="425" t="s">
        <v>4640</v>
      </c>
      <c r="K72" s="422" t="s">
        <v>34</v>
      </c>
      <c r="P72" s="487">
        <v>1698530</v>
      </c>
      <c r="Q72" s="425" t="s">
        <v>4641</v>
      </c>
      <c r="S72" s="227">
        <v>2023</v>
      </c>
      <c r="T72" s="250" t="s">
        <v>3499</v>
      </c>
      <c r="U72" s="250" t="s">
        <v>3507</v>
      </c>
      <c r="V72" s="422" t="str">
        <f t="shared" si="8"/>
        <v>Não</v>
      </c>
    </row>
    <row r="73" spans="1:22" ht="15.75" thickBot="1" x14ac:dyDescent="0.3">
      <c r="A73" t="s">
        <v>4615</v>
      </c>
      <c r="B73" t="s">
        <v>4615</v>
      </c>
      <c r="C73" s="422" t="s">
        <v>1950</v>
      </c>
      <c r="D73" t="s">
        <v>4631</v>
      </c>
      <c r="E73" t="s">
        <v>34</v>
      </c>
      <c r="F73" t="s">
        <v>1745</v>
      </c>
      <c r="G73" t="s">
        <v>1836</v>
      </c>
      <c r="H73" s="425" t="s">
        <v>3166</v>
      </c>
      <c r="I73" s="425" t="s">
        <v>4640</v>
      </c>
      <c r="K73" s="422" t="s">
        <v>34</v>
      </c>
      <c r="P73" s="487">
        <v>2330157</v>
      </c>
      <c r="Q73" s="425" t="s">
        <v>4641</v>
      </c>
      <c r="S73" s="227">
        <v>2023</v>
      </c>
      <c r="T73" s="250" t="s">
        <v>3499</v>
      </c>
      <c r="U73" s="250" t="s">
        <v>3507</v>
      </c>
      <c r="V73" s="422" t="str">
        <f t="shared" si="8"/>
        <v>Sim</v>
      </c>
    </row>
    <row r="74" spans="1:22" ht="15.75" thickBot="1" x14ac:dyDescent="0.3">
      <c r="A74" t="s">
        <v>4615</v>
      </c>
      <c r="B74" t="s">
        <v>4615</v>
      </c>
      <c r="C74" s="422" t="s">
        <v>1950</v>
      </c>
      <c r="D74" t="s">
        <v>4632</v>
      </c>
      <c r="E74" t="s">
        <v>42</v>
      </c>
      <c r="F74" t="s">
        <v>1745</v>
      </c>
      <c r="G74" t="s">
        <v>1836</v>
      </c>
      <c r="H74" s="425" t="s">
        <v>3166</v>
      </c>
      <c r="I74" s="425" t="s">
        <v>4640</v>
      </c>
      <c r="K74" s="422" t="s">
        <v>34</v>
      </c>
      <c r="P74" s="487">
        <v>1167947</v>
      </c>
      <c r="Q74" s="425" t="s">
        <v>4641</v>
      </c>
      <c r="S74" s="227">
        <v>2023</v>
      </c>
      <c r="T74" s="250" t="s">
        <v>3499</v>
      </c>
      <c r="U74" s="250" t="s">
        <v>3507</v>
      </c>
      <c r="V74" s="422" t="str">
        <f t="shared" si="8"/>
        <v>Não</v>
      </c>
    </row>
    <row r="75" spans="1:22" ht="15.75" thickBot="1" x14ac:dyDescent="0.3">
      <c r="A75" t="s">
        <v>4615</v>
      </c>
      <c r="B75" t="s">
        <v>4615</v>
      </c>
      <c r="C75" s="422" t="s">
        <v>1950</v>
      </c>
      <c r="D75" t="s">
        <v>4633</v>
      </c>
      <c r="E75" t="s">
        <v>42</v>
      </c>
      <c r="F75" t="s">
        <v>1745</v>
      </c>
      <c r="G75" t="s">
        <v>1836</v>
      </c>
      <c r="H75" s="425" t="s">
        <v>3166</v>
      </c>
      <c r="I75" s="425" t="s">
        <v>4640</v>
      </c>
      <c r="K75" s="422" t="s">
        <v>34</v>
      </c>
      <c r="P75" s="487">
        <v>1599027</v>
      </c>
      <c r="Q75" s="425" t="s">
        <v>4641</v>
      </c>
      <c r="S75" s="227">
        <v>2023</v>
      </c>
      <c r="T75" s="250" t="s">
        <v>3499</v>
      </c>
      <c r="U75" s="250" t="s">
        <v>3507</v>
      </c>
      <c r="V75" s="422" t="str">
        <f t="shared" si="8"/>
        <v>Não</v>
      </c>
    </row>
    <row r="76" spans="1:22" ht="15.75" thickBot="1" x14ac:dyDescent="0.3">
      <c r="A76" t="s">
        <v>4615</v>
      </c>
      <c r="B76" t="s">
        <v>4615</v>
      </c>
      <c r="C76" s="422" t="s">
        <v>1950</v>
      </c>
      <c r="D76" t="s">
        <v>4634</v>
      </c>
      <c r="E76" t="s">
        <v>42</v>
      </c>
      <c r="F76" t="s">
        <v>1745</v>
      </c>
      <c r="G76" t="s">
        <v>1836</v>
      </c>
      <c r="H76" s="425" t="s">
        <v>3166</v>
      </c>
      <c r="I76" s="425" t="s">
        <v>4640</v>
      </c>
      <c r="K76" s="422" t="s">
        <v>34</v>
      </c>
      <c r="P76" s="487">
        <v>2185059</v>
      </c>
      <c r="Q76" s="425" t="s">
        <v>4641</v>
      </c>
      <c r="S76" s="227">
        <v>2023</v>
      </c>
      <c r="T76" s="250" t="s">
        <v>3499</v>
      </c>
      <c r="U76" s="250" t="s">
        <v>3507</v>
      </c>
      <c r="V76" s="422" t="str">
        <f t="shared" si="8"/>
        <v>Não</v>
      </c>
    </row>
    <row r="77" spans="1:22" ht="15.75" thickBot="1" x14ac:dyDescent="0.3">
      <c r="A77" t="s">
        <v>4615</v>
      </c>
      <c r="B77" t="s">
        <v>4615</v>
      </c>
      <c r="C77" s="422" t="s">
        <v>1950</v>
      </c>
      <c r="D77" t="s">
        <v>4635</v>
      </c>
      <c r="E77" t="s">
        <v>42</v>
      </c>
      <c r="F77" t="s">
        <v>1745</v>
      </c>
      <c r="G77" t="s">
        <v>1836</v>
      </c>
      <c r="H77" s="425" t="s">
        <v>3166</v>
      </c>
      <c r="I77" s="425" t="s">
        <v>4640</v>
      </c>
      <c r="K77" s="422" t="s">
        <v>34</v>
      </c>
      <c r="P77" s="487">
        <v>7746385</v>
      </c>
      <c r="Q77" s="425" t="s">
        <v>4641</v>
      </c>
      <c r="S77" s="227">
        <v>2023</v>
      </c>
      <c r="T77" s="250" t="s">
        <v>3499</v>
      </c>
      <c r="U77" s="250" t="s">
        <v>3507</v>
      </c>
      <c r="V77" s="422" t="str">
        <f t="shared" si="8"/>
        <v>Não</v>
      </c>
    </row>
    <row r="78" spans="1:22" ht="15.75" thickBot="1" x14ac:dyDescent="0.3">
      <c r="A78" t="s">
        <v>4615</v>
      </c>
      <c r="B78" t="s">
        <v>4615</v>
      </c>
      <c r="C78" s="422" t="s">
        <v>1950</v>
      </c>
      <c r="D78" t="s">
        <v>4636</v>
      </c>
      <c r="E78" t="s">
        <v>42</v>
      </c>
      <c r="F78" t="s">
        <v>1745</v>
      </c>
      <c r="G78" t="s">
        <v>1836</v>
      </c>
      <c r="H78" s="425" t="s">
        <v>3166</v>
      </c>
      <c r="I78" s="425" t="s">
        <v>4640</v>
      </c>
      <c r="K78" s="422" t="s">
        <v>34</v>
      </c>
      <c r="P78" s="487">
        <v>327052</v>
      </c>
      <c r="Q78" s="425" t="s">
        <v>4641</v>
      </c>
      <c r="S78" s="227">
        <v>2023</v>
      </c>
      <c r="T78" s="250" t="s">
        <v>3499</v>
      </c>
      <c r="U78" s="250" t="s">
        <v>3507</v>
      </c>
      <c r="V78" s="422" t="str">
        <f t="shared" si="8"/>
        <v>Não</v>
      </c>
    </row>
    <row r="79" spans="1:22" ht="15.75" thickBot="1" x14ac:dyDescent="0.3">
      <c r="A79" t="s">
        <v>4615</v>
      </c>
      <c r="B79" t="s">
        <v>4615</v>
      </c>
      <c r="C79" s="422" t="s">
        <v>1950</v>
      </c>
      <c r="D79" t="s">
        <v>4637</v>
      </c>
      <c r="E79" t="s">
        <v>42</v>
      </c>
      <c r="F79" t="s">
        <v>1745</v>
      </c>
      <c r="G79" t="s">
        <v>1836</v>
      </c>
      <c r="H79" s="425" t="s">
        <v>3166</v>
      </c>
      <c r="I79" s="425" t="s">
        <v>4640</v>
      </c>
      <c r="K79" s="422" t="s">
        <v>34</v>
      </c>
      <c r="P79" s="487">
        <v>1509120</v>
      </c>
      <c r="Q79" s="425" t="s">
        <v>4641</v>
      </c>
      <c r="S79" s="227">
        <v>2023</v>
      </c>
      <c r="T79" s="250" t="s">
        <v>3499</v>
      </c>
      <c r="U79" s="250" t="s">
        <v>3507</v>
      </c>
      <c r="V79" s="422" t="str">
        <f t="shared" si="8"/>
        <v>Não</v>
      </c>
    </row>
    <row r="80" spans="1:22" ht="15.75" thickBot="1" x14ac:dyDescent="0.3">
      <c r="A80" t="s">
        <v>4615</v>
      </c>
      <c r="B80" t="s">
        <v>4615</v>
      </c>
      <c r="C80" s="422" t="s">
        <v>1950</v>
      </c>
      <c r="D80" t="s">
        <v>4638</v>
      </c>
      <c r="E80" t="s">
        <v>42</v>
      </c>
      <c r="F80" t="s">
        <v>1745</v>
      </c>
      <c r="G80" t="s">
        <v>1836</v>
      </c>
      <c r="H80" s="425" t="s">
        <v>3166</v>
      </c>
      <c r="I80" s="425" t="s">
        <v>4640</v>
      </c>
      <c r="K80" s="422" t="s">
        <v>34</v>
      </c>
      <c r="P80" s="487">
        <v>831174</v>
      </c>
      <c r="Q80" s="425" t="s">
        <v>4641</v>
      </c>
      <c r="S80" s="227">
        <v>2023</v>
      </c>
      <c r="T80" s="250" t="s">
        <v>3499</v>
      </c>
      <c r="U80" s="250" t="s">
        <v>3507</v>
      </c>
      <c r="V80" s="422" t="str">
        <f t="shared" si="8"/>
        <v>Não</v>
      </c>
    </row>
    <row r="81" spans="1:22" ht="15.75" thickBot="1" x14ac:dyDescent="0.3">
      <c r="A81" t="s">
        <v>4615</v>
      </c>
      <c r="B81" t="s">
        <v>4615</v>
      </c>
      <c r="C81" s="422" t="s">
        <v>1950</v>
      </c>
      <c r="D81" t="s">
        <v>4639</v>
      </c>
      <c r="E81" t="s">
        <v>42</v>
      </c>
      <c r="F81" t="s">
        <v>1745</v>
      </c>
      <c r="G81" t="s">
        <v>1836</v>
      </c>
      <c r="H81" s="425" t="s">
        <v>3166</v>
      </c>
      <c r="I81" s="425" t="s">
        <v>4640</v>
      </c>
      <c r="K81" s="422" t="s">
        <v>34</v>
      </c>
      <c r="P81" s="487">
        <v>1955612</v>
      </c>
      <c r="Q81" s="425" t="s">
        <v>4641</v>
      </c>
      <c r="S81" s="227">
        <v>2023</v>
      </c>
      <c r="T81" s="250" t="s">
        <v>3499</v>
      </c>
      <c r="U81" s="250" t="s">
        <v>3507</v>
      </c>
      <c r="V81" s="422" t="str">
        <f t="shared" si="8"/>
        <v>Não</v>
      </c>
    </row>
    <row r="82" spans="1:22" ht="15.75" thickBot="1" x14ac:dyDescent="0.3">
      <c r="A82" t="s">
        <v>4615</v>
      </c>
      <c r="B82" t="s">
        <v>4615</v>
      </c>
      <c r="C82" s="422" t="s">
        <v>1950</v>
      </c>
      <c r="D82" t="s">
        <v>6046</v>
      </c>
      <c r="E82" t="s">
        <v>42</v>
      </c>
      <c r="F82" t="s">
        <v>1745</v>
      </c>
      <c r="G82" t="s">
        <v>1836</v>
      </c>
      <c r="H82" s="425" t="s">
        <v>3166</v>
      </c>
      <c r="I82" s="425" t="s">
        <v>4640</v>
      </c>
      <c r="K82" s="422" t="s">
        <v>34</v>
      </c>
      <c r="P82" s="487">
        <v>37855</v>
      </c>
      <c r="Q82" s="425" t="s">
        <v>4641</v>
      </c>
      <c r="S82" s="227">
        <v>2023</v>
      </c>
      <c r="T82" s="250" t="s">
        <v>3499</v>
      </c>
      <c r="U82" s="250" t="s">
        <v>3507</v>
      </c>
      <c r="V82" s="422" t="str">
        <f t="shared" si="8"/>
        <v>Não</v>
      </c>
    </row>
    <row r="83" spans="1:22" ht="15.75" thickBot="1" x14ac:dyDescent="0.3">
      <c r="A83" t="s">
        <v>4615</v>
      </c>
      <c r="B83" t="s">
        <v>4615</v>
      </c>
      <c r="C83" s="422" t="s">
        <v>1950</v>
      </c>
      <c r="D83" t="s">
        <v>6047</v>
      </c>
      <c r="E83" t="s">
        <v>42</v>
      </c>
      <c r="F83" t="s">
        <v>1745</v>
      </c>
      <c r="G83" t="s">
        <v>1836</v>
      </c>
      <c r="H83" s="425" t="s">
        <v>3166</v>
      </c>
      <c r="I83" s="425" t="s">
        <v>4640</v>
      </c>
      <c r="K83" s="422" t="s">
        <v>34</v>
      </c>
      <c r="P83" s="487">
        <v>20857076</v>
      </c>
      <c r="Q83" s="425" t="s">
        <v>4641</v>
      </c>
      <c r="S83" s="227">
        <v>2023</v>
      </c>
      <c r="T83" s="250" t="s">
        <v>3499</v>
      </c>
      <c r="U83" s="250" t="s">
        <v>3507</v>
      </c>
      <c r="V83" s="422" t="str">
        <f t="shared" si="8"/>
        <v>Não</v>
      </c>
    </row>
    <row r="84" spans="1:22" ht="15.75" thickBot="1" x14ac:dyDescent="0.3">
      <c r="A84" t="s">
        <v>4583</v>
      </c>
      <c r="B84" t="s">
        <v>4583</v>
      </c>
      <c r="C84" s="422" t="s">
        <v>1950</v>
      </c>
      <c r="D84" t="s">
        <v>3154</v>
      </c>
      <c r="E84" t="s">
        <v>42</v>
      </c>
      <c r="F84" t="s">
        <v>1745</v>
      </c>
      <c r="G84" t="s">
        <v>1836</v>
      </c>
      <c r="H84" s="425" t="s">
        <v>3166</v>
      </c>
      <c r="I84" s="425" t="s">
        <v>3167</v>
      </c>
      <c r="K84" s="422" t="s">
        <v>34</v>
      </c>
      <c r="P84" s="487">
        <v>3326.6000375939848</v>
      </c>
      <c r="Q84" s="425" t="s">
        <v>4641</v>
      </c>
      <c r="S84" s="227">
        <v>2023</v>
      </c>
      <c r="T84" s="250" t="s">
        <v>3499</v>
      </c>
      <c r="U84" s="250" t="s">
        <v>3507</v>
      </c>
      <c r="V84" s="422" t="str">
        <f t="shared" si="8"/>
        <v>Não</v>
      </c>
    </row>
    <row r="85" spans="1:22" ht="15.75" thickBot="1" x14ac:dyDescent="0.3">
      <c r="A85" t="s">
        <v>4583</v>
      </c>
      <c r="B85" t="s">
        <v>4583</v>
      </c>
      <c r="C85" s="422" t="s">
        <v>1950</v>
      </c>
      <c r="D85" t="s">
        <v>1916</v>
      </c>
      <c r="E85" t="s">
        <v>34</v>
      </c>
      <c r="F85" t="s">
        <v>1745</v>
      </c>
      <c r="G85" t="s">
        <v>1836</v>
      </c>
      <c r="H85" s="425" t="s">
        <v>3166</v>
      </c>
      <c r="I85" s="425" t="s">
        <v>3167</v>
      </c>
      <c r="K85" s="422" t="s">
        <v>34</v>
      </c>
      <c r="P85" s="487">
        <v>10604.864756276167</v>
      </c>
      <c r="Q85" s="425" t="s">
        <v>4641</v>
      </c>
      <c r="S85" s="227">
        <v>2023</v>
      </c>
      <c r="T85" s="250" t="s">
        <v>3499</v>
      </c>
      <c r="U85" s="250" t="s">
        <v>3507</v>
      </c>
      <c r="V85" s="422" t="str">
        <f t="shared" si="8"/>
        <v>Sim</v>
      </c>
    </row>
    <row r="86" spans="1:22" ht="15.75" thickBot="1" x14ac:dyDescent="0.3">
      <c r="A86" t="s">
        <v>4583</v>
      </c>
      <c r="B86" t="s">
        <v>4583</v>
      </c>
      <c r="C86" s="422" t="s">
        <v>1950</v>
      </c>
      <c r="D86" t="s">
        <v>6048</v>
      </c>
      <c r="E86" t="s">
        <v>42</v>
      </c>
      <c r="F86" t="s">
        <v>1745</v>
      </c>
      <c r="G86" t="s">
        <v>1836</v>
      </c>
      <c r="H86" s="425" t="s">
        <v>3166</v>
      </c>
      <c r="I86" s="425" t="s">
        <v>3167</v>
      </c>
      <c r="K86" s="422" t="s">
        <v>34</v>
      </c>
      <c r="P86" s="487">
        <v>3534.1550604672721</v>
      </c>
      <c r="Q86" s="425" t="s">
        <v>4641</v>
      </c>
      <c r="S86" s="227">
        <v>2023</v>
      </c>
      <c r="T86" s="250" t="s">
        <v>3499</v>
      </c>
      <c r="U86" s="250" t="s">
        <v>3507</v>
      </c>
      <c r="V86" s="422" t="str">
        <f t="shared" si="8"/>
        <v>Não</v>
      </c>
    </row>
    <row r="87" spans="1:22" ht="15.75" thickBot="1" x14ac:dyDescent="0.3">
      <c r="A87" t="s">
        <v>4583</v>
      </c>
      <c r="B87" t="s">
        <v>4583</v>
      </c>
      <c r="C87" s="422" t="s">
        <v>1950</v>
      </c>
      <c r="D87" t="s">
        <v>3156</v>
      </c>
      <c r="E87" t="s">
        <v>42</v>
      </c>
      <c r="F87" t="s">
        <v>1745</v>
      </c>
      <c r="G87" t="s">
        <v>1836</v>
      </c>
      <c r="H87" s="425" t="s">
        <v>3166</v>
      </c>
      <c r="I87" s="425" t="s">
        <v>3167</v>
      </c>
      <c r="K87" s="422" t="s">
        <v>34</v>
      </c>
      <c r="P87" s="487">
        <v>8085.8704568846488</v>
      </c>
      <c r="Q87" s="425" t="s">
        <v>4641</v>
      </c>
      <c r="S87" s="227">
        <v>2023</v>
      </c>
      <c r="T87" s="250" t="s">
        <v>3499</v>
      </c>
      <c r="U87" s="250" t="s">
        <v>3507</v>
      </c>
      <c r="V87" s="422" t="str">
        <f t="shared" si="8"/>
        <v>Não</v>
      </c>
    </row>
    <row r="88" spans="1:22" ht="15.75" thickBot="1" x14ac:dyDescent="0.3">
      <c r="A88" t="s">
        <v>4583</v>
      </c>
      <c r="B88" t="s">
        <v>4583</v>
      </c>
      <c r="C88" s="422" t="s">
        <v>1950</v>
      </c>
      <c r="D88" t="s">
        <v>3158</v>
      </c>
      <c r="E88" t="s">
        <v>34</v>
      </c>
      <c r="F88" t="s">
        <v>1745</v>
      </c>
      <c r="G88" t="s">
        <v>1836</v>
      </c>
      <c r="H88" s="425" t="s">
        <v>3166</v>
      </c>
      <c r="I88" s="425" t="s">
        <v>3167</v>
      </c>
      <c r="K88" s="422" t="s">
        <v>34</v>
      </c>
      <c r="P88" s="487">
        <v>2740.8375131225944</v>
      </c>
      <c r="Q88" s="425" t="s">
        <v>4641</v>
      </c>
      <c r="S88" s="227">
        <v>2023</v>
      </c>
      <c r="T88" s="250" t="s">
        <v>3499</v>
      </c>
      <c r="U88" s="250" t="s">
        <v>3507</v>
      </c>
      <c r="V88" s="422" t="str">
        <f t="shared" si="8"/>
        <v>Sim</v>
      </c>
    </row>
    <row r="89" spans="1:22" ht="15.75" thickBot="1" x14ac:dyDescent="0.3">
      <c r="A89" t="s">
        <v>4584</v>
      </c>
      <c r="B89" t="s">
        <v>4584</v>
      </c>
      <c r="C89" s="422" t="s">
        <v>1950</v>
      </c>
      <c r="D89" t="s">
        <v>3154</v>
      </c>
      <c r="E89" t="s">
        <v>42</v>
      </c>
      <c r="F89" t="s">
        <v>1745</v>
      </c>
      <c r="G89" t="s">
        <v>1836</v>
      </c>
      <c r="H89" s="425" t="s">
        <v>3166</v>
      </c>
      <c r="I89" s="425" t="s">
        <v>3167</v>
      </c>
      <c r="K89" s="422" t="s">
        <v>34</v>
      </c>
      <c r="P89" s="487">
        <v>806210</v>
      </c>
      <c r="Q89" s="425" t="s">
        <v>4641</v>
      </c>
      <c r="S89" s="227">
        <v>2023</v>
      </c>
      <c r="T89" s="250" t="s">
        <v>3499</v>
      </c>
      <c r="U89" s="250" t="s">
        <v>3507</v>
      </c>
      <c r="V89" s="422" t="str">
        <f t="shared" si="8"/>
        <v>Não</v>
      </c>
    </row>
    <row r="90" spans="1:22" ht="15.75" thickBot="1" x14ac:dyDescent="0.3">
      <c r="A90" t="s">
        <v>4584</v>
      </c>
      <c r="B90" t="s">
        <v>4584</v>
      </c>
      <c r="C90" s="422" t="s">
        <v>1950</v>
      </c>
      <c r="D90" t="s">
        <v>3158</v>
      </c>
      <c r="E90" t="s">
        <v>34</v>
      </c>
      <c r="F90" t="s">
        <v>1745</v>
      </c>
      <c r="G90" t="s">
        <v>1836</v>
      </c>
      <c r="H90" s="425" t="s">
        <v>3166</v>
      </c>
      <c r="I90" s="425" t="s">
        <v>3167</v>
      </c>
      <c r="K90" s="422" t="s">
        <v>34</v>
      </c>
      <c r="P90" s="487">
        <v>20166</v>
      </c>
      <c r="Q90" s="425" t="s">
        <v>4641</v>
      </c>
      <c r="S90" s="227">
        <v>2023</v>
      </c>
      <c r="T90" s="250" t="s">
        <v>3499</v>
      </c>
      <c r="U90" s="250" t="s">
        <v>3507</v>
      </c>
      <c r="V90" s="422" t="str">
        <f t="shared" si="8"/>
        <v>Sim</v>
      </c>
    </row>
    <row r="91" spans="1:22" ht="15.75" thickBot="1" x14ac:dyDescent="0.3">
      <c r="A91" t="s">
        <v>4584</v>
      </c>
      <c r="B91" t="s">
        <v>4584</v>
      </c>
      <c r="C91" s="422" t="s">
        <v>1950</v>
      </c>
      <c r="D91" t="s">
        <v>3159</v>
      </c>
      <c r="E91" t="s">
        <v>42</v>
      </c>
      <c r="F91" t="s">
        <v>1745</v>
      </c>
      <c r="G91" t="s">
        <v>1836</v>
      </c>
      <c r="H91" s="425" t="s">
        <v>3166</v>
      </c>
      <c r="I91" s="425" t="s">
        <v>3167</v>
      </c>
      <c r="K91" s="422" t="s">
        <v>34</v>
      </c>
      <c r="P91" s="487">
        <v>63240</v>
      </c>
      <c r="Q91" s="425" t="s">
        <v>4641</v>
      </c>
      <c r="S91" s="227">
        <v>2023</v>
      </c>
      <c r="T91" s="250" t="s">
        <v>3499</v>
      </c>
      <c r="U91" s="250" t="s">
        <v>3507</v>
      </c>
      <c r="V91" s="422" t="str">
        <f t="shared" si="8"/>
        <v>Não</v>
      </c>
    </row>
    <row r="92" spans="1:22" ht="15.75" thickBot="1" x14ac:dyDescent="0.3">
      <c r="A92" t="s">
        <v>4584</v>
      </c>
      <c r="B92" t="s">
        <v>4584</v>
      </c>
      <c r="C92" s="422" t="s">
        <v>1950</v>
      </c>
      <c r="D92" t="s">
        <v>3156</v>
      </c>
      <c r="E92" t="s">
        <v>42</v>
      </c>
      <c r="F92" t="s">
        <v>1745</v>
      </c>
      <c r="G92" t="s">
        <v>1836</v>
      </c>
      <c r="H92" s="425" t="s">
        <v>3166</v>
      </c>
      <c r="I92" s="425" t="s">
        <v>3167</v>
      </c>
      <c r="K92" s="422" t="s">
        <v>34</v>
      </c>
      <c r="P92" s="487">
        <v>95586</v>
      </c>
      <c r="Q92" s="425" t="s">
        <v>4641</v>
      </c>
      <c r="S92" s="227">
        <v>2023</v>
      </c>
      <c r="T92" s="250" t="s">
        <v>3499</v>
      </c>
      <c r="U92" s="250" t="s">
        <v>3507</v>
      </c>
      <c r="V92" s="422" t="str">
        <f t="shared" si="8"/>
        <v>Não</v>
      </c>
    </row>
    <row r="93" spans="1:22" ht="15.75" thickBot="1" x14ac:dyDescent="0.3">
      <c r="A93" t="s">
        <v>2817</v>
      </c>
      <c r="B93" t="s">
        <v>2817</v>
      </c>
      <c r="C93" s="422" t="s">
        <v>1950</v>
      </c>
      <c r="D93" t="s">
        <v>6049</v>
      </c>
      <c r="E93" t="s">
        <v>42</v>
      </c>
      <c r="F93" t="s">
        <v>1745</v>
      </c>
      <c r="G93" t="s">
        <v>1836</v>
      </c>
      <c r="H93" s="425" t="s">
        <v>3166</v>
      </c>
      <c r="I93" s="425" t="s">
        <v>3167</v>
      </c>
      <c r="J93" t="s">
        <v>6069</v>
      </c>
      <c r="K93" s="422" t="s">
        <v>34</v>
      </c>
      <c r="P93" s="487">
        <v>254959</v>
      </c>
      <c r="Q93" s="425" t="s">
        <v>4641</v>
      </c>
      <c r="S93" s="227">
        <v>2023</v>
      </c>
      <c r="T93" s="250" t="s">
        <v>3499</v>
      </c>
      <c r="U93" s="250" t="s">
        <v>3507</v>
      </c>
      <c r="V93" s="422" t="str">
        <f t="shared" si="8"/>
        <v>Não</v>
      </c>
    </row>
    <row r="94" spans="1:22" ht="15.75" thickBot="1" x14ac:dyDescent="0.3">
      <c r="A94" t="s">
        <v>4581</v>
      </c>
      <c r="B94" t="s">
        <v>4581</v>
      </c>
      <c r="C94" s="422" t="s">
        <v>1950</v>
      </c>
      <c r="D94" t="s">
        <v>6050</v>
      </c>
      <c r="E94" t="s">
        <v>34</v>
      </c>
      <c r="F94" t="s">
        <v>1745</v>
      </c>
      <c r="G94" t="s">
        <v>1836</v>
      </c>
      <c r="H94" s="425" t="s">
        <v>3166</v>
      </c>
      <c r="I94" s="425" t="s">
        <v>3167</v>
      </c>
      <c r="J94">
        <v>52</v>
      </c>
      <c r="K94" s="422" t="s">
        <v>34</v>
      </c>
      <c r="P94" s="487">
        <v>710</v>
      </c>
      <c r="Q94" s="425" t="s">
        <v>4641</v>
      </c>
      <c r="S94" s="227">
        <v>2023</v>
      </c>
      <c r="T94" s="250" t="s">
        <v>3499</v>
      </c>
      <c r="U94" s="250" t="s">
        <v>3507</v>
      </c>
      <c r="V94" s="422" t="str">
        <f t="shared" si="8"/>
        <v>Sim</v>
      </c>
    </row>
    <row r="95" spans="1:22" ht="15.75" thickBot="1" x14ac:dyDescent="0.3">
      <c r="A95" t="s">
        <v>4581</v>
      </c>
      <c r="B95" t="s">
        <v>4581</v>
      </c>
      <c r="C95" s="422" t="s">
        <v>1950</v>
      </c>
      <c r="D95" t="s">
        <v>6051</v>
      </c>
      <c r="E95" t="s">
        <v>34</v>
      </c>
      <c r="F95" t="s">
        <v>1745</v>
      </c>
      <c r="G95" t="s">
        <v>1836</v>
      </c>
      <c r="H95" s="425" t="s">
        <v>3166</v>
      </c>
      <c r="I95" s="425" t="s">
        <v>3167</v>
      </c>
      <c r="J95">
        <v>34</v>
      </c>
      <c r="K95" s="422" t="s">
        <v>34</v>
      </c>
      <c r="P95" s="487">
        <v>125</v>
      </c>
      <c r="Q95" s="425" t="s">
        <v>4641</v>
      </c>
      <c r="S95" s="227">
        <v>2023</v>
      </c>
      <c r="T95" s="250" t="s">
        <v>3499</v>
      </c>
      <c r="U95" s="250" t="s">
        <v>3507</v>
      </c>
      <c r="V95" s="422" t="str">
        <f t="shared" si="8"/>
        <v>Sim</v>
      </c>
    </row>
    <row r="96" spans="1:22" ht="15.75" thickBot="1" x14ac:dyDescent="0.3">
      <c r="A96" t="s">
        <v>4581</v>
      </c>
      <c r="B96" t="s">
        <v>4581</v>
      </c>
      <c r="C96" s="422" t="s">
        <v>1950</v>
      </c>
      <c r="D96" t="s">
        <v>6052</v>
      </c>
      <c r="E96" t="s">
        <v>34</v>
      </c>
      <c r="F96" t="s">
        <v>1745</v>
      </c>
      <c r="G96" t="s">
        <v>1836</v>
      </c>
      <c r="H96" s="425" t="s">
        <v>3166</v>
      </c>
      <c r="I96" s="425" t="s">
        <v>3167</v>
      </c>
      <c r="J96">
        <v>52</v>
      </c>
      <c r="K96" s="422" t="s">
        <v>34</v>
      </c>
      <c r="P96" s="487">
        <v>965</v>
      </c>
      <c r="Q96" s="425" t="s">
        <v>4641</v>
      </c>
      <c r="S96" s="227">
        <v>2023</v>
      </c>
      <c r="T96" s="250" t="s">
        <v>3499</v>
      </c>
      <c r="U96" s="250" t="s">
        <v>3507</v>
      </c>
      <c r="V96" s="422" t="str">
        <f t="shared" si="8"/>
        <v>Sim</v>
      </c>
    </row>
    <row r="97" spans="1:22" ht="15.75" thickBot="1" x14ac:dyDescent="0.3">
      <c r="A97" t="s">
        <v>4581</v>
      </c>
      <c r="B97" t="s">
        <v>4581</v>
      </c>
      <c r="C97" s="422" t="s">
        <v>1950</v>
      </c>
      <c r="D97" t="s">
        <v>6053</v>
      </c>
      <c r="E97" t="s">
        <v>34</v>
      </c>
      <c r="F97" t="s">
        <v>1745</v>
      </c>
      <c r="G97" t="s">
        <v>1836</v>
      </c>
      <c r="H97" s="425" t="s">
        <v>3166</v>
      </c>
      <c r="I97" s="425" t="s">
        <v>3167</v>
      </c>
      <c r="J97">
        <v>53</v>
      </c>
      <c r="K97" s="422" t="s">
        <v>34</v>
      </c>
      <c r="P97" s="487">
        <v>1270</v>
      </c>
      <c r="Q97" s="425" t="s">
        <v>4641</v>
      </c>
      <c r="S97" s="227">
        <v>2023</v>
      </c>
      <c r="T97" s="250" t="s">
        <v>3499</v>
      </c>
      <c r="U97" s="250" t="s">
        <v>3507</v>
      </c>
      <c r="V97" s="422" t="str">
        <f t="shared" si="8"/>
        <v>Sim</v>
      </c>
    </row>
    <row r="98" spans="1:22" ht="15.75" thickBot="1" x14ac:dyDescent="0.3">
      <c r="A98" t="s">
        <v>4581</v>
      </c>
      <c r="B98" t="s">
        <v>4581</v>
      </c>
      <c r="C98" s="422" t="s">
        <v>1950</v>
      </c>
      <c r="D98" t="s">
        <v>6054</v>
      </c>
      <c r="E98" t="s">
        <v>42</v>
      </c>
      <c r="F98" t="s">
        <v>1745</v>
      </c>
      <c r="G98" t="s">
        <v>1836</v>
      </c>
      <c r="H98" s="425" t="s">
        <v>3166</v>
      </c>
      <c r="I98" s="425" t="s">
        <v>3167</v>
      </c>
      <c r="J98">
        <v>49</v>
      </c>
      <c r="K98" s="422" t="s">
        <v>34</v>
      </c>
      <c r="P98" s="487">
        <v>35</v>
      </c>
      <c r="Q98" s="425" t="s">
        <v>4641</v>
      </c>
      <c r="S98" s="227">
        <v>2023</v>
      </c>
      <c r="T98" s="250" t="s">
        <v>3499</v>
      </c>
      <c r="U98" s="250" t="s">
        <v>3507</v>
      </c>
      <c r="V98" s="422" t="str">
        <f t="shared" si="8"/>
        <v>Não</v>
      </c>
    </row>
    <row r="99" spans="1:22" ht="15.75" thickBot="1" x14ac:dyDescent="0.3">
      <c r="A99" t="s">
        <v>4581</v>
      </c>
      <c r="B99" t="s">
        <v>4581</v>
      </c>
      <c r="C99" s="422" t="s">
        <v>1950</v>
      </c>
      <c r="D99" t="s">
        <v>6055</v>
      </c>
      <c r="E99" t="s">
        <v>34</v>
      </c>
      <c r="F99" t="s">
        <v>1745</v>
      </c>
      <c r="G99" t="s">
        <v>1836</v>
      </c>
      <c r="H99" s="425" t="s">
        <v>3166</v>
      </c>
      <c r="I99" s="425" t="s">
        <v>3167</v>
      </c>
      <c r="J99">
        <v>27</v>
      </c>
      <c r="K99" s="422" t="s">
        <v>34</v>
      </c>
      <c r="P99" s="487">
        <v>4390</v>
      </c>
      <c r="Q99" s="425" t="s">
        <v>4641</v>
      </c>
      <c r="S99" s="227">
        <v>2023</v>
      </c>
      <c r="T99" s="250" t="s">
        <v>3499</v>
      </c>
      <c r="U99" s="250" t="s">
        <v>3507</v>
      </c>
      <c r="V99" s="422" t="str">
        <f t="shared" si="8"/>
        <v>Sim</v>
      </c>
    </row>
    <row r="100" spans="1:22" ht="15.75" thickBot="1" x14ac:dyDescent="0.3">
      <c r="A100" t="s">
        <v>4581</v>
      </c>
      <c r="B100" t="s">
        <v>4581</v>
      </c>
      <c r="C100" s="422" t="s">
        <v>1950</v>
      </c>
      <c r="D100" t="s">
        <v>6056</v>
      </c>
      <c r="E100" t="s">
        <v>34</v>
      </c>
      <c r="F100" t="s">
        <v>1745</v>
      </c>
      <c r="G100" t="s">
        <v>1836</v>
      </c>
      <c r="H100" s="425" t="s">
        <v>3166</v>
      </c>
      <c r="I100" s="425" t="s">
        <v>3167</v>
      </c>
      <c r="J100">
        <v>41</v>
      </c>
      <c r="K100" s="422" t="s">
        <v>34</v>
      </c>
      <c r="P100" s="487">
        <v>1790</v>
      </c>
      <c r="Q100" s="425" t="s">
        <v>4641</v>
      </c>
      <c r="S100" s="227">
        <v>2023</v>
      </c>
      <c r="T100" s="250" t="s">
        <v>3499</v>
      </c>
      <c r="U100" s="250" t="s">
        <v>3507</v>
      </c>
      <c r="V100" s="422" t="str">
        <f t="shared" si="8"/>
        <v>Sim</v>
      </c>
    </row>
    <row r="101" spans="1:22" ht="15.75" thickBot="1" x14ac:dyDescent="0.3">
      <c r="A101" t="s">
        <v>4581</v>
      </c>
      <c r="B101" t="s">
        <v>4581</v>
      </c>
      <c r="C101" s="422" t="s">
        <v>1950</v>
      </c>
      <c r="D101" t="s">
        <v>6057</v>
      </c>
      <c r="E101" t="s">
        <v>34</v>
      </c>
      <c r="F101" t="s">
        <v>1745</v>
      </c>
      <c r="G101" t="s">
        <v>1836</v>
      </c>
      <c r="H101" s="425" t="s">
        <v>3166</v>
      </c>
      <c r="I101" s="425" t="s">
        <v>3167</v>
      </c>
      <c r="J101">
        <v>50</v>
      </c>
      <c r="K101" s="422" t="s">
        <v>34</v>
      </c>
      <c r="P101" s="487">
        <v>2040</v>
      </c>
      <c r="Q101" s="425" t="s">
        <v>4641</v>
      </c>
      <c r="S101" s="227">
        <v>2023</v>
      </c>
      <c r="T101" s="250" t="s">
        <v>3499</v>
      </c>
      <c r="U101" s="250" t="s">
        <v>3507</v>
      </c>
      <c r="V101" s="422" t="str">
        <f t="shared" si="8"/>
        <v>Sim</v>
      </c>
    </row>
    <row r="102" spans="1:22" ht="15.75" thickBot="1" x14ac:dyDescent="0.3">
      <c r="A102" t="s">
        <v>4581</v>
      </c>
      <c r="B102" t="s">
        <v>4581</v>
      </c>
      <c r="C102" s="422" t="s">
        <v>1950</v>
      </c>
      <c r="D102" t="s">
        <v>6058</v>
      </c>
      <c r="E102" t="s">
        <v>34</v>
      </c>
      <c r="F102" t="s">
        <v>1745</v>
      </c>
      <c r="G102" t="s">
        <v>1836</v>
      </c>
      <c r="H102" s="425" t="s">
        <v>3166</v>
      </c>
      <c r="I102" s="425" t="s">
        <v>3167</v>
      </c>
      <c r="J102">
        <v>56</v>
      </c>
      <c r="K102" s="422" t="s">
        <v>34</v>
      </c>
      <c r="P102" s="487">
        <v>3710</v>
      </c>
      <c r="Q102" s="425" t="s">
        <v>4641</v>
      </c>
      <c r="S102" s="227">
        <v>2023</v>
      </c>
      <c r="T102" s="250" t="s">
        <v>3499</v>
      </c>
      <c r="U102" s="250" t="s">
        <v>3507</v>
      </c>
      <c r="V102" s="422" t="str">
        <f t="shared" si="8"/>
        <v>Sim</v>
      </c>
    </row>
    <row r="103" spans="1:22" ht="15.75" thickBot="1" x14ac:dyDescent="0.3">
      <c r="A103" t="s">
        <v>4581</v>
      </c>
      <c r="B103" t="s">
        <v>4581</v>
      </c>
      <c r="C103" s="422" t="s">
        <v>1950</v>
      </c>
      <c r="D103" t="s">
        <v>6059</v>
      </c>
      <c r="E103" t="s">
        <v>34</v>
      </c>
      <c r="F103" t="s">
        <v>1745</v>
      </c>
      <c r="G103" t="s">
        <v>1836</v>
      </c>
      <c r="H103" s="425" t="s">
        <v>3166</v>
      </c>
      <c r="I103" s="425" t="s">
        <v>3167</v>
      </c>
      <c r="J103">
        <v>39</v>
      </c>
      <c r="K103" s="422" t="s">
        <v>34</v>
      </c>
      <c r="P103" s="487">
        <v>1820</v>
      </c>
      <c r="Q103" s="425" t="s">
        <v>4641</v>
      </c>
      <c r="S103" s="227">
        <v>2023</v>
      </c>
      <c r="T103" s="250" t="s">
        <v>3499</v>
      </c>
      <c r="U103" s="250" t="s">
        <v>3507</v>
      </c>
      <c r="V103" s="422" t="str">
        <f t="shared" si="8"/>
        <v>Sim</v>
      </c>
    </row>
    <row r="104" spans="1:22" ht="15.75" thickBot="1" x14ac:dyDescent="0.3">
      <c r="A104" t="s">
        <v>4581</v>
      </c>
      <c r="B104" t="s">
        <v>4581</v>
      </c>
      <c r="C104" s="422" t="s">
        <v>1950</v>
      </c>
      <c r="D104" t="s">
        <v>6060</v>
      </c>
      <c r="E104" t="s">
        <v>34</v>
      </c>
      <c r="F104" t="s">
        <v>1745</v>
      </c>
      <c r="G104" t="s">
        <v>1836</v>
      </c>
      <c r="H104" s="425" t="s">
        <v>3166</v>
      </c>
      <c r="I104" s="425" t="s">
        <v>3167</v>
      </c>
      <c r="J104">
        <v>55</v>
      </c>
      <c r="K104" s="422" t="s">
        <v>34</v>
      </c>
      <c r="P104" s="487">
        <v>11710</v>
      </c>
      <c r="Q104" s="425" t="s">
        <v>4641</v>
      </c>
      <c r="S104" s="227">
        <v>2023</v>
      </c>
      <c r="T104" s="250" t="s">
        <v>3499</v>
      </c>
      <c r="U104" s="250" t="s">
        <v>3507</v>
      </c>
      <c r="V104" s="422" t="str">
        <f t="shared" si="8"/>
        <v>Sim</v>
      </c>
    </row>
    <row r="105" spans="1:22" ht="15.75" thickBot="1" x14ac:dyDescent="0.3">
      <c r="A105" t="s">
        <v>4581</v>
      </c>
      <c r="B105" t="s">
        <v>4581</v>
      </c>
      <c r="C105" s="422" t="s">
        <v>1950</v>
      </c>
      <c r="D105" t="s">
        <v>6061</v>
      </c>
      <c r="E105" t="s">
        <v>34</v>
      </c>
      <c r="F105" t="s">
        <v>1745</v>
      </c>
      <c r="G105" t="s">
        <v>1836</v>
      </c>
      <c r="H105" s="425" t="s">
        <v>3166</v>
      </c>
      <c r="I105" s="425" t="s">
        <v>3167</v>
      </c>
      <c r="J105">
        <v>51</v>
      </c>
      <c r="K105" s="422" t="s">
        <v>34</v>
      </c>
      <c r="P105" s="487">
        <v>70</v>
      </c>
      <c r="Q105" s="425" t="s">
        <v>4641</v>
      </c>
      <c r="S105" s="227">
        <v>2023</v>
      </c>
      <c r="T105" s="250" t="s">
        <v>3499</v>
      </c>
      <c r="U105" s="250" t="s">
        <v>3507</v>
      </c>
      <c r="V105" s="422" t="str">
        <f t="shared" si="8"/>
        <v>Sim</v>
      </c>
    </row>
    <row r="106" spans="1:22" ht="15.75" thickBot="1" x14ac:dyDescent="0.3">
      <c r="A106" t="s">
        <v>4581</v>
      </c>
      <c r="B106" t="s">
        <v>4581</v>
      </c>
      <c r="C106" s="422" t="s">
        <v>1950</v>
      </c>
      <c r="D106" t="s">
        <v>6062</v>
      </c>
      <c r="E106" t="s">
        <v>42</v>
      </c>
      <c r="F106" t="s">
        <v>1745</v>
      </c>
      <c r="G106" t="s">
        <v>1836</v>
      </c>
      <c r="H106" s="425" t="s">
        <v>3166</v>
      </c>
      <c r="I106" s="425" t="s">
        <v>3167</v>
      </c>
      <c r="J106">
        <v>33</v>
      </c>
      <c r="K106" s="422" t="s">
        <v>34</v>
      </c>
      <c r="P106" s="487">
        <v>26500</v>
      </c>
      <c r="Q106" s="425" t="s">
        <v>4641</v>
      </c>
      <c r="S106" s="227">
        <v>2023</v>
      </c>
      <c r="T106" s="250" t="s">
        <v>3499</v>
      </c>
      <c r="U106" s="250" t="s">
        <v>3507</v>
      </c>
      <c r="V106" s="422" t="str">
        <f t="shared" si="8"/>
        <v>Não</v>
      </c>
    </row>
    <row r="107" spans="1:22" ht="15.75" thickBot="1" x14ac:dyDescent="0.3">
      <c r="A107" t="s">
        <v>4581</v>
      </c>
      <c r="B107" t="s">
        <v>4581</v>
      </c>
      <c r="C107" s="422" t="s">
        <v>1950</v>
      </c>
      <c r="D107" t="s">
        <v>6063</v>
      </c>
      <c r="E107" t="s">
        <v>42</v>
      </c>
      <c r="F107" t="s">
        <v>1745</v>
      </c>
      <c r="G107" t="s">
        <v>1836</v>
      </c>
      <c r="H107" s="425" t="s">
        <v>3166</v>
      </c>
      <c r="I107" s="425" t="s">
        <v>3167</v>
      </c>
      <c r="J107">
        <v>8</v>
      </c>
      <c r="K107" s="422" t="s">
        <v>34</v>
      </c>
      <c r="P107" s="487">
        <v>1550</v>
      </c>
      <c r="Q107" s="425" t="s">
        <v>4641</v>
      </c>
      <c r="S107" s="227">
        <v>2023</v>
      </c>
      <c r="T107" s="250" t="s">
        <v>3499</v>
      </c>
      <c r="U107" s="250" t="s">
        <v>3507</v>
      </c>
      <c r="V107" s="422" t="str">
        <f t="shared" si="8"/>
        <v>Não</v>
      </c>
    </row>
    <row r="108" spans="1:22" ht="15.75" thickBot="1" x14ac:dyDescent="0.3">
      <c r="A108" t="s">
        <v>4581</v>
      </c>
      <c r="B108" t="s">
        <v>4581</v>
      </c>
      <c r="C108" s="422" t="s">
        <v>1950</v>
      </c>
      <c r="D108" t="s">
        <v>6064</v>
      </c>
      <c r="E108" t="s">
        <v>42</v>
      </c>
      <c r="F108" t="s">
        <v>1745</v>
      </c>
      <c r="G108" t="s">
        <v>1836</v>
      </c>
      <c r="H108" s="425" t="s">
        <v>3166</v>
      </c>
      <c r="I108" s="425" t="s">
        <v>3167</v>
      </c>
      <c r="J108">
        <v>53</v>
      </c>
      <c r="K108" s="422" t="s">
        <v>34</v>
      </c>
      <c r="P108" s="487">
        <v>4875</v>
      </c>
      <c r="Q108" s="425" t="s">
        <v>4641</v>
      </c>
      <c r="S108" s="227">
        <v>2023</v>
      </c>
      <c r="T108" s="250" t="s">
        <v>3499</v>
      </c>
      <c r="U108" s="250" t="s">
        <v>3507</v>
      </c>
      <c r="V108" s="422" t="str">
        <f t="shared" si="8"/>
        <v>Não</v>
      </c>
    </row>
    <row r="109" spans="1:22" ht="15.75" thickBot="1" x14ac:dyDescent="0.3">
      <c r="A109" t="s">
        <v>4581</v>
      </c>
      <c r="B109" t="s">
        <v>4581</v>
      </c>
      <c r="C109" s="422" t="s">
        <v>1950</v>
      </c>
      <c r="D109" t="s">
        <v>6065</v>
      </c>
      <c r="E109" t="s">
        <v>34</v>
      </c>
      <c r="F109" t="s">
        <v>1745</v>
      </c>
      <c r="G109" t="s">
        <v>1836</v>
      </c>
      <c r="H109" s="425" t="s">
        <v>3166</v>
      </c>
      <c r="I109" s="425" t="s">
        <v>3167</v>
      </c>
      <c r="J109">
        <v>54</v>
      </c>
      <c r="K109" s="422" t="s">
        <v>34</v>
      </c>
      <c r="P109" s="487">
        <v>1080</v>
      </c>
      <c r="Q109" s="425" t="s">
        <v>4641</v>
      </c>
      <c r="S109" s="227">
        <v>2023</v>
      </c>
      <c r="T109" s="250" t="s">
        <v>3499</v>
      </c>
      <c r="U109" s="250" t="s">
        <v>3507</v>
      </c>
      <c r="V109" s="422" t="str">
        <f t="shared" si="8"/>
        <v>Sim</v>
      </c>
    </row>
    <row r="110" spans="1:22" ht="15.75" thickBot="1" x14ac:dyDescent="0.3">
      <c r="A110" t="s">
        <v>4580</v>
      </c>
      <c r="B110" t="s">
        <v>4580</v>
      </c>
      <c r="C110" s="422" t="s">
        <v>1950</v>
      </c>
      <c r="D110" s="422" t="s">
        <v>3158</v>
      </c>
      <c r="E110" s="422" t="s">
        <v>34</v>
      </c>
      <c r="F110" s="422" t="s">
        <v>1745</v>
      </c>
      <c r="G110" s="422" t="s">
        <v>1836</v>
      </c>
      <c r="H110" s="425" t="s">
        <v>3166</v>
      </c>
      <c r="I110" s="425" t="s">
        <v>3167</v>
      </c>
      <c r="K110" s="425" t="s">
        <v>34</v>
      </c>
      <c r="L110" s="160">
        <v>108080.79</v>
      </c>
      <c r="M110" s="427" t="s">
        <v>1837</v>
      </c>
      <c r="N110" s="425"/>
      <c r="O110" s="425"/>
      <c r="P110" s="485">
        <f>L110/R110</f>
        <v>72053.86</v>
      </c>
      <c r="Q110" s="425" t="s">
        <v>1838</v>
      </c>
      <c r="R110" s="295">
        <v>1.5</v>
      </c>
      <c r="S110" s="227">
        <v>2023</v>
      </c>
      <c r="T110" s="250" t="s">
        <v>3499</v>
      </c>
      <c r="U110" s="250" t="s">
        <v>3507</v>
      </c>
      <c r="V110" s="422" t="str">
        <f t="shared" ref="V110" si="9">IF(E110="Sim","Sim","Não")</f>
        <v>Sim</v>
      </c>
    </row>
    <row r="111" spans="1:22" ht="15.75" thickBot="1" x14ac:dyDescent="0.3">
      <c r="A111" s="422" t="s">
        <v>45</v>
      </c>
      <c r="B111" s="422" t="s">
        <v>45</v>
      </c>
      <c r="C111" s="422" t="s">
        <v>1950</v>
      </c>
      <c r="D111" t="s">
        <v>6070</v>
      </c>
      <c r="E111" t="s">
        <v>34</v>
      </c>
      <c r="F111" t="s">
        <v>1745</v>
      </c>
      <c r="G111" t="s">
        <v>1836</v>
      </c>
      <c r="H111" s="425" t="s">
        <v>3166</v>
      </c>
      <c r="I111" s="425" t="s">
        <v>3167</v>
      </c>
      <c r="K111" s="422" t="s">
        <v>34</v>
      </c>
      <c r="L111" s="335">
        <v>8828.06</v>
      </c>
      <c r="M111" t="s">
        <v>1837</v>
      </c>
      <c r="P111" s="485">
        <f t="shared" ref="P111:P172" si="10">L111/R111</f>
        <v>5885.373333333333</v>
      </c>
      <c r="Q111" s="425" t="s">
        <v>1838</v>
      </c>
      <c r="R111" s="295">
        <v>1.5</v>
      </c>
      <c r="S111">
        <v>2023</v>
      </c>
      <c r="T111" t="s">
        <v>3499</v>
      </c>
      <c r="U111" t="s">
        <v>3507</v>
      </c>
      <c r="V111" t="s">
        <v>34</v>
      </c>
    </row>
    <row r="112" spans="1:22" ht="15.75" thickBot="1" x14ac:dyDescent="0.3">
      <c r="A112" s="422" t="s">
        <v>45</v>
      </c>
      <c r="B112" s="422" t="s">
        <v>45</v>
      </c>
      <c r="C112" s="422" t="s">
        <v>1950</v>
      </c>
      <c r="D112" t="s">
        <v>6071</v>
      </c>
      <c r="E112" t="s">
        <v>34</v>
      </c>
      <c r="F112" t="s">
        <v>1745</v>
      </c>
      <c r="G112" t="s">
        <v>1836</v>
      </c>
      <c r="H112" s="425" t="s">
        <v>3166</v>
      </c>
      <c r="I112" s="425" t="s">
        <v>3167</v>
      </c>
      <c r="K112" s="422" t="s">
        <v>34</v>
      </c>
      <c r="L112" s="335">
        <v>15158.71</v>
      </c>
      <c r="M112" t="s">
        <v>1837</v>
      </c>
      <c r="P112" s="485">
        <f t="shared" si="10"/>
        <v>10105.806666666665</v>
      </c>
      <c r="Q112" s="425" t="s">
        <v>1838</v>
      </c>
      <c r="R112" s="295">
        <v>1.5</v>
      </c>
      <c r="S112">
        <v>2023</v>
      </c>
      <c r="T112" t="s">
        <v>3499</v>
      </c>
      <c r="U112" t="s">
        <v>3507</v>
      </c>
      <c r="V112" t="s">
        <v>34</v>
      </c>
    </row>
    <row r="113" spans="1:22" ht="15.75" thickBot="1" x14ac:dyDescent="0.3">
      <c r="A113" s="422" t="s">
        <v>45</v>
      </c>
      <c r="B113" s="422" t="s">
        <v>45</v>
      </c>
      <c r="C113" s="422" t="s">
        <v>1950</v>
      </c>
      <c r="D113" t="s">
        <v>6072</v>
      </c>
      <c r="E113" t="s">
        <v>34</v>
      </c>
      <c r="F113" t="s">
        <v>1745</v>
      </c>
      <c r="G113" t="s">
        <v>1836</v>
      </c>
      <c r="H113" s="425" t="s">
        <v>3166</v>
      </c>
      <c r="I113" s="425" t="s">
        <v>3167</v>
      </c>
      <c r="K113" s="422" t="s">
        <v>34</v>
      </c>
      <c r="L113" s="335">
        <v>168309.34999999986</v>
      </c>
      <c r="M113" t="s">
        <v>1837</v>
      </c>
      <c r="P113" s="485">
        <f t="shared" si="10"/>
        <v>112206.23333333324</v>
      </c>
      <c r="Q113" s="425" t="s">
        <v>1838</v>
      </c>
      <c r="R113" s="295">
        <v>1.5</v>
      </c>
      <c r="S113">
        <v>2023</v>
      </c>
      <c r="T113" t="s">
        <v>3499</v>
      </c>
      <c r="U113" t="s">
        <v>3507</v>
      </c>
      <c r="V113" t="s">
        <v>34</v>
      </c>
    </row>
    <row r="114" spans="1:22" ht="15.75" thickBot="1" x14ac:dyDescent="0.3">
      <c r="A114" s="422" t="s">
        <v>45</v>
      </c>
      <c r="B114" s="422" t="s">
        <v>45</v>
      </c>
      <c r="C114" s="422" t="s">
        <v>1950</v>
      </c>
      <c r="D114" t="s">
        <v>6073</v>
      </c>
      <c r="E114" t="s">
        <v>34</v>
      </c>
      <c r="F114" t="s">
        <v>1745</v>
      </c>
      <c r="G114" t="s">
        <v>1836</v>
      </c>
      <c r="H114" s="425" t="s">
        <v>3166</v>
      </c>
      <c r="I114" s="425" t="s">
        <v>3167</v>
      </c>
      <c r="K114" s="422" t="s">
        <v>34</v>
      </c>
      <c r="L114" s="335">
        <v>32942.93</v>
      </c>
      <c r="M114" t="s">
        <v>1837</v>
      </c>
      <c r="P114" s="485">
        <f t="shared" si="10"/>
        <v>21961.953333333335</v>
      </c>
      <c r="Q114" s="425" t="s">
        <v>1838</v>
      </c>
      <c r="R114" s="295">
        <v>1.5</v>
      </c>
      <c r="S114">
        <v>2023</v>
      </c>
      <c r="T114" t="s">
        <v>3499</v>
      </c>
      <c r="U114" t="s">
        <v>3507</v>
      </c>
      <c r="V114" t="s">
        <v>34</v>
      </c>
    </row>
    <row r="115" spans="1:22" ht="15.75" thickBot="1" x14ac:dyDescent="0.3">
      <c r="A115" s="422" t="s">
        <v>45</v>
      </c>
      <c r="B115" s="422" t="s">
        <v>45</v>
      </c>
      <c r="C115" s="422" t="s">
        <v>1950</v>
      </c>
      <c r="D115" t="s">
        <v>6074</v>
      </c>
      <c r="E115" t="s">
        <v>34</v>
      </c>
      <c r="F115" t="s">
        <v>1745</v>
      </c>
      <c r="G115" t="s">
        <v>1836</v>
      </c>
      <c r="H115" s="425" t="s">
        <v>3166</v>
      </c>
      <c r="I115" s="425" t="s">
        <v>3167</v>
      </c>
      <c r="K115" s="422" t="s">
        <v>34</v>
      </c>
      <c r="L115" s="335">
        <v>26290.990000000005</v>
      </c>
      <c r="M115" t="s">
        <v>1837</v>
      </c>
      <c r="P115" s="485">
        <f t="shared" si="10"/>
        <v>17527.326666666671</v>
      </c>
      <c r="Q115" s="425" t="s">
        <v>1838</v>
      </c>
      <c r="R115" s="295">
        <v>1.5</v>
      </c>
      <c r="S115">
        <v>2023</v>
      </c>
      <c r="T115" t="s">
        <v>3499</v>
      </c>
      <c r="U115" t="s">
        <v>3507</v>
      </c>
      <c r="V115" t="s">
        <v>34</v>
      </c>
    </row>
    <row r="116" spans="1:22" ht="15.75" thickBot="1" x14ac:dyDescent="0.3">
      <c r="A116" s="422" t="s">
        <v>45</v>
      </c>
      <c r="B116" s="422" t="s">
        <v>45</v>
      </c>
      <c r="C116" s="422" t="s">
        <v>1950</v>
      </c>
      <c r="D116" t="s">
        <v>6075</v>
      </c>
      <c r="E116" t="s">
        <v>34</v>
      </c>
      <c r="F116" t="s">
        <v>1745</v>
      </c>
      <c r="G116" t="s">
        <v>1836</v>
      </c>
      <c r="H116" s="425" t="s">
        <v>3166</v>
      </c>
      <c r="I116" s="425" t="s">
        <v>3167</v>
      </c>
      <c r="K116" s="422" t="s">
        <v>34</v>
      </c>
      <c r="L116" s="335">
        <v>1563696.7199999979</v>
      </c>
      <c r="M116" t="s">
        <v>1837</v>
      </c>
      <c r="P116" s="485">
        <f t="shared" si="10"/>
        <v>1042464.4799999986</v>
      </c>
      <c r="Q116" s="425" t="s">
        <v>1838</v>
      </c>
      <c r="R116" s="295">
        <v>1.5</v>
      </c>
      <c r="S116">
        <v>2023</v>
      </c>
      <c r="T116" t="s">
        <v>3499</v>
      </c>
      <c r="U116" t="s">
        <v>3507</v>
      </c>
      <c r="V116" t="s">
        <v>34</v>
      </c>
    </row>
    <row r="117" spans="1:22" ht="15.75" thickBot="1" x14ac:dyDescent="0.3">
      <c r="A117" s="422" t="s">
        <v>45</v>
      </c>
      <c r="B117" s="422" t="s">
        <v>45</v>
      </c>
      <c r="C117" s="422" t="s">
        <v>1950</v>
      </c>
      <c r="D117" t="s">
        <v>6076</v>
      </c>
      <c r="E117" t="s">
        <v>34</v>
      </c>
      <c r="F117" t="s">
        <v>1745</v>
      </c>
      <c r="G117" t="s">
        <v>1836</v>
      </c>
      <c r="H117" s="425" t="s">
        <v>3166</v>
      </c>
      <c r="I117" s="425" t="s">
        <v>3167</v>
      </c>
      <c r="K117" s="422" t="s">
        <v>34</v>
      </c>
      <c r="L117" s="335">
        <v>124866.56999999999</v>
      </c>
      <c r="M117" t="s">
        <v>1837</v>
      </c>
      <c r="P117" s="485">
        <f t="shared" si="10"/>
        <v>83244.37999999999</v>
      </c>
      <c r="Q117" s="425" t="s">
        <v>1838</v>
      </c>
      <c r="R117" s="295">
        <v>1.5</v>
      </c>
      <c r="S117">
        <v>2023</v>
      </c>
      <c r="T117" t="s">
        <v>3499</v>
      </c>
      <c r="U117" t="s">
        <v>3507</v>
      </c>
      <c r="V117" t="s">
        <v>34</v>
      </c>
    </row>
    <row r="118" spans="1:22" ht="15.75" thickBot="1" x14ac:dyDescent="0.3">
      <c r="A118" s="422" t="s">
        <v>45</v>
      </c>
      <c r="B118" s="422" t="s">
        <v>45</v>
      </c>
      <c r="C118" s="422" t="s">
        <v>1950</v>
      </c>
      <c r="D118" t="s">
        <v>6077</v>
      </c>
      <c r="E118" t="s">
        <v>34</v>
      </c>
      <c r="F118" t="s">
        <v>1745</v>
      </c>
      <c r="G118" t="s">
        <v>1836</v>
      </c>
      <c r="H118" s="425" t="s">
        <v>3166</v>
      </c>
      <c r="I118" s="425" t="s">
        <v>3167</v>
      </c>
      <c r="K118" s="422" t="s">
        <v>34</v>
      </c>
      <c r="L118" s="335">
        <v>76073.59000000004</v>
      </c>
      <c r="M118" t="s">
        <v>1837</v>
      </c>
      <c r="P118" s="485">
        <f t="shared" si="10"/>
        <v>50715.726666666691</v>
      </c>
      <c r="Q118" s="425" t="s">
        <v>1838</v>
      </c>
      <c r="R118" s="295">
        <v>1.5</v>
      </c>
      <c r="S118">
        <v>2023</v>
      </c>
      <c r="T118" t="s">
        <v>3499</v>
      </c>
      <c r="U118" t="s">
        <v>3507</v>
      </c>
      <c r="V118" t="s">
        <v>34</v>
      </c>
    </row>
    <row r="119" spans="1:22" ht="15.75" thickBot="1" x14ac:dyDescent="0.3">
      <c r="A119" s="422" t="s">
        <v>45</v>
      </c>
      <c r="B119" s="422" t="s">
        <v>45</v>
      </c>
      <c r="C119" s="422" t="s">
        <v>1950</v>
      </c>
      <c r="D119" t="s">
        <v>6078</v>
      </c>
      <c r="E119" t="s">
        <v>34</v>
      </c>
      <c r="F119" t="s">
        <v>1745</v>
      </c>
      <c r="G119" t="s">
        <v>1836</v>
      </c>
      <c r="H119" s="425" t="s">
        <v>3166</v>
      </c>
      <c r="I119" s="425" t="s">
        <v>3167</v>
      </c>
      <c r="K119" s="422" t="s">
        <v>34</v>
      </c>
      <c r="L119" s="335">
        <v>143410.36999999985</v>
      </c>
      <c r="M119" t="s">
        <v>1837</v>
      </c>
      <c r="P119" s="485">
        <f t="shared" si="10"/>
        <v>95606.913333333228</v>
      </c>
      <c r="Q119" s="425" t="s">
        <v>1838</v>
      </c>
      <c r="R119" s="295">
        <v>1.5</v>
      </c>
      <c r="S119">
        <v>2023</v>
      </c>
      <c r="T119" t="s">
        <v>3499</v>
      </c>
      <c r="U119" t="s">
        <v>3507</v>
      </c>
      <c r="V119" t="s">
        <v>34</v>
      </c>
    </row>
    <row r="120" spans="1:22" ht="15.75" thickBot="1" x14ac:dyDescent="0.3">
      <c r="A120" s="422" t="s">
        <v>45</v>
      </c>
      <c r="B120" s="422" t="s">
        <v>45</v>
      </c>
      <c r="C120" s="422" t="s">
        <v>1950</v>
      </c>
      <c r="D120" t="s">
        <v>6079</v>
      </c>
      <c r="E120" t="s">
        <v>34</v>
      </c>
      <c r="F120" t="s">
        <v>1745</v>
      </c>
      <c r="G120" t="s">
        <v>1836</v>
      </c>
      <c r="H120" s="425" t="s">
        <v>3166</v>
      </c>
      <c r="I120" s="425" t="s">
        <v>3167</v>
      </c>
      <c r="K120" s="422" t="s">
        <v>34</v>
      </c>
      <c r="L120" s="335">
        <v>226286.04999999996</v>
      </c>
      <c r="M120" t="s">
        <v>1837</v>
      </c>
      <c r="P120" s="485">
        <f t="shared" si="10"/>
        <v>150857.36666666664</v>
      </c>
      <c r="Q120" s="425" t="s">
        <v>1838</v>
      </c>
      <c r="R120" s="295">
        <v>1.5</v>
      </c>
      <c r="S120">
        <v>2023</v>
      </c>
      <c r="T120" t="s">
        <v>3499</v>
      </c>
      <c r="U120" t="s">
        <v>3507</v>
      </c>
      <c r="V120" t="s">
        <v>34</v>
      </c>
    </row>
    <row r="121" spans="1:22" ht="15.75" thickBot="1" x14ac:dyDescent="0.3">
      <c r="A121" s="422" t="s">
        <v>45</v>
      </c>
      <c r="B121" s="422" t="s">
        <v>45</v>
      </c>
      <c r="C121" s="422" t="s">
        <v>1950</v>
      </c>
      <c r="D121" t="s">
        <v>6080</v>
      </c>
      <c r="E121" t="s">
        <v>34</v>
      </c>
      <c r="F121" t="s">
        <v>1745</v>
      </c>
      <c r="G121" t="s">
        <v>1836</v>
      </c>
      <c r="H121" s="425" t="s">
        <v>3166</v>
      </c>
      <c r="I121" s="425" t="s">
        <v>3167</v>
      </c>
      <c r="K121" s="422" t="s">
        <v>34</v>
      </c>
      <c r="L121" s="335">
        <v>144853.66000000003</v>
      </c>
      <c r="M121" t="s">
        <v>1837</v>
      </c>
      <c r="P121" s="485">
        <f t="shared" si="10"/>
        <v>96569.106666666688</v>
      </c>
      <c r="Q121" s="425" t="s">
        <v>1838</v>
      </c>
      <c r="R121" s="295">
        <v>1.5</v>
      </c>
      <c r="S121">
        <v>2023</v>
      </c>
      <c r="T121" t="s">
        <v>3499</v>
      </c>
      <c r="U121" t="s">
        <v>3507</v>
      </c>
      <c r="V121" t="s">
        <v>34</v>
      </c>
    </row>
    <row r="122" spans="1:22" ht="15.75" thickBot="1" x14ac:dyDescent="0.3">
      <c r="A122" s="422" t="s">
        <v>45</v>
      </c>
      <c r="B122" s="422" t="s">
        <v>45</v>
      </c>
      <c r="C122" s="422" t="s">
        <v>1950</v>
      </c>
      <c r="D122" t="s">
        <v>6081</v>
      </c>
      <c r="E122" t="s">
        <v>34</v>
      </c>
      <c r="F122" t="s">
        <v>1745</v>
      </c>
      <c r="G122" t="s">
        <v>1836</v>
      </c>
      <c r="H122" s="425" t="s">
        <v>3166</v>
      </c>
      <c r="I122" s="425" t="s">
        <v>3167</v>
      </c>
      <c r="K122" s="422" t="s">
        <v>34</v>
      </c>
      <c r="L122" s="335">
        <v>194295.66999999998</v>
      </c>
      <c r="M122" t="s">
        <v>1837</v>
      </c>
      <c r="P122" s="485">
        <f t="shared" si="10"/>
        <v>129530.44666666666</v>
      </c>
      <c r="Q122" s="425" t="s">
        <v>1838</v>
      </c>
      <c r="R122" s="295">
        <v>1.5</v>
      </c>
      <c r="S122">
        <v>2023</v>
      </c>
      <c r="T122" t="s">
        <v>3499</v>
      </c>
      <c r="U122" t="s">
        <v>3507</v>
      </c>
      <c r="V122" t="s">
        <v>34</v>
      </c>
    </row>
    <row r="123" spans="1:22" ht="15.75" thickBot="1" x14ac:dyDescent="0.3">
      <c r="A123" s="422" t="s">
        <v>45</v>
      </c>
      <c r="B123" s="422" t="s">
        <v>45</v>
      </c>
      <c r="C123" s="422" t="s">
        <v>1950</v>
      </c>
      <c r="D123" t="s">
        <v>6082</v>
      </c>
      <c r="E123" t="s">
        <v>34</v>
      </c>
      <c r="F123" t="s">
        <v>1745</v>
      </c>
      <c r="G123" t="s">
        <v>1836</v>
      </c>
      <c r="H123" s="425" t="s">
        <v>3166</v>
      </c>
      <c r="I123" s="425" t="s">
        <v>3167</v>
      </c>
      <c r="K123" s="422" t="s">
        <v>34</v>
      </c>
      <c r="L123" s="335">
        <v>1271838.73</v>
      </c>
      <c r="M123" t="s">
        <v>1837</v>
      </c>
      <c r="P123" s="485">
        <f t="shared" si="10"/>
        <v>847892.48666666669</v>
      </c>
      <c r="Q123" s="425" t="s">
        <v>1838</v>
      </c>
      <c r="R123" s="295">
        <v>1.5</v>
      </c>
      <c r="S123">
        <v>2023</v>
      </c>
      <c r="T123" t="s">
        <v>3499</v>
      </c>
      <c r="U123" t="s">
        <v>3507</v>
      </c>
      <c r="V123" t="s">
        <v>34</v>
      </c>
    </row>
    <row r="124" spans="1:22" ht="15.75" thickBot="1" x14ac:dyDescent="0.3">
      <c r="A124" s="422" t="s">
        <v>45</v>
      </c>
      <c r="B124" s="422" t="s">
        <v>45</v>
      </c>
      <c r="C124" s="422" t="s">
        <v>1950</v>
      </c>
      <c r="D124" t="s">
        <v>6083</v>
      </c>
      <c r="E124" t="s">
        <v>34</v>
      </c>
      <c r="F124" t="s">
        <v>1745</v>
      </c>
      <c r="G124" t="s">
        <v>1836</v>
      </c>
      <c r="H124" s="425" t="s">
        <v>3166</v>
      </c>
      <c r="I124" s="425" t="s">
        <v>3167</v>
      </c>
      <c r="K124" s="422" t="s">
        <v>34</v>
      </c>
      <c r="L124" s="335">
        <v>101945.34999999993</v>
      </c>
      <c r="M124" t="s">
        <v>1837</v>
      </c>
      <c r="P124" s="485">
        <f t="shared" si="10"/>
        <v>67963.566666666622</v>
      </c>
      <c r="Q124" s="425" t="s">
        <v>1838</v>
      </c>
      <c r="R124" s="295">
        <v>1.5</v>
      </c>
      <c r="S124">
        <v>2023</v>
      </c>
      <c r="T124" t="s">
        <v>3499</v>
      </c>
      <c r="U124" t="s">
        <v>3507</v>
      </c>
      <c r="V124" t="s">
        <v>34</v>
      </c>
    </row>
    <row r="125" spans="1:22" ht="15.75" thickBot="1" x14ac:dyDescent="0.3">
      <c r="A125" s="422" t="s">
        <v>45</v>
      </c>
      <c r="B125" s="422" t="s">
        <v>45</v>
      </c>
      <c r="C125" s="422" t="s">
        <v>1950</v>
      </c>
      <c r="D125" t="s">
        <v>6084</v>
      </c>
      <c r="E125" t="s">
        <v>34</v>
      </c>
      <c r="F125" t="s">
        <v>1745</v>
      </c>
      <c r="G125" t="s">
        <v>1836</v>
      </c>
      <c r="H125" s="425" t="s">
        <v>3166</v>
      </c>
      <c r="I125" s="425" t="s">
        <v>3167</v>
      </c>
      <c r="K125" s="422" t="s">
        <v>34</v>
      </c>
      <c r="L125" s="335">
        <v>18903.249999999993</v>
      </c>
      <c r="M125" t="s">
        <v>1837</v>
      </c>
      <c r="P125" s="485">
        <f t="shared" si="10"/>
        <v>12602.166666666662</v>
      </c>
      <c r="Q125" s="425" t="s">
        <v>1838</v>
      </c>
      <c r="R125" s="295">
        <v>1.5</v>
      </c>
      <c r="S125">
        <v>2023</v>
      </c>
      <c r="T125" t="s">
        <v>3499</v>
      </c>
      <c r="U125" t="s">
        <v>3507</v>
      </c>
      <c r="V125" t="s">
        <v>34</v>
      </c>
    </row>
    <row r="126" spans="1:22" ht="15.75" thickBot="1" x14ac:dyDescent="0.3">
      <c r="A126" s="422" t="s">
        <v>45</v>
      </c>
      <c r="B126" s="422" t="s">
        <v>45</v>
      </c>
      <c r="C126" s="422" t="s">
        <v>1950</v>
      </c>
      <c r="D126" t="s">
        <v>6085</v>
      </c>
      <c r="E126" t="s">
        <v>34</v>
      </c>
      <c r="F126" t="s">
        <v>1745</v>
      </c>
      <c r="G126" t="s">
        <v>1836</v>
      </c>
      <c r="H126" s="425" t="s">
        <v>3166</v>
      </c>
      <c r="I126" s="425" t="s">
        <v>3167</v>
      </c>
      <c r="K126" s="422" t="s">
        <v>34</v>
      </c>
      <c r="L126" s="335">
        <v>82555.780000000028</v>
      </c>
      <c r="M126" t="s">
        <v>1837</v>
      </c>
      <c r="P126" s="485">
        <f t="shared" si="10"/>
        <v>55037.186666666683</v>
      </c>
      <c r="Q126" s="425" t="s">
        <v>1838</v>
      </c>
      <c r="R126" s="295">
        <v>1.5</v>
      </c>
      <c r="S126">
        <v>2023</v>
      </c>
      <c r="T126" t="s">
        <v>3499</v>
      </c>
      <c r="U126" t="s">
        <v>3507</v>
      </c>
      <c r="V126" t="s">
        <v>34</v>
      </c>
    </row>
    <row r="127" spans="1:22" ht="15.75" thickBot="1" x14ac:dyDescent="0.3">
      <c r="A127" s="422" t="s">
        <v>45</v>
      </c>
      <c r="B127" s="422" t="s">
        <v>45</v>
      </c>
      <c r="C127" s="422" t="s">
        <v>1950</v>
      </c>
      <c r="D127" t="s">
        <v>6086</v>
      </c>
      <c r="E127" t="s">
        <v>42</v>
      </c>
      <c r="F127" t="s">
        <v>1745</v>
      </c>
      <c r="G127" t="s">
        <v>1836</v>
      </c>
      <c r="H127" s="425" t="s">
        <v>3166</v>
      </c>
      <c r="I127" s="425" t="s">
        <v>3167</v>
      </c>
      <c r="K127" s="422" t="s">
        <v>34</v>
      </c>
      <c r="L127" s="335">
        <v>20251.900000000001</v>
      </c>
      <c r="M127" t="s">
        <v>1837</v>
      </c>
      <c r="P127" s="485">
        <f t="shared" si="10"/>
        <v>13501.266666666668</v>
      </c>
      <c r="Q127" s="425" t="s">
        <v>1838</v>
      </c>
      <c r="R127" s="295">
        <v>1.5</v>
      </c>
      <c r="S127">
        <v>2023</v>
      </c>
      <c r="T127" t="s">
        <v>3499</v>
      </c>
      <c r="U127" t="s">
        <v>3507</v>
      </c>
      <c r="V127" t="s">
        <v>42</v>
      </c>
    </row>
    <row r="128" spans="1:22" ht="15.75" thickBot="1" x14ac:dyDescent="0.3">
      <c r="A128" s="422" t="s">
        <v>45</v>
      </c>
      <c r="B128" s="422" t="s">
        <v>45</v>
      </c>
      <c r="C128" s="422" t="s">
        <v>1950</v>
      </c>
      <c r="D128" t="s">
        <v>6087</v>
      </c>
      <c r="E128" t="s">
        <v>42</v>
      </c>
      <c r="F128" t="s">
        <v>1745</v>
      </c>
      <c r="G128" t="s">
        <v>1836</v>
      </c>
      <c r="H128" s="425" t="s">
        <v>3166</v>
      </c>
      <c r="I128" s="425" t="s">
        <v>3167</v>
      </c>
      <c r="K128" s="422" t="s">
        <v>34</v>
      </c>
      <c r="L128" s="335">
        <v>5576.6100000000006</v>
      </c>
      <c r="M128" t="s">
        <v>1837</v>
      </c>
      <c r="P128" s="485">
        <f t="shared" si="10"/>
        <v>3717.7400000000002</v>
      </c>
      <c r="Q128" s="425" t="s">
        <v>1838</v>
      </c>
      <c r="R128" s="295">
        <v>1.5</v>
      </c>
      <c r="S128">
        <v>2023</v>
      </c>
      <c r="T128" t="s">
        <v>3499</v>
      </c>
      <c r="U128" t="s">
        <v>3507</v>
      </c>
      <c r="V128" s="422" t="s">
        <v>42</v>
      </c>
    </row>
    <row r="129" spans="1:22" ht="15.75" thickBot="1" x14ac:dyDescent="0.3">
      <c r="A129" s="422" t="s">
        <v>45</v>
      </c>
      <c r="B129" s="422" t="s">
        <v>45</v>
      </c>
      <c r="C129" s="422" t="s">
        <v>1950</v>
      </c>
      <c r="D129" t="s">
        <v>6088</v>
      </c>
      <c r="E129" t="s">
        <v>42</v>
      </c>
      <c r="F129" t="s">
        <v>1745</v>
      </c>
      <c r="G129" t="s">
        <v>1836</v>
      </c>
      <c r="H129" s="425" t="s">
        <v>3166</v>
      </c>
      <c r="I129" s="425" t="s">
        <v>3167</v>
      </c>
      <c r="K129" s="422" t="s">
        <v>34</v>
      </c>
      <c r="L129" s="335">
        <v>3485.36</v>
      </c>
      <c r="M129" t="s">
        <v>1837</v>
      </c>
      <c r="P129" s="485">
        <f t="shared" si="10"/>
        <v>2323.5733333333333</v>
      </c>
      <c r="Q129" s="425" t="s">
        <v>1838</v>
      </c>
      <c r="R129" s="295">
        <v>1.5</v>
      </c>
      <c r="S129">
        <v>2023</v>
      </c>
      <c r="T129" t="s">
        <v>3499</v>
      </c>
      <c r="U129" t="s">
        <v>3507</v>
      </c>
      <c r="V129" s="422" t="s">
        <v>42</v>
      </c>
    </row>
    <row r="130" spans="1:22" ht="15.75" thickBot="1" x14ac:dyDescent="0.3">
      <c r="A130" s="422" t="s">
        <v>45</v>
      </c>
      <c r="B130" s="422" t="s">
        <v>45</v>
      </c>
      <c r="C130" s="422" t="s">
        <v>1950</v>
      </c>
      <c r="D130" t="s">
        <v>6089</v>
      </c>
      <c r="E130" t="s">
        <v>42</v>
      </c>
      <c r="F130" t="s">
        <v>1745</v>
      </c>
      <c r="G130" t="s">
        <v>1836</v>
      </c>
      <c r="H130" s="425" t="s">
        <v>3166</v>
      </c>
      <c r="I130" s="425" t="s">
        <v>3167</v>
      </c>
      <c r="K130" s="422" t="s">
        <v>34</v>
      </c>
      <c r="L130" s="335">
        <v>2277</v>
      </c>
      <c r="M130" t="s">
        <v>1837</v>
      </c>
      <c r="P130" s="485">
        <f t="shared" si="10"/>
        <v>1518</v>
      </c>
      <c r="Q130" s="425" t="s">
        <v>1838</v>
      </c>
      <c r="R130" s="295">
        <v>1.5</v>
      </c>
      <c r="S130">
        <v>2023</v>
      </c>
      <c r="T130" t="s">
        <v>3499</v>
      </c>
      <c r="U130" t="s">
        <v>3507</v>
      </c>
      <c r="V130" s="422" t="s">
        <v>42</v>
      </c>
    </row>
    <row r="131" spans="1:22" ht="15.75" thickBot="1" x14ac:dyDescent="0.3">
      <c r="A131" s="422" t="s">
        <v>45</v>
      </c>
      <c r="B131" s="422" t="s">
        <v>45</v>
      </c>
      <c r="C131" s="422" t="s">
        <v>1950</v>
      </c>
      <c r="D131" t="s">
        <v>6090</v>
      </c>
      <c r="E131" t="s">
        <v>42</v>
      </c>
      <c r="F131" t="s">
        <v>1745</v>
      </c>
      <c r="G131" t="s">
        <v>1836</v>
      </c>
      <c r="H131" s="425" t="s">
        <v>3166</v>
      </c>
      <c r="I131" s="425" t="s">
        <v>3167</v>
      </c>
      <c r="K131" s="422" t="s">
        <v>34</v>
      </c>
      <c r="L131" s="335">
        <v>7850.9400000000014</v>
      </c>
      <c r="M131" t="s">
        <v>1837</v>
      </c>
      <c r="P131" s="485">
        <f t="shared" si="10"/>
        <v>5233.9600000000009</v>
      </c>
      <c r="Q131" s="425" t="s">
        <v>1838</v>
      </c>
      <c r="R131" s="295">
        <v>1.5</v>
      </c>
      <c r="S131">
        <v>2023</v>
      </c>
      <c r="T131" t="s">
        <v>3499</v>
      </c>
      <c r="U131" t="s">
        <v>3507</v>
      </c>
      <c r="V131" s="422" t="s">
        <v>42</v>
      </c>
    </row>
    <row r="132" spans="1:22" ht="15.75" thickBot="1" x14ac:dyDescent="0.3">
      <c r="A132" s="422" t="s">
        <v>45</v>
      </c>
      <c r="B132" s="422" t="s">
        <v>45</v>
      </c>
      <c r="C132" s="422" t="s">
        <v>1950</v>
      </c>
      <c r="D132" t="s">
        <v>6091</v>
      </c>
      <c r="E132" t="s">
        <v>42</v>
      </c>
      <c r="F132" t="s">
        <v>1745</v>
      </c>
      <c r="G132" t="s">
        <v>1836</v>
      </c>
      <c r="H132" s="425" t="s">
        <v>3166</v>
      </c>
      <c r="I132" s="425" t="s">
        <v>3167</v>
      </c>
      <c r="K132" s="422" t="s">
        <v>34</v>
      </c>
      <c r="L132" s="335">
        <v>810</v>
      </c>
      <c r="M132" t="s">
        <v>1837</v>
      </c>
      <c r="P132" s="485">
        <f t="shared" si="10"/>
        <v>540</v>
      </c>
      <c r="Q132" s="425" t="s">
        <v>1838</v>
      </c>
      <c r="R132" s="295">
        <v>1.5</v>
      </c>
      <c r="S132">
        <v>2023</v>
      </c>
      <c r="T132" t="s">
        <v>3499</v>
      </c>
      <c r="U132" t="s">
        <v>3507</v>
      </c>
      <c r="V132" s="422" t="s">
        <v>42</v>
      </c>
    </row>
    <row r="133" spans="1:22" ht="15.75" thickBot="1" x14ac:dyDescent="0.3">
      <c r="A133" s="422" t="s">
        <v>45</v>
      </c>
      <c r="B133" s="422" t="s">
        <v>45</v>
      </c>
      <c r="C133" s="422" t="s">
        <v>1950</v>
      </c>
      <c r="D133" t="s">
        <v>6092</v>
      </c>
      <c r="E133" t="s">
        <v>42</v>
      </c>
      <c r="F133" t="s">
        <v>1745</v>
      </c>
      <c r="G133" t="s">
        <v>1836</v>
      </c>
      <c r="H133" s="425" t="s">
        <v>3166</v>
      </c>
      <c r="I133" s="425" t="s">
        <v>3167</v>
      </c>
      <c r="K133" s="422" t="s">
        <v>34</v>
      </c>
      <c r="L133" s="335">
        <v>11509.459999999995</v>
      </c>
      <c r="M133" t="s">
        <v>1837</v>
      </c>
      <c r="P133" s="485">
        <f t="shared" si="10"/>
        <v>7672.9733333333306</v>
      </c>
      <c r="Q133" s="425" t="s">
        <v>1838</v>
      </c>
      <c r="R133" s="295">
        <v>1.5</v>
      </c>
      <c r="S133">
        <v>2023</v>
      </c>
      <c r="T133" t="s">
        <v>3499</v>
      </c>
      <c r="U133" t="s">
        <v>3507</v>
      </c>
      <c r="V133" s="422" t="s">
        <v>42</v>
      </c>
    </row>
    <row r="134" spans="1:22" ht="15.75" thickBot="1" x14ac:dyDescent="0.3">
      <c r="A134" s="422" t="s">
        <v>45</v>
      </c>
      <c r="B134" s="422" t="s">
        <v>45</v>
      </c>
      <c r="C134" s="422" t="s">
        <v>1950</v>
      </c>
      <c r="D134" t="s">
        <v>6093</v>
      </c>
      <c r="E134" t="s">
        <v>42</v>
      </c>
      <c r="F134" t="s">
        <v>1745</v>
      </c>
      <c r="G134" t="s">
        <v>1836</v>
      </c>
      <c r="H134" s="425" t="s">
        <v>3166</v>
      </c>
      <c r="I134" s="425" t="s">
        <v>3167</v>
      </c>
      <c r="K134" s="422" t="s">
        <v>34</v>
      </c>
      <c r="L134" s="335">
        <v>66898.03</v>
      </c>
      <c r="M134" t="s">
        <v>1837</v>
      </c>
      <c r="P134" s="485">
        <f t="shared" si="10"/>
        <v>44598.686666666668</v>
      </c>
      <c r="Q134" s="425" t="s">
        <v>1838</v>
      </c>
      <c r="R134" s="295">
        <v>1.5</v>
      </c>
      <c r="S134">
        <v>2023</v>
      </c>
      <c r="T134" t="s">
        <v>3499</v>
      </c>
      <c r="U134" t="s">
        <v>3507</v>
      </c>
      <c r="V134" s="422" t="s">
        <v>42</v>
      </c>
    </row>
    <row r="135" spans="1:22" ht="15.75" thickBot="1" x14ac:dyDescent="0.3">
      <c r="A135" s="422" t="s">
        <v>45</v>
      </c>
      <c r="B135" s="422" t="s">
        <v>45</v>
      </c>
      <c r="C135" s="422" t="s">
        <v>1950</v>
      </c>
      <c r="D135" t="s">
        <v>6094</v>
      </c>
      <c r="E135" t="s">
        <v>42</v>
      </c>
      <c r="F135" t="s">
        <v>1745</v>
      </c>
      <c r="G135" t="s">
        <v>1836</v>
      </c>
      <c r="H135" s="425" t="s">
        <v>3166</v>
      </c>
      <c r="I135" s="425" t="s">
        <v>3167</v>
      </c>
      <c r="K135" s="422" t="s">
        <v>34</v>
      </c>
      <c r="L135" s="335">
        <v>13825.47</v>
      </c>
      <c r="M135" t="s">
        <v>1837</v>
      </c>
      <c r="P135" s="485">
        <f t="shared" si="10"/>
        <v>9216.98</v>
      </c>
      <c r="Q135" s="425" t="s">
        <v>1838</v>
      </c>
      <c r="R135" s="295">
        <v>1.5</v>
      </c>
      <c r="S135">
        <v>2023</v>
      </c>
      <c r="T135" t="s">
        <v>3499</v>
      </c>
      <c r="U135" t="s">
        <v>3507</v>
      </c>
      <c r="V135" s="422" t="s">
        <v>42</v>
      </c>
    </row>
    <row r="136" spans="1:22" ht="15.75" thickBot="1" x14ac:dyDescent="0.3">
      <c r="A136" s="422" t="s">
        <v>45</v>
      </c>
      <c r="B136" s="422" t="s">
        <v>45</v>
      </c>
      <c r="C136" s="422" t="s">
        <v>1950</v>
      </c>
      <c r="D136" t="s">
        <v>6095</v>
      </c>
      <c r="E136" t="s">
        <v>42</v>
      </c>
      <c r="F136" t="s">
        <v>1745</v>
      </c>
      <c r="G136" t="s">
        <v>1836</v>
      </c>
      <c r="H136" s="425" t="s">
        <v>3166</v>
      </c>
      <c r="I136" s="425" t="s">
        <v>3167</v>
      </c>
      <c r="K136" s="422" t="s">
        <v>34</v>
      </c>
      <c r="L136" s="335">
        <v>27627.599999999999</v>
      </c>
      <c r="M136" t="s">
        <v>1837</v>
      </c>
      <c r="P136" s="485">
        <f t="shared" si="10"/>
        <v>18418.399999999998</v>
      </c>
      <c r="Q136" s="425" t="s">
        <v>1838</v>
      </c>
      <c r="R136" s="295">
        <v>1.5</v>
      </c>
      <c r="S136">
        <v>2023</v>
      </c>
      <c r="T136" t="s">
        <v>3499</v>
      </c>
      <c r="U136" t="s">
        <v>3507</v>
      </c>
      <c r="V136" s="422" t="s">
        <v>42</v>
      </c>
    </row>
    <row r="137" spans="1:22" ht="15.75" thickBot="1" x14ac:dyDescent="0.3">
      <c r="A137" s="422" t="s">
        <v>45</v>
      </c>
      <c r="B137" s="422" t="s">
        <v>45</v>
      </c>
      <c r="C137" s="422" t="s">
        <v>1950</v>
      </c>
      <c r="D137" t="s">
        <v>6096</v>
      </c>
      <c r="E137" t="s">
        <v>42</v>
      </c>
      <c r="F137" t="s">
        <v>1745</v>
      </c>
      <c r="G137" t="s">
        <v>1836</v>
      </c>
      <c r="H137" s="425" t="s">
        <v>3166</v>
      </c>
      <c r="I137" s="425" t="s">
        <v>3167</v>
      </c>
      <c r="K137" s="422" t="s">
        <v>34</v>
      </c>
      <c r="L137" s="335">
        <v>18550</v>
      </c>
      <c r="M137" t="s">
        <v>1837</v>
      </c>
      <c r="P137" s="485">
        <f t="shared" si="10"/>
        <v>12366.666666666666</v>
      </c>
      <c r="Q137" s="425" t="s">
        <v>1838</v>
      </c>
      <c r="R137" s="295">
        <v>1.5</v>
      </c>
      <c r="S137">
        <v>2023</v>
      </c>
      <c r="T137" t="s">
        <v>3499</v>
      </c>
      <c r="U137" t="s">
        <v>3507</v>
      </c>
      <c r="V137" s="422" t="s">
        <v>42</v>
      </c>
    </row>
    <row r="138" spans="1:22" ht="15.75" thickBot="1" x14ac:dyDescent="0.3">
      <c r="A138" s="422" t="s">
        <v>45</v>
      </c>
      <c r="B138" s="422" t="s">
        <v>45</v>
      </c>
      <c r="C138" s="422" t="s">
        <v>1950</v>
      </c>
      <c r="D138" t="s">
        <v>6097</v>
      </c>
      <c r="E138" t="s">
        <v>42</v>
      </c>
      <c r="F138" t="s">
        <v>1745</v>
      </c>
      <c r="G138" t="s">
        <v>1836</v>
      </c>
      <c r="H138" s="425" t="s">
        <v>3166</v>
      </c>
      <c r="I138" s="425" t="s">
        <v>3167</v>
      </c>
      <c r="K138" s="422" t="s">
        <v>34</v>
      </c>
      <c r="L138" s="335">
        <v>750</v>
      </c>
      <c r="M138" t="s">
        <v>1837</v>
      </c>
      <c r="P138" s="485">
        <f t="shared" si="10"/>
        <v>500</v>
      </c>
      <c r="Q138" s="425" t="s">
        <v>1838</v>
      </c>
      <c r="R138" s="295">
        <v>1.5</v>
      </c>
      <c r="S138">
        <v>2023</v>
      </c>
      <c r="T138" t="s">
        <v>3499</v>
      </c>
      <c r="U138" t="s">
        <v>3507</v>
      </c>
      <c r="V138" s="422" t="s">
        <v>42</v>
      </c>
    </row>
    <row r="139" spans="1:22" ht="15.75" thickBot="1" x14ac:dyDescent="0.3">
      <c r="A139" s="422" t="s">
        <v>45</v>
      </c>
      <c r="B139" s="422" t="s">
        <v>45</v>
      </c>
      <c r="C139" s="422" t="s">
        <v>1950</v>
      </c>
      <c r="D139" t="s">
        <v>6098</v>
      </c>
      <c r="E139" t="s">
        <v>42</v>
      </c>
      <c r="F139" t="s">
        <v>1745</v>
      </c>
      <c r="G139" t="s">
        <v>1836</v>
      </c>
      <c r="H139" s="425" t="s">
        <v>3166</v>
      </c>
      <c r="I139" s="425" t="s">
        <v>3167</v>
      </c>
      <c r="K139" s="422" t="s">
        <v>34</v>
      </c>
      <c r="L139" s="335">
        <v>1683</v>
      </c>
      <c r="M139" t="s">
        <v>1837</v>
      </c>
      <c r="P139" s="485">
        <f t="shared" si="10"/>
        <v>1122</v>
      </c>
      <c r="Q139" s="425" t="s">
        <v>1838</v>
      </c>
      <c r="R139" s="295">
        <v>1.5</v>
      </c>
      <c r="S139">
        <v>2023</v>
      </c>
      <c r="T139" t="s">
        <v>3499</v>
      </c>
      <c r="U139" t="s">
        <v>3507</v>
      </c>
      <c r="V139" s="422" t="s">
        <v>42</v>
      </c>
    </row>
    <row r="140" spans="1:22" ht="15.75" thickBot="1" x14ac:dyDescent="0.3">
      <c r="A140" s="422" t="s">
        <v>45</v>
      </c>
      <c r="B140" s="422" t="s">
        <v>45</v>
      </c>
      <c r="C140" s="422" t="s">
        <v>1950</v>
      </c>
      <c r="D140" t="s">
        <v>6099</v>
      </c>
      <c r="E140" t="s">
        <v>42</v>
      </c>
      <c r="F140" t="s">
        <v>1745</v>
      </c>
      <c r="G140" t="s">
        <v>1836</v>
      </c>
      <c r="H140" s="425" t="s">
        <v>3166</v>
      </c>
      <c r="I140" s="425" t="s">
        <v>3167</v>
      </c>
      <c r="K140" s="422" t="s">
        <v>34</v>
      </c>
      <c r="L140" s="335">
        <v>570.64</v>
      </c>
      <c r="M140" t="s">
        <v>1837</v>
      </c>
      <c r="P140" s="485">
        <f t="shared" si="10"/>
        <v>380.42666666666668</v>
      </c>
      <c r="Q140" s="425" t="s">
        <v>1838</v>
      </c>
      <c r="R140" s="295">
        <v>1.5</v>
      </c>
      <c r="S140">
        <v>2023</v>
      </c>
      <c r="T140" t="s">
        <v>3499</v>
      </c>
      <c r="U140" t="s">
        <v>3507</v>
      </c>
      <c r="V140" s="422" t="s">
        <v>42</v>
      </c>
    </row>
    <row r="141" spans="1:22" ht="15.75" thickBot="1" x14ac:dyDescent="0.3">
      <c r="A141" s="422" t="s">
        <v>45</v>
      </c>
      <c r="B141" s="422" t="s">
        <v>45</v>
      </c>
      <c r="C141" s="422" t="s">
        <v>1950</v>
      </c>
      <c r="D141" t="s">
        <v>6100</v>
      </c>
      <c r="E141" t="s">
        <v>42</v>
      </c>
      <c r="F141" t="s">
        <v>1745</v>
      </c>
      <c r="G141" t="s">
        <v>1836</v>
      </c>
      <c r="H141" s="425" t="s">
        <v>3166</v>
      </c>
      <c r="I141" s="425" t="s">
        <v>3167</v>
      </c>
      <c r="K141" s="422" t="s">
        <v>34</v>
      </c>
      <c r="L141" s="335">
        <v>53350</v>
      </c>
      <c r="M141" t="s">
        <v>1837</v>
      </c>
      <c r="P141" s="485">
        <f t="shared" si="10"/>
        <v>35566.666666666664</v>
      </c>
      <c r="Q141" s="425" t="s">
        <v>1838</v>
      </c>
      <c r="R141" s="295">
        <v>1.5</v>
      </c>
      <c r="S141">
        <v>2023</v>
      </c>
      <c r="T141" t="s">
        <v>3499</v>
      </c>
      <c r="U141" t="s">
        <v>3507</v>
      </c>
      <c r="V141" s="422" t="s">
        <v>42</v>
      </c>
    </row>
    <row r="142" spans="1:22" ht="15.75" thickBot="1" x14ac:dyDescent="0.3">
      <c r="A142" s="422" t="s">
        <v>45</v>
      </c>
      <c r="B142" s="422" t="s">
        <v>45</v>
      </c>
      <c r="C142" s="422" t="s">
        <v>1950</v>
      </c>
      <c r="D142" t="s">
        <v>6101</v>
      </c>
      <c r="E142" t="s">
        <v>42</v>
      </c>
      <c r="F142" t="s">
        <v>1745</v>
      </c>
      <c r="G142" t="s">
        <v>1836</v>
      </c>
      <c r="H142" s="425" t="s">
        <v>3166</v>
      </c>
      <c r="I142" s="425" t="s">
        <v>3167</v>
      </c>
      <c r="K142" s="422" t="s">
        <v>34</v>
      </c>
      <c r="L142" s="335">
        <v>11191.99</v>
      </c>
      <c r="M142" t="s">
        <v>1837</v>
      </c>
      <c r="P142" s="485">
        <f t="shared" si="10"/>
        <v>7461.3266666666668</v>
      </c>
      <c r="Q142" s="425" t="s">
        <v>1838</v>
      </c>
      <c r="R142" s="295">
        <v>1.5</v>
      </c>
      <c r="S142">
        <v>2023</v>
      </c>
      <c r="T142" t="s">
        <v>3499</v>
      </c>
      <c r="U142" t="s">
        <v>3507</v>
      </c>
      <c r="V142" s="422" t="s">
        <v>42</v>
      </c>
    </row>
    <row r="143" spans="1:22" ht="15.75" thickBot="1" x14ac:dyDescent="0.3">
      <c r="A143" s="422" t="s">
        <v>45</v>
      </c>
      <c r="B143" s="422" t="s">
        <v>45</v>
      </c>
      <c r="C143" s="422" t="s">
        <v>1950</v>
      </c>
      <c r="D143" t="s">
        <v>6102</v>
      </c>
      <c r="E143" t="s">
        <v>42</v>
      </c>
      <c r="F143" t="s">
        <v>1745</v>
      </c>
      <c r="G143" t="s">
        <v>1836</v>
      </c>
      <c r="H143" s="425" t="s">
        <v>3166</v>
      </c>
      <c r="I143" s="425" t="s">
        <v>3167</v>
      </c>
      <c r="K143" s="422" t="s">
        <v>34</v>
      </c>
      <c r="L143" s="335">
        <v>11850.65</v>
      </c>
      <c r="M143" t="s">
        <v>1837</v>
      </c>
      <c r="P143" s="485">
        <f t="shared" si="10"/>
        <v>7900.4333333333334</v>
      </c>
      <c r="Q143" s="425" t="s">
        <v>1838</v>
      </c>
      <c r="R143" s="295">
        <v>1.5</v>
      </c>
      <c r="S143">
        <v>2023</v>
      </c>
      <c r="T143" t="s">
        <v>3499</v>
      </c>
      <c r="U143" t="s">
        <v>3507</v>
      </c>
      <c r="V143" s="422" t="s">
        <v>42</v>
      </c>
    </row>
    <row r="144" spans="1:22" ht="15.75" thickBot="1" x14ac:dyDescent="0.3">
      <c r="A144" s="422" t="s">
        <v>45</v>
      </c>
      <c r="B144" s="422" t="s">
        <v>45</v>
      </c>
      <c r="C144" s="422" t="s">
        <v>1950</v>
      </c>
      <c r="D144" t="s">
        <v>6103</v>
      </c>
      <c r="E144" t="s">
        <v>42</v>
      </c>
      <c r="F144" t="s">
        <v>1745</v>
      </c>
      <c r="G144" t="s">
        <v>1836</v>
      </c>
      <c r="H144" s="425" t="s">
        <v>3166</v>
      </c>
      <c r="I144" s="425" t="s">
        <v>3167</v>
      </c>
      <c r="K144" s="422" t="s">
        <v>34</v>
      </c>
      <c r="L144" s="335">
        <v>6108.4999999999991</v>
      </c>
      <c r="M144" t="s">
        <v>1837</v>
      </c>
      <c r="P144" s="485">
        <f t="shared" si="10"/>
        <v>4072.3333333333326</v>
      </c>
      <c r="Q144" s="425" t="s">
        <v>1838</v>
      </c>
      <c r="R144" s="295">
        <v>1.5</v>
      </c>
      <c r="S144">
        <v>2023</v>
      </c>
      <c r="T144" t="s">
        <v>3499</v>
      </c>
      <c r="U144" t="s">
        <v>3507</v>
      </c>
      <c r="V144" s="422" t="s">
        <v>42</v>
      </c>
    </row>
    <row r="145" spans="1:22" ht="15.75" thickBot="1" x14ac:dyDescent="0.3">
      <c r="A145" s="422" t="s">
        <v>45</v>
      </c>
      <c r="B145" s="422" t="s">
        <v>45</v>
      </c>
      <c r="C145" s="422" t="s">
        <v>1950</v>
      </c>
      <c r="D145" t="s">
        <v>6104</v>
      </c>
      <c r="E145" t="s">
        <v>42</v>
      </c>
      <c r="F145" t="s">
        <v>1745</v>
      </c>
      <c r="G145" t="s">
        <v>1836</v>
      </c>
      <c r="H145" s="425" t="s">
        <v>3166</v>
      </c>
      <c r="I145" s="425" t="s">
        <v>3167</v>
      </c>
      <c r="K145" s="422" t="s">
        <v>34</v>
      </c>
      <c r="L145" s="335">
        <v>7440.5</v>
      </c>
      <c r="M145" t="s">
        <v>1837</v>
      </c>
      <c r="P145" s="485">
        <f t="shared" si="10"/>
        <v>4960.333333333333</v>
      </c>
      <c r="Q145" s="425" t="s">
        <v>1838</v>
      </c>
      <c r="R145" s="295">
        <v>1.5</v>
      </c>
      <c r="S145">
        <v>2023</v>
      </c>
      <c r="T145" t="s">
        <v>3499</v>
      </c>
      <c r="U145" t="s">
        <v>3507</v>
      </c>
      <c r="V145" s="422" t="s">
        <v>42</v>
      </c>
    </row>
    <row r="146" spans="1:22" ht="15.75" thickBot="1" x14ac:dyDescent="0.3">
      <c r="A146" s="422" t="s">
        <v>45</v>
      </c>
      <c r="B146" s="422" t="s">
        <v>45</v>
      </c>
      <c r="C146" s="422" t="s">
        <v>1950</v>
      </c>
      <c r="D146" t="s">
        <v>6105</v>
      </c>
      <c r="E146" t="s">
        <v>42</v>
      </c>
      <c r="F146" t="s">
        <v>1745</v>
      </c>
      <c r="G146" t="s">
        <v>1836</v>
      </c>
      <c r="H146" s="425" t="s">
        <v>3166</v>
      </c>
      <c r="I146" s="425" t="s">
        <v>3167</v>
      </c>
      <c r="K146" s="422" t="s">
        <v>34</v>
      </c>
      <c r="L146" s="335">
        <v>9528.2999999999993</v>
      </c>
      <c r="M146" t="s">
        <v>1837</v>
      </c>
      <c r="P146" s="485">
        <f t="shared" si="10"/>
        <v>6352.2</v>
      </c>
      <c r="Q146" s="425" t="s">
        <v>1838</v>
      </c>
      <c r="R146" s="295">
        <v>1.5</v>
      </c>
      <c r="S146">
        <v>2023</v>
      </c>
      <c r="T146" t="s">
        <v>3499</v>
      </c>
      <c r="U146" t="s">
        <v>3507</v>
      </c>
      <c r="V146" s="422" t="s">
        <v>42</v>
      </c>
    </row>
    <row r="147" spans="1:22" ht="15.75" thickBot="1" x14ac:dyDescent="0.3">
      <c r="A147" s="422" t="s">
        <v>45</v>
      </c>
      <c r="B147" s="422" t="s">
        <v>45</v>
      </c>
      <c r="C147" s="422" t="s">
        <v>1950</v>
      </c>
      <c r="D147" t="s">
        <v>6106</v>
      </c>
      <c r="E147" t="s">
        <v>42</v>
      </c>
      <c r="F147" t="s">
        <v>1745</v>
      </c>
      <c r="G147" t="s">
        <v>1836</v>
      </c>
      <c r="H147" s="425" t="s">
        <v>3166</v>
      </c>
      <c r="I147" s="425" t="s">
        <v>3167</v>
      </c>
      <c r="K147" s="422" t="s">
        <v>34</v>
      </c>
      <c r="L147" s="335">
        <v>273.58</v>
      </c>
      <c r="M147" t="s">
        <v>1837</v>
      </c>
      <c r="P147" s="485">
        <f t="shared" si="10"/>
        <v>182.38666666666666</v>
      </c>
      <c r="Q147" s="425" t="s">
        <v>1838</v>
      </c>
      <c r="R147" s="295">
        <v>1.5</v>
      </c>
      <c r="S147">
        <v>2023</v>
      </c>
      <c r="T147" t="s">
        <v>3499</v>
      </c>
      <c r="U147" t="s">
        <v>3507</v>
      </c>
      <c r="V147" s="422" t="s">
        <v>42</v>
      </c>
    </row>
    <row r="148" spans="1:22" ht="15.75" thickBot="1" x14ac:dyDescent="0.3">
      <c r="A148" s="422" t="s">
        <v>45</v>
      </c>
      <c r="B148" s="422" t="s">
        <v>45</v>
      </c>
      <c r="C148" s="422" t="s">
        <v>1950</v>
      </c>
      <c r="D148" t="s">
        <v>6107</v>
      </c>
      <c r="E148" t="s">
        <v>42</v>
      </c>
      <c r="F148" t="s">
        <v>1745</v>
      </c>
      <c r="G148" t="s">
        <v>1836</v>
      </c>
      <c r="H148" s="425" t="s">
        <v>3166</v>
      </c>
      <c r="I148" s="425" t="s">
        <v>3167</v>
      </c>
      <c r="K148" s="422" t="s">
        <v>34</v>
      </c>
      <c r="L148" s="335">
        <v>5546.25</v>
      </c>
      <c r="M148" t="s">
        <v>1837</v>
      </c>
      <c r="P148" s="485">
        <f t="shared" si="10"/>
        <v>3697.5</v>
      </c>
      <c r="Q148" s="425" t="s">
        <v>1838</v>
      </c>
      <c r="R148" s="295">
        <v>1.5</v>
      </c>
      <c r="S148">
        <v>2023</v>
      </c>
      <c r="T148" t="s">
        <v>3499</v>
      </c>
      <c r="U148" t="s">
        <v>3507</v>
      </c>
      <c r="V148" s="422" t="s">
        <v>42</v>
      </c>
    </row>
    <row r="149" spans="1:22" ht="15.75" thickBot="1" x14ac:dyDescent="0.3">
      <c r="A149" s="422" t="s">
        <v>45</v>
      </c>
      <c r="B149" s="422" t="s">
        <v>45</v>
      </c>
      <c r="C149" s="422" t="s">
        <v>1950</v>
      </c>
      <c r="D149" t="s">
        <v>6108</v>
      </c>
      <c r="E149" t="s">
        <v>42</v>
      </c>
      <c r="F149" t="s">
        <v>1745</v>
      </c>
      <c r="G149" t="s">
        <v>1836</v>
      </c>
      <c r="H149" s="425" t="s">
        <v>3166</v>
      </c>
      <c r="I149" s="425" t="s">
        <v>3167</v>
      </c>
      <c r="K149" s="422" t="s">
        <v>34</v>
      </c>
      <c r="L149" s="335">
        <v>192.5</v>
      </c>
      <c r="M149" t="s">
        <v>1837</v>
      </c>
      <c r="P149" s="485">
        <f t="shared" si="10"/>
        <v>128.33333333333334</v>
      </c>
      <c r="Q149" s="425" t="s">
        <v>1838</v>
      </c>
      <c r="R149" s="295">
        <v>1.5</v>
      </c>
      <c r="S149">
        <v>2023</v>
      </c>
      <c r="T149" t="s">
        <v>3499</v>
      </c>
      <c r="U149" t="s">
        <v>3507</v>
      </c>
      <c r="V149" s="422" t="s">
        <v>42</v>
      </c>
    </row>
    <row r="150" spans="1:22" ht="15.75" thickBot="1" x14ac:dyDescent="0.3">
      <c r="A150" s="422" t="s">
        <v>45</v>
      </c>
      <c r="B150" s="422" t="s">
        <v>45</v>
      </c>
      <c r="C150" s="422" t="s">
        <v>1950</v>
      </c>
      <c r="D150" t="s">
        <v>6109</v>
      </c>
      <c r="E150" t="s">
        <v>42</v>
      </c>
      <c r="F150" t="s">
        <v>1745</v>
      </c>
      <c r="G150" t="s">
        <v>1836</v>
      </c>
      <c r="H150" s="425" t="s">
        <v>3166</v>
      </c>
      <c r="I150" s="425" t="s">
        <v>3167</v>
      </c>
      <c r="K150" s="422" t="s">
        <v>34</v>
      </c>
      <c r="L150" s="335">
        <v>83769.320000000007</v>
      </c>
      <c r="M150" t="s">
        <v>1837</v>
      </c>
      <c r="P150" s="485">
        <f t="shared" si="10"/>
        <v>55846.21333333334</v>
      </c>
      <c r="Q150" s="425" t="s">
        <v>1838</v>
      </c>
      <c r="R150" s="295">
        <v>1.5</v>
      </c>
      <c r="S150">
        <v>2023</v>
      </c>
      <c r="T150" t="s">
        <v>3499</v>
      </c>
      <c r="U150" t="s">
        <v>3507</v>
      </c>
      <c r="V150" s="422" t="s">
        <v>42</v>
      </c>
    </row>
    <row r="151" spans="1:22" ht="15.75" thickBot="1" x14ac:dyDescent="0.3">
      <c r="A151" s="422" t="s">
        <v>45</v>
      </c>
      <c r="B151" s="422" t="s">
        <v>45</v>
      </c>
      <c r="C151" s="422" t="s">
        <v>1950</v>
      </c>
      <c r="D151" t="s">
        <v>6110</v>
      </c>
      <c r="E151" t="s">
        <v>42</v>
      </c>
      <c r="F151" t="s">
        <v>1745</v>
      </c>
      <c r="G151" t="s">
        <v>1836</v>
      </c>
      <c r="H151" s="425" t="s">
        <v>3166</v>
      </c>
      <c r="I151" s="425" t="s">
        <v>3167</v>
      </c>
      <c r="K151" s="422" t="s">
        <v>34</v>
      </c>
      <c r="L151" s="335">
        <v>70.75</v>
      </c>
      <c r="M151" t="s">
        <v>1837</v>
      </c>
      <c r="P151" s="485">
        <f t="shared" si="10"/>
        <v>47.166666666666664</v>
      </c>
      <c r="Q151" s="425" t="s">
        <v>1838</v>
      </c>
      <c r="R151" s="295">
        <v>1.5</v>
      </c>
      <c r="S151">
        <v>2023</v>
      </c>
      <c r="T151" t="s">
        <v>3499</v>
      </c>
      <c r="U151" t="s">
        <v>3507</v>
      </c>
      <c r="V151" s="422" t="s">
        <v>42</v>
      </c>
    </row>
    <row r="152" spans="1:22" ht="15.75" thickBot="1" x14ac:dyDescent="0.3">
      <c r="A152" s="422" t="s">
        <v>45</v>
      </c>
      <c r="B152" s="422" t="s">
        <v>45</v>
      </c>
      <c r="C152" s="422" t="s">
        <v>1950</v>
      </c>
      <c r="D152" t="s">
        <v>6111</v>
      </c>
      <c r="E152" t="s">
        <v>42</v>
      </c>
      <c r="F152" t="s">
        <v>1745</v>
      </c>
      <c r="G152" t="s">
        <v>1836</v>
      </c>
      <c r="H152" s="425" t="s">
        <v>3166</v>
      </c>
      <c r="I152" s="425" t="s">
        <v>3167</v>
      </c>
      <c r="K152" s="422" t="s">
        <v>34</v>
      </c>
      <c r="L152" s="335">
        <v>14406.610000000004</v>
      </c>
      <c r="M152" t="s">
        <v>1837</v>
      </c>
      <c r="P152" s="485">
        <f t="shared" si="10"/>
        <v>9604.4066666666695</v>
      </c>
      <c r="Q152" s="425" t="s">
        <v>1838</v>
      </c>
      <c r="R152" s="295">
        <v>1.5</v>
      </c>
      <c r="S152">
        <v>2023</v>
      </c>
      <c r="T152" t="s">
        <v>3499</v>
      </c>
      <c r="U152" t="s">
        <v>3507</v>
      </c>
      <c r="V152" s="422" t="s">
        <v>42</v>
      </c>
    </row>
    <row r="153" spans="1:22" ht="15.75" thickBot="1" x14ac:dyDescent="0.3">
      <c r="A153" s="422" t="s">
        <v>45</v>
      </c>
      <c r="B153" s="422" t="s">
        <v>45</v>
      </c>
      <c r="C153" s="422" t="s">
        <v>1950</v>
      </c>
      <c r="D153" t="s">
        <v>6112</v>
      </c>
      <c r="E153" t="s">
        <v>42</v>
      </c>
      <c r="F153" t="s">
        <v>1745</v>
      </c>
      <c r="G153" t="s">
        <v>1836</v>
      </c>
      <c r="H153" s="425" t="s">
        <v>3166</v>
      </c>
      <c r="I153" s="425" t="s">
        <v>3167</v>
      </c>
      <c r="K153" s="422" t="s">
        <v>34</v>
      </c>
      <c r="L153" s="335">
        <v>8358.74</v>
      </c>
      <c r="M153" t="s">
        <v>1837</v>
      </c>
      <c r="P153" s="485">
        <f t="shared" si="10"/>
        <v>5572.4933333333329</v>
      </c>
      <c r="Q153" s="425" t="s">
        <v>1838</v>
      </c>
      <c r="R153" s="295">
        <v>1.5</v>
      </c>
      <c r="S153">
        <v>2023</v>
      </c>
      <c r="T153" t="s">
        <v>3499</v>
      </c>
      <c r="U153" t="s">
        <v>3507</v>
      </c>
      <c r="V153" s="422" t="s">
        <v>42</v>
      </c>
    </row>
    <row r="154" spans="1:22" ht="15.75" thickBot="1" x14ac:dyDescent="0.3">
      <c r="A154" s="422" t="s">
        <v>45</v>
      </c>
      <c r="B154" s="422" t="s">
        <v>45</v>
      </c>
      <c r="C154" s="422" t="s">
        <v>1950</v>
      </c>
      <c r="D154" t="s">
        <v>6113</v>
      </c>
      <c r="E154" t="s">
        <v>42</v>
      </c>
      <c r="F154" t="s">
        <v>1745</v>
      </c>
      <c r="G154" t="s">
        <v>1836</v>
      </c>
      <c r="H154" s="425" t="s">
        <v>3166</v>
      </c>
      <c r="I154" s="425" t="s">
        <v>3167</v>
      </c>
      <c r="K154" s="422" t="s">
        <v>34</v>
      </c>
      <c r="L154" s="335">
        <v>1248.1400000000001</v>
      </c>
      <c r="M154" t="s">
        <v>1837</v>
      </c>
      <c r="P154" s="485">
        <f t="shared" si="10"/>
        <v>832.09333333333336</v>
      </c>
      <c r="Q154" s="425" t="s">
        <v>1838</v>
      </c>
      <c r="R154" s="295">
        <v>1.5</v>
      </c>
      <c r="S154">
        <v>2023</v>
      </c>
      <c r="T154" t="s">
        <v>3499</v>
      </c>
      <c r="U154" t="s">
        <v>3507</v>
      </c>
      <c r="V154" s="422" t="s">
        <v>42</v>
      </c>
    </row>
    <row r="155" spans="1:22" ht="15.75" thickBot="1" x14ac:dyDescent="0.3">
      <c r="A155" s="422" t="s">
        <v>45</v>
      </c>
      <c r="B155" s="422" t="s">
        <v>45</v>
      </c>
      <c r="C155" s="422" t="s">
        <v>1950</v>
      </c>
      <c r="D155" t="s">
        <v>6114</v>
      </c>
      <c r="E155" t="s">
        <v>42</v>
      </c>
      <c r="F155" t="s">
        <v>1745</v>
      </c>
      <c r="G155" t="s">
        <v>1836</v>
      </c>
      <c r="H155" s="425" t="s">
        <v>3166</v>
      </c>
      <c r="I155" s="425" t="s">
        <v>3167</v>
      </c>
      <c r="K155" s="422" t="s">
        <v>34</v>
      </c>
      <c r="L155" s="335">
        <v>20047.18</v>
      </c>
      <c r="M155" t="s">
        <v>1837</v>
      </c>
      <c r="P155" s="485">
        <f t="shared" si="10"/>
        <v>13364.786666666667</v>
      </c>
      <c r="Q155" s="425" t="s">
        <v>1838</v>
      </c>
      <c r="R155" s="295">
        <v>1.5</v>
      </c>
      <c r="S155">
        <v>2023</v>
      </c>
      <c r="T155" t="s">
        <v>3499</v>
      </c>
      <c r="U155" t="s">
        <v>3507</v>
      </c>
      <c r="V155" s="422" t="s">
        <v>42</v>
      </c>
    </row>
    <row r="156" spans="1:22" ht="15.75" thickBot="1" x14ac:dyDescent="0.3">
      <c r="A156" s="422" t="s">
        <v>45</v>
      </c>
      <c r="B156" s="422" t="s">
        <v>45</v>
      </c>
      <c r="C156" s="422" t="s">
        <v>1950</v>
      </c>
      <c r="D156" t="s">
        <v>6115</v>
      </c>
      <c r="E156" t="s">
        <v>42</v>
      </c>
      <c r="F156" t="s">
        <v>1745</v>
      </c>
      <c r="G156" t="s">
        <v>1836</v>
      </c>
      <c r="H156" s="425" t="s">
        <v>3166</v>
      </c>
      <c r="I156" s="425" t="s">
        <v>3167</v>
      </c>
      <c r="K156" s="422" t="s">
        <v>34</v>
      </c>
      <c r="L156" s="335">
        <v>2283.0099999999998</v>
      </c>
      <c r="M156" t="s">
        <v>1837</v>
      </c>
      <c r="P156" s="485">
        <f t="shared" si="10"/>
        <v>1522.0066666666664</v>
      </c>
      <c r="Q156" s="425" t="s">
        <v>1838</v>
      </c>
      <c r="R156" s="295">
        <v>1.5</v>
      </c>
      <c r="S156">
        <v>2023</v>
      </c>
      <c r="T156" t="s">
        <v>3499</v>
      </c>
      <c r="U156" t="s">
        <v>3507</v>
      </c>
      <c r="V156" s="422" t="s">
        <v>42</v>
      </c>
    </row>
    <row r="157" spans="1:22" ht="15.75" thickBot="1" x14ac:dyDescent="0.3">
      <c r="A157" s="422" t="s">
        <v>45</v>
      </c>
      <c r="B157" s="422" t="s">
        <v>45</v>
      </c>
      <c r="C157" s="422" t="s">
        <v>1950</v>
      </c>
      <c r="D157" t="s">
        <v>6116</v>
      </c>
      <c r="E157" t="s">
        <v>42</v>
      </c>
      <c r="F157" t="s">
        <v>1745</v>
      </c>
      <c r="G157" t="s">
        <v>1836</v>
      </c>
      <c r="H157" s="425" t="s">
        <v>3166</v>
      </c>
      <c r="I157" s="425" t="s">
        <v>3167</v>
      </c>
      <c r="K157" s="422" t="s">
        <v>34</v>
      </c>
      <c r="L157" s="335">
        <v>1603.77</v>
      </c>
      <c r="M157" t="s">
        <v>1837</v>
      </c>
      <c r="P157" s="485">
        <f t="shared" si="10"/>
        <v>1069.18</v>
      </c>
      <c r="Q157" s="425" t="s">
        <v>1838</v>
      </c>
      <c r="R157" s="295">
        <v>1.5</v>
      </c>
      <c r="S157">
        <v>2023</v>
      </c>
      <c r="T157" t="s">
        <v>3499</v>
      </c>
      <c r="U157" t="s">
        <v>3507</v>
      </c>
      <c r="V157" s="422" t="s">
        <v>42</v>
      </c>
    </row>
    <row r="158" spans="1:22" ht="15.75" thickBot="1" x14ac:dyDescent="0.3">
      <c r="A158" s="422" t="s">
        <v>45</v>
      </c>
      <c r="B158" s="422" t="s">
        <v>45</v>
      </c>
      <c r="C158" s="422" t="s">
        <v>1950</v>
      </c>
      <c r="D158" t="s">
        <v>6117</v>
      </c>
      <c r="E158" t="s">
        <v>42</v>
      </c>
      <c r="F158" t="s">
        <v>1745</v>
      </c>
      <c r="G158" t="s">
        <v>1836</v>
      </c>
      <c r="H158" s="425" t="s">
        <v>3166</v>
      </c>
      <c r="I158" s="425" t="s">
        <v>3167</v>
      </c>
      <c r="K158" s="422" t="s">
        <v>34</v>
      </c>
      <c r="L158" s="335">
        <v>399974.51999999996</v>
      </c>
      <c r="M158" t="s">
        <v>1837</v>
      </c>
      <c r="P158" s="485">
        <f t="shared" si="10"/>
        <v>266649.68</v>
      </c>
      <c r="Q158" s="425" t="s">
        <v>1838</v>
      </c>
      <c r="R158" s="295">
        <v>1.5</v>
      </c>
      <c r="S158">
        <v>2023</v>
      </c>
      <c r="T158" t="s">
        <v>3499</v>
      </c>
      <c r="U158" t="s">
        <v>3507</v>
      </c>
      <c r="V158" s="422" t="s">
        <v>42</v>
      </c>
    </row>
    <row r="159" spans="1:22" ht="15.75" thickBot="1" x14ac:dyDescent="0.3">
      <c r="A159" s="422" t="s">
        <v>45</v>
      </c>
      <c r="B159" s="422" t="s">
        <v>45</v>
      </c>
      <c r="C159" s="422" t="s">
        <v>1950</v>
      </c>
      <c r="D159" t="s">
        <v>6118</v>
      </c>
      <c r="E159" t="s">
        <v>42</v>
      </c>
      <c r="F159" t="s">
        <v>1745</v>
      </c>
      <c r="G159" t="s">
        <v>1836</v>
      </c>
      <c r="H159" s="425" t="s">
        <v>3166</v>
      </c>
      <c r="I159" s="425" t="s">
        <v>3167</v>
      </c>
      <c r="K159" s="422" t="s">
        <v>34</v>
      </c>
      <c r="L159" s="335">
        <v>330</v>
      </c>
      <c r="M159" t="s">
        <v>1837</v>
      </c>
      <c r="P159" s="485">
        <f t="shared" si="10"/>
        <v>220</v>
      </c>
      <c r="Q159" s="425" t="s">
        <v>1838</v>
      </c>
      <c r="R159" s="295">
        <v>1.5</v>
      </c>
      <c r="S159">
        <v>2023</v>
      </c>
      <c r="T159" t="s">
        <v>3499</v>
      </c>
      <c r="U159" t="s">
        <v>3507</v>
      </c>
      <c r="V159" s="422" t="s">
        <v>42</v>
      </c>
    </row>
    <row r="160" spans="1:22" ht="15.75" thickBot="1" x14ac:dyDescent="0.3">
      <c r="A160" s="422" t="s">
        <v>45</v>
      </c>
      <c r="B160" s="422" t="s">
        <v>45</v>
      </c>
      <c r="C160" s="422" t="s">
        <v>1950</v>
      </c>
      <c r="D160" t="s">
        <v>6119</v>
      </c>
      <c r="E160" t="s">
        <v>42</v>
      </c>
      <c r="F160" t="s">
        <v>1745</v>
      </c>
      <c r="G160" t="s">
        <v>1836</v>
      </c>
      <c r="H160" s="425" t="s">
        <v>3166</v>
      </c>
      <c r="I160" s="425" t="s">
        <v>3167</v>
      </c>
      <c r="K160" s="422" t="s">
        <v>34</v>
      </c>
      <c r="L160" s="335">
        <v>890.56</v>
      </c>
      <c r="M160" t="s">
        <v>1837</v>
      </c>
      <c r="P160" s="485">
        <f t="shared" si="10"/>
        <v>593.70666666666659</v>
      </c>
      <c r="Q160" s="425" t="s">
        <v>1838</v>
      </c>
      <c r="R160" s="295">
        <v>1.5</v>
      </c>
      <c r="S160">
        <v>2023</v>
      </c>
      <c r="T160" t="s">
        <v>3499</v>
      </c>
      <c r="U160" t="s">
        <v>3507</v>
      </c>
      <c r="V160" s="422" t="s">
        <v>42</v>
      </c>
    </row>
    <row r="161" spans="1:22" ht="15.75" thickBot="1" x14ac:dyDescent="0.3">
      <c r="A161" s="422" t="s">
        <v>45</v>
      </c>
      <c r="B161" s="422" t="s">
        <v>45</v>
      </c>
      <c r="C161" s="422" t="s">
        <v>1950</v>
      </c>
      <c r="D161" t="s">
        <v>6120</v>
      </c>
      <c r="E161" t="s">
        <v>42</v>
      </c>
      <c r="F161" t="s">
        <v>1745</v>
      </c>
      <c r="G161" t="s">
        <v>1836</v>
      </c>
      <c r="H161" s="425" t="s">
        <v>3166</v>
      </c>
      <c r="I161" s="425" t="s">
        <v>3167</v>
      </c>
      <c r="K161" s="422" t="s">
        <v>34</v>
      </c>
      <c r="L161" s="335">
        <v>311.32</v>
      </c>
      <c r="M161" t="s">
        <v>1837</v>
      </c>
      <c r="P161" s="485">
        <f t="shared" si="10"/>
        <v>207.54666666666665</v>
      </c>
      <c r="Q161" s="425" t="s">
        <v>1838</v>
      </c>
      <c r="R161" s="295">
        <v>1.5</v>
      </c>
      <c r="S161">
        <v>2023</v>
      </c>
      <c r="T161" t="s">
        <v>3499</v>
      </c>
      <c r="U161" t="s">
        <v>3507</v>
      </c>
      <c r="V161" s="422" t="s">
        <v>42</v>
      </c>
    </row>
    <row r="162" spans="1:22" ht="15.75" thickBot="1" x14ac:dyDescent="0.3">
      <c r="A162" s="422" t="s">
        <v>45</v>
      </c>
      <c r="B162" s="422" t="s">
        <v>45</v>
      </c>
      <c r="C162" s="422" t="s">
        <v>1950</v>
      </c>
      <c r="D162" t="s">
        <v>6121</v>
      </c>
      <c r="E162" t="s">
        <v>42</v>
      </c>
      <c r="F162" t="s">
        <v>1745</v>
      </c>
      <c r="G162" t="s">
        <v>1836</v>
      </c>
      <c r="H162" s="425" t="s">
        <v>3166</v>
      </c>
      <c r="I162" s="425" t="s">
        <v>3167</v>
      </c>
      <c r="K162" s="422" t="s">
        <v>34</v>
      </c>
      <c r="L162" s="335">
        <v>8554.6899999999987</v>
      </c>
      <c r="M162" t="s">
        <v>1837</v>
      </c>
      <c r="P162" s="485">
        <f t="shared" si="10"/>
        <v>5703.1266666666661</v>
      </c>
      <c r="Q162" s="425" t="s">
        <v>1838</v>
      </c>
      <c r="R162" s="295">
        <v>1.5</v>
      </c>
      <c r="S162">
        <v>2023</v>
      </c>
      <c r="T162" t="s">
        <v>3499</v>
      </c>
      <c r="U162" t="s">
        <v>3507</v>
      </c>
      <c r="V162" s="422" t="s">
        <v>42</v>
      </c>
    </row>
    <row r="163" spans="1:22" ht="15.75" thickBot="1" x14ac:dyDescent="0.3">
      <c r="A163" s="422" t="s">
        <v>45</v>
      </c>
      <c r="B163" s="422" t="s">
        <v>45</v>
      </c>
      <c r="C163" s="422" t="s">
        <v>1950</v>
      </c>
      <c r="D163" t="s">
        <v>6122</v>
      </c>
      <c r="E163" t="s">
        <v>42</v>
      </c>
      <c r="F163" t="s">
        <v>1745</v>
      </c>
      <c r="G163" t="s">
        <v>1836</v>
      </c>
      <c r="H163" s="425" t="s">
        <v>3166</v>
      </c>
      <c r="I163" s="425" t="s">
        <v>3167</v>
      </c>
      <c r="K163" s="422" t="s">
        <v>34</v>
      </c>
      <c r="L163" s="335">
        <v>301.89</v>
      </c>
      <c r="M163" t="s">
        <v>1837</v>
      </c>
      <c r="P163" s="485">
        <f t="shared" si="10"/>
        <v>201.26</v>
      </c>
      <c r="Q163" s="425" t="s">
        <v>1838</v>
      </c>
      <c r="R163" s="295">
        <v>1.5</v>
      </c>
      <c r="S163">
        <v>2023</v>
      </c>
      <c r="T163" t="s">
        <v>3499</v>
      </c>
      <c r="U163" t="s">
        <v>3507</v>
      </c>
      <c r="V163" s="422" t="s">
        <v>42</v>
      </c>
    </row>
    <row r="164" spans="1:22" ht="15.75" thickBot="1" x14ac:dyDescent="0.3">
      <c r="A164" s="422" t="s">
        <v>45</v>
      </c>
      <c r="B164" s="422" t="s">
        <v>45</v>
      </c>
      <c r="C164" s="422" t="s">
        <v>1950</v>
      </c>
      <c r="D164" t="s">
        <v>6123</v>
      </c>
      <c r="E164" t="s">
        <v>42</v>
      </c>
      <c r="F164" t="s">
        <v>1745</v>
      </c>
      <c r="G164" t="s">
        <v>1836</v>
      </c>
      <c r="H164" s="425" t="s">
        <v>3166</v>
      </c>
      <c r="I164" s="425" t="s">
        <v>3167</v>
      </c>
      <c r="K164" s="422" t="s">
        <v>34</v>
      </c>
      <c r="L164" s="335">
        <v>14650.950000000003</v>
      </c>
      <c r="M164" t="s">
        <v>1837</v>
      </c>
      <c r="P164" s="485">
        <f t="shared" si="10"/>
        <v>9767.3000000000011</v>
      </c>
      <c r="Q164" s="425" t="s">
        <v>1838</v>
      </c>
      <c r="R164" s="295">
        <v>1.5</v>
      </c>
      <c r="S164">
        <v>2023</v>
      </c>
      <c r="T164" t="s">
        <v>3499</v>
      </c>
      <c r="U164" t="s">
        <v>3507</v>
      </c>
      <c r="V164" s="422" t="s">
        <v>42</v>
      </c>
    </row>
    <row r="165" spans="1:22" ht="15.75" thickBot="1" x14ac:dyDescent="0.3">
      <c r="A165" s="422" t="s">
        <v>45</v>
      </c>
      <c r="B165" s="422" t="s">
        <v>45</v>
      </c>
      <c r="C165" s="422" t="s">
        <v>1950</v>
      </c>
      <c r="D165" t="s">
        <v>6124</v>
      </c>
      <c r="E165" t="s">
        <v>42</v>
      </c>
      <c r="F165" t="s">
        <v>1745</v>
      </c>
      <c r="G165" t="s">
        <v>1836</v>
      </c>
      <c r="H165" s="425" t="s">
        <v>3166</v>
      </c>
      <c r="I165" s="425" t="s">
        <v>3167</v>
      </c>
      <c r="K165" s="422" t="s">
        <v>34</v>
      </c>
      <c r="L165" s="335">
        <v>14309.67</v>
      </c>
      <c r="M165" t="s">
        <v>1837</v>
      </c>
      <c r="P165" s="485">
        <f t="shared" si="10"/>
        <v>9539.7800000000007</v>
      </c>
      <c r="Q165" s="425" t="s">
        <v>1838</v>
      </c>
      <c r="R165" s="295">
        <v>1.5</v>
      </c>
      <c r="S165">
        <v>2023</v>
      </c>
      <c r="T165" t="s">
        <v>3499</v>
      </c>
      <c r="U165" t="s">
        <v>3507</v>
      </c>
      <c r="V165" s="422" t="s">
        <v>42</v>
      </c>
    </row>
    <row r="166" spans="1:22" ht="15.75" thickBot="1" x14ac:dyDescent="0.3">
      <c r="A166" s="422" t="s">
        <v>45</v>
      </c>
      <c r="B166" s="422" t="s">
        <v>45</v>
      </c>
      <c r="C166" s="422" t="s">
        <v>1950</v>
      </c>
      <c r="D166" t="s">
        <v>6125</v>
      </c>
      <c r="E166" t="s">
        <v>42</v>
      </c>
      <c r="F166" t="s">
        <v>1745</v>
      </c>
      <c r="G166" t="s">
        <v>1836</v>
      </c>
      <c r="H166" s="425" t="s">
        <v>3166</v>
      </c>
      <c r="I166" s="425" t="s">
        <v>3167</v>
      </c>
      <c r="K166" s="422" t="s">
        <v>34</v>
      </c>
      <c r="L166" s="335">
        <v>2107.7399999999998</v>
      </c>
      <c r="M166" t="s">
        <v>1837</v>
      </c>
      <c r="P166" s="485">
        <f t="shared" si="10"/>
        <v>1405.1599999999999</v>
      </c>
      <c r="Q166" s="425" t="s">
        <v>1838</v>
      </c>
      <c r="R166" s="295">
        <v>1.5</v>
      </c>
      <c r="S166">
        <v>2023</v>
      </c>
      <c r="T166" t="s">
        <v>3499</v>
      </c>
      <c r="U166" t="s">
        <v>3507</v>
      </c>
      <c r="V166" s="422" t="s">
        <v>42</v>
      </c>
    </row>
    <row r="167" spans="1:22" ht="15.75" thickBot="1" x14ac:dyDescent="0.3">
      <c r="A167" s="422" t="s">
        <v>45</v>
      </c>
      <c r="B167" s="422" t="s">
        <v>45</v>
      </c>
      <c r="C167" s="422" t="s">
        <v>1950</v>
      </c>
      <c r="D167" t="s">
        <v>6126</v>
      </c>
      <c r="E167" t="s">
        <v>42</v>
      </c>
      <c r="F167" t="s">
        <v>1745</v>
      </c>
      <c r="G167" t="s">
        <v>1836</v>
      </c>
      <c r="H167" s="425" t="s">
        <v>3166</v>
      </c>
      <c r="I167" s="425" t="s">
        <v>3167</v>
      </c>
      <c r="K167" s="422" t="s">
        <v>34</v>
      </c>
      <c r="L167" s="335">
        <v>2518.8500000000004</v>
      </c>
      <c r="M167" t="s">
        <v>1837</v>
      </c>
      <c r="P167" s="485">
        <f t="shared" si="10"/>
        <v>1679.2333333333336</v>
      </c>
      <c r="Q167" s="425" t="s">
        <v>1838</v>
      </c>
      <c r="R167" s="295">
        <v>1.5</v>
      </c>
      <c r="S167">
        <v>2023</v>
      </c>
      <c r="T167" t="s">
        <v>3499</v>
      </c>
      <c r="U167" t="s">
        <v>3507</v>
      </c>
      <c r="V167" s="422" t="s">
        <v>42</v>
      </c>
    </row>
    <row r="168" spans="1:22" ht="15.75" thickBot="1" x14ac:dyDescent="0.3">
      <c r="A168" s="422" t="s">
        <v>45</v>
      </c>
      <c r="B168" s="422" t="s">
        <v>45</v>
      </c>
      <c r="C168" s="422" t="s">
        <v>1950</v>
      </c>
      <c r="D168" t="s">
        <v>6127</v>
      </c>
      <c r="E168" t="s">
        <v>42</v>
      </c>
      <c r="F168" t="s">
        <v>1745</v>
      </c>
      <c r="G168" t="s">
        <v>1836</v>
      </c>
      <c r="H168" s="425" t="s">
        <v>3166</v>
      </c>
      <c r="I168" s="425" t="s">
        <v>3167</v>
      </c>
      <c r="K168" s="422" t="s">
        <v>34</v>
      </c>
      <c r="L168" s="335">
        <v>365535.43999999989</v>
      </c>
      <c r="M168" t="s">
        <v>1837</v>
      </c>
      <c r="P168" s="485">
        <f t="shared" si="10"/>
        <v>243690.29333333325</v>
      </c>
      <c r="Q168" s="425" t="s">
        <v>1838</v>
      </c>
      <c r="R168" s="295">
        <v>1.5</v>
      </c>
      <c r="S168">
        <v>2023</v>
      </c>
      <c r="T168" t="s">
        <v>3499</v>
      </c>
      <c r="U168" t="s">
        <v>3507</v>
      </c>
      <c r="V168" s="422" t="s">
        <v>42</v>
      </c>
    </row>
    <row r="169" spans="1:22" ht="15.75" thickBot="1" x14ac:dyDescent="0.3">
      <c r="A169" s="422" t="s">
        <v>45</v>
      </c>
      <c r="B169" s="422" t="s">
        <v>45</v>
      </c>
      <c r="C169" s="422" t="s">
        <v>1950</v>
      </c>
      <c r="D169" t="s">
        <v>6128</v>
      </c>
      <c r="E169" t="s">
        <v>42</v>
      </c>
      <c r="F169" t="s">
        <v>1745</v>
      </c>
      <c r="G169" t="s">
        <v>1836</v>
      </c>
      <c r="H169" s="425" t="s">
        <v>3166</v>
      </c>
      <c r="I169" s="425" t="s">
        <v>3167</v>
      </c>
      <c r="K169" s="422" t="s">
        <v>34</v>
      </c>
      <c r="L169" s="335">
        <v>1814.15</v>
      </c>
      <c r="M169" t="s">
        <v>1837</v>
      </c>
      <c r="P169" s="485">
        <f t="shared" si="10"/>
        <v>1209.4333333333334</v>
      </c>
      <c r="Q169" s="425" t="s">
        <v>1838</v>
      </c>
      <c r="R169" s="295">
        <v>1.5</v>
      </c>
      <c r="S169">
        <v>2023</v>
      </c>
      <c r="T169" t="s">
        <v>3499</v>
      </c>
      <c r="U169" t="s">
        <v>3507</v>
      </c>
      <c r="V169" s="422" t="s">
        <v>42</v>
      </c>
    </row>
    <row r="170" spans="1:22" ht="15.75" thickBot="1" x14ac:dyDescent="0.3">
      <c r="A170" s="422" t="s">
        <v>45</v>
      </c>
      <c r="B170" s="422" t="s">
        <v>45</v>
      </c>
      <c r="C170" s="422" t="s">
        <v>1950</v>
      </c>
      <c r="D170" t="s">
        <v>6129</v>
      </c>
      <c r="E170" t="s">
        <v>42</v>
      </c>
      <c r="F170" t="s">
        <v>1745</v>
      </c>
      <c r="G170" t="s">
        <v>1836</v>
      </c>
      <c r="H170" s="425" t="s">
        <v>3166</v>
      </c>
      <c r="I170" s="425" t="s">
        <v>3167</v>
      </c>
      <c r="K170" s="422" t="s">
        <v>34</v>
      </c>
      <c r="L170" s="335">
        <v>6103.6</v>
      </c>
      <c r="M170" t="s">
        <v>1837</v>
      </c>
      <c r="P170" s="485">
        <f t="shared" si="10"/>
        <v>4069.0666666666671</v>
      </c>
      <c r="Q170" s="425" t="s">
        <v>1838</v>
      </c>
      <c r="R170" s="295">
        <v>1.5</v>
      </c>
      <c r="S170">
        <v>2023</v>
      </c>
      <c r="T170" t="s">
        <v>3499</v>
      </c>
      <c r="U170" t="s">
        <v>3507</v>
      </c>
      <c r="V170" s="422" t="s">
        <v>42</v>
      </c>
    </row>
    <row r="171" spans="1:22" ht="15.75" thickBot="1" x14ac:dyDescent="0.3">
      <c r="A171" s="422" t="s">
        <v>45</v>
      </c>
      <c r="B171" s="422" t="s">
        <v>45</v>
      </c>
      <c r="C171" s="422" t="s">
        <v>1950</v>
      </c>
      <c r="D171" t="s">
        <v>6130</v>
      </c>
      <c r="E171" t="s">
        <v>42</v>
      </c>
      <c r="F171" t="s">
        <v>1745</v>
      </c>
      <c r="G171" t="s">
        <v>1836</v>
      </c>
      <c r="H171" s="425" t="s">
        <v>3166</v>
      </c>
      <c r="I171" s="425" t="s">
        <v>3167</v>
      </c>
      <c r="K171" s="422" t="s">
        <v>34</v>
      </c>
      <c r="L171" s="335">
        <v>31554.42</v>
      </c>
      <c r="M171" t="s">
        <v>1837</v>
      </c>
      <c r="P171" s="485">
        <f t="shared" si="10"/>
        <v>21036.28</v>
      </c>
      <c r="Q171" s="425" t="s">
        <v>1838</v>
      </c>
      <c r="R171" s="295">
        <v>1.5</v>
      </c>
      <c r="S171">
        <v>2023</v>
      </c>
      <c r="T171" t="s">
        <v>3499</v>
      </c>
      <c r="U171" t="s">
        <v>3507</v>
      </c>
      <c r="V171" s="422" t="s">
        <v>42</v>
      </c>
    </row>
    <row r="172" spans="1:22" ht="15.75" thickBot="1" x14ac:dyDescent="0.3">
      <c r="A172" s="422" t="s">
        <v>45</v>
      </c>
      <c r="B172" s="422" t="s">
        <v>45</v>
      </c>
      <c r="C172" s="422" t="s">
        <v>1950</v>
      </c>
      <c r="D172" t="s">
        <v>6131</v>
      </c>
      <c r="E172" t="s">
        <v>42</v>
      </c>
      <c r="F172" t="s">
        <v>1745</v>
      </c>
      <c r="G172" t="s">
        <v>1836</v>
      </c>
      <c r="H172" s="425" t="s">
        <v>3166</v>
      </c>
      <c r="I172" s="425" t="s">
        <v>3167</v>
      </c>
      <c r="K172" s="422" t="s">
        <v>34</v>
      </c>
      <c r="L172" s="335">
        <v>41225.289999999994</v>
      </c>
      <c r="M172" t="s">
        <v>1837</v>
      </c>
      <c r="P172" s="485">
        <f t="shared" si="10"/>
        <v>27483.526666666661</v>
      </c>
      <c r="Q172" s="425" t="s">
        <v>1838</v>
      </c>
      <c r="R172" s="295">
        <v>1.5</v>
      </c>
      <c r="S172">
        <v>2023</v>
      </c>
      <c r="T172" t="s">
        <v>3499</v>
      </c>
      <c r="U172" t="s">
        <v>3507</v>
      </c>
      <c r="V172" s="422" t="s">
        <v>42</v>
      </c>
    </row>
    <row r="173" spans="1:22" ht="15.75" thickBot="1" x14ac:dyDescent="0.3">
      <c r="A173" s="422" t="s">
        <v>45</v>
      </c>
      <c r="B173" s="422" t="s">
        <v>45</v>
      </c>
      <c r="C173" s="422" t="s">
        <v>1950</v>
      </c>
      <c r="D173" t="s">
        <v>6132</v>
      </c>
      <c r="E173" t="s">
        <v>42</v>
      </c>
      <c r="F173" t="s">
        <v>1745</v>
      </c>
      <c r="G173" t="s">
        <v>1836</v>
      </c>
      <c r="H173" s="425" t="s">
        <v>3166</v>
      </c>
      <c r="I173" s="425" t="s">
        <v>3167</v>
      </c>
      <c r="K173" s="422" t="s">
        <v>34</v>
      </c>
      <c r="L173" s="335">
        <v>20496</v>
      </c>
      <c r="M173" t="s">
        <v>1837</v>
      </c>
      <c r="P173" s="485">
        <f t="shared" ref="P173:P204" si="11">L173/R173</f>
        <v>13664</v>
      </c>
      <c r="Q173" s="425" t="s">
        <v>1838</v>
      </c>
      <c r="R173" s="295">
        <v>1.5</v>
      </c>
      <c r="S173">
        <v>2023</v>
      </c>
      <c r="T173" t="s">
        <v>3499</v>
      </c>
      <c r="U173" t="s">
        <v>3507</v>
      </c>
      <c r="V173" s="422" t="s">
        <v>42</v>
      </c>
    </row>
    <row r="174" spans="1:22" ht="15.75" thickBot="1" x14ac:dyDescent="0.3">
      <c r="A174" s="422" t="s">
        <v>45</v>
      </c>
      <c r="B174" s="422" t="s">
        <v>45</v>
      </c>
      <c r="C174" s="422" t="s">
        <v>1950</v>
      </c>
      <c r="D174" t="s">
        <v>6133</v>
      </c>
      <c r="E174" t="s">
        <v>42</v>
      </c>
      <c r="F174" t="s">
        <v>1745</v>
      </c>
      <c r="G174" t="s">
        <v>1836</v>
      </c>
      <c r="H174" s="425" t="s">
        <v>3166</v>
      </c>
      <c r="I174" s="425" t="s">
        <v>3167</v>
      </c>
      <c r="K174" s="422" t="s">
        <v>34</v>
      </c>
      <c r="L174" s="335">
        <v>3461.3199999999997</v>
      </c>
      <c r="M174" t="s">
        <v>1837</v>
      </c>
      <c r="P174" s="485">
        <f t="shared" si="11"/>
        <v>2307.5466666666666</v>
      </c>
      <c r="Q174" s="425" t="s">
        <v>1838</v>
      </c>
      <c r="R174" s="295">
        <v>1.5</v>
      </c>
      <c r="S174">
        <v>2023</v>
      </c>
      <c r="T174" t="s">
        <v>3499</v>
      </c>
      <c r="U174" t="s">
        <v>3507</v>
      </c>
      <c r="V174" s="422" t="s">
        <v>42</v>
      </c>
    </row>
    <row r="175" spans="1:22" ht="15.75" thickBot="1" x14ac:dyDescent="0.3">
      <c r="A175" s="422" t="s">
        <v>45</v>
      </c>
      <c r="B175" s="422" t="s">
        <v>45</v>
      </c>
      <c r="C175" s="422" t="s">
        <v>1950</v>
      </c>
      <c r="D175" t="s">
        <v>6134</v>
      </c>
      <c r="E175" t="s">
        <v>42</v>
      </c>
      <c r="F175" t="s">
        <v>1745</v>
      </c>
      <c r="G175" t="s">
        <v>1836</v>
      </c>
      <c r="H175" s="425" t="s">
        <v>3166</v>
      </c>
      <c r="I175" s="425" t="s">
        <v>3167</v>
      </c>
      <c r="K175" s="422" t="s">
        <v>34</v>
      </c>
      <c r="L175" s="335">
        <v>21774.66</v>
      </c>
      <c r="M175" t="s">
        <v>1837</v>
      </c>
      <c r="P175" s="485">
        <f t="shared" si="11"/>
        <v>14516.44</v>
      </c>
      <c r="Q175" s="425" t="s">
        <v>1838</v>
      </c>
      <c r="R175" s="295">
        <v>1.5</v>
      </c>
      <c r="S175">
        <v>2023</v>
      </c>
      <c r="T175" t="s">
        <v>3499</v>
      </c>
      <c r="U175" t="s">
        <v>3507</v>
      </c>
      <c r="V175" s="422" t="s">
        <v>42</v>
      </c>
    </row>
    <row r="176" spans="1:22" ht="15.75" thickBot="1" x14ac:dyDescent="0.3">
      <c r="A176" s="422" t="s">
        <v>45</v>
      </c>
      <c r="B176" s="422" t="s">
        <v>45</v>
      </c>
      <c r="C176" s="422" t="s">
        <v>1950</v>
      </c>
      <c r="D176" t="s">
        <v>6135</v>
      </c>
      <c r="E176" t="s">
        <v>42</v>
      </c>
      <c r="F176" t="s">
        <v>1745</v>
      </c>
      <c r="G176" t="s">
        <v>1836</v>
      </c>
      <c r="H176" s="425" t="s">
        <v>3166</v>
      </c>
      <c r="I176" s="425" t="s">
        <v>3167</v>
      </c>
      <c r="K176" s="422" t="s">
        <v>34</v>
      </c>
      <c r="L176" s="335">
        <v>13665.1</v>
      </c>
      <c r="M176" t="s">
        <v>1837</v>
      </c>
      <c r="P176" s="485">
        <f t="shared" si="11"/>
        <v>9110.0666666666675</v>
      </c>
      <c r="Q176" s="425" t="s">
        <v>1838</v>
      </c>
      <c r="R176" s="295">
        <v>1.5</v>
      </c>
      <c r="S176">
        <v>2023</v>
      </c>
      <c r="T176" t="s">
        <v>3499</v>
      </c>
      <c r="U176" t="s">
        <v>3507</v>
      </c>
      <c r="V176" s="422" t="s">
        <v>42</v>
      </c>
    </row>
    <row r="177" spans="1:22" ht="15.75" thickBot="1" x14ac:dyDescent="0.3">
      <c r="A177" s="422" t="s">
        <v>45</v>
      </c>
      <c r="B177" s="422" t="s">
        <v>45</v>
      </c>
      <c r="C177" s="422" t="s">
        <v>1950</v>
      </c>
      <c r="D177" t="s">
        <v>6136</v>
      </c>
      <c r="E177" t="s">
        <v>42</v>
      </c>
      <c r="F177" t="s">
        <v>1745</v>
      </c>
      <c r="G177" t="s">
        <v>1836</v>
      </c>
      <c r="H177" s="425" t="s">
        <v>3166</v>
      </c>
      <c r="I177" s="425" t="s">
        <v>3167</v>
      </c>
      <c r="K177" s="422" t="s">
        <v>34</v>
      </c>
      <c r="L177" s="335">
        <v>440</v>
      </c>
      <c r="M177" t="s">
        <v>1837</v>
      </c>
      <c r="P177" s="485">
        <f t="shared" si="11"/>
        <v>293.33333333333331</v>
      </c>
      <c r="Q177" s="425" t="s">
        <v>1838</v>
      </c>
      <c r="R177" s="295">
        <v>1.5</v>
      </c>
      <c r="S177">
        <v>2023</v>
      </c>
      <c r="T177" t="s">
        <v>3499</v>
      </c>
      <c r="U177" t="s">
        <v>3507</v>
      </c>
      <c r="V177" s="422" t="s">
        <v>42</v>
      </c>
    </row>
    <row r="178" spans="1:22" ht="15.75" thickBot="1" x14ac:dyDescent="0.3">
      <c r="A178" s="422" t="s">
        <v>45</v>
      </c>
      <c r="B178" s="422" t="s">
        <v>45</v>
      </c>
      <c r="C178" s="422" t="s">
        <v>1950</v>
      </c>
      <c r="D178" t="s">
        <v>6137</v>
      </c>
      <c r="E178" t="s">
        <v>42</v>
      </c>
      <c r="F178" t="s">
        <v>1745</v>
      </c>
      <c r="G178" t="s">
        <v>1836</v>
      </c>
      <c r="H178" s="425" t="s">
        <v>3166</v>
      </c>
      <c r="I178" s="425" t="s">
        <v>3167</v>
      </c>
      <c r="K178" s="422" t="s">
        <v>34</v>
      </c>
      <c r="L178" s="335">
        <v>61958.48</v>
      </c>
      <c r="M178" t="s">
        <v>1837</v>
      </c>
      <c r="P178" s="485">
        <f t="shared" si="11"/>
        <v>41305.653333333335</v>
      </c>
      <c r="Q178" s="425" t="s">
        <v>1838</v>
      </c>
      <c r="R178" s="295">
        <v>1.5</v>
      </c>
      <c r="S178">
        <v>2023</v>
      </c>
      <c r="T178" t="s">
        <v>3499</v>
      </c>
      <c r="U178" t="s">
        <v>3507</v>
      </c>
      <c r="V178" s="422" t="s">
        <v>42</v>
      </c>
    </row>
    <row r="179" spans="1:22" ht="15.75" thickBot="1" x14ac:dyDescent="0.3">
      <c r="A179" s="422" t="s">
        <v>45</v>
      </c>
      <c r="B179" s="422" t="s">
        <v>45</v>
      </c>
      <c r="C179" s="422" t="s">
        <v>1950</v>
      </c>
      <c r="D179" t="s">
        <v>6138</v>
      </c>
      <c r="E179" t="s">
        <v>42</v>
      </c>
      <c r="F179" t="s">
        <v>1745</v>
      </c>
      <c r="G179" t="s">
        <v>1836</v>
      </c>
      <c r="H179" s="425" t="s">
        <v>3166</v>
      </c>
      <c r="I179" s="425" t="s">
        <v>3167</v>
      </c>
      <c r="K179" s="422" t="s">
        <v>34</v>
      </c>
      <c r="L179" s="335">
        <v>440</v>
      </c>
      <c r="M179" t="s">
        <v>1837</v>
      </c>
      <c r="P179" s="485">
        <f t="shared" si="11"/>
        <v>293.33333333333331</v>
      </c>
      <c r="Q179" s="425" t="s">
        <v>1838</v>
      </c>
      <c r="R179" s="295">
        <v>1.5</v>
      </c>
      <c r="S179">
        <v>2023</v>
      </c>
      <c r="T179" t="s">
        <v>3499</v>
      </c>
      <c r="U179" t="s">
        <v>3507</v>
      </c>
      <c r="V179" s="422" t="s">
        <v>42</v>
      </c>
    </row>
    <row r="180" spans="1:22" ht="15.75" thickBot="1" x14ac:dyDescent="0.3">
      <c r="A180" s="422" t="s">
        <v>45</v>
      </c>
      <c r="B180" s="422" t="s">
        <v>45</v>
      </c>
      <c r="C180" s="422" t="s">
        <v>1950</v>
      </c>
      <c r="D180" t="s">
        <v>6139</v>
      </c>
      <c r="E180" t="s">
        <v>42</v>
      </c>
      <c r="F180" t="s">
        <v>1745</v>
      </c>
      <c r="G180" t="s">
        <v>1836</v>
      </c>
      <c r="H180" s="425" t="s">
        <v>3166</v>
      </c>
      <c r="I180" s="425" t="s">
        <v>3167</v>
      </c>
      <c r="K180" s="422" t="s">
        <v>34</v>
      </c>
      <c r="L180" s="335">
        <v>60872.220000000008</v>
      </c>
      <c r="M180" t="s">
        <v>1837</v>
      </c>
      <c r="P180" s="485">
        <f t="shared" si="11"/>
        <v>40581.480000000003</v>
      </c>
      <c r="Q180" s="425" t="s">
        <v>1838</v>
      </c>
      <c r="R180" s="295">
        <v>1.5</v>
      </c>
      <c r="S180">
        <v>2023</v>
      </c>
      <c r="T180" t="s">
        <v>3499</v>
      </c>
      <c r="U180" t="s">
        <v>3507</v>
      </c>
      <c r="V180" s="422" t="s">
        <v>42</v>
      </c>
    </row>
    <row r="181" spans="1:22" ht="15.75" thickBot="1" x14ac:dyDescent="0.3">
      <c r="A181" s="422" t="s">
        <v>45</v>
      </c>
      <c r="B181" s="422" t="s">
        <v>45</v>
      </c>
      <c r="C181" s="422" t="s">
        <v>1950</v>
      </c>
      <c r="D181" t="s">
        <v>6140</v>
      </c>
      <c r="E181" t="s">
        <v>42</v>
      </c>
      <c r="F181" t="s">
        <v>1745</v>
      </c>
      <c r="G181" t="s">
        <v>1836</v>
      </c>
      <c r="H181" s="425" t="s">
        <v>3166</v>
      </c>
      <c r="I181" s="425" t="s">
        <v>3167</v>
      </c>
      <c r="K181" s="422" t="s">
        <v>34</v>
      </c>
      <c r="L181" s="335">
        <v>11822.66</v>
      </c>
      <c r="M181" t="s">
        <v>1837</v>
      </c>
      <c r="P181" s="485">
        <f t="shared" si="11"/>
        <v>7881.7733333333335</v>
      </c>
      <c r="Q181" s="425" t="s">
        <v>1838</v>
      </c>
      <c r="R181" s="295">
        <v>1.5</v>
      </c>
      <c r="S181">
        <v>2023</v>
      </c>
      <c r="T181" t="s">
        <v>3499</v>
      </c>
      <c r="U181" t="s">
        <v>3507</v>
      </c>
      <c r="V181" s="422" t="s">
        <v>42</v>
      </c>
    </row>
    <row r="182" spans="1:22" ht="15.75" thickBot="1" x14ac:dyDescent="0.3">
      <c r="A182" s="422" t="s">
        <v>45</v>
      </c>
      <c r="B182" s="422" t="s">
        <v>45</v>
      </c>
      <c r="C182" s="422" t="s">
        <v>1950</v>
      </c>
      <c r="D182" t="s">
        <v>6141</v>
      </c>
      <c r="E182" t="s">
        <v>42</v>
      </c>
      <c r="F182" t="s">
        <v>1745</v>
      </c>
      <c r="G182" t="s">
        <v>1836</v>
      </c>
      <c r="H182" s="425" t="s">
        <v>3166</v>
      </c>
      <c r="I182" s="425" t="s">
        <v>3167</v>
      </c>
      <c r="K182" s="422" t="s">
        <v>34</v>
      </c>
      <c r="L182" s="335">
        <v>424.53</v>
      </c>
      <c r="M182" t="s">
        <v>1837</v>
      </c>
      <c r="P182" s="485">
        <f t="shared" si="11"/>
        <v>283.02</v>
      </c>
      <c r="Q182" s="425" t="s">
        <v>1838</v>
      </c>
      <c r="R182" s="295">
        <v>1.5</v>
      </c>
      <c r="S182">
        <v>2023</v>
      </c>
      <c r="T182" t="s">
        <v>3499</v>
      </c>
      <c r="U182" t="s">
        <v>3507</v>
      </c>
      <c r="V182" s="422" t="s">
        <v>42</v>
      </c>
    </row>
    <row r="183" spans="1:22" ht="15.75" thickBot="1" x14ac:dyDescent="0.3">
      <c r="A183" s="422" t="s">
        <v>45</v>
      </c>
      <c r="B183" s="422" t="s">
        <v>45</v>
      </c>
      <c r="C183" s="422" t="s">
        <v>1950</v>
      </c>
      <c r="D183" t="s">
        <v>6142</v>
      </c>
      <c r="E183" t="s">
        <v>42</v>
      </c>
      <c r="F183" t="s">
        <v>1745</v>
      </c>
      <c r="G183" t="s">
        <v>1836</v>
      </c>
      <c r="H183" s="425" t="s">
        <v>3166</v>
      </c>
      <c r="I183" s="425" t="s">
        <v>3167</v>
      </c>
      <c r="K183" s="422" t="s">
        <v>34</v>
      </c>
      <c r="L183" s="335">
        <v>105004</v>
      </c>
      <c r="M183" t="s">
        <v>1837</v>
      </c>
      <c r="P183" s="485">
        <f t="shared" si="11"/>
        <v>70002.666666666672</v>
      </c>
      <c r="Q183" s="425" t="s">
        <v>1838</v>
      </c>
      <c r="R183" s="295">
        <v>1.5</v>
      </c>
      <c r="S183">
        <v>2023</v>
      </c>
      <c r="T183" t="s">
        <v>3499</v>
      </c>
      <c r="U183" t="s">
        <v>3507</v>
      </c>
      <c r="V183" s="422" t="s">
        <v>42</v>
      </c>
    </row>
    <row r="184" spans="1:22" ht="15.75" thickBot="1" x14ac:dyDescent="0.3">
      <c r="A184" s="422" t="s">
        <v>45</v>
      </c>
      <c r="B184" s="422" t="s">
        <v>45</v>
      </c>
      <c r="C184" s="422" t="s">
        <v>1950</v>
      </c>
      <c r="D184" t="s">
        <v>6143</v>
      </c>
      <c r="E184" t="s">
        <v>42</v>
      </c>
      <c r="F184" t="s">
        <v>1745</v>
      </c>
      <c r="G184" t="s">
        <v>1836</v>
      </c>
      <c r="H184" s="425" t="s">
        <v>3166</v>
      </c>
      <c r="I184" s="425" t="s">
        <v>3167</v>
      </c>
      <c r="K184" s="422" t="s">
        <v>34</v>
      </c>
      <c r="L184" s="335">
        <v>1537.73</v>
      </c>
      <c r="M184" t="s">
        <v>1837</v>
      </c>
      <c r="P184" s="485">
        <f t="shared" si="11"/>
        <v>1025.1533333333334</v>
      </c>
      <c r="Q184" s="425" t="s">
        <v>1838</v>
      </c>
      <c r="R184" s="295">
        <v>1.5</v>
      </c>
      <c r="S184">
        <v>2023</v>
      </c>
      <c r="T184" t="s">
        <v>3499</v>
      </c>
      <c r="U184" t="s">
        <v>3507</v>
      </c>
      <c r="V184" s="422" t="s">
        <v>42</v>
      </c>
    </row>
    <row r="185" spans="1:22" ht="15.75" thickBot="1" x14ac:dyDescent="0.3">
      <c r="A185" s="422" t="s">
        <v>45</v>
      </c>
      <c r="B185" s="422" t="s">
        <v>45</v>
      </c>
      <c r="C185" s="422" t="s">
        <v>1950</v>
      </c>
      <c r="D185" t="s">
        <v>6144</v>
      </c>
      <c r="E185" t="s">
        <v>42</v>
      </c>
      <c r="F185" t="s">
        <v>1745</v>
      </c>
      <c r="G185" t="s">
        <v>1836</v>
      </c>
      <c r="H185" s="425" t="s">
        <v>3166</v>
      </c>
      <c r="I185" s="425" t="s">
        <v>3167</v>
      </c>
      <c r="K185" s="422" t="s">
        <v>34</v>
      </c>
      <c r="L185" s="335">
        <v>13851.400000000001</v>
      </c>
      <c r="M185" t="s">
        <v>1837</v>
      </c>
      <c r="P185" s="485">
        <f t="shared" si="11"/>
        <v>9234.2666666666682</v>
      </c>
      <c r="Q185" s="425" t="s">
        <v>1838</v>
      </c>
      <c r="R185" s="295">
        <v>1.5</v>
      </c>
      <c r="S185">
        <v>2023</v>
      </c>
      <c r="T185" t="s">
        <v>3499</v>
      </c>
      <c r="U185" t="s">
        <v>3507</v>
      </c>
      <c r="V185" s="422" t="s">
        <v>42</v>
      </c>
    </row>
    <row r="186" spans="1:22" ht="15.75" thickBot="1" x14ac:dyDescent="0.3">
      <c r="A186" s="422" t="s">
        <v>45</v>
      </c>
      <c r="B186" s="422" t="s">
        <v>45</v>
      </c>
      <c r="C186" s="422" t="s">
        <v>1950</v>
      </c>
      <c r="D186" t="s">
        <v>6145</v>
      </c>
      <c r="E186" t="s">
        <v>42</v>
      </c>
      <c r="F186" t="s">
        <v>1745</v>
      </c>
      <c r="G186" t="s">
        <v>1836</v>
      </c>
      <c r="H186" s="425" t="s">
        <v>3166</v>
      </c>
      <c r="I186" s="425" t="s">
        <v>3167</v>
      </c>
      <c r="K186" s="422" t="s">
        <v>34</v>
      </c>
      <c r="L186" s="335">
        <v>605</v>
      </c>
      <c r="M186" t="s">
        <v>1837</v>
      </c>
      <c r="P186" s="485">
        <f t="shared" si="11"/>
        <v>403.33333333333331</v>
      </c>
      <c r="Q186" s="425" t="s">
        <v>1838</v>
      </c>
      <c r="R186" s="295">
        <v>1.5</v>
      </c>
      <c r="S186">
        <v>2023</v>
      </c>
      <c r="T186" t="s">
        <v>3499</v>
      </c>
      <c r="U186" t="s">
        <v>3507</v>
      </c>
      <c r="V186" s="422" t="s">
        <v>42</v>
      </c>
    </row>
    <row r="187" spans="1:22" ht="15.75" thickBot="1" x14ac:dyDescent="0.3">
      <c r="A187" s="422" t="s">
        <v>45</v>
      </c>
      <c r="B187" s="422" t="s">
        <v>45</v>
      </c>
      <c r="C187" s="422" t="s">
        <v>1950</v>
      </c>
      <c r="D187" t="s">
        <v>6146</v>
      </c>
      <c r="E187" t="s">
        <v>42</v>
      </c>
      <c r="F187" t="s">
        <v>1745</v>
      </c>
      <c r="G187" t="s">
        <v>1836</v>
      </c>
      <c r="H187" s="425" t="s">
        <v>3166</v>
      </c>
      <c r="I187" s="425" t="s">
        <v>3167</v>
      </c>
      <c r="K187" s="422" t="s">
        <v>34</v>
      </c>
      <c r="L187" s="335">
        <v>75.47</v>
      </c>
      <c r="M187" t="s">
        <v>1837</v>
      </c>
      <c r="P187" s="485">
        <f t="shared" si="11"/>
        <v>50.313333333333333</v>
      </c>
      <c r="Q187" s="425" t="s">
        <v>1838</v>
      </c>
      <c r="R187" s="295">
        <v>1.5</v>
      </c>
      <c r="S187">
        <v>2023</v>
      </c>
      <c r="T187" t="s">
        <v>3499</v>
      </c>
      <c r="U187" t="s">
        <v>3507</v>
      </c>
      <c r="V187" s="422" t="s">
        <v>42</v>
      </c>
    </row>
    <row r="188" spans="1:22" ht="15.75" thickBot="1" x14ac:dyDescent="0.3">
      <c r="A188" s="422" t="s">
        <v>45</v>
      </c>
      <c r="B188" s="422" t="s">
        <v>45</v>
      </c>
      <c r="C188" s="422" t="s">
        <v>1950</v>
      </c>
      <c r="D188" t="s">
        <v>6147</v>
      </c>
      <c r="E188" t="s">
        <v>42</v>
      </c>
      <c r="F188" t="s">
        <v>1745</v>
      </c>
      <c r="G188" t="s">
        <v>1836</v>
      </c>
      <c r="H188" s="425" t="s">
        <v>3166</v>
      </c>
      <c r="I188" s="425" t="s">
        <v>3167</v>
      </c>
      <c r="K188" s="422" t="s">
        <v>34</v>
      </c>
      <c r="L188" s="335">
        <v>52594.380000000005</v>
      </c>
      <c r="M188" t="s">
        <v>1837</v>
      </c>
      <c r="P188" s="485">
        <f t="shared" si="11"/>
        <v>35062.920000000006</v>
      </c>
      <c r="Q188" s="425" t="s">
        <v>1838</v>
      </c>
      <c r="R188" s="295">
        <v>1.5</v>
      </c>
      <c r="S188">
        <v>2023</v>
      </c>
      <c r="T188" t="s">
        <v>3499</v>
      </c>
      <c r="U188" t="s">
        <v>3507</v>
      </c>
      <c r="V188" s="422" t="s">
        <v>42</v>
      </c>
    </row>
    <row r="189" spans="1:22" ht="15.75" thickBot="1" x14ac:dyDescent="0.3">
      <c r="A189" s="422" t="s">
        <v>45</v>
      </c>
      <c r="B189" s="422" t="s">
        <v>45</v>
      </c>
      <c r="C189" s="422" t="s">
        <v>1950</v>
      </c>
      <c r="D189" t="s">
        <v>6148</v>
      </c>
      <c r="E189" t="s">
        <v>42</v>
      </c>
      <c r="F189" t="s">
        <v>1745</v>
      </c>
      <c r="G189" t="s">
        <v>1836</v>
      </c>
      <c r="H189" s="425" t="s">
        <v>3166</v>
      </c>
      <c r="I189" s="425" t="s">
        <v>3167</v>
      </c>
      <c r="K189" s="422" t="s">
        <v>34</v>
      </c>
      <c r="L189" s="335">
        <v>7882.05</v>
      </c>
      <c r="M189" t="s">
        <v>1837</v>
      </c>
      <c r="P189" s="485">
        <f t="shared" si="11"/>
        <v>5254.7</v>
      </c>
      <c r="Q189" s="425" t="s">
        <v>1838</v>
      </c>
      <c r="R189" s="295">
        <v>1.5</v>
      </c>
      <c r="S189">
        <v>2023</v>
      </c>
      <c r="T189" t="s">
        <v>3499</v>
      </c>
      <c r="U189" t="s">
        <v>3507</v>
      </c>
      <c r="V189" s="422" t="s">
        <v>42</v>
      </c>
    </row>
    <row r="190" spans="1:22" ht="15.75" thickBot="1" x14ac:dyDescent="0.3">
      <c r="A190" s="422" t="s">
        <v>45</v>
      </c>
      <c r="B190" s="422" t="s">
        <v>45</v>
      </c>
      <c r="C190" s="422" t="s">
        <v>1950</v>
      </c>
      <c r="D190" t="s">
        <v>6149</v>
      </c>
      <c r="E190" t="s">
        <v>42</v>
      </c>
      <c r="F190" t="s">
        <v>1745</v>
      </c>
      <c r="G190" t="s">
        <v>1836</v>
      </c>
      <c r="H190" s="425" t="s">
        <v>3166</v>
      </c>
      <c r="I190" s="425" t="s">
        <v>3167</v>
      </c>
      <c r="K190" s="422" t="s">
        <v>34</v>
      </c>
      <c r="L190" s="335">
        <v>350</v>
      </c>
      <c r="M190" t="s">
        <v>1837</v>
      </c>
      <c r="P190" s="485">
        <f t="shared" si="11"/>
        <v>233.33333333333334</v>
      </c>
      <c r="Q190" s="425" t="s">
        <v>1838</v>
      </c>
      <c r="R190" s="295">
        <v>1.5</v>
      </c>
      <c r="S190">
        <v>2023</v>
      </c>
      <c r="T190" t="s">
        <v>3499</v>
      </c>
      <c r="U190" t="s">
        <v>3507</v>
      </c>
      <c r="V190" s="422" t="s">
        <v>42</v>
      </c>
    </row>
    <row r="191" spans="1:22" ht="15.75" thickBot="1" x14ac:dyDescent="0.3">
      <c r="A191" s="422" t="s">
        <v>45</v>
      </c>
      <c r="B191" s="422" t="s">
        <v>45</v>
      </c>
      <c r="C191" s="422" t="s">
        <v>1950</v>
      </c>
      <c r="D191" t="s">
        <v>6150</v>
      </c>
      <c r="E191" t="s">
        <v>42</v>
      </c>
      <c r="F191" t="s">
        <v>1745</v>
      </c>
      <c r="G191" t="s">
        <v>1836</v>
      </c>
      <c r="H191" s="425" t="s">
        <v>3166</v>
      </c>
      <c r="I191" s="425" t="s">
        <v>3167</v>
      </c>
      <c r="K191" s="422" t="s">
        <v>34</v>
      </c>
      <c r="L191" s="335">
        <v>3462.27</v>
      </c>
      <c r="M191" t="s">
        <v>1837</v>
      </c>
      <c r="P191" s="485">
        <f t="shared" si="11"/>
        <v>2308.1799999999998</v>
      </c>
      <c r="Q191" s="425" t="s">
        <v>1838</v>
      </c>
      <c r="R191" s="295">
        <v>1.5</v>
      </c>
      <c r="S191">
        <v>2023</v>
      </c>
      <c r="T191" t="s">
        <v>3499</v>
      </c>
      <c r="U191" t="s">
        <v>3507</v>
      </c>
      <c r="V191" s="422" t="s">
        <v>42</v>
      </c>
    </row>
    <row r="192" spans="1:22" ht="15.75" thickBot="1" x14ac:dyDescent="0.3">
      <c r="A192" s="422" t="s">
        <v>45</v>
      </c>
      <c r="B192" s="422" t="s">
        <v>45</v>
      </c>
      <c r="C192" s="422" t="s">
        <v>1950</v>
      </c>
      <c r="D192" t="s">
        <v>6151</v>
      </c>
      <c r="E192" t="s">
        <v>42</v>
      </c>
      <c r="F192" t="s">
        <v>1745</v>
      </c>
      <c r="G192" t="s">
        <v>1836</v>
      </c>
      <c r="H192" s="425" t="s">
        <v>3166</v>
      </c>
      <c r="I192" s="425" t="s">
        <v>3167</v>
      </c>
      <c r="K192" s="422" t="s">
        <v>34</v>
      </c>
      <c r="L192" s="335">
        <v>1815</v>
      </c>
      <c r="M192" t="s">
        <v>1837</v>
      </c>
      <c r="P192" s="485">
        <f t="shared" si="11"/>
        <v>1210</v>
      </c>
      <c r="Q192" s="425" t="s">
        <v>1838</v>
      </c>
      <c r="R192" s="295">
        <v>1.5</v>
      </c>
      <c r="S192">
        <v>2023</v>
      </c>
      <c r="T192" t="s">
        <v>3499</v>
      </c>
      <c r="U192" t="s">
        <v>3507</v>
      </c>
      <c r="V192" s="422" t="s">
        <v>42</v>
      </c>
    </row>
    <row r="193" spans="1:22" ht="15.75" thickBot="1" x14ac:dyDescent="0.3">
      <c r="A193" s="422" t="s">
        <v>45</v>
      </c>
      <c r="B193" s="422" t="s">
        <v>45</v>
      </c>
      <c r="C193" s="422" t="s">
        <v>1950</v>
      </c>
      <c r="D193" t="s">
        <v>6152</v>
      </c>
      <c r="E193" t="s">
        <v>42</v>
      </c>
      <c r="F193" t="s">
        <v>1745</v>
      </c>
      <c r="G193" t="s">
        <v>1836</v>
      </c>
      <c r="H193" s="425" t="s">
        <v>3166</v>
      </c>
      <c r="I193" s="425" t="s">
        <v>3167</v>
      </c>
      <c r="K193" s="422" t="s">
        <v>34</v>
      </c>
      <c r="L193" s="335">
        <v>12396.769999999999</v>
      </c>
      <c r="M193" t="s">
        <v>1837</v>
      </c>
      <c r="P193" s="485">
        <f t="shared" si="11"/>
        <v>8264.5133333333324</v>
      </c>
      <c r="Q193" s="425" t="s">
        <v>1838</v>
      </c>
      <c r="R193" s="295">
        <v>1.5</v>
      </c>
      <c r="S193">
        <v>2023</v>
      </c>
      <c r="T193" t="s">
        <v>3499</v>
      </c>
      <c r="U193" t="s">
        <v>3507</v>
      </c>
      <c r="V193" s="422" t="s">
        <v>42</v>
      </c>
    </row>
    <row r="194" spans="1:22" ht="15.75" thickBot="1" x14ac:dyDescent="0.3">
      <c r="A194" s="422" t="s">
        <v>45</v>
      </c>
      <c r="B194" s="422" t="s">
        <v>45</v>
      </c>
      <c r="C194" s="422" t="s">
        <v>1950</v>
      </c>
      <c r="D194" t="s">
        <v>6153</v>
      </c>
      <c r="E194" t="s">
        <v>42</v>
      </c>
      <c r="F194" t="s">
        <v>1745</v>
      </c>
      <c r="G194" t="s">
        <v>1836</v>
      </c>
      <c r="H194" s="425" t="s">
        <v>3166</v>
      </c>
      <c r="I194" s="425" t="s">
        <v>3167</v>
      </c>
      <c r="K194" s="422" t="s">
        <v>34</v>
      </c>
      <c r="L194" s="335">
        <v>452.83</v>
      </c>
      <c r="M194" t="s">
        <v>1837</v>
      </c>
      <c r="P194" s="485">
        <f t="shared" si="11"/>
        <v>301.88666666666666</v>
      </c>
      <c r="Q194" s="425" t="s">
        <v>1838</v>
      </c>
      <c r="R194" s="295">
        <v>1.5</v>
      </c>
      <c r="S194">
        <v>2023</v>
      </c>
      <c r="T194" t="s">
        <v>3499</v>
      </c>
      <c r="U194" t="s">
        <v>3507</v>
      </c>
      <c r="V194" s="422" t="s">
        <v>42</v>
      </c>
    </row>
    <row r="195" spans="1:22" ht="15.75" thickBot="1" x14ac:dyDescent="0.3">
      <c r="A195" s="422" t="s">
        <v>45</v>
      </c>
      <c r="B195" s="422" t="s">
        <v>45</v>
      </c>
      <c r="C195" s="422" t="s">
        <v>1950</v>
      </c>
      <c r="D195" t="s">
        <v>6154</v>
      </c>
      <c r="E195" t="s">
        <v>42</v>
      </c>
      <c r="F195" t="s">
        <v>1745</v>
      </c>
      <c r="G195" t="s">
        <v>1836</v>
      </c>
      <c r="H195" s="425" t="s">
        <v>3166</v>
      </c>
      <c r="I195" s="425" t="s">
        <v>3167</v>
      </c>
      <c r="K195" s="422" t="s">
        <v>34</v>
      </c>
      <c r="L195" s="335">
        <v>23762.920000000002</v>
      </c>
      <c r="M195" t="s">
        <v>1837</v>
      </c>
      <c r="P195" s="485">
        <f t="shared" si="11"/>
        <v>15841.946666666669</v>
      </c>
      <c r="Q195" s="425" t="s">
        <v>1838</v>
      </c>
      <c r="R195" s="295">
        <v>1.5</v>
      </c>
      <c r="S195">
        <v>2023</v>
      </c>
      <c r="T195" t="s">
        <v>3499</v>
      </c>
      <c r="U195" t="s">
        <v>3507</v>
      </c>
      <c r="V195" s="422" t="s">
        <v>42</v>
      </c>
    </row>
    <row r="196" spans="1:22" ht="15.75" thickBot="1" x14ac:dyDescent="0.3">
      <c r="A196" s="422" t="s">
        <v>45</v>
      </c>
      <c r="B196" s="422" t="s">
        <v>45</v>
      </c>
      <c r="C196" s="422" t="s">
        <v>1950</v>
      </c>
      <c r="D196" t="s">
        <v>6155</v>
      </c>
      <c r="E196" t="s">
        <v>42</v>
      </c>
      <c r="F196" t="s">
        <v>1745</v>
      </c>
      <c r="G196" t="s">
        <v>1836</v>
      </c>
      <c r="H196" s="425" t="s">
        <v>3166</v>
      </c>
      <c r="I196" s="425" t="s">
        <v>3167</v>
      </c>
      <c r="K196" s="422" t="s">
        <v>34</v>
      </c>
      <c r="L196" s="335">
        <v>35783.569999999992</v>
      </c>
      <c r="M196" t="s">
        <v>1837</v>
      </c>
      <c r="P196" s="485">
        <f t="shared" si="11"/>
        <v>23855.71333333333</v>
      </c>
      <c r="Q196" s="425" t="s">
        <v>1838</v>
      </c>
      <c r="R196" s="295">
        <v>1.5</v>
      </c>
      <c r="S196">
        <v>2023</v>
      </c>
      <c r="T196" t="s">
        <v>3499</v>
      </c>
      <c r="U196" t="s">
        <v>3507</v>
      </c>
      <c r="V196" s="422" t="s">
        <v>42</v>
      </c>
    </row>
    <row r="197" spans="1:22" ht="15.75" thickBot="1" x14ac:dyDescent="0.3">
      <c r="A197" s="422" t="s">
        <v>45</v>
      </c>
      <c r="B197" s="422" t="s">
        <v>45</v>
      </c>
      <c r="C197" s="422" t="s">
        <v>1950</v>
      </c>
      <c r="D197" t="s">
        <v>6156</v>
      </c>
      <c r="E197" t="s">
        <v>42</v>
      </c>
      <c r="F197" t="s">
        <v>1745</v>
      </c>
      <c r="G197" t="s">
        <v>1836</v>
      </c>
      <c r="H197" s="425" t="s">
        <v>3166</v>
      </c>
      <c r="I197" s="425" t="s">
        <v>3167</v>
      </c>
      <c r="K197" s="422" t="s">
        <v>34</v>
      </c>
      <c r="L197" s="335">
        <v>3632.0899999999997</v>
      </c>
      <c r="M197" t="s">
        <v>1837</v>
      </c>
      <c r="P197" s="485">
        <f t="shared" si="11"/>
        <v>2421.393333333333</v>
      </c>
      <c r="Q197" s="425" t="s">
        <v>1838</v>
      </c>
      <c r="R197" s="295">
        <v>1.5</v>
      </c>
      <c r="S197">
        <v>2023</v>
      </c>
      <c r="T197" t="s">
        <v>3499</v>
      </c>
      <c r="U197" t="s">
        <v>3507</v>
      </c>
      <c r="V197" s="422" t="s">
        <v>42</v>
      </c>
    </row>
    <row r="198" spans="1:22" ht="15.75" thickBot="1" x14ac:dyDescent="0.3">
      <c r="A198" s="422" t="s">
        <v>45</v>
      </c>
      <c r="B198" s="422" t="s">
        <v>45</v>
      </c>
      <c r="C198" s="422" t="s">
        <v>1950</v>
      </c>
      <c r="D198" t="s">
        <v>6157</v>
      </c>
      <c r="E198" t="s">
        <v>42</v>
      </c>
      <c r="F198" t="s">
        <v>1745</v>
      </c>
      <c r="G198" t="s">
        <v>1836</v>
      </c>
      <c r="H198" s="425" t="s">
        <v>3166</v>
      </c>
      <c r="I198" s="425" t="s">
        <v>3167</v>
      </c>
      <c r="K198" s="422" t="s">
        <v>34</v>
      </c>
      <c r="L198" s="335">
        <v>61005.55</v>
      </c>
      <c r="M198" t="s">
        <v>1837</v>
      </c>
      <c r="P198" s="485">
        <f t="shared" si="11"/>
        <v>40670.366666666669</v>
      </c>
      <c r="Q198" s="425" t="s">
        <v>1838</v>
      </c>
      <c r="R198" s="295">
        <v>1.5</v>
      </c>
      <c r="S198">
        <v>2023</v>
      </c>
      <c r="T198" t="s">
        <v>3499</v>
      </c>
      <c r="U198" t="s">
        <v>3507</v>
      </c>
      <c r="V198" s="422" t="s">
        <v>42</v>
      </c>
    </row>
    <row r="199" spans="1:22" ht="15.75" thickBot="1" x14ac:dyDescent="0.3">
      <c r="A199" s="422" t="s">
        <v>45</v>
      </c>
      <c r="B199" s="422" t="s">
        <v>45</v>
      </c>
      <c r="C199" s="422" t="s">
        <v>1950</v>
      </c>
      <c r="D199" t="s">
        <v>6158</v>
      </c>
      <c r="E199" t="s">
        <v>42</v>
      </c>
      <c r="F199" t="s">
        <v>1745</v>
      </c>
      <c r="G199" t="s">
        <v>1836</v>
      </c>
      <c r="H199" s="425" t="s">
        <v>3166</v>
      </c>
      <c r="I199" s="425" t="s">
        <v>3167</v>
      </c>
      <c r="K199" s="422" t="s">
        <v>34</v>
      </c>
      <c r="L199" s="335">
        <v>295751.36</v>
      </c>
      <c r="M199" t="s">
        <v>1837</v>
      </c>
      <c r="P199" s="485">
        <f t="shared" si="11"/>
        <v>197167.57333333333</v>
      </c>
      <c r="Q199" s="425" t="s">
        <v>1838</v>
      </c>
      <c r="R199" s="295">
        <v>1.5</v>
      </c>
      <c r="S199">
        <v>2023</v>
      </c>
      <c r="T199" t="s">
        <v>3499</v>
      </c>
      <c r="U199" t="s">
        <v>3507</v>
      </c>
      <c r="V199" s="422" t="s">
        <v>42</v>
      </c>
    </row>
    <row r="200" spans="1:22" ht="15.75" thickBot="1" x14ac:dyDescent="0.3">
      <c r="A200" s="422" t="s">
        <v>45</v>
      </c>
      <c r="B200" s="422" t="s">
        <v>45</v>
      </c>
      <c r="C200" s="422" t="s">
        <v>1950</v>
      </c>
      <c r="D200" t="s">
        <v>6159</v>
      </c>
      <c r="E200" t="s">
        <v>42</v>
      </c>
      <c r="F200" t="s">
        <v>1745</v>
      </c>
      <c r="G200" t="s">
        <v>1836</v>
      </c>
      <c r="H200" s="425" t="s">
        <v>3166</v>
      </c>
      <c r="I200" s="425" t="s">
        <v>3167</v>
      </c>
      <c r="K200" s="422" t="s">
        <v>34</v>
      </c>
      <c r="L200" s="335">
        <v>6511.33</v>
      </c>
      <c r="M200" t="s">
        <v>1837</v>
      </c>
      <c r="P200" s="485">
        <f t="shared" si="11"/>
        <v>4340.8866666666663</v>
      </c>
      <c r="Q200" s="425" t="s">
        <v>1838</v>
      </c>
      <c r="R200" s="295">
        <v>1.5</v>
      </c>
      <c r="S200">
        <v>2023</v>
      </c>
      <c r="T200" t="s">
        <v>3499</v>
      </c>
      <c r="U200" t="s">
        <v>3507</v>
      </c>
      <c r="V200" s="422" t="s">
        <v>42</v>
      </c>
    </row>
    <row r="201" spans="1:22" ht="15.75" thickBot="1" x14ac:dyDescent="0.3">
      <c r="A201" s="422" t="s">
        <v>45</v>
      </c>
      <c r="B201" s="422" t="s">
        <v>45</v>
      </c>
      <c r="C201" s="422" t="s">
        <v>1950</v>
      </c>
      <c r="D201" t="s">
        <v>6160</v>
      </c>
      <c r="E201" t="s">
        <v>42</v>
      </c>
      <c r="F201" t="s">
        <v>1745</v>
      </c>
      <c r="G201" t="s">
        <v>1836</v>
      </c>
      <c r="H201" s="425" t="s">
        <v>3166</v>
      </c>
      <c r="I201" s="425" t="s">
        <v>3167</v>
      </c>
      <c r="K201" s="422" t="s">
        <v>34</v>
      </c>
      <c r="L201" s="335">
        <v>550</v>
      </c>
      <c r="M201" t="s">
        <v>1837</v>
      </c>
      <c r="P201" s="485">
        <f t="shared" si="11"/>
        <v>366.66666666666669</v>
      </c>
      <c r="Q201" s="425" t="s">
        <v>1838</v>
      </c>
      <c r="R201" s="295">
        <v>1.5</v>
      </c>
      <c r="S201">
        <v>2023</v>
      </c>
      <c r="T201" t="s">
        <v>3499</v>
      </c>
      <c r="U201" t="s">
        <v>3507</v>
      </c>
      <c r="V201" s="422" t="s">
        <v>42</v>
      </c>
    </row>
    <row r="202" spans="1:22" ht="15.75" thickBot="1" x14ac:dyDescent="0.3">
      <c r="A202" s="422" t="s">
        <v>45</v>
      </c>
      <c r="B202" s="422" t="s">
        <v>45</v>
      </c>
      <c r="C202" s="422" t="s">
        <v>1950</v>
      </c>
      <c r="D202" t="s">
        <v>6161</v>
      </c>
      <c r="E202" t="s">
        <v>42</v>
      </c>
      <c r="F202" t="s">
        <v>1745</v>
      </c>
      <c r="G202" t="s">
        <v>1836</v>
      </c>
      <c r="H202" s="425" t="s">
        <v>3166</v>
      </c>
      <c r="I202" s="425" t="s">
        <v>3167</v>
      </c>
      <c r="K202" s="422" t="s">
        <v>34</v>
      </c>
      <c r="L202" s="335">
        <v>53314.15</v>
      </c>
      <c r="M202" t="s">
        <v>1837</v>
      </c>
      <c r="P202" s="485">
        <f t="shared" si="11"/>
        <v>35542.76666666667</v>
      </c>
      <c r="Q202" s="425" t="s">
        <v>1838</v>
      </c>
      <c r="R202" s="295">
        <v>1.5</v>
      </c>
      <c r="S202">
        <v>2023</v>
      </c>
      <c r="T202" t="s">
        <v>3499</v>
      </c>
      <c r="U202" t="s">
        <v>3507</v>
      </c>
      <c r="V202" s="422" t="s">
        <v>42</v>
      </c>
    </row>
    <row r="203" spans="1:22" ht="15.75" thickBot="1" x14ac:dyDescent="0.3">
      <c r="A203" s="422" t="s">
        <v>45</v>
      </c>
      <c r="B203" s="422" t="s">
        <v>45</v>
      </c>
      <c r="C203" s="422" t="s">
        <v>1950</v>
      </c>
      <c r="D203" t="s">
        <v>6162</v>
      </c>
      <c r="E203" t="s">
        <v>42</v>
      </c>
      <c r="F203" t="s">
        <v>1745</v>
      </c>
      <c r="G203" t="s">
        <v>1836</v>
      </c>
      <c r="H203" s="425" t="s">
        <v>3166</v>
      </c>
      <c r="I203" s="425" t="s">
        <v>3167</v>
      </c>
      <c r="K203" s="422" t="s">
        <v>34</v>
      </c>
      <c r="L203" s="335">
        <v>2264.15</v>
      </c>
      <c r="M203" t="s">
        <v>1837</v>
      </c>
      <c r="P203" s="485">
        <f t="shared" si="11"/>
        <v>1509.4333333333334</v>
      </c>
      <c r="Q203" s="425" t="s">
        <v>1838</v>
      </c>
      <c r="R203" s="295">
        <v>1.5</v>
      </c>
      <c r="S203">
        <v>2023</v>
      </c>
      <c r="T203" t="s">
        <v>3499</v>
      </c>
      <c r="U203" t="s">
        <v>3507</v>
      </c>
      <c r="V203" s="422" t="s">
        <v>42</v>
      </c>
    </row>
    <row r="204" spans="1:22" ht="15.75" thickBot="1" x14ac:dyDescent="0.3">
      <c r="A204" s="422" t="s">
        <v>45</v>
      </c>
      <c r="B204" s="422" t="s">
        <v>45</v>
      </c>
      <c r="C204" s="422" t="s">
        <v>1950</v>
      </c>
      <c r="D204" t="s">
        <v>1835</v>
      </c>
      <c r="E204" t="s">
        <v>42</v>
      </c>
      <c r="F204" t="s">
        <v>1745</v>
      </c>
      <c r="G204" t="s">
        <v>1836</v>
      </c>
      <c r="H204" s="425" t="s">
        <v>3166</v>
      </c>
      <c r="I204" s="425" t="s">
        <v>3167</v>
      </c>
      <c r="K204" s="422" t="s">
        <v>34</v>
      </c>
      <c r="L204" s="335">
        <v>194406.71000000002</v>
      </c>
      <c r="M204" t="s">
        <v>1837</v>
      </c>
      <c r="P204" s="485">
        <f t="shared" si="11"/>
        <v>129604.47333333334</v>
      </c>
      <c r="Q204" s="425" t="s">
        <v>1838</v>
      </c>
      <c r="R204" s="295">
        <v>1.5</v>
      </c>
      <c r="S204">
        <v>2023</v>
      </c>
      <c r="T204" t="s">
        <v>3499</v>
      </c>
      <c r="U204" t="s">
        <v>3507</v>
      </c>
      <c r="V204" s="422" t="s">
        <v>42</v>
      </c>
    </row>
  </sheetData>
  <autoFilter ref="A1:V204"/>
  <mergeCells count="21">
    <mergeCell ref="R1:R2"/>
    <mergeCell ref="N1:N2"/>
    <mergeCell ref="O1:O2"/>
    <mergeCell ref="P1:P2"/>
    <mergeCell ref="Q1:Q2"/>
    <mergeCell ref="V1:V2"/>
    <mergeCell ref="T1:T2"/>
    <mergeCell ref="U1:U2"/>
    <mergeCell ref="A1:A2"/>
    <mergeCell ref="C1:C2"/>
    <mergeCell ref="I1:I2"/>
    <mergeCell ref="B1:B2"/>
    <mergeCell ref="D1:D2"/>
    <mergeCell ref="E1:E2"/>
    <mergeCell ref="F1:F2"/>
    <mergeCell ref="G1:G2"/>
    <mergeCell ref="J1:J2"/>
    <mergeCell ref="K1:K2"/>
    <mergeCell ref="L1:L2"/>
    <mergeCell ref="M1:M2"/>
    <mergeCell ref="S1:S2"/>
  </mergeCells>
  <dataValidations count="4">
    <dataValidation type="list" allowBlank="1" showInputMessage="1" showErrorMessage="1" sqref="M3:M53 M110">
      <formula1>"passageiros, unidades, paletes, contentores, kWh, l (litros), kg (quilos), ton (toneladas), Nm3 (metros cubicos norm.), Outro/NA"</formula1>
    </dataValidation>
    <dataValidation type="list" allowBlank="1" showInputMessage="1" showErrorMessage="1" sqref="G3:G53">
      <formula1>"Bus, LCV/Van, HDV Rigid, HDV Articulated, HDV Avg, HDV refrigerated, Freight Flights, Rail, Sea Tanker (products), Sea Tanker (chem. Tanker), Cargo Ship (bulk), Cargo Ship (general), Cargo Ship (container ship), Outro"</formula1>
    </dataValidation>
    <dataValidation type="list" allowBlank="1" showInputMessage="1" showErrorMessage="1" sqref="F3:F53">
      <formula1>"Rodoviário, Ferroviário, Aéreo, Marítimo, Outro"</formula1>
    </dataValidation>
    <dataValidation type="list" allowBlank="1" showInputMessage="1" showErrorMessage="1" sqref="E12 E14:E23 E26:E53 K3:K53 K110">
      <formula1>"Sim, Não"</formula1>
    </dataValidation>
  </dataValidations>
  <pageMargins left="0.7" right="0.7" top="0.75" bottom="0.75" header="0.3" footer="0.3"/>
  <customProperties>
    <customPr name="GUID" r:id="rId1"/>
  </customPropertie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0"/>
  <dimension ref="B6:Y224"/>
  <sheetViews>
    <sheetView workbookViewId="0"/>
  </sheetViews>
  <sheetFormatPr defaultRowHeight="15" x14ac:dyDescent="0.25"/>
  <cols>
    <col min="2" max="2" width="48.42578125" customWidth="1"/>
    <col min="3" max="3" width="37.7109375" customWidth="1"/>
    <col min="4" max="4" width="94.5703125" style="146" customWidth="1"/>
    <col min="5" max="5" width="16" customWidth="1"/>
    <col min="6" max="6" width="18.7109375" customWidth="1"/>
    <col min="7" max="7" width="19.140625" style="89" customWidth="1"/>
    <col min="8" max="8" width="22" customWidth="1"/>
    <col min="9" max="9" width="114.5703125" style="94" customWidth="1"/>
    <col min="10" max="10" width="65.140625" customWidth="1"/>
    <col min="11" max="11" width="108.85546875" bestFit="1" customWidth="1"/>
    <col min="12" max="12" width="59.28515625" bestFit="1" customWidth="1"/>
  </cols>
  <sheetData>
    <row r="6" spans="2:25" ht="15.75" thickBot="1" x14ac:dyDescent="0.3"/>
    <row r="7" spans="2:25" x14ac:dyDescent="0.25">
      <c r="B7" s="78" t="s">
        <v>118</v>
      </c>
      <c r="C7" s="79"/>
    </row>
    <row r="9" spans="2:25" x14ac:dyDescent="0.25">
      <c r="B9" s="765" t="str">
        <f>"Grupo Barraqueiro: "&amp;'Folha de Rosto'!C6&amp;" "&amp;'Folha de Rosto'!I6&amp;" - Emissões de GEE de Âmbito 3"</f>
        <v>Grupo Barraqueiro: PEGADA DE CARBONO 2022 - Emissões de GEE de Âmbito 3</v>
      </c>
      <c r="C9" s="765"/>
      <c r="D9" s="765"/>
      <c r="E9" s="765"/>
      <c r="F9" s="765"/>
      <c r="G9" s="765"/>
      <c r="H9" s="765"/>
      <c r="I9" s="765"/>
      <c r="J9" s="765"/>
      <c r="K9" s="765"/>
      <c r="L9" s="765"/>
      <c r="M9" s="765"/>
      <c r="N9" s="765"/>
      <c r="O9" s="765"/>
      <c r="P9" s="765"/>
      <c r="Q9" s="765"/>
      <c r="R9" s="765"/>
      <c r="S9" s="765"/>
      <c r="T9" s="765"/>
      <c r="U9" s="765"/>
      <c r="V9" s="765"/>
      <c r="W9" s="765"/>
      <c r="X9" s="765"/>
      <c r="Y9" s="765"/>
    </row>
    <row r="10" spans="2:25" ht="15.75" thickBot="1" x14ac:dyDescent="0.3"/>
    <row r="11" spans="2:25" ht="33.6" customHeight="1" thickBot="1" x14ac:dyDescent="0.3">
      <c r="B11" s="800" t="s">
        <v>119</v>
      </c>
      <c r="C11" s="801"/>
      <c r="D11" s="802" t="s">
        <v>522</v>
      </c>
      <c r="E11" s="803"/>
      <c r="F11" s="803"/>
      <c r="G11" s="803"/>
      <c r="H11" s="803"/>
      <c r="I11" s="803"/>
      <c r="J11" s="803"/>
      <c r="K11" s="803"/>
      <c r="L11" s="803"/>
      <c r="M11" s="803"/>
      <c r="N11" s="803"/>
      <c r="O11" s="803"/>
      <c r="P11" s="803"/>
      <c r="Q11" s="803"/>
      <c r="R11" s="804"/>
    </row>
    <row r="12" spans="2:25" ht="60.95" customHeight="1" thickBot="1" x14ac:dyDescent="0.3">
      <c r="B12" s="800" t="s">
        <v>120</v>
      </c>
      <c r="C12" s="801"/>
      <c r="D12" s="805" t="s">
        <v>463</v>
      </c>
      <c r="E12" s="806"/>
      <c r="F12" s="806"/>
      <c r="G12" s="806"/>
      <c r="H12" s="806"/>
      <c r="I12" s="806"/>
      <c r="J12" s="806"/>
      <c r="K12" s="806"/>
      <c r="L12" s="806"/>
      <c r="M12" s="806"/>
      <c r="N12" s="806"/>
      <c r="O12" s="806"/>
      <c r="P12" s="806"/>
      <c r="Q12" s="806"/>
      <c r="R12" s="807"/>
    </row>
    <row r="13" spans="2:25" ht="60.95" customHeight="1" thickBot="1" x14ac:dyDescent="0.3">
      <c r="B13" s="800" t="s">
        <v>121</v>
      </c>
      <c r="C13" s="801"/>
      <c r="D13" s="798" t="s">
        <v>1529</v>
      </c>
      <c r="E13" s="799"/>
      <c r="F13" s="799"/>
      <c r="G13" s="799"/>
      <c r="H13" s="799"/>
      <c r="I13" s="799"/>
      <c r="J13" s="799"/>
      <c r="K13" s="799"/>
      <c r="L13" s="799"/>
      <c r="M13" s="799"/>
      <c r="N13" s="799"/>
      <c r="O13" s="799"/>
      <c r="P13" s="799"/>
      <c r="Q13" s="799"/>
      <c r="R13" s="808"/>
    </row>
    <row r="14" spans="2:25" ht="60.95" customHeight="1" thickBot="1" x14ac:dyDescent="0.3">
      <c r="B14" s="800" t="s">
        <v>122</v>
      </c>
      <c r="C14" s="801"/>
      <c r="D14" s="798" t="s">
        <v>123</v>
      </c>
      <c r="E14" s="799"/>
      <c r="F14" s="799"/>
      <c r="G14" s="799"/>
      <c r="H14" s="799"/>
      <c r="I14" s="799"/>
      <c r="J14" s="799"/>
      <c r="K14" s="799"/>
      <c r="L14" s="799"/>
      <c r="M14" s="799"/>
      <c r="N14" s="799"/>
      <c r="O14" s="799"/>
      <c r="P14" s="799"/>
      <c r="Q14" s="799"/>
      <c r="R14" s="808"/>
    </row>
    <row r="15" spans="2:25" ht="60" customHeight="1" thickBot="1" x14ac:dyDescent="0.3">
      <c r="B15" s="800" t="s">
        <v>128</v>
      </c>
      <c r="C15" s="801"/>
      <c r="D15" s="798" t="s">
        <v>129</v>
      </c>
      <c r="E15" s="799"/>
      <c r="F15" s="799"/>
      <c r="G15" s="799"/>
      <c r="H15" s="799"/>
      <c r="I15" s="799"/>
      <c r="J15" s="799"/>
      <c r="K15" s="799"/>
      <c r="L15" s="799"/>
      <c r="M15" s="799"/>
      <c r="N15" s="799"/>
      <c r="O15" s="799"/>
      <c r="P15" s="799"/>
      <c r="Q15" s="799"/>
      <c r="R15" s="762"/>
    </row>
    <row r="17" spans="2:25" x14ac:dyDescent="0.25">
      <c r="B17" s="765" t="s">
        <v>1813</v>
      </c>
      <c r="C17" s="765"/>
      <c r="D17" s="765"/>
      <c r="E17" s="765"/>
      <c r="F17" s="765"/>
      <c r="G17" s="765"/>
      <c r="H17" s="765"/>
      <c r="I17" s="765"/>
      <c r="J17" s="765"/>
      <c r="K17" s="765"/>
      <c r="L17" s="765"/>
      <c r="M17" s="765"/>
      <c r="N17" s="765"/>
      <c r="O17" s="765"/>
      <c r="P17" s="765"/>
      <c r="Q17" s="765"/>
      <c r="R17" s="765"/>
      <c r="S17" s="765"/>
      <c r="T17" s="765"/>
      <c r="U17" s="765"/>
      <c r="V17" s="765"/>
      <c r="W17" s="765"/>
      <c r="X17" s="765"/>
      <c r="Y17" s="765"/>
    </row>
    <row r="18" spans="2:25" x14ac:dyDescent="0.25">
      <c r="B18" t="s">
        <v>130</v>
      </c>
    </row>
    <row r="20" spans="2:25" x14ac:dyDescent="0.25">
      <c r="B20" s="81" t="s">
        <v>135</v>
      </c>
    </row>
    <row r="21" spans="2:25" x14ac:dyDescent="0.25">
      <c r="B21" s="766"/>
      <c r="C21" s="766"/>
      <c r="D21" s="766"/>
      <c r="E21" s="766"/>
      <c r="F21" s="766"/>
      <c r="G21" s="766"/>
      <c r="H21" s="766"/>
      <c r="I21" s="766"/>
      <c r="J21" s="766"/>
      <c r="K21" s="766"/>
      <c r="L21" s="766"/>
      <c r="M21" s="766"/>
      <c r="N21" s="766"/>
      <c r="O21" s="766"/>
      <c r="P21" s="766"/>
      <c r="Q21" s="766"/>
      <c r="R21" s="766"/>
      <c r="S21" s="766"/>
      <c r="T21" s="766"/>
      <c r="U21" s="766"/>
      <c r="V21" s="766"/>
      <c r="W21" s="766"/>
    </row>
    <row r="22" spans="2:25" x14ac:dyDescent="0.25">
      <c r="B22" s="766"/>
      <c r="C22" s="766"/>
      <c r="D22" s="766"/>
      <c r="E22" s="766"/>
      <c r="F22" s="766"/>
      <c r="G22" s="766"/>
      <c r="H22" s="766"/>
      <c r="I22" s="766"/>
      <c r="J22" s="766"/>
      <c r="K22" s="766"/>
      <c r="L22" s="766"/>
      <c r="M22" s="766"/>
      <c r="N22" s="766"/>
      <c r="O22" s="766"/>
      <c r="P22" s="766"/>
      <c r="Q22" s="766"/>
      <c r="R22" s="766"/>
      <c r="S22" s="766"/>
      <c r="T22" s="766"/>
      <c r="U22" s="766"/>
      <c r="V22" s="766"/>
      <c r="W22" s="766"/>
    </row>
    <row r="24" spans="2:25" ht="15" customHeight="1" x14ac:dyDescent="0.25">
      <c r="B24" s="81" t="s">
        <v>136</v>
      </c>
    </row>
    <row r="25" spans="2:25" x14ac:dyDescent="0.25">
      <c r="B25" s="766"/>
      <c r="C25" s="766"/>
      <c r="D25" s="766"/>
      <c r="E25" s="766"/>
      <c r="F25" s="766"/>
      <c r="G25" s="766"/>
      <c r="H25" s="766"/>
      <c r="I25" s="766"/>
      <c r="J25" s="766"/>
      <c r="K25" s="766"/>
      <c r="L25" s="766"/>
      <c r="M25" s="766"/>
      <c r="N25" s="766"/>
      <c r="O25" s="766"/>
      <c r="P25" s="766"/>
      <c r="Q25" s="766"/>
      <c r="R25" s="766"/>
      <c r="S25" s="766"/>
      <c r="T25" s="766"/>
      <c r="U25" s="766"/>
      <c r="V25" s="766"/>
      <c r="W25" s="766"/>
    </row>
    <row r="26" spans="2:25" x14ac:dyDescent="0.25">
      <c r="B26" s="766"/>
      <c r="C26" s="766"/>
      <c r="D26" s="766"/>
      <c r="E26" s="766"/>
      <c r="F26" s="766"/>
      <c r="G26" s="766"/>
      <c r="H26" s="766"/>
      <c r="I26" s="766"/>
      <c r="J26" s="766"/>
      <c r="K26" s="766"/>
      <c r="L26" s="766"/>
      <c r="M26" s="766"/>
      <c r="N26" s="766"/>
      <c r="O26" s="766"/>
      <c r="P26" s="766"/>
      <c r="Q26" s="766"/>
      <c r="R26" s="766"/>
      <c r="S26" s="766"/>
      <c r="T26" s="766"/>
      <c r="U26" s="766"/>
      <c r="V26" s="766"/>
      <c r="W26" s="766"/>
    </row>
    <row r="27" spans="2:25" ht="15.75" thickBot="1" x14ac:dyDescent="0.3"/>
    <row r="28" spans="2:25" s="94" customFormat="1" ht="30.75" customHeight="1" x14ac:dyDescent="0.25">
      <c r="B28" s="757" t="s">
        <v>131</v>
      </c>
      <c r="C28" s="757" t="s">
        <v>465</v>
      </c>
      <c r="D28" s="826" t="s">
        <v>466</v>
      </c>
      <c r="E28" s="778" t="s">
        <v>1530</v>
      </c>
      <c r="F28" s="757" t="s">
        <v>464</v>
      </c>
      <c r="G28" s="778" t="s">
        <v>141</v>
      </c>
      <c r="H28" s="757" t="s">
        <v>467</v>
      </c>
      <c r="I28" s="757" t="s">
        <v>468</v>
      </c>
      <c r="J28" s="757" t="s">
        <v>1533</v>
      </c>
      <c r="K28" s="757" t="s">
        <v>1534</v>
      </c>
      <c r="L28" s="778" t="s">
        <v>134</v>
      </c>
    </row>
    <row r="29" spans="2:25" s="94" customFormat="1" ht="15" customHeight="1" thickBot="1" x14ac:dyDescent="0.3">
      <c r="B29" s="758"/>
      <c r="C29" s="758"/>
      <c r="D29" s="827"/>
      <c r="E29" s="779"/>
      <c r="F29" s="758"/>
      <c r="G29" s="779"/>
      <c r="H29" s="758"/>
      <c r="I29" s="758"/>
      <c r="J29" s="758"/>
      <c r="K29" s="758"/>
      <c r="L29" s="779"/>
    </row>
    <row r="30" spans="2:25" ht="15.75" thickBot="1" x14ac:dyDescent="0.3">
      <c r="B30" s="82" t="s">
        <v>534</v>
      </c>
      <c r="C30" s="142" t="s">
        <v>1579</v>
      </c>
      <c r="D30" s="83" t="s">
        <v>1580</v>
      </c>
      <c r="E30" s="125" t="s">
        <v>34</v>
      </c>
      <c r="F30" s="139">
        <f t="array" ref="F30">SUMPRODUCT(IF(C$87:C$222=C30,1,0),IF(H$87:H$222=H30,1,0),IF(G$87:G$222=G30,1,0),F$87:F$222)</f>
        <v>0.29600000000000004</v>
      </c>
      <c r="G30" s="125" t="s">
        <v>1532</v>
      </c>
      <c r="H30" s="139" t="s">
        <v>509</v>
      </c>
      <c r="I30" s="91" t="str">
        <f>IFERROR(INDEX(Tabela3[Tipos de Tratamento],MATCH('A3.9.1'!H30,Tabela3[Código],0)),"")</f>
        <v>Armazenagem enquanto se aguarda a execução de uma das operações enumeradas de D1 a D14</v>
      </c>
      <c r="J30" s="91"/>
      <c r="K30" s="91"/>
      <c r="L30" s="91"/>
    </row>
    <row r="31" spans="2:25" ht="15.75" thickBot="1" x14ac:dyDescent="0.3">
      <c r="B31" s="82" t="s">
        <v>534</v>
      </c>
      <c r="C31" s="142" t="s">
        <v>1579</v>
      </c>
      <c r="D31" s="83" t="s">
        <v>1580</v>
      </c>
      <c r="E31" s="125" t="s">
        <v>34</v>
      </c>
      <c r="F31" s="139">
        <f t="array" ref="F31">SUMPRODUCT(IF(C$87:C$222=C31,1,0),IF(H$87:H$222=H31,1,0),IF(G$87:G$222=G31,1,0),F$87:F$222)</f>
        <v>0.29600000000000004</v>
      </c>
      <c r="G31" s="125" t="s">
        <v>1532</v>
      </c>
      <c r="H31" s="139" t="s">
        <v>483</v>
      </c>
      <c r="I31" s="91" t="str">
        <f>IFERROR(INDEX(Tabela3[Tipos de Tratamento],MATCH('A3.9.1'!H31,Tabela3[Código],0)),"")</f>
        <v xml:space="preserve">Troca de resíduos com vista a submetê-los a uma das operações enumeradas de R 1 a R 11 </v>
      </c>
      <c r="J31" s="91"/>
      <c r="K31" s="91"/>
      <c r="L31" s="91"/>
    </row>
    <row r="32" spans="2:25" ht="15.75" thickBot="1" x14ac:dyDescent="0.3">
      <c r="B32" s="82" t="s">
        <v>534</v>
      </c>
      <c r="C32" s="142" t="s">
        <v>1588</v>
      </c>
      <c r="D32" s="83" t="s">
        <v>1589</v>
      </c>
      <c r="E32" s="125" t="s">
        <v>34</v>
      </c>
      <c r="F32" s="139">
        <f t="array" ref="F32">SUMPRODUCT(IF(C$87:C$222=C32,1,0),IF(H$87:H$222=H32,1,0),IF(G$87:G$222=G32,1,0),F$87:F$222)</f>
        <v>9.6000000000000002E-2</v>
      </c>
      <c r="G32" s="125" t="s">
        <v>1532</v>
      </c>
      <c r="H32" s="139" t="s">
        <v>484</v>
      </c>
      <c r="I32" s="91" t="str">
        <f>IFERROR(INDEX(Tabela3[Tipos de Tratamento],MATCH('A3.9.1'!H32,Tabela3[Código],0)),"")</f>
        <v>Acumulação de resíduos destinados a uma das operações enumeradas de R1 a R12</v>
      </c>
      <c r="J32" s="91"/>
      <c r="K32" s="91"/>
      <c r="L32" s="91"/>
    </row>
    <row r="33" spans="2:12" ht="15.75" thickBot="1" x14ac:dyDescent="0.3">
      <c r="B33" s="82" t="s">
        <v>534</v>
      </c>
      <c r="C33" s="142">
        <v>120301</v>
      </c>
      <c r="D33" s="83" t="s">
        <v>1601</v>
      </c>
      <c r="E33" s="125" t="s">
        <v>34</v>
      </c>
      <c r="F33" s="139">
        <f t="array" ref="F33">SUMPRODUCT(IF(C$87:C$222=C33,1,0),IF(H$87:H$222=H33,1,0),IF(G$87:G$222=G33,1,0),F$87:F$222)</f>
        <v>0</v>
      </c>
      <c r="G33" s="125" t="s">
        <v>1532</v>
      </c>
      <c r="H33" s="139" t="s">
        <v>503</v>
      </c>
      <c r="I33" s="91" t="str">
        <f>IFERROR(INDEX(Tabela3[Tipos de Tratamento],MATCH('A3.9.1'!H33,Tabela3[Código],0)),"")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33" s="91"/>
      <c r="K33" s="91"/>
      <c r="L33" s="91"/>
    </row>
    <row r="34" spans="2:12" ht="15.75" thickBot="1" x14ac:dyDescent="0.3">
      <c r="B34" s="82" t="s">
        <v>534</v>
      </c>
      <c r="C34" s="142">
        <v>120301</v>
      </c>
      <c r="D34" s="83" t="s">
        <v>1601</v>
      </c>
      <c r="E34" s="125" t="s">
        <v>34</v>
      </c>
      <c r="F34" s="139">
        <f t="array" ref="F34">SUMPRODUCT(IF(C$87:C$222=C34,1,0),IF(H$87:H$222=H34,1,0),IF(G$87:G$222=G34,1,0),F$87:F$222)</f>
        <v>0</v>
      </c>
      <c r="G34" s="125" t="s">
        <v>1532</v>
      </c>
      <c r="H34" s="139" t="s">
        <v>483</v>
      </c>
      <c r="I34" s="91" t="str">
        <f>IFERROR(INDEX(Tabela3[Tipos de Tratamento],MATCH('A3.9.1'!H34,Tabela3[Código],0)),"")</f>
        <v xml:space="preserve">Troca de resíduos com vista a submetê-los a uma das operações enumeradas de R 1 a R 11 </v>
      </c>
      <c r="J34" s="91"/>
      <c r="K34" s="91"/>
      <c r="L34" s="91"/>
    </row>
    <row r="35" spans="2:12" ht="15.75" thickBot="1" x14ac:dyDescent="0.3">
      <c r="B35" s="82" t="s">
        <v>534</v>
      </c>
      <c r="C35" s="142">
        <v>130208</v>
      </c>
      <c r="D35" s="83" t="s">
        <v>1531</v>
      </c>
      <c r="E35" s="125" t="s">
        <v>34</v>
      </c>
      <c r="F35" s="139">
        <f t="array" ref="F35">SUMPRODUCT(IF(C$87:C$222=C35,1,0),IF(H$87:H$222=H35,1,0),IF(G$87:G$222=G35,1,0),F$87:F$222)</f>
        <v>20.534999999999997</v>
      </c>
      <c r="G35" s="125" t="s">
        <v>1532</v>
      </c>
      <c r="H35" s="139" t="s">
        <v>480</v>
      </c>
      <c r="I35" s="91" t="str">
        <f>IFERROR(INDEX(Tabela3[Tipos de Tratamento],MATCH('A3.9.1'!H35,Tabela3[Código],0)),"")</f>
        <v xml:space="preserve">Regeneração de óleos e outras reutilizações de óleos </v>
      </c>
      <c r="J35" s="91"/>
      <c r="K35" s="91"/>
      <c r="L35" s="91"/>
    </row>
    <row r="36" spans="2:12" ht="15.75" thickBot="1" x14ac:dyDescent="0.3">
      <c r="B36" s="82" t="s">
        <v>534</v>
      </c>
      <c r="C36" s="142">
        <v>130208</v>
      </c>
      <c r="D36" s="83" t="s">
        <v>1531</v>
      </c>
      <c r="E36" s="125" t="s">
        <v>34</v>
      </c>
      <c r="F36" s="139">
        <f t="array" ref="F36">SUMPRODUCT(IF(C$87:C$222=C36,1,0),IF(H$87:H$222=H36,1,0),IF(G$87:G$222=G36,1,0),F$87:F$222)</f>
        <v>5.9660000000000002</v>
      </c>
      <c r="G36" s="125" t="s">
        <v>1532</v>
      </c>
      <c r="H36" s="139" t="s">
        <v>483</v>
      </c>
      <c r="I36" s="91" t="str">
        <f>IFERROR(INDEX(Tabela3[Tipos de Tratamento],MATCH('A3.9.1'!H36,Tabela3[Código],0)),"")</f>
        <v xml:space="preserve">Troca de resíduos com vista a submetê-los a uma das operações enumeradas de R 1 a R 11 </v>
      </c>
      <c r="J36" s="91"/>
      <c r="K36" s="91"/>
      <c r="L36" s="91"/>
    </row>
    <row r="37" spans="2:12" ht="15.75" thickBot="1" x14ac:dyDescent="0.3">
      <c r="B37" s="82" t="s">
        <v>534</v>
      </c>
      <c r="C37" s="142">
        <v>130502</v>
      </c>
      <c r="D37" s="83" t="s">
        <v>1569</v>
      </c>
      <c r="E37" s="125" t="s">
        <v>34</v>
      </c>
      <c r="F37" s="139">
        <f t="array" ref="F37">SUMPRODUCT(IF(C$87:C$222=C37,1,0),IF(H$87:H$222=H37,1,0),IF(G$87:G$222=G37,1,0),F$87:F$222)</f>
        <v>34.080000000000005</v>
      </c>
      <c r="G37" s="125" t="s">
        <v>1532</v>
      </c>
      <c r="H37" s="139" t="s">
        <v>483</v>
      </c>
      <c r="I37" s="91" t="str">
        <f>IFERROR(INDEX(Tabela3[Tipos de Tratamento],MATCH('A3.9.1'!H37,Tabela3[Código],0)),"")</f>
        <v xml:space="preserve">Troca de resíduos com vista a submetê-los a uma das operações enumeradas de R 1 a R 11 </v>
      </c>
      <c r="J37" s="91"/>
      <c r="K37" s="91"/>
      <c r="L37" s="91"/>
    </row>
    <row r="38" spans="2:12" ht="15.75" thickBot="1" x14ac:dyDescent="0.3">
      <c r="B38" s="82" t="s">
        <v>534</v>
      </c>
      <c r="C38" s="142">
        <v>130502</v>
      </c>
      <c r="D38" s="83" t="s">
        <v>1569</v>
      </c>
      <c r="E38" s="125" t="s">
        <v>34</v>
      </c>
      <c r="F38" s="139">
        <f t="array" ref="F38">SUMPRODUCT(IF(C$87:C$222=C38,1,0),IF(H$87:H$222=H38,1,0),IF(G$87:G$222=G38,1,0),F$87:F$222)</f>
        <v>9.0399999999999991</v>
      </c>
      <c r="G38" s="125" t="s">
        <v>1532</v>
      </c>
      <c r="H38" s="139" t="s">
        <v>503</v>
      </c>
      <c r="I38" s="91" t="str">
        <f>IFERROR(INDEX(Tabela3[Tipos de Tratamento],MATCH('A3.9.1'!H38,Tabela3[Código],0)),"")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38" s="91"/>
      <c r="K38" s="91"/>
      <c r="L38" s="91"/>
    </row>
    <row r="39" spans="2:12" ht="15.75" thickBot="1" x14ac:dyDescent="0.3">
      <c r="B39" s="82" t="s">
        <v>534</v>
      </c>
      <c r="C39" s="142">
        <v>130507</v>
      </c>
      <c r="D39" s="83" t="s">
        <v>1572</v>
      </c>
      <c r="E39" s="125" t="s">
        <v>34</v>
      </c>
      <c r="F39" s="139">
        <f t="array" ref="F39">SUMPRODUCT(IF(C$87:C$222=C39,1,0),IF(H$87:H$222=H39,1,0),IF(G$87:G$222=G39,1,0),F$87:F$222)</f>
        <v>55.18</v>
      </c>
      <c r="G39" s="125" t="s">
        <v>1532</v>
      </c>
      <c r="H39" s="139" t="s">
        <v>483</v>
      </c>
      <c r="I39" s="91" t="str">
        <f>IFERROR(INDEX(Tabela3[Tipos de Tratamento],MATCH('A3.9.1'!H39,Tabela3[Código],0)),"")</f>
        <v xml:space="preserve">Troca de resíduos com vista a submetê-los a uma das operações enumeradas de R 1 a R 11 </v>
      </c>
      <c r="J39" s="91"/>
      <c r="K39" s="91"/>
      <c r="L39" s="91"/>
    </row>
    <row r="40" spans="2:12" ht="15.75" thickBot="1" x14ac:dyDescent="0.3">
      <c r="B40" s="82" t="s">
        <v>534</v>
      </c>
      <c r="C40" s="142">
        <v>140603</v>
      </c>
      <c r="D40" s="83" t="s">
        <v>1591</v>
      </c>
      <c r="E40" s="125" t="s">
        <v>34</v>
      </c>
      <c r="F40" s="139">
        <f t="array" ref="F40">SUMPRODUCT(IF(C$87:C$222=C40,1,0),IF(H$87:H$222=H40,1,0),IF(G$87:G$222=G40,1,0),F$87:F$222)</f>
        <v>0</v>
      </c>
      <c r="G40" s="125" t="s">
        <v>1532</v>
      </c>
      <c r="H40" s="139" t="s">
        <v>484</v>
      </c>
      <c r="I40" s="91" t="str">
        <f>IFERROR(INDEX(Tabela3[Tipos de Tratamento],MATCH('A3.9.1'!H40,Tabela3[Código],0)),"")</f>
        <v>Acumulação de resíduos destinados a uma das operações enumeradas de R1 a R12</v>
      </c>
      <c r="J40" s="91"/>
      <c r="K40" s="91"/>
      <c r="L40" s="91"/>
    </row>
    <row r="41" spans="2:12" ht="15.75" thickBot="1" x14ac:dyDescent="0.3">
      <c r="B41" s="82" t="s">
        <v>534</v>
      </c>
      <c r="C41" s="142">
        <v>150101</v>
      </c>
      <c r="D41" s="83" t="s">
        <v>1537</v>
      </c>
      <c r="E41" s="125" t="s">
        <v>42</v>
      </c>
      <c r="F41" s="139">
        <f t="array" ref="F41">SUMPRODUCT(IF(C$87:C$222=C41,1,0),IF(H$87:H$222=H41,1,0),IF(G$87:G$222=G41,1,0),F$87:F$222)</f>
        <v>2.165</v>
      </c>
      <c r="G41" s="125" t="s">
        <v>1532</v>
      </c>
      <c r="H41" s="139" t="s">
        <v>483</v>
      </c>
      <c r="I41" s="91" t="str">
        <f>IFERROR(INDEX(Tabela3[Tipos de Tratamento],MATCH('A3.9.1'!H41,Tabela3[Código],0)),"")</f>
        <v xml:space="preserve">Troca de resíduos com vista a submetê-los a uma das operações enumeradas de R 1 a R 11 </v>
      </c>
      <c r="J41" s="91"/>
      <c r="K41" s="91"/>
      <c r="L41" s="91"/>
    </row>
    <row r="42" spans="2:12" ht="15.75" thickBot="1" x14ac:dyDescent="0.3">
      <c r="B42" s="82" t="s">
        <v>534</v>
      </c>
      <c r="C42" s="142">
        <v>150101</v>
      </c>
      <c r="D42" s="83" t="s">
        <v>1537</v>
      </c>
      <c r="E42" s="125" t="s">
        <v>42</v>
      </c>
      <c r="F42" s="139">
        <f t="array" ref="F42">SUMPRODUCT(IF(C$87:C$222=C42,1,0),IF(H$87:H$222=H42,1,0),IF(G$87:G$222=G42,1,0),F$87:F$222)</f>
        <v>3.702</v>
      </c>
      <c r="G42" s="125" t="s">
        <v>1532</v>
      </c>
      <c r="H42" s="139" t="s">
        <v>484</v>
      </c>
      <c r="I42" s="91" t="str">
        <f>IFERROR(INDEX(Tabela3[Tipos de Tratamento],MATCH('A3.9.1'!H42,Tabela3[Código],0)),"")</f>
        <v>Acumulação de resíduos destinados a uma das operações enumeradas de R1 a R12</v>
      </c>
      <c r="J42" s="91"/>
      <c r="K42" s="91"/>
      <c r="L42" s="91"/>
    </row>
    <row r="43" spans="2:12" ht="15.75" thickBot="1" x14ac:dyDescent="0.3">
      <c r="B43" s="82" t="s">
        <v>534</v>
      </c>
      <c r="C43" s="142">
        <v>150102</v>
      </c>
      <c r="D43" s="83" t="s">
        <v>1575</v>
      </c>
      <c r="E43" s="125" t="s">
        <v>42</v>
      </c>
      <c r="F43" s="139">
        <f t="array" ref="F43">SUMPRODUCT(IF(C$87:C$222=C43,1,0),IF(H$87:H$222=H43,1,0),IF(G$87:G$222=G43,1,0),F$87:F$222)</f>
        <v>0.27100000000000002</v>
      </c>
      <c r="G43" s="125" t="s">
        <v>1532</v>
      </c>
      <c r="H43" s="139" t="s">
        <v>483</v>
      </c>
      <c r="I43" s="91" t="str">
        <f>IFERROR(INDEX(Tabela3[Tipos de Tratamento],MATCH('A3.9.1'!H43,Tabela3[Código],0)),"")</f>
        <v xml:space="preserve">Troca de resíduos com vista a submetê-los a uma das operações enumeradas de R 1 a R 11 </v>
      </c>
      <c r="J43" s="91"/>
      <c r="K43" s="91"/>
      <c r="L43" s="91"/>
    </row>
    <row r="44" spans="2:12" ht="15.75" thickBot="1" x14ac:dyDescent="0.3">
      <c r="B44" s="82" t="s">
        <v>534</v>
      </c>
      <c r="C44" s="142">
        <v>150103</v>
      </c>
      <c r="D44" s="83" t="s">
        <v>1605</v>
      </c>
      <c r="E44" s="125" t="s">
        <v>42</v>
      </c>
      <c r="F44" s="139">
        <f t="array" ref="F44">SUMPRODUCT(IF(C$87:C$222=C44,1,0),IF(H$87:H$222=H44,1,0),IF(G$87:G$222=G44,1,0),F$87:F$222)</f>
        <v>0</v>
      </c>
      <c r="G44" s="125" t="s">
        <v>1532</v>
      </c>
      <c r="H44" s="139" t="s">
        <v>483</v>
      </c>
      <c r="I44" s="91" t="str">
        <f>IFERROR(INDEX(Tabela3[Tipos de Tratamento],MATCH('A3.9.1'!H44,Tabela3[Código],0)),"")</f>
        <v xml:space="preserve">Troca de resíduos com vista a submetê-los a uma das operações enumeradas de R 1 a R 11 </v>
      </c>
      <c r="J44" s="91"/>
      <c r="K44" s="91"/>
      <c r="L44" s="91"/>
    </row>
    <row r="45" spans="2:12" ht="15.75" thickBot="1" x14ac:dyDescent="0.3">
      <c r="B45" s="82" t="s">
        <v>534</v>
      </c>
      <c r="C45" s="142">
        <v>150104</v>
      </c>
      <c r="D45" s="83" t="s">
        <v>1607</v>
      </c>
      <c r="E45" s="125" t="s">
        <v>42</v>
      </c>
      <c r="F45" s="139">
        <f t="array" ref="F45">SUMPRODUCT(IF(C$87:C$222=C45,1,0),IF(H$87:H$222=H45,1,0),IF(G$87:G$222=G45,1,0),F$87:F$222)</f>
        <v>0</v>
      </c>
      <c r="G45" s="125" t="s">
        <v>1532</v>
      </c>
      <c r="H45" s="139" t="s">
        <v>483</v>
      </c>
      <c r="I45" s="91" t="str">
        <f>IFERROR(INDEX(Tabela3[Tipos de Tratamento],MATCH('A3.9.1'!H45,Tabela3[Código],0)),"")</f>
        <v xml:space="preserve">Troca de resíduos com vista a submetê-los a uma das operações enumeradas de R 1 a R 11 </v>
      </c>
      <c r="J45" s="91"/>
      <c r="K45" s="91"/>
      <c r="L45" s="91"/>
    </row>
    <row r="46" spans="2:12" ht="15.75" thickBot="1" x14ac:dyDescent="0.3">
      <c r="B46" s="82" t="s">
        <v>534</v>
      </c>
      <c r="C46" s="142">
        <v>150110</v>
      </c>
      <c r="D46" s="83" t="s">
        <v>1542</v>
      </c>
      <c r="E46" s="125" t="s">
        <v>34</v>
      </c>
      <c r="F46" s="139">
        <f t="array" ref="F46">SUMPRODUCT(IF(C$87:C$222=C46,1,0),IF(H$87:H$222=H46,1,0),IF(G$87:G$222=G46,1,0),F$87:F$222)</f>
        <v>0.79200000000000004</v>
      </c>
      <c r="G46" s="125" t="s">
        <v>1532</v>
      </c>
      <c r="H46" s="139" t="s">
        <v>484</v>
      </c>
      <c r="I46" s="91" t="str">
        <f>IFERROR(INDEX(Tabela3[Tipos de Tratamento],MATCH('A3.9.1'!H46,Tabela3[Código],0)),"")</f>
        <v>Acumulação de resíduos destinados a uma das operações enumeradas de R1 a R12</v>
      </c>
      <c r="J46" s="91"/>
      <c r="K46" s="91"/>
      <c r="L46" s="91"/>
    </row>
    <row r="47" spans="2:12" ht="15.75" thickBot="1" x14ac:dyDescent="0.3">
      <c r="B47" s="82" t="s">
        <v>534</v>
      </c>
      <c r="C47" s="142">
        <v>150111</v>
      </c>
      <c r="D47" s="83" t="s">
        <v>1548</v>
      </c>
      <c r="E47" s="125" t="s">
        <v>34</v>
      </c>
      <c r="F47" s="139">
        <f t="array" ref="F47">SUMPRODUCT(IF(C$87:C$222=C47,1,0),IF(H$87:H$222=H47,1,0),IF(G$87:G$222=G47,1,0),F$87:F$222)</f>
        <v>7.1999999999999995E-2</v>
      </c>
      <c r="G47" s="125" t="s">
        <v>1532</v>
      </c>
      <c r="H47" s="139" t="s">
        <v>484</v>
      </c>
      <c r="I47" s="91" t="str">
        <f>IFERROR(INDEX(Tabela3[Tipos de Tratamento],MATCH('A3.9.1'!H47,Tabela3[Código],0)),"")</f>
        <v>Acumulação de resíduos destinados a uma das operações enumeradas de R1 a R12</v>
      </c>
      <c r="J47" s="91"/>
      <c r="K47" s="91"/>
      <c r="L47" s="91"/>
    </row>
    <row r="48" spans="2:12" ht="15.75" thickBot="1" x14ac:dyDescent="0.3">
      <c r="B48" s="82" t="s">
        <v>534</v>
      </c>
      <c r="C48" s="142">
        <v>150111</v>
      </c>
      <c r="D48" s="83" t="s">
        <v>1549</v>
      </c>
      <c r="E48" s="125" t="s">
        <v>34</v>
      </c>
      <c r="F48" s="139">
        <f t="array" ref="F48">SUMPRODUCT(IF(C$87:C$222=C48,1,0),IF(H$87:H$222=H48,1,0),IF(G$87:G$222=G48,1,0),F$87:F$222)</f>
        <v>7.1999999999999995E-2</v>
      </c>
      <c r="G48" s="125" t="s">
        <v>1532</v>
      </c>
      <c r="H48" s="139" t="s">
        <v>484</v>
      </c>
      <c r="I48" s="91" t="str">
        <f>IFERROR(INDEX(Tabela3[Tipos de Tratamento],MATCH('A3.9.1'!H48,Tabela3[Código],0)),"")</f>
        <v>Acumulação de resíduos destinados a uma das operações enumeradas de R1 a R12</v>
      </c>
      <c r="J48" s="91"/>
      <c r="K48" s="91"/>
      <c r="L48" s="91"/>
    </row>
    <row r="49" spans="2:12" ht="15.75" thickBot="1" x14ac:dyDescent="0.3">
      <c r="B49" s="82" t="s">
        <v>534</v>
      </c>
      <c r="C49" s="142">
        <v>150202</v>
      </c>
      <c r="D49" s="83" t="s">
        <v>1547</v>
      </c>
      <c r="E49" s="125" t="s">
        <v>34</v>
      </c>
      <c r="F49" s="139">
        <f t="array" ref="F49">SUMPRODUCT(IF(C$87:C$222=C49,1,0),IF(H$87:H$222=H49,1,0),IF(G$87:G$222=G49,1,0),F$87:F$222)</f>
        <v>8.8339999999999996</v>
      </c>
      <c r="G49" s="125" t="s">
        <v>1532</v>
      </c>
      <c r="H49" s="139" t="s">
        <v>484</v>
      </c>
      <c r="I49" s="91" t="str">
        <f>IFERROR(INDEX(Tabela3[Tipos de Tratamento],MATCH('A3.9.1'!H49,Tabela3[Código],0)),"")</f>
        <v>Acumulação de resíduos destinados a uma das operações enumeradas de R1 a R12</v>
      </c>
      <c r="J49" s="91"/>
      <c r="K49" s="91"/>
      <c r="L49" s="91"/>
    </row>
    <row r="50" spans="2:12" ht="15.75" thickBot="1" x14ac:dyDescent="0.3">
      <c r="B50" s="82" t="s">
        <v>534</v>
      </c>
      <c r="C50" s="142">
        <v>150202</v>
      </c>
      <c r="D50" s="83" t="s">
        <v>1547</v>
      </c>
      <c r="E50" s="125" t="s">
        <v>34</v>
      </c>
      <c r="F50" s="139">
        <f t="array" ref="F50">SUMPRODUCT(IF(C$87:C$222=C50,1,0),IF(H$87:H$222=H50,1,0),IF(G$87:G$222=G50,1,0),F$87:F$222)</f>
        <v>1.28</v>
      </c>
      <c r="G50" s="125" t="s">
        <v>1532</v>
      </c>
      <c r="H50" s="139" t="s">
        <v>483</v>
      </c>
      <c r="I50" s="91" t="str">
        <f>IFERROR(INDEX(Tabela3[Tipos de Tratamento],MATCH('A3.9.1'!H50,Tabela3[Código],0)),"")</f>
        <v xml:space="preserve">Troca de resíduos com vista a submetê-los a uma das operações enumeradas de R 1 a R 11 </v>
      </c>
      <c r="J50" s="91"/>
      <c r="K50" s="91"/>
      <c r="L50" s="91"/>
    </row>
    <row r="51" spans="2:12" ht="15.75" thickBot="1" x14ac:dyDescent="0.3">
      <c r="B51" s="82" t="s">
        <v>534</v>
      </c>
      <c r="C51" s="142">
        <v>150203</v>
      </c>
      <c r="D51" s="83" t="s">
        <v>1550</v>
      </c>
      <c r="E51" s="125" t="s">
        <v>42</v>
      </c>
      <c r="F51" s="139">
        <f t="array" ref="F51">SUMPRODUCT(IF(C$87:C$222=C51,1,0),IF(H$87:H$222=H51,1,0),IF(G$87:G$222=G51,1,0),F$87:F$222)</f>
        <v>8.1999999999999993</v>
      </c>
      <c r="G51" s="125" t="s">
        <v>1532</v>
      </c>
      <c r="H51" s="139" t="s">
        <v>483</v>
      </c>
      <c r="I51" s="91" t="str">
        <f>IFERROR(INDEX(Tabela3[Tipos de Tratamento],MATCH('A3.9.1'!H51,Tabela3[Código],0)),"")</f>
        <v xml:space="preserve">Troca de resíduos com vista a submetê-los a uma das operações enumeradas de R 1 a R 11 </v>
      </c>
      <c r="J51" s="91"/>
      <c r="K51" s="91"/>
      <c r="L51" s="91"/>
    </row>
    <row r="52" spans="2:12" ht="15.75" thickBot="1" x14ac:dyDescent="0.3">
      <c r="B52" s="82" t="s">
        <v>534</v>
      </c>
      <c r="C52" s="142">
        <v>150203</v>
      </c>
      <c r="D52" s="83" t="s">
        <v>1550</v>
      </c>
      <c r="E52" s="125" t="s">
        <v>42</v>
      </c>
      <c r="F52" s="139">
        <f t="array" ref="F52">SUMPRODUCT(IF(C$87:C$222=C52,1,0),IF(H$87:H$222=H52,1,0),IF(G$87:G$222=G52,1,0),F$87:F$222)</f>
        <v>0.2</v>
      </c>
      <c r="G52" s="125" t="s">
        <v>1532</v>
      </c>
      <c r="H52" s="139" t="s">
        <v>509</v>
      </c>
      <c r="I52" s="91" t="str">
        <f>IFERROR(INDEX(Tabela3[Tipos de Tratamento],MATCH('A3.9.1'!H52,Tabela3[Código],0)),"")</f>
        <v>Armazenagem enquanto se aguarda a execução de uma das operações enumeradas de D1 a D14</v>
      </c>
      <c r="J52" s="91"/>
      <c r="K52" s="91"/>
      <c r="L52" s="91"/>
    </row>
    <row r="53" spans="2:12" ht="15.75" thickBot="1" x14ac:dyDescent="0.3">
      <c r="B53" s="82" t="s">
        <v>534</v>
      </c>
      <c r="C53" s="142">
        <v>160103</v>
      </c>
      <c r="D53" s="83" t="s">
        <v>1582</v>
      </c>
      <c r="E53" s="125" t="s">
        <v>42</v>
      </c>
      <c r="F53" s="139">
        <f t="array" ref="F53">SUMPRODUCT(IF(C$87:C$222=C53,1,0),IF(H$87:H$222=H53,1,0),IF(G$87:G$222=G53,1,0),F$87:F$222)</f>
        <v>0</v>
      </c>
      <c r="G53" s="125" t="s">
        <v>1532</v>
      </c>
      <c r="H53" s="139" t="s">
        <v>484</v>
      </c>
      <c r="I53" s="91" t="str">
        <f>IFERROR(INDEX(Tabela3[Tipos de Tratamento],MATCH('A3.9.1'!H53,Tabela3[Código],0)),"")</f>
        <v>Acumulação de resíduos destinados a uma das operações enumeradas de R1 a R12</v>
      </c>
      <c r="J53" s="91"/>
      <c r="K53" s="91"/>
      <c r="L53" s="91"/>
    </row>
    <row r="54" spans="2:12" ht="15.75" thickBot="1" x14ac:dyDescent="0.3">
      <c r="B54" s="82" t="s">
        <v>534</v>
      </c>
      <c r="C54" s="142">
        <v>160104</v>
      </c>
      <c r="D54" s="83" t="s">
        <v>1584</v>
      </c>
      <c r="E54" s="125" t="s">
        <v>34</v>
      </c>
      <c r="F54" s="139">
        <f t="array" ref="F54">SUMPRODUCT(IF(C$87:C$222=C54,1,0),IF(H$87:H$222=H54,1,0),IF(G$87:G$222=G54,1,0),F$87:F$222)</f>
        <v>0</v>
      </c>
      <c r="G54" s="125" t="s">
        <v>1532</v>
      </c>
      <c r="H54" s="139" t="s">
        <v>484</v>
      </c>
      <c r="I54" s="91" t="str">
        <f>IFERROR(INDEX(Tabela3[Tipos de Tratamento],MATCH('A3.9.1'!H54,Tabela3[Código],0)),"")</f>
        <v>Acumulação de resíduos destinados a uma das operações enumeradas de R1 a R12</v>
      </c>
      <c r="J54" s="91"/>
      <c r="K54" s="91"/>
      <c r="L54" s="91"/>
    </row>
    <row r="55" spans="2:12" ht="15.75" thickBot="1" x14ac:dyDescent="0.3">
      <c r="B55" s="82" t="s">
        <v>534</v>
      </c>
      <c r="C55" s="142">
        <v>160106</v>
      </c>
      <c r="D55" s="83" t="s">
        <v>1592</v>
      </c>
      <c r="E55" s="125" t="s">
        <v>42</v>
      </c>
      <c r="F55" s="139">
        <f t="array" ref="F55">SUMPRODUCT(IF(C$87:C$222=C55,1,0),IF(H$87:H$222=H55,1,0),IF(G$87:G$222=G55,1,0),F$87:F$222)</f>
        <v>0</v>
      </c>
      <c r="G55" s="125" t="s">
        <v>1532</v>
      </c>
      <c r="H55" s="139" t="s">
        <v>483</v>
      </c>
      <c r="I55" s="91" t="str">
        <f>IFERROR(INDEX(Tabela3[Tipos de Tratamento],MATCH('A3.9.1'!H55,Tabela3[Código],0)),"")</f>
        <v xml:space="preserve">Troca de resíduos com vista a submetê-los a uma das operações enumeradas de R 1 a R 11 </v>
      </c>
      <c r="J55" s="91"/>
      <c r="K55" s="91"/>
      <c r="L55" s="91"/>
    </row>
    <row r="56" spans="2:12" ht="15.75" thickBot="1" x14ac:dyDescent="0.3">
      <c r="B56" s="82" t="s">
        <v>534</v>
      </c>
      <c r="C56" s="142">
        <v>160107</v>
      </c>
      <c r="D56" s="83" t="s">
        <v>1551</v>
      </c>
      <c r="E56" s="125" t="s">
        <v>34</v>
      </c>
      <c r="F56" s="139">
        <f t="array" ref="F56">SUMPRODUCT(IF(C$87:C$222=C56,1,0),IF(H$87:H$222=H56,1,0),IF(G$87:G$222=G56,1,0),F$87:F$222)</f>
        <v>4.1440000000000001</v>
      </c>
      <c r="G56" s="125" t="s">
        <v>1532</v>
      </c>
      <c r="H56" s="139" t="s">
        <v>484</v>
      </c>
      <c r="I56" s="91" t="str">
        <f>IFERROR(INDEX(Tabela3[Tipos de Tratamento],MATCH('A3.9.1'!H56,Tabela3[Código],0)),"")</f>
        <v>Acumulação de resíduos destinados a uma das operações enumeradas de R1 a R12</v>
      </c>
      <c r="J56" s="91"/>
      <c r="K56" s="91"/>
      <c r="L56" s="91"/>
    </row>
    <row r="57" spans="2:12" ht="15.75" thickBot="1" x14ac:dyDescent="0.3">
      <c r="B57" s="82" t="s">
        <v>534</v>
      </c>
      <c r="C57" s="142">
        <v>160112</v>
      </c>
      <c r="D57" s="83" t="s">
        <v>1552</v>
      </c>
      <c r="E57" s="125" t="s">
        <v>34</v>
      </c>
      <c r="F57" s="139">
        <f t="array" ref="F57">SUMPRODUCT(IF(C$87:C$222=C57,1,0),IF(H$87:H$222=H57,1,0),IF(G$87:G$222=G57,1,0),F$87:F$222)</f>
        <v>2.4300000000000002</v>
      </c>
      <c r="G57" s="125" t="s">
        <v>1532</v>
      </c>
      <c r="H57" s="139" t="s">
        <v>483</v>
      </c>
      <c r="I57" s="91" t="str">
        <f>IFERROR(INDEX(Tabela3[Tipos de Tratamento],MATCH('A3.9.1'!H57,Tabela3[Código],0)),"")</f>
        <v xml:space="preserve">Troca de resíduos com vista a submetê-los a uma das operações enumeradas de R 1 a R 11 </v>
      </c>
      <c r="J57" s="91"/>
      <c r="K57" s="91"/>
      <c r="L57" s="91"/>
    </row>
    <row r="58" spans="2:12" ht="15.75" thickBot="1" x14ac:dyDescent="0.3">
      <c r="B58" s="82" t="s">
        <v>534</v>
      </c>
      <c r="C58" s="142">
        <v>160117</v>
      </c>
      <c r="D58" s="83" t="s">
        <v>1557</v>
      </c>
      <c r="E58" s="125" t="s">
        <v>42</v>
      </c>
      <c r="F58" s="139">
        <f t="array" ref="F58">SUMPRODUCT(IF(C$87:C$222=C58,1,0),IF(H$87:H$222=H58,1,0),IF(G$87:G$222=G58,1,0),F$87:F$222)</f>
        <v>17.5</v>
      </c>
      <c r="G58" s="125" t="s">
        <v>1532</v>
      </c>
      <c r="H58" s="139" t="s">
        <v>483</v>
      </c>
      <c r="I58" s="91" t="str">
        <f>IFERROR(INDEX(Tabela3[Tipos de Tratamento],MATCH('A3.9.1'!H58,Tabela3[Código],0)),"")</f>
        <v xml:space="preserve">Troca de resíduos com vista a submetê-los a uma das operações enumeradas de R 1 a R 11 </v>
      </c>
      <c r="J58" s="91"/>
      <c r="K58" s="91"/>
      <c r="L58" s="91"/>
    </row>
    <row r="59" spans="2:12" ht="15.75" thickBot="1" x14ac:dyDescent="0.3">
      <c r="B59" s="82" t="s">
        <v>534</v>
      </c>
      <c r="C59" s="142">
        <v>160119</v>
      </c>
      <c r="D59" s="83" t="s">
        <v>1560</v>
      </c>
      <c r="E59" s="125" t="s">
        <v>42</v>
      </c>
      <c r="F59" s="139">
        <f t="array" ref="F59">SUMPRODUCT(IF(C$87:C$222=C59,1,0),IF(H$87:H$222=H59,1,0),IF(G$87:G$222=G59,1,0),F$87:F$222)</f>
        <v>0.63300000000000001</v>
      </c>
      <c r="G59" s="125" t="s">
        <v>1532</v>
      </c>
      <c r="H59" s="139" t="s">
        <v>483</v>
      </c>
      <c r="I59" s="91" t="str">
        <f>IFERROR(INDEX(Tabela3[Tipos de Tratamento],MATCH('A3.9.1'!H59,Tabela3[Código],0)),"")</f>
        <v xml:space="preserve">Troca de resíduos com vista a submetê-los a uma das operações enumeradas de R 1 a R 11 </v>
      </c>
      <c r="J59" s="91"/>
      <c r="K59" s="91"/>
      <c r="L59" s="91"/>
    </row>
    <row r="60" spans="2:12" ht="15.75" thickBot="1" x14ac:dyDescent="0.3">
      <c r="B60" s="82" t="s">
        <v>534</v>
      </c>
      <c r="C60" s="142">
        <v>160120</v>
      </c>
      <c r="D60" s="83" t="s">
        <v>1561</v>
      </c>
      <c r="E60" s="125" t="s">
        <v>42</v>
      </c>
      <c r="F60" s="139">
        <f t="array" ref="F60">SUMPRODUCT(IF(C$87:C$222=C60,1,0),IF(H$87:H$222=H60,1,0),IF(G$87:G$222=G60,1,0),F$87:F$222)</f>
        <v>0</v>
      </c>
      <c r="G60" s="125" t="s">
        <v>1532</v>
      </c>
      <c r="H60" s="139" t="s">
        <v>483</v>
      </c>
      <c r="I60" s="91" t="str">
        <f>IFERROR(INDEX(Tabela3[Tipos de Tratamento],MATCH('A3.9.1'!H60,Tabela3[Código],0)),"")</f>
        <v xml:space="preserve">Troca de resíduos com vista a submetê-los a uma das operações enumeradas de R 1 a R 11 </v>
      </c>
      <c r="J60" s="91"/>
      <c r="K60" s="91"/>
      <c r="L60" s="91"/>
    </row>
    <row r="61" spans="2:12" ht="15.75" thickBot="1" x14ac:dyDescent="0.3">
      <c r="B61" s="82" t="s">
        <v>534</v>
      </c>
      <c r="C61" s="142">
        <v>160121</v>
      </c>
      <c r="D61" s="83" t="s">
        <v>1576</v>
      </c>
      <c r="E61" s="125" t="s">
        <v>34</v>
      </c>
      <c r="F61" s="139">
        <f t="array" ref="F61">SUMPRODUCT(IF(C$87:C$222=C61,1,0),IF(H$87:H$222=H61,1,0),IF(G$87:G$222=G61,1,0),F$87:F$222)</f>
        <v>0.16800000000000001</v>
      </c>
      <c r="G61" s="125" t="s">
        <v>1532</v>
      </c>
      <c r="H61" s="139" t="s">
        <v>509</v>
      </c>
      <c r="I61" s="91" t="str">
        <f>IFERROR(INDEX(Tabela3[Tipos de Tratamento],MATCH('A3.9.1'!H61,Tabela3[Código],0)),"")</f>
        <v>Armazenagem enquanto se aguarda a execução de uma das operações enumeradas de D1 a D14</v>
      </c>
      <c r="J61" s="91"/>
      <c r="K61" s="91"/>
      <c r="L61" s="91"/>
    </row>
    <row r="62" spans="2:12" ht="15.75" thickBot="1" x14ac:dyDescent="0.3">
      <c r="B62" s="82" t="s">
        <v>534</v>
      </c>
      <c r="C62" s="142">
        <v>160121</v>
      </c>
      <c r="D62" s="83" t="s">
        <v>1576</v>
      </c>
      <c r="E62" s="125" t="s">
        <v>34</v>
      </c>
      <c r="F62" s="139">
        <f t="array" ref="F62">SUMPRODUCT(IF(C$87:C$222=C62,1,0),IF(H$87:H$222=H62,1,0),IF(G$87:G$222=G62,1,0),F$87:F$222)</f>
        <v>0.84</v>
      </c>
      <c r="G62" s="125" t="s">
        <v>1532</v>
      </c>
      <c r="H62" s="139" t="s">
        <v>484</v>
      </c>
      <c r="I62" s="91" t="str">
        <f>IFERROR(INDEX(Tabela3[Tipos de Tratamento],MATCH('A3.9.1'!H62,Tabela3[Código],0)),"")</f>
        <v>Acumulação de resíduos destinados a uma das operações enumeradas de R1 a R12</v>
      </c>
      <c r="J62" s="91"/>
      <c r="K62" s="91"/>
      <c r="L62" s="91"/>
    </row>
    <row r="63" spans="2:12" ht="15.75" thickBot="1" x14ac:dyDescent="0.3">
      <c r="B63" s="82" t="s">
        <v>534</v>
      </c>
      <c r="C63" s="142">
        <v>160199</v>
      </c>
      <c r="D63" s="83" t="s">
        <v>1562</v>
      </c>
      <c r="E63" s="125" t="s">
        <v>42</v>
      </c>
      <c r="F63" s="139">
        <f t="array" ref="F63">SUMPRODUCT(IF(C$87:C$222=C63,1,0),IF(H$87:H$222=H63,1,0),IF(G$87:G$222=G63,1,0),F$87:F$222)</f>
        <v>2.8380000000000001</v>
      </c>
      <c r="G63" s="125" t="s">
        <v>1532</v>
      </c>
      <c r="H63" s="139" t="s">
        <v>483</v>
      </c>
      <c r="I63" s="91" t="str">
        <f>IFERROR(INDEX(Tabela3[Tipos de Tratamento],MATCH('A3.9.1'!H63,Tabela3[Código],0)),"")</f>
        <v xml:space="preserve">Troca de resíduos com vista a submetê-los a uma das operações enumeradas de R 1 a R 11 </v>
      </c>
      <c r="J63" s="91"/>
      <c r="K63" s="91"/>
      <c r="L63" s="91"/>
    </row>
    <row r="64" spans="2:12" ht="15.75" thickBot="1" x14ac:dyDescent="0.3">
      <c r="B64" s="82" t="s">
        <v>534</v>
      </c>
      <c r="C64" s="142">
        <v>160199</v>
      </c>
      <c r="D64" s="83" t="s">
        <v>1562</v>
      </c>
      <c r="E64" s="125" t="s">
        <v>42</v>
      </c>
      <c r="F64" s="139">
        <f t="array" ref="F64">SUMPRODUCT(IF(C$87:C$222=C64,1,0),IF(H$87:H$222=H64,1,0),IF(G$87:G$222=G64,1,0),F$87:F$222)</f>
        <v>0.34</v>
      </c>
      <c r="G64" s="125" t="s">
        <v>1532</v>
      </c>
      <c r="H64" s="139" t="s">
        <v>509</v>
      </c>
      <c r="I64" s="91" t="str">
        <f>IFERROR(INDEX(Tabela3[Tipos de Tratamento],MATCH('A3.9.1'!H64,Tabela3[Código],0)),"")</f>
        <v>Armazenagem enquanto se aguarda a execução de uma das operações enumeradas de D1 a D14</v>
      </c>
      <c r="J64" s="91"/>
      <c r="K64" s="91"/>
      <c r="L64" s="91"/>
    </row>
    <row r="65" spans="2:12" ht="15.75" thickBot="1" x14ac:dyDescent="0.3">
      <c r="B65" s="82" t="s">
        <v>534</v>
      </c>
      <c r="C65" s="142">
        <v>160601</v>
      </c>
      <c r="D65" s="83" t="s">
        <v>1563</v>
      </c>
      <c r="E65" s="125" t="s">
        <v>34</v>
      </c>
      <c r="F65" s="139">
        <f t="array" ref="F65">SUMPRODUCT(IF(C$87:C$222=C65,1,0),IF(H$87:H$222=H65,1,0),IF(G$87:G$222=G65,1,0),F$87:F$222)</f>
        <v>2.04</v>
      </c>
      <c r="G65" s="125" t="s">
        <v>1532</v>
      </c>
      <c r="H65" s="139" t="s">
        <v>483</v>
      </c>
      <c r="I65" s="91" t="str">
        <f>IFERROR(INDEX(Tabela3[Tipos de Tratamento],MATCH('A3.9.1'!H65,Tabela3[Código],0)),"")</f>
        <v xml:space="preserve">Troca de resíduos com vista a submetê-los a uma das operações enumeradas de R 1 a R 11 </v>
      </c>
      <c r="J65" s="91"/>
      <c r="K65" s="91"/>
      <c r="L65" s="91"/>
    </row>
    <row r="66" spans="2:12" ht="15.75" thickBot="1" x14ac:dyDescent="0.3">
      <c r="B66" s="82" t="s">
        <v>534</v>
      </c>
      <c r="C66" s="142">
        <v>160601</v>
      </c>
      <c r="D66" s="83" t="s">
        <v>1563</v>
      </c>
      <c r="E66" s="125" t="s">
        <v>34</v>
      </c>
      <c r="F66" s="139">
        <f t="array" ref="F66">SUMPRODUCT(IF(C$87:C$222=C66,1,0),IF(H$87:H$222=H66,1,0),IF(G$87:G$222=G66,1,0),F$87:F$222)</f>
        <v>15.299999999999999</v>
      </c>
      <c r="G66" s="125" t="s">
        <v>1532</v>
      </c>
      <c r="H66" s="139" t="s">
        <v>484</v>
      </c>
      <c r="I66" s="91" t="str">
        <f>IFERROR(INDEX(Tabela3[Tipos de Tratamento],MATCH('A3.9.1'!H66,Tabela3[Código],0)),"")</f>
        <v>Acumulação de resíduos destinados a uma das operações enumeradas de R1 a R12</v>
      </c>
      <c r="J66" s="91"/>
      <c r="K66" s="91"/>
      <c r="L66" s="91"/>
    </row>
    <row r="67" spans="2:12" ht="15.75" thickBot="1" x14ac:dyDescent="0.3">
      <c r="B67" s="82" t="s">
        <v>534</v>
      </c>
      <c r="C67" s="142">
        <v>190805</v>
      </c>
      <c r="D67" s="83" t="s">
        <v>1577</v>
      </c>
      <c r="E67" s="125" t="s">
        <v>42</v>
      </c>
      <c r="F67" s="139">
        <f t="array" ref="F67">SUMPRODUCT(IF(C$87:C$222=C67,1,0),IF(H$87:H$222=H67,1,0),IF(G$87:G$222=G67,1,0),F$87:F$222)</f>
        <v>0.86</v>
      </c>
      <c r="G67" s="125" t="s">
        <v>1532</v>
      </c>
      <c r="H67" s="139" t="s">
        <v>483</v>
      </c>
      <c r="I67" s="91" t="str">
        <f>IFERROR(INDEX(Tabela3[Tipos de Tratamento],MATCH('A3.9.1'!H67,Tabela3[Código],0)),"")</f>
        <v xml:space="preserve">Troca de resíduos com vista a submetê-los a uma das operações enumeradas de R 1 a R 11 </v>
      </c>
      <c r="J67" s="91"/>
      <c r="K67" s="91"/>
      <c r="L67" s="91"/>
    </row>
    <row r="68" spans="2:12" ht="15.75" thickBot="1" x14ac:dyDescent="0.3">
      <c r="B68" s="82" t="s">
        <v>534</v>
      </c>
      <c r="C68" s="142">
        <v>200101</v>
      </c>
      <c r="D68" s="83" t="s">
        <v>1597</v>
      </c>
      <c r="E68" s="125" t="s">
        <v>42</v>
      </c>
      <c r="F68" s="139">
        <f t="array" ref="F68">SUMPRODUCT(IF(C$87:C$222=C68,1,0),IF(H$87:H$222=H68,1,0),IF(G$87:G$222=G68,1,0),F$87:F$222)</f>
        <v>3.92</v>
      </c>
      <c r="G68" s="125" t="s">
        <v>1532</v>
      </c>
      <c r="H68" s="139" t="s">
        <v>483</v>
      </c>
      <c r="I68" s="91" t="str">
        <f>IFERROR(INDEX(Tabela3[Tipos de Tratamento],MATCH('A3.9.1'!H68,Tabela3[Código],0)),"")</f>
        <v xml:space="preserve">Troca de resíduos com vista a submetê-los a uma das operações enumeradas de R 1 a R 11 </v>
      </c>
      <c r="J68" s="91"/>
      <c r="K68" s="91"/>
      <c r="L68" s="91"/>
    </row>
    <row r="69" spans="2:12" ht="15.75" thickBot="1" x14ac:dyDescent="0.3">
      <c r="B69" s="82" t="s">
        <v>534</v>
      </c>
      <c r="C69" s="142">
        <v>200102</v>
      </c>
      <c r="D69" s="83" t="s">
        <v>1561</v>
      </c>
      <c r="E69" s="125" t="s">
        <v>42</v>
      </c>
      <c r="F69" s="139">
        <f t="array" ref="F69">SUMPRODUCT(IF(C$87:C$222=C69,1,0),IF(H$87:H$222=H69,1,0),IF(G$87:G$222=G69,1,0),F$87:F$222)</f>
        <v>5.1820000000000004</v>
      </c>
      <c r="G69" s="125" t="s">
        <v>1532</v>
      </c>
      <c r="H69" s="139" t="s">
        <v>483</v>
      </c>
      <c r="I69" s="91" t="str">
        <f>IFERROR(INDEX(Tabela3[Tipos de Tratamento],MATCH('A3.9.1'!H69,Tabela3[Código],0)),"")</f>
        <v xml:space="preserve">Troca de resíduos com vista a submetê-los a uma das operações enumeradas de R 1 a R 11 </v>
      </c>
      <c r="J69" s="91"/>
      <c r="K69" s="91"/>
      <c r="L69" s="91"/>
    </row>
    <row r="70" spans="2:12" ht="15.75" thickBot="1" x14ac:dyDescent="0.3">
      <c r="B70" s="82" t="s">
        <v>534</v>
      </c>
      <c r="C70" s="142">
        <v>200121</v>
      </c>
      <c r="D70" s="83" t="s">
        <v>1564</v>
      </c>
      <c r="E70" s="125" t="s">
        <v>34</v>
      </c>
      <c r="F70" s="139">
        <f t="array" ref="F70">SUMPRODUCT(IF(C$87:C$222=C70,1,0),IF(H$87:H$222=H70,1,0),IF(G$87:G$222=G70,1,0),F$87:F$222)</f>
        <v>8.5999999999999993E-2</v>
      </c>
      <c r="G70" s="125" t="s">
        <v>1532</v>
      </c>
      <c r="H70" s="139" t="s">
        <v>484</v>
      </c>
      <c r="I70" s="91" t="str">
        <f>IFERROR(INDEX(Tabela3[Tipos de Tratamento],MATCH('A3.9.1'!H70,Tabela3[Código],0)),"")</f>
        <v>Acumulação de resíduos destinados a uma das operações enumeradas de R1 a R12</v>
      </c>
      <c r="J70" s="91"/>
      <c r="K70" s="91"/>
      <c r="L70" s="91"/>
    </row>
    <row r="71" spans="2:12" ht="15.75" thickBot="1" x14ac:dyDescent="0.3">
      <c r="B71" s="82" t="s">
        <v>534</v>
      </c>
      <c r="C71" s="142">
        <v>200125</v>
      </c>
      <c r="D71" s="83" t="s">
        <v>1565</v>
      </c>
      <c r="E71" s="125" t="s">
        <v>42</v>
      </c>
      <c r="F71" s="139">
        <f t="array" ref="F71">SUMPRODUCT(IF(C$87:C$222=C71,1,0),IF(H$87:H$222=H71,1,0),IF(G$87:G$222=G71,1,0),F$87:F$222)</f>
        <v>0.31</v>
      </c>
      <c r="G71" s="125" t="s">
        <v>1532</v>
      </c>
      <c r="H71" s="139" t="s">
        <v>483</v>
      </c>
      <c r="I71" s="91" t="str">
        <f>IFERROR(INDEX(Tabela3[Tipos de Tratamento],MATCH('A3.9.1'!H71,Tabela3[Código],0)),"")</f>
        <v xml:space="preserve">Troca de resíduos com vista a submetê-los a uma das operações enumeradas de R 1 a R 11 </v>
      </c>
      <c r="J71" s="91"/>
      <c r="K71" s="91"/>
      <c r="L71" s="91"/>
    </row>
    <row r="72" spans="2:12" ht="15.75" thickBot="1" x14ac:dyDescent="0.3">
      <c r="B72" s="82" t="s">
        <v>534</v>
      </c>
      <c r="C72" s="142">
        <v>200136</v>
      </c>
      <c r="D72" s="83" t="s">
        <v>1568</v>
      </c>
      <c r="E72" s="125" t="s">
        <v>42</v>
      </c>
      <c r="F72" s="139">
        <f t="array" ref="F72">SUMPRODUCT(IF(C$87:C$222=C72,1,0),IF(H$87:H$222=H72,1,0),IF(G$87:G$222=G72,1,0),F$87:F$222)</f>
        <v>0.80600000000000005</v>
      </c>
      <c r="G72" s="125" t="s">
        <v>1532</v>
      </c>
      <c r="H72" s="139" t="s">
        <v>483</v>
      </c>
      <c r="I72" s="91" t="str">
        <f>IFERROR(INDEX(Tabela3[Tipos de Tratamento],MATCH('A3.9.1'!H72,Tabela3[Código],0)),"")</f>
        <v xml:space="preserve">Troca de resíduos com vista a submetê-los a uma das operações enumeradas de R 1 a R 11 </v>
      </c>
      <c r="J72" s="91"/>
      <c r="K72" s="91"/>
      <c r="L72" s="91"/>
    </row>
    <row r="73" spans="2:12" ht="15.75" thickBot="1" x14ac:dyDescent="0.3">
      <c r="B73" s="82" t="s">
        <v>534</v>
      </c>
      <c r="C73" s="142">
        <v>200301</v>
      </c>
      <c r="D73" s="83" t="s">
        <v>1610</v>
      </c>
      <c r="E73" s="125" t="s">
        <v>42</v>
      </c>
      <c r="F73" s="139">
        <f t="array" ref="F73">SUMPRODUCT(IF(C$87:C$222=C73,1,0),IF(H$87:H$222=H73,1,0),IF(G$87:G$222=G73,1,0),F$87:F$222)</f>
        <v>0</v>
      </c>
      <c r="G73" s="125" t="s">
        <v>1532</v>
      </c>
      <c r="H73" s="139" t="s">
        <v>483</v>
      </c>
      <c r="I73" s="91" t="str">
        <f>IFERROR(INDEX(Tabela3[Tipos de Tratamento],MATCH('A3.9.1'!H73,Tabela3[Código],0)),"")</f>
        <v xml:space="preserve">Troca de resíduos com vista a submetê-los a uma das operações enumeradas de R 1 a R 11 </v>
      </c>
      <c r="J73" s="91"/>
      <c r="K73" s="91"/>
      <c r="L73" s="91"/>
    </row>
    <row r="74" spans="2:12" ht="15.75" thickBot="1" x14ac:dyDescent="0.3">
      <c r="B74" s="82" t="s">
        <v>534</v>
      </c>
      <c r="C74" s="142">
        <v>200301</v>
      </c>
      <c r="D74" s="83" t="s">
        <v>1610</v>
      </c>
      <c r="E74" s="125" t="s">
        <v>42</v>
      </c>
      <c r="F74" s="139">
        <f t="array" ref="F74">SUMPRODUCT(IF(C$87:C$222=C74,1,0),IF(H$87:H$222=H74,1,0),IF(G$87:G$222=G74,1,0),F$87:F$222)</f>
        <v>0</v>
      </c>
      <c r="G74" s="125" t="s">
        <v>1532</v>
      </c>
      <c r="H74" s="139" t="s">
        <v>509</v>
      </c>
      <c r="I74" s="91" t="str">
        <f>IFERROR(INDEX(Tabela3[Tipos de Tratamento],MATCH('A3.9.1'!H74,Tabela3[Código],0)),"")</f>
        <v>Armazenagem enquanto se aguarda a execução de uma das operações enumeradas de D1 a D14</v>
      </c>
      <c r="J74" s="91"/>
      <c r="K74" s="91"/>
      <c r="L74" s="91"/>
    </row>
    <row r="75" spans="2:12" ht="15.75" thickBot="1" x14ac:dyDescent="0.3">
      <c r="B75" s="82" t="s">
        <v>535</v>
      </c>
      <c r="C75" s="142">
        <v>130208</v>
      </c>
      <c r="D75" s="83" t="s">
        <v>1531</v>
      </c>
      <c r="E75" s="125" t="s">
        <v>34</v>
      </c>
      <c r="F75" s="139">
        <v>0.88</v>
      </c>
      <c r="G75" s="125" t="s">
        <v>1532</v>
      </c>
      <c r="H75" s="125" t="s">
        <v>480</v>
      </c>
      <c r="I75" s="91" t="str">
        <f>IFERROR(INDEX(Tabela3[Tipos de Tratamento],MATCH('A3.9.1'!H75,Tabela3[Código],0)),"")</f>
        <v xml:space="preserve">Regeneração de óleos e outras reutilizações de óleos </v>
      </c>
      <c r="J75" s="91" t="s">
        <v>1535</v>
      </c>
      <c r="K75" s="91" t="s">
        <v>1536</v>
      </c>
      <c r="L75" s="91"/>
    </row>
    <row r="76" spans="2:12" ht="15.75" thickBot="1" x14ac:dyDescent="0.3">
      <c r="B76" s="82" t="s">
        <v>535</v>
      </c>
      <c r="C76" s="142">
        <v>130502</v>
      </c>
      <c r="D76" s="83" t="s">
        <v>1569</v>
      </c>
      <c r="E76" s="125" t="s">
        <v>34</v>
      </c>
      <c r="F76" s="139">
        <v>10.78</v>
      </c>
      <c r="G76" s="125" t="s">
        <v>1532</v>
      </c>
      <c r="H76" s="125" t="s">
        <v>483</v>
      </c>
      <c r="I76" s="91" t="s">
        <v>485</v>
      </c>
      <c r="J76" s="91" t="s">
        <v>1570</v>
      </c>
      <c r="K76" s="91" t="s">
        <v>1571</v>
      </c>
      <c r="L76" s="91"/>
    </row>
    <row r="77" spans="2:12" ht="15.75" thickBot="1" x14ac:dyDescent="0.3">
      <c r="B77" s="82" t="s">
        <v>535</v>
      </c>
      <c r="C77" s="142">
        <v>130507</v>
      </c>
      <c r="D77" s="83" t="s">
        <v>1572</v>
      </c>
      <c r="E77" s="125" t="s">
        <v>34</v>
      </c>
      <c r="F77" s="139">
        <v>6.28</v>
      </c>
      <c r="G77" s="125" t="s">
        <v>1532</v>
      </c>
      <c r="H77" s="125" t="s">
        <v>483</v>
      </c>
      <c r="I77" s="91" t="s">
        <v>485</v>
      </c>
      <c r="J77" s="91" t="s">
        <v>1570</v>
      </c>
      <c r="K77" s="91" t="s">
        <v>1571</v>
      </c>
      <c r="L77" s="91"/>
    </row>
    <row r="78" spans="2:12" ht="15.75" thickBot="1" x14ac:dyDescent="0.3">
      <c r="B78" s="82" t="s">
        <v>535</v>
      </c>
      <c r="C78" s="142">
        <v>150101</v>
      </c>
      <c r="D78" s="83" t="s">
        <v>1537</v>
      </c>
      <c r="E78" s="125" t="s">
        <v>42</v>
      </c>
      <c r="F78" s="139">
        <v>7.3999999999999996E-2</v>
      </c>
      <c r="G78" s="125" t="s">
        <v>1532</v>
      </c>
      <c r="H78" s="125" t="s">
        <v>483</v>
      </c>
      <c r="I78" s="91" t="s">
        <v>485</v>
      </c>
      <c r="J78" s="91" t="s">
        <v>1538</v>
      </c>
      <c r="K78" s="91" t="s">
        <v>1539</v>
      </c>
      <c r="L78" s="91"/>
    </row>
    <row r="79" spans="2:12" ht="15.75" thickBot="1" x14ac:dyDescent="0.3">
      <c r="B79" s="82" t="s">
        <v>535</v>
      </c>
      <c r="C79" s="142">
        <v>150202</v>
      </c>
      <c r="D79" s="83" t="s">
        <v>1547</v>
      </c>
      <c r="E79" s="125" t="s">
        <v>34</v>
      </c>
      <c r="F79" s="139">
        <v>0.08</v>
      </c>
      <c r="G79" s="125" t="s">
        <v>1532</v>
      </c>
      <c r="H79" s="125" t="s">
        <v>484</v>
      </c>
      <c r="I79" s="91" t="s">
        <v>1553</v>
      </c>
      <c r="J79" s="91" t="s">
        <v>1538</v>
      </c>
      <c r="K79" s="91" t="s">
        <v>1539</v>
      </c>
      <c r="L79" s="91"/>
    </row>
    <row r="80" spans="2:12" ht="15.75" thickBot="1" x14ac:dyDescent="0.3">
      <c r="B80" s="82" t="s">
        <v>535</v>
      </c>
      <c r="C80" s="142">
        <v>150203</v>
      </c>
      <c r="D80" s="83" t="s">
        <v>1550</v>
      </c>
      <c r="E80" s="125" t="s">
        <v>42</v>
      </c>
      <c r="F80" s="139">
        <v>0.2</v>
      </c>
      <c r="G80" s="125" t="s">
        <v>1532</v>
      </c>
      <c r="H80" s="125" t="s">
        <v>483</v>
      </c>
      <c r="I80" s="91" t="s">
        <v>485</v>
      </c>
      <c r="J80" s="91" t="s">
        <v>1538</v>
      </c>
      <c r="K80" s="91" t="s">
        <v>1539</v>
      </c>
      <c r="L80" s="91"/>
    </row>
    <row r="81" spans="2:12" ht="15.75" thickBot="1" x14ac:dyDescent="0.3">
      <c r="B81" s="82" t="s">
        <v>535</v>
      </c>
      <c r="C81" s="142">
        <v>160107</v>
      </c>
      <c r="D81" s="83" t="s">
        <v>1551</v>
      </c>
      <c r="E81" s="125" t="s">
        <v>34</v>
      </c>
      <c r="F81" s="139">
        <v>0.20799999999999999</v>
      </c>
      <c r="G81" s="125" t="s">
        <v>1532</v>
      </c>
      <c r="H81" s="125" t="s">
        <v>484</v>
      </c>
      <c r="I81" s="91" t="s">
        <v>1553</v>
      </c>
      <c r="J81" s="91" t="s">
        <v>1538</v>
      </c>
      <c r="K81" s="91" t="s">
        <v>1539</v>
      </c>
      <c r="L81" s="91"/>
    </row>
    <row r="82" spans="2:12" ht="15.75" thickBot="1" x14ac:dyDescent="0.3">
      <c r="B82" s="82" t="s">
        <v>535</v>
      </c>
      <c r="C82" s="142">
        <v>160112</v>
      </c>
      <c r="D82" s="83" t="s">
        <v>1552</v>
      </c>
      <c r="E82" s="125" t="s">
        <v>34</v>
      </c>
      <c r="F82" s="139">
        <v>0.27</v>
      </c>
      <c r="G82" s="125" t="s">
        <v>1532</v>
      </c>
      <c r="H82" s="125" t="s">
        <v>483</v>
      </c>
      <c r="I82" s="91" t="s">
        <v>485</v>
      </c>
      <c r="J82" s="91" t="s">
        <v>1538</v>
      </c>
      <c r="K82" s="91" t="s">
        <v>1539</v>
      </c>
      <c r="L82" s="91"/>
    </row>
    <row r="83" spans="2:12" ht="15.75" thickBot="1" x14ac:dyDescent="0.3">
      <c r="B83" s="82" t="s">
        <v>535</v>
      </c>
      <c r="C83" s="142">
        <v>160117</v>
      </c>
      <c r="D83" s="83" t="s">
        <v>1557</v>
      </c>
      <c r="E83" s="125" t="s">
        <v>42</v>
      </c>
      <c r="F83" s="139">
        <v>1.54</v>
      </c>
      <c r="G83" s="125" t="s">
        <v>1532</v>
      </c>
      <c r="H83" s="125" t="s">
        <v>483</v>
      </c>
      <c r="I83" s="91" t="s">
        <v>485</v>
      </c>
      <c r="J83" s="91" t="s">
        <v>1558</v>
      </c>
      <c r="K83" s="91" t="s">
        <v>1559</v>
      </c>
      <c r="L83" s="91"/>
    </row>
    <row r="84" spans="2:12" ht="15.75" thickBot="1" x14ac:dyDescent="0.3">
      <c r="B84" s="82" t="s">
        <v>535</v>
      </c>
      <c r="C84" s="142">
        <v>160119</v>
      </c>
      <c r="D84" s="83" t="s">
        <v>1560</v>
      </c>
      <c r="E84" s="125" t="s">
        <v>42</v>
      </c>
      <c r="F84" s="139">
        <v>2.8000000000000001E-2</v>
      </c>
      <c r="G84" s="125" t="s">
        <v>1532</v>
      </c>
      <c r="H84" s="125" t="s">
        <v>483</v>
      </c>
      <c r="I84" s="91" t="s">
        <v>485</v>
      </c>
      <c r="J84" s="91" t="s">
        <v>1538</v>
      </c>
      <c r="K84" s="91" t="s">
        <v>1539</v>
      </c>
      <c r="L84" s="91"/>
    </row>
    <row r="85" spans="2:12" ht="15.75" thickBot="1" x14ac:dyDescent="0.3">
      <c r="B85" s="82" t="s">
        <v>535</v>
      </c>
      <c r="C85" s="142">
        <v>160199</v>
      </c>
      <c r="D85" s="83" t="s">
        <v>1562</v>
      </c>
      <c r="E85" s="125" t="s">
        <v>42</v>
      </c>
      <c r="F85" s="139">
        <v>0.34</v>
      </c>
      <c r="G85" s="125" t="s">
        <v>1532</v>
      </c>
      <c r="H85" s="125" t="s">
        <v>483</v>
      </c>
      <c r="I85" s="91" t="s">
        <v>485</v>
      </c>
      <c r="J85" s="91" t="s">
        <v>1538</v>
      </c>
      <c r="K85" s="91" t="s">
        <v>1539</v>
      </c>
      <c r="L85" s="91"/>
    </row>
    <row r="86" spans="2:12" ht="15.75" thickBot="1" x14ac:dyDescent="0.3">
      <c r="B86" s="82" t="s">
        <v>535</v>
      </c>
      <c r="C86" s="142">
        <v>160601</v>
      </c>
      <c r="D86" s="83" t="s">
        <v>1563</v>
      </c>
      <c r="E86" s="125" t="s">
        <v>34</v>
      </c>
      <c r="F86" s="139">
        <v>1.82</v>
      </c>
      <c r="G86" s="125" t="s">
        <v>1532</v>
      </c>
      <c r="H86" s="125" t="s">
        <v>483</v>
      </c>
      <c r="I86" s="91" t="s">
        <v>485</v>
      </c>
      <c r="J86" s="91" t="s">
        <v>1558</v>
      </c>
      <c r="K86" s="91" t="s">
        <v>1559</v>
      </c>
      <c r="L86" s="91"/>
    </row>
    <row r="87" spans="2:12" ht="15.75" thickBot="1" x14ac:dyDescent="0.3">
      <c r="B87" s="114" t="s">
        <v>540</v>
      </c>
      <c r="C87" s="144">
        <v>130208</v>
      </c>
      <c r="D87" s="115" t="s">
        <v>1531</v>
      </c>
      <c r="E87" s="138" t="s">
        <v>34</v>
      </c>
      <c r="F87" s="140">
        <v>0</v>
      </c>
      <c r="G87" s="138" t="s">
        <v>1532</v>
      </c>
      <c r="H87" s="138" t="s">
        <v>480</v>
      </c>
      <c r="I87" s="114" t="str">
        <f>IFERROR(INDEX(Tabela3[Tipos de Tratamento],MATCH('A3.9.1'!H87,Tabela3[Código],0)),"")</f>
        <v xml:space="preserve">Regeneração de óleos e outras reutilizações de óleos </v>
      </c>
      <c r="J87" s="114" t="s">
        <v>1535</v>
      </c>
      <c r="K87" s="114" t="s">
        <v>1536</v>
      </c>
      <c r="L87" s="114"/>
    </row>
    <row r="88" spans="2:12" ht="15.75" thickBot="1" x14ac:dyDescent="0.3">
      <c r="B88" s="114" t="s">
        <v>545</v>
      </c>
      <c r="C88" s="144">
        <v>130208</v>
      </c>
      <c r="D88" s="115" t="s">
        <v>1531</v>
      </c>
      <c r="E88" s="138" t="s">
        <v>34</v>
      </c>
      <c r="F88" s="140">
        <f>100%*5.321</f>
        <v>5.3209999999999997</v>
      </c>
      <c r="G88" s="138" t="s">
        <v>1532</v>
      </c>
      <c r="H88" s="138" t="s">
        <v>480</v>
      </c>
      <c r="I88" s="114" t="str">
        <f>IFERROR(INDEX(Tabela3[Tipos de Tratamento],MATCH('A3.9.1'!H88,Tabela3[Código],0)),"")</f>
        <v xml:space="preserve">Regeneração de óleos e outras reutilizações de óleos </v>
      </c>
      <c r="J88" s="114" t="s">
        <v>1535</v>
      </c>
      <c r="K88" s="114" t="s">
        <v>1536</v>
      </c>
      <c r="L88" s="114"/>
    </row>
    <row r="89" spans="2:12" ht="15.75" thickBot="1" x14ac:dyDescent="0.3">
      <c r="B89" s="114" t="s">
        <v>540</v>
      </c>
      <c r="C89" s="144">
        <v>150101</v>
      </c>
      <c r="D89" s="115" t="s">
        <v>1537</v>
      </c>
      <c r="E89" s="138" t="s">
        <v>42</v>
      </c>
      <c r="F89" s="140">
        <f>30%*0.474</f>
        <v>0.14219999999999999</v>
      </c>
      <c r="G89" s="138" t="s">
        <v>1532</v>
      </c>
      <c r="H89" s="138" t="s">
        <v>483</v>
      </c>
      <c r="I89" s="114" t="str">
        <f>IFERROR(INDEX(Tabela3[Tipos de Tratamento],MATCH('A3.9.1'!H89,Tabela3[Código],0)),"")</f>
        <v xml:space="preserve">Troca de resíduos com vista a submetê-los a uma das operações enumeradas de R 1 a R 11 </v>
      </c>
      <c r="J89" s="114" t="s">
        <v>1538</v>
      </c>
      <c r="K89" s="114" t="s">
        <v>1539</v>
      </c>
      <c r="L89" s="114"/>
    </row>
    <row r="90" spans="2:12" ht="15.75" thickBot="1" x14ac:dyDescent="0.3">
      <c r="B90" s="114" t="s">
        <v>545</v>
      </c>
      <c r="C90" s="144">
        <v>150101</v>
      </c>
      <c r="D90" s="115" t="s">
        <v>1537</v>
      </c>
      <c r="E90" s="138" t="s">
        <v>42</v>
      </c>
      <c r="F90" s="140">
        <f>70%*0.474</f>
        <v>0.33179999999999998</v>
      </c>
      <c r="G90" s="138" t="s">
        <v>1532</v>
      </c>
      <c r="H90" s="138" t="s">
        <v>483</v>
      </c>
      <c r="I90" s="114" t="str">
        <f>IFERROR(INDEX(Tabela3[Tipos de Tratamento],MATCH('A3.9.1'!H90,Tabela3[Código],0)),"")</f>
        <v xml:space="preserve">Troca de resíduos com vista a submetê-los a uma das operações enumeradas de R 1 a R 11 </v>
      </c>
      <c r="J90" s="114" t="s">
        <v>1538</v>
      </c>
      <c r="K90" s="114" t="s">
        <v>1539</v>
      </c>
      <c r="L90" s="114"/>
    </row>
    <row r="91" spans="2:12" ht="15.75" thickBot="1" x14ac:dyDescent="0.3">
      <c r="B91" s="114" t="s">
        <v>540</v>
      </c>
      <c r="C91" s="144">
        <v>150101</v>
      </c>
      <c r="D91" s="115" t="s">
        <v>1537</v>
      </c>
      <c r="E91" s="138" t="s">
        <v>42</v>
      </c>
      <c r="F91" s="140">
        <f>30%*0.5</f>
        <v>0.15</v>
      </c>
      <c r="G91" s="138" t="s">
        <v>1532</v>
      </c>
      <c r="H91" s="138" t="s">
        <v>483</v>
      </c>
      <c r="I91" s="114" t="str">
        <f>IFERROR(INDEX(Tabela3[Tipos de Tratamento],MATCH('A3.9.1'!H91,Tabela3[Código],0)),"")</f>
        <v xml:space="preserve">Troca de resíduos com vista a submetê-los a uma das operações enumeradas de R 1 a R 11 </v>
      </c>
      <c r="J91" s="114" t="s">
        <v>1540</v>
      </c>
      <c r="K91" s="114" t="s">
        <v>1541</v>
      </c>
      <c r="L91" s="114"/>
    </row>
    <row r="92" spans="2:12" ht="15.75" thickBot="1" x14ac:dyDescent="0.3">
      <c r="B92" s="114" t="s">
        <v>545</v>
      </c>
      <c r="C92" s="144">
        <v>150101</v>
      </c>
      <c r="D92" s="115" t="s">
        <v>1537</v>
      </c>
      <c r="E92" s="138" t="s">
        <v>42</v>
      </c>
      <c r="F92" s="140">
        <f>70%*0.5</f>
        <v>0.35</v>
      </c>
      <c r="G92" s="138" t="s">
        <v>1532</v>
      </c>
      <c r="H92" s="138" t="s">
        <v>483</v>
      </c>
      <c r="I92" s="114" t="str">
        <f>IFERROR(INDEX(Tabela3[Tipos de Tratamento],MATCH('A3.9.1'!H92,Tabela3[Código],0)),"")</f>
        <v xml:space="preserve">Troca de resíduos com vista a submetê-los a uma das operações enumeradas de R 1 a R 11 </v>
      </c>
      <c r="J92" s="114" t="s">
        <v>1540</v>
      </c>
      <c r="K92" s="114" t="s">
        <v>1541</v>
      </c>
      <c r="L92" s="114"/>
    </row>
    <row r="93" spans="2:12" ht="15.75" thickBot="1" x14ac:dyDescent="0.3">
      <c r="B93" s="114" t="s">
        <v>540</v>
      </c>
      <c r="C93" s="144">
        <v>150110</v>
      </c>
      <c r="D93" s="115" t="s">
        <v>1542</v>
      </c>
      <c r="E93" s="138" t="s">
        <v>34</v>
      </c>
      <c r="F93" s="140">
        <v>0</v>
      </c>
      <c r="G93" s="138" t="s">
        <v>1532</v>
      </c>
      <c r="H93" s="138" t="s">
        <v>484</v>
      </c>
      <c r="I93" s="114" t="str">
        <f>IFERROR(INDEX(Tabela3[Tipos de Tratamento],MATCH('A3.9.1'!H93,Tabela3[Código],0)),"")</f>
        <v>Acumulação de resíduos destinados a uma das operações enumeradas de R1 a R12</v>
      </c>
      <c r="J93" s="114" t="s">
        <v>1538</v>
      </c>
      <c r="K93" s="114" t="s">
        <v>1539</v>
      </c>
      <c r="L93" s="114"/>
    </row>
    <row r="94" spans="2:12" ht="15.75" thickBot="1" x14ac:dyDescent="0.3">
      <c r="B94" s="114" t="s">
        <v>545</v>
      </c>
      <c r="C94" s="144">
        <v>150110</v>
      </c>
      <c r="D94" s="115" t="s">
        <v>1542</v>
      </c>
      <c r="E94" s="138" t="s">
        <v>34</v>
      </c>
      <c r="F94" s="140">
        <f>100%*0.09</f>
        <v>0.09</v>
      </c>
      <c r="G94" s="138" t="s">
        <v>1532</v>
      </c>
      <c r="H94" s="138" t="s">
        <v>484</v>
      </c>
      <c r="I94" s="114" t="str">
        <f>IFERROR(INDEX(Tabela3[Tipos de Tratamento],MATCH('A3.9.1'!H94,Tabela3[Código],0)),"")</f>
        <v>Acumulação de resíduos destinados a uma das operações enumeradas de R1 a R12</v>
      </c>
      <c r="J94" s="114" t="s">
        <v>1538</v>
      </c>
      <c r="K94" s="114" t="s">
        <v>1539</v>
      </c>
      <c r="L94" s="114"/>
    </row>
    <row r="95" spans="2:12" ht="15.75" thickBot="1" x14ac:dyDescent="0.3">
      <c r="B95" s="114" t="s">
        <v>540</v>
      </c>
      <c r="C95" s="144">
        <v>150111</v>
      </c>
      <c r="D95" s="115" t="s">
        <v>1548</v>
      </c>
      <c r="E95" s="138" t="s">
        <v>34</v>
      </c>
      <c r="F95" s="140">
        <f>30%*0.036</f>
        <v>1.0799999999999999E-2</v>
      </c>
      <c r="G95" s="138" t="s">
        <v>1532</v>
      </c>
      <c r="H95" s="138" t="s">
        <v>484</v>
      </c>
      <c r="I95" s="114" t="str">
        <f>IFERROR(INDEX(Tabela3[Tipos de Tratamento],MATCH('A3.9.1'!H95,Tabela3[Código],0)),"")</f>
        <v>Acumulação de resíduos destinados a uma das operações enumeradas de R1 a R12</v>
      </c>
      <c r="J95" s="114" t="s">
        <v>1538</v>
      </c>
      <c r="K95" s="114" t="s">
        <v>1539</v>
      </c>
      <c r="L95" s="114"/>
    </row>
    <row r="96" spans="2:12" ht="15.75" thickBot="1" x14ac:dyDescent="0.3">
      <c r="B96" s="114" t="s">
        <v>545</v>
      </c>
      <c r="C96" s="144">
        <v>150111</v>
      </c>
      <c r="D96" s="115" t="s">
        <v>1549</v>
      </c>
      <c r="E96" s="138" t="s">
        <v>34</v>
      </c>
      <c r="F96" s="140">
        <f>70%*0.036</f>
        <v>2.5199999999999997E-2</v>
      </c>
      <c r="G96" s="138" t="s">
        <v>1532</v>
      </c>
      <c r="H96" s="138" t="s">
        <v>484</v>
      </c>
      <c r="I96" s="114" t="str">
        <f>IFERROR(INDEX(Tabela3[Tipos de Tratamento],MATCH('A3.9.1'!H96,Tabela3[Código],0)),"")</f>
        <v>Acumulação de resíduos destinados a uma das operações enumeradas de R1 a R12</v>
      </c>
      <c r="J96" s="114" t="s">
        <v>1538</v>
      </c>
      <c r="K96" s="114" t="s">
        <v>1539</v>
      </c>
      <c r="L96" s="114"/>
    </row>
    <row r="97" spans="2:12" ht="15.75" thickBot="1" x14ac:dyDescent="0.3">
      <c r="B97" s="114" t="s">
        <v>540</v>
      </c>
      <c r="C97" s="144">
        <v>150202</v>
      </c>
      <c r="D97" s="115" t="s">
        <v>1547</v>
      </c>
      <c r="E97" s="138" t="s">
        <v>34</v>
      </c>
      <c r="F97" s="140">
        <f>30%*0.28</f>
        <v>8.4000000000000005E-2</v>
      </c>
      <c r="G97" s="138" t="s">
        <v>1532</v>
      </c>
      <c r="H97" s="138" t="s">
        <v>484</v>
      </c>
      <c r="I97" s="114" t="str">
        <f>IFERROR(INDEX(Tabela3[Tipos de Tratamento],MATCH('A3.9.1'!H97,Tabela3[Código],0)),"")</f>
        <v>Acumulação de resíduos destinados a uma das operações enumeradas de R1 a R12</v>
      </c>
      <c r="J97" s="114" t="s">
        <v>1538</v>
      </c>
      <c r="K97" s="114" t="s">
        <v>1539</v>
      </c>
      <c r="L97" s="114"/>
    </row>
    <row r="98" spans="2:12" ht="15.75" thickBot="1" x14ac:dyDescent="0.3">
      <c r="B98" s="114" t="s">
        <v>545</v>
      </c>
      <c r="C98" s="144">
        <v>150202</v>
      </c>
      <c r="D98" s="115" t="s">
        <v>1547</v>
      </c>
      <c r="E98" s="138" t="s">
        <v>34</v>
      </c>
      <c r="F98" s="140">
        <f>70%*0.28</f>
        <v>0.19600000000000001</v>
      </c>
      <c r="G98" s="138" t="s">
        <v>1532</v>
      </c>
      <c r="H98" s="138" t="s">
        <v>484</v>
      </c>
      <c r="I98" s="114" t="str">
        <f>IFERROR(INDEX(Tabela3[Tipos de Tratamento],MATCH('A3.9.1'!H98,Tabela3[Código],0)),"")</f>
        <v>Acumulação de resíduos destinados a uma das operações enumeradas de R1 a R12</v>
      </c>
      <c r="J98" s="114" t="s">
        <v>1538</v>
      </c>
      <c r="K98" s="114" t="s">
        <v>1539</v>
      </c>
      <c r="L98" s="114"/>
    </row>
    <row r="99" spans="2:12" ht="15.75" thickBot="1" x14ac:dyDescent="0.3">
      <c r="B99" s="114" t="s">
        <v>540</v>
      </c>
      <c r="C99" s="144">
        <v>150203</v>
      </c>
      <c r="D99" s="115" t="s">
        <v>1550</v>
      </c>
      <c r="E99" s="138" t="s">
        <v>42</v>
      </c>
      <c r="F99" s="140">
        <f>0.3*1.4</f>
        <v>0.42</v>
      </c>
      <c r="G99" s="138" t="s">
        <v>1532</v>
      </c>
      <c r="H99" s="138" t="s">
        <v>483</v>
      </c>
      <c r="I99" s="114" t="str">
        <f>IFERROR(INDEX(Tabela3[Tipos de Tratamento],MATCH('A3.9.1'!H99,Tabela3[Código],0)),"")</f>
        <v xml:space="preserve">Troca de resíduos com vista a submetê-los a uma das operações enumeradas de R 1 a R 11 </v>
      </c>
      <c r="J99" s="114" t="s">
        <v>1538</v>
      </c>
      <c r="K99" s="114" t="s">
        <v>1539</v>
      </c>
      <c r="L99" s="114"/>
    </row>
    <row r="100" spans="2:12" ht="15.75" thickBot="1" x14ac:dyDescent="0.3">
      <c r="B100" s="114" t="s">
        <v>545</v>
      </c>
      <c r="C100" s="144">
        <v>150203</v>
      </c>
      <c r="D100" s="115" t="s">
        <v>1550</v>
      </c>
      <c r="E100" s="138" t="s">
        <v>42</v>
      </c>
      <c r="F100" s="140">
        <f>0.7*1.4</f>
        <v>0.97999999999999987</v>
      </c>
      <c r="G100" s="138" t="s">
        <v>1532</v>
      </c>
      <c r="H100" s="138" t="s">
        <v>483</v>
      </c>
      <c r="I100" s="114" t="str">
        <f>IFERROR(INDEX(Tabela3[Tipos de Tratamento],MATCH('A3.9.1'!H100,Tabela3[Código],0)),"")</f>
        <v xml:space="preserve">Troca de resíduos com vista a submetê-los a uma das operações enumeradas de R 1 a R 11 </v>
      </c>
      <c r="J100" s="114" t="s">
        <v>1538</v>
      </c>
      <c r="K100" s="114" t="s">
        <v>1539</v>
      </c>
      <c r="L100" s="114"/>
    </row>
    <row r="101" spans="2:12" ht="15.75" thickBot="1" x14ac:dyDescent="0.3">
      <c r="B101" s="114" t="s">
        <v>540</v>
      </c>
      <c r="C101" s="144">
        <v>160107</v>
      </c>
      <c r="D101" s="115" t="s">
        <v>1551</v>
      </c>
      <c r="E101" s="138" t="s">
        <v>34</v>
      </c>
      <c r="F101" s="140">
        <v>0</v>
      </c>
      <c r="G101" s="138" t="s">
        <v>1532</v>
      </c>
      <c r="H101" s="138" t="s">
        <v>484</v>
      </c>
      <c r="I101" s="114" t="str">
        <f>IFERROR(INDEX(Tabela3[Tipos de Tratamento],MATCH('A3.9.1'!H101,Tabela3[Código],0)),"")</f>
        <v>Acumulação de resíduos destinados a uma das operações enumeradas de R1 a R12</v>
      </c>
      <c r="J101" s="114" t="s">
        <v>1538</v>
      </c>
      <c r="K101" s="114" t="s">
        <v>1539</v>
      </c>
      <c r="L101" s="114"/>
    </row>
    <row r="102" spans="2:12" ht="15.75" thickBot="1" x14ac:dyDescent="0.3">
      <c r="B102" s="114" t="s">
        <v>545</v>
      </c>
      <c r="C102" s="144">
        <v>160107</v>
      </c>
      <c r="D102" s="115" t="s">
        <v>1551</v>
      </c>
      <c r="E102" s="138" t="s">
        <v>34</v>
      </c>
      <c r="F102" s="140">
        <f>100%*0.52</f>
        <v>0.52</v>
      </c>
      <c r="G102" s="138" t="s">
        <v>1532</v>
      </c>
      <c r="H102" s="138" t="s">
        <v>484</v>
      </c>
      <c r="I102" s="114" t="str">
        <f>IFERROR(INDEX(Tabela3[Tipos de Tratamento],MATCH('A3.9.1'!H102,Tabela3[Código],0)),"")</f>
        <v>Acumulação de resíduos destinados a uma das operações enumeradas de R1 a R12</v>
      </c>
      <c r="J102" s="114" t="s">
        <v>1538</v>
      </c>
      <c r="K102" s="114" t="s">
        <v>1539</v>
      </c>
      <c r="L102" s="114"/>
    </row>
    <row r="103" spans="2:12" ht="15.75" thickBot="1" x14ac:dyDescent="0.3">
      <c r="B103" s="114" t="s">
        <v>540</v>
      </c>
      <c r="C103" s="144">
        <v>160112</v>
      </c>
      <c r="D103" s="115" t="s">
        <v>1552</v>
      </c>
      <c r="E103" s="138" t="s">
        <v>34</v>
      </c>
      <c r="F103" s="140">
        <v>0</v>
      </c>
      <c r="G103" s="138" t="s">
        <v>1532</v>
      </c>
      <c r="H103" s="138" t="s">
        <v>483</v>
      </c>
      <c r="I103" s="114" t="str">
        <f>IFERROR(INDEX(Tabela3[Tipos de Tratamento],MATCH('A3.9.1'!H103,Tabela3[Código],0)),"")</f>
        <v xml:space="preserve">Troca de resíduos com vista a submetê-los a uma das operações enumeradas de R 1 a R 11 </v>
      </c>
      <c r="J103" s="114" t="s">
        <v>1538</v>
      </c>
      <c r="K103" s="114" t="s">
        <v>1539</v>
      </c>
      <c r="L103" s="114"/>
    </row>
    <row r="104" spans="2:12" ht="15.75" thickBot="1" x14ac:dyDescent="0.3">
      <c r="B104" s="114" t="s">
        <v>545</v>
      </c>
      <c r="C104" s="144">
        <v>160112</v>
      </c>
      <c r="D104" s="115" t="s">
        <v>1552</v>
      </c>
      <c r="E104" s="138" t="s">
        <v>34</v>
      </c>
      <c r="F104" s="140">
        <f>100%*0.54</f>
        <v>0.54</v>
      </c>
      <c r="G104" s="138" t="s">
        <v>1532</v>
      </c>
      <c r="H104" s="138" t="s">
        <v>483</v>
      </c>
      <c r="I104" s="114" t="str">
        <f>IFERROR(INDEX(Tabela3[Tipos de Tratamento],MATCH('A3.9.1'!H104,Tabela3[Código],0)),"")</f>
        <v xml:space="preserve">Troca de resíduos com vista a submetê-los a uma das operações enumeradas de R 1 a R 11 </v>
      </c>
      <c r="J104" s="114" t="s">
        <v>1538</v>
      </c>
      <c r="K104" s="114" t="s">
        <v>1539</v>
      </c>
      <c r="L104" s="114"/>
    </row>
    <row r="105" spans="2:12" ht="15.75" thickBot="1" x14ac:dyDescent="0.3">
      <c r="B105" s="114" t="s">
        <v>540</v>
      </c>
      <c r="C105" s="144">
        <v>160117</v>
      </c>
      <c r="D105" s="115" t="s">
        <v>1557</v>
      </c>
      <c r="E105" s="138" t="s">
        <v>42</v>
      </c>
      <c r="F105" s="140">
        <v>0</v>
      </c>
      <c r="G105" s="138" t="s">
        <v>1532</v>
      </c>
      <c r="H105" s="138" t="s">
        <v>483</v>
      </c>
      <c r="I105" s="114" t="str">
        <f>IFERROR(INDEX(Tabela3[Tipos de Tratamento],MATCH('A3.9.1'!H105,Tabela3[Código],0)),"")</f>
        <v xml:space="preserve">Troca de resíduos com vista a submetê-los a uma das operações enumeradas de R 1 a R 11 </v>
      </c>
      <c r="J105" s="114" t="s">
        <v>1558</v>
      </c>
      <c r="K105" s="114" t="s">
        <v>1559</v>
      </c>
      <c r="L105" s="114"/>
    </row>
    <row r="106" spans="2:12" ht="15.75" thickBot="1" x14ac:dyDescent="0.3">
      <c r="B106" s="114" t="s">
        <v>545</v>
      </c>
      <c r="C106" s="144">
        <v>160117</v>
      </c>
      <c r="D106" s="115" t="s">
        <v>1557</v>
      </c>
      <c r="E106" s="138" t="s">
        <v>42</v>
      </c>
      <c r="F106" s="140">
        <v>3.2</v>
      </c>
      <c r="G106" s="138" t="s">
        <v>1532</v>
      </c>
      <c r="H106" s="138" t="s">
        <v>483</v>
      </c>
      <c r="I106" s="114" t="str">
        <f>IFERROR(INDEX(Tabela3[Tipos de Tratamento],MATCH('A3.9.1'!H106,Tabela3[Código],0)),"")</f>
        <v xml:space="preserve">Troca de resíduos com vista a submetê-los a uma das operações enumeradas de R 1 a R 11 </v>
      </c>
      <c r="J106" s="114" t="s">
        <v>1558</v>
      </c>
      <c r="K106" s="114" t="s">
        <v>1559</v>
      </c>
      <c r="L106" s="114"/>
    </row>
    <row r="107" spans="2:12" ht="15.75" thickBot="1" x14ac:dyDescent="0.3">
      <c r="B107" s="114" t="s">
        <v>540</v>
      </c>
      <c r="C107" s="144">
        <v>160119</v>
      </c>
      <c r="D107" s="115" t="s">
        <v>1560</v>
      </c>
      <c r="E107" s="138" t="s">
        <v>42</v>
      </c>
      <c r="F107" s="140">
        <f>0.3*0.514</f>
        <v>0.1542</v>
      </c>
      <c r="G107" s="138" t="s">
        <v>1532</v>
      </c>
      <c r="H107" s="138" t="s">
        <v>483</v>
      </c>
      <c r="I107" s="114" t="str">
        <f>IFERROR(INDEX(Tabela3[Tipos de Tratamento],MATCH('A3.9.1'!H107,Tabela3[Código],0)),"")</f>
        <v xml:space="preserve">Troca de resíduos com vista a submetê-los a uma das operações enumeradas de R 1 a R 11 </v>
      </c>
      <c r="J107" s="114" t="s">
        <v>1538</v>
      </c>
      <c r="K107" s="114" t="s">
        <v>1539</v>
      </c>
      <c r="L107" s="114"/>
    </row>
    <row r="108" spans="2:12" ht="15.75" thickBot="1" x14ac:dyDescent="0.3">
      <c r="B108" s="114" t="s">
        <v>545</v>
      </c>
      <c r="C108" s="144">
        <v>160119</v>
      </c>
      <c r="D108" s="115" t="s">
        <v>1560</v>
      </c>
      <c r="E108" s="138" t="s">
        <v>42</v>
      </c>
      <c r="F108" s="140">
        <f>0.7*0.514</f>
        <v>0.35980000000000001</v>
      </c>
      <c r="G108" s="138" t="s">
        <v>1532</v>
      </c>
      <c r="H108" s="138" t="s">
        <v>483</v>
      </c>
      <c r="I108" s="114" t="str">
        <f>IFERROR(INDEX(Tabela3[Tipos de Tratamento],MATCH('A3.9.1'!H108,Tabela3[Código],0)),"")</f>
        <v xml:space="preserve">Troca de resíduos com vista a submetê-los a uma das operações enumeradas de R 1 a R 11 </v>
      </c>
      <c r="J108" s="114" t="s">
        <v>1538</v>
      </c>
      <c r="K108" s="114" t="s">
        <v>1539</v>
      </c>
      <c r="L108" s="114"/>
    </row>
    <row r="109" spans="2:12" ht="15.75" thickBot="1" x14ac:dyDescent="0.3">
      <c r="B109" s="114" t="s">
        <v>540</v>
      </c>
      <c r="C109" s="144" t="s">
        <v>1587</v>
      </c>
      <c r="D109" s="115" t="s">
        <v>1561</v>
      </c>
      <c r="E109" s="138" t="s">
        <v>42</v>
      </c>
      <c r="F109" s="140">
        <f>0.3*0.661</f>
        <v>0.1983</v>
      </c>
      <c r="G109" s="138" t="s">
        <v>1532</v>
      </c>
      <c r="H109" s="138" t="s">
        <v>483</v>
      </c>
      <c r="I109" s="114" t="str">
        <f>IFERROR(INDEX(Tabela3[Tipos de Tratamento],MATCH('A3.9.1'!H109,Tabela3[Código],0)),"")</f>
        <v xml:space="preserve">Troca de resíduos com vista a submetê-los a uma das operações enumeradas de R 1 a R 11 </v>
      </c>
      <c r="J109" s="114" t="s">
        <v>1538</v>
      </c>
      <c r="K109" s="114" t="s">
        <v>1539</v>
      </c>
      <c r="L109" s="114"/>
    </row>
    <row r="110" spans="2:12" ht="15.75" thickBot="1" x14ac:dyDescent="0.3">
      <c r="B110" s="114" t="s">
        <v>545</v>
      </c>
      <c r="C110" s="144" t="s">
        <v>1587</v>
      </c>
      <c r="D110" s="115" t="s">
        <v>1561</v>
      </c>
      <c r="E110" s="138" t="s">
        <v>42</v>
      </c>
      <c r="F110" s="140">
        <f>0.7*0.661</f>
        <v>0.4627</v>
      </c>
      <c r="G110" s="138" t="s">
        <v>1532</v>
      </c>
      <c r="H110" s="138" t="s">
        <v>483</v>
      </c>
      <c r="I110" s="114" t="str">
        <f>IFERROR(INDEX(Tabela3[Tipos de Tratamento],MATCH('A3.9.1'!H110,Tabela3[Código],0)),"")</f>
        <v xml:space="preserve">Troca de resíduos com vista a submetê-los a uma das operações enumeradas de R 1 a R 11 </v>
      </c>
      <c r="J110" s="114" t="s">
        <v>1538</v>
      </c>
      <c r="K110" s="114" t="s">
        <v>1539</v>
      </c>
      <c r="L110" s="114"/>
    </row>
    <row r="111" spans="2:12" ht="15.75" thickBot="1" x14ac:dyDescent="0.3">
      <c r="B111" s="114" t="s">
        <v>540</v>
      </c>
      <c r="C111" s="144">
        <v>160199</v>
      </c>
      <c r="D111" s="115" t="s">
        <v>1562</v>
      </c>
      <c r="E111" s="138" t="s">
        <v>42</v>
      </c>
      <c r="F111" s="140">
        <f>0.3*1.038</f>
        <v>0.31140000000000001</v>
      </c>
      <c r="G111" s="138" t="s">
        <v>1532</v>
      </c>
      <c r="H111" s="138" t="s">
        <v>483</v>
      </c>
      <c r="I111" s="114" t="str">
        <f>IFERROR(INDEX(Tabela3[Tipos de Tratamento],MATCH('A3.9.1'!H111,Tabela3[Código],0)),"")</f>
        <v xml:space="preserve">Troca de resíduos com vista a submetê-los a uma das operações enumeradas de R 1 a R 11 </v>
      </c>
      <c r="J111" s="114" t="s">
        <v>1538</v>
      </c>
      <c r="K111" s="114" t="s">
        <v>1539</v>
      </c>
      <c r="L111" s="114"/>
    </row>
    <row r="112" spans="2:12" ht="15.75" thickBot="1" x14ac:dyDescent="0.3">
      <c r="B112" s="114" t="s">
        <v>545</v>
      </c>
      <c r="C112" s="144">
        <v>160199</v>
      </c>
      <c r="D112" s="115" t="s">
        <v>1562</v>
      </c>
      <c r="E112" s="138" t="s">
        <v>42</v>
      </c>
      <c r="F112" s="140">
        <f>0.7*1.038</f>
        <v>0.72660000000000002</v>
      </c>
      <c r="G112" s="138" t="s">
        <v>1532</v>
      </c>
      <c r="H112" s="138" t="s">
        <v>483</v>
      </c>
      <c r="I112" s="114" t="str">
        <f>IFERROR(INDEX(Tabela3[Tipos de Tratamento],MATCH('A3.9.1'!H112,Tabela3[Código],0)),"")</f>
        <v xml:space="preserve">Troca de resíduos com vista a submetê-los a uma das operações enumeradas de R 1 a R 11 </v>
      </c>
      <c r="J112" s="114" t="s">
        <v>1538</v>
      </c>
      <c r="K112" s="114" t="s">
        <v>1539</v>
      </c>
      <c r="L112" s="114"/>
    </row>
    <row r="113" spans="2:12" ht="15.75" thickBot="1" x14ac:dyDescent="0.3">
      <c r="B113" s="114" t="s">
        <v>540</v>
      </c>
      <c r="C113" s="144">
        <v>160601</v>
      </c>
      <c r="D113" s="115" t="s">
        <v>1563</v>
      </c>
      <c r="E113" s="138" t="s">
        <v>34</v>
      </c>
      <c r="F113" s="140">
        <v>0</v>
      </c>
      <c r="G113" s="138" t="s">
        <v>1532</v>
      </c>
      <c r="H113" s="138" t="s">
        <v>483</v>
      </c>
      <c r="I113" s="114" t="str">
        <f>IFERROR(INDEX(Tabela3[Tipos de Tratamento],MATCH('A3.9.1'!H113,Tabela3[Código],0)),"")</f>
        <v xml:space="preserve">Troca de resíduos com vista a submetê-los a uma das operações enumeradas de R 1 a R 11 </v>
      </c>
      <c r="J113" s="114" t="s">
        <v>1538</v>
      </c>
      <c r="K113" s="114" t="s">
        <v>1539</v>
      </c>
      <c r="L113" s="114"/>
    </row>
    <row r="114" spans="2:12" ht="15.75" thickBot="1" x14ac:dyDescent="0.3">
      <c r="B114" s="114" t="s">
        <v>545</v>
      </c>
      <c r="C114" s="144">
        <v>160601</v>
      </c>
      <c r="D114" s="115" t="s">
        <v>1563</v>
      </c>
      <c r="E114" s="138" t="s">
        <v>34</v>
      </c>
      <c r="F114" s="140">
        <f>100%*2.04</f>
        <v>2.04</v>
      </c>
      <c r="G114" s="138" t="s">
        <v>1532</v>
      </c>
      <c r="H114" s="138" t="s">
        <v>483</v>
      </c>
      <c r="I114" s="114" t="str">
        <f>IFERROR(INDEX(Tabela3[Tipos de Tratamento],MATCH('A3.9.1'!H114,Tabela3[Código],0)),"")</f>
        <v xml:space="preserve">Troca de resíduos com vista a submetê-los a uma das operações enumeradas de R 1 a R 11 </v>
      </c>
      <c r="J114" s="114" t="s">
        <v>1538</v>
      </c>
      <c r="K114" s="114" t="s">
        <v>1539</v>
      </c>
      <c r="L114" s="114"/>
    </row>
    <row r="115" spans="2:12" ht="15.75" thickBot="1" x14ac:dyDescent="0.3">
      <c r="B115" s="114" t="s">
        <v>540</v>
      </c>
      <c r="C115" s="144">
        <v>200101</v>
      </c>
      <c r="D115" s="115" t="s">
        <v>1597</v>
      </c>
      <c r="E115" s="138" t="s">
        <v>42</v>
      </c>
      <c r="F115" s="140">
        <f>0.3*1.36</f>
        <v>0.40800000000000003</v>
      </c>
      <c r="G115" s="138" t="s">
        <v>1532</v>
      </c>
      <c r="H115" s="138" t="s">
        <v>483</v>
      </c>
      <c r="I115" s="114" t="str">
        <f>IFERROR(INDEX(Tabela3[Tipos de Tratamento],MATCH('A3.9.1'!H115,Tabela3[Código],0)),"")</f>
        <v xml:space="preserve">Troca de resíduos com vista a submetê-los a uma das operações enumeradas de R 1 a R 11 </v>
      </c>
      <c r="J115" s="114" t="s">
        <v>1540</v>
      </c>
      <c r="K115" s="114" t="s">
        <v>1541</v>
      </c>
      <c r="L115" s="114"/>
    </row>
    <row r="116" spans="2:12" ht="15.75" thickBot="1" x14ac:dyDescent="0.3">
      <c r="B116" s="114" t="s">
        <v>545</v>
      </c>
      <c r="C116" s="144">
        <v>200101</v>
      </c>
      <c r="D116" s="115" t="s">
        <v>1597</v>
      </c>
      <c r="E116" s="138" t="s">
        <v>42</v>
      </c>
      <c r="F116" s="140">
        <f>0.7*1.36</f>
        <v>0.95199999999999996</v>
      </c>
      <c r="G116" s="138" t="s">
        <v>1532</v>
      </c>
      <c r="H116" s="138" t="s">
        <v>483</v>
      </c>
      <c r="I116" s="114" t="str">
        <f>IFERROR(INDEX(Tabela3[Tipos de Tratamento],MATCH('A3.9.1'!H116,Tabela3[Código],0)),"")</f>
        <v xml:space="preserve">Troca de resíduos com vista a submetê-los a uma das operações enumeradas de R 1 a R 11 </v>
      </c>
      <c r="J116" s="114" t="s">
        <v>1540</v>
      </c>
      <c r="K116" s="114" t="s">
        <v>1541</v>
      </c>
      <c r="L116" s="114"/>
    </row>
    <row r="117" spans="2:12" ht="15.75" thickBot="1" x14ac:dyDescent="0.3">
      <c r="B117" s="114" t="s">
        <v>540</v>
      </c>
      <c r="C117" s="144">
        <v>200102</v>
      </c>
      <c r="D117" s="115" t="s">
        <v>1561</v>
      </c>
      <c r="E117" s="138" t="s">
        <v>42</v>
      </c>
      <c r="F117" s="140">
        <f>0.3*0.442</f>
        <v>0.1326</v>
      </c>
      <c r="G117" s="138" t="s">
        <v>1532</v>
      </c>
      <c r="H117" s="138" t="s">
        <v>483</v>
      </c>
      <c r="I117" s="114" t="str">
        <f>IFERROR(INDEX(Tabela3[Tipos de Tratamento],MATCH('A3.9.1'!H117,Tabela3[Código],0)),"")</f>
        <v xml:space="preserve">Troca de resíduos com vista a submetê-los a uma das operações enumeradas de R 1 a R 11 </v>
      </c>
      <c r="J117" s="114" t="s">
        <v>1538</v>
      </c>
      <c r="K117" s="114" t="s">
        <v>1539</v>
      </c>
      <c r="L117" s="114"/>
    </row>
    <row r="118" spans="2:12" ht="15.75" thickBot="1" x14ac:dyDescent="0.3">
      <c r="B118" s="114" t="s">
        <v>545</v>
      </c>
      <c r="C118" s="144">
        <v>200102</v>
      </c>
      <c r="D118" s="115" t="s">
        <v>1561</v>
      </c>
      <c r="E118" s="138" t="s">
        <v>42</v>
      </c>
      <c r="F118" s="140">
        <f>0.7*0.442</f>
        <v>0.30940000000000001</v>
      </c>
      <c r="G118" s="138" t="s">
        <v>1532</v>
      </c>
      <c r="H118" s="138" t="s">
        <v>483</v>
      </c>
      <c r="I118" s="114" t="str">
        <f>IFERROR(INDEX(Tabela3[Tipos de Tratamento],MATCH('A3.9.1'!H118,Tabela3[Código],0)),"")</f>
        <v xml:space="preserve">Troca de resíduos com vista a submetê-los a uma das operações enumeradas de R 1 a R 11 </v>
      </c>
      <c r="J118" s="114" t="s">
        <v>1538</v>
      </c>
      <c r="K118" s="114" t="s">
        <v>1539</v>
      </c>
      <c r="L118" s="114"/>
    </row>
    <row r="119" spans="2:12" ht="15.75" thickBot="1" x14ac:dyDescent="0.3">
      <c r="B119" s="114" t="s">
        <v>540</v>
      </c>
      <c r="C119" s="144">
        <v>200121</v>
      </c>
      <c r="D119" s="115" t="s">
        <v>1564</v>
      </c>
      <c r="E119" s="138" t="s">
        <v>34</v>
      </c>
      <c r="F119" s="140">
        <f>0.3*0.018</f>
        <v>5.3999999999999994E-3</v>
      </c>
      <c r="G119" s="138" t="s">
        <v>1532</v>
      </c>
      <c r="H119" s="138" t="s">
        <v>484</v>
      </c>
      <c r="I119" s="114" t="str">
        <f>IFERROR(INDEX(Tabela3[Tipos de Tratamento],MATCH('A3.9.1'!H119,Tabela3[Código],0)),"")</f>
        <v>Acumulação de resíduos destinados a uma das operações enumeradas de R1 a R12</v>
      </c>
      <c r="J119" s="114" t="s">
        <v>1538</v>
      </c>
      <c r="K119" s="114" t="s">
        <v>1539</v>
      </c>
      <c r="L119" s="114"/>
    </row>
    <row r="120" spans="2:12" ht="15.75" thickBot="1" x14ac:dyDescent="0.3">
      <c r="B120" s="114" t="s">
        <v>545</v>
      </c>
      <c r="C120" s="144">
        <v>200121</v>
      </c>
      <c r="D120" s="115" t="s">
        <v>1564</v>
      </c>
      <c r="E120" s="138" t="s">
        <v>34</v>
      </c>
      <c r="F120" s="140">
        <f>0.7*0.018</f>
        <v>1.2599999999999998E-2</v>
      </c>
      <c r="G120" s="138" t="s">
        <v>1532</v>
      </c>
      <c r="H120" s="138" t="s">
        <v>484</v>
      </c>
      <c r="I120" s="114" t="str">
        <f>IFERROR(INDEX(Tabela3[Tipos de Tratamento],MATCH('A3.9.1'!H120,Tabela3[Código],0)),"")</f>
        <v>Acumulação de resíduos destinados a uma das operações enumeradas de R1 a R12</v>
      </c>
      <c r="J120" s="114" t="s">
        <v>1538</v>
      </c>
      <c r="K120" s="114" t="s">
        <v>1539</v>
      </c>
      <c r="L120" s="114"/>
    </row>
    <row r="121" spans="2:12" ht="15.75" thickBot="1" x14ac:dyDescent="0.3">
      <c r="B121" s="114" t="s">
        <v>540</v>
      </c>
      <c r="C121" s="144">
        <v>200125</v>
      </c>
      <c r="D121" s="115" t="s">
        <v>1565</v>
      </c>
      <c r="E121" s="138" t="s">
        <v>42</v>
      </c>
      <c r="F121" s="140">
        <f>0.3*0.08</f>
        <v>2.4E-2</v>
      </c>
      <c r="G121" s="138" t="s">
        <v>1532</v>
      </c>
      <c r="H121" s="138" t="s">
        <v>483</v>
      </c>
      <c r="I121" s="114" t="str">
        <f>IFERROR(INDEX(Tabela3[Tipos de Tratamento],MATCH('A3.9.1'!H121,Tabela3[Código],0)),"")</f>
        <v xml:space="preserve">Troca de resíduos com vista a submetê-los a uma das operações enumeradas de R 1 a R 11 </v>
      </c>
      <c r="J121" s="114" t="s">
        <v>1566</v>
      </c>
      <c r="K121" s="114" t="s">
        <v>1567</v>
      </c>
      <c r="L121" s="114"/>
    </row>
    <row r="122" spans="2:12" ht="15.75" thickBot="1" x14ac:dyDescent="0.3">
      <c r="B122" s="114" t="s">
        <v>545</v>
      </c>
      <c r="C122" s="144">
        <v>200125</v>
      </c>
      <c r="D122" s="115" t="s">
        <v>1565</v>
      </c>
      <c r="E122" s="138" t="s">
        <v>42</v>
      </c>
      <c r="F122" s="140">
        <f>0.7*0.08</f>
        <v>5.5999999999999994E-2</v>
      </c>
      <c r="G122" s="138" t="s">
        <v>1532</v>
      </c>
      <c r="H122" s="138" t="s">
        <v>483</v>
      </c>
      <c r="I122" s="114" t="str">
        <f>IFERROR(INDEX(Tabela3[Tipos de Tratamento],MATCH('A3.9.1'!H122,Tabela3[Código],0)),"")</f>
        <v xml:space="preserve">Troca de resíduos com vista a submetê-los a uma das operações enumeradas de R 1 a R 11 </v>
      </c>
      <c r="J122" s="114" t="s">
        <v>1566</v>
      </c>
      <c r="K122" s="114" t="s">
        <v>1567</v>
      </c>
      <c r="L122" s="114"/>
    </row>
    <row r="123" spans="2:12" ht="15.75" thickBot="1" x14ac:dyDescent="0.3">
      <c r="B123" s="114" t="s">
        <v>540</v>
      </c>
      <c r="C123" s="144">
        <v>200136</v>
      </c>
      <c r="D123" s="115" t="s">
        <v>1568</v>
      </c>
      <c r="E123" s="138" t="s">
        <v>42</v>
      </c>
      <c r="F123" s="140">
        <f>0.3*0.205</f>
        <v>6.1499999999999992E-2</v>
      </c>
      <c r="G123" s="138" t="s">
        <v>1532</v>
      </c>
      <c r="H123" s="138" t="s">
        <v>483</v>
      </c>
      <c r="I123" s="114" t="str">
        <f>IFERROR(INDEX(Tabela3[Tipos de Tratamento],MATCH('A3.9.1'!H123,Tabela3[Código],0)),"")</f>
        <v xml:space="preserve">Troca de resíduos com vista a submetê-los a uma das operações enumeradas de R 1 a R 11 </v>
      </c>
      <c r="J123" s="114" t="s">
        <v>1538</v>
      </c>
      <c r="K123" s="114" t="s">
        <v>1539</v>
      </c>
      <c r="L123" s="114"/>
    </row>
    <row r="124" spans="2:12" ht="15.75" thickBot="1" x14ac:dyDescent="0.3">
      <c r="B124" s="114" t="s">
        <v>545</v>
      </c>
      <c r="C124" s="144">
        <v>200136</v>
      </c>
      <c r="D124" s="115" t="s">
        <v>1568</v>
      </c>
      <c r="E124" s="138" t="s">
        <v>42</v>
      </c>
      <c r="F124" s="140">
        <f>0.7*0.205</f>
        <v>0.14349999999999999</v>
      </c>
      <c r="G124" s="138" t="s">
        <v>1532</v>
      </c>
      <c r="H124" s="138" t="s">
        <v>483</v>
      </c>
      <c r="I124" s="114" t="str">
        <f>IFERROR(INDEX(Tabela3[Tipos de Tratamento],MATCH('A3.9.1'!H124,Tabela3[Código],0)),"")</f>
        <v xml:space="preserve">Troca de resíduos com vista a submetê-los a uma das operações enumeradas de R 1 a R 11 </v>
      </c>
      <c r="J124" s="114" t="s">
        <v>1538</v>
      </c>
      <c r="K124" s="114" t="s">
        <v>1539</v>
      </c>
      <c r="L124" s="114"/>
    </row>
    <row r="125" spans="2:12" ht="15.75" thickBot="1" x14ac:dyDescent="0.3">
      <c r="B125" s="114" t="s">
        <v>542</v>
      </c>
      <c r="C125" s="144">
        <v>130208</v>
      </c>
      <c r="D125" s="115" t="s">
        <v>1531</v>
      </c>
      <c r="E125" s="138" t="s">
        <v>34</v>
      </c>
      <c r="F125" s="140">
        <v>4.9370000000000003</v>
      </c>
      <c r="G125" s="138" t="s">
        <v>1532</v>
      </c>
      <c r="H125" s="138" t="s">
        <v>480</v>
      </c>
      <c r="I125" s="114" t="str">
        <f>IFERROR(INDEX(Tabela3[Tipos de Tratamento],MATCH('A3.9.1'!H125,Tabela3[Código],0)),"")</f>
        <v xml:space="preserve">Regeneração de óleos e outras reutilizações de óleos </v>
      </c>
      <c r="J125" s="114" t="s">
        <v>1535</v>
      </c>
      <c r="K125" s="114" t="s">
        <v>1536</v>
      </c>
      <c r="L125" s="114"/>
    </row>
    <row r="126" spans="2:12" ht="15.75" thickBot="1" x14ac:dyDescent="0.3">
      <c r="B126" s="114" t="s">
        <v>542</v>
      </c>
      <c r="C126" s="144">
        <v>130502</v>
      </c>
      <c r="D126" s="115" t="s">
        <v>1569</v>
      </c>
      <c r="E126" s="138" t="s">
        <v>34</v>
      </c>
      <c r="F126" s="140">
        <v>5.4</v>
      </c>
      <c r="G126" s="138" t="s">
        <v>1532</v>
      </c>
      <c r="H126" s="138" t="s">
        <v>483</v>
      </c>
      <c r="I126" s="114" t="str">
        <f>IFERROR(INDEX(Tabela3[Tipos de Tratamento],MATCH('A3.9.1'!H126,Tabela3[Código],0)),"")</f>
        <v xml:space="preserve">Troca de resíduos com vista a submetê-los a uma das operações enumeradas de R 1 a R 11 </v>
      </c>
      <c r="J126" s="114" t="s">
        <v>1570</v>
      </c>
      <c r="K126" s="114" t="s">
        <v>1571</v>
      </c>
      <c r="L126" s="114"/>
    </row>
    <row r="127" spans="2:12" ht="15.75" thickBot="1" x14ac:dyDescent="0.3">
      <c r="B127" s="114" t="s">
        <v>542</v>
      </c>
      <c r="C127" s="144">
        <v>130507</v>
      </c>
      <c r="D127" s="115" t="s">
        <v>1572</v>
      </c>
      <c r="E127" s="138" t="s">
        <v>34</v>
      </c>
      <c r="F127" s="140">
        <v>8.8800000000000008</v>
      </c>
      <c r="G127" s="138" t="s">
        <v>1532</v>
      </c>
      <c r="H127" s="138" t="s">
        <v>483</v>
      </c>
      <c r="I127" s="114" t="str">
        <f>IFERROR(INDEX(Tabela3[Tipos de Tratamento],MATCH('A3.9.1'!H127,Tabela3[Código],0)),"")</f>
        <v xml:space="preserve">Troca de resíduos com vista a submetê-los a uma das operações enumeradas de R 1 a R 11 </v>
      </c>
      <c r="J127" s="114" t="s">
        <v>1570</v>
      </c>
      <c r="K127" s="114" t="s">
        <v>1571</v>
      </c>
      <c r="L127" s="114"/>
    </row>
    <row r="128" spans="2:12" ht="15.75" thickBot="1" x14ac:dyDescent="0.3">
      <c r="B128" s="114" t="s">
        <v>542</v>
      </c>
      <c r="C128" s="144">
        <v>150101</v>
      </c>
      <c r="D128" s="115" t="s">
        <v>1537</v>
      </c>
      <c r="E128" s="138" t="s">
        <v>42</v>
      </c>
      <c r="F128" s="140">
        <v>0.24</v>
      </c>
      <c r="G128" s="138" t="s">
        <v>1532</v>
      </c>
      <c r="H128" s="138" t="s">
        <v>483</v>
      </c>
      <c r="I128" s="114" t="str">
        <f>IFERROR(INDEX(Tabela3[Tipos de Tratamento],MATCH('A3.9.1'!H128,Tabela3[Código],0)),"")</f>
        <v xml:space="preserve">Troca de resíduos com vista a submetê-los a uma das operações enumeradas de R 1 a R 11 </v>
      </c>
      <c r="J128" s="114" t="s">
        <v>1538</v>
      </c>
      <c r="K128" s="114" t="s">
        <v>1539</v>
      </c>
      <c r="L128" s="114"/>
    </row>
    <row r="129" spans="2:12" ht="15.75" thickBot="1" x14ac:dyDescent="0.3">
      <c r="B129" s="114" t="s">
        <v>542</v>
      </c>
      <c r="C129" s="144">
        <v>150101</v>
      </c>
      <c r="D129" s="115" t="s">
        <v>1537</v>
      </c>
      <c r="E129" s="138" t="s">
        <v>42</v>
      </c>
      <c r="F129" s="140">
        <v>7.0999999999999994E-2</v>
      </c>
      <c r="G129" s="138" t="s">
        <v>1532</v>
      </c>
      <c r="H129" s="138" t="s">
        <v>483</v>
      </c>
      <c r="I129" s="114" t="str">
        <f>IFERROR(INDEX(Tabela3[Tipos de Tratamento],MATCH('A3.9.1'!H129,Tabela3[Código],0)),"")</f>
        <v xml:space="preserve">Troca de resíduos com vista a submetê-los a uma das operações enumeradas de R 1 a R 11 </v>
      </c>
      <c r="J129" s="114" t="s">
        <v>1573</v>
      </c>
      <c r="K129" s="114" t="s">
        <v>1574</v>
      </c>
      <c r="L129" s="114"/>
    </row>
    <row r="130" spans="2:12" ht="15.75" thickBot="1" x14ac:dyDescent="0.3">
      <c r="B130" s="114" t="s">
        <v>542</v>
      </c>
      <c r="C130" s="144">
        <v>150101</v>
      </c>
      <c r="D130" s="115" t="s">
        <v>1537</v>
      </c>
      <c r="E130" s="138" t="s">
        <v>42</v>
      </c>
      <c r="F130" s="140">
        <v>0.122</v>
      </c>
      <c r="G130" s="138" t="s">
        <v>1532</v>
      </c>
      <c r="H130" s="138" t="s">
        <v>484</v>
      </c>
      <c r="I130" s="114" t="str">
        <f>IFERROR(INDEX(Tabela3[Tipos de Tratamento],MATCH('A3.9.1'!H130,Tabela3[Código],0)),"")</f>
        <v>Acumulação de resíduos destinados a uma das operações enumeradas de R1 a R12</v>
      </c>
      <c r="J130" s="114" t="s">
        <v>1573</v>
      </c>
      <c r="K130" s="114" t="s">
        <v>1574</v>
      </c>
      <c r="L130" s="114"/>
    </row>
    <row r="131" spans="2:12" ht="15.75" thickBot="1" x14ac:dyDescent="0.3">
      <c r="B131" s="114" t="s">
        <v>542</v>
      </c>
      <c r="C131" s="144">
        <v>150101</v>
      </c>
      <c r="D131" s="115" t="s">
        <v>1537</v>
      </c>
      <c r="E131" s="138" t="s">
        <v>42</v>
      </c>
      <c r="F131" s="140">
        <v>0.88</v>
      </c>
      <c r="G131" s="138" t="s">
        <v>1532</v>
      </c>
      <c r="H131" s="138" t="s">
        <v>483</v>
      </c>
      <c r="I131" s="114" t="str">
        <f>IFERROR(INDEX(Tabela3[Tipos de Tratamento],MATCH('A3.9.1'!H131,Tabela3[Código],0)),"")</f>
        <v xml:space="preserve">Troca de resíduos com vista a submetê-los a uma das operações enumeradas de R 1 a R 11 </v>
      </c>
      <c r="J131" s="114" t="s">
        <v>1540</v>
      </c>
      <c r="K131" s="114" t="s">
        <v>1541</v>
      </c>
      <c r="L131" s="114"/>
    </row>
    <row r="132" spans="2:12" ht="15.75" thickBot="1" x14ac:dyDescent="0.3">
      <c r="B132" s="114" t="s">
        <v>542</v>
      </c>
      <c r="C132" s="144">
        <v>150102</v>
      </c>
      <c r="D132" s="115" t="s">
        <v>1575</v>
      </c>
      <c r="E132" s="138" t="s">
        <v>42</v>
      </c>
      <c r="F132" s="140">
        <v>0.106</v>
      </c>
      <c r="G132" s="138" t="s">
        <v>1532</v>
      </c>
      <c r="H132" s="138" t="s">
        <v>483</v>
      </c>
      <c r="I132" s="114" t="str">
        <f>IFERROR(INDEX(Tabela3[Tipos de Tratamento],MATCH('A3.9.1'!H132,Tabela3[Código],0)),"")</f>
        <v xml:space="preserve">Troca de resíduos com vista a submetê-los a uma das operações enumeradas de R 1 a R 11 </v>
      </c>
      <c r="J132" s="114" t="s">
        <v>1538</v>
      </c>
      <c r="K132" s="114" t="s">
        <v>1539</v>
      </c>
      <c r="L132" s="114"/>
    </row>
    <row r="133" spans="2:12" ht="15.75" thickBot="1" x14ac:dyDescent="0.3">
      <c r="B133" s="114" t="s">
        <v>542</v>
      </c>
      <c r="C133" s="144">
        <v>150102</v>
      </c>
      <c r="D133" s="115" t="s">
        <v>1575</v>
      </c>
      <c r="E133" s="138" t="s">
        <v>42</v>
      </c>
      <c r="F133" s="140">
        <v>2.4E-2</v>
      </c>
      <c r="G133" s="138" t="s">
        <v>1532</v>
      </c>
      <c r="H133" s="138" t="s">
        <v>483</v>
      </c>
      <c r="I133" s="114" t="str">
        <f>IFERROR(INDEX(Tabela3[Tipos de Tratamento],MATCH('A3.9.1'!H133,Tabela3[Código],0)),"")</f>
        <v xml:space="preserve">Troca de resíduos com vista a submetê-los a uma das operações enumeradas de R 1 a R 11 </v>
      </c>
      <c r="J133" s="114" t="s">
        <v>1573</v>
      </c>
      <c r="K133" s="114" t="s">
        <v>1574</v>
      </c>
      <c r="L133" s="114"/>
    </row>
    <row r="134" spans="2:12" ht="15.75" thickBot="1" x14ac:dyDescent="0.3">
      <c r="B134" s="114" t="s">
        <v>542</v>
      </c>
      <c r="C134" s="144">
        <v>150110</v>
      </c>
      <c r="D134" s="115" t="s">
        <v>1542</v>
      </c>
      <c r="E134" s="138" t="s">
        <v>34</v>
      </c>
      <c r="F134" s="140">
        <v>0.09</v>
      </c>
      <c r="G134" s="138" t="s">
        <v>1532</v>
      </c>
      <c r="H134" s="138" t="s">
        <v>484</v>
      </c>
      <c r="I134" s="114" t="str">
        <f>IFERROR(INDEX(Tabela3[Tipos de Tratamento],MATCH('A3.9.1'!H134,Tabela3[Código],0)),"")</f>
        <v>Acumulação de resíduos destinados a uma das operações enumeradas de R1 a R12</v>
      </c>
      <c r="J134" s="114" t="s">
        <v>1538</v>
      </c>
      <c r="K134" s="114" t="s">
        <v>1539</v>
      </c>
      <c r="L134" s="114"/>
    </row>
    <row r="135" spans="2:12" ht="15.75" thickBot="1" x14ac:dyDescent="0.3">
      <c r="B135" s="114" t="s">
        <v>542</v>
      </c>
      <c r="C135" s="144">
        <v>150202</v>
      </c>
      <c r="D135" s="115" t="s">
        <v>1547</v>
      </c>
      <c r="E135" s="138" t="s">
        <v>34</v>
      </c>
      <c r="F135" s="140">
        <v>0.36</v>
      </c>
      <c r="G135" s="138" t="s">
        <v>1532</v>
      </c>
      <c r="H135" s="138" t="s">
        <v>484</v>
      </c>
      <c r="I135" s="114" t="str">
        <f>IFERROR(INDEX(Tabela3[Tipos de Tratamento],MATCH('A3.9.1'!H135,Tabela3[Código],0)),"")</f>
        <v>Acumulação de resíduos destinados a uma das operações enumeradas de R1 a R12</v>
      </c>
      <c r="J135" s="114" t="s">
        <v>1538</v>
      </c>
      <c r="K135" s="114" t="s">
        <v>1539</v>
      </c>
      <c r="L135" s="114"/>
    </row>
    <row r="136" spans="2:12" ht="15.75" thickBot="1" x14ac:dyDescent="0.3">
      <c r="B136" s="114" t="s">
        <v>542</v>
      </c>
      <c r="C136" s="144">
        <v>150203</v>
      </c>
      <c r="D136" s="115" t="s">
        <v>1550</v>
      </c>
      <c r="E136" s="138" t="s">
        <v>42</v>
      </c>
      <c r="F136" s="140">
        <v>0.6</v>
      </c>
      <c r="G136" s="138" t="s">
        <v>1532</v>
      </c>
      <c r="H136" s="138" t="s">
        <v>483</v>
      </c>
      <c r="I136" s="114" t="str">
        <f>IFERROR(INDEX(Tabela3[Tipos de Tratamento],MATCH('A3.9.1'!H136,Tabela3[Código],0)),"")</f>
        <v xml:space="preserve">Troca de resíduos com vista a submetê-los a uma das operações enumeradas de R 1 a R 11 </v>
      </c>
      <c r="J136" s="114" t="s">
        <v>1538</v>
      </c>
      <c r="K136" s="114" t="s">
        <v>1539</v>
      </c>
      <c r="L136" s="114"/>
    </row>
    <row r="137" spans="2:12" ht="15.75" thickBot="1" x14ac:dyDescent="0.3">
      <c r="B137" s="114" t="s">
        <v>542</v>
      </c>
      <c r="C137" s="144">
        <v>150203</v>
      </c>
      <c r="D137" s="115" t="s">
        <v>1550</v>
      </c>
      <c r="E137" s="138" t="s">
        <v>42</v>
      </c>
      <c r="F137" s="140">
        <v>0.2</v>
      </c>
      <c r="G137" s="138" t="s">
        <v>1532</v>
      </c>
      <c r="H137" s="138" t="s">
        <v>509</v>
      </c>
      <c r="I137" s="114" t="str">
        <f>IFERROR(INDEX(Tabela3[Tipos de Tratamento],MATCH('A3.9.1'!H137,Tabela3[Código],0)),"")</f>
        <v>Armazenagem enquanto se aguarda a execução de uma das operações enumeradas de D1 a D14</v>
      </c>
      <c r="J137" s="114" t="s">
        <v>1573</v>
      </c>
      <c r="K137" s="114" t="s">
        <v>1574</v>
      </c>
      <c r="L137" s="114"/>
    </row>
    <row r="138" spans="2:12" ht="15.75" thickBot="1" x14ac:dyDescent="0.3">
      <c r="B138" s="114" t="s">
        <v>542</v>
      </c>
      <c r="C138" s="144">
        <v>160107</v>
      </c>
      <c r="D138" s="115" t="s">
        <v>1551</v>
      </c>
      <c r="E138" s="138" t="s">
        <v>34</v>
      </c>
      <c r="F138" s="140">
        <v>0.312</v>
      </c>
      <c r="G138" s="138" t="s">
        <v>1532</v>
      </c>
      <c r="H138" s="138" t="s">
        <v>484</v>
      </c>
      <c r="I138" s="114" t="str">
        <f>IFERROR(INDEX(Tabela3[Tipos de Tratamento],MATCH('A3.9.1'!H138,Tabela3[Código],0)),"")</f>
        <v>Acumulação de resíduos destinados a uma das operações enumeradas de R1 a R12</v>
      </c>
      <c r="J138" s="114" t="s">
        <v>1538</v>
      </c>
      <c r="K138" s="114" t="s">
        <v>1539</v>
      </c>
      <c r="L138" s="114"/>
    </row>
    <row r="139" spans="2:12" ht="15.75" thickBot="1" x14ac:dyDescent="0.3">
      <c r="B139" s="114" t="s">
        <v>542</v>
      </c>
      <c r="C139" s="144">
        <v>160112</v>
      </c>
      <c r="D139" s="115" t="s">
        <v>1552</v>
      </c>
      <c r="E139" s="138" t="s">
        <v>34</v>
      </c>
      <c r="F139" s="140">
        <v>0.27</v>
      </c>
      <c r="G139" s="138" t="s">
        <v>1532</v>
      </c>
      <c r="H139" s="138" t="s">
        <v>483</v>
      </c>
      <c r="I139" s="114" t="str">
        <f>IFERROR(INDEX(Tabela3[Tipos de Tratamento],MATCH('A3.9.1'!H139,Tabela3[Código],0)),"")</f>
        <v xml:space="preserve">Troca de resíduos com vista a submetê-los a uma das operações enumeradas de R 1 a R 11 </v>
      </c>
      <c r="J139" s="114" t="s">
        <v>1538</v>
      </c>
      <c r="K139" s="114" t="s">
        <v>1539</v>
      </c>
      <c r="L139" s="114"/>
    </row>
    <row r="140" spans="2:12" ht="15.75" thickBot="1" x14ac:dyDescent="0.3">
      <c r="B140" s="114" t="s">
        <v>542</v>
      </c>
      <c r="C140" s="144">
        <v>160117</v>
      </c>
      <c r="D140" s="115" t="s">
        <v>1557</v>
      </c>
      <c r="E140" s="138" t="s">
        <v>42</v>
      </c>
      <c r="F140" s="140">
        <v>2.62</v>
      </c>
      <c r="G140" s="138" t="s">
        <v>1532</v>
      </c>
      <c r="H140" s="138" t="s">
        <v>483</v>
      </c>
      <c r="I140" s="114" t="str">
        <f>IFERROR(INDEX(Tabela3[Tipos de Tratamento],MATCH('A3.9.1'!H140,Tabela3[Código],0)),"")</f>
        <v xml:space="preserve">Troca de resíduos com vista a submetê-los a uma das operações enumeradas de R 1 a R 11 </v>
      </c>
      <c r="J140" s="114" t="s">
        <v>1558</v>
      </c>
      <c r="K140" s="114" t="s">
        <v>1559</v>
      </c>
      <c r="L140" s="114"/>
    </row>
    <row r="141" spans="2:12" ht="15.75" thickBot="1" x14ac:dyDescent="0.3">
      <c r="B141" s="114" t="s">
        <v>542</v>
      </c>
      <c r="C141" s="144">
        <v>160121</v>
      </c>
      <c r="D141" s="115" t="s">
        <v>1576</v>
      </c>
      <c r="E141" s="138" t="s">
        <v>34</v>
      </c>
      <c r="F141" s="140">
        <v>0.16800000000000001</v>
      </c>
      <c r="G141" s="138" t="s">
        <v>1532</v>
      </c>
      <c r="H141" s="138" t="s">
        <v>509</v>
      </c>
      <c r="I141" s="114" t="str">
        <f>IFERROR(INDEX(Tabela3[Tipos de Tratamento],MATCH('A3.9.1'!H141,Tabela3[Código],0)),"")</f>
        <v>Armazenagem enquanto se aguarda a execução de uma das operações enumeradas de D1 a D14</v>
      </c>
      <c r="J141" s="114" t="s">
        <v>1573</v>
      </c>
      <c r="K141" s="114" t="s">
        <v>1574</v>
      </c>
      <c r="L141" s="114"/>
    </row>
    <row r="142" spans="2:12" ht="15.75" thickBot="1" x14ac:dyDescent="0.3">
      <c r="B142" s="114" t="s">
        <v>542</v>
      </c>
      <c r="C142" s="144">
        <v>160199</v>
      </c>
      <c r="D142" s="115" t="s">
        <v>1562</v>
      </c>
      <c r="E142" s="138" t="s">
        <v>42</v>
      </c>
      <c r="F142" s="140">
        <v>0.51</v>
      </c>
      <c r="G142" s="138" t="s">
        <v>1532</v>
      </c>
      <c r="H142" s="138" t="s">
        <v>483</v>
      </c>
      <c r="I142" s="114" t="str">
        <f>IFERROR(INDEX(Tabela3[Tipos de Tratamento],MATCH('A3.9.1'!H142,Tabela3[Código],0)),"")</f>
        <v xml:space="preserve">Troca de resíduos com vista a submetê-los a uma das operações enumeradas de R 1 a R 11 </v>
      </c>
      <c r="J142" s="114" t="s">
        <v>1538</v>
      </c>
      <c r="K142" s="114" t="s">
        <v>1539</v>
      </c>
      <c r="L142" s="114"/>
    </row>
    <row r="143" spans="2:12" ht="15.75" thickBot="1" x14ac:dyDescent="0.3">
      <c r="B143" s="114" t="s">
        <v>542</v>
      </c>
      <c r="C143" s="144">
        <v>160199</v>
      </c>
      <c r="D143" s="115" t="s">
        <v>1562</v>
      </c>
      <c r="E143" s="138" t="s">
        <v>42</v>
      </c>
      <c r="F143" s="140">
        <v>0.34</v>
      </c>
      <c r="G143" s="138" t="s">
        <v>1532</v>
      </c>
      <c r="H143" s="138" t="s">
        <v>509</v>
      </c>
      <c r="I143" s="114" t="str">
        <f>IFERROR(INDEX(Tabela3[Tipos de Tratamento],MATCH('A3.9.1'!H143,Tabela3[Código],0)),"")</f>
        <v>Armazenagem enquanto se aguarda a execução de uma das operações enumeradas de D1 a D14</v>
      </c>
      <c r="J143" s="114" t="s">
        <v>1573</v>
      </c>
      <c r="K143" s="114" t="s">
        <v>1574</v>
      </c>
      <c r="L143" s="114"/>
    </row>
    <row r="144" spans="2:12" ht="15.75" thickBot="1" x14ac:dyDescent="0.3">
      <c r="B144" s="114" t="s">
        <v>542</v>
      </c>
      <c r="C144" s="144">
        <v>160601</v>
      </c>
      <c r="D144" s="115" t="s">
        <v>1563</v>
      </c>
      <c r="E144" s="138" t="s">
        <v>34</v>
      </c>
      <c r="F144" s="140">
        <v>1.52</v>
      </c>
      <c r="G144" s="138" t="s">
        <v>1532</v>
      </c>
      <c r="H144" s="138" t="s">
        <v>484</v>
      </c>
      <c r="I144" s="114" t="str">
        <f>IFERROR(INDEX(Tabela3[Tipos de Tratamento],MATCH('A3.9.1'!H144,Tabela3[Código],0)),"")</f>
        <v>Acumulação de resíduos destinados a uma das operações enumeradas de R1 a R12</v>
      </c>
      <c r="J144" s="114" t="s">
        <v>1558</v>
      </c>
      <c r="K144" s="114" t="s">
        <v>1559</v>
      </c>
      <c r="L144" s="114"/>
    </row>
    <row r="145" spans="2:12" ht="15.75" thickBot="1" x14ac:dyDescent="0.3">
      <c r="B145" s="137" t="s">
        <v>542</v>
      </c>
      <c r="C145" s="143">
        <v>190805</v>
      </c>
      <c r="D145" s="141" t="s">
        <v>1577</v>
      </c>
      <c r="E145" s="138" t="s">
        <v>42</v>
      </c>
      <c r="F145" s="140">
        <v>0.86</v>
      </c>
      <c r="G145" s="138" t="s">
        <v>1532</v>
      </c>
      <c r="H145" s="138" t="s">
        <v>483</v>
      </c>
      <c r="I145" s="114" t="str">
        <f>IFERROR(INDEX(Tabela3[Tipos de Tratamento],MATCH('A3.9.1'!H145,Tabela3[Código],0)),"")</f>
        <v xml:space="preserve">Troca de resíduos com vista a submetê-los a uma das operações enumeradas de R 1 a R 11 </v>
      </c>
      <c r="J145" s="114" t="s">
        <v>1570</v>
      </c>
      <c r="K145" s="114" t="s">
        <v>1571</v>
      </c>
      <c r="L145" s="114"/>
    </row>
    <row r="146" spans="2:12" ht="15.75" thickBot="1" x14ac:dyDescent="0.3">
      <c r="B146" s="114" t="s">
        <v>542</v>
      </c>
      <c r="C146" s="144">
        <v>200125</v>
      </c>
      <c r="D146" s="115" t="s">
        <v>1565</v>
      </c>
      <c r="E146" s="138" t="s">
        <v>42</v>
      </c>
      <c r="F146" s="140">
        <v>7.0000000000000007E-2</v>
      </c>
      <c r="G146" s="138" t="s">
        <v>1532</v>
      </c>
      <c r="H146" s="138" t="s">
        <v>483</v>
      </c>
      <c r="I146" s="114" t="str">
        <f>IFERROR(INDEX(Tabela3[Tipos de Tratamento],MATCH('A3.9.1'!H146,Tabela3[Código],0)),"")</f>
        <v xml:space="preserve">Troca de resíduos com vista a submetê-los a uma das operações enumeradas de R 1 a R 11 </v>
      </c>
      <c r="J146" s="114" t="s">
        <v>1566</v>
      </c>
      <c r="K146" s="114" t="s">
        <v>1578</v>
      </c>
      <c r="L146" s="114"/>
    </row>
    <row r="147" spans="2:12" ht="15.75" thickBot="1" x14ac:dyDescent="0.3">
      <c r="B147" s="114" t="s">
        <v>543</v>
      </c>
      <c r="C147" s="144" t="s">
        <v>1579</v>
      </c>
      <c r="D147" s="115" t="s">
        <v>1580</v>
      </c>
      <c r="E147" s="138" t="s">
        <v>34</v>
      </c>
      <c r="F147" s="140">
        <v>1.6E-2</v>
      </c>
      <c r="G147" s="138" t="s">
        <v>1532</v>
      </c>
      <c r="H147" s="138" t="s">
        <v>509</v>
      </c>
      <c r="I147" s="114" t="str">
        <f>IFERROR(INDEX(Tabela3[Tipos de Tratamento],MATCH('A3.9.1'!H147,Tabela3[Código],0)),"")</f>
        <v>Armazenagem enquanto se aguarda a execução de uma das operações enumeradas de D1 a D14</v>
      </c>
      <c r="J147" s="114" t="s">
        <v>1573</v>
      </c>
      <c r="K147" s="114" t="s">
        <v>1539</v>
      </c>
      <c r="L147" s="114"/>
    </row>
    <row r="148" spans="2:12" ht="15.75" thickBot="1" x14ac:dyDescent="0.3">
      <c r="B148" s="114" t="s">
        <v>543</v>
      </c>
      <c r="C148" s="144" t="s">
        <v>1579</v>
      </c>
      <c r="D148" s="115" t="s">
        <v>1580</v>
      </c>
      <c r="E148" s="138" t="s">
        <v>34</v>
      </c>
      <c r="F148" s="140">
        <v>1.6E-2</v>
      </c>
      <c r="G148" s="138" t="s">
        <v>1532</v>
      </c>
      <c r="H148" s="138" t="s">
        <v>483</v>
      </c>
      <c r="I148" s="114" t="str">
        <f>IFERROR(INDEX(Tabela3[Tipos de Tratamento],MATCH('A3.9.1'!H148,Tabela3[Código],0)),"")</f>
        <v xml:space="preserve">Troca de resíduos com vista a submetê-los a uma das operações enumeradas de R 1 a R 11 </v>
      </c>
      <c r="J148" s="114" t="s">
        <v>1573</v>
      </c>
      <c r="K148" s="114" t="s">
        <v>1539</v>
      </c>
      <c r="L148" s="114"/>
    </row>
    <row r="149" spans="2:12" ht="15.75" thickBot="1" x14ac:dyDescent="0.3">
      <c r="B149" s="114" t="s">
        <v>543</v>
      </c>
      <c r="C149" s="144">
        <v>130208</v>
      </c>
      <c r="D149" s="115" t="s">
        <v>1531</v>
      </c>
      <c r="E149" s="138" t="s">
        <v>34</v>
      </c>
      <c r="F149" s="140">
        <v>3.589</v>
      </c>
      <c r="G149" s="138" t="s">
        <v>1532</v>
      </c>
      <c r="H149" s="138" t="s">
        <v>480</v>
      </c>
      <c r="I149" s="114" t="str">
        <f>IFERROR(INDEX(Tabela3[Tipos de Tratamento],MATCH('A3.9.1'!H149,Tabela3[Código],0)),"")</f>
        <v xml:space="preserve">Regeneração de óleos e outras reutilizações de óleos </v>
      </c>
      <c r="J149" s="114" t="s">
        <v>1535</v>
      </c>
      <c r="K149" s="114" t="s">
        <v>1536</v>
      </c>
      <c r="L149" s="114"/>
    </row>
    <row r="150" spans="2:12" ht="15.75" thickBot="1" x14ac:dyDescent="0.3">
      <c r="B150" s="114" t="s">
        <v>543</v>
      </c>
      <c r="C150" s="144">
        <v>130502</v>
      </c>
      <c r="D150" s="115" t="s">
        <v>1569</v>
      </c>
      <c r="E150" s="138" t="s">
        <v>34</v>
      </c>
      <c r="F150" s="140">
        <v>6.36</v>
      </c>
      <c r="G150" s="138" t="s">
        <v>1532</v>
      </c>
      <c r="H150" s="138" t="s">
        <v>483</v>
      </c>
      <c r="I150" s="114" t="str">
        <f>IFERROR(INDEX(Tabela3[Tipos de Tratamento],MATCH('A3.9.1'!H150,Tabela3[Código],0)),"")</f>
        <v xml:space="preserve">Troca de resíduos com vista a submetê-los a uma das operações enumeradas de R 1 a R 11 </v>
      </c>
      <c r="J150" s="114" t="s">
        <v>1570</v>
      </c>
      <c r="K150" s="114" t="s">
        <v>1571</v>
      </c>
      <c r="L150" s="114"/>
    </row>
    <row r="151" spans="2:12" ht="15.75" thickBot="1" x14ac:dyDescent="0.3">
      <c r="B151" s="114" t="s">
        <v>543</v>
      </c>
      <c r="C151" s="144">
        <v>130507</v>
      </c>
      <c r="D151" s="115" t="s">
        <v>1572</v>
      </c>
      <c r="E151" s="138" t="s">
        <v>34</v>
      </c>
      <c r="F151" s="140">
        <v>19.920000000000002</v>
      </c>
      <c r="G151" s="138" t="s">
        <v>1532</v>
      </c>
      <c r="H151" s="138" t="s">
        <v>483</v>
      </c>
      <c r="I151" s="114" t="str">
        <f>IFERROR(INDEX(Tabela3[Tipos de Tratamento],MATCH('A3.9.1'!H151,Tabela3[Código],0)),"")</f>
        <v xml:space="preserve">Troca de resíduos com vista a submetê-los a uma das operações enumeradas de R 1 a R 11 </v>
      </c>
      <c r="J151" s="114" t="s">
        <v>1570</v>
      </c>
      <c r="K151" s="114" t="s">
        <v>1571</v>
      </c>
      <c r="L151" s="114"/>
    </row>
    <row r="152" spans="2:12" ht="15.75" thickBot="1" x14ac:dyDescent="0.3">
      <c r="B152" s="114" t="s">
        <v>543</v>
      </c>
      <c r="C152" s="144">
        <v>150101</v>
      </c>
      <c r="D152" s="115" t="s">
        <v>1537</v>
      </c>
      <c r="E152" s="138" t="s">
        <v>42</v>
      </c>
      <c r="F152" s="140">
        <v>1.7</v>
      </c>
      <c r="G152" s="138" t="s">
        <v>1532</v>
      </c>
      <c r="H152" s="138" t="s">
        <v>484</v>
      </c>
      <c r="I152" s="114" t="str">
        <f>IFERROR(INDEX(Tabela3[Tipos de Tratamento],MATCH('A3.9.1'!H152,Tabela3[Código],0)),"")</f>
        <v>Acumulação de resíduos destinados a uma das operações enumeradas de R1 a R12</v>
      </c>
      <c r="J152" s="114" t="s">
        <v>1558</v>
      </c>
      <c r="K152" s="114" t="s">
        <v>1559</v>
      </c>
      <c r="L152" s="114"/>
    </row>
    <row r="153" spans="2:12" ht="15.75" thickBot="1" x14ac:dyDescent="0.3">
      <c r="B153" s="114" t="s">
        <v>543</v>
      </c>
      <c r="C153" s="144">
        <v>150110</v>
      </c>
      <c r="D153" s="115" t="s">
        <v>1542</v>
      </c>
      <c r="E153" s="138" t="s">
        <v>34</v>
      </c>
      <c r="F153" s="140">
        <v>0.09</v>
      </c>
      <c r="G153" s="138" t="s">
        <v>1532</v>
      </c>
      <c r="H153" s="138" t="s">
        <v>484</v>
      </c>
      <c r="I153" s="114" t="str">
        <f>IFERROR(INDEX(Tabela3[Tipos de Tratamento],MATCH('A3.9.1'!H153,Tabela3[Código],0)),"")</f>
        <v>Acumulação de resíduos destinados a uma das operações enumeradas de R1 a R12</v>
      </c>
      <c r="J153" s="114" t="s">
        <v>1538</v>
      </c>
      <c r="K153" s="114" t="s">
        <v>1539</v>
      </c>
      <c r="L153" s="114"/>
    </row>
    <row r="154" spans="2:12" ht="15.75" thickBot="1" x14ac:dyDescent="0.3">
      <c r="B154" s="114" t="s">
        <v>543</v>
      </c>
      <c r="C154" s="144">
        <v>150202</v>
      </c>
      <c r="D154" s="115" t="s">
        <v>1547</v>
      </c>
      <c r="E154" s="138" t="s">
        <v>34</v>
      </c>
      <c r="F154" s="140">
        <v>1.28</v>
      </c>
      <c r="G154" s="138" t="s">
        <v>1532</v>
      </c>
      <c r="H154" s="138" t="s">
        <v>484</v>
      </c>
      <c r="I154" s="114" t="str">
        <f>IFERROR(INDEX(Tabela3[Tipos de Tratamento],MATCH('A3.9.1'!H154,Tabela3[Código],0)),"")</f>
        <v>Acumulação de resíduos destinados a uma das operações enumeradas de R1 a R12</v>
      </c>
      <c r="J154" s="114" t="s">
        <v>1538</v>
      </c>
      <c r="K154" s="114" t="s">
        <v>1539</v>
      </c>
      <c r="L154" s="114"/>
    </row>
    <row r="155" spans="2:12" ht="15.75" thickBot="1" x14ac:dyDescent="0.3">
      <c r="B155" s="114" t="s">
        <v>543</v>
      </c>
      <c r="C155" s="144">
        <v>150202</v>
      </c>
      <c r="D155" s="115" t="s">
        <v>1547</v>
      </c>
      <c r="E155" s="138" t="s">
        <v>34</v>
      </c>
      <c r="F155" s="140">
        <v>1.28</v>
      </c>
      <c r="G155" s="138" t="s">
        <v>1532</v>
      </c>
      <c r="H155" s="138" t="s">
        <v>483</v>
      </c>
      <c r="I155" s="114" t="str">
        <f>IFERROR(INDEX(Tabela3[Tipos de Tratamento],MATCH('A3.9.1'!H155,Tabela3[Código],0)),"")</f>
        <v xml:space="preserve">Troca de resíduos com vista a submetê-los a uma das operações enumeradas de R 1 a R 11 </v>
      </c>
      <c r="J155" s="114" t="s">
        <v>1573</v>
      </c>
      <c r="K155" s="114" t="s">
        <v>1574</v>
      </c>
      <c r="L155" s="114"/>
    </row>
    <row r="156" spans="2:12" ht="15.75" thickBot="1" x14ac:dyDescent="0.3">
      <c r="B156" s="114" t="s">
        <v>543</v>
      </c>
      <c r="C156" s="144">
        <v>150203</v>
      </c>
      <c r="D156" s="115" t="s">
        <v>1550</v>
      </c>
      <c r="E156" s="138" t="s">
        <v>42</v>
      </c>
      <c r="F156" s="140">
        <v>1.8</v>
      </c>
      <c r="G156" s="138" t="s">
        <v>1532</v>
      </c>
      <c r="H156" s="138" t="s">
        <v>483</v>
      </c>
      <c r="I156" s="114" t="str">
        <f>IFERROR(INDEX(Tabela3[Tipos de Tratamento],MATCH('A3.9.1'!H156,Tabela3[Código],0)),"")</f>
        <v xml:space="preserve">Troca de resíduos com vista a submetê-los a uma das operações enumeradas de R 1 a R 11 </v>
      </c>
      <c r="J156" s="114" t="s">
        <v>1538</v>
      </c>
      <c r="K156" s="114" t="s">
        <v>1539</v>
      </c>
      <c r="L156" s="114"/>
    </row>
    <row r="157" spans="2:12" ht="15.75" thickBot="1" x14ac:dyDescent="0.3">
      <c r="B157" s="114" t="s">
        <v>543</v>
      </c>
      <c r="C157" s="144" t="s">
        <v>1581</v>
      </c>
      <c r="D157" s="115" t="s">
        <v>1582</v>
      </c>
      <c r="E157" s="138" t="s">
        <v>42</v>
      </c>
      <c r="F157" s="140">
        <v>27.68</v>
      </c>
      <c r="G157" s="138" t="s">
        <v>1532</v>
      </c>
      <c r="H157" s="138" t="s">
        <v>484</v>
      </c>
      <c r="I157" s="114" t="str">
        <f>IFERROR(INDEX(Tabela3[Tipos de Tratamento],MATCH('A3.9.1'!H157,Tabela3[Código],0)),"")</f>
        <v>Acumulação de resíduos destinados a uma das operações enumeradas de R1 a R12</v>
      </c>
      <c r="J157" s="114" t="s">
        <v>1558</v>
      </c>
      <c r="K157" s="114" t="s">
        <v>1559</v>
      </c>
      <c r="L157" s="114"/>
    </row>
    <row r="158" spans="2:12" ht="15.75" thickBot="1" x14ac:dyDescent="0.3">
      <c r="B158" s="114" t="s">
        <v>543</v>
      </c>
      <c r="C158" s="144" t="s">
        <v>1583</v>
      </c>
      <c r="D158" s="115" t="s">
        <v>1584</v>
      </c>
      <c r="E158" s="138" t="s">
        <v>34</v>
      </c>
      <c r="F158" s="140">
        <v>65.02</v>
      </c>
      <c r="G158" s="138" t="s">
        <v>1532</v>
      </c>
      <c r="H158" s="138" t="s">
        <v>484</v>
      </c>
      <c r="I158" s="114" t="str">
        <f>IFERROR(INDEX(Tabela3[Tipos de Tratamento],MATCH('A3.9.1'!H158,Tabela3[Código],0)),"")</f>
        <v>Acumulação de resíduos destinados a uma das operações enumeradas de R1 a R12</v>
      </c>
      <c r="J158" s="114" t="s">
        <v>1585</v>
      </c>
      <c r="K158" s="114" t="s">
        <v>1586</v>
      </c>
      <c r="L158" s="114"/>
    </row>
    <row r="159" spans="2:12" ht="15.75" thickBot="1" x14ac:dyDescent="0.3">
      <c r="B159" s="114" t="s">
        <v>543</v>
      </c>
      <c r="C159" s="144">
        <v>160107</v>
      </c>
      <c r="D159" s="115" t="s">
        <v>1551</v>
      </c>
      <c r="E159" s="138" t="s">
        <v>34</v>
      </c>
      <c r="F159" s="140">
        <v>0.72799999999999998</v>
      </c>
      <c r="G159" s="138" t="s">
        <v>1532</v>
      </c>
      <c r="H159" s="138" t="s">
        <v>484</v>
      </c>
      <c r="I159" s="114" t="str">
        <f>IFERROR(INDEX(Tabela3[Tipos de Tratamento],MATCH('A3.9.1'!H159,Tabela3[Código],0)),"")</f>
        <v>Acumulação de resíduos destinados a uma das operações enumeradas de R1 a R12</v>
      </c>
      <c r="J159" s="114" t="s">
        <v>1538</v>
      </c>
      <c r="K159" s="114" t="s">
        <v>1539</v>
      </c>
      <c r="L159" s="114"/>
    </row>
    <row r="160" spans="2:12" ht="15.75" thickBot="1" x14ac:dyDescent="0.3">
      <c r="B160" s="114" t="s">
        <v>543</v>
      </c>
      <c r="C160" s="144">
        <v>160112</v>
      </c>
      <c r="D160" s="115" t="s">
        <v>1552</v>
      </c>
      <c r="E160" s="138" t="s">
        <v>34</v>
      </c>
      <c r="F160" s="140">
        <v>0.81</v>
      </c>
      <c r="G160" s="138" t="s">
        <v>1532</v>
      </c>
      <c r="H160" s="138" t="s">
        <v>483</v>
      </c>
      <c r="I160" s="114" t="str">
        <f>IFERROR(INDEX(Tabela3[Tipos de Tratamento],MATCH('A3.9.1'!H160,Tabela3[Código],0)),"")</f>
        <v xml:space="preserve">Troca de resíduos com vista a submetê-los a uma das operações enumeradas de R 1 a R 11 </v>
      </c>
      <c r="J160" s="114" t="s">
        <v>1538</v>
      </c>
      <c r="K160" s="114" t="s">
        <v>1539</v>
      </c>
      <c r="L160" s="114"/>
    </row>
    <row r="161" spans="2:12" ht="15.75" thickBot="1" x14ac:dyDescent="0.3">
      <c r="B161" s="114" t="s">
        <v>543</v>
      </c>
      <c r="C161" s="144">
        <v>160117</v>
      </c>
      <c r="D161" s="115" t="s">
        <v>1557</v>
      </c>
      <c r="E161" s="138" t="s">
        <v>42</v>
      </c>
      <c r="F161" s="140">
        <v>3.1</v>
      </c>
      <c r="G161" s="138" t="s">
        <v>1532</v>
      </c>
      <c r="H161" s="138" t="s">
        <v>483</v>
      </c>
      <c r="I161" s="114" t="str">
        <f>IFERROR(INDEX(Tabela3[Tipos de Tratamento],MATCH('A3.9.1'!H161,Tabela3[Código],0)),"")</f>
        <v xml:space="preserve">Troca de resíduos com vista a submetê-los a uma das operações enumeradas de R 1 a R 11 </v>
      </c>
      <c r="J161" s="114" t="s">
        <v>1558</v>
      </c>
      <c r="K161" s="114" t="s">
        <v>1559</v>
      </c>
      <c r="L161" s="114"/>
    </row>
    <row r="162" spans="2:12" ht="15.75" thickBot="1" x14ac:dyDescent="0.3">
      <c r="B162" s="114" t="s">
        <v>543</v>
      </c>
      <c r="C162" s="144">
        <v>160119</v>
      </c>
      <c r="D162" s="115" t="s">
        <v>1560</v>
      </c>
      <c r="E162" s="138" t="s">
        <v>42</v>
      </c>
      <c r="F162" s="140">
        <v>8.5999999999999993E-2</v>
      </c>
      <c r="G162" s="138" t="s">
        <v>1532</v>
      </c>
      <c r="H162" s="138" t="s">
        <v>483</v>
      </c>
      <c r="I162" s="114" t="str">
        <f>IFERROR(INDEX(Tabela3[Tipos de Tratamento],MATCH('A3.9.1'!H162,Tabela3[Código],0)),"")</f>
        <v xml:space="preserve">Troca de resíduos com vista a submetê-los a uma das operações enumeradas de R 1 a R 11 </v>
      </c>
      <c r="J162" s="114" t="s">
        <v>1538</v>
      </c>
      <c r="K162" s="114" t="s">
        <v>1539</v>
      </c>
      <c r="L162" s="114"/>
    </row>
    <row r="163" spans="2:12" ht="15.75" thickBot="1" x14ac:dyDescent="0.3">
      <c r="B163" s="114" t="s">
        <v>543</v>
      </c>
      <c r="C163" s="144" t="s">
        <v>1587</v>
      </c>
      <c r="D163" s="115" t="s">
        <v>1561</v>
      </c>
      <c r="E163" s="138" t="s">
        <v>42</v>
      </c>
      <c r="F163" s="140">
        <v>0.82799999999999996</v>
      </c>
      <c r="G163" s="138" t="s">
        <v>1532</v>
      </c>
      <c r="H163" s="138" t="s">
        <v>483</v>
      </c>
      <c r="I163" s="114" t="str">
        <f>IFERROR(INDEX(Tabela3[Tipos de Tratamento],MATCH('A3.9.1'!H163,Tabela3[Código],0)),"")</f>
        <v xml:space="preserve">Troca de resíduos com vista a submetê-los a uma das operações enumeradas de R 1 a R 11 </v>
      </c>
      <c r="J163" s="114" t="s">
        <v>1538</v>
      </c>
      <c r="K163" s="114" t="s">
        <v>1539</v>
      </c>
      <c r="L163" s="114"/>
    </row>
    <row r="164" spans="2:12" ht="15.75" thickBot="1" x14ac:dyDescent="0.3">
      <c r="B164" s="114" t="s">
        <v>543</v>
      </c>
      <c r="C164" s="144">
        <v>160121</v>
      </c>
      <c r="D164" s="115" t="s">
        <v>1576</v>
      </c>
      <c r="E164" s="138" t="s">
        <v>34</v>
      </c>
      <c r="F164" s="140">
        <v>0.84</v>
      </c>
      <c r="G164" s="138" t="s">
        <v>1532</v>
      </c>
      <c r="H164" s="138" t="s">
        <v>484</v>
      </c>
      <c r="I164" s="114" t="str">
        <f>IFERROR(INDEX(Tabela3[Tipos de Tratamento],MATCH('A3.9.1'!H164,Tabela3[Código],0)),"")</f>
        <v>Acumulação de resíduos destinados a uma das operações enumeradas de R1 a R12</v>
      </c>
      <c r="J164" s="114" t="s">
        <v>1538</v>
      </c>
      <c r="K164" s="114" t="s">
        <v>1539</v>
      </c>
      <c r="L164" s="114"/>
    </row>
    <row r="165" spans="2:12" ht="15.75" thickBot="1" x14ac:dyDescent="0.3">
      <c r="B165" s="114" t="s">
        <v>543</v>
      </c>
      <c r="C165" s="144">
        <v>160199</v>
      </c>
      <c r="D165" s="115" t="s">
        <v>1562</v>
      </c>
      <c r="E165" s="138" t="s">
        <v>42</v>
      </c>
      <c r="F165" s="140">
        <v>0.68</v>
      </c>
      <c r="G165" s="138" t="s">
        <v>1532</v>
      </c>
      <c r="H165" s="138" t="s">
        <v>483</v>
      </c>
      <c r="I165" s="114" t="str">
        <f>IFERROR(INDEX(Tabela3[Tipos de Tratamento],MATCH('A3.9.1'!H165,Tabela3[Código],0)),"")</f>
        <v xml:space="preserve">Troca de resíduos com vista a submetê-los a uma das operações enumeradas de R 1 a R 11 </v>
      </c>
      <c r="J165" s="114" t="s">
        <v>1538</v>
      </c>
      <c r="K165" s="114" t="s">
        <v>1539</v>
      </c>
      <c r="L165" s="114"/>
    </row>
    <row r="166" spans="2:12" ht="15.75" thickBot="1" x14ac:dyDescent="0.3">
      <c r="B166" s="114" t="s">
        <v>543</v>
      </c>
      <c r="C166" s="144">
        <v>160601</v>
      </c>
      <c r="D166" s="115" t="s">
        <v>1563</v>
      </c>
      <c r="E166" s="138" t="s">
        <v>34</v>
      </c>
      <c r="F166" s="140">
        <v>4.08</v>
      </c>
      <c r="G166" s="138" t="s">
        <v>1532</v>
      </c>
      <c r="H166" s="138" t="s">
        <v>484</v>
      </c>
      <c r="I166" s="114" t="str">
        <f>IFERROR(INDEX(Tabela3[Tipos de Tratamento],MATCH('A3.9.1'!H166,Tabela3[Código],0)),"")</f>
        <v>Acumulação de resíduos destinados a uma das operações enumeradas de R1 a R12</v>
      </c>
      <c r="J166" s="114" t="s">
        <v>1558</v>
      </c>
      <c r="K166" s="114" t="s">
        <v>1559</v>
      </c>
      <c r="L166" s="114"/>
    </row>
    <row r="167" spans="2:12" ht="15.75" thickBot="1" x14ac:dyDescent="0.3">
      <c r="B167" s="114" t="s">
        <v>543</v>
      </c>
      <c r="C167" s="144">
        <v>200121</v>
      </c>
      <c r="D167" s="115" t="s">
        <v>1564</v>
      </c>
      <c r="E167" s="138" t="s">
        <v>34</v>
      </c>
      <c r="F167" s="140">
        <v>2.4E-2</v>
      </c>
      <c r="G167" s="138" t="s">
        <v>1532</v>
      </c>
      <c r="H167" s="138" t="s">
        <v>484</v>
      </c>
      <c r="I167" s="114" t="str">
        <f>IFERROR(INDEX(Tabela3[Tipos de Tratamento],MATCH('A3.9.1'!H167,Tabela3[Código],0)),"")</f>
        <v>Acumulação de resíduos destinados a uma das operações enumeradas de R1 a R12</v>
      </c>
      <c r="J167" s="114" t="s">
        <v>1538</v>
      </c>
      <c r="K167" s="114" t="s">
        <v>1539</v>
      </c>
      <c r="L167" s="114"/>
    </row>
    <row r="168" spans="2:12" ht="15.75" thickBot="1" x14ac:dyDescent="0.3">
      <c r="B168" s="114" t="s">
        <v>543</v>
      </c>
      <c r="C168" s="144">
        <v>200136</v>
      </c>
      <c r="D168" s="115" t="s">
        <v>1568</v>
      </c>
      <c r="E168" s="138" t="s">
        <v>42</v>
      </c>
      <c r="F168" s="140">
        <v>0.05</v>
      </c>
      <c r="G168" s="138" t="s">
        <v>1532</v>
      </c>
      <c r="H168" s="138" t="s">
        <v>483</v>
      </c>
      <c r="I168" s="114" t="str">
        <f>IFERROR(INDEX(Tabela3[Tipos de Tratamento],MATCH('A3.9.1'!H168,Tabela3[Código],0)),"")</f>
        <v xml:space="preserve">Troca de resíduos com vista a submetê-los a uma das operações enumeradas de R 1 a R 11 </v>
      </c>
      <c r="J168" s="114" t="s">
        <v>1538</v>
      </c>
      <c r="K168" s="114" t="s">
        <v>1539</v>
      </c>
      <c r="L168" s="114"/>
    </row>
    <row r="169" spans="2:12" ht="15.75" thickBot="1" x14ac:dyDescent="0.3">
      <c r="B169" s="114" t="s">
        <v>544</v>
      </c>
      <c r="C169" s="144" t="s">
        <v>1588</v>
      </c>
      <c r="D169" s="115" t="s">
        <v>1589</v>
      </c>
      <c r="E169" s="138" t="s">
        <v>34</v>
      </c>
      <c r="F169" s="140">
        <v>1.2999999999999999E-2</v>
      </c>
      <c r="G169" s="138" t="s">
        <v>1532</v>
      </c>
      <c r="H169" s="138" t="s">
        <v>484</v>
      </c>
      <c r="I169" s="114" t="str">
        <f>IFERROR(INDEX(Tabela3[Tipos de Tratamento],MATCH('A3.9.1'!H169,Tabela3[Código],0)),"")</f>
        <v>Acumulação de resíduos destinados a uma das operações enumeradas de R1 a R12</v>
      </c>
      <c r="J169" s="114" t="s">
        <v>1538</v>
      </c>
      <c r="K169" s="114" t="s">
        <v>1539</v>
      </c>
      <c r="L169" s="114"/>
    </row>
    <row r="170" spans="2:12" ht="15.75" thickBot="1" x14ac:dyDescent="0.3">
      <c r="B170" s="114" t="s">
        <v>544</v>
      </c>
      <c r="C170" s="144">
        <v>130208</v>
      </c>
      <c r="D170" s="115" t="s">
        <v>1531</v>
      </c>
      <c r="E170" s="138" t="s">
        <v>34</v>
      </c>
      <c r="F170" s="140">
        <v>3.448</v>
      </c>
      <c r="G170" s="138" t="s">
        <v>1532</v>
      </c>
      <c r="H170" s="138" t="s">
        <v>480</v>
      </c>
      <c r="I170" s="114" t="str">
        <f>IFERROR(INDEX(Tabela3[Tipos de Tratamento],MATCH('A3.9.1'!H170,Tabela3[Código],0)),"")</f>
        <v xml:space="preserve">Regeneração de óleos e outras reutilizações de óleos </v>
      </c>
      <c r="J170" s="114" t="s">
        <v>1535</v>
      </c>
      <c r="K170" s="114" t="s">
        <v>1536</v>
      </c>
      <c r="L170" s="114"/>
    </row>
    <row r="171" spans="2:12" ht="15.75" thickBot="1" x14ac:dyDescent="0.3">
      <c r="B171" s="114" t="s">
        <v>544</v>
      </c>
      <c r="C171" s="144">
        <v>130502</v>
      </c>
      <c r="D171" s="115" t="s">
        <v>1569</v>
      </c>
      <c r="E171" s="138" t="s">
        <v>34</v>
      </c>
      <c r="F171" s="140">
        <v>5.88</v>
      </c>
      <c r="G171" s="138" t="s">
        <v>1532</v>
      </c>
      <c r="H171" s="145" t="s">
        <v>503</v>
      </c>
      <c r="I171" s="115" t="str">
        <f>IFERROR(INDEX(Tabela3[Tipos de Tratamento],MATCH('A3.9.1'!H171,Tabela3[Código],0)),"")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171" s="114" t="s">
        <v>1570</v>
      </c>
      <c r="K171" s="114" t="s">
        <v>1571</v>
      </c>
      <c r="L171" s="115"/>
    </row>
    <row r="172" spans="2:12" ht="15.75" thickBot="1" x14ac:dyDescent="0.3">
      <c r="B172" s="114" t="s">
        <v>544</v>
      </c>
      <c r="C172" s="144">
        <v>130507</v>
      </c>
      <c r="D172" s="115" t="s">
        <v>1572</v>
      </c>
      <c r="E172" s="138" t="s">
        <v>34</v>
      </c>
      <c r="F172" s="140">
        <v>5.68</v>
      </c>
      <c r="G172" s="138" t="s">
        <v>1532</v>
      </c>
      <c r="H172" s="138" t="s">
        <v>483</v>
      </c>
      <c r="I172" s="114" t="str">
        <f>IFERROR(INDEX(Tabela3[Tipos de Tratamento],MATCH('A3.9.1'!H172,Tabela3[Código],0)),"")</f>
        <v xml:space="preserve">Troca de resíduos com vista a submetê-los a uma das operações enumeradas de R 1 a R 11 </v>
      </c>
      <c r="J172" s="114" t="s">
        <v>1570</v>
      </c>
      <c r="K172" s="114" t="s">
        <v>1571</v>
      </c>
      <c r="L172" s="114"/>
    </row>
    <row r="173" spans="2:12" ht="15.75" thickBot="1" x14ac:dyDescent="0.3">
      <c r="B173" s="114" t="s">
        <v>544</v>
      </c>
      <c r="C173" s="144" t="s">
        <v>1590</v>
      </c>
      <c r="D173" s="115" t="s">
        <v>1591</v>
      </c>
      <c r="E173" s="138" t="s">
        <v>34</v>
      </c>
      <c r="F173" s="140">
        <v>0.16400000000000001</v>
      </c>
      <c r="G173" s="138" t="s">
        <v>1532</v>
      </c>
      <c r="H173" s="138" t="s">
        <v>484</v>
      </c>
      <c r="I173" s="114" t="str">
        <f>IFERROR(INDEX(Tabela3[Tipos de Tratamento],MATCH('A3.9.1'!H173,Tabela3[Código],0)),"")</f>
        <v>Acumulação de resíduos destinados a uma das operações enumeradas de R1 a R12</v>
      </c>
      <c r="J173" s="114" t="s">
        <v>1538</v>
      </c>
      <c r="K173" s="114" t="s">
        <v>1539</v>
      </c>
      <c r="L173" s="114"/>
    </row>
    <row r="174" spans="2:12" ht="15.75" thickBot="1" x14ac:dyDescent="0.3">
      <c r="B174" s="114" t="s">
        <v>544</v>
      </c>
      <c r="C174" s="144">
        <v>150110</v>
      </c>
      <c r="D174" s="115" t="s">
        <v>1542</v>
      </c>
      <c r="E174" s="138" t="s">
        <v>34</v>
      </c>
      <c r="F174" s="140">
        <v>7.1999999999999995E-2</v>
      </c>
      <c r="G174" s="138" t="s">
        <v>1532</v>
      </c>
      <c r="H174" s="138" t="s">
        <v>484</v>
      </c>
      <c r="I174" s="114" t="str">
        <f>IFERROR(INDEX(Tabela3[Tipos de Tratamento],MATCH('A3.9.1'!H174,Tabela3[Código],0)),"")</f>
        <v>Acumulação de resíduos destinados a uma das operações enumeradas de R1 a R12</v>
      </c>
      <c r="J174" s="114" t="s">
        <v>1538</v>
      </c>
      <c r="K174" s="114" t="s">
        <v>1539</v>
      </c>
      <c r="L174" s="114"/>
    </row>
    <row r="175" spans="2:12" ht="15.75" thickBot="1" x14ac:dyDescent="0.3">
      <c r="B175" s="114" t="s">
        <v>544</v>
      </c>
      <c r="C175" s="144">
        <v>150111</v>
      </c>
      <c r="D175" s="115" t="s">
        <v>1549</v>
      </c>
      <c r="E175" s="138" t="s">
        <v>34</v>
      </c>
      <c r="F175" s="140">
        <v>1.7999999999999999E-2</v>
      </c>
      <c r="G175" s="138" t="s">
        <v>1532</v>
      </c>
      <c r="H175" s="138" t="s">
        <v>484</v>
      </c>
      <c r="I175" s="114" t="str">
        <f>IFERROR(INDEX(Tabela3[Tipos de Tratamento],MATCH('A3.9.1'!H175,Tabela3[Código],0)),"")</f>
        <v>Acumulação de resíduos destinados a uma das operações enumeradas de R1 a R12</v>
      </c>
      <c r="J175" s="114" t="s">
        <v>1538</v>
      </c>
      <c r="K175" s="114" t="s">
        <v>1539</v>
      </c>
      <c r="L175" s="114"/>
    </row>
    <row r="176" spans="2:12" ht="15.75" thickBot="1" x14ac:dyDescent="0.3">
      <c r="B176" s="114" t="s">
        <v>544</v>
      </c>
      <c r="C176" s="144">
        <v>150202</v>
      </c>
      <c r="D176" s="115" t="s">
        <v>1547</v>
      </c>
      <c r="E176" s="138" t="s">
        <v>34</v>
      </c>
      <c r="F176" s="140">
        <v>0.36</v>
      </c>
      <c r="G176" s="138" t="s">
        <v>1532</v>
      </c>
      <c r="H176" s="138" t="s">
        <v>484</v>
      </c>
      <c r="I176" s="114" t="str">
        <f>IFERROR(INDEX(Tabela3[Tipos de Tratamento],MATCH('A3.9.1'!H176,Tabela3[Código],0)),"")</f>
        <v>Acumulação de resíduos destinados a uma das operações enumeradas de R1 a R12</v>
      </c>
      <c r="J176" s="114" t="s">
        <v>1538</v>
      </c>
      <c r="K176" s="114" t="s">
        <v>1539</v>
      </c>
      <c r="L176" s="114"/>
    </row>
    <row r="177" spans="2:12" ht="15.75" thickBot="1" x14ac:dyDescent="0.3">
      <c r="B177" s="114" t="s">
        <v>544</v>
      </c>
      <c r="C177" s="144">
        <v>150203</v>
      </c>
      <c r="D177" s="115" t="s">
        <v>1550</v>
      </c>
      <c r="E177" s="138" t="s">
        <v>42</v>
      </c>
      <c r="F177" s="140">
        <v>0.2</v>
      </c>
      <c r="G177" s="138" t="s">
        <v>1532</v>
      </c>
      <c r="H177" s="138" t="s">
        <v>483</v>
      </c>
      <c r="I177" s="114" t="str">
        <f>IFERROR(INDEX(Tabela3[Tipos de Tratamento],MATCH('A3.9.1'!H177,Tabela3[Código],0)),"")</f>
        <v xml:space="preserve">Troca de resíduos com vista a submetê-los a uma das operações enumeradas de R 1 a R 11 </v>
      </c>
      <c r="J177" s="114" t="s">
        <v>1538</v>
      </c>
      <c r="K177" s="114" t="s">
        <v>1539</v>
      </c>
      <c r="L177" s="114"/>
    </row>
    <row r="178" spans="2:12" ht="15.75" thickBot="1" x14ac:dyDescent="0.3">
      <c r="B178" s="114" t="s">
        <v>544</v>
      </c>
      <c r="C178" s="144" t="s">
        <v>1593</v>
      </c>
      <c r="D178" s="115" t="s">
        <v>1592</v>
      </c>
      <c r="E178" s="138" t="s">
        <v>42</v>
      </c>
      <c r="F178" s="140">
        <v>12.46</v>
      </c>
      <c r="G178" s="138" t="s">
        <v>1532</v>
      </c>
      <c r="H178" s="138" t="s">
        <v>483</v>
      </c>
      <c r="I178" s="114" t="str">
        <f>IFERROR(INDEX(Tabela3[Tipos de Tratamento],MATCH('A3.9.1'!H178,Tabela3[Código],0)),"")</f>
        <v xml:space="preserve">Troca de resíduos com vista a submetê-los a uma das operações enumeradas de R 1 a R 11 </v>
      </c>
      <c r="J178" s="114" t="s">
        <v>1585</v>
      </c>
      <c r="K178" s="114" t="s">
        <v>1594</v>
      </c>
      <c r="L178" s="114"/>
    </row>
    <row r="179" spans="2:12" ht="15.75" thickBot="1" x14ac:dyDescent="0.3">
      <c r="B179" s="114" t="s">
        <v>544</v>
      </c>
      <c r="C179" s="144">
        <v>160107</v>
      </c>
      <c r="D179" s="115" t="s">
        <v>1551</v>
      </c>
      <c r="E179" s="138" t="s">
        <v>34</v>
      </c>
      <c r="F179" s="140">
        <v>0.624</v>
      </c>
      <c r="G179" s="138" t="s">
        <v>1532</v>
      </c>
      <c r="H179" s="138" t="s">
        <v>484</v>
      </c>
      <c r="I179" s="114" t="str">
        <f>IFERROR(INDEX(Tabela3[Tipos de Tratamento],MATCH('A3.9.1'!H179,Tabela3[Código],0)),"")</f>
        <v>Acumulação de resíduos destinados a uma das operações enumeradas de R1 a R12</v>
      </c>
      <c r="J179" s="114" t="s">
        <v>1538</v>
      </c>
      <c r="K179" s="114" t="s">
        <v>1539</v>
      </c>
      <c r="L179" s="114"/>
    </row>
    <row r="180" spans="2:12" ht="15.75" thickBot="1" x14ac:dyDescent="0.3">
      <c r="B180" s="114" t="s">
        <v>544</v>
      </c>
      <c r="C180" s="144">
        <v>160117</v>
      </c>
      <c r="D180" s="115" t="s">
        <v>1557</v>
      </c>
      <c r="E180" s="138" t="s">
        <v>42</v>
      </c>
      <c r="F180" s="140">
        <v>5.46</v>
      </c>
      <c r="G180" s="138" t="s">
        <v>1532</v>
      </c>
      <c r="H180" s="138" t="s">
        <v>483</v>
      </c>
      <c r="I180" s="114" t="str">
        <f>IFERROR(INDEX(Tabela3[Tipos de Tratamento],MATCH('A3.9.1'!H180,Tabela3[Código],0)),"")</f>
        <v xml:space="preserve">Troca de resíduos com vista a submetê-los a uma das operações enumeradas de R 1 a R 11 </v>
      </c>
      <c r="J180" s="114" t="s">
        <v>1595</v>
      </c>
      <c r="K180" s="114" t="s">
        <v>1596</v>
      </c>
      <c r="L180" s="114"/>
    </row>
    <row r="181" spans="2:12" ht="15.75" thickBot="1" x14ac:dyDescent="0.3">
      <c r="B181" s="114" t="s">
        <v>544</v>
      </c>
      <c r="C181" s="144" t="s">
        <v>1587</v>
      </c>
      <c r="D181" s="115" t="s">
        <v>1561</v>
      </c>
      <c r="E181" s="138" t="s">
        <v>42</v>
      </c>
      <c r="F181" s="140">
        <v>0.61899999999999999</v>
      </c>
      <c r="G181" s="138" t="s">
        <v>1532</v>
      </c>
      <c r="H181" s="138" t="s">
        <v>483</v>
      </c>
      <c r="I181" s="114" t="str">
        <f>IFERROR(INDEX(Tabela3[Tipos de Tratamento],MATCH('A3.9.1'!H181,Tabela3[Código],0)),"")</f>
        <v xml:space="preserve">Troca de resíduos com vista a submetê-los a uma das operações enumeradas de R 1 a R 11 </v>
      </c>
      <c r="J181" s="114" t="s">
        <v>1538</v>
      </c>
      <c r="K181" s="114" t="s">
        <v>1539</v>
      </c>
      <c r="L181" s="114"/>
    </row>
    <row r="182" spans="2:12" ht="15.75" thickBot="1" x14ac:dyDescent="0.3">
      <c r="B182" s="114" t="s">
        <v>544</v>
      </c>
      <c r="C182" s="144">
        <v>160199</v>
      </c>
      <c r="D182" s="115" t="s">
        <v>1562</v>
      </c>
      <c r="E182" s="138" t="s">
        <v>42</v>
      </c>
      <c r="F182" s="140">
        <v>0.27</v>
      </c>
      <c r="G182" s="138" t="s">
        <v>1532</v>
      </c>
      <c r="H182" s="138" t="s">
        <v>483</v>
      </c>
      <c r="I182" s="114" t="str">
        <f>IFERROR(INDEX(Tabela3[Tipos de Tratamento],MATCH('A3.9.1'!H182,Tabela3[Código],0)),"")</f>
        <v xml:space="preserve">Troca de resíduos com vista a submetê-los a uma das operações enumeradas de R 1 a R 11 </v>
      </c>
      <c r="J182" s="114" t="s">
        <v>1538</v>
      </c>
      <c r="K182" s="114" t="s">
        <v>1539</v>
      </c>
      <c r="L182" s="114"/>
    </row>
    <row r="183" spans="2:12" ht="15.75" thickBot="1" x14ac:dyDescent="0.3">
      <c r="B183" s="114" t="s">
        <v>544</v>
      </c>
      <c r="C183" s="144">
        <v>160601</v>
      </c>
      <c r="D183" s="115" t="s">
        <v>1563</v>
      </c>
      <c r="E183" s="138" t="s">
        <v>34</v>
      </c>
      <c r="F183" s="140">
        <v>0.6</v>
      </c>
      <c r="G183" s="138" t="s">
        <v>1532</v>
      </c>
      <c r="H183" s="138" t="s">
        <v>484</v>
      </c>
      <c r="I183" s="114" t="str">
        <f>IFERROR(INDEX(Tabela3[Tipos de Tratamento],MATCH('A3.9.1'!H183,Tabela3[Código],0)),"")</f>
        <v>Acumulação de resíduos destinados a uma das operações enumeradas de R1 a R12</v>
      </c>
      <c r="J183" s="114" t="s">
        <v>1558</v>
      </c>
      <c r="K183" s="114" t="s">
        <v>1559</v>
      </c>
      <c r="L183" s="114"/>
    </row>
    <row r="184" spans="2:12" ht="15.75" thickBot="1" x14ac:dyDescent="0.3">
      <c r="B184" s="114" t="s">
        <v>544</v>
      </c>
      <c r="C184" s="144">
        <v>200101</v>
      </c>
      <c r="D184" s="115" t="s">
        <v>1597</v>
      </c>
      <c r="E184" s="138" t="s">
        <v>42</v>
      </c>
      <c r="F184" s="140">
        <v>1.2</v>
      </c>
      <c r="G184" s="138" t="s">
        <v>1532</v>
      </c>
      <c r="H184" s="138" t="s">
        <v>483</v>
      </c>
      <c r="I184" s="114" t="str">
        <f>IFERROR(INDEX(Tabela3[Tipos de Tratamento],MATCH('A3.9.1'!H184,Tabela3[Código],0)),"")</f>
        <v xml:space="preserve">Troca de resíduos com vista a submetê-los a uma das operações enumeradas de R 1 a R 11 </v>
      </c>
      <c r="J184" s="114" t="s">
        <v>1540</v>
      </c>
      <c r="K184" s="114" t="s">
        <v>1541</v>
      </c>
      <c r="L184" s="114"/>
    </row>
    <row r="185" spans="2:12" ht="15.75" thickBot="1" x14ac:dyDescent="0.3">
      <c r="B185" s="114" t="s">
        <v>544</v>
      </c>
      <c r="C185" s="144">
        <v>200121</v>
      </c>
      <c r="D185" s="115" t="s">
        <v>1564</v>
      </c>
      <c r="E185" s="138" t="s">
        <v>34</v>
      </c>
      <c r="F185" s="140">
        <v>1.7999999999999999E-2</v>
      </c>
      <c r="G185" s="138" t="s">
        <v>1532</v>
      </c>
      <c r="H185" s="138" t="s">
        <v>484</v>
      </c>
      <c r="I185" s="114" t="str">
        <f>IFERROR(INDEX(Tabela3[Tipos de Tratamento],MATCH('A3.9.1'!H185,Tabela3[Código],0)),"")</f>
        <v>Acumulação de resíduos destinados a uma das operações enumeradas de R1 a R12</v>
      </c>
      <c r="J185" s="114" t="s">
        <v>1538</v>
      </c>
      <c r="K185" s="114" t="s">
        <v>1539</v>
      </c>
      <c r="L185" s="114"/>
    </row>
    <row r="186" spans="2:12" ht="15.75" thickBot="1" x14ac:dyDescent="0.3">
      <c r="B186" s="114" t="s">
        <v>544</v>
      </c>
      <c r="C186" s="144">
        <v>200136</v>
      </c>
      <c r="D186" s="115" t="s">
        <v>1568</v>
      </c>
      <c r="E186" s="138" t="s">
        <v>42</v>
      </c>
      <c r="F186" s="140">
        <v>0.14799999999999999</v>
      </c>
      <c r="G186" s="138" t="s">
        <v>1532</v>
      </c>
      <c r="H186" s="138" t="s">
        <v>483</v>
      </c>
      <c r="I186" s="114" t="str">
        <f>IFERROR(INDEX(Tabela3[Tipos de Tratamento],MATCH('A3.9.1'!H186,Tabela3[Código],0)),"")</f>
        <v xml:space="preserve">Troca de resíduos com vista a submetê-los a uma das operações enumeradas de R 1 a R 11 </v>
      </c>
      <c r="J186" s="114" t="s">
        <v>1538</v>
      </c>
      <c r="K186" s="114" t="s">
        <v>1539</v>
      </c>
      <c r="L186" s="114"/>
    </row>
    <row r="187" spans="2:12" ht="15.75" thickBot="1" x14ac:dyDescent="0.3">
      <c r="B187" s="114" t="s">
        <v>547</v>
      </c>
      <c r="C187" s="144">
        <v>130208</v>
      </c>
      <c r="D187" s="115" t="s">
        <v>1531</v>
      </c>
      <c r="E187" s="138" t="s">
        <v>34</v>
      </c>
      <c r="F187" s="140">
        <v>5.9660000000000002</v>
      </c>
      <c r="G187" s="138" t="s">
        <v>1532</v>
      </c>
      <c r="H187" s="138" t="s">
        <v>483</v>
      </c>
      <c r="I187" s="114" t="str">
        <f>IFERROR(INDEX(Tabela3[Tipos de Tratamento],MATCH('A3.9.1'!H187,Tabela3[Código],0)),"")</f>
        <v xml:space="preserve">Troca de resíduos com vista a submetê-los a uma das operações enumeradas de R 1 a R 11 </v>
      </c>
      <c r="J187" s="114" t="s">
        <v>1598</v>
      </c>
      <c r="K187" s="114" t="s">
        <v>1599</v>
      </c>
      <c r="L187" s="114"/>
    </row>
    <row r="188" spans="2:12" ht="15.75" thickBot="1" x14ac:dyDescent="0.3">
      <c r="B188" s="114" t="s">
        <v>547</v>
      </c>
      <c r="C188" s="144">
        <v>130502</v>
      </c>
      <c r="D188" s="115" t="s">
        <v>1569</v>
      </c>
      <c r="E188" s="138" t="s">
        <v>34</v>
      </c>
      <c r="F188" s="140">
        <v>3.16</v>
      </c>
      <c r="G188" s="138" t="s">
        <v>1532</v>
      </c>
      <c r="H188" s="145" t="s">
        <v>503</v>
      </c>
      <c r="I188" s="115" t="str">
        <f>IFERROR(INDEX(Tabela3[Tipos de Tratamento],MATCH('A3.9.1'!H188,Tabela3[Código],0)),"")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188" s="114" t="s">
        <v>1570</v>
      </c>
      <c r="K188" s="114" t="s">
        <v>1571</v>
      </c>
      <c r="L188" s="115"/>
    </row>
    <row r="189" spans="2:12" ht="15.75" thickBot="1" x14ac:dyDescent="0.3">
      <c r="B189" s="114" t="s">
        <v>547</v>
      </c>
      <c r="C189" s="144">
        <v>130502</v>
      </c>
      <c r="D189" s="115" t="s">
        <v>1569</v>
      </c>
      <c r="E189" s="138" t="s">
        <v>34</v>
      </c>
      <c r="F189" s="140">
        <v>10.220000000000001</v>
      </c>
      <c r="G189" s="138" t="s">
        <v>1532</v>
      </c>
      <c r="H189" s="145" t="s">
        <v>483</v>
      </c>
      <c r="I189" s="115" t="str">
        <f>IFERROR(INDEX(Tabela3[Tipos de Tratamento],MATCH('A3.9.1'!H189,Tabela3[Código],0)),"")</f>
        <v xml:space="preserve">Troca de resíduos com vista a submetê-los a uma das operações enumeradas de R 1 a R 11 </v>
      </c>
      <c r="J189" s="114" t="s">
        <v>1570</v>
      </c>
      <c r="K189" s="114" t="s">
        <v>1571</v>
      </c>
      <c r="L189" s="115"/>
    </row>
    <row r="190" spans="2:12" ht="15.75" thickBot="1" x14ac:dyDescent="0.3">
      <c r="B190" s="114" t="s">
        <v>547</v>
      </c>
      <c r="C190" s="144">
        <v>130507</v>
      </c>
      <c r="D190" s="115" t="s">
        <v>1572</v>
      </c>
      <c r="E190" s="138" t="s">
        <v>34</v>
      </c>
      <c r="F190" s="140">
        <v>11.58</v>
      </c>
      <c r="G190" s="138" t="s">
        <v>1532</v>
      </c>
      <c r="H190" s="138" t="s">
        <v>483</v>
      </c>
      <c r="I190" s="114" t="str">
        <f>IFERROR(INDEX(Tabela3[Tipos de Tratamento],MATCH('A3.9.1'!H190,Tabela3[Código],0)),"")</f>
        <v xml:space="preserve">Troca de resíduos com vista a submetê-los a uma das operações enumeradas de R 1 a R 11 </v>
      </c>
      <c r="J190" s="114" t="s">
        <v>1570</v>
      </c>
      <c r="K190" s="114" t="s">
        <v>1571</v>
      </c>
      <c r="L190" s="115"/>
    </row>
    <row r="191" spans="2:12" ht="15.75" thickBot="1" x14ac:dyDescent="0.3">
      <c r="B191" s="114" t="s">
        <v>547</v>
      </c>
      <c r="C191" s="144">
        <v>150202</v>
      </c>
      <c r="D191" s="115" t="s">
        <v>1547</v>
      </c>
      <c r="E191" s="138" t="s">
        <v>34</v>
      </c>
      <c r="F191" s="140">
        <v>0.12</v>
      </c>
      <c r="G191" s="138" t="s">
        <v>1532</v>
      </c>
      <c r="H191" s="138" t="s">
        <v>484</v>
      </c>
      <c r="I191" s="114" t="str">
        <f>IFERROR(INDEX(Tabela3[Tipos de Tratamento],MATCH('A3.9.1'!H191,Tabela3[Código],0)),"")</f>
        <v>Acumulação de resíduos destinados a uma das operações enumeradas de R1 a R12</v>
      </c>
      <c r="J191" s="114" t="s">
        <v>1538</v>
      </c>
      <c r="K191" s="114" t="s">
        <v>1539</v>
      </c>
      <c r="L191" s="115"/>
    </row>
    <row r="192" spans="2:12" ht="15.75" thickBot="1" x14ac:dyDescent="0.3">
      <c r="B192" s="114" t="s">
        <v>547</v>
      </c>
      <c r="C192" s="144">
        <v>150203</v>
      </c>
      <c r="D192" s="115" t="s">
        <v>1550</v>
      </c>
      <c r="E192" s="138" t="s">
        <v>42</v>
      </c>
      <c r="F192" s="140">
        <v>2.6</v>
      </c>
      <c r="G192" s="138" t="s">
        <v>1532</v>
      </c>
      <c r="H192" s="138" t="s">
        <v>483</v>
      </c>
      <c r="I192" s="114" t="str">
        <f>IFERROR(INDEX(Tabela3[Tipos de Tratamento],MATCH('A3.9.1'!H192,Tabela3[Código],0)),"")</f>
        <v xml:space="preserve">Troca de resíduos com vista a submetê-los a uma das operações enumeradas de R 1 a R 11 </v>
      </c>
      <c r="J192" s="114" t="s">
        <v>1538</v>
      </c>
      <c r="K192" s="114" t="s">
        <v>1539</v>
      </c>
      <c r="L192" s="115"/>
    </row>
    <row r="193" spans="2:12" ht="15.75" thickBot="1" x14ac:dyDescent="0.3">
      <c r="B193" s="114" t="s">
        <v>547</v>
      </c>
      <c r="C193" s="144">
        <v>160107</v>
      </c>
      <c r="D193" s="115" t="s">
        <v>1551</v>
      </c>
      <c r="E193" s="138" t="s">
        <v>34</v>
      </c>
      <c r="F193" s="140">
        <v>1.44</v>
      </c>
      <c r="G193" s="138" t="s">
        <v>1532</v>
      </c>
      <c r="H193" s="138" t="s">
        <v>484</v>
      </c>
      <c r="I193" s="114" t="str">
        <f>IFERROR(INDEX(Tabela3[Tipos de Tratamento],MATCH('A3.9.1'!H193,Tabela3[Código],0)),"")</f>
        <v>Acumulação de resíduos destinados a uma das operações enumeradas de R1 a R12</v>
      </c>
      <c r="J193" s="114" t="s">
        <v>1538</v>
      </c>
      <c r="K193" s="114" t="s">
        <v>1539</v>
      </c>
      <c r="L193" s="115"/>
    </row>
    <row r="194" spans="2:12" ht="15.75" thickBot="1" x14ac:dyDescent="0.3">
      <c r="B194" s="114" t="s">
        <v>541</v>
      </c>
      <c r="C194" s="144" t="s">
        <v>1579</v>
      </c>
      <c r="D194" s="115" t="s">
        <v>1580</v>
      </c>
      <c r="E194" s="138" t="s">
        <v>34</v>
      </c>
      <c r="F194" s="140">
        <v>0.28000000000000003</v>
      </c>
      <c r="G194" s="138" t="s">
        <v>1532</v>
      </c>
      <c r="H194" s="138" t="s">
        <v>509</v>
      </c>
      <c r="I194" s="114" t="str">
        <f>IFERROR(INDEX(Tabela3[Tipos de Tratamento],MATCH('A3.9.1'!H194,Tabela3[Código],0)),"")</f>
        <v>Armazenagem enquanto se aguarda a execução de uma das operações enumeradas de D1 a D14</v>
      </c>
      <c r="J194" s="114" t="s">
        <v>1573</v>
      </c>
      <c r="K194" s="114" t="s">
        <v>1539</v>
      </c>
      <c r="L194" s="115"/>
    </row>
    <row r="195" spans="2:12" ht="15.75" thickBot="1" x14ac:dyDescent="0.3">
      <c r="B195" s="114" t="s">
        <v>541</v>
      </c>
      <c r="C195" s="144" t="s">
        <v>1579</v>
      </c>
      <c r="D195" s="115" t="s">
        <v>1580</v>
      </c>
      <c r="E195" s="138" t="s">
        <v>34</v>
      </c>
      <c r="F195" s="140">
        <v>0.28000000000000003</v>
      </c>
      <c r="G195" s="138" t="s">
        <v>1532</v>
      </c>
      <c r="H195" s="138" t="s">
        <v>483</v>
      </c>
      <c r="I195" s="114" t="str">
        <f>IFERROR(INDEX(Tabela3[Tipos de Tratamento],MATCH('A3.9.1'!H195,Tabela3[Código],0)),"")</f>
        <v xml:space="preserve">Troca de resíduos com vista a submetê-los a uma das operações enumeradas de R 1 a R 11 </v>
      </c>
      <c r="J195" s="114" t="s">
        <v>1573</v>
      </c>
      <c r="K195" s="114" t="s">
        <v>1539</v>
      </c>
      <c r="L195" s="115"/>
    </row>
    <row r="196" spans="2:12" ht="15.75" thickBot="1" x14ac:dyDescent="0.3">
      <c r="B196" s="114" t="s">
        <v>541</v>
      </c>
      <c r="C196" s="144" t="s">
        <v>1588</v>
      </c>
      <c r="D196" s="115" t="s">
        <v>1589</v>
      </c>
      <c r="E196" s="138" t="s">
        <v>34</v>
      </c>
      <c r="F196" s="140">
        <v>8.3000000000000004E-2</v>
      </c>
      <c r="G196" s="138" t="s">
        <v>1532</v>
      </c>
      <c r="H196" s="138" t="s">
        <v>484</v>
      </c>
      <c r="I196" s="114" t="str">
        <f>IFERROR(INDEX(Tabela3[Tipos de Tratamento],MATCH('A3.9.1'!H196,Tabela3[Código],0)),"")</f>
        <v>Acumulação de resíduos destinados a uma das operações enumeradas de R1 a R12</v>
      </c>
      <c r="J196" s="114" t="s">
        <v>1538</v>
      </c>
      <c r="K196" s="114" t="s">
        <v>1539</v>
      </c>
      <c r="L196" s="115"/>
    </row>
    <row r="197" spans="2:12" ht="15.75" thickBot="1" x14ac:dyDescent="0.3">
      <c r="B197" s="114" t="s">
        <v>541</v>
      </c>
      <c r="C197" s="144" t="s">
        <v>1600</v>
      </c>
      <c r="D197" s="115" t="s">
        <v>1601</v>
      </c>
      <c r="E197" s="138" t="s">
        <v>34</v>
      </c>
      <c r="F197" s="140">
        <v>0.4</v>
      </c>
      <c r="G197" s="138" t="s">
        <v>1532</v>
      </c>
      <c r="H197" s="145" t="s">
        <v>503</v>
      </c>
      <c r="I197" s="115" t="str">
        <f>IFERROR(INDEX(Tabela3[Tipos de Tratamento],MATCH('A3.9.1'!H197,Tabela3[Código],0)),"")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J197" s="114" t="s">
        <v>1573</v>
      </c>
      <c r="K197" s="114" t="s">
        <v>1539</v>
      </c>
      <c r="L197" s="115"/>
    </row>
    <row r="198" spans="2:12" ht="15.75" thickBot="1" x14ac:dyDescent="0.3">
      <c r="B198" s="114" t="s">
        <v>541</v>
      </c>
      <c r="C198" s="144" t="s">
        <v>1600</v>
      </c>
      <c r="D198" s="115" t="s">
        <v>1601</v>
      </c>
      <c r="E198" s="138" t="s">
        <v>34</v>
      </c>
      <c r="F198" s="140">
        <v>0.4</v>
      </c>
      <c r="G198" s="138" t="s">
        <v>1532</v>
      </c>
      <c r="H198" s="145" t="s">
        <v>483</v>
      </c>
      <c r="I198" s="114" t="str">
        <f>IFERROR(INDEX(Tabela3[Tipos de Tratamento],MATCH('A3.9.1'!H198,Tabela3[Código],0)),"")</f>
        <v xml:space="preserve">Troca de resíduos com vista a submetê-los a uma das operações enumeradas de R 1 a R 11 </v>
      </c>
      <c r="J198" s="114" t="s">
        <v>1573</v>
      </c>
      <c r="K198" s="114" t="s">
        <v>1539</v>
      </c>
      <c r="L198" s="115"/>
    </row>
    <row r="199" spans="2:12" ht="15.75" thickBot="1" x14ac:dyDescent="0.3">
      <c r="B199" s="114" t="s">
        <v>541</v>
      </c>
      <c r="C199" s="144">
        <v>130208</v>
      </c>
      <c r="D199" s="115" t="s">
        <v>1531</v>
      </c>
      <c r="E199" s="138" t="s">
        <v>34</v>
      </c>
      <c r="F199" s="140">
        <v>3.24</v>
      </c>
      <c r="G199" s="138" t="s">
        <v>1532</v>
      </c>
      <c r="H199" s="138" t="s">
        <v>480</v>
      </c>
      <c r="I199" s="114" t="str">
        <f>IFERROR(INDEX(Tabela3[Tipos de Tratamento],MATCH('A3.9.1'!H199,Tabela3[Código],0)),"")</f>
        <v xml:space="preserve">Regeneração de óleos e outras reutilizações de óleos </v>
      </c>
      <c r="J199" s="114" t="s">
        <v>1535</v>
      </c>
      <c r="K199" s="115" t="s">
        <v>1602</v>
      </c>
      <c r="L199" s="115"/>
    </row>
    <row r="200" spans="2:12" ht="15.75" thickBot="1" x14ac:dyDescent="0.3">
      <c r="B200" s="114" t="s">
        <v>541</v>
      </c>
      <c r="C200" s="144">
        <v>130502</v>
      </c>
      <c r="D200" s="115" t="s">
        <v>1569</v>
      </c>
      <c r="E200" s="138" t="s">
        <v>34</v>
      </c>
      <c r="F200" s="140">
        <v>12.1</v>
      </c>
      <c r="G200" s="138" t="s">
        <v>1532</v>
      </c>
      <c r="H200" s="145" t="s">
        <v>483</v>
      </c>
      <c r="I200" s="115" t="str">
        <f>IFERROR(INDEX(Tabela3[Tipos de Tratamento],MATCH('A3.9.1'!H200,Tabela3[Código],0)),"")</f>
        <v xml:space="preserve">Troca de resíduos com vista a submetê-los a uma das operações enumeradas de R 1 a R 11 </v>
      </c>
      <c r="J200" s="114" t="s">
        <v>1570</v>
      </c>
      <c r="K200" s="114" t="s">
        <v>1571</v>
      </c>
      <c r="L200" s="115"/>
    </row>
    <row r="201" spans="2:12" ht="15.75" thickBot="1" x14ac:dyDescent="0.3">
      <c r="B201" s="114" t="s">
        <v>541</v>
      </c>
      <c r="C201" s="144">
        <v>130507</v>
      </c>
      <c r="D201" s="115" t="s">
        <v>1572</v>
      </c>
      <c r="E201" s="138" t="s">
        <v>34</v>
      </c>
      <c r="F201" s="140">
        <v>9.1199999999999992</v>
      </c>
      <c r="G201" s="138" t="s">
        <v>1532</v>
      </c>
      <c r="H201" s="138" t="s">
        <v>483</v>
      </c>
      <c r="I201" s="114" t="str">
        <f>IFERROR(INDEX(Tabela3[Tipos de Tratamento],MATCH('A3.9.1'!H201,Tabela3[Código],0)),"")</f>
        <v xml:space="preserve">Troca de resíduos com vista a submetê-los a uma das operações enumeradas de R 1 a R 11 </v>
      </c>
      <c r="J201" s="114" t="s">
        <v>1570</v>
      </c>
      <c r="K201" s="114" t="s">
        <v>1571</v>
      </c>
      <c r="L201" s="115"/>
    </row>
    <row r="202" spans="2:12" ht="15.75" thickBot="1" x14ac:dyDescent="0.3">
      <c r="B202" s="114" t="s">
        <v>541</v>
      </c>
      <c r="C202" s="144">
        <v>150101</v>
      </c>
      <c r="D202" s="115" t="s">
        <v>1537</v>
      </c>
      <c r="E202" s="138" t="s">
        <v>42</v>
      </c>
      <c r="F202" s="140">
        <v>1.88</v>
      </c>
      <c r="G202" s="138" t="s">
        <v>1532</v>
      </c>
      <c r="H202" s="138" t="s">
        <v>484</v>
      </c>
      <c r="I202" s="114" t="str">
        <f>IFERROR(INDEX(Tabela3[Tipos de Tratamento],MATCH('A3.9.1'!H202,Tabela3[Código],0)),"")</f>
        <v>Acumulação de resíduos destinados a uma das operações enumeradas de R1 a R12</v>
      </c>
      <c r="J202" s="114" t="s">
        <v>1538</v>
      </c>
      <c r="K202" s="114" t="s">
        <v>1603</v>
      </c>
      <c r="L202" s="115"/>
    </row>
    <row r="203" spans="2:12" ht="15.75" thickBot="1" x14ac:dyDescent="0.3">
      <c r="B203" s="114" t="s">
        <v>541</v>
      </c>
      <c r="C203" s="144">
        <v>150102</v>
      </c>
      <c r="D203" s="115" t="s">
        <v>1575</v>
      </c>
      <c r="E203" s="138" t="s">
        <v>42</v>
      </c>
      <c r="F203" s="140">
        <v>0.14099999999999999</v>
      </c>
      <c r="G203" s="138" t="s">
        <v>1532</v>
      </c>
      <c r="H203" s="138" t="s">
        <v>483</v>
      </c>
      <c r="I203" s="114" t="str">
        <f>IFERROR(INDEX(Tabela3[Tipos de Tratamento],MATCH('A3.9.1'!H203,Tabela3[Código],0)),"")</f>
        <v xml:space="preserve">Troca de resíduos com vista a submetê-los a uma das operações enumeradas de R 1 a R 11 </v>
      </c>
      <c r="J203" s="114" t="s">
        <v>1538</v>
      </c>
      <c r="K203" s="114" t="s">
        <v>1539</v>
      </c>
      <c r="L203" s="115"/>
    </row>
    <row r="204" spans="2:12" ht="15.75" thickBot="1" x14ac:dyDescent="0.3">
      <c r="B204" s="114" t="s">
        <v>541</v>
      </c>
      <c r="C204" s="144" t="s">
        <v>1604</v>
      </c>
      <c r="D204" s="115" t="s">
        <v>1605</v>
      </c>
      <c r="E204" s="138" t="s">
        <v>42</v>
      </c>
      <c r="F204" s="140">
        <v>2.3199999999999998</v>
      </c>
      <c r="G204" s="138" t="s">
        <v>1532</v>
      </c>
      <c r="H204" s="138" t="s">
        <v>483</v>
      </c>
      <c r="I204" s="114" t="str">
        <f>IFERROR(INDEX(Tabela3[Tipos de Tratamento],MATCH('A3.9.1'!H204,Tabela3[Código],0)),"")</f>
        <v xml:space="preserve">Troca de resíduos com vista a submetê-los a uma das operações enumeradas de R 1 a R 11 </v>
      </c>
      <c r="J204" s="114" t="s">
        <v>1538</v>
      </c>
      <c r="K204" s="114" t="s">
        <v>1603</v>
      </c>
      <c r="L204" s="115"/>
    </row>
    <row r="205" spans="2:12" ht="15.75" thickBot="1" x14ac:dyDescent="0.3">
      <c r="B205" s="114" t="s">
        <v>541</v>
      </c>
      <c r="C205" s="144" t="s">
        <v>1606</v>
      </c>
      <c r="D205" s="115" t="s">
        <v>1607</v>
      </c>
      <c r="E205" s="138" t="s">
        <v>42</v>
      </c>
      <c r="F205" s="140">
        <v>0.69</v>
      </c>
      <c r="G205" s="138" t="s">
        <v>1532</v>
      </c>
      <c r="H205" s="138" t="s">
        <v>483</v>
      </c>
      <c r="I205" s="114" t="str">
        <f>IFERROR(INDEX(Tabela3[Tipos de Tratamento],MATCH('A3.9.1'!H205,Tabela3[Código],0)),"")</f>
        <v xml:space="preserve">Troca de resíduos com vista a submetê-los a uma das operações enumeradas de R 1 a R 11 </v>
      </c>
      <c r="J205" s="114" t="s">
        <v>1538</v>
      </c>
      <c r="K205" s="114" t="s">
        <v>1539</v>
      </c>
      <c r="L205" s="115"/>
    </row>
    <row r="206" spans="2:12" ht="15.75" thickBot="1" x14ac:dyDescent="0.3">
      <c r="B206" s="114" t="s">
        <v>541</v>
      </c>
      <c r="C206" s="144">
        <v>150110</v>
      </c>
      <c r="D206" s="115" t="s">
        <v>1542</v>
      </c>
      <c r="E206" s="138" t="s">
        <v>34</v>
      </c>
      <c r="F206" s="140">
        <v>0.45</v>
      </c>
      <c r="G206" s="138" t="s">
        <v>1532</v>
      </c>
      <c r="H206" s="138" t="s">
        <v>484</v>
      </c>
      <c r="I206" s="114" t="str">
        <f>IFERROR(INDEX(Tabela3[Tipos de Tratamento],MATCH('A3.9.1'!H206,Tabela3[Código],0)),"")</f>
        <v>Acumulação de resíduos destinados a uma das operações enumeradas de R1 a R12</v>
      </c>
      <c r="J206" s="114" t="s">
        <v>1538</v>
      </c>
      <c r="K206" s="114" t="s">
        <v>1539</v>
      </c>
      <c r="L206" s="115"/>
    </row>
    <row r="207" spans="2:12" ht="15.75" thickBot="1" x14ac:dyDescent="0.3">
      <c r="B207" s="114" t="s">
        <v>541</v>
      </c>
      <c r="C207" s="144">
        <v>150111</v>
      </c>
      <c r="D207" s="115" t="s">
        <v>1549</v>
      </c>
      <c r="E207" s="138" t="s">
        <v>34</v>
      </c>
      <c r="F207" s="140">
        <v>1.7999999999999999E-2</v>
      </c>
      <c r="G207" s="138" t="s">
        <v>1532</v>
      </c>
      <c r="H207" s="138" t="s">
        <v>484</v>
      </c>
      <c r="I207" s="114" t="str">
        <f>IFERROR(INDEX(Tabela3[Tipos de Tratamento],MATCH('A3.9.1'!H207,Tabela3[Código],0)),"")</f>
        <v>Acumulação de resíduos destinados a uma das operações enumeradas de R1 a R12</v>
      </c>
      <c r="J207" s="114" t="s">
        <v>1538</v>
      </c>
      <c r="K207" s="114" t="s">
        <v>1539</v>
      </c>
      <c r="L207" s="115"/>
    </row>
    <row r="208" spans="2:12" ht="15.75" thickBot="1" x14ac:dyDescent="0.3">
      <c r="B208" s="114" t="s">
        <v>541</v>
      </c>
      <c r="C208" s="144">
        <v>150202</v>
      </c>
      <c r="D208" s="115" t="s">
        <v>1547</v>
      </c>
      <c r="E208" s="138" t="s">
        <v>34</v>
      </c>
      <c r="F208" s="140">
        <v>6.4340000000000002</v>
      </c>
      <c r="G208" s="138" t="s">
        <v>1532</v>
      </c>
      <c r="H208" s="138" t="s">
        <v>484</v>
      </c>
      <c r="I208" s="114" t="str">
        <f>IFERROR(INDEX(Tabela3[Tipos de Tratamento],MATCH('A3.9.1'!H208,Tabela3[Código],0)),"")</f>
        <v>Acumulação de resíduos destinados a uma das operações enumeradas de R1 a R12</v>
      </c>
      <c r="J208" s="114" t="s">
        <v>1538</v>
      </c>
      <c r="K208" s="114" t="s">
        <v>1539</v>
      </c>
      <c r="L208" s="115"/>
    </row>
    <row r="209" spans="2:12" ht="15.75" thickBot="1" x14ac:dyDescent="0.3">
      <c r="B209" s="114" t="s">
        <v>541</v>
      </c>
      <c r="C209" s="144">
        <v>150203</v>
      </c>
      <c r="D209" s="115" t="s">
        <v>1550</v>
      </c>
      <c r="E209" s="138" t="s">
        <v>42</v>
      </c>
      <c r="F209" s="140">
        <v>1.6</v>
      </c>
      <c r="G209" s="138" t="s">
        <v>1532</v>
      </c>
      <c r="H209" s="138" t="s">
        <v>483</v>
      </c>
      <c r="I209" s="114" t="str">
        <f>IFERROR(INDEX(Tabela3[Tipos de Tratamento],MATCH('A3.9.1'!H209,Tabela3[Código],0)),"")</f>
        <v xml:space="preserve">Troca de resíduos com vista a submetê-los a uma das operações enumeradas de R 1 a R 11 </v>
      </c>
      <c r="J209" s="114" t="s">
        <v>1538</v>
      </c>
      <c r="K209" s="114" t="s">
        <v>1539</v>
      </c>
      <c r="L209" s="115"/>
    </row>
    <row r="210" spans="2:12" ht="15.75" thickBot="1" x14ac:dyDescent="0.3">
      <c r="B210" s="114" t="s">
        <v>541</v>
      </c>
      <c r="C210" s="144">
        <v>160107</v>
      </c>
      <c r="D210" s="115" t="s">
        <v>1551</v>
      </c>
      <c r="E210" s="138" t="s">
        <v>34</v>
      </c>
      <c r="F210" s="140">
        <v>0.52</v>
      </c>
      <c r="G210" s="138" t="s">
        <v>1532</v>
      </c>
      <c r="H210" s="138" t="s">
        <v>484</v>
      </c>
      <c r="I210" s="114" t="str">
        <f>IFERROR(INDEX(Tabela3[Tipos de Tratamento],MATCH('A3.9.1'!H210,Tabela3[Código],0)),"")</f>
        <v>Acumulação de resíduos destinados a uma das operações enumeradas de R1 a R12</v>
      </c>
      <c r="J210" s="114" t="s">
        <v>1538</v>
      </c>
      <c r="K210" s="114" t="s">
        <v>1539</v>
      </c>
      <c r="L210" s="115"/>
    </row>
    <row r="211" spans="2:12" ht="15.75" thickBot="1" x14ac:dyDescent="0.3">
      <c r="B211" s="114" t="s">
        <v>541</v>
      </c>
      <c r="C211" s="144">
        <v>160112</v>
      </c>
      <c r="D211" s="115" t="s">
        <v>1552</v>
      </c>
      <c r="E211" s="138" t="s">
        <v>34</v>
      </c>
      <c r="F211" s="140">
        <v>0.81</v>
      </c>
      <c r="G211" s="138" t="s">
        <v>1532</v>
      </c>
      <c r="H211" s="138" t="s">
        <v>483</v>
      </c>
      <c r="I211" s="114" t="str">
        <f>IFERROR(INDEX(Tabela3[Tipos de Tratamento],MATCH('A3.9.1'!H211,Tabela3[Código],0)),"")</f>
        <v xml:space="preserve">Troca de resíduos com vista a submetê-los a uma das operações enumeradas de R 1 a R 11 </v>
      </c>
      <c r="J211" s="114" t="s">
        <v>1538</v>
      </c>
      <c r="K211" s="114" t="s">
        <v>1539</v>
      </c>
      <c r="L211" s="115"/>
    </row>
    <row r="212" spans="2:12" ht="15.75" thickBot="1" x14ac:dyDescent="0.3">
      <c r="B212" s="114" t="s">
        <v>541</v>
      </c>
      <c r="C212" s="144">
        <v>160117</v>
      </c>
      <c r="D212" s="115" t="s">
        <v>1557</v>
      </c>
      <c r="E212" s="138" t="s">
        <v>42</v>
      </c>
      <c r="F212" s="140">
        <v>3.12</v>
      </c>
      <c r="G212" s="138" t="s">
        <v>1532</v>
      </c>
      <c r="H212" s="138" t="s">
        <v>483</v>
      </c>
      <c r="I212" s="114" t="str">
        <f>IFERROR(INDEX(Tabela3[Tipos de Tratamento],MATCH('A3.9.1'!H212,Tabela3[Código],0)),"")</f>
        <v xml:space="preserve">Troca de resíduos com vista a submetê-los a uma das operações enumeradas de R 1 a R 11 </v>
      </c>
      <c r="J212" s="114" t="s">
        <v>1558</v>
      </c>
      <c r="K212" s="114" t="s">
        <v>1559</v>
      </c>
      <c r="L212" s="115"/>
    </row>
    <row r="213" spans="2:12" ht="15.75" thickBot="1" x14ac:dyDescent="0.3">
      <c r="B213" s="114" t="s">
        <v>541</v>
      </c>
      <c r="C213" s="144">
        <v>160119</v>
      </c>
      <c r="D213" s="115" t="s">
        <v>1560</v>
      </c>
      <c r="E213" s="138" t="s">
        <v>42</v>
      </c>
      <c r="F213" s="140">
        <v>3.3000000000000002E-2</v>
      </c>
      <c r="G213" s="138" t="s">
        <v>1532</v>
      </c>
      <c r="H213" s="138" t="s">
        <v>483</v>
      </c>
      <c r="I213" s="114" t="str">
        <f>IFERROR(INDEX(Tabela3[Tipos de Tratamento],MATCH('A3.9.1'!H213,Tabela3[Código],0)),"")</f>
        <v xml:space="preserve">Troca de resíduos com vista a submetê-los a uma das operações enumeradas de R 1 a R 11 </v>
      </c>
      <c r="J213" s="114" t="s">
        <v>1538</v>
      </c>
      <c r="K213" s="114" t="s">
        <v>1539</v>
      </c>
      <c r="L213" s="115"/>
    </row>
    <row r="214" spans="2:12" ht="15.75" thickBot="1" x14ac:dyDescent="0.3">
      <c r="B214" s="114" t="s">
        <v>541</v>
      </c>
      <c r="C214" s="144">
        <v>160199</v>
      </c>
      <c r="D214" s="115" t="s">
        <v>1562</v>
      </c>
      <c r="E214" s="138" t="s">
        <v>42</v>
      </c>
      <c r="F214" s="140">
        <v>0.34</v>
      </c>
      <c r="G214" s="138" t="s">
        <v>1532</v>
      </c>
      <c r="H214" s="138" t="s">
        <v>483</v>
      </c>
      <c r="I214" s="114" t="str">
        <f>IFERROR(INDEX(Tabela3[Tipos de Tratamento],MATCH('A3.9.1'!H214,Tabela3[Código],0)),"")</f>
        <v xml:space="preserve">Troca de resíduos com vista a submetê-los a uma das operações enumeradas de R 1 a R 11 </v>
      </c>
      <c r="J214" s="114" t="s">
        <v>1538</v>
      </c>
      <c r="K214" s="114" t="s">
        <v>1539</v>
      </c>
      <c r="L214" s="115"/>
    </row>
    <row r="215" spans="2:12" ht="15.75" thickBot="1" x14ac:dyDescent="0.3">
      <c r="B215" s="114" t="s">
        <v>541</v>
      </c>
      <c r="C215" s="144">
        <v>160601</v>
      </c>
      <c r="D215" s="115" t="s">
        <v>1563</v>
      </c>
      <c r="E215" s="138" t="s">
        <v>34</v>
      </c>
      <c r="F215" s="140">
        <v>9.1</v>
      </c>
      <c r="G215" s="138" t="s">
        <v>1532</v>
      </c>
      <c r="H215" s="138" t="s">
        <v>484</v>
      </c>
      <c r="I215" s="114" t="str">
        <f>IFERROR(INDEX(Tabela3[Tipos de Tratamento],MATCH('A3.9.1'!H215,Tabela3[Código],0)),"")</f>
        <v>Acumulação de resíduos destinados a uma das operações enumeradas de R1 a R12</v>
      </c>
      <c r="J215" s="114" t="s">
        <v>1558</v>
      </c>
      <c r="K215" s="114" t="s">
        <v>1559</v>
      </c>
      <c r="L215" s="115"/>
    </row>
    <row r="216" spans="2:12" ht="15.75" thickBot="1" x14ac:dyDescent="0.3">
      <c r="B216" s="114" t="s">
        <v>541</v>
      </c>
      <c r="C216" s="144">
        <v>200101</v>
      </c>
      <c r="D216" s="115" t="s">
        <v>1597</v>
      </c>
      <c r="E216" s="138" t="s">
        <v>42</v>
      </c>
      <c r="F216" s="140">
        <v>1.36</v>
      </c>
      <c r="G216" s="138" t="s">
        <v>1532</v>
      </c>
      <c r="H216" s="138" t="s">
        <v>483</v>
      </c>
      <c r="I216" s="114" t="str">
        <f>IFERROR(INDEX(Tabela3[Tipos de Tratamento],MATCH('A3.9.1'!H216,Tabela3[Código],0)),"")</f>
        <v xml:space="preserve">Troca de resíduos com vista a submetê-los a uma das operações enumeradas de R 1 a R 11 </v>
      </c>
      <c r="J216" s="114" t="s">
        <v>1538</v>
      </c>
      <c r="K216" s="115" t="s">
        <v>1608</v>
      </c>
      <c r="L216" s="115"/>
    </row>
    <row r="217" spans="2:12" ht="15.75" thickBot="1" x14ac:dyDescent="0.3">
      <c r="B217" s="114" t="s">
        <v>541</v>
      </c>
      <c r="C217" s="144">
        <v>200102</v>
      </c>
      <c r="D217" s="115" t="s">
        <v>1561</v>
      </c>
      <c r="E217" s="138" t="s">
        <v>42</v>
      </c>
      <c r="F217" s="140">
        <v>4.74</v>
      </c>
      <c r="G217" s="138" t="s">
        <v>1532</v>
      </c>
      <c r="H217" s="138" t="s">
        <v>483</v>
      </c>
      <c r="I217" s="114" t="str">
        <f>IFERROR(INDEX(Tabela3[Tipos de Tratamento],MATCH('A3.9.1'!H217,Tabela3[Código],0)),"")</f>
        <v xml:space="preserve">Troca de resíduos com vista a submetê-los a uma das operações enumeradas de R 1 a R 11 </v>
      </c>
      <c r="J217" s="114" t="s">
        <v>1538</v>
      </c>
      <c r="K217" s="114" t="s">
        <v>1603</v>
      </c>
      <c r="L217" s="115"/>
    </row>
    <row r="218" spans="2:12" ht="15.75" thickBot="1" x14ac:dyDescent="0.3">
      <c r="B218" s="114" t="s">
        <v>541</v>
      </c>
      <c r="C218" s="144">
        <v>200121</v>
      </c>
      <c r="D218" s="115" t="s">
        <v>1564</v>
      </c>
      <c r="E218" s="138" t="s">
        <v>34</v>
      </c>
      <c r="F218" s="140">
        <v>2.5999999999999999E-2</v>
      </c>
      <c r="G218" s="138" t="s">
        <v>1532</v>
      </c>
      <c r="H218" s="138" t="s">
        <v>484</v>
      </c>
      <c r="I218" s="114" t="str">
        <f>IFERROR(INDEX(Tabela3[Tipos de Tratamento],MATCH('A3.9.1'!H218,Tabela3[Código],0)),"")</f>
        <v>Acumulação de resíduos destinados a uma das operações enumeradas de R1 a R12</v>
      </c>
      <c r="J218" s="114" t="s">
        <v>1538</v>
      </c>
      <c r="K218" s="114" t="s">
        <v>1539</v>
      </c>
      <c r="L218" s="115"/>
    </row>
    <row r="219" spans="2:12" ht="15.75" thickBot="1" x14ac:dyDescent="0.3">
      <c r="B219" s="114" t="s">
        <v>541</v>
      </c>
      <c r="C219" s="144">
        <v>200125</v>
      </c>
      <c r="D219" s="115" t="s">
        <v>1565</v>
      </c>
      <c r="E219" s="138" t="s">
        <v>42</v>
      </c>
      <c r="F219" s="140">
        <v>0.16</v>
      </c>
      <c r="G219" s="138" t="s">
        <v>1532</v>
      </c>
      <c r="H219" s="138" t="s">
        <v>483</v>
      </c>
      <c r="I219" s="114" t="str">
        <f>IFERROR(INDEX(Tabela3[Tipos de Tratamento],MATCH('A3.9.1'!H219,Tabela3[Código],0)),"")</f>
        <v xml:space="preserve">Troca de resíduos com vista a submetê-los a uma das operações enumeradas de R 1 a R 11 </v>
      </c>
      <c r="J219" s="114" t="s">
        <v>1566</v>
      </c>
      <c r="K219" s="114" t="s">
        <v>1578</v>
      </c>
      <c r="L219" s="115"/>
    </row>
    <row r="220" spans="2:12" ht="15.75" thickBot="1" x14ac:dyDescent="0.3">
      <c r="B220" s="114" t="s">
        <v>541</v>
      </c>
      <c r="C220" s="144">
        <v>200136</v>
      </c>
      <c r="D220" s="115" t="s">
        <v>1568</v>
      </c>
      <c r="E220" s="138" t="s">
        <v>42</v>
      </c>
      <c r="F220" s="140">
        <v>0.40300000000000002</v>
      </c>
      <c r="G220" s="138" t="s">
        <v>1532</v>
      </c>
      <c r="H220" s="138" t="s">
        <v>483</v>
      </c>
      <c r="I220" s="114" t="str">
        <f>IFERROR(INDEX(Tabela3[Tipos de Tratamento],MATCH('A3.9.1'!H220,Tabela3[Código],0)),"")</f>
        <v xml:space="preserve">Troca de resíduos com vista a submetê-los a uma das operações enumeradas de R 1 a R 11 </v>
      </c>
      <c r="J220" s="114" t="s">
        <v>1538</v>
      </c>
      <c r="K220" s="114" t="s">
        <v>1539</v>
      </c>
      <c r="L220" s="115"/>
    </row>
    <row r="221" spans="2:12" ht="15.75" thickBot="1" x14ac:dyDescent="0.3">
      <c r="B221" s="114" t="s">
        <v>541</v>
      </c>
      <c r="C221" s="144" t="s">
        <v>1609</v>
      </c>
      <c r="D221" s="115" t="s">
        <v>1610</v>
      </c>
      <c r="E221" s="138" t="s">
        <v>42</v>
      </c>
      <c r="F221" s="140">
        <v>13.56</v>
      </c>
      <c r="G221" s="138" t="s">
        <v>1532</v>
      </c>
      <c r="H221" s="138" t="s">
        <v>483</v>
      </c>
      <c r="I221" s="114" t="str">
        <f>IFERROR(INDEX(Tabela3[Tipos de Tratamento],MATCH('A3.9.1'!H221,Tabela3[Código],0)),"")</f>
        <v xml:space="preserve">Troca de resíduos com vista a submetê-los a uma das operações enumeradas de R 1 a R 11 </v>
      </c>
      <c r="J221" s="114" t="s">
        <v>1538</v>
      </c>
      <c r="K221" s="115" t="s">
        <v>1608</v>
      </c>
      <c r="L221" s="115"/>
    </row>
    <row r="222" spans="2:12" ht="15.75" thickBot="1" x14ac:dyDescent="0.3">
      <c r="B222" s="114" t="s">
        <v>541</v>
      </c>
      <c r="C222" s="144" t="s">
        <v>1609</v>
      </c>
      <c r="D222" s="115" t="s">
        <v>1610</v>
      </c>
      <c r="E222" s="138" t="s">
        <v>42</v>
      </c>
      <c r="F222" s="140">
        <v>0.24</v>
      </c>
      <c r="G222" s="138" t="s">
        <v>1532</v>
      </c>
      <c r="H222" s="138" t="s">
        <v>509</v>
      </c>
      <c r="I222" s="114" t="str">
        <f>IFERROR(INDEX(Tabela3[Tipos de Tratamento],MATCH('A3.9.1'!H222,Tabela3[Código],0)),"")</f>
        <v>Armazenagem enquanto se aguarda a execução de uma das operações enumeradas de D1 a D14</v>
      </c>
      <c r="J222" s="114" t="s">
        <v>1603</v>
      </c>
      <c r="K222" s="114" t="s">
        <v>1603</v>
      </c>
      <c r="L222" s="115"/>
    </row>
    <row r="223" spans="2:12" ht="15.75" thickBot="1" x14ac:dyDescent="0.3">
      <c r="B223" s="82" t="s">
        <v>601</v>
      </c>
      <c r="C223" s="142"/>
      <c r="D223" s="83"/>
      <c r="E223" s="125"/>
      <c r="F223" s="139"/>
      <c r="G223" s="125"/>
      <c r="H223" s="125"/>
      <c r="I223" s="91" t="str">
        <f>IFERROR(INDEX(Tabela3[Tipos de Tratamento],MATCH('A3.9.1'!H223,Tabela3[Código],0)),"")</f>
        <v/>
      </c>
      <c r="J223" s="91"/>
      <c r="K223" s="91"/>
      <c r="L223" s="91" t="s">
        <v>1742</v>
      </c>
    </row>
    <row r="224" spans="2:12" ht="15.75" thickBot="1" x14ac:dyDescent="0.3">
      <c r="B224" s="82" t="s">
        <v>537</v>
      </c>
      <c r="C224" s="142"/>
      <c r="D224" s="83"/>
      <c r="E224" s="125"/>
      <c r="F224" s="139"/>
      <c r="G224" s="125"/>
      <c r="H224" s="125"/>
      <c r="I224" s="91" t="str">
        <f>IFERROR(INDEX(Tabela3[Tipos de Tratamento],MATCH('A3.9.1'!H224,Tabela3[Código],0)),"")</f>
        <v/>
      </c>
      <c r="J224" s="91"/>
      <c r="K224" s="91"/>
      <c r="L224" s="91" t="s">
        <v>1742</v>
      </c>
    </row>
  </sheetData>
  <mergeCells count="25">
    <mergeCell ref="B25:W26"/>
    <mergeCell ref="B28:B29"/>
    <mergeCell ref="C28:C29"/>
    <mergeCell ref="D28:D29"/>
    <mergeCell ref="G28:G29"/>
    <mergeCell ref="H28:H29"/>
    <mergeCell ref="I28:I29"/>
    <mergeCell ref="F28:F29"/>
    <mergeCell ref="L28:L29"/>
    <mergeCell ref="E28:E29"/>
    <mergeCell ref="J28:J29"/>
    <mergeCell ref="K28:K29"/>
    <mergeCell ref="B21:W22"/>
    <mergeCell ref="B9:Y9"/>
    <mergeCell ref="B11:C11"/>
    <mergeCell ref="D11:R11"/>
    <mergeCell ref="B12:C12"/>
    <mergeCell ref="D12:R12"/>
    <mergeCell ref="B13:C13"/>
    <mergeCell ref="D13:R13"/>
    <mergeCell ref="B14:C14"/>
    <mergeCell ref="D14:R14"/>
    <mergeCell ref="B15:C15"/>
    <mergeCell ref="D15:R15"/>
    <mergeCell ref="B17:Y17"/>
  </mergeCells>
  <dataValidations count="2">
    <dataValidation type="list" allowBlank="1" showInputMessage="1" showErrorMessage="1" sqref="G134:G136 G138:G151 G153:G201 G204:G224 G30:G127">
      <formula1>"kg (quilos), ton (toneladas)"</formula1>
    </dataValidation>
    <dataValidation type="list" allowBlank="1" showInputMessage="1" showErrorMessage="1" sqref="E105:E112 E115:E118 E121:E124 E128:E136 E140 E142:E143 E145:E149 E152:E158 E161:E163 E165 E168:E169 E174:E177 E180:E182 E184 E186 E191:E192 E194:E196 E199 E202:E203 E206:E209 E212:E214 E216:E217 E219:E224 E30:E100">
      <formula1>"Sim, Não"</formula1>
    </dataValidation>
  </dataValidations>
  <pageMargins left="0.7" right="0.7" top="0.75" bottom="0.75" header="0.3" footer="0.3"/>
  <pageSetup paperSize="9" orientation="portrait" r:id="rId1"/>
  <customProperties>
    <customPr name="GUID" r:id="rId2"/>
  </customProperties>
  <ignoredErrors>
    <ignoredError sqref="C87:C163" numberStoredAsText="1"/>
  </ignoredError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'A3.9.1.1'!$C$2:$C$29</xm:f>
          </x14:formula1>
          <xm:sqref>H75:H224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1" filterMode="1">
    <tabColor rgb="FFC00000"/>
  </sheetPr>
  <dimension ref="A1:V1158"/>
  <sheetViews>
    <sheetView topLeftCell="A28" zoomScale="55" zoomScaleNormal="55" workbookViewId="0">
      <selection activeCell="C55" sqref="C55"/>
    </sheetView>
  </sheetViews>
  <sheetFormatPr defaultRowHeight="15" x14ac:dyDescent="0.25"/>
  <cols>
    <col min="1" max="1" width="86.140625" customWidth="1"/>
    <col min="2" max="2" width="77.85546875" bestFit="1" customWidth="1"/>
    <col min="3" max="3" width="48.42578125" customWidth="1"/>
    <col min="4" max="4" width="23.28515625" customWidth="1"/>
    <col min="7" max="7" width="14.7109375" customWidth="1"/>
    <col min="8" max="8" width="48.42578125" customWidth="1"/>
    <col min="9" max="9" width="84.7109375" style="487" customWidth="1"/>
    <col min="10" max="10" width="165.28515625" style="146" bestFit="1" customWidth="1"/>
    <col min="11" max="11" width="16" style="89" customWidth="1"/>
    <col min="12" max="12" width="18.7109375" style="259" customWidth="1"/>
    <col min="13" max="13" width="27" style="89" customWidth="1"/>
    <col min="14" max="14" width="19.140625" style="89" customWidth="1"/>
    <col min="15" max="15" width="22" customWidth="1"/>
    <col min="16" max="16" width="89.28515625" bestFit="1" customWidth="1"/>
    <col min="17" max="17" width="71" bestFit="1" customWidth="1"/>
    <col min="18" max="18" width="48" bestFit="1" customWidth="1"/>
    <col min="19" max="19" width="255.7109375" style="94" bestFit="1" customWidth="1"/>
    <col min="20" max="20" width="65.140625" customWidth="1"/>
    <col min="21" max="21" width="108.85546875" bestFit="1" customWidth="1"/>
    <col min="22" max="22" width="59.28515625" bestFit="1" customWidth="1"/>
  </cols>
  <sheetData>
    <row r="1" spans="1:22" s="94" customFormat="1" ht="15.75" thickBot="1" x14ac:dyDescent="0.3">
      <c r="A1" s="793" t="s">
        <v>1851</v>
      </c>
      <c r="B1" s="757" t="s">
        <v>131</v>
      </c>
      <c r="C1" s="757" t="s">
        <v>1852</v>
      </c>
      <c r="D1" s="757" t="s">
        <v>1856</v>
      </c>
      <c r="E1" s="777" t="s">
        <v>2812</v>
      </c>
      <c r="F1" s="777" t="s">
        <v>3588</v>
      </c>
      <c r="G1" s="777" t="s">
        <v>3628</v>
      </c>
      <c r="H1" s="757" t="s">
        <v>3630</v>
      </c>
      <c r="I1" s="825" t="s">
        <v>465</v>
      </c>
      <c r="J1" s="826" t="s">
        <v>466</v>
      </c>
      <c r="K1" s="778" t="s">
        <v>1530</v>
      </c>
      <c r="L1" s="829" t="s">
        <v>464</v>
      </c>
      <c r="M1" s="778" t="s">
        <v>141</v>
      </c>
      <c r="N1" s="778" t="s">
        <v>1863</v>
      </c>
      <c r="O1" s="757" t="s">
        <v>467</v>
      </c>
      <c r="P1" s="778" t="s">
        <v>528</v>
      </c>
      <c r="Q1" s="211" t="s">
        <v>1900</v>
      </c>
      <c r="R1" s="211" t="s">
        <v>1893</v>
      </c>
      <c r="S1" s="757" t="s">
        <v>468</v>
      </c>
      <c r="T1" s="757" t="s">
        <v>1533</v>
      </c>
      <c r="U1" s="757" t="s">
        <v>1534</v>
      </c>
      <c r="V1" s="778" t="s">
        <v>134</v>
      </c>
    </row>
    <row r="2" spans="1:22" s="94" customFormat="1" ht="15.75" hidden="1" thickBot="1" x14ac:dyDescent="0.3">
      <c r="A2" s="794"/>
      <c r="B2" s="758"/>
      <c r="C2" s="758"/>
      <c r="D2" s="758"/>
      <c r="E2" s="777"/>
      <c r="F2" s="777"/>
      <c r="G2" s="777"/>
      <c r="H2" s="758"/>
      <c r="I2" s="828"/>
      <c r="J2" s="827"/>
      <c r="K2" s="779"/>
      <c r="L2" s="830"/>
      <c r="M2" s="779"/>
      <c r="N2" s="779"/>
      <c r="O2" s="758"/>
      <c r="P2" s="779"/>
      <c r="Q2" s="212"/>
      <c r="R2" s="212"/>
      <c r="S2" s="758"/>
      <c r="T2" s="758"/>
      <c r="U2" s="758"/>
      <c r="V2" s="779"/>
    </row>
    <row r="3" spans="1:22" ht="15.75" hidden="1" thickBot="1" x14ac:dyDescent="0.3">
      <c r="A3" s="424" t="s">
        <v>4591</v>
      </c>
      <c r="B3" s="424" t="s">
        <v>4591</v>
      </c>
      <c r="C3" s="82" t="str">
        <f t="shared" ref="C3:C28" si="0">IF(A3=B3,"X",RIGHT(A3,LEN(A3)-LEN(B3)-3))</f>
        <v>X</v>
      </c>
      <c r="D3">
        <v>2022</v>
      </c>
      <c r="E3" s="250" t="s">
        <v>3499</v>
      </c>
      <c r="F3" s="250" t="s">
        <v>3566</v>
      </c>
      <c r="G3" t="s">
        <v>42</v>
      </c>
      <c r="H3" s="82" t="s">
        <v>42</v>
      </c>
      <c r="I3" s="302">
        <v>160117</v>
      </c>
      <c r="J3" s="425" t="str">
        <f>INDEX(aux!B:B,MATCH(I3,aux!A:A,0))</f>
        <v>Metais ferrosos</v>
      </c>
      <c r="K3" s="433" t="str">
        <f>INDEX(aux!C:C,MATCH(I3,aux!A:A,0))</f>
        <v>Não</v>
      </c>
      <c r="L3" s="437">
        <v>3820</v>
      </c>
      <c r="M3" s="433" t="s">
        <v>557</v>
      </c>
      <c r="N3" s="139">
        <f t="shared" ref="N3:N66" si="1">IF(LEFT(M3,3)="ton",1000*L3,L3)</f>
        <v>3820</v>
      </c>
      <c r="O3" s="139" t="s">
        <v>483</v>
      </c>
      <c r="P3" s="231" t="str">
        <f t="shared" ref="P3:P66" si="2">IF(LEFT(O3,1)="R","Reciclagem",IF(OR(O3="D10",O3="D11"),"Iceneração","Aterro"))</f>
        <v>Reciclagem</v>
      </c>
      <c r="Q3" s="231" t="s">
        <v>1557</v>
      </c>
      <c r="R3" s="231" t="s">
        <v>1903</v>
      </c>
      <c r="S3" s="543" t="str">
        <f>IFERROR(INDEX(Tabela3[Tipos de Tratamento],MATCH('A3.9.1 copy'!O349,Tabela3[Código],0)),"")</f>
        <v>Acumulação de resíduos destinados a uma das operações enumeradas de R1 a R12</v>
      </c>
      <c r="T3" s="429"/>
      <c r="U3" s="429"/>
      <c r="V3" s="540"/>
    </row>
    <row r="4" spans="1:22" ht="15.75" hidden="1" thickBot="1" x14ac:dyDescent="0.3">
      <c r="A4" s="424" t="s">
        <v>4591</v>
      </c>
      <c r="B4" s="424" t="s">
        <v>4591</v>
      </c>
      <c r="C4" s="82" t="str">
        <f t="shared" si="0"/>
        <v>X</v>
      </c>
      <c r="D4">
        <v>2022</v>
      </c>
      <c r="E4" s="250" t="s">
        <v>3499</v>
      </c>
      <c r="F4" s="250" t="s">
        <v>3566</v>
      </c>
      <c r="G4" t="s">
        <v>42</v>
      </c>
      <c r="H4" s="82" t="s">
        <v>42</v>
      </c>
      <c r="I4" s="302">
        <v>191202</v>
      </c>
      <c r="J4" s="425" t="str">
        <f>INDEX(aux!B:B,MATCH(I4,aux!A:A,0))</f>
        <v>Metais ferrosos</v>
      </c>
      <c r="K4" s="433" t="str">
        <f>INDEX(aux!C:C,MATCH(I4,aux!A:A,0))</f>
        <v>Não</v>
      </c>
      <c r="L4" s="437">
        <v>1960</v>
      </c>
      <c r="M4" s="433" t="s">
        <v>557</v>
      </c>
      <c r="N4" s="139">
        <f t="shared" si="1"/>
        <v>1960</v>
      </c>
      <c r="O4" s="139" t="s">
        <v>484</v>
      </c>
      <c r="P4" s="231" t="str">
        <f t="shared" si="2"/>
        <v>Reciclagem</v>
      </c>
      <c r="Q4" s="231" t="s">
        <v>1557</v>
      </c>
      <c r="R4" s="231" t="s">
        <v>1903</v>
      </c>
      <c r="S4" s="543" t="str">
        <f>IFERROR(INDEX(Tabela3[Tipos de Tratamento],MATCH('A3.9.1 copy'!O350,Tabela3[Código],0)),"")</f>
        <v>Acumulação de resíduos destinados a uma das operações enumeradas de R1 a R12</v>
      </c>
      <c r="T4" s="429"/>
      <c r="U4" s="429"/>
      <c r="V4" s="540"/>
    </row>
    <row r="5" spans="1:22" ht="15.75" hidden="1" thickBot="1" x14ac:dyDescent="0.3">
      <c r="A5" s="424" t="s">
        <v>4591</v>
      </c>
      <c r="B5" s="424" t="s">
        <v>4591</v>
      </c>
      <c r="C5" s="82" t="str">
        <f t="shared" si="0"/>
        <v>X</v>
      </c>
      <c r="D5">
        <v>2022</v>
      </c>
      <c r="E5" s="250" t="s">
        <v>3499</v>
      </c>
      <c r="F5" s="250" t="s">
        <v>3566</v>
      </c>
      <c r="G5" t="s">
        <v>42</v>
      </c>
      <c r="H5" s="82" t="s">
        <v>42</v>
      </c>
      <c r="I5" s="302">
        <v>191202</v>
      </c>
      <c r="J5" s="425" t="str">
        <f>INDEX(aux!B:B,MATCH(I5,aux!A:A,0))</f>
        <v>Metais ferrosos</v>
      </c>
      <c r="K5" s="433" t="str">
        <f>INDEX(aux!C:C,MATCH(I5,aux!A:A,0))</f>
        <v>Não</v>
      </c>
      <c r="L5" s="437">
        <v>7440</v>
      </c>
      <c r="M5" s="433" t="s">
        <v>557</v>
      </c>
      <c r="N5" s="139">
        <f t="shared" si="1"/>
        <v>7440</v>
      </c>
      <c r="O5" s="139" t="s">
        <v>484</v>
      </c>
      <c r="P5" s="231" t="str">
        <f t="shared" si="2"/>
        <v>Reciclagem</v>
      </c>
      <c r="Q5" s="231" t="s">
        <v>1557</v>
      </c>
      <c r="R5" s="231" t="s">
        <v>1903</v>
      </c>
      <c r="S5" s="543" t="str">
        <f>IFERROR(INDEX(Tabela3[Tipos de Tratamento],MATCH('A3.9.1 copy'!O351,Tabela3[Código],0)),"")</f>
        <v>Acumulação de resíduos destinados a uma das operações enumeradas de R1 a R12</v>
      </c>
      <c r="T5" s="429"/>
      <c r="U5" s="429"/>
      <c r="V5" s="540"/>
    </row>
    <row r="6" spans="1:22" ht="15.75" thickBot="1" x14ac:dyDescent="0.3">
      <c r="A6" s="527" t="s">
        <v>4591</v>
      </c>
      <c r="B6" s="527" t="s">
        <v>4591</v>
      </c>
      <c r="C6" s="82" t="str">
        <f t="shared" si="0"/>
        <v>X</v>
      </c>
      <c r="D6">
        <v>2023</v>
      </c>
      <c r="E6" s="250" t="s">
        <v>3499</v>
      </c>
      <c r="F6" s="250" t="s">
        <v>3566</v>
      </c>
      <c r="G6" t="s">
        <v>42</v>
      </c>
      <c r="H6" s="82" t="s">
        <v>42</v>
      </c>
      <c r="I6" s="530">
        <v>191202</v>
      </c>
      <c r="J6" s="425" t="str">
        <f>INDEX(aux!B:B,MATCH(I6,aux!A:A,0))</f>
        <v>Metais ferrosos</v>
      </c>
      <c r="K6" s="433" t="str">
        <f>INDEX(aux!C:C,MATCH(I6,aux!A:A,0))</f>
        <v>Não</v>
      </c>
      <c r="L6" s="536">
        <v>1780</v>
      </c>
      <c r="M6" s="534" t="s">
        <v>557</v>
      </c>
      <c r="N6" s="139">
        <f t="shared" si="1"/>
        <v>1780</v>
      </c>
      <c r="O6" s="540" t="s">
        <v>483</v>
      </c>
      <c r="P6" s="231" t="str">
        <f t="shared" si="2"/>
        <v>Reciclagem</v>
      </c>
      <c r="Q6" s="231" t="s">
        <v>1557</v>
      </c>
      <c r="R6" s="231" t="s">
        <v>6569</v>
      </c>
      <c r="S6" s="542" t="s">
        <v>1553</v>
      </c>
      <c r="T6" s="540" t="s">
        <v>3590</v>
      </c>
      <c r="U6" s="540" t="s">
        <v>3591</v>
      </c>
      <c r="V6" s="540"/>
    </row>
    <row r="7" spans="1:22" ht="15.75" thickBot="1" x14ac:dyDescent="0.3">
      <c r="A7" s="527" t="s">
        <v>4591</v>
      </c>
      <c r="B7" s="527" t="s">
        <v>4591</v>
      </c>
      <c r="C7" s="82" t="str">
        <f t="shared" si="0"/>
        <v>X</v>
      </c>
      <c r="D7">
        <v>2023</v>
      </c>
      <c r="E7" s="250" t="s">
        <v>3499</v>
      </c>
      <c r="F7" s="250" t="s">
        <v>3566</v>
      </c>
      <c r="G7" t="s">
        <v>42</v>
      </c>
      <c r="H7" s="82" t="s">
        <v>42</v>
      </c>
      <c r="I7" s="530">
        <v>191202</v>
      </c>
      <c r="J7" s="425" t="str">
        <f>INDEX(aux!B:B,MATCH(I7,aux!A:A,0))</f>
        <v>Metais ferrosos</v>
      </c>
      <c r="K7" s="433" t="str">
        <f>INDEX(aux!C:C,MATCH(I7,aux!A:A,0))</f>
        <v>Não</v>
      </c>
      <c r="L7" s="536">
        <v>3480</v>
      </c>
      <c r="M7" s="534" t="s">
        <v>557</v>
      </c>
      <c r="N7" s="139">
        <f t="shared" si="1"/>
        <v>3480</v>
      </c>
      <c r="O7" s="540" t="s">
        <v>483</v>
      </c>
      <c r="P7" s="231" t="str">
        <f t="shared" si="2"/>
        <v>Reciclagem</v>
      </c>
      <c r="Q7" s="231" t="s">
        <v>1557</v>
      </c>
      <c r="R7" s="231" t="s">
        <v>6569</v>
      </c>
      <c r="S7" s="542" t="s">
        <v>1553</v>
      </c>
      <c r="T7" s="540" t="s">
        <v>3590</v>
      </c>
      <c r="U7" s="540" t="s">
        <v>3591</v>
      </c>
      <c r="V7" s="540"/>
    </row>
    <row r="8" spans="1:22" ht="15.75" hidden="1" thickBot="1" x14ac:dyDescent="0.3">
      <c r="A8" s="424" t="s">
        <v>4591</v>
      </c>
      <c r="B8" s="424" t="s">
        <v>4591</v>
      </c>
      <c r="C8" s="82" t="str">
        <f t="shared" si="0"/>
        <v>X</v>
      </c>
      <c r="D8">
        <v>2022</v>
      </c>
      <c r="E8" s="250" t="s">
        <v>3499</v>
      </c>
      <c r="F8" s="250" t="s">
        <v>3566</v>
      </c>
      <c r="G8" t="s">
        <v>42</v>
      </c>
      <c r="H8" s="82" t="s">
        <v>42</v>
      </c>
      <c r="I8" s="302">
        <v>200140</v>
      </c>
      <c r="J8" s="425" t="str">
        <f>INDEX(aux!B:B,MATCH(I8,aux!A:A,0))</f>
        <v>Metais</v>
      </c>
      <c r="K8" s="433" t="str">
        <f>INDEX(aux!C:C,MATCH(I8,aux!A:A,0))</f>
        <v>Não</v>
      </c>
      <c r="L8" s="437">
        <v>7820</v>
      </c>
      <c r="M8" s="433" t="s">
        <v>557</v>
      </c>
      <c r="N8" s="139">
        <f t="shared" si="1"/>
        <v>7820</v>
      </c>
      <c r="O8" s="139" t="s">
        <v>483</v>
      </c>
      <c r="P8" s="231" t="str">
        <f t="shared" si="2"/>
        <v>Reciclagem</v>
      </c>
      <c r="Q8" s="231" t="s">
        <v>1906</v>
      </c>
      <c r="R8" s="231" t="s">
        <v>1903</v>
      </c>
      <c r="S8" s="543" t="str">
        <f>IFERROR(INDEX(Tabela3[Tipos de Tratamento],MATCH('A3.9.1 copy'!O347,Tabela3[Código],0)),"")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8" s="429"/>
      <c r="U8" s="429"/>
      <c r="V8" s="540"/>
    </row>
    <row r="9" spans="1:22" ht="15.75" hidden="1" thickBot="1" x14ac:dyDescent="0.3">
      <c r="A9" s="424" t="s">
        <v>4591</v>
      </c>
      <c r="B9" s="424" t="s">
        <v>4591</v>
      </c>
      <c r="C9" s="82" t="str">
        <f t="shared" si="0"/>
        <v>X</v>
      </c>
      <c r="D9">
        <v>2022</v>
      </c>
      <c r="E9" s="250" t="s">
        <v>3499</v>
      </c>
      <c r="F9" s="250" t="s">
        <v>3566</v>
      </c>
      <c r="G9" t="s">
        <v>42</v>
      </c>
      <c r="H9" s="82" t="s">
        <v>42</v>
      </c>
      <c r="I9" s="302">
        <v>200101</v>
      </c>
      <c r="J9" s="425" t="str">
        <f>INDEX(aux!B:B,MATCH(I9,aux!A:A,0))</f>
        <v xml:space="preserve">Papel e Cartão </v>
      </c>
      <c r="K9" s="433" t="str">
        <f>INDEX(aux!C:C,MATCH(I9,aux!A:A,0))</f>
        <v>Não</v>
      </c>
      <c r="L9" s="437">
        <v>5080</v>
      </c>
      <c r="M9" s="433" t="s">
        <v>557</v>
      </c>
      <c r="N9" s="139">
        <f t="shared" si="1"/>
        <v>5080</v>
      </c>
      <c r="O9" s="139" t="s">
        <v>509</v>
      </c>
      <c r="P9" s="231" t="str">
        <f t="shared" si="2"/>
        <v>Aterro</v>
      </c>
      <c r="Q9" s="231" t="s">
        <v>1904</v>
      </c>
      <c r="R9" s="231" t="s">
        <v>1903</v>
      </c>
      <c r="S9" s="543" t="str">
        <f>IFERROR(INDEX(Tabela3[Tipos de Tratamento],MATCH('A3.9.1 copy'!O348,Tabela3[Código],0)),"")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9" s="429"/>
      <c r="U9" s="429"/>
      <c r="V9" s="540"/>
    </row>
    <row r="10" spans="1:22" ht="15.75" hidden="1" thickBot="1" x14ac:dyDescent="0.3">
      <c r="A10" s="424" t="s">
        <v>4591</v>
      </c>
      <c r="B10" s="424" t="s">
        <v>4591</v>
      </c>
      <c r="C10" s="82" t="str">
        <f t="shared" si="0"/>
        <v>X</v>
      </c>
      <c r="D10">
        <v>2022</v>
      </c>
      <c r="E10" s="250" t="s">
        <v>3499</v>
      </c>
      <c r="F10" s="250" t="s">
        <v>3566</v>
      </c>
      <c r="G10" t="s">
        <v>42</v>
      </c>
      <c r="H10" s="82" t="s">
        <v>42</v>
      </c>
      <c r="I10" s="302">
        <v>200101</v>
      </c>
      <c r="J10" s="425" t="str">
        <f>INDEX(aux!B:B,MATCH(I10,aux!A:A,0))</f>
        <v xml:space="preserve">Papel e Cartão </v>
      </c>
      <c r="K10" s="433" t="str">
        <f>INDEX(aux!C:C,MATCH(I10,aux!A:A,0))</f>
        <v>Não</v>
      </c>
      <c r="L10" s="437">
        <v>6340</v>
      </c>
      <c r="M10" s="433" t="s">
        <v>557</v>
      </c>
      <c r="N10" s="139">
        <f t="shared" si="1"/>
        <v>6340</v>
      </c>
      <c r="O10" s="139" t="s">
        <v>509</v>
      </c>
      <c r="P10" s="231" t="str">
        <f t="shared" si="2"/>
        <v>Aterro</v>
      </c>
      <c r="Q10" s="231" t="s">
        <v>1904</v>
      </c>
      <c r="R10" s="231" t="s">
        <v>1903</v>
      </c>
      <c r="S10" s="543" t="str">
        <f>IFERROR(INDEX(Tabela3[Tipos de Tratamento],MATCH('A3.9.1 copy'!O357,Tabela3[Código],0)),"")</f>
        <v>Acumulação de resíduos destinados a uma das operações enumeradas de R1 a R12</v>
      </c>
      <c r="T10" s="429"/>
      <c r="U10" s="429"/>
      <c r="V10" s="540"/>
    </row>
    <row r="11" spans="1:22" ht="15.75" thickBot="1" x14ac:dyDescent="0.3">
      <c r="A11" s="527" t="s">
        <v>4591</v>
      </c>
      <c r="B11" s="527" t="s">
        <v>4591</v>
      </c>
      <c r="C11" s="82" t="str">
        <f t="shared" si="0"/>
        <v>X</v>
      </c>
      <c r="D11">
        <v>2023</v>
      </c>
      <c r="E11" s="250" t="s">
        <v>3499</v>
      </c>
      <c r="F11" s="250" t="s">
        <v>3566</v>
      </c>
      <c r="G11" t="s">
        <v>42</v>
      </c>
      <c r="H11" s="82" t="s">
        <v>42</v>
      </c>
      <c r="I11" s="530">
        <v>200101</v>
      </c>
      <c r="J11" s="425" t="str">
        <f>INDEX(aux!B:B,MATCH(I11,aux!A:A,0))</f>
        <v xml:space="preserve">Papel e Cartão </v>
      </c>
      <c r="K11" s="433" t="str">
        <f>INDEX(aux!C:C,MATCH(I11,aux!A:A,0))</f>
        <v>Não</v>
      </c>
      <c r="L11" s="536">
        <v>860</v>
      </c>
      <c r="M11" s="534" t="s">
        <v>557</v>
      </c>
      <c r="N11" s="139">
        <f t="shared" si="1"/>
        <v>860</v>
      </c>
      <c r="O11" s="540" t="s">
        <v>509</v>
      </c>
      <c r="P11" s="231" t="str">
        <f t="shared" si="2"/>
        <v>Aterro</v>
      </c>
      <c r="Q11" s="231" t="s">
        <v>1904</v>
      </c>
      <c r="R11" s="231" t="s">
        <v>6569</v>
      </c>
      <c r="S11" s="542" t="s">
        <v>1553</v>
      </c>
      <c r="T11" s="540" t="s">
        <v>3590</v>
      </c>
      <c r="U11" s="540" t="s">
        <v>3591</v>
      </c>
      <c r="V11" s="540"/>
    </row>
    <row r="12" spans="1:22" ht="15.75" hidden="1" thickBot="1" x14ac:dyDescent="0.3">
      <c r="A12" s="424" t="s">
        <v>4591</v>
      </c>
      <c r="B12" s="424" t="s">
        <v>4591</v>
      </c>
      <c r="C12" s="82" t="str">
        <f t="shared" si="0"/>
        <v>X</v>
      </c>
      <c r="D12">
        <v>2022</v>
      </c>
      <c r="E12" s="250" t="s">
        <v>3499</v>
      </c>
      <c r="F12" s="250" t="s">
        <v>3566</v>
      </c>
      <c r="G12" t="s">
        <v>42</v>
      </c>
      <c r="H12" s="82" t="s">
        <v>42</v>
      </c>
      <c r="I12" s="302">
        <v>130508</v>
      </c>
      <c r="J12" s="425" t="str">
        <f>INDEX(aux!B:B,MATCH(I12,aux!A:A,0))</f>
        <v>(*) Misturas de resíduos provenientes de desarenadores e de separadores óleo/água</v>
      </c>
      <c r="K12" s="433" t="str">
        <f>INDEX(aux!C:C,MATCH(I12,aux!A:A,0))</f>
        <v>Sim</v>
      </c>
      <c r="L12" s="437">
        <v>12540</v>
      </c>
      <c r="M12" s="433" t="s">
        <v>557</v>
      </c>
      <c r="N12" s="139">
        <f t="shared" si="1"/>
        <v>12540</v>
      </c>
      <c r="O12" s="139" t="s">
        <v>503</v>
      </c>
      <c r="P12" s="231" t="str">
        <f t="shared" si="2"/>
        <v>Aterro</v>
      </c>
      <c r="Q12" s="231" t="s">
        <v>1901</v>
      </c>
      <c r="R12" s="231" t="s">
        <v>1892</v>
      </c>
      <c r="S12" s="543" t="str">
        <f>IFERROR(INDEX(Tabela3[Tipos de Tratamento],MATCH('A3.9.1 copy'!O344,Tabela3[Código],0)),"")</f>
        <v xml:space="preserve">Troca de resíduos com vista a submetê-los a uma das operações enumeradas de R 1 a R 11 </v>
      </c>
      <c r="T12" s="429"/>
      <c r="U12" s="429"/>
      <c r="V12" s="540"/>
    </row>
    <row r="13" spans="1:22" ht="15.75" hidden="1" thickBot="1" x14ac:dyDescent="0.3">
      <c r="A13" s="424" t="s">
        <v>4591</v>
      </c>
      <c r="B13" s="424" t="s">
        <v>4591</v>
      </c>
      <c r="C13" s="82" t="str">
        <f t="shared" si="0"/>
        <v>X</v>
      </c>
      <c r="D13">
        <v>2022</v>
      </c>
      <c r="E13" s="250" t="s">
        <v>3499</v>
      </c>
      <c r="F13" s="250" t="s">
        <v>3566</v>
      </c>
      <c r="G13" t="s">
        <v>42</v>
      </c>
      <c r="H13" s="82" t="s">
        <v>42</v>
      </c>
      <c r="I13" s="302">
        <v>130508</v>
      </c>
      <c r="J13" s="425" t="str">
        <f>INDEX(aux!B:B,MATCH(I13,aux!A:A,0))</f>
        <v>(*) Misturas de resíduos provenientes de desarenadores e de separadores óleo/água</v>
      </c>
      <c r="K13" s="433" t="str">
        <f>INDEX(aux!C:C,MATCH(I13,aux!A:A,0))</f>
        <v>Sim</v>
      </c>
      <c r="L13" s="437">
        <v>11680</v>
      </c>
      <c r="M13" s="433" t="s">
        <v>557</v>
      </c>
      <c r="N13" s="139">
        <f t="shared" si="1"/>
        <v>11680</v>
      </c>
      <c r="O13" s="139" t="s">
        <v>503</v>
      </c>
      <c r="P13" s="231" t="str">
        <f t="shared" si="2"/>
        <v>Aterro</v>
      </c>
      <c r="Q13" s="231" t="s">
        <v>1901</v>
      </c>
      <c r="R13" s="231" t="s">
        <v>1892</v>
      </c>
      <c r="S13" s="543" t="str">
        <f>IFERROR(INDEX(Tabela3[Tipos de Tratamento],MATCH('A3.9.1 copy'!O345,Tabela3[Código],0)),"")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13" s="429"/>
      <c r="U13" s="429"/>
      <c r="V13" s="540"/>
    </row>
    <row r="14" spans="1:22" ht="15.75" hidden="1" thickBot="1" x14ac:dyDescent="0.3">
      <c r="A14" s="424" t="s">
        <v>4591</v>
      </c>
      <c r="B14" s="424" t="s">
        <v>4591</v>
      </c>
      <c r="C14" s="82" t="str">
        <f t="shared" si="0"/>
        <v>X</v>
      </c>
      <c r="D14">
        <v>2022</v>
      </c>
      <c r="E14" s="250" t="s">
        <v>3499</v>
      </c>
      <c r="F14" s="250" t="s">
        <v>3566</v>
      </c>
      <c r="G14" t="s">
        <v>42</v>
      </c>
      <c r="H14" s="82" t="s">
        <v>42</v>
      </c>
      <c r="I14" s="302">
        <v>130508</v>
      </c>
      <c r="J14" s="425" t="str">
        <f>INDEX(aux!B:B,MATCH(I14,aux!A:A,0))</f>
        <v>(*) Misturas de resíduos provenientes de desarenadores e de separadores óleo/água</v>
      </c>
      <c r="K14" s="433" t="str">
        <f>INDEX(aux!C:C,MATCH(I14,aux!A:A,0))</f>
        <v>Sim</v>
      </c>
      <c r="L14" s="437">
        <v>16720</v>
      </c>
      <c r="M14" s="433" t="s">
        <v>557</v>
      </c>
      <c r="N14" s="139">
        <f t="shared" si="1"/>
        <v>16720</v>
      </c>
      <c r="O14" s="139" t="s">
        <v>503</v>
      </c>
      <c r="P14" s="231" t="str">
        <f t="shared" si="2"/>
        <v>Aterro</v>
      </c>
      <c r="Q14" s="231" t="s">
        <v>1901</v>
      </c>
      <c r="R14" s="231" t="s">
        <v>1892</v>
      </c>
      <c r="S14" s="543" t="str">
        <f>IFERROR(INDEX(Tabela3[Tipos de Tratamento],MATCH('A3.9.1 copy'!O352,Tabela3[Código],0)),"")</f>
        <v>Acumulação de resíduos destinados a uma das operações enumeradas de R1 a R12</v>
      </c>
      <c r="T14" s="429"/>
      <c r="U14" s="429"/>
      <c r="V14" s="540"/>
    </row>
    <row r="15" spans="1:22" ht="15.75" hidden="1" thickBot="1" x14ac:dyDescent="0.3">
      <c r="A15" s="424" t="s">
        <v>4591</v>
      </c>
      <c r="B15" s="424" t="s">
        <v>4591</v>
      </c>
      <c r="C15" s="82" t="str">
        <f t="shared" si="0"/>
        <v>X</v>
      </c>
      <c r="D15">
        <v>2022</v>
      </c>
      <c r="E15" s="250" t="s">
        <v>3499</v>
      </c>
      <c r="F15" s="250" t="s">
        <v>3566</v>
      </c>
      <c r="G15" t="s">
        <v>42</v>
      </c>
      <c r="H15" s="82" t="s">
        <v>42</v>
      </c>
      <c r="I15" s="302">
        <v>150202</v>
      </c>
      <c r="J15" s="425" t="str">
        <f>INDEX(aux!B:B,MATCH(I15,aux!A:A,0))</f>
        <v>(*) Absorventes, materiais filtrantes (incluindo filtros de óleo sem outras especificações), panos de limpeza e vestuário de proteção, contaminados por substâncias perigosas</v>
      </c>
      <c r="K15" s="433" t="str">
        <f>INDEX(aux!C:C,MATCH(I15,aux!A:A,0))</f>
        <v>Sim</v>
      </c>
      <c r="L15" s="437">
        <v>300</v>
      </c>
      <c r="M15" s="433" t="s">
        <v>557</v>
      </c>
      <c r="N15" s="139">
        <f t="shared" si="1"/>
        <v>300</v>
      </c>
      <c r="O15" s="139" t="s">
        <v>483</v>
      </c>
      <c r="P15" s="231" t="str">
        <f t="shared" si="2"/>
        <v>Reciclagem</v>
      </c>
      <c r="Q15" s="231" t="s">
        <v>1901</v>
      </c>
      <c r="R15" s="231" t="s">
        <v>1892</v>
      </c>
      <c r="S15" s="543" t="str">
        <f>IFERROR(INDEX(Tabela3[Tipos de Tratamento],MATCH('A3.9.1 copy'!O354,Tabela3[Código],0)),"")</f>
        <v xml:space="preserve">Troca de resíduos com vista a submetê-los a uma das operações enumeradas de R 1 a R 11 </v>
      </c>
      <c r="T15" s="429"/>
      <c r="U15" s="429"/>
      <c r="V15" s="540"/>
    </row>
    <row r="16" spans="1:22" ht="15.75" hidden="1" thickBot="1" x14ac:dyDescent="0.3">
      <c r="A16" s="424" t="s">
        <v>4591</v>
      </c>
      <c r="B16" s="424" t="s">
        <v>4591</v>
      </c>
      <c r="C16" s="82" t="str">
        <f t="shared" si="0"/>
        <v>X</v>
      </c>
      <c r="D16">
        <v>2022</v>
      </c>
      <c r="E16" s="250" t="s">
        <v>3499</v>
      </c>
      <c r="F16" s="250" t="s">
        <v>3566</v>
      </c>
      <c r="G16" t="s">
        <v>42</v>
      </c>
      <c r="H16" s="82" t="s">
        <v>42</v>
      </c>
      <c r="I16" s="302">
        <v>161002</v>
      </c>
      <c r="J16" s="425" t="str">
        <f>INDEX(aux!B:B,MATCH(I16,aux!A:A,0))</f>
        <v>Resíduos liquidos aquosos não abrangidos em 16 10 01</v>
      </c>
      <c r="K16" s="433" t="str">
        <f>INDEX(aux!C:C,MATCH(I16,aux!A:A,0))</f>
        <v>Sim</v>
      </c>
      <c r="L16" s="437">
        <v>120</v>
      </c>
      <c r="M16" s="433" t="s">
        <v>557</v>
      </c>
      <c r="N16" s="139">
        <f t="shared" si="1"/>
        <v>120</v>
      </c>
      <c r="O16" s="139" t="s">
        <v>503</v>
      </c>
      <c r="P16" s="231" t="str">
        <f t="shared" si="2"/>
        <v>Aterro</v>
      </c>
      <c r="Q16" s="231" t="s">
        <v>1901</v>
      </c>
      <c r="R16" s="231" t="s">
        <v>1892</v>
      </c>
      <c r="S16" s="543" t="str">
        <f>IFERROR(INDEX(Tabela3[Tipos de Tratamento],MATCH('A3.9.1 copy'!O353,Tabela3[Código],0)),"")</f>
        <v xml:space="preserve">Troca de resíduos com vista a submetê-los a uma das operações enumeradas de R 1 a R 11 </v>
      </c>
      <c r="T16" s="429"/>
      <c r="U16" s="429"/>
      <c r="V16" s="540"/>
    </row>
    <row r="17" spans="1:22" ht="15.75" hidden="1" thickBot="1" x14ac:dyDescent="0.3">
      <c r="A17" s="424" t="s">
        <v>4591</v>
      </c>
      <c r="B17" s="424" t="s">
        <v>4591</v>
      </c>
      <c r="C17" s="82" t="str">
        <f t="shared" si="0"/>
        <v>X</v>
      </c>
      <c r="D17">
        <v>2022</v>
      </c>
      <c r="E17" s="250" t="s">
        <v>3499</v>
      </c>
      <c r="F17" s="250" t="s">
        <v>3566</v>
      </c>
      <c r="G17" t="s">
        <v>42</v>
      </c>
      <c r="H17" s="82" t="s">
        <v>42</v>
      </c>
      <c r="I17" s="302">
        <v>161002</v>
      </c>
      <c r="J17" s="425" t="str">
        <f>INDEX(aux!B:B,MATCH(I17,aux!A:A,0))</f>
        <v>Resíduos liquidos aquosos não abrangidos em 16 10 01</v>
      </c>
      <c r="K17" s="433" t="str">
        <f>INDEX(aux!C:C,MATCH(I17,aux!A:A,0))</f>
        <v>Sim</v>
      </c>
      <c r="L17" s="437">
        <v>1240</v>
      </c>
      <c r="M17" s="433" t="s">
        <v>557</v>
      </c>
      <c r="N17" s="139">
        <f t="shared" si="1"/>
        <v>1240</v>
      </c>
      <c r="O17" s="139" t="s">
        <v>503</v>
      </c>
      <c r="P17" s="231" t="str">
        <f t="shared" si="2"/>
        <v>Aterro</v>
      </c>
      <c r="Q17" s="231" t="s">
        <v>1901</v>
      </c>
      <c r="R17" s="231" t="s">
        <v>1892</v>
      </c>
      <c r="S17" s="543" t="str">
        <f>IFERROR(INDEX(Tabela3[Tipos de Tratamento],MATCH('A3.9.1 copy'!O355,Tabela3[Código],0)),"")</f>
        <v xml:space="preserve">Troca de resíduos com vista a submetê-los a uma das operações enumeradas de R 1 a R 11 </v>
      </c>
      <c r="T17" s="429"/>
      <c r="U17" s="429"/>
      <c r="V17" s="540"/>
    </row>
    <row r="18" spans="1:22" ht="15.75" thickBot="1" x14ac:dyDescent="0.3">
      <c r="A18" s="527" t="s">
        <v>4591</v>
      </c>
      <c r="B18" s="527" t="s">
        <v>4591</v>
      </c>
      <c r="C18" s="82" t="str">
        <f t="shared" si="0"/>
        <v>X</v>
      </c>
      <c r="D18">
        <v>2023</v>
      </c>
      <c r="E18" s="250" t="s">
        <v>3499</v>
      </c>
      <c r="F18" s="250" t="s">
        <v>3566</v>
      </c>
      <c r="G18" t="s">
        <v>42</v>
      </c>
      <c r="H18" s="82" t="s">
        <v>42</v>
      </c>
      <c r="I18" s="530">
        <v>160708</v>
      </c>
      <c r="J18" s="425" t="str">
        <f>INDEX(aux!B:B,MATCH(I18,aux!A:A,0))</f>
        <v>(*) Resíduos contendo hidrocarbonetos</v>
      </c>
      <c r="K18" s="433" t="str">
        <f>INDEX(aux!C:C,MATCH(I18,aux!A:A,0))</f>
        <v>Sim</v>
      </c>
      <c r="L18" s="536">
        <v>240</v>
      </c>
      <c r="M18" s="534" t="s">
        <v>557</v>
      </c>
      <c r="N18" s="139">
        <f t="shared" si="1"/>
        <v>240</v>
      </c>
      <c r="O18" s="540" t="s">
        <v>483</v>
      </c>
      <c r="P18" s="231" t="str">
        <f t="shared" si="2"/>
        <v>Reciclagem</v>
      </c>
      <c r="Q18" s="231" t="s">
        <v>1901</v>
      </c>
      <c r="R18" s="231" t="s">
        <v>1892</v>
      </c>
      <c r="S18" s="542" t="s">
        <v>1553</v>
      </c>
      <c r="T18" s="540" t="s">
        <v>3590</v>
      </c>
      <c r="U18" s="540" t="s">
        <v>3591</v>
      </c>
      <c r="V18" s="540"/>
    </row>
    <row r="19" spans="1:22" ht="15.75" thickBot="1" x14ac:dyDescent="0.3">
      <c r="A19" s="527" t="s">
        <v>4591</v>
      </c>
      <c r="B19" s="527" t="s">
        <v>4591</v>
      </c>
      <c r="C19" s="82" t="str">
        <f t="shared" si="0"/>
        <v>X</v>
      </c>
      <c r="D19">
        <v>2023</v>
      </c>
      <c r="E19" s="250" t="s">
        <v>3499</v>
      </c>
      <c r="F19" s="250" t="s">
        <v>3566</v>
      </c>
      <c r="G19" t="s">
        <v>42</v>
      </c>
      <c r="H19" s="82" t="s">
        <v>42</v>
      </c>
      <c r="I19" s="530">
        <v>160708</v>
      </c>
      <c r="J19" s="425" t="str">
        <f>INDEX(aux!B:B,MATCH(I19,aux!A:A,0))</f>
        <v>(*) Resíduos contendo hidrocarbonetos</v>
      </c>
      <c r="K19" s="433" t="str">
        <f>INDEX(aux!C:C,MATCH(I19,aux!A:A,0))</f>
        <v>Sim</v>
      </c>
      <c r="L19" s="536">
        <v>2120</v>
      </c>
      <c r="M19" s="534" t="s">
        <v>557</v>
      </c>
      <c r="N19" s="139">
        <f t="shared" si="1"/>
        <v>2120</v>
      </c>
      <c r="O19" s="540" t="s">
        <v>483</v>
      </c>
      <c r="P19" s="231" t="str">
        <f t="shared" si="2"/>
        <v>Reciclagem</v>
      </c>
      <c r="Q19" s="231" t="s">
        <v>1901</v>
      </c>
      <c r="R19" s="231" t="s">
        <v>1892</v>
      </c>
      <c r="S19" s="542" t="s">
        <v>1553</v>
      </c>
      <c r="T19" s="540" t="s">
        <v>3590</v>
      </c>
      <c r="U19" s="540" t="s">
        <v>3591</v>
      </c>
      <c r="V19" s="540"/>
    </row>
    <row r="20" spans="1:22" ht="15.75" thickBot="1" x14ac:dyDescent="0.3">
      <c r="A20" s="527" t="s">
        <v>4591</v>
      </c>
      <c r="B20" s="527" t="s">
        <v>4591</v>
      </c>
      <c r="C20" s="82" t="str">
        <f t="shared" si="0"/>
        <v>X</v>
      </c>
      <c r="D20">
        <v>2023</v>
      </c>
      <c r="E20" s="250" t="s">
        <v>3499</v>
      </c>
      <c r="F20" s="250" t="s">
        <v>3566</v>
      </c>
      <c r="G20" t="s">
        <v>42</v>
      </c>
      <c r="H20" s="82" t="s">
        <v>42</v>
      </c>
      <c r="I20" s="530">
        <v>160708</v>
      </c>
      <c r="J20" s="425" t="str">
        <f>INDEX(aux!B:B,MATCH(I20,aux!A:A,0))</f>
        <v>(*) Resíduos contendo hidrocarbonetos</v>
      </c>
      <c r="K20" s="433" t="str">
        <f>INDEX(aux!C:C,MATCH(I20,aux!A:A,0))</f>
        <v>Sim</v>
      </c>
      <c r="L20" s="536">
        <v>25760</v>
      </c>
      <c r="M20" s="534" t="s">
        <v>557</v>
      </c>
      <c r="N20" s="139">
        <f t="shared" si="1"/>
        <v>25760</v>
      </c>
      <c r="O20" s="540" t="s">
        <v>480</v>
      </c>
      <c r="P20" s="231" t="str">
        <f t="shared" si="2"/>
        <v>Reciclagem</v>
      </c>
      <c r="Q20" s="231" t="s">
        <v>1901</v>
      </c>
      <c r="R20" s="231" t="s">
        <v>1892</v>
      </c>
      <c r="S20" s="542" t="s">
        <v>1553</v>
      </c>
      <c r="T20" s="540" t="s">
        <v>3590</v>
      </c>
      <c r="U20" s="540" t="s">
        <v>3591</v>
      </c>
      <c r="V20" s="540"/>
    </row>
    <row r="21" spans="1:22" ht="15.75" thickBot="1" x14ac:dyDescent="0.3">
      <c r="A21" s="527" t="s">
        <v>4591</v>
      </c>
      <c r="B21" s="527" t="s">
        <v>4591</v>
      </c>
      <c r="C21" s="82" t="str">
        <f t="shared" si="0"/>
        <v>X</v>
      </c>
      <c r="D21">
        <v>2023</v>
      </c>
      <c r="E21" s="250" t="s">
        <v>3499</v>
      </c>
      <c r="F21" s="250" t="s">
        <v>3566</v>
      </c>
      <c r="G21" t="s">
        <v>42</v>
      </c>
      <c r="H21" s="82" t="s">
        <v>42</v>
      </c>
      <c r="I21" s="530">
        <v>160708</v>
      </c>
      <c r="J21" s="425" t="str">
        <f>INDEX(aux!B:B,MATCH(I21,aux!A:A,0))</f>
        <v>(*) Resíduos contendo hidrocarbonetos</v>
      </c>
      <c r="K21" s="433" t="str">
        <f>INDEX(aux!C:C,MATCH(I21,aux!A:A,0))</f>
        <v>Sim</v>
      </c>
      <c r="L21" s="536">
        <v>17740</v>
      </c>
      <c r="M21" s="534" t="s">
        <v>557</v>
      </c>
      <c r="N21" s="139">
        <f t="shared" si="1"/>
        <v>17740</v>
      </c>
      <c r="O21" s="540" t="s">
        <v>480</v>
      </c>
      <c r="P21" s="231" t="str">
        <f t="shared" si="2"/>
        <v>Reciclagem</v>
      </c>
      <c r="Q21" s="231" t="s">
        <v>1901</v>
      </c>
      <c r="R21" s="231" t="s">
        <v>1892</v>
      </c>
      <c r="S21" s="542" t="s">
        <v>1553</v>
      </c>
      <c r="T21" s="540" t="s">
        <v>3590</v>
      </c>
      <c r="U21" s="540" t="s">
        <v>3591</v>
      </c>
      <c r="V21" s="540"/>
    </row>
    <row r="22" spans="1:22" ht="15.75" thickBot="1" x14ac:dyDescent="0.3">
      <c r="A22" s="527" t="s">
        <v>4591</v>
      </c>
      <c r="B22" s="527" t="s">
        <v>4591</v>
      </c>
      <c r="C22" s="82" t="str">
        <f t="shared" si="0"/>
        <v>X</v>
      </c>
      <c r="D22">
        <v>2023</v>
      </c>
      <c r="E22" s="250" t="s">
        <v>3499</v>
      </c>
      <c r="F22" s="250" t="s">
        <v>3566</v>
      </c>
      <c r="G22" t="s">
        <v>42</v>
      </c>
      <c r="H22" s="82" t="s">
        <v>42</v>
      </c>
      <c r="I22" s="530">
        <v>170503</v>
      </c>
      <c r="J22" s="425" t="str">
        <f>INDEX(aux!B:B,MATCH(I22,aux!A:A,0))</f>
        <v>(*) Solos e rochas, contendo substâncias perigosas</v>
      </c>
      <c r="K22" s="433" t="str">
        <f>INDEX(aux!C:C,MATCH(I22,aux!A:A,0))</f>
        <v>Sim</v>
      </c>
      <c r="L22" s="536">
        <v>2200</v>
      </c>
      <c r="M22" s="534" t="s">
        <v>557</v>
      </c>
      <c r="N22" s="139">
        <f t="shared" si="1"/>
        <v>2200</v>
      </c>
      <c r="O22" s="540" t="s">
        <v>507</v>
      </c>
      <c r="P22" s="231" t="str">
        <f t="shared" si="2"/>
        <v>Aterro</v>
      </c>
      <c r="Q22" s="231" t="s">
        <v>1901</v>
      </c>
      <c r="R22" s="231" t="s">
        <v>1892</v>
      </c>
      <c r="S22" s="542" t="s">
        <v>1553</v>
      </c>
      <c r="T22" s="540" t="s">
        <v>3590</v>
      </c>
      <c r="U22" s="540" t="s">
        <v>3591</v>
      </c>
      <c r="V22" s="540"/>
    </row>
    <row r="23" spans="1:22" ht="15.75" thickBot="1" x14ac:dyDescent="0.3">
      <c r="A23" s="527" t="s">
        <v>4591</v>
      </c>
      <c r="B23" s="527" t="s">
        <v>4591</v>
      </c>
      <c r="C23" s="82" t="str">
        <f t="shared" si="0"/>
        <v>X</v>
      </c>
      <c r="D23">
        <v>2023</v>
      </c>
      <c r="E23" s="250" t="s">
        <v>3499</v>
      </c>
      <c r="F23" s="250" t="s">
        <v>3566</v>
      </c>
      <c r="G23" t="s">
        <v>42</v>
      </c>
      <c r="H23" s="82" t="s">
        <v>42</v>
      </c>
      <c r="I23" s="530">
        <v>130508</v>
      </c>
      <c r="J23" s="425" t="str">
        <f>INDEX(aux!B:B,MATCH(I23,aux!A:A,0))</f>
        <v>(*) Misturas de resíduos provenientes de desarenadores e de separadores óleo/água</v>
      </c>
      <c r="K23" s="433" t="str">
        <f>INDEX(aux!C:C,MATCH(I23,aux!A:A,0))</f>
        <v>Sim</v>
      </c>
      <c r="L23" s="536">
        <v>14120</v>
      </c>
      <c r="M23" s="534" t="s">
        <v>557</v>
      </c>
      <c r="N23" s="139">
        <f t="shared" si="1"/>
        <v>14120</v>
      </c>
      <c r="O23" s="540" t="s">
        <v>503</v>
      </c>
      <c r="P23" s="231" t="str">
        <f t="shared" si="2"/>
        <v>Aterro</v>
      </c>
      <c r="Q23" s="231" t="s">
        <v>1901</v>
      </c>
      <c r="R23" s="231" t="s">
        <v>1892</v>
      </c>
      <c r="S23" s="542" t="s">
        <v>1553</v>
      </c>
      <c r="T23" s="540" t="s">
        <v>3590</v>
      </c>
      <c r="U23" s="540" t="s">
        <v>3591</v>
      </c>
      <c r="V23" s="540"/>
    </row>
    <row r="24" spans="1:22" ht="15.75" hidden="1" thickBot="1" x14ac:dyDescent="0.3">
      <c r="A24" s="424" t="s">
        <v>4591</v>
      </c>
      <c r="B24" s="424" t="s">
        <v>4591</v>
      </c>
      <c r="C24" s="82" t="str">
        <f t="shared" si="0"/>
        <v>X</v>
      </c>
      <c r="D24">
        <v>2022</v>
      </c>
      <c r="E24" s="250" t="s">
        <v>3499</v>
      </c>
      <c r="F24" s="250" t="s">
        <v>3566</v>
      </c>
      <c r="G24" t="s">
        <v>42</v>
      </c>
      <c r="H24" s="82" t="s">
        <v>42</v>
      </c>
      <c r="I24" s="302">
        <v>200301</v>
      </c>
      <c r="J24" s="425" t="str">
        <f>INDEX(aux!B:B,MATCH(I24,aux!A:A,0))</f>
        <v>Misturas de resíduos urbanos equiparados</v>
      </c>
      <c r="K24" s="433" t="str">
        <f>INDEX(aux!C:C,MATCH(I24,aux!A:A,0))</f>
        <v>Não</v>
      </c>
      <c r="L24" s="437">
        <v>3340</v>
      </c>
      <c r="M24" s="433" t="s">
        <v>557</v>
      </c>
      <c r="N24" s="139">
        <f t="shared" si="1"/>
        <v>3340</v>
      </c>
      <c r="O24" s="139" t="s">
        <v>483</v>
      </c>
      <c r="P24" s="231" t="str">
        <f t="shared" si="2"/>
        <v>Reciclagem</v>
      </c>
      <c r="Q24" s="231" t="s">
        <v>1908</v>
      </c>
      <c r="R24" s="231" t="s">
        <v>1877</v>
      </c>
      <c r="S24" s="543" t="str">
        <f>IFERROR(INDEX(Tabela3[Tipos de Tratamento],MATCH('A3.9.1 copy'!O346,Tabela3[Código],0)),"")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24" s="429"/>
      <c r="U24" s="429"/>
      <c r="V24" s="540"/>
    </row>
    <row r="25" spans="1:22" ht="15.75" hidden="1" thickBot="1" x14ac:dyDescent="0.3">
      <c r="A25" s="424" t="s">
        <v>4591</v>
      </c>
      <c r="B25" s="424" t="s">
        <v>4591</v>
      </c>
      <c r="C25" s="82" t="str">
        <f t="shared" si="0"/>
        <v>X</v>
      </c>
      <c r="D25">
        <v>2022</v>
      </c>
      <c r="E25" s="250" t="s">
        <v>3499</v>
      </c>
      <c r="F25" s="250" t="s">
        <v>3566</v>
      </c>
      <c r="G25" t="s">
        <v>42</v>
      </c>
      <c r="H25" s="82" t="s">
        <v>42</v>
      </c>
      <c r="I25" s="302">
        <v>200301</v>
      </c>
      <c r="J25" s="425" t="str">
        <f>INDEX(aux!B:B,MATCH(I25,aux!A:A,0))</f>
        <v>Misturas de resíduos urbanos equiparados</v>
      </c>
      <c r="K25" s="433" t="str">
        <f>INDEX(aux!C:C,MATCH(I25,aux!A:A,0))</f>
        <v>Não</v>
      </c>
      <c r="L25" s="437">
        <v>3220</v>
      </c>
      <c r="M25" s="433" t="s">
        <v>557</v>
      </c>
      <c r="N25" s="139">
        <f t="shared" si="1"/>
        <v>3220</v>
      </c>
      <c r="O25" s="139" t="s">
        <v>483</v>
      </c>
      <c r="P25" s="231" t="str">
        <f t="shared" si="2"/>
        <v>Reciclagem</v>
      </c>
      <c r="Q25" s="231" t="s">
        <v>1908</v>
      </c>
      <c r="R25" s="231" t="s">
        <v>1877</v>
      </c>
      <c r="S25" s="543" t="str">
        <f>IFERROR(INDEX(Tabela3[Tipos de Tratamento],MATCH('A3.9.1 copy'!O356,Tabela3[Código],0)),"")</f>
        <v>Acumulação de resíduos destinados a uma das operações enumeradas de R1 a R12</v>
      </c>
      <c r="T25" s="429"/>
      <c r="U25" s="429"/>
      <c r="V25" s="540"/>
    </row>
    <row r="26" spans="1:22" ht="15.75" thickBot="1" x14ac:dyDescent="0.3">
      <c r="A26" s="674" t="s">
        <v>4591</v>
      </c>
      <c r="B26" s="674" t="s">
        <v>4591</v>
      </c>
      <c r="C26" s="82" t="str">
        <f t="shared" si="0"/>
        <v>X</v>
      </c>
      <c r="D26" s="357">
        <v>2023</v>
      </c>
      <c r="E26" s="493" t="s">
        <v>3499</v>
      </c>
      <c r="F26" s="493" t="s">
        <v>3566</v>
      </c>
      <c r="G26" s="357" t="s">
        <v>42</v>
      </c>
      <c r="H26" s="395" t="s">
        <v>42</v>
      </c>
      <c r="I26" s="675">
        <v>200301</v>
      </c>
      <c r="J26" s="425" t="str">
        <f>INDEX(aux!B:B,MATCH(I26,aux!A:A,0))</f>
        <v>Misturas de resíduos urbanos equiparados</v>
      </c>
      <c r="K26" s="433" t="str">
        <f>INDEX(aux!C:C,MATCH(I26,aux!A:A,0))</f>
        <v>Não</v>
      </c>
      <c r="L26" s="677">
        <v>6180</v>
      </c>
      <c r="M26" s="678" t="s">
        <v>557</v>
      </c>
      <c r="N26" s="494">
        <f t="shared" si="1"/>
        <v>6180</v>
      </c>
      <c r="O26" s="671" t="s">
        <v>483</v>
      </c>
      <c r="P26" s="494" t="str">
        <f t="shared" si="2"/>
        <v>Reciclagem</v>
      </c>
      <c r="Q26" s="231" t="s">
        <v>1908</v>
      </c>
      <c r="R26" s="231" t="s">
        <v>1877</v>
      </c>
      <c r="S26" s="670" t="s">
        <v>1553</v>
      </c>
      <c r="T26" s="671" t="s">
        <v>3590</v>
      </c>
      <c r="U26" s="671" t="s">
        <v>3591</v>
      </c>
      <c r="V26" s="671"/>
    </row>
    <row r="27" spans="1:22" ht="15.75" thickBot="1" x14ac:dyDescent="0.3">
      <c r="A27" s="527" t="s">
        <v>4591</v>
      </c>
      <c r="B27" s="527" t="s">
        <v>4591</v>
      </c>
      <c r="C27" s="82" t="str">
        <f t="shared" si="0"/>
        <v>X</v>
      </c>
      <c r="D27">
        <v>2023</v>
      </c>
      <c r="E27" s="250" t="s">
        <v>3499</v>
      </c>
      <c r="F27" s="250" t="s">
        <v>3566</v>
      </c>
      <c r="G27" t="s">
        <v>42</v>
      </c>
      <c r="H27" s="82" t="s">
        <v>42</v>
      </c>
      <c r="I27" s="530">
        <v>200301</v>
      </c>
      <c r="J27" s="425" t="str">
        <f>INDEX(aux!B:B,MATCH(I27,aux!A:A,0))</f>
        <v>Misturas de resíduos urbanos equiparados</v>
      </c>
      <c r="K27" s="433" t="str">
        <f>INDEX(aux!C:C,MATCH(I27,aux!A:A,0))</f>
        <v>Não</v>
      </c>
      <c r="L27" s="536">
        <v>4540</v>
      </c>
      <c r="M27" s="534" t="s">
        <v>557</v>
      </c>
      <c r="N27" s="139">
        <f t="shared" si="1"/>
        <v>4540</v>
      </c>
      <c r="O27" s="540" t="s">
        <v>483</v>
      </c>
      <c r="P27" s="231" t="str">
        <f t="shared" si="2"/>
        <v>Reciclagem</v>
      </c>
      <c r="Q27" s="231" t="s">
        <v>1908</v>
      </c>
      <c r="R27" s="231" t="s">
        <v>1877</v>
      </c>
      <c r="S27" s="542" t="s">
        <v>1553</v>
      </c>
      <c r="T27" s="540" t="s">
        <v>3590</v>
      </c>
      <c r="U27" s="540" t="s">
        <v>3591</v>
      </c>
      <c r="V27" s="540"/>
    </row>
    <row r="28" spans="1:22" ht="15.75" thickBot="1" x14ac:dyDescent="0.3">
      <c r="A28" s="527" t="s">
        <v>4591</v>
      </c>
      <c r="B28" s="527" t="s">
        <v>4591</v>
      </c>
      <c r="C28" s="82" t="str">
        <f t="shared" si="0"/>
        <v>X</v>
      </c>
      <c r="D28">
        <v>2023</v>
      </c>
      <c r="E28" s="250" t="s">
        <v>3499</v>
      </c>
      <c r="F28" s="250" t="s">
        <v>3566</v>
      </c>
      <c r="G28" t="s">
        <v>42</v>
      </c>
      <c r="H28" s="82" t="s">
        <v>42</v>
      </c>
      <c r="I28" s="530">
        <v>200301</v>
      </c>
      <c r="J28" s="425" t="str">
        <f>INDEX(aux!B:B,MATCH(I28,aux!A:A,0))</f>
        <v>Misturas de resíduos urbanos equiparados</v>
      </c>
      <c r="K28" s="433" t="str">
        <f>INDEX(aux!C:C,MATCH(I28,aux!A:A,0))</f>
        <v>Não</v>
      </c>
      <c r="L28" s="536">
        <v>5420</v>
      </c>
      <c r="M28" s="534" t="s">
        <v>557</v>
      </c>
      <c r="N28" s="139">
        <f t="shared" si="1"/>
        <v>5420</v>
      </c>
      <c r="O28" s="540" t="s">
        <v>483</v>
      </c>
      <c r="P28" s="231" t="str">
        <f t="shared" si="2"/>
        <v>Reciclagem</v>
      </c>
      <c r="Q28" s="231" t="s">
        <v>1908</v>
      </c>
      <c r="R28" s="231" t="s">
        <v>1877</v>
      </c>
      <c r="S28" s="542" t="s">
        <v>1553</v>
      </c>
      <c r="T28" s="540" t="s">
        <v>3590</v>
      </c>
      <c r="U28" s="540" t="s">
        <v>3591</v>
      </c>
      <c r="V28" s="540"/>
    </row>
    <row r="29" spans="1:22" ht="15.75" thickBot="1" x14ac:dyDescent="0.3">
      <c r="A29" s="527" t="str">
        <f t="shared" ref="A29:A60" si="3">B29&amp;" - "&amp;C29</f>
        <v>Barraqueiro Transportes, S.A. - Abate VFV</v>
      </c>
      <c r="B29" s="527" t="s">
        <v>45</v>
      </c>
      <c r="C29" s="82" t="s">
        <v>6328</v>
      </c>
      <c r="D29">
        <v>2023</v>
      </c>
      <c r="E29" s="250" t="s">
        <v>3499</v>
      </c>
      <c r="F29" s="250" t="s">
        <v>3566</v>
      </c>
      <c r="G29" t="s">
        <v>42</v>
      </c>
      <c r="H29" s="82" t="s">
        <v>42</v>
      </c>
      <c r="I29" s="530">
        <v>160104</v>
      </c>
      <c r="J29" s="425" t="str">
        <f>INDEX(aux!B:B,MATCH(I29,aux!A:A,0))</f>
        <v>Veículos em fim de vida</v>
      </c>
      <c r="K29" s="433" t="str">
        <f>INDEX(aux!C:C,MATCH(I29,aux!A:A,0))</f>
        <v>Sim</v>
      </c>
      <c r="L29" s="661">
        <v>117.78</v>
      </c>
      <c r="M29" s="664" t="s">
        <v>1532</v>
      </c>
      <c r="N29" s="139">
        <f t="shared" si="1"/>
        <v>117780</v>
      </c>
      <c r="O29" s="527" t="s">
        <v>484</v>
      </c>
      <c r="P29" s="231" t="str">
        <f t="shared" si="2"/>
        <v>Reciclagem</v>
      </c>
      <c r="Q29" s="231" t="s">
        <v>1907</v>
      </c>
      <c r="R29" s="231" t="s">
        <v>6569</v>
      </c>
      <c r="S29" s="425" t="s">
        <v>1553</v>
      </c>
      <c r="T29" s="425" t="s">
        <v>6304</v>
      </c>
      <c r="U29" s="425" t="s">
        <v>6327</v>
      </c>
      <c r="V29" s="425" t="s">
        <v>6328</v>
      </c>
    </row>
    <row r="30" spans="1:22" ht="15.75" thickBot="1" x14ac:dyDescent="0.3">
      <c r="A30" s="527" t="str">
        <f t="shared" si="3"/>
        <v>Barraqueiro Transportes, S.A. - Barraqueiro Alugueres</v>
      </c>
      <c r="B30" s="527" t="s">
        <v>45</v>
      </c>
      <c r="C30" s="82" t="s">
        <v>6571</v>
      </c>
      <c r="D30">
        <v>2023</v>
      </c>
      <c r="E30" s="250" t="s">
        <v>3499</v>
      </c>
      <c r="F30" s="250" t="s">
        <v>3566</v>
      </c>
      <c r="G30" t="s">
        <v>42</v>
      </c>
      <c r="H30" s="82" t="s">
        <v>42</v>
      </c>
      <c r="I30" s="530">
        <v>160601</v>
      </c>
      <c r="J30" s="425" t="str">
        <f>INDEX(aux!B:B,MATCH(I30,aux!A:A,0))</f>
        <v>(*) Acumuladores de chumbo</v>
      </c>
      <c r="K30" s="433" t="str">
        <f>INDEX(aux!C:C,MATCH(I30,aux!A:A,0))</f>
        <v>Sim</v>
      </c>
      <c r="L30" s="661">
        <v>2.9</v>
      </c>
      <c r="M30" s="664" t="s">
        <v>1532</v>
      </c>
      <c r="N30" s="139">
        <f t="shared" si="1"/>
        <v>2900</v>
      </c>
      <c r="O30" s="527" t="s">
        <v>484</v>
      </c>
      <c r="P30" s="231" t="str">
        <f t="shared" si="2"/>
        <v>Reciclagem</v>
      </c>
      <c r="Q30" s="231" t="s">
        <v>1653</v>
      </c>
      <c r="R30" s="231" t="s">
        <v>1877</v>
      </c>
      <c r="S30" s="425" t="s">
        <v>1553</v>
      </c>
      <c r="T30" s="425" t="s">
        <v>3171</v>
      </c>
      <c r="U30" s="425" t="s">
        <v>3171</v>
      </c>
      <c r="V30" s="425" t="s">
        <v>6319</v>
      </c>
    </row>
    <row r="31" spans="1:22" ht="15.75" thickBot="1" x14ac:dyDescent="0.3">
      <c r="A31" s="527" t="str">
        <f t="shared" si="3"/>
        <v>Barraqueiro Transportes, S.A. - Barraqueiro Alugueres</v>
      </c>
      <c r="B31" s="527" t="s">
        <v>45</v>
      </c>
      <c r="C31" s="82" t="s">
        <v>6571</v>
      </c>
      <c r="D31">
        <v>2023</v>
      </c>
      <c r="E31" s="250" t="s">
        <v>3499</v>
      </c>
      <c r="F31" s="250" t="s">
        <v>3566</v>
      </c>
      <c r="G31" t="s">
        <v>42</v>
      </c>
      <c r="H31" s="82" t="s">
        <v>42</v>
      </c>
      <c r="I31" s="530">
        <v>200136</v>
      </c>
      <c r="J31" s="425" t="str">
        <f>INDEX(aux!B:B,MATCH(I31,aux!A:A,0))</f>
        <v>Equipamento elétrico e eletrónico fora de uso não abrangido em 20 01 21, 20 01 23 ou 20 01 35</v>
      </c>
      <c r="K31" s="433" t="str">
        <f>INDEX(aux!C:C,MATCH(I31,aux!A:A,0))</f>
        <v>Não</v>
      </c>
      <c r="L31" s="661">
        <v>1.099</v>
      </c>
      <c r="M31" s="664" t="s">
        <v>1532</v>
      </c>
      <c r="N31" s="139">
        <f t="shared" si="1"/>
        <v>1099</v>
      </c>
      <c r="O31" s="527" t="s">
        <v>483</v>
      </c>
      <c r="P31" s="231" t="str">
        <f t="shared" si="2"/>
        <v>Reciclagem</v>
      </c>
      <c r="Q31" s="231" t="s">
        <v>1909</v>
      </c>
      <c r="R31" s="231" t="s">
        <v>1877</v>
      </c>
      <c r="S31" s="425" t="s">
        <v>485</v>
      </c>
      <c r="T31" s="425" t="s">
        <v>3177</v>
      </c>
      <c r="U31" s="425" t="s">
        <v>3177</v>
      </c>
      <c r="V31" s="425" t="s">
        <v>6319</v>
      </c>
    </row>
    <row r="32" spans="1:22" ht="15.75" thickBot="1" x14ac:dyDescent="0.3">
      <c r="A32" s="527" t="str">
        <f t="shared" si="3"/>
        <v>Barraqueiro Transportes, S.A. - Barraqueiro Alugueres</v>
      </c>
      <c r="B32" s="527" t="s">
        <v>45</v>
      </c>
      <c r="C32" s="82" t="s">
        <v>6571</v>
      </c>
      <c r="D32">
        <v>2023</v>
      </c>
      <c r="E32" s="250" t="s">
        <v>3499</v>
      </c>
      <c r="F32" s="250" t="s">
        <v>3566</v>
      </c>
      <c r="G32" t="s">
        <v>42</v>
      </c>
      <c r="H32" s="82" t="s">
        <v>42</v>
      </c>
      <c r="I32" s="530">
        <v>150103</v>
      </c>
      <c r="J32" s="425" t="str">
        <f>INDEX(aux!B:B,MATCH(I32,aux!A:A,0))</f>
        <v>Embalagens de madeira</v>
      </c>
      <c r="K32" s="433" t="str">
        <f>INDEX(aux!C:C,MATCH(I32,aux!A:A,0))</f>
        <v>Não</v>
      </c>
      <c r="L32" s="661">
        <v>1.72</v>
      </c>
      <c r="M32" s="664" t="s">
        <v>1532</v>
      </c>
      <c r="N32" s="139">
        <f t="shared" si="1"/>
        <v>1720</v>
      </c>
      <c r="O32" s="527" t="s">
        <v>483</v>
      </c>
      <c r="P32" s="231" t="str">
        <f t="shared" si="2"/>
        <v>Reciclagem</v>
      </c>
      <c r="Q32" s="231" t="s">
        <v>1905</v>
      </c>
      <c r="R32" s="231" t="s">
        <v>6569</v>
      </c>
      <c r="S32" s="425" t="s">
        <v>485</v>
      </c>
      <c r="T32" s="425" t="s">
        <v>3177</v>
      </c>
      <c r="U32" s="425" t="s">
        <v>3187</v>
      </c>
      <c r="V32" s="425" t="s">
        <v>6319</v>
      </c>
    </row>
    <row r="33" spans="1:22" ht="15.75" thickBot="1" x14ac:dyDescent="0.3">
      <c r="A33" s="527" t="str">
        <f t="shared" si="3"/>
        <v>Barraqueiro Transportes, S.A. - Barraqueiro Alugueres</v>
      </c>
      <c r="B33" s="527" t="s">
        <v>45</v>
      </c>
      <c r="C33" s="82" t="s">
        <v>6571</v>
      </c>
      <c r="D33">
        <v>2023</v>
      </c>
      <c r="E33" s="250" t="s">
        <v>3499</v>
      </c>
      <c r="F33" s="250" t="s">
        <v>3566</v>
      </c>
      <c r="G33" t="s">
        <v>42</v>
      </c>
      <c r="H33" s="82" t="s">
        <v>42</v>
      </c>
      <c r="I33" s="530">
        <v>150103</v>
      </c>
      <c r="J33" s="425" t="str">
        <f>INDEX(aux!B:B,MATCH(I33,aux!A:A,0))</f>
        <v>Embalagens de madeira</v>
      </c>
      <c r="K33" s="433" t="str">
        <f>INDEX(aux!C:C,MATCH(I33,aux!A:A,0))</f>
        <v>Não</v>
      </c>
      <c r="L33" s="661">
        <v>0.8</v>
      </c>
      <c r="M33" s="664" t="s">
        <v>1532</v>
      </c>
      <c r="N33" s="139">
        <f t="shared" si="1"/>
        <v>800</v>
      </c>
      <c r="O33" s="527" t="s">
        <v>483</v>
      </c>
      <c r="P33" s="231" t="str">
        <f t="shared" si="2"/>
        <v>Reciclagem</v>
      </c>
      <c r="Q33" s="231" t="s">
        <v>1905</v>
      </c>
      <c r="R33" s="231" t="s">
        <v>6569</v>
      </c>
      <c r="S33" s="425" t="s">
        <v>485</v>
      </c>
      <c r="T33" s="425" t="s">
        <v>3187</v>
      </c>
      <c r="U33" s="425" t="s">
        <v>3187</v>
      </c>
      <c r="V33" s="425" t="s">
        <v>6319</v>
      </c>
    </row>
    <row r="34" spans="1:22" ht="15.75" thickBot="1" x14ac:dyDescent="0.3">
      <c r="A34" s="527" t="str">
        <f t="shared" si="3"/>
        <v>Barraqueiro Transportes, S.A. - Barraqueiro Alugueres</v>
      </c>
      <c r="B34" s="527" t="s">
        <v>45</v>
      </c>
      <c r="C34" s="82" t="s">
        <v>6571</v>
      </c>
      <c r="D34">
        <v>2023</v>
      </c>
      <c r="E34" s="250" t="s">
        <v>3499</v>
      </c>
      <c r="F34" s="250" t="s">
        <v>3566</v>
      </c>
      <c r="G34" t="s">
        <v>42</v>
      </c>
      <c r="H34" s="82" t="s">
        <v>42</v>
      </c>
      <c r="I34" s="530">
        <v>160112</v>
      </c>
      <c r="J34" s="425" t="str">
        <f>INDEX(aux!B:B,MATCH(I34,aux!A:A,0))</f>
        <v>Pastilhas de travões não abrangidas em 16 01 11</v>
      </c>
      <c r="K34" s="433" t="str">
        <f>INDEX(aux!C:C,MATCH(I34,aux!A:A,0))</f>
        <v>Não</v>
      </c>
      <c r="L34" s="661">
        <v>1.08</v>
      </c>
      <c r="M34" s="664" t="s">
        <v>1532</v>
      </c>
      <c r="N34" s="139">
        <f t="shared" si="1"/>
        <v>1080</v>
      </c>
      <c r="O34" s="527" t="s">
        <v>483</v>
      </c>
      <c r="P34" s="231" t="str">
        <f t="shared" si="2"/>
        <v>Reciclagem</v>
      </c>
      <c r="Q34" s="231" t="s">
        <v>1557</v>
      </c>
      <c r="R34" s="231" t="s">
        <v>6569</v>
      </c>
      <c r="S34" s="425" t="s">
        <v>485</v>
      </c>
      <c r="T34" s="425" t="s">
        <v>3177</v>
      </c>
      <c r="U34" s="425" t="s">
        <v>3177</v>
      </c>
      <c r="V34" s="425" t="s">
        <v>6319</v>
      </c>
    </row>
    <row r="35" spans="1:22" ht="15.75" thickBot="1" x14ac:dyDescent="0.3">
      <c r="A35" s="527" t="str">
        <f t="shared" si="3"/>
        <v>Barraqueiro Transportes, S.A. - Barraqueiro Alugueres</v>
      </c>
      <c r="B35" s="527" t="s">
        <v>45</v>
      </c>
      <c r="C35" s="82" t="s">
        <v>6571</v>
      </c>
      <c r="D35">
        <v>2023</v>
      </c>
      <c r="E35" s="250" t="s">
        <v>3499</v>
      </c>
      <c r="F35" s="250" t="s">
        <v>3566</v>
      </c>
      <c r="G35" t="s">
        <v>42</v>
      </c>
      <c r="H35" s="82" t="s">
        <v>42</v>
      </c>
      <c r="I35" s="530">
        <v>160117</v>
      </c>
      <c r="J35" s="425" t="str">
        <f>INDEX(aux!B:B,MATCH(I35,aux!A:A,0))</f>
        <v>Metais ferrosos</v>
      </c>
      <c r="K35" s="433" t="str">
        <f>INDEX(aux!C:C,MATCH(I35,aux!A:A,0))</f>
        <v>Não</v>
      </c>
      <c r="L35" s="661">
        <v>3.52</v>
      </c>
      <c r="M35" s="664" t="s">
        <v>1532</v>
      </c>
      <c r="N35" s="139">
        <f t="shared" si="1"/>
        <v>3520</v>
      </c>
      <c r="O35" s="527" t="s">
        <v>483</v>
      </c>
      <c r="P35" s="231" t="str">
        <f t="shared" si="2"/>
        <v>Reciclagem</v>
      </c>
      <c r="Q35" s="231" t="s">
        <v>1557</v>
      </c>
      <c r="R35" s="231" t="s">
        <v>6569</v>
      </c>
      <c r="S35" s="425" t="s">
        <v>485</v>
      </c>
      <c r="T35" s="425" t="s">
        <v>3171</v>
      </c>
      <c r="U35" s="425" t="s">
        <v>3171</v>
      </c>
      <c r="V35" s="425" t="s">
        <v>6319</v>
      </c>
    </row>
    <row r="36" spans="1:22" ht="15.75" thickBot="1" x14ac:dyDescent="0.3">
      <c r="A36" s="527" t="str">
        <f t="shared" si="3"/>
        <v>Barraqueiro Transportes, S.A. - Barraqueiro Alugueres</v>
      </c>
      <c r="B36" s="527" t="s">
        <v>45</v>
      </c>
      <c r="C36" s="82" t="s">
        <v>6571</v>
      </c>
      <c r="D36">
        <v>2023</v>
      </c>
      <c r="E36" s="250" t="s">
        <v>3499</v>
      </c>
      <c r="F36" s="250" t="s">
        <v>3566</v>
      </c>
      <c r="G36" t="s">
        <v>42</v>
      </c>
      <c r="H36" s="82" t="s">
        <v>42</v>
      </c>
      <c r="I36" s="530">
        <v>150104</v>
      </c>
      <c r="J36" s="425" t="str">
        <f>INDEX(aux!B:B,MATCH(I36,aux!A:A,0))</f>
        <v>Embalagens de metal</v>
      </c>
      <c r="K36" s="433" t="str">
        <f>INDEX(aux!C:C,MATCH(I36,aux!A:A,0))</f>
        <v>Não</v>
      </c>
      <c r="L36" s="661">
        <v>0.72</v>
      </c>
      <c r="M36" s="664" t="s">
        <v>1532</v>
      </c>
      <c r="N36" s="139">
        <f t="shared" si="1"/>
        <v>720</v>
      </c>
      <c r="O36" s="527" t="s">
        <v>483</v>
      </c>
      <c r="P36" s="231" t="str">
        <f t="shared" si="2"/>
        <v>Reciclagem</v>
      </c>
      <c r="Q36" s="231" t="s">
        <v>1906</v>
      </c>
      <c r="R36" s="231" t="s">
        <v>6569</v>
      </c>
      <c r="S36" s="425" t="s">
        <v>485</v>
      </c>
      <c r="T36" s="425" t="s">
        <v>3177</v>
      </c>
      <c r="U36" s="425" t="s">
        <v>3177</v>
      </c>
      <c r="V36" s="425" t="s">
        <v>6319</v>
      </c>
    </row>
    <row r="37" spans="1:22" ht="15.75" thickBot="1" x14ac:dyDescent="0.3">
      <c r="A37" s="527" t="str">
        <f t="shared" si="3"/>
        <v>Barraqueiro Transportes, S.A. - Barraqueiro Alugueres</v>
      </c>
      <c r="B37" s="527" t="s">
        <v>45</v>
      </c>
      <c r="C37" s="82" t="s">
        <v>6571</v>
      </c>
      <c r="D37">
        <v>2023</v>
      </c>
      <c r="E37" s="250" t="s">
        <v>3499</v>
      </c>
      <c r="F37" s="250" t="s">
        <v>3566</v>
      </c>
      <c r="G37" t="s">
        <v>42</v>
      </c>
      <c r="H37" s="82" t="s">
        <v>42</v>
      </c>
      <c r="I37" s="530">
        <v>150111</v>
      </c>
      <c r="J37" s="425" t="str">
        <f>INDEX(aux!B:B,MATCH(I37,aux!A:A,0))</f>
        <v>(*) Embalagens de metal, incluindo recipientes vazios sob pressão, contendo uma matriz porosa sólida perigosa (por exemplo, amianto)</v>
      </c>
      <c r="K37" s="433" t="str">
        <f>INDEX(aux!C:C,MATCH(I37,aux!A:A,0))</f>
        <v>Sim</v>
      </c>
      <c r="L37" s="661">
        <v>3.5999999999999997E-2</v>
      </c>
      <c r="M37" s="664" t="s">
        <v>1532</v>
      </c>
      <c r="N37" s="139">
        <f t="shared" si="1"/>
        <v>36</v>
      </c>
      <c r="O37" s="527" t="s">
        <v>484</v>
      </c>
      <c r="P37" s="231" t="str">
        <f t="shared" si="2"/>
        <v>Reciclagem</v>
      </c>
      <c r="Q37" s="231" t="s">
        <v>1906</v>
      </c>
      <c r="R37" s="231" t="s">
        <v>6569</v>
      </c>
      <c r="S37" s="425" t="s">
        <v>1553</v>
      </c>
      <c r="T37" s="425" t="s">
        <v>3177</v>
      </c>
      <c r="U37" s="425" t="s">
        <v>3177</v>
      </c>
      <c r="V37" s="425" t="s">
        <v>6319</v>
      </c>
    </row>
    <row r="38" spans="1:22" ht="15.75" thickBot="1" x14ac:dyDescent="0.3">
      <c r="A38" s="527" t="str">
        <f t="shared" si="3"/>
        <v>Barraqueiro Transportes, S.A. - Barraqueiro Alugueres</v>
      </c>
      <c r="B38" s="527" t="s">
        <v>45</v>
      </c>
      <c r="C38" s="82" t="s">
        <v>6571</v>
      </c>
      <c r="D38">
        <v>2023</v>
      </c>
      <c r="E38" s="250" t="s">
        <v>3499</v>
      </c>
      <c r="F38" s="250" t="s">
        <v>3566</v>
      </c>
      <c r="G38" t="s">
        <v>42</v>
      </c>
      <c r="H38" s="82" t="s">
        <v>42</v>
      </c>
      <c r="I38" s="530">
        <v>160118</v>
      </c>
      <c r="J38" s="425" t="str">
        <f>INDEX(aux!B:B,MATCH(I38,aux!A:A,0))</f>
        <v>Metais não ferrosos</v>
      </c>
      <c r="K38" s="433" t="str">
        <f>INDEX(aux!C:C,MATCH(I38,aux!A:A,0))</f>
        <v>Não</v>
      </c>
      <c r="L38" s="661">
        <v>0.18</v>
      </c>
      <c r="M38" s="664" t="s">
        <v>1532</v>
      </c>
      <c r="N38" s="139">
        <f t="shared" si="1"/>
        <v>180</v>
      </c>
      <c r="O38" s="527" t="s">
        <v>483</v>
      </c>
      <c r="P38" s="231" t="str">
        <f t="shared" si="2"/>
        <v>Reciclagem</v>
      </c>
      <c r="Q38" s="231" t="s">
        <v>1906</v>
      </c>
      <c r="R38" s="231" t="s">
        <v>6569</v>
      </c>
      <c r="S38" s="425" t="s">
        <v>485</v>
      </c>
      <c r="T38" s="425" t="s">
        <v>3171</v>
      </c>
      <c r="U38" s="425" t="s">
        <v>3171</v>
      </c>
      <c r="V38" s="425" t="s">
        <v>6319</v>
      </c>
    </row>
    <row r="39" spans="1:22" ht="15.75" thickBot="1" x14ac:dyDescent="0.3">
      <c r="A39" s="527" t="str">
        <f t="shared" si="3"/>
        <v>Barraqueiro Transportes, S.A. - Barraqueiro Alugueres</v>
      </c>
      <c r="B39" s="527" t="s">
        <v>45</v>
      </c>
      <c r="C39" s="82" t="s">
        <v>6571</v>
      </c>
      <c r="D39">
        <v>2023</v>
      </c>
      <c r="E39" s="250" t="s">
        <v>3499</v>
      </c>
      <c r="F39" s="250" t="s">
        <v>3566</v>
      </c>
      <c r="G39" t="s">
        <v>42</v>
      </c>
      <c r="H39" s="82" t="s">
        <v>42</v>
      </c>
      <c r="I39" s="530">
        <v>130208</v>
      </c>
      <c r="J39" s="425" t="str">
        <f>INDEX(aux!B:B,MATCH(I39,aux!A:A,0))</f>
        <v>(*) Outros óleos de motores, transmissões e lubrificação</v>
      </c>
      <c r="K39" s="433" t="str">
        <f>INDEX(aux!C:C,MATCH(I39,aux!A:A,0))</f>
        <v>Sim</v>
      </c>
      <c r="L39" s="661">
        <v>1.3160000000000001</v>
      </c>
      <c r="M39" s="664" t="s">
        <v>1532</v>
      </c>
      <c r="N39" s="139">
        <f t="shared" si="1"/>
        <v>1316</v>
      </c>
      <c r="O39" s="527" t="s">
        <v>480</v>
      </c>
      <c r="P39" s="231" t="str">
        <f t="shared" si="2"/>
        <v>Reciclagem</v>
      </c>
      <c r="Q39" s="231" t="s">
        <v>1902</v>
      </c>
      <c r="R39" s="231" t="s">
        <v>1877</v>
      </c>
      <c r="S39" s="425" t="s">
        <v>1546</v>
      </c>
      <c r="T39" s="425" t="s">
        <v>3173</v>
      </c>
      <c r="U39" s="425" t="s">
        <v>3174</v>
      </c>
      <c r="V39" s="425" t="s">
        <v>6319</v>
      </c>
    </row>
    <row r="40" spans="1:22" ht="15.75" thickBot="1" x14ac:dyDescent="0.3">
      <c r="A40" s="527" t="str">
        <f t="shared" si="3"/>
        <v>Barraqueiro Transportes, S.A. - Barraqueiro Alugueres</v>
      </c>
      <c r="B40" s="527" t="s">
        <v>45</v>
      </c>
      <c r="C40" s="82" t="s">
        <v>6571</v>
      </c>
      <c r="D40">
        <v>2023</v>
      </c>
      <c r="E40" s="250" t="s">
        <v>3499</v>
      </c>
      <c r="F40" s="250" t="s">
        <v>3566</v>
      </c>
      <c r="G40" t="s">
        <v>42</v>
      </c>
      <c r="H40" s="82" t="s">
        <v>42</v>
      </c>
      <c r="I40" s="530">
        <v>150101</v>
      </c>
      <c r="J40" s="425" t="str">
        <f>INDEX(aux!B:B,MATCH(I40,aux!A:A,0))</f>
        <v>Embalagens de papel e cartão</v>
      </c>
      <c r="K40" s="433" t="str">
        <f>INDEX(aux!C:C,MATCH(I40,aux!A:A,0))</f>
        <v>Não</v>
      </c>
      <c r="L40" s="661">
        <v>0.8</v>
      </c>
      <c r="M40" s="664" t="s">
        <v>1532</v>
      </c>
      <c r="N40" s="139">
        <f t="shared" si="1"/>
        <v>800</v>
      </c>
      <c r="O40" s="527" t="s">
        <v>483</v>
      </c>
      <c r="P40" s="231" t="str">
        <f t="shared" si="2"/>
        <v>Reciclagem</v>
      </c>
      <c r="Q40" s="231" t="s">
        <v>1904</v>
      </c>
      <c r="R40" s="231" t="s">
        <v>6569</v>
      </c>
      <c r="S40" s="425" t="s">
        <v>485</v>
      </c>
      <c r="T40" s="425" t="s">
        <v>3177</v>
      </c>
      <c r="U40" s="425" t="s">
        <v>3187</v>
      </c>
      <c r="V40" s="425" t="s">
        <v>6319</v>
      </c>
    </row>
    <row r="41" spans="1:22" ht="15.75" thickBot="1" x14ac:dyDescent="0.3">
      <c r="A41" s="527" t="str">
        <f t="shared" si="3"/>
        <v>Barraqueiro Transportes, S.A. - Barraqueiro Alugueres</v>
      </c>
      <c r="B41" s="527" t="s">
        <v>45</v>
      </c>
      <c r="C41" s="82" t="s">
        <v>6571</v>
      </c>
      <c r="D41">
        <v>2023</v>
      </c>
      <c r="E41" s="250" t="s">
        <v>3499</v>
      </c>
      <c r="F41" s="250" t="s">
        <v>3566</v>
      </c>
      <c r="G41" t="s">
        <v>42</v>
      </c>
      <c r="H41" s="82" t="s">
        <v>42</v>
      </c>
      <c r="I41" s="530">
        <v>200101</v>
      </c>
      <c r="J41" s="425" t="str">
        <f>INDEX(aux!B:B,MATCH(I41,aux!A:A,0))</f>
        <v xml:space="preserve">Papel e Cartão </v>
      </c>
      <c r="K41" s="433" t="str">
        <f>INDEX(aux!C:C,MATCH(I41,aux!A:A,0))</f>
        <v>Não</v>
      </c>
      <c r="L41" s="661">
        <v>2.6</v>
      </c>
      <c r="M41" s="664" t="s">
        <v>1532</v>
      </c>
      <c r="N41" s="139">
        <f t="shared" si="1"/>
        <v>2600</v>
      </c>
      <c r="O41" s="527" t="s">
        <v>483</v>
      </c>
      <c r="P41" s="231" t="str">
        <f t="shared" si="2"/>
        <v>Reciclagem</v>
      </c>
      <c r="Q41" s="231" t="s">
        <v>1904</v>
      </c>
      <c r="R41" s="231" t="s">
        <v>6569</v>
      </c>
      <c r="S41" s="425" t="s">
        <v>485</v>
      </c>
      <c r="T41" s="425" t="s">
        <v>3177</v>
      </c>
      <c r="U41" s="425" t="s">
        <v>3187</v>
      </c>
      <c r="V41" s="425" t="s">
        <v>6319</v>
      </c>
    </row>
    <row r="42" spans="1:22" ht="15.75" thickBot="1" x14ac:dyDescent="0.3">
      <c r="A42" s="527" t="str">
        <f t="shared" si="3"/>
        <v>Barraqueiro Transportes, S.A. - Barraqueiro Alugueres</v>
      </c>
      <c r="B42" s="527" t="s">
        <v>45</v>
      </c>
      <c r="C42" s="82" t="s">
        <v>6571</v>
      </c>
      <c r="D42">
        <v>2023</v>
      </c>
      <c r="E42" s="250" t="s">
        <v>3499</v>
      </c>
      <c r="F42" s="250" t="s">
        <v>3566</v>
      </c>
      <c r="G42" t="s">
        <v>42</v>
      </c>
      <c r="H42" s="82" t="s">
        <v>42</v>
      </c>
      <c r="I42" s="530">
        <v>200101</v>
      </c>
      <c r="J42" s="425" t="str">
        <f>INDEX(aux!B:B,MATCH(I42,aux!A:A,0))</f>
        <v xml:space="preserve">Papel e Cartão </v>
      </c>
      <c r="K42" s="433" t="str">
        <f>INDEX(aux!C:C,MATCH(I42,aux!A:A,0))</f>
        <v>Não</v>
      </c>
      <c r="L42" s="661">
        <v>0.68</v>
      </c>
      <c r="M42" s="664" t="s">
        <v>1532</v>
      </c>
      <c r="N42" s="139">
        <f t="shared" si="1"/>
        <v>680</v>
      </c>
      <c r="O42" s="527" t="s">
        <v>483</v>
      </c>
      <c r="P42" s="231" t="str">
        <f t="shared" si="2"/>
        <v>Reciclagem</v>
      </c>
      <c r="Q42" s="231" t="s">
        <v>1904</v>
      </c>
      <c r="R42" s="231" t="s">
        <v>6569</v>
      </c>
      <c r="S42" s="425" t="s">
        <v>485</v>
      </c>
      <c r="T42" s="425" t="s">
        <v>3187</v>
      </c>
      <c r="U42" s="425" t="s">
        <v>3187</v>
      </c>
      <c r="V42" s="425" t="s">
        <v>6319</v>
      </c>
    </row>
    <row r="43" spans="1:22" ht="15.75" thickBot="1" x14ac:dyDescent="0.3">
      <c r="A43" s="527" t="str">
        <f t="shared" si="3"/>
        <v>Barraqueiro Transportes, S.A. - Barraqueiro Alugueres</v>
      </c>
      <c r="B43" s="527" t="s">
        <v>45</v>
      </c>
      <c r="C43" s="82" t="s">
        <v>6571</v>
      </c>
      <c r="D43">
        <v>2023</v>
      </c>
      <c r="E43" s="250" t="s">
        <v>3499</v>
      </c>
      <c r="F43" s="250" t="s">
        <v>3566</v>
      </c>
      <c r="G43" t="s">
        <v>42</v>
      </c>
      <c r="H43" s="82" t="s">
        <v>42</v>
      </c>
      <c r="I43" s="530">
        <v>150102</v>
      </c>
      <c r="J43" s="425" t="str">
        <f>INDEX(aux!B:B,MATCH(I43,aux!A:A,0))</f>
        <v>Embalagens de plástico</v>
      </c>
      <c r="K43" s="433" t="str">
        <f>INDEX(aux!C:C,MATCH(I43,aux!A:A,0))</f>
        <v>Não</v>
      </c>
      <c r="L43" s="661">
        <v>0.13600000000000001</v>
      </c>
      <c r="M43" s="664" t="s">
        <v>1532</v>
      </c>
      <c r="N43" s="139">
        <f t="shared" si="1"/>
        <v>136</v>
      </c>
      <c r="O43" s="527" t="s">
        <v>483</v>
      </c>
      <c r="P43" s="231" t="str">
        <f t="shared" si="2"/>
        <v>Reciclagem</v>
      </c>
      <c r="Q43" s="231" t="s">
        <v>1560</v>
      </c>
      <c r="R43" s="231" t="s">
        <v>6569</v>
      </c>
      <c r="S43" s="425" t="s">
        <v>485</v>
      </c>
      <c r="T43" s="425" t="s">
        <v>3177</v>
      </c>
      <c r="U43" s="425" t="s">
        <v>3177</v>
      </c>
      <c r="V43" s="425" t="s">
        <v>6319</v>
      </c>
    </row>
    <row r="44" spans="1:22" ht="15.75" thickBot="1" x14ac:dyDescent="0.3">
      <c r="A44" s="527" t="str">
        <f t="shared" si="3"/>
        <v>Barraqueiro Transportes, S.A. - Barraqueiro Alugueres</v>
      </c>
      <c r="B44" s="527" t="s">
        <v>45</v>
      </c>
      <c r="C44" s="82" t="s">
        <v>6571</v>
      </c>
      <c r="D44">
        <v>2023</v>
      </c>
      <c r="E44" s="250" t="s">
        <v>3499</v>
      </c>
      <c r="F44" s="250" t="s">
        <v>3566</v>
      </c>
      <c r="G44" t="s">
        <v>42</v>
      </c>
      <c r="H44" s="82" t="s">
        <v>42</v>
      </c>
      <c r="I44" s="530">
        <v>80117</v>
      </c>
      <c r="J44" s="425" t="str">
        <f>INDEX(aux!B:B,MATCH(I44,aux!A:A,0))</f>
        <v>(*) Resíduos de tintas e vernizes, contendo solventes orgânicos ou outras substâncias perigosas</v>
      </c>
      <c r="K44" s="433" t="str">
        <f>INDEX(aux!C:C,MATCH(I44,aux!A:A,0))</f>
        <v>Sim</v>
      </c>
      <c r="L44" s="661">
        <v>0.06</v>
      </c>
      <c r="M44" s="664" t="s">
        <v>1532</v>
      </c>
      <c r="N44" s="139">
        <f t="shared" si="1"/>
        <v>60</v>
      </c>
      <c r="O44" s="527" t="s">
        <v>509</v>
      </c>
      <c r="P44" s="231" t="str">
        <f t="shared" si="2"/>
        <v>Aterro</v>
      </c>
      <c r="Q44" s="231" t="s">
        <v>1901</v>
      </c>
      <c r="R44" s="231" t="s">
        <v>1892</v>
      </c>
      <c r="S44" s="425" t="s">
        <v>1556</v>
      </c>
      <c r="T44" s="425" t="s">
        <v>3177</v>
      </c>
      <c r="U44" s="425" t="s">
        <v>3177</v>
      </c>
      <c r="V44" s="425" t="s">
        <v>6319</v>
      </c>
    </row>
    <row r="45" spans="1:22" ht="15.75" thickBot="1" x14ac:dyDescent="0.3">
      <c r="A45" s="527" t="str">
        <f t="shared" si="3"/>
        <v>Barraqueiro Transportes, S.A. - Barraqueiro Alugueres</v>
      </c>
      <c r="B45" s="527" t="s">
        <v>45</v>
      </c>
      <c r="C45" s="82" t="s">
        <v>6571</v>
      </c>
      <c r="D45">
        <v>2023</v>
      </c>
      <c r="E45" s="250" t="s">
        <v>3499</v>
      </c>
      <c r="F45" s="250" t="s">
        <v>3566</v>
      </c>
      <c r="G45" t="s">
        <v>42</v>
      </c>
      <c r="H45" s="82" t="s">
        <v>42</v>
      </c>
      <c r="I45" s="530">
        <v>80317</v>
      </c>
      <c r="J45" s="425" t="str">
        <f>INDEX(aux!B:B,MATCH(I45,aux!A:A,0))</f>
        <v>(*) Resíduos de toner de impressão, contendo substâncias perigosas</v>
      </c>
      <c r="K45" s="433" t="str">
        <f>INDEX(aux!C:C,MATCH(I45,aux!A:A,0))</f>
        <v>Sim</v>
      </c>
      <c r="L45" s="661">
        <v>0.10299999999999999</v>
      </c>
      <c r="M45" s="664" t="s">
        <v>1532</v>
      </c>
      <c r="N45" s="139">
        <f t="shared" si="1"/>
        <v>103</v>
      </c>
      <c r="O45" s="527" t="s">
        <v>484</v>
      </c>
      <c r="P45" s="231" t="str">
        <f t="shared" si="2"/>
        <v>Reciclagem</v>
      </c>
      <c r="Q45" s="231" t="s">
        <v>1901</v>
      </c>
      <c r="R45" s="231" t="s">
        <v>1892</v>
      </c>
      <c r="S45" s="425" t="s">
        <v>1553</v>
      </c>
      <c r="T45" s="425" t="s">
        <v>3177</v>
      </c>
      <c r="U45" s="425" t="s">
        <v>3177</v>
      </c>
      <c r="V45" s="425" t="s">
        <v>6319</v>
      </c>
    </row>
    <row r="46" spans="1:22" ht="15.75" thickBot="1" x14ac:dyDescent="0.3">
      <c r="A46" s="527" t="str">
        <f t="shared" si="3"/>
        <v>Barraqueiro Transportes, S.A. - Barraqueiro Alugueres</v>
      </c>
      <c r="B46" s="527" t="s">
        <v>45</v>
      </c>
      <c r="C46" s="82" t="s">
        <v>6571</v>
      </c>
      <c r="D46">
        <v>2023</v>
      </c>
      <c r="E46" s="250" t="s">
        <v>3499</v>
      </c>
      <c r="F46" s="250" t="s">
        <v>3566</v>
      </c>
      <c r="G46" t="s">
        <v>42</v>
      </c>
      <c r="H46" s="82" t="s">
        <v>42</v>
      </c>
      <c r="I46" s="530">
        <v>120301</v>
      </c>
      <c r="J46" s="425" t="str">
        <f>INDEX(aux!B:B,MATCH(I46,aux!A:A,0))</f>
        <v>(*) Líquidos de lavagem aquosos</v>
      </c>
      <c r="K46" s="433" t="str">
        <f>INDEX(aux!C:C,MATCH(I46,aux!A:A,0))</f>
        <v>Sim</v>
      </c>
      <c r="L46" s="661">
        <v>0.2</v>
      </c>
      <c r="M46" s="664" t="s">
        <v>1532</v>
      </c>
      <c r="N46" s="139">
        <f t="shared" si="1"/>
        <v>200</v>
      </c>
      <c r="O46" s="527" t="s">
        <v>503</v>
      </c>
      <c r="P46" s="231" t="str">
        <f t="shared" si="2"/>
        <v>Aterro</v>
      </c>
      <c r="Q46" s="231" t="s">
        <v>1901</v>
      </c>
      <c r="R46" s="231" t="s">
        <v>1892</v>
      </c>
      <c r="S46" s="425" t="s">
        <v>518</v>
      </c>
      <c r="T46" s="425" t="s">
        <v>3177</v>
      </c>
      <c r="U46" s="425" t="s">
        <v>3177</v>
      </c>
      <c r="V46" s="425" t="s">
        <v>6319</v>
      </c>
    </row>
    <row r="47" spans="1:22" ht="15.75" thickBot="1" x14ac:dyDescent="0.3">
      <c r="A47" s="527" t="str">
        <f t="shared" si="3"/>
        <v>Barraqueiro Transportes, S.A. - Barraqueiro Alugueres</v>
      </c>
      <c r="B47" s="527" t="s">
        <v>45</v>
      </c>
      <c r="C47" s="82" t="s">
        <v>6571</v>
      </c>
      <c r="D47">
        <v>2023</v>
      </c>
      <c r="E47" s="250" t="s">
        <v>3499</v>
      </c>
      <c r="F47" s="250" t="s">
        <v>3566</v>
      </c>
      <c r="G47" t="s">
        <v>42</v>
      </c>
      <c r="H47" s="82" t="s">
        <v>42</v>
      </c>
      <c r="I47" s="530">
        <v>120301</v>
      </c>
      <c r="J47" s="425" t="str">
        <f>INDEX(aux!B:B,MATCH(I47,aux!A:A,0))</f>
        <v>(*) Líquidos de lavagem aquosos</v>
      </c>
      <c r="K47" s="433" t="str">
        <f>INDEX(aux!C:C,MATCH(I47,aux!A:A,0))</f>
        <v>Sim</v>
      </c>
      <c r="L47" s="661">
        <v>0.6</v>
      </c>
      <c r="M47" s="664" t="s">
        <v>1532</v>
      </c>
      <c r="N47" s="139">
        <f t="shared" si="1"/>
        <v>600</v>
      </c>
      <c r="O47" s="527" t="s">
        <v>483</v>
      </c>
      <c r="P47" s="231" t="str">
        <f t="shared" si="2"/>
        <v>Reciclagem</v>
      </c>
      <c r="Q47" s="231" t="s">
        <v>1901</v>
      </c>
      <c r="R47" s="231" t="s">
        <v>1892</v>
      </c>
      <c r="S47" s="425" t="s">
        <v>485</v>
      </c>
      <c r="T47" s="425" t="s">
        <v>3177</v>
      </c>
      <c r="U47" s="425" t="s">
        <v>3177</v>
      </c>
      <c r="V47" s="425" t="s">
        <v>6319</v>
      </c>
    </row>
    <row r="48" spans="1:22" ht="15.75" thickBot="1" x14ac:dyDescent="0.3">
      <c r="A48" s="527" t="str">
        <f t="shared" si="3"/>
        <v>Barraqueiro Transportes, S.A. - Barraqueiro Alugueres</v>
      </c>
      <c r="B48" s="527" t="s">
        <v>45</v>
      </c>
      <c r="C48" s="82" t="s">
        <v>6571</v>
      </c>
      <c r="D48">
        <v>2023</v>
      </c>
      <c r="E48" s="250" t="s">
        <v>3499</v>
      </c>
      <c r="F48" s="250" t="s">
        <v>3566</v>
      </c>
      <c r="G48" t="s">
        <v>42</v>
      </c>
      <c r="H48" s="82" t="s">
        <v>42</v>
      </c>
      <c r="I48" s="530">
        <v>160306</v>
      </c>
      <c r="J48" s="425" t="str">
        <f>INDEX(aux!B:B,MATCH(I48,aux!A:A,0))</f>
        <v>Resíduos orgânicos não abrangidos em 16 03 05</v>
      </c>
      <c r="K48" s="433" t="str">
        <f>INDEX(aux!C:C,MATCH(I48,aux!A:A,0))</f>
        <v>Não</v>
      </c>
      <c r="L48" s="661">
        <v>0.122</v>
      </c>
      <c r="M48" s="664" t="s">
        <v>1532</v>
      </c>
      <c r="N48" s="139">
        <f t="shared" si="1"/>
        <v>122</v>
      </c>
      <c r="O48" s="527" t="s">
        <v>483</v>
      </c>
      <c r="P48" s="231" t="str">
        <f t="shared" si="2"/>
        <v>Reciclagem</v>
      </c>
      <c r="Q48" s="231" t="s">
        <v>1901</v>
      </c>
      <c r="R48" s="231" t="s">
        <v>1892</v>
      </c>
      <c r="S48" s="425" t="s">
        <v>485</v>
      </c>
      <c r="T48" s="425" t="s">
        <v>3177</v>
      </c>
      <c r="U48" s="425" t="s">
        <v>3177</v>
      </c>
      <c r="V48" s="425" t="s">
        <v>6319</v>
      </c>
    </row>
    <row r="49" spans="1:22" ht="15.75" thickBot="1" x14ac:dyDescent="0.3">
      <c r="A49" s="527" t="str">
        <f t="shared" si="3"/>
        <v>Barraqueiro Transportes, S.A. - Barraqueiro Alugueres</v>
      </c>
      <c r="B49" s="527" t="s">
        <v>45</v>
      </c>
      <c r="C49" s="82" t="s">
        <v>6571</v>
      </c>
      <c r="D49">
        <v>2023</v>
      </c>
      <c r="E49" s="250" t="s">
        <v>3499</v>
      </c>
      <c r="F49" s="250" t="s">
        <v>3566</v>
      </c>
      <c r="G49" t="s">
        <v>42</v>
      </c>
      <c r="H49" s="82" t="s">
        <v>42</v>
      </c>
      <c r="I49" s="530">
        <v>200121</v>
      </c>
      <c r="J49" s="425" t="str">
        <f>INDEX(aux!B:B,MATCH(I49,aux!A:A,0))</f>
        <v>(*) Lâmpadas fluorescentes e outros resíduos contendo mercúrio</v>
      </c>
      <c r="K49" s="433" t="str">
        <f>INDEX(aux!C:C,MATCH(I49,aux!A:A,0))</f>
        <v>Sim</v>
      </c>
      <c r="L49" s="661">
        <v>4.9000000000000002E-2</v>
      </c>
      <c r="M49" s="664" t="s">
        <v>1532</v>
      </c>
      <c r="N49" s="139">
        <f t="shared" si="1"/>
        <v>49</v>
      </c>
      <c r="O49" s="527" t="s">
        <v>484</v>
      </c>
      <c r="P49" s="231" t="str">
        <f t="shared" si="2"/>
        <v>Reciclagem</v>
      </c>
      <c r="Q49" s="231" t="s">
        <v>1901</v>
      </c>
      <c r="R49" s="231" t="s">
        <v>1892</v>
      </c>
      <c r="S49" s="425" t="s">
        <v>1553</v>
      </c>
      <c r="T49" s="425" t="s">
        <v>3177</v>
      </c>
      <c r="U49" s="425" t="s">
        <v>3177</v>
      </c>
      <c r="V49" s="425" t="s">
        <v>6319</v>
      </c>
    </row>
    <row r="50" spans="1:22" ht="15.75" thickBot="1" x14ac:dyDescent="0.3">
      <c r="A50" s="527" t="str">
        <f t="shared" si="3"/>
        <v>Barraqueiro Transportes, S.A. - Barraqueiro Alugueres</v>
      </c>
      <c r="B50" s="527" t="s">
        <v>45</v>
      </c>
      <c r="C50" s="82" t="s">
        <v>6571</v>
      </c>
      <c r="D50">
        <v>2023</v>
      </c>
      <c r="E50" s="250" t="s">
        <v>3499</v>
      </c>
      <c r="F50" s="250" t="s">
        <v>3566</v>
      </c>
      <c r="G50" t="s">
        <v>42</v>
      </c>
      <c r="H50" s="82" t="s">
        <v>42</v>
      </c>
      <c r="I50" s="530">
        <v>130502</v>
      </c>
      <c r="J50" s="425" t="str">
        <f>INDEX(aux!B:B,MATCH(I50,aux!A:A,0))</f>
        <v>(*) Lamas provenientes dos separadores óleo/água</v>
      </c>
      <c r="K50" s="433" t="str">
        <f>INDEX(aux!C:C,MATCH(I50,aux!A:A,0))</f>
        <v>Sim</v>
      </c>
      <c r="L50" s="661">
        <v>10.64</v>
      </c>
      <c r="M50" s="664" t="s">
        <v>1532</v>
      </c>
      <c r="N50" s="139">
        <f t="shared" si="1"/>
        <v>10640</v>
      </c>
      <c r="O50" s="527" t="s">
        <v>503</v>
      </c>
      <c r="P50" s="231" t="str">
        <f t="shared" si="2"/>
        <v>Aterro</v>
      </c>
      <c r="Q50" s="231" t="s">
        <v>1901</v>
      </c>
      <c r="R50" s="231" t="s">
        <v>1892</v>
      </c>
      <c r="S50" s="425" t="s">
        <v>518</v>
      </c>
      <c r="T50" s="425" t="s">
        <v>6258</v>
      </c>
      <c r="U50" s="425" t="s">
        <v>6258</v>
      </c>
      <c r="V50" s="425" t="s">
        <v>6319</v>
      </c>
    </row>
    <row r="51" spans="1:22" ht="15.75" thickBot="1" x14ac:dyDescent="0.3">
      <c r="A51" s="527" t="str">
        <f t="shared" si="3"/>
        <v>Barraqueiro Transportes, S.A. - Barraqueiro Alugueres</v>
      </c>
      <c r="B51" s="527" t="s">
        <v>45</v>
      </c>
      <c r="C51" s="82" t="s">
        <v>6571</v>
      </c>
      <c r="D51">
        <v>2023</v>
      </c>
      <c r="E51" s="250" t="s">
        <v>3499</v>
      </c>
      <c r="F51" s="250" t="s">
        <v>3566</v>
      </c>
      <c r="G51" t="s">
        <v>42</v>
      </c>
      <c r="H51" s="82" t="s">
        <v>42</v>
      </c>
      <c r="I51" s="530">
        <v>160199</v>
      </c>
      <c r="J51" s="425" t="str">
        <f>INDEX(aux!B:B,MATCH(I51,aux!A:A,0))</f>
        <v>Resíduos sem outras especificações</v>
      </c>
      <c r="K51" s="433" t="str">
        <f>INDEX(aux!C:C,MATCH(I51,aux!A:A,0))</f>
        <v>Não</v>
      </c>
      <c r="L51" s="661">
        <v>0.85</v>
      </c>
      <c r="M51" s="664" t="s">
        <v>1532</v>
      </c>
      <c r="N51" s="139">
        <f t="shared" si="1"/>
        <v>850</v>
      </c>
      <c r="O51" s="527" t="s">
        <v>483</v>
      </c>
      <c r="P51" s="231" t="str">
        <f t="shared" si="2"/>
        <v>Reciclagem</v>
      </c>
      <c r="Q51" s="231" t="s">
        <v>1901</v>
      </c>
      <c r="R51" s="231" t="s">
        <v>1892</v>
      </c>
      <c r="S51" s="425" t="s">
        <v>485</v>
      </c>
      <c r="T51" s="425" t="s">
        <v>3177</v>
      </c>
      <c r="U51" s="425" t="s">
        <v>3177</v>
      </c>
      <c r="V51" s="425" t="s">
        <v>6319</v>
      </c>
    </row>
    <row r="52" spans="1:22" ht="15.75" thickBot="1" x14ac:dyDescent="0.3">
      <c r="A52" s="527" t="str">
        <f t="shared" si="3"/>
        <v>Barraqueiro Transportes, S.A. - Barraqueiro Alugueres</v>
      </c>
      <c r="B52" s="527" t="s">
        <v>45</v>
      </c>
      <c r="C52" s="82" t="s">
        <v>6571</v>
      </c>
      <c r="D52">
        <v>2023</v>
      </c>
      <c r="E52" s="250" t="s">
        <v>3499</v>
      </c>
      <c r="F52" s="250" t="s">
        <v>3566</v>
      </c>
      <c r="G52" t="s">
        <v>42</v>
      </c>
      <c r="H52" s="82" t="s">
        <v>42</v>
      </c>
      <c r="I52" s="530">
        <v>130507</v>
      </c>
      <c r="J52" s="425" t="str">
        <f>INDEX(aux!B:B,MATCH(I52,aux!A:A,0))</f>
        <v>(*) Água com óleo proveniente dos separadores óleo/água</v>
      </c>
      <c r="K52" s="433" t="str">
        <f>INDEX(aux!C:C,MATCH(I52,aux!A:A,0))</f>
        <v>Sim</v>
      </c>
      <c r="L52" s="661">
        <v>20.86</v>
      </c>
      <c r="M52" s="664" t="s">
        <v>1532</v>
      </c>
      <c r="N52" s="139">
        <f t="shared" si="1"/>
        <v>20860</v>
      </c>
      <c r="O52" s="527" t="s">
        <v>483</v>
      </c>
      <c r="P52" s="231" t="str">
        <f t="shared" si="2"/>
        <v>Reciclagem</v>
      </c>
      <c r="Q52" s="231" t="s">
        <v>1901</v>
      </c>
      <c r="R52" s="231" t="s">
        <v>1892</v>
      </c>
      <c r="S52" s="425" t="s">
        <v>485</v>
      </c>
      <c r="T52" s="425" t="s">
        <v>6258</v>
      </c>
      <c r="U52" s="425" t="s">
        <v>6258</v>
      </c>
      <c r="V52" s="425" t="s">
        <v>6319</v>
      </c>
    </row>
    <row r="53" spans="1:22" ht="15.75" thickBot="1" x14ac:dyDescent="0.3">
      <c r="A53" s="527" t="str">
        <f t="shared" si="3"/>
        <v>Barraqueiro Transportes, S.A. - Barraqueiro Alugueres</v>
      </c>
      <c r="B53" s="527" t="s">
        <v>45</v>
      </c>
      <c r="C53" s="82" t="s">
        <v>6571</v>
      </c>
      <c r="D53">
        <v>2023</v>
      </c>
      <c r="E53" s="250" t="s">
        <v>3499</v>
      </c>
      <c r="F53" s="250" t="s">
        <v>3566</v>
      </c>
      <c r="G53" t="s">
        <v>42</v>
      </c>
      <c r="H53" s="82" t="s">
        <v>42</v>
      </c>
      <c r="I53" s="530">
        <v>150110</v>
      </c>
      <c r="J53" s="425" t="str">
        <f>INDEX(aux!B:B,MATCH(I53,aux!A:A,0))</f>
        <v>(*) Embalagens contendo ou contaminadas por resíduos de substâncias perigosas</v>
      </c>
      <c r="K53" s="433" t="str">
        <f>INDEX(aux!C:C,MATCH(I53,aux!A:A,0))</f>
        <v>Sim</v>
      </c>
      <c r="L53" s="661">
        <v>0.36</v>
      </c>
      <c r="M53" s="664" t="s">
        <v>1532</v>
      </c>
      <c r="N53" s="139">
        <f t="shared" si="1"/>
        <v>360</v>
      </c>
      <c r="O53" s="527" t="s">
        <v>484</v>
      </c>
      <c r="P53" s="231" t="str">
        <f t="shared" si="2"/>
        <v>Reciclagem</v>
      </c>
      <c r="Q53" s="231" t="s">
        <v>1901</v>
      </c>
      <c r="R53" s="231" t="s">
        <v>1892</v>
      </c>
      <c r="S53" s="425" t="s">
        <v>1553</v>
      </c>
      <c r="T53" s="425" t="s">
        <v>3177</v>
      </c>
      <c r="U53" s="425" t="s">
        <v>3177</v>
      </c>
      <c r="V53" s="425" t="s">
        <v>6319</v>
      </c>
    </row>
    <row r="54" spans="1:22" ht="15.75" thickBot="1" x14ac:dyDescent="0.3">
      <c r="A54" s="527" t="str">
        <f t="shared" si="3"/>
        <v>Barraqueiro Transportes, S.A. - Barraqueiro Alugueres</v>
      </c>
      <c r="B54" s="527" t="s">
        <v>45</v>
      </c>
      <c r="C54" s="82" t="s">
        <v>6571</v>
      </c>
      <c r="D54">
        <v>2023</v>
      </c>
      <c r="E54" s="250" t="s">
        <v>3499</v>
      </c>
      <c r="F54" s="250" t="s">
        <v>3566</v>
      </c>
      <c r="G54" t="s">
        <v>42</v>
      </c>
      <c r="H54" s="82" t="s">
        <v>42</v>
      </c>
      <c r="I54" s="530">
        <v>150203</v>
      </c>
      <c r="J54" s="425" t="str">
        <f>INDEX(aux!B:B,MATCH(I54,aux!A:A,0))</f>
        <v>Absorventes, materiais filtrantes, panos de limpeza e vestuário de proteção não abrangidos em 15 02 02</v>
      </c>
      <c r="K54" s="433" t="str">
        <f>INDEX(aux!C:C,MATCH(I54,aux!A:A,0))</f>
        <v>Não</v>
      </c>
      <c r="L54" s="661">
        <v>1.2</v>
      </c>
      <c r="M54" s="664" t="s">
        <v>1532</v>
      </c>
      <c r="N54" s="139">
        <f t="shared" si="1"/>
        <v>1200</v>
      </c>
      <c r="O54" s="527" t="s">
        <v>483</v>
      </c>
      <c r="P54" s="231" t="str">
        <f t="shared" si="2"/>
        <v>Reciclagem</v>
      </c>
      <c r="Q54" s="231" t="s">
        <v>1901</v>
      </c>
      <c r="R54" s="231" t="s">
        <v>1892</v>
      </c>
      <c r="S54" s="425" t="s">
        <v>485</v>
      </c>
      <c r="T54" s="425" t="s">
        <v>3177</v>
      </c>
      <c r="U54" s="425" t="s">
        <v>3177</v>
      </c>
      <c r="V54" s="425" t="s">
        <v>6319</v>
      </c>
    </row>
    <row r="55" spans="1:22" ht="15.75" thickBot="1" x14ac:dyDescent="0.3">
      <c r="A55" s="527" t="str">
        <f t="shared" si="3"/>
        <v>Barraqueiro Transportes, S.A. - Barraqueiro Alugueres</v>
      </c>
      <c r="B55" s="527" t="s">
        <v>45</v>
      </c>
      <c r="C55" s="82" t="s">
        <v>6571</v>
      </c>
      <c r="D55">
        <v>2023</v>
      </c>
      <c r="E55" s="250" t="s">
        <v>3499</v>
      </c>
      <c r="F55" s="250" t="s">
        <v>3566</v>
      </c>
      <c r="G55" t="s">
        <v>42</v>
      </c>
      <c r="H55" s="82" t="s">
        <v>42</v>
      </c>
      <c r="I55" s="530">
        <v>150202</v>
      </c>
      <c r="J55" s="425" t="str">
        <f>INDEX(aux!B:B,MATCH(I55,aux!A:A,0))</f>
        <v>(*) Absorventes, materiais filtrantes (incluindo filtros de óleo sem outras especificações), panos de limpeza e vestuário de proteção, contaminados por substâncias perigosas</v>
      </c>
      <c r="K55" s="433" t="str">
        <f>INDEX(aux!C:C,MATCH(I55,aux!A:A,0))</f>
        <v>Sim</v>
      </c>
      <c r="L55" s="661">
        <v>5.04</v>
      </c>
      <c r="M55" s="664" t="s">
        <v>1532</v>
      </c>
      <c r="N55" s="139">
        <f t="shared" si="1"/>
        <v>5040</v>
      </c>
      <c r="O55" s="527" t="s">
        <v>484</v>
      </c>
      <c r="P55" s="231" t="str">
        <f t="shared" si="2"/>
        <v>Reciclagem</v>
      </c>
      <c r="Q55" s="231" t="s">
        <v>1901</v>
      </c>
      <c r="R55" s="231" t="s">
        <v>1892</v>
      </c>
      <c r="S55" s="425" t="s">
        <v>1553</v>
      </c>
      <c r="T55" s="425" t="s">
        <v>3177</v>
      </c>
      <c r="U55" s="425" t="s">
        <v>3177</v>
      </c>
      <c r="V55" s="425" t="s">
        <v>6319</v>
      </c>
    </row>
    <row r="56" spans="1:22" ht="15.75" thickBot="1" x14ac:dyDescent="0.3">
      <c r="A56" s="527" t="str">
        <f t="shared" si="3"/>
        <v>Barraqueiro Transportes, S.A. - Barraqueiro Alugueres</v>
      </c>
      <c r="B56" s="527" t="s">
        <v>45</v>
      </c>
      <c r="C56" s="82" t="s">
        <v>6571</v>
      </c>
      <c r="D56">
        <v>2023</v>
      </c>
      <c r="E56" s="250" t="s">
        <v>3499</v>
      </c>
      <c r="F56" s="250" t="s">
        <v>3566</v>
      </c>
      <c r="G56" t="s">
        <v>42</v>
      </c>
      <c r="H56" s="82" t="s">
        <v>42</v>
      </c>
      <c r="I56" s="530">
        <v>160107</v>
      </c>
      <c r="J56" s="425" t="str">
        <f>INDEX(aux!B:B,MATCH(I56,aux!A:A,0))</f>
        <v>(*) Filtros de óleo</v>
      </c>
      <c r="K56" s="433" t="str">
        <f>INDEX(aux!C:C,MATCH(I56,aux!A:A,0))</f>
        <v>Sim</v>
      </c>
      <c r="L56" s="661">
        <v>0.104</v>
      </c>
      <c r="M56" s="664" t="s">
        <v>1532</v>
      </c>
      <c r="N56" s="139">
        <f t="shared" si="1"/>
        <v>104</v>
      </c>
      <c r="O56" s="527" t="s">
        <v>484</v>
      </c>
      <c r="P56" s="231" t="str">
        <f t="shared" si="2"/>
        <v>Reciclagem</v>
      </c>
      <c r="Q56" s="231" t="s">
        <v>1901</v>
      </c>
      <c r="R56" s="231" t="s">
        <v>1892</v>
      </c>
      <c r="S56" s="425" t="s">
        <v>1553</v>
      </c>
      <c r="T56" s="425" t="s">
        <v>3177</v>
      </c>
      <c r="U56" s="425" t="s">
        <v>3177</v>
      </c>
      <c r="V56" s="425" t="s">
        <v>6319</v>
      </c>
    </row>
    <row r="57" spans="1:22" ht="15.75" thickBot="1" x14ac:dyDescent="0.3">
      <c r="A57" s="527" t="str">
        <f t="shared" si="3"/>
        <v>Barraqueiro Transportes, S.A. - Barraqueiro Alugueres</v>
      </c>
      <c r="B57" s="527" t="s">
        <v>45</v>
      </c>
      <c r="C57" s="82" t="s">
        <v>6571</v>
      </c>
      <c r="D57">
        <v>2023</v>
      </c>
      <c r="E57" s="250" t="s">
        <v>3499</v>
      </c>
      <c r="F57" s="250" t="s">
        <v>3566</v>
      </c>
      <c r="G57" t="s">
        <v>42</v>
      </c>
      <c r="H57" s="82" t="s">
        <v>42</v>
      </c>
      <c r="I57" s="530">
        <v>200125</v>
      </c>
      <c r="J57" s="425" t="str">
        <f>INDEX(aux!B:B,MATCH(I57,aux!A:A,0))</f>
        <v>Óleos e gorduras alimentares</v>
      </c>
      <c r="K57" s="433" t="str">
        <f>INDEX(aux!C:C,MATCH(I57,aux!A:A,0))</f>
        <v>Não</v>
      </c>
      <c r="L57" s="661">
        <v>0.05</v>
      </c>
      <c r="M57" s="664" t="s">
        <v>1532</v>
      </c>
      <c r="N57" s="139">
        <f t="shared" si="1"/>
        <v>50</v>
      </c>
      <c r="O57" s="527" t="s">
        <v>483</v>
      </c>
      <c r="P57" s="231" t="str">
        <f t="shared" si="2"/>
        <v>Reciclagem</v>
      </c>
      <c r="Q57" s="231" t="s">
        <v>1908</v>
      </c>
      <c r="R57" s="231" t="s">
        <v>1877</v>
      </c>
      <c r="S57" s="425" t="s">
        <v>485</v>
      </c>
      <c r="T57" s="425" t="s">
        <v>6315</v>
      </c>
      <c r="U57" s="425" t="s">
        <v>6316</v>
      </c>
      <c r="V57" s="425" t="s">
        <v>6319</v>
      </c>
    </row>
    <row r="58" spans="1:22" ht="15.75" thickBot="1" x14ac:dyDescent="0.3">
      <c r="A58" s="527" t="str">
        <f t="shared" si="3"/>
        <v>Barraqueiro Transportes, S.A. - Barraqueiro Alugueres</v>
      </c>
      <c r="B58" s="527" t="s">
        <v>45</v>
      </c>
      <c r="C58" s="82" t="s">
        <v>6571</v>
      </c>
      <c r="D58">
        <v>2023</v>
      </c>
      <c r="E58" s="250" t="s">
        <v>3499</v>
      </c>
      <c r="F58" s="250" t="s">
        <v>3566</v>
      </c>
      <c r="G58" t="s">
        <v>42</v>
      </c>
      <c r="H58" s="82" t="s">
        <v>42</v>
      </c>
      <c r="I58" s="530">
        <v>200301</v>
      </c>
      <c r="J58" s="425" t="str">
        <f>INDEX(aux!B:B,MATCH(I58,aux!A:A,0))</f>
        <v>Misturas de resíduos urbanos equiparados</v>
      </c>
      <c r="K58" s="433" t="str">
        <f>INDEX(aux!C:C,MATCH(I58,aux!A:A,0))</f>
        <v>Não</v>
      </c>
      <c r="L58" s="661">
        <v>14.71</v>
      </c>
      <c r="M58" s="664" t="s">
        <v>1532</v>
      </c>
      <c r="N58" s="139">
        <f t="shared" si="1"/>
        <v>14710</v>
      </c>
      <c r="O58" s="527" t="s">
        <v>483</v>
      </c>
      <c r="P58" s="231" t="str">
        <f t="shared" si="2"/>
        <v>Reciclagem</v>
      </c>
      <c r="Q58" s="231" t="s">
        <v>1908</v>
      </c>
      <c r="R58" s="231" t="s">
        <v>1877</v>
      </c>
      <c r="S58" s="425" t="s">
        <v>485</v>
      </c>
      <c r="T58" s="425" t="s">
        <v>3177</v>
      </c>
      <c r="U58" s="425" t="s">
        <v>3187</v>
      </c>
      <c r="V58" s="425" t="s">
        <v>6319</v>
      </c>
    </row>
    <row r="59" spans="1:22" ht="15.75" thickBot="1" x14ac:dyDescent="0.3">
      <c r="A59" s="527" t="str">
        <f t="shared" si="3"/>
        <v>Barraqueiro Transportes, S.A. - Barraqueiro Alugueres</v>
      </c>
      <c r="B59" s="527" t="s">
        <v>45</v>
      </c>
      <c r="C59" s="82" t="s">
        <v>6571</v>
      </c>
      <c r="D59">
        <v>2023</v>
      </c>
      <c r="E59" s="250" t="s">
        <v>3499</v>
      </c>
      <c r="F59" s="250" t="s">
        <v>3566</v>
      </c>
      <c r="G59" t="s">
        <v>42</v>
      </c>
      <c r="H59" s="82" t="s">
        <v>42</v>
      </c>
      <c r="I59" s="530">
        <v>200301</v>
      </c>
      <c r="J59" s="425" t="str">
        <f>INDEX(aux!B:B,MATCH(I59,aux!A:A,0))</f>
        <v>Misturas de resíduos urbanos equiparados</v>
      </c>
      <c r="K59" s="433" t="str">
        <f>INDEX(aux!C:C,MATCH(I59,aux!A:A,0))</f>
        <v>Não</v>
      </c>
      <c r="L59" s="661">
        <v>1.18</v>
      </c>
      <c r="M59" s="664" t="s">
        <v>1532</v>
      </c>
      <c r="N59" s="139">
        <f t="shared" si="1"/>
        <v>1180</v>
      </c>
      <c r="O59" s="527" t="s">
        <v>509</v>
      </c>
      <c r="P59" s="231" t="str">
        <f t="shared" si="2"/>
        <v>Aterro</v>
      </c>
      <c r="Q59" s="231" t="s">
        <v>1908</v>
      </c>
      <c r="R59" s="231" t="s">
        <v>1877</v>
      </c>
      <c r="S59" s="425" t="s">
        <v>1556</v>
      </c>
      <c r="T59" s="425" t="s">
        <v>3187</v>
      </c>
      <c r="U59" s="425" t="s">
        <v>3187</v>
      </c>
      <c r="V59" s="425" t="s">
        <v>6319</v>
      </c>
    </row>
    <row r="60" spans="1:22" ht="15.75" thickBot="1" x14ac:dyDescent="0.3">
      <c r="A60" s="527" t="str">
        <f t="shared" si="3"/>
        <v>Barraqueiro Transportes, S.A. - Barraqueiro Alugueres</v>
      </c>
      <c r="B60" s="527" t="s">
        <v>45</v>
      </c>
      <c r="C60" s="82" t="s">
        <v>6571</v>
      </c>
      <c r="D60">
        <v>2023</v>
      </c>
      <c r="E60" s="250" t="s">
        <v>3499</v>
      </c>
      <c r="F60" s="250" t="s">
        <v>3566</v>
      </c>
      <c r="G60" t="s">
        <v>42</v>
      </c>
      <c r="H60" s="82" t="s">
        <v>42</v>
      </c>
      <c r="I60" s="530">
        <v>160104</v>
      </c>
      <c r="J60" s="425" t="str">
        <f>INDEX(aux!B:B,MATCH(I60,aux!A:A,0))</f>
        <v>Veículos em fim de vida</v>
      </c>
      <c r="K60" s="433" t="str">
        <f>INDEX(aux!C:C,MATCH(I60,aux!A:A,0))</f>
        <v>Sim</v>
      </c>
      <c r="L60" s="661">
        <v>64.28</v>
      </c>
      <c r="M60" s="664" t="s">
        <v>1532</v>
      </c>
      <c r="N60" s="139">
        <f t="shared" si="1"/>
        <v>64280</v>
      </c>
      <c r="O60" s="527" t="s">
        <v>484</v>
      </c>
      <c r="P60" s="231" t="str">
        <f t="shared" si="2"/>
        <v>Reciclagem</v>
      </c>
      <c r="Q60" s="231" t="s">
        <v>1907</v>
      </c>
      <c r="R60" s="231" t="s">
        <v>6569</v>
      </c>
      <c r="S60" s="425" t="s">
        <v>1553</v>
      </c>
      <c r="T60" s="425" t="s">
        <v>6304</v>
      </c>
      <c r="U60" s="425" t="s">
        <v>6320</v>
      </c>
      <c r="V60" s="425" t="s">
        <v>6319</v>
      </c>
    </row>
    <row r="61" spans="1:22" ht="15.75" thickBot="1" x14ac:dyDescent="0.3">
      <c r="A61" s="527" t="str">
        <f>B61&amp;" - "&amp;C61</f>
        <v>Barraqueiro Transportes, S.A. - Barraqueiro Alugueres</v>
      </c>
      <c r="B61" s="527" t="s">
        <v>45</v>
      </c>
      <c r="C61" s="82" t="s">
        <v>6571</v>
      </c>
      <c r="D61">
        <v>2023</v>
      </c>
      <c r="E61" s="250" t="s">
        <v>3499</v>
      </c>
      <c r="F61" s="250" t="s">
        <v>3566</v>
      </c>
      <c r="G61" t="s">
        <v>42</v>
      </c>
      <c r="H61" s="82" t="s">
        <v>42</v>
      </c>
      <c r="I61" s="530">
        <v>160120</v>
      </c>
      <c r="J61" s="425" t="str">
        <f>INDEX(aux!B:B,MATCH(I61,aux!A:A,0))</f>
        <v>Vidro</v>
      </c>
      <c r="K61" s="433" t="str">
        <f>INDEX(aux!C:C,MATCH(I61,aux!A:A,0))</f>
        <v>Não</v>
      </c>
      <c r="L61" s="661">
        <v>6.98</v>
      </c>
      <c r="M61" s="664" t="s">
        <v>1532</v>
      </c>
      <c r="N61" s="139">
        <f t="shared" si="1"/>
        <v>6980</v>
      </c>
      <c r="O61" s="527" t="s">
        <v>483</v>
      </c>
      <c r="P61" s="231" t="str">
        <f t="shared" si="2"/>
        <v>Reciclagem</v>
      </c>
      <c r="Q61" s="231" t="s">
        <v>1561</v>
      </c>
      <c r="R61" s="231" t="s">
        <v>6569</v>
      </c>
      <c r="S61" s="425" t="s">
        <v>485</v>
      </c>
      <c r="T61" s="425" t="s">
        <v>3177</v>
      </c>
      <c r="U61" s="425" t="s">
        <v>3187</v>
      </c>
      <c r="V61" s="425" t="s">
        <v>6319</v>
      </c>
    </row>
    <row r="62" spans="1:22" ht="15.75" hidden="1" thickBot="1" x14ac:dyDescent="0.3">
      <c r="A62" s="114" t="s">
        <v>3278</v>
      </c>
      <c r="B62" s="424" t="s">
        <v>45</v>
      </c>
      <c r="C62" s="82" t="str">
        <f t="shared" ref="C62:C93" si="4">IF(A62=B62,"X",RIGHT(A62,LEN(A62)-LEN(B62)-3))</f>
        <v>Barraqueiro Alugueres</v>
      </c>
      <c r="D62">
        <v>2022</v>
      </c>
      <c r="E62" s="250" t="s">
        <v>3499</v>
      </c>
      <c r="F62" s="250" t="s">
        <v>3566</v>
      </c>
      <c r="G62" t="s">
        <v>42</v>
      </c>
      <c r="H62" s="82" t="s">
        <v>34</v>
      </c>
      <c r="I62" s="525">
        <v>160601</v>
      </c>
      <c r="J62" s="425" t="str">
        <f>INDEX(aux!B:B,MATCH(I62,aux!A:A,0))</f>
        <v>(*) Acumuladores de chumbo</v>
      </c>
      <c r="K62" s="433" t="str">
        <f>INDEX(aux!C:C,MATCH(I62,aux!A:A,0))</f>
        <v>Sim</v>
      </c>
      <c r="L62" s="298">
        <v>9.1</v>
      </c>
      <c r="M62" s="138" t="s">
        <v>1532</v>
      </c>
      <c r="N62" s="139">
        <f t="shared" si="1"/>
        <v>9100</v>
      </c>
      <c r="O62" s="138" t="s">
        <v>484</v>
      </c>
      <c r="P62" s="231" t="str">
        <f t="shared" si="2"/>
        <v>Reciclagem</v>
      </c>
      <c r="Q62" s="231" t="s">
        <v>1653</v>
      </c>
      <c r="R62" s="231" t="s">
        <v>1877</v>
      </c>
      <c r="S62" s="114" t="str">
        <f>IFERROR(INDEX(Tabela3[Tipos de Tratamento],MATCH('A3.9.1 copy'!O143,Tabela3[Código],0)),"")</f>
        <v>Acumulação de resíduos destinados a uma das operações enumeradas de R1 a R12</v>
      </c>
      <c r="T62" s="114" t="s">
        <v>1558</v>
      </c>
      <c r="U62" s="114" t="s">
        <v>1559</v>
      </c>
      <c r="V62" s="115"/>
    </row>
    <row r="63" spans="1:22" ht="15.75" hidden="1" thickBot="1" x14ac:dyDescent="0.3">
      <c r="A63" s="114" t="s">
        <v>3278</v>
      </c>
      <c r="B63" s="424" t="s">
        <v>45</v>
      </c>
      <c r="C63" s="82" t="str">
        <f t="shared" si="4"/>
        <v>Barraqueiro Alugueres</v>
      </c>
      <c r="D63">
        <v>2022</v>
      </c>
      <c r="E63" s="250" t="s">
        <v>3499</v>
      </c>
      <c r="F63" s="250" t="s">
        <v>3566</v>
      </c>
      <c r="G63" t="s">
        <v>42</v>
      </c>
      <c r="H63" s="82" t="s">
        <v>34</v>
      </c>
      <c r="I63" s="525">
        <v>200136</v>
      </c>
      <c r="J63" s="425" t="str">
        <f>INDEX(aux!B:B,MATCH(I63,aux!A:A,0))</f>
        <v>Equipamento elétrico e eletrónico fora de uso não abrangido em 20 01 21, 20 01 23 ou 20 01 35</v>
      </c>
      <c r="K63" s="433" t="str">
        <f>INDEX(aux!C:C,MATCH(I63,aux!A:A,0))</f>
        <v>Não</v>
      </c>
      <c r="L63" s="298">
        <v>0.40300000000000002</v>
      </c>
      <c r="M63" s="138" t="s">
        <v>1532</v>
      </c>
      <c r="N63" s="139">
        <f t="shared" si="1"/>
        <v>403</v>
      </c>
      <c r="O63" s="138" t="s">
        <v>483</v>
      </c>
      <c r="P63" s="231" t="str">
        <f t="shared" si="2"/>
        <v>Reciclagem</v>
      </c>
      <c r="Q63" s="231" t="s">
        <v>1909</v>
      </c>
      <c r="R63" s="231" t="s">
        <v>1877</v>
      </c>
      <c r="S63" s="114" t="str">
        <f>IFERROR(INDEX(Tabela3[Tipos de Tratamento],MATCH('A3.9.1 copy'!O148,Tabela3[Código],0)),"")</f>
        <v>Acumulação de resíduos destinados a uma das operações enumeradas de R1 a R12</v>
      </c>
      <c r="T63" s="114" t="s">
        <v>1538</v>
      </c>
      <c r="U63" s="114" t="s">
        <v>1539</v>
      </c>
      <c r="V63" s="115"/>
    </row>
    <row r="64" spans="1:22" ht="15.75" hidden="1" thickBot="1" x14ac:dyDescent="0.3">
      <c r="A64" s="114" t="s">
        <v>3278</v>
      </c>
      <c r="B64" s="424" t="s">
        <v>45</v>
      </c>
      <c r="C64" s="82" t="str">
        <f t="shared" si="4"/>
        <v>Barraqueiro Alugueres</v>
      </c>
      <c r="D64">
        <v>2022</v>
      </c>
      <c r="E64" s="250" t="s">
        <v>3499</v>
      </c>
      <c r="F64" s="250" t="s">
        <v>3566</v>
      </c>
      <c r="G64" t="s">
        <v>42</v>
      </c>
      <c r="H64" s="82" t="s">
        <v>34</v>
      </c>
      <c r="I64" s="525">
        <v>150103</v>
      </c>
      <c r="J64" s="425" t="str">
        <f>INDEX(aux!B:B,MATCH(I64,aux!A:A,0))</f>
        <v>Embalagens de madeira</v>
      </c>
      <c r="K64" s="433" t="str">
        <f>INDEX(aux!C:C,MATCH(I64,aux!A:A,0))</f>
        <v>Não</v>
      </c>
      <c r="L64" s="298">
        <v>2.3199999999999998</v>
      </c>
      <c r="M64" s="138" t="s">
        <v>1532</v>
      </c>
      <c r="N64" s="139">
        <f t="shared" si="1"/>
        <v>2320</v>
      </c>
      <c r="O64" s="138" t="s">
        <v>483</v>
      </c>
      <c r="P64" s="231" t="str">
        <f t="shared" si="2"/>
        <v>Reciclagem</v>
      </c>
      <c r="Q64" s="231" t="s">
        <v>1905</v>
      </c>
      <c r="R64" s="231" t="s">
        <v>1903</v>
      </c>
      <c r="S64" s="114" t="str">
        <f>IFERROR(INDEX(Tabela3[Tipos de Tratamento],MATCH('A3.9.1 copy'!O132,Tabela3[Código],0)),"")</f>
        <v>Acumulação de resíduos destinados a uma das operações enumeradas de R1 a R12</v>
      </c>
      <c r="T64" s="114" t="s">
        <v>1538</v>
      </c>
      <c r="U64" s="114" t="s">
        <v>1603</v>
      </c>
      <c r="V64" s="115"/>
    </row>
    <row r="65" spans="1:22" ht="15.75" hidden="1" thickBot="1" x14ac:dyDescent="0.3">
      <c r="A65" s="114" t="s">
        <v>3278</v>
      </c>
      <c r="B65" s="424" t="s">
        <v>45</v>
      </c>
      <c r="C65" s="82" t="str">
        <f t="shared" si="4"/>
        <v>Barraqueiro Alugueres</v>
      </c>
      <c r="D65">
        <v>2022</v>
      </c>
      <c r="E65" s="250" t="s">
        <v>3499</v>
      </c>
      <c r="F65" s="250" t="s">
        <v>3566</v>
      </c>
      <c r="G65" t="s">
        <v>42</v>
      </c>
      <c r="H65" s="82" t="s">
        <v>34</v>
      </c>
      <c r="I65" s="525">
        <v>160112</v>
      </c>
      <c r="J65" s="425" t="str">
        <f>INDEX(aux!B:B,MATCH(I65,aux!A:A,0))</f>
        <v>Pastilhas de travões não abrangidas em 16 01 11</v>
      </c>
      <c r="K65" s="433" t="str">
        <f>INDEX(aux!C:C,MATCH(I65,aux!A:A,0))</f>
        <v>Não</v>
      </c>
      <c r="L65" s="298">
        <v>0.81</v>
      </c>
      <c r="M65" s="138" t="s">
        <v>1532</v>
      </c>
      <c r="N65" s="139">
        <f t="shared" si="1"/>
        <v>810</v>
      </c>
      <c r="O65" s="138" t="s">
        <v>483</v>
      </c>
      <c r="P65" s="231" t="str">
        <f t="shared" si="2"/>
        <v>Reciclagem</v>
      </c>
      <c r="Q65" s="231" t="s">
        <v>1557</v>
      </c>
      <c r="R65" s="231" t="s">
        <v>1903</v>
      </c>
      <c r="S65" s="114" t="str">
        <f>IFERROR(INDEX(Tabela3[Tipos de Tratamento],MATCH('A3.9.1 copy'!O139,Tabela3[Código],0)),"")</f>
        <v xml:space="preserve">Troca de resíduos com vista a submetê-los a uma das operações enumeradas de R 1 a R 11 </v>
      </c>
      <c r="T65" s="114" t="s">
        <v>1538</v>
      </c>
      <c r="U65" s="114" t="s">
        <v>1539</v>
      </c>
      <c r="V65" s="115"/>
    </row>
    <row r="66" spans="1:22" ht="15.75" hidden="1" thickBot="1" x14ac:dyDescent="0.3">
      <c r="A66" s="114" t="s">
        <v>3278</v>
      </c>
      <c r="B66" s="424" t="s">
        <v>45</v>
      </c>
      <c r="C66" s="82" t="str">
        <f t="shared" si="4"/>
        <v>Barraqueiro Alugueres</v>
      </c>
      <c r="D66">
        <v>2022</v>
      </c>
      <c r="E66" s="250" t="s">
        <v>3499</v>
      </c>
      <c r="F66" s="250" t="s">
        <v>3566</v>
      </c>
      <c r="G66" t="s">
        <v>42</v>
      </c>
      <c r="H66" s="82" t="s">
        <v>34</v>
      </c>
      <c r="I66" s="525">
        <v>160117</v>
      </c>
      <c r="J66" s="425" t="str">
        <f>INDEX(aux!B:B,MATCH(I66,aux!A:A,0))</f>
        <v>Metais ferrosos</v>
      </c>
      <c r="K66" s="433" t="str">
        <f>INDEX(aux!C:C,MATCH(I66,aux!A:A,0))</f>
        <v>Não</v>
      </c>
      <c r="L66" s="298">
        <v>3.12</v>
      </c>
      <c r="M66" s="138" t="s">
        <v>1532</v>
      </c>
      <c r="N66" s="139">
        <f t="shared" si="1"/>
        <v>3120</v>
      </c>
      <c r="O66" s="138" t="s">
        <v>483</v>
      </c>
      <c r="P66" s="231" t="str">
        <f t="shared" si="2"/>
        <v>Reciclagem</v>
      </c>
      <c r="Q66" s="231" t="s">
        <v>1557</v>
      </c>
      <c r="R66" s="231" t="s">
        <v>1903</v>
      </c>
      <c r="S66" s="114" t="str">
        <f>IFERROR(INDEX(Tabela3[Tipos de Tratamento],MATCH('A3.9.1 copy'!O140,Tabela3[Código],0)),"")</f>
        <v xml:space="preserve">Regeneração de óleos e outras reutilizações de óleos </v>
      </c>
      <c r="T66" s="114" t="s">
        <v>1558</v>
      </c>
      <c r="U66" s="114" t="s">
        <v>1559</v>
      </c>
      <c r="V66" s="115"/>
    </row>
    <row r="67" spans="1:22" ht="15.75" hidden="1" thickBot="1" x14ac:dyDescent="0.3">
      <c r="A67" s="114" t="s">
        <v>3278</v>
      </c>
      <c r="B67" s="424" t="s">
        <v>45</v>
      </c>
      <c r="C67" s="82" t="str">
        <f t="shared" si="4"/>
        <v>Barraqueiro Alugueres</v>
      </c>
      <c r="D67">
        <v>2022</v>
      </c>
      <c r="E67" s="250" t="s">
        <v>3499</v>
      </c>
      <c r="F67" s="250" t="s">
        <v>3566</v>
      </c>
      <c r="G67" t="s">
        <v>42</v>
      </c>
      <c r="H67" s="82" t="s">
        <v>34</v>
      </c>
      <c r="I67" s="525">
        <v>150104</v>
      </c>
      <c r="J67" s="425" t="str">
        <f>INDEX(aux!B:B,MATCH(I67,aux!A:A,0))</f>
        <v>Embalagens de metal</v>
      </c>
      <c r="K67" s="433" t="str">
        <f>INDEX(aux!C:C,MATCH(I67,aux!A:A,0))</f>
        <v>Não</v>
      </c>
      <c r="L67" s="298">
        <v>0.69</v>
      </c>
      <c r="M67" s="138" t="s">
        <v>1532</v>
      </c>
      <c r="N67" s="139">
        <f t="shared" ref="N67:N130" si="5">IF(LEFT(M67,3)="ton",1000*L67,L67)</f>
        <v>690</v>
      </c>
      <c r="O67" s="138" t="s">
        <v>483</v>
      </c>
      <c r="P67" s="231" t="str">
        <f t="shared" ref="P67:P130" si="6">IF(LEFT(O67,1)="R","Reciclagem",IF(OR(O67="D10",O67="D11"),"Iceneração","Aterro"))</f>
        <v>Reciclagem</v>
      </c>
      <c r="Q67" s="231" t="s">
        <v>1906</v>
      </c>
      <c r="R67" s="231" t="s">
        <v>1903</v>
      </c>
      <c r="S67" s="114" t="str">
        <f>IFERROR(INDEX(Tabela3[Tipos de Tratamento],MATCH('A3.9.1 copy'!O133,Tabela3[Código],0)),"")</f>
        <v>Acumulação de resíduos destinados a uma das operações enumeradas de R1 a R12</v>
      </c>
      <c r="T67" s="114" t="s">
        <v>1538</v>
      </c>
      <c r="U67" s="114" t="s">
        <v>1539</v>
      </c>
      <c r="V67" s="115"/>
    </row>
    <row r="68" spans="1:22" ht="15.75" hidden="1" thickBot="1" x14ac:dyDescent="0.3">
      <c r="A68" s="114" t="s">
        <v>3278</v>
      </c>
      <c r="B68" s="424" t="s">
        <v>45</v>
      </c>
      <c r="C68" s="82" t="str">
        <f t="shared" si="4"/>
        <v>Barraqueiro Alugueres</v>
      </c>
      <c r="D68">
        <v>2022</v>
      </c>
      <c r="E68" s="250" t="s">
        <v>3499</v>
      </c>
      <c r="F68" s="250" t="s">
        <v>3566</v>
      </c>
      <c r="G68" t="s">
        <v>42</v>
      </c>
      <c r="H68" s="82" t="s">
        <v>34</v>
      </c>
      <c r="I68" s="525">
        <v>150111</v>
      </c>
      <c r="J68" s="425" t="str">
        <f>INDEX(aux!B:B,MATCH(I68,aux!A:A,0))</f>
        <v>(*) Embalagens de metal, incluindo recipientes vazios sob pressão, contendo uma matriz porosa sólida perigosa (por exemplo, amianto)</v>
      </c>
      <c r="K68" s="433" t="str">
        <f>INDEX(aux!C:C,MATCH(I68,aux!A:A,0))</f>
        <v>Sim</v>
      </c>
      <c r="L68" s="298">
        <v>1.7999999999999999E-2</v>
      </c>
      <c r="M68" s="138" t="s">
        <v>1532</v>
      </c>
      <c r="N68" s="139">
        <f t="shared" si="5"/>
        <v>18</v>
      </c>
      <c r="O68" s="138" t="s">
        <v>484</v>
      </c>
      <c r="P68" s="231" t="str">
        <f t="shared" si="6"/>
        <v>Reciclagem</v>
      </c>
      <c r="Q68" s="231" t="s">
        <v>1906</v>
      </c>
      <c r="R68" s="231" t="s">
        <v>1903</v>
      </c>
      <c r="S68" s="114" t="str">
        <f>IFERROR(INDEX(Tabela3[Tipos de Tratamento],MATCH('A3.9.1 copy'!O135,Tabela3[Código],0)),"")</f>
        <v xml:space="preserve">Troca de resíduos com vista a submetê-los a uma das operações enumeradas de R 1 a R 11 </v>
      </c>
      <c r="T68" s="114" t="s">
        <v>1538</v>
      </c>
      <c r="U68" s="114" t="s">
        <v>1539</v>
      </c>
      <c r="V68" s="115"/>
    </row>
    <row r="69" spans="1:22" ht="15.75" hidden="1" thickBot="1" x14ac:dyDescent="0.3">
      <c r="A69" s="114" t="s">
        <v>3278</v>
      </c>
      <c r="B69" s="424" t="s">
        <v>45</v>
      </c>
      <c r="C69" s="82" t="str">
        <f t="shared" si="4"/>
        <v>Barraqueiro Alugueres</v>
      </c>
      <c r="D69">
        <v>2022</v>
      </c>
      <c r="E69" s="250" t="s">
        <v>3499</v>
      </c>
      <c r="F69" s="250" t="s">
        <v>3566</v>
      </c>
      <c r="G69" t="s">
        <v>42</v>
      </c>
      <c r="H69" s="82" t="s">
        <v>34</v>
      </c>
      <c r="I69" s="525">
        <v>130208</v>
      </c>
      <c r="J69" s="425" t="str">
        <f>INDEX(aux!B:B,MATCH(I69,aux!A:A,0))</f>
        <v>(*) Outros óleos de motores, transmissões e lubrificação</v>
      </c>
      <c r="K69" s="433" t="str">
        <f>INDEX(aux!C:C,MATCH(I69,aux!A:A,0))</f>
        <v>Sim</v>
      </c>
      <c r="L69" s="298">
        <v>3.24</v>
      </c>
      <c r="M69" s="138" t="s">
        <v>1532</v>
      </c>
      <c r="N69" s="139">
        <f t="shared" si="5"/>
        <v>3240</v>
      </c>
      <c r="O69" s="138" t="s">
        <v>480</v>
      </c>
      <c r="P69" s="231" t="str">
        <f t="shared" si="6"/>
        <v>Reciclagem</v>
      </c>
      <c r="Q69" s="231" t="s">
        <v>1902</v>
      </c>
      <c r="R69" s="231" t="s">
        <v>1877</v>
      </c>
      <c r="S69" s="114" t="str">
        <f>IFERROR(INDEX(Tabela3[Tipos de Tratamento],MATCH('A3.9.1 copy'!O127,Tabela3[Código],0)),"")</f>
        <v xml:space="preserve">Troca de resíduos com vista a submetê-los a uma das operações enumeradas de R 1 a R 11 </v>
      </c>
      <c r="T69" s="114" t="s">
        <v>1535</v>
      </c>
      <c r="U69" s="115" t="s">
        <v>1602</v>
      </c>
      <c r="V69" s="115"/>
    </row>
    <row r="70" spans="1:22" ht="15.75" hidden="1" thickBot="1" x14ac:dyDescent="0.3">
      <c r="A70" s="114" t="s">
        <v>3278</v>
      </c>
      <c r="B70" s="424" t="s">
        <v>45</v>
      </c>
      <c r="C70" s="82" t="str">
        <f t="shared" si="4"/>
        <v>Barraqueiro Alugueres</v>
      </c>
      <c r="D70">
        <v>2022</v>
      </c>
      <c r="E70" s="250" t="s">
        <v>3499</v>
      </c>
      <c r="F70" s="250" t="s">
        <v>3566</v>
      </c>
      <c r="G70" t="s">
        <v>42</v>
      </c>
      <c r="H70" s="82" t="s">
        <v>34</v>
      </c>
      <c r="I70" s="525">
        <v>150101</v>
      </c>
      <c r="J70" s="425" t="str">
        <f>INDEX(aux!B:B,MATCH(I70,aux!A:A,0))</f>
        <v>Embalagens de papel e cartão</v>
      </c>
      <c r="K70" s="433" t="str">
        <f>INDEX(aux!C:C,MATCH(I70,aux!A:A,0))</f>
        <v>Não</v>
      </c>
      <c r="L70" s="298">
        <v>1.88</v>
      </c>
      <c r="M70" s="138" t="s">
        <v>1532</v>
      </c>
      <c r="N70" s="139">
        <f t="shared" si="5"/>
        <v>1880</v>
      </c>
      <c r="O70" s="138" t="s">
        <v>484</v>
      </c>
      <c r="P70" s="231" t="str">
        <f t="shared" si="6"/>
        <v>Reciclagem</v>
      </c>
      <c r="Q70" s="231" t="s">
        <v>1904</v>
      </c>
      <c r="R70" s="231" t="s">
        <v>1903</v>
      </c>
      <c r="S70" s="114" t="str">
        <f>IFERROR(INDEX(Tabela3[Tipos de Tratamento],MATCH('A3.9.1 copy'!O130,Tabela3[Código],0)),"")</f>
        <v xml:space="preserve">Troca de resíduos com vista a submetê-los a uma das operações enumeradas de R 1 a R 11 </v>
      </c>
      <c r="T70" s="114" t="s">
        <v>1538</v>
      </c>
      <c r="U70" s="114" t="s">
        <v>1603</v>
      </c>
      <c r="V70" s="115"/>
    </row>
    <row r="71" spans="1:22" ht="15.75" hidden="1" thickBot="1" x14ac:dyDescent="0.3">
      <c r="A71" s="114" t="s">
        <v>3278</v>
      </c>
      <c r="B71" s="424" t="s">
        <v>45</v>
      </c>
      <c r="C71" s="82" t="str">
        <f t="shared" si="4"/>
        <v>Barraqueiro Alugueres</v>
      </c>
      <c r="D71">
        <v>2022</v>
      </c>
      <c r="E71" s="250" t="s">
        <v>3499</v>
      </c>
      <c r="F71" s="250" t="s">
        <v>3566</v>
      </c>
      <c r="G71" t="s">
        <v>42</v>
      </c>
      <c r="H71" s="82" t="s">
        <v>34</v>
      </c>
      <c r="I71" s="525">
        <v>200101</v>
      </c>
      <c r="J71" s="425" t="str">
        <f>INDEX(aux!B:B,MATCH(I71,aux!A:A,0))</f>
        <v xml:space="preserve">Papel e Cartão </v>
      </c>
      <c r="K71" s="433" t="str">
        <f>INDEX(aux!C:C,MATCH(I71,aux!A:A,0))</f>
        <v>Não</v>
      </c>
      <c r="L71" s="298">
        <v>1.36</v>
      </c>
      <c r="M71" s="138" t="s">
        <v>1532</v>
      </c>
      <c r="N71" s="139">
        <f t="shared" si="5"/>
        <v>1360</v>
      </c>
      <c r="O71" s="138" t="s">
        <v>483</v>
      </c>
      <c r="P71" s="231" t="str">
        <f t="shared" si="6"/>
        <v>Reciclagem</v>
      </c>
      <c r="Q71" s="231" t="s">
        <v>1904</v>
      </c>
      <c r="R71" s="231" t="s">
        <v>1903</v>
      </c>
      <c r="S71" s="114" t="str">
        <f>IFERROR(INDEX(Tabela3[Tipos de Tratamento],MATCH('A3.9.1 copy'!O144,Tabela3[Código],0)),"")</f>
        <v>Armazenagem enquanto se aguarda a execução de uma das operações enumeradas de D1 a D14</v>
      </c>
      <c r="T71" s="114" t="s">
        <v>1538</v>
      </c>
      <c r="U71" s="115" t="s">
        <v>1608</v>
      </c>
      <c r="V71" s="115"/>
    </row>
    <row r="72" spans="1:22" ht="15.75" hidden="1" thickBot="1" x14ac:dyDescent="0.3">
      <c r="A72" s="114" t="s">
        <v>3278</v>
      </c>
      <c r="B72" s="424" t="s">
        <v>45</v>
      </c>
      <c r="C72" s="82" t="str">
        <f t="shared" si="4"/>
        <v>Barraqueiro Alugueres</v>
      </c>
      <c r="D72">
        <v>2022</v>
      </c>
      <c r="E72" s="250" t="s">
        <v>3499</v>
      </c>
      <c r="F72" s="250" t="s">
        <v>3566</v>
      </c>
      <c r="G72" t="s">
        <v>42</v>
      </c>
      <c r="H72" s="82" t="s">
        <v>34</v>
      </c>
      <c r="I72" s="525">
        <v>150102</v>
      </c>
      <c r="J72" s="425" t="str">
        <f>INDEX(aux!B:B,MATCH(I72,aux!A:A,0))</f>
        <v>Embalagens de plástico</v>
      </c>
      <c r="K72" s="433" t="str">
        <f>INDEX(aux!C:C,MATCH(I72,aux!A:A,0))</f>
        <v>Não</v>
      </c>
      <c r="L72" s="298">
        <v>0.14099999999999999</v>
      </c>
      <c r="M72" s="138" t="s">
        <v>1532</v>
      </c>
      <c r="N72" s="139">
        <f t="shared" si="5"/>
        <v>141</v>
      </c>
      <c r="O72" s="138" t="s">
        <v>483</v>
      </c>
      <c r="P72" s="231" t="str">
        <f t="shared" si="6"/>
        <v>Reciclagem</v>
      </c>
      <c r="Q72" s="231" t="s">
        <v>1560</v>
      </c>
      <c r="R72" s="231" t="s">
        <v>1903</v>
      </c>
      <c r="S72" s="114" t="str">
        <f>IFERROR(INDEX(Tabela3[Tipos de Tratamento],MATCH('A3.9.1 copy'!O131,Tabela3[Código],0)),"")</f>
        <v xml:space="preserve">Troca de resíduos com vista a submetê-los a uma das operações enumeradas de R 1 a R 11 </v>
      </c>
      <c r="T72" s="114" t="s">
        <v>1538</v>
      </c>
      <c r="U72" s="114" t="s">
        <v>1539</v>
      </c>
      <c r="V72" s="115"/>
    </row>
    <row r="73" spans="1:22" ht="15.75" hidden="1" thickBot="1" x14ac:dyDescent="0.3">
      <c r="A73" s="114" t="s">
        <v>3278</v>
      </c>
      <c r="B73" s="424" t="s">
        <v>45</v>
      </c>
      <c r="C73" s="82" t="str">
        <f t="shared" si="4"/>
        <v>Barraqueiro Alugueres</v>
      </c>
      <c r="D73">
        <v>2022</v>
      </c>
      <c r="E73" s="250" t="s">
        <v>3499</v>
      </c>
      <c r="F73" s="250" t="s">
        <v>3566</v>
      </c>
      <c r="G73" t="s">
        <v>42</v>
      </c>
      <c r="H73" s="82" t="s">
        <v>34</v>
      </c>
      <c r="I73" s="525">
        <v>160119</v>
      </c>
      <c r="J73" s="425" t="str">
        <f>INDEX(aux!B:B,MATCH(I73,aux!A:A,0))</f>
        <v>Plástico</v>
      </c>
      <c r="K73" s="433" t="str">
        <f>INDEX(aux!C:C,MATCH(I73,aux!A:A,0))</f>
        <v>Não</v>
      </c>
      <c r="L73" s="298">
        <v>3.3000000000000002E-2</v>
      </c>
      <c r="M73" s="138" t="s">
        <v>1532</v>
      </c>
      <c r="N73" s="139">
        <f t="shared" si="5"/>
        <v>33</v>
      </c>
      <c r="O73" s="138" t="s">
        <v>483</v>
      </c>
      <c r="P73" s="231" t="str">
        <f t="shared" si="6"/>
        <v>Reciclagem</v>
      </c>
      <c r="Q73" s="231" t="s">
        <v>1560</v>
      </c>
      <c r="R73" s="231" t="s">
        <v>1903</v>
      </c>
      <c r="S73" s="114" t="str">
        <f>IFERROR(INDEX(Tabela3[Tipos de Tratamento],MATCH('A3.9.1 copy'!O141,Tabela3[Código],0)),"")</f>
        <v>Acumulação de resíduos destinados a uma das operações enumeradas de R1 a R12</v>
      </c>
      <c r="T73" s="114" t="s">
        <v>1538</v>
      </c>
      <c r="U73" s="114" t="s">
        <v>1539</v>
      </c>
      <c r="V73" s="115"/>
    </row>
    <row r="74" spans="1:22" ht="15.75" hidden="1" thickBot="1" x14ac:dyDescent="0.3">
      <c r="A74" s="114" t="s">
        <v>3278</v>
      </c>
      <c r="B74" s="424" t="s">
        <v>45</v>
      </c>
      <c r="C74" s="82" t="str">
        <f t="shared" si="4"/>
        <v>Barraqueiro Alugueres</v>
      </c>
      <c r="D74">
        <v>2022</v>
      </c>
      <c r="E74" s="250" t="s">
        <v>3499</v>
      </c>
      <c r="F74" s="250" t="s">
        <v>3566</v>
      </c>
      <c r="G74" t="s">
        <v>42</v>
      </c>
      <c r="H74" s="82" t="s">
        <v>34</v>
      </c>
      <c r="I74" s="525">
        <v>80117</v>
      </c>
      <c r="J74" s="425" t="str">
        <f>INDEX(aux!B:B,MATCH(I74,aux!A:A,0))</f>
        <v>(*) Resíduos de tintas e vernizes, contendo solventes orgânicos ou outras substâncias perigosas</v>
      </c>
      <c r="K74" s="433" t="str">
        <f>INDEX(aux!C:C,MATCH(I74,aux!A:A,0))</f>
        <v>Sim</v>
      </c>
      <c r="L74" s="298">
        <v>0.28000000000000003</v>
      </c>
      <c r="M74" s="138" t="s">
        <v>1532</v>
      </c>
      <c r="N74" s="139">
        <f t="shared" si="5"/>
        <v>280</v>
      </c>
      <c r="O74" s="138" t="s">
        <v>509</v>
      </c>
      <c r="P74" s="231" t="str">
        <f t="shared" si="6"/>
        <v>Aterro</v>
      </c>
      <c r="Q74" s="231" t="s">
        <v>1901</v>
      </c>
      <c r="R74" s="231" t="s">
        <v>1892</v>
      </c>
      <c r="S74" s="114" t="str">
        <f>IFERROR(INDEX(Tabela3[Tipos de Tratamento],MATCH('A3.9.1 copy'!O122,Tabela3[Código],0)),"")</f>
        <v>Acumulação de resíduos destinados a uma das operações enumeradas de R1 a R12</v>
      </c>
      <c r="T74" s="114" t="s">
        <v>1573</v>
      </c>
      <c r="U74" s="114" t="s">
        <v>1539</v>
      </c>
      <c r="V74" s="115"/>
    </row>
    <row r="75" spans="1:22" ht="15.75" hidden="1" thickBot="1" x14ac:dyDescent="0.3">
      <c r="A75" s="114" t="s">
        <v>3278</v>
      </c>
      <c r="B75" s="424" t="s">
        <v>45</v>
      </c>
      <c r="C75" s="82" t="str">
        <f t="shared" si="4"/>
        <v>Barraqueiro Alugueres</v>
      </c>
      <c r="D75">
        <v>2022</v>
      </c>
      <c r="E75" s="250" t="s">
        <v>3499</v>
      </c>
      <c r="F75" s="250" t="s">
        <v>3566</v>
      </c>
      <c r="G75" t="s">
        <v>42</v>
      </c>
      <c r="H75" s="82" t="s">
        <v>34</v>
      </c>
      <c r="I75" s="525">
        <v>80117</v>
      </c>
      <c r="J75" s="425" t="str">
        <f>INDEX(aux!B:B,MATCH(I75,aux!A:A,0))</f>
        <v>(*) Resíduos de tintas e vernizes, contendo solventes orgânicos ou outras substâncias perigosas</v>
      </c>
      <c r="K75" s="433" t="str">
        <f>INDEX(aux!C:C,MATCH(I75,aux!A:A,0))</f>
        <v>Sim</v>
      </c>
      <c r="L75" s="298">
        <v>0.28000000000000003</v>
      </c>
      <c r="M75" s="138" t="s">
        <v>1532</v>
      </c>
      <c r="N75" s="139">
        <f t="shared" si="5"/>
        <v>280</v>
      </c>
      <c r="O75" s="138" t="s">
        <v>483</v>
      </c>
      <c r="P75" s="231" t="str">
        <f t="shared" si="6"/>
        <v>Reciclagem</v>
      </c>
      <c r="Q75" s="231" t="s">
        <v>1901</v>
      </c>
      <c r="R75" s="231" t="s">
        <v>1892</v>
      </c>
      <c r="S75" s="114" t="str">
        <f>IFERROR(INDEX(Tabela3[Tipos de Tratamento],MATCH('A3.9.1 copy'!O123,Tabela3[Código],0)),"")</f>
        <v xml:space="preserve">Troca de resíduos com vista a submetê-los a uma das operações enumeradas de R 1 a R 11 </v>
      </c>
      <c r="T75" s="114" t="s">
        <v>1573</v>
      </c>
      <c r="U75" s="114" t="s">
        <v>1539</v>
      </c>
      <c r="V75" s="115"/>
    </row>
    <row r="76" spans="1:22" ht="15.75" hidden="1" thickBot="1" x14ac:dyDescent="0.3">
      <c r="A76" s="114" t="s">
        <v>3278</v>
      </c>
      <c r="B76" s="424" t="s">
        <v>45</v>
      </c>
      <c r="C76" s="82" t="str">
        <f t="shared" si="4"/>
        <v>Barraqueiro Alugueres</v>
      </c>
      <c r="D76">
        <v>2022</v>
      </c>
      <c r="E76" s="250" t="s">
        <v>3499</v>
      </c>
      <c r="F76" s="250" t="s">
        <v>3566</v>
      </c>
      <c r="G76" t="s">
        <v>42</v>
      </c>
      <c r="H76" s="82" t="s">
        <v>34</v>
      </c>
      <c r="I76" s="525">
        <v>80317</v>
      </c>
      <c r="J76" s="425" t="str">
        <f>INDEX(aux!B:B,MATCH(I76,aux!A:A,0))</f>
        <v>(*) Resíduos de toner de impressão, contendo substâncias perigosas</v>
      </c>
      <c r="K76" s="433" t="str">
        <f>INDEX(aux!C:C,MATCH(I76,aux!A:A,0))</f>
        <v>Sim</v>
      </c>
      <c r="L76" s="298">
        <v>8.3000000000000004E-2</v>
      </c>
      <c r="M76" s="138" t="s">
        <v>1532</v>
      </c>
      <c r="N76" s="139">
        <f t="shared" si="5"/>
        <v>83</v>
      </c>
      <c r="O76" s="138" t="s">
        <v>484</v>
      </c>
      <c r="P76" s="231" t="str">
        <f t="shared" si="6"/>
        <v>Reciclagem</v>
      </c>
      <c r="Q76" s="231" t="s">
        <v>1901</v>
      </c>
      <c r="R76" s="231" t="s">
        <v>1892</v>
      </c>
      <c r="S76" s="114" t="str">
        <f>IFERROR(INDEX(Tabela3[Tipos de Tratamento],MATCH('A3.9.1 copy'!O124,Tabela3[Código],0)),"")</f>
        <v>Acumulação de resíduos destinados a uma das operações enumeradas de R1 a R12</v>
      </c>
      <c r="T76" s="114" t="s">
        <v>1538</v>
      </c>
      <c r="U76" s="114" t="s">
        <v>1539</v>
      </c>
      <c r="V76" s="115"/>
    </row>
    <row r="77" spans="1:22" ht="15.75" hidden="1" thickBot="1" x14ac:dyDescent="0.3">
      <c r="A77" s="114" t="s">
        <v>3278</v>
      </c>
      <c r="B77" s="424" t="s">
        <v>45</v>
      </c>
      <c r="C77" s="82" t="str">
        <f t="shared" si="4"/>
        <v>Barraqueiro Alugueres</v>
      </c>
      <c r="D77">
        <v>2022</v>
      </c>
      <c r="E77" s="250" t="s">
        <v>3499</v>
      </c>
      <c r="F77" s="250" t="s">
        <v>3566</v>
      </c>
      <c r="G77" t="s">
        <v>42</v>
      </c>
      <c r="H77" s="82" t="s">
        <v>34</v>
      </c>
      <c r="I77" s="525">
        <v>120301</v>
      </c>
      <c r="J77" s="425" t="str">
        <f>INDEX(aux!B:B,MATCH(I77,aux!A:A,0))</f>
        <v>(*) Líquidos de lavagem aquosos</v>
      </c>
      <c r="K77" s="433" t="str">
        <f>INDEX(aux!C:C,MATCH(I77,aux!A:A,0))</f>
        <v>Sim</v>
      </c>
      <c r="L77" s="298">
        <v>0.4</v>
      </c>
      <c r="M77" s="138" t="s">
        <v>1532</v>
      </c>
      <c r="N77" s="139">
        <f t="shared" si="5"/>
        <v>400</v>
      </c>
      <c r="O77" s="145" t="s">
        <v>503</v>
      </c>
      <c r="P77" s="231" t="str">
        <f t="shared" si="6"/>
        <v>Aterro</v>
      </c>
      <c r="Q77" s="231" t="s">
        <v>1901</v>
      </c>
      <c r="R77" s="231" t="s">
        <v>1892</v>
      </c>
      <c r="S77" s="115" t="str">
        <f>IFERROR(INDEX(Tabela3[Tipos de Tratamento],MATCH('A3.9.1 copy'!O125,Tabela3[Código],0)),"")</f>
        <v>Acumulação de resíduos destinados a uma das operações enumeradas de R1 a R12</v>
      </c>
      <c r="T77" s="114" t="s">
        <v>1573</v>
      </c>
      <c r="U77" s="114" t="s">
        <v>1539</v>
      </c>
      <c r="V77" s="115"/>
    </row>
    <row r="78" spans="1:22" ht="15.75" hidden="1" thickBot="1" x14ac:dyDescent="0.3">
      <c r="A78" s="114" t="s">
        <v>3278</v>
      </c>
      <c r="B78" s="424" t="s">
        <v>45</v>
      </c>
      <c r="C78" s="82" t="str">
        <f t="shared" si="4"/>
        <v>Barraqueiro Alugueres</v>
      </c>
      <c r="D78">
        <v>2022</v>
      </c>
      <c r="E78" s="250" t="s">
        <v>3499</v>
      </c>
      <c r="F78" s="250" t="s">
        <v>3566</v>
      </c>
      <c r="G78" t="s">
        <v>42</v>
      </c>
      <c r="H78" s="82" t="s">
        <v>34</v>
      </c>
      <c r="I78" s="525">
        <v>120301</v>
      </c>
      <c r="J78" s="425" t="str">
        <f>INDEX(aux!B:B,MATCH(I78,aux!A:A,0))</f>
        <v>(*) Líquidos de lavagem aquosos</v>
      </c>
      <c r="K78" s="433" t="str">
        <f>INDEX(aux!C:C,MATCH(I78,aux!A:A,0))</f>
        <v>Sim</v>
      </c>
      <c r="L78" s="298">
        <v>0.4</v>
      </c>
      <c r="M78" s="138" t="s">
        <v>1532</v>
      </c>
      <c r="N78" s="139">
        <f t="shared" si="5"/>
        <v>400</v>
      </c>
      <c r="O78" s="145" t="s">
        <v>483</v>
      </c>
      <c r="P78" s="231" t="str">
        <f t="shared" si="6"/>
        <v>Reciclagem</v>
      </c>
      <c r="Q78" s="231" t="s">
        <v>1901</v>
      </c>
      <c r="R78" s="231" t="s">
        <v>1892</v>
      </c>
      <c r="S78" s="114" t="str">
        <f>IFERROR(INDEX(Tabela3[Tipos de Tratamento],MATCH('A3.9.1 copy'!O126,Tabela3[Código],0)),"")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78" s="114" t="s">
        <v>1573</v>
      </c>
      <c r="U78" s="114" t="s">
        <v>1539</v>
      </c>
      <c r="V78" s="115"/>
    </row>
    <row r="79" spans="1:22" ht="15.75" hidden="1" thickBot="1" x14ac:dyDescent="0.3">
      <c r="A79" s="114" t="s">
        <v>3278</v>
      </c>
      <c r="B79" s="424" t="s">
        <v>45</v>
      </c>
      <c r="C79" s="82" t="str">
        <f t="shared" si="4"/>
        <v>Barraqueiro Alugueres</v>
      </c>
      <c r="D79">
        <v>2022</v>
      </c>
      <c r="E79" s="250" t="s">
        <v>3499</v>
      </c>
      <c r="F79" s="250" t="s">
        <v>3566</v>
      </c>
      <c r="G79" t="s">
        <v>42</v>
      </c>
      <c r="H79" s="82" t="s">
        <v>34</v>
      </c>
      <c r="I79" s="525">
        <v>130502</v>
      </c>
      <c r="J79" s="425" t="str">
        <f>INDEX(aux!B:B,MATCH(I79,aux!A:A,0))</f>
        <v>(*) Lamas provenientes dos separadores óleo/água</v>
      </c>
      <c r="K79" s="433" t="str">
        <f>INDEX(aux!C:C,MATCH(I79,aux!A:A,0))</f>
        <v>Sim</v>
      </c>
      <c r="L79" s="298">
        <v>12.1</v>
      </c>
      <c r="M79" s="138" t="s">
        <v>1532</v>
      </c>
      <c r="N79" s="139">
        <f t="shared" si="5"/>
        <v>12100</v>
      </c>
      <c r="O79" s="145" t="s">
        <v>483</v>
      </c>
      <c r="P79" s="231" t="str">
        <f t="shared" si="6"/>
        <v>Reciclagem</v>
      </c>
      <c r="Q79" s="231" t="s">
        <v>1901</v>
      </c>
      <c r="R79" s="231" t="s">
        <v>1892</v>
      </c>
      <c r="S79" s="115" t="str">
        <f>IFERROR(INDEX(Tabela3[Tipos de Tratamento],MATCH('A3.9.1 copy'!O128,Tabela3[Código],0)),"")</f>
        <v xml:space="preserve">Troca de resíduos com vista a submetê-los a uma das operações enumeradas de R 1 a R 11 </v>
      </c>
      <c r="T79" s="114" t="s">
        <v>1570</v>
      </c>
      <c r="U79" s="114" t="s">
        <v>1571</v>
      </c>
      <c r="V79" s="115"/>
    </row>
    <row r="80" spans="1:22" ht="15.75" hidden="1" thickBot="1" x14ac:dyDescent="0.3">
      <c r="A80" s="114" t="s">
        <v>3278</v>
      </c>
      <c r="B80" s="424" t="s">
        <v>45</v>
      </c>
      <c r="C80" s="82" t="str">
        <f t="shared" si="4"/>
        <v>Barraqueiro Alugueres</v>
      </c>
      <c r="D80">
        <v>2022</v>
      </c>
      <c r="E80" s="250" t="s">
        <v>3499</v>
      </c>
      <c r="F80" s="250" t="s">
        <v>3566</v>
      </c>
      <c r="G80" t="s">
        <v>42</v>
      </c>
      <c r="H80" s="82" t="s">
        <v>34</v>
      </c>
      <c r="I80" s="525">
        <v>130507</v>
      </c>
      <c r="J80" s="425" t="str">
        <f>INDEX(aux!B:B,MATCH(I80,aux!A:A,0))</f>
        <v>(*) Água com óleo proveniente dos separadores óleo/água</v>
      </c>
      <c r="K80" s="433" t="str">
        <f>INDEX(aux!C:C,MATCH(I80,aux!A:A,0))</f>
        <v>Sim</v>
      </c>
      <c r="L80" s="298">
        <v>9.1199999999999992</v>
      </c>
      <c r="M80" s="138" t="s">
        <v>1532</v>
      </c>
      <c r="N80" s="139">
        <f t="shared" si="5"/>
        <v>9120</v>
      </c>
      <c r="O80" s="138" t="s">
        <v>483</v>
      </c>
      <c r="P80" s="231" t="str">
        <f t="shared" si="6"/>
        <v>Reciclagem</v>
      </c>
      <c r="Q80" s="231" t="s">
        <v>1901</v>
      </c>
      <c r="R80" s="231" t="s">
        <v>1892</v>
      </c>
      <c r="S80" s="114" t="str">
        <f>IFERROR(INDEX(Tabela3[Tipos de Tratamento],MATCH('A3.9.1 copy'!O129,Tabela3[Código],0)),"")</f>
        <v>Acumulação de resíduos destinados a uma das operações enumeradas de R1 a R12</v>
      </c>
      <c r="T80" s="114" t="s">
        <v>1570</v>
      </c>
      <c r="U80" s="114" t="s">
        <v>1571</v>
      </c>
      <c r="V80" s="115"/>
    </row>
    <row r="81" spans="1:22" ht="15.75" hidden="1" thickBot="1" x14ac:dyDescent="0.3">
      <c r="A81" s="114" t="s">
        <v>3278</v>
      </c>
      <c r="B81" s="424" t="s">
        <v>45</v>
      </c>
      <c r="C81" s="82" t="str">
        <f t="shared" si="4"/>
        <v>Barraqueiro Alugueres</v>
      </c>
      <c r="D81">
        <v>2022</v>
      </c>
      <c r="E81" s="250" t="s">
        <v>3499</v>
      </c>
      <c r="F81" s="250" t="s">
        <v>3566</v>
      </c>
      <c r="G81" t="s">
        <v>42</v>
      </c>
      <c r="H81" s="82" t="s">
        <v>34</v>
      </c>
      <c r="I81" s="525">
        <v>150110</v>
      </c>
      <c r="J81" s="425" t="str">
        <f>INDEX(aux!B:B,MATCH(I81,aux!A:A,0))</f>
        <v>(*) Embalagens contendo ou contaminadas por resíduos de substâncias perigosas</v>
      </c>
      <c r="K81" s="433" t="str">
        <f>INDEX(aux!C:C,MATCH(I81,aux!A:A,0))</f>
        <v>Sim</v>
      </c>
      <c r="L81" s="298">
        <v>0.45</v>
      </c>
      <c r="M81" s="138" t="s">
        <v>1532</v>
      </c>
      <c r="N81" s="139">
        <f t="shared" si="5"/>
        <v>450</v>
      </c>
      <c r="O81" s="138" t="s">
        <v>484</v>
      </c>
      <c r="P81" s="231" t="str">
        <f t="shared" si="6"/>
        <v>Reciclagem</v>
      </c>
      <c r="Q81" s="231" t="s">
        <v>1901</v>
      </c>
      <c r="R81" s="231" t="s">
        <v>1892</v>
      </c>
      <c r="S81" s="114" t="str">
        <f>IFERROR(INDEX(Tabela3[Tipos de Tratamento],MATCH('A3.9.1 copy'!O134,Tabela3[Código],0)),"")</f>
        <v xml:space="preserve">Troca de resíduos com vista a submetê-los a uma das operações enumeradas de R 1 a R 11 </v>
      </c>
      <c r="T81" s="114" t="s">
        <v>1538</v>
      </c>
      <c r="U81" s="114" t="s">
        <v>1539</v>
      </c>
      <c r="V81" s="115"/>
    </row>
    <row r="82" spans="1:22" ht="15.75" hidden="1" thickBot="1" x14ac:dyDescent="0.3">
      <c r="A82" s="114" t="s">
        <v>3278</v>
      </c>
      <c r="B82" s="424" t="s">
        <v>45</v>
      </c>
      <c r="C82" s="82" t="str">
        <f t="shared" si="4"/>
        <v>Barraqueiro Alugueres</v>
      </c>
      <c r="D82">
        <v>2022</v>
      </c>
      <c r="E82" s="250" t="s">
        <v>3499</v>
      </c>
      <c r="F82" s="250" t="s">
        <v>3566</v>
      </c>
      <c r="G82" t="s">
        <v>42</v>
      </c>
      <c r="H82" s="82" t="s">
        <v>34</v>
      </c>
      <c r="I82" s="525">
        <v>150202</v>
      </c>
      <c r="J82" s="425" t="str">
        <f>INDEX(aux!B:B,MATCH(I82,aux!A:A,0))</f>
        <v>(*) Absorventes, materiais filtrantes (incluindo filtros de óleo sem outras especificações), panos de limpeza e vestuário de proteção, contaminados por substâncias perigosas</v>
      </c>
      <c r="K82" s="433" t="str">
        <f>INDEX(aux!C:C,MATCH(I82,aux!A:A,0))</f>
        <v>Sim</v>
      </c>
      <c r="L82" s="298">
        <v>6.4340000000000002</v>
      </c>
      <c r="M82" s="138" t="s">
        <v>1532</v>
      </c>
      <c r="N82" s="139">
        <f t="shared" si="5"/>
        <v>6434</v>
      </c>
      <c r="O82" s="138" t="s">
        <v>484</v>
      </c>
      <c r="P82" s="231" t="str">
        <f t="shared" si="6"/>
        <v>Reciclagem</v>
      </c>
      <c r="Q82" s="231" t="s">
        <v>1901</v>
      </c>
      <c r="R82" s="231" t="s">
        <v>1892</v>
      </c>
      <c r="S82" s="114" t="str">
        <f>IFERROR(INDEX(Tabela3[Tipos de Tratamento],MATCH('A3.9.1 copy'!O136,Tabela3[Código],0)),"")</f>
        <v>Acumulação de resíduos destinados a uma das operações enumeradas de R1 a R12</v>
      </c>
      <c r="T82" s="114" t="s">
        <v>1538</v>
      </c>
      <c r="U82" s="114" t="s">
        <v>1539</v>
      </c>
      <c r="V82" s="115"/>
    </row>
    <row r="83" spans="1:22" ht="15.75" hidden="1" thickBot="1" x14ac:dyDescent="0.3">
      <c r="A83" s="114" t="s">
        <v>3278</v>
      </c>
      <c r="B83" s="424" t="s">
        <v>45</v>
      </c>
      <c r="C83" s="82" t="str">
        <f t="shared" si="4"/>
        <v>Barraqueiro Alugueres</v>
      </c>
      <c r="D83">
        <v>2022</v>
      </c>
      <c r="E83" s="250" t="s">
        <v>3499</v>
      </c>
      <c r="F83" s="250" t="s">
        <v>3566</v>
      </c>
      <c r="G83" t="s">
        <v>42</v>
      </c>
      <c r="H83" s="82" t="s">
        <v>34</v>
      </c>
      <c r="I83" s="525">
        <v>150203</v>
      </c>
      <c r="J83" s="425" t="str">
        <f>INDEX(aux!B:B,MATCH(I83,aux!A:A,0))</f>
        <v>Absorventes, materiais filtrantes, panos de limpeza e vestuário de proteção não abrangidos em 15 02 02</v>
      </c>
      <c r="K83" s="433" t="str">
        <f>INDEX(aux!C:C,MATCH(I83,aux!A:A,0))</f>
        <v>Não</v>
      </c>
      <c r="L83" s="298">
        <v>1.6</v>
      </c>
      <c r="M83" s="138" t="s">
        <v>1532</v>
      </c>
      <c r="N83" s="139">
        <f t="shared" si="5"/>
        <v>1600</v>
      </c>
      <c r="O83" s="138" t="s">
        <v>483</v>
      </c>
      <c r="P83" s="231" t="str">
        <f t="shared" si="6"/>
        <v>Reciclagem</v>
      </c>
      <c r="Q83" s="231" t="s">
        <v>1901</v>
      </c>
      <c r="R83" s="231" t="s">
        <v>1892</v>
      </c>
      <c r="S83" s="114" t="str">
        <f>IFERROR(INDEX(Tabela3[Tipos de Tratamento],MATCH('A3.9.1 copy'!O137,Tabela3[Código],0)),"")</f>
        <v xml:space="preserve">Troca de resíduos com vista a submetê-los a uma das operações enumeradas de R 1 a R 11 </v>
      </c>
      <c r="T83" s="114" t="s">
        <v>1538</v>
      </c>
      <c r="U83" s="114" t="s">
        <v>1539</v>
      </c>
      <c r="V83" s="115"/>
    </row>
    <row r="84" spans="1:22" ht="15.75" hidden="1" thickBot="1" x14ac:dyDescent="0.3">
      <c r="A84" s="114" t="s">
        <v>3278</v>
      </c>
      <c r="B84" s="424" t="s">
        <v>45</v>
      </c>
      <c r="C84" s="82" t="str">
        <f t="shared" si="4"/>
        <v>Barraqueiro Alugueres</v>
      </c>
      <c r="D84">
        <v>2022</v>
      </c>
      <c r="E84" s="250" t="s">
        <v>3499</v>
      </c>
      <c r="F84" s="250" t="s">
        <v>3566</v>
      </c>
      <c r="G84" t="s">
        <v>42</v>
      </c>
      <c r="H84" s="82" t="s">
        <v>34</v>
      </c>
      <c r="I84" s="525">
        <v>160107</v>
      </c>
      <c r="J84" s="425" t="str">
        <f>INDEX(aux!B:B,MATCH(I84,aux!A:A,0))</f>
        <v>(*) Filtros de óleo</v>
      </c>
      <c r="K84" s="433" t="str">
        <f>INDEX(aux!C:C,MATCH(I84,aux!A:A,0))</f>
        <v>Sim</v>
      </c>
      <c r="L84" s="298">
        <v>0.52</v>
      </c>
      <c r="M84" s="138" t="s">
        <v>1532</v>
      </c>
      <c r="N84" s="139">
        <f t="shared" si="5"/>
        <v>520</v>
      </c>
      <c r="O84" s="138" t="s">
        <v>484</v>
      </c>
      <c r="P84" s="231" t="str">
        <f t="shared" si="6"/>
        <v>Reciclagem</v>
      </c>
      <c r="Q84" s="231" t="s">
        <v>1901</v>
      </c>
      <c r="R84" s="231" t="s">
        <v>1892</v>
      </c>
      <c r="S84" s="114" t="str">
        <f>IFERROR(INDEX(Tabela3[Tipos de Tratamento],MATCH('A3.9.1 copy'!O138,Tabela3[Código],0)),"")</f>
        <v xml:space="preserve">Troca de resíduos com vista a submetê-los a uma das operações enumeradas de R 1 a R 11 </v>
      </c>
      <c r="T84" s="114" t="s">
        <v>1538</v>
      </c>
      <c r="U84" s="114" t="s">
        <v>1539</v>
      </c>
      <c r="V84" s="115"/>
    </row>
    <row r="85" spans="1:22" ht="15.75" hidden="1" thickBot="1" x14ac:dyDescent="0.3">
      <c r="A85" s="114" t="s">
        <v>3278</v>
      </c>
      <c r="B85" s="424" t="s">
        <v>45</v>
      </c>
      <c r="C85" s="82" t="str">
        <f t="shared" si="4"/>
        <v>Barraqueiro Alugueres</v>
      </c>
      <c r="D85">
        <v>2022</v>
      </c>
      <c r="E85" s="250" t="s">
        <v>3499</v>
      </c>
      <c r="F85" s="250" t="s">
        <v>3566</v>
      </c>
      <c r="G85" t="s">
        <v>42</v>
      </c>
      <c r="H85" s="82" t="s">
        <v>34</v>
      </c>
      <c r="I85" s="525">
        <v>160199</v>
      </c>
      <c r="J85" s="425" t="str">
        <f>INDEX(aux!B:B,MATCH(I85,aux!A:A,0))</f>
        <v>Resíduos sem outras especificações</v>
      </c>
      <c r="K85" s="433" t="str">
        <f>INDEX(aux!C:C,MATCH(I85,aux!A:A,0))</f>
        <v>Não</v>
      </c>
      <c r="L85" s="298">
        <v>0.34</v>
      </c>
      <c r="M85" s="138" t="s">
        <v>1532</v>
      </c>
      <c r="N85" s="139">
        <f t="shared" si="5"/>
        <v>340</v>
      </c>
      <c r="O85" s="138" t="s">
        <v>483</v>
      </c>
      <c r="P85" s="231" t="str">
        <f t="shared" si="6"/>
        <v>Reciclagem</v>
      </c>
      <c r="Q85" s="231" t="s">
        <v>1901</v>
      </c>
      <c r="R85" s="231" t="s">
        <v>1892</v>
      </c>
      <c r="S85" s="114" t="str">
        <f>IFERROR(INDEX(Tabela3[Tipos de Tratamento],MATCH('A3.9.1 copy'!O142,Tabela3[Código],0)),"")</f>
        <v xml:space="preserve">Troca de resíduos com vista a submetê-los a uma das operações enumeradas de R 1 a R 11 </v>
      </c>
      <c r="T85" s="114" t="s">
        <v>1538</v>
      </c>
      <c r="U85" s="114" t="s">
        <v>1539</v>
      </c>
      <c r="V85" s="115"/>
    </row>
    <row r="86" spans="1:22" ht="15.75" hidden="1" thickBot="1" x14ac:dyDescent="0.3">
      <c r="A86" s="114" t="s">
        <v>3278</v>
      </c>
      <c r="B86" s="424" t="s">
        <v>45</v>
      </c>
      <c r="C86" s="82" t="str">
        <f t="shared" si="4"/>
        <v>Barraqueiro Alugueres</v>
      </c>
      <c r="D86">
        <v>2022</v>
      </c>
      <c r="E86" s="250" t="s">
        <v>3499</v>
      </c>
      <c r="F86" s="250" t="s">
        <v>3566</v>
      </c>
      <c r="G86" t="s">
        <v>42</v>
      </c>
      <c r="H86" s="82" t="s">
        <v>34</v>
      </c>
      <c r="I86" s="525">
        <v>200121</v>
      </c>
      <c r="J86" s="425" t="str">
        <f>INDEX(aux!B:B,MATCH(I86,aux!A:A,0))</f>
        <v>(*) Lâmpadas fluorescentes e outros resíduos contendo mercúrio</v>
      </c>
      <c r="K86" s="433" t="str">
        <f>INDEX(aux!C:C,MATCH(I86,aux!A:A,0))</f>
        <v>Sim</v>
      </c>
      <c r="L86" s="298">
        <v>2.5999999999999999E-2</v>
      </c>
      <c r="M86" s="138" t="s">
        <v>1532</v>
      </c>
      <c r="N86" s="139">
        <f t="shared" si="5"/>
        <v>26</v>
      </c>
      <c r="O86" s="138" t="s">
        <v>484</v>
      </c>
      <c r="P86" s="231" t="str">
        <f t="shared" si="6"/>
        <v>Reciclagem</v>
      </c>
      <c r="Q86" s="231" t="s">
        <v>1901</v>
      </c>
      <c r="R86" s="231" t="s">
        <v>1892</v>
      </c>
      <c r="S86" s="114" t="str">
        <f>IFERROR(INDEX(Tabela3[Tipos de Tratamento],MATCH('A3.9.1 copy'!O146,Tabela3[Código],0)),"")</f>
        <v xml:space="preserve">Troca de resíduos com vista a submetê-los a uma das operações enumeradas de R 1 a R 11 </v>
      </c>
      <c r="T86" s="114" t="s">
        <v>1538</v>
      </c>
      <c r="U86" s="114" t="s">
        <v>1539</v>
      </c>
      <c r="V86" s="115"/>
    </row>
    <row r="87" spans="1:22" ht="15.75" hidden="1" thickBot="1" x14ac:dyDescent="0.3">
      <c r="A87" s="114" t="s">
        <v>3278</v>
      </c>
      <c r="B87" s="424" t="s">
        <v>45</v>
      </c>
      <c r="C87" s="82" t="str">
        <f t="shared" si="4"/>
        <v>Barraqueiro Alugueres</v>
      </c>
      <c r="D87">
        <v>2022</v>
      </c>
      <c r="E87" s="250" t="s">
        <v>3499</v>
      </c>
      <c r="F87" s="250" t="s">
        <v>3566</v>
      </c>
      <c r="G87" t="s">
        <v>42</v>
      </c>
      <c r="H87" s="82" t="s">
        <v>34</v>
      </c>
      <c r="I87" s="525">
        <v>200125</v>
      </c>
      <c r="J87" s="425" t="str">
        <f>INDEX(aux!B:B,MATCH(I87,aux!A:A,0))</f>
        <v>Óleos e gorduras alimentares</v>
      </c>
      <c r="K87" s="433" t="str">
        <f>INDEX(aux!C:C,MATCH(I87,aux!A:A,0))</f>
        <v>Não</v>
      </c>
      <c r="L87" s="298">
        <v>0.16</v>
      </c>
      <c r="M87" s="138" t="s">
        <v>1532</v>
      </c>
      <c r="N87" s="139">
        <f t="shared" si="5"/>
        <v>160</v>
      </c>
      <c r="O87" s="138" t="s">
        <v>483</v>
      </c>
      <c r="P87" s="231" t="str">
        <f t="shared" si="6"/>
        <v>Reciclagem</v>
      </c>
      <c r="Q87" s="231" t="s">
        <v>1908</v>
      </c>
      <c r="R87" s="231" t="s">
        <v>1877</v>
      </c>
      <c r="S87" s="114" t="str">
        <f>IFERROR(INDEX(Tabela3[Tipos de Tratamento],MATCH('A3.9.1 copy'!O147,Tabela3[Código],0)),"")</f>
        <v xml:space="preserve">Troca de resíduos com vista a submetê-los a uma das operações enumeradas de R 1 a R 11 </v>
      </c>
      <c r="T87" s="114" t="s">
        <v>1566</v>
      </c>
      <c r="U87" s="114" t="s">
        <v>1578</v>
      </c>
      <c r="V87" s="115"/>
    </row>
    <row r="88" spans="1:22" ht="15.75" hidden="1" thickBot="1" x14ac:dyDescent="0.3">
      <c r="A88" s="114" t="s">
        <v>3278</v>
      </c>
      <c r="B88" s="424" t="s">
        <v>45</v>
      </c>
      <c r="C88" s="82" t="str">
        <f t="shared" si="4"/>
        <v>Barraqueiro Alugueres</v>
      </c>
      <c r="D88">
        <v>2022</v>
      </c>
      <c r="E88" s="250" t="s">
        <v>3499</v>
      </c>
      <c r="F88" s="250" t="s">
        <v>3566</v>
      </c>
      <c r="G88" t="s">
        <v>42</v>
      </c>
      <c r="H88" s="82" t="s">
        <v>34</v>
      </c>
      <c r="I88" s="525">
        <v>200301</v>
      </c>
      <c r="J88" s="425" t="str">
        <f>INDEX(aux!B:B,MATCH(I88,aux!A:A,0))</f>
        <v>Misturas de resíduos urbanos equiparados</v>
      </c>
      <c r="K88" s="433" t="str">
        <f>INDEX(aux!C:C,MATCH(I88,aux!A:A,0))</f>
        <v>Não</v>
      </c>
      <c r="L88" s="298">
        <v>13.56</v>
      </c>
      <c r="M88" s="138" t="s">
        <v>1532</v>
      </c>
      <c r="N88" s="139">
        <f t="shared" si="5"/>
        <v>13560</v>
      </c>
      <c r="O88" s="138" t="s">
        <v>483</v>
      </c>
      <c r="P88" s="231" t="str">
        <f t="shared" si="6"/>
        <v>Reciclagem</v>
      </c>
      <c r="Q88" s="231" t="s">
        <v>1908</v>
      </c>
      <c r="R88" s="231" t="s">
        <v>1877</v>
      </c>
      <c r="S88" s="114" t="str">
        <f>IFERROR(INDEX(Tabela3[Tipos de Tratamento],MATCH('A3.9.1 copy'!O149,Tabela3[Código],0)),"")</f>
        <v>Acumulação de resíduos destinados a uma das operações enumeradas de R1 a R12</v>
      </c>
      <c r="T88" s="114" t="s">
        <v>1538</v>
      </c>
      <c r="U88" s="115" t="s">
        <v>1608</v>
      </c>
      <c r="V88" s="115"/>
    </row>
    <row r="89" spans="1:22" ht="15.75" hidden="1" thickBot="1" x14ac:dyDescent="0.3">
      <c r="A89" s="114" t="s">
        <v>3278</v>
      </c>
      <c r="B89" s="424" t="s">
        <v>45</v>
      </c>
      <c r="C89" s="82" t="str">
        <f t="shared" si="4"/>
        <v>Barraqueiro Alugueres</v>
      </c>
      <c r="D89">
        <v>2022</v>
      </c>
      <c r="E89" s="250" t="s">
        <v>3499</v>
      </c>
      <c r="F89" s="250" t="s">
        <v>3566</v>
      </c>
      <c r="G89" t="s">
        <v>42</v>
      </c>
      <c r="H89" s="82" t="s">
        <v>34</v>
      </c>
      <c r="I89" s="525">
        <v>200301</v>
      </c>
      <c r="J89" s="425" t="str">
        <f>INDEX(aux!B:B,MATCH(I89,aux!A:A,0))</f>
        <v>Misturas de resíduos urbanos equiparados</v>
      </c>
      <c r="K89" s="433" t="str">
        <f>INDEX(aux!C:C,MATCH(I89,aux!A:A,0))</f>
        <v>Não</v>
      </c>
      <c r="L89" s="298">
        <v>0.24</v>
      </c>
      <c r="M89" s="138" t="s">
        <v>1532</v>
      </c>
      <c r="N89" s="139">
        <f t="shared" si="5"/>
        <v>240</v>
      </c>
      <c r="O89" s="138" t="s">
        <v>509</v>
      </c>
      <c r="P89" s="231" t="str">
        <f t="shared" si="6"/>
        <v>Aterro</v>
      </c>
      <c r="Q89" s="231" t="s">
        <v>1908</v>
      </c>
      <c r="R89" s="231" t="s">
        <v>1877</v>
      </c>
      <c r="S89" s="114" t="str">
        <f>IFERROR(INDEX(Tabela3[Tipos de Tratamento],MATCH('A3.9.1 copy'!O150,Tabela3[Código],0)),"")</f>
        <v xml:space="preserve">Troca de resíduos com vista a submetê-los a uma das operações enumeradas de R 1 a R 11 </v>
      </c>
      <c r="T89" s="114" t="s">
        <v>1603</v>
      </c>
      <c r="U89" s="114" t="s">
        <v>1603</v>
      </c>
      <c r="V89" s="115"/>
    </row>
    <row r="90" spans="1:22" ht="15.75" hidden="1" thickBot="1" x14ac:dyDescent="0.3">
      <c r="A90" s="114" t="s">
        <v>3278</v>
      </c>
      <c r="B90" s="424" t="s">
        <v>45</v>
      </c>
      <c r="C90" s="82" t="str">
        <f t="shared" si="4"/>
        <v>Barraqueiro Alugueres</v>
      </c>
      <c r="D90">
        <v>2022</v>
      </c>
      <c r="E90" s="250" t="s">
        <v>3499</v>
      </c>
      <c r="F90" s="250" t="s">
        <v>3566</v>
      </c>
      <c r="G90" t="s">
        <v>42</v>
      </c>
      <c r="H90" s="82" t="s">
        <v>34</v>
      </c>
      <c r="I90" s="525">
        <v>200102</v>
      </c>
      <c r="J90" s="425" t="str">
        <f>INDEX(aux!B:B,MATCH(I90,aux!A:A,0))</f>
        <v>Vidro</v>
      </c>
      <c r="K90" s="433" t="str">
        <f>INDEX(aux!C:C,MATCH(I90,aux!A:A,0))</f>
        <v>Não</v>
      </c>
      <c r="L90" s="298">
        <v>4.74</v>
      </c>
      <c r="M90" s="138" t="s">
        <v>1532</v>
      </c>
      <c r="N90" s="139">
        <f t="shared" si="5"/>
        <v>4740</v>
      </c>
      <c r="O90" s="138" t="s">
        <v>483</v>
      </c>
      <c r="P90" s="231" t="str">
        <f t="shared" si="6"/>
        <v>Reciclagem</v>
      </c>
      <c r="Q90" s="231" t="s">
        <v>1561</v>
      </c>
      <c r="R90" s="231" t="s">
        <v>1903</v>
      </c>
      <c r="S90" s="114" t="str">
        <f>IFERROR(INDEX(Tabela3[Tipos de Tratamento],MATCH('A3.9.1 copy'!O145,Tabela3[Código],0)),"")</f>
        <v xml:space="preserve">Troca de resíduos com vista a submetê-los a uma das operações enumeradas de R 1 a R 11 </v>
      </c>
      <c r="T90" s="114" t="s">
        <v>1538</v>
      </c>
      <c r="U90" s="114" t="s">
        <v>1603</v>
      </c>
      <c r="V90" s="115"/>
    </row>
    <row r="91" spans="1:22" ht="15.75" hidden="1" thickBot="1" x14ac:dyDescent="0.3">
      <c r="A91" s="114" t="s">
        <v>3473</v>
      </c>
      <c r="B91" s="424" t="s">
        <v>45</v>
      </c>
      <c r="C91" s="82" t="str">
        <f t="shared" si="4"/>
        <v>Barraqueiro Oeste</v>
      </c>
      <c r="D91">
        <v>2022</v>
      </c>
      <c r="E91" s="250" t="s">
        <v>3499</v>
      </c>
      <c r="F91" s="250" t="s">
        <v>3566</v>
      </c>
      <c r="G91" t="s">
        <v>42</v>
      </c>
      <c r="H91" s="82" t="s">
        <v>34</v>
      </c>
      <c r="I91" s="525">
        <v>160601</v>
      </c>
      <c r="J91" s="425" t="str">
        <f>INDEX(aux!B:B,MATCH(I91,aux!A:A,0))</f>
        <v>(*) Acumuladores de chumbo</v>
      </c>
      <c r="K91" s="433" t="str">
        <f>INDEX(aux!C:C,MATCH(I91,aux!A:A,0))</f>
        <v>Sim</v>
      </c>
      <c r="L91" s="298">
        <v>1.52</v>
      </c>
      <c r="M91" s="138" t="s">
        <v>1532</v>
      </c>
      <c r="N91" s="139">
        <f t="shared" si="5"/>
        <v>1520</v>
      </c>
      <c r="O91" s="138" t="s">
        <v>484</v>
      </c>
      <c r="P91" s="231" t="str">
        <f t="shared" si="6"/>
        <v>Reciclagem</v>
      </c>
      <c r="Q91" s="231" t="s">
        <v>1653</v>
      </c>
      <c r="R91" s="231" t="s">
        <v>1877</v>
      </c>
      <c r="S91" s="114" t="str">
        <f>IFERROR(INDEX(Tabela3[Tipos de Tratamento],MATCH('A3.9.1 copy'!O72,Tabela3[Código],0)),"")</f>
        <v xml:space="preserve">Troca de resíduos com vista a submetê-los a uma das operações enumeradas de R 1 a R 11 </v>
      </c>
      <c r="T91" s="114" t="s">
        <v>1558</v>
      </c>
      <c r="U91" s="114" t="s">
        <v>1559</v>
      </c>
      <c r="V91" s="114"/>
    </row>
    <row r="92" spans="1:22" ht="15.75" hidden="1" thickBot="1" x14ac:dyDescent="0.3">
      <c r="A92" s="114" t="s">
        <v>3473</v>
      </c>
      <c r="B92" s="424" t="s">
        <v>45</v>
      </c>
      <c r="C92" s="82" t="str">
        <f t="shared" si="4"/>
        <v>Barraqueiro Oeste</v>
      </c>
      <c r="D92">
        <v>2022</v>
      </c>
      <c r="E92" s="250" t="s">
        <v>3499</v>
      </c>
      <c r="F92" s="250" t="s">
        <v>3566</v>
      </c>
      <c r="G92" t="s">
        <v>42</v>
      </c>
      <c r="H92" s="82" t="s">
        <v>34</v>
      </c>
      <c r="I92" s="525">
        <v>160112</v>
      </c>
      <c r="J92" s="425" t="str">
        <f>INDEX(aux!B:B,MATCH(I92,aux!A:A,0))</f>
        <v>Pastilhas de travões não abrangidas em 16 01 11</v>
      </c>
      <c r="K92" s="433" t="str">
        <f>INDEX(aux!C:C,MATCH(I92,aux!A:A,0))</f>
        <v>Não</v>
      </c>
      <c r="L92" s="298">
        <v>0.27</v>
      </c>
      <c r="M92" s="138" t="s">
        <v>1532</v>
      </c>
      <c r="N92" s="139">
        <f t="shared" si="5"/>
        <v>270</v>
      </c>
      <c r="O92" s="138" t="s">
        <v>483</v>
      </c>
      <c r="P92" s="231" t="str">
        <f t="shared" si="6"/>
        <v>Reciclagem</v>
      </c>
      <c r="Q92" s="231" t="s">
        <v>1557</v>
      </c>
      <c r="R92" s="231" t="s">
        <v>1903</v>
      </c>
      <c r="S92" s="114" t="str">
        <f>IFERROR(INDEX(Tabela3[Tipos de Tratamento],MATCH('A3.9.1 copy'!O67,Tabela3[Código],0)),"")</f>
        <v xml:space="preserve">Troca de resíduos com vista a submetê-los a uma das operações enumeradas de R 1 a R 11 </v>
      </c>
      <c r="T92" s="114" t="s">
        <v>1538</v>
      </c>
      <c r="U92" s="114" t="s">
        <v>1539</v>
      </c>
      <c r="V92" s="114"/>
    </row>
    <row r="93" spans="1:22" ht="15.75" hidden="1" thickBot="1" x14ac:dyDescent="0.3">
      <c r="A93" s="114" t="s">
        <v>3473</v>
      </c>
      <c r="B93" s="424" t="s">
        <v>45</v>
      </c>
      <c r="C93" s="82" t="str">
        <f t="shared" si="4"/>
        <v>Barraqueiro Oeste</v>
      </c>
      <c r="D93">
        <v>2022</v>
      </c>
      <c r="E93" s="250" t="s">
        <v>3499</v>
      </c>
      <c r="F93" s="250" t="s">
        <v>3566</v>
      </c>
      <c r="G93" t="s">
        <v>42</v>
      </c>
      <c r="H93" s="82" t="s">
        <v>34</v>
      </c>
      <c r="I93" s="525">
        <v>160117</v>
      </c>
      <c r="J93" s="425" t="str">
        <f>INDEX(aux!B:B,MATCH(I93,aux!A:A,0))</f>
        <v>Metais ferrosos</v>
      </c>
      <c r="K93" s="433" t="str">
        <f>INDEX(aux!C:C,MATCH(I93,aux!A:A,0))</f>
        <v>Não</v>
      </c>
      <c r="L93" s="298">
        <v>2.62</v>
      </c>
      <c r="M93" s="138" t="s">
        <v>1532</v>
      </c>
      <c r="N93" s="139">
        <f t="shared" si="5"/>
        <v>2620</v>
      </c>
      <c r="O93" s="138" t="s">
        <v>483</v>
      </c>
      <c r="P93" s="231" t="str">
        <f t="shared" si="6"/>
        <v>Reciclagem</v>
      </c>
      <c r="Q93" s="231" t="s">
        <v>1557</v>
      </c>
      <c r="R93" s="231" t="s">
        <v>1903</v>
      </c>
      <c r="S93" s="114" t="str">
        <f>IFERROR(INDEX(Tabela3[Tipos de Tratamento],MATCH('A3.9.1 copy'!O68,Tabela3[Código],0)),"")</f>
        <v>Acumulação de resíduos destinados a uma das operações enumeradas de R1 a R12</v>
      </c>
      <c r="T93" s="114" t="s">
        <v>1558</v>
      </c>
      <c r="U93" s="114" t="s">
        <v>1559</v>
      </c>
      <c r="V93" s="114"/>
    </row>
    <row r="94" spans="1:22" ht="15.75" hidden="1" thickBot="1" x14ac:dyDescent="0.3">
      <c r="A94" s="114" t="s">
        <v>3473</v>
      </c>
      <c r="B94" s="424" t="s">
        <v>45</v>
      </c>
      <c r="C94" s="82" t="str">
        <f t="shared" ref="C94:C112" si="7">IF(A94=B94,"X",RIGHT(A94,LEN(A94)-LEN(B94)-3))</f>
        <v>Barraqueiro Oeste</v>
      </c>
      <c r="D94">
        <v>2022</v>
      </c>
      <c r="E94" s="250" t="s">
        <v>3499</v>
      </c>
      <c r="F94" s="250" t="s">
        <v>3566</v>
      </c>
      <c r="G94" t="s">
        <v>42</v>
      </c>
      <c r="H94" s="82" t="s">
        <v>34</v>
      </c>
      <c r="I94" s="525">
        <v>130208</v>
      </c>
      <c r="J94" s="425" t="str">
        <f>INDEX(aux!B:B,MATCH(I94,aux!A:A,0))</f>
        <v>(*) Outros óleos de motores, transmissões e lubrificação</v>
      </c>
      <c r="K94" s="433" t="str">
        <f>INDEX(aux!C:C,MATCH(I94,aux!A:A,0))</f>
        <v>Sim</v>
      </c>
      <c r="L94" s="298">
        <v>4.9370000000000003</v>
      </c>
      <c r="M94" s="138" t="s">
        <v>1532</v>
      </c>
      <c r="N94" s="139">
        <f t="shared" si="5"/>
        <v>4937</v>
      </c>
      <c r="O94" s="138" t="s">
        <v>480</v>
      </c>
      <c r="P94" s="231" t="str">
        <f t="shared" si="6"/>
        <v>Reciclagem</v>
      </c>
      <c r="Q94" s="231" t="s">
        <v>1902</v>
      </c>
      <c r="R94" s="231" t="s">
        <v>1877</v>
      </c>
      <c r="S94" s="114" t="str">
        <f>IFERROR(INDEX(Tabela3[Tipos de Tratamento],MATCH('A3.9.1 copy'!O53,Tabela3[Código],0)),"")</f>
        <v>Acumulação de resíduos destinados a uma das operações enumeradas de R1 a R12</v>
      </c>
      <c r="T94" s="114" t="s">
        <v>1535</v>
      </c>
      <c r="U94" s="114" t="s">
        <v>1536</v>
      </c>
      <c r="V94" s="114"/>
    </row>
    <row r="95" spans="1:22" ht="15.75" hidden="1" thickBot="1" x14ac:dyDescent="0.3">
      <c r="A95" s="114" t="s">
        <v>3473</v>
      </c>
      <c r="B95" s="424" t="s">
        <v>45</v>
      </c>
      <c r="C95" s="82" t="str">
        <f t="shared" si="7"/>
        <v>Barraqueiro Oeste</v>
      </c>
      <c r="D95">
        <v>2022</v>
      </c>
      <c r="E95" s="250" t="s">
        <v>3499</v>
      </c>
      <c r="F95" s="250" t="s">
        <v>3566</v>
      </c>
      <c r="G95" t="s">
        <v>42</v>
      </c>
      <c r="H95" s="82" t="s">
        <v>34</v>
      </c>
      <c r="I95" s="525">
        <v>150101</v>
      </c>
      <c r="J95" s="425" t="str">
        <f>INDEX(aux!B:B,MATCH(I95,aux!A:A,0))</f>
        <v>Embalagens de papel e cartão</v>
      </c>
      <c r="K95" s="433" t="str">
        <f>INDEX(aux!C:C,MATCH(I95,aux!A:A,0))</f>
        <v>Não</v>
      </c>
      <c r="L95" s="298">
        <v>0.24</v>
      </c>
      <c r="M95" s="138" t="s">
        <v>1532</v>
      </c>
      <c r="N95" s="139">
        <f t="shared" si="5"/>
        <v>240</v>
      </c>
      <c r="O95" s="138" t="s">
        <v>483</v>
      </c>
      <c r="P95" s="231" t="str">
        <f t="shared" si="6"/>
        <v>Reciclagem</v>
      </c>
      <c r="Q95" s="231" t="s">
        <v>1904</v>
      </c>
      <c r="R95" s="231" t="s">
        <v>1903</v>
      </c>
      <c r="S95" s="114" t="str">
        <f>IFERROR(INDEX(Tabela3[Tipos de Tratamento],MATCH('A3.9.1 copy'!O56,Tabela3[Código],0)),"")</f>
        <v>Acumulação de resíduos destinados a uma das operações enumeradas de R1 a R12</v>
      </c>
      <c r="T95" s="114" t="s">
        <v>1538</v>
      </c>
      <c r="U95" s="114" t="s">
        <v>1539</v>
      </c>
      <c r="V95" s="114"/>
    </row>
    <row r="96" spans="1:22" ht="15.75" hidden="1" thickBot="1" x14ac:dyDescent="0.3">
      <c r="A96" s="114" t="s">
        <v>3473</v>
      </c>
      <c r="B96" s="424" t="s">
        <v>45</v>
      </c>
      <c r="C96" s="82" t="str">
        <f t="shared" si="7"/>
        <v>Barraqueiro Oeste</v>
      </c>
      <c r="D96">
        <v>2022</v>
      </c>
      <c r="E96" s="250" t="s">
        <v>3499</v>
      </c>
      <c r="F96" s="250" t="s">
        <v>3566</v>
      </c>
      <c r="G96" t="s">
        <v>42</v>
      </c>
      <c r="H96" s="82" t="s">
        <v>34</v>
      </c>
      <c r="I96" s="525">
        <v>150101</v>
      </c>
      <c r="J96" s="425" t="str">
        <f>INDEX(aux!B:B,MATCH(I96,aux!A:A,0))</f>
        <v>Embalagens de papel e cartão</v>
      </c>
      <c r="K96" s="433" t="str">
        <f>INDEX(aux!C:C,MATCH(I96,aux!A:A,0))</f>
        <v>Não</v>
      </c>
      <c r="L96" s="298">
        <v>7.0999999999999994E-2</v>
      </c>
      <c r="M96" s="138" t="s">
        <v>1532</v>
      </c>
      <c r="N96" s="139">
        <f t="shared" si="5"/>
        <v>71</v>
      </c>
      <c r="O96" s="138" t="s">
        <v>483</v>
      </c>
      <c r="P96" s="231" t="str">
        <f t="shared" si="6"/>
        <v>Reciclagem</v>
      </c>
      <c r="Q96" s="231" t="s">
        <v>1904</v>
      </c>
      <c r="R96" s="231" t="s">
        <v>1903</v>
      </c>
      <c r="S96" s="114" t="str">
        <f>IFERROR(INDEX(Tabela3[Tipos de Tratamento],MATCH('A3.9.1 copy'!O57,Tabela3[Código],0)),"")</f>
        <v xml:space="preserve">Troca de resíduos com vista a submetê-los a uma das operações enumeradas de R 1 a R 11 </v>
      </c>
      <c r="T96" s="114" t="s">
        <v>1573</v>
      </c>
      <c r="U96" s="114" t="s">
        <v>1574</v>
      </c>
      <c r="V96" s="114"/>
    </row>
    <row r="97" spans="1:22" ht="15.75" hidden="1" thickBot="1" x14ac:dyDescent="0.3">
      <c r="A97" s="114" t="s">
        <v>3473</v>
      </c>
      <c r="B97" s="424" t="s">
        <v>45</v>
      </c>
      <c r="C97" s="82" t="str">
        <f t="shared" si="7"/>
        <v>Barraqueiro Oeste</v>
      </c>
      <c r="D97">
        <v>2022</v>
      </c>
      <c r="E97" s="250" t="s">
        <v>3499</v>
      </c>
      <c r="F97" s="250" t="s">
        <v>3566</v>
      </c>
      <c r="G97" t="s">
        <v>42</v>
      </c>
      <c r="H97" s="82" t="s">
        <v>34</v>
      </c>
      <c r="I97" s="525">
        <v>150101</v>
      </c>
      <c r="J97" s="425" t="str">
        <f>INDEX(aux!B:B,MATCH(I97,aux!A:A,0))</f>
        <v>Embalagens de papel e cartão</v>
      </c>
      <c r="K97" s="433" t="str">
        <f>INDEX(aux!C:C,MATCH(I97,aux!A:A,0))</f>
        <v>Não</v>
      </c>
      <c r="L97" s="298">
        <v>0.122</v>
      </c>
      <c r="M97" s="138" t="s">
        <v>1532</v>
      </c>
      <c r="N97" s="139">
        <f t="shared" si="5"/>
        <v>122</v>
      </c>
      <c r="O97" s="138" t="s">
        <v>484</v>
      </c>
      <c r="P97" s="231" t="str">
        <f t="shared" si="6"/>
        <v>Reciclagem</v>
      </c>
      <c r="Q97" s="231" t="s">
        <v>1904</v>
      </c>
      <c r="R97" s="231" t="s">
        <v>1903</v>
      </c>
      <c r="S97" s="114" t="str">
        <f>IFERROR(INDEX(Tabela3[Tipos de Tratamento],MATCH('A3.9.1 copy'!O58,Tabela3[Código],0)),"")</f>
        <v xml:space="preserve">Troca de resíduos com vista a submetê-los a uma das operações enumeradas de R 1 a R 11 </v>
      </c>
      <c r="T97" s="114" t="s">
        <v>1573</v>
      </c>
      <c r="U97" s="114" t="s">
        <v>1574</v>
      </c>
      <c r="V97" s="114"/>
    </row>
    <row r="98" spans="1:22" ht="15.75" hidden="1" thickBot="1" x14ac:dyDescent="0.3">
      <c r="A98" s="114" t="s">
        <v>3473</v>
      </c>
      <c r="B98" s="424" t="s">
        <v>45</v>
      </c>
      <c r="C98" s="82" t="str">
        <f t="shared" si="7"/>
        <v>Barraqueiro Oeste</v>
      </c>
      <c r="D98">
        <v>2022</v>
      </c>
      <c r="E98" s="250" t="s">
        <v>3499</v>
      </c>
      <c r="F98" s="250" t="s">
        <v>3566</v>
      </c>
      <c r="G98" t="s">
        <v>42</v>
      </c>
      <c r="H98" s="82" t="s">
        <v>34</v>
      </c>
      <c r="I98" s="525">
        <v>150101</v>
      </c>
      <c r="J98" s="425" t="str">
        <f>INDEX(aux!B:B,MATCH(I98,aux!A:A,0))</f>
        <v>Embalagens de papel e cartão</v>
      </c>
      <c r="K98" s="433" t="str">
        <f>INDEX(aux!C:C,MATCH(I98,aux!A:A,0))</f>
        <v>Não</v>
      </c>
      <c r="L98" s="298">
        <v>0.88</v>
      </c>
      <c r="M98" s="138" t="s">
        <v>1532</v>
      </c>
      <c r="N98" s="139">
        <f t="shared" si="5"/>
        <v>880</v>
      </c>
      <c r="O98" s="138" t="s">
        <v>483</v>
      </c>
      <c r="P98" s="231" t="str">
        <f t="shared" si="6"/>
        <v>Reciclagem</v>
      </c>
      <c r="Q98" s="231" t="s">
        <v>1904</v>
      </c>
      <c r="R98" s="231" t="s">
        <v>1903</v>
      </c>
      <c r="S98" s="114" t="str">
        <f>IFERROR(INDEX(Tabela3[Tipos de Tratamento],MATCH('A3.9.1 copy'!O59,Tabela3[Código],0)),"")</f>
        <v>Armazenagem enquanto se aguarda a execução de uma das operações enumeradas de D1 a D14</v>
      </c>
      <c r="T98" s="114" t="s">
        <v>1540</v>
      </c>
      <c r="U98" s="114" t="s">
        <v>1541</v>
      </c>
      <c r="V98" s="114"/>
    </row>
    <row r="99" spans="1:22" ht="15.75" hidden="1" thickBot="1" x14ac:dyDescent="0.3">
      <c r="A99" s="114" t="s">
        <v>3473</v>
      </c>
      <c r="B99" s="424" t="s">
        <v>45</v>
      </c>
      <c r="C99" s="82" t="str">
        <f t="shared" si="7"/>
        <v>Barraqueiro Oeste</v>
      </c>
      <c r="D99">
        <v>2022</v>
      </c>
      <c r="E99" s="250" t="s">
        <v>3499</v>
      </c>
      <c r="F99" s="250" t="s">
        <v>3566</v>
      </c>
      <c r="G99" t="s">
        <v>42</v>
      </c>
      <c r="H99" s="82" t="s">
        <v>34</v>
      </c>
      <c r="I99" s="525">
        <v>150102</v>
      </c>
      <c r="J99" s="425" t="str">
        <f>INDEX(aux!B:B,MATCH(I99,aux!A:A,0))</f>
        <v>Embalagens de plástico</v>
      </c>
      <c r="K99" s="433" t="str">
        <f>INDEX(aux!C:C,MATCH(I99,aux!A:A,0))</f>
        <v>Não</v>
      </c>
      <c r="L99" s="298">
        <v>0.106</v>
      </c>
      <c r="M99" s="138" t="s">
        <v>1532</v>
      </c>
      <c r="N99" s="139">
        <f t="shared" si="5"/>
        <v>106</v>
      </c>
      <c r="O99" s="138" t="s">
        <v>483</v>
      </c>
      <c r="P99" s="231" t="str">
        <f t="shared" si="6"/>
        <v>Reciclagem</v>
      </c>
      <c r="Q99" s="231" t="s">
        <v>1560</v>
      </c>
      <c r="R99" s="231" t="s">
        <v>1903</v>
      </c>
      <c r="S99" s="114" t="str">
        <f>IFERROR(INDEX(Tabela3[Tipos de Tratamento],MATCH('A3.9.1 copy'!O60,Tabela3[Código],0)),"")</f>
        <v>Acumulação de resíduos destinados a uma das operações enumeradas de R1 a R12</v>
      </c>
      <c r="T99" s="114" t="s">
        <v>1538</v>
      </c>
      <c r="U99" s="114" t="s">
        <v>1539</v>
      </c>
      <c r="V99" s="114"/>
    </row>
    <row r="100" spans="1:22" ht="15.75" hidden="1" thickBot="1" x14ac:dyDescent="0.3">
      <c r="A100" s="114" t="s">
        <v>3473</v>
      </c>
      <c r="B100" s="424" t="s">
        <v>45</v>
      </c>
      <c r="C100" s="82" t="str">
        <f t="shared" si="7"/>
        <v>Barraqueiro Oeste</v>
      </c>
      <c r="D100">
        <v>2022</v>
      </c>
      <c r="E100" s="250" t="s">
        <v>3499</v>
      </c>
      <c r="F100" s="250" t="s">
        <v>3566</v>
      </c>
      <c r="G100" t="s">
        <v>42</v>
      </c>
      <c r="H100" s="82" t="s">
        <v>34</v>
      </c>
      <c r="I100" s="525">
        <v>150102</v>
      </c>
      <c r="J100" s="425" t="str">
        <f>INDEX(aux!B:B,MATCH(I100,aux!A:A,0))</f>
        <v>Embalagens de plástico</v>
      </c>
      <c r="K100" s="433" t="str">
        <f>INDEX(aux!C:C,MATCH(I100,aux!A:A,0))</f>
        <v>Não</v>
      </c>
      <c r="L100" s="298">
        <v>2.4E-2</v>
      </c>
      <c r="M100" s="138" t="s">
        <v>1532</v>
      </c>
      <c r="N100" s="139">
        <f t="shared" si="5"/>
        <v>24</v>
      </c>
      <c r="O100" s="138" t="s">
        <v>483</v>
      </c>
      <c r="P100" s="231" t="str">
        <f t="shared" si="6"/>
        <v>Reciclagem</v>
      </c>
      <c r="Q100" s="231" t="s">
        <v>1560</v>
      </c>
      <c r="R100" s="231" t="s">
        <v>1903</v>
      </c>
      <c r="S100" s="114" t="str">
        <f>IFERROR(INDEX(Tabela3[Tipos de Tratamento],MATCH('A3.9.1 copy'!O61,Tabela3[Código],0)),"")</f>
        <v xml:space="preserve">Troca de resíduos com vista a submetê-los a uma das operações enumeradas de R 1 a R 11 </v>
      </c>
      <c r="T100" s="114" t="s">
        <v>1573</v>
      </c>
      <c r="U100" s="114" t="s">
        <v>1574</v>
      </c>
      <c r="V100" s="114"/>
    </row>
    <row r="101" spans="1:22" ht="15.75" hidden="1" thickBot="1" x14ac:dyDescent="0.3">
      <c r="A101" s="114" t="s">
        <v>3473</v>
      </c>
      <c r="B101" s="424" t="s">
        <v>45</v>
      </c>
      <c r="C101" s="82" t="str">
        <f t="shared" si="7"/>
        <v>Barraqueiro Oeste</v>
      </c>
      <c r="D101">
        <v>2022</v>
      </c>
      <c r="E101" s="250" t="s">
        <v>3499</v>
      </c>
      <c r="F101" s="250" t="s">
        <v>3566</v>
      </c>
      <c r="G101" t="s">
        <v>42</v>
      </c>
      <c r="H101" s="82" t="s">
        <v>34</v>
      </c>
      <c r="I101" s="525">
        <v>130502</v>
      </c>
      <c r="J101" s="425" t="str">
        <f>INDEX(aux!B:B,MATCH(I101,aux!A:A,0))</f>
        <v>(*) Lamas provenientes dos separadores óleo/água</v>
      </c>
      <c r="K101" s="433" t="str">
        <f>INDEX(aux!C:C,MATCH(I101,aux!A:A,0))</f>
        <v>Sim</v>
      </c>
      <c r="L101" s="298">
        <v>5.4</v>
      </c>
      <c r="M101" s="138" t="s">
        <v>1532</v>
      </c>
      <c r="N101" s="139">
        <f t="shared" si="5"/>
        <v>5400</v>
      </c>
      <c r="O101" s="138" t="s">
        <v>483</v>
      </c>
      <c r="P101" s="231" t="str">
        <f t="shared" si="6"/>
        <v>Reciclagem</v>
      </c>
      <c r="Q101" s="231" t="s">
        <v>1901</v>
      </c>
      <c r="R101" s="231" t="s">
        <v>1892</v>
      </c>
      <c r="S101" s="114" t="str">
        <f>IFERROR(INDEX(Tabela3[Tipos de Tratamento],MATCH('A3.9.1 copy'!O54,Tabela3[Código],0)),"")</f>
        <v xml:space="preserve">Troca de resíduos com vista a submetê-los a uma das operações enumeradas de R 1 a R 11 </v>
      </c>
      <c r="T101" s="114" t="s">
        <v>1570</v>
      </c>
      <c r="U101" s="114" t="s">
        <v>1571</v>
      </c>
      <c r="V101" s="114"/>
    </row>
    <row r="102" spans="1:22" ht="15.75" hidden="1" thickBot="1" x14ac:dyDescent="0.3">
      <c r="A102" s="114" t="s">
        <v>3473</v>
      </c>
      <c r="B102" s="424" t="s">
        <v>45</v>
      </c>
      <c r="C102" s="82" t="str">
        <f t="shared" si="7"/>
        <v>Barraqueiro Oeste</v>
      </c>
      <c r="D102">
        <v>2022</v>
      </c>
      <c r="E102" s="250" t="s">
        <v>3499</v>
      </c>
      <c r="F102" s="250" t="s">
        <v>3566</v>
      </c>
      <c r="G102" t="s">
        <v>42</v>
      </c>
      <c r="H102" s="82" t="s">
        <v>34</v>
      </c>
      <c r="I102" s="525">
        <v>130507</v>
      </c>
      <c r="J102" s="425" t="str">
        <f>INDEX(aux!B:B,MATCH(I102,aux!A:A,0))</f>
        <v>(*) Água com óleo proveniente dos separadores óleo/água</v>
      </c>
      <c r="K102" s="433" t="str">
        <f>INDEX(aux!C:C,MATCH(I102,aux!A:A,0))</f>
        <v>Sim</v>
      </c>
      <c r="L102" s="298">
        <v>8.8800000000000008</v>
      </c>
      <c r="M102" s="138" t="s">
        <v>1532</v>
      </c>
      <c r="N102" s="139">
        <f t="shared" si="5"/>
        <v>8880</v>
      </c>
      <c r="O102" s="138" t="s">
        <v>483</v>
      </c>
      <c r="P102" s="231" t="str">
        <f t="shared" si="6"/>
        <v>Reciclagem</v>
      </c>
      <c r="Q102" s="231" t="s">
        <v>1901</v>
      </c>
      <c r="R102" s="231" t="s">
        <v>1892</v>
      </c>
      <c r="S102" s="114" t="str">
        <f>IFERROR(INDEX(Tabela3[Tipos de Tratamento],MATCH('A3.9.1 copy'!O55,Tabela3[Código],0)),"")</f>
        <v>Acumulação de resíduos destinados a uma das operações enumeradas de R1 a R12</v>
      </c>
      <c r="T102" s="114" t="s">
        <v>1570</v>
      </c>
      <c r="U102" s="114" t="s">
        <v>1571</v>
      </c>
      <c r="V102" s="114"/>
    </row>
    <row r="103" spans="1:22" ht="15.75" hidden="1" thickBot="1" x14ac:dyDescent="0.3">
      <c r="A103" s="114" t="s">
        <v>3473</v>
      </c>
      <c r="B103" s="424" t="s">
        <v>45</v>
      </c>
      <c r="C103" s="82" t="str">
        <f t="shared" si="7"/>
        <v>Barraqueiro Oeste</v>
      </c>
      <c r="D103">
        <v>2022</v>
      </c>
      <c r="E103" s="250" t="s">
        <v>3499</v>
      </c>
      <c r="F103" s="250" t="s">
        <v>3566</v>
      </c>
      <c r="G103" t="s">
        <v>42</v>
      </c>
      <c r="H103" s="82" t="s">
        <v>34</v>
      </c>
      <c r="I103" s="525">
        <v>150110</v>
      </c>
      <c r="J103" s="425" t="str">
        <f>INDEX(aux!B:B,MATCH(I103,aux!A:A,0))</f>
        <v>(*) Embalagens contendo ou contaminadas por resíduos de substâncias perigosas</v>
      </c>
      <c r="K103" s="433" t="str">
        <f>INDEX(aux!C:C,MATCH(I103,aux!A:A,0))</f>
        <v>Sim</v>
      </c>
      <c r="L103" s="298">
        <v>0.09</v>
      </c>
      <c r="M103" s="138" t="s">
        <v>1532</v>
      </c>
      <c r="N103" s="139">
        <f t="shared" si="5"/>
        <v>90</v>
      </c>
      <c r="O103" s="138" t="s">
        <v>484</v>
      </c>
      <c r="P103" s="231" t="str">
        <f t="shared" si="6"/>
        <v>Reciclagem</v>
      </c>
      <c r="Q103" s="231" t="s">
        <v>1901</v>
      </c>
      <c r="R103" s="231" t="s">
        <v>1892</v>
      </c>
      <c r="S103" s="114" t="str">
        <f>IFERROR(INDEX(Tabela3[Tipos de Tratamento],MATCH('A3.9.1 copy'!O62,Tabela3[Código],0)),"")</f>
        <v>Acumulação de resíduos destinados a uma das operações enumeradas de R1 a R12</v>
      </c>
      <c r="T103" s="114" t="s">
        <v>1538</v>
      </c>
      <c r="U103" s="114" t="s">
        <v>1539</v>
      </c>
      <c r="V103" s="114"/>
    </row>
    <row r="104" spans="1:22" ht="15.75" hidden="1" thickBot="1" x14ac:dyDescent="0.3">
      <c r="A104" s="114" t="s">
        <v>3473</v>
      </c>
      <c r="B104" s="424" t="s">
        <v>45</v>
      </c>
      <c r="C104" s="82" t="str">
        <f t="shared" si="7"/>
        <v>Barraqueiro Oeste</v>
      </c>
      <c r="D104">
        <v>2022</v>
      </c>
      <c r="E104" s="250" t="s">
        <v>3499</v>
      </c>
      <c r="F104" s="250" t="s">
        <v>3566</v>
      </c>
      <c r="G104" t="s">
        <v>42</v>
      </c>
      <c r="H104" s="82" t="s">
        <v>34</v>
      </c>
      <c r="I104" s="525">
        <v>150202</v>
      </c>
      <c r="J104" s="425" t="str">
        <f>INDEX(aux!B:B,MATCH(I104,aux!A:A,0))</f>
        <v>(*) Absorventes, materiais filtrantes (incluindo filtros de óleo sem outras especificações), panos de limpeza e vestuário de proteção, contaminados por substâncias perigosas</v>
      </c>
      <c r="K104" s="433" t="str">
        <f>INDEX(aux!C:C,MATCH(I104,aux!A:A,0))</f>
        <v>Sim</v>
      </c>
      <c r="L104" s="298">
        <v>0.36</v>
      </c>
      <c r="M104" s="138" t="s">
        <v>1532</v>
      </c>
      <c r="N104" s="139">
        <f t="shared" si="5"/>
        <v>360</v>
      </c>
      <c r="O104" s="138" t="s">
        <v>484</v>
      </c>
      <c r="P104" s="231" t="str">
        <f t="shared" si="6"/>
        <v>Reciclagem</v>
      </c>
      <c r="Q104" s="231" t="s">
        <v>1901</v>
      </c>
      <c r="R104" s="231" t="s">
        <v>1892</v>
      </c>
      <c r="S104" s="114" t="str">
        <f>IFERROR(INDEX(Tabela3[Tipos de Tratamento],MATCH('A3.9.1 copy'!O63,Tabela3[Código],0)),"")</f>
        <v xml:space="preserve">Troca de resíduos com vista a submetê-los a uma das operações enumeradas de R 1 a R 11 </v>
      </c>
      <c r="T104" s="114" t="s">
        <v>1538</v>
      </c>
      <c r="U104" s="114" t="s">
        <v>1539</v>
      </c>
      <c r="V104" s="114"/>
    </row>
    <row r="105" spans="1:22" ht="15.75" hidden="1" thickBot="1" x14ac:dyDescent="0.3">
      <c r="A105" s="114" t="s">
        <v>3473</v>
      </c>
      <c r="B105" s="424" t="s">
        <v>45</v>
      </c>
      <c r="C105" s="82" t="str">
        <f t="shared" si="7"/>
        <v>Barraqueiro Oeste</v>
      </c>
      <c r="D105">
        <v>2022</v>
      </c>
      <c r="E105" s="250" t="s">
        <v>3499</v>
      </c>
      <c r="F105" s="250" t="s">
        <v>3566</v>
      </c>
      <c r="G105" t="s">
        <v>42</v>
      </c>
      <c r="H105" s="82" t="s">
        <v>34</v>
      </c>
      <c r="I105" s="525">
        <v>150203</v>
      </c>
      <c r="J105" s="425" t="str">
        <f>INDEX(aux!B:B,MATCH(I105,aux!A:A,0))</f>
        <v>Absorventes, materiais filtrantes, panos de limpeza e vestuário de proteção não abrangidos em 15 02 02</v>
      </c>
      <c r="K105" s="433" t="str">
        <f>INDEX(aux!C:C,MATCH(I105,aux!A:A,0))</f>
        <v>Não</v>
      </c>
      <c r="L105" s="298">
        <v>0.6</v>
      </c>
      <c r="M105" s="138" t="s">
        <v>1532</v>
      </c>
      <c r="N105" s="139">
        <f t="shared" si="5"/>
        <v>600</v>
      </c>
      <c r="O105" s="138" t="s">
        <v>483</v>
      </c>
      <c r="P105" s="231" t="str">
        <f t="shared" si="6"/>
        <v>Reciclagem</v>
      </c>
      <c r="Q105" s="231" t="s">
        <v>1901</v>
      </c>
      <c r="R105" s="231" t="s">
        <v>1892</v>
      </c>
      <c r="S105" s="114" t="str">
        <f>IFERROR(INDEX(Tabela3[Tipos de Tratamento],MATCH('A3.9.1 copy'!O64,Tabela3[Código],0)),"")</f>
        <v xml:space="preserve">Troca de resíduos com vista a submetê-los a uma das operações enumeradas de R 1 a R 11 </v>
      </c>
      <c r="T105" s="114" t="s">
        <v>1538</v>
      </c>
      <c r="U105" s="114" t="s">
        <v>1539</v>
      </c>
      <c r="V105" s="114"/>
    </row>
    <row r="106" spans="1:22" ht="15.75" hidden="1" thickBot="1" x14ac:dyDescent="0.3">
      <c r="A106" s="114" t="s">
        <v>3473</v>
      </c>
      <c r="B106" s="424" t="s">
        <v>45</v>
      </c>
      <c r="C106" s="82" t="str">
        <f t="shared" si="7"/>
        <v>Barraqueiro Oeste</v>
      </c>
      <c r="D106">
        <v>2022</v>
      </c>
      <c r="E106" s="250" t="s">
        <v>3499</v>
      </c>
      <c r="F106" s="250" t="s">
        <v>3566</v>
      </c>
      <c r="G106" t="s">
        <v>42</v>
      </c>
      <c r="H106" s="82" t="s">
        <v>34</v>
      </c>
      <c r="I106" s="525">
        <v>150203</v>
      </c>
      <c r="J106" s="425" t="str">
        <f>INDEX(aux!B:B,MATCH(I106,aux!A:A,0))</f>
        <v>Absorventes, materiais filtrantes, panos de limpeza e vestuário de proteção não abrangidos em 15 02 02</v>
      </c>
      <c r="K106" s="433" t="str">
        <f>INDEX(aux!C:C,MATCH(I106,aux!A:A,0))</f>
        <v>Não</v>
      </c>
      <c r="L106" s="298">
        <v>0.2</v>
      </c>
      <c r="M106" s="138" t="s">
        <v>1532</v>
      </c>
      <c r="N106" s="139">
        <f t="shared" si="5"/>
        <v>200</v>
      </c>
      <c r="O106" s="138" t="s">
        <v>509</v>
      </c>
      <c r="P106" s="231" t="str">
        <f t="shared" si="6"/>
        <v>Aterro</v>
      </c>
      <c r="Q106" s="231" t="s">
        <v>1901</v>
      </c>
      <c r="R106" s="231" t="s">
        <v>1892</v>
      </c>
      <c r="S106" s="114" t="str">
        <f>IFERROR(INDEX(Tabela3[Tipos de Tratamento],MATCH('A3.9.1 copy'!O65,Tabela3[Código],0)),"")</f>
        <v xml:space="preserve">Troca de resíduos com vista a submetê-los a uma das operações enumeradas de R 1 a R 11 </v>
      </c>
      <c r="T106" s="114" t="s">
        <v>1573</v>
      </c>
      <c r="U106" s="114" t="s">
        <v>1574</v>
      </c>
      <c r="V106" s="114"/>
    </row>
    <row r="107" spans="1:22" ht="15.75" hidden="1" thickBot="1" x14ac:dyDescent="0.3">
      <c r="A107" s="114" t="s">
        <v>3473</v>
      </c>
      <c r="B107" s="424" t="s">
        <v>45</v>
      </c>
      <c r="C107" s="82" t="str">
        <f t="shared" si="7"/>
        <v>Barraqueiro Oeste</v>
      </c>
      <c r="D107">
        <v>2022</v>
      </c>
      <c r="E107" s="250" t="s">
        <v>3499</v>
      </c>
      <c r="F107" s="250" t="s">
        <v>3566</v>
      </c>
      <c r="G107" t="s">
        <v>42</v>
      </c>
      <c r="H107" s="82" t="s">
        <v>34</v>
      </c>
      <c r="I107" s="525">
        <v>160107</v>
      </c>
      <c r="J107" s="425" t="str">
        <f>INDEX(aux!B:B,MATCH(I107,aux!A:A,0))</f>
        <v>(*) Filtros de óleo</v>
      </c>
      <c r="K107" s="433" t="str">
        <f>INDEX(aux!C:C,MATCH(I107,aux!A:A,0))</f>
        <v>Sim</v>
      </c>
      <c r="L107" s="298">
        <v>0.312</v>
      </c>
      <c r="M107" s="138" t="s">
        <v>1532</v>
      </c>
      <c r="N107" s="139">
        <f t="shared" si="5"/>
        <v>312</v>
      </c>
      <c r="O107" s="138" t="s">
        <v>484</v>
      </c>
      <c r="P107" s="231" t="str">
        <f t="shared" si="6"/>
        <v>Reciclagem</v>
      </c>
      <c r="Q107" s="231" t="s">
        <v>1901</v>
      </c>
      <c r="R107" s="231" t="s">
        <v>1892</v>
      </c>
      <c r="S107" s="114" t="str">
        <f>IFERROR(INDEX(Tabela3[Tipos de Tratamento],MATCH('A3.9.1 copy'!O66,Tabela3[Código],0)),"")</f>
        <v xml:space="preserve">Troca de resíduos com vista a submetê-los a uma das operações enumeradas de R 1 a R 11 </v>
      </c>
      <c r="T107" s="114" t="s">
        <v>1538</v>
      </c>
      <c r="U107" s="114" t="s">
        <v>1539</v>
      </c>
      <c r="V107" s="114"/>
    </row>
    <row r="108" spans="1:22" ht="15.75" hidden="1" thickBot="1" x14ac:dyDescent="0.3">
      <c r="A108" s="114" t="s">
        <v>3473</v>
      </c>
      <c r="B108" s="424" t="s">
        <v>45</v>
      </c>
      <c r="C108" s="82" t="str">
        <f t="shared" si="7"/>
        <v>Barraqueiro Oeste</v>
      </c>
      <c r="D108">
        <v>2022</v>
      </c>
      <c r="E108" s="250" t="s">
        <v>3499</v>
      </c>
      <c r="F108" s="250" t="s">
        <v>3566</v>
      </c>
      <c r="G108" t="s">
        <v>42</v>
      </c>
      <c r="H108" s="82" t="s">
        <v>34</v>
      </c>
      <c r="I108" s="525">
        <v>160121</v>
      </c>
      <c r="J108" s="425" t="str">
        <f>INDEX(aux!B:B,MATCH(I108,aux!A:A,0))</f>
        <v>(*) Componentes perigosos não abrangidos em 16 01 07 a 16 01 11, 16 01 13 e 16 01 14</v>
      </c>
      <c r="K108" s="433" t="str">
        <f>INDEX(aux!C:C,MATCH(I108,aux!A:A,0))</f>
        <v>Sim</v>
      </c>
      <c r="L108" s="298">
        <v>0.16800000000000001</v>
      </c>
      <c r="M108" s="138" t="s">
        <v>1532</v>
      </c>
      <c r="N108" s="139">
        <f t="shared" si="5"/>
        <v>168</v>
      </c>
      <c r="O108" s="138" t="s">
        <v>509</v>
      </c>
      <c r="P108" s="231" t="str">
        <f t="shared" si="6"/>
        <v>Aterro</v>
      </c>
      <c r="Q108" s="231" t="s">
        <v>1901</v>
      </c>
      <c r="R108" s="231" t="s">
        <v>1892</v>
      </c>
      <c r="S108" s="114" t="str">
        <f>IFERROR(INDEX(Tabela3[Tipos de Tratamento],MATCH('A3.9.1 copy'!O69,Tabela3[Código],0)),"")</f>
        <v xml:space="preserve">Regeneração de óleos e outras reutilizações de óleos </v>
      </c>
      <c r="T108" s="114" t="s">
        <v>1573</v>
      </c>
      <c r="U108" s="114" t="s">
        <v>1574</v>
      </c>
      <c r="V108" s="114"/>
    </row>
    <row r="109" spans="1:22" ht="15.75" hidden="1" thickBot="1" x14ac:dyDescent="0.3">
      <c r="A109" s="114" t="s">
        <v>3473</v>
      </c>
      <c r="B109" s="424" t="s">
        <v>45</v>
      </c>
      <c r="C109" s="82" t="str">
        <f t="shared" si="7"/>
        <v>Barraqueiro Oeste</v>
      </c>
      <c r="D109">
        <v>2022</v>
      </c>
      <c r="E109" s="250" t="s">
        <v>3499</v>
      </c>
      <c r="F109" s="250" t="s">
        <v>3566</v>
      </c>
      <c r="G109" t="s">
        <v>42</v>
      </c>
      <c r="H109" s="82" t="s">
        <v>34</v>
      </c>
      <c r="I109" s="525">
        <v>160199</v>
      </c>
      <c r="J109" s="425" t="str">
        <f>INDEX(aux!B:B,MATCH(I109,aux!A:A,0))</f>
        <v>Resíduos sem outras especificações</v>
      </c>
      <c r="K109" s="433" t="str">
        <f>INDEX(aux!C:C,MATCH(I109,aux!A:A,0))</f>
        <v>Não</v>
      </c>
      <c r="L109" s="298">
        <v>0.51</v>
      </c>
      <c r="M109" s="138" t="s">
        <v>1532</v>
      </c>
      <c r="N109" s="139">
        <f t="shared" si="5"/>
        <v>510</v>
      </c>
      <c r="O109" s="138" t="s">
        <v>483</v>
      </c>
      <c r="P109" s="231" t="str">
        <f t="shared" si="6"/>
        <v>Reciclagem</v>
      </c>
      <c r="Q109" s="231" t="s">
        <v>1901</v>
      </c>
      <c r="R109" s="231" t="s">
        <v>1892</v>
      </c>
      <c r="S109" s="114" t="str">
        <f>IFERROR(INDEX(Tabela3[Tipos de Tratamento],MATCH('A3.9.1 copy'!O70,Tabela3[Código],0)),"")</f>
        <v>Acumulação de resíduos destinados a uma das operações enumeradas de R1 a R12</v>
      </c>
      <c r="T109" s="114" t="s">
        <v>1538</v>
      </c>
      <c r="U109" s="114" t="s">
        <v>1539</v>
      </c>
      <c r="V109" s="114"/>
    </row>
    <row r="110" spans="1:22" ht="15.75" hidden="1" thickBot="1" x14ac:dyDescent="0.3">
      <c r="A110" s="114" t="s">
        <v>3473</v>
      </c>
      <c r="B110" s="424" t="s">
        <v>45</v>
      </c>
      <c r="C110" s="82" t="str">
        <f t="shared" si="7"/>
        <v>Barraqueiro Oeste</v>
      </c>
      <c r="D110">
        <v>2022</v>
      </c>
      <c r="E110" s="250" t="s">
        <v>3499</v>
      </c>
      <c r="F110" s="250" t="s">
        <v>3566</v>
      </c>
      <c r="G110" t="s">
        <v>42</v>
      </c>
      <c r="H110" s="82" t="s">
        <v>34</v>
      </c>
      <c r="I110" s="525">
        <v>160199</v>
      </c>
      <c r="J110" s="425" t="str">
        <f>INDEX(aux!B:B,MATCH(I110,aux!A:A,0))</f>
        <v>Resíduos sem outras especificações</v>
      </c>
      <c r="K110" s="433" t="str">
        <f>INDEX(aux!C:C,MATCH(I110,aux!A:A,0))</f>
        <v>Não</v>
      </c>
      <c r="L110" s="298">
        <v>0.34</v>
      </c>
      <c r="M110" s="138" t="s">
        <v>1532</v>
      </c>
      <c r="N110" s="139">
        <f t="shared" si="5"/>
        <v>340</v>
      </c>
      <c r="O110" s="138" t="s">
        <v>509</v>
      </c>
      <c r="P110" s="231" t="str">
        <f t="shared" si="6"/>
        <v>Aterro</v>
      </c>
      <c r="Q110" s="231" t="s">
        <v>1901</v>
      </c>
      <c r="R110" s="231" t="s">
        <v>1892</v>
      </c>
      <c r="S110" s="114" t="str">
        <f>IFERROR(INDEX(Tabela3[Tipos de Tratamento],MATCH('A3.9.1 copy'!O71,Tabela3[Código],0)),"")</f>
        <v xml:space="preserve">Troca de resíduos com vista a submetê-los a uma das operações enumeradas de R 1 a R 11 </v>
      </c>
      <c r="T110" s="114" t="s">
        <v>1573</v>
      </c>
      <c r="U110" s="114" t="s">
        <v>1574</v>
      </c>
      <c r="V110" s="114"/>
    </row>
    <row r="111" spans="1:22" ht="15.75" hidden="1" thickBot="1" x14ac:dyDescent="0.3">
      <c r="A111" s="137" t="s">
        <v>3473</v>
      </c>
      <c r="B111" s="424" t="s">
        <v>45</v>
      </c>
      <c r="C111" s="82" t="str">
        <f t="shared" si="7"/>
        <v>Barraqueiro Oeste</v>
      </c>
      <c r="D111">
        <v>2022</v>
      </c>
      <c r="E111" s="250" t="s">
        <v>3499</v>
      </c>
      <c r="F111" s="250" t="s">
        <v>3566</v>
      </c>
      <c r="G111" t="s">
        <v>42</v>
      </c>
      <c r="H111" s="82" t="s">
        <v>34</v>
      </c>
      <c r="I111" s="526">
        <v>190805</v>
      </c>
      <c r="J111" s="425" t="str">
        <f>INDEX(aux!B:B,MATCH(I111,aux!A:A,0))</f>
        <v>Lamas do tratamento de águas residuais urbanas</v>
      </c>
      <c r="K111" s="433" t="str">
        <f>INDEX(aux!C:C,MATCH(I111,aux!A:A,0))</f>
        <v>Não</v>
      </c>
      <c r="L111" s="298">
        <v>0.86</v>
      </c>
      <c r="M111" s="138" t="s">
        <v>1532</v>
      </c>
      <c r="N111" s="139">
        <f t="shared" si="5"/>
        <v>860</v>
      </c>
      <c r="O111" s="138" t="s">
        <v>483</v>
      </c>
      <c r="P111" s="231" t="str">
        <f t="shared" si="6"/>
        <v>Reciclagem</v>
      </c>
      <c r="Q111" s="231" t="s">
        <v>1901</v>
      </c>
      <c r="R111" s="231" t="s">
        <v>1892</v>
      </c>
      <c r="S111" s="114" t="str">
        <f>IFERROR(INDEX(Tabela3[Tipos de Tratamento],MATCH('A3.9.1 copy'!O73,Tabela3[Código],0)),"")</f>
        <v xml:space="preserve">Troca de resíduos com vista a submetê-los a uma das operações enumeradas de R 1 a R 11 </v>
      </c>
      <c r="T111" s="114" t="s">
        <v>1570</v>
      </c>
      <c r="U111" s="114" t="s">
        <v>1571</v>
      </c>
      <c r="V111" s="114"/>
    </row>
    <row r="112" spans="1:22" ht="15.75" hidden="1" thickBot="1" x14ac:dyDescent="0.3">
      <c r="A112" s="114" t="s">
        <v>3473</v>
      </c>
      <c r="B112" s="424" t="s">
        <v>45</v>
      </c>
      <c r="C112" s="82" t="str">
        <f t="shared" si="7"/>
        <v>Barraqueiro Oeste</v>
      </c>
      <c r="D112">
        <v>2022</v>
      </c>
      <c r="E112" s="250" t="s">
        <v>3499</v>
      </c>
      <c r="F112" s="250" t="s">
        <v>3566</v>
      </c>
      <c r="G112" t="s">
        <v>42</v>
      </c>
      <c r="H112" s="82" t="s">
        <v>34</v>
      </c>
      <c r="I112" s="525">
        <v>200125</v>
      </c>
      <c r="J112" s="425" t="str">
        <f>INDEX(aux!B:B,MATCH(I112,aux!A:A,0))</f>
        <v>Óleos e gorduras alimentares</v>
      </c>
      <c r="K112" s="433" t="str">
        <f>INDEX(aux!C:C,MATCH(I112,aux!A:A,0))</f>
        <v>Não</v>
      </c>
      <c r="L112" s="298">
        <v>7.0000000000000007E-2</v>
      </c>
      <c r="M112" s="138" t="s">
        <v>1532</v>
      </c>
      <c r="N112" s="139">
        <f t="shared" si="5"/>
        <v>70</v>
      </c>
      <c r="O112" s="138" t="s">
        <v>483</v>
      </c>
      <c r="P112" s="231" t="str">
        <f t="shared" si="6"/>
        <v>Reciclagem</v>
      </c>
      <c r="Q112" s="231" t="s">
        <v>1908</v>
      </c>
      <c r="R112" s="231" t="s">
        <v>1877</v>
      </c>
      <c r="S112" s="114" t="str">
        <f>IFERROR(INDEX(Tabela3[Tipos de Tratamento],MATCH('A3.9.1 copy'!O74,Tabela3[Código],0)),"")</f>
        <v>Armazenagem enquanto se aguarda a execução de uma das operações enumeradas de D1 a D14</v>
      </c>
      <c r="T112" s="114" t="s">
        <v>1566</v>
      </c>
      <c r="U112" s="114" t="s">
        <v>1578</v>
      </c>
      <c r="V112" s="114"/>
    </row>
    <row r="113" spans="1:22" ht="15.75" thickBot="1" x14ac:dyDescent="0.3">
      <c r="A113" s="527" t="str">
        <f t="shared" ref="A113:A134" si="8">B113&amp;" - "&amp;C113</f>
        <v>Barraqueiro Transportes, S.A. - Barraqueiro Oeste</v>
      </c>
      <c r="B113" s="527" t="s">
        <v>45</v>
      </c>
      <c r="C113" s="82" t="s">
        <v>6570</v>
      </c>
      <c r="D113">
        <v>2023</v>
      </c>
      <c r="E113" s="250" t="s">
        <v>3499</v>
      </c>
      <c r="F113" s="250" t="s">
        <v>3566</v>
      </c>
      <c r="G113" t="s">
        <v>42</v>
      </c>
      <c r="H113" s="82" t="s">
        <v>42</v>
      </c>
      <c r="I113" s="530">
        <v>160601</v>
      </c>
      <c r="J113" s="425" t="str">
        <f>INDEX(aux!B:B,MATCH(I113,aux!A:A,0))</f>
        <v>(*) Acumuladores de chumbo</v>
      </c>
      <c r="K113" s="433" t="str">
        <f>INDEX(aux!C:C,MATCH(I113,aux!A:A,0))</f>
        <v>Sim</v>
      </c>
      <c r="L113" s="661">
        <v>1.7</v>
      </c>
      <c r="M113" s="664" t="s">
        <v>1532</v>
      </c>
      <c r="N113" s="139">
        <f t="shared" si="5"/>
        <v>1700</v>
      </c>
      <c r="O113" s="527" t="s">
        <v>484</v>
      </c>
      <c r="P113" s="231" t="str">
        <f t="shared" si="6"/>
        <v>Reciclagem</v>
      </c>
      <c r="Q113" s="231" t="s">
        <v>1653</v>
      </c>
      <c r="R113" s="231" t="s">
        <v>1877</v>
      </c>
      <c r="S113" s="425" t="s">
        <v>1553</v>
      </c>
      <c r="T113" s="425" t="s">
        <v>3171</v>
      </c>
      <c r="U113" s="425" t="s">
        <v>3171</v>
      </c>
      <c r="V113" s="425" t="s">
        <v>6314</v>
      </c>
    </row>
    <row r="114" spans="1:22" ht="15.75" thickBot="1" x14ac:dyDescent="0.3">
      <c r="A114" s="527" t="str">
        <f t="shared" si="8"/>
        <v>Barraqueiro Transportes, S.A. - Barraqueiro Oeste</v>
      </c>
      <c r="B114" s="527" t="s">
        <v>45</v>
      </c>
      <c r="C114" s="82" t="s">
        <v>6570</v>
      </c>
      <c r="D114">
        <v>2023</v>
      </c>
      <c r="E114" s="250" t="s">
        <v>3499</v>
      </c>
      <c r="F114" s="250" t="s">
        <v>3566</v>
      </c>
      <c r="G114" t="s">
        <v>42</v>
      </c>
      <c r="H114" s="82" t="s">
        <v>42</v>
      </c>
      <c r="I114" s="530">
        <v>200136</v>
      </c>
      <c r="J114" s="425" t="str">
        <f>INDEX(aux!B:B,MATCH(I114,aux!A:A,0))</f>
        <v>Equipamento elétrico e eletrónico fora de uso não abrangido em 20 01 21, 20 01 23 ou 20 01 35</v>
      </c>
      <c r="K114" s="433" t="str">
        <f>INDEX(aux!C:C,MATCH(I114,aux!A:A,0))</f>
        <v>Não</v>
      </c>
      <c r="L114" s="661">
        <v>0.42599999999999999</v>
      </c>
      <c r="M114" s="664" t="s">
        <v>1532</v>
      </c>
      <c r="N114" s="139">
        <f t="shared" si="5"/>
        <v>426</v>
      </c>
      <c r="O114" s="527" t="s">
        <v>483</v>
      </c>
      <c r="P114" s="231" t="str">
        <f t="shared" si="6"/>
        <v>Reciclagem</v>
      </c>
      <c r="Q114" s="231" t="s">
        <v>1909</v>
      </c>
      <c r="R114" s="231" t="s">
        <v>1877</v>
      </c>
      <c r="S114" s="425" t="s">
        <v>485</v>
      </c>
      <c r="T114" s="425" t="s">
        <v>3177</v>
      </c>
      <c r="U114" s="425" t="s">
        <v>3177</v>
      </c>
      <c r="V114" s="425" t="s">
        <v>6314</v>
      </c>
    </row>
    <row r="115" spans="1:22" ht="15.75" thickBot="1" x14ac:dyDescent="0.3">
      <c r="A115" s="527" t="str">
        <f t="shared" si="8"/>
        <v>Barraqueiro Transportes, S.A. - Barraqueiro Oeste</v>
      </c>
      <c r="B115" s="527" t="s">
        <v>45</v>
      </c>
      <c r="C115" s="82" t="s">
        <v>6570</v>
      </c>
      <c r="D115">
        <v>2023</v>
      </c>
      <c r="E115" s="250" t="s">
        <v>3499</v>
      </c>
      <c r="F115" s="250" t="s">
        <v>3566</v>
      </c>
      <c r="G115" t="s">
        <v>42</v>
      </c>
      <c r="H115" s="82" t="s">
        <v>42</v>
      </c>
      <c r="I115" s="530">
        <v>160112</v>
      </c>
      <c r="J115" s="425" t="str">
        <f>INDEX(aux!B:B,MATCH(I115,aux!A:A,0))</f>
        <v>Pastilhas de travões não abrangidas em 16 01 11</v>
      </c>
      <c r="K115" s="433" t="str">
        <f>INDEX(aux!C:C,MATCH(I115,aux!A:A,0))</f>
        <v>Não</v>
      </c>
      <c r="L115" s="661">
        <v>2.16</v>
      </c>
      <c r="M115" s="664" t="s">
        <v>1532</v>
      </c>
      <c r="N115" s="139">
        <f t="shared" si="5"/>
        <v>2160</v>
      </c>
      <c r="O115" s="527" t="s">
        <v>483</v>
      </c>
      <c r="P115" s="231" t="str">
        <f t="shared" si="6"/>
        <v>Reciclagem</v>
      </c>
      <c r="Q115" s="231" t="s">
        <v>1557</v>
      </c>
      <c r="R115" s="231" t="s">
        <v>6569</v>
      </c>
      <c r="S115" s="425" t="s">
        <v>485</v>
      </c>
      <c r="T115" s="425" t="s">
        <v>3177</v>
      </c>
      <c r="U115" s="425" t="s">
        <v>3177</v>
      </c>
      <c r="V115" s="425" t="s">
        <v>6314</v>
      </c>
    </row>
    <row r="116" spans="1:22" ht="15.75" thickBot="1" x14ac:dyDescent="0.3">
      <c r="A116" s="527" t="str">
        <f t="shared" si="8"/>
        <v>Barraqueiro Transportes, S.A. - Barraqueiro Oeste</v>
      </c>
      <c r="B116" s="527" t="s">
        <v>45</v>
      </c>
      <c r="C116" s="82" t="s">
        <v>6570</v>
      </c>
      <c r="D116">
        <v>2023</v>
      </c>
      <c r="E116" s="250" t="s">
        <v>3499</v>
      </c>
      <c r="F116" s="250" t="s">
        <v>3566</v>
      </c>
      <c r="G116" t="s">
        <v>42</v>
      </c>
      <c r="H116" s="82" t="s">
        <v>42</v>
      </c>
      <c r="I116" s="530">
        <v>160117</v>
      </c>
      <c r="J116" s="425" t="str">
        <f>INDEX(aux!B:B,MATCH(I116,aux!A:A,0))</f>
        <v>Metais ferrosos</v>
      </c>
      <c r="K116" s="433" t="str">
        <f>INDEX(aux!C:C,MATCH(I116,aux!A:A,0))</f>
        <v>Não</v>
      </c>
      <c r="L116" s="661">
        <v>4.2</v>
      </c>
      <c r="M116" s="664" t="s">
        <v>1532</v>
      </c>
      <c r="N116" s="139">
        <f t="shared" si="5"/>
        <v>4200</v>
      </c>
      <c r="O116" s="527" t="s">
        <v>483</v>
      </c>
      <c r="P116" s="231" t="str">
        <f t="shared" si="6"/>
        <v>Reciclagem</v>
      </c>
      <c r="Q116" s="231" t="s">
        <v>1557</v>
      </c>
      <c r="R116" s="231" t="s">
        <v>6569</v>
      </c>
      <c r="S116" s="425" t="s">
        <v>485</v>
      </c>
      <c r="T116" s="425" t="s">
        <v>3171</v>
      </c>
      <c r="U116" s="425" t="s">
        <v>3171</v>
      </c>
      <c r="V116" s="425" t="s">
        <v>6314</v>
      </c>
    </row>
    <row r="117" spans="1:22" ht="15.75" thickBot="1" x14ac:dyDescent="0.3">
      <c r="A117" s="527" t="str">
        <f t="shared" si="8"/>
        <v>Barraqueiro Transportes, S.A. - Barraqueiro Oeste</v>
      </c>
      <c r="B117" s="527" t="s">
        <v>45</v>
      </c>
      <c r="C117" s="82" t="s">
        <v>6570</v>
      </c>
      <c r="D117">
        <v>2023</v>
      </c>
      <c r="E117" s="250" t="s">
        <v>3499</v>
      </c>
      <c r="F117" s="250" t="s">
        <v>3566</v>
      </c>
      <c r="G117" t="s">
        <v>42</v>
      </c>
      <c r="H117" s="82" t="s">
        <v>42</v>
      </c>
      <c r="I117" s="530">
        <v>150111</v>
      </c>
      <c r="J117" s="425" t="str">
        <f>INDEX(aux!B:B,MATCH(I117,aux!A:A,0))</f>
        <v>(*) Embalagens de metal, incluindo recipientes vazios sob pressão, contendo uma matriz porosa sólida perigosa (por exemplo, amianto)</v>
      </c>
      <c r="K117" s="433" t="str">
        <f>INDEX(aux!C:C,MATCH(I117,aux!A:A,0))</f>
        <v>Sim</v>
      </c>
      <c r="L117" s="661">
        <v>3.5999999999999997E-2</v>
      </c>
      <c r="M117" s="664" t="s">
        <v>1532</v>
      </c>
      <c r="N117" s="139">
        <f t="shared" si="5"/>
        <v>36</v>
      </c>
      <c r="O117" s="527" t="s">
        <v>484</v>
      </c>
      <c r="P117" s="231" t="str">
        <f t="shared" si="6"/>
        <v>Reciclagem</v>
      </c>
      <c r="Q117" s="231" t="s">
        <v>1906</v>
      </c>
      <c r="R117" s="231" t="s">
        <v>6569</v>
      </c>
      <c r="S117" s="425" t="s">
        <v>1553</v>
      </c>
      <c r="T117" s="425" t="s">
        <v>3177</v>
      </c>
      <c r="U117" s="425" t="s">
        <v>3177</v>
      </c>
      <c r="V117" s="425" t="s">
        <v>6314</v>
      </c>
    </row>
    <row r="118" spans="1:22" ht="15.75" thickBot="1" x14ac:dyDescent="0.3">
      <c r="A118" s="527" t="str">
        <f t="shared" si="8"/>
        <v>Barraqueiro Transportes, S.A. - Barraqueiro Oeste</v>
      </c>
      <c r="B118" s="527" t="s">
        <v>45</v>
      </c>
      <c r="C118" s="82" t="s">
        <v>6570</v>
      </c>
      <c r="D118">
        <v>2023</v>
      </c>
      <c r="E118" s="250" t="s">
        <v>3499</v>
      </c>
      <c r="F118" s="250" t="s">
        <v>3566</v>
      </c>
      <c r="G118" t="s">
        <v>42</v>
      </c>
      <c r="H118" s="82" t="s">
        <v>42</v>
      </c>
      <c r="I118" s="530">
        <v>130208</v>
      </c>
      <c r="J118" s="425" t="str">
        <f>INDEX(aux!B:B,MATCH(I118,aux!A:A,0))</f>
        <v>(*) Outros óleos de motores, transmissões e lubrificação</v>
      </c>
      <c r="K118" s="433" t="str">
        <f>INDEX(aux!C:C,MATCH(I118,aux!A:A,0))</f>
        <v>Sim</v>
      </c>
      <c r="L118" s="661">
        <v>5.1959999999999997</v>
      </c>
      <c r="M118" s="664" t="s">
        <v>1532</v>
      </c>
      <c r="N118" s="139">
        <f t="shared" si="5"/>
        <v>5196</v>
      </c>
      <c r="O118" s="527" t="s">
        <v>480</v>
      </c>
      <c r="P118" s="231" t="str">
        <f t="shared" si="6"/>
        <v>Reciclagem</v>
      </c>
      <c r="Q118" s="231" t="s">
        <v>1902</v>
      </c>
      <c r="R118" s="231" t="s">
        <v>1877</v>
      </c>
      <c r="S118" s="425" t="s">
        <v>1546</v>
      </c>
      <c r="T118" s="425" t="s">
        <v>3173</v>
      </c>
      <c r="U118" s="425" t="s">
        <v>3174</v>
      </c>
      <c r="V118" s="425" t="s">
        <v>6314</v>
      </c>
    </row>
    <row r="119" spans="1:22" ht="15.75" thickBot="1" x14ac:dyDescent="0.3">
      <c r="A119" s="527" t="str">
        <f t="shared" si="8"/>
        <v>Barraqueiro Transportes, S.A. - Barraqueiro Oeste</v>
      </c>
      <c r="B119" s="527" t="s">
        <v>45</v>
      </c>
      <c r="C119" s="82" t="s">
        <v>6570</v>
      </c>
      <c r="D119">
        <v>2023</v>
      </c>
      <c r="E119" s="250" t="s">
        <v>3499</v>
      </c>
      <c r="F119" s="250" t="s">
        <v>3566</v>
      </c>
      <c r="G119" t="s">
        <v>42</v>
      </c>
      <c r="H119" s="82" t="s">
        <v>42</v>
      </c>
      <c r="I119" s="530">
        <v>150101</v>
      </c>
      <c r="J119" s="425" t="str">
        <f>INDEX(aux!B:B,MATCH(I119,aux!A:A,0))</f>
        <v>Embalagens de papel e cartão</v>
      </c>
      <c r="K119" s="433" t="str">
        <f>INDEX(aux!C:C,MATCH(I119,aux!A:A,0))</f>
        <v>Não</v>
      </c>
      <c r="L119" s="661">
        <v>0.8</v>
      </c>
      <c r="M119" s="664" t="s">
        <v>1532</v>
      </c>
      <c r="N119" s="139">
        <f t="shared" si="5"/>
        <v>800</v>
      </c>
      <c r="O119" s="527" t="s">
        <v>483</v>
      </c>
      <c r="P119" s="231" t="str">
        <f t="shared" si="6"/>
        <v>Reciclagem</v>
      </c>
      <c r="Q119" s="231" t="s">
        <v>1904</v>
      </c>
      <c r="R119" s="231" t="s">
        <v>6569</v>
      </c>
      <c r="S119" s="425" t="s">
        <v>485</v>
      </c>
      <c r="T119" s="425" t="s">
        <v>3177</v>
      </c>
      <c r="U119" s="425" t="s">
        <v>3177</v>
      </c>
      <c r="V119" s="425" t="s">
        <v>6314</v>
      </c>
    </row>
    <row r="120" spans="1:22" ht="15.75" thickBot="1" x14ac:dyDescent="0.3">
      <c r="A120" s="527" t="str">
        <f t="shared" si="8"/>
        <v>Barraqueiro Transportes, S.A. - Barraqueiro Oeste</v>
      </c>
      <c r="B120" s="527" t="s">
        <v>45</v>
      </c>
      <c r="C120" s="82" t="s">
        <v>6570</v>
      </c>
      <c r="D120">
        <v>2023</v>
      </c>
      <c r="E120" s="250" t="s">
        <v>3499</v>
      </c>
      <c r="F120" s="250" t="s">
        <v>3566</v>
      </c>
      <c r="G120" t="s">
        <v>42</v>
      </c>
      <c r="H120" s="82" t="s">
        <v>42</v>
      </c>
      <c r="I120" s="530">
        <v>150102</v>
      </c>
      <c r="J120" s="425" t="str">
        <f>INDEX(aux!B:B,MATCH(I120,aux!A:A,0))</f>
        <v>Embalagens de plástico</v>
      </c>
      <c r="K120" s="433" t="str">
        <f>INDEX(aux!C:C,MATCH(I120,aux!A:A,0))</f>
        <v>Não</v>
      </c>
      <c r="L120" s="661">
        <v>0.17799999999999999</v>
      </c>
      <c r="M120" s="664" t="s">
        <v>1532</v>
      </c>
      <c r="N120" s="139">
        <f t="shared" si="5"/>
        <v>178</v>
      </c>
      <c r="O120" s="527" t="s">
        <v>483</v>
      </c>
      <c r="P120" s="231" t="str">
        <f t="shared" si="6"/>
        <v>Reciclagem</v>
      </c>
      <c r="Q120" s="231" t="s">
        <v>1560</v>
      </c>
      <c r="R120" s="231" t="s">
        <v>6569</v>
      </c>
      <c r="S120" s="425" t="s">
        <v>485</v>
      </c>
      <c r="T120" s="425" t="s">
        <v>3177</v>
      </c>
      <c r="U120" s="425" t="s">
        <v>3177</v>
      </c>
      <c r="V120" s="425" t="s">
        <v>6314</v>
      </c>
    </row>
    <row r="121" spans="1:22" ht="15.75" thickBot="1" x14ac:dyDescent="0.3">
      <c r="A121" s="527" t="str">
        <f t="shared" si="8"/>
        <v>Barraqueiro Transportes, S.A. - Barraqueiro Oeste</v>
      </c>
      <c r="B121" s="527" t="s">
        <v>45</v>
      </c>
      <c r="C121" s="82" t="s">
        <v>6570</v>
      </c>
      <c r="D121">
        <v>2023</v>
      </c>
      <c r="E121" s="250" t="s">
        <v>3499</v>
      </c>
      <c r="F121" s="250" t="s">
        <v>3566</v>
      </c>
      <c r="G121" t="s">
        <v>42</v>
      </c>
      <c r="H121" s="82" t="s">
        <v>42</v>
      </c>
      <c r="I121" s="530">
        <v>160119</v>
      </c>
      <c r="J121" s="425" t="str">
        <f>INDEX(aux!B:B,MATCH(I121,aux!A:A,0))</f>
        <v>Plástico</v>
      </c>
      <c r="K121" s="433" t="str">
        <f>INDEX(aux!C:C,MATCH(I121,aux!A:A,0))</f>
        <v>Não</v>
      </c>
      <c r="L121" s="661">
        <v>5.8000000000000003E-2</v>
      </c>
      <c r="M121" s="664" t="s">
        <v>1532</v>
      </c>
      <c r="N121" s="139">
        <f t="shared" si="5"/>
        <v>58</v>
      </c>
      <c r="O121" s="527" t="s">
        <v>483</v>
      </c>
      <c r="P121" s="231" t="str">
        <f t="shared" si="6"/>
        <v>Reciclagem</v>
      </c>
      <c r="Q121" s="231" t="s">
        <v>1560</v>
      </c>
      <c r="R121" s="231" t="s">
        <v>6569</v>
      </c>
      <c r="S121" s="425" t="s">
        <v>485</v>
      </c>
      <c r="T121" s="425" t="s">
        <v>3177</v>
      </c>
      <c r="U121" s="425" t="s">
        <v>3177</v>
      </c>
      <c r="V121" s="425" t="s">
        <v>6314</v>
      </c>
    </row>
    <row r="122" spans="1:22" ht="15.75" thickBot="1" x14ac:dyDescent="0.3">
      <c r="A122" s="527" t="str">
        <f t="shared" si="8"/>
        <v>Barraqueiro Transportes, S.A. - Barraqueiro Oeste</v>
      </c>
      <c r="B122" s="527" t="s">
        <v>45</v>
      </c>
      <c r="C122" s="82" t="s">
        <v>6570</v>
      </c>
      <c r="D122">
        <v>2023</v>
      </c>
      <c r="E122" s="250" t="s">
        <v>3499</v>
      </c>
      <c r="F122" s="250" t="s">
        <v>3566</v>
      </c>
      <c r="G122" t="s">
        <v>42</v>
      </c>
      <c r="H122" s="82" t="s">
        <v>42</v>
      </c>
      <c r="I122" s="530">
        <v>80317</v>
      </c>
      <c r="J122" s="425" t="str">
        <f>INDEX(aux!B:B,MATCH(I122,aux!A:A,0))</f>
        <v>(*) Resíduos de toner de impressão, contendo substâncias perigosas</v>
      </c>
      <c r="K122" s="433" t="str">
        <f>INDEX(aux!C:C,MATCH(I122,aux!A:A,0))</f>
        <v>Sim</v>
      </c>
      <c r="L122" s="661">
        <v>2.5999999999999999E-2</v>
      </c>
      <c r="M122" s="664" t="s">
        <v>1532</v>
      </c>
      <c r="N122" s="139">
        <f t="shared" si="5"/>
        <v>26</v>
      </c>
      <c r="O122" s="527" t="s">
        <v>484</v>
      </c>
      <c r="P122" s="231" t="str">
        <f t="shared" si="6"/>
        <v>Reciclagem</v>
      </c>
      <c r="Q122" s="231" t="s">
        <v>1901</v>
      </c>
      <c r="R122" s="231" t="s">
        <v>1892</v>
      </c>
      <c r="S122" s="425" t="s">
        <v>1553</v>
      </c>
      <c r="T122" s="425" t="s">
        <v>3177</v>
      </c>
      <c r="U122" s="425" t="s">
        <v>3177</v>
      </c>
      <c r="V122" s="425" t="s">
        <v>6314</v>
      </c>
    </row>
    <row r="123" spans="1:22" ht="15.75" thickBot="1" x14ac:dyDescent="0.3">
      <c r="A123" s="527" t="str">
        <f t="shared" si="8"/>
        <v>Barraqueiro Transportes, S.A. - Barraqueiro Oeste</v>
      </c>
      <c r="B123" s="527" t="s">
        <v>45</v>
      </c>
      <c r="C123" s="82" t="s">
        <v>6570</v>
      </c>
      <c r="D123">
        <v>2023</v>
      </c>
      <c r="E123" s="250" t="s">
        <v>3499</v>
      </c>
      <c r="F123" s="250" t="s">
        <v>3566</v>
      </c>
      <c r="G123" t="s">
        <v>42</v>
      </c>
      <c r="H123" s="82" t="s">
        <v>42</v>
      </c>
      <c r="I123" s="530">
        <v>190805</v>
      </c>
      <c r="J123" s="425" t="str">
        <f>INDEX(aux!B:B,MATCH(I123,aux!A:A,0))</f>
        <v>Lamas do tratamento de águas residuais urbanas</v>
      </c>
      <c r="K123" s="433" t="str">
        <f>INDEX(aux!C:C,MATCH(I123,aux!A:A,0))</f>
        <v>Não</v>
      </c>
      <c r="L123" s="661">
        <v>5.9</v>
      </c>
      <c r="M123" s="664" t="s">
        <v>1532</v>
      </c>
      <c r="N123" s="139">
        <f t="shared" si="5"/>
        <v>5900</v>
      </c>
      <c r="O123" s="527" t="s">
        <v>483</v>
      </c>
      <c r="P123" s="231" t="str">
        <f t="shared" si="6"/>
        <v>Reciclagem</v>
      </c>
      <c r="Q123" s="231" t="s">
        <v>1901</v>
      </c>
      <c r="R123" s="231" t="s">
        <v>1892</v>
      </c>
      <c r="S123" s="425" t="s">
        <v>485</v>
      </c>
      <c r="T123" s="425" t="s">
        <v>6258</v>
      </c>
      <c r="U123" s="425" t="s">
        <v>6258</v>
      </c>
      <c r="V123" s="425" t="s">
        <v>6314</v>
      </c>
    </row>
    <row r="124" spans="1:22" ht="15.75" thickBot="1" x14ac:dyDescent="0.3">
      <c r="A124" s="527" t="str">
        <f t="shared" si="8"/>
        <v>Barraqueiro Transportes, S.A. - Barraqueiro Oeste</v>
      </c>
      <c r="B124" s="527" t="s">
        <v>45</v>
      </c>
      <c r="C124" s="82" t="s">
        <v>6570</v>
      </c>
      <c r="D124">
        <v>2023</v>
      </c>
      <c r="E124" s="250" t="s">
        <v>3499</v>
      </c>
      <c r="F124" s="250" t="s">
        <v>3566</v>
      </c>
      <c r="G124" t="s">
        <v>42</v>
      </c>
      <c r="H124" s="82" t="s">
        <v>42</v>
      </c>
      <c r="I124" s="530">
        <v>200121</v>
      </c>
      <c r="J124" s="425" t="str">
        <f>INDEX(aux!B:B,MATCH(I124,aux!A:A,0))</f>
        <v>(*) Lâmpadas fluorescentes e outros resíduos contendo mercúrio</v>
      </c>
      <c r="K124" s="433" t="str">
        <f>INDEX(aux!C:C,MATCH(I124,aux!A:A,0))</f>
        <v>Sim</v>
      </c>
      <c r="L124" s="661">
        <v>0.02</v>
      </c>
      <c r="M124" s="664" t="s">
        <v>1532</v>
      </c>
      <c r="N124" s="139">
        <f t="shared" si="5"/>
        <v>20</v>
      </c>
      <c r="O124" s="527" t="s">
        <v>484</v>
      </c>
      <c r="P124" s="231" t="str">
        <f t="shared" si="6"/>
        <v>Reciclagem</v>
      </c>
      <c r="Q124" s="231" t="s">
        <v>1901</v>
      </c>
      <c r="R124" s="231" t="s">
        <v>1892</v>
      </c>
      <c r="S124" s="425" t="s">
        <v>1553</v>
      </c>
      <c r="T124" s="425" t="s">
        <v>3177</v>
      </c>
      <c r="U124" s="425" t="s">
        <v>3177</v>
      </c>
      <c r="V124" s="425" t="s">
        <v>6314</v>
      </c>
    </row>
    <row r="125" spans="1:22" ht="15.75" thickBot="1" x14ac:dyDescent="0.3">
      <c r="A125" s="527" t="str">
        <f t="shared" si="8"/>
        <v>Barraqueiro Transportes, S.A. - Barraqueiro Oeste</v>
      </c>
      <c r="B125" s="527" t="s">
        <v>45</v>
      </c>
      <c r="C125" s="82" t="s">
        <v>6570</v>
      </c>
      <c r="D125">
        <v>2023</v>
      </c>
      <c r="E125" s="250" t="s">
        <v>3499</v>
      </c>
      <c r="F125" s="250" t="s">
        <v>3566</v>
      </c>
      <c r="G125" t="s">
        <v>42</v>
      </c>
      <c r="H125" s="82" t="s">
        <v>42</v>
      </c>
      <c r="I125" s="530">
        <v>160121</v>
      </c>
      <c r="J125" s="425" t="str">
        <f>INDEX(aux!B:B,MATCH(I125,aux!A:A,0))</f>
        <v>(*) Componentes perigosos não abrangidos em 16 01 07 a 16 01 11, 16 01 13 e 16 01 14</v>
      </c>
      <c r="K125" s="433" t="str">
        <f>INDEX(aux!C:C,MATCH(I125,aux!A:A,0))</f>
        <v>Sim</v>
      </c>
      <c r="L125" s="661">
        <v>1.1759999999999999</v>
      </c>
      <c r="M125" s="664" t="s">
        <v>1532</v>
      </c>
      <c r="N125" s="139">
        <f t="shared" si="5"/>
        <v>1176</v>
      </c>
      <c r="O125" s="527" t="s">
        <v>484</v>
      </c>
      <c r="P125" s="231" t="str">
        <f t="shared" si="6"/>
        <v>Reciclagem</v>
      </c>
      <c r="Q125" s="231" t="s">
        <v>1901</v>
      </c>
      <c r="R125" s="231" t="s">
        <v>1892</v>
      </c>
      <c r="S125" s="425" t="s">
        <v>1553</v>
      </c>
      <c r="T125" s="425" t="s">
        <v>3177</v>
      </c>
      <c r="U125" s="425" t="s">
        <v>3177</v>
      </c>
      <c r="V125" s="425" t="s">
        <v>6314</v>
      </c>
    </row>
    <row r="126" spans="1:22" ht="15.75" thickBot="1" x14ac:dyDescent="0.3">
      <c r="A126" s="527" t="str">
        <f t="shared" si="8"/>
        <v>Barraqueiro Transportes, S.A. - Barraqueiro Oeste</v>
      </c>
      <c r="B126" s="527" t="s">
        <v>45</v>
      </c>
      <c r="C126" s="82" t="s">
        <v>6570</v>
      </c>
      <c r="D126">
        <v>2023</v>
      </c>
      <c r="E126" s="250" t="s">
        <v>3499</v>
      </c>
      <c r="F126" s="250" t="s">
        <v>3566</v>
      </c>
      <c r="G126" t="s">
        <v>42</v>
      </c>
      <c r="H126" s="82" t="s">
        <v>42</v>
      </c>
      <c r="I126" s="530">
        <v>130502</v>
      </c>
      <c r="J126" s="425" t="str">
        <f>INDEX(aux!B:B,MATCH(I126,aux!A:A,0))</f>
        <v>(*) Lamas provenientes dos separadores óleo/água</v>
      </c>
      <c r="K126" s="433" t="str">
        <f>INDEX(aux!C:C,MATCH(I126,aux!A:A,0))</f>
        <v>Sim</v>
      </c>
      <c r="L126" s="661">
        <v>4.38</v>
      </c>
      <c r="M126" s="664" t="s">
        <v>1532</v>
      </c>
      <c r="N126" s="139">
        <f t="shared" si="5"/>
        <v>4380</v>
      </c>
      <c r="O126" s="527" t="s">
        <v>503</v>
      </c>
      <c r="P126" s="231" t="str">
        <f t="shared" si="6"/>
        <v>Aterro</v>
      </c>
      <c r="Q126" s="231" t="s">
        <v>1901</v>
      </c>
      <c r="R126" s="231" t="s">
        <v>1892</v>
      </c>
      <c r="S126" s="425" t="s">
        <v>518</v>
      </c>
      <c r="T126" s="425" t="s">
        <v>6258</v>
      </c>
      <c r="U126" s="425" t="s">
        <v>6258</v>
      </c>
      <c r="V126" s="425" t="s">
        <v>6314</v>
      </c>
    </row>
    <row r="127" spans="1:22" ht="15.75" thickBot="1" x14ac:dyDescent="0.3">
      <c r="A127" s="527" t="str">
        <f t="shared" si="8"/>
        <v>Barraqueiro Transportes, S.A. - Barraqueiro Oeste</v>
      </c>
      <c r="B127" s="527" t="s">
        <v>45</v>
      </c>
      <c r="C127" s="82" t="s">
        <v>6570</v>
      </c>
      <c r="D127">
        <v>2023</v>
      </c>
      <c r="E127" s="250" t="s">
        <v>3499</v>
      </c>
      <c r="F127" s="250" t="s">
        <v>3566</v>
      </c>
      <c r="G127" t="s">
        <v>42</v>
      </c>
      <c r="H127" s="82" t="s">
        <v>42</v>
      </c>
      <c r="I127" s="530">
        <v>160199</v>
      </c>
      <c r="J127" s="425" t="str">
        <f>INDEX(aux!B:B,MATCH(I127,aux!A:A,0))</f>
        <v>Resíduos sem outras especificações</v>
      </c>
      <c r="K127" s="433" t="str">
        <f>INDEX(aux!C:C,MATCH(I127,aux!A:A,0))</f>
        <v>Não</v>
      </c>
      <c r="L127" s="661">
        <v>1.87</v>
      </c>
      <c r="M127" s="664" t="s">
        <v>1532</v>
      </c>
      <c r="N127" s="139">
        <f t="shared" si="5"/>
        <v>1870</v>
      </c>
      <c r="O127" s="527" t="s">
        <v>483</v>
      </c>
      <c r="P127" s="231" t="str">
        <f t="shared" si="6"/>
        <v>Reciclagem</v>
      </c>
      <c r="Q127" s="231" t="s">
        <v>1901</v>
      </c>
      <c r="R127" s="231" t="s">
        <v>1892</v>
      </c>
      <c r="S127" s="425" t="s">
        <v>485</v>
      </c>
      <c r="T127" s="425" t="s">
        <v>3177</v>
      </c>
      <c r="U127" s="425" t="s">
        <v>3177</v>
      </c>
      <c r="V127" s="425" t="s">
        <v>6314</v>
      </c>
    </row>
    <row r="128" spans="1:22" ht="15.75" thickBot="1" x14ac:dyDescent="0.3">
      <c r="A128" s="527" t="str">
        <f t="shared" si="8"/>
        <v>Barraqueiro Transportes, S.A. - Barraqueiro Oeste</v>
      </c>
      <c r="B128" s="527" t="s">
        <v>45</v>
      </c>
      <c r="C128" s="82" t="s">
        <v>6570</v>
      </c>
      <c r="D128">
        <v>2023</v>
      </c>
      <c r="E128" s="250" t="s">
        <v>3499</v>
      </c>
      <c r="F128" s="250" t="s">
        <v>3566</v>
      </c>
      <c r="G128" t="s">
        <v>42</v>
      </c>
      <c r="H128" s="82" t="s">
        <v>42</v>
      </c>
      <c r="I128" s="530">
        <v>130502</v>
      </c>
      <c r="J128" s="425" t="str">
        <f>INDEX(aux!B:B,MATCH(I128,aux!A:A,0))</f>
        <v>(*) Lamas provenientes dos separadores óleo/água</v>
      </c>
      <c r="K128" s="433" t="str">
        <f>INDEX(aux!C:C,MATCH(I128,aux!A:A,0))</f>
        <v>Sim</v>
      </c>
      <c r="L128" s="661">
        <v>10.86</v>
      </c>
      <c r="M128" s="664" t="s">
        <v>1532</v>
      </c>
      <c r="N128" s="139">
        <f t="shared" si="5"/>
        <v>10860</v>
      </c>
      <c r="O128" s="527" t="s">
        <v>483</v>
      </c>
      <c r="P128" s="231" t="str">
        <f t="shared" si="6"/>
        <v>Reciclagem</v>
      </c>
      <c r="Q128" s="231" t="s">
        <v>1901</v>
      </c>
      <c r="R128" s="231" t="s">
        <v>1892</v>
      </c>
      <c r="S128" s="425" t="s">
        <v>485</v>
      </c>
      <c r="T128" s="425" t="s">
        <v>6258</v>
      </c>
      <c r="U128" s="425" t="s">
        <v>6258</v>
      </c>
      <c r="V128" s="425" t="s">
        <v>6314</v>
      </c>
    </row>
    <row r="129" spans="1:22" ht="15.75" thickBot="1" x14ac:dyDescent="0.3">
      <c r="A129" s="527" t="str">
        <f t="shared" si="8"/>
        <v>Barraqueiro Transportes, S.A. - Barraqueiro Oeste</v>
      </c>
      <c r="B129" s="527" t="s">
        <v>45</v>
      </c>
      <c r="C129" s="82" t="s">
        <v>6570</v>
      </c>
      <c r="D129">
        <v>2023</v>
      </c>
      <c r="E129" s="250" t="s">
        <v>3499</v>
      </c>
      <c r="F129" s="250" t="s">
        <v>3566</v>
      </c>
      <c r="G129" t="s">
        <v>42</v>
      </c>
      <c r="H129" s="82" t="s">
        <v>42</v>
      </c>
      <c r="I129" s="530">
        <v>150110</v>
      </c>
      <c r="J129" s="425" t="str">
        <f>INDEX(aux!B:B,MATCH(I129,aux!A:A,0))</f>
        <v>(*) Embalagens contendo ou contaminadas por resíduos de substâncias perigosas</v>
      </c>
      <c r="K129" s="433" t="str">
        <f>INDEX(aux!C:C,MATCH(I129,aux!A:A,0))</f>
        <v>Sim</v>
      </c>
      <c r="L129" s="661">
        <v>0.36</v>
      </c>
      <c r="M129" s="664" t="s">
        <v>1532</v>
      </c>
      <c r="N129" s="139">
        <f t="shared" si="5"/>
        <v>360</v>
      </c>
      <c r="O129" s="527" t="s">
        <v>484</v>
      </c>
      <c r="P129" s="231" t="str">
        <f t="shared" si="6"/>
        <v>Reciclagem</v>
      </c>
      <c r="Q129" s="231" t="s">
        <v>1901</v>
      </c>
      <c r="R129" s="231" t="s">
        <v>1892</v>
      </c>
      <c r="S129" s="425" t="s">
        <v>1553</v>
      </c>
      <c r="T129" s="425" t="s">
        <v>3177</v>
      </c>
      <c r="U129" s="425" t="s">
        <v>3177</v>
      </c>
      <c r="V129" s="425" t="s">
        <v>6314</v>
      </c>
    </row>
    <row r="130" spans="1:22" ht="15.75" thickBot="1" x14ac:dyDescent="0.3">
      <c r="A130" s="527" t="str">
        <f t="shared" si="8"/>
        <v>Barraqueiro Transportes, S.A. - Barraqueiro Oeste</v>
      </c>
      <c r="B130" s="527" t="s">
        <v>45</v>
      </c>
      <c r="C130" s="82" t="s">
        <v>6570</v>
      </c>
      <c r="D130">
        <v>2023</v>
      </c>
      <c r="E130" s="250" t="s">
        <v>3499</v>
      </c>
      <c r="F130" s="250" t="s">
        <v>3566</v>
      </c>
      <c r="G130" t="s">
        <v>42</v>
      </c>
      <c r="H130" s="82" t="s">
        <v>42</v>
      </c>
      <c r="I130" s="530">
        <v>130507</v>
      </c>
      <c r="J130" s="425" t="str">
        <f>INDEX(aux!B:B,MATCH(I130,aux!A:A,0))</f>
        <v>(*) Água com óleo proveniente dos separadores óleo/água</v>
      </c>
      <c r="K130" s="433" t="str">
        <f>INDEX(aux!C:C,MATCH(I130,aux!A:A,0))</f>
        <v>Sim</v>
      </c>
      <c r="L130" s="661">
        <v>29.44</v>
      </c>
      <c r="M130" s="664" t="s">
        <v>1532</v>
      </c>
      <c r="N130" s="139">
        <f t="shared" si="5"/>
        <v>29440</v>
      </c>
      <c r="O130" s="527" t="s">
        <v>483</v>
      </c>
      <c r="P130" s="231" t="str">
        <f t="shared" si="6"/>
        <v>Reciclagem</v>
      </c>
      <c r="Q130" s="231" t="s">
        <v>1901</v>
      </c>
      <c r="R130" s="231" t="s">
        <v>1892</v>
      </c>
      <c r="S130" s="425" t="s">
        <v>485</v>
      </c>
      <c r="T130" s="425" t="s">
        <v>6258</v>
      </c>
      <c r="U130" s="425" t="s">
        <v>6258</v>
      </c>
      <c r="V130" s="425" t="s">
        <v>6314</v>
      </c>
    </row>
    <row r="131" spans="1:22" ht="15.75" thickBot="1" x14ac:dyDescent="0.3">
      <c r="A131" s="527" t="str">
        <f t="shared" si="8"/>
        <v>Barraqueiro Transportes, S.A. - Barraqueiro Oeste</v>
      </c>
      <c r="B131" s="527" t="s">
        <v>45</v>
      </c>
      <c r="C131" s="82" t="s">
        <v>6570</v>
      </c>
      <c r="D131">
        <v>2023</v>
      </c>
      <c r="E131" s="250" t="s">
        <v>3499</v>
      </c>
      <c r="F131" s="250" t="s">
        <v>3566</v>
      </c>
      <c r="G131" t="s">
        <v>42</v>
      </c>
      <c r="H131" s="82" t="s">
        <v>42</v>
      </c>
      <c r="I131" s="530">
        <v>150203</v>
      </c>
      <c r="J131" s="425" t="str">
        <f>INDEX(aux!B:B,MATCH(I131,aux!A:A,0))</f>
        <v>Absorventes, materiais filtrantes, panos de limpeza e vestuário de proteção não abrangidos em 15 02 02</v>
      </c>
      <c r="K131" s="433" t="str">
        <f>INDEX(aux!C:C,MATCH(I131,aux!A:A,0))</f>
        <v>Não</v>
      </c>
      <c r="L131" s="661">
        <v>1.8</v>
      </c>
      <c r="M131" s="664" t="s">
        <v>1532</v>
      </c>
      <c r="N131" s="139">
        <f t="shared" ref="N131:N194" si="9">IF(LEFT(M131,3)="ton",1000*L131,L131)</f>
        <v>1800</v>
      </c>
      <c r="O131" s="527" t="s">
        <v>483</v>
      </c>
      <c r="P131" s="231" t="str">
        <f t="shared" ref="P131:P194" si="10">IF(LEFT(O131,1)="R","Reciclagem",IF(OR(O131="D10",O131="D11"),"Iceneração","Aterro"))</f>
        <v>Reciclagem</v>
      </c>
      <c r="Q131" s="231" t="s">
        <v>1901</v>
      </c>
      <c r="R131" s="231" t="s">
        <v>1892</v>
      </c>
      <c r="S131" s="425" t="s">
        <v>485</v>
      </c>
      <c r="T131" s="425" t="s">
        <v>3177</v>
      </c>
      <c r="U131" s="425" t="s">
        <v>3177</v>
      </c>
      <c r="V131" s="425" t="s">
        <v>6314</v>
      </c>
    </row>
    <row r="132" spans="1:22" ht="15.75" thickBot="1" x14ac:dyDescent="0.3">
      <c r="A132" s="527" t="str">
        <f t="shared" si="8"/>
        <v>Barraqueiro Transportes, S.A. - Barraqueiro Oeste</v>
      </c>
      <c r="B132" s="527" t="s">
        <v>45</v>
      </c>
      <c r="C132" s="82" t="s">
        <v>6570</v>
      </c>
      <c r="D132">
        <v>2023</v>
      </c>
      <c r="E132" s="250" t="s">
        <v>3499</v>
      </c>
      <c r="F132" s="250" t="s">
        <v>3566</v>
      </c>
      <c r="G132" t="s">
        <v>42</v>
      </c>
      <c r="H132" s="82" t="s">
        <v>42</v>
      </c>
      <c r="I132" s="530">
        <v>150202</v>
      </c>
      <c r="J132" s="425" t="str">
        <f>INDEX(aux!B:B,MATCH(I132,aux!A:A,0))</f>
        <v>(*) Absorventes, materiais filtrantes (incluindo filtros de óleo sem outras especificações), panos de limpeza e vestuário de proteção, contaminados por substâncias perigosas</v>
      </c>
      <c r="K132" s="433" t="str">
        <f>INDEX(aux!C:C,MATCH(I132,aux!A:A,0))</f>
        <v>Sim</v>
      </c>
      <c r="L132" s="661">
        <v>0.92</v>
      </c>
      <c r="M132" s="664" t="s">
        <v>1532</v>
      </c>
      <c r="N132" s="139">
        <f t="shared" si="9"/>
        <v>920</v>
      </c>
      <c r="O132" s="527" t="s">
        <v>484</v>
      </c>
      <c r="P132" s="231" t="str">
        <f t="shared" si="10"/>
        <v>Reciclagem</v>
      </c>
      <c r="Q132" s="231" t="s">
        <v>1901</v>
      </c>
      <c r="R132" s="231" t="s">
        <v>1892</v>
      </c>
      <c r="S132" s="425" t="s">
        <v>1553</v>
      </c>
      <c r="T132" s="425" t="s">
        <v>3177</v>
      </c>
      <c r="U132" s="425" t="s">
        <v>3177</v>
      </c>
      <c r="V132" s="425" t="s">
        <v>6314</v>
      </c>
    </row>
    <row r="133" spans="1:22" ht="15.75" thickBot="1" x14ac:dyDescent="0.3">
      <c r="A133" s="527" t="str">
        <f t="shared" si="8"/>
        <v>Barraqueiro Transportes, S.A. - Barraqueiro Oeste</v>
      </c>
      <c r="B133" s="527" t="s">
        <v>45</v>
      </c>
      <c r="C133" s="82" t="s">
        <v>6570</v>
      </c>
      <c r="D133">
        <v>2023</v>
      </c>
      <c r="E133" s="250" t="s">
        <v>3499</v>
      </c>
      <c r="F133" s="250" t="s">
        <v>3566</v>
      </c>
      <c r="G133" t="s">
        <v>42</v>
      </c>
      <c r="H133" s="82" t="s">
        <v>42</v>
      </c>
      <c r="I133" s="530">
        <v>160107</v>
      </c>
      <c r="J133" s="425" t="str">
        <f>INDEX(aux!B:B,MATCH(I133,aux!A:A,0))</f>
        <v>(*) Filtros de óleo</v>
      </c>
      <c r="K133" s="433" t="str">
        <f>INDEX(aux!C:C,MATCH(I133,aux!A:A,0))</f>
        <v>Sim</v>
      </c>
      <c r="L133" s="661">
        <v>0.83199999999999996</v>
      </c>
      <c r="M133" s="664" t="s">
        <v>1532</v>
      </c>
      <c r="N133" s="139">
        <f t="shared" si="9"/>
        <v>832</v>
      </c>
      <c r="O133" s="527" t="s">
        <v>484</v>
      </c>
      <c r="P133" s="231" t="str">
        <f t="shared" si="10"/>
        <v>Reciclagem</v>
      </c>
      <c r="Q133" s="231" t="s">
        <v>1901</v>
      </c>
      <c r="R133" s="231" t="s">
        <v>1892</v>
      </c>
      <c r="S133" s="425" t="s">
        <v>1553</v>
      </c>
      <c r="T133" s="425" t="s">
        <v>3177</v>
      </c>
      <c r="U133" s="425" t="s">
        <v>3177</v>
      </c>
      <c r="V133" s="425" t="s">
        <v>6314</v>
      </c>
    </row>
    <row r="134" spans="1:22" ht="15.75" thickBot="1" x14ac:dyDescent="0.3">
      <c r="A134" s="527" t="str">
        <f t="shared" si="8"/>
        <v>Barraqueiro Transportes, S.A. - Barraqueiro Oeste</v>
      </c>
      <c r="B134" s="527" t="s">
        <v>45</v>
      </c>
      <c r="C134" s="82" t="s">
        <v>6570</v>
      </c>
      <c r="D134">
        <v>2023</v>
      </c>
      <c r="E134" s="250" t="s">
        <v>3499</v>
      </c>
      <c r="F134" s="250" t="s">
        <v>3566</v>
      </c>
      <c r="G134" t="s">
        <v>42</v>
      </c>
      <c r="H134" s="82" t="s">
        <v>42</v>
      </c>
      <c r="I134" s="530">
        <v>200125</v>
      </c>
      <c r="J134" s="425" t="str">
        <f>INDEX(aux!B:B,MATCH(I134,aux!A:A,0))</f>
        <v>Óleos e gorduras alimentares</v>
      </c>
      <c r="K134" s="433" t="str">
        <f>INDEX(aux!C:C,MATCH(I134,aux!A:A,0))</f>
        <v>Não</v>
      </c>
      <c r="L134" s="661">
        <v>0.09</v>
      </c>
      <c r="M134" s="664" t="s">
        <v>1532</v>
      </c>
      <c r="N134" s="139">
        <f t="shared" si="9"/>
        <v>90</v>
      </c>
      <c r="O134" s="527" t="s">
        <v>483</v>
      </c>
      <c r="P134" s="231" t="str">
        <f t="shared" si="10"/>
        <v>Reciclagem</v>
      </c>
      <c r="Q134" s="231" t="s">
        <v>1908</v>
      </c>
      <c r="R134" s="231" t="s">
        <v>1877</v>
      </c>
      <c r="S134" s="425" t="s">
        <v>485</v>
      </c>
      <c r="T134" s="425" t="s">
        <v>6315</v>
      </c>
      <c r="U134" s="425" t="s">
        <v>6316</v>
      </c>
      <c r="V134" s="425" t="s">
        <v>6314</v>
      </c>
    </row>
    <row r="135" spans="1:22" ht="15.75" thickBot="1" x14ac:dyDescent="0.3">
      <c r="A135" s="527" t="str">
        <f>B135&amp;" - "&amp;C135</f>
        <v>Barraqueiro Transportes, S.A. - Barraqueiro Oeste</v>
      </c>
      <c r="B135" s="527" t="s">
        <v>45</v>
      </c>
      <c r="C135" s="82" t="s">
        <v>6570</v>
      </c>
      <c r="D135">
        <v>2023</v>
      </c>
      <c r="E135" s="250" t="s">
        <v>3499</v>
      </c>
      <c r="F135" s="250" t="s">
        <v>3566</v>
      </c>
      <c r="G135" t="s">
        <v>42</v>
      </c>
      <c r="H135" s="82" t="s">
        <v>42</v>
      </c>
      <c r="I135" s="530">
        <v>160120</v>
      </c>
      <c r="J135" s="425" t="str">
        <f>INDEX(aux!B:B,MATCH(I135,aux!A:A,0))</f>
        <v>Vidro</v>
      </c>
      <c r="K135" s="433" t="str">
        <f>INDEX(aux!C:C,MATCH(I135,aux!A:A,0))</f>
        <v>Não</v>
      </c>
      <c r="L135" s="661">
        <v>0.40799999999999997</v>
      </c>
      <c r="M135" s="664" t="s">
        <v>1532</v>
      </c>
      <c r="N135" s="139">
        <f t="shared" si="9"/>
        <v>408</v>
      </c>
      <c r="O135" s="527" t="s">
        <v>483</v>
      </c>
      <c r="P135" s="231" t="str">
        <f t="shared" si="10"/>
        <v>Reciclagem</v>
      </c>
      <c r="Q135" s="231" t="s">
        <v>1561</v>
      </c>
      <c r="R135" s="231" t="s">
        <v>6569</v>
      </c>
      <c r="S135" s="425" t="s">
        <v>485</v>
      </c>
      <c r="T135" s="425" t="s">
        <v>3177</v>
      </c>
      <c r="U135" s="425" t="s">
        <v>3177</v>
      </c>
      <c r="V135" s="425" t="s">
        <v>6314</v>
      </c>
    </row>
    <row r="136" spans="1:22" ht="15.75" hidden="1" thickBot="1" x14ac:dyDescent="0.3">
      <c r="A136" s="114" t="s">
        <v>3474</v>
      </c>
      <c r="B136" s="424" t="s">
        <v>45</v>
      </c>
      <c r="C136" s="82" t="str">
        <f t="shared" ref="C136:C157" si="11">IF(A136=B136,"X",RIGHT(A136,LEN(A136)-LEN(B136)-3))</f>
        <v>Boa Viagem</v>
      </c>
      <c r="D136">
        <v>2022</v>
      </c>
      <c r="E136" s="250" t="s">
        <v>3499</v>
      </c>
      <c r="F136" s="250" t="s">
        <v>3566</v>
      </c>
      <c r="G136" t="s">
        <v>42</v>
      </c>
      <c r="H136" s="82" t="s">
        <v>34</v>
      </c>
      <c r="I136" s="525">
        <v>160601</v>
      </c>
      <c r="J136" s="425" t="str">
        <f>INDEX(aux!B:B,MATCH(I136,aux!A:A,0))</f>
        <v>(*) Acumuladores de chumbo</v>
      </c>
      <c r="K136" s="433" t="str">
        <f>INDEX(aux!C:C,MATCH(I136,aux!A:A,0))</f>
        <v>Sim</v>
      </c>
      <c r="L136" s="298">
        <v>4.08</v>
      </c>
      <c r="M136" s="138" t="s">
        <v>1532</v>
      </c>
      <c r="N136" s="139">
        <f t="shared" si="9"/>
        <v>4080</v>
      </c>
      <c r="O136" s="138" t="s">
        <v>484</v>
      </c>
      <c r="P136" s="231" t="str">
        <f t="shared" si="10"/>
        <v>Reciclagem</v>
      </c>
      <c r="Q136" s="231" t="s">
        <v>1653</v>
      </c>
      <c r="R136" s="231" t="s">
        <v>1877</v>
      </c>
      <c r="S136" s="114" t="str">
        <f>IFERROR(INDEX(Tabela3[Tipos de Tratamento],MATCH('A3.9.1 copy'!O94,Tabela3[Código],0)),"")</f>
        <v xml:space="preserve">Regeneração de óleos e outras reutilizações de óleos </v>
      </c>
      <c r="T136" s="114" t="s">
        <v>1558</v>
      </c>
      <c r="U136" s="114" t="s">
        <v>1559</v>
      </c>
      <c r="V136" s="114"/>
    </row>
    <row r="137" spans="1:22" ht="15.75" hidden="1" thickBot="1" x14ac:dyDescent="0.3">
      <c r="A137" s="114" t="s">
        <v>3474</v>
      </c>
      <c r="B137" s="424" t="s">
        <v>45</v>
      </c>
      <c r="C137" s="82" t="str">
        <f t="shared" si="11"/>
        <v>Boa Viagem</v>
      </c>
      <c r="D137">
        <v>2022</v>
      </c>
      <c r="E137" s="250" t="s">
        <v>3499</v>
      </c>
      <c r="F137" s="250" t="s">
        <v>3566</v>
      </c>
      <c r="G137" t="s">
        <v>42</v>
      </c>
      <c r="H137" s="82" t="s">
        <v>34</v>
      </c>
      <c r="I137" s="525">
        <v>200136</v>
      </c>
      <c r="J137" s="425" t="str">
        <f>INDEX(aux!B:B,MATCH(I137,aux!A:A,0))</f>
        <v>Equipamento elétrico e eletrónico fora de uso não abrangido em 20 01 21, 20 01 23 ou 20 01 35</v>
      </c>
      <c r="K137" s="433" t="str">
        <f>INDEX(aux!C:C,MATCH(I137,aux!A:A,0))</f>
        <v>Não</v>
      </c>
      <c r="L137" s="298">
        <v>0.05</v>
      </c>
      <c r="M137" s="138" t="s">
        <v>1532</v>
      </c>
      <c r="N137" s="139">
        <f t="shared" si="9"/>
        <v>50</v>
      </c>
      <c r="O137" s="138" t="s">
        <v>483</v>
      </c>
      <c r="P137" s="231" t="str">
        <f t="shared" si="10"/>
        <v>Reciclagem</v>
      </c>
      <c r="Q137" s="231" t="s">
        <v>1909</v>
      </c>
      <c r="R137" s="231" t="s">
        <v>1877</v>
      </c>
      <c r="S137" s="114" t="str">
        <f>IFERROR(INDEX(Tabela3[Tipos de Tratamento],MATCH('A3.9.1 copy'!O96,Tabela3[Código],0)),"")</f>
        <v xml:space="preserve">Troca de resíduos com vista a submetê-los a uma das operações enumeradas de R 1 a R 11 </v>
      </c>
      <c r="T137" s="114" t="s">
        <v>1538</v>
      </c>
      <c r="U137" s="114" t="s">
        <v>1539</v>
      </c>
      <c r="V137" s="114"/>
    </row>
    <row r="138" spans="1:22" ht="15.75" hidden="1" thickBot="1" x14ac:dyDescent="0.3">
      <c r="A138" s="114" t="s">
        <v>3474</v>
      </c>
      <c r="B138" s="424" t="s">
        <v>45</v>
      </c>
      <c r="C138" s="82" t="str">
        <f t="shared" si="11"/>
        <v>Boa Viagem</v>
      </c>
      <c r="D138">
        <v>2022</v>
      </c>
      <c r="E138" s="250" t="s">
        <v>3499</v>
      </c>
      <c r="F138" s="250" t="s">
        <v>3566</v>
      </c>
      <c r="G138" t="s">
        <v>42</v>
      </c>
      <c r="H138" s="82" t="s">
        <v>34</v>
      </c>
      <c r="I138" s="525">
        <v>160112</v>
      </c>
      <c r="J138" s="425" t="str">
        <f>INDEX(aux!B:B,MATCH(I138,aux!A:A,0))</f>
        <v>Pastilhas de travões não abrangidas em 16 01 11</v>
      </c>
      <c r="K138" s="433" t="str">
        <f>INDEX(aux!C:C,MATCH(I138,aux!A:A,0))</f>
        <v>Não</v>
      </c>
      <c r="L138" s="298">
        <v>0.81</v>
      </c>
      <c r="M138" s="138" t="s">
        <v>1532</v>
      </c>
      <c r="N138" s="139">
        <f t="shared" si="9"/>
        <v>810</v>
      </c>
      <c r="O138" s="138" t="s">
        <v>483</v>
      </c>
      <c r="P138" s="231" t="str">
        <f t="shared" si="10"/>
        <v>Reciclagem</v>
      </c>
      <c r="Q138" s="231" t="s">
        <v>1557</v>
      </c>
      <c r="R138" s="231" t="s">
        <v>1903</v>
      </c>
      <c r="S138" s="114" t="str">
        <f>IFERROR(INDEX(Tabela3[Tipos de Tratamento],MATCH('A3.9.1 copy'!O88,Tabela3[Código],0)),"")</f>
        <v xml:space="preserve">Troca de resíduos com vista a submetê-los a uma das operações enumeradas de R 1 a R 11 </v>
      </c>
      <c r="T138" s="114" t="s">
        <v>1538</v>
      </c>
      <c r="U138" s="114" t="s">
        <v>1539</v>
      </c>
      <c r="V138" s="114"/>
    </row>
    <row r="139" spans="1:22" ht="15.75" hidden="1" thickBot="1" x14ac:dyDescent="0.3">
      <c r="A139" s="114" t="s">
        <v>3474</v>
      </c>
      <c r="B139" s="424" t="s">
        <v>45</v>
      </c>
      <c r="C139" s="82" t="str">
        <f t="shared" si="11"/>
        <v>Boa Viagem</v>
      </c>
      <c r="D139">
        <v>2022</v>
      </c>
      <c r="E139" s="250" t="s">
        <v>3499</v>
      </c>
      <c r="F139" s="250" t="s">
        <v>3566</v>
      </c>
      <c r="G139" t="s">
        <v>42</v>
      </c>
      <c r="H139" s="82" t="s">
        <v>34</v>
      </c>
      <c r="I139" s="525">
        <v>160117</v>
      </c>
      <c r="J139" s="425" t="str">
        <f>INDEX(aux!B:B,MATCH(I139,aux!A:A,0))</f>
        <v>Metais ferrosos</v>
      </c>
      <c r="K139" s="433" t="str">
        <f>INDEX(aux!C:C,MATCH(I139,aux!A:A,0))</f>
        <v>Não</v>
      </c>
      <c r="L139" s="298">
        <v>3.1</v>
      </c>
      <c r="M139" s="138" t="s">
        <v>1532</v>
      </c>
      <c r="N139" s="139">
        <f t="shared" si="9"/>
        <v>3100</v>
      </c>
      <c r="O139" s="138" t="s">
        <v>483</v>
      </c>
      <c r="P139" s="231" t="str">
        <f t="shared" si="10"/>
        <v>Reciclagem</v>
      </c>
      <c r="Q139" s="231" t="s">
        <v>1557</v>
      </c>
      <c r="R139" s="231" t="s">
        <v>1903</v>
      </c>
      <c r="S139" s="114" t="str">
        <f>IFERROR(INDEX(Tabela3[Tipos de Tratamento],MATCH('A3.9.1 copy'!O89,Tabela3[Código],0)),"")</f>
        <v>Armazenagem enquanto se aguarda a execução de uma das operações enumeradas de D1 a D14</v>
      </c>
      <c r="T139" s="114" t="s">
        <v>1558</v>
      </c>
      <c r="U139" s="114" t="s">
        <v>1559</v>
      </c>
      <c r="V139" s="114"/>
    </row>
    <row r="140" spans="1:22" ht="15.75" hidden="1" thickBot="1" x14ac:dyDescent="0.3">
      <c r="A140" s="114" t="s">
        <v>3474</v>
      </c>
      <c r="B140" s="424" t="s">
        <v>45</v>
      </c>
      <c r="C140" s="82" t="str">
        <f t="shared" si="11"/>
        <v>Boa Viagem</v>
      </c>
      <c r="D140">
        <v>2022</v>
      </c>
      <c r="E140" s="250" t="s">
        <v>3499</v>
      </c>
      <c r="F140" s="250" t="s">
        <v>3566</v>
      </c>
      <c r="G140" t="s">
        <v>42</v>
      </c>
      <c r="H140" s="82" t="s">
        <v>34</v>
      </c>
      <c r="I140" s="525">
        <v>130208</v>
      </c>
      <c r="J140" s="425" t="str">
        <f>INDEX(aux!B:B,MATCH(I140,aux!A:A,0))</f>
        <v>(*) Outros óleos de motores, transmissões e lubrificação</v>
      </c>
      <c r="K140" s="433" t="str">
        <f>INDEX(aux!C:C,MATCH(I140,aux!A:A,0))</f>
        <v>Sim</v>
      </c>
      <c r="L140" s="298">
        <v>3.589</v>
      </c>
      <c r="M140" s="138" t="s">
        <v>1532</v>
      </c>
      <c r="N140" s="139">
        <f t="shared" si="9"/>
        <v>3589</v>
      </c>
      <c r="O140" s="138" t="s">
        <v>480</v>
      </c>
      <c r="P140" s="231" t="str">
        <f t="shared" si="10"/>
        <v>Reciclagem</v>
      </c>
      <c r="Q140" s="231" t="s">
        <v>1902</v>
      </c>
      <c r="R140" s="231" t="s">
        <v>1877</v>
      </c>
      <c r="S140" s="114" t="str">
        <f>IFERROR(INDEX(Tabela3[Tipos de Tratamento],MATCH('A3.9.1 copy'!O77,Tabela3[Código],0)),"")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140" s="114" t="s">
        <v>1535</v>
      </c>
      <c r="U140" s="114" t="s">
        <v>1536</v>
      </c>
      <c r="V140" s="114"/>
    </row>
    <row r="141" spans="1:22" ht="15.75" hidden="1" thickBot="1" x14ac:dyDescent="0.3">
      <c r="A141" s="114" t="s">
        <v>3474</v>
      </c>
      <c r="B141" s="424" t="s">
        <v>45</v>
      </c>
      <c r="C141" s="82" t="str">
        <f t="shared" si="11"/>
        <v>Boa Viagem</v>
      </c>
      <c r="D141">
        <v>2022</v>
      </c>
      <c r="E141" s="250" t="s">
        <v>3499</v>
      </c>
      <c r="F141" s="250" t="s">
        <v>3566</v>
      </c>
      <c r="G141" t="s">
        <v>42</v>
      </c>
      <c r="H141" s="82" t="s">
        <v>34</v>
      </c>
      <c r="I141" s="525">
        <v>150101</v>
      </c>
      <c r="J141" s="425" t="str">
        <f>INDEX(aux!B:B,MATCH(I141,aux!A:A,0))</f>
        <v>Embalagens de papel e cartão</v>
      </c>
      <c r="K141" s="433" t="str">
        <f>INDEX(aux!C:C,MATCH(I141,aux!A:A,0))</f>
        <v>Não</v>
      </c>
      <c r="L141" s="298">
        <v>1.7</v>
      </c>
      <c r="M141" s="138" t="s">
        <v>1532</v>
      </c>
      <c r="N141" s="139">
        <f t="shared" si="9"/>
        <v>1700</v>
      </c>
      <c r="O141" s="138" t="s">
        <v>484</v>
      </c>
      <c r="P141" s="231" t="str">
        <f t="shared" si="10"/>
        <v>Reciclagem</v>
      </c>
      <c r="Q141" s="231" t="s">
        <v>1904</v>
      </c>
      <c r="R141" s="231" t="s">
        <v>1903</v>
      </c>
      <c r="S141" s="114" t="str">
        <f>IFERROR(INDEX(Tabela3[Tipos de Tratamento],MATCH('A3.9.1 copy'!O80,Tabela3[Código],0)),"")</f>
        <v xml:space="preserve">Troca de resíduos com vista a submetê-los a uma das operações enumeradas de R 1 a R 11 </v>
      </c>
      <c r="T141" s="114" t="s">
        <v>1558</v>
      </c>
      <c r="U141" s="114" t="s">
        <v>1559</v>
      </c>
      <c r="V141" s="114"/>
    </row>
    <row r="142" spans="1:22" ht="15.75" hidden="1" thickBot="1" x14ac:dyDescent="0.3">
      <c r="A142" s="114" t="s">
        <v>3474</v>
      </c>
      <c r="B142" s="424" t="s">
        <v>45</v>
      </c>
      <c r="C142" s="82" t="str">
        <f t="shared" si="11"/>
        <v>Boa Viagem</v>
      </c>
      <c r="D142">
        <v>2022</v>
      </c>
      <c r="E142" s="250" t="s">
        <v>3499</v>
      </c>
      <c r="F142" s="250" t="s">
        <v>3566</v>
      </c>
      <c r="G142" t="s">
        <v>42</v>
      </c>
      <c r="H142" s="82" t="s">
        <v>34</v>
      </c>
      <c r="I142" s="525">
        <v>160119</v>
      </c>
      <c r="J142" s="425" t="str">
        <f>INDEX(aux!B:B,MATCH(I142,aux!A:A,0))</f>
        <v>Plástico</v>
      </c>
      <c r="K142" s="433" t="str">
        <f>INDEX(aux!C:C,MATCH(I142,aux!A:A,0))</f>
        <v>Não</v>
      </c>
      <c r="L142" s="298">
        <v>8.5999999999999993E-2</v>
      </c>
      <c r="M142" s="138" t="s">
        <v>1532</v>
      </c>
      <c r="N142" s="139">
        <f t="shared" si="9"/>
        <v>86</v>
      </c>
      <c r="O142" s="138" t="s">
        <v>483</v>
      </c>
      <c r="P142" s="231" t="str">
        <f t="shared" si="10"/>
        <v>Reciclagem</v>
      </c>
      <c r="Q142" s="231" t="s">
        <v>1560</v>
      </c>
      <c r="R142" s="231" t="s">
        <v>1903</v>
      </c>
      <c r="S142" s="114" t="str">
        <f>IFERROR(INDEX(Tabela3[Tipos de Tratamento],MATCH('A3.9.1 copy'!O90,Tabela3[Código],0)),"")</f>
        <v xml:space="preserve">Troca de resíduos com vista a submetê-los a uma das operações enumeradas de R 1 a R 11 </v>
      </c>
      <c r="T142" s="114" t="s">
        <v>1538</v>
      </c>
      <c r="U142" s="114" t="s">
        <v>1539</v>
      </c>
      <c r="V142" s="114"/>
    </row>
    <row r="143" spans="1:22" ht="15.75" hidden="1" thickBot="1" x14ac:dyDescent="0.3">
      <c r="A143" s="114" t="s">
        <v>3474</v>
      </c>
      <c r="B143" s="424" t="s">
        <v>45</v>
      </c>
      <c r="C143" s="82" t="str">
        <f t="shared" si="11"/>
        <v>Boa Viagem</v>
      </c>
      <c r="D143">
        <v>2022</v>
      </c>
      <c r="E143" s="250" t="s">
        <v>3499</v>
      </c>
      <c r="F143" s="250" t="s">
        <v>3566</v>
      </c>
      <c r="G143" t="s">
        <v>42</v>
      </c>
      <c r="H143" s="82" t="s">
        <v>34</v>
      </c>
      <c r="I143" s="525">
        <v>160103</v>
      </c>
      <c r="J143" s="425" t="str">
        <f>INDEX(aux!B:B,MATCH(I143,aux!A:A,0))</f>
        <v>Pneus usados</v>
      </c>
      <c r="K143" s="433" t="str">
        <f>INDEX(aux!C:C,MATCH(I143,aux!A:A,0))</f>
        <v>Não</v>
      </c>
      <c r="L143" s="298">
        <v>27.68</v>
      </c>
      <c r="M143" s="138" t="s">
        <v>1532</v>
      </c>
      <c r="N143" s="139">
        <f t="shared" si="9"/>
        <v>27680</v>
      </c>
      <c r="O143" s="138" t="s">
        <v>484</v>
      </c>
      <c r="P143" s="231" t="str">
        <f t="shared" si="10"/>
        <v>Reciclagem</v>
      </c>
      <c r="Q143" s="231" t="s">
        <v>1681</v>
      </c>
      <c r="R143" s="231" t="s">
        <v>1903</v>
      </c>
      <c r="S143" s="114" t="str">
        <f>IFERROR(INDEX(Tabela3[Tipos de Tratamento],MATCH('A3.9.1 copy'!O85,Tabela3[Código],0)),"")</f>
        <v xml:space="preserve">Troca de resíduos com vista a submetê-los a uma das operações enumeradas de R 1 a R 11 </v>
      </c>
      <c r="T143" s="114" t="s">
        <v>1558</v>
      </c>
      <c r="U143" s="114" t="s">
        <v>1559</v>
      </c>
      <c r="V143" s="114"/>
    </row>
    <row r="144" spans="1:22" ht="15.75" hidden="1" thickBot="1" x14ac:dyDescent="0.3">
      <c r="A144" s="114" t="s">
        <v>3474</v>
      </c>
      <c r="B144" s="424" t="s">
        <v>45</v>
      </c>
      <c r="C144" s="82" t="str">
        <f t="shared" si="11"/>
        <v>Boa Viagem</v>
      </c>
      <c r="D144">
        <v>2022</v>
      </c>
      <c r="E144" s="250" t="s">
        <v>3499</v>
      </c>
      <c r="F144" s="250" t="s">
        <v>3566</v>
      </c>
      <c r="G144" t="s">
        <v>42</v>
      </c>
      <c r="H144" s="82" t="s">
        <v>34</v>
      </c>
      <c r="I144" s="525">
        <v>80117</v>
      </c>
      <c r="J144" s="425" t="str">
        <f>INDEX(aux!B:B,MATCH(I144,aux!A:A,0))</f>
        <v>(*) Resíduos de tintas e vernizes, contendo solventes orgânicos ou outras substâncias perigosas</v>
      </c>
      <c r="K144" s="433" t="str">
        <f>INDEX(aux!C:C,MATCH(I144,aux!A:A,0))</f>
        <v>Sim</v>
      </c>
      <c r="L144" s="298">
        <v>1.6E-2</v>
      </c>
      <c r="M144" s="138" t="s">
        <v>1532</v>
      </c>
      <c r="N144" s="139">
        <f t="shared" si="9"/>
        <v>16</v>
      </c>
      <c r="O144" s="138" t="s">
        <v>509</v>
      </c>
      <c r="P144" s="231" t="str">
        <f t="shared" si="10"/>
        <v>Aterro</v>
      </c>
      <c r="Q144" s="231" t="s">
        <v>1901</v>
      </c>
      <c r="R144" s="231" t="s">
        <v>1892</v>
      </c>
      <c r="S144" s="114" t="str">
        <f>IFERROR(INDEX(Tabela3[Tipos de Tratamento],MATCH('A3.9.1 copy'!O75,Tabela3[Código],0)),"")</f>
        <v xml:space="preserve">Troca de resíduos com vista a submetê-los a uma das operações enumeradas de R 1 a R 11 </v>
      </c>
      <c r="T144" s="114" t="s">
        <v>1573</v>
      </c>
      <c r="U144" s="114" t="s">
        <v>1539</v>
      </c>
      <c r="V144" s="114"/>
    </row>
    <row r="145" spans="1:22" ht="15.75" hidden="1" thickBot="1" x14ac:dyDescent="0.3">
      <c r="A145" s="114" t="s">
        <v>3474</v>
      </c>
      <c r="B145" s="424" t="s">
        <v>45</v>
      </c>
      <c r="C145" s="82" t="str">
        <f t="shared" si="11"/>
        <v>Boa Viagem</v>
      </c>
      <c r="D145">
        <v>2022</v>
      </c>
      <c r="E145" s="250" t="s">
        <v>3499</v>
      </c>
      <c r="F145" s="250" t="s">
        <v>3566</v>
      </c>
      <c r="G145" t="s">
        <v>42</v>
      </c>
      <c r="H145" s="82" t="s">
        <v>34</v>
      </c>
      <c r="I145" s="525">
        <v>80117</v>
      </c>
      <c r="J145" s="425" t="str">
        <f>INDEX(aux!B:B,MATCH(I145,aux!A:A,0))</f>
        <v>(*) Resíduos de tintas e vernizes, contendo solventes orgânicos ou outras substâncias perigosas</v>
      </c>
      <c r="K145" s="433" t="str">
        <f>INDEX(aux!C:C,MATCH(I145,aux!A:A,0))</f>
        <v>Sim</v>
      </c>
      <c r="L145" s="298">
        <v>1.6E-2</v>
      </c>
      <c r="M145" s="138" t="s">
        <v>1532</v>
      </c>
      <c r="N145" s="139">
        <f t="shared" si="9"/>
        <v>16</v>
      </c>
      <c r="O145" s="138" t="s">
        <v>483</v>
      </c>
      <c r="P145" s="231" t="str">
        <f t="shared" si="10"/>
        <v>Reciclagem</v>
      </c>
      <c r="Q145" s="231" t="s">
        <v>1901</v>
      </c>
      <c r="R145" s="231" t="s">
        <v>1892</v>
      </c>
      <c r="S145" s="114" t="str">
        <f>IFERROR(INDEX(Tabela3[Tipos de Tratamento],MATCH('A3.9.1 copy'!O76,Tabela3[Código],0)),"")</f>
        <v>Acumulação de resíduos destinados a uma das operações enumeradas de R1 a R12</v>
      </c>
      <c r="T145" s="114" t="s">
        <v>1573</v>
      </c>
      <c r="U145" s="114" t="s">
        <v>1539</v>
      </c>
      <c r="V145" s="114"/>
    </row>
    <row r="146" spans="1:22" ht="15.75" hidden="1" thickBot="1" x14ac:dyDescent="0.3">
      <c r="A146" s="114" t="s">
        <v>3474</v>
      </c>
      <c r="B146" s="424" t="s">
        <v>45</v>
      </c>
      <c r="C146" s="82" t="str">
        <f t="shared" si="11"/>
        <v>Boa Viagem</v>
      </c>
      <c r="D146">
        <v>2022</v>
      </c>
      <c r="E146" s="250" t="s">
        <v>3499</v>
      </c>
      <c r="F146" s="250" t="s">
        <v>3566</v>
      </c>
      <c r="G146" t="s">
        <v>42</v>
      </c>
      <c r="H146" s="82" t="s">
        <v>34</v>
      </c>
      <c r="I146" s="525">
        <v>130502</v>
      </c>
      <c r="J146" s="425" t="str">
        <f>INDEX(aux!B:B,MATCH(I146,aux!A:A,0))</f>
        <v>(*) Lamas provenientes dos separadores óleo/água</v>
      </c>
      <c r="K146" s="433" t="str">
        <f>INDEX(aux!C:C,MATCH(I146,aux!A:A,0))</f>
        <v>Sim</v>
      </c>
      <c r="L146" s="298">
        <v>6.36</v>
      </c>
      <c r="M146" s="138" t="s">
        <v>1532</v>
      </c>
      <c r="N146" s="139">
        <f t="shared" si="9"/>
        <v>6360</v>
      </c>
      <c r="O146" s="138" t="s">
        <v>483</v>
      </c>
      <c r="P146" s="231" t="str">
        <f t="shared" si="10"/>
        <v>Reciclagem</v>
      </c>
      <c r="Q146" s="231" t="s">
        <v>1901</v>
      </c>
      <c r="R146" s="231" t="s">
        <v>1892</v>
      </c>
      <c r="S146" s="114" t="str">
        <f>IFERROR(INDEX(Tabela3[Tipos de Tratamento],MATCH('A3.9.1 copy'!O78,Tabela3[Código],0)),"")</f>
        <v xml:space="preserve">Troca de resíduos com vista a submetê-los a uma das operações enumeradas de R 1 a R 11 </v>
      </c>
      <c r="T146" s="114" t="s">
        <v>1570</v>
      </c>
      <c r="U146" s="114" t="s">
        <v>1571</v>
      </c>
      <c r="V146" s="114"/>
    </row>
    <row r="147" spans="1:22" ht="15.75" hidden="1" thickBot="1" x14ac:dyDescent="0.3">
      <c r="A147" s="114" t="s">
        <v>3474</v>
      </c>
      <c r="B147" s="424" t="s">
        <v>45</v>
      </c>
      <c r="C147" s="82" t="str">
        <f t="shared" si="11"/>
        <v>Boa Viagem</v>
      </c>
      <c r="D147">
        <v>2022</v>
      </c>
      <c r="E147" s="250" t="s">
        <v>3499</v>
      </c>
      <c r="F147" s="250" t="s">
        <v>3566</v>
      </c>
      <c r="G147" t="s">
        <v>42</v>
      </c>
      <c r="H147" s="82" t="s">
        <v>34</v>
      </c>
      <c r="I147" s="525">
        <v>130507</v>
      </c>
      <c r="J147" s="425" t="str">
        <f>INDEX(aux!B:B,MATCH(I147,aux!A:A,0))</f>
        <v>(*) Água com óleo proveniente dos separadores óleo/água</v>
      </c>
      <c r="K147" s="433" t="str">
        <f>INDEX(aux!C:C,MATCH(I147,aux!A:A,0))</f>
        <v>Sim</v>
      </c>
      <c r="L147" s="298">
        <v>19.920000000000002</v>
      </c>
      <c r="M147" s="138" t="s">
        <v>1532</v>
      </c>
      <c r="N147" s="139">
        <f t="shared" si="9"/>
        <v>19920</v>
      </c>
      <c r="O147" s="138" t="s">
        <v>483</v>
      </c>
      <c r="P147" s="231" t="str">
        <f t="shared" si="10"/>
        <v>Reciclagem</v>
      </c>
      <c r="Q147" s="231" t="s">
        <v>1901</v>
      </c>
      <c r="R147" s="231" t="s">
        <v>1892</v>
      </c>
      <c r="S147" s="114" t="str">
        <f>IFERROR(INDEX(Tabela3[Tipos de Tratamento],MATCH('A3.9.1 copy'!O79,Tabela3[Código],0)),"")</f>
        <v xml:space="preserve">Troca de resíduos com vista a submetê-los a uma das operações enumeradas de R 1 a R 11 </v>
      </c>
      <c r="T147" s="114" t="s">
        <v>1570</v>
      </c>
      <c r="U147" s="114" t="s">
        <v>1571</v>
      </c>
      <c r="V147" s="114"/>
    </row>
    <row r="148" spans="1:22" ht="15.75" hidden="1" thickBot="1" x14ac:dyDescent="0.3">
      <c r="A148" s="114" t="s">
        <v>3474</v>
      </c>
      <c r="B148" s="424" t="s">
        <v>45</v>
      </c>
      <c r="C148" s="82" t="str">
        <f t="shared" si="11"/>
        <v>Boa Viagem</v>
      </c>
      <c r="D148">
        <v>2022</v>
      </c>
      <c r="E148" s="250" t="s">
        <v>3499</v>
      </c>
      <c r="F148" s="250" t="s">
        <v>3566</v>
      </c>
      <c r="G148" t="s">
        <v>42</v>
      </c>
      <c r="H148" s="82" t="s">
        <v>34</v>
      </c>
      <c r="I148" s="525">
        <v>150110</v>
      </c>
      <c r="J148" s="425" t="str">
        <f>INDEX(aux!B:B,MATCH(I148,aux!A:A,0))</f>
        <v>(*) Embalagens contendo ou contaminadas por resíduos de substâncias perigosas</v>
      </c>
      <c r="K148" s="433" t="str">
        <f>INDEX(aux!C:C,MATCH(I148,aux!A:A,0))</f>
        <v>Sim</v>
      </c>
      <c r="L148" s="298">
        <v>0.09</v>
      </c>
      <c r="M148" s="138" t="s">
        <v>1532</v>
      </c>
      <c r="N148" s="139">
        <f t="shared" si="9"/>
        <v>90</v>
      </c>
      <c r="O148" s="138" t="s">
        <v>484</v>
      </c>
      <c r="P148" s="231" t="str">
        <f t="shared" si="10"/>
        <v>Reciclagem</v>
      </c>
      <c r="Q148" s="231" t="s">
        <v>1901</v>
      </c>
      <c r="R148" s="231" t="s">
        <v>1892</v>
      </c>
      <c r="S148" s="114" t="str">
        <f>IFERROR(INDEX(Tabela3[Tipos de Tratamento],MATCH('A3.9.1 copy'!O81,Tabela3[Código],0)),"")</f>
        <v>Acumulação de resíduos destinados a uma das operações enumeradas de R1 a R12</v>
      </c>
      <c r="T148" s="114" t="s">
        <v>1538</v>
      </c>
      <c r="U148" s="114" t="s">
        <v>1539</v>
      </c>
      <c r="V148" s="114"/>
    </row>
    <row r="149" spans="1:22" ht="15.75" hidden="1" thickBot="1" x14ac:dyDescent="0.3">
      <c r="A149" s="114" t="s">
        <v>3474</v>
      </c>
      <c r="B149" s="424" t="s">
        <v>45</v>
      </c>
      <c r="C149" s="82" t="str">
        <f t="shared" si="11"/>
        <v>Boa Viagem</v>
      </c>
      <c r="D149">
        <v>2022</v>
      </c>
      <c r="E149" s="250" t="s">
        <v>3499</v>
      </c>
      <c r="F149" s="250" t="s">
        <v>3566</v>
      </c>
      <c r="G149" t="s">
        <v>42</v>
      </c>
      <c r="H149" s="82" t="s">
        <v>34</v>
      </c>
      <c r="I149" s="525">
        <v>150202</v>
      </c>
      <c r="J149" s="425" t="str">
        <f>INDEX(aux!B:B,MATCH(I149,aux!A:A,0))</f>
        <v>(*) Absorventes, materiais filtrantes (incluindo filtros de óleo sem outras especificações), panos de limpeza e vestuário de proteção, contaminados por substâncias perigosas</v>
      </c>
      <c r="K149" s="433" t="str">
        <f>INDEX(aux!C:C,MATCH(I149,aux!A:A,0))</f>
        <v>Sim</v>
      </c>
      <c r="L149" s="298">
        <v>1.28</v>
      </c>
      <c r="M149" s="138" t="s">
        <v>1532</v>
      </c>
      <c r="N149" s="139">
        <f t="shared" si="9"/>
        <v>1280</v>
      </c>
      <c r="O149" s="138" t="s">
        <v>484</v>
      </c>
      <c r="P149" s="231" t="str">
        <f t="shared" si="10"/>
        <v>Reciclagem</v>
      </c>
      <c r="Q149" s="231" t="s">
        <v>1901</v>
      </c>
      <c r="R149" s="231" t="s">
        <v>1892</v>
      </c>
      <c r="S149" s="114" t="str">
        <f>IFERROR(INDEX(Tabela3[Tipos de Tratamento],MATCH('A3.9.1 copy'!O82,Tabela3[Código],0)),"")</f>
        <v>Acumulação de resíduos destinados a uma das operações enumeradas de R1 a R12</v>
      </c>
      <c r="T149" s="114" t="s">
        <v>1538</v>
      </c>
      <c r="U149" s="114" t="s">
        <v>1539</v>
      </c>
      <c r="V149" s="114"/>
    </row>
    <row r="150" spans="1:22" ht="15.75" hidden="1" thickBot="1" x14ac:dyDescent="0.3">
      <c r="A150" s="114" t="s">
        <v>3474</v>
      </c>
      <c r="B150" s="424" t="s">
        <v>45</v>
      </c>
      <c r="C150" s="82" t="str">
        <f t="shared" si="11"/>
        <v>Boa Viagem</v>
      </c>
      <c r="D150">
        <v>2022</v>
      </c>
      <c r="E150" s="250" t="s">
        <v>3499</v>
      </c>
      <c r="F150" s="250" t="s">
        <v>3566</v>
      </c>
      <c r="G150" t="s">
        <v>42</v>
      </c>
      <c r="H150" s="82" t="s">
        <v>34</v>
      </c>
      <c r="I150" s="525">
        <v>150202</v>
      </c>
      <c r="J150" s="425" t="str">
        <f>INDEX(aux!B:B,MATCH(I150,aux!A:A,0))</f>
        <v>(*) Absorventes, materiais filtrantes (incluindo filtros de óleo sem outras especificações), panos de limpeza e vestuário de proteção, contaminados por substâncias perigosas</v>
      </c>
      <c r="K150" s="433" t="str">
        <f>INDEX(aux!C:C,MATCH(I150,aux!A:A,0))</f>
        <v>Sim</v>
      </c>
      <c r="L150" s="298">
        <v>1.28</v>
      </c>
      <c r="M150" s="138" t="s">
        <v>1532</v>
      </c>
      <c r="N150" s="139">
        <f t="shared" si="9"/>
        <v>1280</v>
      </c>
      <c r="O150" s="138" t="s">
        <v>483</v>
      </c>
      <c r="P150" s="231" t="str">
        <f t="shared" si="10"/>
        <v>Reciclagem</v>
      </c>
      <c r="Q150" s="231" t="s">
        <v>1901</v>
      </c>
      <c r="R150" s="231" t="s">
        <v>1892</v>
      </c>
      <c r="S150" s="114" t="str">
        <f>IFERROR(INDEX(Tabela3[Tipos de Tratamento],MATCH('A3.9.1 copy'!O83,Tabela3[Código],0)),"")</f>
        <v xml:space="preserve">Troca de resíduos com vista a submetê-los a uma das operações enumeradas de R 1 a R 11 </v>
      </c>
      <c r="T150" s="114" t="s">
        <v>1573</v>
      </c>
      <c r="U150" s="114" t="s">
        <v>1574</v>
      </c>
      <c r="V150" s="114"/>
    </row>
    <row r="151" spans="1:22" ht="15.75" hidden="1" thickBot="1" x14ac:dyDescent="0.3">
      <c r="A151" s="114" t="s">
        <v>3474</v>
      </c>
      <c r="B151" s="424" t="s">
        <v>45</v>
      </c>
      <c r="C151" s="82" t="str">
        <f t="shared" si="11"/>
        <v>Boa Viagem</v>
      </c>
      <c r="D151">
        <v>2022</v>
      </c>
      <c r="E151" s="250" t="s">
        <v>3499</v>
      </c>
      <c r="F151" s="250" t="s">
        <v>3566</v>
      </c>
      <c r="G151" t="s">
        <v>42</v>
      </c>
      <c r="H151" s="82" t="s">
        <v>34</v>
      </c>
      <c r="I151" s="525">
        <v>150203</v>
      </c>
      <c r="J151" s="425" t="str">
        <f>INDEX(aux!B:B,MATCH(I151,aux!A:A,0))</f>
        <v>Absorventes, materiais filtrantes, panos de limpeza e vestuário de proteção não abrangidos em 15 02 02</v>
      </c>
      <c r="K151" s="433" t="str">
        <f>INDEX(aux!C:C,MATCH(I151,aux!A:A,0))</f>
        <v>Não</v>
      </c>
      <c r="L151" s="537">
        <v>1.8</v>
      </c>
      <c r="M151" s="138" t="s">
        <v>1532</v>
      </c>
      <c r="N151" s="139">
        <f t="shared" si="9"/>
        <v>1800</v>
      </c>
      <c r="O151" s="539" t="s">
        <v>483</v>
      </c>
      <c r="P151" s="231" t="str">
        <f t="shared" si="10"/>
        <v>Reciclagem</v>
      </c>
      <c r="Q151" s="231" t="s">
        <v>1901</v>
      </c>
      <c r="R151" s="231" t="s">
        <v>1892</v>
      </c>
      <c r="S151" s="114" t="str">
        <f>IFERROR(INDEX(Tabela3[Tipos de Tratamento],MATCH('A3.9.1 copy'!O84,Tabela3[Código],0)),"")</f>
        <v>Acumulação de resíduos destinados a uma das operações enumeradas de R1 a R12</v>
      </c>
      <c r="T151" s="543" t="s">
        <v>1538</v>
      </c>
      <c r="U151" s="543" t="s">
        <v>1539</v>
      </c>
      <c r="V151" s="528"/>
    </row>
    <row r="152" spans="1:22" ht="15.75" hidden="1" thickBot="1" x14ac:dyDescent="0.3">
      <c r="A152" s="114" t="s">
        <v>3474</v>
      </c>
      <c r="B152" s="424" t="s">
        <v>45</v>
      </c>
      <c r="C152" s="82" t="str">
        <f t="shared" si="11"/>
        <v>Boa Viagem</v>
      </c>
      <c r="D152">
        <v>2022</v>
      </c>
      <c r="E152" s="250" t="s">
        <v>3499</v>
      </c>
      <c r="F152" s="250" t="s">
        <v>3566</v>
      </c>
      <c r="G152" t="s">
        <v>42</v>
      </c>
      <c r="H152" s="82" t="s">
        <v>34</v>
      </c>
      <c r="I152" s="525">
        <v>160107</v>
      </c>
      <c r="J152" s="425" t="str">
        <f>INDEX(aux!B:B,MATCH(I152,aux!A:A,0))</f>
        <v>(*) Filtros de óleo</v>
      </c>
      <c r="K152" s="433" t="str">
        <f>INDEX(aux!C:C,MATCH(I152,aux!A:A,0))</f>
        <v>Sim</v>
      </c>
      <c r="L152" s="537">
        <v>0.72799999999999998</v>
      </c>
      <c r="M152" s="138" t="s">
        <v>1532</v>
      </c>
      <c r="N152" s="139">
        <f t="shared" si="9"/>
        <v>728</v>
      </c>
      <c r="O152" s="539" t="s">
        <v>484</v>
      </c>
      <c r="P152" s="231" t="str">
        <f t="shared" si="10"/>
        <v>Reciclagem</v>
      </c>
      <c r="Q152" s="231" t="s">
        <v>1901</v>
      </c>
      <c r="R152" s="231" t="s">
        <v>1892</v>
      </c>
      <c r="S152" s="114" t="str">
        <f>IFERROR(INDEX(Tabela3[Tipos de Tratamento],MATCH('A3.9.1 copy'!O87,Tabela3[Código],0)),"")</f>
        <v xml:space="preserve">Troca de resíduos com vista a submetê-los a uma das operações enumeradas de R 1 a R 11 </v>
      </c>
      <c r="T152" s="543" t="s">
        <v>1538</v>
      </c>
      <c r="U152" s="543" t="s">
        <v>1539</v>
      </c>
      <c r="V152" s="528"/>
    </row>
    <row r="153" spans="1:22" ht="15.75" hidden="1" thickBot="1" x14ac:dyDescent="0.3">
      <c r="A153" s="114" t="s">
        <v>3474</v>
      </c>
      <c r="B153" s="424" t="s">
        <v>45</v>
      </c>
      <c r="C153" s="82" t="str">
        <f t="shared" si="11"/>
        <v>Boa Viagem</v>
      </c>
      <c r="D153">
        <v>2022</v>
      </c>
      <c r="E153" s="250" t="s">
        <v>3499</v>
      </c>
      <c r="F153" s="250" t="s">
        <v>3566</v>
      </c>
      <c r="G153" t="s">
        <v>42</v>
      </c>
      <c r="H153" s="82" t="s">
        <v>34</v>
      </c>
      <c r="I153" s="525">
        <v>160121</v>
      </c>
      <c r="J153" s="425" t="str">
        <f>INDEX(aux!B:B,MATCH(I153,aux!A:A,0))</f>
        <v>(*) Componentes perigosos não abrangidos em 16 01 07 a 16 01 11, 16 01 13 e 16 01 14</v>
      </c>
      <c r="K153" s="433" t="str">
        <f>INDEX(aux!C:C,MATCH(I153,aux!A:A,0))</f>
        <v>Sim</v>
      </c>
      <c r="L153" s="537">
        <v>0.84</v>
      </c>
      <c r="M153" s="138" t="s">
        <v>1532</v>
      </c>
      <c r="N153" s="139">
        <f t="shared" si="9"/>
        <v>840</v>
      </c>
      <c r="O153" s="539" t="s">
        <v>484</v>
      </c>
      <c r="P153" s="231" t="str">
        <f t="shared" si="10"/>
        <v>Reciclagem</v>
      </c>
      <c r="Q153" s="231" t="s">
        <v>1901</v>
      </c>
      <c r="R153" s="231" t="s">
        <v>1892</v>
      </c>
      <c r="S153" s="114" t="str">
        <f>IFERROR(INDEX(Tabela3[Tipos de Tratamento],MATCH('A3.9.1 copy'!O92,Tabela3[Código],0)),"")</f>
        <v xml:space="preserve">Troca de resíduos com vista a submetê-los a uma das operações enumeradas de R 1 a R 11 </v>
      </c>
      <c r="T153" s="543" t="s">
        <v>1538</v>
      </c>
      <c r="U153" s="543" t="s">
        <v>1539</v>
      </c>
      <c r="V153" s="528"/>
    </row>
    <row r="154" spans="1:22" ht="15.75" hidden="1" thickBot="1" x14ac:dyDescent="0.3">
      <c r="A154" s="114" t="s">
        <v>3474</v>
      </c>
      <c r="B154" s="424" t="s">
        <v>45</v>
      </c>
      <c r="C154" s="82" t="str">
        <f t="shared" si="11"/>
        <v>Boa Viagem</v>
      </c>
      <c r="D154">
        <v>2022</v>
      </c>
      <c r="E154" s="250" t="s">
        <v>3499</v>
      </c>
      <c r="F154" s="250" t="s">
        <v>3566</v>
      </c>
      <c r="G154" t="s">
        <v>42</v>
      </c>
      <c r="H154" s="82" t="s">
        <v>34</v>
      </c>
      <c r="I154" s="525">
        <v>160199</v>
      </c>
      <c r="J154" s="425" t="str">
        <f>INDEX(aux!B:B,MATCH(I154,aux!A:A,0))</f>
        <v>Resíduos sem outras especificações</v>
      </c>
      <c r="K154" s="433" t="str">
        <f>INDEX(aux!C:C,MATCH(I154,aux!A:A,0))</f>
        <v>Não</v>
      </c>
      <c r="L154" s="537">
        <v>0.68</v>
      </c>
      <c r="M154" s="138" t="s">
        <v>1532</v>
      </c>
      <c r="N154" s="139">
        <f t="shared" si="9"/>
        <v>680</v>
      </c>
      <c r="O154" s="539" t="s">
        <v>483</v>
      </c>
      <c r="P154" s="231" t="str">
        <f t="shared" si="10"/>
        <v>Reciclagem</v>
      </c>
      <c r="Q154" s="231" t="s">
        <v>1901</v>
      </c>
      <c r="R154" s="231" t="s">
        <v>1892</v>
      </c>
      <c r="S154" s="114" t="str">
        <f>IFERROR(INDEX(Tabela3[Tipos de Tratamento],MATCH('A3.9.1 copy'!O93,Tabela3[Código],0)),"")</f>
        <v xml:space="preserve">Troca de resíduos com vista a submetê-los a uma das operações enumeradas de R 1 a R 11 </v>
      </c>
      <c r="T154" s="543" t="s">
        <v>1538</v>
      </c>
      <c r="U154" s="543" t="s">
        <v>1539</v>
      </c>
      <c r="V154" s="528"/>
    </row>
    <row r="155" spans="1:22" ht="15.75" hidden="1" thickBot="1" x14ac:dyDescent="0.3">
      <c r="A155" s="114" t="s">
        <v>3474</v>
      </c>
      <c r="B155" s="424" t="s">
        <v>45</v>
      </c>
      <c r="C155" s="82" t="str">
        <f t="shared" si="11"/>
        <v>Boa Viagem</v>
      </c>
      <c r="D155">
        <v>2022</v>
      </c>
      <c r="E155" s="250" t="s">
        <v>3499</v>
      </c>
      <c r="F155" s="250" t="s">
        <v>3566</v>
      </c>
      <c r="G155" t="s">
        <v>42</v>
      </c>
      <c r="H155" s="82" t="s">
        <v>34</v>
      </c>
      <c r="I155" s="525">
        <v>200121</v>
      </c>
      <c r="J155" s="425" t="str">
        <f>INDEX(aux!B:B,MATCH(I155,aux!A:A,0))</f>
        <v>(*) Lâmpadas fluorescentes e outros resíduos contendo mercúrio</v>
      </c>
      <c r="K155" s="433" t="str">
        <f>INDEX(aux!C:C,MATCH(I155,aux!A:A,0))</f>
        <v>Sim</v>
      </c>
      <c r="L155" s="537">
        <v>2.4E-2</v>
      </c>
      <c r="M155" s="138" t="s">
        <v>1532</v>
      </c>
      <c r="N155" s="139">
        <f t="shared" si="9"/>
        <v>24</v>
      </c>
      <c r="O155" s="539" t="s">
        <v>484</v>
      </c>
      <c r="P155" s="231" t="str">
        <f t="shared" si="10"/>
        <v>Reciclagem</v>
      </c>
      <c r="Q155" s="231" t="s">
        <v>1901</v>
      </c>
      <c r="R155" s="231" t="s">
        <v>1892</v>
      </c>
      <c r="S155" s="114" t="str">
        <f>IFERROR(INDEX(Tabela3[Tipos de Tratamento],MATCH('A3.9.1 copy'!O95,Tabela3[Código],0)),"")</f>
        <v xml:space="preserve">Troca de resíduos com vista a submetê-los a uma das operações enumeradas de R 1 a R 11 </v>
      </c>
      <c r="T155" s="543" t="s">
        <v>1538</v>
      </c>
      <c r="U155" s="543" t="s">
        <v>1539</v>
      </c>
      <c r="V155" s="528"/>
    </row>
    <row r="156" spans="1:22" ht="15.75" hidden="1" thickBot="1" x14ac:dyDescent="0.3">
      <c r="A156" s="114" t="s">
        <v>3474</v>
      </c>
      <c r="B156" s="424" t="s">
        <v>45</v>
      </c>
      <c r="C156" s="82" t="str">
        <f t="shared" si="11"/>
        <v>Boa Viagem</v>
      </c>
      <c r="D156">
        <v>2022</v>
      </c>
      <c r="E156" s="250" t="s">
        <v>3499</v>
      </c>
      <c r="F156" s="250" t="s">
        <v>3566</v>
      </c>
      <c r="G156" t="s">
        <v>42</v>
      </c>
      <c r="H156" s="82" t="s">
        <v>34</v>
      </c>
      <c r="I156" s="525">
        <v>160104</v>
      </c>
      <c r="J156" s="425" t="str">
        <f>INDEX(aux!B:B,MATCH(I156,aux!A:A,0))</f>
        <v>Veículos em fim de vida</v>
      </c>
      <c r="K156" s="433" t="str">
        <f>INDEX(aux!C:C,MATCH(I156,aux!A:A,0))</f>
        <v>Sim</v>
      </c>
      <c r="L156" s="537">
        <v>65.02</v>
      </c>
      <c r="M156" s="138" t="s">
        <v>1532</v>
      </c>
      <c r="N156" s="139">
        <f t="shared" si="9"/>
        <v>65019.999999999993</v>
      </c>
      <c r="O156" s="539" t="s">
        <v>484</v>
      </c>
      <c r="P156" s="231" t="str">
        <f t="shared" si="10"/>
        <v>Reciclagem</v>
      </c>
      <c r="Q156" s="231" t="s">
        <v>1907</v>
      </c>
      <c r="R156" s="231" t="s">
        <v>1903</v>
      </c>
      <c r="S156" s="114" t="str">
        <f>IFERROR(INDEX(Tabela3[Tipos de Tratamento],MATCH('A3.9.1 copy'!O86,Tabela3[Código],0)),"")</f>
        <v>Acumulação de resíduos destinados a uma das operações enumeradas de R1 a R12</v>
      </c>
      <c r="T156" s="543" t="s">
        <v>1585</v>
      </c>
      <c r="U156" s="543" t="s">
        <v>1586</v>
      </c>
      <c r="V156" s="528"/>
    </row>
    <row r="157" spans="1:22" ht="15.75" hidden="1" thickBot="1" x14ac:dyDescent="0.3">
      <c r="A157" s="114" t="s">
        <v>3474</v>
      </c>
      <c r="B157" s="424" t="s">
        <v>45</v>
      </c>
      <c r="C157" s="82" t="str">
        <f t="shared" si="11"/>
        <v>Boa Viagem</v>
      </c>
      <c r="D157">
        <v>2022</v>
      </c>
      <c r="E157" s="250" t="s">
        <v>3499</v>
      </c>
      <c r="F157" s="250" t="s">
        <v>3566</v>
      </c>
      <c r="G157" t="s">
        <v>42</v>
      </c>
      <c r="H157" s="82" t="s">
        <v>34</v>
      </c>
      <c r="I157" s="525">
        <v>160120</v>
      </c>
      <c r="J157" s="425" t="str">
        <f>INDEX(aux!B:B,MATCH(I157,aux!A:A,0))</f>
        <v>Vidro</v>
      </c>
      <c r="K157" s="433" t="str">
        <f>INDEX(aux!C:C,MATCH(I157,aux!A:A,0))</f>
        <v>Não</v>
      </c>
      <c r="L157" s="537">
        <v>0.82799999999999996</v>
      </c>
      <c r="M157" s="138" t="s">
        <v>1532</v>
      </c>
      <c r="N157" s="139">
        <f t="shared" si="9"/>
        <v>828</v>
      </c>
      <c r="O157" s="539" t="s">
        <v>483</v>
      </c>
      <c r="P157" s="231" t="str">
        <f t="shared" si="10"/>
        <v>Reciclagem</v>
      </c>
      <c r="Q157" s="231" t="s">
        <v>1561</v>
      </c>
      <c r="R157" s="231" t="s">
        <v>1903</v>
      </c>
      <c r="S157" s="114" t="str">
        <f>IFERROR(INDEX(Tabela3[Tipos de Tratamento],MATCH('A3.9.1 copy'!O91,Tabela3[Código],0)),"")</f>
        <v>Acumulação de resíduos destinados a uma das operações enumeradas de R1 a R12</v>
      </c>
      <c r="T157" s="543" t="s">
        <v>1538</v>
      </c>
      <c r="U157" s="543" t="s">
        <v>1539</v>
      </c>
      <c r="V157" s="528"/>
    </row>
    <row r="158" spans="1:22" ht="15.75" thickBot="1" x14ac:dyDescent="0.3">
      <c r="A158" s="527" t="str">
        <f t="shared" ref="A158:A176" si="12">B158&amp;" - "&amp;C158</f>
        <v>Barraqueiro Transportes, S.A. - Boa Viagem</v>
      </c>
      <c r="B158" s="527" t="s">
        <v>45</v>
      </c>
      <c r="C158" s="82" t="s">
        <v>6052</v>
      </c>
      <c r="D158">
        <v>2023</v>
      </c>
      <c r="E158" s="250" t="s">
        <v>3499</v>
      </c>
      <c r="F158" s="250" t="s">
        <v>3566</v>
      </c>
      <c r="G158" t="s">
        <v>42</v>
      </c>
      <c r="H158" s="82" t="s">
        <v>42</v>
      </c>
      <c r="I158" s="530">
        <v>160601</v>
      </c>
      <c r="J158" s="425" t="str">
        <f>INDEX(aux!B:B,MATCH(I158,aux!A:A,0))</f>
        <v>(*) Acumuladores de chumbo</v>
      </c>
      <c r="K158" s="433" t="str">
        <f>INDEX(aux!C:C,MATCH(I158,aux!A:A,0))</f>
        <v>Sim</v>
      </c>
      <c r="L158" s="536">
        <v>1.8</v>
      </c>
      <c r="M158" s="664" t="s">
        <v>1532</v>
      </c>
      <c r="N158" s="139">
        <f t="shared" si="9"/>
        <v>1800</v>
      </c>
      <c r="O158" s="540" t="s">
        <v>484</v>
      </c>
      <c r="P158" s="231" t="str">
        <f t="shared" si="10"/>
        <v>Reciclagem</v>
      </c>
      <c r="Q158" s="231" t="s">
        <v>1653</v>
      </c>
      <c r="R158" s="231" t="s">
        <v>1877</v>
      </c>
      <c r="S158" s="425" t="s">
        <v>1553</v>
      </c>
      <c r="T158" s="429" t="s">
        <v>3171</v>
      </c>
      <c r="U158" s="429" t="s">
        <v>3171</v>
      </c>
      <c r="V158" s="458" t="s">
        <v>6317</v>
      </c>
    </row>
    <row r="159" spans="1:22" ht="15.75" thickBot="1" x14ac:dyDescent="0.3">
      <c r="A159" s="527" t="str">
        <f t="shared" si="12"/>
        <v>Barraqueiro Transportes, S.A. - Boa Viagem</v>
      </c>
      <c r="B159" s="527" t="s">
        <v>45</v>
      </c>
      <c r="C159" s="82" t="s">
        <v>6052</v>
      </c>
      <c r="D159">
        <v>2023</v>
      </c>
      <c r="E159" s="250" t="s">
        <v>3499</v>
      </c>
      <c r="F159" s="250" t="s">
        <v>3566</v>
      </c>
      <c r="G159" t="s">
        <v>42</v>
      </c>
      <c r="H159" s="82" t="s">
        <v>42</v>
      </c>
      <c r="I159" s="530">
        <v>200136</v>
      </c>
      <c r="J159" s="425" t="str">
        <f>INDEX(aux!B:B,MATCH(I159,aux!A:A,0))</f>
        <v>Equipamento elétrico e eletrónico fora de uso não abrangido em 20 01 21, 20 01 23 ou 20 01 35</v>
      </c>
      <c r="K159" s="433" t="str">
        <f>INDEX(aux!C:C,MATCH(I159,aux!A:A,0))</f>
        <v>Não</v>
      </c>
      <c r="L159" s="536">
        <v>1.004</v>
      </c>
      <c r="M159" s="664" t="s">
        <v>1532</v>
      </c>
      <c r="N159" s="139">
        <f t="shared" si="9"/>
        <v>1004</v>
      </c>
      <c r="O159" s="540" t="s">
        <v>483</v>
      </c>
      <c r="P159" s="231" t="str">
        <f t="shared" si="10"/>
        <v>Reciclagem</v>
      </c>
      <c r="Q159" s="231" t="s">
        <v>1909</v>
      </c>
      <c r="R159" s="231" t="s">
        <v>1877</v>
      </c>
      <c r="S159" s="425" t="s">
        <v>485</v>
      </c>
      <c r="T159" s="429" t="s">
        <v>3177</v>
      </c>
      <c r="U159" s="429" t="s">
        <v>3177</v>
      </c>
      <c r="V159" s="458" t="s">
        <v>6317</v>
      </c>
    </row>
    <row r="160" spans="1:22" ht="15.75" thickBot="1" x14ac:dyDescent="0.3">
      <c r="A160" s="527" t="str">
        <f>B160&amp;" - "&amp;C160</f>
        <v>Barraqueiro Transportes, S.A. - Boa Viagem</v>
      </c>
      <c r="B160" s="527" t="s">
        <v>45</v>
      </c>
      <c r="C160" s="82" t="s">
        <v>6052</v>
      </c>
      <c r="D160">
        <v>2023</v>
      </c>
      <c r="E160" s="250" t="s">
        <v>3499</v>
      </c>
      <c r="F160" s="250" t="s">
        <v>3566</v>
      </c>
      <c r="G160" t="s">
        <v>42</v>
      </c>
      <c r="H160" s="82" t="s">
        <v>42</v>
      </c>
      <c r="I160" s="530">
        <v>160112</v>
      </c>
      <c r="J160" s="425" t="str">
        <f>INDEX(aux!B:B,MATCH(I160,aux!A:A,0))</f>
        <v>Pastilhas de travões não abrangidas em 16 01 11</v>
      </c>
      <c r="K160" s="433" t="str">
        <f>INDEX(aux!C:C,MATCH(I160,aux!A:A,0))</f>
        <v>Não</v>
      </c>
      <c r="L160" s="536">
        <v>1.89</v>
      </c>
      <c r="M160" s="664" t="s">
        <v>1532</v>
      </c>
      <c r="N160" s="139">
        <f t="shared" si="9"/>
        <v>1890</v>
      </c>
      <c r="O160" s="540" t="s">
        <v>483</v>
      </c>
      <c r="P160" s="231" t="str">
        <f t="shared" si="10"/>
        <v>Reciclagem</v>
      </c>
      <c r="Q160" s="231" t="s">
        <v>1557</v>
      </c>
      <c r="R160" s="231" t="s">
        <v>6569</v>
      </c>
      <c r="S160" s="425" t="s">
        <v>485</v>
      </c>
      <c r="T160" s="429" t="s">
        <v>3177</v>
      </c>
      <c r="U160" s="429" t="s">
        <v>3177</v>
      </c>
      <c r="V160" s="458" t="s">
        <v>6317</v>
      </c>
    </row>
    <row r="161" spans="1:22" ht="15.75" thickBot="1" x14ac:dyDescent="0.3">
      <c r="A161" s="527" t="str">
        <f t="shared" si="12"/>
        <v>Barraqueiro Transportes, S.A. - Boa Viagem</v>
      </c>
      <c r="B161" s="527" t="s">
        <v>45</v>
      </c>
      <c r="C161" s="82" t="s">
        <v>6052</v>
      </c>
      <c r="D161">
        <v>2023</v>
      </c>
      <c r="E161" s="250" t="s">
        <v>3499</v>
      </c>
      <c r="F161" s="250" t="s">
        <v>3566</v>
      </c>
      <c r="G161" t="s">
        <v>42</v>
      </c>
      <c r="H161" s="82" t="s">
        <v>42</v>
      </c>
      <c r="I161" s="530">
        <v>160117</v>
      </c>
      <c r="J161" s="425" t="str">
        <f>INDEX(aux!B:B,MATCH(I161,aux!A:A,0))</f>
        <v>Metais ferrosos</v>
      </c>
      <c r="K161" s="433" t="str">
        <f>INDEX(aux!C:C,MATCH(I161,aux!A:A,0))</f>
        <v>Não</v>
      </c>
      <c r="L161" s="536">
        <v>5.96</v>
      </c>
      <c r="M161" s="664" t="s">
        <v>1532</v>
      </c>
      <c r="N161" s="139">
        <f t="shared" si="9"/>
        <v>5960</v>
      </c>
      <c r="O161" s="540" t="s">
        <v>483</v>
      </c>
      <c r="P161" s="231" t="str">
        <f t="shared" si="10"/>
        <v>Reciclagem</v>
      </c>
      <c r="Q161" s="231" t="s">
        <v>1557</v>
      </c>
      <c r="R161" s="231" t="s">
        <v>6569</v>
      </c>
      <c r="S161" s="425" t="s">
        <v>485</v>
      </c>
      <c r="T161" s="429" t="s">
        <v>3171</v>
      </c>
      <c r="U161" s="429" t="s">
        <v>3171</v>
      </c>
      <c r="V161" s="458" t="s">
        <v>6317</v>
      </c>
    </row>
    <row r="162" spans="1:22" ht="15.75" thickBot="1" x14ac:dyDescent="0.3">
      <c r="A162" s="527" t="str">
        <f t="shared" si="12"/>
        <v>Barraqueiro Transportes, S.A. - Boa Viagem</v>
      </c>
      <c r="B162" s="527" t="s">
        <v>45</v>
      </c>
      <c r="C162" s="82" t="s">
        <v>6052</v>
      </c>
      <c r="D162">
        <v>2023</v>
      </c>
      <c r="E162" s="250" t="s">
        <v>3499</v>
      </c>
      <c r="F162" s="250" t="s">
        <v>3566</v>
      </c>
      <c r="G162" t="s">
        <v>42</v>
      </c>
      <c r="H162" s="82" t="s">
        <v>42</v>
      </c>
      <c r="I162" s="530">
        <v>150111</v>
      </c>
      <c r="J162" s="425" t="str">
        <f>INDEX(aux!B:B,MATCH(I162,aux!A:A,0))</f>
        <v>(*) Embalagens de metal, incluindo recipientes vazios sob pressão, contendo uma matriz porosa sólida perigosa (por exemplo, amianto)</v>
      </c>
      <c r="K162" s="433" t="str">
        <f>INDEX(aux!C:C,MATCH(I162,aux!A:A,0))</f>
        <v>Sim</v>
      </c>
      <c r="L162" s="536">
        <v>3.5999999999999997E-2</v>
      </c>
      <c r="M162" s="664" t="s">
        <v>1532</v>
      </c>
      <c r="N162" s="139">
        <f t="shared" si="9"/>
        <v>36</v>
      </c>
      <c r="O162" s="540" t="s">
        <v>484</v>
      </c>
      <c r="P162" s="231" t="str">
        <f t="shared" si="10"/>
        <v>Reciclagem</v>
      </c>
      <c r="Q162" s="231" t="s">
        <v>1906</v>
      </c>
      <c r="R162" s="231" t="s">
        <v>6569</v>
      </c>
      <c r="S162" s="425" t="s">
        <v>1553</v>
      </c>
      <c r="T162" s="429" t="s">
        <v>3177</v>
      </c>
      <c r="U162" s="429" t="s">
        <v>3177</v>
      </c>
      <c r="V162" s="458" t="s">
        <v>6317</v>
      </c>
    </row>
    <row r="163" spans="1:22" ht="15.75" thickBot="1" x14ac:dyDescent="0.3">
      <c r="A163" s="527" t="str">
        <f t="shared" si="12"/>
        <v>Barraqueiro Transportes, S.A. - Boa Viagem</v>
      </c>
      <c r="B163" s="527" t="s">
        <v>45</v>
      </c>
      <c r="C163" s="82" t="s">
        <v>6052</v>
      </c>
      <c r="D163">
        <v>2023</v>
      </c>
      <c r="E163" s="250" t="s">
        <v>3499</v>
      </c>
      <c r="F163" s="250" t="s">
        <v>3566</v>
      </c>
      <c r="G163" t="s">
        <v>42</v>
      </c>
      <c r="H163" s="82" t="s">
        <v>42</v>
      </c>
      <c r="I163" s="530">
        <v>130208</v>
      </c>
      <c r="J163" s="425" t="str">
        <f>INDEX(aux!B:B,MATCH(I163,aux!A:A,0))</f>
        <v>(*) Outros óleos de motores, transmissões e lubrificação</v>
      </c>
      <c r="K163" s="433" t="str">
        <f>INDEX(aux!C:C,MATCH(I163,aux!A:A,0))</f>
        <v>Sim</v>
      </c>
      <c r="L163" s="536">
        <v>4.8609999999999998</v>
      </c>
      <c r="M163" s="664" t="s">
        <v>1532</v>
      </c>
      <c r="N163" s="139">
        <f t="shared" si="9"/>
        <v>4861</v>
      </c>
      <c r="O163" s="540" t="s">
        <v>480</v>
      </c>
      <c r="P163" s="231" t="str">
        <f t="shared" si="10"/>
        <v>Reciclagem</v>
      </c>
      <c r="Q163" s="231" t="s">
        <v>1902</v>
      </c>
      <c r="R163" s="231" t="s">
        <v>1877</v>
      </c>
      <c r="S163" s="425" t="s">
        <v>1546</v>
      </c>
      <c r="T163" s="429" t="s">
        <v>3173</v>
      </c>
      <c r="U163" s="429" t="s">
        <v>3174</v>
      </c>
      <c r="V163" s="458" t="s">
        <v>6317</v>
      </c>
    </row>
    <row r="164" spans="1:22" ht="15.75" thickBot="1" x14ac:dyDescent="0.3">
      <c r="A164" s="527" t="str">
        <f t="shared" si="12"/>
        <v>Barraqueiro Transportes, S.A. - Boa Viagem</v>
      </c>
      <c r="B164" s="527" t="s">
        <v>45</v>
      </c>
      <c r="C164" s="82" t="s">
        <v>6052</v>
      </c>
      <c r="D164">
        <v>2023</v>
      </c>
      <c r="E164" s="250" t="s">
        <v>3499</v>
      </c>
      <c r="F164" s="250" t="s">
        <v>3566</v>
      </c>
      <c r="G164" t="s">
        <v>42</v>
      </c>
      <c r="H164" s="82" t="s">
        <v>42</v>
      </c>
      <c r="I164" s="530">
        <v>150101</v>
      </c>
      <c r="J164" s="425" t="str">
        <f>INDEX(aux!B:B,MATCH(I164,aux!A:A,0))</f>
        <v>Embalagens de papel e cartão</v>
      </c>
      <c r="K164" s="433" t="str">
        <f>INDEX(aux!C:C,MATCH(I164,aux!A:A,0))</f>
        <v>Não</v>
      </c>
      <c r="L164" s="536">
        <v>0.96</v>
      </c>
      <c r="M164" s="664" t="s">
        <v>1532</v>
      </c>
      <c r="N164" s="139">
        <f t="shared" si="9"/>
        <v>960</v>
      </c>
      <c r="O164" s="540" t="s">
        <v>484</v>
      </c>
      <c r="P164" s="231" t="str">
        <f t="shared" si="10"/>
        <v>Reciclagem</v>
      </c>
      <c r="Q164" s="231" t="s">
        <v>1904</v>
      </c>
      <c r="R164" s="231" t="s">
        <v>6569</v>
      </c>
      <c r="S164" s="425" t="s">
        <v>1553</v>
      </c>
      <c r="T164" s="429" t="s">
        <v>3171</v>
      </c>
      <c r="U164" s="429" t="s">
        <v>3171</v>
      </c>
      <c r="V164" s="458" t="s">
        <v>6317</v>
      </c>
    </row>
    <row r="165" spans="1:22" ht="15.75" thickBot="1" x14ac:dyDescent="0.3">
      <c r="A165" s="527" t="str">
        <f t="shared" si="12"/>
        <v>Barraqueiro Transportes, S.A. - Boa Viagem</v>
      </c>
      <c r="B165" s="527" t="s">
        <v>45</v>
      </c>
      <c r="C165" s="82" t="s">
        <v>6052</v>
      </c>
      <c r="D165">
        <v>2023</v>
      </c>
      <c r="E165" s="250" t="s">
        <v>3499</v>
      </c>
      <c r="F165" s="250" t="s">
        <v>3566</v>
      </c>
      <c r="G165" t="s">
        <v>42</v>
      </c>
      <c r="H165" s="82" t="s">
        <v>42</v>
      </c>
      <c r="I165" s="530">
        <v>160119</v>
      </c>
      <c r="J165" s="425" t="str">
        <f>INDEX(aux!B:B,MATCH(I165,aux!A:A,0))</f>
        <v>Plástico</v>
      </c>
      <c r="K165" s="433" t="str">
        <f>INDEX(aux!C:C,MATCH(I165,aux!A:A,0))</f>
        <v>Não</v>
      </c>
      <c r="L165" s="536">
        <v>0.45800000000000002</v>
      </c>
      <c r="M165" s="664" t="s">
        <v>1532</v>
      </c>
      <c r="N165" s="139">
        <f t="shared" si="9"/>
        <v>458</v>
      </c>
      <c r="O165" s="540" t="s">
        <v>483</v>
      </c>
      <c r="P165" s="231" t="str">
        <f t="shared" si="10"/>
        <v>Reciclagem</v>
      </c>
      <c r="Q165" s="231" t="s">
        <v>1560</v>
      </c>
      <c r="R165" s="231" t="s">
        <v>6569</v>
      </c>
      <c r="S165" s="425" t="s">
        <v>485</v>
      </c>
      <c r="T165" s="429" t="s">
        <v>3177</v>
      </c>
      <c r="U165" s="429" t="s">
        <v>3177</v>
      </c>
      <c r="V165" s="458" t="s">
        <v>6317</v>
      </c>
    </row>
    <row r="166" spans="1:22" ht="15.75" thickBot="1" x14ac:dyDescent="0.3">
      <c r="A166" s="527" t="str">
        <f t="shared" si="12"/>
        <v>Barraqueiro Transportes, S.A. - Boa Viagem</v>
      </c>
      <c r="B166" s="527" t="s">
        <v>45</v>
      </c>
      <c r="C166" s="82" t="s">
        <v>6052</v>
      </c>
      <c r="D166">
        <v>2023</v>
      </c>
      <c r="E166" s="250" t="s">
        <v>3499</v>
      </c>
      <c r="F166" s="250" t="s">
        <v>3566</v>
      </c>
      <c r="G166" t="s">
        <v>42</v>
      </c>
      <c r="H166" s="82" t="s">
        <v>42</v>
      </c>
      <c r="I166" s="530">
        <v>160103</v>
      </c>
      <c r="J166" s="425" t="str">
        <f>INDEX(aux!B:B,MATCH(I166,aux!A:A,0))</f>
        <v>Pneus usados</v>
      </c>
      <c r="K166" s="433" t="str">
        <f>INDEX(aux!C:C,MATCH(I166,aux!A:A,0))</f>
        <v>Não</v>
      </c>
      <c r="L166" s="536">
        <v>15.14</v>
      </c>
      <c r="M166" s="664" t="s">
        <v>1532</v>
      </c>
      <c r="N166" s="139">
        <f t="shared" si="9"/>
        <v>15140</v>
      </c>
      <c r="O166" s="540" t="s">
        <v>484</v>
      </c>
      <c r="P166" s="231" t="str">
        <f t="shared" si="10"/>
        <v>Reciclagem</v>
      </c>
      <c r="Q166" s="231" t="s">
        <v>1681</v>
      </c>
      <c r="R166" s="231" t="s">
        <v>6569</v>
      </c>
      <c r="S166" s="425" t="s">
        <v>1553</v>
      </c>
      <c r="T166" s="429" t="s">
        <v>3171</v>
      </c>
      <c r="U166" s="429" t="s">
        <v>3171</v>
      </c>
      <c r="V166" s="458" t="s">
        <v>6317</v>
      </c>
    </row>
    <row r="167" spans="1:22" ht="15.75" thickBot="1" x14ac:dyDescent="0.3">
      <c r="A167" s="527" t="str">
        <f t="shared" si="12"/>
        <v>Barraqueiro Transportes, S.A. - Boa Viagem</v>
      </c>
      <c r="B167" s="527" t="s">
        <v>45</v>
      </c>
      <c r="C167" s="82" t="s">
        <v>6052</v>
      </c>
      <c r="D167">
        <v>2023</v>
      </c>
      <c r="E167" s="250" t="s">
        <v>3499</v>
      </c>
      <c r="F167" s="250" t="s">
        <v>3566</v>
      </c>
      <c r="G167" t="s">
        <v>42</v>
      </c>
      <c r="H167" s="82" t="s">
        <v>42</v>
      </c>
      <c r="I167" s="530">
        <v>80117</v>
      </c>
      <c r="J167" s="425" t="str">
        <f>INDEX(aux!B:B,MATCH(I167,aux!A:A,0))</f>
        <v>(*) Resíduos de tintas e vernizes, contendo solventes orgânicos ou outras substâncias perigosas</v>
      </c>
      <c r="K167" s="433" t="str">
        <f>INDEX(aux!C:C,MATCH(I167,aux!A:A,0))</f>
        <v>Sim</v>
      </c>
      <c r="L167" s="536">
        <v>3.2000000000000001E-2</v>
      </c>
      <c r="M167" s="664" t="s">
        <v>1532</v>
      </c>
      <c r="N167" s="139">
        <f t="shared" si="9"/>
        <v>32</v>
      </c>
      <c r="O167" s="540" t="s">
        <v>509</v>
      </c>
      <c r="P167" s="231" t="str">
        <f t="shared" si="10"/>
        <v>Aterro</v>
      </c>
      <c r="Q167" s="231" t="s">
        <v>1901</v>
      </c>
      <c r="R167" s="231" t="s">
        <v>1892</v>
      </c>
      <c r="S167" s="425" t="s">
        <v>1556</v>
      </c>
      <c r="T167" s="429" t="s">
        <v>3177</v>
      </c>
      <c r="U167" s="429" t="s">
        <v>3177</v>
      </c>
      <c r="V167" s="458" t="s">
        <v>6317</v>
      </c>
    </row>
    <row r="168" spans="1:22" ht="15.75" thickBot="1" x14ac:dyDescent="0.3">
      <c r="A168" s="527" t="str">
        <f t="shared" si="12"/>
        <v>Barraqueiro Transportes, S.A. - Boa Viagem</v>
      </c>
      <c r="B168" s="527" t="s">
        <v>45</v>
      </c>
      <c r="C168" s="82" t="s">
        <v>6052</v>
      </c>
      <c r="D168">
        <v>2023</v>
      </c>
      <c r="E168" s="250" t="s">
        <v>3499</v>
      </c>
      <c r="F168" s="250" t="s">
        <v>3566</v>
      </c>
      <c r="G168" t="s">
        <v>42</v>
      </c>
      <c r="H168" s="82" t="s">
        <v>42</v>
      </c>
      <c r="I168" s="530">
        <v>80317</v>
      </c>
      <c r="J168" s="425" t="str">
        <f>INDEX(aux!B:B,MATCH(I168,aux!A:A,0))</f>
        <v>(*) Resíduos de toner de impressão, contendo substâncias perigosas</v>
      </c>
      <c r="K168" s="433" t="str">
        <f>INDEX(aux!C:C,MATCH(I168,aux!A:A,0))</f>
        <v>Sim</v>
      </c>
      <c r="L168" s="536">
        <v>1.7999999999999999E-2</v>
      </c>
      <c r="M168" s="664" t="s">
        <v>1532</v>
      </c>
      <c r="N168" s="139">
        <f t="shared" si="9"/>
        <v>18</v>
      </c>
      <c r="O168" s="540" t="s">
        <v>484</v>
      </c>
      <c r="P168" s="231" t="str">
        <f t="shared" si="10"/>
        <v>Reciclagem</v>
      </c>
      <c r="Q168" s="231" t="s">
        <v>1901</v>
      </c>
      <c r="R168" s="231" t="s">
        <v>1892</v>
      </c>
      <c r="S168" s="425" t="s">
        <v>1553</v>
      </c>
      <c r="T168" s="429" t="s">
        <v>3177</v>
      </c>
      <c r="U168" s="429" t="s">
        <v>3177</v>
      </c>
      <c r="V168" s="458" t="s">
        <v>6317</v>
      </c>
    </row>
    <row r="169" spans="1:22" ht="15.75" thickBot="1" x14ac:dyDescent="0.3">
      <c r="A169" s="527" t="str">
        <f t="shared" si="12"/>
        <v>Barraqueiro Transportes, S.A. - Boa Viagem</v>
      </c>
      <c r="B169" s="527" t="s">
        <v>45</v>
      </c>
      <c r="C169" s="82" t="s">
        <v>6052</v>
      </c>
      <c r="D169">
        <v>2023</v>
      </c>
      <c r="E169" s="250" t="s">
        <v>3499</v>
      </c>
      <c r="F169" s="250" t="s">
        <v>3566</v>
      </c>
      <c r="G169" t="s">
        <v>42</v>
      </c>
      <c r="H169" s="82" t="s">
        <v>42</v>
      </c>
      <c r="I169" s="530">
        <v>200121</v>
      </c>
      <c r="J169" s="425" t="str">
        <f>INDEX(aux!B:B,MATCH(I169,aux!A:A,0))</f>
        <v>(*) Lâmpadas fluorescentes e outros resíduos contendo mercúrio</v>
      </c>
      <c r="K169" s="433" t="str">
        <f>INDEX(aux!C:C,MATCH(I169,aux!A:A,0))</f>
        <v>Sim</v>
      </c>
      <c r="L169" s="536">
        <v>2.1999999999999999E-2</v>
      </c>
      <c r="M169" s="664" t="s">
        <v>1532</v>
      </c>
      <c r="N169" s="139">
        <f t="shared" si="9"/>
        <v>22</v>
      </c>
      <c r="O169" s="540" t="s">
        <v>484</v>
      </c>
      <c r="P169" s="231" t="str">
        <f t="shared" si="10"/>
        <v>Reciclagem</v>
      </c>
      <c r="Q169" s="231" t="s">
        <v>1901</v>
      </c>
      <c r="R169" s="231" t="s">
        <v>1892</v>
      </c>
      <c r="S169" s="425" t="s">
        <v>1553</v>
      </c>
      <c r="T169" s="429" t="s">
        <v>3177</v>
      </c>
      <c r="U169" s="429" t="s">
        <v>3177</v>
      </c>
      <c r="V169" s="458" t="s">
        <v>6317</v>
      </c>
    </row>
    <row r="170" spans="1:22" ht="15.75" thickBot="1" x14ac:dyDescent="0.3">
      <c r="A170" s="527" t="str">
        <f t="shared" si="12"/>
        <v>Barraqueiro Transportes, S.A. - Boa Viagem</v>
      </c>
      <c r="B170" s="527" t="s">
        <v>45</v>
      </c>
      <c r="C170" s="82" t="s">
        <v>6052</v>
      </c>
      <c r="D170">
        <v>2023</v>
      </c>
      <c r="E170" s="250" t="s">
        <v>3499</v>
      </c>
      <c r="F170" s="250" t="s">
        <v>3566</v>
      </c>
      <c r="G170" t="s">
        <v>42</v>
      </c>
      <c r="H170" s="82" t="s">
        <v>42</v>
      </c>
      <c r="I170" s="530">
        <v>160121</v>
      </c>
      <c r="J170" s="425" t="str">
        <f>INDEX(aux!B:B,MATCH(I170,aux!A:A,0))</f>
        <v>(*) Componentes perigosos não abrangidos em 16 01 07 a 16 01 11, 16 01 13 e 16 01 14</v>
      </c>
      <c r="K170" s="433" t="str">
        <f>INDEX(aux!C:C,MATCH(I170,aux!A:A,0))</f>
        <v>Sim</v>
      </c>
      <c r="L170" s="536">
        <v>4.7039999999999997</v>
      </c>
      <c r="M170" s="664" t="s">
        <v>1532</v>
      </c>
      <c r="N170" s="139">
        <f t="shared" si="9"/>
        <v>4704</v>
      </c>
      <c r="O170" s="540" t="s">
        <v>484</v>
      </c>
      <c r="P170" s="231" t="str">
        <f t="shared" si="10"/>
        <v>Reciclagem</v>
      </c>
      <c r="Q170" s="231" t="s">
        <v>1901</v>
      </c>
      <c r="R170" s="231" t="s">
        <v>1892</v>
      </c>
      <c r="S170" s="425" t="s">
        <v>1553</v>
      </c>
      <c r="T170" s="429" t="s">
        <v>3177</v>
      </c>
      <c r="U170" s="429" t="s">
        <v>3177</v>
      </c>
      <c r="V170" s="458" t="s">
        <v>6317</v>
      </c>
    </row>
    <row r="171" spans="1:22" ht="15.75" thickBot="1" x14ac:dyDescent="0.3">
      <c r="A171" s="527" t="str">
        <f t="shared" si="12"/>
        <v>Barraqueiro Transportes, S.A. - Boa Viagem</v>
      </c>
      <c r="B171" s="527" t="s">
        <v>45</v>
      </c>
      <c r="C171" s="82" t="s">
        <v>6052</v>
      </c>
      <c r="D171">
        <v>2023</v>
      </c>
      <c r="E171" s="250" t="s">
        <v>3499</v>
      </c>
      <c r="F171" s="250" t="s">
        <v>3566</v>
      </c>
      <c r="G171" t="s">
        <v>42</v>
      </c>
      <c r="H171" s="82" t="s">
        <v>42</v>
      </c>
      <c r="I171" s="530">
        <v>160199</v>
      </c>
      <c r="J171" s="425" t="str">
        <f>INDEX(aux!B:B,MATCH(I171,aux!A:A,0))</f>
        <v>Resíduos sem outras especificações</v>
      </c>
      <c r="K171" s="433" t="str">
        <f>INDEX(aux!C:C,MATCH(I171,aux!A:A,0))</f>
        <v>Não</v>
      </c>
      <c r="L171" s="661">
        <v>1.53</v>
      </c>
      <c r="M171" s="664" t="s">
        <v>1532</v>
      </c>
      <c r="N171" s="139">
        <f t="shared" si="9"/>
        <v>1530</v>
      </c>
      <c r="O171" s="527" t="s">
        <v>483</v>
      </c>
      <c r="P171" s="231" t="str">
        <f t="shared" si="10"/>
        <v>Reciclagem</v>
      </c>
      <c r="Q171" s="231" t="s">
        <v>1901</v>
      </c>
      <c r="R171" s="231" t="s">
        <v>1892</v>
      </c>
      <c r="S171" s="425" t="s">
        <v>485</v>
      </c>
      <c r="T171" s="425" t="s">
        <v>3177</v>
      </c>
      <c r="U171" s="425" t="s">
        <v>3177</v>
      </c>
      <c r="V171" s="458" t="s">
        <v>6317</v>
      </c>
    </row>
    <row r="172" spans="1:22" ht="15.75" thickBot="1" x14ac:dyDescent="0.3">
      <c r="A172" s="527" t="str">
        <f t="shared" si="12"/>
        <v>Barraqueiro Transportes, S.A. - Boa Viagem</v>
      </c>
      <c r="B172" s="527" t="s">
        <v>45</v>
      </c>
      <c r="C172" s="82" t="s">
        <v>6052</v>
      </c>
      <c r="D172">
        <v>2023</v>
      </c>
      <c r="E172" s="250" t="s">
        <v>3499</v>
      </c>
      <c r="F172" s="250" t="s">
        <v>3566</v>
      </c>
      <c r="G172" t="s">
        <v>42</v>
      </c>
      <c r="H172" s="82" t="s">
        <v>42</v>
      </c>
      <c r="I172" s="530">
        <v>150110</v>
      </c>
      <c r="J172" s="425" t="str">
        <f>INDEX(aux!B:B,MATCH(I172,aux!A:A,0))</f>
        <v>(*) Embalagens contendo ou contaminadas por resíduos de substâncias perigosas</v>
      </c>
      <c r="K172" s="433" t="str">
        <f>INDEX(aux!C:C,MATCH(I172,aux!A:A,0))</f>
        <v>Sim</v>
      </c>
      <c r="L172" s="661">
        <v>0.27</v>
      </c>
      <c r="M172" s="664" t="s">
        <v>1532</v>
      </c>
      <c r="N172" s="139">
        <f t="shared" si="9"/>
        <v>270</v>
      </c>
      <c r="O172" s="527" t="s">
        <v>484</v>
      </c>
      <c r="P172" s="231" t="str">
        <f t="shared" si="10"/>
        <v>Reciclagem</v>
      </c>
      <c r="Q172" s="231" t="s">
        <v>1901</v>
      </c>
      <c r="R172" s="231" t="s">
        <v>1892</v>
      </c>
      <c r="S172" s="425" t="s">
        <v>1553</v>
      </c>
      <c r="T172" s="425" t="s">
        <v>3177</v>
      </c>
      <c r="U172" s="425" t="s">
        <v>3177</v>
      </c>
      <c r="V172" s="458" t="s">
        <v>6317</v>
      </c>
    </row>
    <row r="173" spans="1:22" ht="15.75" thickBot="1" x14ac:dyDescent="0.3">
      <c r="A173" s="527" t="str">
        <f t="shared" si="12"/>
        <v>Barraqueiro Transportes, S.A. - Boa Viagem</v>
      </c>
      <c r="B173" s="527" t="s">
        <v>45</v>
      </c>
      <c r="C173" s="82" t="s">
        <v>6052</v>
      </c>
      <c r="D173">
        <v>2023</v>
      </c>
      <c r="E173" s="250" t="s">
        <v>3499</v>
      </c>
      <c r="F173" s="250" t="s">
        <v>3566</v>
      </c>
      <c r="G173" t="s">
        <v>42</v>
      </c>
      <c r="H173" s="82" t="s">
        <v>42</v>
      </c>
      <c r="I173" s="530">
        <v>150203</v>
      </c>
      <c r="J173" s="425" t="str">
        <f>INDEX(aux!B:B,MATCH(I173,aux!A:A,0))</f>
        <v>Absorventes, materiais filtrantes, panos de limpeza e vestuário de proteção não abrangidos em 15 02 02</v>
      </c>
      <c r="K173" s="433" t="str">
        <f>INDEX(aux!C:C,MATCH(I173,aux!A:A,0))</f>
        <v>Não</v>
      </c>
      <c r="L173" s="536">
        <v>2.6</v>
      </c>
      <c r="M173" s="534" t="s">
        <v>1532</v>
      </c>
      <c r="N173" s="139">
        <f t="shared" si="9"/>
        <v>2600</v>
      </c>
      <c r="O173" s="540" t="s">
        <v>483</v>
      </c>
      <c r="P173" s="231" t="str">
        <f t="shared" si="10"/>
        <v>Reciclagem</v>
      </c>
      <c r="Q173" s="231" t="s">
        <v>1901</v>
      </c>
      <c r="R173" s="231" t="s">
        <v>1892</v>
      </c>
      <c r="S173" s="425" t="s">
        <v>485</v>
      </c>
      <c r="T173" s="429" t="s">
        <v>3177</v>
      </c>
      <c r="U173" s="429" t="s">
        <v>3177</v>
      </c>
      <c r="V173" s="458" t="s">
        <v>6317</v>
      </c>
    </row>
    <row r="174" spans="1:22" ht="15.75" thickBot="1" x14ac:dyDescent="0.3">
      <c r="A174" s="527" t="str">
        <f t="shared" si="12"/>
        <v>Barraqueiro Transportes, S.A. - Boa Viagem</v>
      </c>
      <c r="B174" s="527" t="s">
        <v>45</v>
      </c>
      <c r="C174" s="82" t="s">
        <v>6052</v>
      </c>
      <c r="D174">
        <v>2023</v>
      </c>
      <c r="E174" s="250" t="s">
        <v>3499</v>
      </c>
      <c r="F174" s="250" t="s">
        <v>3566</v>
      </c>
      <c r="G174" t="s">
        <v>42</v>
      </c>
      <c r="H174" s="82" t="s">
        <v>42</v>
      </c>
      <c r="I174" s="530">
        <v>150202</v>
      </c>
      <c r="J174" s="425" t="str">
        <f>INDEX(aux!B:B,MATCH(I174,aux!A:A,0))</f>
        <v>(*) Absorventes, materiais filtrantes (incluindo filtros de óleo sem outras especificações), panos de limpeza e vestuário de proteção, contaminados por substâncias perigosas</v>
      </c>
      <c r="K174" s="433" t="str">
        <f>INDEX(aux!C:C,MATCH(I174,aux!A:A,0))</f>
        <v>Sim</v>
      </c>
      <c r="L174" s="536">
        <v>1.88</v>
      </c>
      <c r="M174" s="534" t="s">
        <v>1532</v>
      </c>
      <c r="N174" s="139">
        <f t="shared" si="9"/>
        <v>1880</v>
      </c>
      <c r="O174" s="540" t="s">
        <v>484</v>
      </c>
      <c r="P174" s="231" t="str">
        <f t="shared" si="10"/>
        <v>Reciclagem</v>
      </c>
      <c r="Q174" s="231" t="s">
        <v>1901</v>
      </c>
      <c r="R174" s="231" t="s">
        <v>1892</v>
      </c>
      <c r="S174" s="425" t="s">
        <v>1553</v>
      </c>
      <c r="T174" s="429" t="s">
        <v>3177</v>
      </c>
      <c r="U174" s="429" t="s">
        <v>3177</v>
      </c>
      <c r="V174" s="458" t="s">
        <v>6317</v>
      </c>
    </row>
    <row r="175" spans="1:22" ht="15.75" thickBot="1" x14ac:dyDescent="0.3">
      <c r="A175" s="527" t="str">
        <f t="shared" si="12"/>
        <v>Barraqueiro Transportes, S.A. - Boa Viagem</v>
      </c>
      <c r="B175" s="527" t="s">
        <v>45</v>
      </c>
      <c r="C175" s="82" t="s">
        <v>6052</v>
      </c>
      <c r="D175">
        <v>2023</v>
      </c>
      <c r="E175" s="250" t="s">
        <v>3499</v>
      </c>
      <c r="F175" s="250" t="s">
        <v>3566</v>
      </c>
      <c r="G175" t="s">
        <v>42</v>
      </c>
      <c r="H175" s="82" t="s">
        <v>42</v>
      </c>
      <c r="I175" s="530">
        <v>160107</v>
      </c>
      <c r="J175" s="425" t="str">
        <f>INDEX(aux!B:B,MATCH(I175,aux!A:A,0))</f>
        <v>(*) Filtros de óleo</v>
      </c>
      <c r="K175" s="433" t="str">
        <f>INDEX(aux!C:C,MATCH(I175,aux!A:A,0))</f>
        <v>Sim</v>
      </c>
      <c r="L175" s="536">
        <v>0.93600000000000005</v>
      </c>
      <c r="M175" s="534" t="s">
        <v>1532</v>
      </c>
      <c r="N175" s="139">
        <f t="shared" si="9"/>
        <v>936</v>
      </c>
      <c r="O175" s="540" t="s">
        <v>484</v>
      </c>
      <c r="P175" s="231" t="str">
        <f t="shared" si="10"/>
        <v>Reciclagem</v>
      </c>
      <c r="Q175" s="231" t="s">
        <v>1901</v>
      </c>
      <c r="R175" s="231" t="s">
        <v>1892</v>
      </c>
      <c r="S175" s="425" t="s">
        <v>1553</v>
      </c>
      <c r="T175" s="429" t="s">
        <v>3177</v>
      </c>
      <c r="U175" s="429" t="s">
        <v>3177</v>
      </c>
      <c r="V175" s="458" t="s">
        <v>6317</v>
      </c>
    </row>
    <row r="176" spans="1:22" ht="15.75" thickBot="1" x14ac:dyDescent="0.3">
      <c r="A176" s="527" t="str">
        <f t="shared" si="12"/>
        <v>Barraqueiro Transportes, S.A. - Boa Viagem</v>
      </c>
      <c r="B176" s="527" t="s">
        <v>45</v>
      </c>
      <c r="C176" s="82" t="s">
        <v>6052</v>
      </c>
      <c r="D176">
        <v>2023</v>
      </c>
      <c r="E176" s="250" t="s">
        <v>3499</v>
      </c>
      <c r="F176" s="250" t="s">
        <v>3566</v>
      </c>
      <c r="G176" t="s">
        <v>42</v>
      </c>
      <c r="H176" s="82" t="s">
        <v>42</v>
      </c>
      <c r="I176" s="530">
        <v>160120</v>
      </c>
      <c r="J176" s="425" t="str">
        <f>INDEX(aux!B:B,MATCH(I176,aux!A:A,0))</f>
        <v>Vidro</v>
      </c>
      <c r="K176" s="433" t="str">
        <f>INDEX(aux!C:C,MATCH(I176,aux!A:A,0))</f>
        <v>Não</v>
      </c>
      <c r="L176" s="536">
        <v>1.256</v>
      </c>
      <c r="M176" s="534" t="s">
        <v>1532</v>
      </c>
      <c r="N176" s="139">
        <f t="shared" si="9"/>
        <v>1256</v>
      </c>
      <c r="O176" s="540" t="s">
        <v>483</v>
      </c>
      <c r="P176" s="231" t="str">
        <f t="shared" si="10"/>
        <v>Reciclagem</v>
      </c>
      <c r="Q176" s="231" t="s">
        <v>1561</v>
      </c>
      <c r="R176" s="231" t="s">
        <v>6569</v>
      </c>
      <c r="S176" s="425" t="s">
        <v>485</v>
      </c>
      <c r="T176" s="429" t="s">
        <v>3177</v>
      </c>
      <c r="U176" s="429" t="s">
        <v>3177</v>
      </c>
      <c r="V176" s="458" t="s">
        <v>6317</v>
      </c>
    </row>
    <row r="177" spans="1:22" ht="15.75" hidden="1" thickBot="1" x14ac:dyDescent="0.3">
      <c r="A177" s="114" t="s">
        <v>3524</v>
      </c>
      <c r="B177" s="424" t="s">
        <v>45</v>
      </c>
      <c r="C177" s="82" t="str">
        <f t="shared" ref="C177:C240" si="13">IF(A177=B177,"X",RIGHT(A177,LEN(A177)-LEN(B177)-3))</f>
        <v>ESEVEL</v>
      </c>
      <c r="D177">
        <v>2022</v>
      </c>
      <c r="E177" s="250" t="s">
        <v>3499</v>
      </c>
      <c r="F177" s="250" t="s">
        <v>3566</v>
      </c>
      <c r="G177" t="s">
        <v>42</v>
      </c>
      <c r="H177" s="82" t="s">
        <v>34</v>
      </c>
      <c r="I177" s="525">
        <v>130208</v>
      </c>
      <c r="J177" s="425" t="str">
        <f>INDEX(aux!B:B,MATCH(I177,aux!A:A,0))</f>
        <v>(*) Outros óleos de motores, transmissões e lubrificação</v>
      </c>
      <c r="K177" s="433" t="str">
        <f>INDEX(aux!C:C,MATCH(I177,aux!A:A,0))</f>
        <v>Sim</v>
      </c>
      <c r="L177" s="537">
        <v>5.9660000000000002</v>
      </c>
      <c r="M177" s="539" t="s">
        <v>1532</v>
      </c>
      <c r="N177" s="139">
        <f t="shared" si="9"/>
        <v>5966</v>
      </c>
      <c r="O177" s="539" t="s">
        <v>483</v>
      </c>
      <c r="P177" s="231" t="str">
        <f t="shared" si="10"/>
        <v>Reciclagem</v>
      </c>
      <c r="Q177" s="231" t="s">
        <v>1902</v>
      </c>
      <c r="R177" s="231" t="s">
        <v>1877</v>
      </c>
      <c r="S177" s="114" t="str">
        <f>IFERROR(INDEX(Tabela3[Tipos de Tratamento],MATCH('A3.9.1 copy'!O115,Tabela3[Código],0)),"")</f>
        <v xml:space="preserve">Troca de resíduos com vista a submetê-los a uma das operações enumeradas de R 1 a R 11 </v>
      </c>
      <c r="T177" s="543" t="s">
        <v>1598</v>
      </c>
      <c r="U177" s="543" t="s">
        <v>1599</v>
      </c>
      <c r="V177" s="528"/>
    </row>
    <row r="178" spans="1:22" ht="15.75" hidden="1" thickBot="1" x14ac:dyDescent="0.3">
      <c r="A178" s="114" t="s">
        <v>3524</v>
      </c>
      <c r="B178" s="424" t="s">
        <v>45</v>
      </c>
      <c r="C178" s="82" t="str">
        <f t="shared" si="13"/>
        <v>ESEVEL</v>
      </c>
      <c r="D178">
        <v>2022</v>
      </c>
      <c r="E178" s="250" t="s">
        <v>3499</v>
      </c>
      <c r="F178" s="250" t="s">
        <v>3566</v>
      </c>
      <c r="G178" t="s">
        <v>42</v>
      </c>
      <c r="H178" s="82" t="s">
        <v>34</v>
      </c>
      <c r="I178" s="525">
        <v>130502</v>
      </c>
      <c r="J178" s="425" t="str">
        <f>INDEX(aux!B:B,MATCH(I178,aux!A:A,0))</f>
        <v>(*) Lamas provenientes dos separadores óleo/água</v>
      </c>
      <c r="K178" s="433" t="str">
        <f>INDEX(aux!C:C,MATCH(I178,aux!A:A,0))</f>
        <v>Sim</v>
      </c>
      <c r="L178" s="537">
        <v>3.16</v>
      </c>
      <c r="M178" s="539" t="s">
        <v>1532</v>
      </c>
      <c r="N178" s="139">
        <f t="shared" si="9"/>
        <v>3160</v>
      </c>
      <c r="O178" s="665" t="s">
        <v>503</v>
      </c>
      <c r="P178" s="231" t="str">
        <f t="shared" si="10"/>
        <v>Aterro</v>
      </c>
      <c r="Q178" s="231" t="s">
        <v>1901</v>
      </c>
      <c r="R178" s="231" t="s">
        <v>1892</v>
      </c>
      <c r="S178" s="115" t="str">
        <f>IFERROR(INDEX(Tabela3[Tipos de Tratamento],MATCH('A3.9.1 copy'!O116,Tabela3[Código],0)),"")</f>
        <v xml:space="preserve">Troca de resíduos com vista a submetê-los a uma das operações enumeradas de R 1 a R 11 </v>
      </c>
      <c r="T178" s="543" t="s">
        <v>1570</v>
      </c>
      <c r="U178" s="543" t="s">
        <v>1571</v>
      </c>
      <c r="V178" s="668"/>
    </row>
    <row r="179" spans="1:22" ht="15.75" hidden="1" thickBot="1" x14ac:dyDescent="0.3">
      <c r="A179" s="114" t="s">
        <v>3524</v>
      </c>
      <c r="B179" s="424" t="s">
        <v>45</v>
      </c>
      <c r="C179" s="82" t="str">
        <f t="shared" si="13"/>
        <v>ESEVEL</v>
      </c>
      <c r="D179">
        <v>2022</v>
      </c>
      <c r="E179" s="250" t="s">
        <v>3499</v>
      </c>
      <c r="F179" s="250" t="s">
        <v>3566</v>
      </c>
      <c r="G179" t="s">
        <v>42</v>
      </c>
      <c r="H179" s="82" t="s">
        <v>34</v>
      </c>
      <c r="I179" s="525">
        <v>130502</v>
      </c>
      <c r="J179" s="425" t="str">
        <f>INDEX(aux!B:B,MATCH(I179,aux!A:A,0))</f>
        <v>(*) Lamas provenientes dos separadores óleo/água</v>
      </c>
      <c r="K179" s="433" t="str">
        <f>INDEX(aux!C:C,MATCH(I179,aux!A:A,0))</f>
        <v>Sim</v>
      </c>
      <c r="L179" s="537">
        <v>10.220000000000001</v>
      </c>
      <c r="M179" s="539" t="s">
        <v>1532</v>
      </c>
      <c r="N179" s="139">
        <f t="shared" si="9"/>
        <v>10220</v>
      </c>
      <c r="O179" s="665" t="s">
        <v>483</v>
      </c>
      <c r="P179" s="231" t="str">
        <f t="shared" si="10"/>
        <v>Reciclagem</v>
      </c>
      <c r="Q179" s="231" t="s">
        <v>1901</v>
      </c>
      <c r="R179" s="231" t="s">
        <v>1892</v>
      </c>
      <c r="S179" s="115" t="str">
        <f>IFERROR(INDEX(Tabela3[Tipos de Tratamento],MATCH('A3.9.1 copy'!O117,Tabela3[Código],0)),"")</f>
        <v>Acumulação de resíduos destinados a uma das operações enumeradas de R1 a R12</v>
      </c>
      <c r="T179" s="543" t="s">
        <v>1570</v>
      </c>
      <c r="U179" s="543" t="s">
        <v>1571</v>
      </c>
      <c r="V179" s="668"/>
    </row>
    <row r="180" spans="1:22" ht="15.75" hidden="1" thickBot="1" x14ac:dyDescent="0.3">
      <c r="A180" s="114" t="s">
        <v>3524</v>
      </c>
      <c r="B180" s="424" t="s">
        <v>45</v>
      </c>
      <c r="C180" s="82" t="str">
        <f t="shared" si="13"/>
        <v>ESEVEL</v>
      </c>
      <c r="D180">
        <v>2022</v>
      </c>
      <c r="E180" s="250" t="s">
        <v>3499</v>
      </c>
      <c r="F180" s="250" t="s">
        <v>3566</v>
      </c>
      <c r="G180" t="s">
        <v>42</v>
      </c>
      <c r="H180" s="82" t="s">
        <v>34</v>
      </c>
      <c r="I180" s="525">
        <v>130507</v>
      </c>
      <c r="J180" s="425" t="str">
        <f>INDEX(aux!B:B,MATCH(I180,aux!A:A,0))</f>
        <v>(*) Água com óleo proveniente dos separadores óleo/água</v>
      </c>
      <c r="K180" s="433" t="str">
        <f>INDEX(aux!C:C,MATCH(I180,aux!A:A,0))</f>
        <v>Sim</v>
      </c>
      <c r="L180" s="537">
        <v>11.58</v>
      </c>
      <c r="M180" s="539" t="s">
        <v>1532</v>
      </c>
      <c r="N180" s="139">
        <f t="shared" si="9"/>
        <v>11580</v>
      </c>
      <c r="O180" s="539" t="s">
        <v>483</v>
      </c>
      <c r="P180" s="231" t="str">
        <f t="shared" si="10"/>
        <v>Reciclagem</v>
      </c>
      <c r="Q180" s="231" t="s">
        <v>1901</v>
      </c>
      <c r="R180" s="231" t="s">
        <v>1892</v>
      </c>
      <c r="S180" s="114" t="str">
        <f>IFERROR(INDEX(Tabela3[Tipos de Tratamento],MATCH('A3.9.1 copy'!O118,Tabela3[Código],0)),"")</f>
        <v xml:space="preserve">Regeneração de óleos e outras reutilizações de óleos </v>
      </c>
      <c r="T180" s="543" t="s">
        <v>1570</v>
      </c>
      <c r="U180" s="543" t="s">
        <v>1571</v>
      </c>
      <c r="V180" s="668"/>
    </row>
    <row r="181" spans="1:22" ht="15.75" hidden="1" thickBot="1" x14ac:dyDescent="0.3">
      <c r="A181" s="114" t="s">
        <v>3524</v>
      </c>
      <c r="B181" s="424" t="s">
        <v>45</v>
      </c>
      <c r="C181" s="82" t="str">
        <f t="shared" si="13"/>
        <v>ESEVEL</v>
      </c>
      <c r="D181">
        <v>2022</v>
      </c>
      <c r="E181" s="250" t="s">
        <v>3499</v>
      </c>
      <c r="F181" s="250" t="s">
        <v>3566</v>
      </c>
      <c r="G181" t="s">
        <v>42</v>
      </c>
      <c r="H181" s="82" t="s">
        <v>34</v>
      </c>
      <c r="I181" s="525">
        <v>150202</v>
      </c>
      <c r="J181" s="425" t="str">
        <f>INDEX(aux!B:B,MATCH(I181,aux!A:A,0))</f>
        <v>(*) Absorventes, materiais filtrantes (incluindo filtros de óleo sem outras especificações), panos de limpeza e vestuário de proteção, contaminados por substâncias perigosas</v>
      </c>
      <c r="K181" s="433" t="str">
        <f>INDEX(aux!C:C,MATCH(I181,aux!A:A,0))</f>
        <v>Sim</v>
      </c>
      <c r="L181" s="537">
        <v>0.12</v>
      </c>
      <c r="M181" s="539" t="s">
        <v>1532</v>
      </c>
      <c r="N181" s="139">
        <f t="shared" si="9"/>
        <v>120</v>
      </c>
      <c r="O181" s="539" t="s">
        <v>484</v>
      </c>
      <c r="P181" s="231" t="str">
        <f t="shared" si="10"/>
        <v>Reciclagem</v>
      </c>
      <c r="Q181" s="231" t="s">
        <v>1901</v>
      </c>
      <c r="R181" s="231" t="s">
        <v>1892</v>
      </c>
      <c r="S181" s="114" t="str">
        <f>IFERROR(INDEX(Tabela3[Tipos de Tratamento],MATCH('A3.9.1 copy'!O119,Tabela3[Código],0)),"")</f>
        <v xml:space="preserve">Troca de resíduos com vista a submetê-los a uma das operações enumeradas de R 1 a R 11 </v>
      </c>
      <c r="T181" s="543" t="s">
        <v>1538</v>
      </c>
      <c r="U181" s="543" t="s">
        <v>1539</v>
      </c>
      <c r="V181" s="668"/>
    </row>
    <row r="182" spans="1:22" ht="15.75" hidden="1" thickBot="1" x14ac:dyDescent="0.3">
      <c r="A182" s="114" t="s">
        <v>3524</v>
      </c>
      <c r="B182" s="424" t="s">
        <v>45</v>
      </c>
      <c r="C182" s="82" t="str">
        <f t="shared" si="13"/>
        <v>ESEVEL</v>
      </c>
      <c r="D182">
        <v>2022</v>
      </c>
      <c r="E182" s="250" t="s">
        <v>3499</v>
      </c>
      <c r="F182" s="250" t="s">
        <v>3566</v>
      </c>
      <c r="G182" t="s">
        <v>42</v>
      </c>
      <c r="H182" s="82" t="s">
        <v>34</v>
      </c>
      <c r="I182" s="525">
        <v>150203</v>
      </c>
      <c r="J182" s="425" t="str">
        <f>INDEX(aux!B:B,MATCH(I182,aux!A:A,0))</f>
        <v>Absorventes, materiais filtrantes, panos de limpeza e vestuário de proteção não abrangidos em 15 02 02</v>
      </c>
      <c r="K182" s="433" t="str">
        <f>INDEX(aux!C:C,MATCH(I182,aux!A:A,0))</f>
        <v>Não</v>
      </c>
      <c r="L182" s="537">
        <v>2.6</v>
      </c>
      <c r="M182" s="539" t="s">
        <v>1532</v>
      </c>
      <c r="N182" s="139">
        <f t="shared" si="9"/>
        <v>2600</v>
      </c>
      <c r="O182" s="539" t="s">
        <v>483</v>
      </c>
      <c r="P182" s="231" t="str">
        <f t="shared" si="10"/>
        <v>Reciclagem</v>
      </c>
      <c r="Q182" s="231" t="s">
        <v>1901</v>
      </c>
      <c r="R182" s="231" t="s">
        <v>1892</v>
      </c>
      <c r="S182" s="114" t="str">
        <f>IFERROR(INDEX(Tabela3[Tipos de Tratamento],MATCH('A3.9.1 copy'!O120,Tabela3[Código],0)),"")</f>
        <v xml:space="preserve">Troca de resíduos com vista a submetê-los a uma das operações enumeradas de R 1 a R 11 </v>
      </c>
      <c r="T182" s="543" t="s">
        <v>1538</v>
      </c>
      <c r="U182" s="543" t="s">
        <v>1539</v>
      </c>
      <c r="V182" s="668"/>
    </row>
    <row r="183" spans="1:22" ht="15.75" hidden="1" thickBot="1" x14ac:dyDescent="0.3">
      <c r="A183" s="528" t="s">
        <v>3524</v>
      </c>
      <c r="B183" s="529" t="s">
        <v>45</v>
      </c>
      <c r="C183" s="82" t="str">
        <f t="shared" si="13"/>
        <v>ESEVEL</v>
      </c>
      <c r="D183">
        <v>2022</v>
      </c>
      <c r="E183" s="250" t="s">
        <v>3499</v>
      </c>
      <c r="F183" s="250" t="s">
        <v>3566</v>
      </c>
      <c r="G183" t="s">
        <v>42</v>
      </c>
      <c r="H183" s="82" t="s">
        <v>34</v>
      </c>
      <c r="I183" s="525">
        <v>160107</v>
      </c>
      <c r="J183" s="425" t="str">
        <f>INDEX(aux!B:B,MATCH(I183,aux!A:A,0))</f>
        <v>(*) Filtros de óleo</v>
      </c>
      <c r="K183" s="433" t="str">
        <f>INDEX(aux!C:C,MATCH(I183,aux!A:A,0))</f>
        <v>Sim</v>
      </c>
      <c r="L183" s="537">
        <v>1.44</v>
      </c>
      <c r="M183" s="539" t="s">
        <v>1532</v>
      </c>
      <c r="N183" s="139">
        <f t="shared" si="9"/>
        <v>1440</v>
      </c>
      <c r="O183" s="539" t="s">
        <v>484</v>
      </c>
      <c r="P183" s="231" t="str">
        <f t="shared" si="10"/>
        <v>Reciclagem</v>
      </c>
      <c r="Q183" s="231" t="s">
        <v>1901</v>
      </c>
      <c r="R183" s="231" t="s">
        <v>1892</v>
      </c>
      <c r="S183" s="114" t="str">
        <f>IFERROR(INDEX(Tabela3[Tipos de Tratamento],MATCH('A3.9.1 copy'!O121,Tabela3[Código],0)),"")</f>
        <v xml:space="preserve">Troca de resíduos com vista a submetê-los a uma das operações enumeradas de R 1 a R 11 </v>
      </c>
      <c r="T183" s="543" t="s">
        <v>1538</v>
      </c>
      <c r="U183" s="543" t="s">
        <v>1539</v>
      </c>
      <c r="V183" s="668"/>
    </row>
    <row r="184" spans="1:22" ht="15.75" thickBot="1" x14ac:dyDescent="0.3">
      <c r="A184" s="93" t="str">
        <f>B184&amp;" - "&amp;V184</f>
        <v>Barraqueiro Transportes, S.A. - ESEVEL</v>
      </c>
      <c r="B184" s="93" t="s">
        <v>45</v>
      </c>
      <c r="C184" s="82" t="str">
        <f t="shared" si="13"/>
        <v>ESEVEL</v>
      </c>
      <c r="D184">
        <v>2023</v>
      </c>
      <c r="E184" s="250" t="s">
        <v>3499</v>
      </c>
      <c r="F184" s="250" t="s">
        <v>3566</v>
      </c>
      <c r="G184" t="s">
        <v>42</v>
      </c>
      <c r="H184" s="82" t="s">
        <v>42</v>
      </c>
      <c r="I184" s="530">
        <v>130208</v>
      </c>
      <c r="J184" s="425" t="str">
        <f>INDEX(aux!B:B,MATCH(I184,aux!A:A,0))</f>
        <v>(*) Outros óleos de motores, transmissões e lubrificação</v>
      </c>
      <c r="K184" s="433" t="str">
        <f>INDEX(aux!C:C,MATCH(I184,aux!A:A,0))</f>
        <v>Sim</v>
      </c>
      <c r="L184" s="536">
        <v>5.47</v>
      </c>
      <c r="M184" s="534" t="s">
        <v>1532</v>
      </c>
      <c r="N184" s="139">
        <f t="shared" si="9"/>
        <v>5470</v>
      </c>
      <c r="O184" s="540" t="s">
        <v>483</v>
      </c>
      <c r="P184" s="231" t="str">
        <f t="shared" si="10"/>
        <v>Reciclagem</v>
      </c>
      <c r="Q184" s="231" t="s">
        <v>1902</v>
      </c>
      <c r="R184" s="231" t="s">
        <v>1877</v>
      </c>
      <c r="S184" s="425" t="s">
        <v>485</v>
      </c>
      <c r="T184" s="429" t="s">
        <v>6301</v>
      </c>
      <c r="U184" s="429" t="s">
        <v>6301</v>
      </c>
      <c r="V184" s="458" t="s">
        <v>6318</v>
      </c>
    </row>
    <row r="185" spans="1:22" ht="15.75" thickBot="1" x14ac:dyDescent="0.3">
      <c r="A185" s="93" t="str">
        <f>B185&amp;" - "&amp;V185</f>
        <v>Barraqueiro Transportes, S.A. - ESEVEL</v>
      </c>
      <c r="B185" s="93" t="s">
        <v>45</v>
      </c>
      <c r="C185" s="82" t="str">
        <f t="shared" si="13"/>
        <v>ESEVEL</v>
      </c>
      <c r="D185">
        <v>2023</v>
      </c>
      <c r="E185" s="250" t="s">
        <v>3499</v>
      </c>
      <c r="F185" s="250" t="s">
        <v>3566</v>
      </c>
      <c r="G185" t="s">
        <v>42</v>
      </c>
      <c r="H185" s="82" t="s">
        <v>42</v>
      </c>
      <c r="I185" s="530">
        <v>150203</v>
      </c>
      <c r="J185" s="425" t="str">
        <f>INDEX(aux!B:B,MATCH(I185,aux!A:A,0))</f>
        <v>Absorventes, materiais filtrantes, panos de limpeza e vestuário de proteção não abrangidos em 15 02 02</v>
      </c>
      <c r="K185" s="433" t="str">
        <f>INDEX(aux!C:C,MATCH(I185,aux!A:A,0))</f>
        <v>Não</v>
      </c>
      <c r="L185" s="536">
        <v>1.6</v>
      </c>
      <c r="M185" s="534" t="s">
        <v>1532</v>
      </c>
      <c r="N185" s="139">
        <f t="shared" si="9"/>
        <v>1600</v>
      </c>
      <c r="O185" s="540" t="s">
        <v>483</v>
      </c>
      <c r="P185" s="231" t="str">
        <f t="shared" si="10"/>
        <v>Reciclagem</v>
      </c>
      <c r="Q185" s="231" t="s">
        <v>1901</v>
      </c>
      <c r="R185" s="231" t="s">
        <v>1892</v>
      </c>
      <c r="S185" s="425" t="s">
        <v>485</v>
      </c>
      <c r="T185" s="429" t="s">
        <v>3177</v>
      </c>
      <c r="U185" s="429" t="s">
        <v>3177</v>
      </c>
      <c r="V185" s="458" t="s">
        <v>6318</v>
      </c>
    </row>
    <row r="186" spans="1:22" ht="15.75" thickBot="1" x14ac:dyDescent="0.3">
      <c r="A186" s="93" t="str">
        <f>B186&amp;" - "&amp;V186</f>
        <v>Barraqueiro Transportes, S.A. - ESEVEL</v>
      </c>
      <c r="B186" s="93" t="s">
        <v>45</v>
      </c>
      <c r="C186" s="82" t="str">
        <f t="shared" si="13"/>
        <v>ESEVEL</v>
      </c>
      <c r="D186">
        <v>2023</v>
      </c>
      <c r="E186" s="250" t="s">
        <v>3499</v>
      </c>
      <c r="F186" s="250" t="s">
        <v>3566</v>
      </c>
      <c r="G186" t="s">
        <v>42</v>
      </c>
      <c r="H186" s="82" t="s">
        <v>42</v>
      </c>
      <c r="I186" s="530">
        <v>150202</v>
      </c>
      <c r="J186" s="425" t="str">
        <f>INDEX(aux!B:B,MATCH(I186,aux!A:A,0))</f>
        <v>(*) Absorventes, materiais filtrantes (incluindo filtros de óleo sem outras especificações), panos de limpeza e vestuário de proteção, contaminados por substâncias perigosas</v>
      </c>
      <c r="K186" s="433" t="str">
        <f>INDEX(aux!C:C,MATCH(I186,aux!A:A,0))</f>
        <v>Sim</v>
      </c>
      <c r="L186" s="536">
        <v>0.04</v>
      </c>
      <c r="M186" s="534" t="s">
        <v>1532</v>
      </c>
      <c r="N186" s="139">
        <f t="shared" si="9"/>
        <v>40</v>
      </c>
      <c r="O186" s="540" t="s">
        <v>484</v>
      </c>
      <c r="P186" s="231" t="str">
        <f t="shared" si="10"/>
        <v>Reciclagem</v>
      </c>
      <c r="Q186" s="231" t="s">
        <v>1901</v>
      </c>
      <c r="R186" s="231" t="s">
        <v>1892</v>
      </c>
      <c r="S186" s="425" t="s">
        <v>1553</v>
      </c>
      <c r="T186" s="429" t="s">
        <v>3177</v>
      </c>
      <c r="U186" s="429" t="s">
        <v>3177</v>
      </c>
      <c r="V186" s="458" t="s">
        <v>6318</v>
      </c>
    </row>
    <row r="187" spans="1:22" ht="15.75" thickBot="1" x14ac:dyDescent="0.3">
      <c r="A187" s="422" t="str">
        <f>B187&amp;" - "&amp;V187</f>
        <v>Barraqueiro Transportes, S.A. - ESEVEL</v>
      </c>
      <c r="B187" s="93" t="s">
        <v>45</v>
      </c>
      <c r="C187" s="82" t="str">
        <f t="shared" si="13"/>
        <v>ESEVEL</v>
      </c>
      <c r="D187">
        <v>2023</v>
      </c>
      <c r="E187" s="250" t="s">
        <v>3499</v>
      </c>
      <c r="F187" s="250" t="s">
        <v>3566</v>
      </c>
      <c r="G187" t="s">
        <v>42</v>
      </c>
      <c r="H187" s="82" t="s">
        <v>42</v>
      </c>
      <c r="I187" s="530">
        <v>160107</v>
      </c>
      <c r="J187" s="425" t="str">
        <f>INDEX(aux!B:B,MATCH(I187,aux!A:A,0))</f>
        <v>(*) Filtros de óleo</v>
      </c>
      <c r="K187" s="433" t="str">
        <f>INDEX(aux!C:C,MATCH(I187,aux!A:A,0))</f>
        <v>Sim</v>
      </c>
      <c r="L187" s="536">
        <v>0.93600000000000005</v>
      </c>
      <c r="M187" s="534" t="s">
        <v>1532</v>
      </c>
      <c r="N187" s="139">
        <f t="shared" si="9"/>
        <v>936</v>
      </c>
      <c r="O187" s="540" t="s">
        <v>484</v>
      </c>
      <c r="P187" s="231" t="str">
        <f t="shared" si="10"/>
        <v>Reciclagem</v>
      </c>
      <c r="Q187" s="231" t="s">
        <v>1901</v>
      </c>
      <c r="R187" s="231" t="s">
        <v>1892</v>
      </c>
      <c r="S187" s="425" t="s">
        <v>1553</v>
      </c>
      <c r="T187" s="429" t="s">
        <v>3177</v>
      </c>
      <c r="U187" s="429" t="s">
        <v>3177</v>
      </c>
      <c r="V187" s="458" t="s">
        <v>6318</v>
      </c>
    </row>
    <row r="188" spans="1:22" ht="15.75" hidden="1" thickBot="1" x14ac:dyDescent="0.3">
      <c r="A188" s="528" t="s">
        <v>3471</v>
      </c>
      <c r="B188" s="529" t="s">
        <v>45</v>
      </c>
      <c r="C188" s="82" t="str">
        <f t="shared" si="13"/>
        <v>Estremadura</v>
      </c>
      <c r="D188">
        <v>2022</v>
      </c>
      <c r="E188" s="250" t="s">
        <v>3499</v>
      </c>
      <c r="F188" s="250" t="s">
        <v>3566</v>
      </c>
      <c r="G188" t="s">
        <v>42</v>
      </c>
      <c r="H188" s="82" t="s">
        <v>34</v>
      </c>
      <c r="I188" s="525">
        <v>160601</v>
      </c>
      <c r="J188" s="425" t="str">
        <f>INDEX(aux!B:B,MATCH(I188,aux!A:A,0))</f>
        <v>(*) Acumuladores de chumbo</v>
      </c>
      <c r="K188" s="433" t="str">
        <f>INDEX(aux!C:C,MATCH(I188,aux!A:A,0))</f>
        <v>Sim</v>
      </c>
      <c r="L188" s="537">
        <f>100%*2.04</f>
        <v>2.04</v>
      </c>
      <c r="M188" s="539" t="s">
        <v>1532</v>
      </c>
      <c r="N188" s="139">
        <f t="shared" si="9"/>
        <v>2040</v>
      </c>
      <c r="O188" s="539" t="s">
        <v>483</v>
      </c>
      <c r="P188" s="231" t="str">
        <f t="shared" si="10"/>
        <v>Reciclagem</v>
      </c>
      <c r="Q188" s="231" t="s">
        <v>1653</v>
      </c>
      <c r="R188" s="231" t="s">
        <v>1877</v>
      </c>
      <c r="S188" s="114" t="str">
        <f>IFERROR(INDEX(Tabela3[Tipos de Tratamento],MATCH('A3.9.1 copy'!O42,Tabela3[Código],0)),"")</f>
        <v xml:space="preserve">Troca de resíduos com vista a submetê-los a uma das operações enumeradas de R 1 a R 11 </v>
      </c>
      <c r="T188" s="543" t="s">
        <v>1538</v>
      </c>
      <c r="U188" s="543" t="s">
        <v>1539</v>
      </c>
      <c r="V188" s="528"/>
    </row>
    <row r="189" spans="1:22" ht="15.75" hidden="1" thickBot="1" x14ac:dyDescent="0.3">
      <c r="A189" s="528" t="s">
        <v>3471</v>
      </c>
      <c r="B189" s="529" t="s">
        <v>45</v>
      </c>
      <c r="C189" s="82" t="str">
        <f t="shared" si="13"/>
        <v>Estremadura</v>
      </c>
      <c r="D189">
        <v>2022</v>
      </c>
      <c r="E189" s="250" t="s">
        <v>3499</v>
      </c>
      <c r="F189" s="250" t="s">
        <v>3566</v>
      </c>
      <c r="G189" t="s">
        <v>42</v>
      </c>
      <c r="H189" s="82" t="s">
        <v>34</v>
      </c>
      <c r="I189" s="525">
        <v>200136</v>
      </c>
      <c r="J189" s="425" t="str">
        <f>INDEX(aux!B:B,MATCH(I189,aux!A:A,0))</f>
        <v>Equipamento elétrico e eletrónico fora de uso não abrangido em 20 01 21, 20 01 23 ou 20 01 35</v>
      </c>
      <c r="K189" s="433" t="str">
        <f>INDEX(aux!C:C,MATCH(I189,aux!A:A,0))</f>
        <v>Não</v>
      </c>
      <c r="L189" s="537">
        <f>0.7*0.205</f>
        <v>0.14349999999999999</v>
      </c>
      <c r="M189" s="539" t="s">
        <v>1532</v>
      </c>
      <c r="N189" s="139">
        <f t="shared" si="9"/>
        <v>143.5</v>
      </c>
      <c r="O189" s="539" t="s">
        <v>483</v>
      </c>
      <c r="P189" s="231" t="str">
        <f t="shared" si="10"/>
        <v>Reciclagem</v>
      </c>
      <c r="Q189" s="231" t="s">
        <v>1909</v>
      </c>
      <c r="R189" s="231" t="s">
        <v>1877</v>
      </c>
      <c r="S189" s="114" t="str">
        <f>IFERROR(INDEX(Tabela3[Tipos de Tratamento],MATCH('A3.9.1 copy'!O52,Tabela3[Código],0)),"")</f>
        <v xml:space="preserve">Troca de resíduos com vista a submetê-los a uma das operações enumeradas de R 1 a R 11 </v>
      </c>
      <c r="T189" s="543" t="s">
        <v>1538</v>
      </c>
      <c r="U189" s="543" t="s">
        <v>1539</v>
      </c>
      <c r="V189" s="528"/>
    </row>
    <row r="190" spans="1:22" ht="15.75" hidden="1" thickBot="1" x14ac:dyDescent="0.3">
      <c r="A190" s="528" t="s">
        <v>3471</v>
      </c>
      <c r="B190" s="529" t="s">
        <v>45</v>
      </c>
      <c r="C190" s="82" t="str">
        <f t="shared" si="13"/>
        <v>Estremadura</v>
      </c>
      <c r="D190">
        <v>2022</v>
      </c>
      <c r="E190" s="250" t="s">
        <v>3499</v>
      </c>
      <c r="F190" s="250" t="s">
        <v>3566</v>
      </c>
      <c r="G190" t="s">
        <v>42</v>
      </c>
      <c r="H190" s="82" t="s">
        <v>34</v>
      </c>
      <c r="I190" s="525">
        <v>160112</v>
      </c>
      <c r="J190" s="425" t="str">
        <f>INDEX(aux!B:B,MATCH(I190,aux!A:A,0))</f>
        <v>Pastilhas de travões não abrangidas em 16 01 11</v>
      </c>
      <c r="K190" s="433" t="str">
        <f>INDEX(aux!C:C,MATCH(I190,aux!A:A,0))</f>
        <v>Não</v>
      </c>
      <c r="L190" s="537">
        <f>100%*0.54</f>
        <v>0.54</v>
      </c>
      <c r="M190" s="539" t="s">
        <v>1532</v>
      </c>
      <c r="N190" s="139">
        <f t="shared" si="9"/>
        <v>540</v>
      </c>
      <c r="O190" s="539" t="s">
        <v>483</v>
      </c>
      <c r="P190" s="231" t="str">
        <f t="shared" si="10"/>
        <v>Reciclagem</v>
      </c>
      <c r="Q190" s="231" t="s">
        <v>1557</v>
      </c>
      <c r="R190" s="231" t="s">
        <v>1903</v>
      </c>
      <c r="S190" s="114" t="str">
        <f>IFERROR(INDEX(Tabela3[Tipos de Tratamento],MATCH('A3.9.1 copy'!O32,Tabela3[Código],0)),"")</f>
        <v xml:space="preserve">Troca de resíduos com vista a submetê-los a uma das operações enumeradas de R 1 a R 11 </v>
      </c>
      <c r="T190" s="543" t="s">
        <v>1538</v>
      </c>
      <c r="U190" s="543" t="s">
        <v>1539</v>
      </c>
      <c r="V190" s="528"/>
    </row>
    <row r="191" spans="1:22" ht="15.75" hidden="1" thickBot="1" x14ac:dyDescent="0.3">
      <c r="A191" s="528" t="s">
        <v>3471</v>
      </c>
      <c r="B191" s="529" t="s">
        <v>45</v>
      </c>
      <c r="C191" s="82" t="str">
        <f t="shared" si="13"/>
        <v>Estremadura</v>
      </c>
      <c r="D191">
        <v>2022</v>
      </c>
      <c r="E191" s="250" t="s">
        <v>3499</v>
      </c>
      <c r="F191" s="250" t="s">
        <v>3566</v>
      </c>
      <c r="G191" t="s">
        <v>42</v>
      </c>
      <c r="H191" s="82" t="s">
        <v>34</v>
      </c>
      <c r="I191" s="525">
        <v>160117</v>
      </c>
      <c r="J191" s="425" t="str">
        <f>INDEX(aux!B:B,MATCH(I191,aux!A:A,0))</f>
        <v>Metais ferrosos</v>
      </c>
      <c r="K191" s="433" t="str">
        <f>INDEX(aux!C:C,MATCH(I191,aux!A:A,0))</f>
        <v>Não</v>
      </c>
      <c r="L191" s="537">
        <v>3.2</v>
      </c>
      <c r="M191" s="539" t="s">
        <v>1532</v>
      </c>
      <c r="N191" s="139">
        <f t="shared" si="9"/>
        <v>3200</v>
      </c>
      <c r="O191" s="539" t="s">
        <v>483</v>
      </c>
      <c r="P191" s="231" t="str">
        <f t="shared" si="10"/>
        <v>Reciclagem</v>
      </c>
      <c r="Q191" s="231" t="s">
        <v>1557</v>
      </c>
      <c r="R191" s="231" t="s">
        <v>1903</v>
      </c>
      <c r="S191" s="114" t="str">
        <f>IFERROR(INDEX(Tabela3[Tipos de Tratamento],MATCH('A3.9.1 copy'!O34,Tabela3[Código],0)),"")</f>
        <v xml:space="preserve">Troca de resíduos com vista a submetê-los a uma das operações enumeradas de R 1 a R 11 </v>
      </c>
      <c r="T191" s="543" t="s">
        <v>1558</v>
      </c>
      <c r="U191" s="543" t="s">
        <v>1559</v>
      </c>
      <c r="V191" s="528"/>
    </row>
    <row r="192" spans="1:22" ht="15.75" hidden="1" thickBot="1" x14ac:dyDescent="0.3">
      <c r="A192" s="528" t="s">
        <v>3471</v>
      </c>
      <c r="B192" s="529" t="s">
        <v>45</v>
      </c>
      <c r="C192" s="82" t="str">
        <f t="shared" si="13"/>
        <v>Estremadura</v>
      </c>
      <c r="D192">
        <v>2022</v>
      </c>
      <c r="E192" s="250" t="s">
        <v>3499</v>
      </c>
      <c r="F192" s="250" t="s">
        <v>3566</v>
      </c>
      <c r="G192" t="s">
        <v>42</v>
      </c>
      <c r="H192" s="82" t="s">
        <v>34</v>
      </c>
      <c r="I192" s="525">
        <v>150111</v>
      </c>
      <c r="J192" s="425" t="str">
        <f>INDEX(aux!B:B,MATCH(I192,aux!A:A,0))</f>
        <v>(*) Embalagens de metal, incluindo recipientes vazios sob pressão, contendo uma matriz porosa sólida perigosa (por exemplo, amianto)</v>
      </c>
      <c r="K192" s="433" t="str">
        <f>INDEX(aux!C:C,MATCH(I192,aux!A:A,0))</f>
        <v>Sim</v>
      </c>
      <c r="L192" s="537">
        <f>70%*0.036</f>
        <v>2.5199999999999997E-2</v>
      </c>
      <c r="M192" s="539" t="s">
        <v>1532</v>
      </c>
      <c r="N192" s="139">
        <f t="shared" si="9"/>
        <v>25.199999999999996</v>
      </c>
      <c r="O192" s="539" t="s">
        <v>484</v>
      </c>
      <c r="P192" s="231" t="str">
        <f t="shared" si="10"/>
        <v>Reciclagem</v>
      </c>
      <c r="Q192" s="231" t="s">
        <v>1906</v>
      </c>
      <c r="R192" s="231" t="s">
        <v>1903</v>
      </c>
      <c r="S192" s="114" t="str">
        <f>IFERROR(INDEX(Tabela3[Tipos de Tratamento],MATCH('A3.9.1 copy'!#REF!,Tabela3[Código],0)),"")</f>
        <v/>
      </c>
      <c r="T192" s="543" t="s">
        <v>1538</v>
      </c>
      <c r="U192" s="543" t="s">
        <v>1539</v>
      </c>
      <c r="V192" s="528"/>
    </row>
    <row r="193" spans="1:22" ht="15.75" hidden="1" thickBot="1" x14ac:dyDescent="0.3">
      <c r="A193" s="528" t="s">
        <v>3471</v>
      </c>
      <c r="B193" s="529" t="s">
        <v>45</v>
      </c>
      <c r="C193" s="82" t="str">
        <f t="shared" si="13"/>
        <v>Estremadura</v>
      </c>
      <c r="D193">
        <v>2022</v>
      </c>
      <c r="E193" s="250" t="s">
        <v>3499</v>
      </c>
      <c r="F193" s="250" t="s">
        <v>3566</v>
      </c>
      <c r="G193" t="s">
        <v>42</v>
      </c>
      <c r="H193" s="82" t="s">
        <v>34</v>
      </c>
      <c r="I193" s="525">
        <v>130208</v>
      </c>
      <c r="J193" s="425" t="str">
        <f>INDEX(aux!B:B,MATCH(I193,aux!A:A,0))</f>
        <v>(*) Outros óleos de motores, transmissões e lubrificação</v>
      </c>
      <c r="K193" s="433" t="str">
        <f>INDEX(aux!C:C,MATCH(I193,aux!A:A,0))</f>
        <v>Sim</v>
      </c>
      <c r="L193" s="537">
        <f>100%*5.321</f>
        <v>5.3209999999999997</v>
      </c>
      <c r="M193" s="539" t="s">
        <v>1532</v>
      </c>
      <c r="N193" s="139">
        <f t="shared" si="9"/>
        <v>5321</v>
      </c>
      <c r="O193" s="539" t="s">
        <v>480</v>
      </c>
      <c r="P193" s="231" t="str">
        <f t="shared" si="10"/>
        <v>Reciclagem</v>
      </c>
      <c r="Q193" s="231" t="s">
        <v>1902</v>
      </c>
      <c r="R193" s="231" t="s">
        <v>1877</v>
      </c>
      <c r="S193" s="114" t="str">
        <f>IFERROR(INDEX(Tabela3[Tipos de Tratamento],MATCH('A3.9.1 copy'!#REF!,Tabela3[Código],0)),"")</f>
        <v/>
      </c>
      <c r="T193" s="543" t="s">
        <v>1535</v>
      </c>
      <c r="U193" s="543" t="s">
        <v>1536</v>
      </c>
      <c r="V193" s="528"/>
    </row>
    <row r="194" spans="1:22" ht="15.75" hidden="1" thickBot="1" x14ac:dyDescent="0.3">
      <c r="A194" s="528" t="s">
        <v>3471</v>
      </c>
      <c r="B194" s="529" t="s">
        <v>45</v>
      </c>
      <c r="C194" s="82" t="str">
        <f t="shared" si="13"/>
        <v>Estremadura</v>
      </c>
      <c r="D194">
        <v>2022</v>
      </c>
      <c r="E194" s="250" t="s">
        <v>3499</v>
      </c>
      <c r="F194" s="250" t="s">
        <v>3566</v>
      </c>
      <c r="G194" t="s">
        <v>42</v>
      </c>
      <c r="H194" s="82" t="s">
        <v>34</v>
      </c>
      <c r="I194" s="525">
        <v>150101</v>
      </c>
      <c r="J194" s="425" t="str">
        <f>INDEX(aux!B:B,MATCH(I194,aux!A:A,0))</f>
        <v>Embalagens de papel e cartão</v>
      </c>
      <c r="K194" s="433" t="str">
        <f>INDEX(aux!C:C,MATCH(I194,aux!A:A,0))</f>
        <v>Não</v>
      </c>
      <c r="L194" s="537">
        <f>70%*0.474</f>
        <v>0.33179999999999998</v>
      </c>
      <c r="M194" s="539" t="s">
        <v>1532</v>
      </c>
      <c r="N194" s="139">
        <f t="shared" si="9"/>
        <v>331.8</v>
      </c>
      <c r="O194" s="539" t="s">
        <v>483</v>
      </c>
      <c r="P194" s="231" t="str">
        <f t="shared" si="10"/>
        <v>Reciclagem</v>
      </c>
      <c r="Q194" s="231" t="s">
        <v>1904</v>
      </c>
      <c r="R194" s="231" t="s">
        <v>1903</v>
      </c>
      <c r="S194" s="114" t="str">
        <f>IFERROR(INDEX(Tabela3[Tipos de Tratamento],MATCH('A3.9.1 copy'!#REF!,Tabela3[Código],0)),"")</f>
        <v/>
      </c>
      <c r="T194" s="543" t="s">
        <v>1538</v>
      </c>
      <c r="U194" s="543" t="s">
        <v>1539</v>
      </c>
      <c r="V194" s="528"/>
    </row>
    <row r="195" spans="1:22" ht="15.75" hidden="1" thickBot="1" x14ac:dyDescent="0.3">
      <c r="A195" s="528" t="s">
        <v>3471</v>
      </c>
      <c r="B195" s="529" t="s">
        <v>45</v>
      </c>
      <c r="C195" s="82" t="str">
        <f t="shared" si="13"/>
        <v>Estremadura</v>
      </c>
      <c r="D195">
        <v>2022</v>
      </c>
      <c r="E195" s="250" t="s">
        <v>3499</v>
      </c>
      <c r="F195" s="250" t="s">
        <v>3566</v>
      </c>
      <c r="G195" t="s">
        <v>42</v>
      </c>
      <c r="H195" s="82" t="s">
        <v>34</v>
      </c>
      <c r="I195" s="525">
        <v>150101</v>
      </c>
      <c r="J195" s="425" t="str">
        <f>INDEX(aux!B:B,MATCH(I195,aux!A:A,0))</f>
        <v>Embalagens de papel e cartão</v>
      </c>
      <c r="K195" s="433" t="str">
        <f>INDEX(aux!C:C,MATCH(I195,aux!A:A,0))</f>
        <v>Não</v>
      </c>
      <c r="L195" s="537">
        <f>70%*0.5</f>
        <v>0.35</v>
      </c>
      <c r="M195" s="539" t="s">
        <v>1532</v>
      </c>
      <c r="N195" s="139">
        <f t="shared" ref="N195:N258" si="14">IF(LEFT(M195,3)="ton",1000*L195,L195)</f>
        <v>350</v>
      </c>
      <c r="O195" s="539" t="s">
        <v>483</v>
      </c>
      <c r="P195" s="231" t="str">
        <f t="shared" ref="P195:P258" si="15">IF(LEFT(O195,1)="R","Reciclagem",IF(OR(O195="D10",O195="D11"),"Iceneração","Aterro"))</f>
        <v>Reciclagem</v>
      </c>
      <c r="Q195" s="231" t="s">
        <v>1904</v>
      </c>
      <c r="R195" s="231" t="s">
        <v>1903</v>
      </c>
      <c r="S195" s="114" t="str">
        <f>IFERROR(INDEX(Tabela3[Tipos de Tratamento],MATCH('A3.9.1 copy'!#REF!,Tabela3[Código],0)),"")</f>
        <v/>
      </c>
      <c r="T195" s="543" t="s">
        <v>1540</v>
      </c>
      <c r="U195" s="543" t="s">
        <v>1541</v>
      </c>
      <c r="V195" s="528"/>
    </row>
    <row r="196" spans="1:22" ht="15.75" hidden="1" thickBot="1" x14ac:dyDescent="0.3">
      <c r="A196" s="528" t="s">
        <v>3471</v>
      </c>
      <c r="B196" s="529" t="s">
        <v>45</v>
      </c>
      <c r="C196" s="82" t="str">
        <f t="shared" si="13"/>
        <v>Estremadura</v>
      </c>
      <c r="D196">
        <v>2022</v>
      </c>
      <c r="E196" s="250" t="s">
        <v>3499</v>
      </c>
      <c r="F196" s="250" t="s">
        <v>3566</v>
      </c>
      <c r="G196" t="s">
        <v>42</v>
      </c>
      <c r="H196" s="82" t="s">
        <v>34</v>
      </c>
      <c r="I196" s="525">
        <v>200101</v>
      </c>
      <c r="J196" s="425" t="str">
        <f>INDEX(aux!B:B,MATCH(I196,aux!A:A,0))</f>
        <v xml:space="preserve">Papel e Cartão </v>
      </c>
      <c r="K196" s="433" t="str">
        <f>INDEX(aux!C:C,MATCH(I196,aux!A:A,0))</f>
        <v>Não</v>
      </c>
      <c r="L196" s="537">
        <f>0.7*1.36</f>
        <v>0.95199999999999996</v>
      </c>
      <c r="M196" s="539" t="s">
        <v>1532</v>
      </c>
      <c r="N196" s="139">
        <f t="shared" si="14"/>
        <v>952</v>
      </c>
      <c r="O196" s="539" t="s">
        <v>483</v>
      </c>
      <c r="P196" s="231" t="str">
        <f t="shared" si="15"/>
        <v>Reciclagem</v>
      </c>
      <c r="Q196" s="231" t="s">
        <v>1904</v>
      </c>
      <c r="R196" s="231" t="s">
        <v>1903</v>
      </c>
      <c r="S196" s="114" t="str">
        <f>IFERROR(INDEX(Tabela3[Tipos de Tratamento],MATCH('A3.9.1 copy'!O44,Tabela3[Código],0)),"")</f>
        <v>Armazenagem enquanto se aguarda a execução de uma das operações enumeradas de D1 a D14</v>
      </c>
      <c r="T196" s="543" t="s">
        <v>1540</v>
      </c>
      <c r="U196" s="543" t="s">
        <v>1541</v>
      </c>
      <c r="V196" s="528"/>
    </row>
    <row r="197" spans="1:22" ht="15.75" hidden="1" thickBot="1" x14ac:dyDescent="0.3">
      <c r="A197" s="528" t="s">
        <v>3471</v>
      </c>
      <c r="B197" s="529" t="s">
        <v>45</v>
      </c>
      <c r="C197" s="82" t="str">
        <f t="shared" si="13"/>
        <v>Estremadura</v>
      </c>
      <c r="D197">
        <v>2022</v>
      </c>
      <c r="E197" s="250" t="s">
        <v>3499</v>
      </c>
      <c r="F197" s="250" t="s">
        <v>3566</v>
      </c>
      <c r="G197" t="s">
        <v>42</v>
      </c>
      <c r="H197" s="82" t="s">
        <v>34</v>
      </c>
      <c r="I197" s="525">
        <v>160119</v>
      </c>
      <c r="J197" s="425" t="str">
        <f>INDEX(aux!B:B,MATCH(I197,aux!A:A,0))</f>
        <v>Plástico</v>
      </c>
      <c r="K197" s="433" t="str">
        <f>INDEX(aux!C:C,MATCH(I197,aux!A:A,0))</f>
        <v>Não</v>
      </c>
      <c r="L197" s="537">
        <f>0.7*0.514</f>
        <v>0.35980000000000001</v>
      </c>
      <c r="M197" s="539" t="s">
        <v>1532</v>
      </c>
      <c r="N197" s="139">
        <f t="shared" si="14"/>
        <v>359.8</v>
      </c>
      <c r="O197" s="539" t="s">
        <v>483</v>
      </c>
      <c r="P197" s="231" t="str">
        <f t="shared" si="15"/>
        <v>Reciclagem</v>
      </c>
      <c r="Q197" s="231" t="s">
        <v>1560</v>
      </c>
      <c r="R197" s="231" t="s">
        <v>1903</v>
      </c>
      <c r="S197" s="114" t="str">
        <f>IFERROR(INDEX(Tabela3[Tipos de Tratamento],MATCH('A3.9.1 copy'!O36,Tabela3[Código],0)),"")</f>
        <v xml:space="preserve">Troca de resíduos com vista a submetê-los a uma das operações enumeradas de R 1 a R 11 </v>
      </c>
      <c r="T197" s="543" t="s">
        <v>1538</v>
      </c>
      <c r="U197" s="543" t="s">
        <v>1539</v>
      </c>
      <c r="V197" s="528"/>
    </row>
    <row r="198" spans="1:22" ht="15.75" hidden="1" thickBot="1" x14ac:dyDescent="0.3">
      <c r="A198" s="528" t="s">
        <v>3471</v>
      </c>
      <c r="B198" s="529" t="s">
        <v>45</v>
      </c>
      <c r="C198" s="82" t="str">
        <f t="shared" si="13"/>
        <v>Estremadura</v>
      </c>
      <c r="D198">
        <v>2022</v>
      </c>
      <c r="E198" s="250" t="s">
        <v>3499</v>
      </c>
      <c r="F198" s="250" t="s">
        <v>3566</v>
      </c>
      <c r="G198" t="s">
        <v>42</v>
      </c>
      <c r="H198" s="82" t="s">
        <v>34</v>
      </c>
      <c r="I198" s="525">
        <v>150110</v>
      </c>
      <c r="J198" s="425" t="str">
        <f>INDEX(aux!B:B,MATCH(I198,aux!A:A,0))</f>
        <v>(*) Embalagens contendo ou contaminadas por resíduos de substâncias perigosas</v>
      </c>
      <c r="K198" s="433" t="str">
        <f>INDEX(aux!C:C,MATCH(I198,aux!A:A,0))</f>
        <v>Sim</v>
      </c>
      <c r="L198" s="537">
        <f>100%*0.09</f>
        <v>0.09</v>
      </c>
      <c r="M198" s="539" t="s">
        <v>1532</v>
      </c>
      <c r="N198" s="139">
        <f t="shared" si="14"/>
        <v>90</v>
      </c>
      <c r="O198" s="539" t="s">
        <v>484</v>
      </c>
      <c r="P198" s="231" t="str">
        <f t="shared" si="15"/>
        <v>Reciclagem</v>
      </c>
      <c r="Q198" s="231" t="s">
        <v>1901</v>
      </c>
      <c r="R198" s="231" t="s">
        <v>1892</v>
      </c>
      <c r="S198" s="114" t="str">
        <f>IFERROR(INDEX(Tabela3[Tipos de Tratamento],MATCH('A3.9.1 copy'!#REF!,Tabela3[Código],0)),"")</f>
        <v/>
      </c>
      <c r="T198" s="543" t="s">
        <v>1538</v>
      </c>
      <c r="U198" s="543" t="s">
        <v>1539</v>
      </c>
      <c r="V198" s="528"/>
    </row>
    <row r="199" spans="1:22" ht="15.75" hidden="1" thickBot="1" x14ac:dyDescent="0.3">
      <c r="A199" s="528" t="s">
        <v>3471</v>
      </c>
      <c r="B199" s="529" t="s">
        <v>45</v>
      </c>
      <c r="C199" s="82" t="str">
        <f t="shared" si="13"/>
        <v>Estremadura</v>
      </c>
      <c r="D199">
        <v>2022</v>
      </c>
      <c r="E199" s="250" t="s">
        <v>3499</v>
      </c>
      <c r="F199" s="250" t="s">
        <v>3566</v>
      </c>
      <c r="G199" t="s">
        <v>42</v>
      </c>
      <c r="H199" s="82" t="s">
        <v>34</v>
      </c>
      <c r="I199" s="525">
        <v>150202</v>
      </c>
      <c r="J199" s="425" t="str">
        <f>INDEX(aux!B:B,MATCH(I199,aux!A:A,0))</f>
        <v>(*) Absorventes, materiais filtrantes (incluindo filtros de óleo sem outras especificações), panos de limpeza e vestuário de proteção, contaminados por substâncias perigosas</v>
      </c>
      <c r="K199" s="433" t="str">
        <f>INDEX(aux!C:C,MATCH(I199,aux!A:A,0))</f>
        <v>Sim</v>
      </c>
      <c r="L199" s="537">
        <f>70%*0.28</f>
        <v>0.19600000000000001</v>
      </c>
      <c r="M199" s="539" t="s">
        <v>1532</v>
      </c>
      <c r="N199" s="139">
        <f t="shared" si="14"/>
        <v>196</v>
      </c>
      <c r="O199" s="539" t="s">
        <v>484</v>
      </c>
      <c r="P199" s="231" t="str">
        <f t="shared" si="15"/>
        <v>Reciclagem</v>
      </c>
      <c r="Q199" s="231" t="s">
        <v>1901</v>
      </c>
      <c r="R199" s="231" t="s">
        <v>1892</v>
      </c>
      <c r="S199" s="114" t="str">
        <f>IFERROR(INDEX(Tabela3[Tipos de Tratamento],MATCH('A3.9.1 copy'!#REF!,Tabela3[Código],0)),"")</f>
        <v/>
      </c>
      <c r="T199" s="543" t="s">
        <v>1538</v>
      </c>
      <c r="U199" s="543" t="s">
        <v>1539</v>
      </c>
      <c r="V199" s="528"/>
    </row>
    <row r="200" spans="1:22" ht="15.75" hidden="1" thickBot="1" x14ac:dyDescent="0.3">
      <c r="A200" s="528" t="s">
        <v>3471</v>
      </c>
      <c r="B200" s="529" t="s">
        <v>45</v>
      </c>
      <c r="C200" s="82" t="str">
        <f t="shared" si="13"/>
        <v>Estremadura</v>
      </c>
      <c r="D200">
        <v>2022</v>
      </c>
      <c r="E200" s="250" t="s">
        <v>3499</v>
      </c>
      <c r="F200" s="250" t="s">
        <v>3566</v>
      </c>
      <c r="G200" t="s">
        <v>42</v>
      </c>
      <c r="H200" s="82" t="s">
        <v>34</v>
      </c>
      <c r="I200" s="525">
        <v>150203</v>
      </c>
      <c r="J200" s="425" t="str">
        <f>INDEX(aux!B:B,MATCH(I200,aux!A:A,0))</f>
        <v>Absorventes, materiais filtrantes, panos de limpeza e vestuário de proteção não abrangidos em 15 02 02</v>
      </c>
      <c r="K200" s="433" t="str">
        <f>INDEX(aux!C:C,MATCH(I200,aux!A:A,0))</f>
        <v>Não</v>
      </c>
      <c r="L200" s="537">
        <f>0.7*1.4</f>
        <v>0.97999999999999987</v>
      </c>
      <c r="M200" s="539" t="s">
        <v>1532</v>
      </c>
      <c r="N200" s="139">
        <f t="shared" si="14"/>
        <v>979.99999999999989</v>
      </c>
      <c r="O200" s="539" t="s">
        <v>483</v>
      </c>
      <c r="P200" s="231" t="str">
        <f t="shared" si="15"/>
        <v>Reciclagem</v>
      </c>
      <c r="Q200" s="231" t="s">
        <v>1901</v>
      </c>
      <c r="R200" s="231" t="s">
        <v>1892</v>
      </c>
      <c r="S200" s="114" t="str">
        <f>IFERROR(INDEX(Tabela3[Tipos de Tratamento],MATCH('A3.9.1 copy'!#REF!,Tabela3[Código],0)),"")</f>
        <v/>
      </c>
      <c r="T200" s="543" t="s">
        <v>1538</v>
      </c>
      <c r="U200" s="543" t="s">
        <v>1539</v>
      </c>
      <c r="V200" s="528"/>
    </row>
    <row r="201" spans="1:22" ht="15.75" hidden="1" thickBot="1" x14ac:dyDescent="0.3">
      <c r="A201" s="528" t="s">
        <v>3471</v>
      </c>
      <c r="B201" s="529" t="s">
        <v>45</v>
      </c>
      <c r="C201" s="82" t="str">
        <f t="shared" si="13"/>
        <v>Estremadura</v>
      </c>
      <c r="D201">
        <v>2022</v>
      </c>
      <c r="E201" s="250" t="s">
        <v>3499</v>
      </c>
      <c r="F201" s="250" t="s">
        <v>3566</v>
      </c>
      <c r="G201" t="s">
        <v>42</v>
      </c>
      <c r="H201" s="82" t="s">
        <v>34</v>
      </c>
      <c r="I201" s="525">
        <v>160107</v>
      </c>
      <c r="J201" s="425" t="str">
        <f>INDEX(aux!B:B,MATCH(I201,aux!A:A,0))</f>
        <v>(*) Filtros de óleo</v>
      </c>
      <c r="K201" s="433" t="str">
        <f>INDEX(aux!C:C,MATCH(I201,aux!A:A,0))</f>
        <v>Sim</v>
      </c>
      <c r="L201" s="537">
        <f>100%*0.52</f>
        <v>0.52</v>
      </c>
      <c r="M201" s="539" t="s">
        <v>1532</v>
      </c>
      <c r="N201" s="139">
        <f t="shared" si="14"/>
        <v>520</v>
      </c>
      <c r="O201" s="539" t="s">
        <v>484</v>
      </c>
      <c r="P201" s="231" t="str">
        <f t="shared" si="15"/>
        <v>Reciclagem</v>
      </c>
      <c r="Q201" s="231" t="s">
        <v>1901</v>
      </c>
      <c r="R201" s="231" t="s">
        <v>1892</v>
      </c>
      <c r="S201" s="114" t="str">
        <f>IFERROR(INDEX(Tabela3[Tipos de Tratamento],MATCH('A3.9.1 copy'!O30,Tabela3[Código],0)),"")</f>
        <v>Acumulação de resíduos destinados a uma das operações enumeradas de R1 a R12</v>
      </c>
      <c r="T201" s="543" t="s">
        <v>1538</v>
      </c>
      <c r="U201" s="543" t="s">
        <v>1539</v>
      </c>
      <c r="V201" s="528"/>
    </row>
    <row r="202" spans="1:22" ht="15.75" hidden="1" thickBot="1" x14ac:dyDescent="0.3">
      <c r="A202" s="528" t="s">
        <v>3471</v>
      </c>
      <c r="B202" s="529" t="s">
        <v>45</v>
      </c>
      <c r="C202" s="82" t="str">
        <f t="shared" si="13"/>
        <v>Estremadura</v>
      </c>
      <c r="D202">
        <v>2022</v>
      </c>
      <c r="E202" s="250" t="s">
        <v>3499</v>
      </c>
      <c r="F202" s="250" t="s">
        <v>3566</v>
      </c>
      <c r="G202" t="s">
        <v>42</v>
      </c>
      <c r="H202" s="82" t="s">
        <v>34</v>
      </c>
      <c r="I202" s="525">
        <v>160199</v>
      </c>
      <c r="J202" s="425" t="str">
        <f>INDEX(aux!B:B,MATCH(I202,aux!A:A,0))</f>
        <v>Resíduos sem outras especificações</v>
      </c>
      <c r="K202" s="433" t="str">
        <f>INDEX(aux!C:C,MATCH(I202,aux!A:A,0))</f>
        <v>Não</v>
      </c>
      <c r="L202" s="537">
        <f>0.7*1.038</f>
        <v>0.72660000000000002</v>
      </c>
      <c r="M202" s="539" t="s">
        <v>1532</v>
      </c>
      <c r="N202" s="139">
        <f t="shared" si="14"/>
        <v>726.6</v>
      </c>
      <c r="O202" s="539" t="s">
        <v>483</v>
      </c>
      <c r="P202" s="231" t="str">
        <f t="shared" si="15"/>
        <v>Reciclagem</v>
      </c>
      <c r="Q202" s="231" t="s">
        <v>1901</v>
      </c>
      <c r="R202" s="231" t="s">
        <v>1892</v>
      </c>
      <c r="S202" s="114" t="str">
        <f>IFERROR(INDEX(Tabela3[Tipos de Tratamento],MATCH('A3.9.1 copy'!O40,Tabela3[Código],0)),"")</f>
        <v xml:space="preserve">Troca de resíduos com vista a submetê-los a uma das operações enumeradas de R 1 a R 11 </v>
      </c>
      <c r="T202" s="543" t="s">
        <v>1538</v>
      </c>
      <c r="U202" s="543" t="s">
        <v>1539</v>
      </c>
      <c r="V202" s="528"/>
    </row>
    <row r="203" spans="1:22" ht="15.75" hidden="1" thickBot="1" x14ac:dyDescent="0.3">
      <c r="A203" s="528" t="s">
        <v>3471</v>
      </c>
      <c r="B203" s="529" t="s">
        <v>45</v>
      </c>
      <c r="C203" s="82" t="str">
        <f t="shared" si="13"/>
        <v>Estremadura</v>
      </c>
      <c r="D203">
        <v>2022</v>
      </c>
      <c r="E203" s="250" t="s">
        <v>3499</v>
      </c>
      <c r="F203" s="250" t="s">
        <v>3566</v>
      </c>
      <c r="G203" t="s">
        <v>42</v>
      </c>
      <c r="H203" s="82" t="s">
        <v>34</v>
      </c>
      <c r="I203" s="525">
        <v>200121</v>
      </c>
      <c r="J203" s="425" t="str">
        <f>INDEX(aux!B:B,MATCH(I203,aux!A:A,0))</f>
        <v>(*) Lâmpadas fluorescentes e outros resíduos contendo mercúrio</v>
      </c>
      <c r="K203" s="433" t="str">
        <f>INDEX(aux!C:C,MATCH(I203,aux!A:A,0))</f>
        <v>Sim</v>
      </c>
      <c r="L203" s="537">
        <f>0.7*0.018</f>
        <v>1.2599999999999998E-2</v>
      </c>
      <c r="M203" s="539" t="s">
        <v>1532</v>
      </c>
      <c r="N203" s="139">
        <f t="shared" si="14"/>
        <v>12.599999999999998</v>
      </c>
      <c r="O203" s="539" t="s">
        <v>484</v>
      </c>
      <c r="P203" s="231" t="str">
        <f t="shared" si="15"/>
        <v>Reciclagem</v>
      </c>
      <c r="Q203" s="231" t="s">
        <v>1901</v>
      </c>
      <c r="R203" s="231" t="s">
        <v>1892</v>
      </c>
      <c r="S203" s="114" t="str">
        <f>IFERROR(INDEX(Tabela3[Tipos de Tratamento],MATCH('A3.9.1 copy'!O48,Tabela3[Código],0)),"")</f>
        <v xml:space="preserve">Troca de resíduos com vista a submetê-los a uma das operações enumeradas de R 1 a R 11 </v>
      </c>
      <c r="T203" s="543" t="s">
        <v>1538</v>
      </c>
      <c r="U203" s="543" t="s">
        <v>1539</v>
      </c>
      <c r="V203" s="528"/>
    </row>
    <row r="204" spans="1:22" ht="15.75" hidden="1" thickBot="1" x14ac:dyDescent="0.3">
      <c r="A204" s="528" t="s">
        <v>3471</v>
      </c>
      <c r="B204" s="529" t="s">
        <v>45</v>
      </c>
      <c r="C204" s="82" t="str">
        <f t="shared" si="13"/>
        <v>Estremadura</v>
      </c>
      <c r="D204">
        <v>2022</v>
      </c>
      <c r="E204" s="250" t="s">
        <v>3499</v>
      </c>
      <c r="F204" s="250" t="s">
        <v>3566</v>
      </c>
      <c r="G204" t="s">
        <v>42</v>
      </c>
      <c r="H204" s="82" t="s">
        <v>34</v>
      </c>
      <c r="I204" s="525">
        <v>200125</v>
      </c>
      <c r="J204" s="425" t="str">
        <f>INDEX(aux!B:B,MATCH(I204,aux!A:A,0))</f>
        <v>Óleos e gorduras alimentares</v>
      </c>
      <c r="K204" s="433" t="str">
        <f>INDEX(aux!C:C,MATCH(I204,aux!A:A,0))</f>
        <v>Não</v>
      </c>
      <c r="L204" s="537">
        <f>0.7*0.08</f>
        <v>5.5999999999999994E-2</v>
      </c>
      <c r="M204" s="539" t="s">
        <v>1532</v>
      </c>
      <c r="N204" s="139">
        <f t="shared" si="14"/>
        <v>55.999999999999993</v>
      </c>
      <c r="O204" s="539" t="s">
        <v>483</v>
      </c>
      <c r="P204" s="231" t="str">
        <f t="shared" si="15"/>
        <v>Reciclagem</v>
      </c>
      <c r="Q204" s="231" t="s">
        <v>1908</v>
      </c>
      <c r="R204" s="231" t="s">
        <v>1877</v>
      </c>
      <c r="S204" s="114" t="str">
        <f>IFERROR(INDEX(Tabela3[Tipos de Tratamento],MATCH('A3.9.1 copy'!O50,Tabela3[Código],0)),"")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204" s="543" t="s">
        <v>1566</v>
      </c>
      <c r="U204" s="543" t="s">
        <v>1567</v>
      </c>
      <c r="V204" s="528"/>
    </row>
    <row r="205" spans="1:22" ht="15.75" hidden="1" thickBot="1" x14ac:dyDescent="0.3">
      <c r="A205" s="528" t="s">
        <v>3471</v>
      </c>
      <c r="B205" s="529" t="s">
        <v>45</v>
      </c>
      <c r="C205" s="82" t="str">
        <f t="shared" si="13"/>
        <v>Estremadura</v>
      </c>
      <c r="D205">
        <v>2022</v>
      </c>
      <c r="E205" s="250" t="s">
        <v>3499</v>
      </c>
      <c r="F205" s="250" t="s">
        <v>3566</v>
      </c>
      <c r="G205" t="s">
        <v>42</v>
      </c>
      <c r="H205" s="82" t="s">
        <v>34</v>
      </c>
      <c r="I205" s="525">
        <v>160120</v>
      </c>
      <c r="J205" s="425" t="str">
        <f>INDEX(aux!B:B,MATCH(I205,aux!A:A,0))</f>
        <v>Vidro</v>
      </c>
      <c r="K205" s="433" t="str">
        <f>INDEX(aux!C:C,MATCH(I205,aux!A:A,0))</f>
        <v>Não</v>
      </c>
      <c r="L205" s="537">
        <f>0.7*0.661</f>
        <v>0.4627</v>
      </c>
      <c r="M205" s="539" t="s">
        <v>1532</v>
      </c>
      <c r="N205" s="139">
        <f t="shared" si="14"/>
        <v>462.7</v>
      </c>
      <c r="O205" s="539" t="s">
        <v>483</v>
      </c>
      <c r="P205" s="231" t="str">
        <f t="shared" si="15"/>
        <v>Reciclagem</v>
      </c>
      <c r="Q205" s="231" t="s">
        <v>1561</v>
      </c>
      <c r="R205" s="231" t="s">
        <v>1903</v>
      </c>
      <c r="S205" s="114" t="str">
        <f>IFERROR(INDEX(Tabela3[Tipos de Tratamento],MATCH('A3.9.1 copy'!O38,Tabela3[Código],0)),"")</f>
        <v xml:space="preserve">Troca de resíduos com vista a submetê-los a uma das operações enumeradas de R 1 a R 11 </v>
      </c>
      <c r="T205" s="543" t="s">
        <v>1538</v>
      </c>
      <c r="U205" s="543" t="s">
        <v>1539</v>
      </c>
      <c r="V205" s="528"/>
    </row>
    <row r="206" spans="1:22" ht="15.75" hidden="1" thickBot="1" x14ac:dyDescent="0.3">
      <c r="A206" s="528" t="s">
        <v>3471</v>
      </c>
      <c r="B206" s="529" t="s">
        <v>45</v>
      </c>
      <c r="C206" s="82" t="str">
        <f t="shared" si="13"/>
        <v>Estremadura</v>
      </c>
      <c r="D206">
        <v>2022</v>
      </c>
      <c r="E206" s="250" t="s">
        <v>3499</v>
      </c>
      <c r="F206" s="250" t="s">
        <v>3566</v>
      </c>
      <c r="G206" t="s">
        <v>42</v>
      </c>
      <c r="H206" s="82" t="s">
        <v>34</v>
      </c>
      <c r="I206" s="525">
        <v>200102</v>
      </c>
      <c r="J206" s="425" t="str">
        <f>INDEX(aux!B:B,MATCH(I206,aux!A:A,0))</f>
        <v>Vidro</v>
      </c>
      <c r="K206" s="433" t="str">
        <f>INDEX(aux!C:C,MATCH(I206,aux!A:A,0))</f>
        <v>Não</v>
      </c>
      <c r="L206" s="537">
        <f>0.7*0.442</f>
        <v>0.30940000000000001</v>
      </c>
      <c r="M206" s="539" t="s">
        <v>1532</v>
      </c>
      <c r="N206" s="139">
        <f t="shared" si="14"/>
        <v>309.40000000000003</v>
      </c>
      <c r="O206" s="539" t="s">
        <v>483</v>
      </c>
      <c r="P206" s="231" t="str">
        <f t="shared" si="15"/>
        <v>Reciclagem</v>
      </c>
      <c r="Q206" s="231" t="s">
        <v>1561</v>
      </c>
      <c r="R206" s="231" t="s">
        <v>1903</v>
      </c>
      <c r="S206" s="114" t="str">
        <f>IFERROR(INDEX(Tabela3[Tipos de Tratamento],MATCH('A3.9.1 copy'!O46,Tabela3[Código],0)),"")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206" s="543" t="s">
        <v>1538</v>
      </c>
      <c r="U206" s="543" t="s">
        <v>1539</v>
      </c>
      <c r="V206" s="528"/>
    </row>
    <row r="207" spans="1:22" ht="15.75" thickBot="1" x14ac:dyDescent="0.3">
      <c r="A207" s="93" t="str">
        <f t="shared" ref="A207:A225" si="16">B207&amp;" - "&amp;V207</f>
        <v>Barraqueiro Transportes, S.A. - Estremadura</v>
      </c>
      <c r="B207" s="93" t="s">
        <v>45</v>
      </c>
      <c r="C207" s="82" t="str">
        <f t="shared" si="13"/>
        <v>Estremadura</v>
      </c>
      <c r="D207">
        <v>2023</v>
      </c>
      <c r="E207" s="250" t="s">
        <v>3499</v>
      </c>
      <c r="F207" s="250" t="s">
        <v>3566</v>
      </c>
      <c r="G207" t="s">
        <v>42</v>
      </c>
      <c r="H207" s="82" t="s">
        <v>42</v>
      </c>
      <c r="I207" s="530">
        <v>160601</v>
      </c>
      <c r="J207" s="425" t="str">
        <f>INDEX(aux!B:B,MATCH(I207,aux!A:A,0))</f>
        <v>(*) Acumuladores de chumbo</v>
      </c>
      <c r="K207" s="433" t="str">
        <f>INDEX(aux!C:C,MATCH(I207,aux!A:A,0))</f>
        <v>Sim</v>
      </c>
      <c r="L207" s="536">
        <v>5</v>
      </c>
      <c r="M207" s="534" t="s">
        <v>1532</v>
      </c>
      <c r="N207" s="139">
        <f t="shared" si="14"/>
        <v>5000</v>
      </c>
      <c r="O207" s="540" t="s">
        <v>484</v>
      </c>
      <c r="P207" s="231" t="str">
        <f t="shared" si="15"/>
        <v>Reciclagem</v>
      </c>
      <c r="Q207" s="231" t="s">
        <v>1653</v>
      </c>
      <c r="R207" s="231" t="s">
        <v>1877</v>
      </c>
      <c r="S207" s="425" t="s">
        <v>1553</v>
      </c>
      <c r="T207" s="429" t="s">
        <v>3171</v>
      </c>
      <c r="U207" s="429" t="s">
        <v>3171</v>
      </c>
      <c r="V207" s="458" t="s">
        <v>6322</v>
      </c>
    </row>
    <row r="208" spans="1:22" ht="15.75" thickBot="1" x14ac:dyDescent="0.3">
      <c r="A208" s="93" t="str">
        <f t="shared" si="16"/>
        <v>Barraqueiro Transportes, S.A. - Estremadura</v>
      </c>
      <c r="B208" s="93" t="s">
        <v>45</v>
      </c>
      <c r="C208" s="82" t="str">
        <f t="shared" si="13"/>
        <v>Estremadura</v>
      </c>
      <c r="D208">
        <v>2023</v>
      </c>
      <c r="E208" s="250" t="s">
        <v>3499</v>
      </c>
      <c r="F208" s="250" t="s">
        <v>3566</v>
      </c>
      <c r="G208" t="s">
        <v>42</v>
      </c>
      <c r="H208" s="82" t="s">
        <v>42</v>
      </c>
      <c r="I208" s="530">
        <v>200136</v>
      </c>
      <c r="J208" s="425" t="str">
        <f>INDEX(aux!B:B,MATCH(I208,aux!A:A,0))</f>
        <v>Equipamento elétrico e eletrónico fora de uso não abrangido em 20 01 21, 20 01 23 ou 20 01 35</v>
      </c>
      <c r="K208" s="433" t="str">
        <f>INDEX(aux!C:C,MATCH(I208,aux!A:A,0))</f>
        <v>Não</v>
      </c>
      <c r="L208" s="536">
        <v>0.20100000000000001</v>
      </c>
      <c r="M208" s="534" t="s">
        <v>1532</v>
      </c>
      <c r="N208" s="139">
        <f t="shared" si="14"/>
        <v>201</v>
      </c>
      <c r="O208" s="540" t="s">
        <v>483</v>
      </c>
      <c r="P208" s="231" t="str">
        <f t="shared" si="15"/>
        <v>Reciclagem</v>
      </c>
      <c r="Q208" s="231" t="s">
        <v>1909</v>
      </c>
      <c r="R208" s="231" t="s">
        <v>1877</v>
      </c>
      <c r="S208" s="425" t="s">
        <v>485</v>
      </c>
      <c r="T208" s="429" t="s">
        <v>3177</v>
      </c>
      <c r="U208" s="429" t="s">
        <v>3177</v>
      </c>
      <c r="V208" s="458" t="s">
        <v>6322</v>
      </c>
    </row>
    <row r="209" spans="1:22" ht="15.75" thickBot="1" x14ac:dyDescent="0.3">
      <c r="A209" s="93" t="str">
        <f t="shared" si="16"/>
        <v>Barraqueiro Transportes, S.A. - Estremadura</v>
      </c>
      <c r="B209" s="93" t="s">
        <v>45</v>
      </c>
      <c r="C209" s="82" t="str">
        <f t="shared" si="13"/>
        <v>Estremadura</v>
      </c>
      <c r="D209">
        <v>2023</v>
      </c>
      <c r="E209" s="250" t="s">
        <v>3499</v>
      </c>
      <c r="F209" s="250" t="s">
        <v>3566</v>
      </c>
      <c r="G209" t="s">
        <v>42</v>
      </c>
      <c r="H209" s="82" t="s">
        <v>42</v>
      </c>
      <c r="I209" s="530">
        <v>160112</v>
      </c>
      <c r="J209" s="425" t="str">
        <f>INDEX(aux!B:B,MATCH(I209,aux!A:A,0))</f>
        <v>Pastilhas de travões não abrangidas em 16 01 11</v>
      </c>
      <c r="K209" s="433" t="str">
        <f>INDEX(aux!C:C,MATCH(I209,aux!A:A,0))</f>
        <v>Não</v>
      </c>
      <c r="L209" s="536">
        <v>0.54</v>
      </c>
      <c r="M209" s="534" t="s">
        <v>1532</v>
      </c>
      <c r="N209" s="139">
        <f t="shared" si="14"/>
        <v>540</v>
      </c>
      <c r="O209" s="540" t="s">
        <v>483</v>
      </c>
      <c r="P209" s="231" t="str">
        <f t="shared" si="15"/>
        <v>Reciclagem</v>
      </c>
      <c r="Q209" s="231" t="s">
        <v>1557</v>
      </c>
      <c r="R209" s="231" t="s">
        <v>6569</v>
      </c>
      <c r="S209" s="425" t="s">
        <v>485</v>
      </c>
      <c r="T209" s="429" t="s">
        <v>3177</v>
      </c>
      <c r="U209" s="429" t="s">
        <v>3177</v>
      </c>
      <c r="V209" s="458" t="s">
        <v>6322</v>
      </c>
    </row>
    <row r="210" spans="1:22" ht="15.75" thickBot="1" x14ac:dyDescent="0.3">
      <c r="A210" s="93" t="str">
        <f t="shared" si="16"/>
        <v>Barraqueiro Transportes, S.A. - Estremadura</v>
      </c>
      <c r="B210" s="93" t="s">
        <v>45</v>
      </c>
      <c r="C210" s="82" t="str">
        <f t="shared" si="13"/>
        <v>Estremadura</v>
      </c>
      <c r="D210">
        <v>2023</v>
      </c>
      <c r="E210" s="250" t="s">
        <v>3499</v>
      </c>
      <c r="F210" s="250" t="s">
        <v>3566</v>
      </c>
      <c r="G210" t="s">
        <v>42</v>
      </c>
      <c r="H210" s="82" t="s">
        <v>42</v>
      </c>
      <c r="I210" s="530">
        <v>160117</v>
      </c>
      <c r="J210" s="425" t="str">
        <f>INDEX(aux!B:B,MATCH(I210,aux!A:A,0))</f>
        <v>Metais ferrosos</v>
      </c>
      <c r="K210" s="433" t="str">
        <f>INDEX(aux!C:C,MATCH(I210,aux!A:A,0))</f>
        <v>Não</v>
      </c>
      <c r="L210" s="536">
        <v>3.02</v>
      </c>
      <c r="M210" s="534" t="s">
        <v>1532</v>
      </c>
      <c r="N210" s="139">
        <f t="shared" si="14"/>
        <v>3020</v>
      </c>
      <c r="O210" s="540" t="s">
        <v>483</v>
      </c>
      <c r="P210" s="231" t="str">
        <f t="shared" si="15"/>
        <v>Reciclagem</v>
      </c>
      <c r="Q210" s="231" t="s">
        <v>1557</v>
      </c>
      <c r="R210" s="231" t="s">
        <v>6569</v>
      </c>
      <c r="S210" s="425" t="s">
        <v>485</v>
      </c>
      <c r="T210" s="429" t="s">
        <v>3171</v>
      </c>
      <c r="U210" s="429" t="s">
        <v>3171</v>
      </c>
      <c r="V210" s="458" t="s">
        <v>6322</v>
      </c>
    </row>
    <row r="211" spans="1:22" ht="15.75" thickBot="1" x14ac:dyDescent="0.3">
      <c r="A211" s="93" t="str">
        <f t="shared" si="16"/>
        <v>Barraqueiro Transportes, S.A. - Estremadura</v>
      </c>
      <c r="B211" s="93" t="s">
        <v>45</v>
      </c>
      <c r="C211" s="82" t="str">
        <f t="shared" si="13"/>
        <v>Estremadura</v>
      </c>
      <c r="D211">
        <v>2023</v>
      </c>
      <c r="E211" s="250" t="s">
        <v>3499</v>
      </c>
      <c r="F211" s="250" t="s">
        <v>3566</v>
      </c>
      <c r="G211" t="s">
        <v>42</v>
      </c>
      <c r="H211" s="82" t="s">
        <v>42</v>
      </c>
      <c r="I211" s="530">
        <v>130208</v>
      </c>
      <c r="J211" s="425" t="str">
        <f>INDEX(aux!B:B,MATCH(I211,aux!A:A,0))</f>
        <v>(*) Outros óleos de motores, transmissões e lubrificação</v>
      </c>
      <c r="K211" s="433" t="str">
        <f>INDEX(aux!C:C,MATCH(I211,aux!A:A,0))</f>
        <v>Sim</v>
      </c>
      <c r="L211" s="536">
        <v>3.319</v>
      </c>
      <c r="M211" s="534" t="s">
        <v>1532</v>
      </c>
      <c r="N211" s="139">
        <f t="shared" si="14"/>
        <v>3319</v>
      </c>
      <c r="O211" s="540" t="s">
        <v>480</v>
      </c>
      <c r="P211" s="231" t="str">
        <f t="shared" si="15"/>
        <v>Reciclagem</v>
      </c>
      <c r="Q211" s="231" t="s">
        <v>1902</v>
      </c>
      <c r="R211" s="231" t="s">
        <v>1877</v>
      </c>
      <c r="S211" s="425" t="s">
        <v>1546</v>
      </c>
      <c r="T211" s="429" t="s">
        <v>3173</v>
      </c>
      <c r="U211" s="429" t="s">
        <v>3174</v>
      </c>
      <c r="V211" s="458" t="s">
        <v>6322</v>
      </c>
    </row>
    <row r="212" spans="1:22" ht="15.75" thickBot="1" x14ac:dyDescent="0.3">
      <c r="A212" s="93" t="str">
        <f t="shared" si="16"/>
        <v>Barraqueiro Transportes, S.A. - Estremadura</v>
      </c>
      <c r="B212" s="93" t="s">
        <v>45</v>
      </c>
      <c r="C212" s="82" t="str">
        <f t="shared" si="13"/>
        <v>Estremadura</v>
      </c>
      <c r="D212">
        <v>2023</v>
      </c>
      <c r="E212" s="250" t="s">
        <v>3499</v>
      </c>
      <c r="F212" s="250" t="s">
        <v>3566</v>
      </c>
      <c r="G212" t="s">
        <v>42</v>
      </c>
      <c r="H212" s="82" t="s">
        <v>42</v>
      </c>
      <c r="I212" s="530">
        <v>150101</v>
      </c>
      <c r="J212" s="425" t="str">
        <f>INDEX(aux!B:B,MATCH(I212,aux!A:A,0))</f>
        <v>Embalagens de papel e cartão</v>
      </c>
      <c r="K212" s="433" t="str">
        <f>INDEX(aux!C:C,MATCH(I212,aux!A:A,0))</f>
        <v>Não</v>
      </c>
      <c r="L212" s="536">
        <v>0.89700000000000002</v>
      </c>
      <c r="M212" s="534" t="s">
        <v>1532</v>
      </c>
      <c r="N212" s="139">
        <f t="shared" si="14"/>
        <v>897</v>
      </c>
      <c r="O212" s="540" t="s">
        <v>483</v>
      </c>
      <c r="P212" s="231" t="str">
        <f t="shared" si="15"/>
        <v>Reciclagem</v>
      </c>
      <c r="Q212" s="231" t="s">
        <v>1904</v>
      </c>
      <c r="R212" s="231" t="s">
        <v>6569</v>
      </c>
      <c r="S212" s="425" t="s">
        <v>485</v>
      </c>
      <c r="T212" s="429" t="s">
        <v>3177</v>
      </c>
      <c r="U212" s="429" t="s">
        <v>3177</v>
      </c>
      <c r="V212" s="458" t="s">
        <v>6322</v>
      </c>
    </row>
    <row r="213" spans="1:22" ht="15.75" thickBot="1" x14ac:dyDescent="0.3">
      <c r="A213" s="93" t="str">
        <f t="shared" si="16"/>
        <v>Barraqueiro Transportes, S.A. - Estremadura</v>
      </c>
      <c r="B213" s="93" t="s">
        <v>45</v>
      </c>
      <c r="C213" s="82" t="str">
        <f t="shared" si="13"/>
        <v>Estremadura</v>
      </c>
      <c r="D213">
        <v>2023</v>
      </c>
      <c r="E213" s="250" t="s">
        <v>3499</v>
      </c>
      <c r="F213" s="250" t="s">
        <v>3566</v>
      </c>
      <c r="G213" t="s">
        <v>42</v>
      </c>
      <c r="H213" s="82" t="s">
        <v>42</v>
      </c>
      <c r="I213" s="530">
        <v>200101</v>
      </c>
      <c r="J213" s="425" t="str">
        <f>INDEX(aux!B:B,MATCH(I213,aux!A:A,0))</f>
        <v xml:space="preserve">Papel e Cartão </v>
      </c>
      <c r="K213" s="433" t="str">
        <f>INDEX(aux!C:C,MATCH(I213,aux!A:A,0))</f>
        <v>Não</v>
      </c>
      <c r="L213" s="536">
        <v>0.9</v>
      </c>
      <c r="M213" s="534" t="s">
        <v>1532</v>
      </c>
      <c r="N213" s="139">
        <f t="shared" si="14"/>
        <v>900</v>
      </c>
      <c r="O213" s="540" t="s">
        <v>483</v>
      </c>
      <c r="P213" s="231" t="str">
        <f t="shared" si="15"/>
        <v>Reciclagem</v>
      </c>
      <c r="Q213" s="231" t="s">
        <v>1904</v>
      </c>
      <c r="R213" s="231" t="s">
        <v>6569</v>
      </c>
      <c r="S213" s="425" t="s">
        <v>485</v>
      </c>
      <c r="T213" s="429" t="s">
        <v>6325</v>
      </c>
      <c r="U213" s="429" t="s">
        <v>45</v>
      </c>
      <c r="V213" s="458" t="s">
        <v>6322</v>
      </c>
    </row>
    <row r="214" spans="1:22" ht="15.75" thickBot="1" x14ac:dyDescent="0.3">
      <c r="A214" s="93" t="str">
        <f t="shared" si="16"/>
        <v>Barraqueiro Transportes, S.A. - Estremadura</v>
      </c>
      <c r="B214" s="93" t="s">
        <v>45</v>
      </c>
      <c r="C214" s="82" t="str">
        <f t="shared" si="13"/>
        <v>Estremadura</v>
      </c>
      <c r="D214">
        <v>2023</v>
      </c>
      <c r="E214" s="250" t="s">
        <v>3499</v>
      </c>
      <c r="F214" s="250" t="s">
        <v>3566</v>
      </c>
      <c r="G214" t="s">
        <v>42</v>
      </c>
      <c r="H214" s="82" t="s">
        <v>42</v>
      </c>
      <c r="I214" s="530">
        <v>160119</v>
      </c>
      <c r="J214" s="425" t="str">
        <f>INDEX(aux!B:B,MATCH(I214,aux!A:A,0))</f>
        <v>Plástico</v>
      </c>
      <c r="K214" s="433" t="str">
        <f>INDEX(aux!C:C,MATCH(I214,aux!A:A,0))</f>
        <v>Não</v>
      </c>
      <c r="L214" s="536">
        <v>0.28399999999999997</v>
      </c>
      <c r="M214" s="534" t="s">
        <v>1532</v>
      </c>
      <c r="N214" s="139">
        <f t="shared" si="14"/>
        <v>284</v>
      </c>
      <c r="O214" s="540" t="s">
        <v>483</v>
      </c>
      <c r="P214" s="231" t="str">
        <f t="shared" si="15"/>
        <v>Reciclagem</v>
      </c>
      <c r="Q214" s="231" t="s">
        <v>1560</v>
      </c>
      <c r="R214" s="231" t="s">
        <v>6569</v>
      </c>
      <c r="S214" s="425" t="s">
        <v>485</v>
      </c>
      <c r="T214" s="429" t="s">
        <v>3177</v>
      </c>
      <c r="U214" s="429" t="s">
        <v>3177</v>
      </c>
      <c r="V214" s="458" t="s">
        <v>6322</v>
      </c>
    </row>
    <row r="215" spans="1:22" ht="15.75" thickBot="1" x14ac:dyDescent="0.3">
      <c r="A215" s="93" t="str">
        <f t="shared" si="16"/>
        <v>Barraqueiro Transportes, S.A. - Estremadura</v>
      </c>
      <c r="B215" s="93" t="s">
        <v>45</v>
      </c>
      <c r="C215" s="82" t="str">
        <f t="shared" si="13"/>
        <v>Estremadura</v>
      </c>
      <c r="D215">
        <v>2023</v>
      </c>
      <c r="E215" s="250" t="s">
        <v>3499</v>
      </c>
      <c r="F215" s="250" t="s">
        <v>3566</v>
      </c>
      <c r="G215" t="s">
        <v>42</v>
      </c>
      <c r="H215" s="82" t="s">
        <v>42</v>
      </c>
      <c r="I215" s="530">
        <v>160708</v>
      </c>
      <c r="J215" s="425" t="str">
        <f>INDEX(aux!B:B,MATCH(I215,aux!A:A,0))</f>
        <v>(*) Resíduos contendo hidrocarbonetos</v>
      </c>
      <c r="K215" s="433" t="str">
        <f>INDEX(aux!C:C,MATCH(I215,aux!A:A,0))</f>
        <v>Sim</v>
      </c>
      <c r="L215" s="536">
        <v>0.4</v>
      </c>
      <c r="M215" s="534" t="s">
        <v>1532</v>
      </c>
      <c r="N215" s="139">
        <f t="shared" si="14"/>
        <v>400</v>
      </c>
      <c r="O215" s="540" t="s">
        <v>507</v>
      </c>
      <c r="P215" s="231" t="str">
        <f t="shared" si="15"/>
        <v>Aterro</v>
      </c>
      <c r="Q215" s="231" t="s">
        <v>1901</v>
      </c>
      <c r="R215" s="231" t="s">
        <v>1892</v>
      </c>
      <c r="S215" s="425" t="s">
        <v>1554</v>
      </c>
      <c r="T215" s="429" t="s">
        <v>6323</v>
      </c>
      <c r="U215" s="429" t="s">
        <v>6324</v>
      </c>
      <c r="V215" s="458" t="s">
        <v>6322</v>
      </c>
    </row>
    <row r="216" spans="1:22" ht="15.75" thickBot="1" x14ac:dyDescent="0.3">
      <c r="A216" s="527" t="str">
        <f t="shared" si="16"/>
        <v>Barraqueiro Transportes, S.A. - Estremadura</v>
      </c>
      <c r="B216" s="527" t="s">
        <v>45</v>
      </c>
      <c r="C216" s="82" t="str">
        <f t="shared" si="13"/>
        <v>Estremadura</v>
      </c>
      <c r="D216">
        <v>2023</v>
      </c>
      <c r="E216" s="250" t="s">
        <v>3499</v>
      </c>
      <c r="F216" s="250" t="s">
        <v>3566</v>
      </c>
      <c r="G216" t="s">
        <v>42</v>
      </c>
      <c r="H216" s="82" t="s">
        <v>42</v>
      </c>
      <c r="I216" s="530">
        <v>200121</v>
      </c>
      <c r="J216" s="425" t="str">
        <f>INDEX(aux!B:B,MATCH(I216,aux!A:A,0))</f>
        <v>(*) Lâmpadas fluorescentes e outros resíduos contendo mercúrio</v>
      </c>
      <c r="K216" s="433" t="str">
        <f>INDEX(aux!C:C,MATCH(I216,aux!A:A,0))</f>
        <v>Sim</v>
      </c>
      <c r="L216" s="536">
        <v>4.2000000000000003E-2</v>
      </c>
      <c r="M216" s="534" t="s">
        <v>1532</v>
      </c>
      <c r="N216" s="139">
        <f t="shared" si="14"/>
        <v>42</v>
      </c>
      <c r="O216" s="540" t="s">
        <v>484</v>
      </c>
      <c r="P216" s="231" t="str">
        <f t="shared" si="15"/>
        <v>Reciclagem</v>
      </c>
      <c r="Q216" s="231" t="s">
        <v>1901</v>
      </c>
      <c r="R216" s="231" t="s">
        <v>1892</v>
      </c>
      <c r="S216" s="425" t="s">
        <v>1553</v>
      </c>
      <c r="T216" s="429" t="s">
        <v>3177</v>
      </c>
      <c r="U216" s="429" t="s">
        <v>3177</v>
      </c>
      <c r="V216" s="458" t="s">
        <v>6322</v>
      </c>
    </row>
    <row r="217" spans="1:22" ht="15.75" thickBot="1" x14ac:dyDescent="0.3">
      <c r="A217" s="527" t="str">
        <f t="shared" si="16"/>
        <v>Barraqueiro Transportes, S.A. - Estremadura</v>
      </c>
      <c r="B217" s="527" t="s">
        <v>45</v>
      </c>
      <c r="C217" s="82" t="str">
        <f t="shared" si="13"/>
        <v>Estremadura</v>
      </c>
      <c r="D217">
        <v>2023</v>
      </c>
      <c r="E217" s="250" t="s">
        <v>3499</v>
      </c>
      <c r="F217" s="250" t="s">
        <v>3566</v>
      </c>
      <c r="G217" t="s">
        <v>42</v>
      </c>
      <c r="H217" s="82" t="s">
        <v>42</v>
      </c>
      <c r="I217" s="530">
        <v>130502</v>
      </c>
      <c r="J217" s="425" t="str">
        <f>INDEX(aux!B:B,MATCH(I217,aux!A:A,0))</f>
        <v>(*) Lamas provenientes dos separadores óleo/água</v>
      </c>
      <c r="K217" s="433" t="str">
        <f>INDEX(aux!C:C,MATCH(I217,aux!A:A,0))</f>
        <v>Sim</v>
      </c>
      <c r="L217" s="536">
        <v>0.105</v>
      </c>
      <c r="M217" s="534" t="s">
        <v>1532</v>
      </c>
      <c r="N217" s="139">
        <f t="shared" si="14"/>
        <v>105</v>
      </c>
      <c r="O217" s="540" t="s">
        <v>509</v>
      </c>
      <c r="P217" s="231" t="str">
        <f t="shared" si="15"/>
        <v>Aterro</v>
      </c>
      <c r="Q217" s="231" t="s">
        <v>1901</v>
      </c>
      <c r="R217" s="231" t="s">
        <v>1892</v>
      </c>
      <c r="S217" s="425" t="s">
        <v>1556</v>
      </c>
      <c r="T217" s="429" t="s">
        <v>3177</v>
      </c>
      <c r="U217" s="429" t="s">
        <v>3177</v>
      </c>
      <c r="V217" s="458" t="s">
        <v>6322</v>
      </c>
    </row>
    <row r="218" spans="1:22" ht="15.75" thickBot="1" x14ac:dyDescent="0.3">
      <c r="A218" s="527" t="str">
        <f t="shared" si="16"/>
        <v>Barraqueiro Transportes, S.A. - Estremadura</v>
      </c>
      <c r="B218" s="527" t="s">
        <v>45</v>
      </c>
      <c r="C218" s="82" t="str">
        <f t="shared" si="13"/>
        <v>Estremadura</v>
      </c>
      <c r="D218">
        <v>2023</v>
      </c>
      <c r="E218" s="250" t="s">
        <v>3499</v>
      </c>
      <c r="F218" s="250" t="s">
        <v>3566</v>
      </c>
      <c r="G218" t="s">
        <v>42</v>
      </c>
      <c r="H218" s="82" t="s">
        <v>42</v>
      </c>
      <c r="I218" s="530">
        <v>160199</v>
      </c>
      <c r="J218" s="425" t="str">
        <f>INDEX(aux!B:B,MATCH(I218,aux!A:A,0))</f>
        <v>Resíduos sem outras especificações</v>
      </c>
      <c r="K218" s="433" t="str">
        <f>INDEX(aux!C:C,MATCH(I218,aux!A:A,0))</f>
        <v>Não</v>
      </c>
      <c r="L218" s="536">
        <v>1.02</v>
      </c>
      <c r="M218" s="534" t="s">
        <v>1532</v>
      </c>
      <c r="N218" s="139">
        <f t="shared" si="14"/>
        <v>1020</v>
      </c>
      <c r="O218" s="540" t="s">
        <v>483</v>
      </c>
      <c r="P218" s="231" t="str">
        <f t="shared" si="15"/>
        <v>Reciclagem</v>
      </c>
      <c r="Q218" s="231" t="s">
        <v>1901</v>
      </c>
      <c r="R218" s="231" t="s">
        <v>1892</v>
      </c>
      <c r="S218" s="425" t="s">
        <v>485</v>
      </c>
      <c r="T218" s="429" t="s">
        <v>3177</v>
      </c>
      <c r="U218" s="429" t="s">
        <v>3177</v>
      </c>
      <c r="V218" s="458" t="s">
        <v>6322</v>
      </c>
    </row>
    <row r="219" spans="1:22" ht="15.75" thickBot="1" x14ac:dyDescent="0.3">
      <c r="A219" s="527" t="str">
        <f t="shared" si="16"/>
        <v>Barraqueiro Transportes, S.A. - Estremadura</v>
      </c>
      <c r="B219" s="527" t="s">
        <v>45</v>
      </c>
      <c r="C219" s="82" t="str">
        <f t="shared" si="13"/>
        <v>Estremadura</v>
      </c>
      <c r="D219">
        <v>2023</v>
      </c>
      <c r="E219" s="250" t="s">
        <v>3499</v>
      </c>
      <c r="F219" s="250" t="s">
        <v>3566</v>
      </c>
      <c r="G219" t="s">
        <v>42</v>
      </c>
      <c r="H219" s="82" t="s">
        <v>42</v>
      </c>
      <c r="I219" s="530">
        <v>150110</v>
      </c>
      <c r="J219" s="425" t="str">
        <f>INDEX(aux!B:B,MATCH(I219,aux!A:A,0))</f>
        <v>(*) Embalagens contendo ou contaminadas por resíduos de substâncias perigosas</v>
      </c>
      <c r="K219" s="433" t="str">
        <f>INDEX(aux!C:C,MATCH(I219,aux!A:A,0))</f>
        <v>Sim</v>
      </c>
      <c r="L219" s="536">
        <v>0.55800000000000005</v>
      </c>
      <c r="M219" s="534" t="s">
        <v>1532</v>
      </c>
      <c r="N219" s="139">
        <f t="shared" si="14"/>
        <v>558</v>
      </c>
      <c r="O219" s="540" t="s">
        <v>484</v>
      </c>
      <c r="P219" s="231" t="str">
        <f t="shared" si="15"/>
        <v>Reciclagem</v>
      </c>
      <c r="Q219" s="231" t="s">
        <v>1901</v>
      </c>
      <c r="R219" s="231" t="s">
        <v>1892</v>
      </c>
      <c r="S219" s="425" t="s">
        <v>1553</v>
      </c>
      <c r="T219" s="429" t="s">
        <v>3177</v>
      </c>
      <c r="U219" s="429" t="s">
        <v>3177</v>
      </c>
      <c r="V219" s="458" t="s">
        <v>6322</v>
      </c>
    </row>
    <row r="220" spans="1:22" ht="15.75" thickBot="1" x14ac:dyDescent="0.3">
      <c r="A220" s="527" t="str">
        <f t="shared" si="16"/>
        <v>Barraqueiro Transportes, S.A. - Estremadura</v>
      </c>
      <c r="B220" s="527" t="s">
        <v>45</v>
      </c>
      <c r="C220" s="82" t="str">
        <f t="shared" si="13"/>
        <v>Estremadura</v>
      </c>
      <c r="D220">
        <v>2023</v>
      </c>
      <c r="E220" s="250" t="s">
        <v>3499</v>
      </c>
      <c r="F220" s="250" t="s">
        <v>3566</v>
      </c>
      <c r="G220" t="s">
        <v>42</v>
      </c>
      <c r="H220" s="82" t="s">
        <v>42</v>
      </c>
      <c r="I220" s="530">
        <v>150203</v>
      </c>
      <c r="J220" s="425" t="str">
        <f>INDEX(aux!B:B,MATCH(I220,aux!A:A,0))</f>
        <v>Absorventes, materiais filtrantes, panos de limpeza e vestuário de proteção não abrangidos em 15 02 02</v>
      </c>
      <c r="K220" s="433" t="str">
        <f>INDEX(aux!C:C,MATCH(I220,aux!A:A,0))</f>
        <v>Não</v>
      </c>
      <c r="L220" s="536">
        <v>1.6</v>
      </c>
      <c r="M220" s="534" t="s">
        <v>1532</v>
      </c>
      <c r="N220" s="139">
        <f t="shared" si="14"/>
        <v>1600</v>
      </c>
      <c r="O220" s="540" t="s">
        <v>483</v>
      </c>
      <c r="P220" s="231" t="str">
        <f t="shared" si="15"/>
        <v>Reciclagem</v>
      </c>
      <c r="Q220" s="231" t="s">
        <v>1901</v>
      </c>
      <c r="R220" s="231" t="s">
        <v>1892</v>
      </c>
      <c r="S220" s="425" t="s">
        <v>485</v>
      </c>
      <c r="T220" s="429" t="s">
        <v>3177</v>
      </c>
      <c r="U220" s="429" t="s">
        <v>3177</v>
      </c>
      <c r="V220" s="458" t="s">
        <v>6322</v>
      </c>
    </row>
    <row r="221" spans="1:22" ht="15.75" thickBot="1" x14ac:dyDescent="0.3">
      <c r="A221" s="527" t="str">
        <f t="shared" si="16"/>
        <v>Barraqueiro Transportes, S.A. - Estremadura</v>
      </c>
      <c r="B221" s="527" t="s">
        <v>45</v>
      </c>
      <c r="C221" s="82" t="str">
        <f t="shared" si="13"/>
        <v>Estremadura</v>
      </c>
      <c r="D221">
        <v>2023</v>
      </c>
      <c r="E221" s="250" t="s">
        <v>3499</v>
      </c>
      <c r="F221" s="250" t="s">
        <v>3566</v>
      </c>
      <c r="G221" t="s">
        <v>42</v>
      </c>
      <c r="H221" s="82" t="s">
        <v>42</v>
      </c>
      <c r="I221" s="530">
        <v>150202</v>
      </c>
      <c r="J221" s="425" t="str">
        <f>INDEX(aux!B:B,MATCH(I221,aux!A:A,0))</f>
        <v>(*) Absorventes, materiais filtrantes (incluindo filtros de óleo sem outras especificações), panos de limpeza e vestuário de proteção, contaminados por substâncias perigosas</v>
      </c>
      <c r="K221" s="433" t="str">
        <f>INDEX(aux!C:C,MATCH(I221,aux!A:A,0))</f>
        <v>Sim</v>
      </c>
      <c r="L221" s="536">
        <v>0.52</v>
      </c>
      <c r="M221" s="534" t="s">
        <v>1532</v>
      </c>
      <c r="N221" s="139">
        <f t="shared" si="14"/>
        <v>520</v>
      </c>
      <c r="O221" s="540" t="s">
        <v>484</v>
      </c>
      <c r="P221" s="231" t="str">
        <f t="shared" si="15"/>
        <v>Reciclagem</v>
      </c>
      <c r="Q221" s="231" t="s">
        <v>1901</v>
      </c>
      <c r="R221" s="231" t="s">
        <v>1892</v>
      </c>
      <c r="S221" s="425" t="s">
        <v>1553</v>
      </c>
      <c r="T221" s="429" t="s">
        <v>3177</v>
      </c>
      <c r="U221" s="429" t="s">
        <v>3177</v>
      </c>
      <c r="V221" s="458" t="s">
        <v>6322</v>
      </c>
    </row>
    <row r="222" spans="1:22" ht="15.75" thickBot="1" x14ac:dyDescent="0.3">
      <c r="A222" s="527" t="str">
        <f t="shared" si="16"/>
        <v>Barraqueiro Transportes, S.A. - Estremadura</v>
      </c>
      <c r="B222" s="527" t="s">
        <v>45</v>
      </c>
      <c r="C222" s="82" t="str">
        <f t="shared" si="13"/>
        <v>Estremadura</v>
      </c>
      <c r="D222">
        <v>2023</v>
      </c>
      <c r="E222" s="250" t="s">
        <v>3499</v>
      </c>
      <c r="F222" s="250" t="s">
        <v>3566</v>
      </c>
      <c r="G222" t="s">
        <v>42</v>
      </c>
      <c r="H222" s="82" t="s">
        <v>42</v>
      </c>
      <c r="I222" s="530">
        <v>160107</v>
      </c>
      <c r="J222" s="425" t="str">
        <f>INDEX(aux!B:B,MATCH(I222,aux!A:A,0))</f>
        <v>(*) Filtros de óleo</v>
      </c>
      <c r="K222" s="433" t="str">
        <f>INDEX(aux!C:C,MATCH(I222,aux!A:A,0))</f>
        <v>Sim</v>
      </c>
      <c r="L222" s="536">
        <v>0.72799999999999998</v>
      </c>
      <c r="M222" s="534" t="s">
        <v>1532</v>
      </c>
      <c r="N222" s="139">
        <f t="shared" si="14"/>
        <v>728</v>
      </c>
      <c r="O222" s="540" t="s">
        <v>484</v>
      </c>
      <c r="P222" s="231" t="str">
        <f t="shared" si="15"/>
        <v>Reciclagem</v>
      </c>
      <c r="Q222" s="231" t="s">
        <v>1901</v>
      </c>
      <c r="R222" s="231" t="s">
        <v>1892</v>
      </c>
      <c r="S222" s="425" t="s">
        <v>1553</v>
      </c>
      <c r="T222" s="429" t="s">
        <v>3177</v>
      </c>
      <c r="U222" s="429" t="s">
        <v>3177</v>
      </c>
      <c r="V222" s="458" t="s">
        <v>6322</v>
      </c>
    </row>
    <row r="223" spans="1:22" ht="15.75" thickBot="1" x14ac:dyDescent="0.3">
      <c r="A223" s="527" t="str">
        <f t="shared" si="16"/>
        <v>Barraqueiro Transportes, S.A. - Estremadura</v>
      </c>
      <c r="B223" s="527" t="s">
        <v>45</v>
      </c>
      <c r="C223" s="82" t="str">
        <f t="shared" si="13"/>
        <v>Estremadura</v>
      </c>
      <c r="D223">
        <v>2023</v>
      </c>
      <c r="E223" s="250" t="s">
        <v>3499</v>
      </c>
      <c r="F223" s="250" t="s">
        <v>3566</v>
      </c>
      <c r="G223" t="s">
        <v>42</v>
      </c>
      <c r="H223" s="82" t="s">
        <v>42</v>
      </c>
      <c r="I223" s="530">
        <v>200125</v>
      </c>
      <c r="J223" s="425" t="str">
        <f>INDEX(aux!B:B,MATCH(I223,aux!A:A,0))</f>
        <v>Óleos e gorduras alimentares</v>
      </c>
      <c r="K223" s="433" t="str">
        <f>INDEX(aux!C:C,MATCH(I223,aux!A:A,0))</f>
        <v>Não</v>
      </c>
      <c r="L223" s="536">
        <v>0.05</v>
      </c>
      <c r="M223" s="534" t="s">
        <v>1532</v>
      </c>
      <c r="N223" s="139">
        <f t="shared" si="14"/>
        <v>50</v>
      </c>
      <c r="O223" s="540" t="s">
        <v>483</v>
      </c>
      <c r="P223" s="231" t="str">
        <f t="shared" si="15"/>
        <v>Reciclagem</v>
      </c>
      <c r="Q223" s="231" t="s">
        <v>1908</v>
      </c>
      <c r="R223" s="231" t="s">
        <v>1877</v>
      </c>
      <c r="S223" s="425" t="s">
        <v>485</v>
      </c>
      <c r="T223" s="429" t="s">
        <v>6315</v>
      </c>
      <c r="U223" s="429" t="s">
        <v>6326</v>
      </c>
      <c r="V223" s="458" t="s">
        <v>6322</v>
      </c>
    </row>
    <row r="224" spans="1:22" ht="15.75" thickBot="1" x14ac:dyDescent="0.3">
      <c r="A224" s="527" t="str">
        <f t="shared" si="16"/>
        <v>Barraqueiro Transportes, S.A. - Estremadura</v>
      </c>
      <c r="B224" s="527" t="s">
        <v>45</v>
      </c>
      <c r="C224" s="82" t="str">
        <f t="shared" si="13"/>
        <v>Estremadura</v>
      </c>
      <c r="D224">
        <v>2023</v>
      </c>
      <c r="E224" s="250" t="s">
        <v>3499</v>
      </c>
      <c r="F224" s="250" t="s">
        <v>3566</v>
      </c>
      <c r="G224" t="s">
        <v>42</v>
      </c>
      <c r="H224" s="82" t="s">
        <v>42</v>
      </c>
      <c r="I224" s="530">
        <v>160120</v>
      </c>
      <c r="J224" s="425" t="str">
        <f>INDEX(aux!B:B,MATCH(I224,aux!A:A,0))</f>
        <v>Vidro</v>
      </c>
      <c r="K224" s="433" t="str">
        <f>INDEX(aux!C:C,MATCH(I224,aux!A:A,0))</f>
        <v>Não</v>
      </c>
      <c r="L224" s="536">
        <v>0.184</v>
      </c>
      <c r="M224" s="534" t="s">
        <v>1532</v>
      </c>
      <c r="N224" s="139">
        <f t="shared" si="14"/>
        <v>184</v>
      </c>
      <c r="O224" s="540" t="s">
        <v>483</v>
      </c>
      <c r="P224" s="231" t="str">
        <f t="shared" si="15"/>
        <v>Reciclagem</v>
      </c>
      <c r="Q224" s="231" t="s">
        <v>1561</v>
      </c>
      <c r="R224" s="231" t="s">
        <v>6569</v>
      </c>
      <c r="S224" s="425" t="s">
        <v>485</v>
      </c>
      <c r="T224" s="429" t="s">
        <v>3177</v>
      </c>
      <c r="U224" s="429" t="s">
        <v>3177</v>
      </c>
      <c r="V224" s="458" t="s">
        <v>6322</v>
      </c>
    </row>
    <row r="225" spans="1:22" ht="15.75" thickBot="1" x14ac:dyDescent="0.3">
      <c r="A225" s="527" t="str">
        <f t="shared" si="16"/>
        <v>Barraqueiro Transportes, S.A. - Estremadura</v>
      </c>
      <c r="B225" s="527" t="s">
        <v>45</v>
      </c>
      <c r="C225" s="82" t="str">
        <f t="shared" si="13"/>
        <v>Estremadura</v>
      </c>
      <c r="D225">
        <v>2023</v>
      </c>
      <c r="E225" s="250" t="s">
        <v>3499</v>
      </c>
      <c r="F225" s="250" t="s">
        <v>3566</v>
      </c>
      <c r="G225" t="s">
        <v>42</v>
      </c>
      <c r="H225" s="82" t="s">
        <v>42</v>
      </c>
      <c r="I225" s="530">
        <v>200102</v>
      </c>
      <c r="J225" s="425" t="str">
        <f>INDEX(aux!B:B,MATCH(I225,aux!A:A,0))</f>
        <v>Vidro</v>
      </c>
      <c r="K225" s="433" t="str">
        <f>INDEX(aux!C:C,MATCH(I225,aux!A:A,0))</f>
        <v>Não</v>
      </c>
      <c r="L225" s="536">
        <v>0.83499999999999996</v>
      </c>
      <c r="M225" s="534" t="s">
        <v>1532</v>
      </c>
      <c r="N225" s="139">
        <f t="shared" si="14"/>
        <v>835</v>
      </c>
      <c r="O225" s="540" t="s">
        <v>483</v>
      </c>
      <c r="P225" s="231" t="str">
        <f t="shared" si="15"/>
        <v>Reciclagem</v>
      </c>
      <c r="Q225" s="231" t="s">
        <v>1561</v>
      </c>
      <c r="R225" s="231" t="s">
        <v>6569</v>
      </c>
      <c r="S225" s="425" t="s">
        <v>485</v>
      </c>
      <c r="T225" s="429" t="s">
        <v>3177</v>
      </c>
      <c r="U225" s="429" t="s">
        <v>3177</v>
      </c>
      <c r="V225" s="458" t="s">
        <v>6322</v>
      </c>
    </row>
    <row r="226" spans="1:22" ht="15.75" hidden="1" thickBot="1" x14ac:dyDescent="0.3">
      <c r="A226" s="114" t="s">
        <v>3470</v>
      </c>
      <c r="B226" s="424" t="s">
        <v>45</v>
      </c>
      <c r="C226" s="82" t="str">
        <f t="shared" si="13"/>
        <v>Mafrense</v>
      </c>
      <c r="D226">
        <v>2022</v>
      </c>
      <c r="E226" s="250" t="s">
        <v>3499</v>
      </c>
      <c r="F226" s="250" t="s">
        <v>3566</v>
      </c>
      <c r="G226" t="s">
        <v>42</v>
      </c>
      <c r="H226" s="82" t="s">
        <v>34</v>
      </c>
      <c r="I226" s="525">
        <v>160601</v>
      </c>
      <c r="J226" s="425" t="str">
        <f>INDEX(aux!B:B,MATCH(I226,aux!A:A,0))</f>
        <v>(*) Acumuladores de chumbo</v>
      </c>
      <c r="K226" s="433" t="str">
        <f>INDEX(aux!C:C,MATCH(I226,aux!A:A,0))</f>
        <v>Sim</v>
      </c>
      <c r="L226" s="537">
        <v>0.6</v>
      </c>
      <c r="M226" s="539" t="s">
        <v>1532</v>
      </c>
      <c r="N226" s="139">
        <f t="shared" si="14"/>
        <v>600</v>
      </c>
      <c r="O226" s="539" t="s">
        <v>484</v>
      </c>
      <c r="P226" s="231" t="str">
        <f t="shared" si="15"/>
        <v>Reciclagem</v>
      </c>
      <c r="Q226" s="231" t="s">
        <v>1653</v>
      </c>
      <c r="R226" s="231" t="s">
        <v>1877</v>
      </c>
      <c r="S226" s="114" t="str">
        <f>IFERROR(INDEX(Tabela3[Tipos de Tratamento],MATCH('A3.9.1 copy'!O111,Tabela3[Código],0)),"")</f>
        <v xml:space="preserve">Troca de resíduos com vista a submetê-los a uma das operações enumeradas de R 1 a R 11 </v>
      </c>
      <c r="T226" s="543" t="s">
        <v>1558</v>
      </c>
      <c r="U226" s="543" t="s">
        <v>1559</v>
      </c>
      <c r="V226" s="528"/>
    </row>
    <row r="227" spans="1:22" ht="15.75" hidden="1" thickBot="1" x14ac:dyDescent="0.3">
      <c r="A227" s="114" t="s">
        <v>3470</v>
      </c>
      <c r="B227" s="424" t="s">
        <v>45</v>
      </c>
      <c r="C227" s="82" t="str">
        <f t="shared" si="13"/>
        <v>Mafrense</v>
      </c>
      <c r="D227">
        <v>2022</v>
      </c>
      <c r="E227" s="250" t="s">
        <v>3499</v>
      </c>
      <c r="F227" s="250" t="s">
        <v>3566</v>
      </c>
      <c r="G227" t="s">
        <v>42</v>
      </c>
      <c r="H227" s="82" t="s">
        <v>34</v>
      </c>
      <c r="I227" s="525">
        <v>200136</v>
      </c>
      <c r="J227" s="425" t="str">
        <f>INDEX(aux!B:B,MATCH(I227,aux!A:A,0))</f>
        <v>Equipamento elétrico e eletrónico fora de uso não abrangido em 20 01 21, 20 01 23 ou 20 01 35</v>
      </c>
      <c r="K227" s="433" t="str">
        <f>INDEX(aux!C:C,MATCH(I227,aux!A:A,0))</f>
        <v>Não</v>
      </c>
      <c r="L227" s="537">
        <v>0.14799999999999999</v>
      </c>
      <c r="M227" s="539" t="s">
        <v>1532</v>
      </c>
      <c r="N227" s="139">
        <f t="shared" si="14"/>
        <v>148</v>
      </c>
      <c r="O227" s="539" t="s">
        <v>483</v>
      </c>
      <c r="P227" s="231" t="str">
        <f t="shared" si="15"/>
        <v>Reciclagem</v>
      </c>
      <c r="Q227" s="231" t="s">
        <v>1909</v>
      </c>
      <c r="R227" s="231" t="s">
        <v>1877</v>
      </c>
      <c r="S227" s="114" t="str">
        <f>IFERROR(INDEX(Tabela3[Tipos de Tratamento],MATCH('A3.9.1 copy'!O114,Tabela3[Código],0)),"")</f>
        <v xml:space="preserve">Troca de resíduos com vista a submetê-los a uma das operações enumeradas de R 1 a R 11 </v>
      </c>
      <c r="T227" s="543" t="s">
        <v>1538</v>
      </c>
      <c r="U227" s="543" t="s">
        <v>1539</v>
      </c>
      <c r="V227" s="528"/>
    </row>
    <row r="228" spans="1:22" ht="15.75" hidden="1" thickBot="1" x14ac:dyDescent="0.3">
      <c r="A228" s="114" t="s">
        <v>3470</v>
      </c>
      <c r="B228" s="424" t="s">
        <v>45</v>
      </c>
      <c r="C228" s="82" t="str">
        <f t="shared" si="13"/>
        <v>Mafrense</v>
      </c>
      <c r="D228">
        <v>2022</v>
      </c>
      <c r="E228" s="250" t="s">
        <v>3499</v>
      </c>
      <c r="F228" s="250" t="s">
        <v>3566</v>
      </c>
      <c r="G228" t="s">
        <v>42</v>
      </c>
      <c r="H228" s="82" t="s">
        <v>34</v>
      </c>
      <c r="I228" s="525">
        <v>160117</v>
      </c>
      <c r="J228" s="425" t="str">
        <f>INDEX(aux!B:B,MATCH(I228,aux!A:A,0))</f>
        <v>Metais ferrosos</v>
      </c>
      <c r="K228" s="433" t="str">
        <f>INDEX(aux!C:C,MATCH(I228,aux!A:A,0))</f>
        <v>Não</v>
      </c>
      <c r="L228" s="537">
        <v>5.46</v>
      </c>
      <c r="M228" s="539" t="s">
        <v>1532</v>
      </c>
      <c r="N228" s="139">
        <f t="shared" si="14"/>
        <v>5460</v>
      </c>
      <c r="O228" s="539" t="s">
        <v>483</v>
      </c>
      <c r="P228" s="231" t="str">
        <f t="shared" si="15"/>
        <v>Reciclagem</v>
      </c>
      <c r="Q228" s="231" t="s">
        <v>1557</v>
      </c>
      <c r="R228" s="231" t="s">
        <v>1903</v>
      </c>
      <c r="S228" s="114" t="str">
        <f>IFERROR(INDEX(Tabela3[Tipos de Tratamento],MATCH('A3.9.1 copy'!O108,Tabela3[Código],0)),"")</f>
        <v>Armazenagem enquanto se aguarda a execução de uma das operações enumeradas de D1 a D14</v>
      </c>
      <c r="T228" s="543" t="s">
        <v>1595</v>
      </c>
      <c r="U228" s="543" t="s">
        <v>1596</v>
      </c>
      <c r="V228" s="528"/>
    </row>
    <row r="229" spans="1:22" ht="15.75" hidden="1" thickBot="1" x14ac:dyDescent="0.3">
      <c r="A229" s="114" t="s">
        <v>3470</v>
      </c>
      <c r="B229" s="424" t="s">
        <v>45</v>
      </c>
      <c r="C229" s="82" t="str">
        <f t="shared" si="13"/>
        <v>Mafrense</v>
      </c>
      <c r="D229">
        <v>2022</v>
      </c>
      <c r="E229" s="250" t="s">
        <v>3499</v>
      </c>
      <c r="F229" s="250" t="s">
        <v>3566</v>
      </c>
      <c r="G229" t="s">
        <v>42</v>
      </c>
      <c r="H229" s="82" t="s">
        <v>34</v>
      </c>
      <c r="I229" s="525">
        <v>150111</v>
      </c>
      <c r="J229" s="425" t="str">
        <f>INDEX(aux!B:B,MATCH(I229,aux!A:A,0))</f>
        <v>(*) Embalagens de metal, incluindo recipientes vazios sob pressão, contendo uma matriz porosa sólida perigosa (por exemplo, amianto)</v>
      </c>
      <c r="K229" s="433" t="str">
        <f>INDEX(aux!C:C,MATCH(I229,aux!A:A,0))</f>
        <v>Sim</v>
      </c>
      <c r="L229" s="537">
        <v>1.7999999999999999E-2</v>
      </c>
      <c r="M229" s="539" t="s">
        <v>1532</v>
      </c>
      <c r="N229" s="139">
        <f t="shared" si="14"/>
        <v>18</v>
      </c>
      <c r="O229" s="539" t="s">
        <v>484</v>
      </c>
      <c r="P229" s="231" t="str">
        <f t="shared" si="15"/>
        <v>Reciclagem</v>
      </c>
      <c r="Q229" s="231" t="s">
        <v>1906</v>
      </c>
      <c r="R229" s="231" t="s">
        <v>1903</v>
      </c>
      <c r="S229" s="114" t="str">
        <f>IFERROR(INDEX(Tabela3[Tipos de Tratamento],MATCH('A3.9.1 copy'!O103,Tabela3[Código],0)),"")</f>
        <v>Acumulação de resíduos destinados a uma das operações enumeradas de R1 a R12</v>
      </c>
      <c r="T229" s="543" t="s">
        <v>1538</v>
      </c>
      <c r="U229" s="543" t="s">
        <v>1539</v>
      </c>
      <c r="V229" s="528"/>
    </row>
    <row r="230" spans="1:22" ht="15.75" hidden="1" thickBot="1" x14ac:dyDescent="0.3">
      <c r="A230" s="114" t="s">
        <v>3470</v>
      </c>
      <c r="B230" s="424" t="s">
        <v>45</v>
      </c>
      <c r="C230" s="82" t="str">
        <f t="shared" si="13"/>
        <v>Mafrense</v>
      </c>
      <c r="D230">
        <v>2022</v>
      </c>
      <c r="E230" s="250" t="s">
        <v>3499</v>
      </c>
      <c r="F230" s="250" t="s">
        <v>3566</v>
      </c>
      <c r="G230" t="s">
        <v>42</v>
      </c>
      <c r="H230" s="82" t="s">
        <v>34</v>
      </c>
      <c r="I230" s="525">
        <v>130208</v>
      </c>
      <c r="J230" s="425" t="str">
        <f>INDEX(aux!B:B,MATCH(I230,aux!A:A,0))</f>
        <v>(*) Outros óleos de motores, transmissões e lubrificação</v>
      </c>
      <c r="K230" s="433" t="str">
        <f>INDEX(aux!C:C,MATCH(I230,aux!A:A,0))</f>
        <v>Sim</v>
      </c>
      <c r="L230" s="537">
        <v>3.448</v>
      </c>
      <c r="M230" s="539" t="s">
        <v>1532</v>
      </c>
      <c r="N230" s="139">
        <f t="shared" si="14"/>
        <v>3448</v>
      </c>
      <c r="O230" s="539" t="s">
        <v>480</v>
      </c>
      <c r="P230" s="231" t="str">
        <f t="shared" si="15"/>
        <v>Reciclagem</v>
      </c>
      <c r="Q230" s="231" t="s">
        <v>1902</v>
      </c>
      <c r="R230" s="231" t="s">
        <v>1877</v>
      </c>
      <c r="S230" s="114" t="str">
        <f>IFERROR(INDEX(Tabela3[Tipos de Tratamento],MATCH('A3.9.1 copy'!O98,Tabela3[Código],0)),"")</f>
        <v xml:space="preserve">Troca de resíduos com vista a submetê-los a uma das operações enumeradas de R 1 a R 11 </v>
      </c>
      <c r="T230" s="543" t="s">
        <v>1535</v>
      </c>
      <c r="U230" s="543" t="s">
        <v>1536</v>
      </c>
      <c r="V230" s="528"/>
    </row>
    <row r="231" spans="1:22" ht="15.75" hidden="1" thickBot="1" x14ac:dyDescent="0.3">
      <c r="A231" s="114" t="s">
        <v>3470</v>
      </c>
      <c r="B231" s="424" t="s">
        <v>45</v>
      </c>
      <c r="C231" s="82" t="str">
        <f t="shared" si="13"/>
        <v>Mafrense</v>
      </c>
      <c r="D231">
        <v>2022</v>
      </c>
      <c r="E231" s="250" t="s">
        <v>3499</v>
      </c>
      <c r="F231" s="250" t="s">
        <v>3566</v>
      </c>
      <c r="G231" t="s">
        <v>42</v>
      </c>
      <c r="H231" s="82" t="s">
        <v>34</v>
      </c>
      <c r="I231" s="525">
        <v>200101</v>
      </c>
      <c r="J231" s="425" t="str">
        <f>INDEX(aux!B:B,MATCH(I231,aux!A:A,0))</f>
        <v xml:space="preserve">Papel e Cartão </v>
      </c>
      <c r="K231" s="433" t="str">
        <f>INDEX(aux!C:C,MATCH(I231,aux!A:A,0))</f>
        <v>Não</v>
      </c>
      <c r="L231" s="537">
        <v>1.2</v>
      </c>
      <c r="M231" s="539" t="s">
        <v>1532</v>
      </c>
      <c r="N231" s="139">
        <f t="shared" si="14"/>
        <v>1200</v>
      </c>
      <c r="O231" s="539" t="s">
        <v>483</v>
      </c>
      <c r="P231" s="231" t="str">
        <f t="shared" si="15"/>
        <v>Reciclagem</v>
      </c>
      <c r="Q231" s="231" t="s">
        <v>1904</v>
      </c>
      <c r="R231" s="231" t="s">
        <v>1903</v>
      </c>
      <c r="S231" s="114" t="str">
        <f>IFERROR(INDEX(Tabela3[Tipos de Tratamento],MATCH('A3.9.1 copy'!O112,Tabela3[Código],0)),"")</f>
        <v xml:space="preserve">Troca de resíduos com vista a submetê-los a uma das operações enumeradas de R 1 a R 11 </v>
      </c>
      <c r="T231" s="543" t="s">
        <v>1540</v>
      </c>
      <c r="U231" s="543" t="s">
        <v>1541</v>
      </c>
      <c r="V231" s="528"/>
    </row>
    <row r="232" spans="1:22" ht="15.75" hidden="1" thickBot="1" x14ac:dyDescent="0.3">
      <c r="A232" s="114" t="s">
        <v>3470</v>
      </c>
      <c r="B232" s="424" t="s">
        <v>45</v>
      </c>
      <c r="C232" s="82" t="str">
        <f t="shared" si="13"/>
        <v>Mafrense</v>
      </c>
      <c r="D232">
        <v>2022</v>
      </c>
      <c r="E232" s="250" t="s">
        <v>3499</v>
      </c>
      <c r="F232" s="250" t="s">
        <v>3566</v>
      </c>
      <c r="G232" t="s">
        <v>42</v>
      </c>
      <c r="H232" s="82" t="s">
        <v>34</v>
      </c>
      <c r="I232" s="525">
        <v>80317</v>
      </c>
      <c r="J232" s="425" t="str">
        <f>INDEX(aux!B:B,MATCH(I232,aux!A:A,0))</f>
        <v>(*) Resíduos de toner de impressão, contendo substâncias perigosas</v>
      </c>
      <c r="K232" s="433" t="str">
        <f>INDEX(aux!C:C,MATCH(I232,aux!A:A,0))</f>
        <v>Sim</v>
      </c>
      <c r="L232" s="537">
        <v>1.2999999999999999E-2</v>
      </c>
      <c r="M232" s="539" t="s">
        <v>1532</v>
      </c>
      <c r="N232" s="139">
        <f t="shared" si="14"/>
        <v>13</v>
      </c>
      <c r="O232" s="539" t="s">
        <v>484</v>
      </c>
      <c r="P232" s="231" t="str">
        <f t="shared" si="15"/>
        <v>Reciclagem</v>
      </c>
      <c r="Q232" s="231" t="s">
        <v>1901</v>
      </c>
      <c r="R232" s="231" t="s">
        <v>1892</v>
      </c>
      <c r="S232" s="114" t="str">
        <f>IFERROR(INDEX(Tabela3[Tipos de Tratamento],MATCH('A3.9.1 copy'!O97,Tabela3[Código],0)),"")</f>
        <v>Acumulação de resíduos destinados a uma das operações enumeradas de R1 a R12</v>
      </c>
      <c r="T232" s="543" t="s">
        <v>1538</v>
      </c>
      <c r="U232" s="543" t="s">
        <v>1539</v>
      </c>
      <c r="V232" s="528"/>
    </row>
    <row r="233" spans="1:22" ht="15.75" hidden="1" thickBot="1" x14ac:dyDescent="0.3">
      <c r="A233" s="114" t="s">
        <v>3470</v>
      </c>
      <c r="B233" s="424" t="s">
        <v>45</v>
      </c>
      <c r="C233" s="82" t="str">
        <f t="shared" si="13"/>
        <v>Mafrense</v>
      </c>
      <c r="D233">
        <v>2022</v>
      </c>
      <c r="E233" s="250" t="s">
        <v>3499</v>
      </c>
      <c r="F233" s="250" t="s">
        <v>3566</v>
      </c>
      <c r="G233" t="s">
        <v>42</v>
      </c>
      <c r="H233" s="82" t="s">
        <v>34</v>
      </c>
      <c r="I233" s="525">
        <v>130502</v>
      </c>
      <c r="J233" s="425" t="str">
        <f>INDEX(aux!B:B,MATCH(I233,aux!A:A,0))</f>
        <v>(*) Lamas provenientes dos separadores óleo/água</v>
      </c>
      <c r="K233" s="433" t="str">
        <f>INDEX(aux!C:C,MATCH(I233,aux!A:A,0))</f>
        <v>Sim</v>
      </c>
      <c r="L233" s="537">
        <v>5.88</v>
      </c>
      <c r="M233" s="539" t="s">
        <v>1532</v>
      </c>
      <c r="N233" s="139">
        <f t="shared" si="14"/>
        <v>5880</v>
      </c>
      <c r="O233" s="665" t="s">
        <v>503</v>
      </c>
      <c r="P233" s="231" t="str">
        <f t="shared" si="15"/>
        <v>Aterro</v>
      </c>
      <c r="Q233" s="231" t="s">
        <v>1901</v>
      </c>
      <c r="R233" s="231" t="s">
        <v>1892</v>
      </c>
      <c r="S233" s="115" t="str">
        <f>IFERROR(INDEX(Tabela3[Tipos de Tratamento],MATCH('A3.9.1 copy'!O99,Tabela3[Código],0)),"")</f>
        <v xml:space="preserve">Troca de resíduos com vista a submetê-los a uma das operações enumeradas de R 1 a R 11 </v>
      </c>
      <c r="T233" s="543" t="s">
        <v>1570</v>
      </c>
      <c r="U233" s="543" t="s">
        <v>1571</v>
      </c>
      <c r="V233" s="668"/>
    </row>
    <row r="234" spans="1:22" ht="15.75" hidden="1" thickBot="1" x14ac:dyDescent="0.3">
      <c r="A234" s="114" t="s">
        <v>3470</v>
      </c>
      <c r="B234" s="424" t="s">
        <v>45</v>
      </c>
      <c r="C234" s="82" t="str">
        <f t="shared" si="13"/>
        <v>Mafrense</v>
      </c>
      <c r="D234">
        <v>2022</v>
      </c>
      <c r="E234" s="250" t="s">
        <v>3499</v>
      </c>
      <c r="F234" s="250" t="s">
        <v>3566</v>
      </c>
      <c r="G234" t="s">
        <v>42</v>
      </c>
      <c r="H234" s="82" t="s">
        <v>34</v>
      </c>
      <c r="I234" s="525">
        <v>130507</v>
      </c>
      <c r="J234" s="425" t="str">
        <f>INDEX(aux!B:B,MATCH(I234,aux!A:A,0))</f>
        <v>(*) Água com óleo proveniente dos separadores óleo/água</v>
      </c>
      <c r="K234" s="433" t="str">
        <f>INDEX(aux!C:C,MATCH(I234,aux!A:A,0))</f>
        <v>Sim</v>
      </c>
      <c r="L234" s="537">
        <v>5.68</v>
      </c>
      <c r="M234" s="539" t="s">
        <v>1532</v>
      </c>
      <c r="N234" s="139">
        <f t="shared" si="14"/>
        <v>5680</v>
      </c>
      <c r="O234" s="539" t="s">
        <v>483</v>
      </c>
      <c r="P234" s="231" t="str">
        <f t="shared" si="15"/>
        <v>Reciclagem</v>
      </c>
      <c r="Q234" s="231" t="s">
        <v>1901</v>
      </c>
      <c r="R234" s="231" t="s">
        <v>1892</v>
      </c>
      <c r="S234" s="114" t="str">
        <f>IFERROR(INDEX(Tabela3[Tipos de Tratamento],MATCH('A3.9.1 copy'!O100,Tabela3[Código],0)),"")</f>
        <v xml:space="preserve">Troca de resíduos com vista a submetê-los a uma das operações enumeradas de R 1 a R 11 </v>
      </c>
      <c r="T234" s="543" t="s">
        <v>1570</v>
      </c>
      <c r="U234" s="543" t="s">
        <v>1571</v>
      </c>
      <c r="V234" s="528"/>
    </row>
    <row r="235" spans="1:22" ht="15.75" hidden="1" thickBot="1" x14ac:dyDescent="0.3">
      <c r="A235" s="114" t="s">
        <v>3470</v>
      </c>
      <c r="B235" s="424" t="s">
        <v>45</v>
      </c>
      <c r="C235" s="82" t="str">
        <f t="shared" si="13"/>
        <v>Mafrense</v>
      </c>
      <c r="D235">
        <v>2022</v>
      </c>
      <c r="E235" s="250" t="s">
        <v>3499</v>
      </c>
      <c r="F235" s="250" t="s">
        <v>3566</v>
      </c>
      <c r="G235" t="s">
        <v>42</v>
      </c>
      <c r="H235" s="82" t="s">
        <v>34</v>
      </c>
      <c r="I235" s="525">
        <v>140603</v>
      </c>
      <c r="J235" s="425" t="str">
        <f>INDEX(aux!B:B,MATCH(I235,aux!A:A,0))</f>
        <v>Outros solventes e misturas de solventes</v>
      </c>
      <c r="K235" s="433" t="str">
        <f>INDEX(aux!C:C,MATCH(I235,aux!A:A,0))</f>
        <v>Sim</v>
      </c>
      <c r="L235" s="537">
        <v>0.16400000000000001</v>
      </c>
      <c r="M235" s="539" t="s">
        <v>1532</v>
      </c>
      <c r="N235" s="139">
        <f t="shared" si="14"/>
        <v>164</v>
      </c>
      <c r="O235" s="539" t="s">
        <v>484</v>
      </c>
      <c r="P235" s="231" t="str">
        <f t="shared" si="15"/>
        <v>Reciclagem</v>
      </c>
      <c r="Q235" s="231" t="s">
        <v>1901</v>
      </c>
      <c r="R235" s="231" t="s">
        <v>1892</v>
      </c>
      <c r="S235" s="114" t="str">
        <f>IFERROR(INDEX(Tabela3[Tipos de Tratamento],MATCH('A3.9.1 copy'!O101,Tabela3[Código],0)),"")</f>
        <v xml:space="preserve">Troca de resíduos com vista a submetê-los a uma das operações enumeradas de R 1 a R 11 </v>
      </c>
      <c r="T235" s="543" t="s">
        <v>1538</v>
      </c>
      <c r="U235" s="543" t="s">
        <v>1539</v>
      </c>
      <c r="V235" s="528"/>
    </row>
    <row r="236" spans="1:22" ht="15.75" hidden="1" thickBot="1" x14ac:dyDescent="0.3">
      <c r="A236" s="114" t="s">
        <v>3470</v>
      </c>
      <c r="B236" s="424" t="s">
        <v>45</v>
      </c>
      <c r="C236" s="82" t="str">
        <f t="shared" si="13"/>
        <v>Mafrense</v>
      </c>
      <c r="D236">
        <v>2022</v>
      </c>
      <c r="E236" s="250" t="s">
        <v>3499</v>
      </c>
      <c r="F236" s="250" t="s">
        <v>3566</v>
      </c>
      <c r="G236" t="s">
        <v>42</v>
      </c>
      <c r="H236" s="82" t="s">
        <v>34</v>
      </c>
      <c r="I236" s="525">
        <v>150110</v>
      </c>
      <c r="J236" s="425" t="str">
        <f>INDEX(aux!B:B,MATCH(I236,aux!A:A,0))</f>
        <v>(*) Embalagens contendo ou contaminadas por resíduos de substâncias perigosas</v>
      </c>
      <c r="K236" s="433" t="str">
        <f>INDEX(aux!C:C,MATCH(I236,aux!A:A,0))</f>
        <v>Sim</v>
      </c>
      <c r="L236" s="537">
        <v>7.1999999999999995E-2</v>
      </c>
      <c r="M236" s="539" t="s">
        <v>1532</v>
      </c>
      <c r="N236" s="139">
        <f t="shared" si="14"/>
        <v>72</v>
      </c>
      <c r="O236" s="539" t="s">
        <v>484</v>
      </c>
      <c r="P236" s="231" t="str">
        <f t="shared" si="15"/>
        <v>Reciclagem</v>
      </c>
      <c r="Q236" s="231" t="s">
        <v>1901</v>
      </c>
      <c r="R236" s="231" t="s">
        <v>1892</v>
      </c>
      <c r="S236" s="114" t="str">
        <f>IFERROR(INDEX(Tabela3[Tipos de Tratamento],MATCH('A3.9.1 copy'!O102,Tabela3[Código],0)),"")</f>
        <v xml:space="preserve">Troca de resíduos com vista a submetê-los a uma das operações enumeradas de R 1 a R 11 </v>
      </c>
      <c r="T236" s="543" t="s">
        <v>1538</v>
      </c>
      <c r="U236" s="543" t="s">
        <v>1539</v>
      </c>
      <c r="V236" s="528"/>
    </row>
    <row r="237" spans="1:22" ht="15.75" hidden="1" thickBot="1" x14ac:dyDescent="0.3">
      <c r="A237" s="114" t="s">
        <v>3470</v>
      </c>
      <c r="B237" s="424" t="s">
        <v>45</v>
      </c>
      <c r="C237" s="82" t="str">
        <f t="shared" si="13"/>
        <v>Mafrense</v>
      </c>
      <c r="D237">
        <v>2022</v>
      </c>
      <c r="E237" s="250" t="s">
        <v>3499</v>
      </c>
      <c r="F237" s="250" t="s">
        <v>3566</v>
      </c>
      <c r="G237" t="s">
        <v>42</v>
      </c>
      <c r="H237" s="82" t="s">
        <v>34</v>
      </c>
      <c r="I237" s="525">
        <v>150202</v>
      </c>
      <c r="J237" s="425" t="str">
        <f>INDEX(aux!B:B,MATCH(I237,aux!A:A,0))</f>
        <v>(*) Absorventes, materiais filtrantes (incluindo filtros de óleo sem outras especificações), panos de limpeza e vestuário de proteção, contaminados por substâncias perigosas</v>
      </c>
      <c r="K237" s="433" t="str">
        <f>INDEX(aux!C:C,MATCH(I237,aux!A:A,0))</f>
        <v>Sim</v>
      </c>
      <c r="L237" s="537">
        <v>0.36</v>
      </c>
      <c r="M237" s="539" t="s">
        <v>1532</v>
      </c>
      <c r="N237" s="139">
        <f t="shared" si="14"/>
        <v>360</v>
      </c>
      <c r="O237" s="539" t="s">
        <v>484</v>
      </c>
      <c r="P237" s="231" t="str">
        <f t="shared" si="15"/>
        <v>Reciclagem</v>
      </c>
      <c r="Q237" s="231" t="s">
        <v>1901</v>
      </c>
      <c r="R237" s="231" t="s">
        <v>1892</v>
      </c>
      <c r="S237" s="114" t="str">
        <f>IFERROR(INDEX(Tabela3[Tipos de Tratamento],MATCH('A3.9.1 copy'!O104,Tabela3[Código],0)),"")</f>
        <v>Acumulação de resíduos destinados a uma das operações enumeradas de R1 a R12</v>
      </c>
      <c r="T237" s="543" t="s">
        <v>1538</v>
      </c>
      <c r="U237" s="543" t="s">
        <v>1539</v>
      </c>
      <c r="V237" s="528"/>
    </row>
    <row r="238" spans="1:22" ht="15.75" hidden="1" thickBot="1" x14ac:dyDescent="0.3">
      <c r="A238" s="114" t="s">
        <v>3470</v>
      </c>
      <c r="B238" s="424" t="s">
        <v>45</v>
      </c>
      <c r="C238" s="82" t="str">
        <f t="shared" si="13"/>
        <v>Mafrense</v>
      </c>
      <c r="D238">
        <v>2022</v>
      </c>
      <c r="E238" s="250" t="s">
        <v>3499</v>
      </c>
      <c r="F238" s="250" t="s">
        <v>3566</v>
      </c>
      <c r="G238" t="s">
        <v>42</v>
      </c>
      <c r="H238" s="82" t="s">
        <v>34</v>
      </c>
      <c r="I238" s="525">
        <v>150203</v>
      </c>
      <c r="J238" s="425" t="str">
        <f>INDEX(aux!B:B,MATCH(I238,aux!A:A,0))</f>
        <v>Absorventes, materiais filtrantes, panos de limpeza e vestuário de proteção não abrangidos em 15 02 02</v>
      </c>
      <c r="K238" s="433" t="str">
        <f>INDEX(aux!C:C,MATCH(I238,aux!A:A,0))</f>
        <v>Não</v>
      </c>
      <c r="L238" s="537">
        <v>0.2</v>
      </c>
      <c r="M238" s="539" t="s">
        <v>1532</v>
      </c>
      <c r="N238" s="139">
        <f t="shared" si="14"/>
        <v>200</v>
      </c>
      <c r="O238" s="539" t="s">
        <v>483</v>
      </c>
      <c r="P238" s="231" t="str">
        <f t="shared" si="15"/>
        <v>Reciclagem</v>
      </c>
      <c r="Q238" s="231" t="s">
        <v>1901</v>
      </c>
      <c r="R238" s="231" t="s">
        <v>1892</v>
      </c>
      <c r="S238" s="114" t="str">
        <f>IFERROR(INDEX(Tabela3[Tipos de Tratamento],MATCH('A3.9.1 copy'!O105,Tabela3[Código],0)),"")</f>
        <v xml:space="preserve">Troca de resíduos com vista a submetê-los a uma das operações enumeradas de R 1 a R 11 </v>
      </c>
      <c r="T238" s="543" t="s">
        <v>1538</v>
      </c>
      <c r="U238" s="543" t="s">
        <v>1539</v>
      </c>
      <c r="V238" s="528"/>
    </row>
    <row r="239" spans="1:22" ht="15.75" hidden="1" thickBot="1" x14ac:dyDescent="0.3">
      <c r="A239" s="114" t="s">
        <v>3470</v>
      </c>
      <c r="B239" s="424" t="s">
        <v>45</v>
      </c>
      <c r="C239" s="82" t="str">
        <f t="shared" si="13"/>
        <v>Mafrense</v>
      </c>
      <c r="D239">
        <v>2022</v>
      </c>
      <c r="E239" s="250" t="s">
        <v>3499</v>
      </c>
      <c r="F239" s="250" t="s">
        <v>3566</v>
      </c>
      <c r="G239" t="s">
        <v>42</v>
      </c>
      <c r="H239" s="82" t="s">
        <v>34</v>
      </c>
      <c r="I239" s="525">
        <v>160107</v>
      </c>
      <c r="J239" s="425" t="str">
        <f>INDEX(aux!B:B,MATCH(I239,aux!A:A,0))</f>
        <v>(*) Filtros de óleo</v>
      </c>
      <c r="K239" s="433" t="str">
        <f>INDEX(aux!C:C,MATCH(I239,aux!A:A,0))</f>
        <v>Sim</v>
      </c>
      <c r="L239" s="537">
        <v>0.624</v>
      </c>
      <c r="M239" s="539" t="s">
        <v>1532</v>
      </c>
      <c r="N239" s="139">
        <f t="shared" si="14"/>
        <v>624</v>
      </c>
      <c r="O239" s="539" t="s">
        <v>484</v>
      </c>
      <c r="P239" s="231" t="str">
        <f t="shared" si="15"/>
        <v>Reciclagem</v>
      </c>
      <c r="Q239" s="231" t="s">
        <v>1901</v>
      </c>
      <c r="R239" s="231" t="s">
        <v>1892</v>
      </c>
      <c r="S239" s="114" t="str">
        <f>IFERROR(INDEX(Tabela3[Tipos de Tratamento],MATCH('A3.9.1 copy'!O107,Tabela3[Código],0)),"")</f>
        <v>Acumulação de resíduos destinados a uma das operações enumeradas de R1 a R12</v>
      </c>
      <c r="T239" s="543" t="s">
        <v>1538</v>
      </c>
      <c r="U239" s="543" t="s">
        <v>1539</v>
      </c>
      <c r="V239" s="528"/>
    </row>
    <row r="240" spans="1:22" ht="15.75" hidden="1" thickBot="1" x14ac:dyDescent="0.3">
      <c r="A240" s="114" t="s">
        <v>3470</v>
      </c>
      <c r="B240" s="424" t="s">
        <v>45</v>
      </c>
      <c r="C240" s="82" t="str">
        <f t="shared" si="13"/>
        <v>Mafrense</v>
      </c>
      <c r="D240">
        <v>2022</v>
      </c>
      <c r="E240" s="250" t="s">
        <v>3499</v>
      </c>
      <c r="F240" s="250" t="s">
        <v>3566</v>
      </c>
      <c r="G240" t="s">
        <v>42</v>
      </c>
      <c r="H240" s="82" t="s">
        <v>34</v>
      </c>
      <c r="I240" s="525">
        <v>160199</v>
      </c>
      <c r="J240" s="425" t="str">
        <f>INDEX(aux!B:B,MATCH(I240,aux!A:A,0))</f>
        <v>Resíduos sem outras especificações</v>
      </c>
      <c r="K240" s="433" t="str">
        <f>INDEX(aux!C:C,MATCH(I240,aux!A:A,0))</f>
        <v>Não</v>
      </c>
      <c r="L240" s="537">
        <v>0.27</v>
      </c>
      <c r="M240" s="539" t="s">
        <v>1532</v>
      </c>
      <c r="N240" s="139">
        <f t="shared" si="14"/>
        <v>270</v>
      </c>
      <c r="O240" s="539" t="s">
        <v>483</v>
      </c>
      <c r="P240" s="231" t="str">
        <f t="shared" si="15"/>
        <v>Reciclagem</v>
      </c>
      <c r="Q240" s="231" t="s">
        <v>1901</v>
      </c>
      <c r="R240" s="231" t="s">
        <v>1892</v>
      </c>
      <c r="S240" s="114" t="str">
        <f>IFERROR(INDEX(Tabela3[Tipos de Tratamento],MATCH('A3.9.1 copy'!O110,Tabela3[Código],0)),"")</f>
        <v>Armazenagem enquanto se aguarda a execução de uma das operações enumeradas de D1 a D14</v>
      </c>
      <c r="T240" s="543" t="s">
        <v>1538</v>
      </c>
      <c r="U240" s="543" t="s">
        <v>1539</v>
      </c>
      <c r="V240" s="528"/>
    </row>
    <row r="241" spans="1:22" ht="15.75" hidden="1" thickBot="1" x14ac:dyDescent="0.3">
      <c r="A241" s="114" t="s">
        <v>3470</v>
      </c>
      <c r="B241" s="424" t="s">
        <v>45</v>
      </c>
      <c r="C241" s="82" t="str">
        <f t="shared" ref="C241:C304" si="17">IF(A241=B241,"X",RIGHT(A241,LEN(A241)-LEN(B241)-3))</f>
        <v>Mafrense</v>
      </c>
      <c r="D241">
        <v>2022</v>
      </c>
      <c r="E241" s="250" t="s">
        <v>3499</v>
      </c>
      <c r="F241" s="250" t="s">
        <v>3566</v>
      </c>
      <c r="G241" t="s">
        <v>42</v>
      </c>
      <c r="H241" s="82" t="s">
        <v>34</v>
      </c>
      <c r="I241" s="525">
        <v>200121</v>
      </c>
      <c r="J241" s="425" t="str">
        <f>INDEX(aux!B:B,MATCH(I241,aux!A:A,0))</f>
        <v>(*) Lâmpadas fluorescentes e outros resíduos contendo mercúrio</v>
      </c>
      <c r="K241" s="433" t="str">
        <f>INDEX(aux!C:C,MATCH(I241,aux!A:A,0))</f>
        <v>Sim</v>
      </c>
      <c r="L241" s="537">
        <v>1.7999999999999999E-2</v>
      </c>
      <c r="M241" s="539" t="s">
        <v>1532</v>
      </c>
      <c r="N241" s="139">
        <f t="shared" si="14"/>
        <v>18</v>
      </c>
      <c r="O241" s="539" t="s">
        <v>484</v>
      </c>
      <c r="P241" s="231" t="str">
        <f t="shared" si="15"/>
        <v>Reciclagem</v>
      </c>
      <c r="Q241" s="231" t="s">
        <v>1901</v>
      </c>
      <c r="R241" s="231" t="s">
        <v>1892</v>
      </c>
      <c r="S241" s="114" t="str">
        <f>IFERROR(INDEX(Tabela3[Tipos de Tratamento],MATCH('A3.9.1 copy'!O113,Tabela3[Código],0)),"")</f>
        <v>Acumulação de resíduos destinados a uma das operações enumeradas de R1 a R12</v>
      </c>
      <c r="T241" s="543" t="s">
        <v>1538</v>
      </c>
      <c r="U241" s="543" t="s">
        <v>1539</v>
      </c>
      <c r="V241" s="528"/>
    </row>
    <row r="242" spans="1:22" ht="15.75" hidden="1" thickBot="1" x14ac:dyDescent="0.3">
      <c r="A242" s="114" t="s">
        <v>3470</v>
      </c>
      <c r="B242" s="424" t="s">
        <v>45</v>
      </c>
      <c r="C242" s="82" t="str">
        <f t="shared" si="17"/>
        <v>Mafrense</v>
      </c>
      <c r="D242">
        <v>2022</v>
      </c>
      <c r="E242" s="250" t="s">
        <v>3499</v>
      </c>
      <c r="F242" s="250" t="s">
        <v>3566</v>
      </c>
      <c r="G242" t="s">
        <v>42</v>
      </c>
      <c r="H242" s="82" t="s">
        <v>34</v>
      </c>
      <c r="I242" s="525">
        <v>160106</v>
      </c>
      <c r="J242" s="425" t="str">
        <f>INDEX(aux!B:B,MATCH(I242,aux!A:A,0))</f>
        <v>Veículos em fim de vida que não contenham líquidos nem outros componentes perigosos</v>
      </c>
      <c r="K242" s="433" t="str">
        <f>INDEX(aux!C:C,MATCH(I242,aux!A:A,0))</f>
        <v>Não</v>
      </c>
      <c r="L242" s="537">
        <v>12.46</v>
      </c>
      <c r="M242" s="539" t="s">
        <v>1532</v>
      </c>
      <c r="N242" s="139">
        <f t="shared" si="14"/>
        <v>12460</v>
      </c>
      <c r="O242" s="539" t="s">
        <v>483</v>
      </c>
      <c r="P242" s="231" t="str">
        <f t="shared" si="15"/>
        <v>Reciclagem</v>
      </c>
      <c r="Q242" s="231" t="s">
        <v>1907</v>
      </c>
      <c r="R242" s="231" t="s">
        <v>1903</v>
      </c>
      <c r="S242" s="114" t="str">
        <f>IFERROR(INDEX(Tabela3[Tipos de Tratamento],MATCH('A3.9.1 copy'!O106,Tabela3[Código],0)),"")</f>
        <v>Armazenagem enquanto se aguarda a execução de uma das operações enumeradas de D1 a D14</v>
      </c>
      <c r="T242" s="543" t="s">
        <v>1585</v>
      </c>
      <c r="U242" s="543" t="s">
        <v>1594</v>
      </c>
      <c r="V242" s="528"/>
    </row>
    <row r="243" spans="1:22" ht="15.75" hidden="1" thickBot="1" x14ac:dyDescent="0.3">
      <c r="A243" s="114" t="s">
        <v>3470</v>
      </c>
      <c r="B243" s="424" t="s">
        <v>45</v>
      </c>
      <c r="C243" s="82" t="str">
        <f t="shared" si="17"/>
        <v>Mafrense</v>
      </c>
      <c r="D243">
        <v>2022</v>
      </c>
      <c r="E243" s="250" t="s">
        <v>3499</v>
      </c>
      <c r="F243" s="250" t="s">
        <v>3566</v>
      </c>
      <c r="G243" t="s">
        <v>42</v>
      </c>
      <c r="H243" s="82" t="s">
        <v>34</v>
      </c>
      <c r="I243" s="525">
        <v>160120</v>
      </c>
      <c r="J243" s="425" t="str">
        <f>INDEX(aux!B:B,MATCH(I243,aux!A:A,0))</f>
        <v>Vidro</v>
      </c>
      <c r="K243" s="433" t="str">
        <f>INDEX(aux!C:C,MATCH(I243,aux!A:A,0))</f>
        <v>Não</v>
      </c>
      <c r="L243" s="537">
        <v>0.61899999999999999</v>
      </c>
      <c r="M243" s="539" t="s">
        <v>1532</v>
      </c>
      <c r="N243" s="139">
        <f t="shared" si="14"/>
        <v>619</v>
      </c>
      <c r="O243" s="539" t="s">
        <v>483</v>
      </c>
      <c r="P243" s="231" t="str">
        <f t="shared" si="15"/>
        <v>Reciclagem</v>
      </c>
      <c r="Q243" s="231" t="s">
        <v>1561</v>
      </c>
      <c r="R243" s="231" t="s">
        <v>1903</v>
      </c>
      <c r="S243" s="114" t="str">
        <f>IFERROR(INDEX(Tabela3[Tipos de Tratamento],MATCH('A3.9.1 copy'!O109,Tabela3[Código],0)),"")</f>
        <v xml:space="preserve">Troca de resíduos com vista a submetê-los a uma das operações enumeradas de R 1 a R 11 </v>
      </c>
      <c r="T243" s="543" t="s">
        <v>1538</v>
      </c>
      <c r="U243" s="543" t="s">
        <v>1539</v>
      </c>
      <c r="V243" s="528"/>
    </row>
    <row r="244" spans="1:22" ht="15.75" thickBot="1" x14ac:dyDescent="0.3">
      <c r="A244" s="527" t="str">
        <f t="shared" ref="A244:A256" si="18">B244&amp;" - "&amp;V244</f>
        <v>Barraqueiro Transportes, S.A. - Mafrense</v>
      </c>
      <c r="B244" s="527" t="s">
        <v>45</v>
      </c>
      <c r="C244" s="82" t="str">
        <f t="shared" si="17"/>
        <v>Mafrense</v>
      </c>
      <c r="D244">
        <v>2023</v>
      </c>
      <c r="E244" s="250" t="s">
        <v>3499</v>
      </c>
      <c r="F244" s="250" t="s">
        <v>3566</v>
      </c>
      <c r="G244" t="s">
        <v>42</v>
      </c>
      <c r="H244" s="82" t="s">
        <v>42</v>
      </c>
      <c r="I244" s="530">
        <v>200136</v>
      </c>
      <c r="J244" s="425" t="str">
        <f>INDEX(aux!B:B,MATCH(I244,aux!A:A,0))</f>
        <v>Equipamento elétrico e eletrónico fora de uso não abrangido em 20 01 21, 20 01 23 ou 20 01 35</v>
      </c>
      <c r="K244" s="433" t="str">
        <f>INDEX(aux!C:C,MATCH(I244,aux!A:A,0))</f>
        <v>Não</v>
      </c>
      <c r="L244" s="536">
        <v>0.157</v>
      </c>
      <c r="M244" s="534" t="s">
        <v>1532</v>
      </c>
      <c r="N244" s="139">
        <f t="shared" si="14"/>
        <v>157</v>
      </c>
      <c r="O244" s="540" t="s">
        <v>483</v>
      </c>
      <c r="P244" s="231" t="str">
        <f t="shared" si="15"/>
        <v>Reciclagem</v>
      </c>
      <c r="Q244" s="231" t="s">
        <v>1909</v>
      </c>
      <c r="R244" s="231" t="s">
        <v>1877</v>
      </c>
      <c r="S244" s="425" t="s">
        <v>485</v>
      </c>
      <c r="T244" s="429" t="s">
        <v>3177</v>
      </c>
      <c r="U244" s="429" t="s">
        <v>3177</v>
      </c>
      <c r="V244" s="458" t="s">
        <v>6321</v>
      </c>
    </row>
    <row r="245" spans="1:22" ht="15.75" thickBot="1" x14ac:dyDescent="0.3">
      <c r="A245" s="527" t="str">
        <f t="shared" si="18"/>
        <v>Barraqueiro Transportes, S.A. - Mafrense</v>
      </c>
      <c r="B245" s="527" t="s">
        <v>45</v>
      </c>
      <c r="C245" s="82" t="str">
        <f t="shared" si="17"/>
        <v>Mafrense</v>
      </c>
      <c r="D245">
        <v>2023</v>
      </c>
      <c r="E245" s="250" t="s">
        <v>3499</v>
      </c>
      <c r="F245" s="250" t="s">
        <v>3566</v>
      </c>
      <c r="G245" t="s">
        <v>42</v>
      </c>
      <c r="H245" s="82" t="s">
        <v>42</v>
      </c>
      <c r="I245" s="530">
        <v>130208</v>
      </c>
      <c r="J245" s="425" t="str">
        <f>INDEX(aux!B:B,MATCH(I245,aux!A:A,0))</f>
        <v>(*) Outros óleos de motores, transmissões e lubrificação</v>
      </c>
      <c r="K245" s="433" t="str">
        <f>INDEX(aux!C:C,MATCH(I245,aux!A:A,0))</f>
        <v>Sim</v>
      </c>
      <c r="L245" s="536">
        <v>3.3239999999999998</v>
      </c>
      <c r="M245" s="534" t="s">
        <v>1532</v>
      </c>
      <c r="N245" s="139">
        <f t="shared" si="14"/>
        <v>3324</v>
      </c>
      <c r="O245" s="540" t="s">
        <v>480</v>
      </c>
      <c r="P245" s="231" t="str">
        <f t="shared" si="15"/>
        <v>Reciclagem</v>
      </c>
      <c r="Q245" s="231" t="s">
        <v>1902</v>
      </c>
      <c r="R245" s="231" t="s">
        <v>1877</v>
      </c>
      <c r="S245" s="425" t="s">
        <v>1546</v>
      </c>
      <c r="T245" s="429" t="s">
        <v>3173</v>
      </c>
      <c r="U245" s="429" t="s">
        <v>3174</v>
      </c>
      <c r="V245" s="458" t="s">
        <v>6321</v>
      </c>
    </row>
    <row r="246" spans="1:22" ht="15.75" thickBot="1" x14ac:dyDescent="0.3">
      <c r="A246" s="527" t="str">
        <f t="shared" si="18"/>
        <v>Barraqueiro Transportes, S.A. - Mafrense</v>
      </c>
      <c r="B246" s="527" t="s">
        <v>45</v>
      </c>
      <c r="C246" s="82" t="str">
        <f t="shared" si="17"/>
        <v>Mafrense</v>
      </c>
      <c r="D246">
        <v>2023</v>
      </c>
      <c r="E246" s="250" t="s">
        <v>3499</v>
      </c>
      <c r="F246" s="250" t="s">
        <v>3566</v>
      </c>
      <c r="G246" t="s">
        <v>42</v>
      </c>
      <c r="H246" s="82" t="s">
        <v>42</v>
      </c>
      <c r="I246" s="530">
        <v>80317</v>
      </c>
      <c r="J246" s="425" t="str">
        <f>INDEX(aux!B:B,MATCH(I246,aux!A:A,0))</f>
        <v>(*) Resíduos de toner de impressão, contendo substâncias perigosas</v>
      </c>
      <c r="K246" s="433" t="str">
        <f>INDEX(aux!C:C,MATCH(I246,aux!A:A,0))</f>
        <v>Sim</v>
      </c>
      <c r="L246" s="536">
        <v>1.4999999999999999E-2</v>
      </c>
      <c r="M246" s="534" t="s">
        <v>1532</v>
      </c>
      <c r="N246" s="139">
        <f t="shared" si="14"/>
        <v>15</v>
      </c>
      <c r="O246" s="540" t="s">
        <v>484</v>
      </c>
      <c r="P246" s="231" t="str">
        <f t="shared" si="15"/>
        <v>Reciclagem</v>
      </c>
      <c r="Q246" s="231" t="s">
        <v>1901</v>
      </c>
      <c r="R246" s="231" t="s">
        <v>1892</v>
      </c>
      <c r="S246" s="425" t="s">
        <v>1553</v>
      </c>
      <c r="T246" s="429" t="s">
        <v>3177</v>
      </c>
      <c r="U246" s="429" t="s">
        <v>3177</v>
      </c>
      <c r="V246" s="458" t="s">
        <v>6321</v>
      </c>
    </row>
    <row r="247" spans="1:22" ht="15.75" thickBot="1" x14ac:dyDescent="0.3">
      <c r="A247" s="527" t="str">
        <f t="shared" si="18"/>
        <v>Barraqueiro Transportes, S.A. - Mafrense</v>
      </c>
      <c r="B247" s="527" t="s">
        <v>45</v>
      </c>
      <c r="C247" s="82" t="str">
        <f t="shared" si="17"/>
        <v>Mafrense</v>
      </c>
      <c r="D247">
        <v>2023</v>
      </c>
      <c r="E247" s="250" t="s">
        <v>3499</v>
      </c>
      <c r="F247" s="250" t="s">
        <v>3566</v>
      </c>
      <c r="G247" t="s">
        <v>42</v>
      </c>
      <c r="H247" s="82" t="s">
        <v>42</v>
      </c>
      <c r="I247" s="530">
        <v>140603</v>
      </c>
      <c r="J247" s="425" t="str">
        <f>INDEX(aux!B:B,MATCH(I247,aux!A:A,0))</f>
        <v>Outros solventes e misturas de solventes</v>
      </c>
      <c r="K247" s="433" t="str">
        <f>INDEX(aux!C:C,MATCH(I247,aux!A:A,0))</f>
        <v>Sim</v>
      </c>
      <c r="L247" s="536">
        <v>0.32800000000000001</v>
      </c>
      <c r="M247" s="534" t="s">
        <v>1532</v>
      </c>
      <c r="N247" s="139">
        <f t="shared" si="14"/>
        <v>328</v>
      </c>
      <c r="O247" s="540" t="s">
        <v>484</v>
      </c>
      <c r="P247" s="231" t="str">
        <f t="shared" si="15"/>
        <v>Reciclagem</v>
      </c>
      <c r="Q247" s="231" t="s">
        <v>1901</v>
      </c>
      <c r="R247" s="231" t="s">
        <v>1892</v>
      </c>
      <c r="S247" s="425" t="s">
        <v>1553</v>
      </c>
      <c r="T247" s="429" t="s">
        <v>3177</v>
      </c>
      <c r="U247" s="429" t="s">
        <v>3177</v>
      </c>
      <c r="V247" s="458" t="s">
        <v>6321</v>
      </c>
    </row>
    <row r="248" spans="1:22" ht="15.75" thickBot="1" x14ac:dyDescent="0.3">
      <c r="A248" s="527" t="str">
        <f t="shared" si="18"/>
        <v>Barraqueiro Transportes, S.A. - Mafrense</v>
      </c>
      <c r="B248" s="527" t="s">
        <v>45</v>
      </c>
      <c r="C248" s="82" t="str">
        <f t="shared" si="17"/>
        <v>Mafrense</v>
      </c>
      <c r="D248">
        <v>2023</v>
      </c>
      <c r="E248" s="250" t="s">
        <v>3499</v>
      </c>
      <c r="F248" s="250" t="s">
        <v>3566</v>
      </c>
      <c r="G248" t="s">
        <v>42</v>
      </c>
      <c r="H248" s="82" t="s">
        <v>42</v>
      </c>
      <c r="I248" s="530">
        <v>200121</v>
      </c>
      <c r="J248" s="425" t="str">
        <f>INDEX(aux!B:B,MATCH(I248,aux!A:A,0))</f>
        <v>(*) Lâmpadas fluorescentes e outros resíduos contendo mercúrio</v>
      </c>
      <c r="K248" s="433" t="str">
        <f>INDEX(aux!C:C,MATCH(I248,aux!A:A,0))</f>
        <v>Sim</v>
      </c>
      <c r="L248" s="536">
        <v>1.2E-2</v>
      </c>
      <c r="M248" s="534" t="s">
        <v>1532</v>
      </c>
      <c r="N248" s="139">
        <f t="shared" si="14"/>
        <v>12</v>
      </c>
      <c r="O248" s="540" t="s">
        <v>484</v>
      </c>
      <c r="P248" s="231" t="str">
        <f t="shared" si="15"/>
        <v>Reciclagem</v>
      </c>
      <c r="Q248" s="231" t="s">
        <v>1901</v>
      </c>
      <c r="R248" s="231" t="s">
        <v>1892</v>
      </c>
      <c r="S248" s="425" t="s">
        <v>1553</v>
      </c>
      <c r="T248" s="429" t="s">
        <v>3177</v>
      </c>
      <c r="U248" s="429" t="s">
        <v>3177</v>
      </c>
      <c r="V248" s="458" t="s">
        <v>6321</v>
      </c>
    </row>
    <row r="249" spans="1:22" ht="15.75" thickBot="1" x14ac:dyDescent="0.3">
      <c r="A249" s="527" t="str">
        <f t="shared" si="18"/>
        <v>Barraqueiro Transportes, S.A. - Mafrense</v>
      </c>
      <c r="B249" s="527" t="s">
        <v>45</v>
      </c>
      <c r="C249" s="82" t="str">
        <f t="shared" si="17"/>
        <v>Mafrense</v>
      </c>
      <c r="D249">
        <v>2023</v>
      </c>
      <c r="E249" s="250" t="s">
        <v>3499</v>
      </c>
      <c r="F249" s="250" t="s">
        <v>3566</v>
      </c>
      <c r="G249" t="s">
        <v>42</v>
      </c>
      <c r="H249" s="82" t="s">
        <v>42</v>
      </c>
      <c r="I249" s="530">
        <v>130502</v>
      </c>
      <c r="J249" s="425" t="str">
        <f>INDEX(aux!B:B,MATCH(I249,aux!A:A,0))</f>
        <v>(*) Lamas provenientes dos separadores óleo/água</v>
      </c>
      <c r="K249" s="433" t="str">
        <f>INDEX(aux!C:C,MATCH(I249,aux!A:A,0))</f>
        <v>Sim</v>
      </c>
      <c r="L249" s="536">
        <v>3.94</v>
      </c>
      <c r="M249" s="534" t="s">
        <v>1532</v>
      </c>
      <c r="N249" s="139">
        <f t="shared" si="14"/>
        <v>3940</v>
      </c>
      <c r="O249" s="540" t="s">
        <v>503</v>
      </c>
      <c r="P249" s="231" t="str">
        <f t="shared" si="15"/>
        <v>Aterro</v>
      </c>
      <c r="Q249" s="231" t="s">
        <v>1901</v>
      </c>
      <c r="R249" s="231" t="s">
        <v>1892</v>
      </c>
      <c r="S249" s="425" t="s">
        <v>518</v>
      </c>
      <c r="T249" s="429" t="s">
        <v>6258</v>
      </c>
      <c r="U249" s="429" t="s">
        <v>6258</v>
      </c>
      <c r="V249" s="458" t="s">
        <v>6321</v>
      </c>
    </row>
    <row r="250" spans="1:22" ht="15.75" thickBot="1" x14ac:dyDescent="0.3">
      <c r="A250" s="527" t="str">
        <f t="shared" si="18"/>
        <v>Barraqueiro Transportes, S.A. - Mafrense</v>
      </c>
      <c r="B250" s="527" t="s">
        <v>45</v>
      </c>
      <c r="C250" s="82" t="str">
        <f t="shared" si="17"/>
        <v>Mafrense</v>
      </c>
      <c r="D250">
        <v>2023</v>
      </c>
      <c r="E250" s="250" t="s">
        <v>3499</v>
      </c>
      <c r="F250" s="250" t="s">
        <v>3566</v>
      </c>
      <c r="G250" t="s">
        <v>42</v>
      </c>
      <c r="H250" s="82" t="s">
        <v>42</v>
      </c>
      <c r="I250" s="530">
        <v>160199</v>
      </c>
      <c r="J250" s="425" t="str">
        <f>INDEX(aux!B:B,MATCH(I250,aux!A:A,0))</f>
        <v>Resíduos sem outras especificações</v>
      </c>
      <c r="K250" s="433" t="str">
        <f>INDEX(aux!C:C,MATCH(I250,aux!A:A,0))</f>
        <v>Não</v>
      </c>
      <c r="L250" s="536">
        <v>0.10199999999999999</v>
      </c>
      <c r="M250" s="534" t="s">
        <v>1532</v>
      </c>
      <c r="N250" s="139">
        <f t="shared" si="14"/>
        <v>102</v>
      </c>
      <c r="O250" s="540" t="s">
        <v>483</v>
      </c>
      <c r="P250" s="231" t="str">
        <f t="shared" si="15"/>
        <v>Reciclagem</v>
      </c>
      <c r="Q250" s="231" t="s">
        <v>1901</v>
      </c>
      <c r="R250" s="231" t="s">
        <v>1892</v>
      </c>
      <c r="S250" s="425" t="s">
        <v>485</v>
      </c>
      <c r="T250" s="429" t="s">
        <v>3177</v>
      </c>
      <c r="U250" s="429" t="s">
        <v>3177</v>
      </c>
      <c r="V250" s="458" t="s">
        <v>6321</v>
      </c>
    </row>
    <row r="251" spans="1:22" ht="15.75" thickBot="1" x14ac:dyDescent="0.3">
      <c r="A251" s="527" t="str">
        <f t="shared" si="18"/>
        <v>Barraqueiro Transportes, S.A. - Mafrense</v>
      </c>
      <c r="B251" s="527" t="s">
        <v>45</v>
      </c>
      <c r="C251" s="82" t="str">
        <f t="shared" si="17"/>
        <v>Mafrense</v>
      </c>
      <c r="D251">
        <v>2023</v>
      </c>
      <c r="E251" s="250" t="s">
        <v>3499</v>
      </c>
      <c r="F251" s="250" t="s">
        <v>3566</v>
      </c>
      <c r="G251" t="s">
        <v>42</v>
      </c>
      <c r="H251" s="82" t="s">
        <v>42</v>
      </c>
      <c r="I251" s="530">
        <v>130507</v>
      </c>
      <c r="J251" s="425" t="str">
        <f>INDEX(aux!B:B,MATCH(I251,aux!A:A,0))</f>
        <v>(*) Água com óleo proveniente dos separadores óleo/água</v>
      </c>
      <c r="K251" s="433" t="str">
        <f>INDEX(aux!C:C,MATCH(I251,aux!A:A,0))</f>
        <v>Sim</v>
      </c>
      <c r="L251" s="536">
        <v>6.9</v>
      </c>
      <c r="M251" s="534" t="s">
        <v>1532</v>
      </c>
      <c r="N251" s="139">
        <f t="shared" si="14"/>
        <v>6900</v>
      </c>
      <c r="O251" s="540" t="s">
        <v>483</v>
      </c>
      <c r="P251" s="231" t="str">
        <f t="shared" si="15"/>
        <v>Reciclagem</v>
      </c>
      <c r="Q251" s="231" t="s">
        <v>1901</v>
      </c>
      <c r="R251" s="231" t="s">
        <v>1892</v>
      </c>
      <c r="S251" s="425" t="s">
        <v>485</v>
      </c>
      <c r="T251" s="429" t="s">
        <v>6258</v>
      </c>
      <c r="U251" s="429" t="s">
        <v>6258</v>
      </c>
      <c r="V251" s="458" t="s">
        <v>6321</v>
      </c>
    </row>
    <row r="252" spans="1:22" ht="15.75" thickBot="1" x14ac:dyDescent="0.3">
      <c r="A252" s="527" t="str">
        <f t="shared" si="18"/>
        <v>Barraqueiro Transportes, S.A. - Mafrense</v>
      </c>
      <c r="B252" s="527" t="s">
        <v>45</v>
      </c>
      <c r="C252" s="82" t="str">
        <f t="shared" si="17"/>
        <v>Mafrense</v>
      </c>
      <c r="D252">
        <v>2023</v>
      </c>
      <c r="E252" s="250" t="s">
        <v>3499</v>
      </c>
      <c r="F252" s="250" t="s">
        <v>3566</v>
      </c>
      <c r="G252" t="s">
        <v>42</v>
      </c>
      <c r="H252" s="82" t="s">
        <v>42</v>
      </c>
      <c r="I252" s="530">
        <v>150110</v>
      </c>
      <c r="J252" s="425" t="str">
        <f>INDEX(aux!B:B,MATCH(I252,aux!A:A,0))</f>
        <v>(*) Embalagens contendo ou contaminadas por resíduos de substâncias perigosas</v>
      </c>
      <c r="K252" s="433" t="str">
        <f>INDEX(aux!C:C,MATCH(I252,aux!A:A,0))</f>
        <v>Sim</v>
      </c>
      <c r="L252" s="536">
        <v>0.108</v>
      </c>
      <c r="M252" s="534" t="s">
        <v>1532</v>
      </c>
      <c r="N252" s="139">
        <f t="shared" si="14"/>
        <v>108</v>
      </c>
      <c r="O252" s="540" t="s">
        <v>484</v>
      </c>
      <c r="P252" s="231" t="str">
        <f t="shared" si="15"/>
        <v>Reciclagem</v>
      </c>
      <c r="Q252" s="231" t="s">
        <v>1901</v>
      </c>
      <c r="R252" s="231" t="s">
        <v>1892</v>
      </c>
      <c r="S252" s="425" t="s">
        <v>1553</v>
      </c>
      <c r="T252" s="429" t="s">
        <v>3177</v>
      </c>
      <c r="U252" s="429" t="s">
        <v>3177</v>
      </c>
      <c r="V252" s="458" t="s">
        <v>6321</v>
      </c>
    </row>
    <row r="253" spans="1:22" ht="15.75" thickBot="1" x14ac:dyDescent="0.3">
      <c r="A253" s="527" t="str">
        <f t="shared" si="18"/>
        <v>Barraqueiro Transportes, S.A. - Mafrense</v>
      </c>
      <c r="B253" s="527" t="s">
        <v>45</v>
      </c>
      <c r="C253" s="82" t="str">
        <f t="shared" si="17"/>
        <v>Mafrense</v>
      </c>
      <c r="D253">
        <v>2023</v>
      </c>
      <c r="E253" s="250" t="s">
        <v>3499</v>
      </c>
      <c r="F253" s="250" t="s">
        <v>3566</v>
      </c>
      <c r="G253" t="s">
        <v>42</v>
      </c>
      <c r="H253" s="82" t="s">
        <v>42</v>
      </c>
      <c r="I253" s="530">
        <v>150203</v>
      </c>
      <c r="J253" s="425" t="str">
        <f>INDEX(aux!B:B,MATCH(I253,aux!A:A,0))</f>
        <v>Absorventes, materiais filtrantes, panos de limpeza e vestuário de proteção não abrangidos em 15 02 02</v>
      </c>
      <c r="K253" s="433" t="str">
        <f>INDEX(aux!C:C,MATCH(I253,aux!A:A,0))</f>
        <v>Não</v>
      </c>
      <c r="L253" s="536">
        <v>0.24</v>
      </c>
      <c r="M253" s="534" t="s">
        <v>1532</v>
      </c>
      <c r="N253" s="139">
        <f t="shared" si="14"/>
        <v>240</v>
      </c>
      <c r="O253" s="540" t="s">
        <v>483</v>
      </c>
      <c r="P253" s="231" t="str">
        <f t="shared" si="15"/>
        <v>Reciclagem</v>
      </c>
      <c r="Q253" s="231" t="s">
        <v>1901</v>
      </c>
      <c r="R253" s="231" t="s">
        <v>1892</v>
      </c>
      <c r="S253" s="425" t="s">
        <v>485</v>
      </c>
      <c r="T253" s="429" t="s">
        <v>3177</v>
      </c>
      <c r="U253" s="429" t="s">
        <v>3177</v>
      </c>
      <c r="V253" s="458" t="s">
        <v>6321</v>
      </c>
    </row>
    <row r="254" spans="1:22" ht="15.75" thickBot="1" x14ac:dyDescent="0.3">
      <c r="A254" s="527" t="str">
        <f t="shared" si="18"/>
        <v>Barraqueiro Transportes, S.A. - Mafrense</v>
      </c>
      <c r="B254" s="527" t="s">
        <v>45</v>
      </c>
      <c r="C254" s="82" t="str">
        <f t="shared" si="17"/>
        <v>Mafrense</v>
      </c>
      <c r="D254">
        <v>2023</v>
      </c>
      <c r="E254" s="250" t="s">
        <v>3499</v>
      </c>
      <c r="F254" s="250" t="s">
        <v>3566</v>
      </c>
      <c r="G254" t="s">
        <v>42</v>
      </c>
      <c r="H254" s="82" t="s">
        <v>42</v>
      </c>
      <c r="I254" s="530">
        <v>150202</v>
      </c>
      <c r="J254" s="425" t="str">
        <f>INDEX(aux!B:B,MATCH(I254,aux!A:A,0))</f>
        <v>(*) Absorventes, materiais filtrantes (incluindo filtros de óleo sem outras especificações), panos de limpeza e vestuário de proteção, contaminados por substâncias perigosas</v>
      </c>
      <c r="K254" s="433" t="str">
        <f>INDEX(aux!C:C,MATCH(I254,aux!A:A,0))</f>
        <v>Sim</v>
      </c>
      <c r="L254" s="536">
        <v>0.32</v>
      </c>
      <c r="M254" s="534" t="s">
        <v>1532</v>
      </c>
      <c r="N254" s="139">
        <f t="shared" si="14"/>
        <v>320</v>
      </c>
      <c r="O254" s="540" t="s">
        <v>484</v>
      </c>
      <c r="P254" s="231" t="str">
        <f t="shared" si="15"/>
        <v>Reciclagem</v>
      </c>
      <c r="Q254" s="231" t="s">
        <v>1901</v>
      </c>
      <c r="R254" s="231" t="s">
        <v>1892</v>
      </c>
      <c r="S254" s="425" t="s">
        <v>1553</v>
      </c>
      <c r="T254" s="429" t="s">
        <v>3177</v>
      </c>
      <c r="U254" s="429" t="s">
        <v>3177</v>
      </c>
      <c r="V254" s="458" t="s">
        <v>6321</v>
      </c>
    </row>
    <row r="255" spans="1:22" ht="15.75" thickBot="1" x14ac:dyDescent="0.3">
      <c r="A255" s="527" t="str">
        <f t="shared" si="18"/>
        <v>Barraqueiro Transportes, S.A. - Mafrense</v>
      </c>
      <c r="B255" s="527" t="s">
        <v>45</v>
      </c>
      <c r="C255" s="82" t="str">
        <f t="shared" si="17"/>
        <v>Mafrense</v>
      </c>
      <c r="D255">
        <v>2023</v>
      </c>
      <c r="E255" s="250" t="s">
        <v>3499</v>
      </c>
      <c r="F255" s="250" t="s">
        <v>3566</v>
      </c>
      <c r="G255" t="s">
        <v>42</v>
      </c>
      <c r="H255" s="82" t="s">
        <v>42</v>
      </c>
      <c r="I255" s="530">
        <v>160107</v>
      </c>
      <c r="J255" s="425" t="str">
        <f>INDEX(aux!B:B,MATCH(I255,aux!A:A,0))</f>
        <v>(*) Filtros de óleo</v>
      </c>
      <c r="K255" s="433" t="str">
        <f>INDEX(aux!C:C,MATCH(I255,aux!A:A,0))</f>
        <v>Sim</v>
      </c>
      <c r="L255" s="536">
        <v>0.41599999999999998</v>
      </c>
      <c r="M255" s="534" t="s">
        <v>1532</v>
      </c>
      <c r="N255" s="139">
        <f t="shared" si="14"/>
        <v>416</v>
      </c>
      <c r="O255" s="540" t="s">
        <v>484</v>
      </c>
      <c r="P255" s="231" t="str">
        <f t="shared" si="15"/>
        <v>Reciclagem</v>
      </c>
      <c r="Q255" s="231" t="s">
        <v>1901</v>
      </c>
      <c r="R255" s="231" t="s">
        <v>1892</v>
      </c>
      <c r="S255" s="425" t="s">
        <v>1553</v>
      </c>
      <c r="T255" s="429" t="s">
        <v>3177</v>
      </c>
      <c r="U255" s="429" t="s">
        <v>3177</v>
      </c>
      <c r="V255" s="458" t="s">
        <v>6321</v>
      </c>
    </row>
    <row r="256" spans="1:22" ht="15.75" thickBot="1" x14ac:dyDescent="0.3">
      <c r="A256" s="527" t="str">
        <f t="shared" si="18"/>
        <v>Barraqueiro Transportes, S.A. - Mafrense</v>
      </c>
      <c r="B256" s="527" t="s">
        <v>45</v>
      </c>
      <c r="C256" s="82" t="str">
        <f t="shared" si="17"/>
        <v>Mafrense</v>
      </c>
      <c r="D256">
        <v>2023</v>
      </c>
      <c r="E256" s="250" t="s">
        <v>3499</v>
      </c>
      <c r="F256" s="250" t="s">
        <v>3566</v>
      </c>
      <c r="G256" t="s">
        <v>42</v>
      </c>
      <c r="H256" s="82" t="s">
        <v>42</v>
      </c>
      <c r="I256" s="530">
        <v>160120</v>
      </c>
      <c r="J256" s="425" t="str">
        <f>INDEX(aux!B:B,MATCH(I256,aux!A:A,0))</f>
        <v>Vidro</v>
      </c>
      <c r="K256" s="433" t="str">
        <f>INDEX(aux!C:C,MATCH(I256,aux!A:A,0))</f>
        <v>Não</v>
      </c>
      <c r="L256" s="536">
        <v>0.91600000000000004</v>
      </c>
      <c r="M256" s="534" t="s">
        <v>1532</v>
      </c>
      <c r="N256" s="139">
        <f t="shared" si="14"/>
        <v>916</v>
      </c>
      <c r="O256" s="540" t="s">
        <v>483</v>
      </c>
      <c r="P256" s="231" t="str">
        <f t="shared" si="15"/>
        <v>Reciclagem</v>
      </c>
      <c r="Q256" s="231" t="s">
        <v>1561</v>
      </c>
      <c r="R256" s="231" t="s">
        <v>6569</v>
      </c>
      <c r="S256" s="425" t="s">
        <v>485</v>
      </c>
      <c r="T256" s="429" t="s">
        <v>3177</v>
      </c>
      <c r="U256" s="429" t="s">
        <v>3177</v>
      </c>
      <c r="V256" s="458" t="s">
        <v>6321</v>
      </c>
    </row>
    <row r="257" spans="1:22" ht="15.75" hidden="1" thickBot="1" x14ac:dyDescent="0.3">
      <c r="A257" s="114" t="s">
        <v>3478</v>
      </c>
      <c r="B257" s="424" t="s">
        <v>45</v>
      </c>
      <c r="C257" s="82" t="str">
        <f t="shared" si="17"/>
        <v>Sede</v>
      </c>
      <c r="D257">
        <v>2022</v>
      </c>
      <c r="E257" s="250" t="s">
        <v>3499</v>
      </c>
      <c r="F257" s="250" t="s">
        <v>3566</v>
      </c>
      <c r="G257" t="s">
        <v>42</v>
      </c>
      <c r="H257" s="82" t="s">
        <v>34</v>
      </c>
      <c r="I257" s="525">
        <v>160601</v>
      </c>
      <c r="J257" s="425" t="str">
        <f>INDEX(aux!B:B,MATCH(I257,aux!A:A,0))</f>
        <v>(*) Acumuladores de chumbo</v>
      </c>
      <c r="K257" s="433" t="str">
        <f>INDEX(aux!C:C,MATCH(I257,aux!A:A,0))</f>
        <v>Sim</v>
      </c>
      <c r="L257" s="537">
        <v>0</v>
      </c>
      <c r="M257" s="539" t="s">
        <v>1532</v>
      </c>
      <c r="N257" s="139">
        <f t="shared" si="14"/>
        <v>0</v>
      </c>
      <c r="O257" s="539" t="s">
        <v>483</v>
      </c>
      <c r="P257" s="231" t="str">
        <f t="shared" si="15"/>
        <v>Reciclagem</v>
      </c>
      <c r="Q257" s="231" t="s">
        <v>1653</v>
      </c>
      <c r="R257" s="231" t="s">
        <v>1877</v>
      </c>
      <c r="S257" s="114" t="str">
        <f>IFERROR(INDEX(Tabela3[Tipos de Tratamento],MATCH('A3.9.1 copy'!O41,Tabela3[Código],0)),"")</f>
        <v xml:space="preserve">Troca de resíduos com vista a submetê-los a uma das operações enumeradas de R 1 a R 11 </v>
      </c>
      <c r="T257" s="543" t="s">
        <v>1538</v>
      </c>
      <c r="U257" s="543" t="s">
        <v>1539</v>
      </c>
      <c r="V257" s="528"/>
    </row>
    <row r="258" spans="1:22" ht="15.75" hidden="1" thickBot="1" x14ac:dyDescent="0.3">
      <c r="A258" s="114" t="s">
        <v>3478</v>
      </c>
      <c r="B258" s="424" t="s">
        <v>45</v>
      </c>
      <c r="C258" s="82" t="str">
        <f t="shared" si="17"/>
        <v>Sede</v>
      </c>
      <c r="D258">
        <v>2022</v>
      </c>
      <c r="E258" s="250" t="s">
        <v>3499</v>
      </c>
      <c r="F258" s="250" t="s">
        <v>3566</v>
      </c>
      <c r="G258" t="s">
        <v>42</v>
      </c>
      <c r="H258" s="82" t="s">
        <v>34</v>
      </c>
      <c r="I258" s="525">
        <v>200136</v>
      </c>
      <c r="J258" s="425" t="str">
        <f>INDEX(aux!B:B,MATCH(I258,aux!A:A,0))</f>
        <v>Equipamento elétrico e eletrónico fora de uso não abrangido em 20 01 21, 20 01 23 ou 20 01 35</v>
      </c>
      <c r="K258" s="433" t="str">
        <f>INDEX(aux!C:C,MATCH(I258,aux!A:A,0))</f>
        <v>Não</v>
      </c>
      <c r="L258" s="537">
        <f>0.3*0.205</f>
        <v>6.1499999999999992E-2</v>
      </c>
      <c r="M258" s="539" t="s">
        <v>1532</v>
      </c>
      <c r="N258" s="139">
        <f t="shared" si="14"/>
        <v>61.499999999999993</v>
      </c>
      <c r="O258" s="539" t="s">
        <v>483</v>
      </c>
      <c r="P258" s="231" t="str">
        <f t="shared" si="15"/>
        <v>Reciclagem</v>
      </c>
      <c r="Q258" s="231" t="s">
        <v>1909</v>
      </c>
      <c r="R258" s="231" t="s">
        <v>1877</v>
      </c>
      <c r="S258" s="114" t="str">
        <f>IFERROR(INDEX(Tabela3[Tipos de Tratamento],MATCH('A3.9.1 copy'!O51,Tabela3[Código],0)),"")</f>
        <v xml:space="preserve">Troca de resíduos com vista a submetê-los a uma das operações enumeradas de R 1 a R 11 </v>
      </c>
      <c r="T258" s="543" t="s">
        <v>1538</v>
      </c>
      <c r="U258" s="543" t="s">
        <v>1539</v>
      </c>
      <c r="V258" s="528"/>
    </row>
    <row r="259" spans="1:22" ht="15.75" hidden="1" thickBot="1" x14ac:dyDescent="0.3">
      <c r="A259" s="114" t="s">
        <v>3478</v>
      </c>
      <c r="B259" s="424" t="s">
        <v>45</v>
      </c>
      <c r="C259" s="82" t="str">
        <f t="shared" si="17"/>
        <v>Sede</v>
      </c>
      <c r="D259">
        <v>2022</v>
      </c>
      <c r="E259" s="250" t="s">
        <v>3499</v>
      </c>
      <c r="F259" s="250" t="s">
        <v>3566</v>
      </c>
      <c r="G259" t="s">
        <v>42</v>
      </c>
      <c r="H259" s="82" t="s">
        <v>34</v>
      </c>
      <c r="I259" s="525">
        <v>160112</v>
      </c>
      <c r="J259" s="425" t="str">
        <f>INDEX(aux!B:B,MATCH(I259,aux!A:A,0))</f>
        <v>Pastilhas de travões não abrangidas em 16 01 11</v>
      </c>
      <c r="K259" s="433" t="str">
        <f>INDEX(aux!C:C,MATCH(I259,aux!A:A,0))</f>
        <v>Não</v>
      </c>
      <c r="L259" s="537">
        <v>0</v>
      </c>
      <c r="M259" s="539" t="s">
        <v>1532</v>
      </c>
      <c r="N259" s="139">
        <f t="shared" ref="N259:N322" si="19">IF(LEFT(M259,3)="ton",1000*L259,L259)</f>
        <v>0</v>
      </c>
      <c r="O259" s="539" t="s">
        <v>483</v>
      </c>
      <c r="P259" s="231" t="str">
        <f t="shared" ref="P259:P322" si="20">IF(LEFT(O259,1)="R","Reciclagem",IF(OR(O259="D10",O259="D11"),"Iceneração","Aterro"))</f>
        <v>Reciclagem</v>
      </c>
      <c r="Q259" s="231" t="s">
        <v>1557</v>
      </c>
      <c r="R259" s="231" t="s">
        <v>1903</v>
      </c>
      <c r="S259" s="114" t="str">
        <f>IFERROR(INDEX(Tabela3[Tipos de Tratamento],MATCH('A3.9.1 copy'!O31,Tabela3[Código],0)),"")</f>
        <v xml:space="preserve">Troca de resíduos com vista a submetê-los a uma das operações enumeradas de R 1 a R 11 </v>
      </c>
      <c r="T259" s="543" t="s">
        <v>1538</v>
      </c>
      <c r="U259" s="543" t="s">
        <v>1539</v>
      </c>
      <c r="V259" s="528"/>
    </row>
    <row r="260" spans="1:22" ht="15.75" hidden="1" thickBot="1" x14ac:dyDescent="0.3">
      <c r="A260" s="114" t="s">
        <v>3478</v>
      </c>
      <c r="B260" s="424" t="s">
        <v>45</v>
      </c>
      <c r="C260" s="82" t="str">
        <f t="shared" si="17"/>
        <v>Sede</v>
      </c>
      <c r="D260">
        <v>2022</v>
      </c>
      <c r="E260" s="250" t="s">
        <v>3499</v>
      </c>
      <c r="F260" s="250" t="s">
        <v>3566</v>
      </c>
      <c r="G260" t="s">
        <v>42</v>
      </c>
      <c r="H260" s="82" t="s">
        <v>34</v>
      </c>
      <c r="I260" s="525">
        <v>160117</v>
      </c>
      <c r="J260" s="425" t="str">
        <f>INDEX(aux!B:B,MATCH(I260,aux!A:A,0))</f>
        <v>Metais ferrosos</v>
      </c>
      <c r="K260" s="433" t="str">
        <f>INDEX(aux!C:C,MATCH(I260,aux!A:A,0))</f>
        <v>Não</v>
      </c>
      <c r="L260" s="537">
        <v>0</v>
      </c>
      <c r="M260" s="539" t="s">
        <v>1532</v>
      </c>
      <c r="N260" s="139">
        <f t="shared" si="19"/>
        <v>0</v>
      </c>
      <c r="O260" s="539" t="s">
        <v>483</v>
      </c>
      <c r="P260" s="231" t="str">
        <f t="shared" si="20"/>
        <v>Reciclagem</v>
      </c>
      <c r="Q260" s="231" t="s">
        <v>1557</v>
      </c>
      <c r="R260" s="231" t="s">
        <v>1903</v>
      </c>
      <c r="S260" s="114" t="str">
        <f>IFERROR(INDEX(Tabela3[Tipos de Tratamento],MATCH('A3.9.1 copy'!O33,Tabela3[Código],0)),"")</f>
        <v xml:space="preserve">Troca de resíduos com vista a submetê-los a uma das operações enumeradas de R 1 a R 11 </v>
      </c>
      <c r="T260" s="543" t="s">
        <v>1558</v>
      </c>
      <c r="U260" s="543" t="s">
        <v>1559</v>
      </c>
      <c r="V260" s="528"/>
    </row>
    <row r="261" spans="1:22" ht="15.75" hidden="1" thickBot="1" x14ac:dyDescent="0.3">
      <c r="A261" s="114" t="s">
        <v>3478</v>
      </c>
      <c r="B261" s="424" t="s">
        <v>45</v>
      </c>
      <c r="C261" s="82" t="str">
        <f t="shared" si="17"/>
        <v>Sede</v>
      </c>
      <c r="D261">
        <v>2022</v>
      </c>
      <c r="E261" s="250" t="s">
        <v>3499</v>
      </c>
      <c r="F261" s="250" t="s">
        <v>3566</v>
      </c>
      <c r="G261" t="s">
        <v>42</v>
      </c>
      <c r="H261" s="82" t="s">
        <v>34</v>
      </c>
      <c r="I261" s="525">
        <v>150111</v>
      </c>
      <c r="J261" s="425" t="str">
        <f>INDEX(aux!B:B,MATCH(I261,aux!A:A,0))</f>
        <v>(*) Embalagens de metal, incluindo recipientes vazios sob pressão, contendo uma matriz porosa sólida perigosa (por exemplo, amianto)</v>
      </c>
      <c r="K261" s="433" t="str">
        <f>INDEX(aux!C:C,MATCH(I261,aux!A:A,0))</f>
        <v>Sim</v>
      </c>
      <c r="L261" s="537">
        <f>30%*0.036</f>
        <v>1.0799999999999999E-2</v>
      </c>
      <c r="M261" s="539" t="s">
        <v>1532</v>
      </c>
      <c r="N261" s="139">
        <f t="shared" si="19"/>
        <v>10.799999999999999</v>
      </c>
      <c r="O261" s="539" t="s">
        <v>484</v>
      </c>
      <c r="P261" s="231" t="str">
        <f t="shared" si="20"/>
        <v>Reciclagem</v>
      </c>
      <c r="Q261" s="231" t="s">
        <v>1906</v>
      </c>
      <c r="R261" s="231" t="s">
        <v>1903</v>
      </c>
      <c r="S261" s="114" t="str">
        <f>IFERROR(INDEX(Tabela3[Tipos de Tratamento],MATCH('A3.9.1 copy'!#REF!,Tabela3[Código],0)),"")</f>
        <v/>
      </c>
      <c r="T261" s="543" t="s">
        <v>1538</v>
      </c>
      <c r="U261" s="543" t="s">
        <v>1539</v>
      </c>
      <c r="V261" s="528"/>
    </row>
    <row r="262" spans="1:22" ht="15.75" hidden="1" thickBot="1" x14ac:dyDescent="0.3">
      <c r="A262" s="114" t="s">
        <v>3478</v>
      </c>
      <c r="B262" s="424" t="s">
        <v>45</v>
      </c>
      <c r="C262" s="82" t="str">
        <f t="shared" si="17"/>
        <v>Sede</v>
      </c>
      <c r="D262">
        <v>2022</v>
      </c>
      <c r="E262" s="250" t="s">
        <v>3499</v>
      </c>
      <c r="F262" s="250" t="s">
        <v>3566</v>
      </c>
      <c r="G262" t="s">
        <v>42</v>
      </c>
      <c r="H262" s="82" t="s">
        <v>34</v>
      </c>
      <c r="I262" s="525">
        <v>130208</v>
      </c>
      <c r="J262" s="425" t="str">
        <f>INDEX(aux!B:B,MATCH(I262,aux!A:A,0))</f>
        <v>(*) Outros óleos de motores, transmissões e lubrificação</v>
      </c>
      <c r="K262" s="433" t="str">
        <f>INDEX(aux!C:C,MATCH(I262,aux!A:A,0))</f>
        <v>Sim</v>
      </c>
      <c r="L262" s="537">
        <v>0</v>
      </c>
      <c r="M262" s="539" t="s">
        <v>1532</v>
      </c>
      <c r="N262" s="139">
        <f t="shared" si="19"/>
        <v>0</v>
      </c>
      <c r="O262" s="539" t="s">
        <v>480</v>
      </c>
      <c r="P262" s="231" t="str">
        <f t="shared" si="20"/>
        <v>Reciclagem</v>
      </c>
      <c r="Q262" s="231" t="s">
        <v>1902</v>
      </c>
      <c r="R262" s="231" t="s">
        <v>1877</v>
      </c>
      <c r="S262" s="114" t="str">
        <f>IFERROR(INDEX(Tabela3[Tipos de Tratamento],MATCH('A3.9.1 copy'!#REF!,Tabela3[Código],0)),"")</f>
        <v/>
      </c>
      <c r="T262" s="543" t="s">
        <v>1535</v>
      </c>
      <c r="U262" s="543" t="s">
        <v>1536</v>
      </c>
      <c r="V262" s="528"/>
    </row>
    <row r="263" spans="1:22" ht="15.75" hidden="1" thickBot="1" x14ac:dyDescent="0.3">
      <c r="A263" s="114" t="s">
        <v>3478</v>
      </c>
      <c r="B263" s="424" t="s">
        <v>45</v>
      </c>
      <c r="C263" s="82" t="str">
        <f t="shared" si="17"/>
        <v>Sede</v>
      </c>
      <c r="D263">
        <v>2022</v>
      </c>
      <c r="E263" s="250" t="s">
        <v>3499</v>
      </c>
      <c r="F263" s="250" t="s">
        <v>3566</v>
      </c>
      <c r="G263" t="s">
        <v>42</v>
      </c>
      <c r="H263" s="82" t="s">
        <v>34</v>
      </c>
      <c r="I263" s="525">
        <v>150101</v>
      </c>
      <c r="J263" s="425" t="str">
        <f>INDEX(aux!B:B,MATCH(I263,aux!A:A,0))</f>
        <v>Embalagens de papel e cartão</v>
      </c>
      <c r="K263" s="433" t="str">
        <f>INDEX(aux!C:C,MATCH(I263,aux!A:A,0))</f>
        <v>Não</v>
      </c>
      <c r="L263" s="537">
        <f>30%*0.474</f>
        <v>0.14219999999999999</v>
      </c>
      <c r="M263" s="539" t="s">
        <v>1532</v>
      </c>
      <c r="N263" s="139">
        <f t="shared" si="19"/>
        <v>142.19999999999999</v>
      </c>
      <c r="O263" s="539" t="s">
        <v>483</v>
      </c>
      <c r="P263" s="231" t="str">
        <f t="shared" si="20"/>
        <v>Reciclagem</v>
      </c>
      <c r="Q263" s="231" t="s">
        <v>1904</v>
      </c>
      <c r="R263" s="231" t="s">
        <v>1903</v>
      </c>
      <c r="S263" s="114" t="str">
        <f>IFERROR(INDEX(Tabela3[Tipos de Tratamento],MATCH('A3.9.1 copy'!#REF!,Tabela3[Código],0)),"")</f>
        <v/>
      </c>
      <c r="T263" s="543" t="s">
        <v>1538</v>
      </c>
      <c r="U263" s="543" t="s">
        <v>1539</v>
      </c>
      <c r="V263" s="528"/>
    </row>
    <row r="264" spans="1:22" ht="15.75" hidden="1" thickBot="1" x14ac:dyDescent="0.3">
      <c r="A264" s="114" t="s">
        <v>3478</v>
      </c>
      <c r="B264" s="424" t="s">
        <v>45</v>
      </c>
      <c r="C264" s="82" t="str">
        <f t="shared" si="17"/>
        <v>Sede</v>
      </c>
      <c r="D264">
        <v>2022</v>
      </c>
      <c r="E264" s="250" t="s">
        <v>3499</v>
      </c>
      <c r="F264" s="250" t="s">
        <v>3566</v>
      </c>
      <c r="G264" t="s">
        <v>42</v>
      </c>
      <c r="H264" s="82" t="s">
        <v>34</v>
      </c>
      <c r="I264" s="525">
        <v>150101</v>
      </c>
      <c r="J264" s="425" t="str">
        <f>INDEX(aux!B:B,MATCH(I264,aux!A:A,0))</f>
        <v>Embalagens de papel e cartão</v>
      </c>
      <c r="K264" s="433" t="str">
        <f>INDEX(aux!C:C,MATCH(I264,aux!A:A,0))</f>
        <v>Não</v>
      </c>
      <c r="L264" s="537">
        <f>30%*0.5</f>
        <v>0.15</v>
      </c>
      <c r="M264" s="539" t="s">
        <v>1532</v>
      </c>
      <c r="N264" s="139">
        <f t="shared" si="19"/>
        <v>150</v>
      </c>
      <c r="O264" s="539" t="s">
        <v>483</v>
      </c>
      <c r="P264" s="231" t="str">
        <f t="shared" si="20"/>
        <v>Reciclagem</v>
      </c>
      <c r="Q264" s="231" t="s">
        <v>1904</v>
      </c>
      <c r="R264" s="231" t="s">
        <v>1903</v>
      </c>
      <c r="S264" s="114" t="str">
        <f>IFERROR(INDEX(Tabela3[Tipos de Tratamento],MATCH('A3.9.1 copy'!#REF!,Tabela3[Código],0)),"")</f>
        <v/>
      </c>
      <c r="T264" s="543" t="s">
        <v>1540</v>
      </c>
      <c r="U264" s="543" t="s">
        <v>1541</v>
      </c>
      <c r="V264" s="528"/>
    </row>
    <row r="265" spans="1:22" ht="15.75" hidden="1" thickBot="1" x14ac:dyDescent="0.3">
      <c r="A265" s="114" t="s">
        <v>3478</v>
      </c>
      <c r="B265" s="424" t="s">
        <v>45</v>
      </c>
      <c r="C265" s="82" t="str">
        <f t="shared" si="17"/>
        <v>Sede</v>
      </c>
      <c r="D265">
        <v>2022</v>
      </c>
      <c r="E265" s="250" t="s">
        <v>3499</v>
      </c>
      <c r="F265" s="250" t="s">
        <v>3566</v>
      </c>
      <c r="G265" t="s">
        <v>42</v>
      </c>
      <c r="H265" s="82" t="s">
        <v>34</v>
      </c>
      <c r="I265" s="525">
        <v>200101</v>
      </c>
      <c r="J265" s="425" t="str">
        <f>INDEX(aux!B:B,MATCH(I265,aux!A:A,0))</f>
        <v xml:space="preserve">Papel e Cartão </v>
      </c>
      <c r="K265" s="433" t="str">
        <f>INDEX(aux!C:C,MATCH(I265,aux!A:A,0))</f>
        <v>Não</v>
      </c>
      <c r="L265" s="537">
        <f>0.3*1.36</f>
        <v>0.40800000000000003</v>
      </c>
      <c r="M265" s="539" t="s">
        <v>1532</v>
      </c>
      <c r="N265" s="139">
        <f t="shared" si="19"/>
        <v>408.00000000000006</v>
      </c>
      <c r="O265" s="539" t="s">
        <v>483</v>
      </c>
      <c r="P265" s="231" t="str">
        <f t="shared" si="20"/>
        <v>Reciclagem</v>
      </c>
      <c r="Q265" s="231" t="s">
        <v>1904</v>
      </c>
      <c r="R265" s="231" t="s">
        <v>1903</v>
      </c>
      <c r="S265" s="114" t="str">
        <f>IFERROR(INDEX(Tabela3[Tipos de Tratamento],MATCH('A3.9.1 copy'!O43,Tabela3[Código],0)),"")</f>
        <v xml:space="preserve">Troca de resíduos com vista a submetê-los a uma das operações enumeradas de R 1 a R 11 </v>
      </c>
      <c r="T265" s="543" t="s">
        <v>1540</v>
      </c>
      <c r="U265" s="543" t="s">
        <v>1541</v>
      </c>
      <c r="V265" s="528"/>
    </row>
    <row r="266" spans="1:22" ht="15.75" hidden="1" thickBot="1" x14ac:dyDescent="0.3">
      <c r="A266" s="114" t="s">
        <v>3478</v>
      </c>
      <c r="B266" s="424" t="s">
        <v>45</v>
      </c>
      <c r="C266" s="82" t="str">
        <f t="shared" si="17"/>
        <v>Sede</v>
      </c>
      <c r="D266">
        <v>2022</v>
      </c>
      <c r="E266" s="250" t="s">
        <v>3499</v>
      </c>
      <c r="F266" s="250" t="s">
        <v>3566</v>
      </c>
      <c r="G266" t="s">
        <v>42</v>
      </c>
      <c r="H266" s="82" t="s">
        <v>34</v>
      </c>
      <c r="I266" s="525">
        <v>160119</v>
      </c>
      <c r="J266" s="425" t="str">
        <f>INDEX(aux!B:B,MATCH(I266,aux!A:A,0))</f>
        <v>Plástico</v>
      </c>
      <c r="K266" s="433" t="str">
        <f>INDEX(aux!C:C,MATCH(I266,aux!A:A,0))</f>
        <v>Não</v>
      </c>
      <c r="L266" s="537">
        <f>0.3*0.514</f>
        <v>0.1542</v>
      </c>
      <c r="M266" s="539" t="s">
        <v>1532</v>
      </c>
      <c r="N266" s="139">
        <f t="shared" si="19"/>
        <v>154.20000000000002</v>
      </c>
      <c r="O266" s="539" t="s">
        <v>483</v>
      </c>
      <c r="P266" s="231" t="str">
        <f t="shared" si="20"/>
        <v>Reciclagem</v>
      </c>
      <c r="Q266" s="231" t="s">
        <v>1560</v>
      </c>
      <c r="R266" s="231" t="s">
        <v>1903</v>
      </c>
      <c r="S266" s="114" t="str">
        <f>IFERROR(INDEX(Tabela3[Tipos de Tratamento],MATCH('A3.9.1 copy'!O35,Tabela3[Código],0)),"")</f>
        <v xml:space="preserve">Troca de resíduos com vista a submetê-los a uma das operações enumeradas de R 1 a R 11 </v>
      </c>
      <c r="T266" s="543" t="s">
        <v>1538</v>
      </c>
      <c r="U266" s="543" t="s">
        <v>1539</v>
      </c>
      <c r="V266" s="528"/>
    </row>
    <row r="267" spans="1:22" ht="15.75" hidden="1" thickBot="1" x14ac:dyDescent="0.3">
      <c r="A267" s="114" t="s">
        <v>3478</v>
      </c>
      <c r="B267" s="424" t="s">
        <v>45</v>
      </c>
      <c r="C267" s="82" t="str">
        <f t="shared" si="17"/>
        <v>Sede</v>
      </c>
      <c r="D267">
        <v>2022</v>
      </c>
      <c r="E267" s="250" t="s">
        <v>3499</v>
      </c>
      <c r="F267" s="250" t="s">
        <v>3566</v>
      </c>
      <c r="G267" t="s">
        <v>42</v>
      </c>
      <c r="H267" s="82" t="s">
        <v>34</v>
      </c>
      <c r="I267" s="525">
        <v>150110</v>
      </c>
      <c r="J267" s="425" t="str">
        <f>INDEX(aux!B:B,MATCH(I267,aux!A:A,0))</f>
        <v>(*) Embalagens contendo ou contaminadas por resíduos de substâncias perigosas</v>
      </c>
      <c r="K267" s="433" t="str">
        <f>INDEX(aux!C:C,MATCH(I267,aux!A:A,0))</f>
        <v>Sim</v>
      </c>
      <c r="L267" s="537">
        <v>0</v>
      </c>
      <c r="M267" s="539" t="s">
        <v>1532</v>
      </c>
      <c r="N267" s="139">
        <f t="shared" si="19"/>
        <v>0</v>
      </c>
      <c r="O267" s="539" t="s">
        <v>484</v>
      </c>
      <c r="P267" s="231" t="str">
        <f t="shared" si="20"/>
        <v>Reciclagem</v>
      </c>
      <c r="Q267" s="231" t="s">
        <v>1901</v>
      </c>
      <c r="R267" s="231" t="s">
        <v>1892</v>
      </c>
      <c r="S267" s="114" t="str">
        <f>IFERROR(INDEX(Tabela3[Tipos de Tratamento],MATCH('A3.9.1 copy'!#REF!,Tabela3[Código],0)),"")</f>
        <v/>
      </c>
      <c r="T267" s="543" t="s">
        <v>1538</v>
      </c>
      <c r="U267" s="543" t="s">
        <v>1539</v>
      </c>
      <c r="V267" s="528"/>
    </row>
    <row r="268" spans="1:22" ht="15.75" hidden="1" thickBot="1" x14ac:dyDescent="0.3">
      <c r="A268" s="114" t="s">
        <v>3478</v>
      </c>
      <c r="B268" s="424" t="s">
        <v>45</v>
      </c>
      <c r="C268" s="82" t="str">
        <f t="shared" si="17"/>
        <v>Sede</v>
      </c>
      <c r="D268">
        <v>2022</v>
      </c>
      <c r="E268" s="250" t="s">
        <v>3499</v>
      </c>
      <c r="F268" s="250" t="s">
        <v>3566</v>
      </c>
      <c r="G268" t="s">
        <v>42</v>
      </c>
      <c r="H268" s="82" t="s">
        <v>34</v>
      </c>
      <c r="I268" s="525">
        <v>150202</v>
      </c>
      <c r="J268" s="425" t="str">
        <f>INDEX(aux!B:B,MATCH(I268,aux!A:A,0))</f>
        <v>(*) Absorventes, materiais filtrantes (incluindo filtros de óleo sem outras especificações), panos de limpeza e vestuário de proteção, contaminados por substâncias perigosas</v>
      </c>
      <c r="K268" s="433" t="str">
        <f>INDEX(aux!C:C,MATCH(I268,aux!A:A,0))</f>
        <v>Sim</v>
      </c>
      <c r="L268" s="537">
        <f>30%*0.28</f>
        <v>8.4000000000000005E-2</v>
      </c>
      <c r="M268" s="539" t="s">
        <v>1532</v>
      </c>
      <c r="N268" s="139">
        <f t="shared" si="19"/>
        <v>84</v>
      </c>
      <c r="O268" s="539" t="s">
        <v>484</v>
      </c>
      <c r="P268" s="231" t="str">
        <f t="shared" si="20"/>
        <v>Reciclagem</v>
      </c>
      <c r="Q268" s="231" t="s">
        <v>1901</v>
      </c>
      <c r="R268" s="231" t="s">
        <v>1892</v>
      </c>
      <c r="S268" s="114" t="str">
        <f>IFERROR(INDEX(Tabela3[Tipos de Tratamento],MATCH('A3.9.1 copy'!#REF!,Tabela3[Código],0)),"")</f>
        <v/>
      </c>
      <c r="T268" s="543" t="s">
        <v>1538</v>
      </c>
      <c r="U268" s="543" t="s">
        <v>1539</v>
      </c>
      <c r="V268" s="528"/>
    </row>
    <row r="269" spans="1:22" ht="15.75" hidden="1" thickBot="1" x14ac:dyDescent="0.3">
      <c r="A269" s="114" t="s">
        <v>3478</v>
      </c>
      <c r="B269" s="424" t="s">
        <v>45</v>
      </c>
      <c r="C269" s="82" t="str">
        <f t="shared" si="17"/>
        <v>Sede</v>
      </c>
      <c r="D269">
        <v>2022</v>
      </c>
      <c r="E269" s="250" t="s">
        <v>3499</v>
      </c>
      <c r="F269" s="250" t="s">
        <v>3566</v>
      </c>
      <c r="G269" t="s">
        <v>42</v>
      </c>
      <c r="H269" s="82" t="s">
        <v>34</v>
      </c>
      <c r="I269" s="525">
        <v>150203</v>
      </c>
      <c r="J269" s="425" t="str">
        <f>INDEX(aux!B:B,MATCH(I269,aux!A:A,0))</f>
        <v>Absorventes, materiais filtrantes, panos de limpeza e vestuário de proteção não abrangidos em 15 02 02</v>
      </c>
      <c r="K269" s="433" t="str">
        <f>INDEX(aux!C:C,MATCH(I269,aux!A:A,0))</f>
        <v>Não</v>
      </c>
      <c r="L269" s="537">
        <f>0.3*1.4</f>
        <v>0.42</v>
      </c>
      <c r="M269" s="539" t="s">
        <v>1532</v>
      </c>
      <c r="N269" s="139">
        <f t="shared" si="19"/>
        <v>420</v>
      </c>
      <c r="O269" s="539" t="s">
        <v>483</v>
      </c>
      <c r="P269" s="231" t="str">
        <f t="shared" si="20"/>
        <v>Reciclagem</v>
      </c>
      <c r="Q269" s="231" t="s">
        <v>1901</v>
      </c>
      <c r="R269" s="231" t="s">
        <v>1892</v>
      </c>
      <c r="S269" s="114" t="str">
        <f>IFERROR(INDEX(Tabela3[Tipos de Tratamento],MATCH('A3.9.1 copy'!#REF!,Tabela3[Código],0)),"")</f>
        <v/>
      </c>
      <c r="T269" s="543" t="s">
        <v>1538</v>
      </c>
      <c r="U269" s="543" t="s">
        <v>1539</v>
      </c>
      <c r="V269" s="528"/>
    </row>
    <row r="270" spans="1:22" ht="15.75" hidden="1" thickBot="1" x14ac:dyDescent="0.3">
      <c r="A270" s="114" t="s">
        <v>3478</v>
      </c>
      <c r="B270" s="424" t="s">
        <v>45</v>
      </c>
      <c r="C270" s="82" t="str">
        <f t="shared" si="17"/>
        <v>Sede</v>
      </c>
      <c r="D270">
        <v>2022</v>
      </c>
      <c r="E270" s="250" t="s">
        <v>3499</v>
      </c>
      <c r="F270" s="250" t="s">
        <v>3566</v>
      </c>
      <c r="G270" t="s">
        <v>42</v>
      </c>
      <c r="H270" s="82" t="s">
        <v>34</v>
      </c>
      <c r="I270" s="525">
        <v>160107</v>
      </c>
      <c r="J270" s="425" t="str">
        <f>INDEX(aux!B:B,MATCH(I270,aux!A:A,0))</f>
        <v>(*) Filtros de óleo</v>
      </c>
      <c r="K270" s="433" t="str">
        <f>INDEX(aux!C:C,MATCH(I270,aux!A:A,0))</f>
        <v>Sim</v>
      </c>
      <c r="L270" s="537">
        <v>0</v>
      </c>
      <c r="M270" s="539" t="s">
        <v>1532</v>
      </c>
      <c r="N270" s="139">
        <f t="shared" si="19"/>
        <v>0</v>
      </c>
      <c r="O270" s="539" t="s">
        <v>484</v>
      </c>
      <c r="P270" s="231" t="str">
        <f t="shared" si="20"/>
        <v>Reciclagem</v>
      </c>
      <c r="Q270" s="231" t="s">
        <v>1901</v>
      </c>
      <c r="R270" s="231" t="s">
        <v>1892</v>
      </c>
      <c r="S270" s="114" t="str">
        <f>IFERROR(INDEX(Tabela3[Tipos de Tratamento],MATCH('A3.9.1 copy'!O29,Tabela3[Código],0)),"")</f>
        <v>Acumulação de resíduos destinados a uma das operações enumeradas de R1 a R12</v>
      </c>
      <c r="T270" s="543" t="s">
        <v>1538</v>
      </c>
      <c r="U270" s="543" t="s">
        <v>1539</v>
      </c>
      <c r="V270" s="528"/>
    </row>
    <row r="271" spans="1:22" ht="15.75" hidden="1" thickBot="1" x14ac:dyDescent="0.3">
      <c r="A271" s="114" t="s">
        <v>3478</v>
      </c>
      <c r="B271" s="424" t="s">
        <v>45</v>
      </c>
      <c r="C271" s="82" t="str">
        <f t="shared" si="17"/>
        <v>Sede</v>
      </c>
      <c r="D271">
        <v>2022</v>
      </c>
      <c r="E271" s="250" t="s">
        <v>3499</v>
      </c>
      <c r="F271" s="250" t="s">
        <v>3566</v>
      </c>
      <c r="G271" t="s">
        <v>42</v>
      </c>
      <c r="H271" s="82" t="s">
        <v>34</v>
      </c>
      <c r="I271" s="525">
        <v>160199</v>
      </c>
      <c r="J271" s="425" t="str">
        <f>INDEX(aux!B:B,MATCH(I271,aux!A:A,0))</f>
        <v>Resíduos sem outras especificações</v>
      </c>
      <c r="K271" s="433" t="str">
        <f>INDEX(aux!C:C,MATCH(I271,aux!A:A,0))</f>
        <v>Não</v>
      </c>
      <c r="L271" s="537">
        <f>0.3*1.038</f>
        <v>0.31140000000000001</v>
      </c>
      <c r="M271" s="539" t="s">
        <v>1532</v>
      </c>
      <c r="N271" s="139">
        <f t="shared" si="19"/>
        <v>311.40000000000003</v>
      </c>
      <c r="O271" s="539" t="s">
        <v>483</v>
      </c>
      <c r="P271" s="231" t="str">
        <f t="shared" si="20"/>
        <v>Reciclagem</v>
      </c>
      <c r="Q271" s="231" t="s">
        <v>1901</v>
      </c>
      <c r="R271" s="231" t="s">
        <v>1892</v>
      </c>
      <c r="S271" s="114" t="str">
        <f>IFERROR(INDEX(Tabela3[Tipos de Tratamento],MATCH('A3.9.1 copy'!O39,Tabela3[Código],0)),"")</f>
        <v xml:space="preserve">Regeneração de óleos e outras reutilizações de óleos </v>
      </c>
      <c r="T271" s="543" t="s">
        <v>1538</v>
      </c>
      <c r="U271" s="543" t="s">
        <v>1539</v>
      </c>
      <c r="V271" s="528"/>
    </row>
    <row r="272" spans="1:22" ht="15.75" hidden="1" thickBot="1" x14ac:dyDescent="0.3">
      <c r="A272" s="114" t="s">
        <v>3478</v>
      </c>
      <c r="B272" s="424" t="s">
        <v>45</v>
      </c>
      <c r="C272" s="82" t="str">
        <f t="shared" si="17"/>
        <v>Sede</v>
      </c>
      <c r="D272">
        <v>2022</v>
      </c>
      <c r="E272" s="250" t="s">
        <v>3499</v>
      </c>
      <c r="F272" s="250" t="s">
        <v>3566</v>
      </c>
      <c r="G272" t="s">
        <v>42</v>
      </c>
      <c r="H272" s="82" t="s">
        <v>34</v>
      </c>
      <c r="I272" s="525">
        <v>200121</v>
      </c>
      <c r="J272" s="425" t="str">
        <f>INDEX(aux!B:B,MATCH(I272,aux!A:A,0))</f>
        <v>(*) Lâmpadas fluorescentes e outros resíduos contendo mercúrio</v>
      </c>
      <c r="K272" s="433" t="str">
        <f>INDEX(aux!C:C,MATCH(I272,aux!A:A,0))</f>
        <v>Sim</v>
      </c>
      <c r="L272" s="537">
        <f>0.3*0.018</f>
        <v>5.3999999999999994E-3</v>
      </c>
      <c r="M272" s="539" t="s">
        <v>1532</v>
      </c>
      <c r="N272" s="139">
        <f t="shared" si="19"/>
        <v>5.3999999999999995</v>
      </c>
      <c r="O272" s="539" t="s">
        <v>484</v>
      </c>
      <c r="P272" s="231" t="str">
        <f t="shared" si="20"/>
        <v>Reciclagem</v>
      </c>
      <c r="Q272" s="231" t="s">
        <v>1901</v>
      </c>
      <c r="R272" s="231" t="s">
        <v>1892</v>
      </c>
      <c r="S272" s="114" t="str">
        <f>IFERROR(INDEX(Tabela3[Tipos de Tratamento],MATCH('A3.9.1 copy'!O47,Tabela3[Código],0)),"")</f>
        <v xml:space="preserve">Troca de resíduos com vista a submetê-los a uma das operações enumeradas de R 1 a R 11 </v>
      </c>
      <c r="T272" s="543" t="s">
        <v>1538</v>
      </c>
      <c r="U272" s="543" t="s">
        <v>1539</v>
      </c>
      <c r="V272" s="528"/>
    </row>
    <row r="273" spans="1:22" ht="15.75" hidden="1" thickBot="1" x14ac:dyDescent="0.3">
      <c r="A273" s="114" t="s">
        <v>3478</v>
      </c>
      <c r="B273" s="424" t="s">
        <v>45</v>
      </c>
      <c r="C273" s="82" t="str">
        <f t="shared" si="17"/>
        <v>Sede</v>
      </c>
      <c r="D273">
        <v>2022</v>
      </c>
      <c r="E273" s="250" t="s">
        <v>3499</v>
      </c>
      <c r="F273" s="250" t="s">
        <v>3566</v>
      </c>
      <c r="G273" t="s">
        <v>42</v>
      </c>
      <c r="H273" s="82" t="s">
        <v>34</v>
      </c>
      <c r="I273" s="525">
        <v>200125</v>
      </c>
      <c r="J273" s="425" t="str">
        <f>INDEX(aux!B:B,MATCH(I273,aux!A:A,0))</f>
        <v>Óleos e gorduras alimentares</v>
      </c>
      <c r="K273" s="433" t="str">
        <f>INDEX(aux!C:C,MATCH(I273,aux!A:A,0))</f>
        <v>Não</v>
      </c>
      <c r="L273" s="537">
        <f>0.3*0.08</f>
        <v>2.4E-2</v>
      </c>
      <c r="M273" s="539" t="s">
        <v>1532</v>
      </c>
      <c r="N273" s="139">
        <f t="shared" si="19"/>
        <v>24</v>
      </c>
      <c r="O273" s="539" t="s">
        <v>483</v>
      </c>
      <c r="P273" s="231" t="str">
        <f t="shared" si="20"/>
        <v>Reciclagem</v>
      </c>
      <c r="Q273" s="231" t="s">
        <v>1908</v>
      </c>
      <c r="R273" s="231" t="s">
        <v>1877</v>
      </c>
      <c r="S273" s="114" t="str">
        <f>IFERROR(INDEX(Tabela3[Tipos de Tratamento],MATCH('A3.9.1 copy'!O49,Tabela3[Código],0)),"")</f>
        <v>Acumulação de resíduos destinados a uma das operações enumeradas de R1 a R12</v>
      </c>
      <c r="T273" s="543" t="s">
        <v>1566</v>
      </c>
      <c r="U273" s="543" t="s">
        <v>1567</v>
      </c>
      <c r="V273" s="528"/>
    </row>
    <row r="274" spans="1:22" ht="15.75" hidden="1" thickBot="1" x14ac:dyDescent="0.3">
      <c r="A274" s="114" t="s">
        <v>3478</v>
      </c>
      <c r="B274" s="424" t="s">
        <v>45</v>
      </c>
      <c r="C274" s="82" t="str">
        <f t="shared" si="17"/>
        <v>Sede</v>
      </c>
      <c r="D274">
        <v>2022</v>
      </c>
      <c r="E274" s="250" t="s">
        <v>3499</v>
      </c>
      <c r="F274" s="250" t="s">
        <v>3566</v>
      </c>
      <c r="G274" t="s">
        <v>42</v>
      </c>
      <c r="H274" s="82" t="s">
        <v>34</v>
      </c>
      <c r="I274" s="525">
        <v>160120</v>
      </c>
      <c r="J274" s="425" t="str">
        <f>INDEX(aux!B:B,MATCH(I274,aux!A:A,0))</f>
        <v>Vidro</v>
      </c>
      <c r="K274" s="433" t="str">
        <f>INDEX(aux!C:C,MATCH(I274,aux!A:A,0))</f>
        <v>Não</v>
      </c>
      <c r="L274" s="537">
        <f>0.3*0.661</f>
        <v>0.1983</v>
      </c>
      <c r="M274" s="539" t="s">
        <v>1532</v>
      </c>
      <c r="N274" s="139">
        <f t="shared" si="19"/>
        <v>198.3</v>
      </c>
      <c r="O274" s="539" t="s">
        <v>483</v>
      </c>
      <c r="P274" s="231" t="str">
        <f t="shared" si="20"/>
        <v>Reciclagem</v>
      </c>
      <c r="Q274" s="231" t="s">
        <v>1561</v>
      </c>
      <c r="R274" s="231" t="s">
        <v>1903</v>
      </c>
      <c r="S274" s="114" t="str">
        <f>IFERROR(INDEX(Tabela3[Tipos de Tratamento],MATCH('A3.9.1 copy'!O37,Tabela3[Código],0)),"")</f>
        <v>Acumulação de resíduos destinados a uma das operações enumeradas de R1 a R12</v>
      </c>
      <c r="T274" s="543" t="s">
        <v>1538</v>
      </c>
      <c r="U274" s="543" t="s">
        <v>1539</v>
      </c>
      <c r="V274" s="528"/>
    </row>
    <row r="275" spans="1:22" ht="15.75" hidden="1" thickBot="1" x14ac:dyDescent="0.3">
      <c r="A275" s="528" t="s">
        <v>3478</v>
      </c>
      <c r="B275" s="424" t="s">
        <v>45</v>
      </c>
      <c r="C275" s="82" t="str">
        <f t="shared" si="17"/>
        <v>Sede</v>
      </c>
      <c r="D275">
        <v>2022</v>
      </c>
      <c r="E275" s="250" t="s">
        <v>3499</v>
      </c>
      <c r="F275" s="250" t="s">
        <v>3566</v>
      </c>
      <c r="G275" t="s">
        <v>42</v>
      </c>
      <c r="H275" s="82" t="s">
        <v>34</v>
      </c>
      <c r="I275" s="655">
        <v>200102</v>
      </c>
      <c r="J275" s="425" t="str">
        <f>INDEX(aux!B:B,MATCH(I275,aux!A:A,0))</f>
        <v>Vidro</v>
      </c>
      <c r="K275" s="433" t="str">
        <f>INDEX(aux!C:C,MATCH(I275,aux!A:A,0))</f>
        <v>Não</v>
      </c>
      <c r="L275" s="676">
        <f>0.3*0.442</f>
        <v>0.1326</v>
      </c>
      <c r="M275" s="663" t="s">
        <v>1532</v>
      </c>
      <c r="N275" s="139">
        <f t="shared" si="19"/>
        <v>132.6</v>
      </c>
      <c r="O275" s="663" t="s">
        <v>483</v>
      </c>
      <c r="P275" s="231" t="str">
        <f t="shared" si="20"/>
        <v>Reciclagem</v>
      </c>
      <c r="Q275" s="231" t="s">
        <v>1561</v>
      </c>
      <c r="R275" s="231" t="s">
        <v>1903</v>
      </c>
      <c r="S275" s="114" t="str">
        <f>IFERROR(INDEX(Tabela3[Tipos de Tratamento],MATCH('A3.9.1 copy'!O45,Tabela3[Código],0)),"")</f>
        <v>Acumulação de resíduos destinados a uma das operações enumeradas de R1 a R12</v>
      </c>
      <c r="T275" s="543" t="s">
        <v>1538</v>
      </c>
      <c r="U275" s="543" t="s">
        <v>1539</v>
      </c>
      <c r="V275" s="528"/>
    </row>
    <row r="276" spans="1:22" ht="15.75" thickBot="1" x14ac:dyDescent="0.3">
      <c r="A276" s="527" t="s">
        <v>4611</v>
      </c>
      <c r="B276" s="527" t="s">
        <v>4583</v>
      </c>
      <c r="C276" s="82" t="str">
        <f t="shared" si="17"/>
        <v>oficina FERREIRAS</v>
      </c>
      <c r="D276">
        <v>2023</v>
      </c>
      <c r="E276" s="250" t="s">
        <v>3499</v>
      </c>
      <c r="F276" s="250" t="s">
        <v>3566</v>
      </c>
      <c r="G276" t="s">
        <v>42</v>
      </c>
      <c r="H276" s="82" t="s">
        <v>42</v>
      </c>
      <c r="I276" s="522">
        <v>160601</v>
      </c>
      <c r="J276" s="425" t="str">
        <f>INDEX(aux!B:B,MATCH(I276,aux!A:A,0))</f>
        <v>(*) Acumuladores de chumbo</v>
      </c>
      <c r="K276" s="433" t="str">
        <f>INDEX(aux!C:C,MATCH(I276,aux!A:A,0))</f>
        <v>Sim</v>
      </c>
      <c r="L276" s="360">
        <v>0.91</v>
      </c>
      <c r="M276" s="359" t="s">
        <v>1532</v>
      </c>
      <c r="N276" s="139">
        <f t="shared" si="19"/>
        <v>910</v>
      </c>
      <c r="O276" s="93" t="s">
        <v>483</v>
      </c>
      <c r="P276" s="231" t="str">
        <f t="shared" si="20"/>
        <v>Reciclagem</v>
      </c>
      <c r="Q276" s="231" t="s">
        <v>1653</v>
      </c>
      <c r="R276" s="231" t="s">
        <v>1877</v>
      </c>
      <c r="S276" s="667" t="s">
        <v>1553</v>
      </c>
      <c r="T276" s="540" t="s">
        <v>3245</v>
      </c>
      <c r="U276" s="540" t="s">
        <v>3245</v>
      </c>
      <c r="V276" s="93"/>
    </row>
    <row r="277" spans="1:22" ht="15.75" hidden="1" thickBot="1" x14ac:dyDescent="0.3">
      <c r="A277" s="424" t="s">
        <v>4611</v>
      </c>
      <c r="B277" s="424" t="s">
        <v>4583</v>
      </c>
      <c r="C277" s="82" t="str">
        <f t="shared" si="17"/>
        <v>oficina FERREIRAS</v>
      </c>
      <c r="D277">
        <v>2022</v>
      </c>
      <c r="E277" s="250" t="s">
        <v>3499</v>
      </c>
      <c r="F277" s="250" t="s">
        <v>3566</v>
      </c>
      <c r="G277" t="s">
        <v>42</v>
      </c>
      <c r="H277" s="82" t="s">
        <v>42</v>
      </c>
      <c r="I277" s="532">
        <v>160112</v>
      </c>
      <c r="J277" s="425" t="str">
        <f>INDEX(aux!B:B,MATCH(I277,aux!A:A,0))</f>
        <v>Pastilhas de travões não abrangidas em 16 01 11</v>
      </c>
      <c r="K277" s="433" t="str">
        <f>INDEX(aux!C:C,MATCH(I277,aux!A:A,0))</f>
        <v>Não</v>
      </c>
      <c r="L277" s="646">
        <v>0.81</v>
      </c>
      <c r="M277" s="535" t="s">
        <v>1532</v>
      </c>
      <c r="N277" s="139">
        <f t="shared" si="19"/>
        <v>810</v>
      </c>
      <c r="O277" s="538" t="s">
        <v>484</v>
      </c>
      <c r="P277" s="231" t="str">
        <f t="shared" si="20"/>
        <v>Reciclagem</v>
      </c>
      <c r="Q277" s="231" t="s">
        <v>1557</v>
      </c>
      <c r="R277" s="231" t="s">
        <v>1903</v>
      </c>
      <c r="S277" s="114" t="str">
        <f>IFERROR(INDEX(Tabela3[Tipos de Tratamento],MATCH('A3.9.1 copy'!O305,Tabela3[Código],0)),"")</f>
        <v xml:space="preserve">Troca de resíduos com vista a submetê-los a uma das operações enumeradas de R 1 a R 11 </v>
      </c>
      <c r="T277" s="429" t="s">
        <v>1539</v>
      </c>
      <c r="U277" s="429" t="s">
        <v>1574</v>
      </c>
      <c r="V277" s="93"/>
    </row>
    <row r="278" spans="1:22" ht="15.75" hidden="1" thickBot="1" x14ac:dyDescent="0.3">
      <c r="A278" s="424" t="s">
        <v>4611</v>
      </c>
      <c r="B278" s="424" t="s">
        <v>4583</v>
      </c>
      <c r="C278" s="82" t="str">
        <f t="shared" si="17"/>
        <v>oficina FERREIRAS</v>
      </c>
      <c r="D278">
        <v>2022</v>
      </c>
      <c r="E278" s="250" t="s">
        <v>3499</v>
      </c>
      <c r="F278" s="250" t="s">
        <v>3566</v>
      </c>
      <c r="G278" t="s">
        <v>42</v>
      </c>
      <c r="H278" s="82" t="s">
        <v>42</v>
      </c>
      <c r="I278" s="265">
        <v>160117</v>
      </c>
      <c r="J278" s="425" t="str">
        <f>INDEX(aux!B:B,MATCH(I278,aux!A:A,0))</f>
        <v>Metais ferrosos</v>
      </c>
      <c r="K278" s="433" t="str">
        <f>INDEX(aux!C:C,MATCH(I278,aux!A:A,0))</f>
        <v>Não</v>
      </c>
      <c r="L278" s="437">
        <v>2.25</v>
      </c>
      <c r="M278" s="433" t="s">
        <v>1532</v>
      </c>
      <c r="N278" s="139">
        <f t="shared" si="19"/>
        <v>2250</v>
      </c>
      <c r="O278" s="139" t="s">
        <v>483</v>
      </c>
      <c r="P278" s="231" t="str">
        <f t="shared" si="20"/>
        <v>Reciclagem</v>
      </c>
      <c r="Q278" s="231" t="s">
        <v>1557</v>
      </c>
      <c r="R278" s="231" t="s">
        <v>1903</v>
      </c>
      <c r="S278" s="114" t="str">
        <f>IFERROR(INDEX(Tabela3[Tipos de Tratamento],MATCH('A3.9.1 copy'!O306,Tabela3[Código],0)),"")</f>
        <v xml:space="preserve">Troca de resíduos com vista a submetê-los a uma das operações enumeradas de R 1 a R 11 </v>
      </c>
      <c r="T278" s="429" t="s">
        <v>3245</v>
      </c>
      <c r="U278" s="429" t="s">
        <v>3245</v>
      </c>
      <c r="V278" s="93"/>
    </row>
    <row r="279" spans="1:22" ht="15.75" thickBot="1" x14ac:dyDescent="0.3">
      <c r="A279" s="527" t="s">
        <v>4611</v>
      </c>
      <c r="B279" s="527" t="s">
        <v>4583</v>
      </c>
      <c r="C279" s="82" t="str">
        <f t="shared" si="17"/>
        <v>oficina FERREIRAS</v>
      </c>
      <c r="D279">
        <v>2023</v>
      </c>
      <c r="E279" s="250" t="s">
        <v>3499</v>
      </c>
      <c r="F279" s="250" t="s">
        <v>3566</v>
      </c>
      <c r="G279" t="s">
        <v>42</v>
      </c>
      <c r="H279" s="82" t="s">
        <v>42</v>
      </c>
      <c r="I279" s="530">
        <v>160112</v>
      </c>
      <c r="J279" s="425" t="str">
        <f>INDEX(aux!B:B,MATCH(I279,aux!A:A,0))</f>
        <v>Pastilhas de travões não abrangidas em 16 01 11</v>
      </c>
      <c r="K279" s="433" t="str">
        <f>INDEX(aux!C:C,MATCH(I279,aux!A:A,0))</f>
        <v>Não</v>
      </c>
      <c r="L279" s="536">
        <v>0.27</v>
      </c>
      <c r="M279" s="534" t="s">
        <v>1532</v>
      </c>
      <c r="N279" s="139">
        <f t="shared" si="19"/>
        <v>270</v>
      </c>
      <c r="O279" s="540" t="s">
        <v>484</v>
      </c>
      <c r="P279" s="231" t="str">
        <f t="shared" si="20"/>
        <v>Reciclagem</v>
      </c>
      <c r="Q279" s="231" t="s">
        <v>1557</v>
      </c>
      <c r="R279" s="231" t="s">
        <v>6569</v>
      </c>
      <c r="S279" s="667" t="s">
        <v>485</v>
      </c>
      <c r="T279" s="540" t="s">
        <v>1539</v>
      </c>
      <c r="U279" s="540" t="s">
        <v>1574</v>
      </c>
      <c r="V279" s="93"/>
    </row>
    <row r="280" spans="1:22" ht="15.75" thickBot="1" x14ac:dyDescent="0.3">
      <c r="A280" s="527" t="s">
        <v>4611</v>
      </c>
      <c r="B280" s="527" t="s">
        <v>4583</v>
      </c>
      <c r="C280" s="82" t="str">
        <f t="shared" si="17"/>
        <v>oficina FERREIRAS</v>
      </c>
      <c r="D280">
        <v>2023</v>
      </c>
      <c r="E280" s="250" t="s">
        <v>3499</v>
      </c>
      <c r="F280" s="250" t="s">
        <v>3566</v>
      </c>
      <c r="G280" t="s">
        <v>42</v>
      </c>
      <c r="H280" s="82" t="s">
        <v>42</v>
      </c>
      <c r="I280" s="530">
        <v>160117</v>
      </c>
      <c r="J280" s="425" t="str">
        <f>INDEX(aux!B:B,MATCH(I280,aux!A:A,0))</f>
        <v>Metais ferrosos</v>
      </c>
      <c r="K280" s="433" t="str">
        <f>INDEX(aux!C:C,MATCH(I280,aux!A:A,0))</f>
        <v>Não</v>
      </c>
      <c r="L280" s="536">
        <v>1.94</v>
      </c>
      <c r="M280" s="534" t="s">
        <v>1532</v>
      </c>
      <c r="N280" s="139">
        <f t="shared" si="19"/>
        <v>1940</v>
      </c>
      <c r="O280" s="540" t="s">
        <v>483</v>
      </c>
      <c r="P280" s="231" t="str">
        <f t="shared" si="20"/>
        <v>Reciclagem</v>
      </c>
      <c r="Q280" s="231" t="s">
        <v>1557</v>
      </c>
      <c r="R280" s="231" t="s">
        <v>6569</v>
      </c>
      <c r="S280" s="667" t="s">
        <v>485</v>
      </c>
      <c r="T280" s="540" t="s">
        <v>3245</v>
      </c>
      <c r="U280" s="540" t="s">
        <v>3245</v>
      </c>
      <c r="V280" s="93"/>
    </row>
    <row r="281" spans="1:22" ht="15.75" hidden="1" thickBot="1" x14ac:dyDescent="0.3">
      <c r="A281" s="424" t="s">
        <v>4611</v>
      </c>
      <c r="B281" s="424" t="s">
        <v>4583</v>
      </c>
      <c r="C281" s="82" t="str">
        <f t="shared" si="17"/>
        <v>oficina FERREIRAS</v>
      </c>
      <c r="D281">
        <v>2022</v>
      </c>
      <c r="E281" s="250" t="s">
        <v>3499</v>
      </c>
      <c r="F281" s="250" t="s">
        <v>3566</v>
      </c>
      <c r="G281" t="s">
        <v>42</v>
      </c>
      <c r="H281" s="82" t="s">
        <v>42</v>
      </c>
      <c r="I281" s="265">
        <v>150111</v>
      </c>
      <c r="J281" s="425" t="str">
        <f>INDEX(aux!B:B,MATCH(I281,aux!A:A,0))</f>
        <v>(*) Embalagens de metal, incluindo recipientes vazios sob pressão, contendo uma matriz porosa sólida perigosa (por exemplo, amianto)</v>
      </c>
      <c r="K281" s="433" t="str">
        <f>INDEX(aux!C:C,MATCH(I281,aux!A:A,0))</f>
        <v>Sim</v>
      </c>
      <c r="L281" s="437">
        <v>7.1999999999999995E-2</v>
      </c>
      <c r="M281" s="433" t="s">
        <v>1532</v>
      </c>
      <c r="N281" s="139">
        <f t="shared" si="19"/>
        <v>72</v>
      </c>
      <c r="O281" s="139" t="s">
        <v>484</v>
      </c>
      <c r="P281" s="231" t="str">
        <f t="shared" si="20"/>
        <v>Reciclagem</v>
      </c>
      <c r="Q281" s="231" t="s">
        <v>1906</v>
      </c>
      <c r="R281" s="231" t="s">
        <v>1903</v>
      </c>
      <c r="S281" s="114" t="str">
        <f>IFERROR(INDEX(Tabela3[Tipos de Tratamento],MATCH('A3.9.1 copy'!O300,Tabela3[Código],0)),"")</f>
        <v>Acumulação de resíduos destinados a uma das operações enumeradas de R1 a R12</v>
      </c>
      <c r="T281" s="429" t="s">
        <v>1539</v>
      </c>
      <c r="U281" s="429" t="s">
        <v>1574</v>
      </c>
      <c r="V281" s="422"/>
    </row>
    <row r="282" spans="1:22" ht="15.75" thickBot="1" x14ac:dyDescent="0.3">
      <c r="A282" s="527" t="s">
        <v>4611</v>
      </c>
      <c r="B282" s="527" t="s">
        <v>4583</v>
      </c>
      <c r="C282" s="82" t="str">
        <f t="shared" si="17"/>
        <v>oficina FERREIRAS</v>
      </c>
      <c r="D282">
        <v>2023</v>
      </c>
      <c r="E282" s="250" t="s">
        <v>3499</v>
      </c>
      <c r="F282" s="250" t="s">
        <v>3566</v>
      </c>
      <c r="G282" t="s">
        <v>42</v>
      </c>
      <c r="H282" s="82" t="s">
        <v>42</v>
      </c>
      <c r="I282" s="530">
        <v>150104</v>
      </c>
      <c r="J282" s="425" t="str">
        <f>INDEX(aux!B:B,MATCH(I282,aux!A:A,0))</f>
        <v>Embalagens de metal</v>
      </c>
      <c r="K282" s="433" t="str">
        <f>INDEX(aux!C:C,MATCH(I282,aux!A:A,0))</f>
        <v>Não</v>
      </c>
      <c r="L282" s="536">
        <v>7.4999999999999997E-2</v>
      </c>
      <c r="M282" s="534" t="s">
        <v>1532</v>
      </c>
      <c r="N282" s="139">
        <f t="shared" si="19"/>
        <v>75</v>
      </c>
      <c r="O282" s="540" t="s">
        <v>484</v>
      </c>
      <c r="P282" s="231" t="str">
        <f t="shared" si="20"/>
        <v>Reciclagem</v>
      </c>
      <c r="Q282" s="231" t="s">
        <v>1906</v>
      </c>
      <c r="R282" s="231" t="s">
        <v>6569</v>
      </c>
      <c r="S282" s="667" t="s">
        <v>1553</v>
      </c>
      <c r="T282" s="540" t="s">
        <v>1539</v>
      </c>
      <c r="U282" s="540" t="s">
        <v>1574</v>
      </c>
      <c r="V282" s="422"/>
    </row>
    <row r="283" spans="1:22" ht="15.75" thickBot="1" x14ac:dyDescent="0.3">
      <c r="A283" s="527" t="s">
        <v>4611</v>
      </c>
      <c r="B283" s="527" t="s">
        <v>4583</v>
      </c>
      <c r="C283" s="82" t="str">
        <f t="shared" si="17"/>
        <v>oficina FERREIRAS</v>
      </c>
      <c r="D283">
        <v>2023</v>
      </c>
      <c r="E283" s="250" t="s">
        <v>3499</v>
      </c>
      <c r="F283" s="250" t="s">
        <v>3566</v>
      </c>
      <c r="G283" t="s">
        <v>42</v>
      </c>
      <c r="H283" s="82" t="s">
        <v>42</v>
      </c>
      <c r="I283" s="530">
        <v>150111</v>
      </c>
      <c r="J283" s="425" t="str">
        <f>INDEX(aux!B:B,MATCH(I283,aux!A:A,0))</f>
        <v>(*) Embalagens de metal, incluindo recipientes vazios sob pressão, contendo uma matriz porosa sólida perigosa (por exemplo, amianto)</v>
      </c>
      <c r="K283" s="433" t="str">
        <f>INDEX(aux!C:C,MATCH(I283,aux!A:A,0))</f>
        <v>Sim</v>
      </c>
      <c r="L283" s="536">
        <v>1.7999999999999999E-2</v>
      </c>
      <c r="M283" s="534" t="s">
        <v>1532</v>
      </c>
      <c r="N283" s="139">
        <f t="shared" si="19"/>
        <v>18</v>
      </c>
      <c r="O283" s="540" t="s">
        <v>484</v>
      </c>
      <c r="P283" s="231" t="str">
        <f t="shared" si="20"/>
        <v>Reciclagem</v>
      </c>
      <c r="Q283" s="231" t="s">
        <v>1906</v>
      </c>
      <c r="R283" s="231" t="s">
        <v>6569</v>
      </c>
      <c r="S283" s="667" t="s">
        <v>1556</v>
      </c>
      <c r="T283" s="540" t="s">
        <v>1539</v>
      </c>
      <c r="U283" s="540" t="s">
        <v>1574</v>
      </c>
      <c r="V283" s="422"/>
    </row>
    <row r="284" spans="1:22" ht="15.75" hidden="1" thickBot="1" x14ac:dyDescent="0.3">
      <c r="A284" s="424" t="s">
        <v>4611</v>
      </c>
      <c r="B284" s="424" t="s">
        <v>4583</v>
      </c>
      <c r="C284" s="82" t="str">
        <f t="shared" si="17"/>
        <v>oficina FERREIRAS</v>
      </c>
      <c r="D284">
        <v>2022</v>
      </c>
      <c r="E284" s="250" t="s">
        <v>3499</v>
      </c>
      <c r="F284" s="250" t="s">
        <v>3566</v>
      </c>
      <c r="G284" t="s">
        <v>42</v>
      </c>
      <c r="H284" s="82" t="s">
        <v>42</v>
      </c>
      <c r="I284" s="265">
        <v>130208</v>
      </c>
      <c r="J284" s="425" t="str">
        <f>INDEX(aux!B:B,MATCH(I284,aux!A:A,0))</f>
        <v>(*) Outros óleos de motores, transmissões e lubrificação</v>
      </c>
      <c r="K284" s="433" t="str">
        <f>INDEX(aux!C:C,MATCH(I284,aux!A:A,0))</f>
        <v>Sim</v>
      </c>
      <c r="L284" s="437">
        <v>4.4489999999999998</v>
      </c>
      <c r="M284" s="433" t="s">
        <v>1532</v>
      </c>
      <c r="N284" s="139">
        <f t="shared" si="19"/>
        <v>4449</v>
      </c>
      <c r="O284" s="139" t="s">
        <v>484</v>
      </c>
      <c r="P284" s="231" t="str">
        <f t="shared" si="20"/>
        <v>Reciclagem</v>
      </c>
      <c r="Q284" s="231" t="s">
        <v>1902</v>
      </c>
      <c r="R284" s="231" t="s">
        <v>1877</v>
      </c>
      <c r="S284" s="114" t="str">
        <f>IFERROR(INDEX(Tabela3[Tipos de Tratamento],MATCH('A3.9.1 copy'!O294,Tabela3[Código],0)),"")</f>
        <v>Armazenagem enquanto se aguarda a execução de uma das operações enumeradas de D1 a D14</v>
      </c>
      <c r="T284" s="429" t="s">
        <v>3215</v>
      </c>
      <c r="U284" s="429" t="s">
        <v>3215</v>
      </c>
      <c r="V284" s="93"/>
    </row>
    <row r="285" spans="1:22" ht="15.75" thickBot="1" x14ac:dyDescent="0.3">
      <c r="A285" s="527" t="s">
        <v>4611</v>
      </c>
      <c r="B285" s="527" t="s">
        <v>4583</v>
      </c>
      <c r="C285" s="82" t="str">
        <f t="shared" si="17"/>
        <v>oficina FERREIRAS</v>
      </c>
      <c r="D285">
        <v>2023</v>
      </c>
      <c r="E285" s="250" t="s">
        <v>3499</v>
      </c>
      <c r="F285" s="250" t="s">
        <v>3566</v>
      </c>
      <c r="G285" t="s">
        <v>42</v>
      </c>
      <c r="H285" s="82" t="s">
        <v>42</v>
      </c>
      <c r="I285" s="530">
        <v>130208</v>
      </c>
      <c r="J285" s="425" t="str">
        <f>INDEX(aux!B:B,MATCH(I285,aux!A:A,0))</f>
        <v>(*) Outros óleos de motores, transmissões e lubrificação</v>
      </c>
      <c r="K285" s="433" t="str">
        <f>INDEX(aux!C:C,MATCH(I285,aux!A:A,0))</f>
        <v>Sim</v>
      </c>
      <c r="L285" s="536">
        <v>2.6739999999999999</v>
      </c>
      <c r="M285" s="534" t="s">
        <v>1532</v>
      </c>
      <c r="N285" s="139">
        <f t="shared" si="19"/>
        <v>2674</v>
      </c>
      <c r="O285" s="540" t="s">
        <v>484</v>
      </c>
      <c r="P285" s="231" t="str">
        <f t="shared" si="20"/>
        <v>Reciclagem</v>
      </c>
      <c r="Q285" s="231" t="s">
        <v>1902</v>
      </c>
      <c r="R285" s="231" t="s">
        <v>1877</v>
      </c>
      <c r="S285" s="667" t="s">
        <v>518</v>
      </c>
      <c r="T285" s="540" t="s">
        <v>3215</v>
      </c>
      <c r="U285" s="540" t="s">
        <v>3215</v>
      </c>
      <c r="V285" s="93"/>
    </row>
    <row r="286" spans="1:22" ht="15.75" hidden="1" thickBot="1" x14ac:dyDescent="0.3">
      <c r="A286" s="424" t="s">
        <v>4611</v>
      </c>
      <c r="B286" s="424" t="s">
        <v>4583</v>
      </c>
      <c r="C286" s="82" t="str">
        <f t="shared" si="17"/>
        <v>oficina FERREIRAS</v>
      </c>
      <c r="D286">
        <v>2022</v>
      </c>
      <c r="E286" s="250" t="s">
        <v>3499</v>
      </c>
      <c r="F286" s="250" t="s">
        <v>3566</v>
      </c>
      <c r="G286" t="s">
        <v>42</v>
      </c>
      <c r="H286" s="82" t="s">
        <v>42</v>
      </c>
      <c r="I286" s="265">
        <v>150101</v>
      </c>
      <c r="J286" s="425" t="str">
        <f>INDEX(aux!B:B,MATCH(I286,aux!A:A,0))</f>
        <v>Embalagens de papel e cartão</v>
      </c>
      <c r="K286" s="433" t="str">
        <f>INDEX(aux!C:C,MATCH(I286,aux!A:A,0))</f>
        <v>Não</v>
      </c>
      <c r="L286" s="437">
        <v>0.28799999999999998</v>
      </c>
      <c r="M286" s="433" t="s">
        <v>1532</v>
      </c>
      <c r="N286" s="139">
        <f t="shared" si="19"/>
        <v>288</v>
      </c>
      <c r="O286" s="139" t="s">
        <v>483</v>
      </c>
      <c r="P286" s="231" t="str">
        <f t="shared" si="20"/>
        <v>Reciclagem</v>
      </c>
      <c r="Q286" s="231" t="s">
        <v>1904</v>
      </c>
      <c r="R286" s="231" t="s">
        <v>1903</v>
      </c>
      <c r="S286" s="114" t="str">
        <f>IFERROR(INDEX(Tabela3[Tipos de Tratamento],MATCH('A3.9.1 copy'!O298,Tabela3[Código],0)),"")</f>
        <v xml:space="preserve">Troca de resíduos com vista a submetê-los a uma das operações enumeradas de R 1 a R 11 </v>
      </c>
      <c r="T286" s="429" t="s">
        <v>3245</v>
      </c>
      <c r="U286" s="429" t="s">
        <v>3245</v>
      </c>
      <c r="V286" s="93"/>
    </row>
    <row r="287" spans="1:22" ht="15.75" thickBot="1" x14ac:dyDescent="0.3">
      <c r="A287" s="527" t="s">
        <v>4611</v>
      </c>
      <c r="B287" s="527" t="s">
        <v>4583</v>
      </c>
      <c r="C287" s="82" t="str">
        <f t="shared" si="17"/>
        <v>oficina FERREIRAS</v>
      </c>
      <c r="D287">
        <v>2023</v>
      </c>
      <c r="E287" s="250" t="s">
        <v>3499</v>
      </c>
      <c r="F287" s="250" t="s">
        <v>3566</v>
      </c>
      <c r="G287" t="s">
        <v>42</v>
      </c>
      <c r="H287" s="82" t="s">
        <v>42</v>
      </c>
      <c r="I287" s="530">
        <v>150101</v>
      </c>
      <c r="J287" s="425" t="str">
        <f>INDEX(aux!B:B,MATCH(I287,aux!A:A,0))</f>
        <v>Embalagens de papel e cartão</v>
      </c>
      <c r="K287" s="433" t="str">
        <f>INDEX(aux!C:C,MATCH(I287,aux!A:A,0))</f>
        <v>Não</v>
      </c>
      <c r="L287" s="536">
        <v>0.40799999999999997</v>
      </c>
      <c r="M287" s="534" t="s">
        <v>1532</v>
      </c>
      <c r="N287" s="139">
        <f t="shared" si="19"/>
        <v>408</v>
      </c>
      <c r="O287" s="540" t="s">
        <v>483</v>
      </c>
      <c r="P287" s="231" t="str">
        <f t="shared" si="20"/>
        <v>Reciclagem</v>
      </c>
      <c r="Q287" s="231" t="s">
        <v>1904</v>
      </c>
      <c r="R287" s="231" t="s">
        <v>6569</v>
      </c>
      <c r="S287" s="667" t="s">
        <v>485</v>
      </c>
      <c r="T287" s="540" t="s">
        <v>3245</v>
      </c>
      <c r="U287" s="540" t="s">
        <v>3245</v>
      </c>
      <c r="V287" s="422"/>
    </row>
    <row r="288" spans="1:22" ht="15.75" hidden="1" thickBot="1" x14ac:dyDescent="0.3">
      <c r="A288" s="424" t="s">
        <v>4611</v>
      </c>
      <c r="B288" s="424" t="s">
        <v>4583</v>
      </c>
      <c r="C288" s="82" t="str">
        <f t="shared" si="17"/>
        <v>oficina FERREIRAS</v>
      </c>
      <c r="D288">
        <v>2022</v>
      </c>
      <c r="E288" s="250" t="s">
        <v>3499</v>
      </c>
      <c r="F288" s="250" t="s">
        <v>3566</v>
      </c>
      <c r="G288" t="s">
        <v>42</v>
      </c>
      <c r="H288" s="82" t="s">
        <v>42</v>
      </c>
      <c r="I288" s="265">
        <v>160119</v>
      </c>
      <c r="J288" s="425" t="str">
        <f>INDEX(aux!B:B,MATCH(I288,aux!A:A,0))</f>
        <v>Plástico</v>
      </c>
      <c r="K288" s="433" t="str">
        <f>INDEX(aux!C:C,MATCH(I288,aux!A:A,0))</f>
        <v>Não</v>
      </c>
      <c r="L288" s="437">
        <v>0.22</v>
      </c>
      <c r="M288" s="433" t="s">
        <v>1532</v>
      </c>
      <c r="N288" s="139">
        <f t="shared" si="19"/>
        <v>220</v>
      </c>
      <c r="O288" s="139" t="s">
        <v>483</v>
      </c>
      <c r="P288" s="231" t="str">
        <f t="shared" si="20"/>
        <v>Reciclagem</v>
      </c>
      <c r="Q288" s="231" t="s">
        <v>1560</v>
      </c>
      <c r="R288" s="231" t="s">
        <v>1903</v>
      </c>
      <c r="S288" s="114" t="str">
        <f>IFERROR(INDEX(Tabela3[Tipos de Tratamento],MATCH('A3.9.1 copy'!O307,Tabela3[Código],0)),"")</f>
        <v xml:space="preserve">Troca de resíduos com vista a submetê-los a uma das operações enumeradas de R 1 a R 11 </v>
      </c>
      <c r="T288" s="429" t="s">
        <v>3245</v>
      </c>
      <c r="U288" s="429" t="s">
        <v>3245</v>
      </c>
      <c r="V288" s="422"/>
    </row>
    <row r="289" spans="1:22" ht="15.75" thickBot="1" x14ac:dyDescent="0.3">
      <c r="A289" s="527" t="s">
        <v>4611</v>
      </c>
      <c r="B289" s="527" t="s">
        <v>4583</v>
      </c>
      <c r="C289" s="82" t="str">
        <f t="shared" si="17"/>
        <v>oficina FERREIRAS</v>
      </c>
      <c r="D289">
        <v>2023</v>
      </c>
      <c r="E289" s="250" t="s">
        <v>3499</v>
      </c>
      <c r="F289" s="250" t="s">
        <v>3566</v>
      </c>
      <c r="G289" t="s">
        <v>42</v>
      </c>
      <c r="H289" s="82" t="s">
        <v>42</v>
      </c>
      <c r="I289" s="530">
        <v>160119</v>
      </c>
      <c r="J289" s="425" t="str">
        <f>INDEX(aux!B:B,MATCH(I289,aux!A:A,0))</f>
        <v>Plástico</v>
      </c>
      <c r="K289" s="433" t="str">
        <f>INDEX(aux!C:C,MATCH(I289,aux!A:A,0))</f>
        <v>Não</v>
      </c>
      <c r="L289" s="536">
        <v>0.11799999999999999</v>
      </c>
      <c r="M289" s="534" t="s">
        <v>1532</v>
      </c>
      <c r="N289" s="139">
        <f t="shared" si="19"/>
        <v>118</v>
      </c>
      <c r="O289" s="540" t="s">
        <v>483</v>
      </c>
      <c r="P289" s="231" t="str">
        <f t="shared" si="20"/>
        <v>Reciclagem</v>
      </c>
      <c r="Q289" s="231" t="s">
        <v>1560</v>
      </c>
      <c r="R289" s="231" t="s">
        <v>6569</v>
      </c>
      <c r="S289" s="667" t="s">
        <v>1553</v>
      </c>
      <c r="T289" s="540" t="s">
        <v>3245</v>
      </c>
      <c r="U289" s="540" t="s">
        <v>3245</v>
      </c>
      <c r="V289" s="422"/>
    </row>
    <row r="290" spans="1:22" ht="15.75" hidden="1" thickBot="1" x14ac:dyDescent="0.3">
      <c r="A290" s="424" t="s">
        <v>4611</v>
      </c>
      <c r="B290" s="424" t="s">
        <v>4583</v>
      </c>
      <c r="C290" s="82" t="str">
        <f t="shared" si="17"/>
        <v>oficina FERREIRAS</v>
      </c>
      <c r="D290">
        <v>2022</v>
      </c>
      <c r="E290" s="250" t="s">
        <v>3499</v>
      </c>
      <c r="F290" s="250" t="s">
        <v>3566</v>
      </c>
      <c r="G290" t="s">
        <v>42</v>
      </c>
      <c r="H290" s="82" t="s">
        <v>42</v>
      </c>
      <c r="I290" s="265">
        <v>130502</v>
      </c>
      <c r="J290" s="425" t="str">
        <f>INDEX(aux!B:B,MATCH(I290,aux!A:A,0))</f>
        <v>(*) Lamas provenientes dos separadores óleo/água</v>
      </c>
      <c r="K290" s="433" t="str">
        <f>INDEX(aux!C:C,MATCH(I290,aux!A:A,0))</f>
        <v>Sim</v>
      </c>
      <c r="L290" s="437">
        <v>2.82</v>
      </c>
      <c r="M290" s="433" t="s">
        <v>1532</v>
      </c>
      <c r="N290" s="139">
        <f t="shared" si="19"/>
        <v>2820</v>
      </c>
      <c r="O290" s="139" t="s">
        <v>503</v>
      </c>
      <c r="P290" s="231" t="str">
        <f t="shared" si="20"/>
        <v>Aterro</v>
      </c>
      <c r="Q290" s="231" t="s">
        <v>1901</v>
      </c>
      <c r="R290" s="231" t="s">
        <v>1892</v>
      </c>
      <c r="S290" s="114" t="str">
        <f>IFERROR(INDEX(Tabela3[Tipos de Tratamento],MATCH('A3.9.1 copy'!O295,Tabela3[Código],0)),"")</f>
        <v xml:space="preserve">Troca de resíduos com vista a submetê-los a uma das operações enumeradas de R 1 a R 11 </v>
      </c>
      <c r="T290" s="429" t="s">
        <v>3215</v>
      </c>
      <c r="U290" s="429" t="s">
        <v>3248</v>
      </c>
      <c r="V290" s="93"/>
    </row>
    <row r="291" spans="1:22" ht="15.75" hidden="1" thickBot="1" x14ac:dyDescent="0.3">
      <c r="A291" s="424" t="s">
        <v>4611</v>
      </c>
      <c r="B291" s="424" t="s">
        <v>4583</v>
      </c>
      <c r="C291" s="82" t="str">
        <f t="shared" si="17"/>
        <v>oficina FERREIRAS</v>
      </c>
      <c r="D291">
        <v>2022</v>
      </c>
      <c r="E291" s="250" t="s">
        <v>3499</v>
      </c>
      <c r="F291" s="250" t="s">
        <v>3566</v>
      </c>
      <c r="G291" t="s">
        <v>42</v>
      </c>
      <c r="H291" s="82" t="s">
        <v>42</v>
      </c>
      <c r="I291" s="265">
        <v>130507</v>
      </c>
      <c r="J291" s="425" t="str">
        <f>INDEX(aux!B:B,MATCH(I291,aux!A:A,0))</f>
        <v>(*) Água com óleo proveniente dos separadores óleo/água</v>
      </c>
      <c r="K291" s="433" t="str">
        <f>INDEX(aux!C:C,MATCH(I291,aux!A:A,0))</f>
        <v>Sim</v>
      </c>
      <c r="L291" s="437">
        <v>9.64</v>
      </c>
      <c r="M291" s="433" t="s">
        <v>1532</v>
      </c>
      <c r="N291" s="139">
        <f t="shared" si="19"/>
        <v>9640</v>
      </c>
      <c r="O291" s="139" t="s">
        <v>503</v>
      </c>
      <c r="P291" s="231" t="str">
        <f t="shared" si="20"/>
        <v>Aterro</v>
      </c>
      <c r="Q291" s="231" t="s">
        <v>1901</v>
      </c>
      <c r="R291" s="231" t="s">
        <v>1892</v>
      </c>
      <c r="S291" s="114" t="str">
        <f>IFERROR(INDEX(Tabela3[Tipos de Tratamento],MATCH('A3.9.1 copy'!O296,Tabela3[Código],0)),"")</f>
        <v>Acumulação de resíduos destinados a uma das operações enumeradas de R1 a R12</v>
      </c>
      <c r="T291" s="429" t="s">
        <v>3215</v>
      </c>
      <c r="U291" s="429" t="s">
        <v>3248</v>
      </c>
      <c r="V291" s="93"/>
    </row>
    <row r="292" spans="1:22" ht="15.75" hidden="1" thickBot="1" x14ac:dyDescent="0.3">
      <c r="A292" s="424" t="s">
        <v>4611</v>
      </c>
      <c r="B292" s="424" t="s">
        <v>4583</v>
      </c>
      <c r="C292" s="82" t="str">
        <f t="shared" si="17"/>
        <v>oficina FERREIRAS</v>
      </c>
      <c r="D292">
        <v>2022</v>
      </c>
      <c r="E292" s="250" t="s">
        <v>3499</v>
      </c>
      <c r="F292" s="250" t="s">
        <v>3566</v>
      </c>
      <c r="G292" t="s">
        <v>42</v>
      </c>
      <c r="H292" s="82" t="s">
        <v>42</v>
      </c>
      <c r="I292" s="265">
        <v>140603</v>
      </c>
      <c r="J292" s="425" t="str">
        <f>INDEX(aux!B:B,MATCH(I292,aux!A:A,0))</f>
        <v>Outros solventes e misturas de solventes</v>
      </c>
      <c r="K292" s="433" t="str">
        <f>INDEX(aux!C:C,MATCH(I292,aux!A:A,0))</f>
        <v>Sim</v>
      </c>
      <c r="L292" s="437">
        <v>0.16400000000000001</v>
      </c>
      <c r="M292" s="433" t="s">
        <v>1532</v>
      </c>
      <c r="N292" s="139">
        <f t="shared" si="19"/>
        <v>164</v>
      </c>
      <c r="O292" s="139" t="s">
        <v>484</v>
      </c>
      <c r="P292" s="231" t="str">
        <f t="shared" si="20"/>
        <v>Reciclagem</v>
      </c>
      <c r="Q292" s="231" t="s">
        <v>1901</v>
      </c>
      <c r="R292" s="231" t="s">
        <v>1892</v>
      </c>
      <c r="S292" s="114" t="str">
        <f>IFERROR(INDEX(Tabela3[Tipos de Tratamento],MATCH('A3.9.1 copy'!O297,Tabela3[Código],0)),"")</f>
        <v xml:space="preserve">Troca de resíduos com vista a submetê-los a uma das operações enumeradas de R 1 a R 11 </v>
      </c>
      <c r="T292" s="429" t="s">
        <v>1539</v>
      </c>
      <c r="U292" s="429" t="s">
        <v>1574</v>
      </c>
      <c r="V292" s="93"/>
    </row>
    <row r="293" spans="1:22" ht="15.75" hidden="1" thickBot="1" x14ac:dyDescent="0.3">
      <c r="A293" s="424" t="s">
        <v>4611</v>
      </c>
      <c r="B293" s="424" t="s">
        <v>4583</v>
      </c>
      <c r="C293" s="82" t="str">
        <f t="shared" si="17"/>
        <v>oficina FERREIRAS</v>
      </c>
      <c r="D293">
        <v>2022</v>
      </c>
      <c r="E293" s="250" t="s">
        <v>3499</v>
      </c>
      <c r="F293" s="250" t="s">
        <v>3566</v>
      </c>
      <c r="G293" t="s">
        <v>42</v>
      </c>
      <c r="H293" s="82" t="s">
        <v>42</v>
      </c>
      <c r="I293" s="265">
        <v>150110</v>
      </c>
      <c r="J293" s="425" t="str">
        <f>INDEX(aux!B:B,MATCH(I293,aux!A:A,0))</f>
        <v>(*) Embalagens contendo ou contaminadas por resíduos de substâncias perigosas</v>
      </c>
      <c r="K293" s="433" t="str">
        <f>INDEX(aux!C:C,MATCH(I293,aux!A:A,0))</f>
        <v>Sim</v>
      </c>
      <c r="L293" s="437">
        <v>0.18</v>
      </c>
      <c r="M293" s="433" t="s">
        <v>1532</v>
      </c>
      <c r="N293" s="139">
        <f t="shared" si="19"/>
        <v>180</v>
      </c>
      <c r="O293" s="139" t="s">
        <v>484</v>
      </c>
      <c r="P293" s="231" t="str">
        <f t="shared" si="20"/>
        <v>Reciclagem</v>
      </c>
      <c r="Q293" s="231" t="s">
        <v>1901</v>
      </c>
      <c r="R293" s="231" t="s">
        <v>1892</v>
      </c>
      <c r="S293" s="114" t="str">
        <f>IFERROR(INDEX(Tabela3[Tipos de Tratamento],MATCH('A3.9.1 copy'!O299,Tabela3[Código],0)),"")</f>
        <v xml:space="preserve">Reciclagem/recuperação de outras matérias inorgânicas </v>
      </c>
      <c r="T293" s="429" t="s">
        <v>1539</v>
      </c>
      <c r="U293" s="429" t="s">
        <v>1574</v>
      </c>
      <c r="V293" s="93"/>
    </row>
    <row r="294" spans="1:22" ht="15.75" hidden="1" thickBot="1" x14ac:dyDescent="0.3">
      <c r="A294" s="424" t="s">
        <v>4611</v>
      </c>
      <c r="B294" s="424" t="s">
        <v>4583</v>
      </c>
      <c r="C294" s="82" t="str">
        <f t="shared" si="17"/>
        <v>oficina FERREIRAS</v>
      </c>
      <c r="D294">
        <v>2022</v>
      </c>
      <c r="E294" s="250" t="s">
        <v>3499</v>
      </c>
      <c r="F294" s="250" t="s">
        <v>3566</v>
      </c>
      <c r="G294" t="s">
        <v>42</v>
      </c>
      <c r="H294" s="82" t="s">
        <v>42</v>
      </c>
      <c r="I294" s="265">
        <v>150202</v>
      </c>
      <c r="J294" s="425" t="str">
        <f>INDEX(aux!B:B,MATCH(I294,aux!A:A,0))</f>
        <v>(*) Absorventes, materiais filtrantes (incluindo filtros de óleo sem outras especificações), panos de limpeza e vestuário de proteção, contaminados por substâncias perigosas</v>
      </c>
      <c r="K294" s="433" t="str">
        <f>INDEX(aux!C:C,MATCH(I294,aux!A:A,0))</f>
        <v>Sim</v>
      </c>
      <c r="L294" s="437">
        <v>0.16</v>
      </c>
      <c r="M294" s="433" t="s">
        <v>1532</v>
      </c>
      <c r="N294" s="139">
        <f t="shared" si="19"/>
        <v>160</v>
      </c>
      <c r="O294" s="139" t="s">
        <v>509</v>
      </c>
      <c r="P294" s="231" t="str">
        <f t="shared" si="20"/>
        <v>Aterro</v>
      </c>
      <c r="Q294" s="231" t="s">
        <v>1901</v>
      </c>
      <c r="R294" s="231" t="s">
        <v>1892</v>
      </c>
      <c r="S294" s="114" t="str">
        <f>IFERROR(INDEX(Tabela3[Tipos de Tratamento],MATCH('A3.9.1 copy'!O301,Tabela3[Código],0)),"")</f>
        <v>Acumulação de resíduos destinados a uma das operações enumeradas de R1 a R12</v>
      </c>
      <c r="T294" s="429" t="s">
        <v>3245</v>
      </c>
      <c r="U294" s="429" t="s">
        <v>3247</v>
      </c>
      <c r="V294" s="93"/>
    </row>
    <row r="295" spans="1:22" ht="15.75" hidden="1" thickBot="1" x14ac:dyDescent="0.3">
      <c r="A295" s="424" t="s">
        <v>4611</v>
      </c>
      <c r="B295" s="424" t="s">
        <v>4583</v>
      </c>
      <c r="C295" s="82" t="str">
        <f t="shared" si="17"/>
        <v>oficina FERREIRAS</v>
      </c>
      <c r="D295">
        <v>2022</v>
      </c>
      <c r="E295" s="250" t="s">
        <v>3499</v>
      </c>
      <c r="F295" s="250" t="s">
        <v>3566</v>
      </c>
      <c r="G295" t="s">
        <v>42</v>
      </c>
      <c r="H295" s="82" t="s">
        <v>42</v>
      </c>
      <c r="I295" s="265">
        <v>150202</v>
      </c>
      <c r="J295" s="425" t="str">
        <f>INDEX(aux!B:B,MATCH(I295,aux!A:A,0))</f>
        <v>(*) Absorventes, materiais filtrantes (incluindo filtros de óleo sem outras especificações), panos de limpeza e vestuário de proteção, contaminados por substâncias perigosas</v>
      </c>
      <c r="K295" s="433" t="str">
        <f>INDEX(aux!C:C,MATCH(I295,aux!A:A,0))</f>
        <v>Sim</v>
      </c>
      <c r="L295" s="437">
        <v>3.32</v>
      </c>
      <c r="M295" s="433" t="s">
        <v>1532</v>
      </c>
      <c r="N295" s="139">
        <f t="shared" si="19"/>
        <v>3320</v>
      </c>
      <c r="O295" s="139" t="s">
        <v>483</v>
      </c>
      <c r="P295" s="231" t="str">
        <f t="shared" si="20"/>
        <v>Reciclagem</v>
      </c>
      <c r="Q295" s="231" t="s">
        <v>1901</v>
      </c>
      <c r="R295" s="231" t="s">
        <v>1892</v>
      </c>
      <c r="S295" s="114" t="str">
        <f>IFERROR(INDEX(Tabela3[Tipos de Tratamento],MATCH('A3.9.1 copy'!O302,Tabela3[Código],0)),"")</f>
        <v>Armazenagem enquanto se aguarda a execução de uma das operações enumeradas de D1 a D14</v>
      </c>
      <c r="T295" s="429" t="s">
        <v>1539</v>
      </c>
      <c r="U295" s="429" t="s">
        <v>1574</v>
      </c>
      <c r="V295" s="93"/>
    </row>
    <row r="296" spans="1:22" ht="15.75" hidden="1" thickBot="1" x14ac:dyDescent="0.3">
      <c r="A296" s="424" t="s">
        <v>4611</v>
      </c>
      <c r="B296" s="424" t="s">
        <v>4583</v>
      </c>
      <c r="C296" s="82" t="str">
        <f t="shared" si="17"/>
        <v>oficina FERREIRAS</v>
      </c>
      <c r="D296">
        <v>2022</v>
      </c>
      <c r="E296" s="250" t="s">
        <v>3499</v>
      </c>
      <c r="F296" s="250" t="s">
        <v>3566</v>
      </c>
      <c r="G296" t="s">
        <v>42</v>
      </c>
      <c r="H296" s="82" t="s">
        <v>42</v>
      </c>
      <c r="I296" s="265">
        <v>150203</v>
      </c>
      <c r="J296" s="425" t="str">
        <f>INDEX(aux!B:B,MATCH(I296,aux!A:A,0))</f>
        <v>Absorventes, materiais filtrantes, panos de limpeza e vestuário de proteção não abrangidos em 15 02 02</v>
      </c>
      <c r="K296" s="433" t="str">
        <f>INDEX(aux!C:C,MATCH(I296,aux!A:A,0))</f>
        <v>Não</v>
      </c>
      <c r="L296" s="437">
        <v>0.8</v>
      </c>
      <c r="M296" s="433" t="s">
        <v>1532</v>
      </c>
      <c r="N296" s="139">
        <f t="shared" si="19"/>
        <v>800</v>
      </c>
      <c r="O296" s="139" t="s">
        <v>484</v>
      </c>
      <c r="P296" s="231" t="str">
        <f t="shared" si="20"/>
        <v>Reciclagem</v>
      </c>
      <c r="Q296" s="231" t="s">
        <v>1901</v>
      </c>
      <c r="R296" s="231" t="s">
        <v>1892</v>
      </c>
      <c r="S296" s="114" t="str">
        <f>IFERROR(INDEX(Tabela3[Tipos de Tratamento],MATCH('A3.9.1 copy'!O303,Tabela3[Código],0)),"")</f>
        <v>Acumulação de resíduos destinados a uma das operações enumeradas de R1 a R12</v>
      </c>
      <c r="T296" s="429" t="s">
        <v>1539</v>
      </c>
      <c r="U296" s="429" t="s">
        <v>1574</v>
      </c>
      <c r="V296" s="93"/>
    </row>
    <row r="297" spans="1:22" ht="15.75" hidden="1" thickBot="1" x14ac:dyDescent="0.3">
      <c r="A297" s="424" t="s">
        <v>4611</v>
      </c>
      <c r="B297" s="424" t="s">
        <v>4583</v>
      </c>
      <c r="C297" s="82" t="str">
        <f t="shared" si="17"/>
        <v>oficina FERREIRAS</v>
      </c>
      <c r="D297">
        <v>2022</v>
      </c>
      <c r="E297" s="250" t="s">
        <v>3499</v>
      </c>
      <c r="F297" s="250" t="s">
        <v>3566</v>
      </c>
      <c r="G297" t="s">
        <v>42</v>
      </c>
      <c r="H297" s="82" t="s">
        <v>42</v>
      </c>
      <c r="I297" s="265">
        <v>160107</v>
      </c>
      <c r="J297" s="425" t="str">
        <f>INDEX(aux!B:B,MATCH(I297,aux!A:A,0))</f>
        <v>(*) Filtros de óleo</v>
      </c>
      <c r="K297" s="433" t="str">
        <f>INDEX(aux!C:C,MATCH(I297,aux!A:A,0))</f>
        <v>Sim</v>
      </c>
      <c r="L297" s="437">
        <v>0.52</v>
      </c>
      <c r="M297" s="433" t="s">
        <v>1532</v>
      </c>
      <c r="N297" s="139">
        <f t="shared" si="19"/>
        <v>520</v>
      </c>
      <c r="O297" s="139" t="s">
        <v>483</v>
      </c>
      <c r="P297" s="231" t="str">
        <f t="shared" si="20"/>
        <v>Reciclagem</v>
      </c>
      <c r="Q297" s="231" t="s">
        <v>1901</v>
      </c>
      <c r="R297" s="231" t="s">
        <v>1892</v>
      </c>
      <c r="S297" s="114" t="str">
        <f>IFERROR(INDEX(Tabela3[Tipos de Tratamento],MATCH('A3.9.1 copy'!O312,Tabela3[Código],0)),"")</f>
        <v>Acumulação de resíduos destinados a uma das operações enumeradas de R1 a R12</v>
      </c>
      <c r="T297" s="429" t="s">
        <v>1539</v>
      </c>
      <c r="U297" s="429" t="s">
        <v>1574</v>
      </c>
      <c r="V297" s="93"/>
    </row>
    <row r="298" spans="1:22" ht="15.75" hidden="1" thickBot="1" x14ac:dyDescent="0.3">
      <c r="A298" s="424" t="s">
        <v>4611</v>
      </c>
      <c r="B298" s="424" t="s">
        <v>4583</v>
      </c>
      <c r="C298" s="82" t="str">
        <f t="shared" si="17"/>
        <v>oficina FERREIRAS</v>
      </c>
      <c r="D298">
        <v>2022</v>
      </c>
      <c r="E298" s="250" t="s">
        <v>3499</v>
      </c>
      <c r="F298" s="250" t="s">
        <v>3566</v>
      </c>
      <c r="G298" t="s">
        <v>42</v>
      </c>
      <c r="H298" s="82" t="s">
        <v>42</v>
      </c>
      <c r="I298" s="265">
        <v>160199</v>
      </c>
      <c r="J298" s="425" t="str">
        <f>INDEX(aux!B:B,MATCH(I298,aux!A:A,0))</f>
        <v>Resíduos sem outras especificações</v>
      </c>
      <c r="K298" s="433" t="str">
        <f>INDEX(aux!C:C,MATCH(I298,aux!A:A,0))</f>
        <v>Não</v>
      </c>
      <c r="L298" s="437">
        <v>0.34</v>
      </c>
      <c r="M298" s="433" t="s">
        <v>1532</v>
      </c>
      <c r="N298" s="139">
        <f t="shared" si="19"/>
        <v>340</v>
      </c>
      <c r="O298" s="139" t="s">
        <v>483</v>
      </c>
      <c r="P298" s="231" t="str">
        <f t="shared" si="20"/>
        <v>Reciclagem</v>
      </c>
      <c r="Q298" s="231" t="s">
        <v>1901</v>
      </c>
      <c r="R298" s="231" t="s">
        <v>1892</v>
      </c>
      <c r="S298" s="114" t="str">
        <f>IFERROR(INDEX(Tabela3[Tipos de Tratamento],MATCH('A3.9.1 copy'!O309,Tabela3[Código],0)),"")</f>
        <v xml:space="preserve">Troca de resíduos com vista a submetê-los a uma das operações enumeradas de R 1 a R 11 </v>
      </c>
      <c r="T298" s="429" t="s">
        <v>1539</v>
      </c>
      <c r="U298" s="429" t="s">
        <v>1574</v>
      </c>
      <c r="V298" s="93"/>
    </row>
    <row r="299" spans="1:22" ht="15.75" hidden="1" thickBot="1" x14ac:dyDescent="0.3">
      <c r="A299" s="424" t="s">
        <v>4611</v>
      </c>
      <c r="B299" s="424" t="s">
        <v>4583</v>
      </c>
      <c r="C299" s="82" t="str">
        <f t="shared" si="17"/>
        <v>oficina FERREIRAS</v>
      </c>
      <c r="D299">
        <v>2022</v>
      </c>
      <c r="E299" s="250" t="s">
        <v>3499</v>
      </c>
      <c r="F299" s="250" t="s">
        <v>3566</v>
      </c>
      <c r="G299" t="s">
        <v>42</v>
      </c>
      <c r="H299" s="82" t="s">
        <v>42</v>
      </c>
      <c r="I299" s="265">
        <v>170302</v>
      </c>
      <c r="J299" s="425" t="str">
        <f>INDEX(aux!B:B,MATCH(I299,aux!A:A,0))</f>
        <v>Misturas betuminosas não abrangidas em 17 03 01</v>
      </c>
      <c r="K299" s="433" t="str">
        <f>INDEX(aux!C:C,MATCH(I299,aux!A:A,0))</f>
        <v>Não</v>
      </c>
      <c r="L299" s="437">
        <v>2.98</v>
      </c>
      <c r="M299" s="433" t="s">
        <v>1532</v>
      </c>
      <c r="N299" s="139">
        <f t="shared" si="19"/>
        <v>2980</v>
      </c>
      <c r="O299" s="139" t="s">
        <v>476</v>
      </c>
      <c r="P299" s="231" t="str">
        <f t="shared" si="20"/>
        <v>Reciclagem</v>
      </c>
      <c r="Q299" s="231" t="s">
        <v>1901</v>
      </c>
      <c r="R299" s="231" t="s">
        <v>1892</v>
      </c>
      <c r="S299" s="114" t="str">
        <f>IFERROR(INDEX(Tabela3[Tipos de Tratamento],MATCH('A3.9.1 copy'!O310,Tabela3[Código],0)),"")</f>
        <v>Acumulação de resíduos destinados a uma das operações enumeradas de R1 a R12</v>
      </c>
      <c r="T299" s="429" t="s">
        <v>3249</v>
      </c>
      <c r="U299" s="429" t="s">
        <v>3250</v>
      </c>
      <c r="V299" s="93"/>
    </row>
    <row r="300" spans="1:22" ht="15.75" hidden="1" thickBot="1" x14ac:dyDescent="0.3">
      <c r="A300" s="424" t="s">
        <v>4611</v>
      </c>
      <c r="B300" s="424" t="s">
        <v>4583</v>
      </c>
      <c r="C300" s="82" t="str">
        <f t="shared" si="17"/>
        <v>oficina FERREIRAS</v>
      </c>
      <c r="D300">
        <v>2022</v>
      </c>
      <c r="E300" s="250" t="s">
        <v>3499</v>
      </c>
      <c r="F300" s="250" t="s">
        <v>3566</v>
      </c>
      <c r="G300" t="s">
        <v>42</v>
      </c>
      <c r="H300" s="82" t="s">
        <v>42</v>
      </c>
      <c r="I300" s="265">
        <v>200202</v>
      </c>
      <c r="J300" s="425" t="str">
        <f>INDEX(aux!B:B,MATCH(I300,aux!A:A,0))</f>
        <v>Terras e pedras</v>
      </c>
      <c r="K300" s="433" t="str">
        <f>INDEX(aux!C:C,MATCH(I300,aux!A:A,0))</f>
        <v>Sim</v>
      </c>
      <c r="L300" s="437">
        <v>5.38</v>
      </c>
      <c r="M300" s="433" t="s">
        <v>1532</v>
      </c>
      <c r="N300" s="139">
        <f t="shared" si="19"/>
        <v>5380</v>
      </c>
      <c r="O300" s="139" t="s">
        <v>484</v>
      </c>
      <c r="P300" s="231" t="str">
        <f t="shared" si="20"/>
        <v>Reciclagem</v>
      </c>
      <c r="Q300" s="231" t="s">
        <v>1901</v>
      </c>
      <c r="R300" s="231" t="s">
        <v>1892</v>
      </c>
      <c r="S300" s="114" t="str">
        <f>IFERROR(INDEX(Tabela3[Tipos de Tratamento],MATCH('A3.9.1 copy'!O311,Tabela3[Código],0)),"")</f>
        <v>Acumulação de resíduos destinados a uma das operações enumeradas de R1 a R12</v>
      </c>
      <c r="T300" s="429" t="s">
        <v>3251</v>
      </c>
      <c r="U300" s="429" t="s">
        <v>3250</v>
      </c>
      <c r="V300" s="93"/>
    </row>
    <row r="301" spans="1:22" ht="15.75" thickBot="1" x14ac:dyDescent="0.3">
      <c r="A301" s="527" t="s">
        <v>4611</v>
      </c>
      <c r="B301" s="527" t="s">
        <v>4583</v>
      </c>
      <c r="C301" s="82" t="str">
        <f t="shared" si="17"/>
        <v>oficina FERREIRAS</v>
      </c>
      <c r="D301">
        <v>2023</v>
      </c>
      <c r="E301" s="250" t="s">
        <v>3499</v>
      </c>
      <c r="F301" s="250" t="s">
        <v>3566</v>
      </c>
      <c r="G301" t="s">
        <v>42</v>
      </c>
      <c r="H301" s="82" t="s">
        <v>42</v>
      </c>
      <c r="I301" s="530">
        <v>140603</v>
      </c>
      <c r="J301" s="425" t="str">
        <f>INDEX(aux!B:B,MATCH(I301,aux!A:A,0))</f>
        <v>Outros solventes e misturas de solventes</v>
      </c>
      <c r="K301" s="433" t="str">
        <f>INDEX(aux!C:C,MATCH(I301,aux!A:A,0))</f>
        <v>Sim</v>
      </c>
      <c r="L301" s="536">
        <v>0.16400000000000001</v>
      </c>
      <c r="M301" s="534" t="s">
        <v>1532</v>
      </c>
      <c r="N301" s="139">
        <f t="shared" si="19"/>
        <v>164</v>
      </c>
      <c r="O301" s="540" t="s">
        <v>484</v>
      </c>
      <c r="P301" s="231" t="str">
        <f t="shared" si="20"/>
        <v>Reciclagem</v>
      </c>
      <c r="Q301" s="231" t="s">
        <v>1901</v>
      </c>
      <c r="R301" s="231" t="s">
        <v>1892</v>
      </c>
      <c r="S301" s="667" t="s">
        <v>1553</v>
      </c>
      <c r="T301" s="540" t="s">
        <v>1539</v>
      </c>
      <c r="U301" s="540" t="s">
        <v>1574</v>
      </c>
      <c r="V301" s="422"/>
    </row>
    <row r="302" spans="1:22" ht="15.75" thickBot="1" x14ac:dyDescent="0.3">
      <c r="A302" s="527" t="s">
        <v>4611</v>
      </c>
      <c r="B302" s="527" t="s">
        <v>4583</v>
      </c>
      <c r="C302" s="82" t="str">
        <f t="shared" si="17"/>
        <v>oficina FERREIRAS</v>
      </c>
      <c r="D302">
        <v>2023</v>
      </c>
      <c r="E302" s="250" t="s">
        <v>3499</v>
      </c>
      <c r="F302" s="250" t="s">
        <v>3566</v>
      </c>
      <c r="G302" t="s">
        <v>42</v>
      </c>
      <c r="H302" s="82" t="s">
        <v>42</v>
      </c>
      <c r="I302" s="530">
        <v>160199</v>
      </c>
      <c r="J302" s="425" t="str">
        <f>INDEX(aux!B:B,MATCH(I302,aux!A:A,0))</f>
        <v>Resíduos sem outras especificações</v>
      </c>
      <c r="K302" s="433" t="str">
        <f>INDEX(aux!C:C,MATCH(I302,aux!A:A,0))</f>
        <v>Não</v>
      </c>
      <c r="L302" s="536">
        <v>0.34</v>
      </c>
      <c r="M302" s="534" t="s">
        <v>1532</v>
      </c>
      <c r="N302" s="139">
        <f t="shared" si="19"/>
        <v>340</v>
      </c>
      <c r="O302" s="540" t="s">
        <v>509</v>
      </c>
      <c r="P302" s="231" t="str">
        <f t="shared" si="20"/>
        <v>Aterro</v>
      </c>
      <c r="Q302" s="231" t="s">
        <v>1901</v>
      </c>
      <c r="R302" s="231" t="s">
        <v>1892</v>
      </c>
      <c r="S302" s="667" t="s">
        <v>492</v>
      </c>
      <c r="T302" s="540" t="s">
        <v>1539</v>
      </c>
      <c r="U302" s="540" t="s">
        <v>1574</v>
      </c>
      <c r="V302" s="422"/>
    </row>
    <row r="303" spans="1:22" ht="15.75" thickBot="1" x14ac:dyDescent="0.3">
      <c r="A303" s="527" t="s">
        <v>4611</v>
      </c>
      <c r="B303" s="527" t="s">
        <v>4583</v>
      </c>
      <c r="C303" s="82" t="str">
        <f t="shared" si="17"/>
        <v>oficina FERREIRAS</v>
      </c>
      <c r="D303">
        <v>2023</v>
      </c>
      <c r="E303" s="250" t="s">
        <v>3499</v>
      </c>
      <c r="F303" s="250" t="s">
        <v>3566</v>
      </c>
      <c r="G303" t="s">
        <v>42</v>
      </c>
      <c r="H303" s="82" t="s">
        <v>42</v>
      </c>
      <c r="I303" s="530">
        <v>150110</v>
      </c>
      <c r="J303" s="425" t="str">
        <f>INDEX(aux!B:B,MATCH(I303,aux!A:A,0))</f>
        <v>(*) Embalagens contendo ou contaminadas por resíduos de substâncias perigosas</v>
      </c>
      <c r="K303" s="433" t="str">
        <f>INDEX(aux!C:C,MATCH(I303,aux!A:A,0))</f>
        <v>Sim</v>
      </c>
      <c r="L303" s="536">
        <v>0.28799999999999998</v>
      </c>
      <c r="M303" s="534" t="s">
        <v>1532</v>
      </c>
      <c r="N303" s="139">
        <f t="shared" si="19"/>
        <v>288</v>
      </c>
      <c r="O303" s="540" t="s">
        <v>484</v>
      </c>
      <c r="P303" s="231" t="str">
        <f t="shared" si="20"/>
        <v>Reciclagem</v>
      </c>
      <c r="Q303" s="231" t="s">
        <v>1901</v>
      </c>
      <c r="R303" s="231" t="s">
        <v>1892</v>
      </c>
      <c r="S303" s="667" t="s">
        <v>1553</v>
      </c>
      <c r="T303" s="540" t="s">
        <v>1539</v>
      </c>
      <c r="U303" s="540" t="s">
        <v>1574</v>
      </c>
      <c r="V303" s="422"/>
    </row>
    <row r="304" spans="1:22" ht="15.75" thickBot="1" x14ac:dyDescent="0.3">
      <c r="A304" s="527" t="s">
        <v>4611</v>
      </c>
      <c r="B304" s="527" t="s">
        <v>4583</v>
      </c>
      <c r="C304" s="82" t="str">
        <f t="shared" si="17"/>
        <v>oficina FERREIRAS</v>
      </c>
      <c r="D304">
        <v>2023</v>
      </c>
      <c r="E304" s="250" t="s">
        <v>3499</v>
      </c>
      <c r="F304" s="250" t="s">
        <v>3566</v>
      </c>
      <c r="G304" t="s">
        <v>42</v>
      </c>
      <c r="H304" s="82" t="s">
        <v>42</v>
      </c>
      <c r="I304" s="530">
        <v>150203</v>
      </c>
      <c r="J304" s="425" t="str">
        <f>INDEX(aux!B:B,MATCH(I304,aux!A:A,0))</f>
        <v>Absorventes, materiais filtrantes, panos de limpeza e vestuário de proteção não abrangidos em 15 02 02</v>
      </c>
      <c r="K304" s="433" t="str">
        <f>INDEX(aux!C:C,MATCH(I304,aux!A:A,0))</f>
        <v>Não</v>
      </c>
      <c r="L304" s="536">
        <v>0.48</v>
      </c>
      <c r="M304" s="534" t="s">
        <v>1532</v>
      </c>
      <c r="N304" s="139">
        <f t="shared" si="19"/>
        <v>480</v>
      </c>
      <c r="O304" s="540" t="s">
        <v>484</v>
      </c>
      <c r="P304" s="231" t="str">
        <f t="shared" si="20"/>
        <v>Reciclagem</v>
      </c>
      <c r="Q304" s="231" t="s">
        <v>1901</v>
      </c>
      <c r="R304" s="231" t="s">
        <v>1892</v>
      </c>
      <c r="S304" s="667" t="s">
        <v>1553</v>
      </c>
      <c r="T304" s="540" t="s">
        <v>1539</v>
      </c>
      <c r="U304" s="540" t="s">
        <v>1574</v>
      </c>
      <c r="V304" s="422"/>
    </row>
    <row r="305" spans="1:22" ht="15.75" thickBot="1" x14ac:dyDescent="0.3">
      <c r="A305" s="527" t="s">
        <v>4611</v>
      </c>
      <c r="B305" s="527" t="s">
        <v>4583</v>
      </c>
      <c r="C305" s="82" t="str">
        <f t="shared" ref="C305:C368" si="21">IF(A305=B305,"X",RIGHT(A305,LEN(A305)-LEN(B305)-3))</f>
        <v>oficina FERREIRAS</v>
      </c>
      <c r="D305">
        <v>2023</v>
      </c>
      <c r="E305" s="250" t="s">
        <v>3499</v>
      </c>
      <c r="F305" s="250" t="s">
        <v>3566</v>
      </c>
      <c r="G305" t="s">
        <v>42</v>
      </c>
      <c r="H305" s="82" t="s">
        <v>42</v>
      </c>
      <c r="I305" s="530">
        <v>150202</v>
      </c>
      <c r="J305" s="425" t="str">
        <f>INDEX(aux!B:B,MATCH(I305,aux!A:A,0))</f>
        <v>(*) Absorventes, materiais filtrantes (incluindo filtros de óleo sem outras especificações), panos de limpeza e vestuário de proteção, contaminados por substâncias perigosas</v>
      </c>
      <c r="K305" s="433" t="str">
        <f>INDEX(aux!C:C,MATCH(I305,aux!A:A,0))</f>
        <v>Sim</v>
      </c>
      <c r="L305" s="536">
        <v>0.96</v>
      </c>
      <c r="M305" s="534" t="s">
        <v>1532</v>
      </c>
      <c r="N305" s="139">
        <f t="shared" si="19"/>
        <v>960</v>
      </c>
      <c r="O305" s="540" t="s">
        <v>483</v>
      </c>
      <c r="P305" s="231" t="str">
        <f t="shared" si="20"/>
        <v>Reciclagem</v>
      </c>
      <c r="Q305" s="231" t="s">
        <v>1901</v>
      </c>
      <c r="R305" s="231" t="s">
        <v>1892</v>
      </c>
      <c r="S305" s="667" t="s">
        <v>485</v>
      </c>
      <c r="T305" s="540" t="s">
        <v>1539</v>
      </c>
      <c r="U305" s="540" t="s">
        <v>1574</v>
      </c>
      <c r="V305" s="422"/>
    </row>
    <row r="306" spans="1:22" ht="15.75" thickBot="1" x14ac:dyDescent="0.3">
      <c r="A306" s="527" t="s">
        <v>4611</v>
      </c>
      <c r="B306" s="527" t="s">
        <v>4583</v>
      </c>
      <c r="C306" s="82" t="str">
        <f t="shared" si="21"/>
        <v>oficina FERREIRAS</v>
      </c>
      <c r="D306">
        <v>2023</v>
      </c>
      <c r="E306" s="250" t="s">
        <v>3499</v>
      </c>
      <c r="F306" s="250" t="s">
        <v>3566</v>
      </c>
      <c r="G306" t="s">
        <v>42</v>
      </c>
      <c r="H306" s="82" t="s">
        <v>42</v>
      </c>
      <c r="I306" s="530">
        <v>160107</v>
      </c>
      <c r="J306" s="425" t="str">
        <f>INDEX(aux!B:B,MATCH(I306,aux!A:A,0))</f>
        <v>(*) Filtros de óleo</v>
      </c>
      <c r="K306" s="433" t="str">
        <f>INDEX(aux!C:C,MATCH(I306,aux!A:A,0))</f>
        <v>Sim</v>
      </c>
      <c r="L306" s="536">
        <v>0.20799999999999999</v>
      </c>
      <c r="M306" s="534" t="s">
        <v>1532</v>
      </c>
      <c r="N306" s="139">
        <f t="shared" si="19"/>
        <v>208</v>
      </c>
      <c r="O306" s="540" t="s">
        <v>483</v>
      </c>
      <c r="P306" s="231" t="str">
        <f t="shared" si="20"/>
        <v>Reciclagem</v>
      </c>
      <c r="Q306" s="231" t="s">
        <v>1901</v>
      </c>
      <c r="R306" s="231" t="s">
        <v>1892</v>
      </c>
      <c r="S306" s="667" t="s">
        <v>1553</v>
      </c>
      <c r="T306" s="540" t="s">
        <v>1539</v>
      </c>
      <c r="U306" s="540" t="s">
        <v>1574</v>
      </c>
      <c r="V306" s="422"/>
    </row>
    <row r="307" spans="1:22" ht="15.75" thickBot="1" x14ac:dyDescent="0.3">
      <c r="A307" s="527" t="s">
        <v>4611</v>
      </c>
      <c r="B307" s="527" t="s">
        <v>4583</v>
      </c>
      <c r="C307" s="82" t="str">
        <f t="shared" si="21"/>
        <v>oficina FERREIRAS</v>
      </c>
      <c r="D307">
        <v>2023</v>
      </c>
      <c r="E307" s="250" t="s">
        <v>3499</v>
      </c>
      <c r="F307" s="250" t="s">
        <v>3566</v>
      </c>
      <c r="G307" t="s">
        <v>42</v>
      </c>
      <c r="H307" s="82" t="s">
        <v>42</v>
      </c>
      <c r="I307" s="530">
        <v>200301</v>
      </c>
      <c r="J307" s="425" t="str">
        <f>INDEX(aux!B:B,MATCH(I307,aux!A:A,0))</f>
        <v>Misturas de resíduos urbanos equiparados</v>
      </c>
      <c r="K307" s="433" t="str">
        <f>INDEX(aux!C:C,MATCH(I307,aux!A:A,0))</f>
        <v>Não</v>
      </c>
      <c r="L307" s="536">
        <v>0.14000000000000001</v>
      </c>
      <c r="M307" s="534" t="s">
        <v>1532</v>
      </c>
      <c r="N307" s="139">
        <f t="shared" si="19"/>
        <v>140</v>
      </c>
      <c r="O307" s="540" t="s">
        <v>483</v>
      </c>
      <c r="P307" s="231" t="str">
        <f t="shared" si="20"/>
        <v>Reciclagem</v>
      </c>
      <c r="Q307" s="231" t="s">
        <v>1908</v>
      </c>
      <c r="R307" s="231" t="s">
        <v>1877</v>
      </c>
      <c r="S307" s="667" t="s">
        <v>485</v>
      </c>
      <c r="T307" s="540" t="s">
        <v>3245</v>
      </c>
      <c r="U307" s="540" t="s">
        <v>3247</v>
      </c>
      <c r="V307" s="93"/>
    </row>
    <row r="308" spans="1:22" ht="15.75" hidden="1" thickBot="1" x14ac:dyDescent="0.3">
      <c r="A308" s="424" t="s">
        <v>4611</v>
      </c>
      <c r="B308" s="424" t="s">
        <v>4583</v>
      </c>
      <c r="C308" s="82" t="str">
        <f t="shared" si="21"/>
        <v>oficina FERREIRAS</v>
      </c>
      <c r="D308">
        <v>2022</v>
      </c>
      <c r="E308" s="250" t="s">
        <v>3499</v>
      </c>
      <c r="F308" s="250" t="s">
        <v>3566</v>
      </c>
      <c r="G308" t="s">
        <v>42</v>
      </c>
      <c r="H308" s="82" t="s">
        <v>42</v>
      </c>
      <c r="I308" s="265">
        <v>160104</v>
      </c>
      <c r="J308" s="425" t="str">
        <f>INDEX(aux!B:B,MATCH(I308,aux!A:A,0))</f>
        <v>Veículos em fim de vida</v>
      </c>
      <c r="K308" s="433" t="str">
        <f>INDEX(aux!C:C,MATCH(I308,aux!A:A,0))</f>
        <v>Sim</v>
      </c>
      <c r="L308" s="437">
        <v>70.5</v>
      </c>
      <c r="M308" s="433" t="s">
        <v>1532</v>
      </c>
      <c r="N308" s="139">
        <f t="shared" si="19"/>
        <v>70500</v>
      </c>
      <c r="O308" s="139" t="s">
        <v>483</v>
      </c>
      <c r="P308" s="231" t="str">
        <f t="shared" si="20"/>
        <v>Reciclagem</v>
      </c>
      <c r="Q308" s="231" t="s">
        <v>1907</v>
      </c>
      <c r="R308" s="231" t="s">
        <v>1903</v>
      </c>
      <c r="S308" s="114" t="str">
        <f>IFERROR(INDEX(Tabela3[Tipos de Tratamento],MATCH('A3.9.1 copy'!O304,Tabela3[Código],0)),"")</f>
        <v>Acumulação de resíduos destinados a uma das operações enumeradas de R1 a R12</v>
      </c>
      <c r="T308" s="429" t="s">
        <v>3245</v>
      </c>
      <c r="U308" s="429" t="s">
        <v>3246</v>
      </c>
      <c r="V308" s="93"/>
    </row>
    <row r="309" spans="1:22" ht="15.75" thickBot="1" x14ac:dyDescent="0.3">
      <c r="A309" s="527" t="s">
        <v>4611</v>
      </c>
      <c r="B309" s="527" t="s">
        <v>4583</v>
      </c>
      <c r="C309" s="82" t="str">
        <f t="shared" si="21"/>
        <v>oficina FERREIRAS</v>
      </c>
      <c r="D309">
        <v>2023</v>
      </c>
      <c r="E309" s="250" t="s">
        <v>3499</v>
      </c>
      <c r="F309" s="250" t="s">
        <v>3566</v>
      </c>
      <c r="G309" t="s">
        <v>42</v>
      </c>
      <c r="H309" s="82" t="s">
        <v>42</v>
      </c>
      <c r="I309" s="530">
        <v>160104</v>
      </c>
      <c r="J309" s="425" t="str">
        <f>INDEX(aux!B:B,MATCH(I309,aux!A:A,0))</f>
        <v>Veículos em fim de vida</v>
      </c>
      <c r="K309" s="433" t="str">
        <f>INDEX(aux!C:C,MATCH(I309,aux!A:A,0))</f>
        <v>Sim</v>
      </c>
      <c r="L309" s="536">
        <v>40.67</v>
      </c>
      <c r="M309" s="534" t="s">
        <v>1532</v>
      </c>
      <c r="N309" s="139">
        <f t="shared" si="19"/>
        <v>40670</v>
      </c>
      <c r="O309" s="540" t="s">
        <v>483</v>
      </c>
      <c r="P309" s="231" t="str">
        <f t="shared" si="20"/>
        <v>Reciclagem</v>
      </c>
      <c r="Q309" s="231" t="s">
        <v>1907</v>
      </c>
      <c r="R309" s="231" t="s">
        <v>6569</v>
      </c>
      <c r="S309" s="667" t="s">
        <v>485</v>
      </c>
      <c r="T309" s="540" t="s">
        <v>3245</v>
      </c>
      <c r="U309" s="540" t="s">
        <v>3247</v>
      </c>
      <c r="V309" s="93"/>
    </row>
    <row r="310" spans="1:22" ht="15.75" hidden="1" thickBot="1" x14ac:dyDescent="0.3">
      <c r="A310" s="424" t="s">
        <v>4611</v>
      </c>
      <c r="B310" s="424" t="s">
        <v>4583</v>
      </c>
      <c r="C310" s="82" t="str">
        <f t="shared" si="21"/>
        <v>oficina FERREIRAS</v>
      </c>
      <c r="D310">
        <v>2022</v>
      </c>
      <c r="E310" s="250" t="s">
        <v>3499</v>
      </c>
      <c r="F310" s="250" t="s">
        <v>3566</v>
      </c>
      <c r="G310" t="s">
        <v>42</v>
      </c>
      <c r="H310" s="82" t="s">
        <v>42</v>
      </c>
      <c r="I310" s="265">
        <v>160120</v>
      </c>
      <c r="J310" s="425" t="str">
        <f>INDEX(aux!B:B,MATCH(I310,aux!A:A,0))</f>
        <v>Vidro</v>
      </c>
      <c r="K310" s="433" t="str">
        <f>INDEX(aux!C:C,MATCH(I310,aux!A:A,0))</f>
        <v>Não</v>
      </c>
      <c r="L310" s="437">
        <v>4.32</v>
      </c>
      <c r="M310" s="433" t="s">
        <v>1532</v>
      </c>
      <c r="N310" s="139">
        <f t="shared" si="19"/>
        <v>4320</v>
      </c>
      <c r="O310" s="139" t="s">
        <v>484</v>
      </c>
      <c r="P310" s="231" t="str">
        <f t="shared" si="20"/>
        <v>Reciclagem</v>
      </c>
      <c r="Q310" s="231" t="s">
        <v>1561</v>
      </c>
      <c r="R310" s="231" t="s">
        <v>1903</v>
      </c>
      <c r="S310" s="114" t="str">
        <f>IFERROR(INDEX(Tabela3[Tipos de Tratamento],MATCH('A3.9.1 copy'!O308,Tabela3[Código],0)),"")</f>
        <v xml:space="preserve">Troca de resíduos com vista a submetê-los a uma das operações enumeradas de R 1 a R 11 </v>
      </c>
      <c r="T310" s="429" t="s">
        <v>3245</v>
      </c>
      <c r="U310" s="429" t="s">
        <v>3245</v>
      </c>
      <c r="V310" s="93"/>
    </row>
    <row r="311" spans="1:22" ht="15.75" thickBot="1" x14ac:dyDescent="0.3">
      <c r="A311" s="527" t="s">
        <v>4611</v>
      </c>
      <c r="B311" s="527" t="s">
        <v>4583</v>
      </c>
      <c r="C311" s="82" t="str">
        <f t="shared" si="21"/>
        <v>oficina FERREIRAS</v>
      </c>
      <c r="D311">
        <v>2023</v>
      </c>
      <c r="E311" s="250" t="s">
        <v>3499</v>
      </c>
      <c r="F311" s="250" t="s">
        <v>3566</v>
      </c>
      <c r="G311" t="s">
        <v>42</v>
      </c>
      <c r="H311" s="82" t="s">
        <v>42</v>
      </c>
      <c r="I311" s="530">
        <v>160120</v>
      </c>
      <c r="J311" s="425" t="str">
        <f>INDEX(aux!B:B,MATCH(I311,aux!A:A,0))</f>
        <v>Vidro</v>
      </c>
      <c r="K311" s="433" t="str">
        <f>INDEX(aux!C:C,MATCH(I311,aux!A:A,0))</f>
        <v>Não</v>
      </c>
      <c r="L311" s="536">
        <v>3.3</v>
      </c>
      <c r="M311" s="534" t="s">
        <v>1532</v>
      </c>
      <c r="N311" s="139">
        <f t="shared" si="19"/>
        <v>3300</v>
      </c>
      <c r="O311" s="540" t="s">
        <v>484</v>
      </c>
      <c r="P311" s="231" t="str">
        <f t="shared" si="20"/>
        <v>Reciclagem</v>
      </c>
      <c r="Q311" s="231" t="s">
        <v>1561</v>
      </c>
      <c r="R311" s="231" t="s">
        <v>6569</v>
      </c>
      <c r="S311" s="667" t="s">
        <v>485</v>
      </c>
      <c r="T311" s="540" t="s">
        <v>3245</v>
      </c>
      <c r="U311" s="540" t="s">
        <v>3245</v>
      </c>
      <c r="V311" s="93"/>
    </row>
    <row r="312" spans="1:22" ht="15.75" hidden="1" thickBot="1" x14ac:dyDescent="0.3">
      <c r="A312" s="424" t="s">
        <v>4610</v>
      </c>
      <c r="B312" s="424" t="s">
        <v>4583</v>
      </c>
      <c r="C312" s="82" t="str">
        <f t="shared" si="21"/>
        <v>oficina GAMBELAS</v>
      </c>
      <c r="D312">
        <v>2022</v>
      </c>
      <c r="E312" s="250" t="s">
        <v>3499</v>
      </c>
      <c r="F312" s="250" t="s">
        <v>3566</v>
      </c>
      <c r="G312" t="s">
        <v>42</v>
      </c>
      <c r="H312" s="82" t="s">
        <v>42</v>
      </c>
      <c r="I312" s="265">
        <v>160601</v>
      </c>
      <c r="J312" s="425" t="str">
        <f>INDEX(aux!B:B,MATCH(I312,aux!A:A,0))</f>
        <v>(*) Acumuladores de chumbo</v>
      </c>
      <c r="K312" s="433" t="str">
        <f>INDEX(aux!C:C,MATCH(I312,aux!A:A,0))</f>
        <v>Sim</v>
      </c>
      <c r="L312" s="437">
        <v>4.4530000000000003</v>
      </c>
      <c r="M312" s="433" t="s">
        <v>1532</v>
      </c>
      <c r="N312" s="139">
        <f t="shared" si="19"/>
        <v>4453</v>
      </c>
      <c r="O312" s="139" t="s">
        <v>484</v>
      </c>
      <c r="P312" s="231" t="str">
        <f t="shared" si="20"/>
        <v>Reciclagem</v>
      </c>
      <c r="Q312" s="231" t="s">
        <v>1653</v>
      </c>
      <c r="R312" s="231" t="s">
        <v>1877</v>
      </c>
      <c r="S312" s="114" t="str">
        <f>IFERROR(INDEX(Tabela3[Tipos de Tratamento],MATCH('A3.9.1 copy'!O292,Tabela3[Código],0)),"")</f>
        <v>Acumulação de resíduos destinados a uma das operações enumeradas de R1 a R12</v>
      </c>
      <c r="T312" s="429" t="s">
        <v>3245</v>
      </c>
      <c r="U312" s="429" t="s">
        <v>3245</v>
      </c>
      <c r="V312" s="93"/>
    </row>
    <row r="313" spans="1:22" ht="15.75" thickBot="1" x14ac:dyDescent="0.3">
      <c r="A313" s="527" t="s">
        <v>4610</v>
      </c>
      <c r="B313" s="527" t="s">
        <v>4583</v>
      </c>
      <c r="C313" s="82" t="str">
        <f t="shared" si="21"/>
        <v>oficina GAMBELAS</v>
      </c>
      <c r="D313">
        <v>2023</v>
      </c>
      <c r="E313" s="250" t="s">
        <v>3499</v>
      </c>
      <c r="F313" s="250" t="s">
        <v>3566</v>
      </c>
      <c r="G313" t="s">
        <v>42</v>
      </c>
      <c r="H313" s="82" t="s">
        <v>42</v>
      </c>
      <c r="I313" s="530">
        <v>160601</v>
      </c>
      <c r="J313" s="425" t="str">
        <f>INDEX(aux!B:B,MATCH(I313,aux!A:A,0))</f>
        <v>(*) Acumuladores de chumbo</v>
      </c>
      <c r="K313" s="433" t="str">
        <f>INDEX(aux!C:C,MATCH(I313,aux!A:A,0))</f>
        <v>Sim</v>
      </c>
      <c r="L313" s="536">
        <v>4.2409999999999997</v>
      </c>
      <c r="M313" s="534" t="s">
        <v>1532</v>
      </c>
      <c r="N313" s="139">
        <f t="shared" si="19"/>
        <v>4241</v>
      </c>
      <c r="O313" s="540" t="s">
        <v>483</v>
      </c>
      <c r="P313" s="231" t="str">
        <f t="shared" si="20"/>
        <v>Reciclagem</v>
      </c>
      <c r="Q313" s="231" t="s">
        <v>1653</v>
      </c>
      <c r="R313" s="231" t="s">
        <v>1877</v>
      </c>
      <c r="S313" s="667" t="s">
        <v>1553</v>
      </c>
      <c r="T313" s="540" t="s">
        <v>3245</v>
      </c>
      <c r="U313" s="540" t="s">
        <v>3245</v>
      </c>
      <c r="V313" s="93"/>
    </row>
    <row r="314" spans="1:22" ht="15.75" hidden="1" thickBot="1" x14ac:dyDescent="0.3">
      <c r="A314" s="424" t="s">
        <v>4610</v>
      </c>
      <c r="B314" s="424" t="s">
        <v>4583</v>
      </c>
      <c r="C314" s="82" t="str">
        <f t="shared" si="21"/>
        <v>oficina GAMBELAS</v>
      </c>
      <c r="D314">
        <v>2022</v>
      </c>
      <c r="E314" s="250" t="s">
        <v>3499</v>
      </c>
      <c r="F314" s="250" t="s">
        <v>3566</v>
      </c>
      <c r="G314" t="s">
        <v>42</v>
      </c>
      <c r="H314" s="82" t="s">
        <v>42</v>
      </c>
      <c r="I314" s="265">
        <v>160112</v>
      </c>
      <c r="J314" s="425" t="str">
        <f>INDEX(aux!B:B,MATCH(I314,aux!A:A,0))</f>
        <v>Pastilhas de travões não abrangidas em 16 01 11</v>
      </c>
      <c r="K314" s="433" t="str">
        <f>INDEX(aux!C:C,MATCH(I314,aux!A:A,0))</f>
        <v>Não</v>
      </c>
      <c r="L314" s="437">
        <v>0.54</v>
      </c>
      <c r="M314" s="433" t="s">
        <v>1532</v>
      </c>
      <c r="N314" s="139">
        <f t="shared" si="19"/>
        <v>540</v>
      </c>
      <c r="O314" s="139" t="s">
        <v>484</v>
      </c>
      <c r="P314" s="231" t="str">
        <f t="shared" si="20"/>
        <v>Reciclagem</v>
      </c>
      <c r="Q314" s="231" t="s">
        <v>1557</v>
      </c>
      <c r="R314" s="231" t="s">
        <v>1903</v>
      </c>
      <c r="S314" s="114" t="str">
        <f>IFERROR(INDEX(Tabela3[Tipos de Tratamento],MATCH('A3.9.1 copy'!O286,Tabela3[Código],0)),"")</f>
        <v xml:space="preserve">Troca de resíduos com vista a submetê-los a uma das operações enumeradas de R 1 a R 11 </v>
      </c>
      <c r="T314" s="429" t="s">
        <v>1539</v>
      </c>
      <c r="U314" s="429" t="s">
        <v>1574</v>
      </c>
      <c r="V314" s="93"/>
    </row>
    <row r="315" spans="1:22" ht="15.75" hidden="1" thickBot="1" x14ac:dyDescent="0.3">
      <c r="A315" s="424" t="s">
        <v>4610</v>
      </c>
      <c r="B315" s="424" t="s">
        <v>4583</v>
      </c>
      <c r="C315" s="82" t="str">
        <f t="shared" si="21"/>
        <v>oficina GAMBELAS</v>
      </c>
      <c r="D315">
        <v>2022</v>
      </c>
      <c r="E315" s="250" t="s">
        <v>3499</v>
      </c>
      <c r="F315" s="250" t="s">
        <v>3566</v>
      </c>
      <c r="G315" t="s">
        <v>42</v>
      </c>
      <c r="H315" s="82" t="s">
        <v>42</v>
      </c>
      <c r="I315" s="265">
        <v>160117</v>
      </c>
      <c r="J315" s="425" t="str">
        <f>INDEX(aux!B:B,MATCH(I315,aux!A:A,0))</f>
        <v>Metais ferrosos</v>
      </c>
      <c r="K315" s="433" t="str">
        <f>INDEX(aux!C:C,MATCH(I315,aux!A:A,0))</f>
        <v>Não</v>
      </c>
      <c r="L315" s="437">
        <v>3.5939999999999999</v>
      </c>
      <c r="M315" s="433" t="s">
        <v>1532</v>
      </c>
      <c r="N315" s="139">
        <f t="shared" si="19"/>
        <v>3594</v>
      </c>
      <c r="O315" s="139" t="s">
        <v>483</v>
      </c>
      <c r="P315" s="231" t="str">
        <f t="shared" si="20"/>
        <v>Reciclagem</v>
      </c>
      <c r="Q315" s="231" t="s">
        <v>1557</v>
      </c>
      <c r="R315" s="231" t="s">
        <v>1903</v>
      </c>
      <c r="S315" s="114" t="str">
        <f>IFERROR(INDEX(Tabela3[Tipos de Tratamento],MATCH('A3.9.1 copy'!O287,Tabela3[Código],0)),"")</f>
        <v xml:space="preserve">Troca de resíduos com vista a submetê-los a uma das operações enumeradas de R 1 a R 11 </v>
      </c>
      <c r="T315" s="429" t="s">
        <v>3245</v>
      </c>
      <c r="U315" s="429" t="s">
        <v>3246</v>
      </c>
      <c r="V315" s="93"/>
    </row>
    <row r="316" spans="1:22" ht="15.75" thickBot="1" x14ac:dyDescent="0.3">
      <c r="A316" s="527" t="s">
        <v>4610</v>
      </c>
      <c r="B316" s="527" t="s">
        <v>4583</v>
      </c>
      <c r="C316" s="82" t="str">
        <f t="shared" si="21"/>
        <v>oficina GAMBELAS</v>
      </c>
      <c r="D316">
        <v>2023</v>
      </c>
      <c r="E316" s="250" t="s">
        <v>3499</v>
      </c>
      <c r="F316" s="250" t="s">
        <v>3566</v>
      </c>
      <c r="G316" t="s">
        <v>42</v>
      </c>
      <c r="H316" s="82" t="s">
        <v>42</v>
      </c>
      <c r="I316" s="530">
        <v>160112</v>
      </c>
      <c r="J316" s="425" t="str">
        <f>INDEX(aux!B:B,MATCH(I316,aux!A:A,0))</f>
        <v>Pastilhas de travões não abrangidas em 16 01 11</v>
      </c>
      <c r="K316" s="433" t="str">
        <f>INDEX(aux!C:C,MATCH(I316,aux!A:A,0))</f>
        <v>Não</v>
      </c>
      <c r="L316" s="536">
        <v>1.08</v>
      </c>
      <c r="M316" s="534" t="s">
        <v>1532</v>
      </c>
      <c r="N316" s="139">
        <f t="shared" si="19"/>
        <v>1080</v>
      </c>
      <c r="O316" s="540" t="s">
        <v>484</v>
      </c>
      <c r="P316" s="231" t="str">
        <f t="shared" si="20"/>
        <v>Reciclagem</v>
      </c>
      <c r="Q316" s="231" t="s">
        <v>1557</v>
      </c>
      <c r="R316" s="231" t="s">
        <v>6569</v>
      </c>
      <c r="S316" s="667" t="s">
        <v>1553</v>
      </c>
      <c r="T316" s="540" t="s">
        <v>1539</v>
      </c>
      <c r="U316" s="540" t="s">
        <v>1574</v>
      </c>
      <c r="V316" s="93"/>
    </row>
    <row r="317" spans="1:22" ht="15.75" thickBot="1" x14ac:dyDescent="0.3">
      <c r="A317" s="527" t="s">
        <v>4610</v>
      </c>
      <c r="B317" s="527" t="s">
        <v>4583</v>
      </c>
      <c r="C317" s="82" t="str">
        <f t="shared" si="21"/>
        <v>oficina GAMBELAS</v>
      </c>
      <c r="D317">
        <v>2023</v>
      </c>
      <c r="E317" s="250" t="s">
        <v>3499</v>
      </c>
      <c r="F317" s="250" t="s">
        <v>3566</v>
      </c>
      <c r="G317" t="s">
        <v>42</v>
      </c>
      <c r="H317" s="82" t="s">
        <v>42</v>
      </c>
      <c r="I317" s="530">
        <v>160117</v>
      </c>
      <c r="J317" s="425" t="str">
        <f>INDEX(aux!B:B,MATCH(I317,aux!A:A,0))</f>
        <v>Metais ferrosos</v>
      </c>
      <c r="K317" s="433" t="str">
        <f>INDEX(aux!C:C,MATCH(I317,aux!A:A,0))</f>
        <v>Não</v>
      </c>
      <c r="L317" s="536">
        <v>3.9</v>
      </c>
      <c r="M317" s="534" t="s">
        <v>1532</v>
      </c>
      <c r="N317" s="139">
        <f t="shared" si="19"/>
        <v>3900</v>
      </c>
      <c r="O317" s="540" t="s">
        <v>483</v>
      </c>
      <c r="P317" s="231" t="str">
        <f t="shared" si="20"/>
        <v>Reciclagem</v>
      </c>
      <c r="Q317" s="231" t="s">
        <v>1557</v>
      </c>
      <c r="R317" s="231" t="s">
        <v>6569</v>
      </c>
      <c r="S317" s="667" t="s">
        <v>485</v>
      </c>
      <c r="T317" s="540" t="s">
        <v>3245</v>
      </c>
      <c r="U317" s="540" t="s">
        <v>3245</v>
      </c>
      <c r="V317" s="93"/>
    </row>
    <row r="318" spans="1:22" ht="15.75" hidden="1" thickBot="1" x14ac:dyDescent="0.3">
      <c r="A318" s="424" t="s">
        <v>4610</v>
      </c>
      <c r="B318" s="424" t="s">
        <v>4583</v>
      </c>
      <c r="C318" s="82" t="str">
        <f t="shared" si="21"/>
        <v>oficina GAMBELAS</v>
      </c>
      <c r="D318">
        <v>2022</v>
      </c>
      <c r="E318" s="250" t="s">
        <v>3499</v>
      </c>
      <c r="F318" s="250" t="s">
        <v>3566</v>
      </c>
      <c r="G318" t="s">
        <v>42</v>
      </c>
      <c r="H318" s="82" t="s">
        <v>42</v>
      </c>
      <c r="I318" s="265">
        <v>150111</v>
      </c>
      <c r="J318" s="425" t="str">
        <f>INDEX(aux!B:B,MATCH(I318,aux!A:A,0))</f>
        <v>(*) Embalagens de metal, incluindo recipientes vazios sob pressão, contendo uma matriz porosa sólida perigosa (por exemplo, amianto)</v>
      </c>
      <c r="K318" s="433" t="str">
        <f>INDEX(aux!C:C,MATCH(I318,aux!A:A,0))</f>
        <v>Sim</v>
      </c>
      <c r="L318" s="437">
        <v>1.7999999999999999E-2</v>
      </c>
      <c r="M318" s="433" t="s">
        <v>1532</v>
      </c>
      <c r="N318" s="139">
        <f t="shared" si="19"/>
        <v>18</v>
      </c>
      <c r="O318" s="139" t="s">
        <v>509</v>
      </c>
      <c r="P318" s="231" t="str">
        <f t="shared" si="20"/>
        <v>Aterro</v>
      </c>
      <c r="Q318" s="231" t="s">
        <v>1906</v>
      </c>
      <c r="R318" s="231" t="s">
        <v>1903</v>
      </c>
      <c r="S318" s="114" t="str">
        <f>IFERROR(INDEX(Tabela3[Tipos de Tratamento],MATCH('A3.9.1 copy'!O281,Tabela3[Código],0)),"")</f>
        <v>Acumulação de resíduos destinados a uma das operações enumeradas de R1 a R12</v>
      </c>
      <c r="T318" s="429" t="s">
        <v>1539</v>
      </c>
      <c r="U318" s="429" t="s">
        <v>1574</v>
      </c>
      <c r="V318" s="93"/>
    </row>
    <row r="319" spans="1:22" ht="15.75" hidden="1" thickBot="1" x14ac:dyDescent="0.3">
      <c r="A319" s="424" t="s">
        <v>4610</v>
      </c>
      <c r="B319" s="424" t="s">
        <v>4583</v>
      </c>
      <c r="C319" s="82" t="str">
        <f t="shared" si="21"/>
        <v>oficina GAMBELAS</v>
      </c>
      <c r="D319">
        <v>2022</v>
      </c>
      <c r="E319" s="250" t="s">
        <v>3499</v>
      </c>
      <c r="F319" s="250" t="s">
        <v>3566</v>
      </c>
      <c r="G319" t="s">
        <v>42</v>
      </c>
      <c r="H319" s="82" t="s">
        <v>42</v>
      </c>
      <c r="I319" s="265">
        <v>150111</v>
      </c>
      <c r="J319" s="425" t="str">
        <f>INDEX(aux!B:B,MATCH(I319,aux!A:A,0))</f>
        <v>(*) Embalagens de metal, incluindo recipientes vazios sob pressão, contendo uma matriz porosa sólida perigosa (por exemplo, amianto)</v>
      </c>
      <c r="K319" s="433" t="str">
        <f>INDEX(aux!C:C,MATCH(I319,aux!A:A,0))</f>
        <v>Sim</v>
      </c>
      <c r="L319" s="437">
        <v>1.7999999999999999E-2</v>
      </c>
      <c r="M319" s="433" t="s">
        <v>1532</v>
      </c>
      <c r="N319" s="139">
        <f t="shared" si="19"/>
        <v>18</v>
      </c>
      <c r="O319" s="139" t="s">
        <v>484</v>
      </c>
      <c r="P319" s="231" t="str">
        <f t="shared" si="20"/>
        <v>Reciclagem</v>
      </c>
      <c r="Q319" s="231" t="s">
        <v>1906</v>
      </c>
      <c r="R319" s="231" t="s">
        <v>1903</v>
      </c>
      <c r="S319" s="114" t="str">
        <f>IFERROR(INDEX(Tabela3[Tipos de Tratamento],MATCH('A3.9.1 copy'!O282,Tabela3[Código],0)),"")</f>
        <v>Acumulação de resíduos destinados a uma das operações enumeradas de R1 a R12</v>
      </c>
      <c r="T319" s="429" t="s">
        <v>1539</v>
      </c>
      <c r="U319" s="429" t="s">
        <v>1574</v>
      </c>
      <c r="V319" s="93"/>
    </row>
    <row r="320" spans="1:22" ht="15.75" hidden="1" thickBot="1" x14ac:dyDescent="0.3">
      <c r="A320" s="424" t="s">
        <v>4610</v>
      </c>
      <c r="B320" s="424" t="s">
        <v>4583</v>
      </c>
      <c r="C320" s="82" t="str">
        <f t="shared" si="21"/>
        <v>oficina GAMBELAS</v>
      </c>
      <c r="D320">
        <v>2022</v>
      </c>
      <c r="E320" s="250" t="s">
        <v>3499</v>
      </c>
      <c r="F320" s="250" t="s">
        <v>3566</v>
      </c>
      <c r="G320" t="s">
        <v>42</v>
      </c>
      <c r="H320" s="82" t="s">
        <v>42</v>
      </c>
      <c r="I320" s="265">
        <v>160118</v>
      </c>
      <c r="J320" s="425" t="str">
        <f>INDEX(aux!B:B,MATCH(I320,aux!A:A,0))</f>
        <v>Metais não ferrosos</v>
      </c>
      <c r="K320" s="433" t="str">
        <f>INDEX(aux!C:C,MATCH(I320,aux!A:A,0))</f>
        <v>Não</v>
      </c>
      <c r="L320" s="437">
        <v>4.3999999999999997E-2</v>
      </c>
      <c r="M320" s="433" t="s">
        <v>1532</v>
      </c>
      <c r="N320" s="139">
        <f t="shared" si="19"/>
        <v>44</v>
      </c>
      <c r="O320" s="139" t="s">
        <v>483</v>
      </c>
      <c r="P320" s="231" t="str">
        <f t="shared" si="20"/>
        <v>Reciclagem</v>
      </c>
      <c r="Q320" s="231" t="s">
        <v>1906</v>
      </c>
      <c r="R320" s="231" t="s">
        <v>1903</v>
      </c>
      <c r="S320" s="114" t="str">
        <f>IFERROR(INDEX(Tabela3[Tipos de Tratamento],MATCH('A3.9.1 copy'!O288,Tabela3[Código],0)),"")</f>
        <v xml:space="preserve">Troca de resíduos com vista a submetê-los a uma das operações enumeradas de R 1 a R 11 </v>
      </c>
      <c r="T320" s="429" t="s">
        <v>3245</v>
      </c>
      <c r="U320" s="429" t="s">
        <v>3247</v>
      </c>
      <c r="V320" s="93"/>
    </row>
    <row r="321" spans="1:22" ht="15.75" thickBot="1" x14ac:dyDescent="0.3">
      <c r="A321" s="527" t="s">
        <v>4610</v>
      </c>
      <c r="B321" s="527" t="s">
        <v>4583</v>
      </c>
      <c r="C321" s="82" t="str">
        <f t="shared" si="21"/>
        <v>oficina GAMBELAS</v>
      </c>
      <c r="D321">
        <v>2023</v>
      </c>
      <c r="E321" s="250" t="s">
        <v>3499</v>
      </c>
      <c r="F321" s="250" t="s">
        <v>3566</v>
      </c>
      <c r="G321" t="s">
        <v>42</v>
      </c>
      <c r="H321" s="82" t="s">
        <v>42</v>
      </c>
      <c r="I321" s="530">
        <v>150104</v>
      </c>
      <c r="J321" s="425" t="str">
        <f>INDEX(aux!B:B,MATCH(I321,aux!A:A,0))</f>
        <v>Embalagens de metal</v>
      </c>
      <c r="K321" s="433" t="str">
        <f>INDEX(aux!C:C,MATCH(I321,aux!A:A,0))</f>
        <v>Não</v>
      </c>
      <c r="L321" s="536">
        <v>0.75</v>
      </c>
      <c r="M321" s="534" t="s">
        <v>1532</v>
      </c>
      <c r="N321" s="139">
        <f t="shared" si="19"/>
        <v>750</v>
      </c>
      <c r="O321" s="540" t="s">
        <v>484</v>
      </c>
      <c r="P321" s="231" t="str">
        <f t="shared" si="20"/>
        <v>Reciclagem</v>
      </c>
      <c r="Q321" s="231" t="s">
        <v>1906</v>
      </c>
      <c r="R321" s="231" t="s">
        <v>6569</v>
      </c>
      <c r="S321" s="667" t="s">
        <v>1553</v>
      </c>
      <c r="T321" s="540" t="s">
        <v>1539</v>
      </c>
      <c r="U321" s="540" t="s">
        <v>1574</v>
      </c>
      <c r="V321" s="422"/>
    </row>
    <row r="322" spans="1:22" ht="15.75" thickBot="1" x14ac:dyDescent="0.3">
      <c r="A322" s="527" t="s">
        <v>4610</v>
      </c>
      <c r="B322" s="527" t="s">
        <v>4583</v>
      </c>
      <c r="C322" s="82" t="str">
        <f t="shared" si="21"/>
        <v>oficina GAMBELAS</v>
      </c>
      <c r="D322">
        <v>2023</v>
      </c>
      <c r="E322" s="250" t="s">
        <v>3499</v>
      </c>
      <c r="F322" s="250" t="s">
        <v>3566</v>
      </c>
      <c r="G322" t="s">
        <v>42</v>
      </c>
      <c r="H322" s="82" t="s">
        <v>42</v>
      </c>
      <c r="I322" s="530">
        <v>150111</v>
      </c>
      <c r="J322" s="425" t="str">
        <f>INDEX(aux!B:B,MATCH(I322,aux!A:A,0))</f>
        <v>(*) Embalagens de metal, incluindo recipientes vazios sob pressão, contendo uma matriz porosa sólida perigosa (por exemplo, amianto)</v>
      </c>
      <c r="K322" s="433" t="str">
        <f>INDEX(aux!C:C,MATCH(I322,aux!A:A,0))</f>
        <v>Sim</v>
      </c>
      <c r="L322" s="536">
        <v>5.3999999999999999E-2</v>
      </c>
      <c r="M322" s="534" t="s">
        <v>1532</v>
      </c>
      <c r="N322" s="139">
        <f t="shared" si="19"/>
        <v>54</v>
      </c>
      <c r="O322" s="540" t="s">
        <v>484</v>
      </c>
      <c r="P322" s="231" t="str">
        <f t="shared" si="20"/>
        <v>Reciclagem</v>
      </c>
      <c r="Q322" s="231" t="s">
        <v>1906</v>
      </c>
      <c r="R322" s="231" t="s">
        <v>6569</v>
      </c>
      <c r="S322" s="667" t="s">
        <v>1553</v>
      </c>
      <c r="T322" s="540" t="s">
        <v>1539</v>
      </c>
      <c r="U322" s="540" t="s">
        <v>1574</v>
      </c>
      <c r="V322" s="422"/>
    </row>
    <row r="323" spans="1:22" ht="15.75" hidden="1" thickBot="1" x14ac:dyDescent="0.3">
      <c r="A323" s="424" t="s">
        <v>4610</v>
      </c>
      <c r="B323" s="424" t="s">
        <v>4583</v>
      </c>
      <c r="C323" s="82" t="str">
        <f t="shared" si="21"/>
        <v>oficina GAMBELAS</v>
      </c>
      <c r="D323">
        <v>2022</v>
      </c>
      <c r="E323" s="250" t="s">
        <v>3499</v>
      </c>
      <c r="F323" s="250" t="s">
        <v>3566</v>
      </c>
      <c r="G323" t="s">
        <v>42</v>
      </c>
      <c r="H323" s="82" t="s">
        <v>42</v>
      </c>
      <c r="I323" s="265">
        <v>130208</v>
      </c>
      <c r="J323" s="425" t="str">
        <f>INDEX(aux!B:B,MATCH(I323,aux!A:A,0))</f>
        <v>(*) Outros óleos de motores, transmissões e lubrificação</v>
      </c>
      <c r="K323" s="433" t="str">
        <f>INDEX(aux!C:C,MATCH(I323,aux!A:A,0))</f>
        <v>Sim</v>
      </c>
      <c r="L323" s="437">
        <v>7.0679999999999996</v>
      </c>
      <c r="M323" s="433" t="s">
        <v>1532</v>
      </c>
      <c r="N323" s="139">
        <f t="shared" ref="N323:N386" si="22">IF(LEFT(M323,3)="ton",1000*L323,L323)</f>
        <v>7068</v>
      </c>
      <c r="O323" s="139" t="s">
        <v>484</v>
      </c>
      <c r="P323" s="231" t="str">
        <f t="shared" ref="P323:P386" si="23">IF(LEFT(O323,1)="R","Reciclagem",IF(OR(O323="D10",O323="D11"),"Iceneração","Aterro"))</f>
        <v>Reciclagem</v>
      </c>
      <c r="Q323" s="231" t="s">
        <v>1902</v>
      </c>
      <c r="R323" s="231" t="s">
        <v>1877</v>
      </c>
      <c r="S323" s="114" t="str">
        <f>IFERROR(INDEX(Tabela3[Tipos de Tratamento],MATCH('A3.9.1 copy'!O278,Tabela3[Código],0)),"")</f>
        <v xml:space="preserve">Troca de resíduos com vista a submetê-los a uma das operações enumeradas de R 1 a R 11 </v>
      </c>
      <c r="T323" s="429" t="s">
        <v>3215</v>
      </c>
      <c r="U323" s="429" t="s">
        <v>3215</v>
      </c>
      <c r="V323" s="93"/>
    </row>
    <row r="324" spans="1:22" ht="15.75" thickBot="1" x14ac:dyDescent="0.3">
      <c r="A324" s="527" t="s">
        <v>4610</v>
      </c>
      <c r="B324" s="527" t="s">
        <v>4583</v>
      </c>
      <c r="C324" s="82" t="str">
        <f t="shared" si="21"/>
        <v>oficina GAMBELAS</v>
      </c>
      <c r="D324">
        <v>2023</v>
      </c>
      <c r="E324" s="250" t="s">
        <v>3499</v>
      </c>
      <c r="F324" s="250" t="s">
        <v>3566</v>
      </c>
      <c r="G324" t="s">
        <v>42</v>
      </c>
      <c r="H324" s="82" t="s">
        <v>42</v>
      </c>
      <c r="I324" s="530">
        <v>130208</v>
      </c>
      <c r="J324" s="425" t="str">
        <f>INDEX(aux!B:B,MATCH(I324,aux!A:A,0))</f>
        <v>(*) Outros óleos de motores, transmissões e lubrificação</v>
      </c>
      <c r="K324" s="433" t="str">
        <f>INDEX(aux!C:C,MATCH(I324,aux!A:A,0))</f>
        <v>Sim</v>
      </c>
      <c r="L324" s="536">
        <v>7.6130000000000004</v>
      </c>
      <c r="M324" s="534" t="s">
        <v>1532</v>
      </c>
      <c r="N324" s="139">
        <f t="shared" si="22"/>
        <v>7613</v>
      </c>
      <c r="O324" s="540" t="s">
        <v>484</v>
      </c>
      <c r="P324" s="231" t="str">
        <f t="shared" si="23"/>
        <v>Reciclagem</v>
      </c>
      <c r="Q324" s="231" t="s">
        <v>1902</v>
      </c>
      <c r="R324" s="231" t="s">
        <v>1877</v>
      </c>
      <c r="S324" s="667" t="s">
        <v>1553</v>
      </c>
      <c r="T324" s="540" t="s">
        <v>3215</v>
      </c>
      <c r="U324" s="540" t="s">
        <v>3215</v>
      </c>
      <c r="V324" s="93"/>
    </row>
    <row r="325" spans="1:22" ht="15.75" hidden="1" thickBot="1" x14ac:dyDescent="0.3">
      <c r="A325" s="424" t="s">
        <v>4610</v>
      </c>
      <c r="B325" s="424" t="s">
        <v>4583</v>
      </c>
      <c r="C325" s="82" t="str">
        <f t="shared" si="21"/>
        <v>oficina GAMBELAS</v>
      </c>
      <c r="D325">
        <v>2022</v>
      </c>
      <c r="E325" s="250" t="s">
        <v>3499</v>
      </c>
      <c r="F325" s="250" t="s">
        <v>3566</v>
      </c>
      <c r="G325" t="s">
        <v>42</v>
      </c>
      <c r="H325" s="82" t="s">
        <v>42</v>
      </c>
      <c r="I325" s="265">
        <v>150101</v>
      </c>
      <c r="J325" s="425" t="str">
        <f>INDEX(aux!B:B,MATCH(I325,aux!A:A,0))</f>
        <v>Embalagens de papel e cartão</v>
      </c>
      <c r="K325" s="433" t="str">
        <f>INDEX(aux!C:C,MATCH(I325,aux!A:A,0))</f>
        <v>Não</v>
      </c>
      <c r="L325" s="437">
        <v>0.38</v>
      </c>
      <c r="M325" s="433" t="s">
        <v>1532</v>
      </c>
      <c r="N325" s="139">
        <f t="shared" si="22"/>
        <v>380</v>
      </c>
      <c r="O325" s="139" t="s">
        <v>483</v>
      </c>
      <c r="P325" s="231" t="str">
        <f t="shared" si="23"/>
        <v>Reciclagem</v>
      </c>
      <c r="Q325" s="231" t="s">
        <v>1904</v>
      </c>
      <c r="R325" s="231" t="s">
        <v>1903</v>
      </c>
      <c r="S325" s="114" t="str">
        <f>IFERROR(INDEX(Tabela3[Tipos de Tratamento],MATCH('A3.9.1 copy'!O279,Tabela3[Código],0)),"")</f>
        <v>Acumulação de resíduos destinados a uma das operações enumeradas de R1 a R12</v>
      </c>
      <c r="T325" s="429" t="s">
        <v>3245</v>
      </c>
      <c r="U325" s="429" t="s">
        <v>3245</v>
      </c>
      <c r="V325" s="93"/>
    </row>
    <row r="326" spans="1:22" ht="15.75" thickBot="1" x14ac:dyDescent="0.3">
      <c r="A326" s="527" t="s">
        <v>4610</v>
      </c>
      <c r="B326" s="527" t="s">
        <v>4583</v>
      </c>
      <c r="C326" s="82" t="str">
        <f t="shared" si="21"/>
        <v>oficina GAMBELAS</v>
      </c>
      <c r="D326">
        <v>2023</v>
      </c>
      <c r="E326" s="250" t="s">
        <v>3499</v>
      </c>
      <c r="F326" s="250" t="s">
        <v>3566</v>
      </c>
      <c r="G326" t="s">
        <v>42</v>
      </c>
      <c r="H326" s="82" t="s">
        <v>42</v>
      </c>
      <c r="I326" s="530">
        <v>150101</v>
      </c>
      <c r="J326" s="425" t="str">
        <f>INDEX(aux!B:B,MATCH(I326,aux!A:A,0))</f>
        <v>Embalagens de papel e cartão</v>
      </c>
      <c r="K326" s="433" t="str">
        <f>INDEX(aux!C:C,MATCH(I326,aux!A:A,0))</f>
        <v>Não</v>
      </c>
      <c r="L326" s="536">
        <v>1.0369999999999999</v>
      </c>
      <c r="M326" s="534" t="s">
        <v>1532</v>
      </c>
      <c r="N326" s="139">
        <f t="shared" si="22"/>
        <v>1037</v>
      </c>
      <c r="O326" s="540" t="s">
        <v>483</v>
      </c>
      <c r="P326" s="231" t="str">
        <f t="shared" si="23"/>
        <v>Reciclagem</v>
      </c>
      <c r="Q326" s="231" t="s">
        <v>1904</v>
      </c>
      <c r="R326" s="231" t="s">
        <v>6569</v>
      </c>
      <c r="S326" s="667" t="s">
        <v>1553</v>
      </c>
      <c r="T326" s="540" t="s">
        <v>3245</v>
      </c>
      <c r="U326" s="540" t="s">
        <v>3245</v>
      </c>
      <c r="V326" s="422"/>
    </row>
    <row r="327" spans="1:22" ht="15.75" hidden="1" thickBot="1" x14ac:dyDescent="0.3">
      <c r="A327" s="424" t="s">
        <v>4610</v>
      </c>
      <c r="B327" s="424" t="s">
        <v>4583</v>
      </c>
      <c r="C327" s="82" t="str">
        <f t="shared" si="21"/>
        <v>oficina GAMBELAS</v>
      </c>
      <c r="D327">
        <v>2022</v>
      </c>
      <c r="E327" s="250" t="s">
        <v>3499</v>
      </c>
      <c r="F327" s="250" t="s">
        <v>3566</v>
      </c>
      <c r="G327" t="s">
        <v>42</v>
      </c>
      <c r="H327" s="82" t="s">
        <v>42</v>
      </c>
      <c r="I327" s="265">
        <v>160119</v>
      </c>
      <c r="J327" s="425" t="str">
        <f>INDEX(aux!B:B,MATCH(I327,aux!A:A,0))</f>
        <v>Plástico</v>
      </c>
      <c r="K327" s="433" t="str">
        <f>INDEX(aux!C:C,MATCH(I327,aux!A:A,0))</f>
        <v>Não</v>
      </c>
      <c r="L327" s="437">
        <v>0.38100000000000001</v>
      </c>
      <c r="M327" s="433" t="s">
        <v>1532</v>
      </c>
      <c r="N327" s="139">
        <f t="shared" si="22"/>
        <v>381</v>
      </c>
      <c r="O327" s="139" t="s">
        <v>484</v>
      </c>
      <c r="P327" s="231" t="str">
        <f t="shared" si="23"/>
        <v>Reciclagem</v>
      </c>
      <c r="Q327" s="231" t="s">
        <v>1560</v>
      </c>
      <c r="R327" s="231" t="s">
        <v>1903</v>
      </c>
      <c r="S327" s="114" t="str">
        <f>IFERROR(INDEX(Tabela3[Tipos de Tratamento],MATCH('A3.9.1 copy'!O289,Tabela3[Código],0)),"")</f>
        <v xml:space="preserve">Troca de resíduos com vista a submetê-los a uma das operações enumeradas de R 1 a R 11 </v>
      </c>
      <c r="T327" s="429" t="s">
        <v>1539</v>
      </c>
      <c r="U327" s="429" t="s">
        <v>1574</v>
      </c>
      <c r="V327" s="422"/>
    </row>
    <row r="328" spans="1:22" ht="15.75" thickBot="1" x14ac:dyDescent="0.3">
      <c r="A328" s="527" t="s">
        <v>4610</v>
      </c>
      <c r="B328" s="527" t="s">
        <v>4583</v>
      </c>
      <c r="C328" s="82" t="str">
        <f t="shared" si="21"/>
        <v>oficina GAMBELAS</v>
      </c>
      <c r="D328">
        <v>2023</v>
      </c>
      <c r="E328" s="250" t="s">
        <v>3499</v>
      </c>
      <c r="F328" s="250" t="s">
        <v>3566</v>
      </c>
      <c r="G328" t="s">
        <v>42</v>
      </c>
      <c r="H328" s="82" t="s">
        <v>42</v>
      </c>
      <c r="I328" s="530">
        <v>160119</v>
      </c>
      <c r="J328" s="425" t="str">
        <f>INDEX(aux!B:B,MATCH(I328,aux!A:A,0))</f>
        <v>Plástico</v>
      </c>
      <c r="K328" s="433" t="str">
        <f>INDEX(aux!C:C,MATCH(I328,aux!A:A,0))</f>
        <v>Não</v>
      </c>
      <c r="L328" s="536">
        <v>0.51</v>
      </c>
      <c r="M328" s="534" t="s">
        <v>1532</v>
      </c>
      <c r="N328" s="139">
        <f t="shared" si="22"/>
        <v>510</v>
      </c>
      <c r="O328" s="540" t="s">
        <v>484</v>
      </c>
      <c r="P328" s="231" t="str">
        <f t="shared" si="23"/>
        <v>Reciclagem</v>
      </c>
      <c r="Q328" s="231" t="s">
        <v>1560</v>
      </c>
      <c r="R328" s="231" t="s">
        <v>6569</v>
      </c>
      <c r="S328" s="667" t="s">
        <v>1553</v>
      </c>
      <c r="T328" s="540" t="s">
        <v>1539</v>
      </c>
      <c r="U328" s="540" t="s">
        <v>1574</v>
      </c>
      <c r="V328" s="422"/>
    </row>
    <row r="329" spans="1:22" ht="15.75" hidden="1" thickBot="1" x14ac:dyDescent="0.3">
      <c r="A329" s="424" t="s">
        <v>4610</v>
      </c>
      <c r="B329" s="424" t="s">
        <v>4583</v>
      </c>
      <c r="C329" s="82" t="str">
        <f t="shared" si="21"/>
        <v>oficina GAMBELAS</v>
      </c>
      <c r="D329">
        <v>2022</v>
      </c>
      <c r="E329" s="250" t="s">
        <v>3499</v>
      </c>
      <c r="F329" s="250" t="s">
        <v>3566</v>
      </c>
      <c r="G329" t="s">
        <v>42</v>
      </c>
      <c r="H329" s="82" t="s">
        <v>42</v>
      </c>
      <c r="I329" s="265">
        <v>150110</v>
      </c>
      <c r="J329" s="425" t="str">
        <f>INDEX(aux!B:B,MATCH(I329,aux!A:A,0))</f>
        <v>(*) Embalagens contendo ou contaminadas por resíduos de substâncias perigosas</v>
      </c>
      <c r="K329" s="433" t="str">
        <f>INDEX(aux!C:C,MATCH(I329,aux!A:A,0))</f>
        <v>Sim</v>
      </c>
      <c r="L329" s="437">
        <v>0.09</v>
      </c>
      <c r="M329" s="433" t="s">
        <v>1532</v>
      </c>
      <c r="N329" s="139">
        <f t="shared" si="22"/>
        <v>90</v>
      </c>
      <c r="O329" s="139" t="s">
        <v>484</v>
      </c>
      <c r="P329" s="231" t="str">
        <f t="shared" si="23"/>
        <v>Reciclagem</v>
      </c>
      <c r="Q329" s="231" t="s">
        <v>1901</v>
      </c>
      <c r="R329" s="231" t="s">
        <v>1892</v>
      </c>
      <c r="S329" s="114" t="str">
        <f>IFERROR(INDEX(Tabela3[Tipos de Tratamento],MATCH('A3.9.1 copy'!O280,Tabela3[Código],0)),"")</f>
        <v xml:space="preserve">Troca de resíduos com vista a submetê-los a uma das operações enumeradas de R 1 a R 11 </v>
      </c>
      <c r="T329" s="429" t="s">
        <v>1539</v>
      </c>
      <c r="U329" s="429" t="s">
        <v>1574</v>
      </c>
      <c r="V329" s="422"/>
    </row>
    <row r="330" spans="1:22" ht="15.75" hidden="1" thickBot="1" x14ac:dyDescent="0.3">
      <c r="A330" s="424" t="s">
        <v>4610</v>
      </c>
      <c r="B330" s="424" t="s">
        <v>4583</v>
      </c>
      <c r="C330" s="82" t="str">
        <f t="shared" si="21"/>
        <v>oficina GAMBELAS</v>
      </c>
      <c r="D330">
        <v>2022</v>
      </c>
      <c r="E330" s="250" t="s">
        <v>3499</v>
      </c>
      <c r="F330" s="250" t="s">
        <v>3566</v>
      </c>
      <c r="G330" t="s">
        <v>42</v>
      </c>
      <c r="H330" s="82" t="s">
        <v>42</v>
      </c>
      <c r="I330" s="265">
        <v>150202</v>
      </c>
      <c r="J330" s="425" t="str">
        <f>INDEX(aux!B:B,MATCH(I330,aux!A:A,0))</f>
        <v>(*) Absorventes, materiais filtrantes (incluindo filtros de óleo sem outras especificações), panos de limpeza e vestuário de proteção, contaminados por substâncias perigosas</v>
      </c>
      <c r="K330" s="433" t="str">
        <f>INDEX(aux!C:C,MATCH(I330,aux!A:A,0))</f>
        <v>Sim</v>
      </c>
      <c r="L330" s="437">
        <v>0.56000000000000005</v>
      </c>
      <c r="M330" s="433" t="s">
        <v>1532</v>
      </c>
      <c r="N330" s="139">
        <f t="shared" si="22"/>
        <v>560</v>
      </c>
      <c r="O330" s="139" t="s">
        <v>483</v>
      </c>
      <c r="P330" s="231" t="str">
        <f t="shared" si="23"/>
        <v>Reciclagem</v>
      </c>
      <c r="Q330" s="231" t="s">
        <v>1901</v>
      </c>
      <c r="R330" s="231" t="s">
        <v>1892</v>
      </c>
      <c r="S330" s="114" t="str">
        <f>IFERROR(INDEX(Tabela3[Tipos de Tratamento],MATCH('A3.9.1 copy'!O283,Tabela3[Código],0)),"")</f>
        <v>Acumulação de resíduos destinados a uma das operações enumeradas de R1 a R12</v>
      </c>
      <c r="T330" s="429" t="s">
        <v>1539</v>
      </c>
      <c r="U330" s="429" t="s">
        <v>1574</v>
      </c>
      <c r="V330" s="422"/>
    </row>
    <row r="331" spans="1:22" ht="15.75" hidden="1" thickBot="1" x14ac:dyDescent="0.3">
      <c r="A331" s="424" t="s">
        <v>4610</v>
      </c>
      <c r="B331" s="424" t="s">
        <v>4583</v>
      </c>
      <c r="C331" s="82" t="str">
        <f t="shared" si="21"/>
        <v>oficina GAMBELAS</v>
      </c>
      <c r="D331">
        <v>2022</v>
      </c>
      <c r="E331" s="250" t="s">
        <v>3499</v>
      </c>
      <c r="F331" s="250" t="s">
        <v>3566</v>
      </c>
      <c r="G331" t="s">
        <v>42</v>
      </c>
      <c r="H331" s="82" t="s">
        <v>42</v>
      </c>
      <c r="I331" s="265">
        <v>150203</v>
      </c>
      <c r="J331" s="425" t="str">
        <f>INDEX(aux!B:B,MATCH(I331,aux!A:A,0))</f>
        <v>Absorventes, materiais filtrantes, panos de limpeza e vestuário de proteção não abrangidos em 15 02 02</v>
      </c>
      <c r="K331" s="433" t="str">
        <f>INDEX(aux!C:C,MATCH(I331,aux!A:A,0))</f>
        <v>Não</v>
      </c>
      <c r="L331" s="437">
        <v>1</v>
      </c>
      <c r="M331" s="433" t="s">
        <v>1532</v>
      </c>
      <c r="N331" s="139">
        <f t="shared" si="22"/>
        <v>1000</v>
      </c>
      <c r="O331" s="139" t="s">
        <v>484</v>
      </c>
      <c r="P331" s="231" t="str">
        <f t="shared" si="23"/>
        <v>Reciclagem</v>
      </c>
      <c r="Q331" s="231" t="s">
        <v>1901</v>
      </c>
      <c r="R331" s="231" t="s">
        <v>1892</v>
      </c>
      <c r="S331" s="114" t="str">
        <f>IFERROR(INDEX(Tabela3[Tipos de Tratamento],MATCH('A3.9.1 copy'!O284,Tabela3[Código],0)),"")</f>
        <v>Acumulação de resíduos destinados a uma das operações enumeradas de R1 a R12</v>
      </c>
      <c r="T331" s="429" t="s">
        <v>1539</v>
      </c>
      <c r="U331" s="429" t="s">
        <v>1574</v>
      </c>
      <c r="V331" s="422"/>
    </row>
    <row r="332" spans="1:22" ht="15.75" hidden="1" thickBot="1" x14ac:dyDescent="0.3">
      <c r="A332" s="424" t="s">
        <v>4610</v>
      </c>
      <c r="B332" s="424" t="s">
        <v>4583</v>
      </c>
      <c r="C332" s="82" t="str">
        <f t="shared" si="21"/>
        <v>oficina GAMBELAS</v>
      </c>
      <c r="D332">
        <v>2022</v>
      </c>
      <c r="E332" s="250" t="s">
        <v>3499</v>
      </c>
      <c r="F332" s="250" t="s">
        <v>3566</v>
      </c>
      <c r="G332" t="s">
        <v>42</v>
      </c>
      <c r="H332" s="82" t="s">
        <v>42</v>
      </c>
      <c r="I332" s="265">
        <v>160107</v>
      </c>
      <c r="J332" s="425" t="str">
        <f>INDEX(aux!B:B,MATCH(I332,aux!A:A,0))</f>
        <v>(*) Filtros de óleo</v>
      </c>
      <c r="K332" s="433" t="str">
        <f>INDEX(aux!C:C,MATCH(I332,aux!A:A,0))</f>
        <v>Sim</v>
      </c>
      <c r="L332" s="437">
        <v>0.52</v>
      </c>
      <c r="M332" s="433" t="s">
        <v>1532</v>
      </c>
      <c r="N332" s="139">
        <f t="shared" si="22"/>
        <v>520</v>
      </c>
      <c r="O332" s="139" t="s">
        <v>483</v>
      </c>
      <c r="P332" s="231" t="str">
        <f t="shared" si="23"/>
        <v>Reciclagem</v>
      </c>
      <c r="Q332" s="231" t="s">
        <v>1901</v>
      </c>
      <c r="R332" s="231" t="s">
        <v>1892</v>
      </c>
      <c r="S332" s="114" t="str">
        <f>IFERROR(INDEX(Tabela3[Tipos de Tratamento],MATCH('A3.9.1 copy'!O285,Tabela3[Código],0)),"")</f>
        <v>Acumulação de resíduos destinados a uma das operações enumeradas de R1 a R12</v>
      </c>
      <c r="T332" s="429" t="s">
        <v>1539</v>
      </c>
      <c r="U332" s="429" t="s">
        <v>1574</v>
      </c>
      <c r="V332" s="422"/>
    </row>
    <row r="333" spans="1:22" ht="15.75" hidden="1" thickBot="1" x14ac:dyDescent="0.3">
      <c r="A333" s="424" t="s">
        <v>4610</v>
      </c>
      <c r="B333" s="424" t="s">
        <v>4583</v>
      </c>
      <c r="C333" s="82" t="str">
        <f t="shared" si="21"/>
        <v>oficina GAMBELAS</v>
      </c>
      <c r="D333">
        <v>2022</v>
      </c>
      <c r="E333" s="250" t="s">
        <v>3499</v>
      </c>
      <c r="F333" s="250" t="s">
        <v>3566</v>
      </c>
      <c r="G333" t="s">
        <v>42</v>
      </c>
      <c r="H333" s="82" t="s">
        <v>42</v>
      </c>
      <c r="I333" s="265">
        <v>160199</v>
      </c>
      <c r="J333" s="425" t="str">
        <f>INDEX(aux!B:B,MATCH(I333,aux!A:A,0))</f>
        <v>Resíduos sem outras especificações</v>
      </c>
      <c r="K333" s="433" t="str">
        <f>INDEX(aux!C:C,MATCH(I333,aux!A:A,0))</f>
        <v>Não</v>
      </c>
      <c r="L333" s="437">
        <v>0.17</v>
      </c>
      <c r="M333" s="433" t="s">
        <v>1532</v>
      </c>
      <c r="N333" s="139">
        <f t="shared" si="22"/>
        <v>170</v>
      </c>
      <c r="O333" s="139" t="s">
        <v>483</v>
      </c>
      <c r="P333" s="231" t="str">
        <f t="shared" si="23"/>
        <v>Reciclagem</v>
      </c>
      <c r="Q333" s="231" t="s">
        <v>1901</v>
      </c>
      <c r="R333" s="231" t="s">
        <v>1892</v>
      </c>
      <c r="S333" s="114" t="str">
        <f>IFERROR(INDEX(Tabela3[Tipos de Tratamento],MATCH('A3.9.1 copy'!O290,Tabela3[Código],0)),"")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333" s="429" t="s">
        <v>1539</v>
      </c>
      <c r="U333" s="429" t="s">
        <v>1574</v>
      </c>
      <c r="V333" s="422"/>
    </row>
    <row r="334" spans="1:22" ht="15.75" hidden="1" thickBot="1" x14ac:dyDescent="0.3">
      <c r="A334" s="424" t="s">
        <v>4610</v>
      </c>
      <c r="B334" s="424" t="s">
        <v>4583</v>
      </c>
      <c r="C334" s="82" t="str">
        <f t="shared" si="21"/>
        <v>oficina GAMBELAS</v>
      </c>
      <c r="D334">
        <v>2022</v>
      </c>
      <c r="E334" s="250" t="s">
        <v>3499</v>
      </c>
      <c r="F334" s="250" t="s">
        <v>3566</v>
      </c>
      <c r="G334" t="s">
        <v>42</v>
      </c>
      <c r="H334" s="82" t="s">
        <v>42</v>
      </c>
      <c r="I334" s="265">
        <v>160199</v>
      </c>
      <c r="J334" s="425" t="str">
        <f>INDEX(aux!B:B,MATCH(I334,aux!A:A,0))</f>
        <v>Resíduos sem outras especificações</v>
      </c>
      <c r="K334" s="433" t="str">
        <f>INDEX(aux!C:C,MATCH(I334,aux!A:A,0))</f>
        <v>Não</v>
      </c>
      <c r="L334" s="437">
        <v>0.11799999999999999</v>
      </c>
      <c r="M334" s="433" t="s">
        <v>1532</v>
      </c>
      <c r="N334" s="139">
        <f t="shared" si="22"/>
        <v>118</v>
      </c>
      <c r="O334" s="139" t="s">
        <v>484</v>
      </c>
      <c r="P334" s="231" t="str">
        <f t="shared" si="23"/>
        <v>Reciclagem</v>
      </c>
      <c r="Q334" s="231" t="s">
        <v>1901</v>
      </c>
      <c r="R334" s="231" t="s">
        <v>1892</v>
      </c>
      <c r="S334" s="114" t="str">
        <f>IFERROR(INDEX(Tabela3[Tipos de Tratamento],MATCH('A3.9.1 copy'!O291,Tabela3[Código],0)),"")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334" s="429" t="s">
        <v>1539</v>
      </c>
      <c r="U334" s="429" t="s">
        <v>1574</v>
      </c>
      <c r="V334" s="422"/>
    </row>
    <row r="335" spans="1:22" ht="15.75" thickBot="1" x14ac:dyDescent="0.3">
      <c r="A335" s="527" t="s">
        <v>4610</v>
      </c>
      <c r="B335" s="527" t="s">
        <v>4583</v>
      </c>
      <c r="C335" s="82" t="str">
        <f t="shared" si="21"/>
        <v>oficina GAMBELAS</v>
      </c>
      <c r="D335">
        <v>2023</v>
      </c>
      <c r="E335" s="250" t="s">
        <v>3499</v>
      </c>
      <c r="F335" s="250" t="s">
        <v>3566</v>
      </c>
      <c r="G335" t="s">
        <v>42</v>
      </c>
      <c r="H335" s="82" t="s">
        <v>42</v>
      </c>
      <c r="I335" s="530">
        <v>200121</v>
      </c>
      <c r="J335" s="425" t="str">
        <f>INDEX(aux!B:B,MATCH(I335,aux!A:A,0))</f>
        <v>(*) Lâmpadas fluorescentes e outros resíduos contendo mercúrio</v>
      </c>
      <c r="K335" s="433" t="str">
        <f>INDEX(aux!C:C,MATCH(I335,aux!A:A,0))</f>
        <v>Sim</v>
      </c>
      <c r="L335" s="536">
        <v>0.02</v>
      </c>
      <c r="M335" s="534" t="s">
        <v>1532</v>
      </c>
      <c r="N335" s="139">
        <f t="shared" si="22"/>
        <v>20</v>
      </c>
      <c r="O335" s="540" t="s">
        <v>484</v>
      </c>
      <c r="P335" s="231" t="str">
        <f t="shared" si="23"/>
        <v>Reciclagem</v>
      </c>
      <c r="Q335" s="231" t="s">
        <v>1901</v>
      </c>
      <c r="R335" s="231" t="s">
        <v>1892</v>
      </c>
      <c r="S335" s="667" t="s">
        <v>518</v>
      </c>
      <c r="T335" s="540" t="s">
        <v>1539</v>
      </c>
      <c r="U335" s="540" t="s">
        <v>1574</v>
      </c>
      <c r="V335" s="93"/>
    </row>
    <row r="336" spans="1:22" ht="15.75" thickBot="1" x14ac:dyDescent="0.3">
      <c r="A336" s="527" t="s">
        <v>4610</v>
      </c>
      <c r="B336" s="527" t="s">
        <v>4583</v>
      </c>
      <c r="C336" s="82" t="str">
        <f t="shared" si="21"/>
        <v>oficina GAMBELAS</v>
      </c>
      <c r="D336">
        <v>2023</v>
      </c>
      <c r="E336" s="250" t="s">
        <v>3499</v>
      </c>
      <c r="F336" s="250" t="s">
        <v>3566</v>
      </c>
      <c r="G336" t="s">
        <v>42</v>
      </c>
      <c r="H336" s="82" t="s">
        <v>42</v>
      </c>
      <c r="I336" s="530">
        <v>160121</v>
      </c>
      <c r="J336" s="425" t="str">
        <f>INDEX(aux!B:B,MATCH(I336,aux!A:A,0))</f>
        <v>(*) Componentes perigosos não abrangidos em 16 01 07 a 16 01 11, 16 01 13 e 16 01 14</v>
      </c>
      <c r="K336" s="433" t="str">
        <f>INDEX(aux!C:C,MATCH(I336,aux!A:A,0))</f>
        <v>Sim</v>
      </c>
      <c r="L336" s="536">
        <v>0.16800000000000001</v>
      </c>
      <c r="M336" s="534" t="s">
        <v>1532</v>
      </c>
      <c r="N336" s="139">
        <f t="shared" si="22"/>
        <v>168</v>
      </c>
      <c r="O336" s="540" t="s">
        <v>509</v>
      </c>
      <c r="P336" s="231" t="str">
        <f t="shared" si="23"/>
        <v>Aterro</v>
      </c>
      <c r="Q336" s="231" t="s">
        <v>1901</v>
      </c>
      <c r="R336" s="231" t="s">
        <v>1892</v>
      </c>
      <c r="S336" s="667" t="s">
        <v>1553</v>
      </c>
      <c r="T336" s="540" t="s">
        <v>1539</v>
      </c>
      <c r="U336" s="540" t="s">
        <v>1574</v>
      </c>
      <c r="V336" s="422"/>
    </row>
    <row r="337" spans="1:22" ht="15.75" thickBot="1" x14ac:dyDescent="0.3">
      <c r="A337" s="527" t="s">
        <v>4610</v>
      </c>
      <c r="B337" s="527" t="s">
        <v>4583</v>
      </c>
      <c r="C337" s="82" t="str">
        <f t="shared" si="21"/>
        <v>oficina GAMBELAS</v>
      </c>
      <c r="D337">
        <v>2023</v>
      </c>
      <c r="E337" s="250" t="s">
        <v>3499</v>
      </c>
      <c r="F337" s="250" t="s">
        <v>3566</v>
      </c>
      <c r="G337" t="s">
        <v>42</v>
      </c>
      <c r="H337" s="82" t="s">
        <v>42</v>
      </c>
      <c r="I337" s="530">
        <v>160199</v>
      </c>
      <c r="J337" s="425" t="str">
        <f>INDEX(aux!B:B,MATCH(I337,aux!A:A,0))</f>
        <v>Resíduos sem outras especificações</v>
      </c>
      <c r="K337" s="433" t="str">
        <f>INDEX(aux!C:C,MATCH(I337,aux!A:A,0))</f>
        <v>Não</v>
      </c>
      <c r="L337" s="536">
        <v>0.34</v>
      </c>
      <c r="M337" s="534" t="s">
        <v>1532</v>
      </c>
      <c r="N337" s="139">
        <f t="shared" si="22"/>
        <v>340</v>
      </c>
      <c r="O337" s="540" t="s">
        <v>483</v>
      </c>
      <c r="P337" s="231" t="str">
        <f t="shared" si="23"/>
        <v>Reciclagem</v>
      </c>
      <c r="Q337" s="231" t="s">
        <v>1901</v>
      </c>
      <c r="R337" s="231" t="s">
        <v>1892</v>
      </c>
      <c r="S337" s="667" t="s">
        <v>485</v>
      </c>
      <c r="T337" s="540" t="s">
        <v>1539</v>
      </c>
      <c r="U337" s="540" t="s">
        <v>1574</v>
      </c>
      <c r="V337" s="422"/>
    </row>
    <row r="338" spans="1:22" ht="15.75" thickBot="1" x14ac:dyDescent="0.3">
      <c r="A338" s="527" t="s">
        <v>4610</v>
      </c>
      <c r="B338" s="527" t="s">
        <v>4583</v>
      </c>
      <c r="C338" s="82" t="str">
        <f t="shared" si="21"/>
        <v>oficina GAMBELAS</v>
      </c>
      <c r="D338">
        <v>2023</v>
      </c>
      <c r="E338" s="250" t="s">
        <v>3499</v>
      </c>
      <c r="F338" s="250" t="s">
        <v>3566</v>
      </c>
      <c r="G338" t="s">
        <v>42</v>
      </c>
      <c r="H338" s="82" t="s">
        <v>42</v>
      </c>
      <c r="I338" s="530">
        <v>150110</v>
      </c>
      <c r="J338" s="425" t="str">
        <f>INDEX(aux!B:B,MATCH(I338,aux!A:A,0))</f>
        <v>(*) Embalagens contendo ou contaminadas por resíduos de substâncias perigosas</v>
      </c>
      <c r="K338" s="433" t="str">
        <f>INDEX(aux!C:C,MATCH(I338,aux!A:A,0))</f>
        <v>Sim</v>
      </c>
      <c r="L338" s="536">
        <v>0.27</v>
      </c>
      <c r="M338" s="534" t="s">
        <v>1532</v>
      </c>
      <c r="N338" s="139">
        <f t="shared" si="22"/>
        <v>270</v>
      </c>
      <c r="O338" s="540" t="s">
        <v>484</v>
      </c>
      <c r="P338" s="231" t="str">
        <f t="shared" si="23"/>
        <v>Reciclagem</v>
      </c>
      <c r="Q338" s="231" t="s">
        <v>1901</v>
      </c>
      <c r="R338" s="231" t="s">
        <v>1892</v>
      </c>
      <c r="S338" s="667" t="s">
        <v>485</v>
      </c>
      <c r="T338" s="540" t="s">
        <v>1539</v>
      </c>
      <c r="U338" s="540" t="s">
        <v>1574</v>
      </c>
      <c r="V338" s="422"/>
    </row>
    <row r="339" spans="1:22" ht="15.75" thickBot="1" x14ac:dyDescent="0.3">
      <c r="A339" s="527" t="s">
        <v>4610</v>
      </c>
      <c r="B339" s="527" t="s">
        <v>4583</v>
      </c>
      <c r="C339" s="82" t="str">
        <f t="shared" si="21"/>
        <v>oficina GAMBELAS</v>
      </c>
      <c r="D339">
        <v>2023</v>
      </c>
      <c r="E339" s="250" t="s">
        <v>3499</v>
      </c>
      <c r="F339" s="250" t="s">
        <v>3566</v>
      </c>
      <c r="G339" t="s">
        <v>42</v>
      </c>
      <c r="H339" s="82" t="s">
        <v>42</v>
      </c>
      <c r="I339" s="530">
        <v>130508</v>
      </c>
      <c r="J339" s="425" t="str">
        <f>INDEX(aux!B:B,MATCH(I339,aux!A:A,0))</f>
        <v>(*) Misturas de resíduos provenientes de desarenadores e de separadores óleo/água</v>
      </c>
      <c r="K339" s="433" t="str">
        <f>INDEX(aux!C:C,MATCH(I339,aux!A:A,0))</f>
        <v>Sim</v>
      </c>
      <c r="L339" s="536">
        <v>16.54</v>
      </c>
      <c r="M339" s="534" t="s">
        <v>1532</v>
      </c>
      <c r="N339" s="139">
        <f t="shared" si="22"/>
        <v>16540</v>
      </c>
      <c r="O339" s="540" t="s">
        <v>503</v>
      </c>
      <c r="P339" s="231" t="str">
        <f t="shared" si="23"/>
        <v>Aterro</v>
      </c>
      <c r="Q339" s="231" t="s">
        <v>1901</v>
      </c>
      <c r="R339" s="231" t="s">
        <v>1892</v>
      </c>
      <c r="S339" s="667" t="s">
        <v>485</v>
      </c>
      <c r="T339" s="540" t="s">
        <v>1539</v>
      </c>
      <c r="U339" s="540" t="s">
        <v>1539</v>
      </c>
      <c r="V339" s="422"/>
    </row>
    <row r="340" spans="1:22" ht="15.75" thickBot="1" x14ac:dyDescent="0.3">
      <c r="A340" s="527" t="s">
        <v>4610</v>
      </c>
      <c r="B340" s="527" t="s">
        <v>4583</v>
      </c>
      <c r="C340" s="82" t="str">
        <f t="shared" si="21"/>
        <v>oficina GAMBELAS</v>
      </c>
      <c r="D340">
        <v>2023</v>
      </c>
      <c r="E340" s="250" t="s">
        <v>3499</v>
      </c>
      <c r="F340" s="250" t="s">
        <v>3566</v>
      </c>
      <c r="G340" t="s">
        <v>42</v>
      </c>
      <c r="H340" s="82" t="s">
        <v>42</v>
      </c>
      <c r="I340" s="530">
        <v>150203</v>
      </c>
      <c r="J340" s="425" t="str">
        <f>INDEX(aux!B:B,MATCH(I340,aux!A:A,0))</f>
        <v>Absorventes, materiais filtrantes, panos de limpeza e vestuário de proteção não abrangidos em 15 02 02</v>
      </c>
      <c r="K340" s="433" t="str">
        <f>INDEX(aux!C:C,MATCH(I340,aux!A:A,0))</f>
        <v>Não</v>
      </c>
      <c r="L340" s="536">
        <v>1</v>
      </c>
      <c r="M340" s="534" t="s">
        <v>1532</v>
      </c>
      <c r="N340" s="139">
        <f t="shared" si="22"/>
        <v>1000</v>
      </c>
      <c r="O340" s="540" t="s">
        <v>484</v>
      </c>
      <c r="P340" s="231" t="str">
        <f t="shared" si="23"/>
        <v>Reciclagem</v>
      </c>
      <c r="Q340" s="231" t="s">
        <v>1901</v>
      </c>
      <c r="R340" s="231" t="s">
        <v>1892</v>
      </c>
      <c r="S340" s="667" t="s">
        <v>1553</v>
      </c>
      <c r="T340" s="540" t="s">
        <v>1539</v>
      </c>
      <c r="U340" s="540" t="s">
        <v>1574</v>
      </c>
      <c r="V340" s="422"/>
    </row>
    <row r="341" spans="1:22" ht="15.75" thickBot="1" x14ac:dyDescent="0.3">
      <c r="A341" s="527" t="s">
        <v>4610</v>
      </c>
      <c r="B341" s="527" t="s">
        <v>4583</v>
      </c>
      <c r="C341" s="82" t="str">
        <f t="shared" si="21"/>
        <v>oficina GAMBELAS</v>
      </c>
      <c r="D341">
        <v>2023</v>
      </c>
      <c r="E341" s="250" t="s">
        <v>3499</v>
      </c>
      <c r="F341" s="250" t="s">
        <v>3566</v>
      </c>
      <c r="G341" t="s">
        <v>42</v>
      </c>
      <c r="H341" s="82" t="s">
        <v>42</v>
      </c>
      <c r="I341" s="530">
        <v>150202</v>
      </c>
      <c r="J341" s="425" t="str">
        <f>INDEX(aux!B:B,MATCH(I341,aux!A:A,0))</f>
        <v>(*) Absorventes, materiais filtrantes (incluindo filtros de óleo sem outras especificações), panos de limpeza e vestuário de proteção, contaminados por substâncias perigosas</v>
      </c>
      <c r="K341" s="433" t="str">
        <f>INDEX(aux!C:C,MATCH(I341,aux!A:A,0))</f>
        <v>Sim</v>
      </c>
      <c r="L341" s="536">
        <v>0.52</v>
      </c>
      <c r="M341" s="534" t="s">
        <v>1532</v>
      </c>
      <c r="N341" s="139">
        <f t="shared" si="22"/>
        <v>520</v>
      </c>
      <c r="O341" s="540" t="s">
        <v>483</v>
      </c>
      <c r="P341" s="231" t="str">
        <f t="shared" si="23"/>
        <v>Reciclagem</v>
      </c>
      <c r="Q341" s="231" t="s">
        <v>1901</v>
      </c>
      <c r="R341" s="231" t="s">
        <v>1892</v>
      </c>
      <c r="S341" s="667" t="s">
        <v>485</v>
      </c>
      <c r="T341" s="540" t="s">
        <v>1539</v>
      </c>
      <c r="U341" s="540" t="s">
        <v>1574</v>
      </c>
      <c r="V341" s="422"/>
    </row>
    <row r="342" spans="1:22" ht="15.75" thickBot="1" x14ac:dyDescent="0.3">
      <c r="A342" s="527" t="s">
        <v>4610</v>
      </c>
      <c r="B342" s="527" t="s">
        <v>4583</v>
      </c>
      <c r="C342" s="82" t="str">
        <f t="shared" si="21"/>
        <v>oficina GAMBELAS</v>
      </c>
      <c r="D342">
        <v>2023</v>
      </c>
      <c r="E342" s="250" t="s">
        <v>3499</v>
      </c>
      <c r="F342" s="250" t="s">
        <v>3566</v>
      </c>
      <c r="G342" t="s">
        <v>42</v>
      </c>
      <c r="H342" s="82" t="s">
        <v>42</v>
      </c>
      <c r="I342" s="530">
        <v>160107</v>
      </c>
      <c r="J342" s="425" t="str">
        <f>INDEX(aux!B:B,MATCH(I342,aux!A:A,0))</f>
        <v>(*) Filtros de óleo</v>
      </c>
      <c r="K342" s="433" t="str">
        <f>INDEX(aux!C:C,MATCH(I342,aux!A:A,0))</f>
        <v>Sim</v>
      </c>
      <c r="L342" s="536">
        <v>0.41599999999999998</v>
      </c>
      <c r="M342" s="534" t="s">
        <v>1532</v>
      </c>
      <c r="N342" s="139">
        <f t="shared" si="22"/>
        <v>416</v>
      </c>
      <c r="O342" s="540" t="s">
        <v>483</v>
      </c>
      <c r="P342" s="231" t="str">
        <f t="shared" si="23"/>
        <v>Reciclagem</v>
      </c>
      <c r="Q342" s="231" t="s">
        <v>1901</v>
      </c>
      <c r="R342" s="231" t="s">
        <v>1892</v>
      </c>
      <c r="S342" s="667" t="s">
        <v>485</v>
      </c>
      <c r="T342" s="540" t="s">
        <v>1539</v>
      </c>
      <c r="U342" s="540" t="s">
        <v>1574</v>
      </c>
      <c r="V342" s="422"/>
    </row>
    <row r="343" spans="1:22" ht="15.75" hidden="1" thickBot="1" x14ac:dyDescent="0.3">
      <c r="A343" s="424" t="s">
        <v>4610</v>
      </c>
      <c r="B343" s="424" t="s">
        <v>4583</v>
      </c>
      <c r="C343" s="82" t="str">
        <f t="shared" si="21"/>
        <v>oficina GAMBELAS</v>
      </c>
      <c r="D343">
        <v>2022</v>
      </c>
      <c r="E343" s="250" t="s">
        <v>3499</v>
      </c>
      <c r="F343" s="250" t="s">
        <v>3566</v>
      </c>
      <c r="G343" t="s">
        <v>42</v>
      </c>
      <c r="H343" s="82" t="s">
        <v>42</v>
      </c>
      <c r="I343" s="265">
        <v>200301</v>
      </c>
      <c r="J343" s="425" t="str">
        <f>INDEX(aux!B:B,MATCH(I343,aux!A:A,0))</f>
        <v>Misturas de resíduos urbanos equiparados</v>
      </c>
      <c r="K343" s="433" t="str">
        <f>INDEX(aux!C:C,MATCH(I343,aux!A:A,0))</f>
        <v>Não</v>
      </c>
      <c r="L343" s="437">
        <v>0.57999999999999996</v>
      </c>
      <c r="M343" s="433" t="s">
        <v>1532</v>
      </c>
      <c r="N343" s="139">
        <f t="shared" si="22"/>
        <v>580</v>
      </c>
      <c r="O343" s="139" t="s">
        <v>483</v>
      </c>
      <c r="P343" s="231" t="str">
        <f t="shared" si="23"/>
        <v>Reciclagem</v>
      </c>
      <c r="Q343" s="231" t="s">
        <v>1908</v>
      </c>
      <c r="R343" s="231" t="s">
        <v>1877</v>
      </c>
      <c r="S343" s="114" t="str">
        <f>IFERROR(INDEX(Tabela3[Tipos de Tratamento],MATCH('A3.9.1 copy'!O293,Tabela3[Código],0)),"")</f>
        <v>Acumulação de resíduos destinados a uma das operações enumeradas de R1 a R12</v>
      </c>
      <c r="T343" s="429" t="s">
        <v>3245</v>
      </c>
      <c r="U343" s="429" t="s">
        <v>3246</v>
      </c>
      <c r="V343" s="93"/>
    </row>
    <row r="344" spans="1:22" ht="15.75" thickBot="1" x14ac:dyDescent="0.3">
      <c r="A344" s="527" t="s">
        <v>4610</v>
      </c>
      <c r="B344" s="527" t="s">
        <v>4583</v>
      </c>
      <c r="C344" s="82" t="str">
        <f t="shared" si="21"/>
        <v>oficina GAMBELAS</v>
      </c>
      <c r="D344">
        <v>2023</v>
      </c>
      <c r="E344" s="250" t="s">
        <v>3499</v>
      </c>
      <c r="F344" s="250" t="s">
        <v>3566</v>
      </c>
      <c r="G344" t="s">
        <v>42</v>
      </c>
      <c r="H344" s="82" t="s">
        <v>42</v>
      </c>
      <c r="I344" s="530">
        <v>160104</v>
      </c>
      <c r="J344" s="425" t="str">
        <f>INDEX(aux!B:B,MATCH(I344,aux!A:A,0))</f>
        <v>Veículos em fim de vida</v>
      </c>
      <c r="K344" s="433" t="str">
        <f>INDEX(aux!C:C,MATCH(I344,aux!A:A,0))</f>
        <v>Sim</v>
      </c>
      <c r="L344" s="536">
        <v>37.799999999999997</v>
      </c>
      <c r="M344" s="534" t="s">
        <v>1532</v>
      </c>
      <c r="N344" s="139">
        <f t="shared" si="22"/>
        <v>37800</v>
      </c>
      <c r="O344" s="540" t="s">
        <v>483</v>
      </c>
      <c r="P344" s="231" t="str">
        <f t="shared" si="23"/>
        <v>Reciclagem</v>
      </c>
      <c r="Q344" s="231" t="s">
        <v>1907</v>
      </c>
      <c r="R344" s="231" t="s">
        <v>6569</v>
      </c>
      <c r="S344" s="667" t="s">
        <v>485</v>
      </c>
      <c r="T344" s="540" t="s">
        <v>3245</v>
      </c>
      <c r="U344" s="540" t="s">
        <v>3247</v>
      </c>
      <c r="V344" s="93"/>
    </row>
    <row r="345" spans="1:22" ht="15.75" hidden="1" thickBot="1" x14ac:dyDescent="0.3">
      <c r="A345" s="424" t="s">
        <v>4609</v>
      </c>
      <c r="B345" s="424" t="s">
        <v>4583</v>
      </c>
      <c r="C345" s="82" t="str">
        <f t="shared" si="21"/>
        <v>oficina LAGOS</v>
      </c>
      <c r="D345">
        <v>2022</v>
      </c>
      <c r="E345" s="250" t="s">
        <v>3499</v>
      </c>
      <c r="F345" s="250" t="s">
        <v>3566</v>
      </c>
      <c r="G345" t="s">
        <v>42</v>
      </c>
      <c r="H345" s="82" t="s">
        <v>42</v>
      </c>
      <c r="I345" s="530">
        <v>130502</v>
      </c>
      <c r="J345" s="425" t="str">
        <f>INDEX(aux!B:B,MATCH(I345,aux!A:A,0))</f>
        <v>(*) Lamas provenientes dos separadores óleo/água</v>
      </c>
      <c r="K345" s="433" t="str">
        <f>INDEX(aux!C:C,MATCH(I345,aux!A:A,0))</f>
        <v>Sim</v>
      </c>
      <c r="L345" s="536">
        <v>0.42</v>
      </c>
      <c r="M345" s="534" t="s">
        <v>1532</v>
      </c>
      <c r="N345" s="139">
        <f t="shared" si="22"/>
        <v>420</v>
      </c>
      <c r="O345" s="534" t="s">
        <v>503</v>
      </c>
      <c r="P345" s="231" t="str">
        <f t="shared" si="23"/>
        <v>Aterro</v>
      </c>
      <c r="Q345" s="231" t="s">
        <v>1901</v>
      </c>
      <c r="R345" s="231" t="s">
        <v>1892</v>
      </c>
      <c r="S345" s="114" t="str">
        <f>IFERROR(INDEX(Tabela3[Tipos de Tratamento],MATCH('A3.9.1 copy'!O276,Tabela3[Código],0)),"")</f>
        <v xml:space="preserve">Troca de resíduos com vista a submetê-los a uma das operações enumeradas de R 1 a R 11 </v>
      </c>
      <c r="T345" s="429" t="s">
        <v>3215</v>
      </c>
      <c r="U345" s="429" t="s">
        <v>3215</v>
      </c>
      <c r="V345" s="93"/>
    </row>
    <row r="346" spans="1:22" ht="15.75" hidden="1" thickBot="1" x14ac:dyDescent="0.3">
      <c r="A346" s="424" t="s">
        <v>4609</v>
      </c>
      <c r="B346" s="424" t="s">
        <v>4583</v>
      </c>
      <c r="C346" s="82" t="str">
        <f t="shared" si="21"/>
        <v>oficina LAGOS</v>
      </c>
      <c r="D346">
        <v>2022</v>
      </c>
      <c r="E346" s="250" t="s">
        <v>3499</v>
      </c>
      <c r="F346" s="250" t="s">
        <v>3566</v>
      </c>
      <c r="G346" t="s">
        <v>42</v>
      </c>
      <c r="H346" s="82" t="s">
        <v>42</v>
      </c>
      <c r="I346" s="530">
        <v>130507</v>
      </c>
      <c r="J346" s="425" t="str">
        <f>INDEX(aux!B:B,MATCH(I346,aux!A:A,0))</f>
        <v>(*) Água com óleo proveniente dos separadores óleo/água</v>
      </c>
      <c r="K346" s="433" t="str">
        <f>INDEX(aux!C:C,MATCH(I346,aux!A:A,0))</f>
        <v>Sim</v>
      </c>
      <c r="L346" s="536">
        <v>1.4</v>
      </c>
      <c r="M346" s="534" t="s">
        <v>1532</v>
      </c>
      <c r="N346" s="139">
        <f t="shared" si="22"/>
        <v>1400</v>
      </c>
      <c r="O346" s="534" t="s">
        <v>503</v>
      </c>
      <c r="P346" s="231" t="str">
        <f t="shared" si="23"/>
        <v>Aterro</v>
      </c>
      <c r="Q346" s="231" t="s">
        <v>1901</v>
      </c>
      <c r="R346" s="231" t="s">
        <v>1892</v>
      </c>
      <c r="S346" s="114" t="str">
        <f>IFERROR(INDEX(Tabela3[Tipos de Tratamento],MATCH('A3.9.1 copy'!O277,Tabela3[Código],0)),"")</f>
        <v>Acumulação de resíduos destinados a uma das operações enumeradas de R1 a R12</v>
      </c>
      <c r="T346" s="429" t="s">
        <v>3215</v>
      </c>
      <c r="U346" s="429" t="s">
        <v>3215</v>
      </c>
      <c r="V346" s="93"/>
    </row>
    <row r="347" spans="1:22" ht="15.75" thickBot="1" x14ac:dyDescent="0.3">
      <c r="A347" s="527" t="s">
        <v>4609</v>
      </c>
      <c r="B347" s="527" t="s">
        <v>4583</v>
      </c>
      <c r="C347" s="82" t="str">
        <f t="shared" si="21"/>
        <v>oficina LAGOS</v>
      </c>
      <c r="D347">
        <v>2023</v>
      </c>
      <c r="E347" s="250" t="s">
        <v>3499</v>
      </c>
      <c r="F347" s="250" t="s">
        <v>3566</v>
      </c>
      <c r="G347" t="s">
        <v>42</v>
      </c>
      <c r="H347" s="82" t="s">
        <v>42</v>
      </c>
      <c r="I347" s="530">
        <v>130502</v>
      </c>
      <c r="J347" s="425" t="str">
        <f>INDEX(aux!B:B,MATCH(I347,aux!A:A,0))</f>
        <v>(*) Lamas provenientes dos separadores óleo/água</v>
      </c>
      <c r="K347" s="433" t="str">
        <f>INDEX(aux!C:C,MATCH(I347,aux!A:A,0))</f>
        <v>Sim</v>
      </c>
      <c r="L347" s="536">
        <v>1.58</v>
      </c>
      <c r="M347" s="534" t="s">
        <v>1532</v>
      </c>
      <c r="N347" s="139">
        <f t="shared" si="22"/>
        <v>1580</v>
      </c>
      <c r="O347" s="540" t="s">
        <v>503</v>
      </c>
      <c r="P347" s="231" t="str">
        <f t="shared" si="23"/>
        <v>Aterro</v>
      </c>
      <c r="Q347" s="231" t="s">
        <v>1901</v>
      </c>
      <c r="R347" s="231" t="s">
        <v>1892</v>
      </c>
      <c r="S347" s="667" t="s">
        <v>1553</v>
      </c>
      <c r="T347" s="540" t="s">
        <v>1539</v>
      </c>
      <c r="U347" s="540" t="s">
        <v>1539</v>
      </c>
      <c r="V347" s="93"/>
    </row>
    <row r="348" spans="1:22" ht="15.75" thickBot="1" x14ac:dyDescent="0.3">
      <c r="A348" s="527" t="s">
        <v>4609</v>
      </c>
      <c r="B348" s="527" t="s">
        <v>4583</v>
      </c>
      <c r="C348" s="82" t="str">
        <f t="shared" si="21"/>
        <v>oficina LAGOS</v>
      </c>
      <c r="D348">
        <v>2023</v>
      </c>
      <c r="E348" s="250" t="s">
        <v>3499</v>
      </c>
      <c r="F348" s="250" t="s">
        <v>3566</v>
      </c>
      <c r="G348" t="s">
        <v>42</v>
      </c>
      <c r="H348" s="82" t="s">
        <v>42</v>
      </c>
      <c r="I348" s="530">
        <v>130507</v>
      </c>
      <c r="J348" s="425" t="str">
        <f>INDEX(aux!B:B,MATCH(I348,aux!A:A,0))</f>
        <v>(*) Água com óleo proveniente dos separadores óleo/água</v>
      </c>
      <c r="K348" s="433" t="str">
        <f>INDEX(aux!C:C,MATCH(I348,aux!A:A,0))</f>
        <v>Sim</v>
      </c>
      <c r="L348" s="536">
        <v>2.46</v>
      </c>
      <c r="M348" s="534" t="s">
        <v>1532</v>
      </c>
      <c r="N348" s="139">
        <f t="shared" si="22"/>
        <v>2460</v>
      </c>
      <c r="O348" s="540" t="s">
        <v>503</v>
      </c>
      <c r="P348" s="231" t="str">
        <f t="shared" si="23"/>
        <v>Aterro</v>
      </c>
      <c r="Q348" s="231" t="s">
        <v>1901</v>
      </c>
      <c r="R348" s="231" t="s">
        <v>1892</v>
      </c>
      <c r="S348" s="667" t="s">
        <v>518</v>
      </c>
      <c r="T348" s="540" t="s">
        <v>1539</v>
      </c>
      <c r="U348" s="540" t="s">
        <v>1539</v>
      </c>
      <c r="V348" s="422"/>
    </row>
    <row r="349" spans="1:22" ht="15.75" hidden="1" thickBot="1" x14ac:dyDescent="0.3">
      <c r="A349" s="527" t="s">
        <v>4608</v>
      </c>
      <c r="B349" s="424" t="s">
        <v>4583</v>
      </c>
      <c r="C349" s="82" t="str">
        <f t="shared" si="21"/>
        <v>oficina LOULÉ</v>
      </c>
      <c r="D349">
        <v>2022</v>
      </c>
      <c r="E349" s="250" t="s">
        <v>3499</v>
      </c>
      <c r="F349" s="250" t="s">
        <v>3566</v>
      </c>
      <c r="G349" t="s">
        <v>42</v>
      </c>
      <c r="H349" s="82" t="s">
        <v>42</v>
      </c>
      <c r="I349" s="530">
        <v>130208</v>
      </c>
      <c r="J349" s="425" t="str">
        <f>INDEX(aux!B:B,MATCH(I349,aux!A:A,0))</f>
        <v>(*) Outros óleos de motores, transmissões e lubrificação</v>
      </c>
      <c r="K349" s="433" t="str">
        <f>INDEX(aux!C:C,MATCH(I349,aux!A:A,0))</f>
        <v>Sim</v>
      </c>
      <c r="L349" s="536">
        <v>0.8</v>
      </c>
      <c r="M349" s="534" t="s">
        <v>1532</v>
      </c>
      <c r="N349" s="139">
        <f t="shared" si="22"/>
        <v>800</v>
      </c>
      <c r="O349" s="534" t="s">
        <v>484</v>
      </c>
      <c r="P349" s="231" t="str">
        <f t="shared" si="23"/>
        <v>Reciclagem</v>
      </c>
      <c r="Q349" s="231" t="s">
        <v>1902</v>
      </c>
      <c r="R349" s="231" t="s">
        <v>1877</v>
      </c>
      <c r="S349" s="114" t="str">
        <f>IFERROR(INDEX(Tabela3[Tipos de Tratamento],MATCH('A3.9.1 copy'!O275,Tabela3[Código],0)),"")</f>
        <v xml:space="preserve">Troca de resíduos com vista a submetê-los a uma das operações enumeradas de R 1 a R 11 </v>
      </c>
      <c r="T349" s="429" t="s">
        <v>3215</v>
      </c>
      <c r="U349" s="429" t="s">
        <v>3215</v>
      </c>
      <c r="V349" s="93"/>
    </row>
    <row r="350" spans="1:22" ht="15.75" thickBot="1" x14ac:dyDescent="0.3">
      <c r="A350" s="527" t="s">
        <v>6330</v>
      </c>
      <c r="B350" s="527" t="s">
        <v>4583</v>
      </c>
      <c r="C350" s="82" t="str">
        <f t="shared" si="21"/>
        <v>oficina Olhão</v>
      </c>
      <c r="D350">
        <v>2023</v>
      </c>
      <c r="E350" s="250" t="s">
        <v>3499</v>
      </c>
      <c r="F350" s="250" t="s">
        <v>3566</v>
      </c>
      <c r="G350" t="s">
        <v>42</v>
      </c>
      <c r="H350" s="82" t="s">
        <v>42</v>
      </c>
      <c r="I350" s="530">
        <v>160117</v>
      </c>
      <c r="J350" s="425" t="str">
        <f>INDEX(aux!B:B,MATCH(I350,aux!A:A,0))</f>
        <v>Metais ferrosos</v>
      </c>
      <c r="K350" s="433" t="str">
        <f>INDEX(aux!C:C,MATCH(I350,aux!A:A,0))</f>
        <v>Não</v>
      </c>
      <c r="L350" s="536">
        <v>4.04</v>
      </c>
      <c r="M350" s="534" t="s">
        <v>1532</v>
      </c>
      <c r="N350" s="139">
        <f t="shared" si="22"/>
        <v>4040</v>
      </c>
      <c r="O350" s="540" t="s">
        <v>484</v>
      </c>
      <c r="P350" s="231" t="str">
        <f t="shared" si="23"/>
        <v>Reciclagem</v>
      </c>
      <c r="Q350" s="231" t="s">
        <v>1557</v>
      </c>
      <c r="R350" s="231" t="s">
        <v>6569</v>
      </c>
      <c r="S350" s="667" t="s">
        <v>1553</v>
      </c>
      <c r="T350" s="540" t="s">
        <v>6291</v>
      </c>
      <c r="U350" s="540" t="s">
        <v>6291</v>
      </c>
      <c r="V350" s="93"/>
    </row>
    <row r="351" spans="1:22" ht="15.75" thickBot="1" x14ac:dyDescent="0.3">
      <c r="A351" s="527" t="s">
        <v>6330</v>
      </c>
      <c r="B351" s="527" t="s">
        <v>4583</v>
      </c>
      <c r="C351" s="82" t="str">
        <f t="shared" si="21"/>
        <v>oficina Olhão</v>
      </c>
      <c r="D351">
        <v>2023</v>
      </c>
      <c r="E351" s="250" t="s">
        <v>3499</v>
      </c>
      <c r="F351" s="250" t="s">
        <v>3566</v>
      </c>
      <c r="G351" t="s">
        <v>42</v>
      </c>
      <c r="H351" s="82" t="s">
        <v>42</v>
      </c>
      <c r="I351" s="530">
        <v>160120</v>
      </c>
      <c r="J351" s="425" t="str">
        <f>INDEX(aux!B:B,MATCH(I351,aux!A:A,0))</f>
        <v>Vidro</v>
      </c>
      <c r="K351" s="433" t="str">
        <f>INDEX(aux!C:C,MATCH(I351,aux!A:A,0))</f>
        <v>Não</v>
      </c>
      <c r="L351" s="536">
        <v>4.4800000000000004</v>
      </c>
      <c r="M351" s="534" t="s">
        <v>1532</v>
      </c>
      <c r="N351" s="139">
        <f t="shared" si="22"/>
        <v>4480</v>
      </c>
      <c r="O351" s="540" t="s">
        <v>484</v>
      </c>
      <c r="P351" s="231" t="str">
        <f t="shared" si="23"/>
        <v>Reciclagem</v>
      </c>
      <c r="Q351" s="231" t="s">
        <v>1561</v>
      </c>
      <c r="R351" s="231" t="s">
        <v>6569</v>
      </c>
      <c r="S351" s="667" t="s">
        <v>1553</v>
      </c>
      <c r="T351" s="540" t="s">
        <v>6291</v>
      </c>
      <c r="U351" s="540" t="s">
        <v>6291</v>
      </c>
      <c r="V351" s="93"/>
    </row>
    <row r="352" spans="1:22" ht="15.75" hidden="1" thickBot="1" x14ac:dyDescent="0.3">
      <c r="A352" s="424" t="s">
        <v>4612</v>
      </c>
      <c r="B352" s="424" t="s">
        <v>4583</v>
      </c>
      <c r="C352" s="82" t="str">
        <f t="shared" si="21"/>
        <v>oficina PORTIMAO</v>
      </c>
      <c r="D352">
        <v>2022</v>
      </c>
      <c r="E352" s="250" t="s">
        <v>3499</v>
      </c>
      <c r="F352" s="250" t="s">
        <v>3566</v>
      </c>
      <c r="G352" t="s">
        <v>42</v>
      </c>
      <c r="H352" s="82" t="s">
        <v>42</v>
      </c>
      <c r="I352" s="265">
        <v>160601</v>
      </c>
      <c r="J352" s="425" t="str">
        <f>INDEX(aux!B:B,MATCH(I352,aux!A:A,0))</f>
        <v>(*) Acumuladores de chumbo</v>
      </c>
      <c r="K352" s="433" t="str">
        <f>INDEX(aux!C:C,MATCH(I352,aux!A:A,0))</f>
        <v>Sim</v>
      </c>
      <c r="L352" s="437">
        <v>4.5250000000000004</v>
      </c>
      <c r="M352" s="433" t="s">
        <v>1532</v>
      </c>
      <c r="N352" s="139">
        <f t="shared" si="22"/>
        <v>4525</v>
      </c>
      <c r="O352" s="139" t="s">
        <v>484</v>
      </c>
      <c r="P352" s="231" t="str">
        <f t="shared" si="23"/>
        <v>Reciclagem</v>
      </c>
      <c r="Q352" s="231" t="s">
        <v>1653</v>
      </c>
      <c r="R352" s="231" t="s">
        <v>1877</v>
      </c>
      <c r="S352" s="114" t="str">
        <f>IFERROR(INDEX(Tabela3[Tipos de Tratamento],MATCH('A3.9.1 copy'!O326,Tabela3[Código],0)),"")</f>
        <v xml:space="preserve">Troca de resíduos com vista a submetê-los a uma das operações enumeradas de R 1 a R 11 </v>
      </c>
      <c r="T352" s="429" t="s">
        <v>3245</v>
      </c>
      <c r="U352" s="429" t="s">
        <v>3245</v>
      </c>
      <c r="V352" s="93"/>
    </row>
    <row r="353" spans="1:22" ht="15.75" thickBot="1" x14ac:dyDescent="0.3">
      <c r="A353" s="527" t="s">
        <v>4612</v>
      </c>
      <c r="B353" s="527" t="s">
        <v>4583</v>
      </c>
      <c r="C353" s="82" t="str">
        <f t="shared" si="21"/>
        <v>oficina PORTIMAO</v>
      </c>
      <c r="D353">
        <v>2023</v>
      </c>
      <c r="E353" s="250" t="s">
        <v>3499</v>
      </c>
      <c r="F353" s="250" t="s">
        <v>3566</v>
      </c>
      <c r="G353" t="s">
        <v>42</v>
      </c>
      <c r="H353" s="82" t="s">
        <v>42</v>
      </c>
      <c r="I353" s="530">
        <v>160601</v>
      </c>
      <c r="J353" s="425" t="str">
        <f>INDEX(aux!B:B,MATCH(I353,aux!A:A,0))</f>
        <v>(*) Acumuladores de chumbo</v>
      </c>
      <c r="K353" s="433" t="str">
        <f>INDEX(aux!C:C,MATCH(I353,aux!A:A,0))</f>
        <v>Sim</v>
      </c>
      <c r="L353" s="536">
        <v>3.0859999999999999</v>
      </c>
      <c r="M353" s="534" t="s">
        <v>1532</v>
      </c>
      <c r="N353" s="139">
        <f t="shared" si="22"/>
        <v>3086</v>
      </c>
      <c r="O353" s="540" t="s">
        <v>483</v>
      </c>
      <c r="P353" s="231" t="str">
        <f t="shared" si="23"/>
        <v>Reciclagem</v>
      </c>
      <c r="Q353" s="231" t="s">
        <v>1653</v>
      </c>
      <c r="R353" s="231" t="s">
        <v>1877</v>
      </c>
      <c r="S353" s="667" t="s">
        <v>485</v>
      </c>
      <c r="T353" s="540" t="s">
        <v>3245</v>
      </c>
      <c r="U353" s="540" t="s">
        <v>3245</v>
      </c>
      <c r="V353" s="93"/>
    </row>
    <row r="354" spans="1:22" ht="15.75" hidden="1" thickBot="1" x14ac:dyDescent="0.3">
      <c r="A354" s="424" t="s">
        <v>4612</v>
      </c>
      <c r="B354" s="424" t="s">
        <v>4583</v>
      </c>
      <c r="C354" s="82" t="str">
        <f t="shared" si="21"/>
        <v>oficina PORTIMAO</v>
      </c>
      <c r="D354">
        <v>2022</v>
      </c>
      <c r="E354" s="250" t="s">
        <v>3499</v>
      </c>
      <c r="F354" s="250" t="s">
        <v>3566</v>
      </c>
      <c r="G354" t="s">
        <v>42</v>
      </c>
      <c r="H354" s="82" t="s">
        <v>42</v>
      </c>
      <c r="I354" s="265">
        <v>160117</v>
      </c>
      <c r="J354" s="425" t="str">
        <f>INDEX(aux!B:B,MATCH(I354,aux!A:A,0))</f>
        <v>Metais ferrosos</v>
      </c>
      <c r="K354" s="433" t="str">
        <f>INDEX(aux!C:C,MATCH(I354,aux!A:A,0))</f>
        <v>Não</v>
      </c>
      <c r="L354" s="437">
        <v>6.17</v>
      </c>
      <c r="M354" s="433" t="s">
        <v>1532</v>
      </c>
      <c r="N354" s="139">
        <f t="shared" si="22"/>
        <v>6170</v>
      </c>
      <c r="O354" s="139" t="s">
        <v>483</v>
      </c>
      <c r="P354" s="231" t="str">
        <f t="shared" si="23"/>
        <v>Reciclagem</v>
      </c>
      <c r="Q354" s="231" t="s">
        <v>1557</v>
      </c>
      <c r="R354" s="231" t="s">
        <v>1903</v>
      </c>
      <c r="S354" s="114" t="str">
        <f>IFERROR(INDEX(Tabela3[Tipos de Tratamento],MATCH('A3.9.1 copy'!O324,Tabela3[Código],0)),"")</f>
        <v>Acumulação de resíduos destinados a uma das operações enumeradas de R1 a R12</v>
      </c>
      <c r="T354" s="429" t="s">
        <v>3245</v>
      </c>
      <c r="U354" s="429" t="s">
        <v>3245</v>
      </c>
      <c r="V354" s="93"/>
    </row>
    <row r="355" spans="1:22" ht="15.75" thickBot="1" x14ac:dyDescent="0.3">
      <c r="A355" s="527" t="s">
        <v>4612</v>
      </c>
      <c r="B355" s="527" t="s">
        <v>4583</v>
      </c>
      <c r="C355" s="82" t="str">
        <f t="shared" si="21"/>
        <v>oficina PORTIMAO</v>
      </c>
      <c r="D355">
        <v>2023</v>
      </c>
      <c r="E355" s="250" t="s">
        <v>3499</v>
      </c>
      <c r="F355" s="250" t="s">
        <v>3566</v>
      </c>
      <c r="G355" t="s">
        <v>42</v>
      </c>
      <c r="H355" s="82" t="s">
        <v>42</v>
      </c>
      <c r="I355" s="530">
        <v>160117</v>
      </c>
      <c r="J355" s="425" t="str">
        <f>INDEX(aux!B:B,MATCH(I355,aux!A:A,0))</f>
        <v>Metais ferrosos</v>
      </c>
      <c r="K355" s="433" t="str">
        <f>INDEX(aux!C:C,MATCH(I355,aux!A:A,0))</f>
        <v>Não</v>
      </c>
      <c r="L355" s="536">
        <v>3.42</v>
      </c>
      <c r="M355" s="534" t="s">
        <v>1532</v>
      </c>
      <c r="N355" s="139">
        <f t="shared" si="22"/>
        <v>3420</v>
      </c>
      <c r="O355" s="540" t="s">
        <v>483</v>
      </c>
      <c r="P355" s="231" t="str">
        <f t="shared" si="23"/>
        <v>Reciclagem</v>
      </c>
      <c r="Q355" s="231" t="s">
        <v>1557</v>
      </c>
      <c r="R355" s="231" t="s">
        <v>6569</v>
      </c>
      <c r="S355" s="667" t="s">
        <v>1553</v>
      </c>
      <c r="T355" s="540" t="s">
        <v>3245</v>
      </c>
      <c r="U355" s="540" t="s">
        <v>3245</v>
      </c>
      <c r="V355" s="93"/>
    </row>
    <row r="356" spans="1:22" ht="15.75" hidden="1" thickBot="1" x14ac:dyDescent="0.3">
      <c r="A356" s="424" t="s">
        <v>4612</v>
      </c>
      <c r="B356" s="424" t="s">
        <v>4583</v>
      </c>
      <c r="C356" s="82" t="str">
        <f t="shared" si="21"/>
        <v>oficina PORTIMAO</v>
      </c>
      <c r="D356">
        <v>2022</v>
      </c>
      <c r="E356" s="250" t="s">
        <v>3499</v>
      </c>
      <c r="F356" s="250" t="s">
        <v>3566</v>
      </c>
      <c r="G356" t="s">
        <v>42</v>
      </c>
      <c r="H356" s="82" t="s">
        <v>42</v>
      </c>
      <c r="I356" s="265">
        <v>150111</v>
      </c>
      <c r="J356" s="425" t="str">
        <f>INDEX(aux!B:B,MATCH(I356,aux!A:A,0))</f>
        <v>(*) Embalagens de metal, incluindo recipientes vazios sob pressão, contendo uma matriz porosa sólida perigosa (por exemplo, amianto)</v>
      </c>
      <c r="K356" s="433" t="str">
        <f>INDEX(aux!C:C,MATCH(I356,aux!A:A,0))</f>
        <v>Sim</v>
      </c>
      <c r="L356" s="437">
        <v>0.09</v>
      </c>
      <c r="M356" s="433" t="s">
        <v>1532</v>
      </c>
      <c r="N356" s="139">
        <f t="shared" si="22"/>
        <v>90</v>
      </c>
      <c r="O356" s="139" t="s">
        <v>484</v>
      </c>
      <c r="P356" s="231" t="str">
        <f t="shared" si="23"/>
        <v>Reciclagem</v>
      </c>
      <c r="Q356" s="231" t="s">
        <v>1906</v>
      </c>
      <c r="R356" s="231" t="s">
        <v>1903</v>
      </c>
      <c r="S356" s="114" t="str">
        <f>IFERROR(INDEX(Tabela3[Tipos de Tratamento],MATCH('A3.9.1 copy'!O320,Tabela3[Código],0)),"")</f>
        <v xml:space="preserve">Troca de resíduos com vista a submetê-los a uma das operações enumeradas de R 1 a R 11 </v>
      </c>
      <c r="T356" s="429" t="s">
        <v>1539</v>
      </c>
      <c r="U356" s="429" t="s">
        <v>1574</v>
      </c>
      <c r="V356" s="422"/>
    </row>
    <row r="357" spans="1:22" ht="15.75" thickBot="1" x14ac:dyDescent="0.3">
      <c r="A357" s="527" t="s">
        <v>4612</v>
      </c>
      <c r="B357" s="527" t="s">
        <v>4583</v>
      </c>
      <c r="C357" s="82" t="str">
        <f t="shared" si="21"/>
        <v>oficina PORTIMAO</v>
      </c>
      <c r="D357">
        <v>2023</v>
      </c>
      <c r="E357" s="250" t="s">
        <v>3499</v>
      </c>
      <c r="F357" s="250" t="s">
        <v>3566</v>
      </c>
      <c r="G357" t="s">
        <v>42</v>
      </c>
      <c r="H357" s="82" t="s">
        <v>42</v>
      </c>
      <c r="I357" s="530">
        <v>150111</v>
      </c>
      <c r="J357" s="425" t="str">
        <f>INDEX(aux!B:B,MATCH(I357,aux!A:A,0))</f>
        <v>(*) Embalagens de metal, incluindo recipientes vazios sob pressão, contendo uma matriz porosa sólida perigosa (por exemplo, amianto)</v>
      </c>
      <c r="K357" s="433" t="str">
        <f>INDEX(aux!C:C,MATCH(I357,aux!A:A,0))</f>
        <v>Sim</v>
      </c>
      <c r="L357" s="536">
        <v>3.5999999999999997E-2</v>
      </c>
      <c r="M357" s="534" t="s">
        <v>1532</v>
      </c>
      <c r="N357" s="139">
        <f t="shared" si="22"/>
        <v>36</v>
      </c>
      <c r="O357" s="540" t="s">
        <v>484</v>
      </c>
      <c r="P357" s="231" t="str">
        <f t="shared" si="23"/>
        <v>Reciclagem</v>
      </c>
      <c r="Q357" s="231" t="s">
        <v>1906</v>
      </c>
      <c r="R357" s="231" t="s">
        <v>6569</v>
      </c>
      <c r="S357" s="667" t="s">
        <v>518</v>
      </c>
      <c r="T357" s="540" t="s">
        <v>1539</v>
      </c>
      <c r="U357" s="540" t="s">
        <v>1574</v>
      </c>
      <c r="V357" s="422"/>
    </row>
    <row r="358" spans="1:22" ht="15.75" hidden="1" thickBot="1" x14ac:dyDescent="0.3">
      <c r="A358" s="424" t="s">
        <v>4612</v>
      </c>
      <c r="B358" s="424" t="s">
        <v>4583</v>
      </c>
      <c r="C358" s="82" t="str">
        <f t="shared" si="21"/>
        <v>oficina PORTIMAO</v>
      </c>
      <c r="D358">
        <v>2022</v>
      </c>
      <c r="E358" s="250" t="s">
        <v>3499</v>
      </c>
      <c r="F358" s="250" t="s">
        <v>3566</v>
      </c>
      <c r="G358" t="s">
        <v>42</v>
      </c>
      <c r="H358" s="82" t="s">
        <v>42</v>
      </c>
      <c r="I358" s="265">
        <v>130208</v>
      </c>
      <c r="J358" s="425" t="str">
        <f>INDEX(aux!B:B,MATCH(I358,aux!A:A,0))</f>
        <v>(*) Outros óleos de motores, transmissões e lubrificação</v>
      </c>
      <c r="K358" s="433" t="str">
        <f>INDEX(aux!C:C,MATCH(I358,aux!A:A,0))</f>
        <v>Sim</v>
      </c>
      <c r="L358" s="437">
        <v>5.1520000000000001</v>
      </c>
      <c r="M358" s="433" t="s">
        <v>1532</v>
      </c>
      <c r="N358" s="139">
        <f t="shared" si="22"/>
        <v>5152</v>
      </c>
      <c r="O358" s="139" t="s">
        <v>484</v>
      </c>
      <c r="P358" s="231" t="str">
        <f t="shared" si="23"/>
        <v>Reciclagem</v>
      </c>
      <c r="Q358" s="231" t="s">
        <v>1902</v>
      </c>
      <c r="R358" s="231" t="s">
        <v>1877</v>
      </c>
      <c r="S358" s="114" t="str">
        <f>IFERROR(INDEX(Tabela3[Tipos de Tratamento],MATCH('A3.9.1 copy'!O313,Tabela3[Código],0)),"")</f>
        <v xml:space="preserve">Troca de resíduos com vista a submetê-los a uma das operações enumeradas de R 1 a R 11 </v>
      </c>
      <c r="T358" s="429" t="s">
        <v>3215</v>
      </c>
      <c r="U358" s="429" t="s">
        <v>3215</v>
      </c>
      <c r="V358" s="93"/>
    </row>
    <row r="359" spans="1:22" ht="15.75" thickBot="1" x14ac:dyDescent="0.3">
      <c r="A359" s="527" t="s">
        <v>4612</v>
      </c>
      <c r="B359" s="527" t="s">
        <v>4583</v>
      </c>
      <c r="C359" s="82" t="str">
        <f t="shared" si="21"/>
        <v>oficina PORTIMAO</v>
      </c>
      <c r="D359">
        <v>2023</v>
      </c>
      <c r="E359" s="250" t="s">
        <v>3499</v>
      </c>
      <c r="F359" s="250" t="s">
        <v>3566</v>
      </c>
      <c r="G359" t="s">
        <v>42</v>
      </c>
      <c r="H359" s="82" t="s">
        <v>42</v>
      </c>
      <c r="I359" s="530">
        <v>130208</v>
      </c>
      <c r="J359" s="425" t="str">
        <f>INDEX(aux!B:B,MATCH(I359,aux!A:A,0))</f>
        <v>(*) Outros óleos de motores, transmissões e lubrificação</v>
      </c>
      <c r="K359" s="433" t="str">
        <f>INDEX(aux!C:C,MATCH(I359,aux!A:A,0))</f>
        <v>Sim</v>
      </c>
      <c r="L359" s="536">
        <v>7.2670000000000003</v>
      </c>
      <c r="M359" s="534" t="s">
        <v>1532</v>
      </c>
      <c r="N359" s="139">
        <f t="shared" si="22"/>
        <v>7267</v>
      </c>
      <c r="O359" s="540" t="s">
        <v>484</v>
      </c>
      <c r="P359" s="231" t="str">
        <f t="shared" si="23"/>
        <v>Reciclagem</v>
      </c>
      <c r="Q359" s="231" t="s">
        <v>1902</v>
      </c>
      <c r="R359" s="231" t="s">
        <v>1877</v>
      </c>
      <c r="S359" s="667" t="s">
        <v>1553</v>
      </c>
      <c r="T359" s="540" t="s">
        <v>3215</v>
      </c>
      <c r="U359" s="540" t="s">
        <v>3215</v>
      </c>
      <c r="V359" s="93"/>
    </row>
    <row r="360" spans="1:22" ht="15.75" hidden="1" thickBot="1" x14ac:dyDescent="0.3">
      <c r="A360" s="424" t="s">
        <v>4612</v>
      </c>
      <c r="B360" s="424" t="s">
        <v>4583</v>
      </c>
      <c r="C360" s="82" t="str">
        <f t="shared" si="21"/>
        <v>oficina PORTIMAO</v>
      </c>
      <c r="D360">
        <v>2022</v>
      </c>
      <c r="E360" s="250" t="s">
        <v>3499</v>
      </c>
      <c r="F360" s="250" t="s">
        <v>3566</v>
      </c>
      <c r="G360" t="s">
        <v>42</v>
      </c>
      <c r="H360" s="82" t="s">
        <v>42</v>
      </c>
      <c r="I360" s="265">
        <v>150101</v>
      </c>
      <c r="J360" s="425" t="str">
        <f>INDEX(aux!B:B,MATCH(I360,aux!A:A,0))</f>
        <v>Embalagens de papel e cartão</v>
      </c>
      <c r="K360" s="433" t="str">
        <f>INDEX(aux!C:C,MATCH(I360,aux!A:A,0))</f>
        <v>Não</v>
      </c>
      <c r="L360" s="437">
        <v>1.4</v>
      </c>
      <c r="M360" s="433" t="s">
        <v>1532</v>
      </c>
      <c r="N360" s="139">
        <f t="shared" si="22"/>
        <v>1400</v>
      </c>
      <c r="O360" s="139" t="s">
        <v>483</v>
      </c>
      <c r="P360" s="231" t="str">
        <f t="shared" si="23"/>
        <v>Reciclagem</v>
      </c>
      <c r="Q360" s="231" t="s">
        <v>1904</v>
      </c>
      <c r="R360" s="231" t="s">
        <v>1903</v>
      </c>
      <c r="S360" s="114" t="str">
        <f>IFERROR(INDEX(Tabela3[Tipos de Tratamento],MATCH('A3.9.1 copy'!O317,Tabela3[Código],0)),"")</f>
        <v xml:space="preserve">Troca de resíduos com vista a submetê-los a uma das operações enumeradas de R 1 a R 11 </v>
      </c>
      <c r="T360" s="429" t="s">
        <v>3252</v>
      </c>
      <c r="U360" s="429" t="s">
        <v>3253</v>
      </c>
      <c r="V360" s="93"/>
    </row>
    <row r="361" spans="1:22" ht="15.75" hidden="1" thickBot="1" x14ac:dyDescent="0.3">
      <c r="A361" s="424" t="s">
        <v>4612</v>
      </c>
      <c r="B361" s="424" t="s">
        <v>4583</v>
      </c>
      <c r="C361" s="82" t="str">
        <f t="shared" si="21"/>
        <v>oficina PORTIMAO</v>
      </c>
      <c r="D361">
        <v>2022</v>
      </c>
      <c r="E361" s="250" t="s">
        <v>3499</v>
      </c>
      <c r="F361" s="250" t="s">
        <v>3566</v>
      </c>
      <c r="G361" t="s">
        <v>42</v>
      </c>
      <c r="H361" s="82" t="s">
        <v>42</v>
      </c>
      <c r="I361" s="265">
        <v>200101</v>
      </c>
      <c r="J361" s="425" t="str">
        <f>INDEX(aux!B:B,MATCH(I361,aux!A:A,0))</f>
        <v xml:space="preserve">Papel e Cartão </v>
      </c>
      <c r="K361" s="433" t="str">
        <f>INDEX(aux!C:C,MATCH(I361,aux!A:A,0))</f>
        <v>Não</v>
      </c>
      <c r="L361" s="437">
        <v>0.12</v>
      </c>
      <c r="M361" s="433" t="s">
        <v>1532</v>
      </c>
      <c r="N361" s="139">
        <f t="shared" si="22"/>
        <v>120</v>
      </c>
      <c r="O361" s="139" t="s">
        <v>483</v>
      </c>
      <c r="P361" s="231" t="str">
        <f t="shared" si="23"/>
        <v>Reciclagem</v>
      </c>
      <c r="Q361" s="231" t="s">
        <v>1904</v>
      </c>
      <c r="R361" s="231" t="s">
        <v>1903</v>
      </c>
      <c r="S361" s="114" t="str">
        <f>IFERROR(INDEX(Tabela3[Tipos de Tratamento],MATCH('A3.9.1 copy'!O327,Tabela3[Código],0)),"")</f>
        <v>Acumulação de resíduos destinados a uma das operações enumeradas de R1 a R12</v>
      </c>
      <c r="T361" s="429" t="s">
        <v>3252</v>
      </c>
      <c r="U361" s="429" t="s">
        <v>3253</v>
      </c>
      <c r="V361" s="93"/>
    </row>
    <row r="362" spans="1:22" ht="15.75" thickBot="1" x14ac:dyDescent="0.3">
      <c r="A362" s="527" t="s">
        <v>4612</v>
      </c>
      <c r="B362" s="527" t="s">
        <v>4583</v>
      </c>
      <c r="C362" s="82" t="str">
        <f t="shared" si="21"/>
        <v>oficina PORTIMAO</v>
      </c>
      <c r="D362">
        <v>2023</v>
      </c>
      <c r="E362" s="250" t="s">
        <v>3499</v>
      </c>
      <c r="F362" s="250" t="s">
        <v>3566</v>
      </c>
      <c r="G362" t="s">
        <v>42</v>
      </c>
      <c r="H362" s="82" t="s">
        <v>42</v>
      </c>
      <c r="I362" s="530">
        <v>150101</v>
      </c>
      <c r="J362" s="425" t="str">
        <f>INDEX(aux!B:B,MATCH(I362,aux!A:A,0))</f>
        <v>Embalagens de papel e cartão</v>
      </c>
      <c r="K362" s="433" t="str">
        <f>INDEX(aux!C:C,MATCH(I362,aux!A:A,0))</f>
        <v>Não</v>
      </c>
      <c r="L362" s="536">
        <v>0.34</v>
      </c>
      <c r="M362" s="534" t="s">
        <v>1532</v>
      </c>
      <c r="N362" s="139">
        <f t="shared" si="22"/>
        <v>340</v>
      </c>
      <c r="O362" s="540" t="s">
        <v>483</v>
      </c>
      <c r="P362" s="231" t="str">
        <f t="shared" si="23"/>
        <v>Reciclagem</v>
      </c>
      <c r="Q362" s="231" t="s">
        <v>1904</v>
      </c>
      <c r="R362" s="231" t="s">
        <v>6569</v>
      </c>
      <c r="S362" s="667" t="s">
        <v>518</v>
      </c>
      <c r="T362" s="540" t="s">
        <v>3252</v>
      </c>
      <c r="U362" s="540" t="s">
        <v>3253</v>
      </c>
      <c r="V362" s="422"/>
    </row>
    <row r="363" spans="1:22" ht="15.75" thickBot="1" x14ac:dyDescent="0.3">
      <c r="A363" s="527" t="s">
        <v>4612</v>
      </c>
      <c r="B363" s="527" t="s">
        <v>4583</v>
      </c>
      <c r="C363" s="82" t="str">
        <f t="shared" si="21"/>
        <v>oficina PORTIMAO</v>
      </c>
      <c r="D363">
        <v>2023</v>
      </c>
      <c r="E363" s="250" t="s">
        <v>3499</v>
      </c>
      <c r="F363" s="250" t="s">
        <v>3566</v>
      </c>
      <c r="G363" t="s">
        <v>42</v>
      </c>
      <c r="H363" s="82" t="s">
        <v>42</v>
      </c>
      <c r="I363" s="530">
        <v>200101</v>
      </c>
      <c r="J363" s="425" t="str">
        <f>INDEX(aux!B:B,MATCH(I363,aux!A:A,0))</f>
        <v xml:space="preserve">Papel e Cartão </v>
      </c>
      <c r="K363" s="433" t="str">
        <f>INDEX(aux!C:C,MATCH(I363,aux!A:A,0))</f>
        <v>Não</v>
      </c>
      <c r="L363" s="536">
        <v>0.78</v>
      </c>
      <c r="M363" s="534" t="s">
        <v>1532</v>
      </c>
      <c r="N363" s="139">
        <f t="shared" si="22"/>
        <v>780</v>
      </c>
      <c r="O363" s="540" t="s">
        <v>483</v>
      </c>
      <c r="P363" s="231" t="str">
        <f t="shared" si="23"/>
        <v>Reciclagem</v>
      </c>
      <c r="Q363" s="231" t="s">
        <v>1904</v>
      </c>
      <c r="R363" s="231" t="s">
        <v>6569</v>
      </c>
      <c r="S363" s="667" t="s">
        <v>1556</v>
      </c>
      <c r="T363" s="540" t="s">
        <v>3252</v>
      </c>
      <c r="U363" s="540" t="s">
        <v>3253</v>
      </c>
      <c r="V363" s="93"/>
    </row>
    <row r="364" spans="1:22" ht="15.75" hidden="1" thickBot="1" x14ac:dyDescent="0.3">
      <c r="A364" s="424" t="s">
        <v>4612</v>
      </c>
      <c r="B364" s="424" t="s">
        <v>4583</v>
      </c>
      <c r="C364" s="82" t="str">
        <f t="shared" si="21"/>
        <v>oficina PORTIMAO</v>
      </c>
      <c r="D364">
        <v>2022</v>
      </c>
      <c r="E364" s="250" t="s">
        <v>3499</v>
      </c>
      <c r="F364" s="250" t="s">
        <v>3566</v>
      </c>
      <c r="G364" t="s">
        <v>42</v>
      </c>
      <c r="H364" s="82" t="s">
        <v>42</v>
      </c>
      <c r="I364" s="265">
        <v>130502</v>
      </c>
      <c r="J364" s="425" t="str">
        <f>INDEX(aux!B:B,MATCH(I364,aux!A:A,0))</f>
        <v>(*) Lamas provenientes dos separadores óleo/água</v>
      </c>
      <c r="K364" s="433" t="str">
        <f>INDEX(aux!C:C,MATCH(I364,aux!A:A,0))</f>
        <v>Sim</v>
      </c>
      <c r="L364" s="437">
        <v>12.46</v>
      </c>
      <c r="M364" s="433" t="s">
        <v>1532</v>
      </c>
      <c r="N364" s="139">
        <f t="shared" si="22"/>
        <v>12460</v>
      </c>
      <c r="O364" s="139" t="s">
        <v>503</v>
      </c>
      <c r="P364" s="231" t="str">
        <f t="shared" si="23"/>
        <v>Aterro</v>
      </c>
      <c r="Q364" s="231" t="s">
        <v>1901</v>
      </c>
      <c r="R364" s="231" t="s">
        <v>1892</v>
      </c>
      <c r="S364" s="114" t="str">
        <f>IFERROR(INDEX(Tabela3[Tipos de Tratamento],MATCH('A3.9.1 copy'!O314,Tabela3[Código],0)),"")</f>
        <v>Acumulação de resíduos destinados a uma das operações enumeradas de R1 a R12</v>
      </c>
      <c r="T364" s="429" t="s">
        <v>3215</v>
      </c>
      <c r="U364" s="429" t="s">
        <v>3248</v>
      </c>
      <c r="V364" s="93"/>
    </row>
    <row r="365" spans="1:22" ht="15.75" hidden="1" thickBot="1" x14ac:dyDescent="0.3">
      <c r="A365" s="424" t="s">
        <v>4612</v>
      </c>
      <c r="B365" s="424" t="s">
        <v>4583</v>
      </c>
      <c r="C365" s="82" t="str">
        <f t="shared" si="21"/>
        <v>oficina PORTIMAO</v>
      </c>
      <c r="D365">
        <v>2022</v>
      </c>
      <c r="E365" s="250" t="s">
        <v>3499</v>
      </c>
      <c r="F365" s="250" t="s">
        <v>3566</v>
      </c>
      <c r="G365" t="s">
        <v>42</v>
      </c>
      <c r="H365" s="82" t="s">
        <v>42</v>
      </c>
      <c r="I365" s="265">
        <v>130507</v>
      </c>
      <c r="J365" s="425" t="str">
        <f>INDEX(aux!B:B,MATCH(I365,aux!A:A,0))</f>
        <v>(*) Água com óleo proveniente dos separadores óleo/água</v>
      </c>
      <c r="K365" s="433" t="str">
        <f>INDEX(aux!C:C,MATCH(I365,aux!A:A,0))</f>
        <v>Sim</v>
      </c>
      <c r="L365" s="437">
        <v>13.74</v>
      </c>
      <c r="M365" s="433" t="s">
        <v>1532</v>
      </c>
      <c r="N365" s="139">
        <f t="shared" si="22"/>
        <v>13740</v>
      </c>
      <c r="O365" s="139" t="s">
        <v>503</v>
      </c>
      <c r="P365" s="231" t="str">
        <f t="shared" si="23"/>
        <v>Aterro</v>
      </c>
      <c r="Q365" s="231" t="s">
        <v>1901</v>
      </c>
      <c r="R365" s="231" t="s">
        <v>1892</v>
      </c>
      <c r="S365" s="114" t="str">
        <f>IFERROR(INDEX(Tabela3[Tipos de Tratamento],MATCH('A3.9.1 copy'!O315,Tabela3[Código],0)),"")</f>
        <v xml:space="preserve">Troca de resíduos com vista a submetê-los a uma das operações enumeradas de R 1 a R 11 </v>
      </c>
      <c r="T365" s="429" t="s">
        <v>3215</v>
      </c>
      <c r="U365" s="429" t="s">
        <v>3248</v>
      </c>
      <c r="V365" s="93"/>
    </row>
    <row r="366" spans="1:22" ht="15.75" hidden="1" thickBot="1" x14ac:dyDescent="0.3">
      <c r="A366" s="424" t="s">
        <v>4612</v>
      </c>
      <c r="B366" s="424" t="s">
        <v>4583</v>
      </c>
      <c r="C366" s="82" t="str">
        <f t="shared" si="21"/>
        <v>oficina PORTIMAO</v>
      </c>
      <c r="D366">
        <v>2022</v>
      </c>
      <c r="E366" s="250" t="s">
        <v>3499</v>
      </c>
      <c r="F366" s="250" t="s">
        <v>3566</v>
      </c>
      <c r="G366" t="s">
        <v>42</v>
      </c>
      <c r="H366" s="82" t="s">
        <v>42</v>
      </c>
      <c r="I366" s="265">
        <v>130508</v>
      </c>
      <c r="J366" s="425" t="str">
        <f>INDEX(aux!B:B,MATCH(I366,aux!A:A,0))</f>
        <v>(*) Misturas de resíduos provenientes de desarenadores e de separadores óleo/água</v>
      </c>
      <c r="K366" s="433" t="str">
        <f>INDEX(aux!C:C,MATCH(I366,aux!A:A,0))</f>
        <v>Sim</v>
      </c>
      <c r="L366" s="437">
        <v>5.04</v>
      </c>
      <c r="M366" s="433" t="s">
        <v>1532</v>
      </c>
      <c r="N366" s="139">
        <f t="shared" si="22"/>
        <v>5040</v>
      </c>
      <c r="O366" s="139" t="s">
        <v>503</v>
      </c>
      <c r="P366" s="231" t="str">
        <f t="shared" si="23"/>
        <v>Aterro</v>
      </c>
      <c r="Q366" s="231" t="s">
        <v>1901</v>
      </c>
      <c r="R366" s="231" t="s">
        <v>1892</v>
      </c>
      <c r="S366" s="114" t="str">
        <f>IFERROR(INDEX(Tabela3[Tipos de Tratamento],MATCH('A3.9.1 copy'!O316,Tabela3[Código],0)),"")</f>
        <v>Acumulação de resíduos destinados a uma das operações enumeradas de R1 a R12</v>
      </c>
      <c r="T366" s="429" t="s">
        <v>3215</v>
      </c>
      <c r="U366" s="429" t="s">
        <v>3215</v>
      </c>
      <c r="V366" s="93"/>
    </row>
    <row r="367" spans="1:22" ht="15.75" hidden="1" thickBot="1" x14ac:dyDescent="0.3">
      <c r="A367" s="424" t="s">
        <v>4612</v>
      </c>
      <c r="B367" s="424" t="s">
        <v>4583</v>
      </c>
      <c r="C367" s="82" t="str">
        <f t="shared" si="21"/>
        <v>oficina PORTIMAO</v>
      </c>
      <c r="D367">
        <v>2022</v>
      </c>
      <c r="E367" s="250" t="s">
        <v>3499</v>
      </c>
      <c r="F367" s="250" t="s">
        <v>3566</v>
      </c>
      <c r="G367" t="s">
        <v>42</v>
      </c>
      <c r="H367" s="82" t="s">
        <v>42</v>
      </c>
      <c r="I367" s="265">
        <v>150110</v>
      </c>
      <c r="J367" s="425" t="str">
        <f>INDEX(aux!B:B,MATCH(I367,aux!A:A,0))</f>
        <v>(*) Embalagens contendo ou contaminadas por resíduos de substâncias perigosas</v>
      </c>
      <c r="K367" s="433" t="str">
        <f>INDEX(aux!C:C,MATCH(I367,aux!A:A,0))</f>
        <v>Sim</v>
      </c>
      <c r="L367" s="437">
        <v>3.5999999999999997E-2</v>
      </c>
      <c r="M367" s="433" t="s">
        <v>1532</v>
      </c>
      <c r="N367" s="139">
        <f t="shared" si="22"/>
        <v>36</v>
      </c>
      <c r="O367" s="139" t="s">
        <v>483</v>
      </c>
      <c r="P367" s="231" t="str">
        <f t="shared" si="23"/>
        <v>Reciclagem</v>
      </c>
      <c r="Q367" s="231" t="s">
        <v>1901</v>
      </c>
      <c r="R367" s="231" t="s">
        <v>1892</v>
      </c>
      <c r="S367" s="114" t="str">
        <f>IFERROR(INDEX(Tabela3[Tipos de Tratamento],MATCH('A3.9.1 copy'!O318,Tabela3[Código],0)),"")</f>
        <v>Armazenagem enquanto se aguarda a execução de uma das operações enumeradas de D1 a D14</v>
      </c>
      <c r="T367" s="429" t="s">
        <v>1539</v>
      </c>
      <c r="U367" s="429" t="s">
        <v>1574</v>
      </c>
      <c r="V367" s="93"/>
    </row>
    <row r="368" spans="1:22" ht="15.75" hidden="1" thickBot="1" x14ac:dyDescent="0.3">
      <c r="A368" s="424" t="s">
        <v>4612</v>
      </c>
      <c r="B368" s="424" t="s">
        <v>4583</v>
      </c>
      <c r="C368" s="82" t="str">
        <f t="shared" si="21"/>
        <v>oficina PORTIMAO</v>
      </c>
      <c r="D368">
        <v>2022</v>
      </c>
      <c r="E368" s="250" t="s">
        <v>3499</v>
      </c>
      <c r="F368" s="250" t="s">
        <v>3566</v>
      </c>
      <c r="G368" t="s">
        <v>42</v>
      </c>
      <c r="H368" s="82" t="s">
        <v>42</v>
      </c>
      <c r="I368" s="265">
        <v>150110</v>
      </c>
      <c r="J368" s="425" t="str">
        <f>INDEX(aux!B:B,MATCH(I368,aux!A:A,0))</f>
        <v>(*) Embalagens contendo ou contaminadas por resíduos de substâncias perigosas</v>
      </c>
      <c r="K368" s="433" t="str">
        <f>INDEX(aux!C:C,MATCH(I368,aux!A:A,0))</f>
        <v>Sim</v>
      </c>
      <c r="L368" s="437">
        <v>0.14399999999999999</v>
      </c>
      <c r="M368" s="433" t="s">
        <v>1532</v>
      </c>
      <c r="N368" s="139">
        <f t="shared" si="22"/>
        <v>144</v>
      </c>
      <c r="O368" s="139" t="s">
        <v>484</v>
      </c>
      <c r="P368" s="231" t="str">
        <f t="shared" si="23"/>
        <v>Reciclagem</v>
      </c>
      <c r="Q368" s="231" t="s">
        <v>1901</v>
      </c>
      <c r="R368" s="231" t="s">
        <v>1892</v>
      </c>
      <c r="S368" s="114" t="str">
        <f>IFERROR(INDEX(Tabela3[Tipos de Tratamento],MATCH('A3.9.1 copy'!O319,Tabela3[Código],0)),"")</f>
        <v>Acumulação de resíduos destinados a uma das operações enumeradas de R1 a R12</v>
      </c>
      <c r="T368" s="429" t="s">
        <v>1539</v>
      </c>
      <c r="U368" s="429" t="s">
        <v>1574</v>
      </c>
      <c r="V368" s="422"/>
    </row>
    <row r="369" spans="1:22" ht="15.75" hidden="1" thickBot="1" x14ac:dyDescent="0.3">
      <c r="A369" s="424" t="s">
        <v>4612</v>
      </c>
      <c r="B369" s="424" t="s">
        <v>4583</v>
      </c>
      <c r="C369" s="82" t="str">
        <f t="shared" ref="C369:C408" si="24">IF(A369=B369,"X",RIGHT(A369,LEN(A369)-LEN(B369)-3))</f>
        <v>oficina PORTIMAO</v>
      </c>
      <c r="D369">
        <v>2022</v>
      </c>
      <c r="E369" s="250" t="s">
        <v>3499</v>
      </c>
      <c r="F369" s="250" t="s">
        <v>3566</v>
      </c>
      <c r="G369" t="s">
        <v>42</v>
      </c>
      <c r="H369" s="82" t="s">
        <v>42</v>
      </c>
      <c r="I369" s="265">
        <v>150202</v>
      </c>
      <c r="J369" s="425" t="str">
        <f>INDEX(aux!B:B,MATCH(I369,aux!A:A,0))</f>
        <v>(*) Absorventes, materiais filtrantes (incluindo filtros de óleo sem outras especificações), panos de limpeza e vestuário de proteção, contaminados por substâncias perigosas</v>
      </c>
      <c r="K369" s="433" t="str">
        <f>INDEX(aux!C:C,MATCH(I369,aux!A:A,0))</f>
        <v>Sim</v>
      </c>
      <c r="L369" s="437">
        <v>1.28</v>
      </c>
      <c r="M369" s="433" t="s">
        <v>1532</v>
      </c>
      <c r="N369" s="139">
        <f t="shared" si="22"/>
        <v>1280</v>
      </c>
      <c r="O369" s="139" t="s">
        <v>483</v>
      </c>
      <c r="P369" s="231" t="str">
        <f t="shared" si="23"/>
        <v>Reciclagem</v>
      </c>
      <c r="Q369" s="231" t="s">
        <v>1901</v>
      </c>
      <c r="R369" s="231" t="s">
        <v>1892</v>
      </c>
      <c r="S369" s="114" t="str">
        <f>IFERROR(INDEX(Tabela3[Tipos de Tratamento],MATCH('A3.9.1 copy'!O321,Tabela3[Código],0)),"")</f>
        <v>Acumulação de resíduos destinados a uma das operações enumeradas de R1 a R12</v>
      </c>
      <c r="T369" s="429" t="s">
        <v>1539</v>
      </c>
      <c r="U369" s="429" t="s">
        <v>1574</v>
      </c>
      <c r="V369" s="422"/>
    </row>
    <row r="370" spans="1:22" ht="15.75" hidden="1" thickBot="1" x14ac:dyDescent="0.3">
      <c r="A370" s="424" t="s">
        <v>4612</v>
      </c>
      <c r="B370" s="424" t="s">
        <v>4583</v>
      </c>
      <c r="C370" s="82" t="str">
        <f t="shared" si="24"/>
        <v>oficina PORTIMAO</v>
      </c>
      <c r="D370">
        <v>2022</v>
      </c>
      <c r="E370" s="250" t="s">
        <v>3499</v>
      </c>
      <c r="F370" s="250" t="s">
        <v>3566</v>
      </c>
      <c r="G370" t="s">
        <v>42</v>
      </c>
      <c r="H370" s="82" t="s">
        <v>42</v>
      </c>
      <c r="I370" s="265">
        <v>150203</v>
      </c>
      <c r="J370" s="425" t="str">
        <f>INDEX(aux!B:B,MATCH(I370,aux!A:A,0))</f>
        <v>Absorventes, materiais filtrantes, panos de limpeza e vestuário de proteção não abrangidos em 15 02 02</v>
      </c>
      <c r="K370" s="433" t="str">
        <f>INDEX(aux!C:C,MATCH(I370,aux!A:A,0))</f>
        <v>Não</v>
      </c>
      <c r="L370" s="437">
        <v>1</v>
      </c>
      <c r="M370" s="433" t="s">
        <v>1532</v>
      </c>
      <c r="N370" s="139">
        <f t="shared" si="22"/>
        <v>1000</v>
      </c>
      <c r="O370" s="139" t="s">
        <v>509</v>
      </c>
      <c r="P370" s="231" t="str">
        <f t="shared" si="23"/>
        <v>Aterro</v>
      </c>
      <c r="Q370" s="231" t="s">
        <v>1901</v>
      </c>
      <c r="R370" s="231" t="s">
        <v>1892</v>
      </c>
      <c r="S370" s="114" t="str">
        <f>IFERROR(INDEX(Tabela3[Tipos de Tratamento],MATCH('A3.9.1 copy'!O322,Tabela3[Código],0)),"")</f>
        <v>Acumulação de resíduos destinados a uma das operações enumeradas de R1 a R12</v>
      </c>
      <c r="T370" s="429" t="s">
        <v>1539</v>
      </c>
      <c r="U370" s="429" t="s">
        <v>1574</v>
      </c>
      <c r="V370" s="422"/>
    </row>
    <row r="371" spans="1:22" ht="15.75" hidden="1" thickBot="1" x14ac:dyDescent="0.3">
      <c r="A371" s="424" t="s">
        <v>4612</v>
      </c>
      <c r="B371" s="424" t="s">
        <v>4583</v>
      </c>
      <c r="C371" s="82" t="str">
        <f t="shared" si="24"/>
        <v>oficina PORTIMAO</v>
      </c>
      <c r="D371">
        <v>2022</v>
      </c>
      <c r="E371" s="250" t="s">
        <v>3499</v>
      </c>
      <c r="F371" s="250" t="s">
        <v>3566</v>
      </c>
      <c r="G371" t="s">
        <v>42</v>
      </c>
      <c r="H371" s="82" t="s">
        <v>42</v>
      </c>
      <c r="I371" s="265">
        <v>160107</v>
      </c>
      <c r="J371" s="425" t="str">
        <f>INDEX(aux!B:B,MATCH(I371,aux!A:A,0))</f>
        <v>(*) Filtros de óleo</v>
      </c>
      <c r="K371" s="433" t="str">
        <f>INDEX(aux!C:C,MATCH(I371,aux!A:A,0))</f>
        <v>Sim</v>
      </c>
      <c r="L371" s="437">
        <v>1.04</v>
      </c>
      <c r="M371" s="433" t="s">
        <v>1532</v>
      </c>
      <c r="N371" s="139">
        <f t="shared" si="22"/>
        <v>1040</v>
      </c>
      <c r="O371" s="139" t="s">
        <v>483</v>
      </c>
      <c r="P371" s="231" t="str">
        <f t="shared" si="23"/>
        <v>Reciclagem</v>
      </c>
      <c r="Q371" s="231" t="s">
        <v>1901</v>
      </c>
      <c r="R371" s="231" t="s">
        <v>1892</v>
      </c>
      <c r="S371" s="114" t="str">
        <f>IFERROR(INDEX(Tabela3[Tipos de Tratamento],MATCH('A3.9.1 copy'!O323,Tabela3[Código],0)),"")</f>
        <v>Acumulação de resíduos destinados a uma das operações enumeradas de R1 a R12</v>
      </c>
      <c r="T371" s="429" t="s">
        <v>1539</v>
      </c>
      <c r="U371" s="429" t="s">
        <v>1574</v>
      </c>
      <c r="V371" s="422"/>
    </row>
    <row r="372" spans="1:22" ht="15.75" hidden="1" thickBot="1" x14ac:dyDescent="0.3">
      <c r="A372" s="424" t="s">
        <v>4612</v>
      </c>
      <c r="B372" s="424" t="s">
        <v>4583</v>
      </c>
      <c r="C372" s="82" t="str">
        <f t="shared" si="24"/>
        <v>oficina PORTIMAO</v>
      </c>
      <c r="D372">
        <v>2022</v>
      </c>
      <c r="E372" s="250" t="s">
        <v>3499</v>
      </c>
      <c r="F372" s="250" t="s">
        <v>3566</v>
      </c>
      <c r="G372" t="s">
        <v>42</v>
      </c>
      <c r="H372" s="82" t="s">
        <v>42</v>
      </c>
      <c r="I372" s="265">
        <v>160121</v>
      </c>
      <c r="J372" s="425" t="str">
        <f>INDEX(aux!B:B,MATCH(I372,aux!A:A,0))</f>
        <v>(*) Componentes perigosos não abrangidos em 16 01 07 a 16 01 11, 16 01 13 e 16 01 14</v>
      </c>
      <c r="K372" s="433" t="str">
        <f>INDEX(aux!C:C,MATCH(I372,aux!A:A,0))</f>
        <v>Sim</v>
      </c>
      <c r="L372" s="437">
        <v>1.68</v>
      </c>
      <c r="M372" s="433" t="s">
        <v>1532</v>
      </c>
      <c r="N372" s="139">
        <f t="shared" si="22"/>
        <v>1680</v>
      </c>
      <c r="O372" s="139" t="s">
        <v>509</v>
      </c>
      <c r="P372" s="231" t="str">
        <f t="shared" si="23"/>
        <v>Aterro</v>
      </c>
      <c r="Q372" s="231" t="s">
        <v>1901</v>
      </c>
      <c r="R372" s="231" t="s">
        <v>1892</v>
      </c>
      <c r="S372" s="114" t="str">
        <f>IFERROR(INDEX(Tabela3[Tipos de Tratamento],MATCH('A3.9.1 copy'!O325,Tabela3[Código],0)),"")</f>
        <v xml:space="preserve">Troca de resíduos com vista a submetê-los a uma das operações enumeradas de R 1 a R 11 </v>
      </c>
      <c r="T372" s="429" t="s">
        <v>1539</v>
      </c>
      <c r="U372" s="429" t="s">
        <v>1574</v>
      </c>
      <c r="V372" s="422"/>
    </row>
    <row r="373" spans="1:22" ht="15.75" hidden="1" thickBot="1" x14ac:dyDescent="0.3">
      <c r="A373" s="424" t="s">
        <v>4612</v>
      </c>
      <c r="B373" s="424" t="s">
        <v>4583</v>
      </c>
      <c r="C373" s="82" t="str">
        <f t="shared" si="24"/>
        <v>oficina PORTIMAO</v>
      </c>
      <c r="D373">
        <v>2022</v>
      </c>
      <c r="E373" s="250" t="s">
        <v>3499</v>
      </c>
      <c r="F373" s="250" t="s">
        <v>3566</v>
      </c>
      <c r="G373" t="s">
        <v>42</v>
      </c>
      <c r="H373" s="82" t="s">
        <v>42</v>
      </c>
      <c r="I373" s="265">
        <v>200121</v>
      </c>
      <c r="J373" s="425" t="str">
        <f>INDEX(aux!B:B,MATCH(I373,aux!A:A,0))</f>
        <v>(*) Lâmpadas fluorescentes e outros resíduos contendo mercúrio</v>
      </c>
      <c r="K373" s="433" t="str">
        <f>INDEX(aux!C:C,MATCH(I373,aux!A:A,0))</f>
        <v>Sim</v>
      </c>
      <c r="L373" s="437">
        <v>7.0999999999999994E-2</v>
      </c>
      <c r="M373" s="433" t="s">
        <v>1532</v>
      </c>
      <c r="N373" s="139">
        <f t="shared" si="22"/>
        <v>71</v>
      </c>
      <c r="O373" s="139" t="s">
        <v>484</v>
      </c>
      <c r="P373" s="231" t="str">
        <f t="shared" si="23"/>
        <v>Reciclagem</v>
      </c>
      <c r="Q373" s="231" t="s">
        <v>1901</v>
      </c>
      <c r="R373" s="231" t="s">
        <v>1892</v>
      </c>
      <c r="S373" s="114" t="str">
        <f>IFERROR(INDEX(Tabela3[Tipos de Tratamento],MATCH('A3.9.1 copy'!O328,Tabela3[Código],0)),"")</f>
        <v>Acumulação de resíduos destinados a uma das operações enumeradas de R1 a R12</v>
      </c>
      <c r="T373" s="429" t="s">
        <v>1539</v>
      </c>
      <c r="U373" s="429" t="s">
        <v>1574</v>
      </c>
      <c r="V373" s="93"/>
    </row>
    <row r="374" spans="1:22" ht="15.75" thickBot="1" x14ac:dyDescent="0.3">
      <c r="A374" s="527" t="s">
        <v>4612</v>
      </c>
      <c r="B374" s="527" t="s">
        <v>4583</v>
      </c>
      <c r="C374" s="82" t="str">
        <f t="shared" si="24"/>
        <v>oficina PORTIMAO</v>
      </c>
      <c r="D374">
        <v>2023</v>
      </c>
      <c r="E374" s="250" t="s">
        <v>3499</v>
      </c>
      <c r="F374" s="250" t="s">
        <v>3566</v>
      </c>
      <c r="G374" t="s">
        <v>42</v>
      </c>
      <c r="H374" s="82" t="s">
        <v>42</v>
      </c>
      <c r="I374" s="530">
        <v>200121</v>
      </c>
      <c r="J374" s="425" t="str">
        <f>INDEX(aux!B:B,MATCH(I374,aux!A:A,0))</f>
        <v>(*) Lâmpadas fluorescentes e outros resíduos contendo mercúrio</v>
      </c>
      <c r="K374" s="433" t="str">
        <f>INDEX(aux!C:C,MATCH(I374,aux!A:A,0))</f>
        <v>Sim</v>
      </c>
      <c r="L374" s="536">
        <v>0.14899999999999999</v>
      </c>
      <c r="M374" s="534" t="s">
        <v>1532</v>
      </c>
      <c r="N374" s="139">
        <f t="shared" si="22"/>
        <v>149</v>
      </c>
      <c r="O374" s="540" t="s">
        <v>484</v>
      </c>
      <c r="P374" s="231" t="str">
        <f t="shared" si="23"/>
        <v>Reciclagem</v>
      </c>
      <c r="Q374" s="231" t="s">
        <v>1901</v>
      </c>
      <c r="R374" s="231" t="s">
        <v>1892</v>
      </c>
      <c r="S374" s="667" t="s">
        <v>1553</v>
      </c>
      <c r="T374" s="540" t="s">
        <v>1539</v>
      </c>
      <c r="U374" s="540" t="s">
        <v>1574</v>
      </c>
      <c r="V374" s="93"/>
    </row>
    <row r="375" spans="1:22" ht="15.75" thickBot="1" x14ac:dyDescent="0.3">
      <c r="A375" s="527" t="s">
        <v>4612</v>
      </c>
      <c r="B375" s="527" t="s">
        <v>4583</v>
      </c>
      <c r="C375" s="82" t="str">
        <f t="shared" si="24"/>
        <v>oficina PORTIMAO</v>
      </c>
      <c r="D375">
        <v>2023</v>
      </c>
      <c r="E375" s="250" t="s">
        <v>3499</v>
      </c>
      <c r="F375" s="250" t="s">
        <v>3566</v>
      </c>
      <c r="G375" t="s">
        <v>42</v>
      </c>
      <c r="H375" s="82" t="s">
        <v>42</v>
      </c>
      <c r="I375" s="530">
        <v>160121</v>
      </c>
      <c r="J375" s="425" t="str">
        <f>INDEX(aux!B:B,MATCH(I375,aux!A:A,0))</f>
        <v>(*) Componentes perigosos não abrangidos em 16 01 07 a 16 01 11, 16 01 13 e 16 01 14</v>
      </c>
      <c r="K375" s="433" t="str">
        <f>INDEX(aux!C:C,MATCH(I375,aux!A:A,0))</f>
        <v>Sim</v>
      </c>
      <c r="L375" s="536">
        <v>0.84</v>
      </c>
      <c r="M375" s="534" t="s">
        <v>1532</v>
      </c>
      <c r="N375" s="139">
        <f t="shared" si="22"/>
        <v>840</v>
      </c>
      <c r="O375" s="540" t="s">
        <v>509</v>
      </c>
      <c r="P375" s="231" t="str">
        <f t="shared" si="23"/>
        <v>Aterro</v>
      </c>
      <c r="Q375" s="231" t="s">
        <v>1901</v>
      </c>
      <c r="R375" s="231" t="s">
        <v>1892</v>
      </c>
      <c r="S375" s="667" t="s">
        <v>485</v>
      </c>
      <c r="T375" s="540" t="s">
        <v>1539</v>
      </c>
      <c r="U375" s="540" t="s">
        <v>1574</v>
      </c>
      <c r="V375" s="422"/>
    </row>
    <row r="376" spans="1:22" ht="15.75" thickBot="1" x14ac:dyDescent="0.3">
      <c r="A376" s="527" t="s">
        <v>4612</v>
      </c>
      <c r="B376" s="527" t="s">
        <v>4583</v>
      </c>
      <c r="C376" s="82" t="str">
        <f t="shared" si="24"/>
        <v>oficina PORTIMAO</v>
      </c>
      <c r="D376">
        <v>2023</v>
      </c>
      <c r="E376" s="250" t="s">
        <v>3499</v>
      </c>
      <c r="F376" s="250" t="s">
        <v>3566</v>
      </c>
      <c r="G376" t="s">
        <v>42</v>
      </c>
      <c r="H376" s="82" t="s">
        <v>42</v>
      </c>
      <c r="I376" s="530">
        <v>150110</v>
      </c>
      <c r="J376" s="425" t="str">
        <f>INDEX(aux!B:B,MATCH(I376,aux!A:A,0))</f>
        <v>(*) Embalagens contendo ou contaminadas por resíduos de substâncias perigosas</v>
      </c>
      <c r="K376" s="433" t="str">
        <f>INDEX(aux!C:C,MATCH(I376,aux!A:A,0))</f>
        <v>Sim</v>
      </c>
      <c r="L376" s="536">
        <v>0.56000000000000005</v>
      </c>
      <c r="M376" s="534" t="s">
        <v>1532</v>
      </c>
      <c r="N376" s="139">
        <f t="shared" si="22"/>
        <v>560</v>
      </c>
      <c r="O376" s="540" t="s">
        <v>484</v>
      </c>
      <c r="P376" s="231" t="str">
        <f t="shared" si="23"/>
        <v>Reciclagem</v>
      </c>
      <c r="Q376" s="231" t="s">
        <v>1901</v>
      </c>
      <c r="R376" s="231" t="s">
        <v>1892</v>
      </c>
      <c r="S376" s="667" t="s">
        <v>518</v>
      </c>
      <c r="T376" s="540" t="s">
        <v>3245</v>
      </c>
      <c r="U376" s="540" t="s">
        <v>3245</v>
      </c>
      <c r="V376" s="422"/>
    </row>
    <row r="377" spans="1:22" ht="15.75" thickBot="1" x14ac:dyDescent="0.3">
      <c r="A377" s="527" t="s">
        <v>4612</v>
      </c>
      <c r="B377" s="527" t="s">
        <v>4583</v>
      </c>
      <c r="C377" s="82" t="str">
        <f t="shared" si="24"/>
        <v>oficina PORTIMAO</v>
      </c>
      <c r="D377">
        <v>2023</v>
      </c>
      <c r="E377" s="250" t="s">
        <v>3499</v>
      </c>
      <c r="F377" s="250" t="s">
        <v>3566</v>
      </c>
      <c r="G377" t="s">
        <v>42</v>
      </c>
      <c r="H377" s="82" t="s">
        <v>42</v>
      </c>
      <c r="I377" s="530">
        <v>150203</v>
      </c>
      <c r="J377" s="425" t="str">
        <f>INDEX(aux!B:B,MATCH(I377,aux!A:A,0))</f>
        <v>Absorventes, materiais filtrantes, panos de limpeza e vestuário de proteção não abrangidos em 15 02 02</v>
      </c>
      <c r="K377" s="433" t="str">
        <f>INDEX(aux!C:C,MATCH(I377,aux!A:A,0))</f>
        <v>Não</v>
      </c>
      <c r="L377" s="536">
        <v>1</v>
      </c>
      <c r="M377" s="534" t="s">
        <v>1532</v>
      </c>
      <c r="N377" s="139">
        <f t="shared" si="22"/>
        <v>1000</v>
      </c>
      <c r="O377" s="540" t="s">
        <v>509</v>
      </c>
      <c r="P377" s="231" t="str">
        <f t="shared" si="23"/>
        <v>Aterro</v>
      </c>
      <c r="Q377" s="231" t="s">
        <v>1901</v>
      </c>
      <c r="R377" s="231" t="s">
        <v>1892</v>
      </c>
      <c r="S377" s="667" t="s">
        <v>485</v>
      </c>
      <c r="T377" s="540" t="s">
        <v>1539</v>
      </c>
      <c r="U377" s="540" t="s">
        <v>1574</v>
      </c>
      <c r="V377" s="422"/>
    </row>
    <row r="378" spans="1:22" ht="15.75" thickBot="1" x14ac:dyDescent="0.3">
      <c r="A378" s="527" t="s">
        <v>4612</v>
      </c>
      <c r="B378" s="527" t="s">
        <v>4583</v>
      </c>
      <c r="C378" s="82" t="str">
        <f t="shared" si="24"/>
        <v>oficina PORTIMAO</v>
      </c>
      <c r="D378">
        <v>2023</v>
      </c>
      <c r="E378" s="250" t="s">
        <v>3499</v>
      </c>
      <c r="F378" s="250" t="s">
        <v>3566</v>
      </c>
      <c r="G378" t="s">
        <v>42</v>
      </c>
      <c r="H378" s="82" t="s">
        <v>42</v>
      </c>
      <c r="I378" s="530">
        <v>150202</v>
      </c>
      <c r="J378" s="425" t="str">
        <f>INDEX(aux!B:B,MATCH(I378,aux!A:A,0))</f>
        <v>(*) Absorventes, materiais filtrantes (incluindo filtros de óleo sem outras especificações), panos de limpeza e vestuário de proteção, contaminados por substâncias perigosas</v>
      </c>
      <c r="K378" s="433" t="str">
        <f>INDEX(aux!C:C,MATCH(I378,aux!A:A,0))</f>
        <v>Sim</v>
      </c>
      <c r="L378" s="536">
        <v>1.92</v>
      </c>
      <c r="M378" s="534" t="s">
        <v>1532</v>
      </c>
      <c r="N378" s="139">
        <f t="shared" si="22"/>
        <v>1920</v>
      </c>
      <c r="O378" s="540" t="s">
        <v>483</v>
      </c>
      <c r="P378" s="231" t="str">
        <f t="shared" si="23"/>
        <v>Reciclagem</v>
      </c>
      <c r="Q378" s="231" t="s">
        <v>1901</v>
      </c>
      <c r="R378" s="231" t="s">
        <v>1892</v>
      </c>
      <c r="S378" s="667" t="s">
        <v>518</v>
      </c>
      <c r="T378" s="540" t="s">
        <v>1539</v>
      </c>
      <c r="U378" s="540" t="s">
        <v>1574</v>
      </c>
      <c r="V378" s="422"/>
    </row>
    <row r="379" spans="1:22" ht="15.75" thickBot="1" x14ac:dyDescent="0.3">
      <c r="A379" s="527" t="s">
        <v>4612</v>
      </c>
      <c r="B379" s="527" t="s">
        <v>4583</v>
      </c>
      <c r="C379" s="82" t="str">
        <f t="shared" si="24"/>
        <v>oficina PORTIMAO</v>
      </c>
      <c r="D379">
        <v>2023</v>
      </c>
      <c r="E379" s="250" t="s">
        <v>3499</v>
      </c>
      <c r="F379" s="250" t="s">
        <v>3566</v>
      </c>
      <c r="G379" t="s">
        <v>42</v>
      </c>
      <c r="H379" s="82" t="s">
        <v>42</v>
      </c>
      <c r="I379" s="530">
        <v>160107</v>
      </c>
      <c r="J379" s="425" t="str">
        <f>INDEX(aux!B:B,MATCH(I379,aux!A:A,0))</f>
        <v>(*) Filtros de óleo</v>
      </c>
      <c r="K379" s="433" t="str">
        <f>INDEX(aux!C:C,MATCH(I379,aux!A:A,0))</f>
        <v>Sim</v>
      </c>
      <c r="L379" s="536">
        <v>0.624</v>
      </c>
      <c r="M379" s="534" t="s">
        <v>1532</v>
      </c>
      <c r="N379" s="139">
        <f t="shared" si="22"/>
        <v>624</v>
      </c>
      <c r="O379" s="540" t="s">
        <v>483</v>
      </c>
      <c r="P379" s="231" t="str">
        <f t="shared" si="23"/>
        <v>Reciclagem</v>
      </c>
      <c r="Q379" s="231" t="s">
        <v>1901</v>
      </c>
      <c r="R379" s="231" t="s">
        <v>1892</v>
      </c>
      <c r="S379" s="667" t="s">
        <v>1553</v>
      </c>
      <c r="T379" s="540" t="s">
        <v>1539</v>
      </c>
      <c r="U379" s="540" t="s">
        <v>1574</v>
      </c>
      <c r="V379" s="422"/>
    </row>
    <row r="380" spans="1:22" ht="15.75" hidden="1" thickBot="1" x14ac:dyDescent="0.3">
      <c r="A380" s="424" t="s">
        <v>4612</v>
      </c>
      <c r="B380" s="424" t="s">
        <v>4583</v>
      </c>
      <c r="C380" s="82" t="str">
        <f t="shared" si="24"/>
        <v>oficina PORTIMAO</v>
      </c>
      <c r="D380">
        <v>2022</v>
      </c>
      <c r="E380" s="250" t="s">
        <v>3499</v>
      </c>
      <c r="F380" s="250" t="s">
        <v>3566</v>
      </c>
      <c r="G380" t="s">
        <v>42</v>
      </c>
      <c r="H380" s="82" t="s">
        <v>42</v>
      </c>
      <c r="I380" s="265">
        <v>200301</v>
      </c>
      <c r="J380" s="425" t="str">
        <f>INDEX(aux!B:B,MATCH(I380,aux!A:A,0))</f>
        <v>Misturas de resíduos urbanos equiparados</v>
      </c>
      <c r="K380" s="433" t="str">
        <f>INDEX(aux!C:C,MATCH(I380,aux!A:A,0))</f>
        <v>Não</v>
      </c>
      <c r="L380" s="437">
        <v>2.82</v>
      </c>
      <c r="M380" s="433" t="s">
        <v>1532</v>
      </c>
      <c r="N380" s="139">
        <f t="shared" si="22"/>
        <v>2820</v>
      </c>
      <c r="O380" s="139" t="s">
        <v>483</v>
      </c>
      <c r="P380" s="231" t="str">
        <f t="shared" si="23"/>
        <v>Reciclagem</v>
      </c>
      <c r="Q380" s="231" t="s">
        <v>1908</v>
      </c>
      <c r="R380" s="231" t="s">
        <v>1877</v>
      </c>
      <c r="S380" s="114" t="str">
        <f>IFERROR(INDEX(Tabela3[Tipos de Tratamento],MATCH('A3.9.1 copy'!O329,Tabela3[Código],0)),"")</f>
        <v>Acumulação de resíduos destinados a uma das operações enumeradas de R1 a R12</v>
      </c>
      <c r="T380" s="429" t="s">
        <v>3245</v>
      </c>
      <c r="U380" s="429" t="s">
        <v>3245</v>
      </c>
      <c r="V380" s="93"/>
    </row>
    <row r="381" spans="1:22" ht="15.75" hidden="1" thickBot="1" x14ac:dyDescent="0.3">
      <c r="A381" s="424" t="s">
        <v>4612</v>
      </c>
      <c r="B381" s="424" t="s">
        <v>4583</v>
      </c>
      <c r="C381" s="82" t="str">
        <f t="shared" si="24"/>
        <v>oficina PORTIMAO</v>
      </c>
      <c r="D381">
        <v>2022</v>
      </c>
      <c r="E381" s="250" t="s">
        <v>3499</v>
      </c>
      <c r="F381" s="250" t="s">
        <v>3566</v>
      </c>
      <c r="G381" t="s">
        <v>42</v>
      </c>
      <c r="H381" s="82" t="s">
        <v>42</v>
      </c>
      <c r="I381" s="265">
        <v>200307</v>
      </c>
      <c r="J381" s="425" t="str">
        <f>INDEX(aux!B:B,MATCH(I381,aux!A:A,0))</f>
        <v xml:space="preserve">Monstros </v>
      </c>
      <c r="K381" s="433" t="str">
        <f>INDEX(aux!C:C,MATCH(I381,aux!A:A,0))</f>
        <v>Não</v>
      </c>
      <c r="L381" s="437">
        <v>1.02</v>
      </c>
      <c r="M381" s="433" t="s">
        <v>1532</v>
      </c>
      <c r="N381" s="139">
        <f t="shared" si="22"/>
        <v>1020</v>
      </c>
      <c r="O381" s="139" t="s">
        <v>493</v>
      </c>
      <c r="P381" s="231" t="str">
        <f t="shared" si="23"/>
        <v>Aterro</v>
      </c>
      <c r="Q381" s="231" t="s">
        <v>1908</v>
      </c>
      <c r="R381" s="231" t="s">
        <v>1877</v>
      </c>
      <c r="S381" s="114" t="str">
        <f>IFERROR(INDEX(Tabela3[Tipos de Tratamento],MATCH('A3.9.1 copy'!O330,Tabela3[Código],0)),"")</f>
        <v xml:space="preserve">Troca de resíduos com vista a submetê-los a uma das operações enumeradas de R 1 a R 11 </v>
      </c>
      <c r="T381" s="429" t="s">
        <v>3252</v>
      </c>
      <c r="U381" s="429" t="s">
        <v>3253</v>
      </c>
      <c r="V381" s="93"/>
    </row>
    <row r="382" spans="1:22" ht="15.75" hidden="1" thickBot="1" x14ac:dyDescent="0.3">
      <c r="A382" s="424" t="s">
        <v>4612</v>
      </c>
      <c r="B382" s="424" t="s">
        <v>4583</v>
      </c>
      <c r="C382" s="82" t="str">
        <f t="shared" si="24"/>
        <v>oficina PORTIMAO</v>
      </c>
      <c r="D382">
        <v>2022</v>
      </c>
      <c r="E382" s="250" t="s">
        <v>3499</v>
      </c>
      <c r="F382" s="250" t="s">
        <v>3566</v>
      </c>
      <c r="G382" t="s">
        <v>42</v>
      </c>
      <c r="H382" s="82" t="s">
        <v>42</v>
      </c>
      <c r="I382" s="265">
        <v>200307</v>
      </c>
      <c r="J382" s="425" t="str">
        <f>INDEX(aux!B:B,MATCH(I382,aux!A:A,0))</f>
        <v xml:space="preserve">Monstros </v>
      </c>
      <c r="K382" s="433" t="str">
        <f>INDEX(aux!C:C,MATCH(I382,aux!A:A,0))</f>
        <v>Não</v>
      </c>
      <c r="L382" s="437">
        <v>0.94</v>
      </c>
      <c r="M382" s="433" t="s">
        <v>1532</v>
      </c>
      <c r="N382" s="139">
        <f t="shared" si="22"/>
        <v>940</v>
      </c>
      <c r="O382" s="139" t="s">
        <v>509</v>
      </c>
      <c r="P382" s="231" t="str">
        <f t="shared" si="23"/>
        <v>Aterro</v>
      </c>
      <c r="Q382" s="231" t="s">
        <v>1908</v>
      </c>
      <c r="R382" s="231" t="s">
        <v>1877</v>
      </c>
      <c r="S382" s="114" t="str">
        <f>IFERROR(INDEX(Tabela3[Tipos de Tratamento],MATCH('A3.9.1 copy'!O331,Tabela3[Código],0)),"")</f>
        <v>Acumulação de resíduos destinados a uma das operações enumeradas de R1 a R12</v>
      </c>
      <c r="T382" s="429" t="s">
        <v>3252</v>
      </c>
      <c r="U382" s="429" t="s">
        <v>3253</v>
      </c>
      <c r="V382" s="93"/>
    </row>
    <row r="383" spans="1:22" ht="15.75" hidden="1" thickBot="1" x14ac:dyDescent="0.3">
      <c r="A383" s="424" t="s">
        <v>4612</v>
      </c>
      <c r="B383" s="424" t="s">
        <v>4583</v>
      </c>
      <c r="C383" s="82" t="str">
        <f t="shared" si="24"/>
        <v>oficina PORTIMAO</v>
      </c>
      <c r="D383">
        <v>2022</v>
      </c>
      <c r="E383" s="250" t="s">
        <v>3499</v>
      </c>
      <c r="F383" s="250" t="s">
        <v>3566</v>
      </c>
      <c r="G383" t="s">
        <v>42</v>
      </c>
      <c r="H383" s="82" t="s">
        <v>42</v>
      </c>
      <c r="I383" s="265">
        <v>200399</v>
      </c>
      <c r="J383" s="425" t="str">
        <f>INDEX(aux!B:B,MATCH(I383,aux!A:A,0))</f>
        <v>Resíduos urbanos e equiparados, sem outras especificações</v>
      </c>
      <c r="K383" s="433" t="str">
        <f>INDEX(aux!C:C,MATCH(I383,aux!A:A,0))</f>
        <v>Não</v>
      </c>
      <c r="L383" s="437">
        <v>10.16</v>
      </c>
      <c r="M383" s="433" t="s">
        <v>1532</v>
      </c>
      <c r="N383" s="139">
        <f t="shared" si="22"/>
        <v>10160</v>
      </c>
      <c r="O383" s="139" t="s">
        <v>493</v>
      </c>
      <c r="P383" s="231" t="str">
        <f t="shared" si="23"/>
        <v>Aterro</v>
      </c>
      <c r="Q383" s="231" t="s">
        <v>1908</v>
      </c>
      <c r="R383" s="231" t="s">
        <v>1877</v>
      </c>
      <c r="S383" s="114" t="str">
        <f>IFERROR(INDEX(Tabela3[Tipos de Tratamento],MATCH('A3.9.1 copy'!O332,Tabela3[Código],0)),"")</f>
        <v xml:space="preserve">Troca de resíduos com vista a submetê-los a uma das operações enumeradas de R 1 a R 11 </v>
      </c>
      <c r="T383" s="429" t="s">
        <v>3252</v>
      </c>
      <c r="U383" s="429" t="s">
        <v>3253</v>
      </c>
      <c r="V383" s="93"/>
    </row>
    <row r="384" spans="1:22" ht="15.75" thickBot="1" x14ac:dyDescent="0.3">
      <c r="A384" s="527" t="s">
        <v>4612</v>
      </c>
      <c r="B384" s="527" t="s">
        <v>4583</v>
      </c>
      <c r="C384" s="82" t="str">
        <f t="shared" si="24"/>
        <v>oficina PORTIMAO</v>
      </c>
      <c r="D384">
        <v>2023</v>
      </c>
      <c r="E384" s="250" t="s">
        <v>3499</v>
      </c>
      <c r="F384" s="250" t="s">
        <v>3566</v>
      </c>
      <c r="G384" t="s">
        <v>42</v>
      </c>
      <c r="H384" s="82" t="s">
        <v>42</v>
      </c>
      <c r="I384" s="530">
        <v>200301</v>
      </c>
      <c r="J384" s="425" t="str">
        <f>INDEX(aux!B:B,MATCH(I384,aux!A:A,0))</f>
        <v>Misturas de resíduos urbanos equiparados</v>
      </c>
      <c r="K384" s="433" t="str">
        <f>INDEX(aux!C:C,MATCH(I384,aux!A:A,0))</f>
        <v>Não</v>
      </c>
      <c r="L384" s="536">
        <v>10.62</v>
      </c>
      <c r="M384" s="534" t="s">
        <v>1532</v>
      </c>
      <c r="N384" s="139">
        <f t="shared" si="22"/>
        <v>10620</v>
      </c>
      <c r="O384" s="540" t="s">
        <v>483</v>
      </c>
      <c r="P384" s="231" t="str">
        <f t="shared" si="23"/>
        <v>Reciclagem</v>
      </c>
      <c r="Q384" s="231" t="s">
        <v>1908</v>
      </c>
      <c r="R384" s="231" t="s">
        <v>1877</v>
      </c>
      <c r="S384" s="667" t="s">
        <v>485</v>
      </c>
      <c r="T384" s="540" t="s">
        <v>3245</v>
      </c>
      <c r="U384" s="540" t="s">
        <v>3245</v>
      </c>
      <c r="V384" s="93"/>
    </row>
    <row r="385" spans="1:22" ht="15.75" thickBot="1" x14ac:dyDescent="0.3">
      <c r="A385" s="527" t="s">
        <v>4612</v>
      </c>
      <c r="B385" s="527" t="s">
        <v>4583</v>
      </c>
      <c r="C385" s="82" t="str">
        <f t="shared" si="24"/>
        <v>oficina PORTIMAO</v>
      </c>
      <c r="D385">
        <v>2023</v>
      </c>
      <c r="E385" s="250" t="s">
        <v>3499</v>
      </c>
      <c r="F385" s="250" t="s">
        <v>3566</v>
      </c>
      <c r="G385" t="s">
        <v>42</v>
      </c>
      <c r="H385" s="82" t="s">
        <v>42</v>
      </c>
      <c r="I385" s="530">
        <v>200399</v>
      </c>
      <c r="J385" s="425" t="str">
        <f>INDEX(aux!B:B,MATCH(I385,aux!A:A,0))</f>
        <v>Resíduos urbanos e equiparados, sem outras especificações</v>
      </c>
      <c r="K385" s="433" t="str">
        <f>INDEX(aux!C:C,MATCH(I385,aux!A:A,0))</f>
        <v>Não</v>
      </c>
      <c r="L385" s="536">
        <v>11.46</v>
      </c>
      <c r="M385" s="534" t="s">
        <v>1532</v>
      </c>
      <c r="N385" s="139">
        <f t="shared" si="22"/>
        <v>11460</v>
      </c>
      <c r="O385" s="540" t="s">
        <v>493</v>
      </c>
      <c r="P385" s="231" t="str">
        <f t="shared" si="23"/>
        <v>Aterro</v>
      </c>
      <c r="Q385" s="231" t="s">
        <v>1908</v>
      </c>
      <c r="R385" s="231" t="s">
        <v>1877</v>
      </c>
      <c r="S385" s="667" t="s">
        <v>1553</v>
      </c>
      <c r="T385" s="540" t="s">
        <v>3252</v>
      </c>
      <c r="U385" s="540" t="s">
        <v>3253</v>
      </c>
      <c r="V385" s="93"/>
    </row>
    <row r="386" spans="1:22" ht="15.75" thickBot="1" x14ac:dyDescent="0.3">
      <c r="A386" s="527" t="s">
        <v>4612</v>
      </c>
      <c r="B386" s="527" t="s">
        <v>4583</v>
      </c>
      <c r="C386" s="82" t="str">
        <f t="shared" si="24"/>
        <v>oficina PORTIMAO</v>
      </c>
      <c r="D386">
        <v>2023</v>
      </c>
      <c r="E386" s="250" t="s">
        <v>3499</v>
      </c>
      <c r="F386" s="250" t="s">
        <v>3566</v>
      </c>
      <c r="G386" t="s">
        <v>42</v>
      </c>
      <c r="H386" s="82" t="s">
        <v>42</v>
      </c>
      <c r="I386" s="530">
        <v>160104</v>
      </c>
      <c r="J386" s="425" t="str">
        <f>INDEX(aux!B:B,MATCH(I386,aux!A:A,0))</f>
        <v>Veículos em fim de vida</v>
      </c>
      <c r="K386" s="433" t="str">
        <f>INDEX(aux!C:C,MATCH(I386,aux!A:A,0))</f>
        <v>Sim</v>
      </c>
      <c r="L386" s="536">
        <v>12.42</v>
      </c>
      <c r="M386" s="534" t="s">
        <v>1532</v>
      </c>
      <c r="N386" s="139">
        <f t="shared" si="22"/>
        <v>12420</v>
      </c>
      <c r="O386" s="540" t="s">
        <v>483</v>
      </c>
      <c r="P386" s="231" t="str">
        <f t="shared" si="23"/>
        <v>Reciclagem</v>
      </c>
      <c r="Q386" s="231" t="s">
        <v>1907</v>
      </c>
      <c r="R386" s="231" t="s">
        <v>6569</v>
      </c>
      <c r="S386" s="667" t="s">
        <v>485</v>
      </c>
      <c r="T386" s="540" t="s">
        <v>3245</v>
      </c>
      <c r="U386" s="540" t="s">
        <v>1574</v>
      </c>
      <c r="V386" s="93"/>
    </row>
    <row r="387" spans="1:22" ht="15.75" hidden="1" thickBot="1" x14ac:dyDescent="0.3">
      <c r="A387" s="424" t="s">
        <v>4613</v>
      </c>
      <c r="B387" s="424" t="s">
        <v>4583</v>
      </c>
      <c r="C387" s="82" t="str">
        <f t="shared" si="24"/>
        <v>oficina VRSA</v>
      </c>
      <c r="D387">
        <v>2022</v>
      </c>
      <c r="E387" s="250" t="s">
        <v>3499</v>
      </c>
      <c r="F387" s="250" t="s">
        <v>3566</v>
      </c>
      <c r="G387" t="s">
        <v>42</v>
      </c>
      <c r="H387" s="82" t="s">
        <v>42</v>
      </c>
      <c r="I387" s="265">
        <v>160601</v>
      </c>
      <c r="J387" s="425" t="str">
        <f>INDEX(aux!B:B,MATCH(I387,aux!A:A,0))</f>
        <v>(*) Acumuladores de chumbo</v>
      </c>
      <c r="K387" s="433" t="str">
        <f>INDEX(aux!C:C,MATCH(I387,aux!A:A,0))</f>
        <v>Sim</v>
      </c>
      <c r="L387" s="437">
        <v>0.85699999999999998</v>
      </c>
      <c r="M387" s="433" t="s">
        <v>1532</v>
      </c>
      <c r="N387" s="139">
        <f t="shared" ref="N387:N450" si="25">IF(LEFT(M387,3)="ton",1000*L387,L387)</f>
        <v>857</v>
      </c>
      <c r="O387" s="139" t="s">
        <v>484</v>
      </c>
      <c r="P387" s="231" t="str">
        <f t="shared" ref="P387:P450" si="26">IF(LEFT(O387,1)="R","Reciclagem",IF(OR(O387="D10",O387="D11"),"Iceneração","Aterro"))</f>
        <v>Reciclagem</v>
      </c>
      <c r="Q387" s="231" t="s">
        <v>1653</v>
      </c>
      <c r="R387" s="231" t="s">
        <v>1877</v>
      </c>
      <c r="S387" s="114" t="str">
        <f>IFERROR(INDEX(Tabela3[Tipos de Tratamento],MATCH('A3.9.1 copy'!O343,Tabela3[Código],0)),"")</f>
        <v xml:space="preserve">Troca de resíduos com vista a submetê-los a uma das operações enumeradas de R 1 a R 11 </v>
      </c>
      <c r="T387" s="429" t="s">
        <v>3245</v>
      </c>
      <c r="U387" s="429" t="s">
        <v>3245</v>
      </c>
      <c r="V387" s="93"/>
    </row>
    <row r="388" spans="1:22" ht="15.75" thickBot="1" x14ac:dyDescent="0.3">
      <c r="A388" s="527" t="s">
        <v>4613</v>
      </c>
      <c r="B388" s="527" t="s">
        <v>4583</v>
      </c>
      <c r="C388" s="82" t="str">
        <f t="shared" si="24"/>
        <v>oficina VRSA</v>
      </c>
      <c r="D388">
        <v>2023</v>
      </c>
      <c r="E388" s="250" t="s">
        <v>3499</v>
      </c>
      <c r="F388" s="250" t="s">
        <v>3566</v>
      </c>
      <c r="G388" t="s">
        <v>42</v>
      </c>
      <c r="H388" s="82" t="s">
        <v>42</v>
      </c>
      <c r="I388" s="530">
        <v>160601</v>
      </c>
      <c r="J388" s="425" t="str">
        <f>INDEX(aux!B:B,MATCH(I388,aux!A:A,0))</f>
        <v>(*) Acumuladores de chumbo</v>
      </c>
      <c r="K388" s="433" t="str">
        <f>INDEX(aux!C:C,MATCH(I388,aux!A:A,0))</f>
        <v>Sim</v>
      </c>
      <c r="L388" s="536">
        <v>1.575</v>
      </c>
      <c r="M388" s="534" t="s">
        <v>1532</v>
      </c>
      <c r="N388" s="139">
        <f t="shared" si="25"/>
        <v>1575</v>
      </c>
      <c r="O388" s="540" t="s">
        <v>483</v>
      </c>
      <c r="P388" s="231" t="str">
        <f t="shared" si="26"/>
        <v>Reciclagem</v>
      </c>
      <c r="Q388" s="231" t="s">
        <v>1653</v>
      </c>
      <c r="R388" s="231" t="s">
        <v>1877</v>
      </c>
      <c r="S388" s="667" t="s">
        <v>1553</v>
      </c>
      <c r="T388" s="540" t="s">
        <v>3245</v>
      </c>
      <c r="U388" s="527" t="s">
        <v>3245</v>
      </c>
      <c r="V388" s="93"/>
    </row>
    <row r="389" spans="1:22" ht="15.75" hidden="1" thickBot="1" x14ac:dyDescent="0.3">
      <c r="A389" s="424" t="s">
        <v>4613</v>
      </c>
      <c r="B389" s="424" t="s">
        <v>4583</v>
      </c>
      <c r="C389" s="82" t="str">
        <f t="shared" si="24"/>
        <v>oficina VRSA</v>
      </c>
      <c r="D389">
        <v>2022</v>
      </c>
      <c r="E389" s="250" t="s">
        <v>3499</v>
      </c>
      <c r="F389" s="250" t="s">
        <v>3566</v>
      </c>
      <c r="G389" t="s">
        <v>42</v>
      </c>
      <c r="H389" s="82" t="s">
        <v>42</v>
      </c>
      <c r="I389" s="265">
        <v>160117</v>
      </c>
      <c r="J389" s="425" t="str">
        <f>INDEX(aux!B:B,MATCH(I389,aux!A:A,0))</f>
        <v>Metais ferrosos</v>
      </c>
      <c r="K389" s="433" t="str">
        <f>INDEX(aux!C:C,MATCH(I389,aux!A:A,0))</f>
        <v>Não</v>
      </c>
      <c r="L389" s="437">
        <v>6.5000000000000002E-2</v>
      </c>
      <c r="M389" s="433" t="s">
        <v>1532</v>
      </c>
      <c r="N389" s="139">
        <f t="shared" si="25"/>
        <v>65</v>
      </c>
      <c r="O389" s="139" t="s">
        <v>484</v>
      </c>
      <c r="P389" s="231" t="str">
        <f t="shared" si="26"/>
        <v>Reciclagem</v>
      </c>
      <c r="Q389" s="231" t="s">
        <v>1557</v>
      </c>
      <c r="R389" s="231" t="s">
        <v>1903</v>
      </c>
      <c r="S389" s="114" t="str">
        <f>IFERROR(INDEX(Tabela3[Tipos de Tratamento],MATCH('A3.9.1 copy'!O340,Tabela3[Código],0)),"")</f>
        <v>Acumulação de resíduos destinados a uma das operações enumeradas de R1 a R12</v>
      </c>
      <c r="T389" s="429" t="s">
        <v>1539</v>
      </c>
      <c r="U389" s="429" t="s">
        <v>1574</v>
      </c>
      <c r="V389" s="93"/>
    </row>
    <row r="390" spans="1:22" ht="15.75" thickBot="1" x14ac:dyDescent="0.3">
      <c r="A390" s="527" t="s">
        <v>4613</v>
      </c>
      <c r="B390" s="527" t="s">
        <v>4583</v>
      </c>
      <c r="C390" s="82" t="str">
        <f t="shared" si="24"/>
        <v>oficina VRSA</v>
      </c>
      <c r="D390">
        <v>2023</v>
      </c>
      <c r="E390" s="250" t="s">
        <v>3499</v>
      </c>
      <c r="F390" s="250" t="s">
        <v>3566</v>
      </c>
      <c r="G390" t="s">
        <v>42</v>
      </c>
      <c r="H390" s="82" t="s">
        <v>42</v>
      </c>
      <c r="I390" s="530">
        <v>160112</v>
      </c>
      <c r="J390" s="425" t="str">
        <f>INDEX(aux!B:B,MATCH(I390,aux!A:A,0))</f>
        <v>Pastilhas de travões não abrangidas em 16 01 11</v>
      </c>
      <c r="K390" s="433" t="str">
        <f>INDEX(aux!C:C,MATCH(I390,aux!A:A,0))</f>
        <v>Não</v>
      </c>
      <c r="L390" s="536">
        <v>0.54</v>
      </c>
      <c r="M390" s="534" t="s">
        <v>1532</v>
      </c>
      <c r="N390" s="139">
        <f t="shared" si="25"/>
        <v>540</v>
      </c>
      <c r="O390" s="540" t="s">
        <v>484</v>
      </c>
      <c r="P390" s="231" t="str">
        <f t="shared" si="26"/>
        <v>Reciclagem</v>
      </c>
      <c r="Q390" s="231" t="s">
        <v>1557</v>
      </c>
      <c r="R390" s="231" t="s">
        <v>6569</v>
      </c>
      <c r="S390" s="667" t="s">
        <v>1553</v>
      </c>
      <c r="T390" s="540" t="s">
        <v>1539</v>
      </c>
      <c r="U390" s="540" t="s">
        <v>1574</v>
      </c>
      <c r="V390" s="93"/>
    </row>
    <row r="391" spans="1:22" ht="15.75" thickBot="1" x14ac:dyDescent="0.3">
      <c r="A391" s="527" t="s">
        <v>4613</v>
      </c>
      <c r="B391" s="527" t="s">
        <v>4583</v>
      </c>
      <c r="C391" s="82" t="str">
        <f t="shared" si="24"/>
        <v>oficina VRSA</v>
      </c>
      <c r="D391">
        <v>2023</v>
      </c>
      <c r="E391" s="250" t="s">
        <v>3499</v>
      </c>
      <c r="F391" s="250" t="s">
        <v>3566</v>
      </c>
      <c r="G391" t="s">
        <v>42</v>
      </c>
      <c r="H391" s="82" t="s">
        <v>42</v>
      </c>
      <c r="I391" s="530">
        <v>160117</v>
      </c>
      <c r="J391" s="425" t="str">
        <f>INDEX(aux!B:B,MATCH(I391,aux!A:A,0))</f>
        <v>Metais ferrosos</v>
      </c>
      <c r="K391" s="433" t="str">
        <f>INDEX(aux!C:C,MATCH(I391,aux!A:A,0))</f>
        <v>Não</v>
      </c>
      <c r="L391" s="536">
        <v>2.1999999999999999E-2</v>
      </c>
      <c r="M391" s="534" t="s">
        <v>1532</v>
      </c>
      <c r="N391" s="139">
        <f t="shared" si="25"/>
        <v>22</v>
      </c>
      <c r="O391" s="540" t="s">
        <v>484</v>
      </c>
      <c r="P391" s="231" t="str">
        <f t="shared" si="26"/>
        <v>Reciclagem</v>
      </c>
      <c r="Q391" s="231" t="s">
        <v>1557</v>
      </c>
      <c r="R391" s="231" t="s">
        <v>6569</v>
      </c>
      <c r="S391" s="667" t="s">
        <v>1556</v>
      </c>
      <c r="T391" s="540" t="s">
        <v>1539</v>
      </c>
      <c r="U391" s="540" t="s">
        <v>1574</v>
      </c>
      <c r="V391" s="93"/>
    </row>
    <row r="392" spans="1:22" ht="15.75" hidden="1" thickBot="1" x14ac:dyDescent="0.3">
      <c r="A392" s="424" t="s">
        <v>4613</v>
      </c>
      <c r="B392" s="424" t="s">
        <v>4583</v>
      </c>
      <c r="C392" s="82" t="str">
        <f t="shared" si="24"/>
        <v>oficina VRSA</v>
      </c>
      <c r="D392">
        <v>2022</v>
      </c>
      <c r="E392" s="250" t="s">
        <v>3499</v>
      </c>
      <c r="F392" s="250" t="s">
        <v>3566</v>
      </c>
      <c r="G392" t="s">
        <v>42</v>
      </c>
      <c r="H392" s="82" t="s">
        <v>42</v>
      </c>
      <c r="I392" s="265">
        <v>150111</v>
      </c>
      <c r="J392" s="425" t="str">
        <f>INDEX(aux!B:B,MATCH(I392,aux!A:A,0))</f>
        <v>(*) Embalagens de metal, incluindo recipientes vazios sob pressão, contendo uma matriz porosa sólida perigosa (por exemplo, amianto)</v>
      </c>
      <c r="K392" s="433" t="str">
        <f>INDEX(aux!C:C,MATCH(I392,aux!A:A,0))</f>
        <v>Sim</v>
      </c>
      <c r="L392" s="437">
        <v>1.7999999999999999E-2</v>
      </c>
      <c r="M392" s="433" t="s">
        <v>1532</v>
      </c>
      <c r="N392" s="139">
        <f t="shared" si="25"/>
        <v>18</v>
      </c>
      <c r="O392" s="139" t="s">
        <v>484</v>
      </c>
      <c r="P392" s="231" t="str">
        <f t="shared" si="26"/>
        <v>Reciclagem</v>
      </c>
      <c r="Q392" s="231" t="s">
        <v>1906</v>
      </c>
      <c r="R392" s="231" t="s">
        <v>1903</v>
      </c>
      <c r="S392" s="114" t="str">
        <f>IFERROR(INDEX(Tabela3[Tipos de Tratamento],MATCH('A3.9.1 copy'!O335,Tabela3[Código],0)),"")</f>
        <v>Acumulação de resíduos destinados a uma das operações enumeradas de R1 a R12</v>
      </c>
      <c r="T392" s="429" t="s">
        <v>1539</v>
      </c>
      <c r="U392" s="429" t="s">
        <v>1574</v>
      </c>
      <c r="V392" s="93"/>
    </row>
    <row r="393" spans="1:22" ht="15.75" thickBot="1" x14ac:dyDescent="0.3">
      <c r="A393" s="527" t="s">
        <v>4613</v>
      </c>
      <c r="B393" s="527" t="s">
        <v>4583</v>
      </c>
      <c r="C393" s="82" t="str">
        <f t="shared" si="24"/>
        <v>oficina VRSA</v>
      </c>
      <c r="D393">
        <v>2023</v>
      </c>
      <c r="E393" s="250" t="s">
        <v>3499</v>
      </c>
      <c r="F393" s="250" t="s">
        <v>3566</v>
      </c>
      <c r="G393" t="s">
        <v>42</v>
      </c>
      <c r="H393" s="82" t="s">
        <v>42</v>
      </c>
      <c r="I393" s="530">
        <v>150111</v>
      </c>
      <c r="J393" s="425" t="str">
        <f>INDEX(aux!B:B,MATCH(I393,aux!A:A,0))</f>
        <v>(*) Embalagens de metal, incluindo recipientes vazios sob pressão, contendo uma matriz porosa sólida perigosa (por exemplo, amianto)</v>
      </c>
      <c r="K393" s="433" t="str">
        <f>INDEX(aux!C:C,MATCH(I393,aux!A:A,0))</f>
        <v>Sim</v>
      </c>
      <c r="L393" s="536">
        <v>3.5999999999999997E-2</v>
      </c>
      <c r="M393" s="534" t="s">
        <v>1532</v>
      </c>
      <c r="N393" s="139">
        <f t="shared" si="25"/>
        <v>36</v>
      </c>
      <c r="O393" s="540" t="s">
        <v>484</v>
      </c>
      <c r="P393" s="231" t="str">
        <f t="shared" si="26"/>
        <v>Reciclagem</v>
      </c>
      <c r="Q393" s="231" t="s">
        <v>1906</v>
      </c>
      <c r="R393" s="231" t="s">
        <v>6569</v>
      </c>
      <c r="S393" s="667" t="s">
        <v>485</v>
      </c>
      <c r="T393" s="540" t="s">
        <v>1539</v>
      </c>
      <c r="U393" s="540" t="s">
        <v>1574</v>
      </c>
      <c r="V393" s="422"/>
    </row>
    <row r="394" spans="1:22" ht="15.75" hidden="1" thickBot="1" x14ac:dyDescent="0.3">
      <c r="A394" s="424" t="s">
        <v>4613</v>
      </c>
      <c r="B394" s="424" t="s">
        <v>4583</v>
      </c>
      <c r="C394" s="82" t="str">
        <f t="shared" si="24"/>
        <v>oficina VRSA</v>
      </c>
      <c r="D394">
        <v>2022</v>
      </c>
      <c r="E394" s="250" t="s">
        <v>3499</v>
      </c>
      <c r="F394" s="250" t="s">
        <v>3566</v>
      </c>
      <c r="G394" t="s">
        <v>42</v>
      </c>
      <c r="H394" s="82" t="s">
        <v>42</v>
      </c>
      <c r="I394" s="265">
        <v>130208</v>
      </c>
      <c r="J394" s="425" t="str">
        <f>INDEX(aux!B:B,MATCH(I394,aux!A:A,0))</f>
        <v>(*) Outros óleos de motores, transmissões e lubrificação</v>
      </c>
      <c r="K394" s="433" t="str">
        <f>INDEX(aux!C:C,MATCH(I394,aux!A:A,0))</f>
        <v>Sim</v>
      </c>
      <c r="L394" s="437">
        <v>2.2490000000000001</v>
      </c>
      <c r="M394" s="433" t="s">
        <v>1532</v>
      </c>
      <c r="N394" s="139">
        <f t="shared" si="25"/>
        <v>2249</v>
      </c>
      <c r="O394" s="139" t="s">
        <v>484</v>
      </c>
      <c r="P394" s="231" t="str">
        <f t="shared" si="26"/>
        <v>Reciclagem</v>
      </c>
      <c r="Q394" s="231" t="s">
        <v>1902</v>
      </c>
      <c r="R394" s="231" t="s">
        <v>1877</v>
      </c>
      <c r="S394" s="114" t="str">
        <f>IFERROR(INDEX(Tabela3[Tipos de Tratamento],MATCH('A3.9.1 copy'!O333,Tabela3[Código],0)),"")</f>
        <v xml:space="preserve">Troca de resíduos com vista a submetê-los a uma das operações enumeradas de R 1 a R 11 </v>
      </c>
      <c r="T394" s="429" t="s">
        <v>3215</v>
      </c>
      <c r="U394" s="429" t="s">
        <v>3215</v>
      </c>
      <c r="V394" s="93"/>
    </row>
    <row r="395" spans="1:22" ht="15.75" thickBot="1" x14ac:dyDescent="0.3">
      <c r="A395" s="527" t="s">
        <v>4613</v>
      </c>
      <c r="B395" s="527" t="s">
        <v>4583</v>
      </c>
      <c r="C395" s="82" t="str">
        <f t="shared" si="24"/>
        <v>oficina VRSA</v>
      </c>
      <c r="D395">
        <v>2023</v>
      </c>
      <c r="E395" s="250" t="s">
        <v>3499</v>
      </c>
      <c r="F395" s="250" t="s">
        <v>3566</v>
      </c>
      <c r="G395" t="s">
        <v>42</v>
      </c>
      <c r="H395" s="82" t="s">
        <v>42</v>
      </c>
      <c r="I395" s="530">
        <v>130208</v>
      </c>
      <c r="J395" s="425" t="str">
        <f>INDEX(aux!B:B,MATCH(I395,aux!A:A,0))</f>
        <v>(*) Outros óleos de motores, transmissões e lubrificação</v>
      </c>
      <c r="K395" s="433" t="str">
        <f>INDEX(aux!C:C,MATCH(I395,aux!A:A,0))</f>
        <v>Sim</v>
      </c>
      <c r="L395" s="536">
        <v>2.8380000000000001</v>
      </c>
      <c r="M395" s="534" t="s">
        <v>1532</v>
      </c>
      <c r="N395" s="139">
        <f t="shared" si="25"/>
        <v>2838</v>
      </c>
      <c r="O395" s="540" t="s">
        <v>484</v>
      </c>
      <c r="P395" s="231" t="str">
        <f t="shared" si="26"/>
        <v>Reciclagem</v>
      </c>
      <c r="Q395" s="231" t="s">
        <v>1902</v>
      </c>
      <c r="R395" s="231" t="s">
        <v>1877</v>
      </c>
      <c r="S395" s="667" t="s">
        <v>1553</v>
      </c>
      <c r="T395" s="93" t="s">
        <v>3215</v>
      </c>
      <c r="U395" s="93" t="s">
        <v>3215</v>
      </c>
      <c r="V395" s="93"/>
    </row>
    <row r="396" spans="1:22" ht="15.75" hidden="1" thickBot="1" x14ac:dyDescent="0.3">
      <c r="A396" s="424" t="s">
        <v>4613</v>
      </c>
      <c r="B396" s="424" t="s">
        <v>4583</v>
      </c>
      <c r="C396" s="82" t="str">
        <f t="shared" si="24"/>
        <v>oficina VRSA</v>
      </c>
      <c r="D396">
        <v>2022</v>
      </c>
      <c r="E396" s="250" t="s">
        <v>3499</v>
      </c>
      <c r="F396" s="250" t="s">
        <v>3566</v>
      </c>
      <c r="G396" t="s">
        <v>42</v>
      </c>
      <c r="H396" s="82" t="s">
        <v>42</v>
      </c>
      <c r="I396" s="265">
        <v>150110</v>
      </c>
      <c r="J396" s="425" t="str">
        <f>INDEX(aux!B:B,MATCH(I396,aux!A:A,0))</f>
        <v>(*) Embalagens contendo ou contaminadas por resíduos de substâncias perigosas</v>
      </c>
      <c r="K396" s="433" t="str">
        <f>INDEX(aux!C:C,MATCH(I396,aux!A:A,0))</f>
        <v>Sim</v>
      </c>
      <c r="L396" s="437">
        <v>1.7999999999999999E-2</v>
      </c>
      <c r="M396" s="433" t="s">
        <v>1532</v>
      </c>
      <c r="N396" s="139">
        <f t="shared" si="25"/>
        <v>18</v>
      </c>
      <c r="O396" s="139" t="s">
        <v>484</v>
      </c>
      <c r="P396" s="231" t="str">
        <f t="shared" si="26"/>
        <v>Reciclagem</v>
      </c>
      <c r="Q396" s="231" t="s">
        <v>1901</v>
      </c>
      <c r="R396" s="231" t="s">
        <v>1892</v>
      </c>
      <c r="S396" s="114" t="str">
        <f>IFERROR(INDEX(Tabela3[Tipos de Tratamento],MATCH('A3.9.1 copy'!O334,Tabela3[Código],0)),"")</f>
        <v>Acumulação de resíduos destinados a uma das operações enumeradas de R1 a R12</v>
      </c>
      <c r="T396" s="458" t="s">
        <v>1539</v>
      </c>
      <c r="U396" s="458" t="s">
        <v>1574</v>
      </c>
      <c r="V396" s="93"/>
    </row>
    <row r="397" spans="1:22" ht="15.75" hidden="1" thickBot="1" x14ac:dyDescent="0.3">
      <c r="A397" s="424" t="s">
        <v>4613</v>
      </c>
      <c r="B397" s="424" t="s">
        <v>4583</v>
      </c>
      <c r="C397" s="82" t="str">
        <f t="shared" si="24"/>
        <v>oficina VRSA</v>
      </c>
      <c r="D397">
        <v>2022</v>
      </c>
      <c r="E397" s="250" t="s">
        <v>3499</v>
      </c>
      <c r="F397" s="250" t="s">
        <v>3566</v>
      </c>
      <c r="G397" t="s">
        <v>42</v>
      </c>
      <c r="H397" s="82" t="s">
        <v>42</v>
      </c>
      <c r="I397" s="265">
        <v>150202</v>
      </c>
      <c r="J397" s="425" t="str">
        <f>INDEX(aux!B:B,MATCH(I397,aux!A:A,0))</f>
        <v>(*) Absorventes, materiais filtrantes (incluindo filtros de óleo sem outras especificações), panos de limpeza e vestuário de proteção, contaminados por substâncias perigosas</v>
      </c>
      <c r="K397" s="433" t="str">
        <f>INDEX(aux!C:C,MATCH(I397,aux!A:A,0))</f>
        <v>Sim</v>
      </c>
      <c r="L397" s="437">
        <v>0.2</v>
      </c>
      <c r="M397" s="433" t="s">
        <v>1532</v>
      </c>
      <c r="N397" s="139">
        <f t="shared" si="25"/>
        <v>200</v>
      </c>
      <c r="O397" s="139" t="s">
        <v>483</v>
      </c>
      <c r="P397" s="231" t="str">
        <f t="shared" si="26"/>
        <v>Reciclagem</v>
      </c>
      <c r="Q397" s="231" t="s">
        <v>1901</v>
      </c>
      <c r="R397" s="231" t="s">
        <v>1892</v>
      </c>
      <c r="S397" s="114" t="str">
        <f>IFERROR(INDEX(Tabela3[Tipos de Tratamento],MATCH('A3.9.1 copy'!O336,Tabela3[Código],0)),"")</f>
        <v>Armazenagem enquanto se aguarda a execução de uma das operações enumeradas de D1 a D14</v>
      </c>
      <c r="T397" s="429" t="s">
        <v>1539</v>
      </c>
      <c r="U397" s="429" t="s">
        <v>1574</v>
      </c>
      <c r="V397" s="422"/>
    </row>
    <row r="398" spans="1:22" ht="15.75" hidden="1" thickBot="1" x14ac:dyDescent="0.3">
      <c r="A398" s="424" t="s">
        <v>4613</v>
      </c>
      <c r="B398" s="424" t="s">
        <v>4583</v>
      </c>
      <c r="C398" s="82" t="str">
        <f t="shared" si="24"/>
        <v>oficina VRSA</v>
      </c>
      <c r="D398">
        <v>2022</v>
      </c>
      <c r="E398" s="250" t="s">
        <v>3499</v>
      </c>
      <c r="F398" s="250" t="s">
        <v>3566</v>
      </c>
      <c r="G398" t="s">
        <v>42</v>
      </c>
      <c r="H398" s="82" t="s">
        <v>42</v>
      </c>
      <c r="I398" s="265">
        <v>150203</v>
      </c>
      <c r="J398" s="425" t="str">
        <f>INDEX(aux!B:B,MATCH(I398,aux!A:A,0))</f>
        <v>Absorventes, materiais filtrantes, panos de limpeza e vestuário de proteção não abrangidos em 15 02 02</v>
      </c>
      <c r="K398" s="433" t="str">
        <f>INDEX(aux!C:C,MATCH(I398,aux!A:A,0))</f>
        <v>Não</v>
      </c>
      <c r="L398" s="437">
        <v>0.2</v>
      </c>
      <c r="M398" s="433" t="s">
        <v>1532</v>
      </c>
      <c r="N398" s="139">
        <f t="shared" si="25"/>
        <v>200</v>
      </c>
      <c r="O398" s="139" t="s">
        <v>509</v>
      </c>
      <c r="P398" s="231" t="str">
        <f t="shared" si="26"/>
        <v>Aterro</v>
      </c>
      <c r="Q398" s="231" t="s">
        <v>1901</v>
      </c>
      <c r="R398" s="231" t="s">
        <v>1892</v>
      </c>
      <c r="S398" s="114" t="str">
        <f>IFERROR(INDEX(Tabela3[Tipos de Tratamento],MATCH('A3.9.1 copy'!O337,Tabela3[Código],0)),"")</f>
        <v xml:space="preserve">Troca de resíduos com vista a submetê-los a uma das operações enumeradas de R 1 a R 11 </v>
      </c>
      <c r="T398" s="429" t="s">
        <v>1539</v>
      </c>
      <c r="U398" s="429" t="s">
        <v>1574</v>
      </c>
      <c r="V398" s="422"/>
    </row>
    <row r="399" spans="1:22" ht="15.75" hidden="1" thickBot="1" x14ac:dyDescent="0.3">
      <c r="A399" s="424" t="s">
        <v>4613</v>
      </c>
      <c r="B399" s="424" t="s">
        <v>4583</v>
      </c>
      <c r="C399" s="82" t="str">
        <f t="shared" si="24"/>
        <v>oficina VRSA</v>
      </c>
      <c r="D399">
        <v>2022</v>
      </c>
      <c r="E399" s="250" t="s">
        <v>3499</v>
      </c>
      <c r="F399" s="250" t="s">
        <v>3566</v>
      </c>
      <c r="G399" t="s">
        <v>42</v>
      </c>
      <c r="H399" s="82" t="s">
        <v>42</v>
      </c>
      <c r="I399" s="265">
        <v>150203</v>
      </c>
      <c r="J399" s="425" t="str">
        <f>INDEX(aux!B:B,MATCH(I399,aux!A:A,0))</f>
        <v>Absorventes, materiais filtrantes, panos de limpeza e vestuário de proteção não abrangidos em 15 02 02</v>
      </c>
      <c r="K399" s="433" t="str">
        <f>INDEX(aux!C:C,MATCH(I399,aux!A:A,0))</f>
        <v>Não</v>
      </c>
      <c r="L399" s="437">
        <v>0.2</v>
      </c>
      <c r="M399" s="433" t="s">
        <v>1532</v>
      </c>
      <c r="N399" s="139">
        <f t="shared" si="25"/>
        <v>200</v>
      </c>
      <c r="O399" s="139" t="s">
        <v>484</v>
      </c>
      <c r="P399" s="231" t="str">
        <f t="shared" si="26"/>
        <v>Reciclagem</v>
      </c>
      <c r="Q399" s="231" t="s">
        <v>1901</v>
      </c>
      <c r="R399" s="231" t="s">
        <v>1892</v>
      </c>
      <c r="S399" s="114" t="str">
        <f>IFERROR(INDEX(Tabela3[Tipos de Tratamento],MATCH('A3.9.1 copy'!O338,Tabela3[Código],0)),"")</f>
        <v>Acumulação de resíduos destinados a uma das operações enumeradas de R1 a R12</v>
      </c>
      <c r="T399" s="429" t="s">
        <v>1539</v>
      </c>
      <c r="U399" s="429" t="s">
        <v>1574</v>
      </c>
      <c r="V399" s="422"/>
    </row>
    <row r="400" spans="1:22" ht="15.75" hidden="1" thickBot="1" x14ac:dyDescent="0.3">
      <c r="A400" s="424" t="s">
        <v>4613</v>
      </c>
      <c r="B400" s="424" t="s">
        <v>4583</v>
      </c>
      <c r="C400" s="82" t="str">
        <f t="shared" si="24"/>
        <v>oficina VRSA</v>
      </c>
      <c r="D400">
        <v>2022</v>
      </c>
      <c r="E400" s="250" t="s">
        <v>3499</v>
      </c>
      <c r="F400" s="250" t="s">
        <v>3566</v>
      </c>
      <c r="G400" t="s">
        <v>42</v>
      </c>
      <c r="H400" s="82" t="s">
        <v>42</v>
      </c>
      <c r="I400" s="265">
        <v>160107</v>
      </c>
      <c r="J400" s="425" t="str">
        <f>INDEX(aux!B:B,MATCH(I400,aux!A:A,0))</f>
        <v>(*) Filtros de óleo</v>
      </c>
      <c r="K400" s="433" t="str">
        <f>INDEX(aux!C:C,MATCH(I400,aux!A:A,0))</f>
        <v>Sim</v>
      </c>
      <c r="L400" s="437">
        <v>0.20799999999999999</v>
      </c>
      <c r="M400" s="433" t="s">
        <v>1532</v>
      </c>
      <c r="N400" s="139">
        <f t="shared" si="25"/>
        <v>208</v>
      </c>
      <c r="O400" s="139" t="s">
        <v>483</v>
      </c>
      <c r="P400" s="231" t="str">
        <f t="shared" si="26"/>
        <v>Reciclagem</v>
      </c>
      <c r="Q400" s="231" t="s">
        <v>1901</v>
      </c>
      <c r="R400" s="231" t="s">
        <v>1892</v>
      </c>
      <c r="S400" s="114" t="str">
        <f>IFERROR(INDEX(Tabela3[Tipos de Tratamento],MATCH('A3.9.1 copy'!O339,Tabela3[Código],0)),"")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00" s="429" t="s">
        <v>1539</v>
      </c>
      <c r="U400" s="429" t="s">
        <v>1574</v>
      </c>
      <c r="V400" s="422"/>
    </row>
    <row r="401" spans="1:22" ht="15.75" hidden="1" thickBot="1" x14ac:dyDescent="0.3">
      <c r="A401" s="424" t="s">
        <v>4613</v>
      </c>
      <c r="B401" s="424" t="s">
        <v>4583</v>
      </c>
      <c r="C401" s="82" t="str">
        <f t="shared" si="24"/>
        <v>oficina VRSA</v>
      </c>
      <c r="D401">
        <v>2022</v>
      </c>
      <c r="E401" s="250" t="s">
        <v>3499</v>
      </c>
      <c r="F401" s="250" t="s">
        <v>3566</v>
      </c>
      <c r="G401" t="s">
        <v>42</v>
      </c>
      <c r="H401" s="82" t="s">
        <v>42</v>
      </c>
      <c r="I401" s="265">
        <v>160121</v>
      </c>
      <c r="J401" s="425" t="str">
        <f>INDEX(aux!B:B,MATCH(I401,aux!A:A,0))</f>
        <v>(*) Componentes perigosos não abrangidos em 16 01 07 a 16 01 11, 16 01 13 e 16 01 14</v>
      </c>
      <c r="K401" s="433" t="str">
        <f>INDEX(aux!C:C,MATCH(I401,aux!A:A,0))</f>
        <v>Sim</v>
      </c>
      <c r="L401" s="437">
        <v>0.84</v>
      </c>
      <c r="M401" s="433" t="s">
        <v>1532</v>
      </c>
      <c r="N401" s="139">
        <f t="shared" si="25"/>
        <v>840</v>
      </c>
      <c r="O401" s="139" t="s">
        <v>509</v>
      </c>
      <c r="P401" s="231" t="str">
        <f t="shared" si="26"/>
        <v>Aterro</v>
      </c>
      <c r="Q401" s="231" t="s">
        <v>1901</v>
      </c>
      <c r="R401" s="231" t="s">
        <v>1892</v>
      </c>
      <c r="S401" s="114" t="str">
        <f>IFERROR(INDEX(Tabela3[Tipos de Tratamento],MATCH('A3.9.1 copy'!O341,Tabela3[Código],0)),"")</f>
        <v xml:space="preserve">Troca de resíduos com vista a submetê-los a uma das operações enumeradas de R 1 a R 11 </v>
      </c>
      <c r="T401" s="429" t="s">
        <v>1539</v>
      </c>
      <c r="U401" s="429" t="s">
        <v>1574</v>
      </c>
      <c r="V401" s="422"/>
    </row>
    <row r="402" spans="1:22" ht="15.75" hidden="1" thickBot="1" x14ac:dyDescent="0.3">
      <c r="A402" s="424" t="s">
        <v>4613</v>
      </c>
      <c r="B402" s="424" t="s">
        <v>4583</v>
      </c>
      <c r="C402" s="82" t="str">
        <f t="shared" si="24"/>
        <v>oficina VRSA</v>
      </c>
      <c r="D402">
        <v>2022</v>
      </c>
      <c r="E402" s="250" t="s">
        <v>3499</v>
      </c>
      <c r="F402" s="250" t="s">
        <v>3566</v>
      </c>
      <c r="G402" t="s">
        <v>42</v>
      </c>
      <c r="H402" s="82" t="s">
        <v>42</v>
      </c>
      <c r="I402" s="265">
        <v>160199</v>
      </c>
      <c r="J402" s="425" t="str">
        <f>INDEX(aux!B:B,MATCH(I402,aux!A:A,0))</f>
        <v>Resíduos sem outras especificações</v>
      </c>
      <c r="K402" s="433" t="str">
        <f>INDEX(aux!C:C,MATCH(I402,aux!A:A,0))</f>
        <v>Não</v>
      </c>
      <c r="L402" s="437">
        <v>0.34</v>
      </c>
      <c r="M402" s="433" t="s">
        <v>1532</v>
      </c>
      <c r="N402" s="139">
        <f t="shared" si="25"/>
        <v>340</v>
      </c>
      <c r="O402" s="139" t="s">
        <v>507</v>
      </c>
      <c r="P402" s="231" t="str">
        <f t="shared" si="26"/>
        <v>Aterro</v>
      </c>
      <c r="Q402" s="231" t="s">
        <v>1901</v>
      </c>
      <c r="R402" s="231" t="s">
        <v>1892</v>
      </c>
      <c r="S402" s="114" t="str">
        <f>IFERROR(INDEX(Tabela3[Tipos de Tratamento],MATCH('A3.9.1 copy'!O342,Tabela3[Código],0)),"")</f>
        <v xml:space="preserve">Troca de resíduos com vista a submetê-los a uma das operações enumeradas de R 1 a R 11 </v>
      </c>
      <c r="T402" s="429" t="s">
        <v>1539</v>
      </c>
      <c r="U402" s="429" t="s">
        <v>1574</v>
      </c>
      <c r="V402" s="422"/>
    </row>
    <row r="403" spans="1:22" ht="15.75" thickBot="1" x14ac:dyDescent="0.3">
      <c r="A403" s="527" t="s">
        <v>4613</v>
      </c>
      <c r="B403" s="527" t="s">
        <v>4583</v>
      </c>
      <c r="C403" s="82" t="str">
        <f t="shared" si="24"/>
        <v>oficina VRSA</v>
      </c>
      <c r="D403">
        <v>2023</v>
      </c>
      <c r="E403" s="250" t="s">
        <v>3499</v>
      </c>
      <c r="F403" s="250" t="s">
        <v>3566</v>
      </c>
      <c r="G403" t="s">
        <v>42</v>
      </c>
      <c r="H403" s="82" t="s">
        <v>42</v>
      </c>
      <c r="I403" s="530">
        <v>160199</v>
      </c>
      <c r="J403" s="425" t="str">
        <f>INDEX(aux!B:B,MATCH(I403,aux!A:A,0))</f>
        <v>Resíduos sem outras especificações</v>
      </c>
      <c r="K403" s="433" t="str">
        <f>INDEX(aux!C:C,MATCH(I403,aux!A:A,0))</f>
        <v>Não</v>
      </c>
      <c r="L403" s="536">
        <v>0.17</v>
      </c>
      <c r="M403" s="534" t="s">
        <v>1532</v>
      </c>
      <c r="N403" s="139">
        <f t="shared" si="25"/>
        <v>170</v>
      </c>
      <c r="O403" s="540" t="s">
        <v>483</v>
      </c>
      <c r="P403" s="231" t="str">
        <f t="shared" si="26"/>
        <v>Reciclagem</v>
      </c>
      <c r="Q403" s="231" t="s">
        <v>1901</v>
      </c>
      <c r="R403" s="231" t="s">
        <v>1892</v>
      </c>
      <c r="S403" s="667" t="s">
        <v>1554</v>
      </c>
      <c r="T403" s="540" t="s">
        <v>1539</v>
      </c>
      <c r="U403" s="540" t="s">
        <v>1574</v>
      </c>
      <c r="V403" s="422"/>
    </row>
    <row r="404" spans="1:22" ht="15.75" thickBot="1" x14ac:dyDescent="0.3">
      <c r="A404" s="527" t="s">
        <v>4613</v>
      </c>
      <c r="B404" s="527" t="s">
        <v>4583</v>
      </c>
      <c r="C404" s="82" t="str">
        <f t="shared" si="24"/>
        <v>oficina VRSA</v>
      </c>
      <c r="D404">
        <v>2023</v>
      </c>
      <c r="E404" s="250" t="s">
        <v>3499</v>
      </c>
      <c r="F404" s="250" t="s">
        <v>3566</v>
      </c>
      <c r="G404" t="s">
        <v>42</v>
      </c>
      <c r="H404" s="82" t="s">
        <v>42</v>
      </c>
      <c r="I404" s="530">
        <v>130508</v>
      </c>
      <c r="J404" s="425" t="str">
        <f>INDEX(aux!B:B,MATCH(I404,aux!A:A,0))</f>
        <v>(*) Misturas de resíduos provenientes de desarenadores e de separadores óleo/água</v>
      </c>
      <c r="K404" s="433" t="str">
        <f>INDEX(aux!C:C,MATCH(I404,aux!A:A,0))</f>
        <v>Sim</v>
      </c>
      <c r="L404" s="536">
        <v>6.84</v>
      </c>
      <c r="M404" s="534" t="s">
        <v>1532</v>
      </c>
      <c r="N404" s="139">
        <f t="shared" si="25"/>
        <v>6840</v>
      </c>
      <c r="O404" s="540" t="s">
        <v>503</v>
      </c>
      <c r="P404" s="231" t="str">
        <f t="shared" si="26"/>
        <v>Aterro</v>
      </c>
      <c r="Q404" s="231" t="s">
        <v>1901</v>
      </c>
      <c r="R404" s="231" t="s">
        <v>1892</v>
      </c>
      <c r="S404" s="667" t="s">
        <v>1553</v>
      </c>
      <c r="T404" s="540" t="s">
        <v>1539</v>
      </c>
      <c r="U404" s="540" t="s">
        <v>1539</v>
      </c>
      <c r="V404" s="422"/>
    </row>
    <row r="405" spans="1:22" ht="15.75" thickBot="1" x14ac:dyDescent="0.3">
      <c r="A405" s="527" t="s">
        <v>4613</v>
      </c>
      <c r="B405" s="527" t="s">
        <v>4583</v>
      </c>
      <c r="C405" s="82" t="str">
        <f t="shared" si="24"/>
        <v>oficina VRSA</v>
      </c>
      <c r="D405">
        <v>2023</v>
      </c>
      <c r="E405" s="250" t="s">
        <v>3499</v>
      </c>
      <c r="F405" s="250" t="s">
        <v>3566</v>
      </c>
      <c r="G405" t="s">
        <v>42</v>
      </c>
      <c r="H405" s="82" t="s">
        <v>42</v>
      </c>
      <c r="I405" s="530">
        <v>150110</v>
      </c>
      <c r="J405" s="425" t="str">
        <f>INDEX(aux!B:B,MATCH(I405,aux!A:A,0))</f>
        <v>(*) Embalagens contendo ou contaminadas por resíduos de substâncias perigosas</v>
      </c>
      <c r="K405" s="433" t="str">
        <f>INDEX(aux!C:C,MATCH(I405,aux!A:A,0))</f>
        <v>Sim</v>
      </c>
      <c r="L405" s="536">
        <v>1.7999999999999999E-2</v>
      </c>
      <c r="M405" s="534" t="s">
        <v>1532</v>
      </c>
      <c r="N405" s="139">
        <f t="shared" si="25"/>
        <v>18</v>
      </c>
      <c r="O405" s="540" t="s">
        <v>484</v>
      </c>
      <c r="P405" s="231" t="str">
        <f t="shared" si="26"/>
        <v>Reciclagem</v>
      </c>
      <c r="Q405" s="231" t="s">
        <v>1901</v>
      </c>
      <c r="R405" s="231" t="s">
        <v>1892</v>
      </c>
      <c r="S405" s="667" t="s">
        <v>1553</v>
      </c>
      <c r="T405" s="540" t="s">
        <v>1539</v>
      </c>
      <c r="U405" s="540" t="s">
        <v>1574</v>
      </c>
      <c r="V405" s="422"/>
    </row>
    <row r="406" spans="1:22" ht="15.75" thickBot="1" x14ac:dyDescent="0.3">
      <c r="A406" s="527" t="s">
        <v>4613</v>
      </c>
      <c r="B406" s="527" t="s">
        <v>4583</v>
      </c>
      <c r="C406" s="82" t="str">
        <f t="shared" si="24"/>
        <v>oficina VRSA</v>
      </c>
      <c r="D406">
        <v>2023</v>
      </c>
      <c r="E406" s="250" t="s">
        <v>3499</v>
      </c>
      <c r="F406" s="250" t="s">
        <v>3566</v>
      </c>
      <c r="G406" t="s">
        <v>42</v>
      </c>
      <c r="H406" s="82" t="s">
        <v>42</v>
      </c>
      <c r="I406" s="530">
        <v>150203</v>
      </c>
      <c r="J406" s="425" t="str">
        <f>INDEX(aux!B:B,MATCH(I406,aux!A:A,0))</f>
        <v>Absorventes, materiais filtrantes, panos de limpeza e vestuário de proteção não abrangidos em 15 02 02</v>
      </c>
      <c r="K406" s="433" t="str">
        <f>INDEX(aux!C:C,MATCH(I406,aux!A:A,0))</f>
        <v>Não</v>
      </c>
      <c r="L406" s="536">
        <v>0.4</v>
      </c>
      <c r="M406" s="534" t="s">
        <v>1532</v>
      </c>
      <c r="N406" s="139">
        <f t="shared" si="25"/>
        <v>400</v>
      </c>
      <c r="O406" s="540" t="s">
        <v>509</v>
      </c>
      <c r="P406" s="231" t="str">
        <f t="shared" si="26"/>
        <v>Aterro</v>
      </c>
      <c r="Q406" s="231" t="s">
        <v>1901</v>
      </c>
      <c r="R406" s="231" t="s">
        <v>1892</v>
      </c>
      <c r="S406" s="667" t="s">
        <v>1553</v>
      </c>
      <c r="T406" s="540" t="s">
        <v>1539</v>
      </c>
      <c r="U406" s="540" t="s">
        <v>1574</v>
      </c>
      <c r="V406" s="422"/>
    </row>
    <row r="407" spans="1:22" ht="15.75" thickBot="1" x14ac:dyDescent="0.3">
      <c r="A407" s="527" t="s">
        <v>4613</v>
      </c>
      <c r="B407" s="527" t="s">
        <v>4583</v>
      </c>
      <c r="C407" s="82" t="str">
        <f t="shared" si="24"/>
        <v>oficina VRSA</v>
      </c>
      <c r="D407">
        <v>2023</v>
      </c>
      <c r="E407" s="250" t="s">
        <v>3499</v>
      </c>
      <c r="F407" s="250" t="s">
        <v>3566</v>
      </c>
      <c r="G407" t="s">
        <v>42</v>
      </c>
      <c r="H407" s="82" t="s">
        <v>42</v>
      </c>
      <c r="I407" s="530">
        <v>150202</v>
      </c>
      <c r="J407" s="425" t="str">
        <f>INDEX(aux!B:B,MATCH(I407,aux!A:A,0))</f>
        <v>(*) Absorventes, materiais filtrantes (incluindo filtros de óleo sem outras especificações), panos de limpeza e vestuário de proteção, contaminados por substâncias perigosas</v>
      </c>
      <c r="K407" s="433" t="str">
        <f>INDEX(aux!C:C,MATCH(I407,aux!A:A,0))</f>
        <v>Sim</v>
      </c>
      <c r="L407" s="536">
        <v>0.08</v>
      </c>
      <c r="M407" s="534" t="s">
        <v>1532</v>
      </c>
      <c r="N407" s="139">
        <f t="shared" si="25"/>
        <v>80</v>
      </c>
      <c r="O407" s="540" t="s">
        <v>483</v>
      </c>
      <c r="P407" s="231" t="str">
        <f t="shared" si="26"/>
        <v>Reciclagem</v>
      </c>
      <c r="Q407" s="231" t="s">
        <v>1901</v>
      </c>
      <c r="R407" s="231" t="s">
        <v>1892</v>
      </c>
      <c r="S407" s="667" t="s">
        <v>1556</v>
      </c>
      <c r="T407" s="540" t="s">
        <v>1539</v>
      </c>
      <c r="U407" s="540" t="s">
        <v>1574</v>
      </c>
      <c r="V407" s="422"/>
    </row>
    <row r="408" spans="1:22" ht="15.75" thickBot="1" x14ac:dyDescent="0.3">
      <c r="A408" s="527" t="s">
        <v>4613</v>
      </c>
      <c r="B408" s="527" t="s">
        <v>4583</v>
      </c>
      <c r="C408" s="82" t="str">
        <f t="shared" si="24"/>
        <v>oficina VRSA</v>
      </c>
      <c r="D408">
        <v>2023</v>
      </c>
      <c r="E408" s="250" t="s">
        <v>3499</v>
      </c>
      <c r="F408" s="250" t="s">
        <v>3566</v>
      </c>
      <c r="G408" t="s">
        <v>42</v>
      </c>
      <c r="H408" s="82" t="s">
        <v>42</v>
      </c>
      <c r="I408" s="530">
        <v>160107</v>
      </c>
      <c r="J408" s="425" t="str">
        <f>INDEX(aux!B:B,MATCH(I408,aux!A:A,0))</f>
        <v>(*) Filtros de óleo</v>
      </c>
      <c r="K408" s="433" t="str">
        <f>INDEX(aux!C:C,MATCH(I408,aux!A:A,0))</f>
        <v>Sim</v>
      </c>
      <c r="L408" s="536">
        <v>0.20799999999999999</v>
      </c>
      <c r="M408" s="534" t="s">
        <v>1532</v>
      </c>
      <c r="N408" s="139">
        <f t="shared" si="25"/>
        <v>208</v>
      </c>
      <c r="O408" s="540" t="s">
        <v>483</v>
      </c>
      <c r="P408" s="231" t="str">
        <f t="shared" si="26"/>
        <v>Reciclagem</v>
      </c>
      <c r="Q408" s="231" t="s">
        <v>1901</v>
      </c>
      <c r="R408" s="231" t="s">
        <v>1892</v>
      </c>
      <c r="S408" s="667" t="s">
        <v>485</v>
      </c>
      <c r="T408" s="540" t="s">
        <v>1539</v>
      </c>
      <c r="U408" s="540" t="s">
        <v>1574</v>
      </c>
      <c r="V408" s="93"/>
    </row>
    <row r="409" spans="1:22" ht="15.75" hidden="1" thickBot="1" x14ac:dyDescent="0.3">
      <c r="A409" s="527" t="s">
        <v>4601</v>
      </c>
      <c r="B409" s="527" t="s">
        <v>4601</v>
      </c>
      <c r="C409" s="82" t="s">
        <v>3807</v>
      </c>
      <c r="D409">
        <v>2022</v>
      </c>
      <c r="E409" s="250" t="s">
        <v>3499</v>
      </c>
      <c r="F409" s="250" t="s">
        <v>3566</v>
      </c>
      <c r="G409" t="s">
        <v>42</v>
      </c>
      <c r="H409" s="82" t="s">
        <v>42</v>
      </c>
      <c r="I409" s="533">
        <v>200138</v>
      </c>
      <c r="J409" s="425" t="str">
        <f>INDEX(aux!B:B,MATCH(I409,aux!A:A,0))</f>
        <v>Madeira não abrangida em 20 01 37</v>
      </c>
      <c r="K409" s="433" t="str">
        <f>INDEX(aux!C:C,MATCH(I409,aux!A:A,0))</f>
        <v>Não</v>
      </c>
      <c r="L409" s="139">
        <v>2100</v>
      </c>
      <c r="M409" s="433" t="s">
        <v>557</v>
      </c>
      <c r="N409" s="139">
        <f t="shared" si="25"/>
        <v>2100</v>
      </c>
      <c r="O409" s="139" t="s">
        <v>483</v>
      </c>
      <c r="P409" s="231" t="str">
        <f t="shared" si="26"/>
        <v>Reciclagem</v>
      </c>
      <c r="Q409" s="231" t="s">
        <v>1905</v>
      </c>
      <c r="R409" s="231" t="s">
        <v>1903</v>
      </c>
      <c r="S409" s="114" t="str">
        <f>IFERROR(INDEX(Tabela3[Tipos de Tratamento],MATCH('A3.9.1 copy'!O565,Tabela3[Código],0)),"")</f>
        <v>Armazenagem enquanto se aguarda a execução de uma das operações enumeradas de D1 a D14</v>
      </c>
      <c r="T409" s="429" t="s">
        <v>3846</v>
      </c>
      <c r="U409" s="429" t="s">
        <v>3847</v>
      </c>
      <c r="V409" s="93"/>
    </row>
    <row r="410" spans="1:22" ht="15.75" hidden="1" thickBot="1" x14ac:dyDescent="0.3">
      <c r="A410" s="527" t="s">
        <v>4601</v>
      </c>
      <c r="B410" s="527" t="s">
        <v>4601</v>
      </c>
      <c r="C410" s="82" t="s">
        <v>3807</v>
      </c>
      <c r="D410">
        <v>2022</v>
      </c>
      <c r="E410" s="250" t="s">
        <v>3499</v>
      </c>
      <c r="F410" s="250" t="s">
        <v>3566</v>
      </c>
      <c r="G410" t="s">
        <v>42</v>
      </c>
      <c r="H410" s="82" t="s">
        <v>42</v>
      </c>
      <c r="I410" s="533">
        <v>160117</v>
      </c>
      <c r="J410" s="425" t="str">
        <f>INDEX(aux!B:B,MATCH(I410,aux!A:A,0))</f>
        <v>Metais ferrosos</v>
      </c>
      <c r="K410" s="433" t="str">
        <f>INDEX(aux!C:C,MATCH(I410,aux!A:A,0))</f>
        <v>Não</v>
      </c>
      <c r="L410" s="139">
        <v>298</v>
      </c>
      <c r="M410" s="433" t="s">
        <v>557</v>
      </c>
      <c r="N410" s="139">
        <f t="shared" si="25"/>
        <v>298</v>
      </c>
      <c r="O410" s="139" t="s">
        <v>483</v>
      </c>
      <c r="P410" s="231" t="str">
        <f t="shared" si="26"/>
        <v>Reciclagem</v>
      </c>
      <c r="Q410" s="231" t="s">
        <v>1557</v>
      </c>
      <c r="R410" s="231" t="s">
        <v>1903</v>
      </c>
      <c r="S410" s="114" t="str">
        <f>IFERROR(INDEX(Tabela3[Tipos de Tratamento],MATCH('A3.9.1 copy'!O552,Tabela3[Código],0)),"")</f>
        <v>Acumulação de resíduos destinados a uma das operações enumeradas de R1 a R12</v>
      </c>
      <c r="T410" s="429" t="s">
        <v>3837</v>
      </c>
      <c r="U410" s="429" t="s">
        <v>3842</v>
      </c>
      <c r="V410" s="93"/>
    </row>
    <row r="411" spans="1:22" ht="15.75" hidden="1" thickBot="1" x14ac:dyDescent="0.3">
      <c r="A411" s="527" t="s">
        <v>4601</v>
      </c>
      <c r="B411" s="527" t="s">
        <v>4601</v>
      </c>
      <c r="C411" s="82" t="s">
        <v>3827</v>
      </c>
      <c r="D411">
        <v>2022</v>
      </c>
      <c r="E411" s="250" t="s">
        <v>3499</v>
      </c>
      <c r="F411" s="250" t="s">
        <v>3566</v>
      </c>
      <c r="G411" t="s">
        <v>42</v>
      </c>
      <c r="H411" s="82" t="s">
        <v>42</v>
      </c>
      <c r="I411" s="533">
        <v>160117</v>
      </c>
      <c r="J411" s="425" t="str">
        <f>INDEX(aux!B:B,MATCH(I411,aux!A:A,0))</f>
        <v>Metais ferrosos</v>
      </c>
      <c r="K411" s="433" t="str">
        <f>INDEX(aux!C:C,MATCH(I411,aux!A:A,0))</f>
        <v>Não</v>
      </c>
      <c r="L411" s="139">
        <v>2180</v>
      </c>
      <c r="M411" s="433" t="s">
        <v>557</v>
      </c>
      <c r="N411" s="139">
        <f t="shared" si="25"/>
        <v>2180</v>
      </c>
      <c r="O411" s="139" t="s">
        <v>483</v>
      </c>
      <c r="P411" s="231" t="str">
        <f t="shared" si="26"/>
        <v>Reciclagem</v>
      </c>
      <c r="Q411" s="231" t="s">
        <v>1557</v>
      </c>
      <c r="R411" s="231" t="s">
        <v>1903</v>
      </c>
      <c r="S411" s="114" t="str">
        <f>IFERROR(INDEX(Tabela3[Tipos de Tratamento],MATCH('A3.9.1 copy'!O553,Tabela3[Código],0)),"")</f>
        <v>Acumulação de resíduos destinados a uma das operações enumeradas de R1 a R12</v>
      </c>
      <c r="T411" s="429" t="s">
        <v>3837</v>
      </c>
      <c r="U411" s="429" t="s">
        <v>3842</v>
      </c>
      <c r="V411" s="93"/>
    </row>
    <row r="412" spans="1:22" ht="15.75" hidden="1" thickBot="1" x14ac:dyDescent="0.3">
      <c r="A412" s="527" t="s">
        <v>4601</v>
      </c>
      <c r="B412" s="527" t="s">
        <v>4601</v>
      </c>
      <c r="C412" s="82" t="s">
        <v>3807</v>
      </c>
      <c r="D412">
        <v>2022</v>
      </c>
      <c r="E412" s="250" t="s">
        <v>3499</v>
      </c>
      <c r="F412" s="250" t="s">
        <v>3566</v>
      </c>
      <c r="G412" t="s">
        <v>42</v>
      </c>
      <c r="H412" s="82" t="s">
        <v>42</v>
      </c>
      <c r="I412" s="533">
        <v>150111</v>
      </c>
      <c r="J412" s="425" t="str">
        <f>INDEX(aux!B:B,MATCH(I412,aux!A:A,0))</f>
        <v>(*) Embalagens de metal, incluindo recipientes vazios sob pressão, contendo uma matriz porosa sólida perigosa (por exemplo, amianto)</v>
      </c>
      <c r="K412" s="433" t="str">
        <f>INDEX(aux!C:C,MATCH(I412,aux!A:A,0))</f>
        <v>Sim</v>
      </c>
      <c r="L412" s="139">
        <v>149</v>
      </c>
      <c r="M412" s="433" t="s">
        <v>557</v>
      </c>
      <c r="N412" s="139">
        <f t="shared" si="25"/>
        <v>149</v>
      </c>
      <c r="O412" s="139" t="s">
        <v>483</v>
      </c>
      <c r="P412" s="231" t="str">
        <f t="shared" si="26"/>
        <v>Reciclagem</v>
      </c>
      <c r="Q412" s="231" t="s">
        <v>1906</v>
      </c>
      <c r="R412" s="231" t="s">
        <v>1903</v>
      </c>
      <c r="S412" s="114" t="str">
        <f>IFERROR(INDEX(Tabela3[Tipos de Tratamento],MATCH('A3.9.1 copy'!O548,Tabela3[Código],0)),"")</f>
        <v>Armazenagem enquanto se aguarda a execução de uma das operações enumeradas de D1 a D14</v>
      </c>
      <c r="T412" s="429" t="s">
        <v>3837</v>
      </c>
      <c r="U412" s="429" t="s">
        <v>3840</v>
      </c>
      <c r="V412" s="422"/>
    </row>
    <row r="413" spans="1:22" ht="15.75" hidden="1" thickBot="1" x14ac:dyDescent="0.3">
      <c r="A413" s="527" t="s">
        <v>4601</v>
      </c>
      <c r="B413" s="527" t="s">
        <v>4601</v>
      </c>
      <c r="C413" s="82" t="s">
        <v>3807</v>
      </c>
      <c r="D413">
        <v>2022</v>
      </c>
      <c r="E413" s="250" t="s">
        <v>3499</v>
      </c>
      <c r="F413" s="250" t="s">
        <v>3566</v>
      </c>
      <c r="G413" t="s">
        <v>42</v>
      </c>
      <c r="H413" s="82" t="s">
        <v>42</v>
      </c>
      <c r="I413" s="533">
        <v>160118</v>
      </c>
      <c r="J413" s="425" t="str">
        <f>INDEX(aux!B:B,MATCH(I413,aux!A:A,0))</f>
        <v>Metais não ferrosos</v>
      </c>
      <c r="K413" s="433" t="str">
        <f>INDEX(aux!C:C,MATCH(I413,aux!A:A,0))</f>
        <v>Não</v>
      </c>
      <c r="L413" s="139">
        <v>159</v>
      </c>
      <c r="M413" s="433" t="s">
        <v>557</v>
      </c>
      <c r="N413" s="139">
        <f t="shared" si="25"/>
        <v>159</v>
      </c>
      <c r="O413" s="139" t="s">
        <v>483</v>
      </c>
      <c r="P413" s="231" t="str">
        <f t="shared" si="26"/>
        <v>Reciclagem</v>
      </c>
      <c r="Q413" s="231" t="s">
        <v>1906</v>
      </c>
      <c r="R413" s="231" t="s">
        <v>1903</v>
      </c>
      <c r="S413" s="114" t="str">
        <f>IFERROR(INDEX(Tabela3[Tipos de Tratamento],MATCH('A3.9.1 copy'!O554,Tabela3[Código],0)),"")</f>
        <v>Armazenagem enquanto se aguarda a execução de uma das operações enumeradas de D1 a D14</v>
      </c>
      <c r="T413" s="429" t="s">
        <v>3837</v>
      </c>
      <c r="U413" s="429" t="s">
        <v>3840</v>
      </c>
      <c r="V413" s="422"/>
    </row>
    <row r="414" spans="1:22" ht="15.75" hidden="1" thickBot="1" x14ac:dyDescent="0.3">
      <c r="A414" s="527" t="s">
        <v>4601</v>
      </c>
      <c r="B414" s="527" t="s">
        <v>4601</v>
      </c>
      <c r="C414" s="82" t="s">
        <v>3827</v>
      </c>
      <c r="D414">
        <v>2022</v>
      </c>
      <c r="E414" s="250" t="s">
        <v>3499</v>
      </c>
      <c r="F414" s="250" t="s">
        <v>3566</v>
      </c>
      <c r="G414" t="s">
        <v>42</v>
      </c>
      <c r="H414" s="82" t="s">
        <v>42</v>
      </c>
      <c r="I414" s="533">
        <v>160118</v>
      </c>
      <c r="J414" s="425" t="str">
        <f>INDEX(aux!B:B,MATCH(I414,aux!A:A,0))</f>
        <v>Metais não ferrosos</v>
      </c>
      <c r="K414" s="433" t="str">
        <f>INDEX(aux!C:C,MATCH(I414,aux!A:A,0))</f>
        <v>Não</v>
      </c>
      <c r="L414" s="139">
        <v>1000</v>
      </c>
      <c r="M414" s="433" t="s">
        <v>557</v>
      </c>
      <c r="N414" s="139">
        <f t="shared" si="25"/>
        <v>1000</v>
      </c>
      <c r="O414" s="139" t="s">
        <v>483</v>
      </c>
      <c r="P414" s="231" t="str">
        <f t="shared" si="26"/>
        <v>Reciclagem</v>
      </c>
      <c r="Q414" s="231" t="s">
        <v>1906</v>
      </c>
      <c r="R414" s="231" t="s">
        <v>1903</v>
      </c>
      <c r="S414" s="114" t="str">
        <f>IFERROR(INDEX(Tabela3[Tipos de Tratamento],MATCH('A3.9.1 copy'!O555,Tabela3[Código],0)),"")</f>
        <v xml:space="preserve">Troca de resíduos com vista a submetê-los a uma das operações enumeradas de R 1 a R 11 </v>
      </c>
      <c r="T414" s="429" t="s">
        <v>3843</v>
      </c>
      <c r="U414" s="429" t="s">
        <v>3843</v>
      </c>
      <c r="V414" s="422"/>
    </row>
    <row r="415" spans="1:22" ht="15.75" hidden="1" thickBot="1" x14ac:dyDescent="0.3">
      <c r="A415" s="527" t="s">
        <v>4601</v>
      </c>
      <c r="B415" s="527" t="s">
        <v>4601</v>
      </c>
      <c r="C415" s="82" t="s">
        <v>3807</v>
      </c>
      <c r="D415">
        <v>2022</v>
      </c>
      <c r="E415" s="250" t="s">
        <v>3499</v>
      </c>
      <c r="F415" s="250" t="s">
        <v>3566</v>
      </c>
      <c r="G415" t="s">
        <v>42</v>
      </c>
      <c r="H415" s="82" t="s">
        <v>42</v>
      </c>
      <c r="I415" s="533">
        <v>200140</v>
      </c>
      <c r="J415" s="425" t="str">
        <f>INDEX(aux!B:B,MATCH(I415,aux!A:A,0))</f>
        <v>Metais</v>
      </c>
      <c r="K415" s="433" t="str">
        <f>INDEX(aux!C:C,MATCH(I415,aux!A:A,0))</f>
        <v>Não</v>
      </c>
      <c r="L415" s="139">
        <v>22080</v>
      </c>
      <c r="M415" s="433" t="s">
        <v>557</v>
      </c>
      <c r="N415" s="139">
        <f t="shared" si="25"/>
        <v>22080</v>
      </c>
      <c r="O415" s="139" t="s">
        <v>483</v>
      </c>
      <c r="P415" s="231" t="str">
        <f t="shared" si="26"/>
        <v>Reciclagem</v>
      </c>
      <c r="Q415" s="231" t="s">
        <v>1906</v>
      </c>
      <c r="R415" s="231" t="s">
        <v>1903</v>
      </c>
      <c r="S415" s="114" t="str">
        <f>IFERROR(INDEX(Tabela3[Tipos de Tratamento],MATCH('A3.9.1 copy'!O566,Tabela3[Código],0)),"")</f>
        <v>Armazenagem enquanto se aguarda a execução de uma das operações enumeradas de D1 a D14</v>
      </c>
      <c r="T415" s="429" t="s">
        <v>3843</v>
      </c>
      <c r="U415" s="429" t="s">
        <v>3843</v>
      </c>
      <c r="V415" s="93"/>
    </row>
    <row r="416" spans="1:22" ht="15.75" hidden="1" thickBot="1" x14ac:dyDescent="0.3">
      <c r="A416" s="527" t="s">
        <v>4601</v>
      </c>
      <c r="B416" s="527" t="s">
        <v>4601</v>
      </c>
      <c r="C416" s="82" t="s">
        <v>3807</v>
      </c>
      <c r="D416">
        <v>2022</v>
      </c>
      <c r="E416" s="250" t="s">
        <v>3499</v>
      </c>
      <c r="F416" s="250" t="s">
        <v>3566</v>
      </c>
      <c r="G416" t="s">
        <v>42</v>
      </c>
      <c r="H416" s="82" t="s">
        <v>42</v>
      </c>
      <c r="I416" s="533">
        <v>130208</v>
      </c>
      <c r="J416" s="425" t="str">
        <f>INDEX(aux!B:B,MATCH(I416,aux!A:A,0))</f>
        <v>(*) Outros óleos de motores, transmissões e lubrificação</v>
      </c>
      <c r="K416" s="433" t="str">
        <f>INDEX(aux!C:C,MATCH(I416,aux!A:A,0))</f>
        <v>Sim</v>
      </c>
      <c r="L416" s="139">
        <v>2529</v>
      </c>
      <c r="M416" s="433" t="s">
        <v>557</v>
      </c>
      <c r="N416" s="139">
        <f t="shared" si="25"/>
        <v>2529</v>
      </c>
      <c r="O416" s="139" t="s">
        <v>483</v>
      </c>
      <c r="P416" s="231" t="str">
        <f t="shared" si="26"/>
        <v>Reciclagem</v>
      </c>
      <c r="Q416" s="231" t="s">
        <v>1902</v>
      </c>
      <c r="R416" s="231" t="s">
        <v>1877</v>
      </c>
      <c r="S416" s="114" t="str">
        <f>IFERROR(INDEX(Tabela3[Tipos de Tratamento],MATCH('A3.9.1 copy'!O545,Tabela3[Código],0)),"")</f>
        <v>Acumulação de resíduos destinados a uma das operações enumeradas de R1 a R12</v>
      </c>
      <c r="T416" s="429" t="s">
        <v>3837</v>
      </c>
      <c r="U416" s="429" t="s">
        <v>3838</v>
      </c>
      <c r="V416" s="93"/>
    </row>
    <row r="417" spans="1:22" ht="15.75" hidden="1" thickBot="1" x14ac:dyDescent="0.3">
      <c r="A417" s="527" t="s">
        <v>4601</v>
      </c>
      <c r="B417" s="527" t="s">
        <v>4601</v>
      </c>
      <c r="C417" s="82" t="s">
        <v>3807</v>
      </c>
      <c r="D417">
        <v>2022</v>
      </c>
      <c r="E417" s="250" t="s">
        <v>3499</v>
      </c>
      <c r="F417" s="250" t="s">
        <v>3566</v>
      </c>
      <c r="G417" t="s">
        <v>42</v>
      </c>
      <c r="H417" s="82" t="s">
        <v>42</v>
      </c>
      <c r="I417" s="533">
        <v>130502</v>
      </c>
      <c r="J417" s="425" t="str">
        <f>INDEX(aux!B:B,MATCH(I417,aux!A:A,0))</f>
        <v>(*) Lamas provenientes dos separadores óleo/água</v>
      </c>
      <c r="K417" s="433" t="str">
        <f>INDEX(aux!C:C,MATCH(I417,aux!A:A,0))</f>
        <v>Sim</v>
      </c>
      <c r="L417" s="139">
        <v>1112</v>
      </c>
      <c r="M417" s="433" t="s">
        <v>557</v>
      </c>
      <c r="N417" s="139">
        <f t="shared" si="25"/>
        <v>1112</v>
      </c>
      <c r="O417" s="139" t="s">
        <v>503</v>
      </c>
      <c r="P417" s="231" t="str">
        <f t="shared" si="26"/>
        <v>Aterro</v>
      </c>
      <c r="Q417" s="231" t="s">
        <v>1901</v>
      </c>
      <c r="R417" s="231" t="s">
        <v>1892</v>
      </c>
      <c r="S417" s="114" t="str">
        <f>IFERROR(INDEX(Tabela3[Tipos de Tratamento],MATCH('A3.9.1 copy'!O546,Tabela3[Código],0)),"")</f>
        <v xml:space="preserve">Troca de resíduos com vista a submetê-los a uma das operações enumeradas de R 1 a R 11 </v>
      </c>
      <c r="T417" s="429" t="s">
        <v>3837</v>
      </c>
      <c r="U417" s="429" t="s">
        <v>3837</v>
      </c>
      <c r="V417" s="93"/>
    </row>
    <row r="418" spans="1:22" ht="15.75" hidden="1" thickBot="1" x14ac:dyDescent="0.3">
      <c r="A418" s="527" t="s">
        <v>4601</v>
      </c>
      <c r="B418" s="527" t="s">
        <v>4601</v>
      </c>
      <c r="C418" s="82" t="s">
        <v>3807</v>
      </c>
      <c r="D418">
        <v>2022</v>
      </c>
      <c r="E418" s="250" t="s">
        <v>3499</v>
      </c>
      <c r="F418" s="250" t="s">
        <v>3566</v>
      </c>
      <c r="G418" t="s">
        <v>42</v>
      </c>
      <c r="H418" s="82" t="s">
        <v>42</v>
      </c>
      <c r="I418" s="533">
        <v>130507</v>
      </c>
      <c r="J418" s="425" t="str">
        <f>INDEX(aux!B:B,MATCH(I418,aux!A:A,0))</f>
        <v>(*) Água com óleo proveniente dos separadores óleo/água</v>
      </c>
      <c r="K418" s="433" t="str">
        <f>INDEX(aux!C:C,MATCH(I418,aux!A:A,0))</f>
        <v>Sim</v>
      </c>
      <c r="L418" s="139">
        <v>4920</v>
      </c>
      <c r="M418" s="433" t="s">
        <v>557</v>
      </c>
      <c r="N418" s="139">
        <f t="shared" si="25"/>
        <v>4920</v>
      </c>
      <c r="O418" s="139" t="s">
        <v>503</v>
      </c>
      <c r="P418" s="231" t="str">
        <f t="shared" si="26"/>
        <v>Aterro</v>
      </c>
      <c r="Q418" s="231" t="s">
        <v>1901</v>
      </c>
      <c r="R418" s="231" t="s">
        <v>1892</v>
      </c>
      <c r="S418" s="114" t="str">
        <f>IFERROR(INDEX(Tabela3[Tipos de Tratamento],MATCH('A3.9.1 copy'!O547,Tabela3[Código],0)),"")</f>
        <v xml:space="preserve">Troca de resíduos com vista a submetê-los a uma das operações enumeradas de R 1 a R 11 </v>
      </c>
      <c r="T418" s="429" t="s">
        <v>3837</v>
      </c>
      <c r="U418" s="429" t="s">
        <v>3839</v>
      </c>
      <c r="V418" s="93"/>
    </row>
    <row r="419" spans="1:22" ht="15.75" hidden="1" thickBot="1" x14ac:dyDescent="0.3">
      <c r="A419" s="527" t="s">
        <v>4601</v>
      </c>
      <c r="B419" s="527" t="s">
        <v>4601</v>
      </c>
      <c r="C419" s="82" t="s">
        <v>3807</v>
      </c>
      <c r="D419">
        <v>2022</v>
      </c>
      <c r="E419" s="250" t="s">
        <v>3499</v>
      </c>
      <c r="F419" s="250" t="s">
        <v>3566</v>
      </c>
      <c r="G419" t="s">
        <v>42</v>
      </c>
      <c r="H419" s="82" t="s">
        <v>42</v>
      </c>
      <c r="I419" s="533">
        <v>150202</v>
      </c>
      <c r="J419" s="425" t="str">
        <f>INDEX(aux!B:B,MATCH(I419,aux!A:A,0))</f>
        <v>(*) Absorventes, materiais filtrantes (incluindo filtros de óleo sem outras especificações), panos de limpeza e vestuário de proteção, contaminados por substâncias perigosas</v>
      </c>
      <c r="K419" s="433" t="str">
        <f>INDEX(aux!C:C,MATCH(I419,aux!A:A,0))</f>
        <v>Sim</v>
      </c>
      <c r="L419" s="139">
        <v>570</v>
      </c>
      <c r="M419" s="433" t="s">
        <v>557</v>
      </c>
      <c r="N419" s="139">
        <f t="shared" si="25"/>
        <v>570</v>
      </c>
      <c r="O419" s="139" t="s">
        <v>483</v>
      </c>
      <c r="P419" s="231" t="str">
        <f t="shared" si="26"/>
        <v>Reciclagem</v>
      </c>
      <c r="Q419" s="231" t="s">
        <v>1901</v>
      </c>
      <c r="R419" s="231" t="s">
        <v>1892</v>
      </c>
      <c r="S419" s="114" t="str">
        <f>IFERROR(INDEX(Tabela3[Tipos de Tratamento],MATCH('A3.9.1 copy'!O549,Tabela3[Código],0)),"")</f>
        <v>Acumulação de resíduos destinados a uma das operações enumeradas de R1 a R12</v>
      </c>
      <c r="T419" s="429" t="s">
        <v>3837</v>
      </c>
      <c r="U419" s="429" t="s">
        <v>3840</v>
      </c>
      <c r="V419" s="422"/>
    </row>
    <row r="420" spans="1:22" ht="15.75" hidden="1" thickBot="1" x14ac:dyDescent="0.3">
      <c r="A420" s="527" t="s">
        <v>4601</v>
      </c>
      <c r="B420" s="527" t="s">
        <v>4601</v>
      </c>
      <c r="C420" s="82" t="s">
        <v>3807</v>
      </c>
      <c r="D420">
        <v>2022</v>
      </c>
      <c r="E420" s="250" t="s">
        <v>3499</v>
      </c>
      <c r="F420" s="250" t="s">
        <v>3566</v>
      </c>
      <c r="G420" t="s">
        <v>42</v>
      </c>
      <c r="H420" s="82" t="s">
        <v>42</v>
      </c>
      <c r="I420" s="533">
        <v>150203</v>
      </c>
      <c r="J420" s="425" t="str">
        <f>INDEX(aux!B:B,MATCH(I420,aux!A:A,0))</f>
        <v>Absorventes, materiais filtrantes, panos de limpeza e vestuário de proteção não abrangidos em 15 02 02</v>
      </c>
      <c r="K420" s="433" t="str">
        <f>INDEX(aux!C:C,MATCH(I420,aux!A:A,0))</f>
        <v>Não</v>
      </c>
      <c r="L420" s="139">
        <v>39</v>
      </c>
      <c r="M420" s="433" t="s">
        <v>557</v>
      </c>
      <c r="N420" s="139">
        <f t="shared" si="25"/>
        <v>39</v>
      </c>
      <c r="O420" s="139" t="s">
        <v>507</v>
      </c>
      <c r="P420" s="231" t="str">
        <f t="shared" si="26"/>
        <v>Aterro</v>
      </c>
      <c r="Q420" s="231" t="s">
        <v>1901</v>
      </c>
      <c r="R420" s="231" t="s">
        <v>1892</v>
      </c>
      <c r="S420" s="114" t="str">
        <f>IFERROR(INDEX(Tabela3[Tipos de Tratamento],MATCH('A3.9.1 copy'!O550,Tabela3[Código],0)),"")</f>
        <v>Acumulação de resíduos destinados a uma das operações enumeradas de R1 a R12</v>
      </c>
      <c r="T420" s="429" t="s">
        <v>3837</v>
      </c>
      <c r="U420" s="429" t="s">
        <v>3837</v>
      </c>
      <c r="V420" s="422"/>
    </row>
    <row r="421" spans="1:22" ht="15.75" hidden="1" thickBot="1" x14ac:dyDescent="0.3">
      <c r="A421" s="527" t="s">
        <v>4601</v>
      </c>
      <c r="B421" s="527" t="s">
        <v>4601</v>
      </c>
      <c r="C421" s="82" t="s">
        <v>3807</v>
      </c>
      <c r="D421">
        <v>2022</v>
      </c>
      <c r="E421" s="250" t="s">
        <v>3499</v>
      </c>
      <c r="F421" s="250" t="s">
        <v>3566</v>
      </c>
      <c r="G421" t="s">
        <v>42</v>
      </c>
      <c r="H421" s="82" t="s">
        <v>42</v>
      </c>
      <c r="I421" s="533">
        <v>160107</v>
      </c>
      <c r="J421" s="425" t="str">
        <f>INDEX(aux!B:B,MATCH(I421,aux!A:A,0))</f>
        <v>(*) Filtros de óleo</v>
      </c>
      <c r="K421" s="433" t="str">
        <f>INDEX(aux!C:C,MATCH(I421,aux!A:A,0))</f>
        <v>Sim</v>
      </c>
      <c r="L421" s="139">
        <v>34</v>
      </c>
      <c r="M421" s="433" t="s">
        <v>557</v>
      </c>
      <c r="N421" s="139">
        <f t="shared" si="25"/>
        <v>34</v>
      </c>
      <c r="O421" s="139" t="s">
        <v>483</v>
      </c>
      <c r="P421" s="231" t="str">
        <f t="shared" si="26"/>
        <v>Reciclagem</v>
      </c>
      <c r="Q421" s="231" t="s">
        <v>1901</v>
      </c>
      <c r="R421" s="231" t="s">
        <v>1892</v>
      </c>
      <c r="S421" s="114" t="str">
        <f>IFERROR(INDEX(Tabela3[Tipos de Tratamento],MATCH('A3.9.1 copy'!O551,Tabela3[Código],0)),"")</f>
        <v>Acumulação de resíduos destinados a uma das operações enumeradas de R1 a R12</v>
      </c>
      <c r="T421" s="429" t="s">
        <v>3837</v>
      </c>
      <c r="U421" s="429" t="s">
        <v>3841</v>
      </c>
      <c r="V421" s="422"/>
    </row>
    <row r="422" spans="1:22" ht="15.75" hidden="1" thickBot="1" x14ac:dyDescent="0.3">
      <c r="A422" s="527" t="s">
        <v>4601</v>
      </c>
      <c r="B422" s="527" t="s">
        <v>4601</v>
      </c>
      <c r="C422" s="82" t="s">
        <v>3807</v>
      </c>
      <c r="D422">
        <v>2022</v>
      </c>
      <c r="E422" s="250" t="s">
        <v>3499</v>
      </c>
      <c r="F422" s="250" t="s">
        <v>3566</v>
      </c>
      <c r="G422" t="s">
        <v>42</v>
      </c>
      <c r="H422" s="82" t="s">
        <v>42</v>
      </c>
      <c r="I422" s="533">
        <v>160121</v>
      </c>
      <c r="J422" s="425" t="str">
        <f>INDEX(aux!B:B,MATCH(I422,aux!A:A,0))</f>
        <v>(*) Componentes perigosos não abrangidos em 16 01 07 a 16 01 11, 16 01 13 e 16 01 14</v>
      </c>
      <c r="K422" s="433" t="str">
        <f>INDEX(aux!C:C,MATCH(I422,aux!A:A,0))</f>
        <v>Sim</v>
      </c>
      <c r="L422" s="139">
        <v>194</v>
      </c>
      <c r="M422" s="433" t="s">
        <v>557</v>
      </c>
      <c r="N422" s="139">
        <f t="shared" si="25"/>
        <v>194</v>
      </c>
      <c r="O422" s="139" t="s">
        <v>507</v>
      </c>
      <c r="P422" s="231" t="str">
        <f t="shared" si="26"/>
        <v>Aterro</v>
      </c>
      <c r="Q422" s="231" t="s">
        <v>1901</v>
      </c>
      <c r="R422" s="231" t="s">
        <v>1892</v>
      </c>
      <c r="S422" s="114" t="str">
        <f>IFERROR(INDEX(Tabela3[Tipos de Tratamento],MATCH('A3.9.1 copy'!O556,Tabela3[Código],0)),"")</f>
        <v>Armazenagem enquanto se aguarda a execução de uma das operações enumeradas de D1 a D14</v>
      </c>
      <c r="T422" s="429" t="s">
        <v>3837</v>
      </c>
      <c r="U422" s="429" t="s">
        <v>3837</v>
      </c>
      <c r="V422" s="422"/>
    </row>
    <row r="423" spans="1:22" ht="15.75" hidden="1" thickBot="1" x14ac:dyDescent="0.3">
      <c r="A423" s="527" t="s">
        <v>4601</v>
      </c>
      <c r="B423" s="527" t="s">
        <v>4601</v>
      </c>
      <c r="C423" s="82" t="s">
        <v>3807</v>
      </c>
      <c r="D423">
        <v>2022</v>
      </c>
      <c r="E423" s="250" t="s">
        <v>3499</v>
      </c>
      <c r="F423" s="250" t="s">
        <v>3566</v>
      </c>
      <c r="G423" t="s">
        <v>42</v>
      </c>
      <c r="H423" s="82" t="s">
        <v>42</v>
      </c>
      <c r="I423" s="533">
        <v>160199</v>
      </c>
      <c r="J423" s="425" t="str">
        <f>INDEX(aux!B:B,MATCH(I423,aux!A:A,0))</f>
        <v>Resíduos sem outras especificações</v>
      </c>
      <c r="K423" s="433" t="str">
        <f>INDEX(aux!C:C,MATCH(I423,aux!A:A,0))</f>
        <v>Não</v>
      </c>
      <c r="L423" s="139">
        <v>3520</v>
      </c>
      <c r="M423" s="433" t="s">
        <v>557</v>
      </c>
      <c r="N423" s="139">
        <f t="shared" si="25"/>
        <v>3520</v>
      </c>
      <c r="O423" s="139" t="s">
        <v>507</v>
      </c>
      <c r="P423" s="231" t="str">
        <f t="shared" si="26"/>
        <v>Aterro</v>
      </c>
      <c r="Q423" s="231" t="s">
        <v>1901</v>
      </c>
      <c r="R423" s="231" t="s">
        <v>1892</v>
      </c>
      <c r="S423" s="114" t="str">
        <f>IFERROR(INDEX(Tabela3[Tipos de Tratamento],MATCH('A3.9.1 copy'!O559,Tabela3[Código],0)),"")</f>
        <v xml:space="preserve">Regeneração de óleos e outras reutilizações de óleos </v>
      </c>
      <c r="T423" s="429" t="s">
        <v>3837</v>
      </c>
      <c r="U423" s="429" t="s">
        <v>3837</v>
      </c>
      <c r="V423" s="422"/>
    </row>
    <row r="424" spans="1:22" ht="15.75" hidden="1" thickBot="1" x14ac:dyDescent="0.3">
      <c r="A424" s="527" t="s">
        <v>4601</v>
      </c>
      <c r="B424" s="527" t="s">
        <v>4601</v>
      </c>
      <c r="C424" s="82" t="s">
        <v>3807</v>
      </c>
      <c r="D424">
        <v>2022</v>
      </c>
      <c r="E424" s="250" t="s">
        <v>3499</v>
      </c>
      <c r="F424" s="250" t="s">
        <v>3566</v>
      </c>
      <c r="G424" t="s">
        <v>42</v>
      </c>
      <c r="H424" s="82" t="s">
        <v>42</v>
      </c>
      <c r="I424" s="533">
        <v>160214</v>
      </c>
      <c r="J424" s="425" t="str">
        <f>INDEX(aux!B:B,MATCH(I424,aux!A:A,0))</f>
        <v>Componentes retirados de REEE’s fora de uso não abrangidos em 16 02 09 a 16 02 13</v>
      </c>
      <c r="K424" s="433" t="str">
        <f>INDEX(aux!C:C,MATCH(I424,aux!A:A,0))</f>
        <v>Não</v>
      </c>
      <c r="L424" s="139">
        <v>213</v>
      </c>
      <c r="M424" s="433" t="s">
        <v>557</v>
      </c>
      <c r="N424" s="139">
        <f t="shared" si="25"/>
        <v>213</v>
      </c>
      <c r="O424" s="139" t="s">
        <v>483</v>
      </c>
      <c r="P424" s="231" t="str">
        <f t="shared" si="26"/>
        <v>Reciclagem</v>
      </c>
      <c r="Q424" s="231" t="s">
        <v>1901</v>
      </c>
      <c r="R424" s="231" t="s">
        <v>1892</v>
      </c>
      <c r="S424" s="114" t="str">
        <f>IFERROR(INDEX(Tabela3[Tipos de Tratamento],MATCH('A3.9.1 copy'!O560,Tabela3[Código],0)),"")</f>
        <v>Acumulação de resíduos destinados a uma das operações enumeradas de R1 a R12</v>
      </c>
      <c r="T424" s="429" t="s">
        <v>3837</v>
      </c>
      <c r="U424" s="429" t="s">
        <v>3840</v>
      </c>
      <c r="V424" s="422"/>
    </row>
    <row r="425" spans="1:22" ht="15.75" hidden="1" thickBot="1" x14ac:dyDescent="0.3">
      <c r="A425" s="527" t="s">
        <v>4601</v>
      </c>
      <c r="B425" s="527" t="s">
        <v>4601</v>
      </c>
      <c r="C425" s="82" t="s">
        <v>3807</v>
      </c>
      <c r="D425">
        <v>2022</v>
      </c>
      <c r="E425" s="250" t="s">
        <v>3499</v>
      </c>
      <c r="F425" s="250" t="s">
        <v>3566</v>
      </c>
      <c r="G425" t="s">
        <v>42</v>
      </c>
      <c r="H425" s="82" t="s">
        <v>42</v>
      </c>
      <c r="I425" s="533">
        <v>190805</v>
      </c>
      <c r="J425" s="425" t="str">
        <f>INDEX(aux!B:B,MATCH(I425,aux!A:A,0))</f>
        <v>Lamas do tratamento de águas residuais urbanas</v>
      </c>
      <c r="K425" s="433" t="str">
        <f>INDEX(aux!C:C,MATCH(I425,aux!A:A,0))</f>
        <v>Não</v>
      </c>
      <c r="L425" s="139">
        <v>7220</v>
      </c>
      <c r="M425" s="433" t="s">
        <v>557</v>
      </c>
      <c r="N425" s="139">
        <f t="shared" si="25"/>
        <v>7220</v>
      </c>
      <c r="O425" s="139" t="s">
        <v>474</v>
      </c>
      <c r="P425" s="231" t="str">
        <f t="shared" si="26"/>
        <v>Reciclagem</v>
      </c>
      <c r="Q425" s="231" t="s">
        <v>1901</v>
      </c>
      <c r="R425" s="231" t="s">
        <v>1892</v>
      </c>
      <c r="S425" s="114" t="str">
        <f>IFERROR(INDEX(Tabela3[Tipos de Tratamento],MATCH('A3.9.1 copy'!O561,Tabela3[Código],0)),"")</f>
        <v>Acumulação de resíduos destinados a uma das operações enumeradas de R1 a R12</v>
      </c>
      <c r="T425" s="429" t="s">
        <v>3844</v>
      </c>
      <c r="U425" s="429" t="s">
        <v>3845</v>
      </c>
      <c r="V425" s="422"/>
    </row>
    <row r="426" spans="1:22" ht="15.75" hidden="1" thickBot="1" x14ac:dyDescent="0.3">
      <c r="A426" s="527" t="s">
        <v>4601</v>
      </c>
      <c r="B426" s="527" t="s">
        <v>4601</v>
      </c>
      <c r="C426" s="82" t="s">
        <v>3827</v>
      </c>
      <c r="D426">
        <v>2022</v>
      </c>
      <c r="E426" s="250" t="s">
        <v>3499</v>
      </c>
      <c r="F426" s="250" t="s">
        <v>3566</v>
      </c>
      <c r="G426" t="s">
        <v>42</v>
      </c>
      <c r="H426" s="82" t="s">
        <v>42</v>
      </c>
      <c r="I426" s="533">
        <v>190805</v>
      </c>
      <c r="J426" s="425" t="str">
        <f>INDEX(aux!B:B,MATCH(I426,aux!A:A,0))</f>
        <v>Lamas do tratamento de águas residuais urbanas</v>
      </c>
      <c r="K426" s="433" t="str">
        <f>INDEX(aux!C:C,MATCH(I426,aux!A:A,0))</f>
        <v>Não</v>
      </c>
      <c r="L426" s="139">
        <v>13480</v>
      </c>
      <c r="M426" s="433" t="s">
        <v>557</v>
      </c>
      <c r="N426" s="139">
        <f t="shared" si="25"/>
        <v>13480</v>
      </c>
      <c r="O426" s="139" t="s">
        <v>507</v>
      </c>
      <c r="P426" s="231" t="str">
        <f t="shared" si="26"/>
        <v>Aterro</v>
      </c>
      <c r="Q426" s="231" t="s">
        <v>1901</v>
      </c>
      <c r="R426" s="231" t="s">
        <v>1892</v>
      </c>
      <c r="S426" s="114" t="str">
        <f>IFERROR(INDEX(Tabela3[Tipos de Tratamento],MATCH('A3.9.1 copy'!O562,Tabela3[Código],0)),"")</f>
        <v>Acumulação de resíduos destinados a uma das operações enumeradas de R1 a R12</v>
      </c>
      <c r="T426" s="429" t="s">
        <v>3837</v>
      </c>
      <c r="U426" s="429" t="s">
        <v>3837</v>
      </c>
      <c r="V426" s="422"/>
    </row>
    <row r="427" spans="1:22" ht="15.75" hidden="1" thickBot="1" x14ac:dyDescent="0.3">
      <c r="A427" s="527" t="s">
        <v>4601</v>
      </c>
      <c r="B427" s="527" t="s">
        <v>4601</v>
      </c>
      <c r="C427" s="82" t="s">
        <v>3807</v>
      </c>
      <c r="D427">
        <v>2022</v>
      </c>
      <c r="E427" s="250" t="s">
        <v>3499</v>
      </c>
      <c r="F427" s="250" t="s">
        <v>3566</v>
      </c>
      <c r="G427" t="s">
        <v>42</v>
      </c>
      <c r="H427" s="82" t="s">
        <v>42</v>
      </c>
      <c r="I427" s="533">
        <v>200111</v>
      </c>
      <c r="J427" s="425" t="str">
        <f>INDEX(aux!B:B,MATCH(I427,aux!A:A,0))</f>
        <v>Têxteis</v>
      </c>
      <c r="K427" s="433" t="str">
        <f>INDEX(aux!C:C,MATCH(I427,aux!A:A,0))</f>
        <v>Não</v>
      </c>
      <c r="L427" s="139">
        <v>560</v>
      </c>
      <c r="M427" s="433" t="s">
        <v>557</v>
      </c>
      <c r="N427" s="139">
        <f t="shared" si="25"/>
        <v>560</v>
      </c>
      <c r="O427" s="139" t="s">
        <v>483</v>
      </c>
      <c r="P427" s="231" t="str">
        <f t="shared" si="26"/>
        <v>Reciclagem</v>
      </c>
      <c r="Q427" s="231" t="s">
        <v>1901</v>
      </c>
      <c r="R427" s="231" t="s">
        <v>1892</v>
      </c>
      <c r="S427" s="114" t="str">
        <f>IFERROR(INDEX(Tabela3[Tipos de Tratamento],MATCH('A3.9.1 copy'!O563,Tabela3[Código],0)),"")</f>
        <v>Armazenagem enquanto se aguarda a execução de uma das operações enumeradas de D1 a D14</v>
      </c>
      <c r="T427" s="429" t="s">
        <v>3843</v>
      </c>
      <c r="U427" s="429" t="s">
        <v>3843</v>
      </c>
      <c r="V427" s="93"/>
    </row>
    <row r="428" spans="1:22" ht="15.75" hidden="1" thickBot="1" x14ac:dyDescent="0.3">
      <c r="A428" s="527" t="s">
        <v>4601</v>
      </c>
      <c r="B428" s="527" t="s">
        <v>4601</v>
      </c>
      <c r="C428" s="82" t="s">
        <v>3807</v>
      </c>
      <c r="D428">
        <v>2022</v>
      </c>
      <c r="E428" s="250" t="s">
        <v>3499</v>
      </c>
      <c r="F428" s="250" t="s">
        <v>3566</v>
      </c>
      <c r="G428" t="s">
        <v>42</v>
      </c>
      <c r="H428" s="82" t="s">
        <v>42</v>
      </c>
      <c r="I428" s="533">
        <v>200121</v>
      </c>
      <c r="J428" s="425" t="str">
        <f>INDEX(aux!B:B,MATCH(I428,aux!A:A,0))</f>
        <v>(*) Lâmpadas fluorescentes e outros resíduos contendo mercúrio</v>
      </c>
      <c r="K428" s="433" t="str">
        <f>INDEX(aux!C:C,MATCH(I428,aux!A:A,0))</f>
        <v>Sim</v>
      </c>
      <c r="L428" s="139">
        <v>127</v>
      </c>
      <c r="M428" s="433" t="s">
        <v>557</v>
      </c>
      <c r="N428" s="139">
        <f t="shared" si="25"/>
        <v>127</v>
      </c>
      <c r="O428" s="139" t="s">
        <v>484</v>
      </c>
      <c r="P428" s="231" t="str">
        <f t="shared" si="26"/>
        <v>Reciclagem</v>
      </c>
      <c r="Q428" s="231" t="s">
        <v>1901</v>
      </c>
      <c r="R428" s="231" t="s">
        <v>1892</v>
      </c>
      <c r="S428" s="114" t="str">
        <f>IFERROR(INDEX(Tabela3[Tipos de Tratamento],MATCH('A3.9.1 copy'!O564,Tabela3[Código],0)),"")</f>
        <v>Acumulação de resíduos destinados a uma das operações enumeradas de R1 a R12</v>
      </c>
      <c r="T428" s="429" t="s">
        <v>3837</v>
      </c>
      <c r="U428" s="429" t="s">
        <v>3837</v>
      </c>
      <c r="V428" s="93"/>
    </row>
    <row r="429" spans="1:22" ht="15.75" hidden="1" thickBot="1" x14ac:dyDescent="0.3">
      <c r="A429" s="527" t="s">
        <v>4601</v>
      </c>
      <c r="B429" s="527" t="s">
        <v>4601</v>
      </c>
      <c r="C429" s="82" t="s">
        <v>3807</v>
      </c>
      <c r="D429">
        <v>2022</v>
      </c>
      <c r="E429" s="250" t="s">
        <v>3499</v>
      </c>
      <c r="F429" s="250" t="s">
        <v>3566</v>
      </c>
      <c r="G429" t="s">
        <v>42</v>
      </c>
      <c r="H429" s="82" t="s">
        <v>42</v>
      </c>
      <c r="I429" s="533">
        <v>160122</v>
      </c>
      <c r="J429" s="425" t="str">
        <f>INDEX(aux!B:B,MATCH(I429,aux!A:A,0))</f>
        <v>Componentes sem outras especificações</v>
      </c>
      <c r="K429" s="433" t="str">
        <f>INDEX(aux!C:C,MATCH(I429,aux!A:A,0))</f>
        <v>Não</v>
      </c>
      <c r="L429" s="139">
        <v>2777</v>
      </c>
      <c r="M429" s="433" t="s">
        <v>557</v>
      </c>
      <c r="N429" s="139">
        <f t="shared" si="25"/>
        <v>2777</v>
      </c>
      <c r="O429" s="139" t="s">
        <v>507</v>
      </c>
      <c r="P429" s="231" t="str">
        <f t="shared" si="26"/>
        <v>Aterro</v>
      </c>
      <c r="Q429" s="231" t="s">
        <v>1901</v>
      </c>
      <c r="R429" s="231" t="s">
        <v>1892</v>
      </c>
      <c r="S429" s="114" t="str">
        <f>IFERROR(INDEX(Tabela3[Tipos de Tratamento],MATCH('A3.9.1 copy'!O557,Tabela3[Código],0)),"")</f>
        <v xml:space="preserve">Troca de resíduos com vista a submetê-los a uma das operações enumeradas de R 1 a R 11 </v>
      </c>
      <c r="T429" s="429" t="s">
        <v>3837</v>
      </c>
      <c r="U429" s="429" t="s">
        <v>3840</v>
      </c>
      <c r="V429" s="93"/>
    </row>
    <row r="430" spans="1:22" ht="15.75" hidden="1" thickBot="1" x14ac:dyDescent="0.3">
      <c r="A430" s="527" t="s">
        <v>4601</v>
      </c>
      <c r="B430" s="527" t="s">
        <v>4601</v>
      </c>
      <c r="C430" s="82" t="s">
        <v>3807</v>
      </c>
      <c r="D430">
        <v>2022</v>
      </c>
      <c r="E430" s="250" t="s">
        <v>3499</v>
      </c>
      <c r="F430" s="250" t="s">
        <v>3566</v>
      </c>
      <c r="G430" t="s">
        <v>42</v>
      </c>
      <c r="H430" s="82" t="s">
        <v>42</v>
      </c>
      <c r="I430" s="533">
        <v>160122</v>
      </c>
      <c r="J430" s="425" t="str">
        <f>INDEX(aux!B:B,MATCH(I430,aux!A:A,0))</f>
        <v>Componentes sem outras especificações</v>
      </c>
      <c r="K430" s="433" t="str">
        <f>INDEX(aux!C:C,MATCH(I430,aux!A:A,0))</f>
        <v>Não</v>
      </c>
      <c r="L430" s="139">
        <v>1480</v>
      </c>
      <c r="M430" s="433" t="s">
        <v>557</v>
      </c>
      <c r="N430" s="139">
        <f t="shared" si="25"/>
        <v>1480</v>
      </c>
      <c r="O430" s="139" t="s">
        <v>483</v>
      </c>
      <c r="P430" s="231" t="str">
        <f t="shared" si="26"/>
        <v>Reciclagem</v>
      </c>
      <c r="Q430" s="231" t="s">
        <v>1901</v>
      </c>
      <c r="R430" s="231" t="s">
        <v>1892</v>
      </c>
      <c r="S430" s="114" t="str">
        <f>IFERROR(INDEX(Tabela3[Tipos de Tratamento],MATCH('A3.9.1 copy'!O558,Tabela3[Código],0)),"")</f>
        <v xml:space="preserve">Regeneração de óleos e outras reutilizações de óleos </v>
      </c>
      <c r="T430" s="429" t="s">
        <v>3837</v>
      </c>
      <c r="U430" s="429" t="s">
        <v>3837</v>
      </c>
      <c r="V430" s="93"/>
    </row>
    <row r="431" spans="1:22" ht="15.75" thickBot="1" x14ac:dyDescent="0.3">
      <c r="A431" s="527" t="s">
        <v>6254</v>
      </c>
      <c r="B431" s="527" t="s">
        <v>4601</v>
      </c>
      <c r="C431" s="82" t="str">
        <f t="shared" ref="C431:C494" si="27">IF(A431=B431,"X",RIGHT(A431,LEN(A431)-LEN(B431)-3))</f>
        <v>Complexo Ferroviário de Coina</v>
      </c>
      <c r="D431">
        <v>2023</v>
      </c>
      <c r="E431" s="250" t="s">
        <v>3499</v>
      </c>
      <c r="F431" s="250" t="s">
        <v>3566</v>
      </c>
      <c r="G431" t="s">
        <v>42</v>
      </c>
      <c r="H431" s="82" t="s">
        <v>42</v>
      </c>
      <c r="I431" s="533">
        <v>160117</v>
      </c>
      <c r="J431" s="425" t="str">
        <f>INDEX(aux!B:B,MATCH(I431,aux!A:A,0))</f>
        <v>Metais ferrosos</v>
      </c>
      <c r="K431" s="433" t="str">
        <f>INDEX(aux!C:C,MATCH(I431,aux!A:A,0))</f>
        <v>Não</v>
      </c>
      <c r="L431" s="536">
        <v>13834</v>
      </c>
      <c r="M431" s="534" t="s">
        <v>557</v>
      </c>
      <c r="N431" s="139">
        <f t="shared" si="25"/>
        <v>13834</v>
      </c>
      <c r="O431" s="540" t="s">
        <v>483</v>
      </c>
      <c r="P431" s="231" t="str">
        <f t="shared" si="26"/>
        <v>Reciclagem</v>
      </c>
      <c r="Q431" s="231" t="s">
        <v>1557</v>
      </c>
      <c r="R431" s="231" t="s">
        <v>6569</v>
      </c>
      <c r="S431" s="667" t="s">
        <v>3594</v>
      </c>
      <c r="T431" s="540" t="s">
        <v>3837</v>
      </c>
      <c r="U431" s="540" t="s">
        <v>3842</v>
      </c>
      <c r="V431" s="93"/>
    </row>
    <row r="432" spans="1:22" ht="15.75" thickBot="1" x14ac:dyDescent="0.3">
      <c r="A432" s="527" t="s">
        <v>6254</v>
      </c>
      <c r="B432" s="527" t="s">
        <v>4601</v>
      </c>
      <c r="C432" s="82" t="str">
        <f t="shared" si="27"/>
        <v>Complexo Ferroviário de Coina</v>
      </c>
      <c r="D432">
        <v>2023</v>
      </c>
      <c r="E432" s="250" t="s">
        <v>3499</v>
      </c>
      <c r="F432" s="250" t="s">
        <v>3566</v>
      </c>
      <c r="G432" t="s">
        <v>42</v>
      </c>
      <c r="H432" s="82" t="s">
        <v>42</v>
      </c>
      <c r="I432" s="533">
        <v>150111</v>
      </c>
      <c r="J432" s="425" t="str">
        <f>INDEX(aux!B:B,MATCH(I432,aux!A:A,0))</f>
        <v>(*) Embalagens de metal, incluindo recipientes vazios sob pressão, contendo uma matriz porosa sólida perigosa (por exemplo, amianto)</v>
      </c>
      <c r="K432" s="433" t="str">
        <f>INDEX(aux!C:C,MATCH(I432,aux!A:A,0))</f>
        <v>Sim</v>
      </c>
      <c r="L432" s="536">
        <v>122</v>
      </c>
      <c r="M432" s="534" t="s">
        <v>557</v>
      </c>
      <c r="N432" s="139">
        <f t="shared" si="25"/>
        <v>122</v>
      </c>
      <c r="O432" s="540" t="s">
        <v>483</v>
      </c>
      <c r="P432" s="231" t="str">
        <f t="shared" si="26"/>
        <v>Reciclagem</v>
      </c>
      <c r="Q432" s="231" t="s">
        <v>1906</v>
      </c>
      <c r="R432" s="231" t="s">
        <v>6569</v>
      </c>
      <c r="S432" s="667" t="s">
        <v>3594</v>
      </c>
      <c r="T432" s="540" t="s">
        <v>3837</v>
      </c>
      <c r="U432" s="540" t="s">
        <v>3840</v>
      </c>
      <c r="V432" s="93"/>
    </row>
    <row r="433" spans="1:22" ht="15.75" thickBot="1" x14ac:dyDescent="0.3">
      <c r="A433" s="527" t="s">
        <v>6254</v>
      </c>
      <c r="B433" s="527" t="s">
        <v>4601</v>
      </c>
      <c r="C433" s="82" t="str">
        <f t="shared" si="27"/>
        <v>Complexo Ferroviário de Coina</v>
      </c>
      <c r="D433">
        <v>2023</v>
      </c>
      <c r="E433" s="250" t="s">
        <v>3499</v>
      </c>
      <c r="F433" s="250" t="s">
        <v>3566</v>
      </c>
      <c r="G433" t="s">
        <v>42</v>
      </c>
      <c r="H433" s="82" t="s">
        <v>42</v>
      </c>
      <c r="I433" s="533">
        <v>160118</v>
      </c>
      <c r="J433" s="425" t="str">
        <f>INDEX(aux!B:B,MATCH(I433,aux!A:A,0))</f>
        <v>Metais não ferrosos</v>
      </c>
      <c r="K433" s="433" t="str">
        <f>INDEX(aux!C:C,MATCH(I433,aux!A:A,0))</f>
        <v>Não</v>
      </c>
      <c r="L433" s="536">
        <v>34</v>
      </c>
      <c r="M433" s="534" t="s">
        <v>557</v>
      </c>
      <c r="N433" s="139">
        <f t="shared" si="25"/>
        <v>34</v>
      </c>
      <c r="O433" s="540" t="s">
        <v>483</v>
      </c>
      <c r="P433" s="231" t="str">
        <f t="shared" si="26"/>
        <v>Reciclagem</v>
      </c>
      <c r="Q433" s="231" t="s">
        <v>1906</v>
      </c>
      <c r="R433" s="231" t="s">
        <v>6569</v>
      </c>
      <c r="S433" s="667" t="s">
        <v>3594</v>
      </c>
      <c r="T433" s="540" t="s">
        <v>3837</v>
      </c>
      <c r="U433" s="540" t="s">
        <v>3840</v>
      </c>
      <c r="V433" s="93"/>
    </row>
    <row r="434" spans="1:22" ht="15.75" thickBot="1" x14ac:dyDescent="0.3">
      <c r="A434" s="527" t="s">
        <v>6254</v>
      </c>
      <c r="B434" s="527" t="s">
        <v>4601</v>
      </c>
      <c r="C434" s="82" t="str">
        <f t="shared" si="27"/>
        <v>Complexo Ferroviário de Coina</v>
      </c>
      <c r="D434">
        <v>2023</v>
      </c>
      <c r="E434" s="250" t="s">
        <v>3499</v>
      </c>
      <c r="F434" s="250" t="s">
        <v>3566</v>
      </c>
      <c r="G434" t="s">
        <v>42</v>
      </c>
      <c r="H434" s="82" t="s">
        <v>42</v>
      </c>
      <c r="I434" s="533">
        <v>130208</v>
      </c>
      <c r="J434" s="425" t="str">
        <f>INDEX(aux!B:B,MATCH(I434,aux!A:A,0))</f>
        <v>(*) Outros óleos de motores, transmissões e lubrificação</v>
      </c>
      <c r="K434" s="433" t="str">
        <f>INDEX(aux!C:C,MATCH(I434,aux!A:A,0))</f>
        <v>Sim</v>
      </c>
      <c r="L434" s="536">
        <v>1695</v>
      </c>
      <c r="M434" s="534" t="s">
        <v>557</v>
      </c>
      <c r="N434" s="139">
        <f t="shared" si="25"/>
        <v>1695</v>
      </c>
      <c r="O434" s="540" t="s">
        <v>483</v>
      </c>
      <c r="P434" s="231" t="str">
        <f t="shared" si="26"/>
        <v>Reciclagem</v>
      </c>
      <c r="Q434" s="231" t="s">
        <v>1902</v>
      </c>
      <c r="R434" s="231" t="s">
        <v>1877</v>
      </c>
      <c r="S434" s="667" t="s">
        <v>3594</v>
      </c>
      <c r="T434" s="540" t="s">
        <v>3837</v>
      </c>
      <c r="U434" s="540" t="s">
        <v>3838</v>
      </c>
      <c r="V434" s="93"/>
    </row>
    <row r="435" spans="1:22" ht="15.75" thickBot="1" x14ac:dyDescent="0.3">
      <c r="A435" s="527" t="s">
        <v>6254</v>
      </c>
      <c r="B435" s="527" t="s">
        <v>4601</v>
      </c>
      <c r="C435" s="82" t="str">
        <f t="shared" si="27"/>
        <v>Complexo Ferroviário de Coina</v>
      </c>
      <c r="D435">
        <v>2023</v>
      </c>
      <c r="E435" s="250" t="s">
        <v>3499</v>
      </c>
      <c r="F435" s="250" t="s">
        <v>3566</v>
      </c>
      <c r="G435" t="s">
        <v>42</v>
      </c>
      <c r="H435" s="82" t="s">
        <v>42</v>
      </c>
      <c r="I435" s="533">
        <v>20101</v>
      </c>
      <c r="J435" s="425" t="str">
        <f>INDEX(aux!B:B,MATCH(I435,aux!A:A,0))</f>
        <v>Lamas provenientes da lavagem e limpeza</v>
      </c>
      <c r="K435" s="433" t="str">
        <f>INDEX(aux!C:C,MATCH(I435,aux!A:A,0))</f>
        <v>Não</v>
      </c>
      <c r="L435" s="536">
        <v>370</v>
      </c>
      <c r="M435" s="534" t="s">
        <v>557</v>
      </c>
      <c r="N435" s="139">
        <f t="shared" si="25"/>
        <v>370</v>
      </c>
      <c r="O435" s="540" t="s">
        <v>507</v>
      </c>
      <c r="P435" s="231" t="str">
        <f t="shared" si="26"/>
        <v>Aterro</v>
      </c>
      <c r="Q435" s="231" t="s">
        <v>1901</v>
      </c>
      <c r="R435" s="231" t="s">
        <v>1892</v>
      </c>
      <c r="S435" s="667" t="s">
        <v>3594</v>
      </c>
      <c r="T435" s="540" t="s">
        <v>3837</v>
      </c>
      <c r="U435" s="540" t="s">
        <v>3837</v>
      </c>
      <c r="V435" s="93"/>
    </row>
    <row r="436" spans="1:22" ht="15.75" thickBot="1" x14ac:dyDescent="0.3">
      <c r="A436" s="527" t="s">
        <v>6254</v>
      </c>
      <c r="B436" s="527" t="s">
        <v>4601</v>
      </c>
      <c r="C436" s="82" t="str">
        <f t="shared" si="27"/>
        <v>Complexo Ferroviário de Coina</v>
      </c>
      <c r="D436">
        <v>2023</v>
      </c>
      <c r="E436" s="250" t="s">
        <v>3499</v>
      </c>
      <c r="F436" s="250" t="s">
        <v>3566</v>
      </c>
      <c r="G436" t="s">
        <v>42</v>
      </c>
      <c r="H436" s="82" t="s">
        <v>42</v>
      </c>
      <c r="I436" s="533">
        <v>80111</v>
      </c>
      <c r="J436" s="425" t="str">
        <f>INDEX(aux!B:B,MATCH(I436,aux!A:A,0))</f>
        <v>(*) Resíduos de tintas e vernizes, contendo solventes orgânicos ou outras substâncias perigosas</v>
      </c>
      <c r="K436" s="433" t="str">
        <f>INDEX(aux!C:C,MATCH(I436,aux!A:A,0))</f>
        <v>Sim</v>
      </c>
      <c r="L436" s="536">
        <v>78</v>
      </c>
      <c r="M436" s="534" t="s">
        <v>557</v>
      </c>
      <c r="N436" s="139">
        <f t="shared" si="25"/>
        <v>78</v>
      </c>
      <c r="O436" s="540" t="s">
        <v>507</v>
      </c>
      <c r="P436" s="231" t="str">
        <f t="shared" si="26"/>
        <v>Aterro</v>
      </c>
      <c r="Q436" s="231" t="s">
        <v>1901</v>
      </c>
      <c r="R436" s="231" t="s">
        <v>1892</v>
      </c>
      <c r="S436" s="667" t="s">
        <v>3594</v>
      </c>
      <c r="T436" s="540" t="s">
        <v>3837</v>
      </c>
      <c r="U436" s="540" t="s">
        <v>3837</v>
      </c>
      <c r="V436" s="93"/>
    </row>
    <row r="437" spans="1:22" ht="15.75" thickBot="1" x14ac:dyDescent="0.3">
      <c r="A437" s="527" t="s">
        <v>6254</v>
      </c>
      <c r="B437" s="527" t="s">
        <v>4601</v>
      </c>
      <c r="C437" s="82" t="str">
        <f t="shared" si="27"/>
        <v>Complexo Ferroviário de Coina</v>
      </c>
      <c r="D437">
        <v>2023</v>
      </c>
      <c r="E437" s="250" t="s">
        <v>3499</v>
      </c>
      <c r="F437" s="250" t="s">
        <v>3566</v>
      </c>
      <c r="G437" t="s">
        <v>42</v>
      </c>
      <c r="H437" s="82" t="s">
        <v>42</v>
      </c>
      <c r="I437" s="533">
        <v>80117</v>
      </c>
      <c r="J437" s="425" t="str">
        <f>INDEX(aux!B:B,MATCH(I437,aux!A:A,0))</f>
        <v>(*) Resíduos de tintas e vernizes, contendo solventes orgânicos ou outras substâncias perigosas</v>
      </c>
      <c r="K437" s="433" t="str">
        <f>INDEX(aux!C:C,MATCH(I437,aux!A:A,0))</f>
        <v>Sim</v>
      </c>
      <c r="L437" s="536">
        <v>360</v>
      </c>
      <c r="M437" s="534" t="s">
        <v>557</v>
      </c>
      <c r="N437" s="139">
        <f t="shared" si="25"/>
        <v>360</v>
      </c>
      <c r="O437" s="540" t="s">
        <v>483</v>
      </c>
      <c r="P437" s="231" t="str">
        <f t="shared" si="26"/>
        <v>Reciclagem</v>
      </c>
      <c r="Q437" s="231" t="s">
        <v>1901</v>
      </c>
      <c r="R437" s="231" t="s">
        <v>1892</v>
      </c>
      <c r="S437" s="667" t="s">
        <v>3594</v>
      </c>
      <c r="T437" s="540" t="s">
        <v>3861</v>
      </c>
      <c r="U437" s="540" t="s">
        <v>3861</v>
      </c>
      <c r="V437" s="93"/>
    </row>
    <row r="438" spans="1:22" ht="15.75" thickBot="1" x14ac:dyDescent="0.3">
      <c r="A438" s="527" t="s">
        <v>6254</v>
      </c>
      <c r="B438" s="527" t="s">
        <v>4601</v>
      </c>
      <c r="C438" s="82" t="str">
        <f t="shared" si="27"/>
        <v>Complexo Ferroviário de Coina</v>
      </c>
      <c r="D438">
        <v>2023</v>
      </c>
      <c r="E438" s="250" t="s">
        <v>3499</v>
      </c>
      <c r="F438" s="250" t="s">
        <v>3566</v>
      </c>
      <c r="G438" t="s">
        <v>42</v>
      </c>
      <c r="H438" s="82" t="s">
        <v>42</v>
      </c>
      <c r="I438" s="533">
        <v>160214</v>
      </c>
      <c r="J438" s="425" t="str">
        <f>INDEX(aux!B:B,MATCH(I438,aux!A:A,0))</f>
        <v>Componentes retirados de REEE’s fora de uso não abrangidos em 16 02 09 a 16 02 13</v>
      </c>
      <c r="K438" s="433" t="str">
        <f>INDEX(aux!C:C,MATCH(I438,aux!A:A,0))</f>
        <v>Não</v>
      </c>
      <c r="L438" s="536">
        <v>727</v>
      </c>
      <c r="M438" s="534" t="s">
        <v>557</v>
      </c>
      <c r="N438" s="139">
        <f t="shared" si="25"/>
        <v>727</v>
      </c>
      <c r="O438" s="540" t="s">
        <v>483</v>
      </c>
      <c r="P438" s="231" t="str">
        <f t="shared" si="26"/>
        <v>Reciclagem</v>
      </c>
      <c r="Q438" s="231" t="s">
        <v>1901</v>
      </c>
      <c r="R438" s="231" t="s">
        <v>1892</v>
      </c>
      <c r="S438" s="667" t="s">
        <v>3594</v>
      </c>
      <c r="T438" s="540" t="s">
        <v>3837</v>
      </c>
      <c r="U438" s="540" t="s">
        <v>3840</v>
      </c>
      <c r="V438" s="93"/>
    </row>
    <row r="439" spans="1:22" ht="15.75" thickBot="1" x14ac:dyDescent="0.3">
      <c r="A439" s="527" t="s">
        <v>6254</v>
      </c>
      <c r="B439" s="527" t="s">
        <v>4601</v>
      </c>
      <c r="C439" s="82" t="str">
        <f t="shared" si="27"/>
        <v>Complexo Ferroviário de Coina</v>
      </c>
      <c r="D439">
        <v>2023</v>
      </c>
      <c r="E439" s="250" t="s">
        <v>3499</v>
      </c>
      <c r="F439" s="250" t="s">
        <v>3566</v>
      </c>
      <c r="G439" t="s">
        <v>42</v>
      </c>
      <c r="H439" s="82" t="s">
        <v>42</v>
      </c>
      <c r="I439" s="533">
        <v>200140</v>
      </c>
      <c r="J439" s="425" t="str">
        <f>INDEX(aux!B:B,MATCH(I439,aux!A:A,0))</f>
        <v>Metais</v>
      </c>
      <c r="K439" s="433" t="str">
        <f>INDEX(aux!C:C,MATCH(I439,aux!A:A,0))</f>
        <v>Não</v>
      </c>
      <c r="L439" s="536">
        <v>16620</v>
      </c>
      <c r="M439" s="534" t="s">
        <v>557</v>
      </c>
      <c r="N439" s="139">
        <f t="shared" si="25"/>
        <v>16620</v>
      </c>
      <c r="O439" s="540" t="s">
        <v>483</v>
      </c>
      <c r="P439" s="231" t="str">
        <f t="shared" si="26"/>
        <v>Reciclagem</v>
      </c>
      <c r="Q439" s="231" t="s">
        <v>1901</v>
      </c>
      <c r="R439" s="231" t="s">
        <v>1892</v>
      </c>
      <c r="S439" s="667" t="s">
        <v>3594</v>
      </c>
      <c r="T439" s="540" t="s">
        <v>3843</v>
      </c>
      <c r="U439" s="540" t="s">
        <v>3843</v>
      </c>
      <c r="V439" s="93"/>
    </row>
    <row r="440" spans="1:22" ht="15.75" thickBot="1" x14ac:dyDescent="0.3">
      <c r="A440" s="527" t="s">
        <v>6254</v>
      </c>
      <c r="B440" s="527" t="s">
        <v>4601</v>
      </c>
      <c r="C440" s="82" t="str">
        <f t="shared" si="27"/>
        <v>Complexo Ferroviário de Coina</v>
      </c>
      <c r="D440">
        <v>2023</v>
      </c>
      <c r="E440" s="250" t="s">
        <v>3499</v>
      </c>
      <c r="F440" s="250" t="s">
        <v>3566</v>
      </c>
      <c r="G440" t="s">
        <v>42</v>
      </c>
      <c r="H440" s="82" t="s">
        <v>42</v>
      </c>
      <c r="I440" s="533">
        <v>130508</v>
      </c>
      <c r="J440" s="425" t="str">
        <f>INDEX(aux!B:B,MATCH(I440,aux!A:A,0))</f>
        <v>(*) Misturas de resíduos provenientes de desarenadores e de separadores óleo/água</v>
      </c>
      <c r="K440" s="433" t="str">
        <f>INDEX(aux!C:C,MATCH(I440,aux!A:A,0))</f>
        <v>Sim</v>
      </c>
      <c r="L440" s="536">
        <v>12320</v>
      </c>
      <c r="M440" s="534" t="s">
        <v>557</v>
      </c>
      <c r="N440" s="139">
        <f t="shared" si="25"/>
        <v>12320</v>
      </c>
      <c r="O440" s="540" t="s">
        <v>483</v>
      </c>
      <c r="P440" s="231" t="str">
        <f t="shared" si="26"/>
        <v>Reciclagem</v>
      </c>
      <c r="Q440" s="231" t="s">
        <v>1901</v>
      </c>
      <c r="R440" s="231" t="s">
        <v>1892</v>
      </c>
      <c r="S440" s="667" t="s">
        <v>3594</v>
      </c>
      <c r="T440" s="540" t="s">
        <v>3837</v>
      </c>
      <c r="U440" s="540" t="s">
        <v>3837</v>
      </c>
      <c r="V440" s="93"/>
    </row>
    <row r="441" spans="1:22" ht="15.75" thickBot="1" x14ac:dyDescent="0.3">
      <c r="A441" s="527" t="s">
        <v>6254</v>
      </c>
      <c r="B441" s="527" t="s">
        <v>4601</v>
      </c>
      <c r="C441" s="82" t="str">
        <f t="shared" si="27"/>
        <v>Complexo Ferroviário de Coina</v>
      </c>
      <c r="D441">
        <v>2023</v>
      </c>
      <c r="E441" s="250" t="s">
        <v>3499</v>
      </c>
      <c r="F441" s="250" t="s">
        <v>3566</v>
      </c>
      <c r="G441" t="s">
        <v>42</v>
      </c>
      <c r="H441" s="82" t="s">
        <v>42</v>
      </c>
      <c r="I441" s="533">
        <v>160121</v>
      </c>
      <c r="J441" s="425" t="str">
        <f>INDEX(aux!B:B,MATCH(I441,aux!A:A,0))</f>
        <v>(*) Componentes perigosos não abrangidos em 16 01 07 a 16 01 11, 16 01 13 e 16 01 14</v>
      </c>
      <c r="K441" s="433" t="str">
        <f>INDEX(aux!C:C,MATCH(I441,aux!A:A,0))</f>
        <v>Sim</v>
      </c>
      <c r="L441" s="536">
        <v>496</v>
      </c>
      <c r="M441" s="534" t="s">
        <v>557</v>
      </c>
      <c r="N441" s="139">
        <f t="shared" si="25"/>
        <v>496</v>
      </c>
      <c r="O441" s="540" t="s">
        <v>507</v>
      </c>
      <c r="P441" s="231" t="str">
        <f t="shared" si="26"/>
        <v>Aterro</v>
      </c>
      <c r="Q441" s="231" t="s">
        <v>1901</v>
      </c>
      <c r="R441" s="231" t="s">
        <v>1892</v>
      </c>
      <c r="S441" s="667" t="s">
        <v>3594</v>
      </c>
      <c r="T441" s="540" t="s">
        <v>3837</v>
      </c>
      <c r="U441" s="540" t="s">
        <v>3837</v>
      </c>
      <c r="V441" s="93"/>
    </row>
    <row r="442" spans="1:22" ht="15.75" thickBot="1" x14ac:dyDescent="0.3">
      <c r="A442" s="527" t="s">
        <v>6254</v>
      </c>
      <c r="B442" s="527" t="s">
        <v>4601</v>
      </c>
      <c r="C442" s="82" t="str">
        <f t="shared" si="27"/>
        <v>Complexo Ferroviário de Coina</v>
      </c>
      <c r="D442">
        <v>2023</v>
      </c>
      <c r="E442" s="250" t="s">
        <v>3499</v>
      </c>
      <c r="F442" s="250" t="s">
        <v>3566</v>
      </c>
      <c r="G442" t="s">
        <v>42</v>
      </c>
      <c r="H442" s="82" t="s">
        <v>42</v>
      </c>
      <c r="I442" s="533">
        <v>160122</v>
      </c>
      <c r="J442" s="425" t="str">
        <f>INDEX(aux!B:B,MATCH(I442,aux!A:A,0))</f>
        <v>Componentes sem outras especificações</v>
      </c>
      <c r="K442" s="433" t="str">
        <f>INDEX(aux!C:C,MATCH(I442,aux!A:A,0))</f>
        <v>Não</v>
      </c>
      <c r="L442" s="536">
        <v>2909</v>
      </c>
      <c r="M442" s="534" t="s">
        <v>557</v>
      </c>
      <c r="N442" s="139">
        <f t="shared" si="25"/>
        <v>2909</v>
      </c>
      <c r="O442" s="540" t="s">
        <v>507</v>
      </c>
      <c r="P442" s="231" t="str">
        <f t="shared" si="26"/>
        <v>Aterro</v>
      </c>
      <c r="Q442" s="231" t="s">
        <v>1901</v>
      </c>
      <c r="R442" s="231" t="s">
        <v>1892</v>
      </c>
      <c r="S442" s="667" t="s">
        <v>3594</v>
      </c>
      <c r="T442" s="540" t="s">
        <v>3837</v>
      </c>
      <c r="U442" s="540" t="s">
        <v>3840</v>
      </c>
      <c r="V442" s="93"/>
    </row>
    <row r="443" spans="1:22" ht="15.75" thickBot="1" x14ac:dyDescent="0.3">
      <c r="A443" s="527" t="s">
        <v>6254</v>
      </c>
      <c r="B443" s="527" t="s">
        <v>4601</v>
      </c>
      <c r="C443" s="82" t="str">
        <f t="shared" si="27"/>
        <v>Complexo Ferroviário de Coina</v>
      </c>
      <c r="D443">
        <v>2023</v>
      </c>
      <c r="E443" s="250" t="s">
        <v>3499</v>
      </c>
      <c r="F443" s="250" t="s">
        <v>3566</v>
      </c>
      <c r="G443" t="s">
        <v>42</v>
      </c>
      <c r="H443" s="82" t="s">
        <v>42</v>
      </c>
      <c r="I443" s="533">
        <v>160199</v>
      </c>
      <c r="J443" s="425" t="str">
        <f>INDEX(aux!B:B,MATCH(I443,aux!A:A,0))</f>
        <v>Resíduos sem outras especificações</v>
      </c>
      <c r="K443" s="433" t="str">
        <f>INDEX(aux!C:C,MATCH(I443,aux!A:A,0))</f>
        <v>Não</v>
      </c>
      <c r="L443" s="536">
        <v>6440</v>
      </c>
      <c r="M443" s="534" t="s">
        <v>557</v>
      </c>
      <c r="N443" s="139">
        <f t="shared" si="25"/>
        <v>6440</v>
      </c>
      <c r="O443" s="540" t="s">
        <v>483</v>
      </c>
      <c r="P443" s="231" t="str">
        <f t="shared" si="26"/>
        <v>Reciclagem</v>
      </c>
      <c r="Q443" s="231" t="s">
        <v>1901</v>
      </c>
      <c r="R443" s="231" t="s">
        <v>1892</v>
      </c>
      <c r="S443" s="667" t="s">
        <v>3594</v>
      </c>
      <c r="T443" s="540" t="s">
        <v>3837</v>
      </c>
      <c r="U443" s="540" t="s">
        <v>3837</v>
      </c>
      <c r="V443" s="93"/>
    </row>
    <row r="444" spans="1:22" ht="15.75" thickBot="1" x14ac:dyDescent="0.3">
      <c r="A444" s="527" t="s">
        <v>6254</v>
      </c>
      <c r="B444" s="527" t="s">
        <v>4601</v>
      </c>
      <c r="C444" s="82" t="str">
        <f t="shared" si="27"/>
        <v>Complexo Ferroviário de Coina</v>
      </c>
      <c r="D444">
        <v>2023</v>
      </c>
      <c r="E444" s="250" t="s">
        <v>3499</v>
      </c>
      <c r="F444" s="250" t="s">
        <v>3566</v>
      </c>
      <c r="G444" t="s">
        <v>42</v>
      </c>
      <c r="H444" s="82" t="s">
        <v>42</v>
      </c>
      <c r="I444" s="533">
        <v>150110</v>
      </c>
      <c r="J444" s="425" t="str">
        <f>INDEX(aux!B:B,MATCH(I444,aux!A:A,0))</f>
        <v>(*) Embalagens contendo ou contaminadas por resíduos de substâncias perigosas</v>
      </c>
      <c r="K444" s="433" t="str">
        <f>INDEX(aux!C:C,MATCH(I444,aux!A:A,0))</f>
        <v>Sim</v>
      </c>
      <c r="L444" s="536">
        <v>99</v>
      </c>
      <c r="M444" s="534" t="s">
        <v>557</v>
      </c>
      <c r="N444" s="139">
        <f t="shared" si="25"/>
        <v>99</v>
      </c>
      <c r="O444" s="540" t="s">
        <v>483</v>
      </c>
      <c r="P444" s="231" t="str">
        <f t="shared" si="26"/>
        <v>Reciclagem</v>
      </c>
      <c r="Q444" s="231" t="s">
        <v>1901</v>
      </c>
      <c r="R444" s="231" t="s">
        <v>1892</v>
      </c>
      <c r="S444" s="667" t="s">
        <v>3594</v>
      </c>
      <c r="T444" s="540" t="s">
        <v>3837</v>
      </c>
      <c r="U444" s="540" t="s">
        <v>3840</v>
      </c>
      <c r="V444" s="93"/>
    </row>
    <row r="445" spans="1:22" ht="15.75" thickBot="1" x14ac:dyDescent="0.3">
      <c r="A445" s="527" t="s">
        <v>6254</v>
      </c>
      <c r="B445" s="527" t="s">
        <v>4601</v>
      </c>
      <c r="C445" s="82" t="str">
        <f t="shared" si="27"/>
        <v>Complexo Ferroviário de Coina</v>
      </c>
      <c r="D445">
        <v>2023</v>
      </c>
      <c r="E445" s="250" t="s">
        <v>3499</v>
      </c>
      <c r="F445" s="250" t="s">
        <v>3566</v>
      </c>
      <c r="G445" t="s">
        <v>42</v>
      </c>
      <c r="H445" s="82" t="s">
        <v>42</v>
      </c>
      <c r="I445" s="533">
        <v>150202</v>
      </c>
      <c r="J445" s="425" t="str">
        <f>INDEX(aux!B:B,MATCH(I445,aux!A:A,0))</f>
        <v>(*) Absorventes, materiais filtrantes (incluindo filtros de óleo sem outras especificações), panos de limpeza e vestuário de proteção, contaminados por substâncias perigosas</v>
      </c>
      <c r="K445" s="433" t="str">
        <f>INDEX(aux!C:C,MATCH(I445,aux!A:A,0))</f>
        <v>Sim</v>
      </c>
      <c r="L445" s="536">
        <v>756</v>
      </c>
      <c r="M445" s="534" t="s">
        <v>557</v>
      </c>
      <c r="N445" s="139">
        <f t="shared" si="25"/>
        <v>756</v>
      </c>
      <c r="O445" s="540" t="s">
        <v>483</v>
      </c>
      <c r="P445" s="231" t="str">
        <f t="shared" si="26"/>
        <v>Reciclagem</v>
      </c>
      <c r="Q445" s="231" t="s">
        <v>1901</v>
      </c>
      <c r="R445" s="231" t="s">
        <v>1892</v>
      </c>
      <c r="S445" s="667" t="s">
        <v>3594</v>
      </c>
      <c r="T445" s="540" t="s">
        <v>3837</v>
      </c>
      <c r="U445" s="540" t="s">
        <v>3840</v>
      </c>
      <c r="V445" s="93"/>
    </row>
    <row r="446" spans="1:22" ht="15.75" thickBot="1" x14ac:dyDescent="0.3">
      <c r="A446" s="527" t="s">
        <v>6254</v>
      </c>
      <c r="B446" s="527" t="s">
        <v>4601</v>
      </c>
      <c r="C446" s="82" t="str">
        <f t="shared" si="27"/>
        <v>Complexo Ferroviário de Coina</v>
      </c>
      <c r="D446">
        <v>2023</v>
      </c>
      <c r="E446" s="250" t="s">
        <v>3499</v>
      </c>
      <c r="F446" s="250" t="s">
        <v>3566</v>
      </c>
      <c r="G446" t="s">
        <v>42</v>
      </c>
      <c r="H446" s="82" t="s">
        <v>42</v>
      </c>
      <c r="I446" s="533">
        <v>160107</v>
      </c>
      <c r="J446" s="425" t="str">
        <f>INDEX(aux!B:B,MATCH(I446,aux!A:A,0))</f>
        <v>(*) Filtros de óleo</v>
      </c>
      <c r="K446" s="433" t="str">
        <f>INDEX(aux!C:C,MATCH(I446,aux!A:A,0))</f>
        <v>Sim</v>
      </c>
      <c r="L446" s="536">
        <v>583</v>
      </c>
      <c r="M446" s="534" t="s">
        <v>557</v>
      </c>
      <c r="N446" s="139">
        <f t="shared" si="25"/>
        <v>583</v>
      </c>
      <c r="O446" s="540" t="s">
        <v>483</v>
      </c>
      <c r="P446" s="231" t="str">
        <f t="shared" si="26"/>
        <v>Reciclagem</v>
      </c>
      <c r="Q446" s="231" t="s">
        <v>1901</v>
      </c>
      <c r="R446" s="231" t="s">
        <v>1892</v>
      </c>
      <c r="S446" s="667" t="s">
        <v>3594</v>
      </c>
      <c r="T446" s="540" t="s">
        <v>3837</v>
      </c>
      <c r="U446" s="540" t="s">
        <v>3841</v>
      </c>
      <c r="V446" s="93"/>
    </row>
    <row r="447" spans="1:22" ht="15.75" hidden="1" thickBot="1" x14ac:dyDescent="0.3">
      <c r="A447" s="424" t="s">
        <v>2817</v>
      </c>
      <c r="B447" s="424" t="s">
        <v>2817</v>
      </c>
      <c r="C447" s="82" t="str">
        <f t="shared" si="27"/>
        <v>X</v>
      </c>
      <c r="D447">
        <v>2022</v>
      </c>
      <c r="E447" s="250" t="s">
        <v>3499</v>
      </c>
      <c r="F447" s="250" t="s">
        <v>3566</v>
      </c>
      <c r="G447" t="s">
        <v>42</v>
      </c>
      <c r="H447" s="82" t="s">
        <v>42</v>
      </c>
      <c r="I447" s="302">
        <v>200136</v>
      </c>
      <c r="J447" s="425" t="str">
        <f>INDEX(aux!B:B,MATCH(I447,aux!A:A,0))</f>
        <v>Equipamento elétrico e eletrónico fora de uso não abrangido em 20 01 21, 20 01 23 ou 20 01 35</v>
      </c>
      <c r="K447" s="433" t="str">
        <f>INDEX(aux!C:C,MATCH(I447,aux!A:A,0))</f>
        <v>Não</v>
      </c>
      <c r="L447" s="437">
        <v>0.33300000000000002</v>
      </c>
      <c r="M447" s="433" t="s">
        <v>1532</v>
      </c>
      <c r="N447" s="139">
        <f t="shared" si="25"/>
        <v>333</v>
      </c>
      <c r="O447" s="139" t="s">
        <v>483</v>
      </c>
      <c r="P447" s="231" t="str">
        <f t="shared" si="26"/>
        <v>Reciclagem</v>
      </c>
      <c r="Q447" s="231" t="s">
        <v>1909</v>
      </c>
      <c r="R447" s="231" t="s">
        <v>1877</v>
      </c>
      <c r="S447" s="114" t="str">
        <f>IFERROR(INDEX(Tabela3[Tipos de Tratamento],MATCH('A3.9.1 copy'!O394,Tabela3[Código],0)),"")</f>
        <v>Acumulação de resíduos destinados a uma das operações enumeradas de R1 a R12</v>
      </c>
      <c r="T447" s="429" t="s">
        <v>3262</v>
      </c>
      <c r="U447" s="429" t="s">
        <v>3262</v>
      </c>
      <c r="V447" s="93"/>
    </row>
    <row r="448" spans="1:22" ht="15.75" thickBot="1" x14ac:dyDescent="0.3">
      <c r="A448" s="527" t="s">
        <v>2817</v>
      </c>
      <c r="B448" s="527" t="s">
        <v>2817</v>
      </c>
      <c r="C448" s="82" t="str">
        <f t="shared" si="27"/>
        <v>X</v>
      </c>
      <c r="D448">
        <v>2023</v>
      </c>
      <c r="E448" s="250" t="s">
        <v>3499</v>
      </c>
      <c r="F448" s="250" t="s">
        <v>3566</v>
      </c>
      <c r="G448" t="s">
        <v>42</v>
      </c>
      <c r="H448" s="82" t="s">
        <v>42</v>
      </c>
      <c r="I448" s="533">
        <v>200136</v>
      </c>
      <c r="J448" s="425" t="str">
        <f>INDEX(aux!B:B,MATCH(I448,aux!A:A,0))</f>
        <v>Equipamento elétrico e eletrónico fora de uso não abrangido em 20 01 21, 20 01 23 ou 20 01 35</v>
      </c>
      <c r="K448" s="433" t="str">
        <f>INDEX(aux!C:C,MATCH(I448,aux!A:A,0))</f>
        <v>Não</v>
      </c>
      <c r="L448" s="536">
        <v>0</v>
      </c>
      <c r="M448" s="534" t="s">
        <v>1532</v>
      </c>
      <c r="N448" s="139">
        <f t="shared" si="25"/>
        <v>0</v>
      </c>
      <c r="O448" s="540" t="s">
        <v>483</v>
      </c>
      <c r="P448" s="231" t="str">
        <f t="shared" si="26"/>
        <v>Reciclagem</v>
      </c>
      <c r="Q448" s="231" t="s">
        <v>1909</v>
      </c>
      <c r="R448" s="231" t="s">
        <v>1877</v>
      </c>
      <c r="S448" s="667" t="s">
        <v>485</v>
      </c>
      <c r="T448" s="540" t="s">
        <v>3262</v>
      </c>
      <c r="U448" s="540" t="s">
        <v>3262</v>
      </c>
      <c r="V448" s="93"/>
    </row>
    <row r="449" spans="1:22" ht="15.75" thickBot="1" x14ac:dyDescent="0.3">
      <c r="A449" s="527" t="s">
        <v>2817</v>
      </c>
      <c r="B449" s="527" t="s">
        <v>2817</v>
      </c>
      <c r="C449" s="82" t="str">
        <f t="shared" si="27"/>
        <v>X</v>
      </c>
      <c r="D449">
        <v>2023</v>
      </c>
      <c r="E449" s="250" t="s">
        <v>3499</v>
      </c>
      <c r="F449" s="250" t="s">
        <v>3566</v>
      </c>
      <c r="G449" t="s">
        <v>42</v>
      </c>
      <c r="H449" s="82" t="s">
        <v>42</v>
      </c>
      <c r="I449" s="530">
        <v>160112</v>
      </c>
      <c r="J449" s="425" t="str">
        <f>INDEX(aux!B:B,MATCH(I449,aux!A:A,0))</f>
        <v>Pastilhas de travões não abrangidas em 16 01 11</v>
      </c>
      <c r="K449" s="433" t="str">
        <f>INDEX(aux!C:C,MATCH(I449,aux!A:A,0))</f>
        <v>Não</v>
      </c>
      <c r="L449" s="536">
        <v>0.81</v>
      </c>
      <c r="M449" s="534" t="s">
        <v>1532</v>
      </c>
      <c r="N449" s="139">
        <f t="shared" si="25"/>
        <v>810</v>
      </c>
      <c r="O449" s="540" t="s">
        <v>483</v>
      </c>
      <c r="P449" s="231" t="str">
        <f t="shared" si="26"/>
        <v>Reciclagem</v>
      </c>
      <c r="Q449" s="231" t="s">
        <v>1557</v>
      </c>
      <c r="R449" s="231" t="s">
        <v>6569</v>
      </c>
      <c r="S449" s="667" t="s">
        <v>485</v>
      </c>
      <c r="T449" s="540" t="s">
        <v>3262</v>
      </c>
      <c r="U449" s="540" t="s">
        <v>3262</v>
      </c>
      <c r="V449" s="93"/>
    </row>
    <row r="450" spans="1:22" ht="15.75" hidden="1" thickBot="1" x14ac:dyDescent="0.3">
      <c r="A450" s="424" t="s">
        <v>2817</v>
      </c>
      <c r="B450" s="424" t="s">
        <v>2817</v>
      </c>
      <c r="C450" s="82" t="str">
        <f t="shared" si="27"/>
        <v>X</v>
      </c>
      <c r="D450">
        <v>2022</v>
      </c>
      <c r="E450" s="250" t="s">
        <v>3499</v>
      </c>
      <c r="F450" s="250" t="s">
        <v>3566</v>
      </c>
      <c r="G450" t="s">
        <v>42</v>
      </c>
      <c r="H450" s="82" t="s">
        <v>42</v>
      </c>
      <c r="I450" s="265">
        <v>130208</v>
      </c>
      <c r="J450" s="425" t="str">
        <f>INDEX(aux!B:B,MATCH(I450,aux!A:A,0))</f>
        <v>(*) Outros óleos de motores, transmissões e lubrificação</v>
      </c>
      <c r="K450" s="433" t="str">
        <f>INDEX(aux!C:C,MATCH(I450,aux!A:A,0))</f>
        <v>Sim</v>
      </c>
      <c r="L450" s="437">
        <v>1.7689999999999999</v>
      </c>
      <c r="M450" s="433" t="s">
        <v>1532</v>
      </c>
      <c r="N450" s="139">
        <f t="shared" si="25"/>
        <v>1769</v>
      </c>
      <c r="O450" s="139" t="s">
        <v>480</v>
      </c>
      <c r="P450" s="231" t="str">
        <f t="shared" si="26"/>
        <v>Reciclagem</v>
      </c>
      <c r="Q450" s="231" t="s">
        <v>1902</v>
      </c>
      <c r="R450" s="231" t="s">
        <v>1877</v>
      </c>
      <c r="S450" s="114" t="str">
        <f>IFERROR(INDEX(Tabela3[Tipos de Tratamento],MATCH('A3.9.1 copy'!O388,Tabela3[Código],0)),"")</f>
        <v xml:space="preserve">Troca de resíduos com vista a submetê-los a uma das operações enumeradas de R 1 a R 11 </v>
      </c>
      <c r="T450" s="429" t="s">
        <v>3261</v>
      </c>
      <c r="U450" s="543" t="s">
        <v>1536</v>
      </c>
      <c r="V450" s="93"/>
    </row>
    <row r="451" spans="1:22" ht="15.75" thickBot="1" x14ac:dyDescent="0.3">
      <c r="A451" s="527" t="s">
        <v>2817</v>
      </c>
      <c r="B451" s="527" t="s">
        <v>2817</v>
      </c>
      <c r="C451" s="82" t="str">
        <f t="shared" si="27"/>
        <v>X</v>
      </c>
      <c r="D451">
        <v>2023</v>
      </c>
      <c r="E451" s="250" t="s">
        <v>3499</v>
      </c>
      <c r="F451" s="250" t="s">
        <v>3566</v>
      </c>
      <c r="G451" t="s">
        <v>42</v>
      </c>
      <c r="H451" s="82" t="s">
        <v>42</v>
      </c>
      <c r="I451" s="530">
        <v>130208</v>
      </c>
      <c r="J451" s="425" t="str">
        <f>INDEX(aux!B:B,MATCH(I451,aux!A:A,0))</f>
        <v>(*) Outros óleos de motores, transmissões e lubrificação</v>
      </c>
      <c r="K451" s="433" t="str">
        <f>INDEX(aux!C:C,MATCH(I451,aux!A:A,0))</f>
        <v>Sim</v>
      </c>
      <c r="L451" s="536">
        <v>0.88200000000000001</v>
      </c>
      <c r="M451" s="534" t="s">
        <v>1532</v>
      </c>
      <c r="N451" s="139">
        <f t="shared" ref="N451:N514" si="28">IF(LEFT(M451,3)="ton",1000*L451,L451)</f>
        <v>882</v>
      </c>
      <c r="O451" s="540" t="s">
        <v>480</v>
      </c>
      <c r="P451" s="231" t="str">
        <f t="shared" ref="P451:P514" si="29">IF(LEFT(O451,1)="R","Reciclagem",IF(OR(O451="D10",O451="D11"),"Iceneração","Aterro"))</f>
        <v>Reciclagem</v>
      </c>
      <c r="Q451" s="231" t="s">
        <v>1902</v>
      </c>
      <c r="R451" s="231" t="s">
        <v>1877</v>
      </c>
      <c r="S451" s="667" t="s">
        <v>6273</v>
      </c>
      <c r="T451" s="540" t="s">
        <v>3261</v>
      </c>
      <c r="U451" s="540" t="s">
        <v>1536</v>
      </c>
      <c r="V451" s="93"/>
    </row>
    <row r="452" spans="1:22" ht="15.75" hidden="1" thickBot="1" x14ac:dyDescent="0.3">
      <c r="A452" s="424" t="s">
        <v>2817</v>
      </c>
      <c r="B452" s="424" t="s">
        <v>2817</v>
      </c>
      <c r="C452" s="82" t="str">
        <f t="shared" si="27"/>
        <v>X</v>
      </c>
      <c r="D452">
        <v>2022</v>
      </c>
      <c r="E452" s="250" t="s">
        <v>3499</v>
      </c>
      <c r="F452" s="250" t="s">
        <v>3566</v>
      </c>
      <c r="G452" t="s">
        <v>42</v>
      </c>
      <c r="H452" s="82" t="s">
        <v>42</v>
      </c>
      <c r="I452" s="302">
        <v>150101</v>
      </c>
      <c r="J452" s="425" t="str">
        <f>INDEX(aux!B:B,MATCH(I452,aux!A:A,0))</f>
        <v>Embalagens de papel e cartão</v>
      </c>
      <c r="K452" s="433" t="str">
        <f>INDEX(aux!C:C,MATCH(I452,aux!A:A,0))</f>
        <v>Não</v>
      </c>
      <c r="L452" s="437">
        <v>8.1000000000000003E-2</v>
      </c>
      <c r="M452" s="433" t="s">
        <v>1532</v>
      </c>
      <c r="N452" s="139">
        <f t="shared" si="28"/>
        <v>81</v>
      </c>
      <c r="O452" s="139" t="s">
        <v>483</v>
      </c>
      <c r="P452" s="231" t="str">
        <f t="shared" si="29"/>
        <v>Reciclagem</v>
      </c>
      <c r="Q452" s="231" t="s">
        <v>1904</v>
      </c>
      <c r="R452" s="231" t="s">
        <v>1903</v>
      </c>
      <c r="S452" s="114" t="str">
        <f>IFERROR(INDEX(Tabela3[Tipos de Tratamento],MATCH('A3.9.1 copy'!O389,Tabela3[Código],0)),"")</f>
        <v>Acumulação de resíduos destinados a uma das operações enumeradas de R1 a R12</v>
      </c>
      <c r="T452" s="429" t="s">
        <v>3262</v>
      </c>
      <c r="U452" s="429" t="s">
        <v>3262</v>
      </c>
      <c r="V452" s="93"/>
    </row>
    <row r="453" spans="1:22" ht="15.75" thickBot="1" x14ac:dyDescent="0.3">
      <c r="A453" s="527" t="s">
        <v>2817</v>
      </c>
      <c r="B453" s="527" t="s">
        <v>2817</v>
      </c>
      <c r="C453" s="82" t="str">
        <f t="shared" si="27"/>
        <v>X</v>
      </c>
      <c r="D453">
        <v>2023</v>
      </c>
      <c r="E453" s="250" t="s">
        <v>3499</v>
      </c>
      <c r="F453" s="250" t="s">
        <v>3566</v>
      </c>
      <c r="G453" t="s">
        <v>42</v>
      </c>
      <c r="H453" s="82" t="s">
        <v>42</v>
      </c>
      <c r="I453" s="533">
        <v>150101</v>
      </c>
      <c r="J453" s="425" t="str">
        <f>INDEX(aux!B:B,MATCH(I453,aux!A:A,0))</f>
        <v>Embalagens de papel e cartão</v>
      </c>
      <c r="K453" s="433" t="str">
        <f>INDEX(aux!C:C,MATCH(I453,aux!A:A,0))</f>
        <v>Não</v>
      </c>
      <c r="L453" s="536">
        <v>7.8E-2</v>
      </c>
      <c r="M453" s="534" t="s">
        <v>1532</v>
      </c>
      <c r="N453" s="139">
        <f t="shared" si="28"/>
        <v>78</v>
      </c>
      <c r="O453" s="540" t="s">
        <v>483</v>
      </c>
      <c r="P453" s="231" t="str">
        <f t="shared" si="29"/>
        <v>Reciclagem</v>
      </c>
      <c r="Q453" s="231" t="s">
        <v>1904</v>
      </c>
      <c r="R453" s="231" t="s">
        <v>6569</v>
      </c>
      <c r="S453" s="667" t="s">
        <v>6274</v>
      </c>
      <c r="T453" s="540" t="s">
        <v>3262</v>
      </c>
      <c r="U453" s="540" t="s">
        <v>3262</v>
      </c>
      <c r="V453" s="93"/>
    </row>
    <row r="454" spans="1:22" ht="15.75" hidden="1" thickBot="1" x14ac:dyDescent="0.3">
      <c r="A454" s="424" t="s">
        <v>2817</v>
      </c>
      <c r="B454" s="424" t="s">
        <v>2817</v>
      </c>
      <c r="C454" s="82" t="str">
        <f t="shared" si="27"/>
        <v>X</v>
      </c>
      <c r="D454">
        <v>2022</v>
      </c>
      <c r="E454" s="250" t="s">
        <v>3499</v>
      </c>
      <c r="F454" s="250" t="s">
        <v>3566</v>
      </c>
      <c r="G454" t="s">
        <v>42</v>
      </c>
      <c r="H454" s="82" t="s">
        <v>42</v>
      </c>
      <c r="I454" s="302">
        <v>160119</v>
      </c>
      <c r="J454" s="425" t="str">
        <f>INDEX(aux!B:B,MATCH(I454,aux!A:A,0))</f>
        <v>Plástico</v>
      </c>
      <c r="K454" s="433" t="str">
        <f>INDEX(aux!C:C,MATCH(I454,aux!A:A,0))</f>
        <v>Não</v>
      </c>
      <c r="L454" s="437">
        <v>8.5999999999999993E-2</v>
      </c>
      <c r="M454" s="433" t="s">
        <v>1532</v>
      </c>
      <c r="N454" s="139">
        <f t="shared" si="28"/>
        <v>86</v>
      </c>
      <c r="O454" s="139" t="s">
        <v>483</v>
      </c>
      <c r="P454" s="231" t="str">
        <f t="shared" si="29"/>
        <v>Reciclagem</v>
      </c>
      <c r="Q454" s="231" t="s">
        <v>1560</v>
      </c>
      <c r="R454" s="231" t="s">
        <v>1903</v>
      </c>
      <c r="S454" s="114" t="str">
        <f>IFERROR(INDEX(Tabela3[Tipos de Tratamento],MATCH('A3.9.1 copy'!O392,Tabela3[Código],0)),"")</f>
        <v>Acumulação de resíduos destinados a uma das operações enumeradas de R1 a R12</v>
      </c>
      <c r="T454" s="429" t="s">
        <v>3262</v>
      </c>
      <c r="U454" s="429" t="s">
        <v>3262</v>
      </c>
      <c r="V454" s="422"/>
    </row>
    <row r="455" spans="1:22" ht="15.75" thickBot="1" x14ac:dyDescent="0.3">
      <c r="A455" s="527" t="s">
        <v>2817</v>
      </c>
      <c r="B455" s="527" t="s">
        <v>2817</v>
      </c>
      <c r="C455" s="82" t="str">
        <f t="shared" si="27"/>
        <v>X</v>
      </c>
      <c r="D455">
        <v>2023</v>
      </c>
      <c r="E455" s="250" t="s">
        <v>3499</v>
      </c>
      <c r="F455" s="250" t="s">
        <v>3566</v>
      </c>
      <c r="G455" t="s">
        <v>42</v>
      </c>
      <c r="H455" s="82" t="s">
        <v>42</v>
      </c>
      <c r="I455" s="533">
        <v>160119</v>
      </c>
      <c r="J455" s="425" t="str">
        <f>INDEX(aux!B:B,MATCH(I455,aux!A:A,0))</f>
        <v>Plástico</v>
      </c>
      <c r="K455" s="433" t="str">
        <f>INDEX(aux!C:C,MATCH(I455,aux!A:A,0))</f>
        <v>Não</v>
      </c>
      <c r="L455" s="536">
        <v>7.1999999999999995E-2</v>
      </c>
      <c r="M455" s="534" t="s">
        <v>1532</v>
      </c>
      <c r="N455" s="139">
        <f t="shared" si="28"/>
        <v>72</v>
      </c>
      <c r="O455" s="540" t="s">
        <v>483</v>
      </c>
      <c r="P455" s="231" t="str">
        <f t="shared" si="29"/>
        <v>Reciclagem</v>
      </c>
      <c r="Q455" s="231" t="s">
        <v>1560</v>
      </c>
      <c r="R455" s="231" t="s">
        <v>6569</v>
      </c>
      <c r="S455" s="667" t="s">
        <v>485</v>
      </c>
      <c r="T455" s="540" t="s">
        <v>3262</v>
      </c>
      <c r="U455" s="540" t="s">
        <v>3262</v>
      </c>
      <c r="V455" s="93"/>
    </row>
    <row r="456" spans="1:22" ht="15.75" hidden="1" thickBot="1" x14ac:dyDescent="0.3">
      <c r="A456" s="424" t="s">
        <v>2817</v>
      </c>
      <c r="B456" s="424" t="s">
        <v>2817</v>
      </c>
      <c r="C456" s="82" t="str">
        <f t="shared" si="27"/>
        <v>X</v>
      </c>
      <c r="D456">
        <v>2022</v>
      </c>
      <c r="E456" s="250" t="s">
        <v>3499</v>
      </c>
      <c r="F456" s="250" t="s">
        <v>3566</v>
      </c>
      <c r="G456" t="s">
        <v>42</v>
      </c>
      <c r="H456" s="82" t="s">
        <v>42</v>
      </c>
      <c r="I456" s="302">
        <v>150203</v>
      </c>
      <c r="J456" s="425" t="str">
        <f>INDEX(aux!B:B,MATCH(I456,aux!A:A,0))</f>
        <v>Absorventes, materiais filtrantes, panos de limpeza e vestuário de proteção não abrangidos em 15 02 02</v>
      </c>
      <c r="K456" s="433" t="str">
        <f>INDEX(aux!C:C,MATCH(I456,aux!A:A,0))</f>
        <v>Não</v>
      </c>
      <c r="L456" s="437">
        <v>0.2</v>
      </c>
      <c r="M456" s="433" t="s">
        <v>1532</v>
      </c>
      <c r="N456" s="139">
        <f t="shared" si="28"/>
        <v>200</v>
      </c>
      <c r="O456" s="139" t="s">
        <v>483</v>
      </c>
      <c r="P456" s="231" t="str">
        <f t="shared" si="29"/>
        <v>Reciclagem</v>
      </c>
      <c r="Q456" s="231" t="s">
        <v>1901</v>
      </c>
      <c r="R456" s="231" t="s">
        <v>1892</v>
      </c>
      <c r="S456" s="114" t="str">
        <f>IFERROR(INDEX(Tabela3[Tipos de Tratamento],MATCH('A3.9.1 copy'!O390,Tabela3[Código],0)),"")</f>
        <v>Acumulação de resíduos destinados a uma das operações enumeradas de R1 a R12</v>
      </c>
      <c r="T456" s="429" t="s">
        <v>3262</v>
      </c>
      <c r="U456" s="429" t="s">
        <v>3262</v>
      </c>
      <c r="V456" s="422"/>
    </row>
    <row r="457" spans="1:22" ht="15.75" hidden="1" thickBot="1" x14ac:dyDescent="0.3">
      <c r="A457" s="424" t="s">
        <v>2817</v>
      </c>
      <c r="B457" s="424" t="s">
        <v>2817</v>
      </c>
      <c r="C457" s="82" t="str">
        <f t="shared" si="27"/>
        <v>X</v>
      </c>
      <c r="D457">
        <v>2022</v>
      </c>
      <c r="E457" s="250" t="s">
        <v>3499</v>
      </c>
      <c r="F457" s="250" t="s">
        <v>3566</v>
      </c>
      <c r="G457" t="s">
        <v>42</v>
      </c>
      <c r="H457" s="82" t="s">
        <v>42</v>
      </c>
      <c r="I457" s="302">
        <v>160107</v>
      </c>
      <c r="J457" s="425" t="str">
        <f>INDEX(aux!B:B,MATCH(I457,aux!A:A,0))</f>
        <v>(*) Filtros de óleo</v>
      </c>
      <c r="K457" s="433" t="str">
        <f>INDEX(aux!C:C,MATCH(I457,aux!A:A,0))</f>
        <v>Sim</v>
      </c>
      <c r="L457" s="437">
        <v>1.04</v>
      </c>
      <c r="M457" s="433" t="s">
        <v>1532</v>
      </c>
      <c r="N457" s="139">
        <f t="shared" si="28"/>
        <v>1040</v>
      </c>
      <c r="O457" s="139" t="s">
        <v>484</v>
      </c>
      <c r="P457" s="231" t="str">
        <f t="shared" si="29"/>
        <v>Reciclagem</v>
      </c>
      <c r="Q457" s="231" t="s">
        <v>1901</v>
      </c>
      <c r="R457" s="231" t="s">
        <v>1892</v>
      </c>
      <c r="S457" s="114" t="str">
        <f>IFERROR(INDEX(Tabela3[Tipos de Tratamento],MATCH('A3.9.1 copy'!O391,Tabela3[Código],0)),"")</f>
        <v>Acumulação de resíduos destinados a uma das operações enumeradas de R1 a R12</v>
      </c>
      <c r="T457" s="429" t="s">
        <v>3262</v>
      </c>
      <c r="U457" s="429" t="s">
        <v>3262</v>
      </c>
      <c r="V457" s="422"/>
    </row>
    <row r="458" spans="1:22" ht="15.75" hidden="1" thickBot="1" x14ac:dyDescent="0.3">
      <c r="A458" s="424" t="s">
        <v>2817</v>
      </c>
      <c r="B458" s="424" t="s">
        <v>2817</v>
      </c>
      <c r="C458" s="82" t="str">
        <f t="shared" si="27"/>
        <v>X</v>
      </c>
      <c r="D458">
        <v>2022</v>
      </c>
      <c r="E458" s="250" t="s">
        <v>3499</v>
      </c>
      <c r="F458" s="250" t="s">
        <v>3566</v>
      </c>
      <c r="G458" t="s">
        <v>42</v>
      </c>
      <c r="H458" s="82" t="s">
        <v>42</v>
      </c>
      <c r="I458" s="302">
        <v>160121</v>
      </c>
      <c r="J458" s="425" t="str">
        <f>INDEX(aux!B:B,MATCH(I458,aux!A:A,0))</f>
        <v>(*) Componentes perigosos não abrangidos em 16 01 07 a 16 01 11, 16 01 13 e 16 01 14</v>
      </c>
      <c r="K458" s="433" t="str">
        <f>INDEX(aux!C:C,MATCH(I458,aux!A:A,0))</f>
        <v>Sim</v>
      </c>
      <c r="L458" s="437">
        <v>0.14499999999999999</v>
      </c>
      <c r="M458" s="433" t="s">
        <v>1532</v>
      </c>
      <c r="N458" s="139">
        <f t="shared" si="28"/>
        <v>145</v>
      </c>
      <c r="O458" s="139" t="s">
        <v>484</v>
      </c>
      <c r="P458" s="231" t="str">
        <f t="shared" si="29"/>
        <v>Reciclagem</v>
      </c>
      <c r="Q458" s="231" t="s">
        <v>1901</v>
      </c>
      <c r="R458" s="231" t="s">
        <v>1892</v>
      </c>
      <c r="S458" s="114" t="str">
        <f>IFERROR(INDEX(Tabela3[Tipos de Tratamento],MATCH('A3.9.1 copy'!O393,Tabela3[Código],0)),"")</f>
        <v>Acumulação de resíduos destinados a uma das operações enumeradas de R1 a R12</v>
      </c>
      <c r="T458" s="429" t="s">
        <v>3262</v>
      </c>
      <c r="U458" s="429" t="s">
        <v>3262</v>
      </c>
      <c r="V458" s="422"/>
    </row>
    <row r="459" spans="1:22" ht="15.75" thickBot="1" x14ac:dyDescent="0.3">
      <c r="A459" s="527" t="s">
        <v>2817</v>
      </c>
      <c r="B459" s="527" t="s">
        <v>2817</v>
      </c>
      <c r="C459" s="82" t="str">
        <f t="shared" si="27"/>
        <v>X</v>
      </c>
      <c r="D459">
        <v>2023</v>
      </c>
      <c r="E459" s="250" t="s">
        <v>3499</v>
      </c>
      <c r="F459" s="250" t="s">
        <v>3566</v>
      </c>
      <c r="G459" t="s">
        <v>42</v>
      </c>
      <c r="H459" s="82" t="s">
        <v>42</v>
      </c>
      <c r="I459" s="530">
        <v>130507</v>
      </c>
      <c r="J459" s="425" t="str">
        <f>INDEX(aux!B:B,MATCH(I459,aux!A:A,0))</f>
        <v>(*) Água com óleo proveniente dos separadores óleo/água</v>
      </c>
      <c r="K459" s="433" t="str">
        <f>INDEX(aux!C:C,MATCH(I459,aux!A:A,0))</f>
        <v>Sim</v>
      </c>
      <c r="L459" s="536">
        <v>21.02</v>
      </c>
      <c r="M459" s="534" t="s">
        <v>1532</v>
      </c>
      <c r="N459" s="139">
        <f t="shared" si="28"/>
        <v>21020</v>
      </c>
      <c r="O459" s="540" t="s">
        <v>483</v>
      </c>
      <c r="P459" s="231" t="str">
        <f t="shared" si="29"/>
        <v>Reciclagem</v>
      </c>
      <c r="Q459" s="231" t="s">
        <v>1901</v>
      </c>
      <c r="R459" s="231" t="s">
        <v>1892</v>
      </c>
      <c r="S459" s="667" t="s">
        <v>485</v>
      </c>
      <c r="T459" s="540" t="s">
        <v>6295</v>
      </c>
      <c r="U459" s="540" t="s">
        <v>6295</v>
      </c>
      <c r="V459" s="422"/>
    </row>
    <row r="460" spans="1:22" ht="15.75" thickBot="1" x14ac:dyDescent="0.3">
      <c r="A460" s="527" t="s">
        <v>2817</v>
      </c>
      <c r="B460" s="527" t="s">
        <v>2817</v>
      </c>
      <c r="C460" s="82" t="str">
        <f t="shared" si="27"/>
        <v>X</v>
      </c>
      <c r="D460">
        <v>2023</v>
      </c>
      <c r="E460" s="250" t="s">
        <v>3499</v>
      </c>
      <c r="F460" s="250" t="s">
        <v>3566</v>
      </c>
      <c r="G460" t="s">
        <v>42</v>
      </c>
      <c r="H460" s="82" t="s">
        <v>42</v>
      </c>
      <c r="I460" s="533">
        <v>160121</v>
      </c>
      <c r="J460" s="425" t="str">
        <f>INDEX(aux!B:B,MATCH(I460,aux!A:A,0))</f>
        <v>(*) Componentes perigosos não abrangidos em 16 01 07 a 16 01 11, 16 01 13 e 16 01 14</v>
      </c>
      <c r="K460" s="433" t="str">
        <f>INDEX(aux!C:C,MATCH(I460,aux!A:A,0))</f>
        <v>Sim</v>
      </c>
      <c r="L460" s="536">
        <v>0</v>
      </c>
      <c r="M460" s="534" t="s">
        <v>1532</v>
      </c>
      <c r="N460" s="139">
        <f t="shared" si="28"/>
        <v>0</v>
      </c>
      <c r="O460" s="540" t="s">
        <v>484</v>
      </c>
      <c r="P460" s="231" t="str">
        <f t="shared" si="29"/>
        <v>Reciclagem</v>
      </c>
      <c r="Q460" s="231" t="s">
        <v>1901</v>
      </c>
      <c r="R460" s="231" t="s">
        <v>1892</v>
      </c>
      <c r="S460" s="667" t="s">
        <v>1556</v>
      </c>
      <c r="T460" s="540" t="s">
        <v>3262</v>
      </c>
      <c r="U460" s="540" t="s">
        <v>3262</v>
      </c>
      <c r="V460" s="93"/>
    </row>
    <row r="461" spans="1:22" ht="15.75" thickBot="1" x14ac:dyDescent="0.3">
      <c r="A461" s="527" t="s">
        <v>2817</v>
      </c>
      <c r="B461" s="527" t="s">
        <v>2817</v>
      </c>
      <c r="C461" s="82" t="str">
        <f t="shared" si="27"/>
        <v>X</v>
      </c>
      <c r="D461">
        <v>2023</v>
      </c>
      <c r="E461" s="250" t="s">
        <v>3499</v>
      </c>
      <c r="F461" s="250" t="s">
        <v>3566</v>
      </c>
      <c r="G461" t="s">
        <v>42</v>
      </c>
      <c r="H461" s="82" t="s">
        <v>42</v>
      </c>
      <c r="I461" s="533">
        <v>150203</v>
      </c>
      <c r="J461" s="425" t="str">
        <f>INDEX(aux!B:B,MATCH(I461,aux!A:A,0))</f>
        <v>Absorventes, materiais filtrantes, panos de limpeza e vestuário de proteção não abrangidos em 15 02 02</v>
      </c>
      <c r="K461" s="433" t="str">
        <f>INDEX(aux!C:C,MATCH(I461,aux!A:A,0))</f>
        <v>Não</v>
      </c>
      <c r="L461" s="536">
        <v>0.6</v>
      </c>
      <c r="M461" s="534" t="s">
        <v>1532</v>
      </c>
      <c r="N461" s="139">
        <f t="shared" si="28"/>
        <v>600</v>
      </c>
      <c r="O461" s="540" t="s">
        <v>483</v>
      </c>
      <c r="P461" s="231" t="str">
        <f t="shared" si="29"/>
        <v>Reciclagem</v>
      </c>
      <c r="Q461" s="231" t="s">
        <v>1901</v>
      </c>
      <c r="R461" s="231" t="s">
        <v>1892</v>
      </c>
      <c r="S461" s="667" t="s">
        <v>485</v>
      </c>
      <c r="T461" s="540" t="s">
        <v>3262</v>
      </c>
      <c r="U461" s="540" t="s">
        <v>3262</v>
      </c>
      <c r="V461" s="93"/>
    </row>
    <row r="462" spans="1:22" ht="15.75" thickBot="1" x14ac:dyDescent="0.3">
      <c r="A462" s="527" t="s">
        <v>2817</v>
      </c>
      <c r="B462" s="527" t="s">
        <v>2817</v>
      </c>
      <c r="C462" s="82" t="str">
        <f t="shared" si="27"/>
        <v>X</v>
      </c>
      <c r="D462">
        <v>2023</v>
      </c>
      <c r="E462" s="250" t="s">
        <v>3499</v>
      </c>
      <c r="F462" s="250" t="s">
        <v>3566</v>
      </c>
      <c r="G462" t="s">
        <v>42</v>
      </c>
      <c r="H462" s="82" t="s">
        <v>42</v>
      </c>
      <c r="I462" s="530">
        <v>150202</v>
      </c>
      <c r="J462" s="425" t="str">
        <f>INDEX(aux!B:B,MATCH(I462,aux!A:A,0))</f>
        <v>(*) Absorventes, materiais filtrantes (incluindo filtros de óleo sem outras especificações), panos de limpeza e vestuário de proteção, contaminados por substâncias perigosas</v>
      </c>
      <c r="K462" s="433" t="str">
        <f>INDEX(aux!C:C,MATCH(I462,aux!A:A,0))</f>
        <v>Sim</v>
      </c>
      <c r="L462" s="536">
        <v>0.4</v>
      </c>
      <c r="M462" s="534" t="s">
        <v>1532</v>
      </c>
      <c r="N462" s="139">
        <f t="shared" si="28"/>
        <v>400</v>
      </c>
      <c r="O462" s="540" t="s">
        <v>484</v>
      </c>
      <c r="P462" s="231" t="str">
        <f t="shared" si="29"/>
        <v>Reciclagem</v>
      </c>
      <c r="Q462" s="231" t="s">
        <v>1901</v>
      </c>
      <c r="R462" s="231" t="s">
        <v>1892</v>
      </c>
      <c r="S462" s="667" t="s">
        <v>1553</v>
      </c>
      <c r="T462" s="540" t="s">
        <v>3262</v>
      </c>
      <c r="U462" s="540" t="s">
        <v>3262</v>
      </c>
      <c r="V462" s="93"/>
    </row>
    <row r="463" spans="1:22" ht="15.75" thickBot="1" x14ac:dyDescent="0.3">
      <c r="A463" s="527" t="s">
        <v>2817</v>
      </c>
      <c r="B463" s="527" t="s">
        <v>2817</v>
      </c>
      <c r="C463" s="82" t="str">
        <f t="shared" si="27"/>
        <v>X</v>
      </c>
      <c r="D463">
        <v>2023</v>
      </c>
      <c r="E463" s="250" t="s">
        <v>3499</v>
      </c>
      <c r="F463" s="250" t="s">
        <v>3566</v>
      </c>
      <c r="G463" t="s">
        <v>42</v>
      </c>
      <c r="H463" s="82" t="s">
        <v>42</v>
      </c>
      <c r="I463" s="533">
        <v>160107</v>
      </c>
      <c r="J463" s="425" t="str">
        <f>INDEX(aux!B:B,MATCH(I463,aux!A:A,0))</f>
        <v>(*) Filtros de óleo</v>
      </c>
      <c r="K463" s="433" t="str">
        <f>INDEX(aux!C:C,MATCH(I463,aux!A:A,0))</f>
        <v>Sim</v>
      </c>
      <c r="L463" s="536">
        <v>0</v>
      </c>
      <c r="M463" s="534" t="s">
        <v>1532</v>
      </c>
      <c r="N463" s="139">
        <f t="shared" si="28"/>
        <v>0</v>
      </c>
      <c r="O463" s="540" t="s">
        <v>484</v>
      </c>
      <c r="P463" s="231" t="str">
        <f t="shared" si="29"/>
        <v>Reciclagem</v>
      </c>
      <c r="Q463" s="231" t="s">
        <v>1901</v>
      </c>
      <c r="R463" s="231" t="s">
        <v>1892</v>
      </c>
      <c r="S463" s="667" t="s">
        <v>1553</v>
      </c>
      <c r="T463" s="540" t="s">
        <v>3262</v>
      </c>
      <c r="U463" s="540" t="s">
        <v>3262</v>
      </c>
      <c r="V463" s="93"/>
    </row>
    <row r="464" spans="1:22" ht="15.75" thickBot="1" x14ac:dyDescent="0.3">
      <c r="A464" s="527" t="s">
        <v>2817</v>
      </c>
      <c r="B464" s="527" t="s">
        <v>2817</v>
      </c>
      <c r="C464" s="82" t="str">
        <f t="shared" si="27"/>
        <v>X</v>
      </c>
      <c r="D464">
        <v>2023</v>
      </c>
      <c r="E464" s="250" t="s">
        <v>3499</v>
      </c>
      <c r="F464" s="250" t="s">
        <v>3566</v>
      </c>
      <c r="G464" t="s">
        <v>42</v>
      </c>
      <c r="H464" s="82" t="s">
        <v>42</v>
      </c>
      <c r="I464" s="533">
        <v>160104</v>
      </c>
      <c r="J464" s="425" t="str">
        <f>INDEX(aux!B:B,MATCH(I464,aux!A:A,0))</f>
        <v>Veículos em fim de vida</v>
      </c>
      <c r="K464" s="433" t="str">
        <f>INDEX(aux!C:C,MATCH(I464,aux!A:A,0))</f>
        <v>Sim</v>
      </c>
      <c r="L464" s="536">
        <v>306.10000000000002</v>
      </c>
      <c r="M464" s="534" t="s">
        <v>1532</v>
      </c>
      <c r="N464" s="139">
        <f t="shared" si="28"/>
        <v>306100</v>
      </c>
      <c r="O464" s="540" t="s">
        <v>484</v>
      </c>
      <c r="P464" s="231" t="str">
        <f t="shared" si="29"/>
        <v>Reciclagem</v>
      </c>
      <c r="Q464" s="231" t="s">
        <v>1907</v>
      </c>
      <c r="R464" s="231" t="s">
        <v>6569</v>
      </c>
      <c r="S464" s="667" t="s">
        <v>1553</v>
      </c>
      <c r="T464" s="540" t="s">
        <v>6296</v>
      </c>
      <c r="U464" s="540" t="s">
        <v>6296</v>
      </c>
      <c r="V464" s="93"/>
    </row>
    <row r="465" spans="1:22" ht="15.75" hidden="1" thickBot="1" x14ac:dyDescent="0.3">
      <c r="A465" s="424" t="s">
        <v>4589</v>
      </c>
      <c r="B465" s="424" t="s">
        <v>4589</v>
      </c>
      <c r="C465" s="82" t="str">
        <f t="shared" si="27"/>
        <v>X</v>
      </c>
      <c r="D465">
        <v>2022</v>
      </c>
      <c r="E465" s="250" t="s">
        <v>3499</v>
      </c>
      <c r="F465" s="250" t="s">
        <v>3566</v>
      </c>
      <c r="G465" t="s">
        <v>42</v>
      </c>
      <c r="H465" s="82" t="s">
        <v>42</v>
      </c>
      <c r="I465" s="265">
        <v>130208</v>
      </c>
      <c r="J465" s="425" t="str">
        <f>INDEX(aux!B:B,MATCH(I465,aux!A:A,0))</f>
        <v>(*) Outros óleos de motores, transmissões e lubrificação</v>
      </c>
      <c r="K465" s="433" t="str">
        <f>INDEX(aux!C:C,MATCH(I465,aux!A:A,0))</f>
        <v>Sim</v>
      </c>
      <c r="L465" s="301">
        <f>208*0.9</f>
        <v>187.20000000000002</v>
      </c>
      <c r="M465" s="242" t="s">
        <v>557</v>
      </c>
      <c r="N465" s="139">
        <f t="shared" si="28"/>
        <v>187.20000000000002</v>
      </c>
      <c r="O465" s="139" t="s">
        <v>484</v>
      </c>
      <c r="P465" s="231" t="str">
        <f t="shared" si="29"/>
        <v>Reciclagem</v>
      </c>
      <c r="Q465" s="231" t="s">
        <v>1902</v>
      </c>
      <c r="R465" s="231" t="s">
        <v>1877</v>
      </c>
      <c r="S465" s="114" t="str">
        <f>IFERROR(INDEX(Tabela3[Tipos de Tratamento],MATCH('A3.9.1 copy'!O396,Tabela3[Código],0)),"")</f>
        <v>Acumulação de resíduos destinados a uma das operações enumeradas de R1 a R12</v>
      </c>
      <c r="T465" s="540"/>
      <c r="U465" s="540"/>
      <c r="V465" s="361" t="s">
        <v>3276</v>
      </c>
    </row>
    <row r="466" spans="1:22" ht="15.75" thickBot="1" x14ac:dyDescent="0.3">
      <c r="A466" s="654" t="s">
        <v>4589</v>
      </c>
      <c r="B466" s="654" t="s">
        <v>4589</v>
      </c>
      <c r="C466" s="82" t="str">
        <f t="shared" si="27"/>
        <v>X</v>
      </c>
      <c r="D466">
        <v>2023</v>
      </c>
      <c r="E466" s="250" t="s">
        <v>3499</v>
      </c>
      <c r="F466" s="250" t="s">
        <v>3566</v>
      </c>
      <c r="G466" t="s">
        <v>42</v>
      </c>
      <c r="H466" s="82" t="s">
        <v>42</v>
      </c>
      <c r="I466" s="530">
        <v>130208</v>
      </c>
      <c r="J466" s="425" t="str">
        <f>INDEX(aux!B:B,MATCH(I466,aux!A:A,0))</f>
        <v>(*) Outros óleos de motores, transmissões e lubrificação</v>
      </c>
      <c r="K466" s="433" t="str">
        <f>INDEX(aux!C:C,MATCH(I466,aux!A:A,0))</f>
        <v>Sim</v>
      </c>
      <c r="L466" s="536">
        <v>0.22</v>
      </c>
      <c r="M466" s="534" t="s">
        <v>1532</v>
      </c>
      <c r="N466" s="139">
        <f t="shared" si="28"/>
        <v>220</v>
      </c>
      <c r="O466" s="540" t="s">
        <v>484</v>
      </c>
      <c r="P466" s="231" t="str">
        <f t="shared" si="29"/>
        <v>Reciclagem</v>
      </c>
      <c r="Q466" s="231" t="s">
        <v>1902</v>
      </c>
      <c r="R466" s="231" t="s">
        <v>1877</v>
      </c>
      <c r="S466" s="667" t="s">
        <v>1553</v>
      </c>
      <c r="T466" s="540" t="s">
        <v>6290</v>
      </c>
      <c r="U466" s="540" t="s">
        <v>6290</v>
      </c>
      <c r="V466" s="93"/>
    </row>
    <row r="467" spans="1:22" ht="15.75" hidden="1" thickBot="1" x14ac:dyDescent="0.3">
      <c r="A467" s="424" t="s">
        <v>4589</v>
      </c>
      <c r="B467" s="424" t="s">
        <v>4589</v>
      </c>
      <c r="C467" s="82" t="str">
        <f t="shared" si="27"/>
        <v>X</v>
      </c>
      <c r="D467">
        <v>2022</v>
      </c>
      <c r="E467" s="250" t="s">
        <v>3499</v>
      </c>
      <c r="F467" s="250" t="s">
        <v>3566</v>
      </c>
      <c r="G467" t="s">
        <v>42</v>
      </c>
      <c r="H467" s="82" t="s">
        <v>42</v>
      </c>
      <c r="I467" s="265">
        <v>130502</v>
      </c>
      <c r="J467" s="425" t="str">
        <f>INDEX(aux!B:B,MATCH(I467,aux!A:A,0))</f>
        <v>(*) Lamas provenientes dos separadores óleo/água</v>
      </c>
      <c r="K467" s="433" t="str">
        <f>INDEX(aux!C:C,MATCH(I467,aux!A:A,0))</f>
        <v>Sim</v>
      </c>
      <c r="L467" s="300">
        <f>16*0.9</f>
        <v>14.4</v>
      </c>
      <c r="M467" s="242" t="s">
        <v>1532</v>
      </c>
      <c r="N467" s="139">
        <f t="shared" si="28"/>
        <v>14400</v>
      </c>
      <c r="O467" s="139" t="s">
        <v>503</v>
      </c>
      <c r="P467" s="231" t="str">
        <f t="shared" si="29"/>
        <v>Aterro</v>
      </c>
      <c r="Q467" s="231" t="s">
        <v>1901</v>
      </c>
      <c r="R467" s="231" t="s">
        <v>1892</v>
      </c>
      <c r="S467" s="114" t="str">
        <f>IFERROR(INDEX(Tabela3[Tipos de Tratamento],MATCH('A3.9.1 copy'!O395,Tabela3[Código],0)),"")</f>
        <v>Acumulação de resíduos destinados a uma das operações enumeradas de R1 a R12</v>
      </c>
      <c r="T467" s="540"/>
      <c r="U467" s="540"/>
      <c r="V467" s="361" t="s">
        <v>3277</v>
      </c>
    </row>
    <row r="468" spans="1:22" ht="15.75" hidden="1" thickBot="1" x14ac:dyDescent="0.3">
      <c r="A468" s="424" t="s">
        <v>1912</v>
      </c>
      <c r="B468" s="424" t="s">
        <v>1912</v>
      </c>
      <c r="C468" s="82" t="str">
        <f t="shared" si="27"/>
        <v>X</v>
      </c>
      <c r="D468">
        <v>2022</v>
      </c>
      <c r="E468" s="250" t="s">
        <v>3499</v>
      </c>
      <c r="F468" s="250" t="s">
        <v>3566</v>
      </c>
      <c r="G468" t="s">
        <v>42</v>
      </c>
      <c r="H468" s="82" t="s">
        <v>42</v>
      </c>
      <c r="I468" s="265">
        <v>160112</v>
      </c>
      <c r="J468" s="425" t="str">
        <f>INDEX(aux!B:B,MATCH(I468,aux!A:A,0))</f>
        <v>Pastilhas de travões não abrangidas em 16 01 11</v>
      </c>
      <c r="K468" s="433" t="str">
        <f>INDEX(aux!C:C,MATCH(I468,aux!A:A,0))</f>
        <v>Não</v>
      </c>
      <c r="L468" s="437">
        <v>0.27</v>
      </c>
      <c r="M468" s="433" t="s">
        <v>1532</v>
      </c>
      <c r="N468" s="139">
        <f t="shared" si="28"/>
        <v>270</v>
      </c>
      <c r="O468" s="139" t="s">
        <v>484</v>
      </c>
      <c r="P468" s="231" t="str">
        <f t="shared" si="29"/>
        <v>Reciclagem</v>
      </c>
      <c r="Q468" s="231" t="s">
        <v>1557</v>
      </c>
      <c r="R468" s="231" t="s">
        <v>1903</v>
      </c>
      <c r="S468" s="114" t="str">
        <f>IFERROR(INDEX(Tabela3[Tipos de Tratamento],MATCH('A3.9.1 copy'!O178,Tabela3[Código],0)),"")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68" s="429" t="s">
        <v>3177</v>
      </c>
      <c r="U468" s="429" t="s">
        <v>3177</v>
      </c>
      <c r="V468" s="93"/>
    </row>
    <row r="469" spans="1:22" ht="15.75" hidden="1" thickBot="1" x14ac:dyDescent="0.3">
      <c r="A469" s="424" t="s">
        <v>1912</v>
      </c>
      <c r="B469" s="424" t="s">
        <v>1912</v>
      </c>
      <c r="C469" s="82" t="str">
        <f t="shared" si="27"/>
        <v>X</v>
      </c>
      <c r="D469">
        <v>2022</v>
      </c>
      <c r="E469" s="250" t="s">
        <v>3499</v>
      </c>
      <c r="F469" s="250" t="s">
        <v>3566</v>
      </c>
      <c r="G469" t="s">
        <v>42</v>
      </c>
      <c r="H469" s="82" t="s">
        <v>42</v>
      </c>
      <c r="I469" s="265">
        <v>160117</v>
      </c>
      <c r="J469" s="425" t="str">
        <f>INDEX(aux!B:B,MATCH(I469,aux!A:A,0))</f>
        <v>Metais ferrosos</v>
      </c>
      <c r="K469" s="433" t="str">
        <f>INDEX(aux!C:C,MATCH(I469,aux!A:A,0))</f>
        <v>Não</v>
      </c>
      <c r="L469" s="437">
        <v>1.0900000000000001</v>
      </c>
      <c r="M469" s="433" t="s">
        <v>1532</v>
      </c>
      <c r="N469" s="139">
        <f t="shared" si="28"/>
        <v>1090</v>
      </c>
      <c r="O469" s="139" t="s">
        <v>483</v>
      </c>
      <c r="P469" s="231" t="str">
        <f t="shared" si="29"/>
        <v>Reciclagem</v>
      </c>
      <c r="Q469" s="231" t="s">
        <v>1557</v>
      </c>
      <c r="R469" s="231" t="s">
        <v>1903</v>
      </c>
      <c r="S469" s="114" t="str">
        <f>IFERROR(INDEX(Tabela3[Tipos de Tratamento],MATCH('A3.9.1 copy'!O179,Tabela3[Código],0)),"")</f>
        <v xml:space="preserve">Troca de resíduos com vista a submetê-los a uma das operações enumeradas de R 1 a R 11 </v>
      </c>
      <c r="T469" s="429" t="s">
        <v>3180</v>
      </c>
      <c r="U469" s="429" t="s">
        <v>3180</v>
      </c>
      <c r="V469" s="93"/>
    </row>
    <row r="470" spans="1:22" ht="15.75" hidden="1" thickBot="1" x14ac:dyDescent="0.3">
      <c r="A470" s="424" t="s">
        <v>1912</v>
      </c>
      <c r="B470" s="424" t="s">
        <v>1912</v>
      </c>
      <c r="C470" s="82" t="str">
        <f t="shared" si="27"/>
        <v>X</v>
      </c>
      <c r="D470">
        <v>2022</v>
      </c>
      <c r="E470" s="250" t="s">
        <v>3499</v>
      </c>
      <c r="F470" s="250" t="s">
        <v>3566</v>
      </c>
      <c r="G470" t="s">
        <v>42</v>
      </c>
      <c r="H470" s="82" t="s">
        <v>42</v>
      </c>
      <c r="I470" s="265">
        <v>130208</v>
      </c>
      <c r="J470" s="425" t="str">
        <f>INDEX(aux!B:B,MATCH(I470,aux!A:A,0))</f>
        <v>(*) Outros óleos de motores, transmissões e lubrificação</v>
      </c>
      <c r="K470" s="433" t="str">
        <f>INDEX(aux!C:C,MATCH(I470,aux!A:A,0))</f>
        <v>Sim</v>
      </c>
      <c r="L470" s="437">
        <v>1.3160000000000001</v>
      </c>
      <c r="M470" s="433" t="s">
        <v>1532</v>
      </c>
      <c r="N470" s="139">
        <f t="shared" si="28"/>
        <v>1316</v>
      </c>
      <c r="O470" s="139" t="s">
        <v>483</v>
      </c>
      <c r="P470" s="231" t="str">
        <f t="shared" si="29"/>
        <v>Reciclagem</v>
      </c>
      <c r="Q470" s="231" t="s">
        <v>1902</v>
      </c>
      <c r="R470" s="231" t="s">
        <v>1877</v>
      </c>
      <c r="S470" s="114" t="str">
        <f>IFERROR(INDEX(Tabela3[Tipos de Tratamento],MATCH('A3.9.1 copy'!O173,Tabela3[Código],0)),"")</f>
        <v xml:space="preserve">Troca de resíduos com vista a submetê-los a uma das operações enumeradas de R 1 a R 11 </v>
      </c>
      <c r="T470" s="429" t="s">
        <v>3177</v>
      </c>
      <c r="U470" s="429" t="s">
        <v>3177</v>
      </c>
      <c r="V470" s="93"/>
    </row>
    <row r="471" spans="1:22" ht="15.75" hidden="1" thickBot="1" x14ac:dyDescent="0.3">
      <c r="A471" s="424" t="s">
        <v>1912</v>
      </c>
      <c r="B471" s="424" t="s">
        <v>1912</v>
      </c>
      <c r="C471" s="82" t="str">
        <f t="shared" si="27"/>
        <v>X</v>
      </c>
      <c r="D471">
        <v>2022</v>
      </c>
      <c r="E471" s="250" t="s">
        <v>3499</v>
      </c>
      <c r="F471" s="250" t="s">
        <v>3566</v>
      </c>
      <c r="G471" t="s">
        <v>42</v>
      </c>
      <c r="H471" s="82" t="s">
        <v>42</v>
      </c>
      <c r="I471" s="265">
        <v>140603</v>
      </c>
      <c r="J471" s="425" t="str">
        <f>INDEX(aux!B:B,MATCH(I471,aux!A:A,0))</f>
        <v>Outros solventes e misturas de solventes</v>
      </c>
      <c r="K471" s="433" t="str">
        <f>INDEX(aux!C:C,MATCH(I471,aux!A:A,0))</f>
        <v>Sim</v>
      </c>
      <c r="L471" s="437">
        <v>0.08</v>
      </c>
      <c r="M471" s="433" t="s">
        <v>1532</v>
      </c>
      <c r="N471" s="139">
        <f t="shared" si="28"/>
        <v>80</v>
      </c>
      <c r="O471" s="139" t="s">
        <v>483</v>
      </c>
      <c r="P471" s="231" t="str">
        <f t="shared" si="29"/>
        <v>Reciclagem</v>
      </c>
      <c r="Q471" s="231" t="s">
        <v>1901</v>
      </c>
      <c r="R471" s="231" t="s">
        <v>1892</v>
      </c>
      <c r="S471" s="114" t="str">
        <f>IFERROR(INDEX(Tabela3[Tipos de Tratamento],MATCH('A3.9.1 copy'!O174,Tabela3[Código],0)),"")</f>
        <v>Acumulação de resíduos destinados a uma das operações enumeradas de R1 a R12</v>
      </c>
      <c r="T471" s="429" t="s">
        <v>3178</v>
      </c>
      <c r="U471" s="429" t="s">
        <v>3178</v>
      </c>
      <c r="V471" s="93"/>
    </row>
    <row r="472" spans="1:22" ht="15.75" hidden="1" thickBot="1" x14ac:dyDescent="0.3">
      <c r="A472" s="424" t="s">
        <v>1912</v>
      </c>
      <c r="B472" s="424" t="s">
        <v>1912</v>
      </c>
      <c r="C472" s="82" t="str">
        <f t="shared" si="27"/>
        <v>X</v>
      </c>
      <c r="D472">
        <v>2022</v>
      </c>
      <c r="E472" s="250" t="s">
        <v>3499</v>
      </c>
      <c r="F472" s="250" t="s">
        <v>3566</v>
      </c>
      <c r="G472" t="s">
        <v>42</v>
      </c>
      <c r="H472" s="82" t="s">
        <v>42</v>
      </c>
      <c r="I472" s="265">
        <v>150203</v>
      </c>
      <c r="J472" s="425" t="str">
        <f>INDEX(aux!B:B,MATCH(I472,aux!A:A,0))</f>
        <v>Absorventes, materiais filtrantes, panos de limpeza e vestuário de proteção não abrangidos em 15 02 02</v>
      </c>
      <c r="K472" s="433" t="str">
        <f>INDEX(aux!C:C,MATCH(I472,aux!A:A,0))</f>
        <v>Não</v>
      </c>
      <c r="L472" s="437">
        <v>0.2</v>
      </c>
      <c r="M472" s="433" t="s">
        <v>1532</v>
      </c>
      <c r="N472" s="139">
        <f t="shared" si="28"/>
        <v>200</v>
      </c>
      <c r="O472" s="139" t="s">
        <v>484</v>
      </c>
      <c r="P472" s="231" t="str">
        <f t="shared" si="29"/>
        <v>Reciclagem</v>
      </c>
      <c r="Q472" s="231" t="s">
        <v>1901</v>
      </c>
      <c r="R472" s="231" t="s">
        <v>1892</v>
      </c>
      <c r="S472" s="114" t="str">
        <f>IFERROR(INDEX(Tabela3[Tipos de Tratamento],MATCH('A3.9.1 copy'!O175,Tabela3[Código],0)),"")</f>
        <v>Acumulação de resíduos destinados a uma das operações enumeradas de R1 a R12</v>
      </c>
      <c r="T472" s="429" t="s">
        <v>3177</v>
      </c>
      <c r="U472" s="429" t="s">
        <v>3177</v>
      </c>
      <c r="V472" s="422"/>
    </row>
    <row r="473" spans="1:22" ht="15.75" hidden="1" thickBot="1" x14ac:dyDescent="0.3">
      <c r="A473" s="424" t="s">
        <v>1912</v>
      </c>
      <c r="B473" s="424" t="s">
        <v>1912</v>
      </c>
      <c r="C473" s="82" t="str">
        <f t="shared" si="27"/>
        <v>X</v>
      </c>
      <c r="D473">
        <v>2022</v>
      </c>
      <c r="E473" s="250" t="s">
        <v>3499</v>
      </c>
      <c r="F473" s="250" t="s">
        <v>3566</v>
      </c>
      <c r="G473" t="s">
        <v>42</v>
      </c>
      <c r="H473" s="82" t="s">
        <v>42</v>
      </c>
      <c r="I473" s="265">
        <v>160107</v>
      </c>
      <c r="J473" s="425" t="str">
        <f>INDEX(aux!B:B,MATCH(I473,aux!A:A,0))</f>
        <v>(*) Filtros de óleo</v>
      </c>
      <c r="K473" s="433" t="str">
        <f>INDEX(aux!C:C,MATCH(I473,aux!A:A,0))</f>
        <v>Sim</v>
      </c>
      <c r="L473" s="437">
        <v>0.104</v>
      </c>
      <c r="M473" s="433" t="s">
        <v>1532</v>
      </c>
      <c r="N473" s="139">
        <f t="shared" si="28"/>
        <v>104</v>
      </c>
      <c r="O473" s="139" t="s">
        <v>483</v>
      </c>
      <c r="P473" s="231" t="str">
        <f t="shared" si="29"/>
        <v>Reciclagem</v>
      </c>
      <c r="Q473" s="231" t="s">
        <v>1901</v>
      </c>
      <c r="R473" s="231" t="s">
        <v>1892</v>
      </c>
      <c r="S473" s="114" t="str">
        <f>IFERROR(INDEX(Tabela3[Tipos de Tratamento],MATCH('A3.9.1 copy'!O177,Tabela3[Código],0)),"")</f>
        <v xml:space="preserve">Troca de resíduos com vista a submetê-los a uma das operações enumeradas de R 1 a R 11 </v>
      </c>
      <c r="T473" s="429" t="s">
        <v>3177</v>
      </c>
      <c r="U473" s="429" t="s">
        <v>3177</v>
      </c>
      <c r="V473" s="422"/>
    </row>
    <row r="474" spans="1:22" ht="15.75" hidden="1" thickBot="1" x14ac:dyDescent="0.3">
      <c r="A474" s="424" t="s">
        <v>1912</v>
      </c>
      <c r="B474" s="424" t="s">
        <v>1912</v>
      </c>
      <c r="C474" s="82" t="str">
        <f t="shared" si="27"/>
        <v>X</v>
      </c>
      <c r="D474">
        <v>2022</v>
      </c>
      <c r="E474" s="250" t="s">
        <v>3499</v>
      </c>
      <c r="F474" s="250" t="s">
        <v>3566</v>
      </c>
      <c r="G474" t="s">
        <v>42</v>
      </c>
      <c r="H474" s="82" t="s">
        <v>42</v>
      </c>
      <c r="I474" s="265">
        <v>160121</v>
      </c>
      <c r="J474" s="425" t="str">
        <f>INDEX(aux!B:B,MATCH(I474,aux!A:A,0))</f>
        <v>(*) Componentes perigosos não abrangidos em 16 01 07 a 16 01 11, 16 01 13 e 16 01 14</v>
      </c>
      <c r="K474" s="433" t="str">
        <f>INDEX(aux!C:C,MATCH(I474,aux!A:A,0))</f>
        <v>Sim</v>
      </c>
      <c r="L474" s="437">
        <v>0.84</v>
      </c>
      <c r="M474" s="433" t="s">
        <v>1532</v>
      </c>
      <c r="N474" s="139">
        <f t="shared" si="28"/>
        <v>840</v>
      </c>
      <c r="O474" s="139" t="s">
        <v>484</v>
      </c>
      <c r="P474" s="231" t="str">
        <f t="shared" si="29"/>
        <v>Reciclagem</v>
      </c>
      <c r="Q474" s="231" t="s">
        <v>1901</v>
      </c>
      <c r="R474" s="231" t="s">
        <v>1892</v>
      </c>
      <c r="S474" s="114" t="str">
        <f>IFERROR(INDEX(Tabela3[Tipos de Tratamento],MATCH('A3.9.1 copy'!O180,Tabela3[Código],0)),"")</f>
        <v xml:space="preserve">Troca de resíduos com vista a submetê-los a uma das operações enumeradas de R 1 a R 11 </v>
      </c>
      <c r="T474" s="429" t="s">
        <v>3177</v>
      </c>
      <c r="U474" s="429" t="s">
        <v>3177</v>
      </c>
      <c r="V474" s="422"/>
    </row>
    <row r="475" spans="1:22" ht="15.75" hidden="1" thickBot="1" x14ac:dyDescent="0.3">
      <c r="A475" s="424" t="s">
        <v>1912</v>
      </c>
      <c r="B475" s="424" t="s">
        <v>1912</v>
      </c>
      <c r="C475" s="82" t="str">
        <f t="shared" si="27"/>
        <v>X</v>
      </c>
      <c r="D475">
        <v>2022</v>
      </c>
      <c r="E475" s="250" t="s">
        <v>3499</v>
      </c>
      <c r="F475" s="250" t="s">
        <v>3566</v>
      </c>
      <c r="G475" t="s">
        <v>42</v>
      </c>
      <c r="H475" s="82" t="s">
        <v>42</v>
      </c>
      <c r="I475" s="265">
        <v>160199</v>
      </c>
      <c r="J475" s="425" t="str">
        <f>INDEX(aux!B:B,MATCH(I475,aux!A:A,0))</f>
        <v>Resíduos sem outras especificações</v>
      </c>
      <c r="K475" s="433" t="str">
        <f>INDEX(aux!C:C,MATCH(I475,aux!A:A,0))</f>
        <v>Não</v>
      </c>
      <c r="L475" s="437">
        <v>1.125</v>
      </c>
      <c r="M475" s="433" t="s">
        <v>1532</v>
      </c>
      <c r="N475" s="139">
        <f t="shared" si="28"/>
        <v>1125</v>
      </c>
      <c r="O475" s="139" t="s">
        <v>483</v>
      </c>
      <c r="P475" s="231" t="str">
        <f t="shared" si="29"/>
        <v>Reciclagem</v>
      </c>
      <c r="Q475" s="231" t="s">
        <v>1901</v>
      </c>
      <c r="R475" s="231" t="s">
        <v>1892</v>
      </c>
      <c r="S475" s="114" t="str">
        <f>IFERROR(INDEX(Tabela3[Tipos de Tratamento],MATCH('A3.9.1 copy'!O181,Tabela3[Código],0)),"")</f>
        <v>Acumulação de resíduos destinados a uma das operações enumeradas de R1 a R12</v>
      </c>
      <c r="T475" s="429" t="s">
        <v>3181</v>
      </c>
      <c r="U475" s="429" t="s">
        <v>3181</v>
      </c>
      <c r="V475" s="422"/>
    </row>
    <row r="476" spans="1:22" ht="15.75" hidden="1" thickBot="1" x14ac:dyDescent="0.3">
      <c r="A476" s="424" t="s">
        <v>1912</v>
      </c>
      <c r="B476" s="424" t="s">
        <v>1912</v>
      </c>
      <c r="C476" s="82" t="str">
        <f t="shared" si="27"/>
        <v>X</v>
      </c>
      <c r="D476">
        <v>2022</v>
      </c>
      <c r="E476" s="250" t="s">
        <v>3499</v>
      </c>
      <c r="F476" s="250" t="s">
        <v>3566</v>
      </c>
      <c r="G476" t="s">
        <v>42</v>
      </c>
      <c r="H476" s="82" t="s">
        <v>42</v>
      </c>
      <c r="I476" s="265">
        <v>160199</v>
      </c>
      <c r="J476" s="425" t="str">
        <f>INDEX(aux!B:B,MATCH(I476,aux!A:A,0))</f>
        <v>Resíduos sem outras especificações</v>
      </c>
      <c r="K476" s="433" t="str">
        <f>INDEX(aux!C:C,MATCH(I476,aux!A:A,0))</f>
        <v>Não</v>
      </c>
      <c r="L476" s="437">
        <v>0.375</v>
      </c>
      <c r="M476" s="433" t="s">
        <v>1532</v>
      </c>
      <c r="N476" s="139">
        <f t="shared" si="28"/>
        <v>375</v>
      </c>
      <c r="O476" s="139" t="s">
        <v>484</v>
      </c>
      <c r="P476" s="231" t="str">
        <f t="shared" si="29"/>
        <v>Reciclagem</v>
      </c>
      <c r="Q476" s="231" t="s">
        <v>1901</v>
      </c>
      <c r="R476" s="231" t="s">
        <v>1892</v>
      </c>
      <c r="S476" s="114" t="str">
        <f>IFERROR(INDEX(Tabela3[Tipos de Tratamento],MATCH('A3.9.1 copy'!O182,Tabela3[Código],0)),"")</f>
        <v xml:space="preserve">Troca de resíduos com vista a submetê-los a uma das operações enumeradas de R 1 a R 11 </v>
      </c>
      <c r="T476" s="429" t="s">
        <v>3181</v>
      </c>
      <c r="U476" s="429" t="s">
        <v>3181</v>
      </c>
      <c r="V476" s="422"/>
    </row>
    <row r="477" spans="1:22" ht="15.75" hidden="1" thickBot="1" x14ac:dyDescent="0.3">
      <c r="A477" s="424" t="s">
        <v>1912</v>
      </c>
      <c r="B477" s="424" t="s">
        <v>1912</v>
      </c>
      <c r="C477" s="82" t="str">
        <f t="shared" si="27"/>
        <v>X</v>
      </c>
      <c r="D477">
        <v>2022</v>
      </c>
      <c r="E477" s="250" t="s">
        <v>3499</v>
      </c>
      <c r="F477" s="250" t="s">
        <v>3566</v>
      </c>
      <c r="G477" t="s">
        <v>42</v>
      </c>
      <c r="H477" s="82" t="s">
        <v>42</v>
      </c>
      <c r="I477" s="265">
        <v>160104</v>
      </c>
      <c r="J477" s="425" t="str">
        <f>INDEX(aux!B:B,MATCH(I477,aux!A:A,0))</f>
        <v>Veículos em fim de vida</v>
      </c>
      <c r="K477" s="433" t="str">
        <f>INDEX(aux!C:C,MATCH(I477,aux!A:A,0))</f>
        <v>Sim</v>
      </c>
      <c r="L477" s="437">
        <v>5.96</v>
      </c>
      <c r="M477" s="433" t="s">
        <v>1532</v>
      </c>
      <c r="N477" s="139">
        <f t="shared" si="28"/>
        <v>5960</v>
      </c>
      <c r="O477" s="139" t="s">
        <v>483</v>
      </c>
      <c r="P477" s="231" t="str">
        <f t="shared" si="29"/>
        <v>Reciclagem</v>
      </c>
      <c r="Q477" s="231" t="s">
        <v>1907</v>
      </c>
      <c r="R477" s="231" t="s">
        <v>1903</v>
      </c>
      <c r="S477" s="114" t="str">
        <f>IFERROR(INDEX(Tabela3[Tipos de Tratamento],MATCH('A3.9.1 copy'!O176,Tabela3[Código],0)),"")</f>
        <v xml:space="preserve">Troca de resíduos com vista a submetê-los a uma das operações enumeradas de R 1 a R 11 </v>
      </c>
      <c r="T477" s="429" t="s">
        <v>3179</v>
      </c>
      <c r="U477" s="429" t="s">
        <v>3179</v>
      </c>
      <c r="V477" s="93"/>
    </row>
    <row r="478" spans="1:22" ht="15.75" hidden="1" thickBot="1" x14ac:dyDescent="0.3">
      <c r="A478" s="527" t="s">
        <v>4600</v>
      </c>
      <c r="B478" s="424" t="s">
        <v>4600</v>
      </c>
      <c r="C478" s="82" t="str">
        <f t="shared" si="27"/>
        <v>X</v>
      </c>
      <c r="D478">
        <v>2022</v>
      </c>
      <c r="E478" s="250" t="s">
        <v>3499</v>
      </c>
      <c r="F478" s="250" t="s">
        <v>3566</v>
      </c>
      <c r="G478" t="s">
        <v>42</v>
      </c>
      <c r="H478" s="82" t="s">
        <v>42</v>
      </c>
      <c r="I478" s="302">
        <v>200136</v>
      </c>
      <c r="J478" s="425" t="str">
        <f>INDEX(aux!B:B,MATCH(I478,aux!A:A,0))</f>
        <v>Equipamento elétrico e eletrónico fora de uso não abrangido em 20 01 21, 20 01 23 ou 20 01 35</v>
      </c>
      <c r="K478" s="433" t="str">
        <f>INDEX(aux!C:C,MATCH(I478,aux!A:A,0))</f>
        <v>Não</v>
      </c>
      <c r="L478" s="139">
        <v>7120</v>
      </c>
      <c r="M478" s="433" t="s">
        <v>557</v>
      </c>
      <c r="N478" s="139">
        <f t="shared" si="28"/>
        <v>7120</v>
      </c>
      <c r="O478" s="139" t="s">
        <v>484</v>
      </c>
      <c r="P478" s="231" t="str">
        <f t="shared" si="29"/>
        <v>Reciclagem</v>
      </c>
      <c r="Q478" s="231" t="s">
        <v>1909</v>
      </c>
      <c r="R478" s="231" t="s">
        <v>1877</v>
      </c>
      <c r="S478" s="114" t="str">
        <f>IFERROR(INDEX(Tabela3[Tipos de Tratamento],MATCH('A3.9.1 copy'!O579,Tabela3[Código],0)),"")</f>
        <v>Armazenagem enquanto se aguarda a execução de uma das operações enumeradas de D1 a D14</v>
      </c>
      <c r="T478" s="429" t="s">
        <v>3865</v>
      </c>
      <c r="U478" s="429" t="s">
        <v>3865</v>
      </c>
      <c r="V478" s="93"/>
    </row>
    <row r="479" spans="1:22" ht="15.75" hidden="1" thickBot="1" x14ac:dyDescent="0.3">
      <c r="A479" s="527" t="s">
        <v>4600</v>
      </c>
      <c r="B479" s="424" t="s">
        <v>4600</v>
      </c>
      <c r="C479" s="82" t="str">
        <f t="shared" si="27"/>
        <v>X</v>
      </c>
      <c r="D479">
        <v>2022</v>
      </c>
      <c r="E479" s="250" t="s">
        <v>3499</v>
      </c>
      <c r="F479" s="250" t="s">
        <v>3566</v>
      </c>
      <c r="G479" t="s">
        <v>42</v>
      </c>
      <c r="H479" s="82" t="s">
        <v>42</v>
      </c>
      <c r="I479" s="302">
        <v>170201</v>
      </c>
      <c r="J479" s="425" t="str">
        <f>INDEX(aux!B:B,MATCH(I479,aux!A:A,0))</f>
        <v>Madeira</v>
      </c>
      <c r="K479" s="433" t="str">
        <f>INDEX(aux!C:C,MATCH(I479,aux!A:A,0))</f>
        <v>Não</v>
      </c>
      <c r="L479" s="139">
        <v>3500</v>
      </c>
      <c r="M479" s="433" t="s">
        <v>557</v>
      </c>
      <c r="N479" s="139">
        <f t="shared" si="28"/>
        <v>3500</v>
      </c>
      <c r="O479" s="139" t="s">
        <v>483</v>
      </c>
      <c r="P479" s="231" t="str">
        <f t="shared" si="29"/>
        <v>Reciclagem</v>
      </c>
      <c r="Q479" s="231" t="s">
        <v>1905</v>
      </c>
      <c r="R479" s="231" t="s">
        <v>1903</v>
      </c>
      <c r="S479" s="114" t="str">
        <f>IFERROR(INDEX(Tabela3[Tipos de Tratamento],MATCH('A3.9.1 copy'!O576,Tabela3[Código],0)),"")</f>
        <v>Armazenagem enquanto se aguarda a execução de uma das operações enumeradas de D1 a D14</v>
      </c>
      <c r="T479" s="429" t="s">
        <v>3865</v>
      </c>
      <c r="U479" s="429" t="s">
        <v>3865</v>
      </c>
      <c r="V479" s="93"/>
    </row>
    <row r="480" spans="1:22" ht="15.75" hidden="1" thickBot="1" x14ac:dyDescent="0.3">
      <c r="A480" s="527" t="s">
        <v>4600</v>
      </c>
      <c r="B480" s="424" t="s">
        <v>4600</v>
      </c>
      <c r="C480" s="82" t="str">
        <f t="shared" si="27"/>
        <v>X</v>
      </c>
      <c r="D480">
        <v>2022</v>
      </c>
      <c r="E480" s="250" t="s">
        <v>3499</v>
      </c>
      <c r="F480" s="250" t="s">
        <v>3566</v>
      </c>
      <c r="G480" t="s">
        <v>42</v>
      </c>
      <c r="H480" s="82" t="s">
        <v>42</v>
      </c>
      <c r="I480" s="302">
        <v>120101</v>
      </c>
      <c r="J480" s="425" t="str">
        <f>INDEX(aux!B:B,MATCH(I480,aux!A:A,0))</f>
        <v>Aparas e limalhas de metais ferrosos</v>
      </c>
      <c r="K480" s="433" t="str">
        <f>INDEX(aux!C:C,MATCH(I480,aux!A:A,0))</f>
        <v>Não</v>
      </c>
      <c r="L480" s="139">
        <v>3200</v>
      </c>
      <c r="M480" s="433" t="s">
        <v>557</v>
      </c>
      <c r="N480" s="139">
        <f t="shared" si="28"/>
        <v>3200</v>
      </c>
      <c r="O480" s="139" t="s">
        <v>483</v>
      </c>
      <c r="P480" s="231" t="str">
        <f t="shared" si="29"/>
        <v>Reciclagem</v>
      </c>
      <c r="Q480" s="231" t="s">
        <v>1557</v>
      </c>
      <c r="R480" s="231" t="s">
        <v>1903</v>
      </c>
      <c r="S480" s="114" t="str">
        <f>IFERROR(INDEX(Tabela3[Tipos de Tratamento],MATCH('A3.9.1 copy'!O567,Tabela3[Código],0)),"")</f>
        <v>Acumulação de resíduos destinados a uma das operações enumeradas de R1 a R12</v>
      </c>
      <c r="T480" s="429" t="s">
        <v>3859</v>
      </c>
      <c r="U480" s="429" t="s">
        <v>3847</v>
      </c>
      <c r="V480" s="93"/>
    </row>
    <row r="481" spans="1:22" ht="15.75" thickBot="1" x14ac:dyDescent="0.3">
      <c r="A481" s="527" t="s">
        <v>4600</v>
      </c>
      <c r="B481" s="527" t="s">
        <v>4600</v>
      </c>
      <c r="C481" s="82" t="str">
        <f t="shared" si="27"/>
        <v>X</v>
      </c>
      <c r="D481">
        <v>2023</v>
      </c>
      <c r="E481" s="250" t="s">
        <v>3499</v>
      </c>
      <c r="F481" s="250" t="s">
        <v>3566</v>
      </c>
      <c r="G481" t="s">
        <v>42</v>
      </c>
      <c r="H481" s="82" t="s">
        <v>42</v>
      </c>
      <c r="I481" s="533">
        <v>120101</v>
      </c>
      <c r="J481" s="425" t="str">
        <f>INDEX(aux!B:B,MATCH(I481,aux!A:A,0))</f>
        <v>Aparas e limalhas de metais ferrosos</v>
      </c>
      <c r="K481" s="433" t="str">
        <f>INDEX(aux!C:C,MATCH(I481,aux!A:A,0))</f>
        <v>Não</v>
      </c>
      <c r="L481" s="536">
        <v>3000</v>
      </c>
      <c r="M481" s="534" t="s">
        <v>557</v>
      </c>
      <c r="N481" s="139">
        <f t="shared" si="28"/>
        <v>3000</v>
      </c>
      <c r="O481" s="540" t="s">
        <v>483</v>
      </c>
      <c r="P481" s="231" t="str">
        <f t="shared" si="29"/>
        <v>Reciclagem</v>
      </c>
      <c r="Q481" s="231" t="s">
        <v>1557</v>
      </c>
      <c r="R481" s="231" t="s">
        <v>6569</v>
      </c>
      <c r="S481" s="667" t="s">
        <v>3594</v>
      </c>
      <c r="T481" s="540" t="s">
        <v>3859</v>
      </c>
      <c r="U481" s="540" t="s">
        <v>3847</v>
      </c>
      <c r="V481" s="93"/>
    </row>
    <row r="482" spans="1:22" ht="15.75" hidden="1" thickBot="1" x14ac:dyDescent="0.3">
      <c r="A482" s="527" t="s">
        <v>4600</v>
      </c>
      <c r="B482" s="424" t="s">
        <v>4600</v>
      </c>
      <c r="C482" s="82" t="str">
        <f t="shared" si="27"/>
        <v>X</v>
      </c>
      <c r="D482">
        <v>2022</v>
      </c>
      <c r="E482" s="250" t="s">
        <v>3499</v>
      </c>
      <c r="F482" s="250" t="s">
        <v>3566</v>
      </c>
      <c r="G482" t="s">
        <v>42</v>
      </c>
      <c r="H482" s="82" t="s">
        <v>42</v>
      </c>
      <c r="I482" s="302">
        <v>130208</v>
      </c>
      <c r="J482" s="425" t="str">
        <f>INDEX(aux!B:B,MATCH(I482,aux!A:A,0))</f>
        <v>(*) Outros óleos de motores, transmissões e lubrificação</v>
      </c>
      <c r="K482" s="433" t="str">
        <f>INDEX(aux!C:C,MATCH(I482,aux!A:A,0))</f>
        <v>Sim</v>
      </c>
      <c r="L482" s="139">
        <v>507</v>
      </c>
      <c r="M482" s="433" t="s">
        <v>557</v>
      </c>
      <c r="N482" s="139">
        <f t="shared" si="28"/>
        <v>507</v>
      </c>
      <c r="O482" s="139" t="s">
        <v>480</v>
      </c>
      <c r="P482" s="231" t="str">
        <f t="shared" si="29"/>
        <v>Reciclagem</v>
      </c>
      <c r="Q482" s="231" t="s">
        <v>1902</v>
      </c>
      <c r="R482" s="231" t="s">
        <v>1877</v>
      </c>
      <c r="S482" s="114" t="str">
        <f>IFERROR(INDEX(Tabela3[Tipos de Tratamento],MATCH('A3.9.1 copy'!O568,Tabela3[Código],0)),"")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82" s="429" t="s">
        <v>3860</v>
      </c>
      <c r="U482" s="429" t="s">
        <v>3274</v>
      </c>
      <c r="V482" s="93"/>
    </row>
    <row r="483" spans="1:22" ht="15.75" hidden="1" thickBot="1" x14ac:dyDescent="0.3">
      <c r="A483" s="527" t="s">
        <v>4600</v>
      </c>
      <c r="B483" s="424" t="s">
        <v>4600</v>
      </c>
      <c r="C483" s="82" t="str">
        <f t="shared" si="27"/>
        <v>X</v>
      </c>
      <c r="D483">
        <v>2022</v>
      </c>
      <c r="E483" s="250" t="s">
        <v>3499</v>
      </c>
      <c r="F483" s="250" t="s">
        <v>3566</v>
      </c>
      <c r="G483" t="s">
        <v>42</v>
      </c>
      <c r="H483" s="82" t="s">
        <v>42</v>
      </c>
      <c r="I483" s="531">
        <v>200101</v>
      </c>
      <c r="J483" s="425" t="str">
        <f>INDEX(aux!B:B,MATCH(I483,aux!A:A,0))</f>
        <v xml:space="preserve">Papel e Cartão </v>
      </c>
      <c r="K483" s="433" t="str">
        <f>INDEX(aux!C:C,MATCH(I483,aux!A:A,0))</f>
        <v>Não</v>
      </c>
      <c r="L483" s="139">
        <v>375</v>
      </c>
      <c r="M483" s="433" t="s">
        <v>557</v>
      </c>
      <c r="N483" s="139">
        <f t="shared" si="28"/>
        <v>375</v>
      </c>
      <c r="O483" s="139" t="s">
        <v>483</v>
      </c>
      <c r="P483" s="231" t="str">
        <f t="shared" si="29"/>
        <v>Reciclagem</v>
      </c>
      <c r="Q483" s="231" t="s">
        <v>1904</v>
      </c>
      <c r="R483" s="231" t="s">
        <v>1903</v>
      </c>
      <c r="S483" s="543" t="str">
        <f>IFERROR(INDEX(Tabela3[Tipos de Tratamento],MATCH('A3.9.1 copy'!O577,Tabela3[Código],0)),"")</f>
        <v>Armazenagem enquanto se aguarda a execução de uma das operações enumeradas de D1 a D14</v>
      </c>
      <c r="T483" s="429" t="s">
        <v>3861</v>
      </c>
      <c r="U483" s="429" t="s">
        <v>3861</v>
      </c>
      <c r="V483" s="527"/>
    </row>
    <row r="484" spans="1:22" ht="15.75" thickBot="1" x14ac:dyDescent="0.3">
      <c r="A484" s="527" t="s">
        <v>4600</v>
      </c>
      <c r="B484" s="527" t="s">
        <v>4600</v>
      </c>
      <c r="C484" s="82" t="str">
        <f t="shared" si="27"/>
        <v>X</v>
      </c>
      <c r="D484">
        <v>2023</v>
      </c>
      <c r="E484" s="250" t="s">
        <v>3499</v>
      </c>
      <c r="F484" s="250" t="s">
        <v>3566</v>
      </c>
      <c r="G484" t="s">
        <v>42</v>
      </c>
      <c r="H484" s="82" t="s">
        <v>42</v>
      </c>
      <c r="I484" s="524">
        <v>200101</v>
      </c>
      <c r="J484" s="425" t="str">
        <f>INDEX(aux!B:B,MATCH(I484,aux!A:A,0))</f>
        <v xml:space="preserve">Papel e Cartão </v>
      </c>
      <c r="K484" s="433" t="str">
        <f>INDEX(aux!C:C,MATCH(I484,aux!A:A,0))</f>
        <v>Não</v>
      </c>
      <c r="L484" s="536">
        <v>1275</v>
      </c>
      <c r="M484" s="534" t="s">
        <v>557</v>
      </c>
      <c r="N484" s="139">
        <f t="shared" si="28"/>
        <v>1275</v>
      </c>
      <c r="O484" s="540" t="s">
        <v>483</v>
      </c>
      <c r="P484" s="231" t="str">
        <f t="shared" si="29"/>
        <v>Reciclagem</v>
      </c>
      <c r="Q484" s="231" t="s">
        <v>1904</v>
      </c>
      <c r="R484" s="231" t="s">
        <v>6569</v>
      </c>
      <c r="S484" s="542" t="s">
        <v>3594</v>
      </c>
      <c r="T484" s="540" t="s">
        <v>3861</v>
      </c>
      <c r="U484" s="540" t="s">
        <v>3861</v>
      </c>
      <c r="V484" s="527"/>
    </row>
    <row r="485" spans="1:22" ht="15.75" hidden="1" thickBot="1" x14ac:dyDescent="0.3">
      <c r="A485" s="527" t="s">
        <v>4600</v>
      </c>
      <c r="B485" s="424" t="s">
        <v>4600</v>
      </c>
      <c r="C485" s="82" t="str">
        <f t="shared" si="27"/>
        <v>X</v>
      </c>
      <c r="D485">
        <v>2022</v>
      </c>
      <c r="E485" s="250" t="s">
        <v>3499</v>
      </c>
      <c r="F485" s="250" t="s">
        <v>3566</v>
      </c>
      <c r="G485" t="s">
        <v>42</v>
      </c>
      <c r="H485" s="82" t="s">
        <v>42</v>
      </c>
      <c r="I485" s="531">
        <v>200139</v>
      </c>
      <c r="J485" s="425" t="str">
        <f>INDEX(aux!B:B,MATCH(I485,aux!A:A,0))</f>
        <v>Plasticos</v>
      </c>
      <c r="K485" s="433" t="str">
        <f>INDEX(aux!C:C,MATCH(I485,aux!A:A,0))</f>
        <v>Não</v>
      </c>
      <c r="L485" s="139">
        <v>300</v>
      </c>
      <c r="M485" s="433" t="s">
        <v>557</v>
      </c>
      <c r="N485" s="139">
        <f t="shared" si="28"/>
        <v>300</v>
      </c>
      <c r="O485" s="139" t="s">
        <v>483</v>
      </c>
      <c r="P485" s="231" t="str">
        <f t="shared" si="29"/>
        <v>Reciclagem</v>
      </c>
      <c r="Q485" s="231" t="s">
        <v>1560</v>
      </c>
      <c r="R485" s="231" t="s">
        <v>1903</v>
      </c>
      <c r="S485" s="543" t="str">
        <f>IFERROR(INDEX(Tabela3[Tipos de Tratamento],MATCH('A3.9.1 copy'!O580,Tabela3[Código],0)),"")</f>
        <v>Acumulação de resíduos destinados a uma das operações enumeradas de R1 a R12</v>
      </c>
      <c r="T485" s="429" t="s">
        <v>3861</v>
      </c>
      <c r="U485" s="429" t="s">
        <v>3861</v>
      </c>
      <c r="V485" s="527"/>
    </row>
    <row r="486" spans="1:22" ht="15.75" thickBot="1" x14ac:dyDescent="0.3">
      <c r="A486" s="527" t="s">
        <v>4600</v>
      </c>
      <c r="B486" s="527" t="s">
        <v>4600</v>
      </c>
      <c r="C486" s="82" t="str">
        <f t="shared" si="27"/>
        <v>X</v>
      </c>
      <c r="D486">
        <v>2023</v>
      </c>
      <c r="E486" s="250" t="s">
        <v>3499</v>
      </c>
      <c r="F486" s="250" t="s">
        <v>3566</v>
      </c>
      <c r="G486" t="s">
        <v>42</v>
      </c>
      <c r="H486" s="82" t="s">
        <v>42</v>
      </c>
      <c r="I486" s="524">
        <v>200139</v>
      </c>
      <c r="J486" s="425" t="str">
        <f>INDEX(aux!B:B,MATCH(I486,aux!A:A,0))</f>
        <v>Plasticos</v>
      </c>
      <c r="K486" s="433" t="str">
        <f>INDEX(aux!C:C,MATCH(I486,aux!A:A,0))</f>
        <v>Não</v>
      </c>
      <c r="L486" s="536">
        <v>900</v>
      </c>
      <c r="M486" s="534" t="s">
        <v>557</v>
      </c>
      <c r="N486" s="139">
        <f t="shared" si="28"/>
        <v>900</v>
      </c>
      <c r="O486" s="540" t="s">
        <v>483</v>
      </c>
      <c r="P486" s="231" t="str">
        <f t="shared" si="29"/>
        <v>Reciclagem</v>
      </c>
      <c r="Q486" s="231" t="s">
        <v>1560</v>
      </c>
      <c r="R486" s="231" t="s">
        <v>6569</v>
      </c>
      <c r="S486" s="542" t="s">
        <v>3594</v>
      </c>
      <c r="T486" s="540" t="s">
        <v>3861</v>
      </c>
      <c r="U486" s="540" t="s">
        <v>3861</v>
      </c>
      <c r="V486" s="527"/>
    </row>
    <row r="487" spans="1:22" ht="15.75" hidden="1" thickBot="1" x14ac:dyDescent="0.3">
      <c r="A487" s="527" t="s">
        <v>4600</v>
      </c>
      <c r="B487" s="424" t="s">
        <v>4600</v>
      </c>
      <c r="C487" s="82" t="str">
        <f t="shared" si="27"/>
        <v>X</v>
      </c>
      <c r="D487">
        <v>2022</v>
      </c>
      <c r="E487" s="250" t="s">
        <v>3499</v>
      </c>
      <c r="F487" s="250" t="s">
        <v>3566</v>
      </c>
      <c r="G487" t="s">
        <v>42</v>
      </c>
      <c r="H487" s="82" t="s">
        <v>42</v>
      </c>
      <c r="I487" s="531">
        <v>170107</v>
      </c>
      <c r="J487" s="425" t="str">
        <f>INDEX(aux!B:B,MATCH(I487,aux!A:A,0))</f>
        <v>Misturas de betão, tijolos, ladrilhos, telhas e materiais cerâmicos, não abrangidas em 17 01 06</v>
      </c>
      <c r="K487" s="433" t="str">
        <f>INDEX(aux!C:C,MATCH(I487,aux!A:A,0))</f>
        <v>Não</v>
      </c>
      <c r="L487" s="139">
        <v>16140</v>
      </c>
      <c r="M487" s="433" t="s">
        <v>557</v>
      </c>
      <c r="N487" s="139">
        <f t="shared" si="28"/>
        <v>16140</v>
      </c>
      <c r="O487" s="139" t="s">
        <v>481</v>
      </c>
      <c r="P487" s="378" t="str">
        <f t="shared" si="29"/>
        <v>Reciclagem</v>
      </c>
      <c r="Q487" s="231" t="s">
        <v>1901</v>
      </c>
      <c r="R487" s="231" t="s">
        <v>1892</v>
      </c>
      <c r="S487" s="543" t="str">
        <f>IFERROR(INDEX(Tabela3[Tipos de Tratamento],MATCH('A3.9.1 copy'!O574,Tabela3[Código],0)),"")</f>
        <v>Armazenagem enquanto se aguarda a execução de uma das operações enumeradas de D1 a D14</v>
      </c>
      <c r="T487" s="429" t="s">
        <v>3862</v>
      </c>
      <c r="U487" s="429" t="s">
        <v>3863</v>
      </c>
      <c r="V487" s="527"/>
    </row>
    <row r="488" spans="1:22" ht="15.75" hidden="1" thickBot="1" x14ac:dyDescent="0.3">
      <c r="A488" s="527" t="s">
        <v>4600</v>
      </c>
      <c r="B488" s="424" t="s">
        <v>4600</v>
      </c>
      <c r="C488" s="82" t="str">
        <f t="shared" si="27"/>
        <v>X</v>
      </c>
      <c r="D488">
        <v>2022</v>
      </c>
      <c r="E488" s="250" t="s">
        <v>3499</v>
      </c>
      <c r="F488" s="250" t="s">
        <v>3566</v>
      </c>
      <c r="G488" t="s">
        <v>42</v>
      </c>
      <c r="H488" s="82" t="s">
        <v>42</v>
      </c>
      <c r="I488" s="531">
        <v>170107</v>
      </c>
      <c r="J488" s="425" t="str">
        <f>INDEX(aux!B:B,MATCH(I488,aux!A:A,0))</f>
        <v>Misturas de betão, tijolos, ladrilhos, telhas e materiais cerâmicos, não abrangidas em 17 01 06</v>
      </c>
      <c r="K488" s="433" t="str">
        <f>INDEX(aux!C:C,MATCH(I488,aux!A:A,0))</f>
        <v>Não</v>
      </c>
      <c r="L488" s="139">
        <v>10720</v>
      </c>
      <c r="M488" s="433" t="s">
        <v>557</v>
      </c>
      <c r="N488" s="139">
        <f t="shared" si="28"/>
        <v>10720</v>
      </c>
      <c r="O488" s="139" t="s">
        <v>483</v>
      </c>
      <c r="P488" s="378" t="str">
        <f t="shared" si="29"/>
        <v>Reciclagem</v>
      </c>
      <c r="Q488" s="231" t="s">
        <v>1901</v>
      </c>
      <c r="R488" s="231" t="s">
        <v>1892</v>
      </c>
      <c r="S488" s="543" t="str">
        <f>IFERROR(INDEX(Tabela3[Tipos de Tratamento],MATCH('A3.9.1 copy'!O575,Tabela3[Código],0)),"")</f>
        <v>Acumulação de resíduos destinados a uma das operações enumeradas de R1 a R12</v>
      </c>
      <c r="T488" s="429" t="s">
        <v>3864</v>
      </c>
      <c r="U488" s="429" t="s">
        <v>3863</v>
      </c>
      <c r="V488" s="527"/>
    </row>
    <row r="489" spans="1:22" ht="15.75" hidden="1" thickBot="1" x14ac:dyDescent="0.3">
      <c r="A489" s="527" t="s">
        <v>4600</v>
      </c>
      <c r="B489" s="424" t="s">
        <v>4600</v>
      </c>
      <c r="C489" s="82" t="str">
        <f t="shared" si="27"/>
        <v>X</v>
      </c>
      <c r="D489">
        <v>2022</v>
      </c>
      <c r="E489" s="250" t="s">
        <v>3499</v>
      </c>
      <c r="F489" s="250" t="s">
        <v>3566</v>
      </c>
      <c r="G489" t="s">
        <v>42</v>
      </c>
      <c r="H489" s="82" t="s">
        <v>42</v>
      </c>
      <c r="I489" s="531">
        <v>130507</v>
      </c>
      <c r="J489" s="425" t="str">
        <f>INDEX(aux!B:B,MATCH(I489,aux!A:A,0))</f>
        <v>(*) Água com óleo proveniente dos separadores óleo/água</v>
      </c>
      <c r="K489" s="433" t="str">
        <f>INDEX(aux!C:C,MATCH(I489,aux!A:A,0))</f>
        <v>Sim</v>
      </c>
      <c r="L489" s="139">
        <v>7280</v>
      </c>
      <c r="M489" s="433" t="s">
        <v>557</v>
      </c>
      <c r="N489" s="139">
        <f t="shared" si="28"/>
        <v>7280</v>
      </c>
      <c r="O489" s="139" t="s">
        <v>480</v>
      </c>
      <c r="P489" s="231" t="str">
        <f t="shared" si="29"/>
        <v>Reciclagem</v>
      </c>
      <c r="Q489" s="231" t="s">
        <v>1901</v>
      </c>
      <c r="R489" s="231" t="s">
        <v>1892</v>
      </c>
      <c r="S489" s="543" t="str">
        <f>IFERROR(INDEX(Tabela3[Tipos de Tratamento],MATCH('A3.9.1 copy'!O569,Tabela3[Código],0)),"")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89" s="429" t="s">
        <v>3837</v>
      </c>
      <c r="U489" s="429" t="s">
        <v>3839</v>
      </c>
      <c r="V489" s="527"/>
    </row>
    <row r="490" spans="1:22" ht="15.75" hidden="1" thickBot="1" x14ac:dyDescent="0.3">
      <c r="A490" s="527" t="s">
        <v>4600</v>
      </c>
      <c r="B490" s="424" t="s">
        <v>4600</v>
      </c>
      <c r="C490" s="82" t="str">
        <f t="shared" si="27"/>
        <v>X</v>
      </c>
      <c r="D490">
        <v>2022</v>
      </c>
      <c r="E490" s="250" t="s">
        <v>3499</v>
      </c>
      <c r="F490" s="250" t="s">
        <v>3566</v>
      </c>
      <c r="G490" t="s">
        <v>42</v>
      </c>
      <c r="H490" s="82" t="s">
        <v>42</v>
      </c>
      <c r="I490" s="531">
        <v>130507</v>
      </c>
      <c r="J490" s="425" t="str">
        <f>INDEX(aux!B:B,MATCH(I490,aux!A:A,0))</f>
        <v>(*) Água com óleo proveniente dos separadores óleo/água</v>
      </c>
      <c r="K490" s="433" t="str">
        <f>INDEX(aux!C:C,MATCH(I490,aux!A:A,0))</f>
        <v>Sim</v>
      </c>
      <c r="L490" s="139">
        <v>14080</v>
      </c>
      <c r="M490" s="433" t="s">
        <v>557</v>
      </c>
      <c r="N490" s="139">
        <f t="shared" si="28"/>
        <v>14080</v>
      </c>
      <c r="O490" s="139" t="s">
        <v>503</v>
      </c>
      <c r="P490" s="231" t="str">
        <f t="shared" si="29"/>
        <v>Aterro</v>
      </c>
      <c r="Q490" s="231" t="s">
        <v>1901</v>
      </c>
      <c r="R490" s="231" t="s">
        <v>1892</v>
      </c>
      <c r="S490" s="543" t="str">
        <f>IFERROR(INDEX(Tabela3[Tipos de Tratamento],MATCH('A3.9.1 copy'!O570,Tabela3[Código],0)),"")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90" s="429" t="s">
        <v>3837</v>
      </c>
      <c r="U490" s="429" t="s">
        <v>3839</v>
      </c>
      <c r="V490" s="527"/>
    </row>
    <row r="491" spans="1:22" ht="15.75" hidden="1" thickBot="1" x14ac:dyDescent="0.3">
      <c r="A491" s="527" t="s">
        <v>4600</v>
      </c>
      <c r="B491" s="424" t="s">
        <v>4600</v>
      </c>
      <c r="C491" s="82" t="str">
        <f t="shared" si="27"/>
        <v>X</v>
      </c>
      <c r="D491">
        <v>2022</v>
      </c>
      <c r="E491" s="250" t="s">
        <v>3499</v>
      </c>
      <c r="F491" s="250" t="s">
        <v>3566</v>
      </c>
      <c r="G491" t="s">
        <v>42</v>
      </c>
      <c r="H491" s="82" t="s">
        <v>42</v>
      </c>
      <c r="I491" s="531">
        <v>150110</v>
      </c>
      <c r="J491" s="425" t="str">
        <f>INDEX(aux!B:B,MATCH(I491,aux!A:A,0))</f>
        <v>(*) Embalagens contendo ou contaminadas por resíduos de substâncias perigosas</v>
      </c>
      <c r="K491" s="433" t="str">
        <f>INDEX(aux!C:C,MATCH(I491,aux!A:A,0))</f>
        <v>Sim</v>
      </c>
      <c r="L491" s="139">
        <v>125</v>
      </c>
      <c r="M491" s="433" t="s">
        <v>557</v>
      </c>
      <c r="N491" s="139">
        <f t="shared" si="28"/>
        <v>125</v>
      </c>
      <c r="O491" s="139" t="s">
        <v>483</v>
      </c>
      <c r="P491" s="231" t="str">
        <f t="shared" si="29"/>
        <v>Reciclagem</v>
      </c>
      <c r="Q491" s="231" t="s">
        <v>1901</v>
      </c>
      <c r="R491" s="231" t="s">
        <v>1892</v>
      </c>
      <c r="S491" s="543" t="str">
        <f>IFERROR(INDEX(Tabela3[Tipos de Tratamento],MATCH('A3.9.1 copy'!O571,Tabela3[Código],0)),"")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491" s="429" t="s">
        <v>3861</v>
      </c>
      <c r="U491" s="429" t="s">
        <v>3861</v>
      </c>
      <c r="V491" s="527"/>
    </row>
    <row r="492" spans="1:22" ht="15.75" hidden="1" thickBot="1" x14ac:dyDescent="0.3">
      <c r="A492" s="527" t="s">
        <v>4600</v>
      </c>
      <c r="B492" s="424" t="s">
        <v>4600</v>
      </c>
      <c r="C492" s="82" t="str">
        <f t="shared" si="27"/>
        <v>X</v>
      </c>
      <c r="D492">
        <v>2022</v>
      </c>
      <c r="E492" s="250" t="s">
        <v>3499</v>
      </c>
      <c r="F492" s="250" t="s">
        <v>3566</v>
      </c>
      <c r="G492" t="s">
        <v>42</v>
      </c>
      <c r="H492" s="82" t="s">
        <v>42</v>
      </c>
      <c r="I492" s="531">
        <v>150202</v>
      </c>
      <c r="J492" s="425" t="str">
        <f>INDEX(aux!B:B,MATCH(I492,aux!A:A,0))</f>
        <v>(*) Absorventes, materiais filtrantes (incluindo filtros de óleo sem outras especificações), panos de limpeza e vestuário de proteção, contaminados por substâncias perigosas</v>
      </c>
      <c r="K492" s="433" t="str">
        <f>INDEX(aux!C:C,MATCH(I492,aux!A:A,0))</f>
        <v>Sim</v>
      </c>
      <c r="L492" s="139">
        <v>200</v>
      </c>
      <c r="M492" s="433" t="s">
        <v>557</v>
      </c>
      <c r="N492" s="139">
        <f t="shared" si="28"/>
        <v>200</v>
      </c>
      <c r="O492" s="139" t="s">
        <v>483</v>
      </c>
      <c r="P492" s="231" t="str">
        <f t="shared" si="29"/>
        <v>Reciclagem</v>
      </c>
      <c r="Q492" s="231" t="s">
        <v>1901</v>
      </c>
      <c r="R492" s="231" t="s">
        <v>1892</v>
      </c>
      <c r="S492" s="543" t="str">
        <f>IFERROR(INDEX(Tabela3[Tipos de Tratamento],MATCH('A3.9.1 copy'!O572,Tabela3[Código],0)),"")</f>
        <v>Armazenagem enquanto se aguarda a execução de uma das operações enumeradas de D1 a D14</v>
      </c>
      <c r="T492" s="429" t="s">
        <v>3861</v>
      </c>
      <c r="U492" s="429" t="s">
        <v>3861</v>
      </c>
      <c r="V492" s="527"/>
    </row>
    <row r="493" spans="1:22" ht="15.75" hidden="1" thickBot="1" x14ac:dyDescent="0.3">
      <c r="A493" s="527" t="s">
        <v>4600</v>
      </c>
      <c r="B493" s="424" t="s">
        <v>4600</v>
      </c>
      <c r="C493" s="82" t="str">
        <f t="shared" si="27"/>
        <v>X</v>
      </c>
      <c r="D493">
        <v>2022</v>
      </c>
      <c r="E493" s="250" t="s">
        <v>3499</v>
      </c>
      <c r="F493" s="250" t="s">
        <v>3566</v>
      </c>
      <c r="G493" t="s">
        <v>42</v>
      </c>
      <c r="H493" s="82" t="s">
        <v>42</v>
      </c>
      <c r="I493" s="531">
        <v>150203</v>
      </c>
      <c r="J493" s="425" t="str">
        <f>INDEX(aux!B:B,MATCH(I493,aux!A:A,0))</f>
        <v>Absorventes, materiais filtrantes, panos de limpeza e vestuário de proteção não abrangidos em 15 02 02</v>
      </c>
      <c r="K493" s="433" t="str">
        <f>INDEX(aux!C:C,MATCH(I493,aux!A:A,0))</f>
        <v>Não</v>
      </c>
      <c r="L493" s="139">
        <v>200</v>
      </c>
      <c r="M493" s="433" t="s">
        <v>557</v>
      </c>
      <c r="N493" s="139">
        <f t="shared" si="28"/>
        <v>200</v>
      </c>
      <c r="O493" s="139" t="s">
        <v>507</v>
      </c>
      <c r="P493" s="231" t="str">
        <f t="shared" si="29"/>
        <v>Aterro</v>
      </c>
      <c r="Q493" s="231" t="s">
        <v>1901</v>
      </c>
      <c r="R493" s="231" t="s">
        <v>1892</v>
      </c>
      <c r="S493" s="543" t="str">
        <f>IFERROR(INDEX(Tabela3[Tipos de Tratamento],MATCH('A3.9.1 copy'!O573,Tabela3[Código],0)),"")</f>
        <v>Armazenagem enquanto se aguarda a execução de uma das operações enumeradas de D1 a D14</v>
      </c>
      <c r="T493" s="429" t="s">
        <v>3861</v>
      </c>
      <c r="U493" s="429" t="s">
        <v>3861</v>
      </c>
      <c r="V493" s="527"/>
    </row>
    <row r="494" spans="1:22" ht="15.75" hidden="1" thickBot="1" x14ac:dyDescent="0.3">
      <c r="A494" s="527" t="s">
        <v>4600</v>
      </c>
      <c r="B494" s="424" t="s">
        <v>4600</v>
      </c>
      <c r="C494" s="82" t="str">
        <f t="shared" si="27"/>
        <v>X</v>
      </c>
      <c r="D494">
        <v>2022</v>
      </c>
      <c r="E494" s="250" t="s">
        <v>3499</v>
      </c>
      <c r="F494" s="250" t="s">
        <v>3566</v>
      </c>
      <c r="G494" t="s">
        <v>42</v>
      </c>
      <c r="H494" s="82" t="s">
        <v>42</v>
      </c>
      <c r="I494" s="531">
        <v>200121</v>
      </c>
      <c r="J494" s="425" t="str">
        <f>INDEX(aux!B:B,MATCH(I494,aux!A:A,0))</f>
        <v>(*) Lâmpadas fluorescentes e outros resíduos contendo mercúrio</v>
      </c>
      <c r="K494" s="433" t="str">
        <f>INDEX(aux!C:C,MATCH(I494,aux!A:A,0))</f>
        <v>Sim</v>
      </c>
      <c r="L494" s="139">
        <v>31</v>
      </c>
      <c r="M494" s="433" t="s">
        <v>557</v>
      </c>
      <c r="N494" s="139">
        <f t="shared" si="28"/>
        <v>31</v>
      </c>
      <c r="O494" s="139" t="s">
        <v>483</v>
      </c>
      <c r="P494" s="231" t="str">
        <f t="shared" si="29"/>
        <v>Reciclagem</v>
      </c>
      <c r="Q494" s="231" t="s">
        <v>1901</v>
      </c>
      <c r="R494" s="231" t="s">
        <v>1892</v>
      </c>
      <c r="S494" s="543" t="str">
        <f>IFERROR(INDEX(Tabela3[Tipos de Tratamento],MATCH('A3.9.1 copy'!O578,Tabela3[Código],0)),"")</f>
        <v xml:space="preserve">Recuperação/regeneração de solventes </v>
      </c>
      <c r="T494" s="429" t="s">
        <v>3861</v>
      </c>
      <c r="U494" s="429" t="s">
        <v>3861</v>
      </c>
      <c r="V494" s="527"/>
    </row>
    <row r="495" spans="1:22" ht="15.75" thickBot="1" x14ac:dyDescent="0.3">
      <c r="A495" s="527" t="s">
        <v>4600</v>
      </c>
      <c r="B495" s="527" t="s">
        <v>4600</v>
      </c>
      <c r="C495" s="82" t="str">
        <f t="shared" ref="C495:C558" si="30">IF(A495=B495,"X",RIGHT(A495,LEN(A495)-LEN(B495)-3))</f>
        <v>X</v>
      </c>
      <c r="D495">
        <v>2023</v>
      </c>
      <c r="E495" s="250" t="s">
        <v>3499</v>
      </c>
      <c r="F495" s="250" t="s">
        <v>3566</v>
      </c>
      <c r="G495" t="s">
        <v>42</v>
      </c>
      <c r="H495" s="82" t="s">
        <v>42</v>
      </c>
      <c r="I495" s="524">
        <v>80317</v>
      </c>
      <c r="J495" s="425" t="str">
        <f>INDEX(aux!B:B,MATCH(I495,aux!A:A,0))</f>
        <v>(*) Resíduos de toner de impressão, contendo substâncias perigosas</v>
      </c>
      <c r="K495" s="433" t="str">
        <f>INDEX(aux!C:C,MATCH(I495,aux!A:A,0))</f>
        <v>Sim</v>
      </c>
      <c r="L495" s="536">
        <v>20</v>
      </c>
      <c r="M495" s="534" t="s">
        <v>557</v>
      </c>
      <c r="N495" s="139">
        <f t="shared" si="28"/>
        <v>20</v>
      </c>
      <c r="O495" s="540" t="s">
        <v>507</v>
      </c>
      <c r="P495" s="231" t="str">
        <f t="shared" si="29"/>
        <v>Aterro</v>
      </c>
      <c r="Q495" s="231" t="s">
        <v>1901</v>
      </c>
      <c r="R495" s="231" t="s">
        <v>1892</v>
      </c>
      <c r="S495" s="542" t="s">
        <v>3594</v>
      </c>
      <c r="T495" s="540" t="s">
        <v>3865</v>
      </c>
      <c r="U495" s="540" t="s">
        <v>3865</v>
      </c>
      <c r="V495" s="527"/>
    </row>
    <row r="496" spans="1:22" ht="15.75" thickBot="1" x14ac:dyDescent="0.3">
      <c r="A496" s="527" t="s">
        <v>4600</v>
      </c>
      <c r="B496" s="527" t="s">
        <v>4600</v>
      </c>
      <c r="C496" s="82" t="str">
        <f t="shared" si="30"/>
        <v>X</v>
      </c>
      <c r="D496">
        <v>2023</v>
      </c>
      <c r="E496" s="250" t="s">
        <v>3499</v>
      </c>
      <c r="F496" s="250" t="s">
        <v>3566</v>
      </c>
      <c r="G496" t="s">
        <v>42</v>
      </c>
      <c r="H496" s="82" t="s">
        <v>42</v>
      </c>
      <c r="I496" s="523">
        <v>190801</v>
      </c>
      <c r="J496" s="425" t="str">
        <f>INDEX(aux!B:B,MATCH(I496,aux!A:A,0))</f>
        <v>Gradados</v>
      </c>
      <c r="K496" s="433" t="str">
        <f>INDEX(aux!C:C,MATCH(I496,aux!A:A,0))</f>
        <v>Não</v>
      </c>
      <c r="L496" s="536">
        <v>1380</v>
      </c>
      <c r="M496" s="534" t="s">
        <v>557</v>
      </c>
      <c r="N496" s="139">
        <f t="shared" si="28"/>
        <v>1380</v>
      </c>
      <c r="O496" s="540" t="s">
        <v>507</v>
      </c>
      <c r="P496" s="231" t="str">
        <f t="shared" si="29"/>
        <v>Aterro</v>
      </c>
      <c r="Q496" s="231" t="s">
        <v>1901</v>
      </c>
      <c r="R496" s="231" t="s">
        <v>1892</v>
      </c>
      <c r="S496" s="542" t="s">
        <v>3594</v>
      </c>
      <c r="T496" s="540" t="s">
        <v>3837</v>
      </c>
      <c r="U496" s="540" t="s">
        <v>3839</v>
      </c>
      <c r="V496" s="527"/>
    </row>
    <row r="497" spans="1:22" ht="15.75" thickBot="1" x14ac:dyDescent="0.3">
      <c r="A497" s="527" t="s">
        <v>4600</v>
      </c>
      <c r="B497" s="527" t="s">
        <v>4600</v>
      </c>
      <c r="C497" s="82" t="str">
        <f t="shared" si="30"/>
        <v>X</v>
      </c>
      <c r="D497">
        <v>2023</v>
      </c>
      <c r="E497" s="250" t="s">
        <v>3499</v>
      </c>
      <c r="F497" s="250" t="s">
        <v>3566</v>
      </c>
      <c r="G497" t="s">
        <v>42</v>
      </c>
      <c r="H497" s="82" t="s">
        <v>42</v>
      </c>
      <c r="I497" s="523">
        <v>200121</v>
      </c>
      <c r="J497" s="425" t="str">
        <f>INDEX(aux!B:B,MATCH(I497,aux!A:A,0))</f>
        <v>(*) Lâmpadas fluorescentes e outros resíduos contendo mercúrio</v>
      </c>
      <c r="K497" s="433" t="str">
        <f>INDEX(aux!C:C,MATCH(I497,aux!A:A,0))</f>
        <v>Sim</v>
      </c>
      <c r="L497" s="536">
        <v>31</v>
      </c>
      <c r="M497" s="534" t="s">
        <v>557</v>
      </c>
      <c r="N497" s="139">
        <f t="shared" si="28"/>
        <v>31</v>
      </c>
      <c r="O497" s="540" t="s">
        <v>483</v>
      </c>
      <c r="P497" s="231" t="str">
        <f t="shared" si="29"/>
        <v>Reciclagem</v>
      </c>
      <c r="Q497" s="231" t="s">
        <v>1901</v>
      </c>
      <c r="R497" s="231" t="s">
        <v>1892</v>
      </c>
      <c r="S497" s="542" t="s">
        <v>3594</v>
      </c>
      <c r="T497" s="540" t="s">
        <v>3861</v>
      </c>
      <c r="U497" s="540" t="s">
        <v>3861</v>
      </c>
      <c r="V497" s="527"/>
    </row>
    <row r="498" spans="1:22" ht="15.75" thickBot="1" x14ac:dyDescent="0.3">
      <c r="A498" s="527" t="s">
        <v>4600</v>
      </c>
      <c r="B498" s="527" t="s">
        <v>4600</v>
      </c>
      <c r="C498" s="82" t="str">
        <f t="shared" si="30"/>
        <v>X</v>
      </c>
      <c r="D498">
        <v>2023</v>
      </c>
      <c r="E498" s="250" t="s">
        <v>3499</v>
      </c>
      <c r="F498" s="250" t="s">
        <v>3566</v>
      </c>
      <c r="G498" t="s">
        <v>42</v>
      </c>
      <c r="H498" s="82" t="s">
        <v>42</v>
      </c>
      <c r="I498" s="523">
        <v>160121</v>
      </c>
      <c r="J498" s="425" t="str">
        <f>INDEX(aux!B:B,MATCH(I498,aux!A:A,0))</f>
        <v>(*) Componentes perigosos não abrangidos em 16 01 07 a 16 01 11, 16 01 13 e 16 01 14</v>
      </c>
      <c r="K498" s="433" t="str">
        <f>INDEX(aux!C:C,MATCH(I498,aux!A:A,0))</f>
        <v>Sim</v>
      </c>
      <c r="L498" s="536">
        <v>325</v>
      </c>
      <c r="M498" s="534" t="s">
        <v>557</v>
      </c>
      <c r="N498" s="139">
        <f t="shared" si="28"/>
        <v>325</v>
      </c>
      <c r="O498" s="540" t="s">
        <v>483</v>
      </c>
      <c r="P498" s="231" t="str">
        <f t="shared" si="29"/>
        <v>Reciclagem</v>
      </c>
      <c r="Q498" s="231" t="s">
        <v>1901</v>
      </c>
      <c r="R498" s="231" t="s">
        <v>1892</v>
      </c>
      <c r="S498" s="542" t="s">
        <v>3594</v>
      </c>
      <c r="T498" s="540" t="s">
        <v>3861</v>
      </c>
      <c r="U498" s="540" t="s">
        <v>3861</v>
      </c>
      <c r="V498" s="527"/>
    </row>
    <row r="499" spans="1:22" ht="15.75" thickBot="1" x14ac:dyDescent="0.3">
      <c r="A499" s="527" t="s">
        <v>4600</v>
      </c>
      <c r="B499" s="527" t="s">
        <v>4600</v>
      </c>
      <c r="C499" s="82" t="str">
        <f t="shared" si="30"/>
        <v>X</v>
      </c>
      <c r="D499">
        <v>2023</v>
      </c>
      <c r="E499" s="250" t="s">
        <v>3499</v>
      </c>
      <c r="F499" s="250" t="s">
        <v>3566</v>
      </c>
      <c r="G499" t="s">
        <v>42</v>
      </c>
      <c r="H499" s="82" t="s">
        <v>42</v>
      </c>
      <c r="I499" s="524">
        <v>130507</v>
      </c>
      <c r="J499" s="425" t="str">
        <f>INDEX(aux!B:B,MATCH(I499,aux!A:A,0))</f>
        <v>(*) Água com óleo proveniente dos separadores óleo/água</v>
      </c>
      <c r="K499" s="433" t="str">
        <f>INDEX(aux!C:C,MATCH(I499,aux!A:A,0))</f>
        <v>Sim</v>
      </c>
      <c r="L499" s="536">
        <v>24600</v>
      </c>
      <c r="M499" s="534" t="s">
        <v>557</v>
      </c>
      <c r="N499" s="139">
        <f t="shared" si="28"/>
        <v>24600</v>
      </c>
      <c r="O499" s="540" t="s">
        <v>503</v>
      </c>
      <c r="P499" s="231" t="str">
        <f t="shared" si="29"/>
        <v>Aterro</v>
      </c>
      <c r="Q499" s="231" t="s">
        <v>1901</v>
      </c>
      <c r="R499" s="231" t="s">
        <v>1892</v>
      </c>
      <c r="S499" s="542" t="s">
        <v>3594</v>
      </c>
      <c r="T499" s="540" t="s">
        <v>3837</v>
      </c>
      <c r="U499" s="540" t="s">
        <v>3839</v>
      </c>
      <c r="V499" s="527"/>
    </row>
    <row r="500" spans="1:22" ht="15.75" thickBot="1" x14ac:dyDescent="0.3">
      <c r="A500" s="527" t="s">
        <v>4600</v>
      </c>
      <c r="B500" s="527" t="s">
        <v>4600</v>
      </c>
      <c r="C500" s="82" t="str">
        <f t="shared" si="30"/>
        <v>X</v>
      </c>
      <c r="D500">
        <v>2023</v>
      </c>
      <c r="E500" s="250" t="s">
        <v>3499</v>
      </c>
      <c r="F500" s="250" t="s">
        <v>3566</v>
      </c>
      <c r="G500" t="s">
        <v>42</v>
      </c>
      <c r="H500" s="82" t="s">
        <v>42</v>
      </c>
      <c r="I500" s="524">
        <v>150110</v>
      </c>
      <c r="J500" s="425" t="str">
        <f>INDEX(aux!B:B,MATCH(I500,aux!A:A,0))</f>
        <v>(*) Embalagens contendo ou contaminadas por resíduos de substâncias perigosas</v>
      </c>
      <c r="K500" s="433" t="str">
        <f>INDEX(aux!C:C,MATCH(I500,aux!A:A,0))</f>
        <v>Sim</v>
      </c>
      <c r="L500" s="536">
        <v>375</v>
      </c>
      <c r="M500" s="534" t="s">
        <v>557</v>
      </c>
      <c r="N500" s="139">
        <f t="shared" si="28"/>
        <v>375</v>
      </c>
      <c r="O500" s="540" t="s">
        <v>483</v>
      </c>
      <c r="P500" s="231" t="str">
        <f t="shared" si="29"/>
        <v>Reciclagem</v>
      </c>
      <c r="Q500" s="231" t="s">
        <v>1901</v>
      </c>
      <c r="R500" s="231" t="s">
        <v>1892</v>
      </c>
      <c r="S500" s="542" t="s">
        <v>3594</v>
      </c>
      <c r="T500" s="540" t="s">
        <v>3861</v>
      </c>
      <c r="U500" s="540" t="s">
        <v>3861</v>
      </c>
      <c r="V500" s="527"/>
    </row>
    <row r="501" spans="1:22" ht="15.75" thickBot="1" x14ac:dyDescent="0.3">
      <c r="A501" s="527" t="s">
        <v>4600</v>
      </c>
      <c r="B501" s="527" t="s">
        <v>4600</v>
      </c>
      <c r="C501" s="82" t="str">
        <f t="shared" si="30"/>
        <v>X</v>
      </c>
      <c r="D501">
        <v>2023</v>
      </c>
      <c r="E501" s="250" t="s">
        <v>3499</v>
      </c>
      <c r="F501" s="250" t="s">
        <v>3566</v>
      </c>
      <c r="G501" t="s">
        <v>42</v>
      </c>
      <c r="H501" s="82" t="s">
        <v>42</v>
      </c>
      <c r="I501" s="523">
        <v>150203</v>
      </c>
      <c r="J501" s="425" t="str">
        <f>INDEX(aux!B:B,MATCH(I501,aux!A:A,0))</f>
        <v>Absorventes, materiais filtrantes, panos de limpeza e vestuário de proteção não abrangidos em 15 02 02</v>
      </c>
      <c r="K501" s="433" t="str">
        <f>INDEX(aux!C:C,MATCH(I501,aux!A:A,0))</f>
        <v>Não</v>
      </c>
      <c r="L501" s="536">
        <v>300</v>
      </c>
      <c r="M501" s="534" t="s">
        <v>557</v>
      </c>
      <c r="N501" s="139">
        <f t="shared" si="28"/>
        <v>300</v>
      </c>
      <c r="O501" s="540" t="s">
        <v>507</v>
      </c>
      <c r="P501" s="231" t="str">
        <f t="shared" si="29"/>
        <v>Aterro</v>
      </c>
      <c r="Q501" s="231" t="s">
        <v>1901</v>
      </c>
      <c r="R501" s="231" t="s">
        <v>1892</v>
      </c>
      <c r="S501" s="542" t="s">
        <v>3594</v>
      </c>
      <c r="T501" s="540" t="s">
        <v>3861</v>
      </c>
      <c r="U501" s="540" t="s">
        <v>3861</v>
      </c>
      <c r="V501" s="527"/>
    </row>
    <row r="502" spans="1:22" ht="15.75" thickBot="1" x14ac:dyDescent="0.3">
      <c r="A502" s="527" t="s">
        <v>4600</v>
      </c>
      <c r="B502" s="527" t="s">
        <v>4600</v>
      </c>
      <c r="C502" s="82" t="str">
        <f t="shared" si="30"/>
        <v>X</v>
      </c>
      <c r="D502">
        <v>2023</v>
      </c>
      <c r="E502" s="250" t="s">
        <v>3499</v>
      </c>
      <c r="F502" s="250" t="s">
        <v>3566</v>
      </c>
      <c r="G502" t="s">
        <v>42</v>
      </c>
      <c r="H502" s="82" t="s">
        <v>42</v>
      </c>
      <c r="I502" s="524">
        <v>150202</v>
      </c>
      <c r="J502" s="425" t="str">
        <f>INDEX(aux!B:B,MATCH(I502,aux!A:A,0))</f>
        <v>(*) Absorventes, materiais filtrantes (incluindo filtros de óleo sem outras especificações), panos de limpeza e vestuário de proteção, contaminados por substâncias perigosas</v>
      </c>
      <c r="K502" s="433" t="str">
        <f>INDEX(aux!C:C,MATCH(I502,aux!A:A,0))</f>
        <v>Sim</v>
      </c>
      <c r="L502" s="536">
        <v>600</v>
      </c>
      <c r="M502" s="534" t="s">
        <v>557</v>
      </c>
      <c r="N502" s="139">
        <f t="shared" si="28"/>
        <v>600</v>
      </c>
      <c r="O502" s="540" t="s">
        <v>483</v>
      </c>
      <c r="P502" s="231" t="str">
        <f t="shared" si="29"/>
        <v>Reciclagem</v>
      </c>
      <c r="Q502" s="231" t="s">
        <v>1901</v>
      </c>
      <c r="R502" s="231" t="s">
        <v>1892</v>
      </c>
      <c r="S502" s="542" t="s">
        <v>3594</v>
      </c>
      <c r="T502" s="540" t="s">
        <v>3861</v>
      </c>
      <c r="U502" s="540" t="s">
        <v>3861</v>
      </c>
      <c r="V502" s="527"/>
    </row>
    <row r="503" spans="1:22" ht="15.75" hidden="1" thickBot="1" x14ac:dyDescent="0.3">
      <c r="A503" s="527" t="s">
        <v>4600</v>
      </c>
      <c r="B503" s="424" t="s">
        <v>4600</v>
      </c>
      <c r="C503" s="82" t="str">
        <f t="shared" si="30"/>
        <v>X</v>
      </c>
      <c r="D503">
        <v>2022</v>
      </c>
      <c r="E503" s="250" t="s">
        <v>3499</v>
      </c>
      <c r="F503" s="250" t="s">
        <v>3566</v>
      </c>
      <c r="G503" t="s">
        <v>42</v>
      </c>
      <c r="H503" s="82" t="s">
        <v>42</v>
      </c>
      <c r="I503" s="531">
        <v>200399</v>
      </c>
      <c r="J503" s="425" t="str">
        <f>INDEX(aux!B:B,MATCH(I503,aux!A:A,0))</f>
        <v>Resíduos urbanos e equiparados, sem outras especificações</v>
      </c>
      <c r="K503" s="433" t="str">
        <f>INDEX(aux!C:C,MATCH(I503,aux!A:A,0))</f>
        <v>Não</v>
      </c>
      <c r="L503" s="139">
        <v>2280</v>
      </c>
      <c r="M503" s="433" t="s">
        <v>557</v>
      </c>
      <c r="N503" s="139">
        <f t="shared" si="28"/>
        <v>2280</v>
      </c>
      <c r="O503" s="139" t="s">
        <v>484</v>
      </c>
      <c r="P503" s="231" t="str">
        <f t="shared" si="29"/>
        <v>Reciclagem</v>
      </c>
      <c r="Q503" s="231" t="s">
        <v>1908</v>
      </c>
      <c r="R503" s="231" t="s">
        <v>1877</v>
      </c>
      <c r="S503" s="543" t="str">
        <f>IFERROR(INDEX(Tabela3[Tipos de Tratamento],MATCH('A3.9.1 copy'!O581,Tabela3[Código],0)),"")</f>
        <v xml:space="preserve">Recuperação/regeneração de solventes </v>
      </c>
      <c r="T503" s="429" t="s">
        <v>3865</v>
      </c>
      <c r="U503" s="429" t="s">
        <v>3865</v>
      </c>
      <c r="V503" s="527"/>
    </row>
    <row r="504" spans="1:22" ht="15.75" hidden="1" thickBot="1" x14ac:dyDescent="0.3">
      <c r="A504" s="424" t="s">
        <v>4606</v>
      </c>
      <c r="B504" s="424" t="s">
        <v>4606</v>
      </c>
      <c r="C504" s="82" t="str">
        <f t="shared" si="30"/>
        <v>X</v>
      </c>
      <c r="D504">
        <v>2022</v>
      </c>
      <c r="E504" s="250" t="s">
        <v>3499</v>
      </c>
      <c r="F504" s="250" t="s">
        <v>3566</v>
      </c>
      <c r="G504" t="s">
        <v>42</v>
      </c>
      <c r="H504" s="82" t="s">
        <v>42</v>
      </c>
      <c r="I504" s="532">
        <v>200136</v>
      </c>
      <c r="J504" s="425" t="str">
        <f>INDEX(aux!B:B,MATCH(I504,aux!A:A,0))</f>
        <v>Equipamento elétrico e eletrónico fora de uso não abrangido em 20 01 21, 20 01 23 ou 20 01 35</v>
      </c>
      <c r="K504" s="433" t="str">
        <f>INDEX(aux!C:C,MATCH(I504,aux!A:A,0))</f>
        <v>Não</v>
      </c>
      <c r="L504" s="299">
        <v>0</v>
      </c>
      <c r="M504" s="433" t="s">
        <v>557</v>
      </c>
      <c r="N504" s="139">
        <f t="shared" si="28"/>
        <v>0</v>
      </c>
      <c r="O504" s="139" t="s">
        <v>484</v>
      </c>
      <c r="P504" s="231" t="str">
        <f t="shared" si="29"/>
        <v>Reciclagem</v>
      </c>
      <c r="Q504" s="231" t="s">
        <v>1909</v>
      </c>
      <c r="R504" s="231" t="s">
        <v>1877</v>
      </c>
      <c r="S504" s="543" t="str">
        <f>IFERROR(INDEX(Tabela3[Tipos de Tratamento],MATCH('A3.9.1 copy'!O386,Tabela3[Código],0)),"")</f>
        <v xml:space="preserve">Troca de resíduos com vista a submetê-los a uma das operações enumeradas de R 1 a R 11 </v>
      </c>
      <c r="T504" s="429"/>
      <c r="U504" s="429"/>
      <c r="V504" s="527"/>
    </row>
    <row r="505" spans="1:22" ht="15.75" thickBot="1" x14ac:dyDescent="0.3">
      <c r="A505" s="527" t="s">
        <v>4606</v>
      </c>
      <c r="B505" s="527" t="s">
        <v>4606</v>
      </c>
      <c r="C505" s="82" t="str">
        <f t="shared" si="30"/>
        <v>X</v>
      </c>
      <c r="D505">
        <v>2023</v>
      </c>
      <c r="E505" s="250" t="s">
        <v>3499</v>
      </c>
      <c r="F505" s="250" t="s">
        <v>3566</v>
      </c>
      <c r="G505" t="s">
        <v>42</v>
      </c>
      <c r="H505" s="82" t="s">
        <v>42</v>
      </c>
      <c r="I505" s="522">
        <v>200136</v>
      </c>
      <c r="J505" s="425" t="str">
        <f>INDEX(aux!B:B,MATCH(I505,aux!A:A,0))</f>
        <v>Equipamento elétrico e eletrónico fora de uso não abrangido em 20 01 21, 20 01 23 ou 20 01 35</v>
      </c>
      <c r="K505" s="433" t="str">
        <f>INDEX(aux!C:C,MATCH(I505,aux!A:A,0))</f>
        <v>Não</v>
      </c>
      <c r="L505" s="536">
        <v>1</v>
      </c>
      <c r="M505" s="534" t="s">
        <v>557</v>
      </c>
      <c r="N505" s="139">
        <f t="shared" si="28"/>
        <v>1</v>
      </c>
      <c r="O505" s="540" t="s">
        <v>484</v>
      </c>
      <c r="P505" s="231" t="str">
        <f t="shared" si="29"/>
        <v>Reciclagem</v>
      </c>
      <c r="Q505" s="231" t="s">
        <v>1909</v>
      </c>
      <c r="R505" s="231" t="s">
        <v>1877</v>
      </c>
      <c r="S505" s="542" t="s">
        <v>1553</v>
      </c>
      <c r="T505" s="540" t="s">
        <v>6294</v>
      </c>
      <c r="U505" s="540" t="s">
        <v>6294</v>
      </c>
      <c r="V505" s="527"/>
    </row>
    <row r="506" spans="1:22" ht="15.75" hidden="1" thickBot="1" x14ac:dyDescent="0.3">
      <c r="A506" s="424" t="s">
        <v>4606</v>
      </c>
      <c r="B506" s="424" t="s">
        <v>4606</v>
      </c>
      <c r="C506" s="82" t="str">
        <f t="shared" si="30"/>
        <v>X</v>
      </c>
      <c r="D506">
        <v>2022</v>
      </c>
      <c r="E506" s="250" t="s">
        <v>3499</v>
      </c>
      <c r="F506" s="250" t="s">
        <v>3566</v>
      </c>
      <c r="G506" t="s">
        <v>42</v>
      </c>
      <c r="H506" s="82" t="s">
        <v>42</v>
      </c>
      <c r="I506" s="532">
        <v>200101</v>
      </c>
      <c r="J506" s="425" t="str">
        <f>INDEX(aux!B:B,MATCH(I506,aux!A:A,0))</f>
        <v xml:space="preserve">Papel e Cartão </v>
      </c>
      <c r="K506" s="433" t="str">
        <f>INDEX(aux!C:C,MATCH(I506,aux!A:A,0))</f>
        <v>Não</v>
      </c>
      <c r="L506" s="299">
        <v>0</v>
      </c>
      <c r="M506" s="433" t="s">
        <v>557</v>
      </c>
      <c r="N506" s="139">
        <f t="shared" si="28"/>
        <v>0</v>
      </c>
      <c r="O506" s="139" t="s">
        <v>484</v>
      </c>
      <c r="P506" s="231" t="str">
        <f t="shared" si="29"/>
        <v>Reciclagem</v>
      </c>
      <c r="Q506" s="231" t="s">
        <v>1904</v>
      </c>
      <c r="R506" s="231" t="s">
        <v>1903</v>
      </c>
      <c r="S506" s="543" t="str">
        <f>IFERROR(INDEX(Tabela3[Tipos de Tratamento],MATCH('A3.9.1 copy'!O385,Tabela3[Código],0)),"")</f>
        <v>Deposição sobre o solo ou no seu interior (por exemplo, aterro sanitário, etc.).</v>
      </c>
      <c r="T506" s="429"/>
      <c r="U506" s="429"/>
      <c r="V506" s="527"/>
    </row>
    <row r="507" spans="1:22" ht="15.75" thickBot="1" x14ac:dyDescent="0.3">
      <c r="A507" s="527" t="s">
        <v>4606</v>
      </c>
      <c r="B507" s="527" t="s">
        <v>4606</v>
      </c>
      <c r="C507" s="82" t="str">
        <f t="shared" si="30"/>
        <v>X</v>
      </c>
      <c r="D507">
        <v>2023</v>
      </c>
      <c r="E507" s="250" t="s">
        <v>3499</v>
      </c>
      <c r="F507" s="250" t="s">
        <v>3566</v>
      </c>
      <c r="G507" t="s">
        <v>42</v>
      </c>
      <c r="H507" s="82" t="s">
        <v>42</v>
      </c>
      <c r="I507" s="522">
        <v>200101</v>
      </c>
      <c r="J507" s="425" t="str">
        <f>INDEX(aux!B:B,MATCH(I507,aux!A:A,0))</f>
        <v xml:space="preserve">Papel e Cartão </v>
      </c>
      <c r="K507" s="433" t="str">
        <f>INDEX(aux!C:C,MATCH(I507,aux!A:A,0))</f>
        <v>Não</v>
      </c>
      <c r="L507" s="536">
        <v>1</v>
      </c>
      <c r="M507" s="534" t="s">
        <v>557</v>
      </c>
      <c r="N507" s="139">
        <f t="shared" si="28"/>
        <v>1</v>
      </c>
      <c r="O507" s="540" t="s">
        <v>484</v>
      </c>
      <c r="P507" s="231" t="str">
        <f t="shared" si="29"/>
        <v>Reciclagem</v>
      </c>
      <c r="Q507" s="231" t="s">
        <v>1904</v>
      </c>
      <c r="R507" s="231" t="s">
        <v>6569</v>
      </c>
      <c r="S507" s="542" t="s">
        <v>1553</v>
      </c>
      <c r="T507" s="540" t="s">
        <v>6293</v>
      </c>
      <c r="U507" s="540" t="s">
        <v>6293</v>
      </c>
      <c r="V507" s="527"/>
    </row>
    <row r="508" spans="1:22" ht="15.75" hidden="1" thickBot="1" x14ac:dyDescent="0.3">
      <c r="A508" s="424" t="s">
        <v>4606</v>
      </c>
      <c r="B508" s="424" t="s">
        <v>4606</v>
      </c>
      <c r="C508" s="82" t="str">
        <f t="shared" si="30"/>
        <v>X</v>
      </c>
      <c r="D508">
        <v>2022</v>
      </c>
      <c r="E508" s="250" t="s">
        <v>3499</v>
      </c>
      <c r="F508" s="250" t="s">
        <v>3566</v>
      </c>
      <c r="G508" t="s">
        <v>42</v>
      </c>
      <c r="H508" s="82" t="s">
        <v>42</v>
      </c>
      <c r="I508" s="531">
        <v>80317</v>
      </c>
      <c r="J508" s="425" t="str">
        <f>INDEX(aux!B:B,MATCH(I508,aux!A:A,0))</f>
        <v>(*) Resíduos de toner de impressão, contendo substâncias perigosas</v>
      </c>
      <c r="K508" s="433" t="str">
        <f>INDEX(aux!C:C,MATCH(I508,aux!A:A,0))</f>
        <v>Sim</v>
      </c>
      <c r="L508" s="299">
        <v>0</v>
      </c>
      <c r="M508" s="433" t="s">
        <v>557</v>
      </c>
      <c r="N508" s="139">
        <f t="shared" si="28"/>
        <v>0</v>
      </c>
      <c r="O508" s="139" t="s">
        <v>484</v>
      </c>
      <c r="P508" s="231" t="str">
        <f t="shared" si="29"/>
        <v>Reciclagem</v>
      </c>
      <c r="Q508" s="231" t="s">
        <v>1901</v>
      </c>
      <c r="R508" s="231" t="s">
        <v>1892</v>
      </c>
      <c r="S508" s="543" t="str">
        <f>IFERROR(INDEX(Tabela3[Tipos de Tratamento],MATCH('A3.9.1 copy'!O384,Tabela3[Código],0)),"")</f>
        <v xml:space="preserve">Troca de resíduos com vista a submetê-los a uma das operações enumeradas de R 1 a R 11 </v>
      </c>
      <c r="T508" s="429"/>
      <c r="U508" s="429"/>
      <c r="V508" s="527"/>
    </row>
    <row r="509" spans="1:22" ht="15.75" thickBot="1" x14ac:dyDescent="0.3">
      <c r="A509" s="527" t="s">
        <v>4606</v>
      </c>
      <c r="B509" s="527" t="s">
        <v>4606</v>
      </c>
      <c r="C509" s="82" t="str">
        <f t="shared" si="30"/>
        <v>X</v>
      </c>
      <c r="D509">
        <v>2023</v>
      </c>
      <c r="E509" s="250" t="s">
        <v>3499</v>
      </c>
      <c r="F509" s="250" t="s">
        <v>3566</v>
      </c>
      <c r="G509" t="s">
        <v>42</v>
      </c>
      <c r="H509" s="82" t="s">
        <v>42</v>
      </c>
      <c r="I509" s="524">
        <v>80317</v>
      </c>
      <c r="J509" s="425" t="str">
        <f>INDEX(aux!B:B,MATCH(I509,aux!A:A,0))</f>
        <v>(*) Resíduos de toner de impressão, contendo substâncias perigosas</v>
      </c>
      <c r="K509" s="433" t="str">
        <f>INDEX(aux!C:C,MATCH(I509,aux!A:A,0))</f>
        <v>Sim</v>
      </c>
      <c r="L509" s="536">
        <v>1</v>
      </c>
      <c r="M509" s="534" t="s">
        <v>557</v>
      </c>
      <c r="N509" s="139">
        <f t="shared" si="28"/>
        <v>1</v>
      </c>
      <c r="O509" s="540" t="s">
        <v>484</v>
      </c>
      <c r="P509" s="231" t="str">
        <f t="shared" si="29"/>
        <v>Reciclagem</v>
      </c>
      <c r="Q509" s="231" t="s">
        <v>1901</v>
      </c>
      <c r="R509" s="231" t="s">
        <v>1892</v>
      </c>
      <c r="S509" s="542" t="s">
        <v>1553</v>
      </c>
      <c r="T509" s="540" t="s">
        <v>6292</v>
      </c>
      <c r="U509" s="540" t="s">
        <v>6292</v>
      </c>
      <c r="V509" s="527"/>
    </row>
    <row r="510" spans="1:22" ht="15.75" hidden="1" thickBot="1" x14ac:dyDescent="0.3">
      <c r="A510" s="424" t="s">
        <v>4606</v>
      </c>
      <c r="B510" s="424" t="s">
        <v>4606</v>
      </c>
      <c r="C510" s="82" t="str">
        <f t="shared" si="30"/>
        <v>X</v>
      </c>
      <c r="D510">
        <v>2022</v>
      </c>
      <c r="E510" s="250" t="s">
        <v>3499</v>
      </c>
      <c r="F510" s="250" t="s">
        <v>3566</v>
      </c>
      <c r="G510" t="s">
        <v>42</v>
      </c>
      <c r="H510" s="82" t="s">
        <v>42</v>
      </c>
      <c r="I510" s="532">
        <v>200301</v>
      </c>
      <c r="J510" s="425" t="str">
        <f>INDEX(aux!B:B,MATCH(I510,aux!A:A,0))</f>
        <v>Misturas de resíduos urbanos equiparados</v>
      </c>
      <c r="K510" s="433" t="str">
        <f>INDEX(aux!C:C,MATCH(I510,aux!A:A,0))</f>
        <v>Não</v>
      </c>
      <c r="L510" s="299">
        <v>0</v>
      </c>
      <c r="M510" s="433" t="s">
        <v>557</v>
      </c>
      <c r="N510" s="139">
        <f t="shared" si="28"/>
        <v>0</v>
      </c>
      <c r="O510" s="139" t="s">
        <v>509</v>
      </c>
      <c r="P510" s="231" t="str">
        <f t="shared" si="29"/>
        <v>Aterro</v>
      </c>
      <c r="Q510" s="231" t="s">
        <v>1908</v>
      </c>
      <c r="R510" s="231" t="s">
        <v>1877</v>
      </c>
      <c r="S510" s="543" t="str">
        <f>IFERROR(INDEX(Tabela3[Tipos de Tratamento],MATCH('A3.9.1 copy'!O387,Tabela3[Código],0)),"")</f>
        <v>Acumulação de resíduos destinados a uma das operações enumeradas de R1 a R12</v>
      </c>
      <c r="T510" s="429"/>
      <c r="U510" s="429"/>
      <c r="V510" s="527"/>
    </row>
    <row r="511" spans="1:22" ht="15.75" thickBot="1" x14ac:dyDescent="0.3">
      <c r="A511" s="527" t="s">
        <v>4606</v>
      </c>
      <c r="B511" s="527" t="s">
        <v>4606</v>
      </c>
      <c r="C511" s="82" t="str">
        <f t="shared" si="30"/>
        <v>X</v>
      </c>
      <c r="D511">
        <v>2023</v>
      </c>
      <c r="E511" s="250" t="s">
        <v>3499</v>
      </c>
      <c r="F511" s="250" t="s">
        <v>3566</v>
      </c>
      <c r="G511" t="s">
        <v>42</v>
      </c>
      <c r="H511" s="82" t="s">
        <v>42</v>
      </c>
      <c r="I511" s="487">
        <v>200301</v>
      </c>
      <c r="J511" s="425" t="str">
        <f>INDEX(aux!B:B,MATCH(I511,aux!A:A,0))</f>
        <v>Misturas de resíduos urbanos equiparados</v>
      </c>
      <c r="K511" s="433" t="str">
        <f>INDEX(aux!C:C,MATCH(I511,aux!A:A,0))</f>
        <v>Não</v>
      </c>
      <c r="L511" s="536">
        <v>1</v>
      </c>
      <c r="M511" s="534" t="s">
        <v>557</v>
      </c>
      <c r="N511" s="139">
        <f t="shared" si="28"/>
        <v>1</v>
      </c>
      <c r="O511" s="540" t="s">
        <v>484</v>
      </c>
      <c r="P511" s="231" t="str">
        <f t="shared" si="29"/>
        <v>Reciclagem</v>
      </c>
      <c r="Q511" s="231" t="s">
        <v>1908</v>
      </c>
      <c r="R511" s="231" t="s">
        <v>1877</v>
      </c>
      <c r="S511" s="542" t="s">
        <v>1553</v>
      </c>
      <c r="T511" s="540" t="s">
        <v>6293</v>
      </c>
      <c r="U511" s="540" t="s">
        <v>6293</v>
      </c>
      <c r="V511" s="527"/>
    </row>
    <row r="512" spans="1:22" ht="15.75" hidden="1" thickBot="1" x14ac:dyDescent="0.3">
      <c r="A512" s="424" t="s">
        <v>4593</v>
      </c>
      <c r="B512" s="424" t="s">
        <v>4593</v>
      </c>
      <c r="C512" s="82" t="str">
        <f t="shared" si="30"/>
        <v>X</v>
      </c>
      <c r="D512">
        <v>2022</v>
      </c>
      <c r="E512" s="250" t="s">
        <v>3499</v>
      </c>
      <c r="F512" s="250" t="s">
        <v>3566</v>
      </c>
      <c r="G512" t="s">
        <v>42</v>
      </c>
      <c r="H512" s="82" t="s">
        <v>42</v>
      </c>
      <c r="I512" s="532">
        <v>160601</v>
      </c>
      <c r="J512" s="425" t="str">
        <f>INDEX(aux!B:B,MATCH(I512,aux!A:A,0))</f>
        <v>(*) Acumuladores de chumbo</v>
      </c>
      <c r="K512" s="433" t="str">
        <f>INDEX(aux!C:C,MATCH(I512,aux!A:A,0))</f>
        <v>Sim</v>
      </c>
      <c r="L512" s="437">
        <v>3045</v>
      </c>
      <c r="M512" s="433" t="s">
        <v>557</v>
      </c>
      <c r="N512" s="139">
        <f t="shared" si="28"/>
        <v>3045</v>
      </c>
      <c r="O512" s="139" t="s">
        <v>484</v>
      </c>
      <c r="P512" s="231" t="str">
        <f t="shared" si="29"/>
        <v>Reciclagem</v>
      </c>
      <c r="Q512" s="231" t="s">
        <v>1653</v>
      </c>
      <c r="R512" s="231" t="s">
        <v>1877</v>
      </c>
      <c r="S512" s="543" t="str">
        <f>IFERROR(INDEX(Tabela3[Tipos de Tratamento],MATCH('A3.9.1 copy'!O430,Tabela3[Código],0)),"")</f>
        <v xml:space="preserve">Troca de resíduos com vista a submetê-los a uma das operações enumeradas de R 1 a R 11 </v>
      </c>
      <c r="T512" s="429" t="s">
        <v>3269</v>
      </c>
      <c r="U512" s="429" t="s">
        <v>3269</v>
      </c>
      <c r="V512" s="527"/>
    </row>
    <row r="513" spans="1:22" ht="15.75" thickBot="1" x14ac:dyDescent="0.3">
      <c r="A513" s="527" t="s">
        <v>4593</v>
      </c>
      <c r="B513" s="527" t="s">
        <v>4593</v>
      </c>
      <c r="C513" s="82" t="str">
        <f t="shared" si="30"/>
        <v>X</v>
      </c>
      <c r="D513">
        <v>2023</v>
      </c>
      <c r="E513" s="250" t="s">
        <v>3499</v>
      </c>
      <c r="F513" s="250" t="s">
        <v>3566</v>
      </c>
      <c r="G513" t="s">
        <v>42</v>
      </c>
      <c r="H513" s="82" t="s">
        <v>42</v>
      </c>
      <c r="I513" s="522">
        <v>160601</v>
      </c>
      <c r="J513" s="425" t="str">
        <f>INDEX(aux!B:B,MATCH(I513,aux!A:A,0))</f>
        <v>(*) Acumuladores de chumbo</v>
      </c>
      <c r="K513" s="433" t="str">
        <f>INDEX(aux!C:C,MATCH(I513,aux!A:A,0))</f>
        <v>Sim</v>
      </c>
      <c r="L513" s="536">
        <v>4702</v>
      </c>
      <c r="M513" s="534" t="s">
        <v>557</v>
      </c>
      <c r="N513" s="139">
        <f t="shared" si="28"/>
        <v>4702</v>
      </c>
      <c r="O513" s="540" t="s">
        <v>484</v>
      </c>
      <c r="P513" s="231" t="str">
        <f t="shared" si="29"/>
        <v>Reciclagem</v>
      </c>
      <c r="Q513" s="231" t="s">
        <v>1653</v>
      </c>
      <c r="R513" s="231" t="s">
        <v>1877</v>
      </c>
      <c r="S513" s="542" t="s">
        <v>1553</v>
      </c>
      <c r="T513" s="540" t="s">
        <v>3269</v>
      </c>
      <c r="U513" s="540" t="s">
        <v>3269</v>
      </c>
      <c r="V513" s="527"/>
    </row>
    <row r="514" spans="1:22" ht="15.75" hidden="1" thickBot="1" x14ac:dyDescent="0.3">
      <c r="A514" s="424" t="s">
        <v>4593</v>
      </c>
      <c r="B514" s="424" t="s">
        <v>4593</v>
      </c>
      <c r="C514" s="82" t="str">
        <f t="shared" si="30"/>
        <v>X</v>
      </c>
      <c r="D514">
        <v>2022</v>
      </c>
      <c r="E514" s="250" t="s">
        <v>3499</v>
      </c>
      <c r="F514" s="250" t="s">
        <v>3566</v>
      </c>
      <c r="G514" t="s">
        <v>42</v>
      </c>
      <c r="H514" s="82" t="s">
        <v>42</v>
      </c>
      <c r="I514" s="532">
        <v>200136</v>
      </c>
      <c r="J514" s="425" t="str">
        <f>INDEX(aux!B:B,MATCH(I514,aux!A:A,0))</f>
        <v>Equipamento elétrico e eletrónico fora de uso não abrangido em 20 01 21, 20 01 23 ou 20 01 35</v>
      </c>
      <c r="K514" s="433" t="str">
        <f>INDEX(aux!C:C,MATCH(I514,aux!A:A,0))</f>
        <v>Não</v>
      </c>
      <c r="L514" s="437">
        <v>262</v>
      </c>
      <c r="M514" s="433" t="s">
        <v>557</v>
      </c>
      <c r="N514" s="139">
        <f t="shared" si="28"/>
        <v>262</v>
      </c>
      <c r="O514" s="139" t="s">
        <v>484</v>
      </c>
      <c r="P514" s="231" t="str">
        <f t="shared" si="29"/>
        <v>Reciclagem</v>
      </c>
      <c r="Q514" s="231" t="s">
        <v>1909</v>
      </c>
      <c r="R514" s="231" t="s">
        <v>1877</v>
      </c>
      <c r="S514" s="543" t="str">
        <f>IFERROR(INDEX(Tabela3[Tipos de Tratamento],MATCH('A3.9.1 copy'!O433,Tabela3[Código],0)),"")</f>
        <v xml:space="preserve">Troca de resíduos com vista a submetê-los a uma das operações enumeradas de R 1 a R 11 </v>
      </c>
      <c r="T514" s="429" t="s">
        <v>3263</v>
      </c>
      <c r="U514" s="429" t="s">
        <v>3266</v>
      </c>
      <c r="V514" s="527"/>
    </row>
    <row r="515" spans="1:22" ht="15.75" thickBot="1" x14ac:dyDescent="0.3">
      <c r="A515" s="527" t="s">
        <v>4593</v>
      </c>
      <c r="B515" s="527" t="s">
        <v>4593</v>
      </c>
      <c r="C515" s="82" t="str">
        <f t="shared" si="30"/>
        <v>X</v>
      </c>
      <c r="D515">
        <v>2023</v>
      </c>
      <c r="E515" s="250" t="s">
        <v>3499</v>
      </c>
      <c r="F515" s="250" t="s">
        <v>3566</v>
      </c>
      <c r="G515" t="s">
        <v>42</v>
      </c>
      <c r="H515" s="82" t="s">
        <v>42</v>
      </c>
      <c r="I515" s="522">
        <v>200136</v>
      </c>
      <c r="J515" s="425" t="str">
        <f>INDEX(aux!B:B,MATCH(I515,aux!A:A,0))</f>
        <v>Equipamento elétrico e eletrónico fora de uso não abrangido em 20 01 21, 20 01 23 ou 20 01 35</v>
      </c>
      <c r="K515" s="433" t="str">
        <f>INDEX(aux!C:C,MATCH(I515,aux!A:A,0))</f>
        <v>Não</v>
      </c>
      <c r="L515" s="536">
        <v>314</v>
      </c>
      <c r="M515" s="534" t="s">
        <v>557</v>
      </c>
      <c r="N515" s="139">
        <f t="shared" ref="N515:N578" si="31">IF(LEFT(M515,3)="ton",1000*L515,L515)</f>
        <v>314</v>
      </c>
      <c r="O515" s="540" t="s">
        <v>484</v>
      </c>
      <c r="P515" s="231" t="str">
        <f t="shared" ref="P515:P578" si="32">IF(LEFT(O515,1)="R","Reciclagem",IF(OR(O515="D10",O515="D11"),"Iceneração","Aterro"))</f>
        <v>Reciclagem</v>
      </c>
      <c r="Q515" s="231" t="s">
        <v>1909</v>
      </c>
      <c r="R515" s="231" t="s">
        <v>1877</v>
      </c>
      <c r="S515" s="542" t="s">
        <v>1553</v>
      </c>
      <c r="T515" s="540" t="s">
        <v>3263</v>
      </c>
      <c r="U515" s="540" t="s">
        <v>6297</v>
      </c>
      <c r="V515" s="527"/>
    </row>
    <row r="516" spans="1:22" ht="15.75" hidden="1" thickBot="1" x14ac:dyDescent="0.3">
      <c r="A516" s="424" t="s">
        <v>4593</v>
      </c>
      <c r="B516" s="424" t="s">
        <v>4593</v>
      </c>
      <c r="C516" s="82" t="str">
        <f t="shared" si="30"/>
        <v>X</v>
      </c>
      <c r="D516">
        <v>2022</v>
      </c>
      <c r="E516" s="250" t="s">
        <v>3499</v>
      </c>
      <c r="F516" s="250" t="s">
        <v>3566</v>
      </c>
      <c r="G516" t="s">
        <v>42</v>
      </c>
      <c r="H516" s="82" t="s">
        <v>42</v>
      </c>
      <c r="I516" s="532">
        <v>160112</v>
      </c>
      <c r="J516" s="425" t="str">
        <f>INDEX(aux!B:B,MATCH(I516,aux!A:A,0))</f>
        <v>Pastilhas de travões não abrangidas em 16 01 11</v>
      </c>
      <c r="K516" s="433" t="str">
        <f>INDEX(aux!C:C,MATCH(I516,aux!A:A,0))</f>
        <v>Não</v>
      </c>
      <c r="L516" s="437">
        <v>1616</v>
      </c>
      <c r="M516" s="433" t="s">
        <v>557</v>
      </c>
      <c r="N516" s="139">
        <f t="shared" si="31"/>
        <v>1616</v>
      </c>
      <c r="O516" s="139" t="s">
        <v>509</v>
      </c>
      <c r="P516" s="231" t="str">
        <f t="shared" si="32"/>
        <v>Aterro</v>
      </c>
      <c r="Q516" s="231" t="s">
        <v>1557</v>
      </c>
      <c r="R516" s="231" t="s">
        <v>1903</v>
      </c>
      <c r="S516" s="543" t="str">
        <f>IFERROR(INDEX(Tabela3[Tipos de Tratamento],MATCH('A3.9.1 copy'!O425,Tabela3[Código],0)),"")</f>
        <v xml:space="preserve">Reciclagem/recuperação de compostos orgânicos que não são utilizados como solventes </v>
      </c>
      <c r="T516" s="429" t="s">
        <v>3263</v>
      </c>
      <c r="U516" s="429" t="s">
        <v>3266</v>
      </c>
      <c r="V516" s="527"/>
    </row>
    <row r="517" spans="1:22" ht="15.75" hidden="1" thickBot="1" x14ac:dyDescent="0.3">
      <c r="A517" s="424" t="s">
        <v>4593</v>
      </c>
      <c r="B517" s="424" t="s">
        <v>4593</v>
      </c>
      <c r="C517" s="82" t="str">
        <f t="shared" si="30"/>
        <v>X</v>
      </c>
      <c r="D517">
        <v>2022</v>
      </c>
      <c r="E517" s="250" t="s">
        <v>3499</v>
      </c>
      <c r="F517" s="250" t="s">
        <v>3566</v>
      </c>
      <c r="G517" t="s">
        <v>42</v>
      </c>
      <c r="H517" s="82" t="s">
        <v>42</v>
      </c>
      <c r="I517" s="532">
        <v>160117</v>
      </c>
      <c r="J517" s="425" t="str">
        <f>INDEX(aux!B:B,MATCH(I517,aux!A:A,0))</f>
        <v>Metais ferrosos</v>
      </c>
      <c r="K517" s="433" t="str">
        <f>INDEX(aux!C:C,MATCH(I517,aux!A:A,0))</f>
        <v>Não</v>
      </c>
      <c r="L517" s="437">
        <v>1000</v>
      </c>
      <c r="M517" s="433" t="s">
        <v>557</v>
      </c>
      <c r="N517" s="139">
        <f t="shared" si="31"/>
        <v>1000</v>
      </c>
      <c r="O517" s="139" t="s">
        <v>483</v>
      </c>
      <c r="P517" s="231" t="str">
        <f t="shared" si="32"/>
        <v>Reciclagem</v>
      </c>
      <c r="Q517" s="231" t="s">
        <v>1557</v>
      </c>
      <c r="R517" s="231" t="s">
        <v>1903</v>
      </c>
      <c r="S517" s="543" t="str">
        <f>IFERROR(INDEX(Tabela3[Tipos de Tratamento],MATCH('A3.9.1 copy'!O426,Tabela3[Código],0)),"")</f>
        <v>Mistura anterior à execução de uma das operações enumeradas de D1 a D12</v>
      </c>
      <c r="T517" s="429" t="s">
        <v>3269</v>
      </c>
      <c r="U517" s="429" t="s">
        <v>3269</v>
      </c>
      <c r="V517" s="527"/>
    </row>
    <row r="518" spans="1:22" ht="15.75" hidden="1" thickBot="1" x14ac:dyDescent="0.3">
      <c r="A518" s="424" t="s">
        <v>4593</v>
      </c>
      <c r="B518" s="424" t="s">
        <v>4593</v>
      </c>
      <c r="C518" s="82" t="str">
        <f t="shared" si="30"/>
        <v>X</v>
      </c>
      <c r="D518">
        <v>2022</v>
      </c>
      <c r="E518" s="250" t="s">
        <v>3499</v>
      </c>
      <c r="F518" s="250" t="s">
        <v>3566</v>
      </c>
      <c r="G518" t="s">
        <v>42</v>
      </c>
      <c r="H518" s="82" t="s">
        <v>42</v>
      </c>
      <c r="I518" s="532">
        <v>160117</v>
      </c>
      <c r="J518" s="425" t="str">
        <f>INDEX(aux!B:B,MATCH(I518,aux!A:A,0))</f>
        <v>Metais ferrosos</v>
      </c>
      <c r="K518" s="433" t="str">
        <f>INDEX(aux!C:C,MATCH(I518,aux!A:A,0))</f>
        <v>Não</v>
      </c>
      <c r="L518" s="437">
        <v>4820</v>
      </c>
      <c r="M518" s="433" t="s">
        <v>557</v>
      </c>
      <c r="N518" s="139">
        <f t="shared" si="31"/>
        <v>4820</v>
      </c>
      <c r="O518" s="139" t="s">
        <v>483</v>
      </c>
      <c r="P518" s="231" t="str">
        <f t="shared" si="32"/>
        <v>Reciclagem</v>
      </c>
      <c r="Q518" s="231" t="s">
        <v>1557</v>
      </c>
      <c r="R518" s="231" t="s">
        <v>1903</v>
      </c>
      <c r="S518" s="543" t="str">
        <f>IFERROR(INDEX(Tabela3[Tipos de Tratamento],MATCH('A3.9.1 copy'!O427,Tabela3[Código],0)),"")</f>
        <v xml:space="preserve">Troca de resíduos com vista a submetê-los a uma das operações enumeradas de R 1 a R 11 </v>
      </c>
      <c r="T518" s="429" t="s">
        <v>3267</v>
      </c>
      <c r="U518" s="429" t="s">
        <v>3271</v>
      </c>
      <c r="V518" s="527"/>
    </row>
    <row r="519" spans="1:22" ht="15.75" thickBot="1" x14ac:dyDescent="0.3">
      <c r="A519" s="527" t="s">
        <v>4593</v>
      </c>
      <c r="B519" s="527" t="s">
        <v>4593</v>
      </c>
      <c r="C519" s="82" t="str">
        <f t="shared" si="30"/>
        <v>X</v>
      </c>
      <c r="D519">
        <v>2023</v>
      </c>
      <c r="E519" s="250" t="s">
        <v>3499</v>
      </c>
      <c r="F519" s="250" t="s">
        <v>3566</v>
      </c>
      <c r="G519" t="s">
        <v>42</v>
      </c>
      <c r="H519" s="82" t="s">
        <v>42</v>
      </c>
      <c r="I519" s="522">
        <v>160112</v>
      </c>
      <c r="J519" s="425" t="str">
        <f>INDEX(aux!B:B,MATCH(I519,aux!A:A,0))</f>
        <v>Pastilhas de travões não abrangidas em 16 01 11</v>
      </c>
      <c r="K519" s="433" t="str">
        <f>INDEX(aux!C:C,MATCH(I519,aux!A:A,0))</f>
        <v>Não</v>
      </c>
      <c r="L519" s="536">
        <v>1747</v>
      </c>
      <c r="M519" s="534" t="s">
        <v>557</v>
      </c>
      <c r="N519" s="139">
        <f t="shared" si="31"/>
        <v>1747</v>
      </c>
      <c r="O519" s="540" t="s">
        <v>6272</v>
      </c>
      <c r="P519" s="231" t="str">
        <f t="shared" si="32"/>
        <v>Aterro</v>
      </c>
      <c r="Q519" s="231" t="s">
        <v>1557</v>
      </c>
      <c r="R519" s="231" t="s">
        <v>6569</v>
      </c>
      <c r="S519" s="542" t="s">
        <v>1556</v>
      </c>
      <c r="T519" s="540" t="s">
        <v>3263</v>
      </c>
      <c r="U519" s="540" t="s">
        <v>6297</v>
      </c>
      <c r="V519" s="527"/>
    </row>
    <row r="520" spans="1:22" ht="15.75" thickBot="1" x14ac:dyDescent="0.3">
      <c r="A520" s="527" t="s">
        <v>4593</v>
      </c>
      <c r="B520" s="527" t="s">
        <v>4593</v>
      </c>
      <c r="C520" s="82" t="str">
        <f t="shared" si="30"/>
        <v>X</v>
      </c>
      <c r="D520">
        <v>2023</v>
      </c>
      <c r="E520" s="250" t="s">
        <v>3499</v>
      </c>
      <c r="F520" s="250" t="s">
        <v>3566</v>
      </c>
      <c r="G520" t="s">
        <v>42</v>
      </c>
      <c r="H520" s="82" t="s">
        <v>42</v>
      </c>
      <c r="I520" s="522">
        <v>160117</v>
      </c>
      <c r="J520" s="425" t="str">
        <f>INDEX(aux!B:B,MATCH(I520,aux!A:A,0))</f>
        <v>Metais ferrosos</v>
      </c>
      <c r="K520" s="433" t="str">
        <f>INDEX(aux!C:C,MATCH(I520,aux!A:A,0))</f>
        <v>Não</v>
      </c>
      <c r="L520" s="536">
        <v>6700</v>
      </c>
      <c r="M520" s="534" t="s">
        <v>557</v>
      </c>
      <c r="N520" s="139">
        <f t="shared" si="31"/>
        <v>6700</v>
      </c>
      <c r="O520" s="540" t="s">
        <v>483</v>
      </c>
      <c r="P520" s="231" t="str">
        <f t="shared" si="32"/>
        <v>Reciclagem</v>
      </c>
      <c r="Q520" s="231" t="s">
        <v>1557</v>
      </c>
      <c r="R520" s="231" t="s">
        <v>6569</v>
      </c>
      <c r="S520" s="542" t="s">
        <v>485</v>
      </c>
      <c r="T520" s="540" t="s">
        <v>3267</v>
      </c>
      <c r="U520" s="540" t="s">
        <v>6298</v>
      </c>
      <c r="V520" s="527"/>
    </row>
    <row r="521" spans="1:22" ht="15.75" hidden="1" thickBot="1" x14ac:dyDescent="0.3">
      <c r="A521" s="424" t="s">
        <v>4593</v>
      </c>
      <c r="B521" s="424" t="s">
        <v>4593</v>
      </c>
      <c r="C521" s="82" t="str">
        <f t="shared" si="30"/>
        <v>X</v>
      </c>
      <c r="D521">
        <v>2022</v>
      </c>
      <c r="E521" s="250" t="s">
        <v>3499</v>
      </c>
      <c r="F521" s="250" t="s">
        <v>3566</v>
      </c>
      <c r="G521" t="s">
        <v>42</v>
      </c>
      <c r="H521" s="82" t="s">
        <v>42</v>
      </c>
      <c r="I521" s="532">
        <v>130208</v>
      </c>
      <c r="J521" s="425" t="str">
        <f>INDEX(aux!B:B,MATCH(I521,aux!A:A,0))</f>
        <v>(*) Outros óleos de motores, transmissões e lubrificação</v>
      </c>
      <c r="K521" s="433" t="str">
        <f>INDEX(aux!C:C,MATCH(I521,aux!A:A,0))</f>
        <v>Sim</v>
      </c>
      <c r="L521" s="437">
        <v>7289</v>
      </c>
      <c r="M521" s="433" t="s">
        <v>557</v>
      </c>
      <c r="N521" s="139">
        <f t="shared" si="31"/>
        <v>7289</v>
      </c>
      <c r="O521" s="139" t="s">
        <v>480</v>
      </c>
      <c r="P521" s="231" t="str">
        <f t="shared" si="32"/>
        <v>Reciclagem</v>
      </c>
      <c r="Q521" s="231" t="s">
        <v>1902</v>
      </c>
      <c r="R521" s="231" t="s">
        <v>1877</v>
      </c>
      <c r="S521" s="543" t="str">
        <f>IFERROR(INDEX(Tabela3[Tipos de Tratamento],MATCH('A3.9.1 copy'!O417,Tabela3[Código],0)),"")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521" s="429" t="s">
        <v>3273</v>
      </c>
      <c r="U521" s="429" t="s">
        <v>3274</v>
      </c>
      <c r="V521" s="527"/>
    </row>
    <row r="522" spans="1:22" ht="15.75" thickBot="1" x14ac:dyDescent="0.3">
      <c r="A522" s="527" t="s">
        <v>4593</v>
      </c>
      <c r="B522" s="527" t="s">
        <v>4593</v>
      </c>
      <c r="C522" s="82" t="str">
        <f t="shared" si="30"/>
        <v>X</v>
      </c>
      <c r="D522">
        <v>2023</v>
      </c>
      <c r="E522" s="250" t="s">
        <v>3499</v>
      </c>
      <c r="F522" s="250" t="s">
        <v>3566</v>
      </c>
      <c r="G522" t="s">
        <v>42</v>
      </c>
      <c r="H522" s="82" t="s">
        <v>42</v>
      </c>
      <c r="I522" s="522">
        <v>130208</v>
      </c>
      <c r="J522" s="425" t="str">
        <f>INDEX(aux!B:B,MATCH(I522,aux!A:A,0))</f>
        <v>(*) Outros óleos de motores, transmissões e lubrificação</v>
      </c>
      <c r="K522" s="433" t="str">
        <f>INDEX(aux!C:C,MATCH(I522,aux!A:A,0))</f>
        <v>Sim</v>
      </c>
      <c r="L522" s="536">
        <v>4337</v>
      </c>
      <c r="M522" s="534" t="s">
        <v>557</v>
      </c>
      <c r="N522" s="139">
        <f t="shared" si="31"/>
        <v>4337</v>
      </c>
      <c r="O522" s="540" t="s">
        <v>480</v>
      </c>
      <c r="P522" s="231" t="str">
        <f t="shared" si="32"/>
        <v>Reciclagem</v>
      </c>
      <c r="Q522" s="231" t="s">
        <v>1902</v>
      </c>
      <c r="R522" s="231" t="s">
        <v>1877</v>
      </c>
      <c r="S522" s="542" t="s">
        <v>1546</v>
      </c>
      <c r="T522" s="540" t="s">
        <v>3273</v>
      </c>
      <c r="U522" s="540" t="s">
        <v>3274</v>
      </c>
      <c r="V522" s="527"/>
    </row>
    <row r="523" spans="1:22" ht="15.75" hidden="1" thickBot="1" x14ac:dyDescent="0.3">
      <c r="A523" s="424" t="s">
        <v>4593</v>
      </c>
      <c r="B523" s="424" t="s">
        <v>4593</v>
      </c>
      <c r="C523" s="82" t="str">
        <f t="shared" si="30"/>
        <v>X</v>
      </c>
      <c r="D523">
        <v>2022</v>
      </c>
      <c r="E523" s="250" t="s">
        <v>3499</v>
      </c>
      <c r="F523" s="250" t="s">
        <v>3566</v>
      </c>
      <c r="G523" t="s">
        <v>42</v>
      </c>
      <c r="H523" s="82" t="s">
        <v>42</v>
      </c>
      <c r="I523" s="532">
        <v>200101</v>
      </c>
      <c r="J523" s="425" t="str">
        <f>INDEX(aux!B:B,MATCH(I523,aux!A:A,0))</f>
        <v xml:space="preserve">Papel e Cartão </v>
      </c>
      <c r="K523" s="433" t="str">
        <f>INDEX(aux!C:C,MATCH(I523,aux!A:A,0))</f>
        <v>Não</v>
      </c>
      <c r="L523" s="437">
        <v>725</v>
      </c>
      <c r="M523" s="433" t="s">
        <v>557</v>
      </c>
      <c r="N523" s="139">
        <f t="shared" si="31"/>
        <v>725</v>
      </c>
      <c r="O523" s="139" t="s">
        <v>484</v>
      </c>
      <c r="P523" s="231" t="str">
        <f t="shared" si="32"/>
        <v>Reciclagem</v>
      </c>
      <c r="Q523" s="231" t="s">
        <v>1904</v>
      </c>
      <c r="R523" s="231" t="s">
        <v>1903</v>
      </c>
      <c r="S523" s="543" t="str">
        <f>IFERROR(INDEX(Tabela3[Tipos de Tratamento],MATCH('A3.9.1 copy'!O432,Tabela3[Código],0)),"")</f>
        <v xml:space="preserve">Troca de resíduos com vista a submetê-los a uma das operações enumeradas de R 1 a R 11 </v>
      </c>
      <c r="T523" s="429" t="s">
        <v>3263</v>
      </c>
      <c r="U523" s="429" t="s">
        <v>3266</v>
      </c>
      <c r="V523" s="527"/>
    </row>
    <row r="524" spans="1:22" ht="15.75" thickBot="1" x14ac:dyDescent="0.3">
      <c r="A524" s="527" t="s">
        <v>4593</v>
      </c>
      <c r="B524" s="527" t="s">
        <v>4593</v>
      </c>
      <c r="C524" s="82" t="str">
        <f t="shared" si="30"/>
        <v>X</v>
      </c>
      <c r="D524">
        <v>2023</v>
      </c>
      <c r="E524" s="250" t="s">
        <v>3499</v>
      </c>
      <c r="F524" s="250" t="s">
        <v>3566</v>
      </c>
      <c r="G524" t="s">
        <v>42</v>
      </c>
      <c r="H524" s="82" t="s">
        <v>42</v>
      </c>
      <c r="I524" s="522">
        <v>200101</v>
      </c>
      <c r="J524" s="425" t="str">
        <f>INDEX(aux!B:B,MATCH(I524,aux!A:A,0))</f>
        <v xml:space="preserve">Papel e Cartão </v>
      </c>
      <c r="K524" s="433" t="str">
        <f>INDEX(aux!C:C,MATCH(I524,aux!A:A,0))</f>
        <v>Não</v>
      </c>
      <c r="L524" s="536">
        <v>828</v>
      </c>
      <c r="M524" s="534" t="s">
        <v>557</v>
      </c>
      <c r="N524" s="139">
        <f t="shared" si="31"/>
        <v>828</v>
      </c>
      <c r="O524" s="540" t="s">
        <v>484</v>
      </c>
      <c r="P524" s="231" t="str">
        <f t="shared" si="32"/>
        <v>Reciclagem</v>
      </c>
      <c r="Q524" s="231" t="s">
        <v>1904</v>
      </c>
      <c r="R524" s="231" t="s">
        <v>6569</v>
      </c>
      <c r="S524" s="542" t="s">
        <v>1553</v>
      </c>
      <c r="T524" s="540" t="s">
        <v>3263</v>
      </c>
      <c r="U524" s="540" t="s">
        <v>6297</v>
      </c>
      <c r="V524" s="527"/>
    </row>
    <row r="525" spans="1:22" ht="15.75" hidden="1" thickBot="1" x14ac:dyDescent="0.3">
      <c r="A525" s="424" t="s">
        <v>4593</v>
      </c>
      <c r="B525" s="424" t="s">
        <v>4593</v>
      </c>
      <c r="C525" s="82" t="str">
        <f t="shared" si="30"/>
        <v>X</v>
      </c>
      <c r="D525">
        <v>2022</v>
      </c>
      <c r="E525" s="250" t="s">
        <v>3499</v>
      </c>
      <c r="F525" s="250" t="s">
        <v>3566</v>
      </c>
      <c r="G525" t="s">
        <v>42</v>
      </c>
      <c r="H525" s="82" t="s">
        <v>42</v>
      </c>
      <c r="I525" s="532">
        <v>200139</v>
      </c>
      <c r="J525" s="425" t="str">
        <f>INDEX(aux!B:B,MATCH(I525,aux!A:A,0))</f>
        <v>Plasticos</v>
      </c>
      <c r="K525" s="433" t="str">
        <f>INDEX(aux!C:C,MATCH(I525,aux!A:A,0))</f>
        <v>Não</v>
      </c>
      <c r="L525" s="437">
        <v>117</v>
      </c>
      <c r="M525" s="433" t="s">
        <v>557</v>
      </c>
      <c r="N525" s="139">
        <f t="shared" si="31"/>
        <v>117</v>
      </c>
      <c r="O525" s="139" t="s">
        <v>509</v>
      </c>
      <c r="P525" s="231" t="str">
        <f t="shared" si="32"/>
        <v>Aterro</v>
      </c>
      <c r="Q525" s="231" t="s">
        <v>1560</v>
      </c>
      <c r="R525" s="231" t="s">
        <v>1903</v>
      </c>
      <c r="S525" s="543" t="str">
        <f>IFERROR(INDEX(Tabela3[Tipos de Tratamento],MATCH('A3.9.1 copy'!O434,Tabela3[Código],0)),"")</f>
        <v xml:space="preserve">Troca de resíduos com vista a submetê-los a uma das operações enumeradas de R 1 a R 11 </v>
      </c>
      <c r="T525" s="429" t="s">
        <v>3263</v>
      </c>
      <c r="U525" s="429" t="s">
        <v>3266</v>
      </c>
      <c r="V525" s="527"/>
    </row>
    <row r="526" spans="1:22" ht="15.75" thickBot="1" x14ac:dyDescent="0.3">
      <c r="A526" s="527" t="s">
        <v>4593</v>
      </c>
      <c r="B526" s="527" t="s">
        <v>4593</v>
      </c>
      <c r="C526" s="82" t="str">
        <f t="shared" si="30"/>
        <v>X</v>
      </c>
      <c r="D526">
        <v>2023</v>
      </c>
      <c r="E526" s="250" t="s">
        <v>3499</v>
      </c>
      <c r="F526" s="250" t="s">
        <v>3566</v>
      </c>
      <c r="G526" t="s">
        <v>42</v>
      </c>
      <c r="H526" s="82" t="s">
        <v>42</v>
      </c>
      <c r="I526" s="522">
        <v>200139</v>
      </c>
      <c r="J526" s="425" t="str">
        <f>INDEX(aux!B:B,MATCH(I526,aux!A:A,0))</f>
        <v>Plasticos</v>
      </c>
      <c r="K526" s="433" t="str">
        <f>INDEX(aux!C:C,MATCH(I526,aux!A:A,0))</f>
        <v>Não</v>
      </c>
      <c r="L526" s="536">
        <v>138</v>
      </c>
      <c r="M526" s="534" t="s">
        <v>557</v>
      </c>
      <c r="N526" s="139">
        <f t="shared" si="31"/>
        <v>138</v>
      </c>
      <c r="O526" s="540" t="s">
        <v>509</v>
      </c>
      <c r="P526" s="231" t="str">
        <f t="shared" si="32"/>
        <v>Aterro</v>
      </c>
      <c r="Q526" s="231" t="s">
        <v>1560</v>
      </c>
      <c r="R526" s="231" t="s">
        <v>6569</v>
      </c>
      <c r="S526" s="542" t="s">
        <v>1556</v>
      </c>
      <c r="T526" s="540" t="s">
        <v>3263</v>
      </c>
      <c r="U526" s="540" t="s">
        <v>6297</v>
      </c>
      <c r="V526" s="527"/>
    </row>
    <row r="527" spans="1:22" ht="15.75" hidden="1" thickBot="1" x14ac:dyDescent="0.3">
      <c r="A527" s="424" t="s">
        <v>4593</v>
      </c>
      <c r="B527" s="424" t="s">
        <v>4593</v>
      </c>
      <c r="C527" s="82" t="str">
        <f t="shared" si="30"/>
        <v>X</v>
      </c>
      <c r="D527">
        <v>2022</v>
      </c>
      <c r="E527" s="250" t="s">
        <v>3499</v>
      </c>
      <c r="F527" s="250" t="s">
        <v>3566</v>
      </c>
      <c r="G527" t="s">
        <v>42</v>
      </c>
      <c r="H527" s="82" t="s">
        <v>42</v>
      </c>
      <c r="I527" s="532">
        <v>170107</v>
      </c>
      <c r="J527" s="425" t="str">
        <f>INDEX(aux!B:B,MATCH(I527,aux!A:A,0))</f>
        <v>Misturas de betão, tijolos, ladrilhos, telhas e materiais cerâmicos, não abrangidas em 17 01 06</v>
      </c>
      <c r="K527" s="433" t="str">
        <f>INDEX(aux!C:C,MATCH(I527,aux!A:A,0))</f>
        <v>Não</v>
      </c>
      <c r="L527" s="437">
        <v>1200</v>
      </c>
      <c r="M527" s="433" t="s">
        <v>557</v>
      </c>
      <c r="N527" s="139">
        <f t="shared" si="31"/>
        <v>1200</v>
      </c>
      <c r="O527" s="139" t="s">
        <v>509</v>
      </c>
      <c r="P527" s="231" t="str">
        <f t="shared" si="32"/>
        <v>Aterro</v>
      </c>
      <c r="Q527" s="231" t="s">
        <v>1901</v>
      </c>
      <c r="R527" s="231" t="s">
        <v>1892</v>
      </c>
      <c r="S527" s="543" t="str">
        <f>IFERROR(INDEX(Tabela3[Tipos de Tratamento],MATCH('A3.9.1 copy'!O431,Tabela3[Código],0)),"")</f>
        <v xml:space="preserve">Troca de resíduos com vista a submetê-los a uma das operações enumeradas de R 1 a R 11 </v>
      </c>
      <c r="T527" s="429" t="s">
        <v>3263</v>
      </c>
      <c r="U527" s="429" t="s">
        <v>3263</v>
      </c>
      <c r="V527" s="527"/>
    </row>
    <row r="528" spans="1:22" ht="15.75" hidden="1" thickBot="1" x14ac:dyDescent="0.3">
      <c r="A528" s="424" t="s">
        <v>4593</v>
      </c>
      <c r="B528" s="424" t="s">
        <v>4593</v>
      </c>
      <c r="C528" s="82" t="str">
        <f t="shared" si="30"/>
        <v>X</v>
      </c>
      <c r="D528">
        <v>2022</v>
      </c>
      <c r="E528" s="250" t="s">
        <v>3499</v>
      </c>
      <c r="F528" s="250" t="s">
        <v>3566</v>
      </c>
      <c r="G528" t="s">
        <v>42</v>
      </c>
      <c r="H528" s="82" t="s">
        <v>42</v>
      </c>
      <c r="I528" s="532">
        <v>130502</v>
      </c>
      <c r="J528" s="425" t="str">
        <f>INDEX(aux!B:B,MATCH(I528,aux!A:A,0))</f>
        <v>(*) Lamas provenientes dos separadores óleo/água</v>
      </c>
      <c r="K528" s="433" t="str">
        <f>INDEX(aux!C:C,MATCH(I528,aux!A:A,0))</f>
        <v>Sim</v>
      </c>
      <c r="L528" s="437">
        <v>600</v>
      </c>
      <c r="M528" s="433" t="s">
        <v>557</v>
      </c>
      <c r="N528" s="139">
        <f t="shared" si="31"/>
        <v>600</v>
      </c>
      <c r="O528" s="139" t="s">
        <v>503</v>
      </c>
      <c r="P528" s="231" t="str">
        <f t="shared" si="32"/>
        <v>Aterro</v>
      </c>
      <c r="Q528" s="231" t="s">
        <v>1901</v>
      </c>
      <c r="R528" s="231" t="s">
        <v>1892</v>
      </c>
      <c r="S528" s="543" t="str">
        <f>IFERROR(INDEX(Tabela3[Tipos de Tratamento],MATCH('A3.9.1 copy'!O418,Tabela3[Código],0)),"")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528" s="429" t="s">
        <v>3263</v>
      </c>
      <c r="U528" s="429" t="s">
        <v>3264</v>
      </c>
      <c r="V528" s="527"/>
    </row>
    <row r="529" spans="1:22" ht="15.75" hidden="1" thickBot="1" x14ac:dyDescent="0.3">
      <c r="A529" s="424" t="s">
        <v>4593</v>
      </c>
      <c r="B529" s="424" t="s">
        <v>4593</v>
      </c>
      <c r="C529" s="82" t="str">
        <f t="shared" si="30"/>
        <v>X</v>
      </c>
      <c r="D529">
        <v>2022</v>
      </c>
      <c r="E529" s="250" t="s">
        <v>3499</v>
      </c>
      <c r="F529" s="250" t="s">
        <v>3566</v>
      </c>
      <c r="G529" t="s">
        <v>42</v>
      </c>
      <c r="H529" s="82" t="s">
        <v>42</v>
      </c>
      <c r="I529" s="532">
        <v>130502</v>
      </c>
      <c r="J529" s="425" t="str">
        <f>INDEX(aux!B:B,MATCH(I529,aux!A:A,0))</f>
        <v>(*) Lamas provenientes dos separadores óleo/água</v>
      </c>
      <c r="K529" s="433" t="str">
        <f>INDEX(aux!C:C,MATCH(I529,aux!A:A,0))</f>
        <v>Sim</v>
      </c>
      <c r="L529" s="437">
        <v>680</v>
      </c>
      <c r="M529" s="433" t="s">
        <v>557</v>
      </c>
      <c r="N529" s="139">
        <f t="shared" si="31"/>
        <v>680</v>
      </c>
      <c r="O529" s="139" t="s">
        <v>503</v>
      </c>
      <c r="P529" s="231" t="str">
        <f t="shared" si="32"/>
        <v>Aterro</v>
      </c>
      <c r="Q529" s="231" t="s">
        <v>1901</v>
      </c>
      <c r="R529" s="231" t="s">
        <v>1892</v>
      </c>
      <c r="S529" s="543" t="str">
        <f>IFERROR(INDEX(Tabela3[Tipos de Tratamento],MATCH('A3.9.1 copy'!O472,Tabela3[Código],0)),"")</f>
        <v>Acumulação de resíduos destinados a uma das operações enumeradas de R1 a R12</v>
      </c>
      <c r="T529" s="429" t="s">
        <v>3263</v>
      </c>
      <c r="U529" s="429" t="s">
        <v>3264</v>
      </c>
      <c r="V529" s="527"/>
    </row>
    <row r="530" spans="1:22" ht="15.75" hidden="1" thickBot="1" x14ac:dyDescent="0.3">
      <c r="A530" s="424" t="s">
        <v>4593</v>
      </c>
      <c r="B530" s="424" t="s">
        <v>4593</v>
      </c>
      <c r="C530" s="82" t="str">
        <f t="shared" si="30"/>
        <v>X</v>
      </c>
      <c r="D530">
        <v>2022</v>
      </c>
      <c r="E530" s="250" t="s">
        <v>3499</v>
      </c>
      <c r="F530" s="250" t="s">
        <v>3566</v>
      </c>
      <c r="G530" t="s">
        <v>42</v>
      </c>
      <c r="H530" s="82" t="s">
        <v>42</v>
      </c>
      <c r="I530" s="532">
        <v>130507</v>
      </c>
      <c r="J530" s="425" t="str">
        <f>INDEX(aux!B:B,MATCH(I530,aux!A:A,0))</f>
        <v>(*) Água com óleo proveniente dos separadores óleo/água</v>
      </c>
      <c r="K530" s="433" t="str">
        <f>INDEX(aux!C:C,MATCH(I530,aux!A:A,0))</f>
        <v>Sim</v>
      </c>
      <c r="L530" s="437">
        <v>5400</v>
      </c>
      <c r="M530" s="433" t="s">
        <v>557</v>
      </c>
      <c r="N530" s="139">
        <f t="shared" si="31"/>
        <v>5400</v>
      </c>
      <c r="O530" s="139" t="s">
        <v>503</v>
      </c>
      <c r="P530" s="231" t="str">
        <f t="shared" si="32"/>
        <v>Aterro</v>
      </c>
      <c r="Q530" s="231" t="s">
        <v>1901</v>
      </c>
      <c r="R530" s="231" t="s">
        <v>1892</v>
      </c>
      <c r="S530" s="543" t="str">
        <f>IFERROR(INDEX(Tabela3[Tipos de Tratamento],MATCH('A3.9.1 copy'!O419,Tabela3[Código],0)),"")</f>
        <v xml:space="preserve">Troca de resíduos com vista a submetê-los a uma das operações enumeradas de R 1 a R 11 </v>
      </c>
      <c r="T530" s="429" t="s">
        <v>3263</v>
      </c>
      <c r="U530" s="429" t="s">
        <v>3264</v>
      </c>
      <c r="V530" s="527"/>
    </row>
    <row r="531" spans="1:22" ht="15.75" hidden="1" thickBot="1" x14ac:dyDescent="0.3">
      <c r="A531" s="424" t="s">
        <v>4593</v>
      </c>
      <c r="B531" s="424" t="s">
        <v>4593</v>
      </c>
      <c r="C531" s="82" t="str">
        <f t="shared" si="30"/>
        <v>X</v>
      </c>
      <c r="D531">
        <v>2022</v>
      </c>
      <c r="E531" s="250" t="s">
        <v>3499</v>
      </c>
      <c r="F531" s="250" t="s">
        <v>3566</v>
      </c>
      <c r="G531" t="s">
        <v>42</v>
      </c>
      <c r="H531" s="82" t="s">
        <v>42</v>
      </c>
      <c r="I531" s="532">
        <v>130507</v>
      </c>
      <c r="J531" s="425" t="str">
        <f>INDEX(aux!B:B,MATCH(I531,aux!A:A,0))</f>
        <v>(*) Água com óleo proveniente dos separadores óleo/água</v>
      </c>
      <c r="K531" s="433" t="str">
        <f>INDEX(aux!C:C,MATCH(I531,aux!A:A,0))</f>
        <v>Sim</v>
      </c>
      <c r="L531" s="437">
        <v>5320</v>
      </c>
      <c r="M531" s="433" t="s">
        <v>557</v>
      </c>
      <c r="N531" s="139">
        <f t="shared" si="31"/>
        <v>5320</v>
      </c>
      <c r="O531" s="139" t="s">
        <v>503</v>
      </c>
      <c r="P531" s="231" t="str">
        <f t="shared" si="32"/>
        <v>Aterro</v>
      </c>
      <c r="Q531" s="231" t="s">
        <v>1901</v>
      </c>
      <c r="R531" s="231" t="s">
        <v>1892</v>
      </c>
      <c r="S531" s="543" t="str">
        <f>IFERROR(INDEX(Tabela3[Tipos de Tratamento],MATCH('A3.9.1 copy'!O473,Tabela3[Código],0)),"")</f>
        <v xml:space="preserve">Troca de resíduos com vista a submetê-los a uma das operações enumeradas de R 1 a R 11 </v>
      </c>
      <c r="T531" s="429" t="s">
        <v>3263</v>
      </c>
      <c r="U531" s="429" t="s">
        <v>3264</v>
      </c>
      <c r="V531" s="527"/>
    </row>
    <row r="532" spans="1:22" ht="15.75" hidden="1" thickBot="1" x14ac:dyDescent="0.3">
      <c r="A532" s="424" t="s">
        <v>4593</v>
      </c>
      <c r="B532" s="424" t="s">
        <v>4593</v>
      </c>
      <c r="C532" s="82" t="str">
        <f t="shared" si="30"/>
        <v>X</v>
      </c>
      <c r="D532">
        <v>2022</v>
      </c>
      <c r="E532" s="250" t="s">
        <v>3499</v>
      </c>
      <c r="F532" s="250" t="s">
        <v>3566</v>
      </c>
      <c r="G532" t="s">
        <v>42</v>
      </c>
      <c r="H532" s="82" t="s">
        <v>42</v>
      </c>
      <c r="I532" s="532">
        <v>150110</v>
      </c>
      <c r="J532" s="425" t="str">
        <f>INDEX(aux!B:B,MATCH(I532,aux!A:A,0))</f>
        <v>(*) Embalagens contendo ou contaminadas por resíduos de substâncias perigosas</v>
      </c>
      <c r="K532" s="433" t="str">
        <f>INDEX(aux!C:C,MATCH(I532,aux!A:A,0))</f>
        <v>Sim</v>
      </c>
      <c r="L532" s="437">
        <v>249</v>
      </c>
      <c r="M532" s="433" t="s">
        <v>557</v>
      </c>
      <c r="N532" s="139">
        <f t="shared" si="31"/>
        <v>249</v>
      </c>
      <c r="O532" s="139" t="s">
        <v>509</v>
      </c>
      <c r="P532" s="231" t="str">
        <f t="shared" si="32"/>
        <v>Aterro</v>
      </c>
      <c r="Q532" s="231" t="s">
        <v>1901</v>
      </c>
      <c r="R532" s="231" t="s">
        <v>1892</v>
      </c>
      <c r="S532" s="543" t="str">
        <f>IFERROR(INDEX(Tabela3[Tipos de Tratamento],MATCH('A3.9.1 copy'!O420,Tabela3[Código],0)),"")</f>
        <v>Mistura anterior à execução de uma das operações enumeradas de D1 a D12</v>
      </c>
      <c r="T532" s="429" t="s">
        <v>3263</v>
      </c>
      <c r="U532" s="429" t="s">
        <v>3266</v>
      </c>
      <c r="V532" s="527"/>
    </row>
    <row r="533" spans="1:22" ht="15.75" hidden="1" thickBot="1" x14ac:dyDescent="0.3">
      <c r="A533" s="424" t="s">
        <v>4593</v>
      </c>
      <c r="B533" s="424" t="s">
        <v>4593</v>
      </c>
      <c r="C533" s="82" t="str">
        <f t="shared" si="30"/>
        <v>X</v>
      </c>
      <c r="D533">
        <v>2022</v>
      </c>
      <c r="E533" s="250" t="s">
        <v>3499</v>
      </c>
      <c r="F533" s="250" t="s">
        <v>3566</v>
      </c>
      <c r="G533" t="s">
        <v>42</v>
      </c>
      <c r="H533" s="82" t="s">
        <v>42</v>
      </c>
      <c r="I533" s="532">
        <v>150202</v>
      </c>
      <c r="J533" s="425" t="str">
        <f>INDEX(aux!B:B,MATCH(I533,aux!A:A,0))</f>
        <v>(*) Absorventes, materiais filtrantes (incluindo filtros de óleo sem outras especificações), panos de limpeza e vestuário de proteção, contaminados por substâncias perigosas</v>
      </c>
      <c r="K533" s="433" t="str">
        <f>INDEX(aux!C:C,MATCH(I533,aux!A:A,0))</f>
        <v>Sim</v>
      </c>
      <c r="L533" s="437">
        <v>1050</v>
      </c>
      <c r="M533" s="433" t="s">
        <v>557</v>
      </c>
      <c r="N533" s="139">
        <f t="shared" si="31"/>
        <v>1050</v>
      </c>
      <c r="O533" s="139" t="s">
        <v>509</v>
      </c>
      <c r="P533" s="231" t="str">
        <f t="shared" si="32"/>
        <v>Aterro</v>
      </c>
      <c r="Q533" s="231" t="s">
        <v>1901</v>
      </c>
      <c r="R533" s="231" t="s">
        <v>1892</v>
      </c>
      <c r="S533" s="543" t="str">
        <f>IFERROR(INDEX(Tabela3[Tipos de Tratamento],MATCH('A3.9.1 copy'!O421,Tabela3[Código],0)),"")</f>
        <v xml:space="preserve">Troca de resíduos com vista a submetê-los a uma das operações enumeradas de R 1 a R 11 </v>
      </c>
      <c r="T533" s="429" t="s">
        <v>3263</v>
      </c>
      <c r="U533" s="429" t="s">
        <v>3266</v>
      </c>
      <c r="V533" s="527"/>
    </row>
    <row r="534" spans="1:22" ht="15.75" hidden="1" thickBot="1" x14ac:dyDescent="0.3">
      <c r="A534" s="424" t="s">
        <v>4593</v>
      </c>
      <c r="B534" s="424" t="s">
        <v>4593</v>
      </c>
      <c r="C534" s="82" t="str">
        <f t="shared" si="30"/>
        <v>X</v>
      </c>
      <c r="D534">
        <v>2022</v>
      </c>
      <c r="E534" s="250" t="s">
        <v>3499</v>
      </c>
      <c r="F534" s="250" t="s">
        <v>3566</v>
      </c>
      <c r="G534" t="s">
        <v>42</v>
      </c>
      <c r="H534" s="82" t="s">
        <v>42</v>
      </c>
      <c r="I534" s="532">
        <v>150203</v>
      </c>
      <c r="J534" s="425" t="str">
        <f>INDEX(aux!B:B,MATCH(I534,aux!A:A,0))</f>
        <v>Absorventes, materiais filtrantes, panos de limpeza e vestuário de proteção não abrangidos em 15 02 02</v>
      </c>
      <c r="K534" s="433" t="str">
        <f>INDEX(aux!C:C,MATCH(I534,aux!A:A,0))</f>
        <v>Não</v>
      </c>
      <c r="L534" s="437">
        <v>331</v>
      </c>
      <c r="M534" s="433" t="s">
        <v>557</v>
      </c>
      <c r="N534" s="139">
        <f t="shared" si="31"/>
        <v>331</v>
      </c>
      <c r="O534" s="139" t="s">
        <v>509</v>
      </c>
      <c r="P534" s="231" t="str">
        <f t="shared" si="32"/>
        <v>Aterro</v>
      </c>
      <c r="Q534" s="231" t="s">
        <v>1901</v>
      </c>
      <c r="R534" s="231" t="s">
        <v>1892</v>
      </c>
      <c r="S534" s="543" t="str">
        <f>IFERROR(INDEX(Tabela3[Tipos de Tratamento],MATCH('A3.9.1 copy'!O422,Tabela3[Código],0)),"")</f>
        <v>Mistura anterior à execução de uma das operações enumeradas de D1 a D12</v>
      </c>
      <c r="T534" s="429" t="s">
        <v>3263</v>
      </c>
      <c r="U534" s="429" t="s">
        <v>3266</v>
      </c>
      <c r="V534" s="527"/>
    </row>
    <row r="535" spans="1:22" ht="15.75" hidden="1" thickBot="1" x14ac:dyDescent="0.3">
      <c r="A535" s="424" t="s">
        <v>4593</v>
      </c>
      <c r="B535" s="424" t="s">
        <v>4593</v>
      </c>
      <c r="C535" s="82" t="str">
        <f t="shared" si="30"/>
        <v>X</v>
      </c>
      <c r="D535">
        <v>2022</v>
      </c>
      <c r="E535" s="250" t="s">
        <v>3499</v>
      </c>
      <c r="F535" s="250" t="s">
        <v>3566</v>
      </c>
      <c r="G535" t="s">
        <v>42</v>
      </c>
      <c r="H535" s="82" t="s">
        <v>42</v>
      </c>
      <c r="I535" s="532">
        <v>160107</v>
      </c>
      <c r="J535" s="425" t="str">
        <f>INDEX(aux!B:B,MATCH(I535,aux!A:A,0))</f>
        <v>(*) Filtros de óleo</v>
      </c>
      <c r="K535" s="433" t="str">
        <f>INDEX(aux!C:C,MATCH(I535,aux!A:A,0))</f>
        <v>Sim</v>
      </c>
      <c r="L535" s="437">
        <v>837</v>
      </c>
      <c r="M535" s="433" t="s">
        <v>557</v>
      </c>
      <c r="N535" s="139">
        <f t="shared" si="31"/>
        <v>837</v>
      </c>
      <c r="O535" s="139" t="s">
        <v>484</v>
      </c>
      <c r="P535" s="231" t="str">
        <f t="shared" si="32"/>
        <v>Reciclagem</v>
      </c>
      <c r="Q535" s="231" t="s">
        <v>1901</v>
      </c>
      <c r="R535" s="231" t="s">
        <v>1892</v>
      </c>
      <c r="S535" s="543" t="str">
        <f>IFERROR(INDEX(Tabela3[Tipos de Tratamento],MATCH('A3.9.1 copy'!O424,Tabela3[Código],0)),"")</f>
        <v xml:space="preserve">Troca de resíduos com vista a submetê-los a uma das operações enumeradas de R 1 a R 11 </v>
      </c>
      <c r="T535" s="429" t="s">
        <v>3263</v>
      </c>
      <c r="U535" s="429" t="s">
        <v>3266</v>
      </c>
      <c r="V535" s="93"/>
    </row>
    <row r="536" spans="1:22" ht="15.75" hidden="1" thickBot="1" x14ac:dyDescent="0.3">
      <c r="A536" s="424" t="s">
        <v>4593</v>
      </c>
      <c r="B536" s="424" t="s">
        <v>4593</v>
      </c>
      <c r="C536" s="82" t="str">
        <f t="shared" si="30"/>
        <v>X</v>
      </c>
      <c r="D536">
        <v>2022</v>
      </c>
      <c r="E536" s="250" t="s">
        <v>3499</v>
      </c>
      <c r="F536" s="250" t="s">
        <v>3566</v>
      </c>
      <c r="G536" t="s">
        <v>42</v>
      </c>
      <c r="H536" s="82" t="s">
        <v>42</v>
      </c>
      <c r="I536" s="532">
        <v>160199</v>
      </c>
      <c r="J536" s="425" t="str">
        <f>INDEX(aux!B:B,MATCH(I536,aux!A:A,0))</f>
        <v>Resíduos sem outras especificações</v>
      </c>
      <c r="K536" s="433" t="str">
        <f>INDEX(aux!C:C,MATCH(I536,aux!A:A,0))</f>
        <v>Não</v>
      </c>
      <c r="L536" s="437">
        <v>2428</v>
      </c>
      <c r="M536" s="433" t="s">
        <v>557</v>
      </c>
      <c r="N536" s="139">
        <f t="shared" si="31"/>
        <v>2428</v>
      </c>
      <c r="O536" s="139" t="s">
        <v>509</v>
      </c>
      <c r="P536" s="231" t="str">
        <f t="shared" si="32"/>
        <v>Aterro</v>
      </c>
      <c r="Q536" s="231" t="s">
        <v>1901</v>
      </c>
      <c r="R536" s="231" t="s">
        <v>1892</v>
      </c>
      <c r="S536" s="543" t="str">
        <f>IFERROR(INDEX(Tabela3[Tipos de Tratamento],MATCH('A3.9.1 copy'!O428,Tabela3[Código],0)),"")</f>
        <v>Acumulação de resíduos destinados a uma das operações enumeradas de R1 a R12</v>
      </c>
      <c r="T536" s="429" t="s">
        <v>3263</v>
      </c>
      <c r="U536" s="429" t="s">
        <v>3272</v>
      </c>
      <c r="V536" s="93"/>
    </row>
    <row r="537" spans="1:22" ht="15.75" hidden="1" thickBot="1" x14ac:dyDescent="0.3">
      <c r="A537" s="424" t="s">
        <v>4593</v>
      </c>
      <c r="B537" s="424" t="s">
        <v>4593</v>
      </c>
      <c r="C537" s="82" t="str">
        <f t="shared" si="30"/>
        <v>X</v>
      </c>
      <c r="D537">
        <v>2022</v>
      </c>
      <c r="E537" s="250" t="s">
        <v>3499</v>
      </c>
      <c r="F537" s="250" t="s">
        <v>3566</v>
      </c>
      <c r="G537" t="s">
        <v>42</v>
      </c>
      <c r="H537" s="82" t="s">
        <v>42</v>
      </c>
      <c r="I537" s="532">
        <v>160504</v>
      </c>
      <c r="J537" s="425" t="str">
        <f>INDEX(aux!B:B,MATCH(I537,aux!A:A,0))</f>
        <v>Gases em recipientes sob pressão (incluindo halons) contendo substâncias perigosas</v>
      </c>
      <c r="K537" s="433" t="str">
        <f>INDEX(aux!C:C,MATCH(I537,aux!A:A,0))</f>
        <v>Sim</v>
      </c>
      <c r="L537" s="437">
        <v>74</v>
      </c>
      <c r="M537" s="433" t="s">
        <v>557</v>
      </c>
      <c r="N537" s="139">
        <f t="shared" si="31"/>
        <v>74</v>
      </c>
      <c r="O537" s="139" t="s">
        <v>509</v>
      </c>
      <c r="P537" s="231" t="str">
        <f t="shared" si="32"/>
        <v>Aterro</v>
      </c>
      <c r="Q537" s="231" t="s">
        <v>1901</v>
      </c>
      <c r="R537" s="231" t="s">
        <v>1892</v>
      </c>
      <c r="S537" s="543" t="str">
        <f>IFERROR(INDEX(Tabela3[Tipos de Tratamento],MATCH('A3.9.1 copy'!O429,Tabela3[Código],0)),"")</f>
        <v>Mistura anterior à execução de uma das operações enumeradas de D1 a D12</v>
      </c>
      <c r="T537" s="429" t="s">
        <v>3263</v>
      </c>
      <c r="U537" s="429" t="s">
        <v>3266</v>
      </c>
      <c r="V537" s="93"/>
    </row>
    <row r="538" spans="1:22" ht="15.75" hidden="1" thickBot="1" x14ac:dyDescent="0.3">
      <c r="A538" s="424" t="s">
        <v>4593</v>
      </c>
      <c r="B538" s="424" t="s">
        <v>4593</v>
      </c>
      <c r="C538" s="82" t="str">
        <f t="shared" si="30"/>
        <v>X</v>
      </c>
      <c r="D538">
        <v>2022</v>
      </c>
      <c r="E538" s="250" t="s">
        <v>3499</v>
      </c>
      <c r="F538" s="250" t="s">
        <v>3566</v>
      </c>
      <c r="G538" t="s">
        <v>42</v>
      </c>
      <c r="H538" s="82" t="s">
        <v>42</v>
      </c>
      <c r="I538" s="532">
        <v>200306</v>
      </c>
      <c r="J538" s="425" t="str">
        <f>INDEX(aux!B:B,MATCH(I538,aux!A:A,0))</f>
        <v>Resíduos da limpeza de esgotos</v>
      </c>
      <c r="K538" s="433" t="str">
        <f>INDEX(aux!C:C,MATCH(I538,aux!A:A,0))</f>
        <v>Não</v>
      </c>
      <c r="L538" s="437">
        <v>10780</v>
      </c>
      <c r="M538" s="433" t="s">
        <v>557</v>
      </c>
      <c r="N538" s="139">
        <f t="shared" si="31"/>
        <v>10780</v>
      </c>
      <c r="O538" s="139" t="s">
        <v>509</v>
      </c>
      <c r="P538" s="231" t="str">
        <f t="shared" si="32"/>
        <v>Aterro</v>
      </c>
      <c r="Q538" s="231" t="s">
        <v>1901</v>
      </c>
      <c r="R538" s="231" t="s">
        <v>1892</v>
      </c>
      <c r="S538" s="543" t="str">
        <f>IFERROR(INDEX(Tabela3[Tipos de Tratamento],MATCH('A3.9.1 copy'!O435,Tabela3[Código],0)),"")</f>
        <v>Mistura anterior à execução de uma das operações enumeradas de D1 a D12</v>
      </c>
      <c r="T538" s="429" t="s">
        <v>3263</v>
      </c>
      <c r="U538" s="429" t="s">
        <v>3264</v>
      </c>
      <c r="V538" s="93"/>
    </row>
    <row r="539" spans="1:22" ht="15.75" thickBot="1" x14ac:dyDescent="0.3">
      <c r="A539" s="527" t="s">
        <v>4593</v>
      </c>
      <c r="B539" s="527" t="s">
        <v>4593</v>
      </c>
      <c r="C539" s="82" t="str">
        <f t="shared" si="30"/>
        <v>X</v>
      </c>
      <c r="D539">
        <v>2023</v>
      </c>
      <c r="E539" s="250" t="s">
        <v>3499</v>
      </c>
      <c r="F539" s="250" t="s">
        <v>3566</v>
      </c>
      <c r="G539" t="s">
        <v>42</v>
      </c>
      <c r="H539" s="82" t="s">
        <v>42</v>
      </c>
      <c r="I539" s="487">
        <v>160504</v>
      </c>
      <c r="J539" s="425" t="str">
        <f>INDEX(aux!B:B,MATCH(I539,aux!A:A,0))</f>
        <v>Gases em recipientes sob pressão (incluindo halons) contendo substâncias perigosas</v>
      </c>
      <c r="K539" s="433" t="str">
        <f>INDEX(aux!C:C,MATCH(I539,aux!A:A,0))</f>
        <v>Sim</v>
      </c>
      <c r="L539" s="536">
        <v>164</v>
      </c>
      <c r="M539" s="534" t="s">
        <v>557</v>
      </c>
      <c r="N539" s="139">
        <f t="shared" si="31"/>
        <v>164</v>
      </c>
      <c r="O539" s="540" t="s">
        <v>509</v>
      </c>
      <c r="P539" s="231" t="str">
        <f t="shared" si="32"/>
        <v>Aterro</v>
      </c>
      <c r="Q539" s="231" t="s">
        <v>1901</v>
      </c>
      <c r="R539" s="231" t="s">
        <v>1892</v>
      </c>
      <c r="S539" s="542" t="s">
        <v>1556</v>
      </c>
      <c r="T539" s="540" t="s">
        <v>3263</v>
      </c>
      <c r="U539" s="540" t="s">
        <v>6297</v>
      </c>
      <c r="V539" s="422"/>
    </row>
    <row r="540" spans="1:22" ht="15.75" thickBot="1" x14ac:dyDescent="0.3">
      <c r="A540" s="527" t="s">
        <v>4593</v>
      </c>
      <c r="B540" s="527" t="s">
        <v>4593</v>
      </c>
      <c r="C540" s="82" t="str">
        <f t="shared" si="30"/>
        <v>X</v>
      </c>
      <c r="D540">
        <v>2023</v>
      </c>
      <c r="E540" s="250" t="s">
        <v>3499</v>
      </c>
      <c r="F540" s="250" t="s">
        <v>3566</v>
      </c>
      <c r="G540" t="s">
        <v>42</v>
      </c>
      <c r="H540" s="82" t="s">
        <v>42</v>
      </c>
      <c r="I540" s="487">
        <v>200127</v>
      </c>
      <c r="J540" s="425" t="str">
        <f>INDEX(aux!B:B,MATCH(I540,aux!A:A,0))</f>
        <v>Tintas, produtos adesivos, colas e resinas, contendo substâncias perigosas</v>
      </c>
      <c r="K540" s="433" t="str">
        <f>INDEX(aux!C:C,MATCH(I540,aux!A:A,0))</f>
        <v>Sim</v>
      </c>
      <c r="L540" s="536">
        <v>65</v>
      </c>
      <c r="M540" s="534" t="s">
        <v>557</v>
      </c>
      <c r="N540" s="139">
        <f t="shared" si="31"/>
        <v>65</v>
      </c>
      <c r="O540" s="540" t="s">
        <v>473</v>
      </c>
      <c r="P540" s="231" t="str">
        <f t="shared" si="32"/>
        <v>Reciclagem</v>
      </c>
      <c r="Q540" s="231" t="s">
        <v>1901</v>
      </c>
      <c r="R540" s="231" t="s">
        <v>1892</v>
      </c>
      <c r="S540" s="542" t="s">
        <v>488</v>
      </c>
      <c r="T540" s="540" t="s">
        <v>3263</v>
      </c>
      <c r="U540" s="540" t="s">
        <v>6297</v>
      </c>
      <c r="V540" s="93"/>
    </row>
    <row r="541" spans="1:22" ht="15.75" thickBot="1" x14ac:dyDescent="0.3">
      <c r="A541" s="527" t="s">
        <v>4593</v>
      </c>
      <c r="B541" s="527" t="s">
        <v>4593</v>
      </c>
      <c r="C541" s="82" t="str">
        <f t="shared" si="30"/>
        <v>X</v>
      </c>
      <c r="D541">
        <v>2023</v>
      </c>
      <c r="E541" s="250" t="s">
        <v>3499</v>
      </c>
      <c r="F541" s="250" t="s">
        <v>3566</v>
      </c>
      <c r="G541" t="s">
        <v>42</v>
      </c>
      <c r="H541" s="82" t="s">
        <v>42</v>
      </c>
      <c r="I541" s="487">
        <v>160199</v>
      </c>
      <c r="J541" s="425" t="str">
        <f>INDEX(aux!B:B,MATCH(I541,aux!A:A,0))</f>
        <v>Resíduos sem outras especificações</v>
      </c>
      <c r="K541" s="433" t="str">
        <f>INDEX(aux!C:C,MATCH(I541,aux!A:A,0))</f>
        <v>Não</v>
      </c>
      <c r="L541" s="536">
        <v>1895</v>
      </c>
      <c r="M541" s="534" t="s">
        <v>557</v>
      </c>
      <c r="N541" s="139">
        <f t="shared" si="31"/>
        <v>1895</v>
      </c>
      <c r="O541" s="540" t="s">
        <v>509</v>
      </c>
      <c r="P541" s="231" t="str">
        <f t="shared" si="32"/>
        <v>Aterro</v>
      </c>
      <c r="Q541" s="231" t="s">
        <v>1901</v>
      </c>
      <c r="R541" s="231" t="s">
        <v>1892</v>
      </c>
      <c r="S541" s="542" t="s">
        <v>1556</v>
      </c>
      <c r="T541" s="540" t="s">
        <v>3263</v>
      </c>
      <c r="U541" s="540" t="s">
        <v>6297</v>
      </c>
      <c r="V541" s="422"/>
    </row>
    <row r="542" spans="1:22" ht="15.75" thickBot="1" x14ac:dyDescent="0.3">
      <c r="A542" s="527" t="s">
        <v>4593</v>
      </c>
      <c r="B542" s="527" t="s">
        <v>4593</v>
      </c>
      <c r="C542" s="82" t="str">
        <f t="shared" si="30"/>
        <v>X</v>
      </c>
      <c r="D542">
        <v>2023</v>
      </c>
      <c r="E542" s="250" t="s">
        <v>3499</v>
      </c>
      <c r="F542" s="250" t="s">
        <v>3566</v>
      </c>
      <c r="G542" t="s">
        <v>42</v>
      </c>
      <c r="H542" s="82" t="s">
        <v>42</v>
      </c>
      <c r="I542" s="522">
        <v>150110</v>
      </c>
      <c r="J542" s="425" t="str">
        <f>INDEX(aux!B:B,MATCH(I542,aux!A:A,0))</f>
        <v>(*) Embalagens contendo ou contaminadas por resíduos de substâncias perigosas</v>
      </c>
      <c r="K542" s="433" t="str">
        <f>INDEX(aux!C:C,MATCH(I542,aux!A:A,0))</f>
        <v>Sim</v>
      </c>
      <c r="L542" s="536">
        <v>418</v>
      </c>
      <c r="M542" s="534" t="s">
        <v>557</v>
      </c>
      <c r="N542" s="139">
        <f t="shared" si="31"/>
        <v>418</v>
      </c>
      <c r="O542" s="540" t="s">
        <v>509</v>
      </c>
      <c r="P542" s="231" t="str">
        <f t="shared" si="32"/>
        <v>Aterro</v>
      </c>
      <c r="Q542" s="231" t="s">
        <v>1901</v>
      </c>
      <c r="R542" s="231" t="s">
        <v>1892</v>
      </c>
      <c r="S542" s="542" t="s">
        <v>1556</v>
      </c>
      <c r="T542" s="540" t="s">
        <v>3263</v>
      </c>
      <c r="U542" s="540" t="s">
        <v>6297</v>
      </c>
      <c r="V542" s="93"/>
    </row>
    <row r="543" spans="1:22" ht="15.75" thickBot="1" x14ac:dyDescent="0.3">
      <c r="A543" s="527" t="s">
        <v>4593</v>
      </c>
      <c r="B543" s="527" t="s">
        <v>4593</v>
      </c>
      <c r="C543" s="82" t="str">
        <f t="shared" si="30"/>
        <v>X</v>
      </c>
      <c r="D543">
        <v>2023</v>
      </c>
      <c r="E543" s="250" t="s">
        <v>3499</v>
      </c>
      <c r="F543" s="250" t="s">
        <v>3566</v>
      </c>
      <c r="G543" t="s">
        <v>42</v>
      </c>
      <c r="H543" s="82" t="s">
        <v>42</v>
      </c>
      <c r="I543" s="522">
        <v>150203</v>
      </c>
      <c r="J543" s="425" t="str">
        <f>INDEX(aux!B:B,MATCH(I543,aux!A:A,0))</f>
        <v>Absorventes, materiais filtrantes, panos de limpeza e vestuário de proteção não abrangidos em 15 02 02</v>
      </c>
      <c r="K543" s="433" t="str">
        <f>INDEX(aux!C:C,MATCH(I543,aux!A:A,0))</f>
        <v>Não</v>
      </c>
      <c r="L543" s="536">
        <v>305</v>
      </c>
      <c r="M543" s="534" t="s">
        <v>557</v>
      </c>
      <c r="N543" s="139">
        <f t="shared" si="31"/>
        <v>305</v>
      </c>
      <c r="O543" s="540" t="s">
        <v>509</v>
      </c>
      <c r="P543" s="231" t="str">
        <f t="shared" si="32"/>
        <v>Aterro</v>
      </c>
      <c r="Q543" s="231" t="s">
        <v>1901</v>
      </c>
      <c r="R543" s="231" t="s">
        <v>1892</v>
      </c>
      <c r="S543" s="542" t="s">
        <v>1556</v>
      </c>
      <c r="T543" s="540" t="s">
        <v>3263</v>
      </c>
      <c r="U543" s="540" t="s">
        <v>6297</v>
      </c>
      <c r="V543" s="93"/>
    </row>
    <row r="544" spans="1:22" ht="15.75" thickBot="1" x14ac:dyDescent="0.3">
      <c r="A544" s="527" t="s">
        <v>4593</v>
      </c>
      <c r="B544" s="527" t="s">
        <v>4593</v>
      </c>
      <c r="C544" s="82" t="str">
        <f t="shared" si="30"/>
        <v>X</v>
      </c>
      <c r="D544">
        <v>2023</v>
      </c>
      <c r="E544" s="250" t="s">
        <v>3499</v>
      </c>
      <c r="F544" s="250" t="s">
        <v>3566</v>
      </c>
      <c r="G544" t="s">
        <v>42</v>
      </c>
      <c r="H544" s="82" t="s">
        <v>42</v>
      </c>
      <c r="I544" s="522">
        <v>150202</v>
      </c>
      <c r="J544" s="425" t="str">
        <f>INDEX(aux!B:B,MATCH(I544,aux!A:A,0))</f>
        <v>(*) Absorventes, materiais filtrantes (incluindo filtros de óleo sem outras especificações), panos de limpeza e vestuário de proteção, contaminados por substâncias perigosas</v>
      </c>
      <c r="K544" s="433" t="str">
        <f>INDEX(aux!C:C,MATCH(I544,aux!A:A,0))</f>
        <v>Sim</v>
      </c>
      <c r="L544" s="536">
        <v>1622</v>
      </c>
      <c r="M544" s="534" t="s">
        <v>557</v>
      </c>
      <c r="N544" s="139">
        <f t="shared" si="31"/>
        <v>1622</v>
      </c>
      <c r="O544" s="540" t="s">
        <v>509</v>
      </c>
      <c r="P544" s="231" t="str">
        <f t="shared" si="32"/>
        <v>Aterro</v>
      </c>
      <c r="Q544" s="231" t="s">
        <v>1901</v>
      </c>
      <c r="R544" s="231" t="s">
        <v>1892</v>
      </c>
      <c r="S544" s="542" t="s">
        <v>1556</v>
      </c>
      <c r="T544" s="540" t="s">
        <v>3263</v>
      </c>
      <c r="U544" s="540" t="s">
        <v>6297</v>
      </c>
      <c r="V544" s="93"/>
    </row>
    <row r="545" spans="1:22" ht="15.75" thickBot="1" x14ac:dyDescent="0.3">
      <c r="A545" s="93" t="s">
        <v>4593</v>
      </c>
      <c r="B545" s="93" t="s">
        <v>4593</v>
      </c>
      <c r="C545" s="82" t="str">
        <f t="shared" si="30"/>
        <v>X</v>
      </c>
      <c r="D545">
        <v>2023</v>
      </c>
      <c r="E545" s="250" t="s">
        <v>3499</v>
      </c>
      <c r="F545" s="250" t="s">
        <v>3566</v>
      </c>
      <c r="G545" t="s">
        <v>42</v>
      </c>
      <c r="H545" s="82" t="s">
        <v>42</v>
      </c>
      <c r="I545" s="522">
        <v>160107</v>
      </c>
      <c r="J545" s="425" t="str">
        <f>INDEX(aux!B:B,MATCH(I545,aux!A:A,0))</f>
        <v>(*) Filtros de óleo</v>
      </c>
      <c r="K545" s="433" t="str">
        <f>INDEX(aux!C:C,MATCH(I545,aux!A:A,0))</f>
        <v>Sim</v>
      </c>
      <c r="L545" s="536">
        <v>706</v>
      </c>
      <c r="M545" s="534" t="s">
        <v>557</v>
      </c>
      <c r="N545" s="139">
        <f t="shared" si="31"/>
        <v>706</v>
      </c>
      <c r="O545" s="540" t="s">
        <v>484</v>
      </c>
      <c r="P545" s="231" t="str">
        <f t="shared" si="32"/>
        <v>Reciclagem</v>
      </c>
      <c r="Q545" s="231" t="s">
        <v>1901</v>
      </c>
      <c r="R545" s="231" t="s">
        <v>1892</v>
      </c>
      <c r="S545" s="667" t="s">
        <v>1553</v>
      </c>
      <c r="T545" s="540" t="s">
        <v>3263</v>
      </c>
      <c r="U545" s="540" t="s">
        <v>6297</v>
      </c>
      <c r="V545" s="93"/>
    </row>
    <row r="546" spans="1:22" ht="15.75" hidden="1" thickBot="1" x14ac:dyDescent="0.3">
      <c r="A546" s="529" t="s">
        <v>4593</v>
      </c>
      <c r="B546" s="529" t="s">
        <v>4593</v>
      </c>
      <c r="C546" s="82" t="str">
        <f t="shared" si="30"/>
        <v>X</v>
      </c>
      <c r="D546">
        <v>2022</v>
      </c>
      <c r="E546" s="250" t="s">
        <v>3499</v>
      </c>
      <c r="F546" s="250" t="s">
        <v>3566</v>
      </c>
      <c r="G546" t="s">
        <v>42</v>
      </c>
      <c r="H546" s="82" t="s">
        <v>42</v>
      </c>
      <c r="I546" s="532">
        <v>160104</v>
      </c>
      <c r="J546" s="425" t="str">
        <f>INDEX(aux!B:B,MATCH(I546,aux!A:A,0))</f>
        <v>Veículos em fim de vida</v>
      </c>
      <c r="K546" s="433" t="str">
        <f>INDEX(aux!C:C,MATCH(I546,aux!A:A,0))</f>
        <v>Sim</v>
      </c>
      <c r="L546" s="437">
        <v>27200</v>
      </c>
      <c r="M546" s="433" t="s">
        <v>557</v>
      </c>
      <c r="N546" s="139">
        <f t="shared" si="31"/>
        <v>27200</v>
      </c>
      <c r="O546" s="139" t="s">
        <v>483</v>
      </c>
      <c r="P546" s="231" t="str">
        <f t="shared" si="32"/>
        <v>Reciclagem</v>
      </c>
      <c r="Q546" s="231" t="s">
        <v>1907</v>
      </c>
      <c r="R546" s="231" t="s">
        <v>1903</v>
      </c>
      <c r="S546" s="114" t="str">
        <f>IFERROR(INDEX(Tabela3[Tipos de Tratamento],MATCH('A3.9.1 copy'!O423,Tabela3[Código],0)),"")</f>
        <v>Mistura anterior à execução de uma das operações enumeradas de D1 a D12</v>
      </c>
      <c r="T546" s="429" t="s">
        <v>3269</v>
      </c>
      <c r="U546" s="429" t="s">
        <v>3270</v>
      </c>
      <c r="V546" s="93"/>
    </row>
    <row r="547" spans="1:22" ht="15.75" thickBot="1" x14ac:dyDescent="0.3">
      <c r="A547" s="93" t="s">
        <v>4593</v>
      </c>
      <c r="B547" s="93" t="s">
        <v>4593</v>
      </c>
      <c r="C547" s="82" t="str">
        <f t="shared" si="30"/>
        <v>X</v>
      </c>
      <c r="D547">
        <v>2023</v>
      </c>
      <c r="E547" s="250" t="s">
        <v>3499</v>
      </c>
      <c r="F547" s="250" t="s">
        <v>3566</v>
      </c>
      <c r="G547" t="s">
        <v>42</v>
      </c>
      <c r="H547" s="82" t="s">
        <v>42</v>
      </c>
      <c r="I547" s="522">
        <v>160104</v>
      </c>
      <c r="J547" s="425" t="str">
        <f>INDEX(aux!B:B,MATCH(I547,aux!A:A,0))</f>
        <v>Veículos em fim de vida</v>
      </c>
      <c r="K547" s="433" t="str">
        <f>INDEX(aux!C:C,MATCH(I547,aux!A:A,0))</f>
        <v>Sim</v>
      </c>
      <c r="L547" s="536">
        <v>135</v>
      </c>
      <c r="M547" s="534" t="s">
        <v>1532</v>
      </c>
      <c r="N547" s="139">
        <f t="shared" si="31"/>
        <v>135000</v>
      </c>
      <c r="O547" s="540" t="s">
        <v>483</v>
      </c>
      <c r="P547" s="231" t="str">
        <f t="shared" si="32"/>
        <v>Reciclagem</v>
      </c>
      <c r="Q547" s="231" t="s">
        <v>1907</v>
      </c>
      <c r="R547" s="231" t="s">
        <v>6569</v>
      </c>
      <c r="S547" s="667" t="s">
        <v>485</v>
      </c>
      <c r="T547" s="540" t="s">
        <v>3269</v>
      </c>
      <c r="U547" s="540" t="s">
        <v>3270</v>
      </c>
      <c r="V547" s="93"/>
    </row>
    <row r="548" spans="1:22" ht="15.75" thickBot="1" x14ac:dyDescent="0.3">
      <c r="A548" s="93" t="s">
        <v>4593</v>
      </c>
      <c r="B548" s="93" t="s">
        <v>4593</v>
      </c>
      <c r="C548" s="82" t="str">
        <f t="shared" si="30"/>
        <v>X</v>
      </c>
      <c r="D548">
        <v>2023</v>
      </c>
      <c r="E548" s="250" t="s">
        <v>3499</v>
      </c>
      <c r="F548" s="250" t="s">
        <v>3566</v>
      </c>
      <c r="G548" t="s">
        <v>42</v>
      </c>
      <c r="H548" s="82" t="s">
        <v>42</v>
      </c>
      <c r="I548" s="522">
        <v>160120</v>
      </c>
      <c r="J548" s="425" t="str">
        <f>INDEX(aux!B:B,MATCH(I548,aux!A:A,0))</f>
        <v>Vidro</v>
      </c>
      <c r="K548" s="433" t="str">
        <f>INDEX(aux!C:C,MATCH(I548,aux!A:A,0))</f>
        <v>Não</v>
      </c>
      <c r="L548" s="536">
        <v>183</v>
      </c>
      <c r="M548" s="534" t="s">
        <v>557</v>
      </c>
      <c r="N548" s="139">
        <f t="shared" si="31"/>
        <v>183</v>
      </c>
      <c r="O548" s="540" t="s">
        <v>509</v>
      </c>
      <c r="P548" s="231" t="str">
        <f t="shared" si="32"/>
        <v>Aterro</v>
      </c>
      <c r="Q548" s="231" t="s">
        <v>1561</v>
      </c>
      <c r="R548" s="231" t="s">
        <v>6569</v>
      </c>
      <c r="S548" s="667" t="s">
        <v>1556</v>
      </c>
      <c r="T548" s="540" t="s">
        <v>3263</v>
      </c>
      <c r="U548" s="540" t="s">
        <v>6297</v>
      </c>
      <c r="V548" s="93"/>
    </row>
    <row r="549" spans="1:22" ht="15.75" hidden="1" thickBot="1" x14ac:dyDescent="0.3">
      <c r="A549" s="529" t="s">
        <v>4592</v>
      </c>
      <c r="B549" s="529" t="s">
        <v>4592</v>
      </c>
      <c r="C549" s="82" t="str">
        <f t="shared" si="30"/>
        <v>X</v>
      </c>
      <c r="D549">
        <v>2022</v>
      </c>
      <c r="E549" s="250" t="s">
        <v>3499</v>
      </c>
      <c r="F549" s="250" t="s">
        <v>3566</v>
      </c>
      <c r="G549" t="s">
        <v>42</v>
      </c>
      <c r="H549" s="82" t="s">
        <v>42</v>
      </c>
      <c r="I549" s="532">
        <v>160601</v>
      </c>
      <c r="J549" s="425" t="str">
        <f>INDEX(aux!B:B,MATCH(I549,aux!A:A,0))</f>
        <v>(*) Acumuladores de chumbo</v>
      </c>
      <c r="K549" s="433" t="str">
        <f>INDEX(aux!C:C,MATCH(I549,aux!A:A,0))</f>
        <v>Sim</v>
      </c>
      <c r="L549" s="437">
        <v>4459</v>
      </c>
      <c r="M549" s="433" t="s">
        <v>557</v>
      </c>
      <c r="N549" s="139">
        <f t="shared" si="31"/>
        <v>4459</v>
      </c>
      <c r="O549" s="139" t="s">
        <v>484</v>
      </c>
      <c r="P549" s="231" t="str">
        <f t="shared" si="32"/>
        <v>Reciclagem</v>
      </c>
      <c r="Q549" s="231" t="s">
        <v>1653</v>
      </c>
      <c r="R549" s="231" t="s">
        <v>1877</v>
      </c>
      <c r="S549" s="114" t="str">
        <f>IFERROR(INDEX(Tabela3[Tipos de Tratamento],MATCH('A3.9.1 copy'!O449,Tabela3[Código],0)),"")</f>
        <v xml:space="preserve">Troca de resíduos com vista a submetê-los a uma das operações enumeradas de R 1 a R 11 </v>
      </c>
      <c r="T549" s="429" t="s">
        <v>3269</v>
      </c>
      <c r="U549" s="429" t="s">
        <v>3269</v>
      </c>
      <c r="V549" s="93"/>
    </row>
    <row r="550" spans="1:22" ht="15.75" thickBot="1" x14ac:dyDescent="0.3">
      <c r="A550" s="93" t="s">
        <v>4592</v>
      </c>
      <c r="B550" s="93" t="s">
        <v>4592</v>
      </c>
      <c r="C550" s="82" t="str">
        <f t="shared" si="30"/>
        <v>X</v>
      </c>
      <c r="D550">
        <v>2023</v>
      </c>
      <c r="E550" s="250" t="s">
        <v>3499</v>
      </c>
      <c r="F550" s="250" t="s">
        <v>3566</v>
      </c>
      <c r="G550" t="s">
        <v>42</v>
      </c>
      <c r="H550" s="82" t="s">
        <v>42</v>
      </c>
      <c r="I550" s="522">
        <v>160601</v>
      </c>
      <c r="J550" s="425" t="str">
        <f>INDEX(aux!B:B,MATCH(I550,aux!A:A,0))</f>
        <v>(*) Acumuladores de chumbo</v>
      </c>
      <c r="K550" s="433" t="str">
        <f>INDEX(aux!C:C,MATCH(I550,aux!A:A,0))</f>
        <v>Sim</v>
      </c>
      <c r="L550" s="536">
        <v>7924</v>
      </c>
      <c r="M550" s="534" t="s">
        <v>557</v>
      </c>
      <c r="N550" s="139">
        <f t="shared" si="31"/>
        <v>7924</v>
      </c>
      <c r="O550" s="540" t="s">
        <v>484</v>
      </c>
      <c r="P550" s="231" t="str">
        <f t="shared" si="32"/>
        <v>Reciclagem</v>
      </c>
      <c r="Q550" s="231" t="s">
        <v>1653</v>
      </c>
      <c r="R550" s="231" t="s">
        <v>1877</v>
      </c>
      <c r="S550" s="667" t="s">
        <v>1553</v>
      </c>
      <c r="T550" s="540" t="s">
        <v>3269</v>
      </c>
      <c r="U550" s="540" t="s">
        <v>3269</v>
      </c>
      <c r="V550" s="93"/>
    </row>
    <row r="551" spans="1:22" ht="15.75" thickBot="1" x14ac:dyDescent="0.3">
      <c r="A551" s="93" t="s">
        <v>4592</v>
      </c>
      <c r="B551" s="93" t="s">
        <v>4592</v>
      </c>
      <c r="C551" s="82" t="str">
        <f t="shared" si="30"/>
        <v>X</v>
      </c>
      <c r="D551">
        <v>2023</v>
      </c>
      <c r="E551" s="250" t="s">
        <v>3499</v>
      </c>
      <c r="F551" s="250" t="s">
        <v>3566</v>
      </c>
      <c r="G551" t="s">
        <v>42</v>
      </c>
      <c r="H551" s="82" t="s">
        <v>42</v>
      </c>
      <c r="I551" s="522">
        <v>160601</v>
      </c>
      <c r="J551" s="425" t="str">
        <f>INDEX(aux!B:B,MATCH(I551,aux!A:A,0))</f>
        <v>(*) Acumuladores de chumbo</v>
      </c>
      <c r="K551" s="433" t="str">
        <f>INDEX(aux!C:C,MATCH(I551,aux!A:A,0))</f>
        <v>Sim</v>
      </c>
      <c r="L551" s="536">
        <v>2160</v>
      </c>
      <c r="M551" s="534" t="s">
        <v>557</v>
      </c>
      <c r="N551" s="139">
        <f t="shared" si="31"/>
        <v>2160</v>
      </c>
      <c r="O551" s="540" t="s">
        <v>484</v>
      </c>
      <c r="P551" s="231" t="str">
        <f t="shared" si="32"/>
        <v>Reciclagem</v>
      </c>
      <c r="Q551" s="231" t="s">
        <v>1653</v>
      </c>
      <c r="R551" s="231" t="s">
        <v>1877</v>
      </c>
      <c r="S551" s="667" t="s">
        <v>1553</v>
      </c>
      <c r="T551" s="540" t="s">
        <v>3267</v>
      </c>
      <c r="U551" s="540" t="s">
        <v>6298</v>
      </c>
      <c r="V551" s="93"/>
    </row>
    <row r="552" spans="1:22" ht="15.75" hidden="1" thickBot="1" x14ac:dyDescent="0.3">
      <c r="A552" s="529" t="s">
        <v>4592</v>
      </c>
      <c r="B552" s="529" t="s">
        <v>4592</v>
      </c>
      <c r="C552" s="82" t="str">
        <f t="shared" si="30"/>
        <v>X</v>
      </c>
      <c r="D552">
        <v>2022</v>
      </c>
      <c r="E552" s="250" t="s">
        <v>3499</v>
      </c>
      <c r="F552" s="250" t="s">
        <v>3566</v>
      </c>
      <c r="G552" t="s">
        <v>42</v>
      </c>
      <c r="H552" s="82" t="s">
        <v>42</v>
      </c>
      <c r="I552" s="532">
        <v>200136</v>
      </c>
      <c r="J552" s="425" t="str">
        <f>INDEX(aux!B:B,MATCH(I552,aux!A:A,0))</f>
        <v>Equipamento elétrico e eletrónico fora de uso não abrangido em 20 01 21, 20 01 23 ou 20 01 35</v>
      </c>
      <c r="K552" s="433" t="str">
        <f>INDEX(aux!C:C,MATCH(I552,aux!A:A,0))</f>
        <v>Não</v>
      </c>
      <c r="L552" s="437">
        <v>475</v>
      </c>
      <c r="M552" s="433" t="s">
        <v>557</v>
      </c>
      <c r="N552" s="139">
        <f t="shared" si="31"/>
        <v>475</v>
      </c>
      <c r="O552" s="139" t="s">
        <v>484</v>
      </c>
      <c r="P552" s="231" t="str">
        <f t="shared" si="32"/>
        <v>Reciclagem</v>
      </c>
      <c r="Q552" s="231" t="s">
        <v>1909</v>
      </c>
      <c r="R552" s="231" t="s">
        <v>1877</v>
      </c>
      <c r="S552" s="114" t="str">
        <f>IFERROR(INDEX(Tabela3[Tipos de Tratamento],MATCH('A3.9.1 copy'!O452,Tabela3[Código],0)),"")</f>
        <v xml:space="preserve">Troca de resíduos com vista a submetê-los a uma das operações enumeradas de R 1 a R 11 </v>
      </c>
      <c r="T552" s="429" t="s">
        <v>3263</v>
      </c>
      <c r="U552" s="429" t="s">
        <v>3266</v>
      </c>
      <c r="V552" s="93"/>
    </row>
    <row r="553" spans="1:22" ht="15.75" thickBot="1" x14ac:dyDescent="0.3">
      <c r="A553" s="93" t="s">
        <v>4592</v>
      </c>
      <c r="B553" s="93" t="s">
        <v>4592</v>
      </c>
      <c r="C553" s="82" t="str">
        <f t="shared" si="30"/>
        <v>X</v>
      </c>
      <c r="D553">
        <v>2023</v>
      </c>
      <c r="E553" s="250" t="s">
        <v>3499</v>
      </c>
      <c r="F553" s="250" t="s">
        <v>3566</v>
      </c>
      <c r="G553" t="s">
        <v>42</v>
      </c>
      <c r="H553" s="82" t="s">
        <v>42</v>
      </c>
      <c r="I553" s="522">
        <v>200136</v>
      </c>
      <c r="J553" s="425" t="str">
        <f>INDEX(aux!B:B,MATCH(I553,aux!A:A,0))</f>
        <v>Equipamento elétrico e eletrónico fora de uso não abrangido em 20 01 21, 20 01 23 ou 20 01 35</v>
      </c>
      <c r="K553" s="433" t="str">
        <f>INDEX(aux!C:C,MATCH(I553,aux!A:A,0))</f>
        <v>Não</v>
      </c>
      <c r="L553" s="536">
        <v>824</v>
      </c>
      <c r="M553" s="534" t="s">
        <v>557</v>
      </c>
      <c r="N553" s="139">
        <f t="shared" si="31"/>
        <v>824</v>
      </c>
      <c r="O553" s="540" t="s">
        <v>484</v>
      </c>
      <c r="P553" s="231" t="str">
        <f t="shared" si="32"/>
        <v>Reciclagem</v>
      </c>
      <c r="Q553" s="231" t="s">
        <v>1909</v>
      </c>
      <c r="R553" s="231" t="s">
        <v>1877</v>
      </c>
      <c r="S553" s="667" t="s">
        <v>1553</v>
      </c>
      <c r="T553" s="540" t="s">
        <v>3263</v>
      </c>
      <c r="U553" s="540" t="s">
        <v>6297</v>
      </c>
      <c r="V553" s="93"/>
    </row>
    <row r="554" spans="1:22" ht="15.75" hidden="1" thickBot="1" x14ac:dyDescent="0.3">
      <c r="A554" s="529" t="s">
        <v>4592</v>
      </c>
      <c r="B554" s="529" t="s">
        <v>4592</v>
      </c>
      <c r="C554" s="82" t="str">
        <f t="shared" si="30"/>
        <v>X</v>
      </c>
      <c r="D554">
        <v>2022</v>
      </c>
      <c r="E554" s="250" t="s">
        <v>3499</v>
      </c>
      <c r="F554" s="250" t="s">
        <v>3566</v>
      </c>
      <c r="G554" t="s">
        <v>42</v>
      </c>
      <c r="H554" s="82" t="s">
        <v>42</v>
      </c>
      <c r="I554" s="532">
        <v>160112</v>
      </c>
      <c r="J554" s="425" t="str">
        <f>INDEX(aux!B:B,MATCH(I554,aux!A:A,0))</f>
        <v>Pastilhas de travões não abrangidas em 16 01 11</v>
      </c>
      <c r="K554" s="433" t="str">
        <f>INDEX(aux!C:C,MATCH(I554,aux!A:A,0))</f>
        <v>Não</v>
      </c>
      <c r="L554" s="437">
        <v>2399</v>
      </c>
      <c r="M554" s="433" t="s">
        <v>557</v>
      </c>
      <c r="N554" s="139">
        <f t="shared" si="31"/>
        <v>2399</v>
      </c>
      <c r="O554" s="139" t="s">
        <v>509</v>
      </c>
      <c r="P554" s="231" t="str">
        <f t="shared" si="32"/>
        <v>Aterro</v>
      </c>
      <c r="Q554" s="231" t="s">
        <v>1557</v>
      </c>
      <c r="R554" s="231" t="s">
        <v>1903</v>
      </c>
      <c r="S554" s="114" t="str">
        <f>IFERROR(INDEX(Tabela3[Tipos de Tratamento],MATCH('A3.9.1 copy'!O445,Tabela3[Código],0)),"")</f>
        <v xml:space="preserve">Troca de resíduos com vista a submetê-los a uma das operações enumeradas de R 1 a R 11 </v>
      </c>
      <c r="T554" s="429" t="s">
        <v>3263</v>
      </c>
      <c r="U554" s="429" t="s">
        <v>3266</v>
      </c>
      <c r="V554" s="93"/>
    </row>
    <row r="555" spans="1:22" ht="15.75" hidden="1" thickBot="1" x14ac:dyDescent="0.3">
      <c r="A555" s="529" t="s">
        <v>4592</v>
      </c>
      <c r="B555" s="529" t="s">
        <v>4592</v>
      </c>
      <c r="C555" s="82" t="str">
        <f t="shared" si="30"/>
        <v>X</v>
      </c>
      <c r="D555">
        <v>2022</v>
      </c>
      <c r="E555" s="250" t="s">
        <v>3499</v>
      </c>
      <c r="F555" s="250" t="s">
        <v>3566</v>
      </c>
      <c r="G555" t="s">
        <v>42</v>
      </c>
      <c r="H555" s="82" t="s">
        <v>42</v>
      </c>
      <c r="I555" s="532">
        <v>160117</v>
      </c>
      <c r="J555" s="425" t="str">
        <f>INDEX(aux!B:B,MATCH(I555,aux!A:A,0))</f>
        <v>Metais ferrosos</v>
      </c>
      <c r="K555" s="433" t="str">
        <f>INDEX(aux!C:C,MATCH(I555,aux!A:A,0))</f>
        <v>Não</v>
      </c>
      <c r="L555" s="437">
        <v>10280</v>
      </c>
      <c r="M555" s="433" t="s">
        <v>557</v>
      </c>
      <c r="N555" s="139">
        <f t="shared" si="31"/>
        <v>10280</v>
      </c>
      <c r="O555" s="139" t="s">
        <v>483</v>
      </c>
      <c r="P555" s="231" t="str">
        <f t="shared" si="32"/>
        <v>Reciclagem</v>
      </c>
      <c r="Q555" s="231" t="s">
        <v>1557</v>
      </c>
      <c r="R555" s="231" t="s">
        <v>1903</v>
      </c>
      <c r="S555" s="114" t="str">
        <f>IFERROR(INDEX(Tabela3[Tipos de Tratamento],MATCH('A3.9.1 copy'!O446,Tabela3[Código],0)),"")</f>
        <v xml:space="preserve">Troca de resíduos com vista a submetê-los a uma das operações enumeradas de R 1 a R 11 </v>
      </c>
      <c r="T555" s="429" t="s">
        <v>3267</v>
      </c>
      <c r="U555" s="429" t="s">
        <v>3271</v>
      </c>
      <c r="V555" s="93"/>
    </row>
    <row r="556" spans="1:22" ht="15.75" thickBot="1" x14ac:dyDescent="0.3">
      <c r="A556" s="93" t="s">
        <v>4592</v>
      </c>
      <c r="B556" s="93" t="s">
        <v>4592</v>
      </c>
      <c r="C556" s="82" t="str">
        <f t="shared" si="30"/>
        <v>X</v>
      </c>
      <c r="D556">
        <v>2023</v>
      </c>
      <c r="E556" s="250" t="s">
        <v>3499</v>
      </c>
      <c r="F556" s="250" t="s">
        <v>3566</v>
      </c>
      <c r="G556" t="s">
        <v>42</v>
      </c>
      <c r="H556" s="82" t="s">
        <v>42</v>
      </c>
      <c r="I556" s="522">
        <v>160112</v>
      </c>
      <c r="J556" s="425" t="str">
        <f>INDEX(aux!B:B,MATCH(I556,aux!A:A,0))</f>
        <v>Pastilhas de travões não abrangidas em 16 01 11</v>
      </c>
      <c r="K556" s="433" t="str">
        <f>INDEX(aux!C:C,MATCH(I556,aux!A:A,0))</f>
        <v>Não</v>
      </c>
      <c r="L556" s="536">
        <v>3017</v>
      </c>
      <c r="M556" s="534" t="s">
        <v>557</v>
      </c>
      <c r="N556" s="139">
        <f t="shared" si="31"/>
        <v>3017</v>
      </c>
      <c r="O556" s="540" t="s">
        <v>509</v>
      </c>
      <c r="P556" s="231" t="str">
        <f t="shared" si="32"/>
        <v>Aterro</v>
      </c>
      <c r="Q556" s="231" t="s">
        <v>1557</v>
      </c>
      <c r="R556" s="231" t="s">
        <v>6569</v>
      </c>
      <c r="S556" s="667" t="s">
        <v>1556</v>
      </c>
      <c r="T556" s="540" t="s">
        <v>3263</v>
      </c>
      <c r="U556" s="540" t="s">
        <v>6297</v>
      </c>
      <c r="V556" s="93"/>
    </row>
    <row r="557" spans="1:22" ht="15.75" thickBot="1" x14ac:dyDescent="0.3">
      <c r="A557" s="93" t="s">
        <v>4592</v>
      </c>
      <c r="B557" s="93" t="s">
        <v>4592</v>
      </c>
      <c r="C557" s="82" t="str">
        <f t="shared" si="30"/>
        <v>X</v>
      </c>
      <c r="D557">
        <v>2023</v>
      </c>
      <c r="E557" s="250" t="s">
        <v>3499</v>
      </c>
      <c r="F557" s="250" t="s">
        <v>3566</v>
      </c>
      <c r="G557" t="s">
        <v>42</v>
      </c>
      <c r="H557" s="82" t="s">
        <v>42</v>
      </c>
      <c r="I557" s="522">
        <v>160117</v>
      </c>
      <c r="J557" s="425" t="str">
        <f>INDEX(aux!B:B,MATCH(I557,aux!A:A,0))</f>
        <v>Metais ferrosos</v>
      </c>
      <c r="K557" s="433" t="str">
        <f>INDEX(aux!C:C,MATCH(I557,aux!A:A,0))</f>
        <v>Não</v>
      </c>
      <c r="L557" s="536">
        <v>17980</v>
      </c>
      <c r="M557" s="534" t="s">
        <v>557</v>
      </c>
      <c r="N557" s="139">
        <f t="shared" si="31"/>
        <v>17980</v>
      </c>
      <c r="O557" s="540" t="s">
        <v>483</v>
      </c>
      <c r="P557" s="231" t="str">
        <f t="shared" si="32"/>
        <v>Reciclagem</v>
      </c>
      <c r="Q557" s="231" t="s">
        <v>1557</v>
      </c>
      <c r="R557" s="231" t="s">
        <v>6569</v>
      </c>
      <c r="S557" s="667" t="s">
        <v>485</v>
      </c>
      <c r="T557" s="540" t="s">
        <v>3267</v>
      </c>
      <c r="U557" s="540" t="s">
        <v>6298</v>
      </c>
      <c r="V557" s="93"/>
    </row>
    <row r="558" spans="1:22" ht="15.75" hidden="1" thickBot="1" x14ac:dyDescent="0.3">
      <c r="A558" s="529" t="s">
        <v>4592</v>
      </c>
      <c r="B558" s="529" t="s">
        <v>4592</v>
      </c>
      <c r="C558" s="82" t="str">
        <f t="shared" si="30"/>
        <v>X</v>
      </c>
      <c r="D558">
        <v>2022</v>
      </c>
      <c r="E558" s="250" t="s">
        <v>3499</v>
      </c>
      <c r="F558" s="250" t="s">
        <v>3566</v>
      </c>
      <c r="G558" t="s">
        <v>42</v>
      </c>
      <c r="H558" s="82" t="s">
        <v>42</v>
      </c>
      <c r="I558" s="532">
        <v>130208</v>
      </c>
      <c r="J558" s="425" t="str">
        <f>INDEX(aux!B:B,MATCH(I558,aux!A:A,0))</f>
        <v>(*) Outros óleos de motores, transmissões e lubrificação</v>
      </c>
      <c r="K558" s="433" t="str">
        <f>INDEX(aux!C:C,MATCH(I558,aux!A:A,0))</f>
        <v>Sim</v>
      </c>
      <c r="L558" s="437">
        <v>6664</v>
      </c>
      <c r="M558" s="433" t="s">
        <v>557</v>
      </c>
      <c r="N558" s="139">
        <f t="shared" si="31"/>
        <v>6664</v>
      </c>
      <c r="O558" s="139" t="s">
        <v>480</v>
      </c>
      <c r="P558" s="231" t="str">
        <f t="shared" si="32"/>
        <v>Reciclagem</v>
      </c>
      <c r="Q558" s="231" t="s">
        <v>1902</v>
      </c>
      <c r="R558" s="231" t="s">
        <v>1877</v>
      </c>
      <c r="S558" s="114" t="str">
        <f>IFERROR(INDEX(Tabela3[Tipos de Tratamento],MATCH('A3.9.1 copy'!O436,Tabela3[Código],0)),"")</f>
        <v>Mistura anterior à execução de uma das operações enumeradas de D1 a D12</v>
      </c>
      <c r="T558" s="429" t="s">
        <v>3273</v>
      </c>
      <c r="U558" s="429" t="s">
        <v>3275</v>
      </c>
      <c r="V558" s="93"/>
    </row>
    <row r="559" spans="1:22" ht="15.75" thickBot="1" x14ac:dyDescent="0.3">
      <c r="A559" s="93" t="s">
        <v>4592</v>
      </c>
      <c r="B559" s="93" t="s">
        <v>4592</v>
      </c>
      <c r="C559" s="82" t="str">
        <f t="shared" ref="C559:C622" si="33">IF(A559=B559,"X",RIGHT(A559,LEN(A559)-LEN(B559)-3))</f>
        <v>X</v>
      </c>
      <c r="D559">
        <v>2023</v>
      </c>
      <c r="E559" s="250" t="s">
        <v>3499</v>
      </c>
      <c r="F559" s="250" t="s">
        <v>3566</v>
      </c>
      <c r="G559" t="s">
        <v>42</v>
      </c>
      <c r="H559" s="82" t="s">
        <v>42</v>
      </c>
      <c r="I559" s="522">
        <v>130208</v>
      </c>
      <c r="J559" s="425" t="str">
        <f>INDEX(aux!B:B,MATCH(I559,aux!A:A,0))</f>
        <v>(*) Outros óleos de motores, transmissões e lubrificação</v>
      </c>
      <c r="K559" s="433" t="str">
        <f>INDEX(aux!C:C,MATCH(I559,aux!A:A,0))</f>
        <v>Sim</v>
      </c>
      <c r="L559" s="536">
        <v>5303</v>
      </c>
      <c r="M559" s="534" t="s">
        <v>557</v>
      </c>
      <c r="N559" s="139">
        <f t="shared" si="31"/>
        <v>5303</v>
      </c>
      <c r="O559" s="540" t="s">
        <v>480</v>
      </c>
      <c r="P559" s="231" t="str">
        <f t="shared" si="32"/>
        <v>Reciclagem</v>
      </c>
      <c r="Q559" s="231" t="s">
        <v>1902</v>
      </c>
      <c r="R559" s="231" t="s">
        <v>1877</v>
      </c>
      <c r="S559" s="667" t="s">
        <v>1546</v>
      </c>
      <c r="T559" s="540" t="s">
        <v>3273</v>
      </c>
      <c r="U559" s="540" t="s">
        <v>3275</v>
      </c>
      <c r="V559" s="93"/>
    </row>
    <row r="560" spans="1:22" ht="15.75" hidden="1" thickBot="1" x14ac:dyDescent="0.3">
      <c r="A560" s="529" t="s">
        <v>4592</v>
      </c>
      <c r="B560" s="529" t="s">
        <v>4592</v>
      </c>
      <c r="C560" s="82" t="str">
        <f t="shared" si="33"/>
        <v>X</v>
      </c>
      <c r="D560">
        <v>2022</v>
      </c>
      <c r="E560" s="250" t="s">
        <v>3499</v>
      </c>
      <c r="F560" s="250" t="s">
        <v>3566</v>
      </c>
      <c r="G560" t="s">
        <v>42</v>
      </c>
      <c r="H560" s="82" t="s">
        <v>42</v>
      </c>
      <c r="I560" s="532">
        <v>200101</v>
      </c>
      <c r="J560" s="425" t="str">
        <f>INDEX(aux!B:B,MATCH(I560,aux!A:A,0))</f>
        <v xml:space="preserve">Papel e Cartão </v>
      </c>
      <c r="K560" s="433" t="str">
        <f>INDEX(aux!C:C,MATCH(I560,aux!A:A,0))</f>
        <v>Não</v>
      </c>
      <c r="L560" s="437">
        <v>4572</v>
      </c>
      <c r="M560" s="433" t="s">
        <v>557</v>
      </c>
      <c r="N560" s="139">
        <f t="shared" si="31"/>
        <v>4572</v>
      </c>
      <c r="O560" s="139" t="s">
        <v>484</v>
      </c>
      <c r="P560" s="231" t="str">
        <f t="shared" si="32"/>
        <v>Reciclagem</v>
      </c>
      <c r="Q560" s="231" t="s">
        <v>1904</v>
      </c>
      <c r="R560" s="231" t="s">
        <v>1903</v>
      </c>
      <c r="S560" s="114" t="str">
        <f>IFERROR(INDEX(Tabela3[Tipos de Tratamento],MATCH('A3.9.1 copy'!O450,Tabela3[Código],0)),"")</f>
        <v xml:space="preserve">Regeneração de óleos e outras reutilizações de óleos </v>
      </c>
      <c r="T560" s="429" t="s">
        <v>3263</v>
      </c>
      <c r="U560" s="429" t="s">
        <v>3266</v>
      </c>
      <c r="V560" s="93"/>
    </row>
    <row r="561" spans="1:22" ht="15.75" thickBot="1" x14ac:dyDescent="0.3">
      <c r="A561" s="93" t="s">
        <v>4592</v>
      </c>
      <c r="B561" s="93" t="s">
        <v>4592</v>
      </c>
      <c r="C561" s="82" t="str">
        <f t="shared" si="33"/>
        <v>X</v>
      </c>
      <c r="D561">
        <v>2023</v>
      </c>
      <c r="E561" s="250" t="s">
        <v>3499</v>
      </c>
      <c r="F561" s="250" t="s">
        <v>3566</v>
      </c>
      <c r="G561" t="s">
        <v>42</v>
      </c>
      <c r="H561" s="82" t="s">
        <v>42</v>
      </c>
      <c r="I561" s="522">
        <v>150101</v>
      </c>
      <c r="J561" s="425" t="str">
        <f>INDEX(aux!B:B,MATCH(I561,aux!A:A,0))</f>
        <v>Embalagens de papel e cartão</v>
      </c>
      <c r="K561" s="433" t="str">
        <f>INDEX(aux!C:C,MATCH(I561,aux!A:A,0))</f>
        <v>Não</v>
      </c>
      <c r="L561" s="536">
        <v>1092</v>
      </c>
      <c r="M561" s="534" t="s">
        <v>557</v>
      </c>
      <c r="N561" s="139">
        <f t="shared" si="31"/>
        <v>1092</v>
      </c>
      <c r="O561" s="540" t="s">
        <v>484</v>
      </c>
      <c r="P561" s="231" t="str">
        <f t="shared" si="32"/>
        <v>Reciclagem</v>
      </c>
      <c r="Q561" s="231" t="s">
        <v>1904</v>
      </c>
      <c r="R561" s="231" t="s">
        <v>6569</v>
      </c>
      <c r="S561" s="667" t="s">
        <v>1553</v>
      </c>
      <c r="T561" s="540" t="s">
        <v>3263</v>
      </c>
      <c r="U561" s="540" t="s">
        <v>6297</v>
      </c>
      <c r="V561" s="422"/>
    </row>
    <row r="562" spans="1:22" ht="15.75" thickBot="1" x14ac:dyDescent="0.3">
      <c r="A562" s="93" t="s">
        <v>4592</v>
      </c>
      <c r="B562" s="93" t="s">
        <v>4592</v>
      </c>
      <c r="C562" s="82" t="str">
        <f t="shared" si="33"/>
        <v>X</v>
      </c>
      <c r="D562">
        <v>2023</v>
      </c>
      <c r="E562" s="250" t="s">
        <v>3499</v>
      </c>
      <c r="F562" s="250" t="s">
        <v>3566</v>
      </c>
      <c r="G562" t="s">
        <v>42</v>
      </c>
      <c r="H562" s="82" t="s">
        <v>42</v>
      </c>
      <c r="I562" s="522">
        <v>200101</v>
      </c>
      <c r="J562" s="425" t="str">
        <f>INDEX(aux!B:B,MATCH(I562,aux!A:A,0))</f>
        <v xml:space="preserve">Papel e Cartão </v>
      </c>
      <c r="K562" s="433" t="str">
        <f>INDEX(aux!C:C,MATCH(I562,aux!A:A,0))</f>
        <v>Não</v>
      </c>
      <c r="L562" s="536">
        <v>3992</v>
      </c>
      <c r="M562" s="534" t="s">
        <v>557</v>
      </c>
      <c r="N562" s="139">
        <f t="shared" si="31"/>
        <v>3992</v>
      </c>
      <c r="O562" s="540" t="s">
        <v>484</v>
      </c>
      <c r="P562" s="231" t="str">
        <f t="shared" si="32"/>
        <v>Reciclagem</v>
      </c>
      <c r="Q562" s="231" t="s">
        <v>1904</v>
      </c>
      <c r="R562" s="231" t="s">
        <v>6569</v>
      </c>
      <c r="S562" s="667" t="s">
        <v>1553</v>
      </c>
      <c r="T562" s="540" t="s">
        <v>3263</v>
      </c>
      <c r="U562" s="540" t="s">
        <v>6297</v>
      </c>
      <c r="V562" s="93"/>
    </row>
    <row r="563" spans="1:22" ht="15.75" hidden="1" thickBot="1" x14ac:dyDescent="0.3">
      <c r="A563" s="529" t="s">
        <v>4592</v>
      </c>
      <c r="B563" s="529" t="s">
        <v>4592</v>
      </c>
      <c r="C563" s="82" t="str">
        <f t="shared" si="33"/>
        <v>X</v>
      </c>
      <c r="D563">
        <v>2022</v>
      </c>
      <c r="E563" s="250" t="s">
        <v>3499</v>
      </c>
      <c r="F563" s="250" t="s">
        <v>3566</v>
      </c>
      <c r="G563" t="s">
        <v>42</v>
      </c>
      <c r="H563" s="82" t="s">
        <v>42</v>
      </c>
      <c r="I563" s="532">
        <v>200139</v>
      </c>
      <c r="J563" s="425" t="str">
        <f>INDEX(aux!B:B,MATCH(I563,aux!A:A,0))</f>
        <v>Plasticos</v>
      </c>
      <c r="K563" s="433" t="str">
        <f>INDEX(aux!C:C,MATCH(I563,aux!A:A,0))</f>
        <v>Não</v>
      </c>
      <c r="L563" s="437">
        <v>347</v>
      </c>
      <c r="M563" s="433" t="s">
        <v>557</v>
      </c>
      <c r="N563" s="139">
        <f t="shared" si="31"/>
        <v>347</v>
      </c>
      <c r="O563" s="139" t="s">
        <v>509</v>
      </c>
      <c r="P563" s="231" t="str">
        <f t="shared" si="32"/>
        <v>Aterro</v>
      </c>
      <c r="Q563" s="231" t="s">
        <v>1560</v>
      </c>
      <c r="R563" s="231" t="s">
        <v>1903</v>
      </c>
      <c r="S563" s="114" t="str">
        <f>IFERROR(INDEX(Tabela3[Tipos de Tratamento],MATCH('A3.9.1 copy'!O453,Tabela3[Código],0)),"")</f>
        <v xml:space="preserve">Troca de resíduos com vista a submetê-los a uma das operações enumeradas de R 1 a R 11 </v>
      </c>
      <c r="T563" s="429" t="s">
        <v>3263</v>
      </c>
      <c r="U563" s="429" t="s">
        <v>3266</v>
      </c>
      <c r="V563" s="93"/>
    </row>
    <row r="564" spans="1:22" ht="15.75" hidden="1" thickBot="1" x14ac:dyDescent="0.3">
      <c r="A564" s="529" t="s">
        <v>4592</v>
      </c>
      <c r="B564" s="529" t="s">
        <v>4592</v>
      </c>
      <c r="C564" s="82" t="str">
        <f t="shared" si="33"/>
        <v>X</v>
      </c>
      <c r="D564">
        <v>2022</v>
      </c>
      <c r="E564" s="250" t="s">
        <v>3499</v>
      </c>
      <c r="F564" s="250" t="s">
        <v>3566</v>
      </c>
      <c r="G564" t="s">
        <v>42</v>
      </c>
      <c r="H564" s="82" t="s">
        <v>42</v>
      </c>
      <c r="I564" s="532">
        <v>200139</v>
      </c>
      <c r="J564" s="425" t="str">
        <f>INDEX(aux!B:B,MATCH(I564,aux!A:A,0))</f>
        <v>Plasticos</v>
      </c>
      <c r="K564" s="433" t="str">
        <f>INDEX(aux!C:C,MATCH(I564,aux!A:A,0))</f>
        <v>Não</v>
      </c>
      <c r="L564" s="437">
        <v>425</v>
      </c>
      <c r="M564" s="433" t="s">
        <v>557</v>
      </c>
      <c r="N564" s="139">
        <f t="shared" si="31"/>
        <v>425</v>
      </c>
      <c r="O564" s="139" t="s">
        <v>484</v>
      </c>
      <c r="P564" s="231" t="str">
        <f t="shared" si="32"/>
        <v>Reciclagem</v>
      </c>
      <c r="Q564" s="231" t="s">
        <v>1560</v>
      </c>
      <c r="R564" s="231" t="s">
        <v>1903</v>
      </c>
      <c r="S564" s="114" t="str">
        <f>IFERROR(INDEX(Tabela3[Tipos de Tratamento],MATCH('A3.9.1 copy'!O454,Tabela3[Código],0)),"")</f>
        <v xml:space="preserve">Troca de resíduos com vista a submetê-los a uma das operações enumeradas de R 1 a R 11 </v>
      </c>
      <c r="T564" s="429" t="s">
        <v>3263</v>
      </c>
      <c r="U564" s="429" t="s">
        <v>3266</v>
      </c>
      <c r="V564" s="93"/>
    </row>
    <row r="565" spans="1:22" ht="15.75" thickBot="1" x14ac:dyDescent="0.3">
      <c r="A565" s="93" t="s">
        <v>4592</v>
      </c>
      <c r="B565" s="93" t="s">
        <v>4592</v>
      </c>
      <c r="C565" s="82" t="str">
        <f t="shared" si="33"/>
        <v>X</v>
      </c>
      <c r="D565">
        <v>2023</v>
      </c>
      <c r="E565" s="250" t="s">
        <v>3499</v>
      </c>
      <c r="F565" s="250" t="s">
        <v>3566</v>
      </c>
      <c r="G565" t="s">
        <v>42</v>
      </c>
      <c r="H565" s="82" t="s">
        <v>42</v>
      </c>
      <c r="I565" s="522">
        <v>120105</v>
      </c>
      <c r="J565" s="425" t="str">
        <f>INDEX(aux!B:B,MATCH(I565,aux!A:A,0))</f>
        <v>Aparas de matérias plasticas</v>
      </c>
      <c r="K565" s="433" t="str">
        <f>INDEX(aux!C:C,MATCH(I565,aux!A:A,0))</f>
        <v>Não</v>
      </c>
      <c r="L565" s="536">
        <v>76</v>
      </c>
      <c r="M565" s="534" t="s">
        <v>557</v>
      </c>
      <c r="N565" s="139">
        <f t="shared" si="31"/>
        <v>76</v>
      </c>
      <c r="O565" s="540" t="s">
        <v>509</v>
      </c>
      <c r="P565" s="231" t="str">
        <f t="shared" si="32"/>
        <v>Aterro</v>
      </c>
      <c r="Q565" s="231" t="s">
        <v>1560</v>
      </c>
      <c r="R565" s="231" t="s">
        <v>6569</v>
      </c>
      <c r="S565" s="667" t="s">
        <v>1556</v>
      </c>
      <c r="T565" s="540" t="s">
        <v>3263</v>
      </c>
      <c r="U565" s="540" t="s">
        <v>6297</v>
      </c>
      <c r="V565" s="93"/>
    </row>
    <row r="566" spans="1:22" ht="15.75" thickBot="1" x14ac:dyDescent="0.3">
      <c r="A566" s="93" t="s">
        <v>4592</v>
      </c>
      <c r="B566" s="93" t="s">
        <v>4592</v>
      </c>
      <c r="C566" s="82" t="str">
        <f t="shared" si="33"/>
        <v>X</v>
      </c>
      <c r="D566">
        <v>2023</v>
      </c>
      <c r="E566" s="250" t="s">
        <v>3499</v>
      </c>
      <c r="F566" s="250" t="s">
        <v>3566</v>
      </c>
      <c r="G566" t="s">
        <v>42</v>
      </c>
      <c r="H566" s="82" t="s">
        <v>42</v>
      </c>
      <c r="I566" s="522">
        <v>200139</v>
      </c>
      <c r="J566" s="425" t="str">
        <f>INDEX(aux!B:B,MATCH(I566,aux!A:A,0))</f>
        <v>Plasticos</v>
      </c>
      <c r="K566" s="433" t="str">
        <f>INDEX(aux!C:C,MATCH(I566,aux!A:A,0))</f>
        <v>Não</v>
      </c>
      <c r="L566" s="536">
        <v>1385</v>
      </c>
      <c r="M566" s="534" t="s">
        <v>557</v>
      </c>
      <c r="N566" s="139">
        <f t="shared" si="31"/>
        <v>1385</v>
      </c>
      <c r="O566" s="540" t="s">
        <v>509</v>
      </c>
      <c r="P566" s="231" t="str">
        <f t="shared" si="32"/>
        <v>Aterro</v>
      </c>
      <c r="Q566" s="231" t="s">
        <v>1560</v>
      </c>
      <c r="R566" s="231" t="s">
        <v>6569</v>
      </c>
      <c r="S566" s="667" t="s">
        <v>1556</v>
      </c>
      <c r="T566" s="540" t="s">
        <v>3263</v>
      </c>
      <c r="U566" s="540" t="s">
        <v>6297</v>
      </c>
      <c r="V566" s="93"/>
    </row>
    <row r="567" spans="1:22" ht="15.75" thickBot="1" x14ac:dyDescent="0.3">
      <c r="A567" s="93" t="s">
        <v>4592</v>
      </c>
      <c r="B567" s="527" t="s">
        <v>4592</v>
      </c>
      <c r="C567" s="82" t="str">
        <f t="shared" si="33"/>
        <v>X</v>
      </c>
      <c r="D567">
        <v>2023</v>
      </c>
      <c r="E567" s="250" t="s">
        <v>3499</v>
      </c>
      <c r="F567" s="250" t="s">
        <v>3566</v>
      </c>
      <c r="G567" t="s">
        <v>42</v>
      </c>
      <c r="H567" s="82" t="s">
        <v>42</v>
      </c>
      <c r="I567" s="530">
        <v>200139</v>
      </c>
      <c r="J567" s="425" t="str">
        <f>INDEX(aux!B:B,MATCH(I567,aux!A:A,0))</f>
        <v>Plasticos</v>
      </c>
      <c r="K567" s="433" t="str">
        <f>INDEX(aux!C:C,MATCH(I567,aux!A:A,0))</f>
        <v>Não</v>
      </c>
      <c r="L567" s="536">
        <v>479</v>
      </c>
      <c r="M567" s="534" t="s">
        <v>557</v>
      </c>
      <c r="N567" s="139">
        <f t="shared" si="31"/>
        <v>479</v>
      </c>
      <c r="O567" s="540" t="s">
        <v>484</v>
      </c>
      <c r="P567" s="231" t="str">
        <f t="shared" si="32"/>
        <v>Reciclagem</v>
      </c>
      <c r="Q567" s="231" t="s">
        <v>1560</v>
      </c>
      <c r="R567" s="231" t="s">
        <v>6569</v>
      </c>
      <c r="S567" s="667" t="s">
        <v>1553</v>
      </c>
      <c r="T567" s="540" t="s">
        <v>3263</v>
      </c>
      <c r="U567" s="540" t="s">
        <v>6297</v>
      </c>
      <c r="V567" s="93"/>
    </row>
    <row r="568" spans="1:22" ht="15.75" hidden="1" thickBot="1" x14ac:dyDescent="0.3">
      <c r="A568" s="529" t="s">
        <v>4592</v>
      </c>
      <c r="B568" s="424" t="s">
        <v>4592</v>
      </c>
      <c r="C568" s="82" t="str">
        <f t="shared" si="33"/>
        <v>X</v>
      </c>
      <c r="D568">
        <v>2022</v>
      </c>
      <c r="E568" s="250" t="s">
        <v>3499</v>
      </c>
      <c r="F568" s="250" t="s">
        <v>3566</v>
      </c>
      <c r="G568" t="s">
        <v>42</v>
      </c>
      <c r="H568" s="82" t="s">
        <v>42</v>
      </c>
      <c r="I568" s="265">
        <v>130502</v>
      </c>
      <c r="J568" s="425" t="str">
        <f>INDEX(aux!B:B,MATCH(I568,aux!A:A,0))</f>
        <v>(*) Lamas provenientes dos separadores óleo/água</v>
      </c>
      <c r="K568" s="433" t="str">
        <f>INDEX(aux!C:C,MATCH(I568,aux!A:A,0))</f>
        <v>Sim</v>
      </c>
      <c r="L568" s="437">
        <v>4000</v>
      </c>
      <c r="M568" s="433" t="s">
        <v>557</v>
      </c>
      <c r="N568" s="139">
        <f t="shared" si="31"/>
        <v>4000</v>
      </c>
      <c r="O568" s="139" t="s">
        <v>503</v>
      </c>
      <c r="P568" s="231" t="str">
        <f t="shared" si="32"/>
        <v>Aterro</v>
      </c>
      <c r="Q568" s="231" t="s">
        <v>1901</v>
      </c>
      <c r="R568" s="231" t="s">
        <v>1892</v>
      </c>
      <c r="S568" s="114" t="str">
        <f>IFERROR(INDEX(Tabela3[Tipos de Tratamento],MATCH('A3.9.1 copy'!O437,Tabela3[Código],0)),"")</f>
        <v xml:space="preserve">Troca de resíduos com vista a submetê-los a uma das operações enumeradas de R 1 a R 11 </v>
      </c>
      <c r="T568" s="429" t="s">
        <v>3263</v>
      </c>
      <c r="U568" s="429" t="s">
        <v>3264</v>
      </c>
      <c r="V568" s="93"/>
    </row>
    <row r="569" spans="1:22" ht="15.75" hidden="1" thickBot="1" x14ac:dyDescent="0.3">
      <c r="A569" s="529" t="s">
        <v>4592</v>
      </c>
      <c r="B569" s="424" t="s">
        <v>4592</v>
      </c>
      <c r="C569" s="82" t="str">
        <f t="shared" si="33"/>
        <v>X</v>
      </c>
      <c r="D569">
        <v>2022</v>
      </c>
      <c r="E569" s="250" t="s">
        <v>3499</v>
      </c>
      <c r="F569" s="250" t="s">
        <v>3566</v>
      </c>
      <c r="G569" t="s">
        <v>42</v>
      </c>
      <c r="H569" s="82" t="s">
        <v>42</v>
      </c>
      <c r="I569" s="265">
        <v>130502</v>
      </c>
      <c r="J569" s="425" t="str">
        <f>INDEX(aux!B:B,MATCH(I569,aux!A:A,0))</f>
        <v>(*) Lamas provenientes dos separadores óleo/água</v>
      </c>
      <c r="K569" s="433" t="str">
        <f>INDEX(aux!C:C,MATCH(I569,aux!A:A,0))</f>
        <v>Sim</v>
      </c>
      <c r="L569" s="437">
        <v>180</v>
      </c>
      <c r="M569" s="433" t="s">
        <v>557</v>
      </c>
      <c r="N569" s="139">
        <f t="shared" si="31"/>
        <v>180</v>
      </c>
      <c r="O569" s="139" t="s">
        <v>503</v>
      </c>
      <c r="P569" s="231" t="str">
        <f t="shared" si="32"/>
        <v>Aterro</v>
      </c>
      <c r="Q569" s="231" t="s">
        <v>1901</v>
      </c>
      <c r="R569" s="231" t="s">
        <v>1892</v>
      </c>
      <c r="S569" s="114" t="str">
        <f>IFERROR(INDEX(Tabela3[Tipos de Tratamento],MATCH('A3.9.1 copy'!O481,Tabela3[Código],0)),"")</f>
        <v xml:space="preserve">Troca de resíduos com vista a submetê-los a uma das operações enumeradas de R 1 a R 11 </v>
      </c>
      <c r="T569" s="429" t="s">
        <v>3263</v>
      </c>
      <c r="U569" s="429" t="s">
        <v>3263</v>
      </c>
      <c r="V569" s="93"/>
    </row>
    <row r="570" spans="1:22" ht="15.75" hidden="1" thickBot="1" x14ac:dyDescent="0.3">
      <c r="A570" s="529" t="s">
        <v>4592</v>
      </c>
      <c r="B570" s="424" t="s">
        <v>4592</v>
      </c>
      <c r="C570" s="82" t="str">
        <f t="shared" si="33"/>
        <v>X</v>
      </c>
      <c r="D570">
        <v>2022</v>
      </c>
      <c r="E570" s="250" t="s">
        <v>3499</v>
      </c>
      <c r="F570" s="250" t="s">
        <v>3566</v>
      </c>
      <c r="G570" t="s">
        <v>42</v>
      </c>
      <c r="H570" s="82" t="s">
        <v>42</v>
      </c>
      <c r="I570" s="265">
        <v>130507</v>
      </c>
      <c r="J570" s="425" t="str">
        <f>INDEX(aux!B:B,MATCH(I570,aux!A:A,0))</f>
        <v>(*) Água com óleo proveniente dos separadores óleo/água</v>
      </c>
      <c r="K570" s="433" t="str">
        <f>INDEX(aux!C:C,MATCH(I570,aux!A:A,0))</f>
        <v>Sim</v>
      </c>
      <c r="L570" s="437">
        <v>18240</v>
      </c>
      <c r="M570" s="433" t="s">
        <v>557</v>
      </c>
      <c r="N570" s="139">
        <f t="shared" si="31"/>
        <v>18240</v>
      </c>
      <c r="O570" s="139" t="s">
        <v>503</v>
      </c>
      <c r="P570" s="231" t="str">
        <f t="shared" si="32"/>
        <v>Aterro</v>
      </c>
      <c r="Q570" s="231" t="s">
        <v>1901</v>
      </c>
      <c r="R570" s="231" t="s">
        <v>1892</v>
      </c>
      <c r="S570" s="114" t="str">
        <f>IFERROR(INDEX(Tabela3[Tipos de Tratamento],MATCH('A3.9.1 copy'!O438,Tabela3[Código],0)),"")</f>
        <v xml:space="preserve">Troca de resíduos com vista a submetê-los a uma das operações enumeradas de R 1 a R 11 </v>
      </c>
      <c r="T570" s="429" t="s">
        <v>3263</v>
      </c>
      <c r="U570" s="429" t="s">
        <v>3263</v>
      </c>
      <c r="V570" s="93"/>
    </row>
    <row r="571" spans="1:22" ht="15.75" hidden="1" thickBot="1" x14ac:dyDescent="0.3">
      <c r="A571" s="529" t="s">
        <v>4592</v>
      </c>
      <c r="B571" s="424" t="s">
        <v>4592</v>
      </c>
      <c r="C571" s="82" t="str">
        <f t="shared" si="33"/>
        <v>X</v>
      </c>
      <c r="D571">
        <v>2022</v>
      </c>
      <c r="E571" s="250" t="s">
        <v>3499</v>
      </c>
      <c r="F571" s="250" t="s">
        <v>3566</v>
      </c>
      <c r="G571" t="s">
        <v>42</v>
      </c>
      <c r="H571" s="82" t="s">
        <v>42</v>
      </c>
      <c r="I571" s="265">
        <v>130507</v>
      </c>
      <c r="J571" s="425" t="str">
        <f>INDEX(aux!B:B,MATCH(I571,aux!A:A,0))</f>
        <v>(*) Água com óleo proveniente dos separadores óleo/água</v>
      </c>
      <c r="K571" s="433" t="str">
        <f>INDEX(aux!C:C,MATCH(I571,aux!A:A,0))</f>
        <v>Sim</v>
      </c>
      <c r="L571" s="437">
        <v>1100</v>
      </c>
      <c r="M571" s="433" t="s">
        <v>557</v>
      </c>
      <c r="N571" s="139">
        <f t="shared" si="31"/>
        <v>1100</v>
      </c>
      <c r="O571" s="139" t="s">
        <v>503</v>
      </c>
      <c r="P571" s="231" t="str">
        <f t="shared" si="32"/>
        <v>Aterro</v>
      </c>
      <c r="Q571" s="231" t="s">
        <v>1901</v>
      </c>
      <c r="R571" s="231" t="s">
        <v>1892</v>
      </c>
      <c r="S571" s="114" t="str">
        <f>IFERROR(INDEX(Tabela3[Tipos de Tratamento],MATCH('A3.9.1 copy'!O482,Tabela3[Código],0)),"")</f>
        <v xml:space="preserve">Regeneração de óleos e outras reutilizações de óleos </v>
      </c>
      <c r="T571" s="429" t="s">
        <v>3263</v>
      </c>
      <c r="U571" s="429" t="s">
        <v>3263</v>
      </c>
      <c r="V571" s="93"/>
    </row>
    <row r="572" spans="1:22" ht="15.75" hidden="1" thickBot="1" x14ac:dyDescent="0.3">
      <c r="A572" s="529" t="s">
        <v>4592</v>
      </c>
      <c r="B572" s="424" t="s">
        <v>4592</v>
      </c>
      <c r="C572" s="82" t="str">
        <f t="shared" si="33"/>
        <v>X</v>
      </c>
      <c r="D572">
        <v>2022</v>
      </c>
      <c r="E572" s="250" t="s">
        <v>3499</v>
      </c>
      <c r="F572" s="250" t="s">
        <v>3566</v>
      </c>
      <c r="G572" t="s">
        <v>42</v>
      </c>
      <c r="H572" s="82" t="s">
        <v>42</v>
      </c>
      <c r="I572" s="265">
        <v>150110</v>
      </c>
      <c r="J572" s="425" t="str">
        <f>INDEX(aux!B:B,MATCH(I572,aux!A:A,0))</f>
        <v>(*) Embalagens contendo ou contaminadas por resíduos de substâncias perigosas</v>
      </c>
      <c r="K572" s="433" t="str">
        <f>INDEX(aux!C:C,MATCH(I572,aux!A:A,0))</f>
        <v>Sim</v>
      </c>
      <c r="L572" s="437">
        <v>1380</v>
      </c>
      <c r="M572" s="433" t="s">
        <v>557</v>
      </c>
      <c r="N572" s="139">
        <f t="shared" si="31"/>
        <v>1380</v>
      </c>
      <c r="O572" s="139" t="s">
        <v>509</v>
      </c>
      <c r="P572" s="231" t="str">
        <f t="shared" si="32"/>
        <v>Aterro</v>
      </c>
      <c r="Q572" s="231" t="s">
        <v>1901</v>
      </c>
      <c r="R572" s="231" t="s">
        <v>1892</v>
      </c>
      <c r="S572" s="114" t="str">
        <f>IFERROR(INDEX(Tabela3[Tipos de Tratamento],MATCH('A3.9.1 copy'!O439,Tabela3[Código],0)),"")</f>
        <v xml:space="preserve">Troca de resíduos com vista a submetê-los a uma das operações enumeradas de R 1 a R 11 </v>
      </c>
      <c r="T572" s="429" t="s">
        <v>3263</v>
      </c>
      <c r="U572" s="429" t="s">
        <v>3266</v>
      </c>
      <c r="V572" s="422"/>
    </row>
    <row r="573" spans="1:22" ht="15.75" hidden="1" thickBot="1" x14ac:dyDescent="0.3">
      <c r="A573" s="529" t="s">
        <v>4592</v>
      </c>
      <c r="B573" s="424" t="s">
        <v>4592</v>
      </c>
      <c r="C573" s="82" t="str">
        <f t="shared" si="33"/>
        <v>X</v>
      </c>
      <c r="D573">
        <v>2022</v>
      </c>
      <c r="E573" s="250" t="s">
        <v>3499</v>
      </c>
      <c r="F573" s="250" t="s">
        <v>3566</v>
      </c>
      <c r="G573" t="s">
        <v>42</v>
      </c>
      <c r="H573" s="82" t="s">
        <v>42</v>
      </c>
      <c r="I573" s="265">
        <v>150202</v>
      </c>
      <c r="J573" s="425" t="str">
        <f>INDEX(aux!B:B,MATCH(I573,aux!A:A,0))</f>
        <v>(*) Absorventes, materiais filtrantes (incluindo filtros de óleo sem outras especificações), panos de limpeza e vestuário de proteção, contaminados por substâncias perigosas</v>
      </c>
      <c r="K573" s="433" t="str">
        <f>INDEX(aux!C:C,MATCH(I573,aux!A:A,0))</f>
        <v>Sim</v>
      </c>
      <c r="L573" s="437">
        <v>2022</v>
      </c>
      <c r="M573" s="433" t="s">
        <v>557</v>
      </c>
      <c r="N573" s="139">
        <f t="shared" si="31"/>
        <v>2022</v>
      </c>
      <c r="O573" s="139" t="s">
        <v>509</v>
      </c>
      <c r="P573" s="231" t="str">
        <f t="shared" si="32"/>
        <v>Aterro</v>
      </c>
      <c r="Q573" s="231" t="s">
        <v>1901</v>
      </c>
      <c r="R573" s="231" t="s">
        <v>1892</v>
      </c>
      <c r="S573" s="114" t="str">
        <f>IFERROR(INDEX(Tabela3[Tipos de Tratamento],MATCH('A3.9.1 copy'!O440,Tabela3[Código],0)),"")</f>
        <v xml:space="preserve">Troca de resíduos com vista a submetê-los a uma das operações enumeradas de R 1 a R 11 </v>
      </c>
      <c r="T573" s="429" t="s">
        <v>3263</v>
      </c>
      <c r="U573" s="429" t="s">
        <v>3266</v>
      </c>
      <c r="V573" s="422"/>
    </row>
    <row r="574" spans="1:22" ht="15.75" hidden="1" thickBot="1" x14ac:dyDescent="0.3">
      <c r="A574" s="529" t="s">
        <v>4592</v>
      </c>
      <c r="B574" s="424" t="s">
        <v>4592</v>
      </c>
      <c r="C574" s="82" t="str">
        <f t="shared" si="33"/>
        <v>X</v>
      </c>
      <c r="D574">
        <v>2022</v>
      </c>
      <c r="E574" s="250" t="s">
        <v>3499</v>
      </c>
      <c r="F574" s="250" t="s">
        <v>3566</v>
      </c>
      <c r="G574" t="s">
        <v>42</v>
      </c>
      <c r="H574" s="82" t="s">
        <v>42</v>
      </c>
      <c r="I574" s="265">
        <v>150203</v>
      </c>
      <c r="J574" s="425" t="str">
        <f>INDEX(aux!B:B,MATCH(I574,aux!A:A,0))</f>
        <v>Absorventes, materiais filtrantes, panos de limpeza e vestuário de proteção não abrangidos em 15 02 02</v>
      </c>
      <c r="K574" s="433" t="str">
        <f>INDEX(aux!C:C,MATCH(I574,aux!A:A,0))</f>
        <v>Não</v>
      </c>
      <c r="L574" s="437">
        <v>1639</v>
      </c>
      <c r="M574" s="433" t="s">
        <v>557</v>
      </c>
      <c r="N574" s="139">
        <f t="shared" si="31"/>
        <v>1639</v>
      </c>
      <c r="O574" s="139" t="s">
        <v>509</v>
      </c>
      <c r="P574" s="231" t="str">
        <f t="shared" si="32"/>
        <v>Aterro</v>
      </c>
      <c r="Q574" s="231" t="s">
        <v>1901</v>
      </c>
      <c r="R574" s="231" t="s">
        <v>1892</v>
      </c>
      <c r="S574" s="114" t="str">
        <f>IFERROR(INDEX(Tabela3[Tipos de Tratamento],MATCH('A3.9.1 copy'!O441,Tabela3[Código],0)),"")</f>
        <v>Mistura anterior à execução de uma das operações enumeradas de D1 a D12</v>
      </c>
      <c r="T574" s="429" t="s">
        <v>3263</v>
      </c>
      <c r="U574" s="429" t="s">
        <v>3266</v>
      </c>
      <c r="V574" s="422"/>
    </row>
    <row r="575" spans="1:22" ht="15.75" hidden="1" thickBot="1" x14ac:dyDescent="0.3">
      <c r="A575" s="529" t="s">
        <v>4592</v>
      </c>
      <c r="B575" s="424" t="s">
        <v>4592</v>
      </c>
      <c r="C575" s="82" t="str">
        <f t="shared" si="33"/>
        <v>X</v>
      </c>
      <c r="D575">
        <v>2022</v>
      </c>
      <c r="E575" s="250" t="s">
        <v>3499</v>
      </c>
      <c r="F575" s="250" t="s">
        <v>3566</v>
      </c>
      <c r="G575" t="s">
        <v>42</v>
      </c>
      <c r="H575" s="82" t="s">
        <v>42</v>
      </c>
      <c r="I575" s="265">
        <v>160107</v>
      </c>
      <c r="J575" s="425" t="str">
        <f>INDEX(aux!B:B,MATCH(I575,aux!A:A,0))</f>
        <v>(*) Filtros de óleo</v>
      </c>
      <c r="K575" s="433" t="str">
        <f>INDEX(aux!C:C,MATCH(I575,aux!A:A,0))</f>
        <v>Sim</v>
      </c>
      <c r="L575" s="437">
        <v>916</v>
      </c>
      <c r="M575" s="433" t="s">
        <v>557</v>
      </c>
      <c r="N575" s="139">
        <f t="shared" si="31"/>
        <v>916</v>
      </c>
      <c r="O575" s="139" t="s">
        <v>484</v>
      </c>
      <c r="P575" s="231" t="str">
        <f t="shared" si="32"/>
        <v>Reciclagem</v>
      </c>
      <c r="Q575" s="231" t="s">
        <v>1901</v>
      </c>
      <c r="R575" s="231" t="s">
        <v>1892</v>
      </c>
      <c r="S575" s="114" t="str">
        <f>IFERROR(INDEX(Tabela3[Tipos de Tratamento],MATCH('A3.9.1 copy'!O444,Tabela3[Código],0)),"")</f>
        <v xml:space="preserve">Troca de resíduos com vista a submetê-los a uma das operações enumeradas de R 1 a R 11 </v>
      </c>
      <c r="T575" s="429" t="s">
        <v>3263</v>
      </c>
      <c r="U575" s="429" t="s">
        <v>3266</v>
      </c>
      <c r="V575" s="422"/>
    </row>
    <row r="576" spans="1:22" ht="15.75" hidden="1" thickBot="1" x14ac:dyDescent="0.3">
      <c r="A576" s="529" t="s">
        <v>4592</v>
      </c>
      <c r="B576" s="424" t="s">
        <v>4592</v>
      </c>
      <c r="C576" s="82" t="str">
        <f t="shared" si="33"/>
        <v>X</v>
      </c>
      <c r="D576">
        <v>2022</v>
      </c>
      <c r="E576" s="250" t="s">
        <v>3499</v>
      </c>
      <c r="F576" s="250" t="s">
        <v>3566</v>
      </c>
      <c r="G576" t="s">
        <v>42</v>
      </c>
      <c r="H576" s="82" t="s">
        <v>42</v>
      </c>
      <c r="I576" s="265">
        <v>160199</v>
      </c>
      <c r="J576" s="425" t="str">
        <f>INDEX(aux!B:B,MATCH(I576,aux!A:A,0))</f>
        <v>Resíduos sem outras especificações</v>
      </c>
      <c r="K576" s="433" t="str">
        <f>INDEX(aux!C:C,MATCH(I576,aux!A:A,0))</f>
        <v>Não</v>
      </c>
      <c r="L576" s="437">
        <v>1083</v>
      </c>
      <c r="M576" s="433" t="s">
        <v>557</v>
      </c>
      <c r="N576" s="139">
        <f t="shared" si="31"/>
        <v>1083</v>
      </c>
      <c r="O576" s="139" t="s">
        <v>509</v>
      </c>
      <c r="P576" s="231" t="str">
        <f t="shared" si="32"/>
        <v>Aterro</v>
      </c>
      <c r="Q576" s="231" t="s">
        <v>1901</v>
      </c>
      <c r="R576" s="231" t="s">
        <v>1892</v>
      </c>
      <c r="S576" s="114" t="str">
        <f>IFERROR(INDEX(Tabela3[Tipos de Tratamento],MATCH('A3.9.1 copy'!O447,Tabela3[Código],0)),"")</f>
        <v xml:space="preserve">Troca de resíduos com vista a submetê-los a uma das operações enumeradas de R 1 a R 11 </v>
      </c>
      <c r="T576" s="429" t="s">
        <v>3263</v>
      </c>
      <c r="U576" s="429" t="s">
        <v>3266</v>
      </c>
      <c r="V576" s="422"/>
    </row>
    <row r="577" spans="1:22" ht="15.75" hidden="1" thickBot="1" x14ac:dyDescent="0.3">
      <c r="A577" s="529" t="s">
        <v>4592</v>
      </c>
      <c r="B577" s="424" t="s">
        <v>4592</v>
      </c>
      <c r="C577" s="82" t="str">
        <f t="shared" si="33"/>
        <v>X</v>
      </c>
      <c r="D577">
        <v>2022</v>
      </c>
      <c r="E577" s="250" t="s">
        <v>3499</v>
      </c>
      <c r="F577" s="250" t="s">
        <v>3566</v>
      </c>
      <c r="G577" t="s">
        <v>42</v>
      </c>
      <c r="H577" s="82" t="s">
        <v>42</v>
      </c>
      <c r="I577" s="265">
        <v>160504</v>
      </c>
      <c r="J577" s="425" t="str">
        <f>INDEX(aux!B:B,MATCH(I577,aux!A:A,0))</f>
        <v>Gases em recipientes sob pressão (incluindo halons) contendo substâncias perigosas</v>
      </c>
      <c r="K577" s="433" t="str">
        <f>INDEX(aux!C:C,MATCH(I577,aux!A:A,0))</f>
        <v>Sim</v>
      </c>
      <c r="L577" s="437">
        <v>150</v>
      </c>
      <c r="M577" s="433" t="s">
        <v>557</v>
      </c>
      <c r="N577" s="139">
        <f t="shared" si="31"/>
        <v>150</v>
      </c>
      <c r="O577" s="139" t="s">
        <v>509</v>
      </c>
      <c r="P577" s="231" t="str">
        <f t="shared" si="32"/>
        <v>Aterro</v>
      </c>
      <c r="Q577" s="231" t="s">
        <v>1901</v>
      </c>
      <c r="R577" s="231" t="s">
        <v>1892</v>
      </c>
      <c r="S577" s="114" t="str">
        <f>IFERROR(INDEX(Tabela3[Tipos de Tratamento],MATCH('A3.9.1 copy'!O448,Tabela3[Código],0)),"")</f>
        <v xml:space="preserve">Troca de resíduos com vista a submetê-los a uma das operações enumeradas de R 1 a R 11 </v>
      </c>
      <c r="T577" s="429" t="s">
        <v>3263</v>
      </c>
      <c r="U577" s="429" t="s">
        <v>3266</v>
      </c>
      <c r="V577" s="422"/>
    </row>
    <row r="578" spans="1:22" ht="15.75" hidden="1" thickBot="1" x14ac:dyDescent="0.3">
      <c r="A578" s="529" t="s">
        <v>4592</v>
      </c>
      <c r="B578" s="424" t="s">
        <v>4592</v>
      </c>
      <c r="C578" s="82" t="str">
        <f t="shared" si="33"/>
        <v>X</v>
      </c>
      <c r="D578">
        <v>2022</v>
      </c>
      <c r="E578" s="250" t="s">
        <v>3499</v>
      </c>
      <c r="F578" s="250" t="s">
        <v>3566</v>
      </c>
      <c r="G578" t="s">
        <v>42</v>
      </c>
      <c r="H578" s="82" t="s">
        <v>42</v>
      </c>
      <c r="I578" s="265">
        <v>200127</v>
      </c>
      <c r="J578" s="425" t="str">
        <f>INDEX(aux!B:B,MATCH(I578,aux!A:A,0))</f>
        <v>Tintas, produtos adesivos, colas e resinas, contendo substâncias perigosas</v>
      </c>
      <c r="K578" s="433" t="str">
        <f>INDEX(aux!C:C,MATCH(I578,aux!A:A,0))</f>
        <v>Sim</v>
      </c>
      <c r="L578" s="437">
        <v>60</v>
      </c>
      <c r="M578" s="433" t="s">
        <v>557</v>
      </c>
      <c r="N578" s="139">
        <f t="shared" si="31"/>
        <v>60</v>
      </c>
      <c r="O578" s="139" t="s">
        <v>473</v>
      </c>
      <c r="P578" s="231" t="str">
        <f t="shared" si="32"/>
        <v>Reciclagem</v>
      </c>
      <c r="Q578" s="231" t="s">
        <v>1901</v>
      </c>
      <c r="R578" s="231" t="s">
        <v>1892</v>
      </c>
      <c r="S578" s="114" t="str">
        <f>IFERROR(INDEX(Tabela3[Tipos de Tratamento],MATCH('A3.9.1 copy'!O451,Tabela3[Código],0)),"")</f>
        <v xml:space="preserve">Regeneração de óleos e outras reutilizações de óleos </v>
      </c>
      <c r="T578" s="429" t="s">
        <v>3263</v>
      </c>
      <c r="U578" s="429" t="s">
        <v>3266</v>
      </c>
      <c r="V578" s="93"/>
    </row>
    <row r="579" spans="1:22" ht="15.75" thickBot="1" x14ac:dyDescent="0.3">
      <c r="A579" s="422" t="s">
        <v>4592</v>
      </c>
      <c r="B579" s="527" t="s">
        <v>4592</v>
      </c>
      <c r="C579" s="82" t="str">
        <f t="shared" si="33"/>
        <v>X</v>
      </c>
      <c r="D579">
        <v>2023</v>
      </c>
      <c r="E579" s="250" t="s">
        <v>3499</v>
      </c>
      <c r="F579" s="250" t="s">
        <v>3566</v>
      </c>
      <c r="G579" t="s">
        <v>42</v>
      </c>
      <c r="H579" s="82" t="s">
        <v>42</v>
      </c>
      <c r="I579" s="530">
        <v>160504</v>
      </c>
      <c r="J579" s="425" t="str">
        <f>INDEX(aux!B:B,MATCH(I579,aux!A:A,0))</f>
        <v>Gases em recipientes sob pressão (incluindo halons) contendo substâncias perigosas</v>
      </c>
      <c r="K579" s="433" t="str">
        <f>INDEX(aux!C:C,MATCH(I579,aux!A:A,0))</f>
        <v>Sim</v>
      </c>
      <c r="L579" s="536">
        <v>153</v>
      </c>
      <c r="M579" s="534" t="s">
        <v>557</v>
      </c>
      <c r="N579" s="139">
        <f t="shared" ref="N579:N642" si="34">IF(LEFT(M579,3)="ton",1000*L579,L579)</f>
        <v>153</v>
      </c>
      <c r="O579" s="540" t="s">
        <v>509</v>
      </c>
      <c r="P579" s="231" t="str">
        <f t="shared" ref="P579:P642" si="35">IF(LEFT(O579,1)="R","Reciclagem",IF(OR(O579="D10",O579="D11"),"Iceneração","Aterro"))</f>
        <v>Aterro</v>
      </c>
      <c r="Q579" s="231" t="s">
        <v>1901</v>
      </c>
      <c r="R579" s="231" t="s">
        <v>1892</v>
      </c>
      <c r="S579" s="667" t="s">
        <v>1556</v>
      </c>
      <c r="T579" s="540" t="s">
        <v>3263</v>
      </c>
      <c r="U579" s="540" t="s">
        <v>6297</v>
      </c>
      <c r="V579" s="422"/>
    </row>
    <row r="580" spans="1:22" ht="15.75" thickBot="1" x14ac:dyDescent="0.3">
      <c r="A580" s="422" t="s">
        <v>4592</v>
      </c>
      <c r="B580" s="527" t="s">
        <v>4592</v>
      </c>
      <c r="C580" s="82" t="str">
        <f t="shared" si="33"/>
        <v>X</v>
      </c>
      <c r="D580">
        <v>2023</v>
      </c>
      <c r="E580" s="250" t="s">
        <v>3499</v>
      </c>
      <c r="F580" s="250" t="s">
        <v>3566</v>
      </c>
      <c r="G580" t="s">
        <v>42</v>
      </c>
      <c r="H580" s="82" t="s">
        <v>42</v>
      </c>
      <c r="I580" s="530">
        <v>200121</v>
      </c>
      <c r="J580" s="425" t="str">
        <f>INDEX(aux!B:B,MATCH(I580,aux!A:A,0))</f>
        <v>(*) Lâmpadas fluorescentes e outros resíduos contendo mercúrio</v>
      </c>
      <c r="K580" s="433" t="str">
        <f>INDEX(aux!C:C,MATCH(I580,aux!A:A,0))</f>
        <v>Sim</v>
      </c>
      <c r="L580" s="536">
        <v>80</v>
      </c>
      <c r="M580" s="534" t="s">
        <v>557</v>
      </c>
      <c r="N580" s="139">
        <f t="shared" si="34"/>
        <v>80</v>
      </c>
      <c r="O580" s="540" t="s">
        <v>484</v>
      </c>
      <c r="P580" s="231" t="str">
        <f t="shared" si="35"/>
        <v>Reciclagem</v>
      </c>
      <c r="Q580" s="231" t="s">
        <v>1901</v>
      </c>
      <c r="R580" s="231" t="s">
        <v>1892</v>
      </c>
      <c r="S580" s="667" t="s">
        <v>1553</v>
      </c>
      <c r="T580" s="540" t="s">
        <v>3263</v>
      </c>
      <c r="U580" s="540" t="s">
        <v>6297</v>
      </c>
      <c r="V580" s="93"/>
    </row>
    <row r="581" spans="1:22" ht="15.75" thickBot="1" x14ac:dyDescent="0.3">
      <c r="A581" s="422" t="s">
        <v>4592</v>
      </c>
      <c r="B581" s="527" t="s">
        <v>4592</v>
      </c>
      <c r="C581" s="424" t="str">
        <f t="shared" si="33"/>
        <v>X</v>
      </c>
      <c r="D581">
        <v>2023</v>
      </c>
      <c r="E581" s="250" t="s">
        <v>3499</v>
      </c>
      <c r="F581" s="250" t="s">
        <v>3566</v>
      </c>
      <c r="G581" t="s">
        <v>42</v>
      </c>
      <c r="H581" s="82" t="s">
        <v>42</v>
      </c>
      <c r="I581" s="530">
        <v>200127</v>
      </c>
      <c r="J581" s="425" t="str">
        <f>INDEX(aux!B:B,MATCH(I581,aux!A:A,0))</f>
        <v>Tintas, produtos adesivos, colas e resinas, contendo substâncias perigosas</v>
      </c>
      <c r="K581" s="433" t="str">
        <f>INDEX(aux!C:C,MATCH(I581,aux!A:A,0))</f>
        <v>Sim</v>
      </c>
      <c r="L581" s="536">
        <v>153</v>
      </c>
      <c r="M581" s="534" t="s">
        <v>557</v>
      </c>
      <c r="N581" s="139">
        <f t="shared" si="34"/>
        <v>153</v>
      </c>
      <c r="O581" s="540" t="s">
        <v>473</v>
      </c>
      <c r="P581" s="231" t="str">
        <f t="shared" si="35"/>
        <v>Reciclagem</v>
      </c>
      <c r="Q581" s="231" t="s">
        <v>1901</v>
      </c>
      <c r="R581" s="231" t="s">
        <v>1892</v>
      </c>
      <c r="S581" s="667" t="s">
        <v>488</v>
      </c>
      <c r="T581" s="540" t="s">
        <v>3263</v>
      </c>
      <c r="U581" s="540" t="s">
        <v>6297</v>
      </c>
      <c r="V581" s="93"/>
    </row>
    <row r="582" spans="1:22" s="357" customFormat="1" ht="15.75" thickBot="1" x14ac:dyDescent="0.3">
      <c r="A582" s="93" t="s">
        <v>4592</v>
      </c>
      <c r="B582" s="93" t="s">
        <v>4592</v>
      </c>
      <c r="C582" s="424" t="str">
        <f t="shared" si="33"/>
        <v>X</v>
      </c>
      <c r="D582" s="422">
        <v>2023</v>
      </c>
      <c r="E582" s="250" t="s">
        <v>3499</v>
      </c>
      <c r="F582" s="250" t="s">
        <v>3566</v>
      </c>
      <c r="G582" s="422" t="s">
        <v>42</v>
      </c>
      <c r="H582" s="424" t="s">
        <v>42</v>
      </c>
      <c r="I582" s="522">
        <v>130502</v>
      </c>
      <c r="J582" s="425" t="str">
        <f>INDEX(aux!B:B,MATCH(I582,aux!A:A,0))</f>
        <v>(*) Lamas provenientes dos separadores óleo/água</v>
      </c>
      <c r="K582" s="433" t="str">
        <f>INDEX(aux!C:C,MATCH(I582,aux!A:A,0))</f>
        <v>Sim</v>
      </c>
      <c r="L582" s="360">
        <v>6100</v>
      </c>
      <c r="M582" s="359" t="s">
        <v>557</v>
      </c>
      <c r="N582" s="139">
        <f t="shared" si="34"/>
        <v>6100</v>
      </c>
      <c r="O582" s="93" t="s">
        <v>503</v>
      </c>
      <c r="P582" s="231" t="str">
        <f t="shared" si="35"/>
        <v>Aterro</v>
      </c>
      <c r="Q582" s="231" t="s">
        <v>1901</v>
      </c>
      <c r="R582" s="231" t="s">
        <v>1892</v>
      </c>
      <c r="S582" s="544" t="s">
        <v>518</v>
      </c>
      <c r="T582" s="93" t="s">
        <v>3263</v>
      </c>
      <c r="U582" s="93" t="s">
        <v>3264</v>
      </c>
      <c r="V582" s="93"/>
    </row>
    <row r="583" spans="1:22" ht="15.75" thickBot="1" x14ac:dyDescent="0.3">
      <c r="A583" s="93" t="s">
        <v>4592</v>
      </c>
      <c r="B583" s="93" t="s">
        <v>4592</v>
      </c>
      <c r="C583" s="424" t="str">
        <f t="shared" si="33"/>
        <v>X</v>
      </c>
      <c r="D583" s="422">
        <v>2023</v>
      </c>
      <c r="E583" s="250" t="s">
        <v>3499</v>
      </c>
      <c r="F583" s="250" t="s">
        <v>3566</v>
      </c>
      <c r="G583" s="422" t="s">
        <v>42</v>
      </c>
      <c r="H583" s="424" t="s">
        <v>42</v>
      </c>
      <c r="I583" s="522">
        <v>130502</v>
      </c>
      <c r="J583" s="425" t="str">
        <f>INDEX(aux!B:B,MATCH(I583,aux!A:A,0))</f>
        <v>(*) Lamas provenientes dos separadores óleo/água</v>
      </c>
      <c r="K583" s="433" t="str">
        <f>INDEX(aux!C:C,MATCH(I583,aux!A:A,0))</f>
        <v>Sim</v>
      </c>
      <c r="L583" s="360">
        <v>240</v>
      </c>
      <c r="M583" s="359" t="s">
        <v>557</v>
      </c>
      <c r="N583" s="139">
        <f t="shared" si="34"/>
        <v>240</v>
      </c>
      <c r="O583" s="93" t="s">
        <v>503</v>
      </c>
      <c r="P583" s="231" t="str">
        <f t="shared" si="35"/>
        <v>Aterro</v>
      </c>
      <c r="Q583" s="231" t="s">
        <v>1901</v>
      </c>
      <c r="R583" s="231" t="s">
        <v>1892</v>
      </c>
      <c r="S583" s="544" t="s">
        <v>518</v>
      </c>
      <c r="T583" s="93" t="s">
        <v>3263</v>
      </c>
      <c r="U583" s="93" t="s">
        <v>3264</v>
      </c>
      <c r="V583" s="93"/>
    </row>
    <row r="584" spans="1:22" ht="15.75" thickBot="1" x14ac:dyDescent="0.3">
      <c r="A584" s="93" t="s">
        <v>4592</v>
      </c>
      <c r="B584" s="93" t="s">
        <v>4592</v>
      </c>
      <c r="C584" s="424" t="str">
        <f t="shared" si="33"/>
        <v>X</v>
      </c>
      <c r="D584" s="422">
        <v>2023</v>
      </c>
      <c r="E584" s="250" t="s">
        <v>3499</v>
      </c>
      <c r="F584" s="250" t="s">
        <v>3566</v>
      </c>
      <c r="G584" s="422" t="s">
        <v>42</v>
      </c>
      <c r="H584" s="424" t="s">
        <v>42</v>
      </c>
      <c r="I584" s="522">
        <v>130507</v>
      </c>
      <c r="J584" s="425" t="str">
        <f>INDEX(aux!B:B,MATCH(I584,aux!A:A,0))</f>
        <v>(*) Água com óleo proveniente dos separadores óleo/água</v>
      </c>
      <c r="K584" s="433" t="str">
        <f>INDEX(aux!C:C,MATCH(I584,aux!A:A,0))</f>
        <v>Sim</v>
      </c>
      <c r="L584" s="360">
        <v>25600</v>
      </c>
      <c r="M584" s="359" t="s">
        <v>557</v>
      </c>
      <c r="N584" s="139">
        <f t="shared" si="34"/>
        <v>25600</v>
      </c>
      <c r="O584" s="93" t="s">
        <v>503</v>
      </c>
      <c r="P584" s="231" t="str">
        <f t="shared" si="35"/>
        <v>Aterro</v>
      </c>
      <c r="Q584" s="231" t="s">
        <v>1901</v>
      </c>
      <c r="R584" s="231" t="s">
        <v>1892</v>
      </c>
      <c r="S584" s="544" t="s">
        <v>518</v>
      </c>
      <c r="T584" s="93" t="s">
        <v>3263</v>
      </c>
      <c r="U584" s="93" t="s">
        <v>3264</v>
      </c>
      <c r="V584" s="422"/>
    </row>
    <row r="585" spans="1:22" ht="15.75" thickBot="1" x14ac:dyDescent="0.3">
      <c r="A585" s="93" t="s">
        <v>4592</v>
      </c>
      <c r="B585" s="93" t="s">
        <v>4592</v>
      </c>
      <c r="C585" s="424" t="str">
        <f t="shared" si="33"/>
        <v>X</v>
      </c>
      <c r="D585" s="422">
        <v>2023</v>
      </c>
      <c r="E585" s="250" t="s">
        <v>3499</v>
      </c>
      <c r="F585" s="250" t="s">
        <v>3566</v>
      </c>
      <c r="G585" s="422" t="s">
        <v>42</v>
      </c>
      <c r="H585" s="424" t="s">
        <v>42</v>
      </c>
      <c r="I585" s="522">
        <v>130507</v>
      </c>
      <c r="J585" s="425" t="str">
        <f>INDEX(aux!B:B,MATCH(I585,aux!A:A,0))</f>
        <v>(*) Água com óleo proveniente dos separadores óleo/água</v>
      </c>
      <c r="K585" s="433" t="str">
        <f>INDEX(aux!C:C,MATCH(I585,aux!A:A,0))</f>
        <v>Sim</v>
      </c>
      <c r="L585" s="360">
        <v>900</v>
      </c>
      <c r="M585" s="359" t="s">
        <v>557</v>
      </c>
      <c r="N585" s="139">
        <f t="shared" si="34"/>
        <v>900</v>
      </c>
      <c r="O585" s="93" t="s">
        <v>503</v>
      </c>
      <c r="P585" s="231" t="str">
        <f t="shared" si="35"/>
        <v>Aterro</v>
      </c>
      <c r="Q585" s="231" t="s">
        <v>1901</v>
      </c>
      <c r="R585" s="231" t="s">
        <v>1892</v>
      </c>
      <c r="S585" s="544" t="s">
        <v>518</v>
      </c>
      <c r="T585" s="93" t="s">
        <v>3263</v>
      </c>
      <c r="U585" s="93" t="s">
        <v>3264</v>
      </c>
      <c r="V585" s="422"/>
    </row>
    <row r="586" spans="1:22" ht="15.75" thickBot="1" x14ac:dyDescent="0.3">
      <c r="A586" s="422" t="s">
        <v>4592</v>
      </c>
      <c r="B586" s="422" t="s">
        <v>4592</v>
      </c>
      <c r="C586" s="424" t="str">
        <f t="shared" si="33"/>
        <v>X</v>
      </c>
      <c r="D586" s="422">
        <v>2023</v>
      </c>
      <c r="E586" s="250" t="s">
        <v>3499</v>
      </c>
      <c r="F586" s="250" t="s">
        <v>3566</v>
      </c>
      <c r="G586" s="422" t="s">
        <v>42</v>
      </c>
      <c r="H586" s="424" t="s">
        <v>42</v>
      </c>
      <c r="I586" s="487">
        <v>160199</v>
      </c>
      <c r="J586" s="425" t="str">
        <f>INDEX(aux!B:B,MATCH(I586,aux!A:A,0))</f>
        <v>Resíduos sem outras especificações</v>
      </c>
      <c r="K586" s="433" t="str">
        <f>INDEX(aux!C:C,MATCH(I586,aux!A:A,0))</f>
        <v>Não</v>
      </c>
      <c r="L586" s="259">
        <v>1254</v>
      </c>
      <c r="M586" s="428" t="s">
        <v>557</v>
      </c>
      <c r="N586" s="139">
        <f t="shared" si="34"/>
        <v>1254</v>
      </c>
      <c r="O586" s="422" t="s">
        <v>509</v>
      </c>
      <c r="P586" s="231" t="str">
        <f t="shared" si="35"/>
        <v>Aterro</v>
      </c>
      <c r="Q586" s="231" t="s">
        <v>1901</v>
      </c>
      <c r="R586" s="231" t="s">
        <v>1892</v>
      </c>
      <c r="S586" s="94" t="s">
        <v>1556</v>
      </c>
      <c r="T586" s="422" t="s">
        <v>3263</v>
      </c>
      <c r="U586" s="422" t="s">
        <v>6297</v>
      </c>
      <c r="V586" s="422"/>
    </row>
    <row r="587" spans="1:22" ht="15.75" thickBot="1" x14ac:dyDescent="0.3">
      <c r="A587" s="93" t="s">
        <v>4592</v>
      </c>
      <c r="B587" s="93" t="s">
        <v>4592</v>
      </c>
      <c r="C587" s="424" t="str">
        <f t="shared" si="33"/>
        <v>X</v>
      </c>
      <c r="D587" s="422">
        <v>2023</v>
      </c>
      <c r="E587" s="250" t="s">
        <v>3499</v>
      </c>
      <c r="F587" s="250" t="s">
        <v>3566</v>
      </c>
      <c r="G587" s="422" t="s">
        <v>42</v>
      </c>
      <c r="H587" s="424" t="s">
        <v>42</v>
      </c>
      <c r="I587" s="522">
        <v>150110</v>
      </c>
      <c r="J587" s="425" t="str">
        <f>INDEX(aux!B:B,MATCH(I587,aux!A:A,0))</f>
        <v>(*) Embalagens contendo ou contaminadas por resíduos de substâncias perigosas</v>
      </c>
      <c r="K587" s="433" t="str">
        <f>INDEX(aux!C:C,MATCH(I587,aux!A:A,0))</f>
        <v>Sim</v>
      </c>
      <c r="L587" s="360">
        <v>831</v>
      </c>
      <c r="M587" s="359" t="s">
        <v>557</v>
      </c>
      <c r="N587" s="139">
        <f t="shared" si="34"/>
        <v>831</v>
      </c>
      <c r="O587" s="93" t="s">
        <v>509</v>
      </c>
      <c r="P587" s="231" t="str">
        <f t="shared" si="35"/>
        <v>Aterro</v>
      </c>
      <c r="Q587" s="231" t="s">
        <v>1901</v>
      </c>
      <c r="R587" s="231" t="s">
        <v>1892</v>
      </c>
      <c r="S587" s="544" t="s">
        <v>1556</v>
      </c>
      <c r="T587" s="93" t="s">
        <v>3263</v>
      </c>
      <c r="U587" s="93" t="s">
        <v>6297</v>
      </c>
      <c r="V587" s="422"/>
    </row>
    <row r="588" spans="1:22" ht="15.75" thickBot="1" x14ac:dyDescent="0.3">
      <c r="A588" s="93" t="s">
        <v>4592</v>
      </c>
      <c r="B588" s="93" t="s">
        <v>4592</v>
      </c>
      <c r="C588" s="424" t="str">
        <f t="shared" si="33"/>
        <v>X</v>
      </c>
      <c r="D588" s="422">
        <v>2023</v>
      </c>
      <c r="E588" s="250" t="s">
        <v>3499</v>
      </c>
      <c r="F588" s="250" t="s">
        <v>3566</v>
      </c>
      <c r="G588" s="422" t="s">
        <v>42</v>
      </c>
      <c r="H588" s="424" t="s">
        <v>42</v>
      </c>
      <c r="I588" s="522">
        <v>150203</v>
      </c>
      <c r="J588" s="425" t="str">
        <f>INDEX(aux!B:B,MATCH(I588,aux!A:A,0))</f>
        <v>Absorventes, materiais filtrantes, panos de limpeza e vestuário de proteção não abrangidos em 15 02 02</v>
      </c>
      <c r="K588" s="433" t="str">
        <f>INDEX(aux!C:C,MATCH(I588,aux!A:A,0))</f>
        <v>Não</v>
      </c>
      <c r="L588" s="360">
        <v>1624</v>
      </c>
      <c r="M588" s="359" t="s">
        <v>557</v>
      </c>
      <c r="N588" s="139">
        <f t="shared" si="34"/>
        <v>1624</v>
      </c>
      <c r="O588" s="93" t="s">
        <v>509</v>
      </c>
      <c r="P588" s="231" t="str">
        <f t="shared" si="35"/>
        <v>Aterro</v>
      </c>
      <c r="Q588" s="231" t="s">
        <v>1901</v>
      </c>
      <c r="R588" s="231" t="s">
        <v>1892</v>
      </c>
      <c r="S588" s="544" t="s">
        <v>1556</v>
      </c>
      <c r="T588" s="93" t="s">
        <v>3263</v>
      </c>
      <c r="U588" s="93" t="s">
        <v>6297</v>
      </c>
      <c r="V588" s="93"/>
    </row>
    <row r="589" spans="1:22" ht="15.75" thickBot="1" x14ac:dyDescent="0.3">
      <c r="A589" s="93" t="s">
        <v>4592</v>
      </c>
      <c r="B589" s="93" t="s">
        <v>4592</v>
      </c>
      <c r="C589" s="424" t="str">
        <f t="shared" si="33"/>
        <v>X</v>
      </c>
      <c r="D589" s="422">
        <v>2023</v>
      </c>
      <c r="E589" s="250" t="s">
        <v>3499</v>
      </c>
      <c r="F589" s="250" t="s">
        <v>3566</v>
      </c>
      <c r="G589" s="422" t="s">
        <v>42</v>
      </c>
      <c r="H589" s="424" t="s">
        <v>42</v>
      </c>
      <c r="I589" s="522">
        <v>150202</v>
      </c>
      <c r="J589" s="425" t="str">
        <f>INDEX(aux!B:B,MATCH(I589,aux!A:A,0))</f>
        <v>(*) Absorventes, materiais filtrantes (incluindo filtros de óleo sem outras especificações), panos de limpeza e vestuário de proteção, contaminados por substâncias perigosas</v>
      </c>
      <c r="K589" s="433" t="str">
        <f>INDEX(aux!C:C,MATCH(I589,aux!A:A,0))</f>
        <v>Sim</v>
      </c>
      <c r="L589" s="360">
        <v>1732</v>
      </c>
      <c r="M589" s="359" t="s">
        <v>557</v>
      </c>
      <c r="N589" s="139">
        <f t="shared" si="34"/>
        <v>1732</v>
      </c>
      <c r="O589" s="93" t="s">
        <v>509</v>
      </c>
      <c r="P589" s="231" t="str">
        <f t="shared" si="35"/>
        <v>Aterro</v>
      </c>
      <c r="Q589" s="231" t="s">
        <v>1901</v>
      </c>
      <c r="R589" s="231" t="s">
        <v>1892</v>
      </c>
      <c r="S589" s="544" t="s">
        <v>1556</v>
      </c>
      <c r="T589" s="93" t="s">
        <v>3263</v>
      </c>
      <c r="U589" s="93" t="s">
        <v>6297</v>
      </c>
      <c r="V589" s="93"/>
    </row>
    <row r="590" spans="1:22" ht="15.75" thickBot="1" x14ac:dyDescent="0.3">
      <c r="A590" s="422" t="s">
        <v>4592</v>
      </c>
      <c r="B590" s="93" t="s">
        <v>4592</v>
      </c>
      <c r="C590" s="424" t="str">
        <f t="shared" si="33"/>
        <v>X</v>
      </c>
      <c r="D590" s="422">
        <v>2023</v>
      </c>
      <c r="E590" s="250" t="s">
        <v>3499</v>
      </c>
      <c r="F590" s="250" t="s">
        <v>3566</v>
      </c>
      <c r="G590" s="422" t="s">
        <v>42</v>
      </c>
      <c r="H590" s="424" t="s">
        <v>42</v>
      </c>
      <c r="I590" s="522">
        <v>160107</v>
      </c>
      <c r="J590" s="425" t="str">
        <f>INDEX(aux!B:B,MATCH(I590,aux!A:A,0))</f>
        <v>(*) Filtros de óleo</v>
      </c>
      <c r="K590" s="433" t="str">
        <f>INDEX(aux!C:C,MATCH(I590,aux!A:A,0))</f>
        <v>Sim</v>
      </c>
      <c r="L590" s="360">
        <v>1126</v>
      </c>
      <c r="M590" s="359" t="s">
        <v>557</v>
      </c>
      <c r="N590" s="139">
        <f t="shared" si="34"/>
        <v>1126</v>
      </c>
      <c r="O590" s="93" t="s">
        <v>484</v>
      </c>
      <c r="P590" s="231" t="str">
        <f t="shared" si="35"/>
        <v>Reciclagem</v>
      </c>
      <c r="Q590" s="231" t="s">
        <v>1901</v>
      </c>
      <c r="R590" s="231" t="s">
        <v>1892</v>
      </c>
      <c r="S590" s="544" t="s">
        <v>1553</v>
      </c>
      <c r="T590" s="93" t="s">
        <v>3263</v>
      </c>
      <c r="U590" s="93" t="s">
        <v>6297</v>
      </c>
      <c r="V590" s="93"/>
    </row>
    <row r="591" spans="1:22" ht="15.75" hidden="1" thickBot="1" x14ac:dyDescent="0.3">
      <c r="A591" s="529" t="s">
        <v>4592</v>
      </c>
      <c r="B591" s="529" t="s">
        <v>4592</v>
      </c>
      <c r="C591" s="424" t="str">
        <f t="shared" si="33"/>
        <v>X</v>
      </c>
      <c r="D591" s="422">
        <v>2022</v>
      </c>
      <c r="E591" s="250" t="s">
        <v>3499</v>
      </c>
      <c r="F591" s="250" t="s">
        <v>3566</v>
      </c>
      <c r="G591" s="422" t="s">
        <v>42</v>
      </c>
      <c r="H591" s="424" t="s">
        <v>42</v>
      </c>
      <c r="I591" s="532">
        <v>160104</v>
      </c>
      <c r="J591" s="425" t="str">
        <f>INDEX(aux!B:B,MATCH(I591,aux!A:A,0))</f>
        <v>Veículos em fim de vida</v>
      </c>
      <c r="K591" s="433" t="str">
        <f>INDEX(aux!C:C,MATCH(I591,aux!A:A,0))</f>
        <v>Sim</v>
      </c>
      <c r="L591" s="646">
        <v>2000</v>
      </c>
      <c r="M591" s="535" t="s">
        <v>557</v>
      </c>
      <c r="N591" s="139">
        <f t="shared" si="34"/>
        <v>2000</v>
      </c>
      <c r="O591" s="538" t="s">
        <v>483</v>
      </c>
      <c r="P591" s="231" t="str">
        <f t="shared" si="35"/>
        <v>Reciclagem</v>
      </c>
      <c r="Q591" s="231" t="s">
        <v>1907</v>
      </c>
      <c r="R591" s="231" t="s">
        <v>1903</v>
      </c>
      <c r="S591" s="528" t="str">
        <f>IFERROR(INDEX(Tabela3[Tipos de Tratamento],MATCH('A3.9.1 copy'!O442,Tabela3[Código],0)),"")</f>
        <v>Mistura anterior à execução de uma das operações enumeradas de D1 a D12</v>
      </c>
      <c r="T591" s="458" t="s">
        <v>3269</v>
      </c>
      <c r="U591" s="458" t="s">
        <v>3270</v>
      </c>
      <c r="V591" s="93"/>
    </row>
    <row r="592" spans="1:22" ht="15.75" hidden="1" thickBot="1" x14ac:dyDescent="0.3">
      <c r="A592" s="529" t="s">
        <v>4592</v>
      </c>
      <c r="B592" s="529" t="s">
        <v>4592</v>
      </c>
      <c r="C592" s="424" t="str">
        <f t="shared" si="33"/>
        <v>X</v>
      </c>
      <c r="D592" s="422">
        <v>2022</v>
      </c>
      <c r="E592" s="250" t="s">
        <v>3499</v>
      </c>
      <c r="F592" s="250" t="s">
        <v>3566</v>
      </c>
      <c r="G592" s="422" t="s">
        <v>42</v>
      </c>
      <c r="H592" s="424" t="s">
        <v>42</v>
      </c>
      <c r="I592" s="532">
        <v>160104</v>
      </c>
      <c r="J592" s="425" t="str">
        <f>INDEX(aux!B:B,MATCH(I592,aux!A:A,0))</f>
        <v>Veículos em fim de vida</v>
      </c>
      <c r="K592" s="433" t="str">
        <f>INDEX(aux!C:C,MATCH(I592,aux!A:A,0))</f>
        <v>Sim</v>
      </c>
      <c r="L592" s="646">
        <v>47100</v>
      </c>
      <c r="M592" s="535" t="s">
        <v>557</v>
      </c>
      <c r="N592" s="139">
        <f t="shared" si="34"/>
        <v>47100</v>
      </c>
      <c r="O592" s="538" t="s">
        <v>483</v>
      </c>
      <c r="P592" s="231" t="str">
        <f t="shared" si="35"/>
        <v>Reciclagem</v>
      </c>
      <c r="Q592" s="231" t="s">
        <v>1907</v>
      </c>
      <c r="R592" s="231" t="s">
        <v>1903</v>
      </c>
      <c r="S592" s="528" t="str">
        <f>IFERROR(INDEX(Tabela3[Tipos de Tratamento],MATCH('A3.9.1 copy'!O443,Tabela3[Código],0)),"")</f>
        <v xml:space="preserve">Troca de resíduos com vista a submetê-los a uma das operações enumeradas de R 1 a R 11 </v>
      </c>
      <c r="T592" s="458" t="s">
        <v>3267</v>
      </c>
      <c r="U592" s="458" t="s">
        <v>3268</v>
      </c>
      <c r="V592" s="93"/>
    </row>
    <row r="593" spans="1:22" ht="15.75" thickBot="1" x14ac:dyDescent="0.3">
      <c r="A593" s="93" t="s">
        <v>4592</v>
      </c>
      <c r="B593" s="93" t="s">
        <v>4592</v>
      </c>
      <c r="C593" s="424" t="str">
        <f t="shared" si="33"/>
        <v>X</v>
      </c>
      <c r="D593" s="422">
        <v>2023</v>
      </c>
      <c r="E593" s="250" t="s">
        <v>3499</v>
      </c>
      <c r="F593" s="250" t="s">
        <v>3566</v>
      </c>
      <c r="G593" s="422" t="s">
        <v>42</v>
      </c>
      <c r="H593" s="424" t="s">
        <v>42</v>
      </c>
      <c r="I593" s="522">
        <v>160104</v>
      </c>
      <c r="J593" s="425" t="str">
        <f>INDEX(aux!B:B,MATCH(I593,aux!A:A,0))</f>
        <v>Veículos em fim de vida</v>
      </c>
      <c r="K593" s="433" t="str">
        <f>INDEX(aux!C:C,MATCH(I593,aux!A:A,0))</f>
        <v>Sim</v>
      </c>
      <c r="L593" s="360">
        <v>78.844999999999999</v>
      </c>
      <c r="M593" s="359" t="s">
        <v>1532</v>
      </c>
      <c r="N593" s="139">
        <f t="shared" si="34"/>
        <v>78845</v>
      </c>
      <c r="O593" s="93" t="s">
        <v>483</v>
      </c>
      <c r="P593" s="231" t="str">
        <f t="shared" si="35"/>
        <v>Reciclagem</v>
      </c>
      <c r="Q593" s="231" t="s">
        <v>1907</v>
      </c>
      <c r="R593" s="231" t="s">
        <v>6569</v>
      </c>
      <c r="S593" s="544" t="s">
        <v>485</v>
      </c>
      <c r="T593" s="93" t="s">
        <v>6299</v>
      </c>
      <c r="U593" s="93" t="s">
        <v>6300</v>
      </c>
      <c r="V593" s="93"/>
    </row>
    <row r="594" spans="1:22" ht="15.75" thickBot="1" x14ac:dyDescent="0.3">
      <c r="A594" s="93" t="s">
        <v>4592</v>
      </c>
      <c r="B594" s="93" t="s">
        <v>4592</v>
      </c>
      <c r="C594" s="424" t="str">
        <f t="shared" si="33"/>
        <v>X</v>
      </c>
      <c r="D594" s="422">
        <v>2023</v>
      </c>
      <c r="E594" s="250" t="s">
        <v>3499</v>
      </c>
      <c r="F594" s="250" t="s">
        <v>3566</v>
      </c>
      <c r="G594" s="422" t="s">
        <v>42</v>
      </c>
      <c r="H594" s="424" t="s">
        <v>42</v>
      </c>
      <c r="I594" s="522">
        <v>160120</v>
      </c>
      <c r="J594" s="425" t="str">
        <f>INDEX(aux!B:B,MATCH(I594,aux!A:A,0))</f>
        <v>Vidro</v>
      </c>
      <c r="K594" s="433" t="str">
        <f>INDEX(aux!C:C,MATCH(I594,aux!A:A,0))</f>
        <v>Não</v>
      </c>
      <c r="L594" s="360">
        <v>158</v>
      </c>
      <c r="M594" s="359" t="s">
        <v>557</v>
      </c>
      <c r="N594" s="139">
        <f t="shared" si="34"/>
        <v>158</v>
      </c>
      <c r="O594" s="93" t="s">
        <v>509</v>
      </c>
      <c r="P594" s="231" t="str">
        <f t="shared" si="35"/>
        <v>Aterro</v>
      </c>
      <c r="Q594" s="231" t="s">
        <v>1561</v>
      </c>
      <c r="R594" s="231" t="s">
        <v>6569</v>
      </c>
      <c r="S594" s="544" t="s">
        <v>1556</v>
      </c>
      <c r="T594" s="93" t="s">
        <v>3263</v>
      </c>
      <c r="U594" s="93" t="s">
        <v>6297</v>
      </c>
      <c r="V594" s="93"/>
    </row>
    <row r="595" spans="1:22" ht="15.75" hidden="1" thickBot="1" x14ac:dyDescent="0.3">
      <c r="A595" s="529" t="s">
        <v>4580</v>
      </c>
      <c r="B595" s="529" t="s">
        <v>4580</v>
      </c>
      <c r="C595" s="424" t="str">
        <f t="shared" si="33"/>
        <v>X</v>
      </c>
      <c r="D595" s="422">
        <v>2022</v>
      </c>
      <c r="E595" s="250" t="s">
        <v>3499</v>
      </c>
      <c r="F595" s="250" t="s">
        <v>3566</v>
      </c>
      <c r="G595" s="422" t="s">
        <v>42</v>
      </c>
      <c r="H595" s="424" t="s">
        <v>42</v>
      </c>
      <c r="I595" s="660">
        <v>160601</v>
      </c>
      <c r="J595" s="425" t="str">
        <f>INDEX(aux!B:B,MATCH(I595,aux!A:A,0))</f>
        <v>(*) Acumuladores de chumbo</v>
      </c>
      <c r="K595" s="433" t="str">
        <f>INDEX(aux!C:C,MATCH(I595,aux!A:A,0))</f>
        <v>Sim</v>
      </c>
      <c r="L595" s="646">
        <v>1.82</v>
      </c>
      <c r="M595" s="535" t="s">
        <v>1532</v>
      </c>
      <c r="N595" s="139">
        <f t="shared" si="34"/>
        <v>1820</v>
      </c>
      <c r="O595" s="535" t="s">
        <v>483</v>
      </c>
      <c r="P595" s="231" t="str">
        <f t="shared" si="35"/>
        <v>Reciclagem</v>
      </c>
      <c r="Q595" s="231" t="s">
        <v>1653</v>
      </c>
      <c r="R595" s="231" t="s">
        <v>1877</v>
      </c>
      <c r="S595" s="458" t="s">
        <v>485</v>
      </c>
      <c r="T595" s="458" t="s">
        <v>1558</v>
      </c>
      <c r="U595" s="458" t="s">
        <v>1559</v>
      </c>
      <c r="V595" s="458"/>
    </row>
    <row r="596" spans="1:22" ht="15.75" thickBot="1" x14ac:dyDescent="0.3">
      <c r="A596" s="93" t="s">
        <v>4580</v>
      </c>
      <c r="B596" s="93" t="s">
        <v>4580</v>
      </c>
      <c r="C596" s="424" t="str">
        <f t="shared" si="33"/>
        <v>X</v>
      </c>
      <c r="D596" s="422">
        <v>2023</v>
      </c>
      <c r="E596" s="250" t="s">
        <v>3499</v>
      </c>
      <c r="F596" s="250" t="s">
        <v>3566</v>
      </c>
      <c r="G596" s="422" t="s">
        <v>42</v>
      </c>
      <c r="H596" s="424" t="s">
        <v>42</v>
      </c>
      <c r="I596" s="522">
        <v>160601</v>
      </c>
      <c r="J596" s="425" t="str">
        <f>INDEX(aux!B:B,MATCH(I596,aux!A:A,0))</f>
        <v>(*) Acumuladores de chumbo</v>
      </c>
      <c r="K596" s="433" t="str">
        <f>INDEX(aux!C:C,MATCH(I596,aux!A:A,0))</f>
        <v>Sim</v>
      </c>
      <c r="L596" s="360">
        <v>2.04</v>
      </c>
      <c r="M596" s="359" t="s">
        <v>1532</v>
      </c>
      <c r="N596" s="139">
        <f t="shared" si="34"/>
        <v>2040</v>
      </c>
      <c r="O596" s="93" t="s">
        <v>484</v>
      </c>
      <c r="P596" s="231" t="str">
        <f t="shared" si="35"/>
        <v>Reciclagem</v>
      </c>
      <c r="Q596" s="231" t="s">
        <v>1653</v>
      </c>
      <c r="R596" s="231" t="s">
        <v>1877</v>
      </c>
      <c r="S596" s="93" t="s">
        <v>1553</v>
      </c>
      <c r="T596" s="93" t="s">
        <v>3171</v>
      </c>
      <c r="U596" s="93" t="s">
        <v>3171</v>
      </c>
      <c r="V596" s="93"/>
    </row>
    <row r="597" spans="1:22" ht="15.75" thickBot="1" x14ac:dyDescent="0.3">
      <c r="A597" s="93" t="s">
        <v>4580</v>
      </c>
      <c r="B597" s="93" t="s">
        <v>4580</v>
      </c>
      <c r="C597" s="424" t="str">
        <f t="shared" si="33"/>
        <v>X</v>
      </c>
      <c r="D597" s="422">
        <v>2023</v>
      </c>
      <c r="E597" s="250" t="s">
        <v>3499</v>
      </c>
      <c r="F597" s="250" t="s">
        <v>3566</v>
      </c>
      <c r="G597" s="422" t="s">
        <v>42</v>
      </c>
      <c r="H597" s="424" t="s">
        <v>42</v>
      </c>
      <c r="I597" s="522">
        <v>200136</v>
      </c>
      <c r="J597" s="425" t="str">
        <f>INDEX(aux!B:B,MATCH(I597,aux!A:A,0))</f>
        <v>Equipamento elétrico e eletrónico fora de uso não abrangido em 20 01 21, 20 01 23 ou 20 01 35</v>
      </c>
      <c r="K597" s="433" t="str">
        <f>INDEX(aux!C:C,MATCH(I597,aux!A:A,0))</f>
        <v>Não</v>
      </c>
      <c r="L597" s="360">
        <v>0.17</v>
      </c>
      <c r="M597" s="359" t="s">
        <v>1532</v>
      </c>
      <c r="N597" s="139">
        <f t="shared" si="34"/>
        <v>170</v>
      </c>
      <c r="O597" s="93" t="s">
        <v>483</v>
      </c>
      <c r="P597" s="231" t="str">
        <f t="shared" si="35"/>
        <v>Reciclagem</v>
      </c>
      <c r="Q597" s="231" t="s">
        <v>1909</v>
      </c>
      <c r="R597" s="231" t="s">
        <v>1877</v>
      </c>
      <c r="S597" s="93" t="s">
        <v>485</v>
      </c>
      <c r="T597" s="93" t="s">
        <v>3177</v>
      </c>
      <c r="U597" s="93" t="s">
        <v>3177</v>
      </c>
      <c r="V597" s="93"/>
    </row>
    <row r="598" spans="1:22" ht="15.75" hidden="1" thickBot="1" x14ac:dyDescent="0.3">
      <c r="A598" s="529" t="s">
        <v>4580</v>
      </c>
      <c r="B598" s="529" t="s">
        <v>4580</v>
      </c>
      <c r="C598" s="424" t="str">
        <f t="shared" si="33"/>
        <v>X</v>
      </c>
      <c r="D598" s="422">
        <v>2022</v>
      </c>
      <c r="E598" s="250" t="s">
        <v>3499</v>
      </c>
      <c r="F598" s="250" t="s">
        <v>3566</v>
      </c>
      <c r="G598" s="422" t="s">
        <v>42</v>
      </c>
      <c r="H598" s="424" t="s">
        <v>42</v>
      </c>
      <c r="I598" s="656">
        <v>160112</v>
      </c>
      <c r="J598" s="425" t="str">
        <f>INDEX(aux!B:B,MATCH(I598,aux!A:A,0))</f>
        <v>Pastilhas de travões não abrangidas em 16 01 11</v>
      </c>
      <c r="K598" s="433" t="str">
        <f>INDEX(aux!C:C,MATCH(I598,aux!A:A,0))</f>
        <v>Não</v>
      </c>
      <c r="L598" s="646">
        <v>0.27</v>
      </c>
      <c r="M598" s="535" t="s">
        <v>1532</v>
      </c>
      <c r="N598" s="139">
        <f t="shared" si="34"/>
        <v>270</v>
      </c>
      <c r="O598" s="535" t="s">
        <v>483</v>
      </c>
      <c r="P598" s="231" t="str">
        <f t="shared" si="35"/>
        <v>Reciclagem</v>
      </c>
      <c r="Q598" s="231" t="s">
        <v>1557</v>
      </c>
      <c r="R598" s="231" t="s">
        <v>1903</v>
      </c>
      <c r="S598" s="458" t="s">
        <v>485</v>
      </c>
      <c r="T598" s="458" t="s">
        <v>1538</v>
      </c>
      <c r="U598" s="458" t="s">
        <v>1539</v>
      </c>
      <c r="V598" s="458"/>
    </row>
    <row r="599" spans="1:22" ht="15.75" hidden="1" thickBot="1" x14ac:dyDescent="0.3">
      <c r="A599" s="529" t="s">
        <v>4580</v>
      </c>
      <c r="B599" s="529" t="s">
        <v>4580</v>
      </c>
      <c r="C599" s="424" t="str">
        <f t="shared" si="33"/>
        <v>X</v>
      </c>
      <c r="D599" s="422">
        <v>2022</v>
      </c>
      <c r="E599" s="250" t="s">
        <v>3499</v>
      </c>
      <c r="F599" s="250" t="s">
        <v>3566</v>
      </c>
      <c r="G599" s="422" t="s">
        <v>42</v>
      </c>
      <c r="H599" s="424" t="s">
        <v>42</v>
      </c>
      <c r="I599" s="660">
        <v>160117</v>
      </c>
      <c r="J599" s="425" t="str">
        <f>INDEX(aux!B:B,MATCH(I599,aux!A:A,0))</f>
        <v>Metais ferrosos</v>
      </c>
      <c r="K599" s="433" t="str">
        <f>INDEX(aux!C:C,MATCH(I599,aux!A:A,0))</f>
        <v>Não</v>
      </c>
      <c r="L599" s="646">
        <v>1.54</v>
      </c>
      <c r="M599" s="535" t="s">
        <v>1532</v>
      </c>
      <c r="N599" s="139">
        <f t="shared" si="34"/>
        <v>1540</v>
      </c>
      <c r="O599" s="535" t="s">
        <v>483</v>
      </c>
      <c r="P599" s="231" t="str">
        <f t="shared" si="35"/>
        <v>Reciclagem</v>
      </c>
      <c r="Q599" s="231" t="s">
        <v>1557</v>
      </c>
      <c r="R599" s="231" t="s">
        <v>1903</v>
      </c>
      <c r="S599" s="458" t="s">
        <v>485</v>
      </c>
      <c r="T599" s="458" t="s">
        <v>1558</v>
      </c>
      <c r="U599" s="458" t="s">
        <v>1559</v>
      </c>
      <c r="V599" s="458"/>
    </row>
    <row r="600" spans="1:22" ht="15.75" thickBot="1" x14ac:dyDescent="0.3">
      <c r="A600" s="93" t="s">
        <v>4580</v>
      </c>
      <c r="B600" s="93" t="s">
        <v>4580</v>
      </c>
      <c r="C600" s="424" t="str">
        <f t="shared" si="33"/>
        <v>X</v>
      </c>
      <c r="D600" s="422">
        <v>2023</v>
      </c>
      <c r="E600" s="250" t="s">
        <v>3499</v>
      </c>
      <c r="F600" s="250" t="s">
        <v>3566</v>
      </c>
      <c r="G600" s="422" t="s">
        <v>42</v>
      </c>
      <c r="H600" s="424" t="s">
        <v>42</v>
      </c>
      <c r="I600" s="522">
        <v>160112</v>
      </c>
      <c r="J600" s="425" t="str">
        <f>INDEX(aux!B:B,MATCH(I600,aux!A:A,0))</f>
        <v>Pastilhas de travões não abrangidas em 16 01 11</v>
      </c>
      <c r="K600" s="433" t="str">
        <f>INDEX(aux!C:C,MATCH(I600,aux!A:A,0))</f>
        <v>Não</v>
      </c>
      <c r="L600" s="360">
        <v>0.81</v>
      </c>
      <c r="M600" s="359" t="s">
        <v>1532</v>
      </c>
      <c r="N600" s="139">
        <f t="shared" si="34"/>
        <v>810</v>
      </c>
      <c r="O600" s="93" t="s">
        <v>483</v>
      </c>
      <c r="P600" s="231" t="str">
        <f t="shared" si="35"/>
        <v>Reciclagem</v>
      </c>
      <c r="Q600" s="231" t="s">
        <v>1557</v>
      </c>
      <c r="R600" s="231" t="s">
        <v>6569</v>
      </c>
      <c r="S600" s="93" t="s">
        <v>485</v>
      </c>
      <c r="T600" s="93" t="s">
        <v>3177</v>
      </c>
      <c r="U600" s="93" t="s">
        <v>3177</v>
      </c>
      <c r="V600" s="93"/>
    </row>
    <row r="601" spans="1:22" ht="15.75" thickBot="1" x14ac:dyDescent="0.3">
      <c r="A601" s="93" t="s">
        <v>4580</v>
      </c>
      <c r="B601" s="93" t="s">
        <v>4580</v>
      </c>
      <c r="C601" s="424" t="str">
        <f t="shared" si="33"/>
        <v>X</v>
      </c>
      <c r="D601" s="422">
        <v>2023</v>
      </c>
      <c r="E601" s="250" t="s">
        <v>3499</v>
      </c>
      <c r="F601" s="250" t="s">
        <v>3566</v>
      </c>
      <c r="G601" s="422" t="s">
        <v>42</v>
      </c>
      <c r="H601" s="424" t="s">
        <v>42</v>
      </c>
      <c r="I601" s="522">
        <v>160117</v>
      </c>
      <c r="J601" s="425" t="str">
        <f>INDEX(aux!B:B,MATCH(I601,aux!A:A,0))</f>
        <v>Metais ferrosos</v>
      </c>
      <c r="K601" s="433" t="str">
        <f>INDEX(aux!C:C,MATCH(I601,aux!A:A,0))</f>
        <v>Não</v>
      </c>
      <c r="L601" s="360">
        <v>2.62</v>
      </c>
      <c r="M601" s="359" t="s">
        <v>1532</v>
      </c>
      <c r="N601" s="139">
        <f t="shared" si="34"/>
        <v>2620</v>
      </c>
      <c r="O601" s="93" t="s">
        <v>483</v>
      </c>
      <c r="P601" s="231" t="str">
        <f t="shared" si="35"/>
        <v>Reciclagem</v>
      </c>
      <c r="Q601" s="231" t="s">
        <v>1557</v>
      </c>
      <c r="R601" s="231" t="s">
        <v>6569</v>
      </c>
      <c r="S601" s="93" t="s">
        <v>485</v>
      </c>
      <c r="T601" s="93" t="s">
        <v>3171</v>
      </c>
      <c r="U601" s="93" t="s">
        <v>3171</v>
      </c>
      <c r="V601" s="93"/>
    </row>
    <row r="602" spans="1:22" ht="15.75" thickBot="1" x14ac:dyDescent="0.3">
      <c r="A602" s="93" t="s">
        <v>4580</v>
      </c>
      <c r="B602" s="93" t="s">
        <v>4580</v>
      </c>
      <c r="C602" s="424" t="str">
        <f t="shared" si="33"/>
        <v>X</v>
      </c>
      <c r="D602" s="422">
        <v>2023</v>
      </c>
      <c r="E602" s="250" t="s">
        <v>3499</v>
      </c>
      <c r="F602" s="250" t="s">
        <v>3566</v>
      </c>
      <c r="G602" s="422" t="s">
        <v>42</v>
      </c>
      <c r="H602" s="424" t="s">
        <v>42</v>
      </c>
      <c r="I602" s="522">
        <v>150111</v>
      </c>
      <c r="J602" s="425" t="str">
        <f>INDEX(aux!B:B,MATCH(I602,aux!A:A,0))</f>
        <v>(*) Embalagens de metal, incluindo recipientes vazios sob pressão, contendo uma matriz porosa sólida perigosa (por exemplo, amianto)</v>
      </c>
      <c r="K602" s="433" t="str">
        <f>INDEX(aux!C:C,MATCH(I602,aux!A:A,0))</f>
        <v>Sim</v>
      </c>
      <c r="L602" s="360">
        <v>3.5999999999999997E-2</v>
      </c>
      <c r="M602" s="359" t="s">
        <v>1532</v>
      </c>
      <c r="N602" s="139">
        <f t="shared" si="34"/>
        <v>36</v>
      </c>
      <c r="O602" s="93" t="s">
        <v>484</v>
      </c>
      <c r="P602" s="231" t="str">
        <f t="shared" si="35"/>
        <v>Reciclagem</v>
      </c>
      <c r="Q602" s="231" t="s">
        <v>1906</v>
      </c>
      <c r="R602" s="231" t="s">
        <v>6569</v>
      </c>
      <c r="S602" s="93" t="s">
        <v>1553</v>
      </c>
      <c r="T602" s="93" t="s">
        <v>3177</v>
      </c>
      <c r="U602" s="93" t="s">
        <v>3177</v>
      </c>
      <c r="V602" s="422"/>
    </row>
    <row r="603" spans="1:22" ht="15.75" thickBot="1" x14ac:dyDescent="0.3">
      <c r="A603" s="93" t="s">
        <v>4580</v>
      </c>
      <c r="B603" s="93" t="s">
        <v>4580</v>
      </c>
      <c r="C603" s="424" t="str">
        <f t="shared" si="33"/>
        <v>X</v>
      </c>
      <c r="D603" s="422">
        <v>2023</v>
      </c>
      <c r="E603" s="250" t="s">
        <v>3499</v>
      </c>
      <c r="F603" s="250" t="s">
        <v>3566</v>
      </c>
      <c r="G603" s="422" t="s">
        <v>42</v>
      </c>
      <c r="H603" s="424" t="s">
        <v>42</v>
      </c>
      <c r="I603" s="522">
        <v>160118</v>
      </c>
      <c r="J603" s="425" t="str">
        <f>INDEX(aux!B:B,MATCH(I603,aux!A:A,0))</f>
        <v>Metais não ferrosos</v>
      </c>
      <c r="K603" s="433" t="str">
        <f>INDEX(aux!C:C,MATCH(I603,aux!A:A,0))</f>
        <v>Não</v>
      </c>
      <c r="L603" s="360">
        <v>0.08</v>
      </c>
      <c r="M603" s="359" t="s">
        <v>1532</v>
      </c>
      <c r="N603" s="139">
        <f t="shared" si="34"/>
        <v>80</v>
      </c>
      <c r="O603" s="93" t="s">
        <v>483</v>
      </c>
      <c r="P603" s="231" t="str">
        <f t="shared" si="35"/>
        <v>Reciclagem</v>
      </c>
      <c r="Q603" s="231" t="s">
        <v>1906</v>
      </c>
      <c r="R603" s="231" t="s">
        <v>6569</v>
      </c>
      <c r="S603" s="93" t="s">
        <v>485</v>
      </c>
      <c r="T603" s="93" t="s">
        <v>3171</v>
      </c>
      <c r="U603" s="93" t="s">
        <v>3171</v>
      </c>
      <c r="V603" s="422"/>
    </row>
    <row r="604" spans="1:22" ht="15.75" hidden="1" thickBot="1" x14ac:dyDescent="0.3">
      <c r="A604" s="529" t="s">
        <v>4580</v>
      </c>
      <c r="B604" s="529" t="s">
        <v>4580</v>
      </c>
      <c r="C604" s="424" t="str">
        <f t="shared" si="33"/>
        <v>X</v>
      </c>
      <c r="D604" s="422">
        <v>2022</v>
      </c>
      <c r="E604" s="250" t="s">
        <v>3499</v>
      </c>
      <c r="F604" s="250" t="s">
        <v>3566</v>
      </c>
      <c r="G604" s="422" t="s">
        <v>42</v>
      </c>
      <c r="H604" s="424" t="s">
        <v>42</v>
      </c>
      <c r="I604" s="656">
        <v>130208</v>
      </c>
      <c r="J604" s="425" t="str">
        <f>INDEX(aux!B:B,MATCH(I604,aux!A:A,0))</f>
        <v>(*) Outros óleos de motores, transmissões e lubrificação</v>
      </c>
      <c r="K604" s="433" t="str">
        <f>INDEX(aux!C:C,MATCH(I604,aux!A:A,0))</f>
        <v>Sim</v>
      </c>
      <c r="L604" s="646">
        <v>0.88</v>
      </c>
      <c r="M604" s="535" t="s">
        <v>1532</v>
      </c>
      <c r="N604" s="139">
        <f t="shared" si="34"/>
        <v>880</v>
      </c>
      <c r="O604" s="535" t="s">
        <v>480</v>
      </c>
      <c r="P604" s="231" t="str">
        <f t="shared" si="35"/>
        <v>Reciclagem</v>
      </c>
      <c r="Q604" s="541" t="s">
        <v>1902</v>
      </c>
      <c r="R604" s="541" t="s">
        <v>1877</v>
      </c>
      <c r="S604" s="458" t="str">
        <f>IFERROR(INDEX(Tabela3[Tipos de Tratamento],MATCH('A3.9.1 copy'!#REF!,Tabela3[Código],0)),"")</f>
        <v/>
      </c>
      <c r="T604" s="458" t="s">
        <v>1535</v>
      </c>
      <c r="U604" s="458" t="s">
        <v>1536</v>
      </c>
      <c r="V604" s="458"/>
    </row>
    <row r="605" spans="1:22" ht="15.75" thickBot="1" x14ac:dyDescent="0.3">
      <c r="A605" s="93" t="s">
        <v>4580</v>
      </c>
      <c r="B605" s="93" t="s">
        <v>4580</v>
      </c>
      <c r="C605" s="424" t="str">
        <f t="shared" si="33"/>
        <v>X</v>
      </c>
      <c r="D605" s="422">
        <v>2023</v>
      </c>
      <c r="E605" s="250" t="s">
        <v>3499</v>
      </c>
      <c r="F605" s="250" t="s">
        <v>3566</v>
      </c>
      <c r="G605" s="422" t="s">
        <v>42</v>
      </c>
      <c r="H605" s="424" t="s">
        <v>42</v>
      </c>
      <c r="I605" s="522">
        <v>130208</v>
      </c>
      <c r="J605" s="425" t="str">
        <f>INDEX(aux!B:B,MATCH(I605,aux!A:A,0))</f>
        <v>(*) Outros óleos de motores, transmissões e lubrificação</v>
      </c>
      <c r="K605" s="433" t="str">
        <f>INDEX(aux!C:C,MATCH(I605,aux!A:A,0))</f>
        <v>Sim</v>
      </c>
      <c r="L605" s="360">
        <v>3.1190000000000002</v>
      </c>
      <c r="M605" s="359" t="s">
        <v>1532</v>
      </c>
      <c r="N605" s="139">
        <f t="shared" si="34"/>
        <v>3119</v>
      </c>
      <c r="O605" s="93" t="s">
        <v>480</v>
      </c>
      <c r="P605" s="231" t="str">
        <f t="shared" si="35"/>
        <v>Reciclagem</v>
      </c>
      <c r="Q605" s="541" t="s">
        <v>1902</v>
      </c>
      <c r="R605" s="541" t="s">
        <v>1877</v>
      </c>
      <c r="S605" s="93" t="s">
        <v>1546</v>
      </c>
      <c r="T605" s="93" t="s">
        <v>3173</v>
      </c>
      <c r="U605" s="93" t="s">
        <v>3174</v>
      </c>
      <c r="V605" s="93"/>
    </row>
    <row r="606" spans="1:22" ht="15.75" hidden="1" thickBot="1" x14ac:dyDescent="0.3">
      <c r="A606" s="529" t="s">
        <v>4580</v>
      </c>
      <c r="B606" s="529" t="s">
        <v>4580</v>
      </c>
      <c r="C606" s="424" t="str">
        <f t="shared" si="33"/>
        <v>X</v>
      </c>
      <c r="D606" s="422">
        <v>2022</v>
      </c>
      <c r="E606" s="250" t="s">
        <v>3499</v>
      </c>
      <c r="F606" s="250" t="s">
        <v>3566</v>
      </c>
      <c r="G606" s="422" t="s">
        <v>42</v>
      </c>
      <c r="H606" s="424" t="s">
        <v>42</v>
      </c>
      <c r="I606" s="656">
        <v>150101</v>
      </c>
      <c r="J606" s="425" t="str">
        <f>INDEX(aux!B:B,MATCH(I606,aux!A:A,0))</f>
        <v>Embalagens de papel e cartão</v>
      </c>
      <c r="K606" s="433" t="str">
        <f>INDEX(aux!C:C,MATCH(I606,aux!A:A,0))</f>
        <v>Não</v>
      </c>
      <c r="L606" s="646">
        <v>7.3999999999999996E-2</v>
      </c>
      <c r="M606" s="535" t="s">
        <v>1532</v>
      </c>
      <c r="N606" s="139">
        <f t="shared" si="34"/>
        <v>74</v>
      </c>
      <c r="O606" s="535" t="s">
        <v>483</v>
      </c>
      <c r="P606" s="231" t="str">
        <f t="shared" si="35"/>
        <v>Reciclagem</v>
      </c>
      <c r="Q606" s="541" t="s">
        <v>1904</v>
      </c>
      <c r="R606" s="541" t="s">
        <v>1903</v>
      </c>
      <c r="S606" s="458" t="s">
        <v>485</v>
      </c>
      <c r="T606" s="458" t="s">
        <v>1538</v>
      </c>
      <c r="U606" s="458" t="s">
        <v>1539</v>
      </c>
      <c r="V606" s="458"/>
    </row>
    <row r="607" spans="1:22" ht="15.75" thickBot="1" x14ac:dyDescent="0.3">
      <c r="A607" s="93" t="s">
        <v>4580</v>
      </c>
      <c r="B607" s="93" t="s">
        <v>4580</v>
      </c>
      <c r="C607" s="424" t="str">
        <f t="shared" si="33"/>
        <v>X</v>
      </c>
      <c r="D607" s="422">
        <v>2023</v>
      </c>
      <c r="E607" s="250" t="s">
        <v>3499</v>
      </c>
      <c r="F607" s="250" t="s">
        <v>3566</v>
      </c>
      <c r="G607" s="422" t="s">
        <v>42</v>
      </c>
      <c r="H607" s="424" t="s">
        <v>42</v>
      </c>
      <c r="I607" s="522">
        <v>150101</v>
      </c>
      <c r="J607" s="425" t="str">
        <f>INDEX(aux!B:B,MATCH(I607,aux!A:A,0))</f>
        <v>Embalagens de papel e cartão</v>
      </c>
      <c r="K607" s="433" t="str">
        <f>INDEX(aux!C:C,MATCH(I607,aux!A:A,0))</f>
        <v>Não</v>
      </c>
      <c r="L607" s="360">
        <v>0.21199999999999999</v>
      </c>
      <c r="M607" s="359" t="s">
        <v>1532</v>
      </c>
      <c r="N607" s="139">
        <f t="shared" si="34"/>
        <v>212</v>
      </c>
      <c r="O607" s="93" t="s">
        <v>483</v>
      </c>
      <c r="P607" s="231" t="str">
        <f t="shared" si="35"/>
        <v>Reciclagem</v>
      </c>
      <c r="Q607" s="541" t="s">
        <v>1904</v>
      </c>
      <c r="R607" s="541" t="s">
        <v>6569</v>
      </c>
      <c r="S607" s="93" t="s">
        <v>485</v>
      </c>
      <c r="T607" s="93" t="s">
        <v>3177</v>
      </c>
      <c r="U607" s="93" t="s">
        <v>3177</v>
      </c>
      <c r="V607" s="422"/>
    </row>
    <row r="608" spans="1:22" ht="15.75" thickBot="1" x14ac:dyDescent="0.3">
      <c r="A608" s="93" t="s">
        <v>4580</v>
      </c>
      <c r="B608" s="93" t="s">
        <v>4580</v>
      </c>
      <c r="C608" s="424" t="str">
        <f t="shared" si="33"/>
        <v>X</v>
      </c>
      <c r="D608" s="422">
        <v>2023</v>
      </c>
      <c r="E608" s="250" t="s">
        <v>3499</v>
      </c>
      <c r="F608" s="250" t="s">
        <v>3566</v>
      </c>
      <c r="G608" s="422" t="s">
        <v>42</v>
      </c>
      <c r="H608" s="424" t="s">
        <v>42</v>
      </c>
      <c r="I608" s="522">
        <v>200101</v>
      </c>
      <c r="J608" s="425" t="str">
        <f>INDEX(aux!B:B,MATCH(I608,aux!A:A,0))</f>
        <v xml:space="preserve">Papel e Cartão </v>
      </c>
      <c r="K608" s="433" t="str">
        <f>INDEX(aux!C:C,MATCH(I608,aux!A:A,0))</f>
        <v>Não</v>
      </c>
      <c r="L608" s="360">
        <v>1.64</v>
      </c>
      <c r="M608" s="359" t="s">
        <v>1532</v>
      </c>
      <c r="N608" s="139">
        <f t="shared" si="34"/>
        <v>1640</v>
      </c>
      <c r="O608" s="93" t="s">
        <v>484</v>
      </c>
      <c r="P608" s="231" t="str">
        <f t="shared" si="35"/>
        <v>Reciclagem</v>
      </c>
      <c r="Q608" s="541" t="s">
        <v>1904</v>
      </c>
      <c r="R608" s="541" t="s">
        <v>6569</v>
      </c>
      <c r="S608" s="93" t="s">
        <v>1553</v>
      </c>
      <c r="T608" s="93" t="s">
        <v>3171</v>
      </c>
      <c r="U608" s="93" t="s">
        <v>3171</v>
      </c>
      <c r="V608" s="93"/>
    </row>
    <row r="609" spans="1:22" ht="15.75" hidden="1" thickBot="1" x14ac:dyDescent="0.3">
      <c r="A609" s="529" t="s">
        <v>4580</v>
      </c>
      <c r="B609" s="529" t="s">
        <v>4580</v>
      </c>
      <c r="C609" s="424" t="str">
        <f t="shared" si="33"/>
        <v>X</v>
      </c>
      <c r="D609" s="422">
        <v>2022</v>
      </c>
      <c r="E609" s="250" t="s">
        <v>3499</v>
      </c>
      <c r="F609" s="250" t="s">
        <v>3566</v>
      </c>
      <c r="G609" s="422" t="s">
        <v>42</v>
      </c>
      <c r="H609" s="424" t="s">
        <v>42</v>
      </c>
      <c r="I609" s="660">
        <v>160119</v>
      </c>
      <c r="J609" s="425" t="str">
        <f>INDEX(aux!B:B,MATCH(I609,aux!A:A,0))</f>
        <v>Plástico</v>
      </c>
      <c r="K609" s="433" t="str">
        <f>INDEX(aux!C:C,MATCH(I609,aux!A:A,0))</f>
        <v>Não</v>
      </c>
      <c r="L609" s="646">
        <v>2.8000000000000001E-2</v>
      </c>
      <c r="M609" s="535" t="s">
        <v>1532</v>
      </c>
      <c r="N609" s="139">
        <f t="shared" si="34"/>
        <v>28</v>
      </c>
      <c r="O609" s="535" t="s">
        <v>483</v>
      </c>
      <c r="P609" s="231" t="str">
        <f t="shared" si="35"/>
        <v>Reciclagem</v>
      </c>
      <c r="Q609" s="541" t="s">
        <v>1560</v>
      </c>
      <c r="R609" s="541" t="s">
        <v>1903</v>
      </c>
      <c r="S609" s="458" t="s">
        <v>485</v>
      </c>
      <c r="T609" s="458" t="s">
        <v>1538</v>
      </c>
      <c r="U609" s="458" t="s">
        <v>1539</v>
      </c>
      <c r="V609" s="458"/>
    </row>
    <row r="610" spans="1:22" ht="15.75" thickBot="1" x14ac:dyDescent="0.3">
      <c r="A610" s="93" t="s">
        <v>4580</v>
      </c>
      <c r="B610" s="93" t="s">
        <v>4580</v>
      </c>
      <c r="C610" s="424" t="str">
        <f t="shared" si="33"/>
        <v>X</v>
      </c>
      <c r="D610" s="422">
        <v>2023</v>
      </c>
      <c r="E610" s="250" t="s">
        <v>3499</v>
      </c>
      <c r="F610" s="250" t="s">
        <v>3566</v>
      </c>
      <c r="G610" s="422" t="s">
        <v>42</v>
      </c>
      <c r="H610" s="424" t="s">
        <v>42</v>
      </c>
      <c r="I610" s="522">
        <v>160119</v>
      </c>
      <c r="J610" s="425" t="str">
        <f>INDEX(aux!B:B,MATCH(I610,aux!A:A,0))</f>
        <v>Plástico</v>
      </c>
      <c r="K610" s="433" t="str">
        <f>INDEX(aux!C:C,MATCH(I610,aux!A:A,0))</f>
        <v>Não</v>
      </c>
      <c r="L610" s="360">
        <v>0.127</v>
      </c>
      <c r="M610" s="359" t="s">
        <v>1532</v>
      </c>
      <c r="N610" s="139">
        <f t="shared" si="34"/>
        <v>127</v>
      </c>
      <c r="O610" s="93" t="s">
        <v>483</v>
      </c>
      <c r="P610" s="231" t="str">
        <f t="shared" si="35"/>
        <v>Reciclagem</v>
      </c>
      <c r="Q610" s="541" t="s">
        <v>1560</v>
      </c>
      <c r="R610" s="541" t="s">
        <v>6569</v>
      </c>
      <c r="S610" s="93" t="s">
        <v>485</v>
      </c>
      <c r="T610" s="93" t="s">
        <v>3177</v>
      </c>
      <c r="U610" s="93" t="s">
        <v>3177</v>
      </c>
      <c r="V610" s="422"/>
    </row>
    <row r="611" spans="1:22" ht="15.75" hidden="1" thickBot="1" x14ac:dyDescent="0.3">
      <c r="A611" s="529" t="s">
        <v>4580</v>
      </c>
      <c r="B611" s="529" t="s">
        <v>4580</v>
      </c>
      <c r="C611" s="424" t="str">
        <f t="shared" si="33"/>
        <v>X</v>
      </c>
      <c r="D611" s="422">
        <v>2022</v>
      </c>
      <c r="E611" s="250" t="s">
        <v>3499</v>
      </c>
      <c r="F611" s="250" t="s">
        <v>3566</v>
      </c>
      <c r="G611" s="422" t="s">
        <v>42</v>
      </c>
      <c r="H611" s="424" t="s">
        <v>42</v>
      </c>
      <c r="I611" s="656">
        <v>130502</v>
      </c>
      <c r="J611" s="425" t="str">
        <f>INDEX(aux!B:B,MATCH(I611,aux!A:A,0))</f>
        <v>(*) Lamas provenientes dos separadores óleo/água</v>
      </c>
      <c r="K611" s="433" t="str">
        <f>INDEX(aux!C:C,MATCH(I611,aux!A:A,0))</f>
        <v>Sim</v>
      </c>
      <c r="L611" s="646">
        <v>10.78</v>
      </c>
      <c r="M611" s="535" t="s">
        <v>1532</v>
      </c>
      <c r="N611" s="139">
        <f t="shared" si="34"/>
        <v>10780</v>
      </c>
      <c r="O611" s="535" t="s">
        <v>483</v>
      </c>
      <c r="P611" s="231" t="str">
        <f t="shared" si="35"/>
        <v>Reciclagem</v>
      </c>
      <c r="Q611" s="541" t="s">
        <v>1901</v>
      </c>
      <c r="R611" s="541" t="s">
        <v>1892</v>
      </c>
      <c r="S611" s="458" t="s">
        <v>485</v>
      </c>
      <c r="T611" s="458" t="s">
        <v>1570</v>
      </c>
      <c r="U611" s="458" t="s">
        <v>1571</v>
      </c>
      <c r="V611" s="458"/>
    </row>
    <row r="612" spans="1:22" ht="15.75" hidden="1" thickBot="1" x14ac:dyDescent="0.3">
      <c r="A612" s="529" t="s">
        <v>4580</v>
      </c>
      <c r="B612" s="529" t="s">
        <v>4580</v>
      </c>
      <c r="C612" s="424" t="str">
        <f t="shared" si="33"/>
        <v>X</v>
      </c>
      <c r="D612" s="422">
        <v>2022</v>
      </c>
      <c r="E612" s="250" t="s">
        <v>3499</v>
      </c>
      <c r="F612" s="250" t="s">
        <v>3566</v>
      </c>
      <c r="G612" s="422" t="s">
        <v>42</v>
      </c>
      <c r="H612" s="424" t="s">
        <v>42</v>
      </c>
      <c r="I612" s="656">
        <v>130507</v>
      </c>
      <c r="J612" s="425" t="str">
        <f>INDEX(aux!B:B,MATCH(I612,aux!A:A,0))</f>
        <v>(*) Água com óleo proveniente dos separadores óleo/água</v>
      </c>
      <c r="K612" s="433" t="str">
        <f>INDEX(aux!C:C,MATCH(I612,aux!A:A,0))</f>
        <v>Sim</v>
      </c>
      <c r="L612" s="646">
        <v>6.28</v>
      </c>
      <c r="M612" s="535" t="s">
        <v>1532</v>
      </c>
      <c r="N612" s="139">
        <f t="shared" si="34"/>
        <v>6280</v>
      </c>
      <c r="O612" s="535" t="s">
        <v>483</v>
      </c>
      <c r="P612" s="231" t="str">
        <f t="shared" si="35"/>
        <v>Reciclagem</v>
      </c>
      <c r="Q612" s="541" t="s">
        <v>1901</v>
      </c>
      <c r="R612" s="541" t="s">
        <v>1892</v>
      </c>
      <c r="S612" s="458" t="s">
        <v>485</v>
      </c>
      <c r="T612" s="458" t="s">
        <v>1570</v>
      </c>
      <c r="U612" s="458" t="s">
        <v>1571</v>
      </c>
      <c r="V612" s="458"/>
    </row>
    <row r="613" spans="1:22" ht="15.75" hidden="1" thickBot="1" x14ac:dyDescent="0.3">
      <c r="A613" s="529" t="s">
        <v>4580</v>
      </c>
      <c r="B613" s="529" t="s">
        <v>4580</v>
      </c>
      <c r="C613" s="424" t="str">
        <f t="shared" si="33"/>
        <v>X</v>
      </c>
      <c r="D613" s="422">
        <v>2022</v>
      </c>
      <c r="E613" s="250" t="s">
        <v>3499</v>
      </c>
      <c r="F613" s="250" t="s">
        <v>3566</v>
      </c>
      <c r="G613" s="422" t="s">
        <v>42</v>
      </c>
      <c r="H613" s="424" t="s">
        <v>42</v>
      </c>
      <c r="I613" s="656">
        <v>150202</v>
      </c>
      <c r="J613" s="425" t="str">
        <f>INDEX(aux!B:B,MATCH(I613,aux!A:A,0))</f>
        <v>(*) Absorventes, materiais filtrantes (incluindo filtros de óleo sem outras especificações), panos de limpeza e vestuário de proteção, contaminados por substâncias perigosas</v>
      </c>
      <c r="K613" s="433" t="str">
        <f>INDEX(aux!C:C,MATCH(I613,aux!A:A,0))</f>
        <v>Sim</v>
      </c>
      <c r="L613" s="646">
        <v>0.08</v>
      </c>
      <c r="M613" s="535" t="s">
        <v>1532</v>
      </c>
      <c r="N613" s="139">
        <f t="shared" si="34"/>
        <v>80</v>
      </c>
      <c r="O613" s="535" t="s">
        <v>484</v>
      </c>
      <c r="P613" s="231" t="str">
        <f t="shared" si="35"/>
        <v>Reciclagem</v>
      </c>
      <c r="Q613" s="541" t="s">
        <v>1901</v>
      </c>
      <c r="R613" s="541" t="s">
        <v>1892</v>
      </c>
      <c r="S613" s="458" t="s">
        <v>1553</v>
      </c>
      <c r="T613" s="458" t="s">
        <v>1538</v>
      </c>
      <c r="U613" s="458" t="s">
        <v>1539</v>
      </c>
      <c r="V613" s="458"/>
    </row>
    <row r="614" spans="1:22" ht="15.75" hidden="1" thickBot="1" x14ac:dyDescent="0.3">
      <c r="A614" s="529" t="s">
        <v>4580</v>
      </c>
      <c r="B614" s="529" t="s">
        <v>4580</v>
      </c>
      <c r="C614" s="424" t="str">
        <f t="shared" si="33"/>
        <v>X</v>
      </c>
      <c r="D614" s="422">
        <v>2022</v>
      </c>
      <c r="E614" s="250" t="s">
        <v>3499</v>
      </c>
      <c r="F614" s="250" t="s">
        <v>3566</v>
      </c>
      <c r="G614" s="422" t="s">
        <v>42</v>
      </c>
      <c r="H614" s="424" t="s">
        <v>42</v>
      </c>
      <c r="I614" s="656">
        <v>150203</v>
      </c>
      <c r="J614" s="425" t="str">
        <f>INDEX(aux!B:B,MATCH(I614,aux!A:A,0))</f>
        <v>Absorventes, materiais filtrantes, panos de limpeza e vestuário de proteção não abrangidos em 15 02 02</v>
      </c>
      <c r="K614" s="433" t="str">
        <f>INDEX(aux!C:C,MATCH(I614,aux!A:A,0))</f>
        <v>Não</v>
      </c>
      <c r="L614" s="646">
        <v>0.2</v>
      </c>
      <c r="M614" s="535" t="s">
        <v>1532</v>
      </c>
      <c r="N614" s="139">
        <f t="shared" si="34"/>
        <v>200</v>
      </c>
      <c r="O614" s="535" t="s">
        <v>483</v>
      </c>
      <c r="P614" s="231" t="str">
        <f t="shared" si="35"/>
        <v>Reciclagem</v>
      </c>
      <c r="Q614" s="541" t="s">
        <v>1901</v>
      </c>
      <c r="R614" s="541" t="s">
        <v>1892</v>
      </c>
      <c r="S614" s="458" t="s">
        <v>485</v>
      </c>
      <c r="T614" s="458" t="s">
        <v>1538</v>
      </c>
      <c r="U614" s="458" t="s">
        <v>1539</v>
      </c>
      <c r="V614" s="458"/>
    </row>
    <row r="615" spans="1:22" ht="15.75" hidden="1" thickBot="1" x14ac:dyDescent="0.3">
      <c r="A615" s="529" t="s">
        <v>4580</v>
      </c>
      <c r="B615" s="529" t="s">
        <v>4580</v>
      </c>
      <c r="C615" s="424" t="str">
        <f t="shared" si="33"/>
        <v>X</v>
      </c>
      <c r="D615" s="422">
        <v>2022</v>
      </c>
      <c r="E615" s="250" t="s">
        <v>3499</v>
      </c>
      <c r="F615" s="250" t="s">
        <v>3566</v>
      </c>
      <c r="G615" s="422" t="s">
        <v>42</v>
      </c>
      <c r="H615" s="424" t="s">
        <v>42</v>
      </c>
      <c r="I615" s="656">
        <v>160107</v>
      </c>
      <c r="J615" s="425" t="str">
        <f>INDEX(aux!B:B,MATCH(I615,aux!A:A,0))</f>
        <v>(*) Filtros de óleo</v>
      </c>
      <c r="K615" s="433" t="str">
        <f>INDEX(aux!C:C,MATCH(I615,aux!A:A,0))</f>
        <v>Sim</v>
      </c>
      <c r="L615" s="646">
        <v>0.20799999999999999</v>
      </c>
      <c r="M615" s="535" t="s">
        <v>1532</v>
      </c>
      <c r="N615" s="139">
        <f t="shared" si="34"/>
        <v>208</v>
      </c>
      <c r="O615" s="535" t="s">
        <v>484</v>
      </c>
      <c r="P615" s="231" t="str">
        <f t="shared" si="35"/>
        <v>Reciclagem</v>
      </c>
      <c r="Q615" s="541" t="s">
        <v>1901</v>
      </c>
      <c r="R615" s="541" t="s">
        <v>1892</v>
      </c>
      <c r="S615" s="458" t="s">
        <v>1553</v>
      </c>
      <c r="T615" s="458" t="s">
        <v>1538</v>
      </c>
      <c r="U615" s="458" t="s">
        <v>1539</v>
      </c>
      <c r="V615" s="458"/>
    </row>
    <row r="616" spans="1:22" ht="15.75" hidden="1" thickBot="1" x14ac:dyDescent="0.3">
      <c r="A616" s="529" t="s">
        <v>4580</v>
      </c>
      <c r="B616" s="529" t="s">
        <v>4580</v>
      </c>
      <c r="C616" s="424" t="str">
        <f t="shared" si="33"/>
        <v>X</v>
      </c>
      <c r="D616" s="422">
        <v>2022</v>
      </c>
      <c r="E616" s="250" t="s">
        <v>3499</v>
      </c>
      <c r="F616" s="250" t="s">
        <v>3566</v>
      </c>
      <c r="G616" s="422" t="s">
        <v>42</v>
      </c>
      <c r="H616" s="424" t="s">
        <v>42</v>
      </c>
      <c r="I616" s="660">
        <v>160199</v>
      </c>
      <c r="J616" s="425" t="str">
        <f>INDEX(aux!B:B,MATCH(I616,aux!A:A,0))</f>
        <v>Resíduos sem outras especificações</v>
      </c>
      <c r="K616" s="433" t="str">
        <f>INDEX(aux!C:C,MATCH(I616,aux!A:A,0))</f>
        <v>Não</v>
      </c>
      <c r="L616" s="646">
        <v>0.34</v>
      </c>
      <c r="M616" s="535" t="s">
        <v>1532</v>
      </c>
      <c r="N616" s="139">
        <f t="shared" si="34"/>
        <v>340</v>
      </c>
      <c r="O616" s="535" t="s">
        <v>483</v>
      </c>
      <c r="P616" s="231" t="str">
        <f t="shared" si="35"/>
        <v>Reciclagem</v>
      </c>
      <c r="Q616" s="541" t="s">
        <v>1901</v>
      </c>
      <c r="R616" s="541" t="s">
        <v>1892</v>
      </c>
      <c r="S616" s="458" t="s">
        <v>485</v>
      </c>
      <c r="T616" s="458" t="s">
        <v>1538</v>
      </c>
      <c r="U616" s="458" t="s">
        <v>1539</v>
      </c>
      <c r="V616" s="458"/>
    </row>
    <row r="617" spans="1:22" ht="15.75" thickBot="1" x14ac:dyDescent="0.3">
      <c r="A617" s="422" t="s">
        <v>4580</v>
      </c>
      <c r="B617" s="422" t="s">
        <v>4580</v>
      </c>
      <c r="C617" s="424" t="str">
        <f t="shared" si="33"/>
        <v>X</v>
      </c>
      <c r="D617" s="422">
        <v>2023</v>
      </c>
      <c r="E617" s="250" t="s">
        <v>3499</v>
      </c>
      <c r="F617" s="250" t="s">
        <v>3566</v>
      </c>
      <c r="G617" s="422" t="s">
        <v>42</v>
      </c>
      <c r="H617" s="424" t="s">
        <v>42</v>
      </c>
      <c r="I617" s="487">
        <v>200121</v>
      </c>
      <c r="J617" s="425" t="str">
        <f>INDEX(aux!B:B,MATCH(I617,aux!A:A,0))</f>
        <v>(*) Lâmpadas fluorescentes e outros resíduos contendo mercúrio</v>
      </c>
      <c r="K617" s="433" t="str">
        <f>INDEX(aux!C:C,MATCH(I617,aux!A:A,0))</f>
        <v>Sim</v>
      </c>
      <c r="L617" s="259">
        <v>1.6E-2</v>
      </c>
      <c r="M617" s="428" t="s">
        <v>1532</v>
      </c>
      <c r="N617" s="139">
        <f t="shared" si="34"/>
        <v>16</v>
      </c>
      <c r="O617" s="422" t="s">
        <v>484</v>
      </c>
      <c r="P617" s="231" t="str">
        <f t="shared" si="35"/>
        <v>Reciclagem</v>
      </c>
      <c r="Q617" s="541" t="s">
        <v>1901</v>
      </c>
      <c r="R617" s="541" t="s">
        <v>1892</v>
      </c>
      <c r="S617" s="93" t="s">
        <v>1553</v>
      </c>
      <c r="T617" s="93" t="s">
        <v>3177</v>
      </c>
      <c r="U617" s="93" t="s">
        <v>3177</v>
      </c>
      <c r="V617" s="93"/>
    </row>
    <row r="618" spans="1:22" ht="15.75" thickBot="1" x14ac:dyDescent="0.3">
      <c r="A618" s="422" t="s">
        <v>4580</v>
      </c>
      <c r="B618" s="422" t="s">
        <v>4580</v>
      </c>
      <c r="C618" s="424" t="str">
        <f t="shared" si="33"/>
        <v>X</v>
      </c>
      <c r="D618" s="422">
        <v>2023</v>
      </c>
      <c r="E618" s="250" t="s">
        <v>3499</v>
      </c>
      <c r="F618" s="250" t="s">
        <v>3566</v>
      </c>
      <c r="G618" s="422" t="s">
        <v>42</v>
      </c>
      <c r="H618" s="424" t="s">
        <v>42</v>
      </c>
      <c r="I618" s="487">
        <v>160121</v>
      </c>
      <c r="J618" s="425" t="str">
        <f>INDEX(aux!B:B,MATCH(I618,aux!A:A,0))</f>
        <v>(*) Componentes perigosos não abrangidos em 16 01 07 a 16 01 11, 16 01 13 e 16 01 14</v>
      </c>
      <c r="K618" s="433" t="str">
        <f>INDEX(aux!C:C,MATCH(I618,aux!A:A,0))</f>
        <v>Sim</v>
      </c>
      <c r="L618" s="259">
        <v>0.33600000000000002</v>
      </c>
      <c r="M618" s="428" t="s">
        <v>1532</v>
      </c>
      <c r="N618" s="139">
        <f t="shared" si="34"/>
        <v>336</v>
      </c>
      <c r="O618" s="422" t="s">
        <v>484</v>
      </c>
      <c r="P618" s="231" t="str">
        <f t="shared" si="35"/>
        <v>Reciclagem</v>
      </c>
      <c r="Q618" s="541" t="s">
        <v>1901</v>
      </c>
      <c r="R618" s="541" t="s">
        <v>1892</v>
      </c>
      <c r="S618" s="422" t="s">
        <v>1553</v>
      </c>
      <c r="T618" s="422" t="s">
        <v>3177</v>
      </c>
      <c r="U618" s="422" t="s">
        <v>3177</v>
      </c>
      <c r="V618" s="422"/>
    </row>
    <row r="619" spans="1:22" ht="15.75" thickBot="1" x14ac:dyDescent="0.3">
      <c r="A619" s="93" t="s">
        <v>4580</v>
      </c>
      <c r="B619" s="93" t="s">
        <v>4580</v>
      </c>
      <c r="C619" s="424" t="str">
        <f t="shared" si="33"/>
        <v>X</v>
      </c>
      <c r="D619" s="422">
        <v>2023</v>
      </c>
      <c r="E619" s="250" t="s">
        <v>3499</v>
      </c>
      <c r="F619" s="250" t="s">
        <v>3566</v>
      </c>
      <c r="G619" s="422" t="s">
        <v>42</v>
      </c>
      <c r="H619" s="424" t="s">
        <v>42</v>
      </c>
      <c r="I619" s="522">
        <v>130502</v>
      </c>
      <c r="J619" s="425" t="str">
        <f>INDEX(aux!B:B,MATCH(I619,aux!A:A,0))</f>
        <v>(*) Lamas provenientes dos separadores óleo/água</v>
      </c>
      <c r="K619" s="433" t="str">
        <f>INDEX(aux!C:C,MATCH(I619,aux!A:A,0))</f>
        <v>Sim</v>
      </c>
      <c r="L619" s="360">
        <v>7.14</v>
      </c>
      <c r="M619" s="359" t="s">
        <v>1532</v>
      </c>
      <c r="N619" s="139">
        <f t="shared" si="34"/>
        <v>7140</v>
      </c>
      <c r="O619" s="93" t="s">
        <v>483</v>
      </c>
      <c r="P619" s="231" t="str">
        <f t="shared" si="35"/>
        <v>Reciclagem</v>
      </c>
      <c r="Q619" s="541" t="s">
        <v>1901</v>
      </c>
      <c r="R619" s="541" t="s">
        <v>1892</v>
      </c>
      <c r="S619" s="93" t="s">
        <v>485</v>
      </c>
      <c r="T619" s="93" t="s">
        <v>6258</v>
      </c>
      <c r="U619" s="93" t="s">
        <v>6258</v>
      </c>
      <c r="V619" s="93"/>
    </row>
    <row r="620" spans="1:22" ht="15.75" thickBot="1" x14ac:dyDescent="0.3">
      <c r="A620" s="422" t="s">
        <v>4580</v>
      </c>
      <c r="B620" s="422" t="s">
        <v>4580</v>
      </c>
      <c r="C620" s="424" t="str">
        <f t="shared" si="33"/>
        <v>X</v>
      </c>
      <c r="D620" s="422">
        <v>2023</v>
      </c>
      <c r="E620" s="250" t="s">
        <v>3499</v>
      </c>
      <c r="F620" s="250" t="s">
        <v>3566</v>
      </c>
      <c r="G620" s="422" t="s">
        <v>42</v>
      </c>
      <c r="H620" s="424" t="s">
        <v>42</v>
      </c>
      <c r="I620" s="487">
        <v>160199</v>
      </c>
      <c r="J620" s="425" t="str">
        <f>INDEX(aux!B:B,MATCH(I620,aux!A:A,0))</f>
        <v>Resíduos sem outras especificações</v>
      </c>
      <c r="K620" s="433" t="str">
        <f>INDEX(aux!C:C,MATCH(I620,aux!A:A,0))</f>
        <v>Não</v>
      </c>
      <c r="L620" s="259">
        <v>0.85</v>
      </c>
      <c r="M620" s="428" t="s">
        <v>1532</v>
      </c>
      <c r="N620" s="139">
        <f t="shared" si="34"/>
        <v>850</v>
      </c>
      <c r="O620" s="422" t="s">
        <v>483</v>
      </c>
      <c r="P620" s="231" t="str">
        <f t="shared" si="35"/>
        <v>Reciclagem</v>
      </c>
      <c r="Q620" s="541" t="s">
        <v>1901</v>
      </c>
      <c r="R620" s="541" t="s">
        <v>1892</v>
      </c>
      <c r="S620" s="93" t="s">
        <v>485</v>
      </c>
      <c r="T620" s="93" t="s">
        <v>3177</v>
      </c>
      <c r="U620" s="93" t="s">
        <v>3177</v>
      </c>
      <c r="V620" s="93"/>
    </row>
    <row r="621" spans="1:22" ht="15.75" thickBot="1" x14ac:dyDescent="0.3">
      <c r="A621" s="93" t="s">
        <v>4580</v>
      </c>
      <c r="B621" s="93" t="s">
        <v>4580</v>
      </c>
      <c r="C621" s="424" t="str">
        <f t="shared" si="33"/>
        <v>X</v>
      </c>
      <c r="D621" s="422">
        <v>2023</v>
      </c>
      <c r="E621" s="250" t="s">
        <v>3499</v>
      </c>
      <c r="F621" s="250" t="s">
        <v>3566</v>
      </c>
      <c r="G621" s="422" t="s">
        <v>42</v>
      </c>
      <c r="H621" s="424" t="s">
        <v>42</v>
      </c>
      <c r="I621" s="522">
        <v>130507</v>
      </c>
      <c r="J621" s="425" t="str">
        <f>INDEX(aux!B:B,MATCH(I621,aux!A:A,0))</f>
        <v>(*) Água com óleo proveniente dos separadores óleo/água</v>
      </c>
      <c r="K621" s="433" t="str">
        <f>INDEX(aux!C:C,MATCH(I621,aux!A:A,0))</f>
        <v>Sim</v>
      </c>
      <c r="L621" s="360">
        <v>3.42</v>
      </c>
      <c r="M621" s="359" t="s">
        <v>1532</v>
      </c>
      <c r="N621" s="139">
        <f t="shared" si="34"/>
        <v>3420</v>
      </c>
      <c r="O621" s="93" t="s">
        <v>483</v>
      </c>
      <c r="P621" s="231" t="str">
        <f t="shared" si="35"/>
        <v>Reciclagem</v>
      </c>
      <c r="Q621" s="541" t="s">
        <v>1901</v>
      </c>
      <c r="R621" s="541" t="s">
        <v>1892</v>
      </c>
      <c r="S621" s="93" t="s">
        <v>485</v>
      </c>
      <c r="T621" s="93" t="s">
        <v>6258</v>
      </c>
      <c r="U621" s="93" t="s">
        <v>6258</v>
      </c>
      <c r="V621" s="93"/>
    </row>
    <row r="622" spans="1:22" ht="15.75" thickBot="1" x14ac:dyDescent="0.3">
      <c r="A622" s="93" t="s">
        <v>4580</v>
      </c>
      <c r="B622" s="93" t="s">
        <v>4580</v>
      </c>
      <c r="C622" s="424" t="str">
        <f t="shared" si="33"/>
        <v>X</v>
      </c>
      <c r="D622" s="422">
        <v>2023</v>
      </c>
      <c r="E622" s="250" t="s">
        <v>3499</v>
      </c>
      <c r="F622" s="250" t="s">
        <v>3566</v>
      </c>
      <c r="G622" s="422" t="s">
        <v>42</v>
      </c>
      <c r="H622" s="424" t="s">
        <v>42</v>
      </c>
      <c r="I622" s="522">
        <v>150203</v>
      </c>
      <c r="J622" s="425" t="str">
        <f>INDEX(aux!B:B,MATCH(I622,aux!A:A,0))</f>
        <v>Absorventes, materiais filtrantes, panos de limpeza e vestuário de proteção não abrangidos em 15 02 02</v>
      </c>
      <c r="K622" s="433" t="str">
        <f>INDEX(aux!C:C,MATCH(I622,aux!A:A,0))</f>
        <v>Não</v>
      </c>
      <c r="L622" s="360">
        <v>0.6</v>
      </c>
      <c r="M622" s="359" t="s">
        <v>1532</v>
      </c>
      <c r="N622" s="139">
        <f t="shared" si="34"/>
        <v>600</v>
      </c>
      <c r="O622" s="93" t="s">
        <v>483</v>
      </c>
      <c r="P622" s="231" t="str">
        <f t="shared" si="35"/>
        <v>Reciclagem</v>
      </c>
      <c r="Q622" s="541" t="s">
        <v>1901</v>
      </c>
      <c r="R622" s="541" t="s">
        <v>1892</v>
      </c>
      <c r="S622" s="93" t="s">
        <v>485</v>
      </c>
      <c r="T622" s="93" t="s">
        <v>3177</v>
      </c>
      <c r="U622" s="93" t="s">
        <v>3177</v>
      </c>
      <c r="V622" s="93"/>
    </row>
    <row r="623" spans="1:22" ht="15.75" thickBot="1" x14ac:dyDescent="0.3">
      <c r="A623" s="93" t="s">
        <v>4580</v>
      </c>
      <c r="B623" s="93" t="s">
        <v>4580</v>
      </c>
      <c r="C623" s="424" t="str">
        <f t="shared" ref="C623:C686" si="36">IF(A623=B623,"X",RIGHT(A623,LEN(A623)-LEN(B623)-3))</f>
        <v>X</v>
      </c>
      <c r="D623" s="422">
        <v>2023</v>
      </c>
      <c r="E623" s="250" t="s">
        <v>3499</v>
      </c>
      <c r="F623" s="250" t="s">
        <v>3566</v>
      </c>
      <c r="G623" s="422" t="s">
        <v>42</v>
      </c>
      <c r="H623" s="424" t="s">
        <v>42</v>
      </c>
      <c r="I623" s="522">
        <v>150202</v>
      </c>
      <c r="J623" s="425" t="str">
        <f>INDEX(aux!B:B,MATCH(I623,aux!A:A,0))</f>
        <v>(*) Absorventes, materiais filtrantes (incluindo filtros de óleo sem outras especificações), panos de limpeza e vestuário de proteção, contaminados por substâncias perigosas</v>
      </c>
      <c r="K623" s="433" t="str">
        <f>INDEX(aux!C:C,MATCH(I623,aux!A:A,0))</f>
        <v>Sim</v>
      </c>
      <c r="L623" s="360">
        <v>0.24</v>
      </c>
      <c r="M623" s="359" t="s">
        <v>1532</v>
      </c>
      <c r="N623" s="139">
        <f t="shared" si="34"/>
        <v>240</v>
      </c>
      <c r="O623" s="93" t="s">
        <v>484</v>
      </c>
      <c r="P623" s="231" t="str">
        <f t="shared" si="35"/>
        <v>Reciclagem</v>
      </c>
      <c r="Q623" s="541" t="s">
        <v>1901</v>
      </c>
      <c r="R623" s="541" t="s">
        <v>1892</v>
      </c>
      <c r="S623" s="93" t="s">
        <v>1553</v>
      </c>
      <c r="T623" s="93" t="s">
        <v>3177</v>
      </c>
      <c r="U623" s="93" t="s">
        <v>3177</v>
      </c>
      <c r="V623" s="93"/>
    </row>
    <row r="624" spans="1:22" ht="15.75" thickBot="1" x14ac:dyDescent="0.3">
      <c r="A624" s="422" t="s">
        <v>4580</v>
      </c>
      <c r="B624" s="93" t="s">
        <v>4580</v>
      </c>
      <c r="C624" s="424" t="str">
        <f t="shared" si="36"/>
        <v>X</v>
      </c>
      <c r="D624" s="422">
        <v>2023</v>
      </c>
      <c r="E624" s="250" t="s">
        <v>3499</v>
      </c>
      <c r="F624" s="250" t="s">
        <v>3566</v>
      </c>
      <c r="G624" s="422" t="s">
        <v>42</v>
      </c>
      <c r="H624" s="424" t="s">
        <v>42</v>
      </c>
      <c r="I624" s="522">
        <v>160107</v>
      </c>
      <c r="J624" s="425" t="str">
        <f>INDEX(aux!B:B,MATCH(I624,aux!A:A,0))</f>
        <v>(*) Filtros de óleo</v>
      </c>
      <c r="K624" s="433" t="str">
        <f>INDEX(aux!C:C,MATCH(I624,aux!A:A,0))</f>
        <v>Sim</v>
      </c>
      <c r="L624" s="360">
        <v>0.52</v>
      </c>
      <c r="M624" s="359" t="s">
        <v>1532</v>
      </c>
      <c r="N624" s="139">
        <f t="shared" si="34"/>
        <v>520</v>
      </c>
      <c r="O624" s="93" t="s">
        <v>484</v>
      </c>
      <c r="P624" s="231" t="str">
        <f t="shared" si="35"/>
        <v>Reciclagem</v>
      </c>
      <c r="Q624" s="541" t="s">
        <v>1901</v>
      </c>
      <c r="R624" s="541" t="s">
        <v>1892</v>
      </c>
      <c r="S624" s="93" t="s">
        <v>1553</v>
      </c>
      <c r="T624" s="93" t="s">
        <v>3177</v>
      </c>
      <c r="U624" s="93" t="s">
        <v>3177</v>
      </c>
      <c r="V624" s="93"/>
    </row>
    <row r="625" spans="1:22" ht="15.75" thickBot="1" x14ac:dyDescent="0.3">
      <c r="A625" s="93" t="s">
        <v>4580</v>
      </c>
      <c r="B625" s="93" t="s">
        <v>4580</v>
      </c>
      <c r="C625" s="424" t="str">
        <f t="shared" si="36"/>
        <v>X</v>
      </c>
      <c r="D625" s="422">
        <v>2023</v>
      </c>
      <c r="E625" s="250" t="s">
        <v>3499</v>
      </c>
      <c r="F625" s="250" t="s">
        <v>3566</v>
      </c>
      <c r="G625" s="422" t="s">
        <v>42</v>
      </c>
      <c r="H625" s="424" t="s">
        <v>42</v>
      </c>
      <c r="I625" s="522">
        <v>160120</v>
      </c>
      <c r="J625" s="425" t="str">
        <f>INDEX(aux!B:B,MATCH(I625,aux!A:A,0))</f>
        <v>Vidro</v>
      </c>
      <c r="K625" s="433" t="str">
        <f>INDEX(aux!C:C,MATCH(I625,aux!A:A,0))</f>
        <v>Não</v>
      </c>
      <c r="L625" s="360">
        <v>0.374</v>
      </c>
      <c r="M625" s="359" t="s">
        <v>1532</v>
      </c>
      <c r="N625" s="139">
        <f t="shared" si="34"/>
        <v>374</v>
      </c>
      <c r="O625" s="93" t="s">
        <v>483</v>
      </c>
      <c r="P625" s="231" t="str">
        <f t="shared" si="35"/>
        <v>Reciclagem</v>
      </c>
      <c r="Q625" s="541" t="s">
        <v>1561</v>
      </c>
      <c r="R625" s="541" t="s">
        <v>6569</v>
      </c>
      <c r="S625" s="93" t="s">
        <v>485</v>
      </c>
      <c r="T625" s="93" t="s">
        <v>3177</v>
      </c>
      <c r="U625" s="93" t="s">
        <v>3177</v>
      </c>
      <c r="V625" s="93"/>
    </row>
    <row r="626" spans="1:22" ht="15.75" hidden="1" thickBot="1" x14ac:dyDescent="0.3">
      <c r="A626" s="529" t="s">
        <v>4595</v>
      </c>
      <c r="B626" s="529" t="s">
        <v>4595</v>
      </c>
      <c r="C626" s="424" t="str">
        <f t="shared" si="36"/>
        <v>X</v>
      </c>
      <c r="D626" s="422">
        <v>2022</v>
      </c>
      <c r="E626" s="250" t="s">
        <v>3499</v>
      </c>
      <c r="F626" s="250" t="s">
        <v>3566</v>
      </c>
      <c r="G626" s="422" t="s">
        <v>42</v>
      </c>
      <c r="H626" s="424" t="s">
        <v>42</v>
      </c>
      <c r="I626" s="532">
        <v>160601</v>
      </c>
      <c r="J626" s="425" t="str">
        <f>INDEX(aux!B:B,MATCH(I626,aux!A:A,0))</f>
        <v>(*) Acumuladores de chumbo</v>
      </c>
      <c r="K626" s="433" t="str">
        <f>INDEX(aux!C:C,MATCH(I626,aux!A:A,0))</f>
        <v>Sim</v>
      </c>
      <c r="L626" s="646">
        <v>4411</v>
      </c>
      <c r="M626" s="535" t="s">
        <v>557</v>
      </c>
      <c r="N626" s="139">
        <f t="shared" si="34"/>
        <v>4411</v>
      </c>
      <c r="O626" s="538" t="s">
        <v>484</v>
      </c>
      <c r="P626" s="231" t="str">
        <f t="shared" si="35"/>
        <v>Reciclagem</v>
      </c>
      <c r="Q626" s="541" t="s">
        <v>1653</v>
      </c>
      <c r="R626" s="541" t="s">
        <v>1877</v>
      </c>
      <c r="S626" s="528" t="str">
        <f>IFERROR(INDEX(Tabela3[Tipos de Tratamento],MATCH('A3.9.1 copy'!O411,Tabela3[Código],0)),"")</f>
        <v xml:space="preserve">Troca de resíduos com vista a submetê-los a uma das operações enumeradas de R 1 a R 11 </v>
      </c>
      <c r="T626" s="458" t="s">
        <v>3269</v>
      </c>
      <c r="U626" s="458" t="s">
        <v>3269</v>
      </c>
      <c r="V626" s="93"/>
    </row>
    <row r="627" spans="1:22" ht="15.75" thickBot="1" x14ac:dyDescent="0.3">
      <c r="A627" s="93" t="s">
        <v>4595</v>
      </c>
      <c r="B627" s="93" t="s">
        <v>4595</v>
      </c>
      <c r="C627" s="424" t="str">
        <f t="shared" si="36"/>
        <v>X</v>
      </c>
      <c r="D627" s="422">
        <v>2023</v>
      </c>
      <c r="E627" s="250" t="s">
        <v>3499</v>
      </c>
      <c r="F627" s="250" t="s">
        <v>3566</v>
      </c>
      <c r="G627" s="422" t="s">
        <v>42</v>
      </c>
      <c r="H627" s="424" t="s">
        <v>42</v>
      </c>
      <c r="I627" s="522">
        <v>160601</v>
      </c>
      <c r="J627" s="425" t="str">
        <f>INDEX(aux!B:B,MATCH(I627,aux!A:A,0))</f>
        <v>(*) Acumuladores de chumbo</v>
      </c>
      <c r="K627" s="433" t="str">
        <f>INDEX(aux!C:C,MATCH(I627,aux!A:A,0))</f>
        <v>Sim</v>
      </c>
      <c r="L627" s="360">
        <v>5935</v>
      </c>
      <c r="M627" s="359" t="s">
        <v>557</v>
      </c>
      <c r="N627" s="139">
        <f t="shared" si="34"/>
        <v>5935</v>
      </c>
      <c r="O627" s="93" t="s">
        <v>484</v>
      </c>
      <c r="P627" s="231" t="str">
        <f t="shared" si="35"/>
        <v>Reciclagem</v>
      </c>
      <c r="Q627" s="541" t="s">
        <v>1653</v>
      </c>
      <c r="R627" s="541" t="s">
        <v>1877</v>
      </c>
      <c r="S627" s="544" t="s">
        <v>1553</v>
      </c>
      <c r="T627" s="93" t="s">
        <v>3269</v>
      </c>
      <c r="U627" s="93" t="s">
        <v>3269</v>
      </c>
      <c r="V627" s="93"/>
    </row>
    <row r="628" spans="1:22" ht="15.75" hidden="1" thickBot="1" x14ac:dyDescent="0.3">
      <c r="A628" s="529" t="s">
        <v>4595</v>
      </c>
      <c r="B628" s="529" t="s">
        <v>4595</v>
      </c>
      <c r="C628" s="424" t="str">
        <f t="shared" si="36"/>
        <v>X</v>
      </c>
      <c r="D628" s="422">
        <v>2022</v>
      </c>
      <c r="E628" s="250" t="s">
        <v>3499</v>
      </c>
      <c r="F628" s="250" t="s">
        <v>3566</v>
      </c>
      <c r="G628" s="422" t="s">
        <v>42</v>
      </c>
      <c r="H628" s="424" t="s">
        <v>42</v>
      </c>
      <c r="I628" s="532">
        <v>200136</v>
      </c>
      <c r="J628" s="425" t="str">
        <f>INDEX(aux!B:B,MATCH(I628,aux!A:A,0))</f>
        <v>Equipamento elétrico e eletrónico fora de uso não abrangido em 20 01 21, 20 01 23 ou 20 01 35</v>
      </c>
      <c r="K628" s="433" t="str">
        <f>INDEX(aux!C:C,MATCH(I628,aux!A:A,0))</f>
        <v>Não</v>
      </c>
      <c r="L628" s="646">
        <v>216</v>
      </c>
      <c r="M628" s="535" t="s">
        <v>557</v>
      </c>
      <c r="N628" s="139">
        <f t="shared" si="34"/>
        <v>216</v>
      </c>
      <c r="O628" s="538" t="s">
        <v>484</v>
      </c>
      <c r="P628" s="231" t="str">
        <f t="shared" si="35"/>
        <v>Reciclagem</v>
      </c>
      <c r="Q628" s="541" t="s">
        <v>1909</v>
      </c>
      <c r="R628" s="541" t="s">
        <v>1877</v>
      </c>
      <c r="S628" s="528" t="str">
        <f>IFERROR(INDEX(Tabela3[Tipos de Tratamento],MATCH('A3.9.1 copy'!O414,Tabela3[Código],0)),"")</f>
        <v xml:space="preserve">Troca de resíduos com vista a submetê-los a uma das operações enumeradas de R 1 a R 11 </v>
      </c>
      <c r="T628" s="458" t="s">
        <v>3263</v>
      </c>
      <c r="U628" s="458" t="s">
        <v>3266</v>
      </c>
      <c r="V628" s="93"/>
    </row>
    <row r="629" spans="1:22" ht="15.75" thickBot="1" x14ac:dyDescent="0.3">
      <c r="A629" s="93" t="s">
        <v>4595</v>
      </c>
      <c r="B629" s="93" t="s">
        <v>4595</v>
      </c>
      <c r="C629" s="424" t="str">
        <f t="shared" si="36"/>
        <v>X</v>
      </c>
      <c r="D629" s="422">
        <v>2023</v>
      </c>
      <c r="E629" s="250" t="s">
        <v>3499</v>
      </c>
      <c r="F629" s="250" t="s">
        <v>3566</v>
      </c>
      <c r="G629" s="422" t="s">
        <v>42</v>
      </c>
      <c r="H629" s="424" t="s">
        <v>42</v>
      </c>
      <c r="I629" s="522">
        <v>200136</v>
      </c>
      <c r="J629" s="425" t="str">
        <f>INDEX(aux!B:B,MATCH(I629,aux!A:A,0))</f>
        <v>Equipamento elétrico e eletrónico fora de uso não abrangido em 20 01 21, 20 01 23 ou 20 01 35</v>
      </c>
      <c r="K629" s="433" t="str">
        <f>INDEX(aux!C:C,MATCH(I629,aux!A:A,0))</f>
        <v>Não</v>
      </c>
      <c r="L629" s="360">
        <v>249</v>
      </c>
      <c r="M629" s="359" t="s">
        <v>557</v>
      </c>
      <c r="N629" s="139">
        <f t="shared" si="34"/>
        <v>249</v>
      </c>
      <c r="O629" s="93" t="s">
        <v>484</v>
      </c>
      <c r="P629" s="231" t="str">
        <f t="shared" si="35"/>
        <v>Reciclagem</v>
      </c>
      <c r="Q629" s="541" t="s">
        <v>1909</v>
      </c>
      <c r="R629" s="541" t="s">
        <v>1877</v>
      </c>
      <c r="S629" s="544" t="s">
        <v>1553</v>
      </c>
      <c r="T629" s="93" t="s">
        <v>3263</v>
      </c>
      <c r="U629" s="93" t="s">
        <v>6297</v>
      </c>
      <c r="V629" s="93"/>
    </row>
    <row r="630" spans="1:22" ht="15.75" hidden="1" thickBot="1" x14ac:dyDescent="0.3">
      <c r="A630" s="529" t="s">
        <v>4595</v>
      </c>
      <c r="B630" s="529" t="s">
        <v>4595</v>
      </c>
      <c r="C630" s="424" t="str">
        <f t="shared" si="36"/>
        <v>X</v>
      </c>
      <c r="D630" s="422">
        <v>2022</v>
      </c>
      <c r="E630" s="250" t="s">
        <v>3499</v>
      </c>
      <c r="F630" s="250" t="s">
        <v>3566</v>
      </c>
      <c r="G630" s="422" t="s">
        <v>42</v>
      </c>
      <c r="H630" s="424" t="s">
        <v>42</v>
      </c>
      <c r="I630" s="532">
        <v>160112</v>
      </c>
      <c r="J630" s="425" t="str">
        <f>INDEX(aux!B:B,MATCH(I630,aux!A:A,0))</f>
        <v>Pastilhas de travões não abrangidas em 16 01 11</v>
      </c>
      <c r="K630" s="433" t="str">
        <f>INDEX(aux!C:C,MATCH(I630,aux!A:A,0))</f>
        <v>Não</v>
      </c>
      <c r="L630" s="646">
        <v>2093</v>
      </c>
      <c r="M630" s="535" t="s">
        <v>557</v>
      </c>
      <c r="N630" s="139">
        <f t="shared" si="34"/>
        <v>2093</v>
      </c>
      <c r="O630" s="538" t="s">
        <v>509</v>
      </c>
      <c r="P630" s="231" t="str">
        <f t="shared" si="35"/>
        <v>Aterro</v>
      </c>
      <c r="Q630" s="541" t="s">
        <v>1557</v>
      </c>
      <c r="R630" s="541" t="s">
        <v>1903</v>
      </c>
      <c r="S630" s="528" t="str">
        <f>IFERROR(INDEX(Tabela3[Tipos de Tratamento],MATCH('A3.9.1 copy'!O406,Tabela3[Código],0)),"")</f>
        <v>Armazenagem enquanto se aguarda a execução de uma das operações enumeradas de D1 a D14</v>
      </c>
      <c r="T630" s="458" t="s">
        <v>3263</v>
      </c>
      <c r="U630" s="458" t="s">
        <v>3266</v>
      </c>
      <c r="V630" s="93"/>
    </row>
    <row r="631" spans="1:22" ht="15.75" hidden="1" thickBot="1" x14ac:dyDescent="0.3">
      <c r="A631" s="529" t="s">
        <v>4595</v>
      </c>
      <c r="B631" s="529" t="s">
        <v>4595</v>
      </c>
      <c r="C631" s="424" t="str">
        <f t="shared" si="36"/>
        <v>X</v>
      </c>
      <c r="D631" s="422">
        <v>2022</v>
      </c>
      <c r="E631" s="250" t="s">
        <v>3499</v>
      </c>
      <c r="F631" s="250" t="s">
        <v>3566</v>
      </c>
      <c r="G631" s="422" t="s">
        <v>42</v>
      </c>
      <c r="H631" s="424" t="s">
        <v>42</v>
      </c>
      <c r="I631" s="532">
        <v>160117</v>
      </c>
      <c r="J631" s="425" t="str">
        <f>INDEX(aux!B:B,MATCH(I631,aux!A:A,0))</f>
        <v>Metais ferrosos</v>
      </c>
      <c r="K631" s="433" t="str">
        <f>INDEX(aux!C:C,MATCH(I631,aux!A:A,0))</f>
        <v>Não</v>
      </c>
      <c r="L631" s="646">
        <v>7600</v>
      </c>
      <c r="M631" s="535" t="s">
        <v>557</v>
      </c>
      <c r="N631" s="139">
        <f t="shared" si="34"/>
        <v>7600</v>
      </c>
      <c r="O631" s="538" t="s">
        <v>483</v>
      </c>
      <c r="P631" s="231" t="str">
        <f t="shared" si="35"/>
        <v>Reciclagem</v>
      </c>
      <c r="Q631" s="541" t="s">
        <v>1557</v>
      </c>
      <c r="R631" s="541" t="s">
        <v>1903</v>
      </c>
      <c r="S631" s="528" t="str">
        <f>IFERROR(INDEX(Tabela3[Tipos de Tratamento],MATCH('A3.9.1 copy'!O407,Tabela3[Código],0)),"")</f>
        <v xml:space="preserve">Troca de resíduos com vista a submetê-los a uma das operações enumeradas de R 1 a R 11 </v>
      </c>
      <c r="T631" s="458" t="s">
        <v>3267</v>
      </c>
      <c r="U631" s="458" t="s">
        <v>3271</v>
      </c>
      <c r="V631" s="93"/>
    </row>
    <row r="632" spans="1:22" ht="15.75" thickBot="1" x14ac:dyDescent="0.3">
      <c r="A632" s="93" t="s">
        <v>4595</v>
      </c>
      <c r="B632" s="93" t="s">
        <v>4595</v>
      </c>
      <c r="C632" s="424" t="str">
        <f t="shared" si="36"/>
        <v>X</v>
      </c>
      <c r="D632" s="422">
        <v>2023</v>
      </c>
      <c r="E632" s="250" t="s">
        <v>3499</v>
      </c>
      <c r="F632" s="250" t="s">
        <v>3566</v>
      </c>
      <c r="G632" s="422" t="s">
        <v>42</v>
      </c>
      <c r="H632" s="424" t="s">
        <v>42</v>
      </c>
      <c r="I632" s="522">
        <v>160112</v>
      </c>
      <c r="J632" s="425" t="str">
        <f>INDEX(aux!B:B,MATCH(I632,aux!A:A,0))</f>
        <v>Pastilhas de travões não abrangidas em 16 01 11</v>
      </c>
      <c r="K632" s="433" t="str">
        <f>INDEX(aux!C:C,MATCH(I632,aux!A:A,0))</f>
        <v>Não</v>
      </c>
      <c r="L632" s="360">
        <v>1819</v>
      </c>
      <c r="M632" s="359" t="s">
        <v>557</v>
      </c>
      <c r="N632" s="139">
        <f t="shared" si="34"/>
        <v>1819</v>
      </c>
      <c r="O632" s="93" t="s">
        <v>6272</v>
      </c>
      <c r="P632" s="231" t="str">
        <f t="shared" si="35"/>
        <v>Aterro</v>
      </c>
      <c r="Q632" s="541" t="s">
        <v>1557</v>
      </c>
      <c r="R632" s="541" t="s">
        <v>6569</v>
      </c>
      <c r="S632" s="544" t="s">
        <v>1556</v>
      </c>
      <c r="T632" s="93" t="s">
        <v>3263</v>
      </c>
      <c r="U632" s="93" t="s">
        <v>6297</v>
      </c>
      <c r="V632" s="93"/>
    </row>
    <row r="633" spans="1:22" ht="15.75" hidden="1" thickBot="1" x14ac:dyDescent="0.3">
      <c r="A633" s="529" t="s">
        <v>4595</v>
      </c>
      <c r="B633" s="529" t="s">
        <v>4595</v>
      </c>
      <c r="C633" s="424" t="str">
        <f t="shared" si="36"/>
        <v>X</v>
      </c>
      <c r="D633" s="422">
        <v>2022</v>
      </c>
      <c r="E633" s="250" t="s">
        <v>3499</v>
      </c>
      <c r="F633" s="250" t="s">
        <v>3566</v>
      </c>
      <c r="G633" s="422" t="s">
        <v>42</v>
      </c>
      <c r="H633" s="424" t="s">
        <v>42</v>
      </c>
      <c r="I633" s="532">
        <v>200140</v>
      </c>
      <c r="J633" s="425" t="str">
        <f>INDEX(aux!B:B,MATCH(I633,aux!A:A,0))</f>
        <v>Metais</v>
      </c>
      <c r="K633" s="433" t="str">
        <f>INDEX(aux!C:C,MATCH(I633,aux!A:A,0))</f>
        <v>Não</v>
      </c>
      <c r="L633" s="646">
        <v>5340</v>
      </c>
      <c r="M633" s="535" t="s">
        <v>557</v>
      </c>
      <c r="N633" s="139">
        <f t="shared" si="34"/>
        <v>5340</v>
      </c>
      <c r="O633" s="538" t="s">
        <v>483</v>
      </c>
      <c r="P633" s="231" t="str">
        <f t="shared" si="35"/>
        <v>Reciclagem</v>
      </c>
      <c r="Q633" s="541" t="s">
        <v>1906</v>
      </c>
      <c r="R633" s="541" t="s">
        <v>1903</v>
      </c>
      <c r="S633" s="528" t="str">
        <f>IFERROR(INDEX(Tabela3[Tipos de Tratamento],MATCH('A3.9.1 copy'!O416,Tabela3[Código],0)),"")</f>
        <v xml:space="preserve">Troca de resíduos com vista a submetê-los a uma das operações enumeradas de R 1 a R 11 </v>
      </c>
      <c r="T633" s="458" t="s">
        <v>3267</v>
      </c>
      <c r="U633" s="458" t="s">
        <v>3271</v>
      </c>
      <c r="V633" s="93"/>
    </row>
    <row r="634" spans="1:22" ht="15.75" hidden="1" thickBot="1" x14ac:dyDescent="0.3">
      <c r="A634" s="529" t="s">
        <v>4595</v>
      </c>
      <c r="B634" s="529" t="s">
        <v>4595</v>
      </c>
      <c r="C634" s="424" t="str">
        <f t="shared" si="36"/>
        <v>X</v>
      </c>
      <c r="D634" s="422">
        <v>2022</v>
      </c>
      <c r="E634" s="250" t="s">
        <v>3499</v>
      </c>
      <c r="F634" s="250" t="s">
        <v>3566</v>
      </c>
      <c r="G634" s="422" t="s">
        <v>42</v>
      </c>
      <c r="H634" s="424" t="s">
        <v>42</v>
      </c>
      <c r="I634" s="532">
        <v>130208</v>
      </c>
      <c r="J634" s="425" t="str">
        <f>INDEX(aux!B:B,MATCH(I634,aux!A:A,0))</f>
        <v>(*) Outros óleos de motores, transmissões e lubrificação</v>
      </c>
      <c r="K634" s="433" t="str">
        <f>INDEX(aux!C:C,MATCH(I634,aux!A:A,0))</f>
        <v>Sim</v>
      </c>
      <c r="L634" s="646">
        <v>6.1790000000000003</v>
      </c>
      <c r="M634" s="535" t="s">
        <v>1532</v>
      </c>
      <c r="N634" s="139">
        <f t="shared" si="34"/>
        <v>6179</v>
      </c>
      <c r="O634" s="538" t="s">
        <v>483</v>
      </c>
      <c r="P634" s="231" t="str">
        <f t="shared" si="35"/>
        <v>Reciclagem</v>
      </c>
      <c r="Q634" s="541" t="s">
        <v>1902</v>
      </c>
      <c r="R634" s="541" t="s">
        <v>1877</v>
      </c>
      <c r="S634" s="528" t="str">
        <f>IFERROR(INDEX(Tabela3[Tipos de Tratamento],MATCH('A3.9.1 copy'!O398,Tabela3[Código],0)),"")</f>
        <v>Armazenagem enquanto se aguarda a execução de uma das operações enumeradas de D1 a D14</v>
      </c>
      <c r="T634" s="458" t="s">
        <v>3265</v>
      </c>
      <c r="U634" s="458" t="s">
        <v>3265</v>
      </c>
      <c r="V634" s="93"/>
    </row>
    <row r="635" spans="1:22" ht="15.75" thickBot="1" x14ac:dyDescent="0.3">
      <c r="A635" s="93" t="s">
        <v>4595</v>
      </c>
      <c r="B635" s="93" t="s">
        <v>4595</v>
      </c>
      <c r="C635" s="424" t="str">
        <f t="shared" si="36"/>
        <v>X</v>
      </c>
      <c r="D635" s="422">
        <v>2023</v>
      </c>
      <c r="E635" s="250" t="s">
        <v>3499</v>
      </c>
      <c r="F635" s="250" t="s">
        <v>3566</v>
      </c>
      <c r="G635" s="422" t="s">
        <v>42</v>
      </c>
      <c r="H635" s="424" t="s">
        <v>42</v>
      </c>
      <c r="I635" s="522">
        <v>130208</v>
      </c>
      <c r="J635" s="425" t="str">
        <f>INDEX(aux!B:B,MATCH(I635,aux!A:A,0))</f>
        <v>(*) Outros óleos de motores, transmissões e lubrificação</v>
      </c>
      <c r="K635" s="433" t="str">
        <f>INDEX(aux!C:C,MATCH(I635,aux!A:A,0))</f>
        <v>Sim</v>
      </c>
      <c r="L635" s="360">
        <v>3.548</v>
      </c>
      <c r="M635" s="359" t="s">
        <v>1532</v>
      </c>
      <c r="N635" s="139">
        <f t="shared" si="34"/>
        <v>3548</v>
      </c>
      <c r="O635" s="93" t="s">
        <v>483</v>
      </c>
      <c r="P635" s="231" t="str">
        <f t="shared" si="35"/>
        <v>Reciclagem</v>
      </c>
      <c r="Q635" s="541" t="s">
        <v>1902</v>
      </c>
      <c r="R635" s="541" t="s">
        <v>1877</v>
      </c>
      <c r="S635" s="544" t="s">
        <v>485</v>
      </c>
      <c r="T635" s="93" t="s">
        <v>3265</v>
      </c>
      <c r="U635" s="93" t="s">
        <v>3265</v>
      </c>
      <c r="V635" s="93"/>
    </row>
    <row r="636" spans="1:22" ht="15.75" hidden="1" thickBot="1" x14ac:dyDescent="0.3">
      <c r="A636" s="529" t="s">
        <v>4595</v>
      </c>
      <c r="B636" s="529" t="s">
        <v>4595</v>
      </c>
      <c r="C636" s="424" t="str">
        <f t="shared" si="36"/>
        <v>X</v>
      </c>
      <c r="D636" s="422">
        <v>2022</v>
      </c>
      <c r="E636" s="250" t="s">
        <v>3499</v>
      </c>
      <c r="F636" s="250" t="s">
        <v>3566</v>
      </c>
      <c r="G636" s="422" t="s">
        <v>42</v>
      </c>
      <c r="H636" s="424" t="s">
        <v>42</v>
      </c>
      <c r="I636" s="532">
        <v>200101</v>
      </c>
      <c r="J636" s="425" t="str">
        <f>INDEX(aux!B:B,MATCH(I636,aux!A:A,0))</f>
        <v xml:space="preserve">Papel e Cartão </v>
      </c>
      <c r="K636" s="433" t="str">
        <f>INDEX(aux!C:C,MATCH(I636,aux!A:A,0))</f>
        <v>Não</v>
      </c>
      <c r="L636" s="646">
        <v>120</v>
      </c>
      <c r="M636" s="535" t="s">
        <v>557</v>
      </c>
      <c r="N636" s="139">
        <f t="shared" si="34"/>
        <v>120</v>
      </c>
      <c r="O636" s="538" t="s">
        <v>484</v>
      </c>
      <c r="P636" s="231" t="str">
        <f t="shared" si="35"/>
        <v>Reciclagem</v>
      </c>
      <c r="Q636" s="541" t="s">
        <v>1904</v>
      </c>
      <c r="R636" s="541" t="s">
        <v>1903</v>
      </c>
      <c r="S636" s="528" t="str">
        <f>IFERROR(INDEX(Tabela3[Tipos de Tratamento],MATCH('A3.9.1 copy'!O412,Tabela3[Código],0)),"")</f>
        <v xml:space="preserve">Troca de resíduos com vista a submetê-los a uma das operações enumeradas de R 1 a R 11 </v>
      </c>
      <c r="T636" s="458" t="s">
        <v>3263</v>
      </c>
      <c r="U636" s="458" t="s">
        <v>3266</v>
      </c>
      <c r="V636" s="93"/>
    </row>
    <row r="637" spans="1:22" ht="15.75" hidden="1" thickBot="1" x14ac:dyDescent="0.3">
      <c r="A637" s="529" t="s">
        <v>4595</v>
      </c>
      <c r="B637" s="529" t="s">
        <v>4595</v>
      </c>
      <c r="C637" s="424" t="str">
        <f t="shared" si="36"/>
        <v>X</v>
      </c>
      <c r="D637" s="422">
        <v>2022</v>
      </c>
      <c r="E637" s="250" t="s">
        <v>3499</v>
      </c>
      <c r="F637" s="250" t="s">
        <v>3566</v>
      </c>
      <c r="G637" s="422" t="s">
        <v>42</v>
      </c>
      <c r="H637" s="424" t="s">
        <v>42</v>
      </c>
      <c r="I637" s="532">
        <v>200139</v>
      </c>
      <c r="J637" s="425" t="str">
        <f>INDEX(aux!B:B,MATCH(I637,aux!A:A,0))</f>
        <v>Plasticos</v>
      </c>
      <c r="K637" s="433" t="str">
        <f>INDEX(aux!C:C,MATCH(I637,aux!A:A,0))</f>
        <v>Não</v>
      </c>
      <c r="L637" s="646">
        <v>42</v>
      </c>
      <c r="M637" s="535" t="s">
        <v>557</v>
      </c>
      <c r="N637" s="139">
        <f t="shared" si="34"/>
        <v>42</v>
      </c>
      <c r="O637" s="538" t="s">
        <v>484</v>
      </c>
      <c r="P637" s="231" t="str">
        <f t="shared" si="35"/>
        <v>Reciclagem</v>
      </c>
      <c r="Q637" s="541" t="s">
        <v>1560</v>
      </c>
      <c r="R637" s="541" t="s">
        <v>1903</v>
      </c>
      <c r="S637" s="528" t="str">
        <f>IFERROR(INDEX(Tabela3[Tipos de Tratamento],MATCH('A3.9.1 copy'!O415,Tabela3[Código],0)),"")</f>
        <v xml:space="preserve">Troca de resíduos com vista a submetê-los a uma das operações enumeradas de R 1 a R 11 </v>
      </c>
      <c r="T637" s="458" t="s">
        <v>3263</v>
      </c>
      <c r="U637" s="458" t="s">
        <v>3266</v>
      </c>
      <c r="V637" s="93"/>
    </row>
    <row r="638" spans="1:22" ht="15.75" thickBot="1" x14ac:dyDescent="0.3">
      <c r="A638" s="93" t="s">
        <v>4595</v>
      </c>
      <c r="B638" s="93" t="s">
        <v>4595</v>
      </c>
      <c r="C638" s="424" t="str">
        <f t="shared" si="36"/>
        <v>X</v>
      </c>
      <c r="D638" s="422">
        <v>2023</v>
      </c>
      <c r="E638" s="250" t="s">
        <v>3499</v>
      </c>
      <c r="F638" s="250" t="s">
        <v>3566</v>
      </c>
      <c r="G638" s="422" t="s">
        <v>42</v>
      </c>
      <c r="H638" s="424" t="s">
        <v>42</v>
      </c>
      <c r="I638" s="522">
        <v>200139</v>
      </c>
      <c r="J638" s="425" t="str">
        <f>INDEX(aux!B:B,MATCH(I638,aux!A:A,0))</f>
        <v>Plasticos</v>
      </c>
      <c r="K638" s="433" t="str">
        <f>INDEX(aux!C:C,MATCH(I638,aux!A:A,0))</f>
        <v>Não</v>
      </c>
      <c r="L638" s="360">
        <v>251</v>
      </c>
      <c r="M638" s="359" t="s">
        <v>557</v>
      </c>
      <c r="N638" s="139">
        <f t="shared" si="34"/>
        <v>251</v>
      </c>
      <c r="O638" s="93" t="s">
        <v>484</v>
      </c>
      <c r="P638" s="231" t="str">
        <f t="shared" si="35"/>
        <v>Reciclagem</v>
      </c>
      <c r="Q638" s="541" t="s">
        <v>1560</v>
      </c>
      <c r="R638" s="541" t="s">
        <v>6569</v>
      </c>
      <c r="S638" s="544" t="s">
        <v>1553</v>
      </c>
      <c r="T638" s="93" t="s">
        <v>3263</v>
      </c>
      <c r="U638" s="93" t="s">
        <v>6297</v>
      </c>
      <c r="V638" s="93"/>
    </row>
    <row r="639" spans="1:22" ht="15.75" hidden="1" thickBot="1" x14ac:dyDescent="0.3">
      <c r="A639" s="529" t="s">
        <v>4595</v>
      </c>
      <c r="B639" s="529" t="s">
        <v>4595</v>
      </c>
      <c r="C639" s="424" t="str">
        <f t="shared" si="36"/>
        <v>X</v>
      </c>
      <c r="D639" s="422">
        <v>2022</v>
      </c>
      <c r="E639" s="250" t="s">
        <v>3499</v>
      </c>
      <c r="F639" s="250" t="s">
        <v>3566</v>
      </c>
      <c r="G639" s="422" t="s">
        <v>42</v>
      </c>
      <c r="H639" s="424" t="s">
        <v>42</v>
      </c>
      <c r="I639" s="532">
        <v>130502</v>
      </c>
      <c r="J639" s="425" t="str">
        <f>INDEX(aux!B:B,MATCH(I639,aux!A:A,0))</f>
        <v>(*) Lamas provenientes dos separadores óleo/água</v>
      </c>
      <c r="K639" s="433" t="str">
        <f>INDEX(aux!C:C,MATCH(I639,aux!A:A,0))</f>
        <v>Sim</v>
      </c>
      <c r="L639" s="646">
        <v>4.28</v>
      </c>
      <c r="M639" s="535" t="s">
        <v>1532</v>
      </c>
      <c r="N639" s="139">
        <f t="shared" si="34"/>
        <v>4280</v>
      </c>
      <c r="O639" s="538" t="s">
        <v>503</v>
      </c>
      <c r="P639" s="231" t="str">
        <f t="shared" si="35"/>
        <v>Aterro</v>
      </c>
      <c r="Q639" s="541" t="s">
        <v>1901</v>
      </c>
      <c r="R639" s="541" t="s">
        <v>1892</v>
      </c>
      <c r="S639" s="528" t="str">
        <f>IFERROR(INDEX(Tabela3[Tipos de Tratamento],MATCH('A3.9.1 copy'!O397,Tabela3[Código],0)),"")</f>
        <v xml:space="preserve">Troca de resíduos com vista a submetê-los a uma das operações enumeradas de R 1 a R 11 </v>
      </c>
      <c r="T639" s="458" t="s">
        <v>3263</v>
      </c>
      <c r="U639" s="458" t="s">
        <v>3264</v>
      </c>
      <c r="V639" s="93"/>
    </row>
    <row r="640" spans="1:22" ht="15.75" hidden="1" thickBot="1" x14ac:dyDescent="0.3">
      <c r="A640" s="529" t="s">
        <v>4595</v>
      </c>
      <c r="B640" s="529" t="s">
        <v>4595</v>
      </c>
      <c r="C640" s="424" t="str">
        <f t="shared" si="36"/>
        <v>X</v>
      </c>
      <c r="D640" s="422">
        <v>2022</v>
      </c>
      <c r="E640" s="250" t="s">
        <v>3499</v>
      </c>
      <c r="F640" s="250" t="s">
        <v>3566</v>
      </c>
      <c r="G640" s="422" t="s">
        <v>42</v>
      </c>
      <c r="H640" s="424" t="s">
        <v>42</v>
      </c>
      <c r="I640" s="532">
        <v>130502</v>
      </c>
      <c r="J640" s="425" t="str">
        <f>INDEX(aux!B:B,MATCH(I640,aux!A:A,0))</f>
        <v>(*) Lamas provenientes dos separadores óleo/água</v>
      </c>
      <c r="K640" s="433" t="str">
        <f>INDEX(aux!C:C,MATCH(I640,aux!A:A,0))</f>
        <v>Sim</v>
      </c>
      <c r="L640" s="646">
        <v>2580</v>
      </c>
      <c r="M640" s="535" t="s">
        <v>557</v>
      </c>
      <c r="N640" s="139">
        <f t="shared" si="34"/>
        <v>2580</v>
      </c>
      <c r="O640" s="538" t="s">
        <v>503</v>
      </c>
      <c r="P640" s="231" t="str">
        <f t="shared" si="35"/>
        <v>Aterro</v>
      </c>
      <c r="Q640" s="541" t="s">
        <v>1901</v>
      </c>
      <c r="R640" s="541" t="s">
        <v>1892</v>
      </c>
      <c r="S640" s="528" t="str">
        <f>IFERROR(INDEX(Tabela3[Tipos de Tratamento],MATCH('A3.9.1 copy'!O474,Tabela3[Código],0)),"")</f>
        <v>Acumulação de resíduos destinados a uma das operações enumeradas de R1 a R12</v>
      </c>
      <c r="T640" s="458" t="s">
        <v>3263</v>
      </c>
      <c r="U640" s="458" t="s">
        <v>3264</v>
      </c>
      <c r="V640" s="93"/>
    </row>
    <row r="641" spans="1:22" ht="15.75" hidden="1" thickBot="1" x14ac:dyDescent="0.3">
      <c r="A641" s="529" t="s">
        <v>4595</v>
      </c>
      <c r="B641" s="529" t="s">
        <v>4595</v>
      </c>
      <c r="C641" s="424" t="str">
        <f t="shared" si="36"/>
        <v>X</v>
      </c>
      <c r="D641" s="422">
        <v>2022</v>
      </c>
      <c r="E641" s="250" t="s">
        <v>3499</v>
      </c>
      <c r="F641" s="250" t="s">
        <v>3566</v>
      </c>
      <c r="G641" s="422" t="s">
        <v>42</v>
      </c>
      <c r="H641" s="424" t="s">
        <v>42</v>
      </c>
      <c r="I641" s="532">
        <v>130502</v>
      </c>
      <c r="J641" s="425" t="str">
        <f>INDEX(aux!B:B,MATCH(I641,aux!A:A,0))</f>
        <v>(*) Lamas provenientes dos separadores óleo/água</v>
      </c>
      <c r="K641" s="433" t="str">
        <f>INDEX(aux!C:C,MATCH(I641,aux!A:A,0))</f>
        <v>Sim</v>
      </c>
      <c r="L641" s="646">
        <v>640</v>
      </c>
      <c r="M641" s="535" t="s">
        <v>557</v>
      </c>
      <c r="N641" s="139">
        <f t="shared" si="34"/>
        <v>640</v>
      </c>
      <c r="O641" s="538" t="s">
        <v>503</v>
      </c>
      <c r="P641" s="231" t="str">
        <f t="shared" si="35"/>
        <v>Aterro</v>
      </c>
      <c r="Q641" s="541" t="s">
        <v>1901</v>
      </c>
      <c r="R641" s="541" t="s">
        <v>1892</v>
      </c>
      <c r="S641" s="528" t="str">
        <f>IFERROR(INDEX(Tabela3[Tipos de Tratamento],MATCH('A3.9.1 copy'!O477,Tabela3[Código],0)),"")</f>
        <v xml:space="preserve">Troca de resíduos com vista a submetê-los a uma das operações enumeradas de R 1 a R 11 </v>
      </c>
      <c r="T641" s="458" t="s">
        <v>3263</v>
      </c>
      <c r="U641" s="458" t="s">
        <v>3264</v>
      </c>
      <c r="V641" s="93"/>
    </row>
    <row r="642" spans="1:22" ht="15.75" hidden="1" thickBot="1" x14ac:dyDescent="0.3">
      <c r="A642" s="529" t="s">
        <v>4595</v>
      </c>
      <c r="B642" s="529" t="s">
        <v>4595</v>
      </c>
      <c r="C642" s="424" t="str">
        <f t="shared" si="36"/>
        <v>X</v>
      </c>
      <c r="D642" s="422">
        <v>2022</v>
      </c>
      <c r="E642" s="250" t="s">
        <v>3499</v>
      </c>
      <c r="F642" s="250" t="s">
        <v>3566</v>
      </c>
      <c r="G642" s="422" t="s">
        <v>42</v>
      </c>
      <c r="H642" s="424" t="s">
        <v>42</v>
      </c>
      <c r="I642" s="532">
        <v>130502</v>
      </c>
      <c r="J642" s="425" t="str">
        <f>INDEX(aux!B:B,MATCH(I642,aux!A:A,0))</f>
        <v>(*) Lamas provenientes dos separadores óleo/água</v>
      </c>
      <c r="K642" s="433" t="str">
        <f>INDEX(aux!C:C,MATCH(I642,aux!A:A,0))</f>
        <v>Sim</v>
      </c>
      <c r="L642" s="646">
        <v>560</v>
      </c>
      <c r="M642" s="535" t="s">
        <v>557</v>
      </c>
      <c r="N642" s="139">
        <f t="shared" si="34"/>
        <v>560</v>
      </c>
      <c r="O642" s="538" t="s">
        <v>503</v>
      </c>
      <c r="P642" s="231" t="str">
        <f t="shared" si="35"/>
        <v>Aterro</v>
      </c>
      <c r="Q642" s="541" t="s">
        <v>1901</v>
      </c>
      <c r="R642" s="541" t="s">
        <v>1892</v>
      </c>
      <c r="S642" s="528" t="str">
        <f>IFERROR(INDEX(Tabela3[Tipos de Tratamento],MATCH('A3.9.1 copy'!O479,Tabela3[Código],0)),"")</f>
        <v xml:space="preserve">Troca de resíduos com vista a submetê-los a uma das operações enumeradas de R 1 a R 11 </v>
      </c>
      <c r="T642" s="458" t="s">
        <v>3263</v>
      </c>
      <c r="U642" s="458" t="s">
        <v>3264</v>
      </c>
      <c r="V642" s="93"/>
    </row>
    <row r="643" spans="1:22" ht="15.75" hidden="1" thickBot="1" x14ac:dyDescent="0.3">
      <c r="A643" s="529" t="s">
        <v>4595</v>
      </c>
      <c r="B643" s="529" t="s">
        <v>4595</v>
      </c>
      <c r="C643" s="424" t="str">
        <f t="shared" si="36"/>
        <v>X</v>
      </c>
      <c r="D643" s="422">
        <v>2022</v>
      </c>
      <c r="E643" s="250" t="s">
        <v>3499</v>
      </c>
      <c r="F643" s="250" t="s">
        <v>3566</v>
      </c>
      <c r="G643" s="422" t="s">
        <v>42</v>
      </c>
      <c r="H643" s="424" t="s">
        <v>42</v>
      </c>
      <c r="I643" s="532">
        <v>130507</v>
      </c>
      <c r="J643" s="425" t="str">
        <f>INDEX(aux!B:B,MATCH(I643,aux!A:A,0))</f>
        <v>(*) Água com óleo proveniente dos separadores óleo/água</v>
      </c>
      <c r="K643" s="433" t="str">
        <f>INDEX(aux!C:C,MATCH(I643,aux!A:A,0))</f>
        <v>Sim</v>
      </c>
      <c r="L643" s="646">
        <v>3.82</v>
      </c>
      <c r="M643" s="535" t="s">
        <v>1532</v>
      </c>
      <c r="N643" s="139">
        <f t="shared" ref="N643:N706" si="37">IF(LEFT(M643,3)="ton",1000*L643,L643)</f>
        <v>3820</v>
      </c>
      <c r="O643" s="538" t="s">
        <v>503</v>
      </c>
      <c r="P643" s="231" t="str">
        <f t="shared" ref="P643:P706" si="38">IF(LEFT(O643,1)="R","Reciclagem",IF(OR(O643="D10",O643="D11"),"Iceneração","Aterro"))</f>
        <v>Aterro</v>
      </c>
      <c r="Q643" s="541" t="s">
        <v>1901</v>
      </c>
      <c r="R643" s="541" t="s">
        <v>1892</v>
      </c>
      <c r="S643" s="528" t="str">
        <f>IFERROR(INDEX(Tabela3[Tipos de Tratamento],MATCH('A3.9.1 copy'!O399,Tabela3[Código],0)),"")</f>
        <v>Acumulação de resíduos destinados a uma das operações enumeradas de R1 a R12</v>
      </c>
      <c r="T643" s="458" t="s">
        <v>3263</v>
      </c>
      <c r="U643" s="458" t="s">
        <v>3264</v>
      </c>
      <c r="V643" s="93"/>
    </row>
    <row r="644" spans="1:22" ht="15.75" hidden="1" thickBot="1" x14ac:dyDescent="0.3">
      <c r="A644" s="529" t="s">
        <v>4595</v>
      </c>
      <c r="B644" s="529" t="s">
        <v>4595</v>
      </c>
      <c r="C644" s="424" t="str">
        <f t="shared" si="36"/>
        <v>X</v>
      </c>
      <c r="D644" s="422">
        <v>2022</v>
      </c>
      <c r="E644" s="250" t="s">
        <v>3499</v>
      </c>
      <c r="F644" s="250" t="s">
        <v>3566</v>
      </c>
      <c r="G644" s="422" t="s">
        <v>42</v>
      </c>
      <c r="H644" s="424" t="s">
        <v>42</v>
      </c>
      <c r="I644" s="532">
        <v>130507</v>
      </c>
      <c r="J644" s="425" t="str">
        <f>INDEX(aux!B:B,MATCH(I644,aux!A:A,0))</f>
        <v>(*) Água com óleo proveniente dos separadores óleo/água</v>
      </c>
      <c r="K644" s="433" t="str">
        <f>INDEX(aux!C:C,MATCH(I644,aux!A:A,0))</f>
        <v>Sim</v>
      </c>
      <c r="L644" s="646">
        <v>2600</v>
      </c>
      <c r="M644" s="535" t="s">
        <v>557</v>
      </c>
      <c r="N644" s="139">
        <f t="shared" si="37"/>
        <v>2600</v>
      </c>
      <c r="O644" s="538" t="s">
        <v>503</v>
      </c>
      <c r="P644" s="231" t="str">
        <f t="shared" si="38"/>
        <v>Aterro</v>
      </c>
      <c r="Q644" s="541" t="s">
        <v>1901</v>
      </c>
      <c r="R644" s="541" t="s">
        <v>1892</v>
      </c>
      <c r="S644" s="528" t="str">
        <f>IFERROR(INDEX(Tabela3[Tipos de Tratamento],MATCH('A3.9.1 copy'!O475,Tabela3[Código],0)),"")</f>
        <v xml:space="preserve">Troca de resíduos com vista a submetê-los a uma das operações enumeradas de R 1 a R 11 </v>
      </c>
      <c r="T644" s="458" t="s">
        <v>3263</v>
      </c>
      <c r="U644" s="458" t="s">
        <v>3264</v>
      </c>
      <c r="V644" s="93"/>
    </row>
    <row r="645" spans="1:22" ht="15.75" hidden="1" thickBot="1" x14ac:dyDescent="0.3">
      <c r="A645" s="529" t="s">
        <v>4595</v>
      </c>
      <c r="B645" s="529" t="s">
        <v>4595</v>
      </c>
      <c r="C645" s="424" t="str">
        <f t="shared" si="36"/>
        <v>X</v>
      </c>
      <c r="D645" s="422">
        <v>2022</v>
      </c>
      <c r="E645" s="250" t="s">
        <v>3499</v>
      </c>
      <c r="F645" s="250" t="s">
        <v>3566</v>
      </c>
      <c r="G645" s="422" t="s">
        <v>42</v>
      </c>
      <c r="H645" s="424" t="s">
        <v>42</v>
      </c>
      <c r="I645" s="532">
        <v>130507</v>
      </c>
      <c r="J645" s="425" t="str">
        <f>INDEX(aux!B:B,MATCH(I645,aux!A:A,0))</f>
        <v>(*) Água com óleo proveniente dos separadores óleo/água</v>
      </c>
      <c r="K645" s="433" t="str">
        <f>INDEX(aux!C:C,MATCH(I645,aux!A:A,0))</f>
        <v>Sim</v>
      </c>
      <c r="L645" s="646">
        <v>1760</v>
      </c>
      <c r="M645" s="535" t="s">
        <v>557</v>
      </c>
      <c r="N645" s="139">
        <f t="shared" si="37"/>
        <v>1760</v>
      </c>
      <c r="O645" s="538" t="s">
        <v>503</v>
      </c>
      <c r="P645" s="231" t="str">
        <f t="shared" si="38"/>
        <v>Aterro</v>
      </c>
      <c r="Q645" s="541" t="s">
        <v>1901</v>
      </c>
      <c r="R645" s="541" t="s">
        <v>1892</v>
      </c>
      <c r="S645" s="528" t="str">
        <f>IFERROR(INDEX(Tabela3[Tipos de Tratamento],MATCH('A3.9.1 copy'!O478,Tabela3[Código],0)),"")</f>
        <v>Acumulação de resíduos destinados a uma das operações enumeradas de R1 a R12</v>
      </c>
      <c r="T645" s="458" t="s">
        <v>3263</v>
      </c>
      <c r="U645" s="458" t="s">
        <v>3264</v>
      </c>
      <c r="V645" s="93"/>
    </row>
    <row r="646" spans="1:22" ht="15.75" hidden="1" thickBot="1" x14ac:dyDescent="0.3">
      <c r="A646" s="529" t="s">
        <v>4595</v>
      </c>
      <c r="B646" s="529" t="s">
        <v>4595</v>
      </c>
      <c r="C646" s="424" t="str">
        <f t="shared" si="36"/>
        <v>X</v>
      </c>
      <c r="D646" s="422">
        <v>2022</v>
      </c>
      <c r="E646" s="250" t="s">
        <v>3499</v>
      </c>
      <c r="F646" s="250" t="s">
        <v>3566</v>
      </c>
      <c r="G646" s="422" t="s">
        <v>42</v>
      </c>
      <c r="H646" s="424" t="s">
        <v>42</v>
      </c>
      <c r="I646" s="532">
        <v>130507</v>
      </c>
      <c r="J646" s="425" t="str">
        <f>INDEX(aux!B:B,MATCH(I646,aux!A:A,0))</f>
        <v>(*) Água com óleo proveniente dos separadores óleo/água</v>
      </c>
      <c r="K646" s="433" t="str">
        <f>INDEX(aux!C:C,MATCH(I646,aux!A:A,0))</f>
        <v>Sim</v>
      </c>
      <c r="L646" s="646">
        <v>2240</v>
      </c>
      <c r="M646" s="535" t="s">
        <v>557</v>
      </c>
      <c r="N646" s="139">
        <f t="shared" si="37"/>
        <v>2240</v>
      </c>
      <c r="O646" s="538" t="s">
        <v>503</v>
      </c>
      <c r="P646" s="231" t="str">
        <f t="shared" si="38"/>
        <v>Aterro</v>
      </c>
      <c r="Q646" s="541" t="s">
        <v>1901</v>
      </c>
      <c r="R646" s="541" t="s">
        <v>1892</v>
      </c>
      <c r="S646" s="528" t="str">
        <f>IFERROR(INDEX(Tabela3[Tipos de Tratamento],MATCH('A3.9.1 copy'!O480,Tabela3[Código],0)),"")</f>
        <v xml:space="preserve">Troca de resíduos com vista a submetê-los a uma das operações enumeradas de R 1 a R 11 </v>
      </c>
      <c r="T646" s="458" t="s">
        <v>3263</v>
      </c>
      <c r="U646" s="458" t="s">
        <v>3264</v>
      </c>
      <c r="V646" s="93"/>
    </row>
    <row r="647" spans="1:22" ht="15.75" hidden="1" thickBot="1" x14ac:dyDescent="0.3">
      <c r="A647" s="529" t="s">
        <v>4595</v>
      </c>
      <c r="B647" s="529" t="s">
        <v>4595</v>
      </c>
      <c r="C647" s="424" t="str">
        <f t="shared" si="36"/>
        <v>X</v>
      </c>
      <c r="D647" s="422">
        <v>2022</v>
      </c>
      <c r="E647" s="250" t="s">
        <v>3499</v>
      </c>
      <c r="F647" s="250" t="s">
        <v>3566</v>
      </c>
      <c r="G647" s="422" t="s">
        <v>42</v>
      </c>
      <c r="H647" s="424" t="s">
        <v>42</v>
      </c>
      <c r="I647" s="532">
        <v>150110</v>
      </c>
      <c r="J647" s="425" t="str">
        <f>INDEX(aux!B:B,MATCH(I647,aux!A:A,0))</f>
        <v>(*) Embalagens contendo ou contaminadas por resíduos de substâncias perigosas</v>
      </c>
      <c r="K647" s="433" t="str">
        <f>INDEX(aux!C:C,MATCH(I647,aux!A:A,0))</f>
        <v>Sim</v>
      </c>
      <c r="L647" s="646">
        <v>57</v>
      </c>
      <c r="M647" s="535" t="s">
        <v>557</v>
      </c>
      <c r="N647" s="139">
        <f t="shared" si="37"/>
        <v>57</v>
      </c>
      <c r="O647" s="538" t="s">
        <v>509</v>
      </c>
      <c r="P647" s="231" t="str">
        <f t="shared" si="38"/>
        <v>Aterro</v>
      </c>
      <c r="Q647" s="541" t="s">
        <v>1901</v>
      </c>
      <c r="R647" s="541" t="s">
        <v>1892</v>
      </c>
      <c r="S647" s="528" t="str">
        <f>IFERROR(INDEX(Tabela3[Tipos de Tratamento],MATCH('A3.9.1 copy'!O400,Tabela3[Código],0)),"")</f>
        <v xml:space="preserve">Troca de resíduos com vista a submetê-los a uma das operações enumeradas de R 1 a R 11 </v>
      </c>
      <c r="T647" s="458" t="s">
        <v>3263</v>
      </c>
      <c r="U647" s="458" t="s">
        <v>3266</v>
      </c>
      <c r="V647" s="422"/>
    </row>
    <row r="648" spans="1:22" ht="15.75" hidden="1" thickBot="1" x14ac:dyDescent="0.3">
      <c r="A648" s="529" t="s">
        <v>4595</v>
      </c>
      <c r="B648" s="529" t="s">
        <v>4595</v>
      </c>
      <c r="C648" s="424" t="str">
        <f t="shared" si="36"/>
        <v>X</v>
      </c>
      <c r="D648" s="422">
        <v>2022</v>
      </c>
      <c r="E648" s="250" t="s">
        <v>3499</v>
      </c>
      <c r="F648" s="250" t="s">
        <v>3566</v>
      </c>
      <c r="G648" s="422" t="s">
        <v>42</v>
      </c>
      <c r="H648" s="424" t="s">
        <v>42</v>
      </c>
      <c r="I648" s="532">
        <v>150202</v>
      </c>
      <c r="J648" s="425" t="str">
        <f>INDEX(aux!B:B,MATCH(I648,aux!A:A,0))</f>
        <v>(*) Absorventes, materiais filtrantes (incluindo filtros de óleo sem outras especificações), panos de limpeza e vestuário de proteção, contaminados por substâncias perigosas</v>
      </c>
      <c r="K648" s="433" t="str">
        <f>INDEX(aux!C:C,MATCH(I648,aux!A:A,0))</f>
        <v>Sim</v>
      </c>
      <c r="L648" s="646">
        <v>400</v>
      </c>
      <c r="M648" s="535" t="s">
        <v>557</v>
      </c>
      <c r="N648" s="139">
        <f t="shared" si="37"/>
        <v>400</v>
      </c>
      <c r="O648" s="538" t="s">
        <v>509</v>
      </c>
      <c r="P648" s="231" t="str">
        <f t="shared" si="38"/>
        <v>Aterro</v>
      </c>
      <c r="Q648" s="541" t="s">
        <v>1901</v>
      </c>
      <c r="R648" s="541" t="s">
        <v>1892</v>
      </c>
      <c r="S648" s="528" t="str">
        <f>IFERROR(INDEX(Tabela3[Tipos de Tratamento],MATCH('A3.9.1 copy'!O401,Tabela3[Código],0)),"")</f>
        <v>Armazenagem enquanto se aguarda a execução de uma das operações enumeradas de D1 a D14</v>
      </c>
      <c r="T648" s="458" t="s">
        <v>3263</v>
      </c>
      <c r="U648" s="458" t="s">
        <v>3266</v>
      </c>
      <c r="V648" s="422"/>
    </row>
    <row r="649" spans="1:22" ht="15.75" hidden="1" thickBot="1" x14ac:dyDescent="0.3">
      <c r="A649" s="529" t="s">
        <v>4595</v>
      </c>
      <c r="B649" s="529" t="s">
        <v>4595</v>
      </c>
      <c r="C649" s="424" t="str">
        <f t="shared" si="36"/>
        <v>X</v>
      </c>
      <c r="D649" s="422">
        <v>2022</v>
      </c>
      <c r="E649" s="250" t="s">
        <v>3499</v>
      </c>
      <c r="F649" s="250" t="s">
        <v>3566</v>
      </c>
      <c r="G649" s="422" t="s">
        <v>42</v>
      </c>
      <c r="H649" s="424" t="s">
        <v>42</v>
      </c>
      <c r="I649" s="532">
        <v>150203</v>
      </c>
      <c r="J649" s="425" t="str">
        <f>INDEX(aux!B:B,MATCH(I649,aux!A:A,0))</f>
        <v>Absorventes, materiais filtrantes, panos de limpeza e vestuário de proteção não abrangidos em 15 02 02</v>
      </c>
      <c r="K649" s="433" t="str">
        <f>INDEX(aux!C:C,MATCH(I649,aux!A:A,0))</f>
        <v>Não</v>
      </c>
      <c r="L649" s="646">
        <v>129</v>
      </c>
      <c r="M649" s="535" t="s">
        <v>557</v>
      </c>
      <c r="N649" s="139">
        <f t="shared" si="37"/>
        <v>129</v>
      </c>
      <c r="O649" s="538" t="s">
        <v>509</v>
      </c>
      <c r="P649" s="231" t="str">
        <f t="shared" si="38"/>
        <v>Aterro</v>
      </c>
      <c r="Q649" s="541" t="s">
        <v>1901</v>
      </c>
      <c r="R649" s="541" t="s">
        <v>1892</v>
      </c>
      <c r="S649" s="528" t="str">
        <f>IFERROR(INDEX(Tabela3[Tipos de Tratamento],MATCH('A3.9.1 copy'!O402,Tabela3[Código],0)),"")</f>
        <v>Mistura anterior à execução de uma das operações enumeradas de D1 a D12</v>
      </c>
      <c r="T649" s="458" t="s">
        <v>3263</v>
      </c>
      <c r="U649" s="458" t="s">
        <v>3266</v>
      </c>
      <c r="V649" s="422"/>
    </row>
    <row r="650" spans="1:22" ht="15.75" hidden="1" thickBot="1" x14ac:dyDescent="0.3">
      <c r="A650" s="529" t="s">
        <v>4595</v>
      </c>
      <c r="B650" s="529" t="s">
        <v>4595</v>
      </c>
      <c r="C650" s="424" t="str">
        <f t="shared" si="36"/>
        <v>X</v>
      </c>
      <c r="D650" s="422">
        <v>2022</v>
      </c>
      <c r="E650" s="250" t="s">
        <v>3499</v>
      </c>
      <c r="F650" s="250" t="s">
        <v>3566</v>
      </c>
      <c r="G650" s="422" t="s">
        <v>42</v>
      </c>
      <c r="H650" s="424" t="s">
        <v>42</v>
      </c>
      <c r="I650" s="532">
        <v>160107</v>
      </c>
      <c r="J650" s="425" t="str">
        <f>INDEX(aux!B:B,MATCH(I650,aux!A:A,0))</f>
        <v>(*) Filtros de óleo</v>
      </c>
      <c r="K650" s="433" t="str">
        <f>INDEX(aux!C:C,MATCH(I650,aux!A:A,0))</f>
        <v>Sim</v>
      </c>
      <c r="L650" s="646">
        <v>701</v>
      </c>
      <c r="M650" s="535" t="s">
        <v>557</v>
      </c>
      <c r="N650" s="139">
        <f t="shared" si="37"/>
        <v>701</v>
      </c>
      <c r="O650" s="538" t="s">
        <v>484</v>
      </c>
      <c r="P650" s="231" t="str">
        <f t="shared" si="38"/>
        <v>Reciclagem</v>
      </c>
      <c r="Q650" s="541" t="s">
        <v>1901</v>
      </c>
      <c r="R650" s="541" t="s">
        <v>1892</v>
      </c>
      <c r="S650" s="528" t="str">
        <f>IFERROR(INDEX(Tabela3[Tipos de Tratamento],MATCH('A3.9.1 copy'!O405,Tabela3[Código],0)),"")</f>
        <v>Acumulação de resíduos destinados a uma das operações enumeradas de R1 a R12</v>
      </c>
      <c r="T650" s="458" t="s">
        <v>3263</v>
      </c>
      <c r="U650" s="458" t="s">
        <v>3266</v>
      </c>
      <c r="V650" s="422"/>
    </row>
    <row r="651" spans="1:22" ht="15.75" hidden="1" thickBot="1" x14ac:dyDescent="0.3">
      <c r="A651" s="529" t="s">
        <v>4595</v>
      </c>
      <c r="B651" s="529" t="s">
        <v>4595</v>
      </c>
      <c r="C651" s="424" t="str">
        <f t="shared" si="36"/>
        <v>X</v>
      </c>
      <c r="D651" s="422">
        <v>2022</v>
      </c>
      <c r="E651" s="250" t="s">
        <v>3499</v>
      </c>
      <c r="F651" s="250" t="s">
        <v>3566</v>
      </c>
      <c r="G651" s="422" t="s">
        <v>42</v>
      </c>
      <c r="H651" s="424" t="s">
        <v>42</v>
      </c>
      <c r="I651" s="532">
        <v>160199</v>
      </c>
      <c r="J651" s="425" t="str">
        <f>INDEX(aux!B:B,MATCH(I651,aux!A:A,0))</f>
        <v>Resíduos sem outras especificações</v>
      </c>
      <c r="K651" s="433" t="str">
        <f>INDEX(aux!C:C,MATCH(I651,aux!A:A,0))</f>
        <v>Não</v>
      </c>
      <c r="L651" s="646">
        <v>4019</v>
      </c>
      <c r="M651" s="535" t="s">
        <v>557</v>
      </c>
      <c r="N651" s="139">
        <f t="shared" si="37"/>
        <v>4019</v>
      </c>
      <c r="O651" s="538" t="s">
        <v>509</v>
      </c>
      <c r="P651" s="231" t="str">
        <f t="shared" si="38"/>
        <v>Aterro</v>
      </c>
      <c r="Q651" s="541" t="s">
        <v>1901</v>
      </c>
      <c r="R651" s="541" t="s">
        <v>1892</v>
      </c>
      <c r="S651" s="528" t="str">
        <f>IFERROR(INDEX(Tabela3[Tipos de Tratamento],MATCH('A3.9.1 copy'!O409,Tabela3[Código],0)),"")</f>
        <v xml:space="preserve">Troca de resíduos com vista a submetê-los a uma das operações enumeradas de R 1 a R 11 </v>
      </c>
      <c r="T651" s="458" t="s">
        <v>3263</v>
      </c>
      <c r="U651" s="458" t="s">
        <v>3272</v>
      </c>
      <c r="V651" s="93"/>
    </row>
    <row r="652" spans="1:22" ht="15.75" hidden="1" thickBot="1" x14ac:dyDescent="0.3">
      <c r="A652" s="529" t="s">
        <v>4595</v>
      </c>
      <c r="B652" s="529" t="s">
        <v>4595</v>
      </c>
      <c r="C652" s="424" t="str">
        <f t="shared" si="36"/>
        <v>X</v>
      </c>
      <c r="D652" s="422">
        <v>2022</v>
      </c>
      <c r="E652" s="250" t="s">
        <v>3499</v>
      </c>
      <c r="F652" s="250" t="s">
        <v>3566</v>
      </c>
      <c r="G652" s="422" t="s">
        <v>42</v>
      </c>
      <c r="H652" s="424" t="s">
        <v>42</v>
      </c>
      <c r="I652" s="532">
        <v>160504</v>
      </c>
      <c r="J652" s="425" t="str">
        <f>INDEX(aux!B:B,MATCH(I652,aux!A:A,0))</f>
        <v>Gases em recipientes sob pressão (incluindo halons) contendo substâncias perigosas</v>
      </c>
      <c r="K652" s="433" t="str">
        <f>INDEX(aux!C:C,MATCH(I652,aux!A:A,0))</f>
        <v>Sim</v>
      </c>
      <c r="L652" s="646">
        <v>69</v>
      </c>
      <c r="M652" s="535" t="s">
        <v>557</v>
      </c>
      <c r="N652" s="139">
        <f t="shared" si="37"/>
        <v>69</v>
      </c>
      <c r="O652" s="538" t="s">
        <v>509</v>
      </c>
      <c r="P652" s="231" t="str">
        <f t="shared" si="38"/>
        <v>Aterro</v>
      </c>
      <c r="Q652" s="541" t="s">
        <v>1901</v>
      </c>
      <c r="R652" s="541" t="s">
        <v>1892</v>
      </c>
      <c r="S652" s="528" t="str">
        <f>IFERROR(INDEX(Tabela3[Tipos de Tratamento],MATCH('A3.9.1 copy'!O410,Tabela3[Código],0)),"")</f>
        <v xml:space="preserve">Troca de resíduos com vista a submetê-los a uma das operações enumeradas de R 1 a R 11 </v>
      </c>
      <c r="T652" s="458" t="s">
        <v>3263</v>
      </c>
      <c r="U652" s="458" t="s">
        <v>3266</v>
      </c>
      <c r="V652" s="422"/>
    </row>
    <row r="653" spans="1:22" ht="15.75" hidden="1" thickBot="1" x14ac:dyDescent="0.3">
      <c r="A653" s="529" t="s">
        <v>4595</v>
      </c>
      <c r="B653" s="529" t="s">
        <v>4595</v>
      </c>
      <c r="C653" s="424" t="str">
        <f t="shared" si="36"/>
        <v>X</v>
      </c>
      <c r="D653" s="422">
        <v>2022</v>
      </c>
      <c r="E653" s="250" t="s">
        <v>3499</v>
      </c>
      <c r="F653" s="250" t="s">
        <v>3566</v>
      </c>
      <c r="G653" s="422" t="s">
        <v>42</v>
      </c>
      <c r="H653" s="424" t="s">
        <v>42</v>
      </c>
      <c r="I653" s="532">
        <v>200127</v>
      </c>
      <c r="J653" s="425" t="str">
        <f>INDEX(aux!B:B,MATCH(I653,aux!A:A,0))</f>
        <v>Tintas, produtos adesivos, colas e resinas, contendo substâncias perigosas</v>
      </c>
      <c r="K653" s="433" t="str">
        <f>INDEX(aux!C:C,MATCH(I653,aux!A:A,0))</f>
        <v>Sim</v>
      </c>
      <c r="L653" s="646">
        <v>78</v>
      </c>
      <c r="M653" s="535" t="s">
        <v>557</v>
      </c>
      <c r="N653" s="139">
        <f t="shared" si="37"/>
        <v>78</v>
      </c>
      <c r="O653" s="538" t="s">
        <v>473</v>
      </c>
      <c r="P653" s="231" t="str">
        <f t="shared" si="38"/>
        <v>Reciclagem</v>
      </c>
      <c r="Q653" s="541" t="s">
        <v>1901</v>
      </c>
      <c r="R653" s="541" t="s">
        <v>1892</v>
      </c>
      <c r="S653" s="528" t="str">
        <f>IFERROR(INDEX(Tabela3[Tipos de Tratamento],MATCH('A3.9.1 copy'!O413,Tabela3[Código],0)),"")</f>
        <v xml:space="preserve">Troca de resíduos com vista a submetê-los a uma das operações enumeradas de R 1 a R 11 </v>
      </c>
      <c r="T653" s="458" t="s">
        <v>3263</v>
      </c>
      <c r="U653" s="458" t="s">
        <v>3266</v>
      </c>
      <c r="V653" s="93"/>
    </row>
    <row r="654" spans="1:22" ht="15.75" thickBot="1" x14ac:dyDescent="0.3">
      <c r="A654" s="422" t="s">
        <v>4595</v>
      </c>
      <c r="B654" s="422" t="s">
        <v>4595</v>
      </c>
      <c r="C654" s="424" t="str">
        <f t="shared" si="36"/>
        <v>X</v>
      </c>
      <c r="D654" s="422">
        <v>2023</v>
      </c>
      <c r="E654" s="250" t="s">
        <v>3499</v>
      </c>
      <c r="F654" s="250" t="s">
        <v>3566</v>
      </c>
      <c r="G654" s="422" t="s">
        <v>42</v>
      </c>
      <c r="H654" s="424" t="s">
        <v>42</v>
      </c>
      <c r="I654" s="487">
        <v>160504</v>
      </c>
      <c r="J654" s="425" t="str">
        <f>INDEX(aux!B:B,MATCH(I654,aux!A:A,0))</f>
        <v>Gases em recipientes sob pressão (incluindo halons) contendo substâncias perigosas</v>
      </c>
      <c r="K654" s="433" t="str">
        <f>INDEX(aux!C:C,MATCH(I654,aux!A:A,0))</f>
        <v>Sim</v>
      </c>
      <c r="L654" s="259">
        <v>36</v>
      </c>
      <c r="M654" s="428" t="s">
        <v>557</v>
      </c>
      <c r="N654" s="139">
        <f t="shared" si="37"/>
        <v>36</v>
      </c>
      <c r="O654" s="422" t="s">
        <v>509</v>
      </c>
      <c r="P654" s="231" t="str">
        <f t="shared" si="38"/>
        <v>Aterro</v>
      </c>
      <c r="Q654" s="541" t="s">
        <v>1901</v>
      </c>
      <c r="R654" s="541" t="s">
        <v>1892</v>
      </c>
      <c r="S654" s="94" t="s">
        <v>1556</v>
      </c>
      <c r="T654" s="422" t="s">
        <v>3263</v>
      </c>
      <c r="U654" s="422" t="s">
        <v>6297</v>
      </c>
      <c r="V654" s="422"/>
    </row>
    <row r="655" spans="1:22" ht="15.75" thickBot="1" x14ac:dyDescent="0.3">
      <c r="A655" s="422" t="s">
        <v>4595</v>
      </c>
      <c r="B655" s="422" t="s">
        <v>4595</v>
      </c>
      <c r="C655" s="424" t="str">
        <f t="shared" si="36"/>
        <v>X</v>
      </c>
      <c r="D655" s="422">
        <v>2023</v>
      </c>
      <c r="E655" s="250" t="s">
        <v>3499</v>
      </c>
      <c r="F655" s="250" t="s">
        <v>3566</v>
      </c>
      <c r="G655" s="422" t="s">
        <v>42</v>
      </c>
      <c r="H655" s="424" t="s">
        <v>42</v>
      </c>
      <c r="I655" s="487">
        <v>200121</v>
      </c>
      <c r="J655" s="425" t="str">
        <f>INDEX(aux!B:B,MATCH(I655,aux!A:A,0))</f>
        <v>(*) Lâmpadas fluorescentes e outros resíduos contendo mercúrio</v>
      </c>
      <c r="K655" s="433" t="str">
        <f>INDEX(aux!C:C,MATCH(I655,aux!A:A,0))</f>
        <v>Sim</v>
      </c>
      <c r="L655" s="259">
        <v>155</v>
      </c>
      <c r="M655" s="428" t="s">
        <v>557</v>
      </c>
      <c r="N655" s="139">
        <f t="shared" si="37"/>
        <v>155</v>
      </c>
      <c r="O655" s="422" t="s">
        <v>484</v>
      </c>
      <c r="P655" s="231" t="str">
        <f t="shared" si="38"/>
        <v>Reciclagem</v>
      </c>
      <c r="Q655" s="541" t="s">
        <v>1901</v>
      </c>
      <c r="R655" s="541" t="s">
        <v>1892</v>
      </c>
      <c r="S655" s="544" t="s">
        <v>1553</v>
      </c>
      <c r="T655" s="93" t="s">
        <v>3263</v>
      </c>
      <c r="U655" s="93" t="s">
        <v>6297</v>
      </c>
      <c r="V655" s="93"/>
    </row>
    <row r="656" spans="1:22" ht="15.75" thickBot="1" x14ac:dyDescent="0.3">
      <c r="A656" s="422" t="s">
        <v>4595</v>
      </c>
      <c r="B656" s="422" t="s">
        <v>4595</v>
      </c>
      <c r="C656" s="424" t="str">
        <f t="shared" si="36"/>
        <v>X</v>
      </c>
      <c r="D656" s="422">
        <v>2023</v>
      </c>
      <c r="E656" s="250" t="s">
        <v>3499</v>
      </c>
      <c r="F656" s="250" t="s">
        <v>3566</v>
      </c>
      <c r="G656" s="422" t="s">
        <v>42</v>
      </c>
      <c r="H656" s="424" t="s">
        <v>42</v>
      </c>
      <c r="I656" s="487">
        <v>200127</v>
      </c>
      <c r="J656" s="425" t="str">
        <f>INDEX(aux!B:B,MATCH(I656,aux!A:A,0))</f>
        <v>Tintas, produtos adesivos, colas e resinas, contendo substâncias perigosas</v>
      </c>
      <c r="K656" s="433" t="str">
        <f>INDEX(aux!C:C,MATCH(I656,aux!A:A,0))</f>
        <v>Sim</v>
      </c>
      <c r="L656" s="259">
        <v>38</v>
      </c>
      <c r="M656" s="428" t="s">
        <v>557</v>
      </c>
      <c r="N656" s="139">
        <f t="shared" si="37"/>
        <v>38</v>
      </c>
      <c r="O656" s="422" t="s">
        <v>473</v>
      </c>
      <c r="P656" s="231" t="str">
        <f t="shared" si="38"/>
        <v>Reciclagem</v>
      </c>
      <c r="Q656" s="541" t="s">
        <v>1901</v>
      </c>
      <c r="R656" s="541" t="s">
        <v>1892</v>
      </c>
      <c r="S656" s="544" t="s">
        <v>488</v>
      </c>
      <c r="T656" s="93" t="s">
        <v>3263</v>
      </c>
      <c r="U656" s="93" t="s">
        <v>6297</v>
      </c>
      <c r="V656" s="93"/>
    </row>
    <row r="657" spans="1:22" ht="15.75" thickBot="1" x14ac:dyDescent="0.3">
      <c r="A657" s="93" t="s">
        <v>4595</v>
      </c>
      <c r="B657" s="93" t="s">
        <v>4595</v>
      </c>
      <c r="C657" s="424" t="str">
        <f t="shared" si="36"/>
        <v>X</v>
      </c>
      <c r="D657" s="422">
        <v>2023</v>
      </c>
      <c r="E657" s="250" t="s">
        <v>3499</v>
      </c>
      <c r="F657" s="250" t="s">
        <v>3566</v>
      </c>
      <c r="G657" s="422" t="s">
        <v>42</v>
      </c>
      <c r="H657" s="424" t="s">
        <v>42</v>
      </c>
      <c r="I657" s="522">
        <v>130502</v>
      </c>
      <c r="J657" s="425" t="str">
        <f>INDEX(aux!B:B,MATCH(I657,aux!A:A,0))</f>
        <v>(*) Lamas provenientes dos separadores óleo/água</v>
      </c>
      <c r="K657" s="433" t="str">
        <f>INDEX(aux!C:C,MATCH(I657,aux!A:A,0))</f>
        <v>Sim</v>
      </c>
      <c r="L657" s="360">
        <v>3.1</v>
      </c>
      <c r="M657" s="359" t="s">
        <v>1532</v>
      </c>
      <c r="N657" s="139">
        <f t="shared" si="37"/>
        <v>3100</v>
      </c>
      <c r="O657" s="93" t="s">
        <v>503</v>
      </c>
      <c r="P657" s="231" t="str">
        <f t="shared" si="38"/>
        <v>Aterro</v>
      </c>
      <c r="Q657" s="541" t="s">
        <v>1901</v>
      </c>
      <c r="R657" s="541" t="s">
        <v>1892</v>
      </c>
      <c r="S657" s="544" t="s">
        <v>518</v>
      </c>
      <c r="T657" s="93" t="s">
        <v>3263</v>
      </c>
      <c r="U657" s="93" t="s">
        <v>3263</v>
      </c>
      <c r="V657" s="93"/>
    </row>
    <row r="658" spans="1:22" ht="15.75" thickBot="1" x14ac:dyDescent="0.3">
      <c r="A658" s="93" t="s">
        <v>4595</v>
      </c>
      <c r="B658" s="93" t="s">
        <v>4595</v>
      </c>
      <c r="C658" s="424" t="str">
        <f t="shared" si="36"/>
        <v>X</v>
      </c>
      <c r="D658" s="422">
        <v>2023</v>
      </c>
      <c r="E658" s="250" t="s">
        <v>3499</v>
      </c>
      <c r="F658" s="250" t="s">
        <v>3566</v>
      </c>
      <c r="G658" s="422" t="s">
        <v>42</v>
      </c>
      <c r="H658" s="424" t="s">
        <v>42</v>
      </c>
      <c r="I658" s="522">
        <v>130502</v>
      </c>
      <c r="J658" s="425" t="str">
        <f>INDEX(aux!B:B,MATCH(I658,aux!A:A,0))</f>
        <v>(*) Lamas provenientes dos separadores óleo/água</v>
      </c>
      <c r="K658" s="433" t="str">
        <f>INDEX(aux!C:C,MATCH(I658,aux!A:A,0))</f>
        <v>Sim</v>
      </c>
      <c r="L658" s="360">
        <v>500</v>
      </c>
      <c r="M658" s="359" t="s">
        <v>557</v>
      </c>
      <c r="N658" s="139">
        <f t="shared" si="37"/>
        <v>500</v>
      </c>
      <c r="O658" s="93" t="s">
        <v>503</v>
      </c>
      <c r="P658" s="231" t="str">
        <f t="shared" si="38"/>
        <v>Aterro</v>
      </c>
      <c r="Q658" s="541" t="s">
        <v>1901</v>
      </c>
      <c r="R658" s="541" t="s">
        <v>1892</v>
      </c>
      <c r="S658" s="544" t="s">
        <v>518</v>
      </c>
      <c r="T658" s="93" t="s">
        <v>3263</v>
      </c>
      <c r="U658" s="93" t="s">
        <v>3263</v>
      </c>
      <c r="V658" s="93"/>
    </row>
    <row r="659" spans="1:22" ht="15.75" thickBot="1" x14ac:dyDescent="0.3">
      <c r="A659" s="93" t="s">
        <v>4595</v>
      </c>
      <c r="B659" s="93" t="s">
        <v>4595</v>
      </c>
      <c r="C659" s="424" t="str">
        <f t="shared" si="36"/>
        <v>X</v>
      </c>
      <c r="D659" s="422">
        <v>2023</v>
      </c>
      <c r="E659" s="250" t="s">
        <v>3499</v>
      </c>
      <c r="F659" s="250" t="s">
        <v>3566</v>
      </c>
      <c r="G659" s="422" t="s">
        <v>42</v>
      </c>
      <c r="H659" s="424" t="s">
        <v>42</v>
      </c>
      <c r="I659" s="522">
        <v>130507</v>
      </c>
      <c r="J659" s="425" t="str">
        <f>INDEX(aux!B:B,MATCH(I659,aux!A:A,0))</f>
        <v>(*) Água com óleo proveniente dos separadores óleo/água</v>
      </c>
      <c r="K659" s="433" t="str">
        <f>INDEX(aux!C:C,MATCH(I659,aux!A:A,0))</f>
        <v>Sim</v>
      </c>
      <c r="L659" s="360">
        <v>2.9</v>
      </c>
      <c r="M659" s="359" t="s">
        <v>1532</v>
      </c>
      <c r="N659" s="139">
        <f t="shared" si="37"/>
        <v>2900</v>
      </c>
      <c r="O659" s="93" t="s">
        <v>503</v>
      </c>
      <c r="P659" s="231" t="str">
        <f t="shared" si="38"/>
        <v>Aterro</v>
      </c>
      <c r="Q659" s="541" t="s">
        <v>1901</v>
      </c>
      <c r="R659" s="541" t="s">
        <v>1892</v>
      </c>
      <c r="S659" s="544" t="s">
        <v>518</v>
      </c>
      <c r="T659" s="93" t="s">
        <v>3263</v>
      </c>
      <c r="U659" s="93" t="s">
        <v>3263</v>
      </c>
      <c r="V659" s="422"/>
    </row>
    <row r="660" spans="1:22" ht="15.75" thickBot="1" x14ac:dyDescent="0.3">
      <c r="A660" s="93" t="s">
        <v>4595</v>
      </c>
      <c r="B660" s="93" t="s">
        <v>4595</v>
      </c>
      <c r="C660" s="424" t="str">
        <f t="shared" si="36"/>
        <v>X</v>
      </c>
      <c r="D660" s="422">
        <v>2023</v>
      </c>
      <c r="E660" s="250" t="s">
        <v>3499</v>
      </c>
      <c r="F660" s="250" t="s">
        <v>3566</v>
      </c>
      <c r="G660" s="422" t="s">
        <v>42</v>
      </c>
      <c r="H660" s="424" t="s">
        <v>42</v>
      </c>
      <c r="I660" s="522">
        <v>130507</v>
      </c>
      <c r="J660" s="425" t="str">
        <f>INDEX(aux!B:B,MATCH(I660,aux!A:A,0))</f>
        <v>(*) Água com óleo proveniente dos separadores óleo/água</v>
      </c>
      <c r="K660" s="433" t="str">
        <f>INDEX(aux!C:C,MATCH(I660,aux!A:A,0))</f>
        <v>Sim</v>
      </c>
      <c r="L660" s="360">
        <v>2700</v>
      </c>
      <c r="M660" s="359" t="s">
        <v>557</v>
      </c>
      <c r="N660" s="139">
        <f t="shared" si="37"/>
        <v>2700</v>
      </c>
      <c r="O660" s="93" t="s">
        <v>503</v>
      </c>
      <c r="P660" s="231" t="str">
        <f t="shared" si="38"/>
        <v>Aterro</v>
      </c>
      <c r="Q660" s="541" t="s">
        <v>1901</v>
      </c>
      <c r="R660" s="541" t="s">
        <v>1892</v>
      </c>
      <c r="S660" s="544" t="s">
        <v>518</v>
      </c>
      <c r="T660" s="93" t="s">
        <v>3263</v>
      </c>
      <c r="U660" s="93" t="s">
        <v>3263</v>
      </c>
      <c r="V660" s="422"/>
    </row>
    <row r="661" spans="1:22" ht="15.75" thickBot="1" x14ac:dyDescent="0.3">
      <c r="A661" s="422" t="s">
        <v>4595</v>
      </c>
      <c r="B661" s="422" t="s">
        <v>4595</v>
      </c>
      <c r="C661" s="424" t="str">
        <f t="shared" si="36"/>
        <v>X</v>
      </c>
      <c r="D661" s="422">
        <v>2023</v>
      </c>
      <c r="E661" s="250" t="s">
        <v>3499</v>
      </c>
      <c r="F661" s="250" t="s">
        <v>3566</v>
      </c>
      <c r="G661" s="422" t="s">
        <v>42</v>
      </c>
      <c r="H661" s="424" t="s">
        <v>42</v>
      </c>
      <c r="I661" s="487">
        <v>160199</v>
      </c>
      <c r="J661" s="425" t="str">
        <f>INDEX(aux!B:B,MATCH(I661,aux!A:A,0))</f>
        <v>Resíduos sem outras especificações</v>
      </c>
      <c r="K661" s="433" t="str">
        <f>INDEX(aux!C:C,MATCH(I661,aux!A:A,0))</f>
        <v>Não</v>
      </c>
      <c r="L661" s="259">
        <v>3615</v>
      </c>
      <c r="M661" s="428" t="s">
        <v>557</v>
      </c>
      <c r="N661" s="139">
        <f t="shared" si="37"/>
        <v>3615</v>
      </c>
      <c r="O661" s="422" t="s">
        <v>509</v>
      </c>
      <c r="P661" s="231" t="str">
        <f t="shared" si="38"/>
        <v>Aterro</v>
      </c>
      <c r="Q661" s="541" t="s">
        <v>1901</v>
      </c>
      <c r="R661" s="541" t="s">
        <v>1892</v>
      </c>
      <c r="S661" s="94" t="s">
        <v>1556</v>
      </c>
      <c r="T661" s="422" t="s">
        <v>3263</v>
      </c>
      <c r="U661" s="422" t="s">
        <v>3272</v>
      </c>
      <c r="V661" s="422"/>
    </row>
    <row r="662" spans="1:22" ht="15.75" thickBot="1" x14ac:dyDescent="0.3">
      <c r="A662" s="93" t="s">
        <v>4595</v>
      </c>
      <c r="B662" s="93" t="s">
        <v>4595</v>
      </c>
      <c r="C662" s="424" t="str">
        <f t="shared" si="36"/>
        <v>X</v>
      </c>
      <c r="D662" s="422">
        <v>2023</v>
      </c>
      <c r="E662" s="250" t="s">
        <v>3499</v>
      </c>
      <c r="F662" s="250" t="s">
        <v>3566</v>
      </c>
      <c r="G662" s="422" t="s">
        <v>42</v>
      </c>
      <c r="H662" s="424" t="s">
        <v>42</v>
      </c>
      <c r="I662" s="522">
        <v>150110</v>
      </c>
      <c r="J662" s="425" t="str">
        <f>INDEX(aux!B:B,MATCH(I662,aux!A:A,0))</f>
        <v>(*) Embalagens contendo ou contaminadas por resíduos de substâncias perigosas</v>
      </c>
      <c r="K662" s="433" t="str">
        <f>INDEX(aux!C:C,MATCH(I662,aux!A:A,0))</f>
        <v>Sim</v>
      </c>
      <c r="L662" s="360">
        <v>56</v>
      </c>
      <c r="M662" s="359" t="s">
        <v>557</v>
      </c>
      <c r="N662" s="139">
        <f t="shared" si="37"/>
        <v>56</v>
      </c>
      <c r="O662" s="93" t="s">
        <v>509</v>
      </c>
      <c r="P662" s="231" t="str">
        <f t="shared" si="38"/>
        <v>Aterro</v>
      </c>
      <c r="Q662" s="541" t="s">
        <v>1901</v>
      </c>
      <c r="R662" s="541" t="s">
        <v>1892</v>
      </c>
      <c r="S662" s="544" t="s">
        <v>1556</v>
      </c>
      <c r="T662" s="93" t="s">
        <v>3263</v>
      </c>
      <c r="U662" s="93" t="s">
        <v>6297</v>
      </c>
      <c r="V662" s="422"/>
    </row>
    <row r="663" spans="1:22" ht="15.75" thickBot="1" x14ac:dyDescent="0.3">
      <c r="A663" s="673" t="s">
        <v>4595</v>
      </c>
      <c r="B663" s="673" t="s">
        <v>4595</v>
      </c>
      <c r="C663" s="424" t="str">
        <f t="shared" si="36"/>
        <v>X</v>
      </c>
      <c r="D663" s="422">
        <v>2023</v>
      </c>
      <c r="E663" s="250" t="s">
        <v>3499</v>
      </c>
      <c r="F663" s="250" t="s">
        <v>3566</v>
      </c>
      <c r="G663" s="422" t="s">
        <v>42</v>
      </c>
      <c r="H663" s="424" t="s">
        <v>42</v>
      </c>
      <c r="I663" s="522">
        <v>130502</v>
      </c>
      <c r="J663" s="425" t="str">
        <f>INDEX(aux!B:B,MATCH(I663,aux!A:A,0))</f>
        <v>(*) Lamas provenientes dos separadores óleo/água</v>
      </c>
      <c r="K663" s="433" t="str">
        <f>INDEX(aux!C:C,MATCH(I663,aux!A:A,0))</f>
        <v>Sim</v>
      </c>
      <c r="L663" s="360">
        <v>500</v>
      </c>
      <c r="M663" s="359" t="s">
        <v>557</v>
      </c>
      <c r="N663" s="139">
        <f t="shared" si="37"/>
        <v>500</v>
      </c>
      <c r="O663" s="93" t="s">
        <v>503</v>
      </c>
      <c r="P663" s="231" t="str">
        <f t="shared" si="38"/>
        <v>Aterro</v>
      </c>
      <c r="Q663" s="541" t="s">
        <v>1901</v>
      </c>
      <c r="R663" s="541" t="s">
        <v>1892</v>
      </c>
      <c r="S663" s="544" t="s">
        <v>518</v>
      </c>
      <c r="T663" s="93" t="s">
        <v>3263</v>
      </c>
      <c r="U663" s="93" t="s">
        <v>3263</v>
      </c>
      <c r="V663" s="93"/>
    </row>
    <row r="664" spans="1:22" ht="15.75" thickBot="1" x14ac:dyDescent="0.3">
      <c r="A664" s="93" t="s">
        <v>4595</v>
      </c>
      <c r="B664" s="93" t="s">
        <v>4595</v>
      </c>
      <c r="C664" s="424" t="str">
        <f t="shared" si="36"/>
        <v>X</v>
      </c>
      <c r="D664" s="422">
        <v>2023</v>
      </c>
      <c r="E664" s="250" t="s">
        <v>3499</v>
      </c>
      <c r="F664" s="250" t="s">
        <v>3566</v>
      </c>
      <c r="G664" s="422" t="s">
        <v>42</v>
      </c>
      <c r="H664" s="424" t="s">
        <v>42</v>
      </c>
      <c r="I664" s="522">
        <v>130507</v>
      </c>
      <c r="J664" s="425" t="str">
        <f>INDEX(aux!B:B,MATCH(I664,aux!A:A,0))</f>
        <v>(*) Água com óleo proveniente dos separadores óleo/água</v>
      </c>
      <c r="K664" s="433" t="str">
        <f>INDEX(aux!C:C,MATCH(I664,aux!A:A,0))</f>
        <v>Sim</v>
      </c>
      <c r="L664" s="360">
        <v>2700</v>
      </c>
      <c r="M664" s="359" t="s">
        <v>557</v>
      </c>
      <c r="N664" s="139">
        <f t="shared" si="37"/>
        <v>2700</v>
      </c>
      <c r="O664" s="93" t="s">
        <v>503</v>
      </c>
      <c r="P664" s="231" t="str">
        <f t="shared" si="38"/>
        <v>Aterro</v>
      </c>
      <c r="Q664" s="541" t="s">
        <v>1901</v>
      </c>
      <c r="R664" s="541" t="s">
        <v>1892</v>
      </c>
      <c r="S664" s="544" t="s">
        <v>518</v>
      </c>
      <c r="T664" s="93" t="s">
        <v>3263</v>
      </c>
      <c r="U664" s="93" t="s">
        <v>3263</v>
      </c>
      <c r="V664" s="93"/>
    </row>
    <row r="665" spans="1:22" ht="15.75" thickBot="1" x14ac:dyDescent="0.3">
      <c r="A665" s="93" t="s">
        <v>4595</v>
      </c>
      <c r="B665" s="93" t="s">
        <v>4595</v>
      </c>
      <c r="C665" s="424" t="str">
        <f t="shared" si="36"/>
        <v>X</v>
      </c>
      <c r="D665" s="422">
        <v>2023</v>
      </c>
      <c r="E665" s="250" t="s">
        <v>3499</v>
      </c>
      <c r="F665" s="250" t="s">
        <v>3566</v>
      </c>
      <c r="G665" s="422" t="s">
        <v>42</v>
      </c>
      <c r="H665" s="424" t="s">
        <v>42</v>
      </c>
      <c r="I665" s="522">
        <v>150203</v>
      </c>
      <c r="J665" s="425" t="str">
        <f>INDEX(aux!B:B,MATCH(I665,aux!A:A,0))</f>
        <v>Absorventes, materiais filtrantes, panos de limpeza e vestuário de proteção não abrangidos em 15 02 02</v>
      </c>
      <c r="K665" s="433" t="str">
        <f>INDEX(aux!C:C,MATCH(I665,aux!A:A,0))</f>
        <v>Não</v>
      </c>
      <c r="L665" s="360">
        <v>86</v>
      </c>
      <c r="M665" s="359" t="s">
        <v>557</v>
      </c>
      <c r="N665" s="139">
        <f t="shared" si="37"/>
        <v>86</v>
      </c>
      <c r="O665" s="93" t="s">
        <v>509</v>
      </c>
      <c r="P665" s="231" t="str">
        <f t="shared" si="38"/>
        <v>Aterro</v>
      </c>
      <c r="Q665" s="541" t="s">
        <v>1901</v>
      </c>
      <c r="R665" s="541" t="s">
        <v>1892</v>
      </c>
      <c r="S665" s="544" t="s">
        <v>1556</v>
      </c>
      <c r="T665" s="93" t="s">
        <v>3263</v>
      </c>
      <c r="U665" s="93" t="s">
        <v>3263</v>
      </c>
      <c r="V665" s="93"/>
    </row>
    <row r="666" spans="1:22" ht="15.75" thickBot="1" x14ac:dyDescent="0.3">
      <c r="A666" s="93" t="s">
        <v>4595</v>
      </c>
      <c r="B666" s="93" t="s">
        <v>4595</v>
      </c>
      <c r="C666" s="424" t="str">
        <f t="shared" si="36"/>
        <v>X</v>
      </c>
      <c r="D666" s="422">
        <v>2023</v>
      </c>
      <c r="E666" s="250" t="s">
        <v>3499</v>
      </c>
      <c r="F666" s="250" t="s">
        <v>3566</v>
      </c>
      <c r="G666" s="422" t="s">
        <v>42</v>
      </c>
      <c r="H666" s="424" t="s">
        <v>42</v>
      </c>
      <c r="I666" s="522">
        <v>150202</v>
      </c>
      <c r="J666" s="425" t="str">
        <f>INDEX(aux!B:B,MATCH(I666,aux!A:A,0))</f>
        <v>(*) Absorventes, materiais filtrantes (incluindo filtros de óleo sem outras especificações), panos de limpeza e vestuário de proteção, contaminados por substâncias perigosas</v>
      </c>
      <c r="K666" s="433" t="str">
        <f>INDEX(aux!C:C,MATCH(I666,aux!A:A,0))</f>
        <v>Sim</v>
      </c>
      <c r="L666" s="360">
        <v>194</v>
      </c>
      <c r="M666" s="359" t="s">
        <v>557</v>
      </c>
      <c r="N666" s="139">
        <f t="shared" si="37"/>
        <v>194</v>
      </c>
      <c r="O666" s="93" t="s">
        <v>509</v>
      </c>
      <c r="P666" s="231" t="str">
        <f t="shared" si="38"/>
        <v>Aterro</v>
      </c>
      <c r="Q666" s="541" t="s">
        <v>1901</v>
      </c>
      <c r="R666" s="541" t="s">
        <v>1892</v>
      </c>
      <c r="S666" s="544" t="s">
        <v>1556</v>
      </c>
      <c r="T666" s="93" t="s">
        <v>3263</v>
      </c>
      <c r="U666" s="93" t="s">
        <v>6297</v>
      </c>
      <c r="V666" s="93"/>
    </row>
    <row r="667" spans="1:22" ht="15.75" thickBot="1" x14ac:dyDescent="0.3">
      <c r="A667" s="422" t="s">
        <v>4595</v>
      </c>
      <c r="B667" s="93" t="s">
        <v>4595</v>
      </c>
      <c r="C667" s="424" t="str">
        <f t="shared" si="36"/>
        <v>X</v>
      </c>
      <c r="D667" s="422">
        <v>2023</v>
      </c>
      <c r="E667" s="250" t="s">
        <v>3499</v>
      </c>
      <c r="F667" s="250" t="s">
        <v>3566</v>
      </c>
      <c r="G667" s="422" t="s">
        <v>42</v>
      </c>
      <c r="H667" s="424" t="s">
        <v>42</v>
      </c>
      <c r="I667" s="522">
        <v>160107</v>
      </c>
      <c r="J667" s="425" t="str">
        <f>INDEX(aux!B:B,MATCH(I667,aux!A:A,0))</f>
        <v>(*) Filtros de óleo</v>
      </c>
      <c r="K667" s="433" t="str">
        <f>INDEX(aux!C:C,MATCH(I667,aux!A:A,0))</f>
        <v>Sim</v>
      </c>
      <c r="L667" s="360">
        <v>706</v>
      </c>
      <c r="M667" s="359" t="s">
        <v>557</v>
      </c>
      <c r="N667" s="139">
        <f t="shared" si="37"/>
        <v>706</v>
      </c>
      <c r="O667" s="93" t="s">
        <v>484</v>
      </c>
      <c r="P667" s="231" t="str">
        <f t="shared" si="38"/>
        <v>Reciclagem</v>
      </c>
      <c r="Q667" s="541" t="s">
        <v>1901</v>
      </c>
      <c r="R667" s="541" t="s">
        <v>1892</v>
      </c>
      <c r="S667" s="544" t="s">
        <v>1553</v>
      </c>
      <c r="T667" s="93" t="s">
        <v>3263</v>
      </c>
      <c r="U667" s="93" t="s">
        <v>6297</v>
      </c>
      <c r="V667" s="93"/>
    </row>
    <row r="668" spans="1:22" ht="15.75" hidden="1" thickBot="1" x14ac:dyDescent="0.3">
      <c r="A668" s="529" t="s">
        <v>4595</v>
      </c>
      <c r="B668" s="529" t="s">
        <v>4595</v>
      </c>
      <c r="C668" s="424" t="str">
        <f t="shared" si="36"/>
        <v>X</v>
      </c>
      <c r="D668" s="422">
        <v>2022</v>
      </c>
      <c r="E668" s="250" t="s">
        <v>3499</v>
      </c>
      <c r="F668" s="250" t="s">
        <v>3566</v>
      </c>
      <c r="G668" s="422" t="s">
        <v>42</v>
      </c>
      <c r="H668" s="424" t="s">
        <v>42</v>
      </c>
      <c r="I668" s="532">
        <v>200306</v>
      </c>
      <c r="J668" s="425" t="str">
        <f>INDEX(aux!B:B,MATCH(I668,aux!A:A,0))</f>
        <v>Resíduos da limpeza de esgotos</v>
      </c>
      <c r="K668" s="433" t="str">
        <f>INDEX(aux!C:C,MATCH(I668,aux!A:A,0))</f>
        <v>Não</v>
      </c>
      <c r="L668" s="646">
        <v>7300</v>
      </c>
      <c r="M668" s="535" t="s">
        <v>557</v>
      </c>
      <c r="N668" s="139">
        <f t="shared" si="37"/>
        <v>7300</v>
      </c>
      <c r="O668" s="538" t="s">
        <v>509</v>
      </c>
      <c r="P668" s="231" t="str">
        <f t="shared" si="38"/>
        <v>Aterro</v>
      </c>
      <c r="Q668" s="541" t="s">
        <v>1908</v>
      </c>
      <c r="R668" s="541" t="s">
        <v>1877</v>
      </c>
      <c r="S668" s="528" t="str">
        <f>IFERROR(INDEX(Tabela3[Tipos de Tratamento],MATCH('A3.9.1 copy'!O476,Tabela3[Código],0)),"")</f>
        <v>Acumulação de resíduos destinados a uma das operações enumeradas de R1 a R12</v>
      </c>
      <c r="T668" s="458" t="s">
        <v>3263</v>
      </c>
      <c r="U668" s="458" t="s">
        <v>3264</v>
      </c>
      <c r="V668" s="93"/>
    </row>
    <row r="669" spans="1:22" ht="15.75" hidden="1" thickBot="1" x14ac:dyDescent="0.3">
      <c r="A669" s="529" t="s">
        <v>4595</v>
      </c>
      <c r="B669" s="529" t="s">
        <v>4595</v>
      </c>
      <c r="C669" s="424" t="str">
        <f t="shared" si="36"/>
        <v>X</v>
      </c>
      <c r="D669" s="422">
        <v>2022</v>
      </c>
      <c r="E669" s="250" t="s">
        <v>3499</v>
      </c>
      <c r="F669" s="250" t="s">
        <v>3566</v>
      </c>
      <c r="G669" s="422" t="s">
        <v>42</v>
      </c>
      <c r="H669" s="424" t="s">
        <v>42</v>
      </c>
      <c r="I669" s="532">
        <v>160104</v>
      </c>
      <c r="J669" s="425" t="str">
        <f>INDEX(aux!B:B,MATCH(I669,aux!A:A,0))</f>
        <v>Veículos em fim de vida</v>
      </c>
      <c r="K669" s="433" t="str">
        <f>INDEX(aux!C:C,MATCH(I669,aux!A:A,0))</f>
        <v>Sim</v>
      </c>
      <c r="L669" s="646">
        <v>19.32</v>
      </c>
      <c r="M669" s="535" t="s">
        <v>1532</v>
      </c>
      <c r="N669" s="139">
        <f t="shared" si="37"/>
        <v>19320</v>
      </c>
      <c r="O669" s="538" t="s">
        <v>483</v>
      </c>
      <c r="P669" s="231" t="str">
        <f t="shared" si="38"/>
        <v>Reciclagem</v>
      </c>
      <c r="Q669" s="541" t="s">
        <v>1907</v>
      </c>
      <c r="R669" s="541" t="s">
        <v>1903</v>
      </c>
      <c r="S669" s="528" t="str">
        <f>IFERROR(INDEX(Tabela3[Tipos de Tratamento],MATCH('A3.9.1 copy'!O403,Tabela3[Código],0)),"")</f>
        <v xml:space="preserve">Troca de resíduos com vista a submetê-los a uma das operações enumeradas de R 1 a R 11 </v>
      </c>
      <c r="T669" s="458" t="s">
        <v>3267</v>
      </c>
      <c r="U669" s="458" t="s">
        <v>3268</v>
      </c>
      <c r="V669" s="93"/>
    </row>
    <row r="670" spans="1:22" ht="15.75" hidden="1" thickBot="1" x14ac:dyDescent="0.3">
      <c r="A670" s="529" t="s">
        <v>4595</v>
      </c>
      <c r="B670" s="529" t="s">
        <v>4595</v>
      </c>
      <c r="C670" s="424" t="str">
        <f t="shared" si="36"/>
        <v>X</v>
      </c>
      <c r="D670" s="422">
        <v>2022</v>
      </c>
      <c r="E670" s="250" t="s">
        <v>3499</v>
      </c>
      <c r="F670" s="250" t="s">
        <v>3566</v>
      </c>
      <c r="G670" s="422" t="s">
        <v>42</v>
      </c>
      <c r="H670" s="424" t="s">
        <v>42</v>
      </c>
      <c r="I670" s="532">
        <v>160104</v>
      </c>
      <c r="J670" s="425" t="str">
        <f>INDEX(aux!B:B,MATCH(I670,aux!A:A,0))</f>
        <v>Veículos em fim de vida</v>
      </c>
      <c r="K670" s="433" t="str">
        <f>INDEX(aux!C:C,MATCH(I670,aux!A:A,0))</f>
        <v>Sim</v>
      </c>
      <c r="L670" s="646">
        <v>10</v>
      </c>
      <c r="M670" s="535" t="s">
        <v>1532</v>
      </c>
      <c r="N670" s="139">
        <f t="shared" si="37"/>
        <v>10000</v>
      </c>
      <c r="O670" s="538" t="s">
        <v>483</v>
      </c>
      <c r="P670" s="231" t="str">
        <f t="shared" si="38"/>
        <v>Reciclagem</v>
      </c>
      <c r="Q670" s="541" t="s">
        <v>1907</v>
      </c>
      <c r="R670" s="541" t="s">
        <v>1903</v>
      </c>
      <c r="S670" s="528" t="str">
        <f>IFERROR(INDEX(Tabela3[Tipos de Tratamento],MATCH('A3.9.1 copy'!O404,Tabela3[Código],0)),"")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670" s="458" t="s">
        <v>3269</v>
      </c>
      <c r="U670" s="458" t="s">
        <v>3270</v>
      </c>
      <c r="V670" s="93"/>
    </row>
    <row r="671" spans="1:22" ht="15.75" thickBot="1" x14ac:dyDescent="0.3">
      <c r="A671" s="93" t="s">
        <v>4595</v>
      </c>
      <c r="B671" s="93" t="s">
        <v>4595</v>
      </c>
      <c r="C671" s="424" t="str">
        <f t="shared" si="36"/>
        <v>X</v>
      </c>
      <c r="D671" s="422">
        <v>2023</v>
      </c>
      <c r="E671" s="250" t="s">
        <v>3499</v>
      </c>
      <c r="F671" s="250" t="s">
        <v>3566</v>
      </c>
      <c r="G671" s="422" t="s">
        <v>42</v>
      </c>
      <c r="H671" s="424" t="s">
        <v>42</v>
      </c>
      <c r="I671" s="522">
        <v>160104</v>
      </c>
      <c r="J671" s="425" t="str">
        <f>INDEX(aux!B:B,MATCH(I671,aux!A:A,0))</f>
        <v>Veículos em fim de vida</v>
      </c>
      <c r="K671" s="433" t="str">
        <f>INDEX(aux!C:C,MATCH(I671,aux!A:A,0))</f>
        <v>Sim</v>
      </c>
      <c r="L671" s="360">
        <v>38.74</v>
      </c>
      <c r="M671" s="359" t="s">
        <v>1532</v>
      </c>
      <c r="N671" s="139">
        <f t="shared" si="37"/>
        <v>38740</v>
      </c>
      <c r="O671" s="93" t="s">
        <v>483</v>
      </c>
      <c r="P671" s="231" t="str">
        <f t="shared" si="38"/>
        <v>Reciclagem</v>
      </c>
      <c r="Q671" s="541" t="s">
        <v>1907</v>
      </c>
      <c r="R671" s="541" t="s">
        <v>6569</v>
      </c>
      <c r="S671" s="544" t="s">
        <v>485</v>
      </c>
      <c r="T671" s="93" t="s">
        <v>3267</v>
      </c>
      <c r="U671" s="93" t="s">
        <v>3268</v>
      </c>
      <c r="V671" s="93"/>
    </row>
    <row r="672" spans="1:22" ht="15.75" thickBot="1" x14ac:dyDescent="0.3">
      <c r="A672" s="93" t="s">
        <v>4595</v>
      </c>
      <c r="B672" s="93" t="s">
        <v>4595</v>
      </c>
      <c r="C672" s="424" t="str">
        <f t="shared" si="36"/>
        <v>X</v>
      </c>
      <c r="D672" s="422">
        <v>2023</v>
      </c>
      <c r="E672" s="250" t="s">
        <v>3499</v>
      </c>
      <c r="F672" s="250" t="s">
        <v>3566</v>
      </c>
      <c r="G672" s="422" t="s">
        <v>42</v>
      </c>
      <c r="H672" s="424" t="s">
        <v>42</v>
      </c>
      <c r="I672" s="522">
        <v>160104</v>
      </c>
      <c r="J672" s="425" t="str">
        <f>INDEX(aux!B:B,MATCH(I672,aux!A:A,0))</f>
        <v>Veículos em fim de vida</v>
      </c>
      <c r="K672" s="433" t="str">
        <f>INDEX(aux!C:C,MATCH(I672,aux!A:A,0))</f>
        <v>Sim</v>
      </c>
      <c r="L672" s="360">
        <v>68.239999999999995</v>
      </c>
      <c r="M672" s="359" t="s">
        <v>1532</v>
      </c>
      <c r="N672" s="139">
        <f t="shared" si="37"/>
        <v>68240</v>
      </c>
      <c r="O672" s="93" t="s">
        <v>483</v>
      </c>
      <c r="P672" s="231" t="str">
        <f t="shared" si="38"/>
        <v>Reciclagem</v>
      </c>
      <c r="Q672" s="541" t="s">
        <v>1907</v>
      </c>
      <c r="R672" s="541" t="s">
        <v>6569</v>
      </c>
      <c r="S672" s="544" t="s">
        <v>485</v>
      </c>
      <c r="T672" s="93" t="s">
        <v>3269</v>
      </c>
      <c r="U672" s="93" t="s">
        <v>3270</v>
      </c>
      <c r="V672" s="93"/>
    </row>
    <row r="673" spans="1:22" ht="15.75" hidden="1" thickBot="1" x14ac:dyDescent="0.3">
      <c r="A673" s="529" t="s">
        <v>4595</v>
      </c>
      <c r="B673" s="529" t="s">
        <v>4595</v>
      </c>
      <c r="C673" s="424" t="str">
        <f t="shared" si="36"/>
        <v>X</v>
      </c>
      <c r="D673" s="422">
        <v>2022</v>
      </c>
      <c r="E673" s="250" t="s">
        <v>3499</v>
      </c>
      <c r="F673" s="250" t="s">
        <v>3566</v>
      </c>
      <c r="G673" s="422" t="s">
        <v>42</v>
      </c>
      <c r="H673" s="424" t="s">
        <v>42</v>
      </c>
      <c r="I673" s="532">
        <v>160120</v>
      </c>
      <c r="J673" s="425" t="str">
        <f>INDEX(aux!B:B,MATCH(I673,aux!A:A,0))</f>
        <v>Vidro</v>
      </c>
      <c r="K673" s="433" t="str">
        <f>INDEX(aux!C:C,MATCH(I673,aux!A:A,0))</f>
        <v>Não</v>
      </c>
      <c r="L673" s="646">
        <v>559</v>
      </c>
      <c r="M673" s="535" t="s">
        <v>557</v>
      </c>
      <c r="N673" s="139">
        <f t="shared" si="37"/>
        <v>559</v>
      </c>
      <c r="O673" s="538" t="s">
        <v>509</v>
      </c>
      <c r="P673" s="231" t="str">
        <f t="shared" si="38"/>
        <v>Aterro</v>
      </c>
      <c r="Q673" s="541" t="s">
        <v>1561</v>
      </c>
      <c r="R673" s="541" t="s">
        <v>1903</v>
      </c>
      <c r="S673" s="528" t="str">
        <f>IFERROR(INDEX(Tabela3[Tipos de Tratamento],MATCH('A3.9.1 copy'!O408,Tabela3[Código],0)),"")</f>
        <v xml:space="preserve">Troca de resíduos com vista a submetê-los a uma das operações enumeradas de R 1 a R 11 </v>
      </c>
      <c r="T673" s="458" t="s">
        <v>3263</v>
      </c>
      <c r="U673" s="458" t="s">
        <v>3266</v>
      </c>
      <c r="V673" s="93"/>
    </row>
    <row r="674" spans="1:22" ht="15.75" thickBot="1" x14ac:dyDescent="0.3">
      <c r="A674" s="93" t="s">
        <v>4595</v>
      </c>
      <c r="B674" s="93" t="s">
        <v>4595</v>
      </c>
      <c r="C674" s="424" t="str">
        <f t="shared" si="36"/>
        <v>X</v>
      </c>
      <c r="D674" s="422">
        <v>2023</v>
      </c>
      <c r="E674" s="250" t="s">
        <v>3499</v>
      </c>
      <c r="F674" s="250" t="s">
        <v>3566</v>
      </c>
      <c r="G674" s="422" t="s">
        <v>42</v>
      </c>
      <c r="H674" s="424" t="s">
        <v>42</v>
      </c>
      <c r="I674" s="522">
        <v>160120</v>
      </c>
      <c r="J674" s="425" t="str">
        <f>INDEX(aux!B:B,MATCH(I674,aux!A:A,0))</f>
        <v>Vidro</v>
      </c>
      <c r="K674" s="433" t="str">
        <f>INDEX(aux!C:C,MATCH(I674,aux!A:A,0))</f>
        <v>Não</v>
      </c>
      <c r="L674" s="360">
        <v>230</v>
      </c>
      <c r="M674" s="359" t="s">
        <v>557</v>
      </c>
      <c r="N674" s="139">
        <f t="shared" si="37"/>
        <v>230</v>
      </c>
      <c r="O674" s="93" t="s">
        <v>509</v>
      </c>
      <c r="P674" s="231" t="str">
        <f t="shared" si="38"/>
        <v>Aterro</v>
      </c>
      <c r="Q674" s="541" t="s">
        <v>1561</v>
      </c>
      <c r="R674" s="541" t="s">
        <v>6569</v>
      </c>
      <c r="S674" s="544" t="s">
        <v>1556</v>
      </c>
      <c r="T674" s="93" t="s">
        <v>3263</v>
      </c>
      <c r="U674" s="93" t="s">
        <v>6297</v>
      </c>
      <c r="V674" s="93"/>
    </row>
    <row r="675" spans="1:22" ht="15.75" hidden="1" thickBot="1" x14ac:dyDescent="0.3">
      <c r="A675" s="93" t="s">
        <v>1913</v>
      </c>
      <c r="B675" s="93" t="s">
        <v>1913</v>
      </c>
      <c r="C675" s="424" t="str">
        <f t="shared" si="36"/>
        <v>X</v>
      </c>
      <c r="D675" s="422">
        <v>2022</v>
      </c>
      <c r="E675" s="250" t="s">
        <v>3499</v>
      </c>
      <c r="F675" s="250" t="s">
        <v>3566</v>
      </c>
      <c r="G675" s="422" t="s">
        <v>42</v>
      </c>
      <c r="H675" s="424" t="s">
        <v>42</v>
      </c>
      <c r="I675" s="531">
        <v>160601</v>
      </c>
      <c r="J675" s="425" t="str">
        <f>INDEX(aux!B:B,MATCH(I675,aux!A:A,0))</f>
        <v>(*) Acumuladores de chumbo</v>
      </c>
      <c r="K675" s="433" t="str">
        <f>INDEX(aux!C:C,MATCH(I675,aux!A:A,0))</f>
        <v>Sim</v>
      </c>
      <c r="L675" s="646">
        <v>3.1150000000000002</v>
      </c>
      <c r="M675" s="535" t="s">
        <v>1532</v>
      </c>
      <c r="N675" s="139">
        <f t="shared" si="37"/>
        <v>3115</v>
      </c>
      <c r="O675" s="538" t="s">
        <v>483</v>
      </c>
      <c r="P675" s="231" t="str">
        <f t="shared" si="38"/>
        <v>Reciclagem</v>
      </c>
      <c r="Q675" s="541" t="s">
        <v>1653</v>
      </c>
      <c r="R675" s="541" t="s">
        <v>1877</v>
      </c>
      <c r="S675" s="528" t="str">
        <f>IFERROR(INDEX(Tabela3[Tipos de Tratamento],MATCH('A3.9.1 copy'!O209,Tabela3[Código],0)),"")</f>
        <v xml:space="preserve">Troca de resíduos com vista a submetê-los a uma das operações enumeradas de R 1 a R 11 </v>
      </c>
      <c r="T675" s="458" t="s">
        <v>3190</v>
      </c>
      <c r="U675" s="458" t="s">
        <v>3189</v>
      </c>
      <c r="V675" s="93"/>
    </row>
    <row r="676" spans="1:22" ht="15.75" hidden="1" thickBot="1" x14ac:dyDescent="0.3">
      <c r="A676" s="93" t="s">
        <v>1913</v>
      </c>
      <c r="B676" s="93" t="s">
        <v>1913</v>
      </c>
      <c r="C676" s="424" t="str">
        <f t="shared" si="36"/>
        <v>X</v>
      </c>
      <c r="D676" s="422">
        <v>2022</v>
      </c>
      <c r="E676" s="250" t="s">
        <v>3499</v>
      </c>
      <c r="F676" s="250" t="s">
        <v>3566</v>
      </c>
      <c r="G676" s="422" t="s">
        <v>42</v>
      </c>
      <c r="H676" s="424" t="s">
        <v>42</v>
      </c>
      <c r="I676" s="531">
        <v>160601</v>
      </c>
      <c r="J676" s="425" t="str">
        <f>INDEX(aux!B:B,MATCH(I676,aux!A:A,0))</f>
        <v>(*) Acumuladores de chumbo</v>
      </c>
      <c r="K676" s="433" t="str">
        <f>INDEX(aux!C:C,MATCH(I676,aux!A:A,0))</f>
        <v>Sim</v>
      </c>
      <c r="L676" s="646">
        <v>3.1150000000000002</v>
      </c>
      <c r="M676" s="535" t="s">
        <v>1532</v>
      </c>
      <c r="N676" s="139">
        <f t="shared" si="37"/>
        <v>3115</v>
      </c>
      <c r="O676" s="538" t="s">
        <v>484</v>
      </c>
      <c r="P676" s="231" t="str">
        <f t="shared" si="38"/>
        <v>Reciclagem</v>
      </c>
      <c r="Q676" s="541" t="s">
        <v>1653</v>
      </c>
      <c r="R676" s="541" t="s">
        <v>1877</v>
      </c>
      <c r="S676" s="528" t="str">
        <f>IFERROR(INDEX(Tabela3[Tipos de Tratamento],MATCH('A3.9.1 copy'!O210,Tabela3[Código],0)),"")</f>
        <v xml:space="preserve">Troca de resíduos com vista a submetê-los a uma das operações enumeradas de R 1 a R 11 </v>
      </c>
      <c r="T676" s="458" t="s">
        <v>3190</v>
      </c>
      <c r="U676" s="458" t="s">
        <v>3189</v>
      </c>
      <c r="V676" s="93"/>
    </row>
    <row r="677" spans="1:22" ht="15.75" hidden="1" thickBot="1" x14ac:dyDescent="0.3">
      <c r="A677" s="93" t="s">
        <v>1913</v>
      </c>
      <c r="B677" s="93" t="s">
        <v>1913</v>
      </c>
      <c r="C677" s="424" t="str">
        <f t="shared" si="36"/>
        <v>X</v>
      </c>
      <c r="D677" s="422">
        <v>2022</v>
      </c>
      <c r="E677" s="250" t="s">
        <v>3499</v>
      </c>
      <c r="F677" s="250" t="s">
        <v>3566</v>
      </c>
      <c r="G677" s="422" t="s">
        <v>42</v>
      </c>
      <c r="H677" s="424" t="s">
        <v>42</v>
      </c>
      <c r="I677" s="531">
        <v>200136</v>
      </c>
      <c r="J677" s="425" t="str">
        <f>INDEX(aux!B:B,MATCH(I677,aux!A:A,0))</f>
        <v>Equipamento elétrico e eletrónico fora de uso não abrangido em 20 01 21, 20 01 23 ou 20 01 35</v>
      </c>
      <c r="K677" s="433" t="str">
        <f>INDEX(aux!C:C,MATCH(I677,aux!A:A,0))</f>
        <v>Não</v>
      </c>
      <c r="L677" s="646">
        <v>0.19400000000000001</v>
      </c>
      <c r="M677" s="535" t="s">
        <v>1532</v>
      </c>
      <c r="N677" s="139">
        <f t="shared" si="37"/>
        <v>194</v>
      </c>
      <c r="O677" s="538" t="s">
        <v>483</v>
      </c>
      <c r="P677" s="231" t="str">
        <f t="shared" si="38"/>
        <v>Reciclagem</v>
      </c>
      <c r="Q677" s="541" t="s">
        <v>1909</v>
      </c>
      <c r="R677" s="541" t="s">
        <v>1877</v>
      </c>
      <c r="S677" s="528" t="str">
        <f>IFERROR(INDEX(Tabela3[Tipos de Tratamento],MATCH('A3.9.1 copy'!O212,Tabela3[Código],0)),"")</f>
        <v xml:space="preserve">Troca de resíduos com vista a submetê-los a uma das operações enumeradas de R 1 a R 11 </v>
      </c>
      <c r="T677" s="458" t="s">
        <v>3177</v>
      </c>
      <c r="U677" s="458" t="s">
        <v>3177</v>
      </c>
      <c r="V677" s="93"/>
    </row>
    <row r="678" spans="1:22" ht="15.75" hidden="1" thickBot="1" x14ac:dyDescent="0.3">
      <c r="A678" s="93" t="s">
        <v>1913</v>
      </c>
      <c r="B678" s="93" t="s">
        <v>1913</v>
      </c>
      <c r="C678" s="424" t="str">
        <f t="shared" si="36"/>
        <v>X</v>
      </c>
      <c r="D678" s="422">
        <v>2022</v>
      </c>
      <c r="E678" s="250" t="s">
        <v>3499</v>
      </c>
      <c r="F678" s="250" t="s">
        <v>3566</v>
      </c>
      <c r="G678" s="422" t="s">
        <v>42</v>
      </c>
      <c r="H678" s="424" t="s">
        <v>42</v>
      </c>
      <c r="I678" s="531">
        <v>160112</v>
      </c>
      <c r="J678" s="425" t="str">
        <f>INDEX(aux!B:B,MATCH(I678,aux!A:A,0))</f>
        <v>Pastilhas de travões não abrangidas em 16 01 11</v>
      </c>
      <c r="K678" s="433" t="str">
        <f>INDEX(aux!C:C,MATCH(I678,aux!A:A,0))</f>
        <v>Não</v>
      </c>
      <c r="L678" s="646">
        <v>0.27400000000000002</v>
      </c>
      <c r="M678" s="535" t="s">
        <v>1532</v>
      </c>
      <c r="N678" s="139">
        <f t="shared" si="37"/>
        <v>274</v>
      </c>
      <c r="O678" s="538" t="s">
        <v>483</v>
      </c>
      <c r="P678" s="231" t="str">
        <f t="shared" si="38"/>
        <v>Reciclagem</v>
      </c>
      <c r="Q678" s="541" t="s">
        <v>1557</v>
      </c>
      <c r="R678" s="541" t="s">
        <v>1903</v>
      </c>
      <c r="S678" s="528" t="str">
        <f>IFERROR(INDEX(Tabela3[Tipos de Tratamento],MATCH('A3.9.1 copy'!O202,Tabela3[Código],0)),"")</f>
        <v xml:space="preserve">Troca de resíduos com vista a submetê-los a uma das operações enumeradas de R 1 a R 11 </v>
      </c>
      <c r="T678" s="458" t="s">
        <v>3177</v>
      </c>
      <c r="U678" s="458" t="s">
        <v>3177</v>
      </c>
      <c r="V678" s="93"/>
    </row>
    <row r="679" spans="1:22" ht="15.75" hidden="1" thickBot="1" x14ac:dyDescent="0.3">
      <c r="A679" s="93" t="s">
        <v>1913</v>
      </c>
      <c r="B679" s="93" t="s">
        <v>1913</v>
      </c>
      <c r="C679" s="424" t="str">
        <f t="shared" si="36"/>
        <v>X</v>
      </c>
      <c r="D679" s="422">
        <v>2022</v>
      </c>
      <c r="E679" s="250" t="s">
        <v>3499</v>
      </c>
      <c r="F679" s="250" t="s">
        <v>3566</v>
      </c>
      <c r="G679" s="422" t="s">
        <v>42</v>
      </c>
      <c r="H679" s="424" t="s">
        <v>42</v>
      </c>
      <c r="I679" s="531">
        <v>160117</v>
      </c>
      <c r="J679" s="425" t="str">
        <f>INDEX(aux!B:B,MATCH(I679,aux!A:A,0))</f>
        <v>Metais ferrosos</v>
      </c>
      <c r="K679" s="433" t="str">
        <f>INDEX(aux!C:C,MATCH(I679,aux!A:A,0))</f>
        <v>Não</v>
      </c>
      <c r="L679" s="646">
        <v>4.84</v>
      </c>
      <c r="M679" s="535" t="s">
        <v>1532</v>
      </c>
      <c r="N679" s="139">
        <f t="shared" si="37"/>
        <v>4840</v>
      </c>
      <c r="O679" s="538" t="s">
        <v>483</v>
      </c>
      <c r="P679" s="231" t="str">
        <f t="shared" si="38"/>
        <v>Reciclagem</v>
      </c>
      <c r="Q679" s="541" t="s">
        <v>1557</v>
      </c>
      <c r="R679" s="541" t="s">
        <v>1903</v>
      </c>
      <c r="S679" s="528" t="str">
        <f>IFERROR(INDEX(Tabela3[Tipos de Tratamento],MATCH('A3.9.1 copy'!O204,Tabela3[Código],0)),"")</f>
        <v xml:space="preserve">Troca de resíduos com vista a submetê-los a uma das operações enumeradas de R 1 a R 11 </v>
      </c>
      <c r="T679" s="458" t="s">
        <v>3188</v>
      </c>
      <c r="U679" s="458" t="s">
        <v>3189</v>
      </c>
      <c r="V679" s="93"/>
    </row>
    <row r="680" spans="1:22" ht="15.75" hidden="1" thickBot="1" x14ac:dyDescent="0.3">
      <c r="A680" s="93" t="s">
        <v>1913</v>
      </c>
      <c r="B680" s="93" t="s">
        <v>1913</v>
      </c>
      <c r="C680" s="424" t="str">
        <f t="shared" si="36"/>
        <v>X</v>
      </c>
      <c r="D680" s="422">
        <v>2022</v>
      </c>
      <c r="E680" s="250" t="s">
        <v>3499</v>
      </c>
      <c r="F680" s="250" t="s">
        <v>3566</v>
      </c>
      <c r="G680" s="422" t="s">
        <v>42</v>
      </c>
      <c r="H680" s="424" t="s">
        <v>42</v>
      </c>
      <c r="I680" s="531">
        <v>160117</v>
      </c>
      <c r="J680" s="425" t="str">
        <f>INDEX(aux!B:B,MATCH(I680,aux!A:A,0))</f>
        <v>Metais ferrosos</v>
      </c>
      <c r="K680" s="433" t="str">
        <f>INDEX(aux!C:C,MATCH(I680,aux!A:A,0))</f>
        <v>Não</v>
      </c>
      <c r="L680" s="646">
        <v>4.84</v>
      </c>
      <c r="M680" s="535" t="s">
        <v>1532</v>
      </c>
      <c r="N680" s="139">
        <f t="shared" si="37"/>
        <v>4840</v>
      </c>
      <c r="O680" s="538" t="s">
        <v>484</v>
      </c>
      <c r="P680" s="231" t="str">
        <f t="shared" si="38"/>
        <v>Reciclagem</v>
      </c>
      <c r="Q680" s="541" t="s">
        <v>1557</v>
      </c>
      <c r="R680" s="541" t="s">
        <v>1903</v>
      </c>
      <c r="S680" s="528" t="str">
        <f>IFERROR(INDEX(Tabela3[Tipos de Tratamento],MATCH('A3.9.1 copy'!O205,Tabela3[Código],0)),"")</f>
        <v xml:space="preserve">Troca de resíduos com vista a submetê-los a uma das operações enumeradas de R 1 a R 11 </v>
      </c>
      <c r="T680" s="458" t="s">
        <v>3188</v>
      </c>
      <c r="U680" s="458" t="s">
        <v>3189</v>
      </c>
      <c r="V680" s="93"/>
    </row>
    <row r="681" spans="1:22" ht="15.75" hidden="1" thickBot="1" x14ac:dyDescent="0.3">
      <c r="A681" s="93" t="s">
        <v>1913</v>
      </c>
      <c r="B681" s="93" t="s">
        <v>1913</v>
      </c>
      <c r="C681" s="424" t="str">
        <f t="shared" si="36"/>
        <v>X</v>
      </c>
      <c r="D681" s="422">
        <v>2022</v>
      </c>
      <c r="E681" s="250" t="s">
        <v>3499</v>
      </c>
      <c r="F681" s="250" t="s">
        <v>3566</v>
      </c>
      <c r="G681" s="422" t="s">
        <v>42</v>
      </c>
      <c r="H681" s="424" t="s">
        <v>42</v>
      </c>
      <c r="I681" s="531">
        <v>150111</v>
      </c>
      <c r="J681" s="425" t="str">
        <f>INDEX(aux!B:B,MATCH(I681,aux!A:A,0))</f>
        <v>(*) Embalagens de metal, incluindo recipientes vazios sob pressão, contendo uma matriz porosa sólida perigosa (por exemplo, amianto)</v>
      </c>
      <c r="K681" s="433" t="str">
        <f>INDEX(aux!C:C,MATCH(I681,aux!A:A,0))</f>
        <v>Sim</v>
      </c>
      <c r="L681" s="646">
        <v>0.159</v>
      </c>
      <c r="M681" s="535" t="s">
        <v>1532</v>
      </c>
      <c r="N681" s="139">
        <f t="shared" si="37"/>
        <v>159</v>
      </c>
      <c r="O681" s="538" t="s">
        <v>484</v>
      </c>
      <c r="P681" s="231" t="str">
        <f t="shared" si="38"/>
        <v>Reciclagem</v>
      </c>
      <c r="Q681" s="541" t="s">
        <v>1906</v>
      </c>
      <c r="R681" s="541" t="s">
        <v>1903</v>
      </c>
      <c r="S681" s="528" t="str">
        <f>IFERROR(INDEX(Tabela3[Tipos de Tratamento],MATCH('A3.9.1 copy'!O196,Tabela3[Código],0)),"")</f>
        <v xml:space="preserve">Troca de resíduos com vista a submetê-los a uma das operações enumeradas de R 1 a R 11 </v>
      </c>
      <c r="T681" s="458" t="s">
        <v>3177</v>
      </c>
      <c r="U681" s="458" t="s">
        <v>3177</v>
      </c>
      <c r="V681" s="422"/>
    </row>
    <row r="682" spans="1:22" ht="15.75" hidden="1" thickBot="1" x14ac:dyDescent="0.3">
      <c r="A682" s="93" t="s">
        <v>1913</v>
      </c>
      <c r="B682" s="93" t="s">
        <v>1913</v>
      </c>
      <c r="C682" s="424" t="str">
        <f t="shared" si="36"/>
        <v>X</v>
      </c>
      <c r="D682" s="422">
        <v>2022</v>
      </c>
      <c r="E682" s="250" t="s">
        <v>3499</v>
      </c>
      <c r="F682" s="250" t="s">
        <v>3566</v>
      </c>
      <c r="G682" s="422" t="s">
        <v>42</v>
      </c>
      <c r="H682" s="424" t="s">
        <v>42</v>
      </c>
      <c r="I682" s="531">
        <v>130208</v>
      </c>
      <c r="J682" s="425" t="str">
        <f>INDEX(aux!B:B,MATCH(I682,aux!A:A,0))</f>
        <v>(*) Outros óleos de motores, transmissões e lubrificação</v>
      </c>
      <c r="K682" s="433" t="str">
        <f>INDEX(aux!C:C,MATCH(I682,aux!A:A,0))</f>
        <v>Sim</v>
      </c>
      <c r="L682" s="646">
        <v>5.5129999999999999</v>
      </c>
      <c r="M682" s="535" t="s">
        <v>1532</v>
      </c>
      <c r="N682" s="139">
        <f t="shared" si="37"/>
        <v>5513</v>
      </c>
      <c r="O682" s="538" t="s">
        <v>480</v>
      </c>
      <c r="P682" s="231" t="str">
        <f t="shared" si="38"/>
        <v>Reciclagem</v>
      </c>
      <c r="Q682" s="541" t="s">
        <v>1902</v>
      </c>
      <c r="R682" s="541" t="s">
        <v>1877</v>
      </c>
      <c r="S682" s="528" t="str">
        <f>IFERROR(INDEX(Tabela3[Tipos de Tratamento],MATCH('A3.9.1 copy'!O189,Tabela3[Código],0)),"")</f>
        <v xml:space="preserve">Troca de resíduos com vista a submetê-los a uma das operações enumeradas de R 1 a R 11 </v>
      </c>
      <c r="T682" s="458" t="s">
        <v>3173</v>
      </c>
      <c r="U682" s="458" t="s">
        <v>3174</v>
      </c>
      <c r="V682" s="93"/>
    </row>
    <row r="683" spans="1:22" ht="15.75" hidden="1" thickBot="1" x14ac:dyDescent="0.3">
      <c r="A683" s="93" t="s">
        <v>1913</v>
      </c>
      <c r="B683" s="93" t="s">
        <v>1913</v>
      </c>
      <c r="C683" s="424" t="str">
        <f t="shared" si="36"/>
        <v>X</v>
      </c>
      <c r="D683" s="422">
        <v>2022</v>
      </c>
      <c r="E683" s="250" t="s">
        <v>3499</v>
      </c>
      <c r="F683" s="250" t="s">
        <v>3566</v>
      </c>
      <c r="G683" s="422" t="s">
        <v>42</v>
      </c>
      <c r="H683" s="424" t="s">
        <v>42</v>
      </c>
      <c r="I683" s="659">
        <v>130701</v>
      </c>
      <c r="J683" s="425" t="str">
        <f>INDEX(aux!B:B,MATCH(I683,aux!A:A,0))</f>
        <v>(*) Fuelóleo e gasóleo</v>
      </c>
      <c r="K683" s="433" t="str">
        <f>INDEX(aux!C:C,MATCH(I683,aux!A:A,0))</f>
        <v>Sim</v>
      </c>
      <c r="L683" s="646">
        <v>4.88</v>
      </c>
      <c r="M683" s="535" t="s">
        <v>1532</v>
      </c>
      <c r="N683" s="139">
        <f t="shared" si="37"/>
        <v>4880</v>
      </c>
      <c r="O683" s="538" t="s">
        <v>480</v>
      </c>
      <c r="P683" s="231" t="str">
        <f t="shared" si="38"/>
        <v>Reciclagem</v>
      </c>
      <c r="Q683" s="541" t="s">
        <v>1902</v>
      </c>
      <c r="R683" s="541" t="s">
        <v>1877</v>
      </c>
      <c r="S683" s="528" t="str">
        <f>IFERROR(INDEX(Tabela3[Tipos de Tratamento],MATCH('A3.9.1 copy'!O192,Tabela3[Código],0)),"")</f>
        <v>Acumulação de resíduos destinados a uma das operações enumeradas de R1 a R12</v>
      </c>
      <c r="T683" s="458" t="s">
        <v>3177</v>
      </c>
      <c r="U683" s="458" t="s">
        <v>3177</v>
      </c>
      <c r="V683" s="93"/>
    </row>
    <row r="684" spans="1:22" ht="15.75" hidden="1" thickBot="1" x14ac:dyDescent="0.3">
      <c r="A684" s="93" t="s">
        <v>1913</v>
      </c>
      <c r="B684" s="93" t="s">
        <v>1913</v>
      </c>
      <c r="C684" s="424" t="str">
        <f t="shared" si="36"/>
        <v>X</v>
      </c>
      <c r="D684" s="422">
        <v>2022</v>
      </c>
      <c r="E684" s="250" t="s">
        <v>3499</v>
      </c>
      <c r="F684" s="250" t="s">
        <v>3566</v>
      </c>
      <c r="G684" s="422" t="s">
        <v>42</v>
      </c>
      <c r="H684" s="424" t="s">
        <v>42</v>
      </c>
      <c r="I684" s="531">
        <v>160103</v>
      </c>
      <c r="J684" s="425" t="str">
        <f>INDEX(aux!B:B,MATCH(I684,aux!A:A,0))</f>
        <v>Pneus usados</v>
      </c>
      <c r="K684" s="433" t="str">
        <f>INDEX(aux!C:C,MATCH(I684,aux!A:A,0))</f>
        <v>Não</v>
      </c>
      <c r="L684" s="646">
        <v>18.48</v>
      </c>
      <c r="M684" s="535" t="s">
        <v>1532</v>
      </c>
      <c r="N684" s="139">
        <f t="shared" si="37"/>
        <v>18480</v>
      </c>
      <c r="O684" s="538" t="s">
        <v>483</v>
      </c>
      <c r="P684" s="231" t="str">
        <f t="shared" si="38"/>
        <v>Reciclagem</v>
      </c>
      <c r="Q684" s="541" t="s">
        <v>1681</v>
      </c>
      <c r="R684" s="541" t="s">
        <v>1903</v>
      </c>
      <c r="S684" s="528" t="str">
        <f>IFERROR(INDEX(Tabela3[Tipos de Tratamento],MATCH('A3.9.1 copy'!O199,Tabela3[Código],0)),"")</f>
        <v>Acumulação de resíduos destinados a uma das operações enumeradas de R1 a R12</v>
      </c>
      <c r="T684" s="458" t="s">
        <v>3172</v>
      </c>
      <c r="U684" s="458" t="s">
        <v>3172</v>
      </c>
      <c r="V684" s="93"/>
    </row>
    <row r="685" spans="1:22" ht="15.75" hidden="1" thickBot="1" x14ac:dyDescent="0.3">
      <c r="A685" s="93" t="s">
        <v>1913</v>
      </c>
      <c r="B685" s="93" t="s">
        <v>1913</v>
      </c>
      <c r="C685" s="424" t="str">
        <f t="shared" si="36"/>
        <v>X</v>
      </c>
      <c r="D685" s="422">
        <v>2022</v>
      </c>
      <c r="E685" s="250" t="s">
        <v>3499</v>
      </c>
      <c r="F685" s="250" t="s">
        <v>3566</v>
      </c>
      <c r="G685" s="422" t="s">
        <v>42</v>
      </c>
      <c r="H685" s="424" t="s">
        <v>42</v>
      </c>
      <c r="I685" s="531">
        <v>160103</v>
      </c>
      <c r="J685" s="425" t="str">
        <f>INDEX(aux!B:B,MATCH(I685,aux!A:A,0))</f>
        <v>Pneus usados</v>
      </c>
      <c r="K685" s="433" t="str">
        <f>INDEX(aux!C:C,MATCH(I685,aux!A:A,0))</f>
        <v>Não</v>
      </c>
      <c r="L685" s="646">
        <v>18.48</v>
      </c>
      <c r="M685" s="535" t="s">
        <v>1532</v>
      </c>
      <c r="N685" s="139">
        <f t="shared" si="37"/>
        <v>18480</v>
      </c>
      <c r="O685" s="538" t="s">
        <v>484</v>
      </c>
      <c r="P685" s="231" t="str">
        <f t="shared" si="38"/>
        <v>Reciclagem</v>
      </c>
      <c r="Q685" s="541" t="s">
        <v>1681</v>
      </c>
      <c r="R685" s="541" t="s">
        <v>1903</v>
      </c>
      <c r="S685" s="528" t="str">
        <f>IFERROR(INDEX(Tabela3[Tipos de Tratamento],MATCH('A3.9.1 copy'!O200,Tabela3[Código],0)),"")</f>
        <v xml:space="preserve">Troca de resíduos com vista a submetê-los a uma das operações enumeradas de R 1 a R 11 </v>
      </c>
      <c r="T685" s="458" t="s">
        <v>3172</v>
      </c>
      <c r="U685" s="458" t="s">
        <v>3172</v>
      </c>
      <c r="V685" s="93"/>
    </row>
    <row r="686" spans="1:22" ht="15.75" hidden="1" thickBot="1" x14ac:dyDescent="0.3">
      <c r="A686" s="93" t="s">
        <v>1913</v>
      </c>
      <c r="B686" s="93" t="s">
        <v>1913</v>
      </c>
      <c r="C686" s="424" t="str">
        <f t="shared" si="36"/>
        <v>X</v>
      </c>
      <c r="D686" s="422">
        <v>2022</v>
      </c>
      <c r="E686" s="250" t="s">
        <v>3499</v>
      </c>
      <c r="F686" s="250" t="s">
        <v>3566</v>
      </c>
      <c r="G686" s="422" t="s">
        <v>42</v>
      </c>
      <c r="H686" s="424" t="s">
        <v>42</v>
      </c>
      <c r="I686" s="531">
        <v>80117</v>
      </c>
      <c r="J686" s="425" t="str">
        <f>INDEX(aux!B:B,MATCH(I686,aux!A:A,0))</f>
        <v>(*) Resíduos de tintas e vernizes, contendo solventes orgânicos ou outras substâncias perigosas</v>
      </c>
      <c r="K686" s="433" t="str">
        <f>INDEX(aux!C:C,MATCH(I686,aux!A:A,0))</f>
        <v>Sim</v>
      </c>
      <c r="L686" s="646">
        <v>2.8000000000000001E-2</v>
      </c>
      <c r="M686" s="535" t="s">
        <v>1532</v>
      </c>
      <c r="N686" s="139">
        <f t="shared" si="37"/>
        <v>28</v>
      </c>
      <c r="O686" s="538" t="s">
        <v>509</v>
      </c>
      <c r="P686" s="231" t="str">
        <f t="shared" si="38"/>
        <v>Aterro</v>
      </c>
      <c r="Q686" s="541" t="s">
        <v>1901</v>
      </c>
      <c r="R686" s="541" t="s">
        <v>1892</v>
      </c>
      <c r="S686" s="528" t="str">
        <f>IFERROR(INDEX(Tabela3[Tipos de Tratamento],MATCH('A3.9.1 copy'!O183,Tabela3[Código],0)),"")</f>
        <v>Acumulação de resíduos destinados a uma das operações enumeradas de R1 a R12</v>
      </c>
      <c r="T686" s="458" t="s">
        <v>3177</v>
      </c>
      <c r="U686" s="458" t="s">
        <v>3177</v>
      </c>
      <c r="V686" s="93"/>
    </row>
    <row r="687" spans="1:22" ht="15.75" hidden="1" thickBot="1" x14ac:dyDescent="0.3">
      <c r="A687" s="93" t="s">
        <v>1913</v>
      </c>
      <c r="B687" s="93" t="s">
        <v>1913</v>
      </c>
      <c r="C687" s="424" t="str">
        <f t="shared" ref="C687:C750" si="39">IF(A687=B687,"X",RIGHT(A687,LEN(A687)-LEN(B687)-3))</f>
        <v>X</v>
      </c>
      <c r="D687" s="422">
        <v>2022</v>
      </c>
      <c r="E687" s="250" t="s">
        <v>3499</v>
      </c>
      <c r="F687" s="250" t="s">
        <v>3566</v>
      </c>
      <c r="G687" s="422" t="s">
        <v>42</v>
      </c>
      <c r="H687" s="424" t="s">
        <v>42</v>
      </c>
      <c r="I687" s="531">
        <v>80117</v>
      </c>
      <c r="J687" s="425" t="str">
        <f>INDEX(aux!B:B,MATCH(I687,aux!A:A,0))</f>
        <v>(*) Resíduos de tintas e vernizes, contendo solventes orgânicos ou outras substâncias perigosas</v>
      </c>
      <c r="K687" s="433" t="str">
        <f>INDEX(aux!C:C,MATCH(I687,aux!A:A,0))</f>
        <v>Sim</v>
      </c>
      <c r="L687" s="646">
        <v>2.8000000000000001E-2</v>
      </c>
      <c r="M687" s="535" t="s">
        <v>1532</v>
      </c>
      <c r="N687" s="139">
        <f t="shared" si="37"/>
        <v>28</v>
      </c>
      <c r="O687" s="538" t="s">
        <v>483</v>
      </c>
      <c r="P687" s="231" t="str">
        <f t="shared" si="38"/>
        <v>Reciclagem</v>
      </c>
      <c r="Q687" s="541" t="s">
        <v>1901</v>
      </c>
      <c r="R687" s="541" t="s">
        <v>1892</v>
      </c>
      <c r="S687" s="528" t="str">
        <f>IFERROR(INDEX(Tabela3[Tipos de Tratamento],MATCH('A3.9.1 copy'!O184,Tabela3[Código],0)),"")</f>
        <v xml:space="preserve">Troca de resíduos com vista a submetê-los a uma das operações enumeradas de R 1 a R 11 </v>
      </c>
      <c r="T687" s="458" t="s">
        <v>3177</v>
      </c>
      <c r="U687" s="458" t="s">
        <v>3177</v>
      </c>
      <c r="V687" s="93"/>
    </row>
    <row r="688" spans="1:22" ht="15.75" hidden="1" thickBot="1" x14ac:dyDescent="0.3">
      <c r="A688" s="93" t="s">
        <v>1913</v>
      </c>
      <c r="B688" s="93" t="s">
        <v>1913</v>
      </c>
      <c r="C688" s="424" t="str">
        <f t="shared" si="39"/>
        <v>X</v>
      </c>
      <c r="D688" s="422">
        <v>2022</v>
      </c>
      <c r="E688" s="250" t="s">
        <v>3499</v>
      </c>
      <c r="F688" s="250" t="s">
        <v>3566</v>
      </c>
      <c r="G688" s="422" t="s">
        <v>42</v>
      </c>
      <c r="H688" s="424" t="s">
        <v>42</v>
      </c>
      <c r="I688" s="657">
        <v>80119</v>
      </c>
      <c r="J688" s="425" t="str">
        <f>INDEX(aux!B:B,MATCH(I688,aux!A:A,0))</f>
        <v>(*) Suspensões aquosas contendo tintas ou vernizes, contendo solventes orgânicos ou outras substâncias perigosas</v>
      </c>
      <c r="K688" s="433" t="str">
        <f>INDEX(aux!C:C,MATCH(I688,aux!A:A,0))</f>
        <v>Sim</v>
      </c>
      <c r="L688" s="646">
        <v>0.7</v>
      </c>
      <c r="M688" s="535" t="s">
        <v>1532</v>
      </c>
      <c r="N688" s="139">
        <f t="shared" si="37"/>
        <v>700</v>
      </c>
      <c r="O688" s="538" t="s">
        <v>509</v>
      </c>
      <c r="P688" s="231" t="str">
        <f t="shared" si="38"/>
        <v>Aterro</v>
      </c>
      <c r="Q688" s="541" t="s">
        <v>1901</v>
      </c>
      <c r="R688" s="541" t="s">
        <v>1892</v>
      </c>
      <c r="S688" s="528" t="str">
        <f>IFERROR(INDEX(Tabela3[Tipos de Tratamento],MATCH('A3.9.1 copy'!O185,Tabela3[Código],0)),"")</f>
        <v xml:space="preserve">Troca de resíduos com vista a submetê-los a uma das operações enumeradas de R 1 a R 11 </v>
      </c>
      <c r="T688" s="458" t="s">
        <v>3177</v>
      </c>
      <c r="U688" s="458" t="s">
        <v>3177</v>
      </c>
      <c r="V688" s="93"/>
    </row>
    <row r="689" spans="1:22" ht="15.75" hidden="1" thickBot="1" x14ac:dyDescent="0.3">
      <c r="A689" s="93" t="s">
        <v>1913</v>
      </c>
      <c r="B689" s="93" t="s">
        <v>1913</v>
      </c>
      <c r="C689" s="424" t="str">
        <f t="shared" si="39"/>
        <v>X</v>
      </c>
      <c r="D689" s="422">
        <v>2022</v>
      </c>
      <c r="E689" s="250" t="s">
        <v>3499</v>
      </c>
      <c r="F689" s="250" t="s">
        <v>3566</v>
      </c>
      <c r="G689" s="422" t="s">
        <v>42</v>
      </c>
      <c r="H689" s="424" t="s">
        <v>42</v>
      </c>
      <c r="I689" s="659">
        <v>80119</v>
      </c>
      <c r="J689" s="425" t="str">
        <f>INDEX(aux!B:B,MATCH(I689,aux!A:A,0))</f>
        <v>(*) Suspensões aquosas contendo tintas ou vernizes, contendo solventes orgânicos ou outras substâncias perigosas</v>
      </c>
      <c r="K689" s="433" t="str">
        <f>INDEX(aux!C:C,MATCH(I689,aux!A:A,0))</f>
        <v>Sim</v>
      </c>
      <c r="L689" s="646">
        <v>0.7</v>
      </c>
      <c r="M689" s="535" t="s">
        <v>1532</v>
      </c>
      <c r="N689" s="139">
        <f t="shared" si="37"/>
        <v>700</v>
      </c>
      <c r="O689" s="538" t="s">
        <v>483</v>
      </c>
      <c r="P689" s="231" t="str">
        <f t="shared" si="38"/>
        <v>Reciclagem</v>
      </c>
      <c r="Q689" s="541" t="s">
        <v>1901</v>
      </c>
      <c r="R689" s="541" t="s">
        <v>1892</v>
      </c>
      <c r="S689" s="528" t="str">
        <f>IFERROR(INDEX(Tabela3[Tipos de Tratamento],MATCH('A3.9.1 copy'!O186,Tabela3[Código],0)),"")</f>
        <v>Acumulação de resíduos destinados a uma das operações enumeradas de R1 a R12</v>
      </c>
      <c r="T689" s="458" t="s">
        <v>3177</v>
      </c>
      <c r="U689" s="458" t="s">
        <v>3177</v>
      </c>
      <c r="V689" s="93"/>
    </row>
    <row r="690" spans="1:22" ht="15.75" hidden="1" thickBot="1" x14ac:dyDescent="0.3">
      <c r="A690" s="93" t="s">
        <v>1913</v>
      </c>
      <c r="B690" s="93" t="s">
        <v>1913</v>
      </c>
      <c r="C690" s="424" t="str">
        <f t="shared" si="39"/>
        <v>X</v>
      </c>
      <c r="D690" s="422">
        <v>2022</v>
      </c>
      <c r="E690" s="250" t="s">
        <v>3499</v>
      </c>
      <c r="F690" s="250" t="s">
        <v>3566</v>
      </c>
      <c r="G690" s="422" t="s">
        <v>42</v>
      </c>
      <c r="H690" s="424" t="s">
        <v>42</v>
      </c>
      <c r="I690" s="531">
        <v>80317</v>
      </c>
      <c r="J690" s="425" t="str">
        <f>INDEX(aux!B:B,MATCH(I690,aux!A:A,0))</f>
        <v>(*) Resíduos de toner de impressão, contendo substâncias perigosas</v>
      </c>
      <c r="K690" s="433" t="str">
        <f>INDEX(aux!C:C,MATCH(I690,aux!A:A,0))</f>
        <v>Sim</v>
      </c>
      <c r="L690" s="646">
        <v>3.2000000000000001E-2</v>
      </c>
      <c r="M690" s="535" t="s">
        <v>1532</v>
      </c>
      <c r="N690" s="139">
        <f t="shared" si="37"/>
        <v>32</v>
      </c>
      <c r="O690" s="538" t="s">
        <v>484</v>
      </c>
      <c r="P690" s="231" t="str">
        <f t="shared" si="38"/>
        <v>Reciclagem</v>
      </c>
      <c r="Q690" s="541" t="s">
        <v>1901</v>
      </c>
      <c r="R690" s="541" t="s">
        <v>1892</v>
      </c>
      <c r="S690" s="528" t="str">
        <f>IFERROR(INDEX(Tabela3[Tipos de Tratamento],MATCH('A3.9.1 copy'!O187,Tabela3[Código],0)),"")</f>
        <v>Acumulação de resíduos destinados a uma das operações enumeradas de R1 a R12</v>
      </c>
      <c r="T690" s="458" t="s">
        <v>3177</v>
      </c>
      <c r="U690" s="458" t="s">
        <v>3177</v>
      </c>
      <c r="V690" s="93"/>
    </row>
    <row r="691" spans="1:22" ht="15.75" hidden="1" thickBot="1" x14ac:dyDescent="0.3">
      <c r="A691" s="93" t="s">
        <v>1913</v>
      </c>
      <c r="B691" s="93" t="s">
        <v>1913</v>
      </c>
      <c r="C691" s="424" t="str">
        <f t="shared" si="39"/>
        <v>X</v>
      </c>
      <c r="D691" s="422">
        <v>2022</v>
      </c>
      <c r="E691" s="250" t="s">
        <v>3499</v>
      </c>
      <c r="F691" s="250" t="s">
        <v>3566</v>
      </c>
      <c r="G691" s="422" t="s">
        <v>42</v>
      </c>
      <c r="H691" s="424" t="s">
        <v>42</v>
      </c>
      <c r="I691" s="531">
        <v>120301</v>
      </c>
      <c r="J691" s="425" t="str">
        <f>INDEX(aux!B:B,MATCH(I691,aux!A:A,0))</f>
        <v>(*) Líquidos de lavagem aquosos</v>
      </c>
      <c r="K691" s="433" t="str">
        <f>INDEX(aux!C:C,MATCH(I691,aux!A:A,0))</f>
        <v>Sim</v>
      </c>
      <c r="L691" s="646">
        <v>0.504</v>
      </c>
      <c r="M691" s="535" t="s">
        <v>1532</v>
      </c>
      <c r="N691" s="139">
        <f t="shared" si="37"/>
        <v>504</v>
      </c>
      <c r="O691" s="538" t="s">
        <v>503</v>
      </c>
      <c r="P691" s="231" t="str">
        <f t="shared" si="38"/>
        <v>Aterro</v>
      </c>
      <c r="Q691" s="541" t="s">
        <v>1901</v>
      </c>
      <c r="R691" s="541" t="s">
        <v>1892</v>
      </c>
      <c r="S691" s="528" t="str">
        <f>IFERROR(INDEX(Tabela3[Tipos de Tratamento],MATCH('A3.9.1 copy'!O188,Tabela3[Código],0)),"")</f>
        <v xml:space="preserve">Troca de resíduos com vista a submetê-los a uma das operações enumeradas de R 1 a R 11 </v>
      </c>
      <c r="T691" s="458" t="s">
        <v>3177</v>
      </c>
      <c r="U691" s="458" t="s">
        <v>3177</v>
      </c>
      <c r="V691" s="93"/>
    </row>
    <row r="692" spans="1:22" ht="15.75" hidden="1" thickBot="1" x14ac:dyDescent="0.3">
      <c r="A692" s="93" t="s">
        <v>1913</v>
      </c>
      <c r="B692" s="93" t="s">
        <v>1913</v>
      </c>
      <c r="C692" s="424" t="str">
        <f t="shared" si="39"/>
        <v>X</v>
      </c>
      <c r="D692" s="422">
        <v>2022</v>
      </c>
      <c r="E692" s="250" t="s">
        <v>3499</v>
      </c>
      <c r="F692" s="250" t="s">
        <v>3566</v>
      </c>
      <c r="G692" s="422" t="s">
        <v>42</v>
      </c>
      <c r="H692" s="424" t="s">
        <v>42</v>
      </c>
      <c r="I692" s="531">
        <v>130502</v>
      </c>
      <c r="J692" s="425" t="str">
        <f>INDEX(aux!B:B,MATCH(I692,aux!A:A,0))</f>
        <v>(*) Lamas provenientes dos separadores óleo/água</v>
      </c>
      <c r="K692" s="433" t="str">
        <f>INDEX(aux!C:C,MATCH(I692,aux!A:A,0))</f>
        <v>Sim</v>
      </c>
      <c r="L692" s="646">
        <v>5.9009999999999998</v>
      </c>
      <c r="M692" s="535" t="s">
        <v>1532</v>
      </c>
      <c r="N692" s="139">
        <f t="shared" si="37"/>
        <v>5901</v>
      </c>
      <c r="O692" s="538" t="s">
        <v>509</v>
      </c>
      <c r="P692" s="231" t="str">
        <f t="shared" si="38"/>
        <v>Aterro</v>
      </c>
      <c r="Q692" s="541" t="s">
        <v>1901</v>
      </c>
      <c r="R692" s="541" t="s">
        <v>1892</v>
      </c>
      <c r="S692" s="528" t="str">
        <f>IFERROR(INDEX(Tabela3[Tipos de Tratamento],MATCH('A3.9.1 copy'!O190,Tabela3[Código],0)),"")</f>
        <v xml:space="preserve">Troca de resíduos com vista a submetê-los a uma das operações enumeradas de R 1 a R 11 </v>
      </c>
      <c r="T692" s="458" t="s">
        <v>3177</v>
      </c>
      <c r="U692" s="458" t="s">
        <v>3177</v>
      </c>
      <c r="V692" s="93"/>
    </row>
    <row r="693" spans="1:22" ht="15.75" hidden="1" thickBot="1" x14ac:dyDescent="0.3">
      <c r="A693" s="93" t="s">
        <v>1913</v>
      </c>
      <c r="B693" s="93" t="s">
        <v>1913</v>
      </c>
      <c r="C693" s="424" t="str">
        <f t="shared" si="39"/>
        <v>X</v>
      </c>
      <c r="D693" s="422">
        <v>2022</v>
      </c>
      <c r="E693" s="250" t="s">
        <v>3499</v>
      </c>
      <c r="F693" s="250" t="s">
        <v>3566</v>
      </c>
      <c r="G693" s="422" t="s">
        <v>42</v>
      </c>
      <c r="H693" s="424" t="s">
        <v>42</v>
      </c>
      <c r="I693" s="531">
        <v>130507</v>
      </c>
      <c r="J693" s="425" t="str">
        <f>INDEX(aux!B:B,MATCH(I693,aux!A:A,0))</f>
        <v>(*) Água com óleo proveniente dos separadores óleo/água</v>
      </c>
      <c r="K693" s="433" t="str">
        <f>INDEX(aux!C:C,MATCH(I693,aux!A:A,0))</f>
        <v>Sim</v>
      </c>
      <c r="L693" s="646">
        <v>0.82599999999999996</v>
      </c>
      <c r="M693" s="535" t="s">
        <v>1532</v>
      </c>
      <c r="N693" s="139">
        <f t="shared" si="37"/>
        <v>826</v>
      </c>
      <c r="O693" s="538" t="s">
        <v>509</v>
      </c>
      <c r="P693" s="231" t="str">
        <f t="shared" si="38"/>
        <v>Aterro</v>
      </c>
      <c r="Q693" s="541" t="s">
        <v>1901</v>
      </c>
      <c r="R693" s="541" t="s">
        <v>1892</v>
      </c>
      <c r="S693" s="528" t="str">
        <f>IFERROR(INDEX(Tabela3[Tipos de Tratamento],MATCH('A3.9.1 copy'!O191,Tabela3[Código],0)),"")</f>
        <v xml:space="preserve">Troca de resíduos com vista a submetê-los a uma das operações enumeradas de R 1 a R 11 </v>
      </c>
      <c r="T693" s="458" t="s">
        <v>3177</v>
      </c>
      <c r="U693" s="458" t="s">
        <v>3177</v>
      </c>
      <c r="V693" s="93"/>
    </row>
    <row r="694" spans="1:22" ht="15.75" hidden="1" thickBot="1" x14ac:dyDescent="0.3">
      <c r="A694" s="93" t="s">
        <v>1913</v>
      </c>
      <c r="B694" s="93" t="s">
        <v>1913</v>
      </c>
      <c r="C694" s="424" t="str">
        <f t="shared" si="39"/>
        <v>X</v>
      </c>
      <c r="D694" s="422">
        <v>2022</v>
      </c>
      <c r="E694" s="250" t="s">
        <v>3499</v>
      </c>
      <c r="F694" s="250" t="s">
        <v>3566</v>
      </c>
      <c r="G694" s="422" t="s">
        <v>42</v>
      </c>
      <c r="H694" s="424" t="s">
        <v>42</v>
      </c>
      <c r="I694" s="531">
        <v>130507</v>
      </c>
      <c r="J694" s="425" t="str">
        <f>INDEX(aux!B:B,MATCH(I694,aux!A:A,0))</f>
        <v>(*) Água com óleo proveniente dos separadores óleo/água</v>
      </c>
      <c r="K694" s="433" t="str">
        <f>INDEX(aux!C:C,MATCH(I694,aux!A:A,0))</f>
        <v>Sim</v>
      </c>
      <c r="L694" s="646">
        <v>2.4</v>
      </c>
      <c r="M694" s="535" t="s">
        <v>1532</v>
      </c>
      <c r="N694" s="139">
        <f t="shared" si="37"/>
        <v>2400</v>
      </c>
      <c r="O694" s="538" t="s">
        <v>503</v>
      </c>
      <c r="P694" s="231" t="str">
        <f t="shared" si="38"/>
        <v>Aterro</v>
      </c>
      <c r="Q694" s="541" t="s">
        <v>1901</v>
      </c>
      <c r="R694" s="541" t="s">
        <v>1892</v>
      </c>
      <c r="S694" s="528" t="str">
        <f>IFERROR(INDEX(Tabela3[Tipos de Tratamento],MATCH('A3.9.1 copy'!O215,Tabela3[Código],0)),"")</f>
        <v>Mistura anterior à execução de uma das operações enumeradas de D1 a D12</v>
      </c>
      <c r="T694" s="458" t="s">
        <v>3177</v>
      </c>
      <c r="U694" s="458" t="s">
        <v>3177</v>
      </c>
      <c r="V694" s="93"/>
    </row>
    <row r="695" spans="1:22" ht="15.75" hidden="1" thickBot="1" x14ac:dyDescent="0.3">
      <c r="A695" s="93" t="s">
        <v>1913</v>
      </c>
      <c r="B695" s="93" t="s">
        <v>1913</v>
      </c>
      <c r="C695" s="424" t="str">
        <f t="shared" si="39"/>
        <v>X</v>
      </c>
      <c r="D695" s="422">
        <v>2022</v>
      </c>
      <c r="E695" s="250" t="s">
        <v>3499</v>
      </c>
      <c r="F695" s="250" t="s">
        <v>3566</v>
      </c>
      <c r="G695" s="422" t="s">
        <v>42</v>
      </c>
      <c r="H695" s="424" t="s">
        <v>42</v>
      </c>
      <c r="I695" s="659">
        <v>150106</v>
      </c>
      <c r="J695" s="425" t="str">
        <f>INDEX(aux!B:B,MATCH(I695,aux!A:A,0))</f>
        <v>Mistura de embalagens</v>
      </c>
      <c r="K695" s="433" t="str">
        <f>INDEX(aux!C:C,MATCH(I695,aux!A:A,0))</f>
        <v>Não</v>
      </c>
      <c r="L695" s="646">
        <v>4.22</v>
      </c>
      <c r="M695" s="535" t="s">
        <v>1532</v>
      </c>
      <c r="N695" s="139">
        <f t="shared" si="37"/>
        <v>4220</v>
      </c>
      <c r="O695" s="538" t="s">
        <v>483</v>
      </c>
      <c r="P695" s="231" t="str">
        <f t="shared" si="38"/>
        <v>Reciclagem</v>
      </c>
      <c r="Q695" s="541" t="s">
        <v>1901</v>
      </c>
      <c r="R695" s="541" t="s">
        <v>1892</v>
      </c>
      <c r="S695" s="528" t="str">
        <f>IFERROR(INDEX(Tabela3[Tipos de Tratamento],MATCH('A3.9.1 copy'!O193,Tabela3[Código],0)),"")</f>
        <v xml:space="preserve">Regeneração de óleos e outras reutilizações de óleos </v>
      </c>
      <c r="T695" s="458" t="s">
        <v>3177</v>
      </c>
      <c r="U695" s="458" t="s">
        <v>3186</v>
      </c>
      <c r="V695" s="93"/>
    </row>
    <row r="696" spans="1:22" ht="15.75" hidden="1" thickBot="1" x14ac:dyDescent="0.3">
      <c r="A696" s="93" t="s">
        <v>1913</v>
      </c>
      <c r="B696" s="93" t="s">
        <v>1913</v>
      </c>
      <c r="C696" s="424" t="str">
        <f t="shared" si="39"/>
        <v>X</v>
      </c>
      <c r="D696" s="422">
        <v>2022</v>
      </c>
      <c r="E696" s="250" t="s">
        <v>3499</v>
      </c>
      <c r="F696" s="250" t="s">
        <v>3566</v>
      </c>
      <c r="G696" s="422" t="s">
        <v>42</v>
      </c>
      <c r="H696" s="424" t="s">
        <v>42</v>
      </c>
      <c r="I696" s="659">
        <v>150106</v>
      </c>
      <c r="J696" s="425" t="str">
        <f>INDEX(aux!B:B,MATCH(I696,aux!A:A,0))</f>
        <v>Mistura de embalagens</v>
      </c>
      <c r="K696" s="433" t="str">
        <f>INDEX(aux!C:C,MATCH(I696,aux!A:A,0))</f>
        <v>Não</v>
      </c>
      <c r="L696" s="646">
        <v>4.22</v>
      </c>
      <c r="M696" s="535" t="s">
        <v>1532</v>
      </c>
      <c r="N696" s="139">
        <f t="shared" si="37"/>
        <v>4220</v>
      </c>
      <c r="O696" s="538" t="s">
        <v>483</v>
      </c>
      <c r="P696" s="231" t="str">
        <f t="shared" si="38"/>
        <v>Reciclagem</v>
      </c>
      <c r="Q696" s="541" t="s">
        <v>1901</v>
      </c>
      <c r="R696" s="541" t="s">
        <v>1892</v>
      </c>
      <c r="S696" s="528" t="str">
        <f>IFERROR(INDEX(Tabela3[Tipos de Tratamento],MATCH('A3.9.1 copy'!O194,Tabela3[Código],0)),"")</f>
        <v xml:space="preserve">Troca de resíduos com vista a submetê-los a uma das operações enumeradas de R 1 a R 11 </v>
      </c>
      <c r="T696" s="458" t="s">
        <v>3187</v>
      </c>
      <c r="U696" s="458" t="s">
        <v>3187</v>
      </c>
      <c r="V696" s="93"/>
    </row>
    <row r="697" spans="1:22" ht="15.75" hidden="1" thickBot="1" x14ac:dyDescent="0.3">
      <c r="A697" s="93" t="s">
        <v>1913</v>
      </c>
      <c r="B697" s="93" t="s">
        <v>1913</v>
      </c>
      <c r="C697" s="424" t="str">
        <f t="shared" si="39"/>
        <v>X</v>
      </c>
      <c r="D697" s="422">
        <v>2022</v>
      </c>
      <c r="E697" s="250" t="s">
        <v>3499</v>
      </c>
      <c r="F697" s="250" t="s">
        <v>3566</v>
      </c>
      <c r="G697" s="422" t="s">
        <v>42</v>
      </c>
      <c r="H697" s="424" t="s">
        <v>42</v>
      </c>
      <c r="I697" s="531">
        <v>150110</v>
      </c>
      <c r="J697" s="425" t="str">
        <f>INDEX(aux!B:B,MATCH(I697,aux!A:A,0))</f>
        <v>(*) Embalagens contendo ou contaminadas por resíduos de substâncias perigosas</v>
      </c>
      <c r="K697" s="433" t="str">
        <f>INDEX(aux!C:C,MATCH(I697,aux!A:A,0))</f>
        <v>Sim</v>
      </c>
      <c r="L697" s="646">
        <v>0.40799999999999997</v>
      </c>
      <c r="M697" s="535" t="s">
        <v>1532</v>
      </c>
      <c r="N697" s="139">
        <f t="shared" si="37"/>
        <v>408</v>
      </c>
      <c r="O697" s="538" t="s">
        <v>484</v>
      </c>
      <c r="P697" s="231" t="str">
        <f t="shared" si="38"/>
        <v>Reciclagem</v>
      </c>
      <c r="Q697" s="541" t="s">
        <v>1901</v>
      </c>
      <c r="R697" s="541" t="s">
        <v>1892</v>
      </c>
      <c r="S697" s="528" t="str">
        <f>IFERROR(INDEX(Tabela3[Tipos de Tratamento],MATCH('A3.9.1 copy'!O195,Tabela3[Código],0)),"")</f>
        <v xml:space="preserve">Troca de resíduos com vista a submetê-los a uma das operações enumeradas de R 1 a R 11 </v>
      </c>
      <c r="T697" s="458" t="s">
        <v>3177</v>
      </c>
      <c r="U697" s="458" t="s">
        <v>3177</v>
      </c>
      <c r="V697" s="422"/>
    </row>
    <row r="698" spans="1:22" ht="15.75" hidden="1" thickBot="1" x14ac:dyDescent="0.3">
      <c r="A698" s="93" t="s">
        <v>1913</v>
      </c>
      <c r="B698" s="93" t="s">
        <v>1913</v>
      </c>
      <c r="C698" s="424" t="str">
        <f t="shared" si="39"/>
        <v>X</v>
      </c>
      <c r="D698" s="422">
        <v>2022</v>
      </c>
      <c r="E698" s="250" t="s">
        <v>3499</v>
      </c>
      <c r="F698" s="250" t="s">
        <v>3566</v>
      </c>
      <c r="G698" s="422" t="s">
        <v>42</v>
      </c>
      <c r="H698" s="424" t="s">
        <v>42</v>
      </c>
      <c r="I698" s="531">
        <v>150202</v>
      </c>
      <c r="J698" s="425" t="str">
        <f>INDEX(aux!B:B,MATCH(I698,aux!A:A,0))</f>
        <v>(*) Absorventes, materiais filtrantes (incluindo filtros de óleo sem outras especificações), panos de limpeza e vestuário de proteção, contaminados por substâncias perigosas</v>
      </c>
      <c r="K698" s="433" t="str">
        <f>INDEX(aux!C:C,MATCH(I698,aux!A:A,0))</f>
        <v>Sim</v>
      </c>
      <c r="L698" s="646">
        <v>5.2539999999999996</v>
      </c>
      <c r="M698" s="535" t="s">
        <v>1532</v>
      </c>
      <c r="N698" s="139">
        <f t="shared" si="37"/>
        <v>5254</v>
      </c>
      <c r="O698" s="538" t="s">
        <v>484</v>
      </c>
      <c r="P698" s="231" t="str">
        <f t="shared" si="38"/>
        <v>Reciclagem</v>
      </c>
      <c r="Q698" s="541" t="s">
        <v>1901</v>
      </c>
      <c r="R698" s="541" t="s">
        <v>1892</v>
      </c>
      <c r="S698" s="528" t="str">
        <f>IFERROR(INDEX(Tabela3[Tipos de Tratamento],MATCH('A3.9.1 copy'!O197,Tabela3[Código],0)),"")</f>
        <v xml:space="preserve">Troca de resíduos com vista a submetê-los a uma das operações enumeradas de R 1 a R 11 </v>
      </c>
      <c r="T698" s="458" t="s">
        <v>3177</v>
      </c>
      <c r="U698" s="458" t="s">
        <v>3177</v>
      </c>
      <c r="V698" s="93"/>
    </row>
    <row r="699" spans="1:22" ht="15.75" hidden="1" thickBot="1" x14ac:dyDescent="0.3">
      <c r="A699" s="93" t="s">
        <v>1913</v>
      </c>
      <c r="B699" s="93" t="s">
        <v>1913</v>
      </c>
      <c r="C699" s="424" t="str">
        <f t="shared" si="39"/>
        <v>X</v>
      </c>
      <c r="D699" s="422">
        <v>2022</v>
      </c>
      <c r="E699" s="250" t="s">
        <v>3499</v>
      </c>
      <c r="F699" s="250" t="s">
        <v>3566</v>
      </c>
      <c r="G699" s="422" t="s">
        <v>42</v>
      </c>
      <c r="H699" s="424" t="s">
        <v>42</v>
      </c>
      <c r="I699" s="531">
        <v>150203</v>
      </c>
      <c r="J699" s="425" t="str">
        <f>INDEX(aux!B:B,MATCH(I699,aux!A:A,0))</f>
        <v>Absorventes, materiais filtrantes, panos de limpeza e vestuário de proteção não abrangidos em 15 02 02</v>
      </c>
      <c r="K699" s="433" t="str">
        <f>INDEX(aux!C:C,MATCH(I699,aux!A:A,0))</f>
        <v>Não</v>
      </c>
      <c r="L699" s="646">
        <v>0.42699999999999999</v>
      </c>
      <c r="M699" s="535" t="s">
        <v>1532</v>
      </c>
      <c r="N699" s="139">
        <f t="shared" si="37"/>
        <v>427</v>
      </c>
      <c r="O699" s="538" t="s">
        <v>483</v>
      </c>
      <c r="P699" s="231" t="str">
        <f t="shared" si="38"/>
        <v>Reciclagem</v>
      </c>
      <c r="Q699" s="541" t="s">
        <v>1901</v>
      </c>
      <c r="R699" s="541" t="s">
        <v>1892</v>
      </c>
      <c r="S699" s="528" t="str">
        <f>IFERROR(INDEX(Tabela3[Tipos de Tratamento],MATCH('A3.9.1 copy'!O198,Tabela3[Código],0)),"")</f>
        <v>Acumulação de resíduos destinados a uma das operações enumeradas de R1 a R12</v>
      </c>
      <c r="T699" s="458" t="s">
        <v>3177</v>
      </c>
      <c r="U699" s="458" t="s">
        <v>3177</v>
      </c>
      <c r="V699" s="422"/>
    </row>
    <row r="700" spans="1:22" ht="15.75" hidden="1" thickBot="1" x14ac:dyDescent="0.3">
      <c r="A700" s="93" t="s">
        <v>1913</v>
      </c>
      <c r="B700" s="93" t="s">
        <v>1913</v>
      </c>
      <c r="C700" s="424" t="str">
        <f t="shared" si="39"/>
        <v>X</v>
      </c>
      <c r="D700" s="422">
        <v>2022</v>
      </c>
      <c r="E700" s="250" t="s">
        <v>3499</v>
      </c>
      <c r="F700" s="250" t="s">
        <v>3566</v>
      </c>
      <c r="G700" s="422" t="s">
        <v>42</v>
      </c>
      <c r="H700" s="424" t="s">
        <v>42</v>
      </c>
      <c r="I700" s="531">
        <v>160107</v>
      </c>
      <c r="J700" s="425" t="str">
        <f>INDEX(aux!B:B,MATCH(I700,aux!A:A,0))</f>
        <v>(*) Filtros de óleo</v>
      </c>
      <c r="K700" s="433" t="str">
        <f>INDEX(aux!C:C,MATCH(I700,aux!A:A,0))</f>
        <v>Sim</v>
      </c>
      <c r="L700" s="646">
        <v>0.70399999999999996</v>
      </c>
      <c r="M700" s="535" t="s">
        <v>1532</v>
      </c>
      <c r="N700" s="139">
        <f t="shared" si="37"/>
        <v>704</v>
      </c>
      <c r="O700" s="538" t="s">
        <v>484</v>
      </c>
      <c r="P700" s="231" t="str">
        <f t="shared" si="38"/>
        <v>Reciclagem</v>
      </c>
      <c r="Q700" s="541" t="s">
        <v>1901</v>
      </c>
      <c r="R700" s="541" t="s">
        <v>1892</v>
      </c>
      <c r="S700" s="528" t="str">
        <f>IFERROR(INDEX(Tabela3[Tipos de Tratamento],MATCH('A3.9.1 copy'!O201,Tabela3[Código],0)),"")</f>
        <v>Acumulação de resíduos destinados a uma das operações enumeradas de R1 a R12</v>
      </c>
      <c r="T700" s="458" t="s">
        <v>3177</v>
      </c>
      <c r="U700" s="458" t="s">
        <v>3177</v>
      </c>
      <c r="V700" s="422"/>
    </row>
    <row r="701" spans="1:22" ht="15.75" hidden="1" thickBot="1" x14ac:dyDescent="0.3">
      <c r="A701" s="93" t="s">
        <v>1913</v>
      </c>
      <c r="B701" s="93" t="s">
        <v>1913</v>
      </c>
      <c r="C701" s="424" t="str">
        <f t="shared" si="39"/>
        <v>X</v>
      </c>
      <c r="D701" s="422">
        <v>2022</v>
      </c>
      <c r="E701" s="250" t="s">
        <v>3499</v>
      </c>
      <c r="F701" s="250" t="s">
        <v>3566</v>
      </c>
      <c r="G701" s="422" t="s">
        <v>42</v>
      </c>
      <c r="H701" s="424" t="s">
        <v>42</v>
      </c>
      <c r="I701" s="658">
        <v>160114</v>
      </c>
      <c r="J701" s="425" t="str">
        <f>INDEX(aux!B:B,MATCH(I701,aux!A:A,0))</f>
        <v>(*) Fluidos anticongelantes contendo substâncias perigosas</v>
      </c>
      <c r="K701" s="433" t="str">
        <f>INDEX(aux!C:C,MATCH(I701,aux!A:A,0))</f>
        <v>Sim</v>
      </c>
      <c r="L701" s="646">
        <v>0.36499999999999999</v>
      </c>
      <c r="M701" s="535" t="s">
        <v>1532</v>
      </c>
      <c r="N701" s="139">
        <f t="shared" si="37"/>
        <v>365</v>
      </c>
      <c r="O701" s="538" t="s">
        <v>509</v>
      </c>
      <c r="P701" s="231" t="str">
        <f t="shared" si="38"/>
        <v>Aterro</v>
      </c>
      <c r="Q701" s="541" t="s">
        <v>1901</v>
      </c>
      <c r="R701" s="541" t="s">
        <v>1892</v>
      </c>
      <c r="S701" s="528" t="str">
        <f>IFERROR(INDEX(Tabela3[Tipos de Tratamento],MATCH('A3.9.1 copy'!O203,Tabela3[Código],0)),"")</f>
        <v>Acumulação de resíduos destinados a uma das operações enumeradas de R1 a R12</v>
      </c>
      <c r="T701" s="458" t="s">
        <v>3177</v>
      </c>
      <c r="U701" s="458" t="s">
        <v>3177</v>
      </c>
      <c r="V701" s="422"/>
    </row>
    <row r="702" spans="1:22" ht="15.75" hidden="1" thickBot="1" x14ac:dyDescent="0.3">
      <c r="A702" s="93" t="s">
        <v>1913</v>
      </c>
      <c r="B702" s="93" t="s">
        <v>1913</v>
      </c>
      <c r="C702" s="424" t="str">
        <f t="shared" si="39"/>
        <v>X</v>
      </c>
      <c r="D702" s="422">
        <v>2022</v>
      </c>
      <c r="E702" s="250" t="s">
        <v>3499</v>
      </c>
      <c r="F702" s="250" t="s">
        <v>3566</v>
      </c>
      <c r="G702" s="422" t="s">
        <v>42</v>
      </c>
      <c r="H702" s="424" t="s">
        <v>42</v>
      </c>
      <c r="I702" s="531">
        <v>160121</v>
      </c>
      <c r="J702" s="425" t="str">
        <f>INDEX(aux!B:B,MATCH(I702,aux!A:A,0))</f>
        <v>(*) Componentes perigosos não abrangidos em 16 01 07 a 16 01 11, 16 01 13 e 16 01 14</v>
      </c>
      <c r="K702" s="433" t="str">
        <f>INDEX(aux!C:C,MATCH(I702,aux!A:A,0))</f>
        <v>Sim</v>
      </c>
      <c r="L702" s="646">
        <v>1.395</v>
      </c>
      <c r="M702" s="535" t="s">
        <v>1532</v>
      </c>
      <c r="N702" s="139">
        <f t="shared" si="37"/>
        <v>1395</v>
      </c>
      <c r="O702" s="538" t="s">
        <v>484</v>
      </c>
      <c r="P702" s="231" t="str">
        <f t="shared" si="38"/>
        <v>Reciclagem</v>
      </c>
      <c r="Q702" s="541" t="s">
        <v>1901</v>
      </c>
      <c r="R702" s="541" t="s">
        <v>1892</v>
      </c>
      <c r="S702" s="528" t="str">
        <f>IFERROR(INDEX(Tabela3[Tipos de Tratamento],MATCH('A3.9.1 copy'!O207,Tabela3[Código],0)),"")</f>
        <v>Acumulação de resíduos destinados a uma das operações enumeradas de R1 a R12</v>
      </c>
      <c r="T702" s="458" t="s">
        <v>3177</v>
      </c>
      <c r="U702" s="458" t="s">
        <v>3177</v>
      </c>
      <c r="V702" s="422"/>
    </row>
    <row r="703" spans="1:22" ht="15.75" hidden="1" thickBot="1" x14ac:dyDescent="0.3">
      <c r="A703" s="93" t="s">
        <v>1913</v>
      </c>
      <c r="B703" s="93" t="s">
        <v>1913</v>
      </c>
      <c r="C703" s="424" t="str">
        <f t="shared" si="39"/>
        <v>X</v>
      </c>
      <c r="D703" s="422">
        <v>2022</v>
      </c>
      <c r="E703" s="250" t="s">
        <v>3499</v>
      </c>
      <c r="F703" s="250" t="s">
        <v>3566</v>
      </c>
      <c r="G703" s="422" t="s">
        <v>42</v>
      </c>
      <c r="H703" s="424" t="s">
        <v>42</v>
      </c>
      <c r="I703" s="531">
        <v>160199</v>
      </c>
      <c r="J703" s="425" t="str">
        <f>INDEX(aux!B:B,MATCH(I703,aux!A:A,0))</f>
        <v>Resíduos sem outras especificações</v>
      </c>
      <c r="K703" s="433" t="str">
        <f>INDEX(aux!C:C,MATCH(I703,aux!A:A,0))</f>
        <v>Não</v>
      </c>
      <c r="L703" s="646">
        <v>1.3380000000000001</v>
      </c>
      <c r="M703" s="535" t="s">
        <v>1532</v>
      </c>
      <c r="N703" s="139">
        <f t="shared" si="37"/>
        <v>1338</v>
      </c>
      <c r="O703" s="538" t="s">
        <v>483</v>
      </c>
      <c r="P703" s="231" t="str">
        <f t="shared" si="38"/>
        <v>Reciclagem</v>
      </c>
      <c r="Q703" s="541" t="s">
        <v>1901</v>
      </c>
      <c r="R703" s="541" t="s">
        <v>1892</v>
      </c>
      <c r="S703" s="528" t="str">
        <f>IFERROR(INDEX(Tabela3[Tipos de Tratamento],MATCH('A3.9.1 copy'!O208,Tabela3[Código],0)),"")</f>
        <v xml:space="preserve">Troca de resíduos com vista a submetê-los a uma das operações enumeradas de R 1 a R 11 </v>
      </c>
      <c r="T703" s="458" t="s">
        <v>3177</v>
      </c>
      <c r="U703" s="458" t="s">
        <v>3177</v>
      </c>
      <c r="V703" s="422"/>
    </row>
    <row r="704" spans="1:22" ht="15.75" hidden="1" thickBot="1" x14ac:dyDescent="0.3">
      <c r="A704" s="93" t="s">
        <v>1913</v>
      </c>
      <c r="B704" s="93" t="s">
        <v>1913</v>
      </c>
      <c r="C704" s="424" t="str">
        <f t="shared" si="39"/>
        <v>X</v>
      </c>
      <c r="D704" s="422">
        <v>2022</v>
      </c>
      <c r="E704" s="250" t="s">
        <v>3499</v>
      </c>
      <c r="F704" s="250" t="s">
        <v>3566</v>
      </c>
      <c r="G704" s="422" t="s">
        <v>42</v>
      </c>
      <c r="H704" s="424" t="s">
        <v>42</v>
      </c>
      <c r="I704" s="531">
        <v>200121</v>
      </c>
      <c r="J704" s="425" t="str">
        <f>INDEX(aux!B:B,MATCH(I704,aux!A:A,0))</f>
        <v>(*) Lâmpadas fluorescentes e outros resíduos contendo mercúrio</v>
      </c>
      <c r="K704" s="433" t="str">
        <f>INDEX(aux!C:C,MATCH(I704,aux!A:A,0))</f>
        <v>Sim</v>
      </c>
      <c r="L704" s="646">
        <v>2.5999999999999999E-2</v>
      </c>
      <c r="M704" s="535" t="s">
        <v>1532</v>
      </c>
      <c r="N704" s="139">
        <f t="shared" si="37"/>
        <v>26</v>
      </c>
      <c r="O704" s="538" t="s">
        <v>484</v>
      </c>
      <c r="P704" s="231" t="str">
        <f t="shared" si="38"/>
        <v>Reciclagem</v>
      </c>
      <c r="Q704" s="541" t="s">
        <v>1901</v>
      </c>
      <c r="R704" s="541" t="s">
        <v>1892</v>
      </c>
      <c r="S704" s="528" t="str">
        <f>IFERROR(INDEX(Tabela3[Tipos de Tratamento],MATCH('A3.9.1 copy'!O211,Tabela3[Código],0)),"")</f>
        <v xml:space="preserve">Regeneração de óleos e outras reutilizações de óleos </v>
      </c>
      <c r="T704" s="458" t="s">
        <v>3177</v>
      </c>
      <c r="U704" s="458" t="s">
        <v>3177</v>
      </c>
      <c r="V704" s="93"/>
    </row>
    <row r="705" spans="1:22" ht="15.75" hidden="1" thickBot="1" x14ac:dyDescent="0.3">
      <c r="A705" s="93" t="s">
        <v>1913</v>
      </c>
      <c r="B705" s="93" t="s">
        <v>1913</v>
      </c>
      <c r="C705" s="424" t="str">
        <f t="shared" si="39"/>
        <v>X</v>
      </c>
      <c r="D705" s="422">
        <v>2022</v>
      </c>
      <c r="E705" s="250" t="s">
        <v>3499</v>
      </c>
      <c r="F705" s="250" t="s">
        <v>3566</v>
      </c>
      <c r="G705" s="422" t="s">
        <v>42</v>
      </c>
      <c r="H705" s="424" t="s">
        <v>42</v>
      </c>
      <c r="I705" s="531">
        <v>200301</v>
      </c>
      <c r="J705" s="425" t="str">
        <f>INDEX(aux!B:B,MATCH(I705,aux!A:A,0))</f>
        <v>Misturas de resíduos urbanos equiparados</v>
      </c>
      <c r="K705" s="433" t="str">
        <f>INDEX(aux!C:C,MATCH(I705,aux!A:A,0))</f>
        <v>Não</v>
      </c>
      <c r="L705" s="646">
        <v>15.3</v>
      </c>
      <c r="M705" s="535" t="s">
        <v>1532</v>
      </c>
      <c r="N705" s="139">
        <f t="shared" si="37"/>
        <v>15300</v>
      </c>
      <c r="O705" s="538" t="s">
        <v>483</v>
      </c>
      <c r="P705" s="231" t="str">
        <f t="shared" si="38"/>
        <v>Reciclagem</v>
      </c>
      <c r="Q705" s="541" t="s">
        <v>1908</v>
      </c>
      <c r="R705" s="541" t="s">
        <v>1877</v>
      </c>
      <c r="S705" s="528" t="str">
        <f>IFERROR(INDEX(Tabela3[Tipos de Tratamento],MATCH('A3.9.1 copy'!O213,Tabela3[Código],0)),"")</f>
        <v xml:space="preserve">Troca de resíduos com vista a submetê-los a uma das operações enumeradas de R 1 a R 11 </v>
      </c>
      <c r="T705" s="458" t="s">
        <v>3177</v>
      </c>
      <c r="U705" s="458" t="s">
        <v>3187</v>
      </c>
      <c r="V705" s="93"/>
    </row>
    <row r="706" spans="1:22" ht="15.75" hidden="1" thickBot="1" x14ac:dyDescent="0.3">
      <c r="A706" s="93" t="s">
        <v>1913</v>
      </c>
      <c r="B706" s="93" t="s">
        <v>1913</v>
      </c>
      <c r="C706" s="424" t="str">
        <f t="shared" si="39"/>
        <v>X</v>
      </c>
      <c r="D706" s="422">
        <v>2022</v>
      </c>
      <c r="E706" s="250" t="s">
        <v>3499</v>
      </c>
      <c r="F706" s="250" t="s">
        <v>3566</v>
      </c>
      <c r="G706" s="422" t="s">
        <v>42</v>
      </c>
      <c r="H706" s="424" t="s">
        <v>42</v>
      </c>
      <c r="I706" s="531">
        <v>200301</v>
      </c>
      <c r="J706" s="425" t="str">
        <f>INDEX(aux!B:B,MATCH(I706,aux!A:A,0))</f>
        <v>Misturas de resíduos urbanos equiparados</v>
      </c>
      <c r="K706" s="433" t="str">
        <f>INDEX(aux!C:C,MATCH(I706,aux!A:A,0))</f>
        <v>Não</v>
      </c>
      <c r="L706" s="646">
        <v>15.3</v>
      </c>
      <c r="M706" s="535" t="s">
        <v>1532</v>
      </c>
      <c r="N706" s="139">
        <f t="shared" si="37"/>
        <v>15300</v>
      </c>
      <c r="O706" s="538" t="s">
        <v>483</v>
      </c>
      <c r="P706" s="231" t="str">
        <f t="shared" si="38"/>
        <v>Reciclagem</v>
      </c>
      <c r="Q706" s="541" t="s">
        <v>1908</v>
      </c>
      <c r="R706" s="541" t="s">
        <v>1877</v>
      </c>
      <c r="S706" s="528" t="str">
        <f>IFERROR(INDEX(Tabela3[Tipos de Tratamento],MATCH('A3.9.1 copy'!O214,Tabela3[Código],0)),"")</f>
        <v xml:space="preserve">Troca de resíduos com vista a submetê-los a uma das operações enumeradas de R 1 a R 11 </v>
      </c>
      <c r="T706" s="458" t="s">
        <v>3177</v>
      </c>
      <c r="U706" s="458" t="s">
        <v>3186</v>
      </c>
      <c r="V706" s="93"/>
    </row>
    <row r="707" spans="1:22" ht="15.75" hidden="1" thickBot="1" x14ac:dyDescent="0.3">
      <c r="A707" s="93" t="s">
        <v>1913</v>
      </c>
      <c r="B707" s="93" t="s">
        <v>1913</v>
      </c>
      <c r="C707" s="424" t="str">
        <f t="shared" si="39"/>
        <v>X</v>
      </c>
      <c r="D707" s="422">
        <v>2022</v>
      </c>
      <c r="E707" s="250" t="s">
        <v>3499</v>
      </c>
      <c r="F707" s="250" t="s">
        <v>3566</v>
      </c>
      <c r="G707" s="422" t="s">
        <v>42</v>
      </c>
      <c r="H707" s="424" t="s">
        <v>42</v>
      </c>
      <c r="I707" s="531">
        <v>160120</v>
      </c>
      <c r="J707" s="425" t="str">
        <f>INDEX(aux!B:B,MATCH(I707,aux!A:A,0))</f>
        <v>Vidro</v>
      </c>
      <c r="K707" s="433" t="str">
        <f>INDEX(aux!C:C,MATCH(I707,aux!A:A,0))</f>
        <v>Não</v>
      </c>
      <c r="L707" s="646">
        <v>0.376</v>
      </c>
      <c r="M707" s="535" t="s">
        <v>1532</v>
      </c>
      <c r="N707" s="139">
        <f t="shared" ref="N707:N770" si="40">IF(LEFT(M707,3)="ton",1000*L707,L707)</f>
        <v>376</v>
      </c>
      <c r="O707" s="538" t="s">
        <v>483</v>
      </c>
      <c r="P707" s="231" t="str">
        <f t="shared" ref="P707:P770" si="41">IF(LEFT(O707,1)="R","Reciclagem",IF(OR(O707="D10",O707="D11"),"Iceneração","Aterro"))</f>
        <v>Reciclagem</v>
      </c>
      <c r="Q707" s="541" t="s">
        <v>1561</v>
      </c>
      <c r="R707" s="541" t="s">
        <v>1903</v>
      </c>
      <c r="S707" s="528" t="str">
        <f>IFERROR(INDEX(Tabela3[Tipos de Tratamento],MATCH('A3.9.1 copy'!O206,Tabela3[Código],0)),"")</f>
        <v xml:space="preserve">Troca de resíduos com vista a submetê-los a uma das operações enumeradas de R 1 a R 11 </v>
      </c>
      <c r="T707" s="458" t="s">
        <v>3177</v>
      </c>
      <c r="U707" s="458" t="s">
        <v>3177</v>
      </c>
      <c r="V707" s="93"/>
    </row>
    <row r="708" spans="1:22" ht="15.75" thickBot="1" x14ac:dyDescent="0.3">
      <c r="A708" s="93" t="s">
        <v>1915</v>
      </c>
      <c r="B708" s="93" t="s">
        <v>1915</v>
      </c>
      <c r="C708" s="424" t="str">
        <f t="shared" si="39"/>
        <v>X</v>
      </c>
      <c r="D708" s="422">
        <v>2023</v>
      </c>
      <c r="E708" s="250" t="s">
        <v>3499</v>
      </c>
      <c r="F708" s="250" t="s">
        <v>3566</v>
      </c>
      <c r="G708" s="422" t="s">
        <v>42</v>
      </c>
      <c r="H708" s="424" t="s">
        <v>42</v>
      </c>
      <c r="I708" s="522">
        <v>160601</v>
      </c>
      <c r="J708" s="425" t="str">
        <f>INDEX(aux!B:B,MATCH(I708,aux!A:A,0))</f>
        <v>(*) Acumuladores de chumbo</v>
      </c>
      <c r="K708" s="433" t="str">
        <f>INDEX(aux!C:C,MATCH(I708,aux!A:A,0))</f>
        <v>Sim</v>
      </c>
      <c r="L708" s="360">
        <v>3.1150000000000002</v>
      </c>
      <c r="M708" s="359" t="s">
        <v>1532</v>
      </c>
      <c r="N708" s="139">
        <f t="shared" si="40"/>
        <v>3115</v>
      </c>
      <c r="O708" s="93" t="s">
        <v>483</v>
      </c>
      <c r="P708" s="231" t="str">
        <f t="shared" si="41"/>
        <v>Reciclagem</v>
      </c>
      <c r="Q708" s="541" t="s">
        <v>1653</v>
      </c>
      <c r="R708" s="541" t="s">
        <v>1877</v>
      </c>
      <c r="S708" s="544" t="s">
        <v>3594</v>
      </c>
      <c r="T708" s="93" t="s">
        <v>3190</v>
      </c>
      <c r="U708" s="93" t="s">
        <v>3189</v>
      </c>
      <c r="V708" s="93"/>
    </row>
    <row r="709" spans="1:22" ht="15.75" thickBot="1" x14ac:dyDescent="0.3">
      <c r="A709" s="93" t="s">
        <v>1915</v>
      </c>
      <c r="B709" s="93" t="s">
        <v>1915</v>
      </c>
      <c r="C709" s="424" t="str">
        <f t="shared" si="39"/>
        <v>X</v>
      </c>
      <c r="D709" s="422">
        <v>2023</v>
      </c>
      <c r="E709" s="250" t="s">
        <v>3499</v>
      </c>
      <c r="F709" s="250" t="s">
        <v>3566</v>
      </c>
      <c r="G709" s="422" t="s">
        <v>42</v>
      </c>
      <c r="H709" s="424" t="s">
        <v>42</v>
      </c>
      <c r="I709" s="522">
        <v>160601</v>
      </c>
      <c r="J709" s="425" t="str">
        <f>INDEX(aux!B:B,MATCH(I709,aux!A:A,0))</f>
        <v>(*) Acumuladores de chumbo</v>
      </c>
      <c r="K709" s="433" t="str">
        <f>INDEX(aux!C:C,MATCH(I709,aux!A:A,0))</f>
        <v>Sim</v>
      </c>
      <c r="L709" s="360">
        <v>3.1150000000000002</v>
      </c>
      <c r="M709" s="359" t="s">
        <v>1532</v>
      </c>
      <c r="N709" s="139">
        <f t="shared" si="40"/>
        <v>3115</v>
      </c>
      <c r="O709" s="93" t="s">
        <v>484</v>
      </c>
      <c r="P709" s="231" t="str">
        <f t="shared" si="41"/>
        <v>Reciclagem</v>
      </c>
      <c r="Q709" s="541" t="s">
        <v>1653</v>
      </c>
      <c r="R709" s="541" t="s">
        <v>1877</v>
      </c>
      <c r="S709" s="544" t="s">
        <v>3594</v>
      </c>
      <c r="T709" s="93" t="s">
        <v>3190</v>
      </c>
      <c r="U709" s="93" t="s">
        <v>3189</v>
      </c>
      <c r="V709" s="93"/>
    </row>
    <row r="710" spans="1:22" ht="15.75" thickBot="1" x14ac:dyDescent="0.3">
      <c r="A710" s="93" t="s">
        <v>1915</v>
      </c>
      <c r="B710" s="93" t="s">
        <v>1915</v>
      </c>
      <c r="C710" s="424" t="str">
        <f t="shared" si="39"/>
        <v>X</v>
      </c>
      <c r="D710" s="422">
        <v>2023</v>
      </c>
      <c r="E710" s="250" t="s">
        <v>3499</v>
      </c>
      <c r="F710" s="250" t="s">
        <v>3566</v>
      </c>
      <c r="G710" s="422" t="s">
        <v>42</v>
      </c>
      <c r="H710" s="424" t="s">
        <v>42</v>
      </c>
      <c r="I710" s="522">
        <v>200136</v>
      </c>
      <c r="J710" s="425" t="str">
        <f>INDEX(aux!B:B,MATCH(I710,aux!A:A,0))</f>
        <v>Equipamento elétrico e eletrónico fora de uso não abrangido em 20 01 21, 20 01 23 ou 20 01 35</v>
      </c>
      <c r="K710" s="433" t="str">
        <f>INDEX(aux!C:C,MATCH(I710,aux!A:A,0))</f>
        <v>Não</v>
      </c>
      <c r="L710" s="360">
        <v>0.19400000000000001</v>
      </c>
      <c r="M710" s="359" t="s">
        <v>1532</v>
      </c>
      <c r="N710" s="139">
        <f t="shared" si="40"/>
        <v>194</v>
      </c>
      <c r="O710" s="93" t="s">
        <v>483</v>
      </c>
      <c r="P710" s="231" t="str">
        <f t="shared" si="41"/>
        <v>Reciclagem</v>
      </c>
      <c r="Q710" s="541" t="s">
        <v>1909</v>
      </c>
      <c r="R710" s="541" t="s">
        <v>1877</v>
      </c>
      <c r="S710" s="544" t="s">
        <v>3594</v>
      </c>
      <c r="T710" s="93" t="s">
        <v>3177</v>
      </c>
      <c r="U710" s="93" t="s">
        <v>3177</v>
      </c>
      <c r="V710" s="93"/>
    </row>
    <row r="711" spans="1:22" ht="15.75" thickBot="1" x14ac:dyDescent="0.3">
      <c r="A711" s="93" t="s">
        <v>1915</v>
      </c>
      <c r="B711" s="93" t="s">
        <v>1915</v>
      </c>
      <c r="C711" s="424" t="str">
        <f t="shared" si="39"/>
        <v>X</v>
      </c>
      <c r="D711" s="422">
        <v>2023</v>
      </c>
      <c r="E711" s="250" t="s">
        <v>3499</v>
      </c>
      <c r="F711" s="250" t="s">
        <v>3566</v>
      </c>
      <c r="G711" s="422" t="s">
        <v>42</v>
      </c>
      <c r="H711" s="424" t="s">
        <v>42</v>
      </c>
      <c r="I711" s="522">
        <v>160112</v>
      </c>
      <c r="J711" s="425" t="str">
        <f>INDEX(aux!B:B,MATCH(I711,aux!A:A,0))</f>
        <v>Pastilhas de travões não abrangidas em 16 01 11</v>
      </c>
      <c r="K711" s="433" t="str">
        <f>INDEX(aux!C:C,MATCH(I711,aux!A:A,0))</f>
        <v>Não</v>
      </c>
      <c r="L711" s="360">
        <v>0.27400000000000002</v>
      </c>
      <c r="M711" s="359" t="s">
        <v>1532</v>
      </c>
      <c r="N711" s="139">
        <f t="shared" si="40"/>
        <v>274</v>
      </c>
      <c r="O711" s="93" t="s">
        <v>483</v>
      </c>
      <c r="P711" s="231" t="str">
        <f t="shared" si="41"/>
        <v>Reciclagem</v>
      </c>
      <c r="Q711" s="541" t="s">
        <v>1557</v>
      </c>
      <c r="R711" s="541" t="s">
        <v>6569</v>
      </c>
      <c r="S711" s="544" t="s">
        <v>3594</v>
      </c>
      <c r="T711" s="93" t="s">
        <v>3177</v>
      </c>
      <c r="U711" s="93" t="s">
        <v>3177</v>
      </c>
      <c r="V711" s="93"/>
    </row>
    <row r="712" spans="1:22" ht="15.75" thickBot="1" x14ac:dyDescent="0.3">
      <c r="A712" s="93" t="s">
        <v>1915</v>
      </c>
      <c r="B712" s="93" t="s">
        <v>1915</v>
      </c>
      <c r="C712" s="424" t="str">
        <f t="shared" si="39"/>
        <v>X</v>
      </c>
      <c r="D712" s="422">
        <v>2023</v>
      </c>
      <c r="E712" s="250" t="s">
        <v>3499</v>
      </c>
      <c r="F712" s="250" t="s">
        <v>3566</v>
      </c>
      <c r="G712" s="422" t="s">
        <v>42</v>
      </c>
      <c r="H712" s="424" t="s">
        <v>42</v>
      </c>
      <c r="I712" s="522">
        <v>160117</v>
      </c>
      <c r="J712" s="425" t="str">
        <f>INDEX(aux!B:B,MATCH(I712,aux!A:A,0))</f>
        <v>Metais ferrosos</v>
      </c>
      <c r="K712" s="433" t="str">
        <f>INDEX(aux!C:C,MATCH(I712,aux!A:A,0))</f>
        <v>Não</v>
      </c>
      <c r="L712" s="360">
        <v>4.84</v>
      </c>
      <c r="M712" s="359" t="s">
        <v>1532</v>
      </c>
      <c r="N712" s="139">
        <f t="shared" si="40"/>
        <v>4840</v>
      </c>
      <c r="O712" s="93" t="s">
        <v>483</v>
      </c>
      <c r="P712" s="231" t="str">
        <f t="shared" si="41"/>
        <v>Reciclagem</v>
      </c>
      <c r="Q712" s="541" t="s">
        <v>1557</v>
      </c>
      <c r="R712" s="541" t="s">
        <v>6569</v>
      </c>
      <c r="S712" s="544" t="s">
        <v>3594</v>
      </c>
      <c r="T712" s="93" t="s">
        <v>3188</v>
      </c>
      <c r="U712" s="93" t="s">
        <v>3189</v>
      </c>
      <c r="V712" s="93"/>
    </row>
    <row r="713" spans="1:22" ht="15.75" thickBot="1" x14ac:dyDescent="0.3">
      <c r="A713" s="93" t="s">
        <v>1915</v>
      </c>
      <c r="B713" s="93" t="s">
        <v>1915</v>
      </c>
      <c r="C713" s="424" t="str">
        <f t="shared" si="39"/>
        <v>X</v>
      </c>
      <c r="D713" s="422">
        <v>2023</v>
      </c>
      <c r="E713" s="250" t="s">
        <v>3499</v>
      </c>
      <c r="F713" s="250" t="s">
        <v>3566</v>
      </c>
      <c r="G713" s="422" t="s">
        <v>42</v>
      </c>
      <c r="H713" s="424" t="s">
        <v>42</v>
      </c>
      <c r="I713" s="522">
        <v>160117</v>
      </c>
      <c r="J713" s="425" t="str">
        <f>INDEX(aux!B:B,MATCH(I713,aux!A:A,0))</f>
        <v>Metais ferrosos</v>
      </c>
      <c r="K713" s="433" t="str">
        <f>INDEX(aux!C:C,MATCH(I713,aux!A:A,0))</f>
        <v>Não</v>
      </c>
      <c r="L713" s="360">
        <v>4.84</v>
      </c>
      <c r="M713" s="359" t="s">
        <v>1532</v>
      </c>
      <c r="N713" s="139">
        <f t="shared" si="40"/>
        <v>4840</v>
      </c>
      <c r="O713" s="93" t="s">
        <v>484</v>
      </c>
      <c r="P713" s="231" t="str">
        <f t="shared" si="41"/>
        <v>Reciclagem</v>
      </c>
      <c r="Q713" s="541" t="s">
        <v>1557</v>
      </c>
      <c r="R713" s="541" t="s">
        <v>6569</v>
      </c>
      <c r="S713" s="544" t="s">
        <v>3594</v>
      </c>
      <c r="T713" s="93" t="s">
        <v>3188</v>
      </c>
      <c r="U713" s="93" t="s">
        <v>3189</v>
      </c>
      <c r="V713" s="93"/>
    </row>
    <row r="714" spans="1:22" ht="15.75" thickBot="1" x14ac:dyDescent="0.3">
      <c r="A714" s="93" t="s">
        <v>1915</v>
      </c>
      <c r="B714" s="93" t="s">
        <v>1915</v>
      </c>
      <c r="C714" s="424" t="str">
        <f t="shared" si="39"/>
        <v>X</v>
      </c>
      <c r="D714" s="422">
        <v>2023</v>
      </c>
      <c r="E714" s="250" t="s">
        <v>3499</v>
      </c>
      <c r="F714" s="250" t="s">
        <v>3566</v>
      </c>
      <c r="G714" s="422" t="s">
        <v>42</v>
      </c>
      <c r="H714" s="424" t="s">
        <v>42</v>
      </c>
      <c r="I714" s="522">
        <v>150111</v>
      </c>
      <c r="J714" s="425" t="str">
        <f>INDEX(aux!B:B,MATCH(I714,aux!A:A,0))</f>
        <v>(*) Embalagens de metal, incluindo recipientes vazios sob pressão, contendo uma matriz porosa sólida perigosa (por exemplo, amianto)</v>
      </c>
      <c r="K714" s="433" t="str">
        <f>INDEX(aux!C:C,MATCH(I714,aux!A:A,0))</f>
        <v>Sim</v>
      </c>
      <c r="L714" s="360">
        <v>0.159</v>
      </c>
      <c r="M714" s="359" t="s">
        <v>1532</v>
      </c>
      <c r="N714" s="139">
        <f t="shared" si="40"/>
        <v>159</v>
      </c>
      <c r="O714" s="93" t="s">
        <v>484</v>
      </c>
      <c r="P714" s="231" t="str">
        <f t="shared" si="41"/>
        <v>Reciclagem</v>
      </c>
      <c r="Q714" s="541" t="s">
        <v>1906</v>
      </c>
      <c r="R714" s="541" t="s">
        <v>6569</v>
      </c>
      <c r="S714" s="544" t="s">
        <v>3594</v>
      </c>
      <c r="T714" s="93" t="s">
        <v>3177</v>
      </c>
      <c r="U714" s="93" t="s">
        <v>3177</v>
      </c>
      <c r="V714" s="422"/>
    </row>
    <row r="715" spans="1:22" ht="15.75" thickBot="1" x14ac:dyDescent="0.3">
      <c r="A715" s="93" t="s">
        <v>1915</v>
      </c>
      <c r="B715" s="93" t="s">
        <v>1915</v>
      </c>
      <c r="C715" s="424" t="str">
        <f t="shared" si="39"/>
        <v>X</v>
      </c>
      <c r="D715" s="422">
        <v>2023</v>
      </c>
      <c r="E715" s="250" t="s">
        <v>3499</v>
      </c>
      <c r="F715" s="250" t="s">
        <v>3566</v>
      </c>
      <c r="G715" s="422" t="s">
        <v>42</v>
      </c>
      <c r="H715" s="424" t="s">
        <v>42</v>
      </c>
      <c r="I715" s="522">
        <v>130208</v>
      </c>
      <c r="J715" s="425" t="str">
        <f>INDEX(aux!B:B,MATCH(I715,aux!A:A,0))</f>
        <v>(*) Outros óleos de motores, transmissões e lubrificação</v>
      </c>
      <c r="K715" s="433" t="str">
        <f>INDEX(aux!C:C,MATCH(I715,aux!A:A,0))</f>
        <v>Sim</v>
      </c>
      <c r="L715" s="360">
        <v>5.5129999999999999</v>
      </c>
      <c r="M715" s="359" t="s">
        <v>1532</v>
      </c>
      <c r="N715" s="139">
        <f t="shared" si="40"/>
        <v>5513</v>
      </c>
      <c r="O715" s="93" t="s">
        <v>480</v>
      </c>
      <c r="P715" s="231" t="str">
        <f t="shared" si="41"/>
        <v>Reciclagem</v>
      </c>
      <c r="Q715" s="541" t="s">
        <v>1902</v>
      </c>
      <c r="R715" s="541" t="s">
        <v>1877</v>
      </c>
      <c r="S715" s="544" t="s">
        <v>3594</v>
      </c>
      <c r="T715" s="93" t="s">
        <v>3173</v>
      </c>
      <c r="U715" s="93" t="s">
        <v>3174</v>
      </c>
      <c r="V715" s="93"/>
    </row>
    <row r="716" spans="1:22" ht="15.75" thickBot="1" x14ac:dyDescent="0.3">
      <c r="A716" s="93" t="s">
        <v>1915</v>
      </c>
      <c r="B716" s="93" t="s">
        <v>1915</v>
      </c>
      <c r="C716" s="424" t="str">
        <f t="shared" si="39"/>
        <v>X</v>
      </c>
      <c r="D716" s="422">
        <v>2023</v>
      </c>
      <c r="E716" s="250" t="s">
        <v>3499</v>
      </c>
      <c r="F716" s="250" t="s">
        <v>3566</v>
      </c>
      <c r="G716" s="422" t="s">
        <v>42</v>
      </c>
      <c r="H716" s="424" t="s">
        <v>42</v>
      </c>
      <c r="I716" s="522">
        <v>130701</v>
      </c>
      <c r="J716" s="425" t="str">
        <f>INDEX(aux!B:B,MATCH(I716,aux!A:A,0))</f>
        <v>(*) Fuelóleo e gasóleo</v>
      </c>
      <c r="K716" s="433" t="str">
        <f>INDEX(aux!C:C,MATCH(I716,aux!A:A,0))</f>
        <v>Sim</v>
      </c>
      <c r="L716" s="360">
        <v>4.88</v>
      </c>
      <c r="M716" s="359" t="s">
        <v>1532</v>
      </c>
      <c r="N716" s="139">
        <f t="shared" si="40"/>
        <v>4880</v>
      </c>
      <c r="O716" s="93" t="s">
        <v>480</v>
      </c>
      <c r="P716" s="231" t="str">
        <f t="shared" si="41"/>
        <v>Reciclagem</v>
      </c>
      <c r="Q716" s="541" t="s">
        <v>1902</v>
      </c>
      <c r="R716" s="541" t="s">
        <v>1877</v>
      </c>
      <c r="S716" s="544" t="s">
        <v>3594</v>
      </c>
      <c r="T716" s="93" t="s">
        <v>3177</v>
      </c>
      <c r="U716" s="93" t="s">
        <v>3177</v>
      </c>
      <c r="V716" s="93"/>
    </row>
    <row r="717" spans="1:22" ht="15.75" thickBot="1" x14ac:dyDescent="0.3">
      <c r="A717" s="93" t="s">
        <v>1915</v>
      </c>
      <c r="B717" s="93" t="s">
        <v>1915</v>
      </c>
      <c r="C717" s="424" t="str">
        <f t="shared" si="39"/>
        <v>X</v>
      </c>
      <c r="D717" s="422">
        <v>2023</v>
      </c>
      <c r="E717" s="250" t="s">
        <v>3499</v>
      </c>
      <c r="F717" s="250" t="s">
        <v>3566</v>
      </c>
      <c r="G717" s="422" t="s">
        <v>42</v>
      </c>
      <c r="H717" s="424" t="s">
        <v>42</v>
      </c>
      <c r="I717" s="522">
        <v>160103</v>
      </c>
      <c r="J717" s="425" t="str">
        <f>INDEX(aux!B:B,MATCH(I717,aux!A:A,0))</f>
        <v>Pneus usados</v>
      </c>
      <c r="K717" s="433" t="str">
        <f>INDEX(aux!C:C,MATCH(I717,aux!A:A,0))</f>
        <v>Não</v>
      </c>
      <c r="L717" s="360">
        <v>18.48</v>
      </c>
      <c r="M717" s="359" t="s">
        <v>1532</v>
      </c>
      <c r="N717" s="139">
        <f t="shared" si="40"/>
        <v>18480</v>
      </c>
      <c r="O717" s="93" t="s">
        <v>483</v>
      </c>
      <c r="P717" s="231" t="str">
        <f t="shared" si="41"/>
        <v>Reciclagem</v>
      </c>
      <c r="Q717" s="541" t="s">
        <v>1681</v>
      </c>
      <c r="R717" s="541" t="s">
        <v>6569</v>
      </c>
      <c r="S717" s="544" t="s">
        <v>3594</v>
      </c>
      <c r="T717" s="93" t="s">
        <v>3172</v>
      </c>
      <c r="U717" s="93" t="s">
        <v>3172</v>
      </c>
      <c r="V717" s="93"/>
    </row>
    <row r="718" spans="1:22" ht="15.75" thickBot="1" x14ac:dyDescent="0.3">
      <c r="A718" s="93" t="s">
        <v>1915</v>
      </c>
      <c r="B718" s="93" t="s">
        <v>1915</v>
      </c>
      <c r="C718" s="424" t="str">
        <f t="shared" si="39"/>
        <v>X</v>
      </c>
      <c r="D718" s="422">
        <v>2023</v>
      </c>
      <c r="E718" s="250" t="s">
        <v>3499</v>
      </c>
      <c r="F718" s="250" t="s">
        <v>3566</v>
      </c>
      <c r="G718" s="422" t="s">
        <v>42</v>
      </c>
      <c r="H718" s="424" t="s">
        <v>42</v>
      </c>
      <c r="I718" s="524">
        <v>160103</v>
      </c>
      <c r="J718" s="425" t="str">
        <f>INDEX(aux!B:B,MATCH(I718,aux!A:A,0))</f>
        <v>Pneus usados</v>
      </c>
      <c r="K718" s="433" t="str">
        <f>INDEX(aux!C:C,MATCH(I718,aux!A:A,0))</f>
        <v>Não</v>
      </c>
      <c r="L718" s="360">
        <v>18.48</v>
      </c>
      <c r="M718" s="359" t="s">
        <v>1532</v>
      </c>
      <c r="N718" s="139">
        <f t="shared" si="40"/>
        <v>18480</v>
      </c>
      <c r="O718" s="93" t="s">
        <v>484</v>
      </c>
      <c r="P718" s="231" t="str">
        <f t="shared" si="41"/>
        <v>Reciclagem</v>
      </c>
      <c r="Q718" s="541" t="s">
        <v>1681</v>
      </c>
      <c r="R718" s="541" t="s">
        <v>6569</v>
      </c>
      <c r="S718" s="544" t="s">
        <v>3594</v>
      </c>
      <c r="T718" s="93" t="s">
        <v>3172</v>
      </c>
      <c r="U718" s="93" t="s">
        <v>3172</v>
      </c>
      <c r="V718" s="93"/>
    </row>
    <row r="719" spans="1:22" ht="15.75" thickBot="1" x14ac:dyDescent="0.3">
      <c r="A719" s="93" t="s">
        <v>1915</v>
      </c>
      <c r="B719" s="93" t="s">
        <v>1915</v>
      </c>
      <c r="C719" s="424" t="str">
        <f t="shared" si="39"/>
        <v>X</v>
      </c>
      <c r="D719" s="422">
        <v>2023</v>
      </c>
      <c r="E719" s="250" t="s">
        <v>3499</v>
      </c>
      <c r="F719" s="250" t="s">
        <v>3566</v>
      </c>
      <c r="G719" s="422" t="s">
        <v>42</v>
      </c>
      <c r="H719" s="424" t="s">
        <v>42</v>
      </c>
      <c r="I719" s="522">
        <v>80117</v>
      </c>
      <c r="J719" s="425" t="str">
        <f>INDEX(aux!B:B,MATCH(I719,aux!A:A,0))</f>
        <v>(*) Resíduos de tintas e vernizes, contendo solventes orgânicos ou outras substâncias perigosas</v>
      </c>
      <c r="K719" s="433" t="str">
        <f>INDEX(aux!C:C,MATCH(I719,aux!A:A,0))</f>
        <v>Sim</v>
      </c>
      <c r="L719" s="360">
        <v>2.8000000000000001E-2</v>
      </c>
      <c r="M719" s="359" t="s">
        <v>1532</v>
      </c>
      <c r="N719" s="139">
        <f t="shared" si="40"/>
        <v>28</v>
      </c>
      <c r="O719" s="93" t="s">
        <v>509</v>
      </c>
      <c r="P719" s="231" t="str">
        <f t="shared" si="41"/>
        <v>Aterro</v>
      </c>
      <c r="Q719" s="541" t="s">
        <v>1901</v>
      </c>
      <c r="R719" s="541" t="s">
        <v>1892</v>
      </c>
      <c r="S719" s="544" t="s">
        <v>3594</v>
      </c>
      <c r="T719" s="93" t="s">
        <v>3177</v>
      </c>
      <c r="U719" s="93" t="s">
        <v>3177</v>
      </c>
      <c r="V719" s="93"/>
    </row>
    <row r="720" spans="1:22" ht="15.75" thickBot="1" x14ac:dyDescent="0.3">
      <c r="A720" s="93" t="s">
        <v>1915</v>
      </c>
      <c r="B720" s="93" t="s">
        <v>1915</v>
      </c>
      <c r="C720" s="424" t="str">
        <f t="shared" si="39"/>
        <v>X</v>
      </c>
      <c r="D720" s="422">
        <v>2023</v>
      </c>
      <c r="E720" s="250" t="s">
        <v>3499</v>
      </c>
      <c r="F720" s="250" t="s">
        <v>3566</v>
      </c>
      <c r="G720" s="422" t="s">
        <v>42</v>
      </c>
      <c r="H720" s="424" t="s">
        <v>42</v>
      </c>
      <c r="I720" s="522">
        <v>80117</v>
      </c>
      <c r="J720" s="425" t="str">
        <f>INDEX(aux!B:B,MATCH(I720,aux!A:A,0))</f>
        <v>(*) Resíduos de tintas e vernizes, contendo solventes orgânicos ou outras substâncias perigosas</v>
      </c>
      <c r="K720" s="433" t="str">
        <f>INDEX(aux!C:C,MATCH(I720,aux!A:A,0))</f>
        <v>Sim</v>
      </c>
      <c r="L720" s="360">
        <v>2.8000000000000001E-2</v>
      </c>
      <c r="M720" s="359" t="s">
        <v>1532</v>
      </c>
      <c r="N720" s="139">
        <f t="shared" si="40"/>
        <v>28</v>
      </c>
      <c r="O720" s="93" t="s">
        <v>483</v>
      </c>
      <c r="P720" s="231" t="str">
        <f t="shared" si="41"/>
        <v>Reciclagem</v>
      </c>
      <c r="Q720" s="541" t="s">
        <v>1901</v>
      </c>
      <c r="R720" s="541" t="s">
        <v>1892</v>
      </c>
      <c r="S720" s="544" t="s">
        <v>3594</v>
      </c>
      <c r="T720" s="93" t="s">
        <v>3177</v>
      </c>
      <c r="U720" s="93" t="s">
        <v>3177</v>
      </c>
      <c r="V720" s="93"/>
    </row>
    <row r="721" spans="1:22" ht="15.75" thickBot="1" x14ac:dyDescent="0.3">
      <c r="A721" s="93" t="s">
        <v>1915</v>
      </c>
      <c r="B721" s="93" t="s">
        <v>1915</v>
      </c>
      <c r="C721" s="424" t="str">
        <f t="shared" si="39"/>
        <v>X</v>
      </c>
      <c r="D721" s="422">
        <v>2023</v>
      </c>
      <c r="E721" s="250" t="s">
        <v>3499</v>
      </c>
      <c r="F721" s="250" t="s">
        <v>3566</v>
      </c>
      <c r="G721" s="422" t="s">
        <v>42</v>
      </c>
      <c r="H721" s="424" t="s">
        <v>42</v>
      </c>
      <c r="I721" s="522">
        <v>80119</v>
      </c>
      <c r="J721" s="425" t="str">
        <f>INDEX(aux!B:B,MATCH(I721,aux!A:A,0))</f>
        <v>(*) Suspensões aquosas contendo tintas ou vernizes, contendo solventes orgânicos ou outras substâncias perigosas</v>
      </c>
      <c r="K721" s="433" t="str">
        <f>INDEX(aux!C:C,MATCH(I721,aux!A:A,0))</f>
        <v>Sim</v>
      </c>
      <c r="L721" s="360">
        <v>0.7</v>
      </c>
      <c r="M721" s="359" t="s">
        <v>1532</v>
      </c>
      <c r="N721" s="139">
        <f t="shared" si="40"/>
        <v>700</v>
      </c>
      <c r="O721" s="93" t="s">
        <v>509</v>
      </c>
      <c r="P721" s="231" t="str">
        <f t="shared" si="41"/>
        <v>Aterro</v>
      </c>
      <c r="Q721" s="541" t="s">
        <v>1901</v>
      </c>
      <c r="R721" s="541" t="s">
        <v>1892</v>
      </c>
      <c r="S721" s="544" t="s">
        <v>3594</v>
      </c>
      <c r="T721" s="93" t="s">
        <v>3177</v>
      </c>
      <c r="U721" s="93" t="s">
        <v>3177</v>
      </c>
      <c r="V721" s="93"/>
    </row>
    <row r="722" spans="1:22" ht="15.75" thickBot="1" x14ac:dyDescent="0.3">
      <c r="A722" s="93" t="s">
        <v>1915</v>
      </c>
      <c r="B722" s="93" t="s">
        <v>1915</v>
      </c>
      <c r="C722" s="424" t="str">
        <f t="shared" si="39"/>
        <v>X</v>
      </c>
      <c r="D722" s="422">
        <v>2023</v>
      </c>
      <c r="E722" s="250" t="s">
        <v>3499</v>
      </c>
      <c r="F722" s="250" t="s">
        <v>3566</v>
      </c>
      <c r="G722" s="422" t="s">
        <v>42</v>
      </c>
      <c r="H722" s="424" t="s">
        <v>42</v>
      </c>
      <c r="I722" s="522">
        <v>80119</v>
      </c>
      <c r="J722" s="425" t="str">
        <f>INDEX(aux!B:B,MATCH(I722,aux!A:A,0))</f>
        <v>(*) Suspensões aquosas contendo tintas ou vernizes, contendo solventes orgânicos ou outras substâncias perigosas</v>
      </c>
      <c r="K722" s="433" t="str">
        <f>INDEX(aux!C:C,MATCH(I722,aux!A:A,0))</f>
        <v>Sim</v>
      </c>
      <c r="L722" s="360">
        <v>0.7</v>
      </c>
      <c r="M722" s="359" t="s">
        <v>1532</v>
      </c>
      <c r="N722" s="139">
        <f t="shared" si="40"/>
        <v>700</v>
      </c>
      <c r="O722" s="93" t="s">
        <v>483</v>
      </c>
      <c r="P722" s="231" t="str">
        <f t="shared" si="41"/>
        <v>Reciclagem</v>
      </c>
      <c r="Q722" s="541" t="s">
        <v>1901</v>
      </c>
      <c r="R722" s="541" t="s">
        <v>1892</v>
      </c>
      <c r="S722" s="544" t="s">
        <v>3594</v>
      </c>
      <c r="T722" s="93" t="s">
        <v>3177</v>
      </c>
      <c r="U722" s="93" t="s">
        <v>3177</v>
      </c>
      <c r="V722" s="93"/>
    </row>
    <row r="723" spans="1:22" ht="15.75" thickBot="1" x14ac:dyDescent="0.3">
      <c r="A723" s="93" t="s">
        <v>1915</v>
      </c>
      <c r="B723" s="93" t="s">
        <v>1915</v>
      </c>
      <c r="C723" s="424" t="str">
        <f t="shared" si="39"/>
        <v>X</v>
      </c>
      <c r="D723" s="422">
        <v>2023</v>
      </c>
      <c r="E723" s="250" t="s">
        <v>3499</v>
      </c>
      <c r="F723" s="250" t="s">
        <v>3566</v>
      </c>
      <c r="G723" s="422" t="s">
        <v>42</v>
      </c>
      <c r="H723" s="424" t="s">
        <v>42</v>
      </c>
      <c r="I723" s="522">
        <v>80317</v>
      </c>
      <c r="J723" s="425" t="str">
        <f>INDEX(aux!B:B,MATCH(I723,aux!A:A,0))</f>
        <v>(*) Resíduos de toner de impressão, contendo substâncias perigosas</v>
      </c>
      <c r="K723" s="433" t="str">
        <f>INDEX(aux!C:C,MATCH(I723,aux!A:A,0))</f>
        <v>Sim</v>
      </c>
      <c r="L723" s="360">
        <v>3.2000000000000001E-2</v>
      </c>
      <c r="M723" s="359" t="s">
        <v>1532</v>
      </c>
      <c r="N723" s="139">
        <f t="shared" si="40"/>
        <v>32</v>
      </c>
      <c r="O723" s="93" t="s">
        <v>484</v>
      </c>
      <c r="P723" s="231" t="str">
        <f t="shared" si="41"/>
        <v>Reciclagem</v>
      </c>
      <c r="Q723" s="541" t="s">
        <v>1901</v>
      </c>
      <c r="R723" s="541" t="s">
        <v>1892</v>
      </c>
      <c r="S723" s="544" t="s">
        <v>3594</v>
      </c>
      <c r="T723" s="93" t="s">
        <v>3177</v>
      </c>
      <c r="U723" s="93" t="s">
        <v>3177</v>
      </c>
      <c r="V723" s="93"/>
    </row>
    <row r="724" spans="1:22" ht="15.75" thickBot="1" x14ac:dyDescent="0.3">
      <c r="A724" s="93" t="s">
        <v>1915</v>
      </c>
      <c r="B724" s="93" t="s">
        <v>1915</v>
      </c>
      <c r="C724" s="424" t="str">
        <f t="shared" si="39"/>
        <v>X</v>
      </c>
      <c r="D724" s="422">
        <v>2023</v>
      </c>
      <c r="E724" s="250" t="s">
        <v>3499</v>
      </c>
      <c r="F724" s="250" t="s">
        <v>3566</v>
      </c>
      <c r="G724" s="422" t="s">
        <v>42</v>
      </c>
      <c r="H724" s="424" t="s">
        <v>42</v>
      </c>
      <c r="I724" s="522">
        <v>120301</v>
      </c>
      <c r="J724" s="425" t="str">
        <f>INDEX(aux!B:B,MATCH(I724,aux!A:A,0))</f>
        <v>(*) Líquidos de lavagem aquosos</v>
      </c>
      <c r="K724" s="433" t="str">
        <f>INDEX(aux!C:C,MATCH(I724,aux!A:A,0))</f>
        <v>Sim</v>
      </c>
      <c r="L724" s="360">
        <v>0.504</v>
      </c>
      <c r="M724" s="359" t="s">
        <v>1532</v>
      </c>
      <c r="N724" s="139">
        <f t="shared" si="40"/>
        <v>504</v>
      </c>
      <c r="O724" s="93" t="s">
        <v>503</v>
      </c>
      <c r="P724" s="231" t="str">
        <f t="shared" si="41"/>
        <v>Aterro</v>
      </c>
      <c r="Q724" s="541" t="s">
        <v>1901</v>
      </c>
      <c r="R724" s="541" t="s">
        <v>1892</v>
      </c>
      <c r="S724" s="544" t="s">
        <v>3594</v>
      </c>
      <c r="T724" s="93" t="s">
        <v>3177</v>
      </c>
      <c r="U724" s="93" t="s">
        <v>3177</v>
      </c>
      <c r="V724" s="93"/>
    </row>
    <row r="725" spans="1:22" ht="15.75" thickBot="1" x14ac:dyDescent="0.3">
      <c r="A725" s="93" t="s">
        <v>1915</v>
      </c>
      <c r="B725" s="93" t="s">
        <v>1915</v>
      </c>
      <c r="C725" s="424" t="str">
        <f t="shared" si="39"/>
        <v>X</v>
      </c>
      <c r="D725" s="422">
        <v>2023</v>
      </c>
      <c r="E725" s="250" t="s">
        <v>3499</v>
      </c>
      <c r="F725" s="250" t="s">
        <v>3566</v>
      </c>
      <c r="G725" s="422" t="s">
        <v>42</v>
      </c>
      <c r="H725" s="424" t="s">
        <v>42</v>
      </c>
      <c r="I725" s="522">
        <v>150106</v>
      </c>
      <c r="J725" s="425" t="str">
        <f>INDEX(aux!B:B,MATCH(I725,aux!A:A,0))</f>
        <v>Mistura de embalagens</v>
      </c>
      <c r="K725" s="433" t="str">
        <f>INDEX(aux!C:C,MATCH(I725,aux!A:A,0))</f>
        <v>Não</v>
      </c>
      <c r="L725" s="360">
        <v>4.22</v>
      </c>
      <c r="M725" s="359" t="s">
        <v>1532</v>
      </c>
      <c r="N725" s="139">
        <f t="shared" si="40"/>
        <v>4220</v>
      </c>
      <c r="O725" s="93" t="s">
        <v>483</v>
      </c>
      <c r="P725" s="231" t="str">
        <f t="shared" si="41"/>
        <v>Reciclagem</v>
      </c>
      <c r="Q725" s="541" t="s">
        <v>1901</v>
      </c>
      <c r="R725" s="541" t="s">
        <v>1892</v>
      </c>
      <c r="S725" s="544" t="s">
        <v>3594</v>
      </c>
      <c r="T725" s="93" t="s">
        <v>3177</v>
      </c>
      <c r="U725" s="93" t="s">
        <v>3186</v>
      </c>
      <c r="V725" s="422"/>
    </row>
    <row r="726" spans="1:22" ht="15.75" thickBot="1" x14ac:dyDescent="0.3">
      <c r="A726" s="93" t="s">
        <v>1915</v>
      </c>
      <c r="B726" s="93" t="s">
        <v>1915</v>
      </c>
      <c r="C726" s="424" t="str">
        <f t="shared" si="39"/>
        <v>X</v>
      </c>
      <c r="D726" s="422">
        <v>2023</v>
      </c>
      <c r="E726" s="250" t="s">
        <v>3499</v>
      </c>
      <c r="F726" s="250" t="s">
        <v>3566</v>
      </c>
      <c r="G726" s="422" t="s">
        <v>42</v>
      </c>
      <c r="H726" s="424" t="s">
        <v>42</v>
      </c>
      <c r="I726" s="522">
        <v>150106</v>
      </c>
      <c r="J726" s="425" t="str">
        <f>INDEX(aux!B:B,MATCH(I726,aux!A:A,0))</f>
        <v>Mistura de embalagens</v>
      </c>
      <c r="K726" s="433" t="str">
        <f>INDEX(aux!C:C,MATCH(I726,aux!A:A,0))</f>
        <v>Não</v>
      </c>
      <c r="L726" s="360">
        <v>4.22</v>
      </c>
      <c r="M726" s="359" t="s">
        <v>1532</v>
      </c>
      <c r="N726" s="139">
        <f t="shared" si="40"/>
        <v>4220</v>
      </c>
      <c r="O726" s="93" t="s">
        <v>483</v>
      </c>
      <c r="P726" s="231" t="str">
        <f t="shared" si="41"/>
        <v>Reciclagem</v>
      </c>
      <c r="Q726" s="541" t="s">
        <v>1901</v>
      </c>
      <c r="R726" s="541" t="s">
        <v>1892</v>
      </c>
      <c r="S726" s="544" t="s">
        <v>3594</v>
      </c>
      <c r="T726" s="93" t="s">
        <v>3187</v>
      </c>
      <c r="U726" s="93" t="s">
        <v>3187</v>
      </c>
      <c r="V726" s="422"/>
    </row>
    <row r="727" spans="1:22" ht="15.75" thickBot="1" x14ac:dyDescent="0.3">
      <c r="A727" s="422" t="s">
        <v>1915</v>
      </c>
      <c r="B727" s="422" t="s">
        <v>1915</v>
      </c>
      <c r="C727" s="424" t="str">
        <f t="shared" si="39"/>
        <v>X</v>
      </c>
      <c r="D727" s="422">
        <v>2023</v>
      </c>
      <c r="E727" s="250" t="s">
        <v>3499</v>
      </c>
      <c r="F727" s="250" t="s">
        <v>3566</v>
      </c>
      <c r="G727" s="422" t="s">
        <v>42</v>
      </c>
      <c r="H727" s="424" t="s">
        <v>42</v>
      </c>
      <c r="I727" s="487">
        <v>160114</v>
      </c>
      <c r="J727" s="425" t="str">
        <f>INDEX(aux!B:B,MATCH(I727,aux!A:A,0))</f>
        <v>(*) Fluidos anticongelantes contendo substâncias perigosas</v>
      </c>
      <c r="K727" s="433" t="str">
        <f>INDEX(aux!C:C,MATCH(I727,aux!A:A,0))</f>
        <v>Sim</v>
      </c>
      <c r="L727" s="259">
        <v>0.36499999999999999</v>
      </c>
      <c r="M727" s="428" t="s">
        <v>1532</v>
      </c>
      <c r="N727" s="139">
        <f t="shared" si="40"/>
        <v>365</v>
      </c>
      <c r="O727" s="422" t="s">
        <v>509</v>
      </c>
      <c r="P727" s="231" t="str">
        <f t="shared" si="41"/>
        <v>Aterro</v>
      </c>
      <c r="Q727" s="541" t="s">
        <v>1901</v>
      </c>
      <c r="R727" s="541" t="s">
        <v>1892</v>
      </c>
      <c r="S727" s="94" t="s">
        <v>3594</v>
      </c>
      <c r="T727" s="422" t="s">
        <v>3177</v>
      </c>
      <c r="U727" s="422" t="s">
        <v>3177</v>
      </c>
      <c r="V727" s="422"/>
    </row>
    <row r="728" spans="1:22" ht="15.75" thickBot="1" x14ac:dyDescent="0.3">
      <c r="A728" s="422" t="s">
        <v>1915</v>
      </c>
      <c r="B728" s="422" t="s">
        <v>1915</v>
      </c>
      <c r="C728" s="424" t="str">
        <f t="shared" si="39"/>
        <v>X</v>
      </c>
      <c r="D728" s="422">
        <v>2023</v>
      </c>
      <c r="E728" s="250" t="s">
        <v>3499</v>
      </c>
      <c r="F728" s="250" t="s">
        <v>3566</v>
      </c>
      <c r="G728" s="422" t="s">
        <v>42</v>
      </c>
      <c r="H728" s="424" t="s">
        <v>42</v>
      </c>
      <c r="I728" s="487">
        <v>200121</v>
      </c>
      <c r="J728" s="425" t="str">
        <f>INDEX(aux!B:B,MATCH(I728,aux!A:A,0))</f>
        <v>(*) Lâmpadas fluorescentes e outros resíduos contendo mercúrio</v>
      </c>
      <c r="K728" s="433" t="str">
        <f>INDEX(aux!C:C,MATCH(I728,aux!A:A,0))</f>
        <v>Sim</v>
      </c>
      <c r="L728" s="259">
        <v>2.5999999999999999E-2</v>
      </c>
      <c r="M728" s="428" t="s">
        <v>1532</v>
      </c>
      <c r="N728" s="139">
        <f t="shared" si="40"/>
        <v>26</v>
      </c>
      <c r="O728" s="422" t="s">
        <v>484</v>
      </c>
      <c r="P728" s="231" t="str">
        <f t="shared" si="41"/>
        <v>Reciclagem</v>
      </c>
      <c r="Q728" s="541" t="s">
        <v>1901</v>
      </c>
      <c r="R728" s="541" t="s">
        <v>1892</v>
      </c>
      <c r="S728" s="544" t="s">
        <v>3594</v>
      </c>
      <c r="T728" s="93" t="s">
        <v>3177</v>
      </c>
      <c r="U728" s="93" t="s">
        <v>3177</v>
      </c>
      <c r="V728" s="93"/>
    </row>
    <row r="729" spans="1:22" ht="15.75" thickBot="1" x14ac:dyDescent="0.3">
      <c r="A729" s="422" t="s">
        <v>1915</v>
      </c>
      <c r="B729" s="422" t="s">
        <v>1915</v>
      </c>
      <c r="C729" s="424" t="str">
        <f t="shared" si="39"/>
        <v>X</v>
      </c>
      <c r="D729" s="422">
        <v>2023</v>
      </c>
      <c r="E729" s="250" t="s">
        <v>3499</v>
      </c>
      <c r="F729" s="250" t="s">
        <v>3566</v>
      </c>
      <c r="G729" s="422" t="s">
        <v>42</v>
      </c>
      <c r="H729" s="424" t="s">
        <v>42</v>
      </c>
      <c r="I729" s="487">
        <v>160121</v>
      </c>
      <c r="J729" s="425" t="str">
        <f>INDEX(aux!B:B,MATCH(I729,aux!A:A,0))</f>
        <v>(*) Componentes perigosos não abrangidos em 16 01 07 a 16 01 11, 16 01 13 e 16 01 14</v>
      </c>
      <c r="K729" s="433" t="str">
        <f>INDEX(aux!C:C,MATCH(I729,aux!A:A,0))</f>
        <v>Sim</v>
      </c>
      <c r="L729" s="259">
        <v>1.395</v>
      </c>
      <c r="M729" s="428" t="s">
        <v>1532</v>
      </c>
      <c r="N729" s="139">
        <f t="shared" si="40"/>
        <v>1395</v>
      </c>
      <c r="O729" s="422" t="s">
        <v>484</v>
      </c>
      <c r="P729" s="231" t="str">
        <f t="shared" si="41"/>
        <v>Reciclagem</v>
      </c>
      <c r="Q729" s="541" t="s">
        <v>1901</v>
      </c>
      <c r="R729" s="541" t="s">
        <v>1892</v>
      </c>
      <c r="S729" s="94" t="s">
        <v>3594</v>
      </c>
      <c r="T729" s="422" t="s">
        <v>3177</v>
      </c>
      <c r="U729" s="422" t="s">
        <v>3177</v>
      </c>
      <c r="V729" s="422"/>
    </row>
    <row r="730" spans="1:22" ht="15.75" thickBot="1" x14ac:dyDescent="0.3">
      <c r="A730" s="93" t="s">
        <v>1915</v>
      </c>
      <c r="B730" s="93" t="s">
        <v>1915</v>
      </c>
      <c r="C730" s="424" t="str">
        <f t="shared" si="39"/>
        <v>X</v>
      </c>
      <c r="D730" s="422">
        <v>2023</v>
      </c>
      <c r="E730" s="250" t="s">
        <v>3499</v>
      </c>
      <c r="F730" s="250" t="s">
        <v>3566</v>
      </c>
      <c r="G730" s="422" t="s">
        <v>42</v>
      </c>
      <c r="H730" s="424" t="s">
        <v>42</v>
      </c>
      <c r="I730" s="522">
        <v>130502</v>
      </c>
      <c r="J730" s="425" t="str">
        <f>INDEX(aux!B:B,MATCH(I730,aux!A:A,0))</f>
        <v>(*) Lamas provenientes dos separadores óleo/água</v>
      </c>
      <c r="K730" s="433" t="str">
        <f>INDEX(aux!C:C,MATCH(I730,aux!A:A,0))</f>
        <v>Sim</v>
      </c>
      <c r="L730" s="360">
        <v>5.9009999999999998</v>
      </c>
      <c r="M730" s="359" t="s">
        <v>1532</v>
      </c>
      <c r="N730" s="139">
        <f t="shared" si="40"/>
        <v>5901</v>
      </c>
      <c r="O730" s="93" t="s">
        <v>509</v>
      </c>
      <c r="P730" s="231" t="str">
        <f t="shared" si="41"/>
        <v>Aterro</v>
      </c>
      <c r="Q730" s="541" t="s">
        <v>1901</v>
      </c>
      <c r="R730" s="541" t="s">
        <v>1892</v>
      </c>
      <c r="S730" s="544" t="s">
        <v>3594</v>
      </c>
      <c r="T730" s="93" t="s">
        <v>3177</v>
      </c>
      <c r="U730" s="93" t="s">
        <v>3177</v>
      </c>
      <c r="V730" s="93"/>
    </row>
    <row r="731" spans="1:22" ht="15.75" thickBot="1" x14ac:dyDescent="0.3">
      <c r="A731" s="422" t="s">
        <v>1915</v>
      </c>
      <c r="B731" s="422" t="s">
        <v>1915</v>
      </c>
      <c r="C731" s="424" t="str">
        <f t="shared" si="39"/>
        <v>X</v>
      </c>
      <c r="D731" s="422">
        <v>2023</v>
      </c>
      <c r="E731" s="250" t="s">
        <v>3499</v>
      </c>
      <c r="F731" s="250" t="s">
        <v>3566</v>
      </c>
      <c r="G731" s="422" t="s">
        <v>42</v>
      </c>
      <c r="H731" s="424" t="s">
        <v>42</v>
      </c>
      <c r="I731" s="487">
        <v>160199</v>
      </c>
      <c r="J731" s="425" t="str">
        <f>INDEX(aux!B:B,MATCH(I731,aux!A:A,0))</f>
        <v>Resíduos sem outras especificações</v>
      </c>
      <c r="K731" s="433" t="str">
        <f>INDEX(aux!C:C,MATCH(I731,aux!A:A,0))</f>
        <v>Não</v>
      </c>
      <c r="L731" s="259">
        <v>1.3380000000000001</v>
      </c>
      <c r="M731" s="428" t="s">
        <v>1532</v>
      </c>
      <c r="N731" s="139">
        <f t="shared" si="40"/>
        <v>1338</v>
      </c>
      <c r="O731" s="422" t="s">
        <v>483</v>
      </c>
      <c r="P731" s="231" t="str">
        <f t="shared" si="41"/>
        <v>Reciclagem</v>
      </c>
      <c r="Q731" s="541" t="s">
        <v>1901</v>
      </c>
      <c r="R731" s="541" t="s">
        <v>1892</v>
      </c>
      <c r="S731" s="544" t="s">
        <v>3594</v>
      </c>
      <c r="T731" s="93" t="s">
        <v>3177</v>
      </c>
      <c r="U731" s="93" t="s">
        <v>3177</v>
      </c>
      <c r="V731" s="93"/>
    </row>
    <row r="732" spans="1:22" ht="15.75" thickBot="1" x14ac:dyDescent="0.3">
      <c r="A732" s="93" t="s">
        <v>1915</v>
      </c>
      <c r="B732" s="93" t="s">
        <v>1915</v>
      </c>
      <c r="C732" s="424" t="str">
        <f t="shared" si="39"/>
        <v>X</v>
      </c>
      <c r="D732" s="422">
        <v>2023</v>
      </c>
      <c r="E732" s="250" t="s">
        <v>3499</v>
      </c>
      <c r="F732" s="250" t="s">
        <v>3566</v>
      </c>
      <c r="G732" s="422" t="s">
        <v>42</v>
      </c>
      <c r="H732" s="424" t="s">
        <v>42</v>
      </c>
      <c r="I732" s="522">
        <v>130507</v>
      </c>
      <c r="J732" s="425" t="str">
        <f>INDEX(aux!B:B,MATCH(I732,aux!A:A,0))</f>
        <v>(*) Água com óleo proveniente dos separadores óleo/água</v>
      </c>
      <c r="K732" s="433" t="str">
        <f>INDEX(aux!C:C,MATCH(I732,aux!A:A,0))</f>
        <v>Sim</v>
      </c>
      <c r="L732" s="360">
        <v>0.82599999999999996</v>
      </c>
      <c r="M732" s="359" t="s">
        <v>1532</v>
      </c>
      <c r="N732" s="139">
        <f t="shared" si="40"/>
        <v>826</v>
      </c>
      <c r="O732" s="93" t="s">
        <v>509</v>
      </c>
      <c r="P732" s="231" t="str">
        <f t="shared" si="41"/>
        <v>Aterro</v>
      </c>
      <c r="Q732" s="541" t="s">
        <v>1901</v>
      </c>
      <c r="R732" s="541" t="s">
        <v>1892</v>
      </c>
      <c r="S732" s="544" t="s">
        <v>3594</v>
      </c>
      <c r="T732" s="93" t="s">
        <v>3177</v>
      </c>
      <c r="U732" s="93" t="s">
        <v>3177</v>
      </c>
      <c r="V732" s="93"/>
    </row>
    <row r="733" spans="1:22" ht="15.75" thickBot="1" x14ac:dyDescent="0.3">
      <c r="A733" s="93" t="s">
        <v>1915</v>
      </c>
      <c r="B733" s="93" t="s">
        <v>1915</v>
      </c>
      <c r="C733" s="424" t="str">
        <f t="shared" si="39"/>
        <v>X</v>
      </c>
      <c r="D733" s="422">
        <v>2023</v>
      </c>
      <c r="E733" s="250" t="s">
        <v>3499</v>
      </c>
      <c r="F733" s="250" t="s">
        <v>3566</v>
      </c>
      <c r="G733" s="422" t="s">
        <v>42</v>
      </c>
      <c r="H733" s="424" t="s">
        <v>42</v>
      </c>
      <c r="I733" s="522">
        <v>130507</v>
      </c>
      <c r="J733" s="425" t="str">
        <f>INDEX(aux!B:B,MATCH(I733,aux!A:A,0))</f>
        <v>(*) Água com óleo proveniente dos separadores óleo/água</v>
      </c>
      <c r="K733" s="433" t="str">
        <f>INDEX(aux!C:C,MATCH(I733,aux!A:A,0))</f>
        <v>Sim</v>
      </c>
      <c r="L733" s="360">
        <v>2.4</v>
      </c>
      <c r="M733" s="359" t="s">
        <v>1532</v>
      </c>
      <c r="N733" s="139">
        <f t="shared" si="40"/>
        <v>2400</v>
      </c>
      <c r="O733" s="93" t="s">
        <v>503</v>
      </c>
      <c r="P733" s="231" t="str">
        <f t="shared" si="41"/>
        <v>Aterro</v>
      </c>
      <c r="Q733" s="541" t="s">
        <v>1901</v>
      </c>
      <c r="R733" s="541" t="s">
        <v>1892</v>
      </c>
      <c r="S733" s="544" t="s">
        <v>3594</v>
      </c>
      <c r="T733" s="93" t="s">
        <v>3177</v>
      </c>
      <c r="U733" s="93" t="s">
        <v>3177</v>
      </c>
      <c r="V733" s="93"/>
    </row>
    <row r="734" spans="1:22" ht="15.75" thickBot="1" x14ac:dyDescent="0.3">
      <c r="A734" s="93" t="s">
        <v>1915</v>
      </c>
      <c r="B734" s="93" t="s">
        <v>1915</v>
      </c>
      <c r="C734" s="424" t="str">
        <f t="shared" si="39"/>
        <v>X</v>
      </c>
      <c r="D734" s="422">
        <v>2023</v>
      </c>
      <c r="E734" s="250" t="s">
        <v>3499</v>
      </c>
      <c r="F734" s="250" t="s">
        <v>3566</v>
      </c>
      <c r="G734" s="422" t="s">
        <v>42</v>
      </c>
      <c r="H734" s="424" t="s">
        <v>42</v>
      </c>
      <c r="I734" s="522">
        <v>150110</v>
      </c>
      <c r="J734" s="425" t="str">
        <f>INDEX(aux!B:B,MATCH(I734,aux!A:A,0))</f>
        <v>(*) Embalagens contendo ou contaminadas por resíduos de substâncias perigosas</v>
      </c>
      <c r="K734" s="433" t="str">
        <f>INDEX(aux!C:C,MATCH(I734,aux!A:A,0))</f>
        <v>Sim</v>
      </c>
      <c r="L734" s="360">
        <v>0.40799999999999997</v>
      </c>
      <c r="M734" s="359" t="s">
        <v>1532</v>
      </c>
      <c r="N734" s="139">
        <f t="shared" si="40"/>
        <v>408</v>
      </c>
      <c r="O734" s="93" t="s">
        <v>484</v>
      </c>
      <c r="P734" s="231" t="str">
        <f t="shared" si="41"/>
        <v>Reciclagem</v>
      </c>
      <c r="Q734" s="541" t="s">
        <v>1901</v>
      </c>
      <c r="R734" s="541" t="s">
        <v>1892</v>
      </c>
      <c r="S734" s="544" t="s">
        <v>3594</v>
      </c>
      <c r="T734" s="93" t="s">
        <v>3177</v>
      </c>
      <c r="U734" s="93" t="s">
        <v>3177</v>
      </c>
      <c r="V734" s="93"/>
    </row>
    <row r="735" spans="1:22" ht="15.75" thickBot="1" x14ac:dyDescent="0.3">
      <c r="A735" s="93" t="s">
        <v>1915</v>
      </c>
      <c r="B735" s="93" t="s">
        <v>1915</v>
      </c>
      <c r="C735" s="424" t="str">
        <f t="shared" si="39"/>
        <v>X</v>
      </c>
      <c r="D735" s="422">
        <v>2023</v>
      </c>
      <c r="E735" s="250" t="s">
        <v>3499</v>
      </c>
      <c r="F735" s="250" t="s">
        <v>3566</v>
      </c>
      <c r="G735" s="422" t="s">
        <v>42</v>
      </c>
      <c r="H735" s="424" t="s">
        <v>42</v>
      </c>
      <c r="I735" s="522">
        <v>150203</v>
      </c>
      <c r="J735" s="425" t="str">
        <f>INDEX(aux!B:B,MATCH(I735,aux!A:A,0))</f>
        <v>Absorventes, materiais filtrantes, panos de limpeza e vestuário de proteção não abrangidos em 15 02 02</v>
      </c>
      <c r="K735" s="433" t="str">
        <f>INDEX(aux!C:C,MATCH(I735,aux!A:A,0))</f>
        <v>Não</v>
      </c>
      <c r="L735" s="360">
        <v>0.42699999999999999</v>
      </c>
      <c r="M735" s="359" t="s">
        <v>1532</v>
      </c>
      <c r="N735" s="139">
        <f t="shared" si="40"/>
        <v>427</v>
      </c>
      <c r="O735" s="93" t="s">
        <v>483</v>
      </c>
      <c r="P735" s="231" t="str">
        <f t="shared" si="41"/>
        <v>Reciclagem</v>
      </c>
      <c r="Q735" s="541" t="s">
        <v>1901</v>
      </c>
      <c r="R735" s="541" t="s">
        <v>1892</v>
      </c>
      <c r="S735" s="544" t="s">
        <v>3594</v>
      </c>
      <c r="T735" s="93" t="s">
        <v>3177</v>
      </c>
      <c r="U735" s="93" t="s">
        <v>3177</v>
      </c>
      <c r="V735" s="93"/>
    </row>
    <row r="736" spans="1:22" ht="15.75" thickBot="1" x14ac:dyDescent="0.3">
      <c r="A736" s="93" t="s">
        <v>1915</v>
      </c>
      <c r="B736" s="93" t="s">
        <v>1915</v>
      </c>
      <c r="C736" s="424" t="str">
        <f t="shared" si="39"/>
        <v>X</v>
      </c>
      <c r="D736" s="422">
        <v>2023</v>
      </c>
      <c r="E736" s="250" t="s">
        <v>3499</v>
      </c>
      <c r="F736" s="250" t="s">
        <v>3566</v>
      </c>
      <c r="G736" s="422" t="s">
        <v>42</v>
      </c>
      <c r="H736" s="424" t="s">
        <v>42</v>
      </c>
      <c r="I736" s="522">
        <v>150202</v>
      </c>
      <c r="J736" s="425" t="str">
        <f>INDEX(aux!B:B,MATCH(I736,aux!A:A,0))</f>
        <v>(*) Absorventes, materiais filtrantes (incluindo filtros de óleo sem outras especificações), panos de limpeza e vestuário de proteção, contaminados por substâncias perigosas</v>
      </c>
      <c r="K736" s="433" t="str">
        <f>INDEX(aux!C:C,MATCH(I736,aux!A:A,0))</f>
        <v>Sim</v>
      </c>
      <c r="L736" s="360">
        <v>5.2539999999999996</v>
      </c>
      <c r="M736" s="359" t="s">
        <v>1532</v>
      </c>
      <c r="N736" s="139">
        <f t="shared" si="40"/>
        <v>5254</v>
      </c>
      <c r="O736" s="93" t="s">
        <v>484</v>
      </c>
      <c r="P736" s="231" t="str">
        <f t="shared" si="41"/>
        <v>Reciclagem</v>
      </c>
      <c r="Q736" s="541" t="s">
        <v>1901</v>
      </c>
      <c r="R736" s="541" t="s">
        <v>1892</v>
      </c>
      <c r="S736" s="544" t="s">
        <v>3594</v>
      </c>
      <c r="T736" s="93" t="s">
        <v>3177</v>
      </c>
      <c r="U736" s="93" t="s">
        <v>3177</v>
      </c>
      <c r="V736" s="93"/>
    </row>
    <row r="737" spans="1:22" ht="15.75" thickBot="1" x14ac:dyDescent="0.3">
      <c r="A737" s="422" t="s">
        <v>1915</v>
      </c>
      <c r="B737" s="93" t="s">
        <v>1915</v>
      </c>
      <c r="C737" s="424" t="str">
        <f t="shared" si="39"/>
        <v>X</v>
      </c>
      <c r="D737" s="422">
        <v>2023</v>
      </c>
      <c r="E737" s="250" t="s">
        <v>3499</v>
      </c>
      <c r="F737" s="250" t="s">
        <v>3566</v>
      </c>
      <c r="G737" s="422" t="s">
        <v>42</v>
      </c>
      <c r="H737" s="424" t="s">
        <v>42</v>
      </c>
      <c r="I737" s="522">
        <v>160107</v>
      </c>
      <c r="J737" s="425" t="str">
        <f>INDEX(aux!B:B,MATCH(I737,aux!A:A,0))</f>
        <v>(*) Filtros de óleo</v>
      </c>
      <c r="K737" s="433" t="str">
        <f>INDEX(aux!C:C,MATCH(I737,aux!A:A,0))</f>
        <v>Sim</v>
      </c>
      <c r="L737" s="360">
        <v>0.70399999999999996</v>
      </c>
      <c r="M737" s="359" t="s">
        <v>1532</v>
      </c>
      <c r="N737" s="139">
        <f t="shared" si="40"/>
        <v>704</v>
      </c>
      <c r="O737" s="93" t="s">
        <v>484</v>
      </c>
      <c r="P737" s="231" t="str">
        <f t="shared" si="41"/>
        <v>Reciclagem</v>
      </c>
      <c r="Q737" s="541" t="s">
        <v>1901</v>
      </c>
      <c r="R737" s="541" t="s">
        <v>1892</v>
      </c>
      <c r="S737" s="544" t="s">
        <v>3594</v>
      </c>
      <c r="T737" s="93" t="s">
        <v>3177</v>
      </c>
      <c r="U737" s="93" t="s">
        <v>3177</v>
      </c>
      <c r="V737" s="93"/>
    </row>
    <row r="738" spans="1:22" ht="15.75" thickBot="1" x14ac:dyDescent="0.3">
      <c r="A738" s="422" t="s">
        <v>1915</v>
      </c>
      <c r="B738" s="422" t="s">
        <v>1915</v>
      </c>
      <c r="C738" s="424" t="str">
        <f t="shared" si="39"/>
        <v>X</v>
      </c>
      <c r="D738" s="422">
        <v>2023</v>
      </c>
      <c r="E738" s="250" t="s">
        <v>3499</v>
      </c>
      <c r="F738" s="250" t="s">
        <v>3566</v>
      </c>
      <c r="G738" s="422" t="s">
        <v>42</v>
      </c>
      <c r="H738" s="424" t="s">
        <v>42</v>
      </c>
      <c r="I738" s="487">
        <v>200301</v>
      </c>
      <c r="J738" s="425" t="str">
        <f>INDEX(aux!B:B,MATCH(I738,aux!A:A,0))</f>
        <v>Misturas de resíduos urbanos equiparados</v>
      </c>
      <c r="K738" s="433" t="str">
        <f>INDEX(aux!C:C,MATCH(I738,aux!A:A,0))</f>
        <v>Não</v>
      </c>
      <c r="L738" s="259">
        <v>15.3</v>
      </c>
      <c r="M738" s="428" t="s">
        <v>1532</v>
      </c>
      <c r="N738" s="139">
        <f t="shared" si="40"/>
        <v>15300</v>
      </c>
      <c r="O738" s="422" t="s">
        <v>483</v>
      </c>
      <c r="P738" s="231" t="str">
        <f t="shared" si="41"/>
        <v>Reciclagem</v>
      </c>
      <c r="Q738" s="541" t="s">
        <v>1908</v>
      </c>
      <c r="R738" s="541" t="s">
        <v>1877</v>
      </c>
      <c r="S738" s="544" t="s">
        <v>3594</v>
      </c>
      <c r="T738" s="93" t="s">
        <v>3177</v>
      </c>
      <c r="U738" s="93" t="s">
        <v>3187</v>
      </c>
      <c r="V738" s="93"/>
    </row>
    <row r="739" spans="1:22" ht="15.75" thickBot="1" x14ac:dyDescent="0.3">
      <c r="A739" s="422" t="s">
        <v>1915</v>
      </c>
      <c r="B739" s="422" t="s">
        <v>1915</v>
      </c>
      <c r="C739" s="424" t="str">
        <f t="shared" si="39"/>
        <v>X</v>
      </c>
      <c r="D739" s="422">
        <v>2023</v>
      </c>
      <c r="E739" s="250" t="s">
        <v>3499</v>
      </c>
      <c r="F739" s="250" t="s">
        <v>3566</v>
      </c>
      <c r="G739" s="422" t="s">
        <v>42</v>
      </c>
      <c r="H739" s="424" t="s">
        <v>42</v>
      </c>
      <c r="I739" s="487">
        <v>200301</v>
      </c>
      <c r="J739" s="425" t="str">
        <f>INDEX(aux!B:B,MATCH(I739,aux!A:A,0))</f>
        <v>Misturas de resíduos urbanos equiparados</v>
      </c>
      <c r="K739" s="433" t="str">
        <f>INDEX(aux!C:C,MATCH(I739,aux!A:A,0))</f>
        <v>Não</v>
      </c>
      <c r="L739" s="259">
        <v>15.3</v>
      </c>
      <c r="M739" s="428" t="s">
        <v>1532</v>
      </c>
      <c r="N739" s="139">
        <f t="shared" si="40"/>
        <v>15300</v>
      </c>
      <c r="O739" s="422" t="s">
        <v>483</v>
      </c>
      <c r="P739" s="231" t="str">
        <f t="shared" si="41"/>
        <v>Reciclagem</v>
      </c>
      <c r="Q739" s="541" t="s">
        <v>1908</v>
      </c>
      <c r="R739" s="541" t="s">
        <v>1877</v>
      </c>
      <c r="S739" s="544" t="s">
        <v>3594</v>
      </c>
      <c r="T739" s="93" t="s">
        <v>3177</v>
      </c>
      <c r="U739" s="93" t="s">
        <v>3186</v>
      </c>
      <c r="V739" s="93"/>
    </row>
    <row r="740" spans="1:22" ht="15.75" thickBot="1" x14ac:dyDescent="0.3">
      <c r="A740" s="93" t="s">
        <v>1915</v>
      </c>
      <c r="B740" s="93" t="s">
        <v>1915</v>
      </c>
      <c r="C740" s="424" t="str">
        <f t="shared" si="39"/>
        <v>X</v>
      </c>
      <c r="D740" s="422">
        <v>2023</v>
      </c>
      <c r="E740" s="250" t="s">
        <v>3499</v>
      </c>
      <c r="F740" s="250" t="s">
        <v>3566</v>
      </c>
      <c r="G740" s="422" t="s">
        <v>42</v>
      </c>
      <c r="H740" s="424" t="s">
        <v>42</v>
      </c>
      <c r="I740" s="522">
        <v>160120</v>
      </c>
      <c r="J740" s="425" t="str">
        <f>INDEX(aux!B:B,MATCH(I740,aux!A:A,0))</f>
        <v>Vidro</v>
      </c>
      <c r="K740" s="433" t="str">
        <f>INDEX(aux!C:C,MATCH(I740,aux!A:A,0))</f>
        <v>Não</v>
      </c>
      <c r="L740" s="360">
        <v>0.376</v>
      </c>
      <c r="M740" s="359" t="s">
        <v>1532</v>
      </c>
      <c r="N740" s="139">
        <f t="shared" si="40"/>
        <v>376</v>
      </c>
      <c r="O740" s="93" t="s">
        <v>483</v>
      </c>
      <c r="P740" s="231" t="str">
        <f t="shared" si="41"/>
        <v>Reciclagem</v>
      </c>
      <c r="Q740" s="541" t="s">
        <v>1561</v>
      </c>
      <c r="R740" s="541" t="s">
        <v>6569</v>
      </c>
      <c r="S740" s="544" t="s">
        <v>3594</v>
      </c>
      <c r="T740" s="93" t="s">
        <v>3177</v>
      </c>
      <c r="U740" s="93" t="s">
        <v>3177</v>
      </c>
      <c r="V740" s="93"/>
    </row>
    <row r="741" spans="1:22" ht="15.75" hidden="1" thickBot="1" x14ac:dyDescent="0.3">
      <c r="A741" s="529" t="s">
        <v>4594</v>
      </c>
      <c r="B741" s="529" t="s">
        <v>4594</v>
      </c>
      <c r="C741" s="424" t="str">
        <f t="shared" si="39"/>
        <v>X</v>
      </c>
      <c r="D741" s="422">
        <v>2022</v>
      </c>
      <c r="E741" s="250" t="s">
        <v>3499</v>
      </c>
      <c r="F741" s="250" t="s">
        <v>3566</v>
      </c>
      <c r="G741" s="422" t="s">
        <v>42</v>
      </c>
      <c r="H741" s="424" t="s">
        <v>42</v>
      </c>
      <c r="I741" s="532">
        <v>160601</v>
      </c>
      <c r="J741" s="425" t="str">
        <f>INDEX(aux!B:B,MATCH(I741,aux!A:A,0))</f>
        <v>(*) Acumuladores de chumbo</v>
      </c>
      <c r="K741" s="433" t="str">
        <f>INDEX(aux!C:C,MATCH(I741,aux!A:A,0))</f>
        <v>Sim</v>
      </c>
      <c r="L741" s="646">
        <v>1537</v>
      </c>
      <c r="M741" s="535" t="s">
        <v>557</v>
      </c>
      <c r="N741" s="139">
        <f t="shared" si="40"/>
        <v>1537</v>
      </c>
      <c r="O741" s="538" t="s">
        <v>484</v>
      </c>
      <c r="P741" s="231" t="str">
        <f t="shared" si="41"/>
        <v>Reciclagem</v>
      </c>
      <c r="Q741" s="541" t="s">
        <v>1653</v>
      </c>
      <c r="R741" s="541" t="s">
        <v>1877</v>
      </c>
      <c r="S741" s="528" t="str">
        <f>IFERROR(INDEX(Tabela3[Tipos de Tratamento],MATCH('A3.9.1 copy'!O466,Tabela3[Código],0)),"")</f>
        <v>Acumulação de resíduos destinados a uma das operações enumeradas de R1 a R12</v>
      </c>
      <c r="T741" s="458" t="s">
        <v>3269</v>
      </c>
      <c r="U741" s="458" t="s">
        <v>3269</v>
      </c>
      <c r="V741" s="93"/>
    </row>
    <row r="742" spans="1:22" ht="15.75" thickBot="1" x14ac:dyDescent="0.3">
      <c r="A742" s="93" t="s">
        <v>4594</v>
      </c>
      <c r="B742" s="93" t="s">
        <v>4594</v>
      </c>
      <c r="C742" s="424" t="str">
        <f t="shared" si="39"/>
        <v>X</v>
      </c>
      <c r="D742" s="422">
        <v>2023</v>
      </c>
      <c r="E742" s="250" t="s">
        <v>3499</v>
      </c>
      <c r="F742" s="250" t="s">
        <v>3566</v>
      </c>
      <c r="G742" s="422" t="s">
        <v>42</v>
      </c>
      <c r="H742" s="424" t="s">
        <v>42</v>
      </c>
      <c r="I742" s="522">
        <v>160601</v>
      </c>
      <c r="J742" s="425" t="str">
        <f>INDEX(aux!B:B,MATCH(I742,aux!A:A,0))</f>
        <v>(*) Acumuladores de chumbo</v>
      </c>
      <c r="K742" s="433" t="str">
        <f>INDEX(aux!C:C,MATCH(I742,aux!A:A,0))</f>
        <v>Sim</v>
      </c>
      <c r="L742" s="360">
        <v>2684</v>
      </c>
      <c r="M742" s="359" t="s">
        <v>557</v>
      </c>
      <c r="N742" s="139">
        <f t="shared" si="40"/>
        <v>2684</v>
      </c>
      <c r="O742" s="93" t="s">
        <v>484</v>
      </c>
      <c r="P742" s="231" t="str">
        <f t="shared" si="41"/>
        <v>Reciclagem</v>
      </c>
      <c r="Q742" s="541" t="s">
        <v>1653</v>
      </c>
      <c r="R742" s="541" t="s">
        <v>1877</v>
      </c>
      <c r="S742" s="544" t="s">
        <v>1553</v>
      </c>
      <c r="T742" s="93" t="s">
        <v>3269</v>
      </c>
      <c r="U742" s="93" t="s">
        <v>3269</v>
      </c>
      <c r="V742" s="93"/>
    </row>
    <row r="743" spans="1:22" ht="15.75" thickBot="1" x14ac:dyDescent="0.3">
      <c r="A743" s="93" t="s">
        <v>4594</v>
      </c>
      <c r="B743" s="93" t="s">
        <v>4594</v>
      </c>
      <c r="C743" s="424" t="str">
        <f t="shared" si="39"/>
        <v>X</v>
      </c>
      <c r="D743" s="422">
        <v>2023</v>
      </c>
      <c r="E743" s="250" t="s">
        <v>3499</v>
      </c>
      <c r="F743" s="250" t="s">
        <v>3566</v>
      </c>
      <c r="G743" s="422" t="s">
        <v>42</v>
      </c>
      <c r="H743" s="424" t="s">
        <v>42</v>
      </c>
      <c r="I743" s="522">
        <v>160601</v>
      </c>
      <c r="J743" s="425" t="str">
        <f>INDEX(aux!B:B,MATCH(I743,aux!A:A,0))</f>
        <v>(*) Acumuladores de chumbo</v>
      </c>
      <c r="K743" s="433" t="str">
        <f>INDEX(aux!C:C,MATCH(I743,aux!A:A,0))</f>
        <v>Sim</v>
      </c>
      <c r="L743" s="360">
        <v>2136</v>
      </c>
      <c r="M743" s="359" t="s">
        <v>557</v>
      </c>
      <c r="N743" s="139">
        <f t="shared" si="40"/>
        <v>2136</v>
      </c>
      <c r="O743" s="93" t="s">
        <v>483</v>
      </c>
      <c r="P743" s="231" t="str">
        <f t="shared" si="41"/>
        <v>Reciclagem</v>
      </c>
      <c r="Q743" s="541" t="s">
        <v>1653</v>
      </c>
      <c r="R743" s="541" t="s">
        <v>1877</v>
      </c>
      <c r="S743" s="544" t="s">
        <v>485</v>
      </c>
      <c r="T743" s="93" t="s">
        <v>3267</v>
      </c>
      <c r="U743" s="93" t="s">
        <v>6298</v>
      </c>
      <c r="V743" s="93"/>
    </row>
    <row r="744" spans="1:22" ht="15.75" hidden="1" thickBot="1" x14ac:dyDescent="0.3">
      <c r="A744" s="529" t="s">
        <v>4594</v>
      </c>
      <c r="B744" s="529" t="s">
        <v>4594</v>
      </c>
      <c r="C744" s="424" t="str">
        <f t="shared" si="39"/>
        <v>X</v>
      </c>
      <c r="D744" s="422">
        <v>2022</v>
      </c>
      <c r="E744" s="250" t="s">
        <v>3499</v>
      </c>
      <c r="F744" s="250" t="s">
        <v>3566</v>
      </c>
      <c r="G744" s="422" t="s">
        <v>42</v>
      </c>
      <c r="H744" s="424" t="s">
        <v>42</v>
      </c>
      <c r="I744" s="532">
        <v>160112</v>
      </c>
      <c r="J744" s="425" t="str">
        <f>INDEX(aux!B:B,MATCH(I744,aux!A:A,0))</f>
        <v>Pastilhas de travões não abrangidas em 16 01 11</v>
      </c>
      <c r="K744" s="433" t="str">
        <f>INDEX(aux!C:C,MATCH(I744,aux!A:A,0))</f>
        <v>Não</v>
      </c>
      <c r="L744" s="646">
        <v>674</v>
      </c>
      <c r="M744" s="535" t="s">
        <v>557</v>
      </c>
      <c r="N744" s="139">
        <f t="shared" si="40"/>
        <v>674</v>
      </c>
      <c r="O744" s="538" t="s">
        <v>509</v>
      </c>
      <c r="P744" s="231" t="str">
        <f t="shared" si="41"/>
        <v>Aterro</v>
      </c>
      <c r="Q744" s="541" t="s">
        <v>1557</v>
      </c>
      <c r="R744" s="541" t="s">
        <v>1903</v>
      </c>
      <c r="S744" s="528" t="str">
        <f>IFERROR(INDEX(Tabela3[Tipos de Tratamento],MATCH('A3.9.1 copy'!O462,Tabela3[Código],0)),"")</f>
        <v>Acumulação de resíduos destinados a uma das operações enumeradas de R1 a R12</v>
      </c>
      <c r="T744" s="458" t="s">
        <v>3263</v>
      </c>
      <c r="U744" s="458" t="s">
        <v>3266</v>
      </c>
      <c r="V744" s="93"/>
    </row>
    <row r="745" spans="1:22" ht="15.75" thickBot="1" x14ac:dyDescent="0.3">
      <c r="A745" s="93" t="s">
        <v>4594</v>
      </c>
      <c r="B745" s="93" t="s">
        <v>4594</v>
      </c>
      <c r="C745" s="424" t="str">
        <f t="shared" si="39"/>
        <v>X</v>
      </c>
      <c r="D745" s="422">
        <v>2023</v>
      </c>
      <c r="E745" s="250" t="s">
        <v>3499</v>
      </c>
      <c r="F745" s="250" t="s">
        <v>3566</v>
      </c>
      <c r="G745" s="422" t="s">
        <v>42</v>
      </c>
      <c r="H745" s="424" t="s">
        <v>42</v>
      </c>
      <c r="I745" s="522">
        <v>160112</v>
      </c>
      <c r="J745" s="425" t="str">
        <f>INDEX(aux!B:B,MATCH(I745,aux!A:A,0))</f>
        <v>Pastilhas de travões não abrangidas em 16 01 11</v>
      </c>
      <c r="K745" s="433" t="str">
        <f>INDEX(aux!C:C,MATCH(I745,aux!A:A,0))</f>
        <v>Não</v>
      </c>
      <c r="L745" s="360">
        <v>1714</v>
      </c>
      <c r="M745" s="359" t="s">
        <v>557</v>
      </c>
      <c r="N745" s="139">
        <f t="shared" si="40"/>
        <v>1714</v>
      </c>
      <c r="O745" s="93" t="s">
        <v>509</v>
      </c>
      <c r="P745" s="231" t="str">
        <f t="shared" si="41"/>
        <v>Aterro</v>
      </c>
      <c r="Q745" s="541" t="s">
        <v>1557</v>
      </c>
      <c r="R745" s="541" t="s">
        <v>6569</v>
      </c>
      <c r="S745" s="544" t="s">
        <v>1556</v>
      </c>
      <c r="T745" s="93" t="s">
        <v>3263</v>
      </c>
      <c r="U745" s="93" t="s">
        <v>6297</v>
      </c>
      <c r="V745" s="93"/>
    </row>
    <row r="746" spans="1:22" ht="15.75" thickBot="1" x14ac:dyDescent="0.3">
      <c r="A746" s="93" t="s">
        <v>4594</v>
      </c>
      <c r="B746" s="93" t="s">
        <v>4594</v>
      </c>
      <c r="C746" s="424" t="str">
        <f t="shared" si="39"/>
        <v>X</v>
      </c>
      <c r="D746" s="422">
        <v>2023</v>
      </c>
      <c r="E746" s="250" t="s">
        <v>3499</v>
      </c>
      <c r="F746" s="250" t="s">
        <v>3566</v>
      </c>
      <c r="G746" s="422" t="s">
        <v>42</v>
      </c>
      <c r="H746" s="424" t="s">
        <v>42</v>
      </c>
      <c r="I746" s="522">
        <v>160117</v>
      </c>
      <c r="J746" s="425" t="str">
        <f>INDEX(aux!B:B,MATCH(I746,aux!A:A,0))</f>
        <v>Metais ferrosos</v>
      </c>
      <c r="K746" s="433" t="str">
        <f>INDEX(aux!C:C,MATCH(I746,aux!A:A,0))</f>
        <v>Não</v>
      </c>
      <c r="L746" s="360">
        <v>3470</v>
      </c>
      <c r="M746" s="359" t="s">
        <v>557</v>
      </c>
      <c r="N746" s="139">
        <f t="shared" si="40"/>
        <v>3470</v>
      </c>
      <c r="O746" s="93" t="s">
        <v>483</v>
      </c>
      <c r="P746" s="231" t="str">
        <f t="shared" si="41"/>
        <v>Reciclagem</v>
      </c>
      <c r="Q746" s="541" t="s">
        <v>1557</v>
      </c>
      <c r="R746" s="541" t="s">
        <v>6569</v>
      </c>
      <c r="S746" s="544" t="s">
        <v>485</v>
      </c>
      <c r="T746" s="93" t="s">
        <v>3269</v>
      </c>
      <c r="U746" s="93" t="s">
        <v>3269</v>
      </c>
      <c r="V746" s="93"/>
    </row>
    <row r="747" spans="1:22" ht="15.75" thickBot="1" x14ac:dyDescent="0.3">
      <c r="A747" s="93" t="s">
        <v>4594</v>
      </c>
      <c r="B747" s="93" t="s">
        <v>4594</v>
      </c>
      <c r="C747" s="424" t="str">
        <f t="shared" si="39"/>
        <v>X</v>
      </c>
      <c r="D747" s="422">
        <v>2023</v>
      </c>
      <c r="E747" s="250" t="s">
        <v>3499</v>
      </c>
      <c r="F747" s="250" t="s">
        <v>3566</v>
      </c>
      <c r="G747" s="422" t="s">
        <v>42</v>
      </c>
      <c r="H747" s="424" t="s">
        <v>42</v>
      </c>
      <c r="I747" s="522">
        <v>160117</v>
      </c>
      <c r="J747" s="425" t="str">
        <f>INDEX(aux!B:B,MATCH(I747,aux!A:A,0))</f>
        <v>Metais ferrosos</v>
      </c>
      <c r="K747" s="433" t="str">
        <f>INDEX(aux!C:C,MATCH(I747,aux!A:A,0))</f>
        <v>Não</v>
      </c>
      <c r="L747" s="360">
        <v>3740</v>
      </c>
      <c r="M747" s="359" t="s">
        <v>557</v>
      </c>
      <c r="N747" s="139">
        <f t="shared" si="40"/>
        <v>3740</v>
      </c>
      <c r="O747" s="93" t="s">
        <v>483</v>
      </c>
      <c r="P747" s="231" t="str">
        <f t="shared" si="41"/>
        <v>Reciclagem</v>
      </c>
      <c r="Q747" s="541" t="s">
        <v>1557</v>
      </c>
      <c r="R747" s="541" t="s">
        <v>6569</v>
      </c>
      <c r="S747" s="544" t="s">
        <v>485</v>
      </c>
      <c r="T747" s="93" t="s">
        <v>3267</v>
      </c>
      <c r="U747" s="93" t="s">
        <v>6298</v>
      </c>
      <c r="V747" s="422"/>
    </row>
    <row r="748" spans="1:22" ht="15.75" thickBot="1" x14ac:dyDescent="0.3">
      <c r="A748" s="93" t="s">
        <v>4594</v>
      </c>
      <c r="B748" s="93" t="s">
        <v>4594</v>
      </c>
      <c r="C748" s="424" t="str">
        <f t="shared" si="39"/>
        <v>X</v>
      </c>
      <c r="D748" s="422">
        <v>2023</v>
      </c>
      <c r="E748" s="250" t="s">
        <v>3499</v>
      </c>
      <c r="F748" s="250" t="s">
        <v>3566</v>
      </c>
      <c r="G748" s="422" t="s">
        <v>42</v>
      </c>
      <c r="H748" s="424" t="s">
        <v>42</v>
      </c>
      <c r="I748" s="522">
        <v>130208</v>
      </c>
      <c r="J748" s="425" t="str">
        <f>INDEX(aux!B:B,MATCH(I748,aux!A:A,0))</f>
        <v>(*) Outros óleos de motores, transmissões e lubrificação</v>
      </c>
      <c r="K748" s="433" t="str">
        <f>INDEX(aux!C:C,MATCH(I748,aux!A:A,0))</f>
        <v>Sim</v>
      </c>
      <c r="L748" s="360">
        <v>7444</v>
      </c>
      <c r="M748" s="359" t="s">
        <v>557</v>
      </c>
      <c r="N748" s="139">
        <f t="shared" si="40"/>
        <v>7444</v>
      </c>
      <c r="O748" s="93" t="s">
        <v>480</v>
      </c>
      <c r="P748" s="231" t="str">
        <f t="shared" si="41"/>
        <v>Reciclagem</v>
      </c>
      <c r="Q748" s="541" t="s">
        <v>1902</v>
      </c>
      <c r="R748" s="541" t="s">
        <v>1877</v>
      </c>
      <c r="S748" s="544" t="s">
        <v>1546</v>
      </c>
      <c r="T748" s="93" t="s">
        <v>3273</v>
      </c>
      <c r="U748" s="93" t="s">
        <v>3275</v>
      </c>
      <c r="V748" s="93"/>
    </row>
    <row r="749" spans="1:22" ht="15.75" hidden="1" thickBot="1" x14ac:dyDescent="0.3">
      <c r="A749" s="529" t="s">
        <v>4594</v>
      </c>
      <c r="B749" s="529" t="s">
        <v>4594</v>
      </c>
      <c r="C749" s="424" t="str">
        <f t="shared" si="39"/>
        <v>X</v>
      </c>
      <c r="D749" s="422">
        <v>2022</v>
      </c>
      <c r="E749" s="250" t="s">
        <v>3499</v>
      </c>
      <c r="F749" s="250" t="s">
        <v>3566</v>
      </c>
      <c r="G749" s="422" t="s">
        <v>42</v>
      </c>
      <c r="H749" s="424" t="s">
        <v>42</v>
      </c>
      <c r="I749" s="532">
        <v>200101</v>
      </c>
      <c r="J749" s="425" t="str">
        <f>INDEX(aux!B:B,MATCH(I749,aux!A:A,0))</f>
        <v xml:space="preserve">Papel e Cartão </v>
      </c>
      <c r="K749" s="433" t="str">
        <f>INDEX(aux!C:C,MATCH(I749,aux!A:A,0))</f>
        <v>Não</v>
      </c>
      <c r="L749" s="646">
        <v>98</v>
      </c>
      <c r="M749" s="535" t="s">
        <v>557</v>
      </c>
      <c r="N749" s="139">
        <f t="shared" si="40"/>
        <v>98</v>
      </c>
      <c r="O749" s="538" t="s">
        <v>484</v>
      </c>
      <c r="P749" s="231" t="str">
        <f t="shared" si="41"/>
        <v>Reciclagem</v>
      </c>
      <c r="Q749" s="541" t="s">
        <v>1904</v>
      </c>
      <c r="R749" s="541" t="s">
        <v>1903</v>
      </c>
      <c r="S749" s="528" t="str">
        <f>IFERROR(INDEX(Tabela3[Tipos de Tratamento],MATCH('A3.9.1 copy'!O468,Tabela3[Código],0)),"")</f>
        <v>Acumulação de resíduos destinados a uma das operações enumeradas de R1 a R12</v>
      </c>
      <c r="T749" s="458" t="s">
        <v>3263</v>
      </c>
      <c r="U749" s="458" t="s">
        <v>3266</v>
      </c>
      <c r="V749" s="93"/>
    </row>
    <row r="750" spans="1:22" ht="15.75" thickBot="1" x14ac:dyDescent="0.3">
      <c r="A750" s="93" t="s">
        <v>4594</v>
      </c>
      <c r="B750" s="93" t="s">
        <v>4594</v>
      </c>
      <c r="C750" s="424" t="str">
        <f t="shared" si="39"/>
        <v>X</v>
      </c>
      <c r="D750" s="422">
        <v>2023</v>
      </c>
      <c r="E750" s="250" t="s">
        <v>3499</v>
      </c>
      <c r="F750" s="250" t="s">
        <v>3566</v>
      </c>
      <c r="G750" s="422" t="s">
        <v>42</v>
      </c>
      <c r="H750" s="424" t="s">
        <v>42</v>
      </c>
      <c r="I750" s="522">
        <v>200101</v>
      </c>
      <c r="J750" s="425" t="str">
        <f>INDEX(aux!B:B,MATCH(I750,aux!A:A,0))</f>
        <v xml:space="preserve">Papel e Cartão </v>
      </c>
      <c r="K750" s="433" t="str">
        <f>INDEX(aux!C:C,MATCH(I750,aux!A:A,0))</f>
        <v>Não</v>
      </c>
      <c r="L750" s="360">
        <v>641</v>
      </c>
      <c r="M750" s="359" t="s">
        <v>557</v>
      </c>
      <c r="N750" s="139">
        <f t="shared" si="40"/>
        <v>641</v>
      </c>
      <c r="O750" s="93" t="s">
        <v>484</v>
      </c>
      <c r="P750" s="231" t="str">
        <f t="shared" si="41"/>
        <v>Reciclagem</v>
      </c>
      <c r="Q750" s="541" t="s">
        <v>1904</v>
      </c>
      <c r="R750" s="541" t="s">
        <v>6569</v>
      </c>
      <c r="S750" s="544" t="s">
        <v>1553</v>
      </c>
      <c r="T750" s="93" t="s">
        <v>3263</v>
      </c>
      <c r="U750" s="93" t="s">
        <v>6297</v>
      </c>
      <c r="V750" s="93"/>
    </row>
    <row r="751" spans="1:22" ht="15.75" thickBot="1" x14ac:dyDescent="0.3">
      <c r="A751" s="93" t="s">
        <v>4594</v>
      </c>
      <c r="B751" s="93" t="s">
        <v>4594</v>
      </c>
      <c r="C751" s="424" t="str">
        <f t="shared" ref="C751:C814" si="42">IF(A751=B751,"X",RIGHT(A751,LEN(A751)-LEN(B751)-3))</f>
        <v>X</v>
      </c>
      <c r="D751" s="422">
        <v>2023</v>
      </c>
      <c r="E751" s="250" t="s">
        <v>3499</v>
      </c>
      <c r="F751" s="250" t="s">
        <v>3566</v>
      </c>
      <c r="G751" s="422" t="s">
        <v>42</v>
      </c>
      <c r="H751" s="424" t="s">
        <v>42</v>
      </c>
      <c r="I751" s="522">
        <v>200139</v>
      </c>
      <c r="J751" s="425" t="str">
        <f>INDEX(aux!B:B,MATCH(I751,aux!A:A,0))</f>
        <v>Plasticos</v>
      </c>
      <c r="K751" s="433" t="str">
        <f>INDEX(aux!C:C,MATCH(I751,aux!A:A,0))</f>
        <v>Não</v>
      </c>
      <c r="L751" s="360">
        <v>231</v>
      </c>
      <c r="M751" s="359" t="s">
        <v>557</v>
      </c>
      <c r="N751" s="139">
        <f t="shared" si="40"/>
        <v>231</v>
      </c>
      <c r="O751" s="93" t="s">
        <v>509</v>
      </c>
      <c r="P751" s="231" t="str">
        <f t="shared" si="41"/>
        <v>Aterro</v>
      </c>
      <c r="Q751" s="541" t="s">
        <v>1560</v>
      </c>
      <c r="R751" s="541" t="s">
        <v>6569</v>
      </c>
      <c r="S751" s="544" t="s">
        <v>1556</v>
      </c>
      <c r="T751" s="93" t="s">
        <v>3263</v>
      </c>
      <c r="U751" s="93" t="s">
        <v>6297</v>
      </c>
      <c r="V751" s="93"/>
    </row>
    <row r="752" spans="1:22" ht="15.75" hidden="1" thickBot="1" x14ac:dyDescent="0.3">
      <c r="A752" s="529" t="s">
        <v>4594</v>
      </c>
      <c r="B752" s="529" t="s">
        <v>4594</v>
      </c>
      <c r="C752" s="424" t="str">
        <f t="shared" si="42"/>
        <v>X</v>
      </c>
      <c r="D752" s="422">
        <v>2022</v>
      </c>
      <c r="E752" s="250" t="s">
        <v>3499</v>
      </c>
      <c r="F752" s="250" t="s">
        <v>3566</v>
      </c>
      <c r="G752" s="422" t="s">
        <v>42</v>
      </c>
      <c r="H752" s="424" t="s">
        <v>42</v>
      </c>
      <c r="I752" s="532">
        <v>170107</v>
      </c>
      <c r="J752" s="425" t="str">
        <f>INDEX(aux!B:B,MATCH(I752,aux!A:A,0))</f>
        <v>Misturas de betão, tijolos, ladrilhos, telhas e materiais cerâmicos, não abrangidas em 17 01 06</v>
      </c>
      <c r="K752" s="433" t="str">
        <f>INDEX(aux!C:C,MATCH(I752,aux!A:A,0))</f>
        <v>Não</v>
      </c>
      <c r="L752" s="646">
        <v>2820</v>
      </c>
      <c r="M752" s="535" t="s">
        <v>557</v>
      </c>
      <c r="N752" s="139">
        <f t="shared" si="40"/>
        <v>2820</v>
      </c>
      <c r="O752" s="538" t="s">
        <v>509</v>
      </c>
      <c r="P752" s="231" t="str">
        <f t="shared" si="41"/>
        <v>Aterro</v>
      </c>
      <c r="Q752" s="541" t="s">
        <v>1901</v>
      </c>
      <c r="R752" s="541" t="s">
        <v>1892</v>
      </c>
      <c r="S752" s="528" t="str">
        <f>IFERROR(INDEX(Tabela3[Tipos de Tratamento],MATCH('A3.9.1 copy'!O467,Tabela3[Código],0)),"")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752" s="458" t="s">
        <v>3263</v>
      </c>
      <c r="U752" s="458" t="s">
        <v>3272</v>
      </c>
      <c r="V752" s="93"/>
    </row>
    <row r="753" spans="1:22" ht="15.75" thickBot="1" x14ac:dyDescent="0.3">
      <c r="A753" s="93" t="s">
        <v>4594</v>
      </c>
      <c r="B753" s="93" t="s">
        <v>4594</v>
      </c>
      <c r="C753" s="424" t="str">
        <f t="shared" si="42"/>
        <v>X</v>
      </c>
      <c r="D753" s="422">
        <v>2023</v>
      </c>
      <c r="E753" s="250" t="s">
        <v>3499</v>
      </c>
      <c r="F753" s="250" t="s">
        <v>3566</v>
      </c>
      <c r="G753" s="422" t="s">
        <v>42</v>
      </c>
      <c r="H753" s="424" t="s">
        <v>42</v>
      </c>
      <c r="I753" s="522">
        <v>170107</v>
      </c>
      <c r="J753" s="425" t="str">
        <f>INDEX(aux!B:B,MATCH(I753,aux!A:A,0))</f>
        <v>Misturas de betão, tijolos, ladrilhos, telhas e materiais cerâmicos, não abrangidas em 17 01 06</v>
      </c>
      <c r="K753" s="433" t="str">
        <f>INDEX(aux!C:C,MATCH(I753,aux!A:A,0))</f>
        <v>Não</v>
      </c>
      <c r="L753" s="360">
        <v>15240</v>
      </c>
      <c r="M753" s="359" t="s">
        <v>557</v>
      </c>
      <c r="N753" s="139">
        <f t="shared" si="40"/>
        <v>15240</v>
      </c>
      <c r="O753" s="93" t="s">
        <v>509</v>
      </c>
      <c r="P753" s="231" t="str">
        <f t="shared" si="41"/>
        <v>Aterro</v>
      </c>
      <c r="Q753" s="541" t="s">
        <v>1901</v>
      </c>
      <c r="R753" s="541" t="s">
        <v>1892</v>
      </c>
      <c r="S753" s="544" t="s">
        <v>1556</v>
      </c>
      <c r="T753" s="93" t="s">
        <v>3263</v>
      </c>
      <c r="U753" s="93" t="s">
        <v>3272</v>
      </c>
      <c r="V753" s="93"/>
    </row>
    <row r="754" spans="1:22" ht="15.75" hidden="1" thickBot="1" x14ac:dyDescent="0.3">
      <c r="A754" s="529" t="s">
        <v>4594</v>
      </c>
      <c r="B754" s="529" t="s">
        <v>4594</v>
      </c>
      <c r="C754" s="424" t="str">
        <f t="shared" si="42"/>
        <v>X</v>
      </c>
      <c r="D754" s="422">
        <v>2022</v>
      </c>
      <c r="E754" s="250" t="s">
        <v>3499</v>
      </c>
      <c r="F754" s="250" t="s">
        <v>3566</v>
      </c>
      <c r="G754" s="422" t="s">
        <v>42</v>
      </c>
      <c r="H754" s="424" t="s">
        <v>42</v>
      </c>
      <c r="I754" s="532">
        <v>130502</v>
      </c>
      <c r="J754" s="425" t="str">
        <f>INDEX(aux!B:B,MATCH(I754,aux!A:A,0))</f>
        <v>(*) Lamas provenientes dos separadores óleo/água</v>
      </c>
      <c r="K754" s="433" t="str">
        <f>INDEX(aux!C:C,MATCH(I754,aux!A:A,0))</f>
        <v>Sim</v>
      </c>
      <c r="L754" s="646">
        <v>1600</v>
      </c>
      <c r="M754" s="535" t="s">
        <v>557</v>
      </c>
      <c r="N754" s="139">
        <f t="shared" si="40"/>
        <v>1600</v>
      </c>
      <c r="O754" s="538" t="s">
        <v>503</v>
      </c>
      <c r="P754" s="231" t="str">
        <f t="shared" si="41"/>
        <v>Aterro</v>
      </c>
      <c r="Q754" s="541" t="s">
        <v>1901</v>
      </c>
      <c r="R754" s="541" t="s">
        <v>1892</v>
      </c>
      <c r="S754" s="528" t="str">
        <f>IFERROR(INDEX(Tabela3[Tipos de Tratamento],MATCH('A3.9.1 copy'!O455,Tabela3[Código],0)),"")</f>
        <v xml:space="preserve">Troca de resíduos com vista a submetê-los a uma das operações enumeradas de R 1 a R 11 </v>
      </c>
      <c r="T754" s="458" t="s">
        <v>3263</v>
      </c>
      <c r="U754" s="458" t="s">
        <v>3264</v>
      </c>
      <c r="V754" s="93"/>
    </row>
    <row r="755" spans="1:22" ht="15.75" hidden="1" thickBot="1" x14ac:dyDescent="0.3">
      <c r="A755" s="529" t="s">
        <v>4594</v>
      </c>
      <c r="B755" s="529" t="s">
        <v>4594</v>
      </c>
      <c r="C755" s="424" t="str">
        <f t="shared" si="42"/>
        <v>X</v>
      </c>
      <c r="D755" s="422">
        <v>2022</v>
      </c>
      <c r="E755" s="250" t="s">
        <v>3499</v>
      </c>
      <c r="F755" s="250" t="s">
        <v>3566</v>
      </c>
      <c r="G755" s="422" t="s">
        <v>42</v>
      </c>
      <c r="H755" s="424" t="s">
        <v>42</v>
      </c>
      <c r="I755" s="532">
        <v>130502</v>
      </c>
      <c r="J755" s="425" t="str">
        <f>INDEX(aux!B:B,MATCH(I755,aux!A:A,0))</f>
        <v>(*) Lamas provenientes dos separadores óleo/água</v>
      </c>
      <c r="K755" s="433" t="str">
        <f>INDEX(aux!C:C,MATCH(I755,aux!A:A,0))</f>
        <v>Sim</v>
      </c>
      <c r="L755" s="646">
        <v>1544</v>
      </c>
      <c r="M755" s="535" t="s">
        <v>557</v>
      </c>
      <c r="N755" s="139">
        <f t="shared" si="40"/>
        <v>1544</v>
      </c>
      <c r="O755" s="538" t="s">
        <v>503</v>
      </c>
      <c r="P755" s="231" t="str">
        <f t="shared" si="41"/>
        <v>Aterro</v>
      </c>
      <c r="Q755" s="541" t="s">
        <v>1901</v>
      </c>
      <c r="R755" s="541" t="s">
        <v>1892</v>
      </c>
      <c r="S755" s="528" t="str">
        <f>IFERROR(INDEX(Tabela3[Tipos de Tratamento],MATCH('A3.9.1 copy'!O470,Tabela3[Código],0)),"")</f>
        <v xml:space="preserve">Troca de resíduos com vista a submetê-los a uma das operações enumeradas de R 1 a R 11 </v>
      </c>
      <c r="T755" s="458" t="s">
        <v>3263</v>
      </c>
      <c r="U755" s="458" t="s">
        <v>3264</v>
      </c>
      <c r="V755" s="93"/>
    </row>
    <row r="756" spans="1:22" ht="15.75" hidden="1" thickBot="1" x14ac:dyDescent="0.3">
      <c r="A756" s="529" t="s">
        <v>4594</v>
      </c>
      <c r="B756" s="529" t="s">
        <v>4594</v>
      </c>
      <c r="C756" s="424" t="str">
        <f t="shared" si="42"/>
        <v>X</v>
      </c>
      <c r="D756" s="422">
        <v>2022</v>
      </c>
      <c r="E756" s="250" t="s">
        <v>3499</v>
      </c>
      <c r="F756" s="250" t="s">
        <v>3566</v>
      </c>
      <c r="G756" s="422" t="s">
        <v>42</v>
      </c>
      <c r="H756" s="424" t="s">
        <v>42</v>
      </c>
      <c r="I756" s="532">
        <v>130507</v>
      </c>
      <c r="J756" s="425" t="str">
        <f>INDEX(aux!B:B,MATCH(I756,aux!A:A,0))</f>
        <v>(*) Água com óleo proveniente dos separadores óleo/água</v>
      </c>
      <c r="K756" s="433" t="str">
        <f>INDEX(aux!C:C,MATCH(I756,aux!A:A,0))</f>
        <v>Sim</v>
      </c>
      <c r="L756" s="646">
        <v>2400</v>
      </c>
      <c r="M756" s="535" t="s">
        <v>557</v>
      </c>
      <c r="N756" s="139">
        <f t="shared" si="40"/>
        <v>2400</v>
      </c>
      <c r="O756" s="538" t="s">
        <v>503</v>
      </c>
      <c r="P756" s="231" t="str">
        <f t="shared" si="41"/>
        <v>Aterro</v>
      </c>
      <c r="Q756" s="541" t="s">
        <v>1901</v>
      </c>
      <c r="R756" s="541" t="s">
        <v>1892</v>
      </c>
      <c r="S756" s="528" t="str">
        <f>IFERROR(INDEX(Tabela3[Tipos de Tratamento],MATCH('A3.9.1 copy'!O456,Tabela3[Código],0)),"")</f>
        <v xml:space="preserve">Troca de resíduos com vista a submetê-los a uma das operações enumeradas de R 1 a R 11 </v>
      </c>
      <c r="T756" s="458" t="s">
        <v>3263</v>
      </c>
      <c r="U756" s="458" t="s">
        <v>3264</v>
      </c>
      <c r="V756" s="93"/>
    </row>
    <row r="757" spans="1:22" ht="15.75" hidden="1" thickBot="1" x14ac:dyDescent="0.3">
      <c r="A757" s="529" t="s">
        <v>4594</v>
      </c>
      <c r="B757" s="529" t="s">
        <v>4594</v>
      </c>
      <c r="C757" s="424" t="str">
        <f t="shared" si="42"/>
        <v>X</v>
      </c>
      <c r="D757" s="422">
        <v>2022</v>
      </c>
      <c r="E757" s="250" t="s">
        <v>3499</v>
      </c>
      <c r="F757" s="250" t="s">
        <v>3566</v>
      </c>
      <c r="G757" s="422" t="s">
        <v>42</v>
      </c>
      <c r="H757" s="424" t="s">
        <v>42</v>
      </c>
      <c r="I757" s="532">
        <v>130507</v>
      </c>
      <c r="J757" s="425" t="str">
        <f>INDEX(aux!B:B,MATCH(I757,aux!A:A,0))</f>
        <v>(*) Água com óleo proveniente dos separadores óleo/água</v>
      </c>
      <c r="K757" s="433" t="str">
        <f>INDEX(aux!C:C,MATCH(I757,aux!A:A,0))</f>
        <v>Sim</v>
      </c>
      <c r="L757" s="646">
        <v>2316</v>
      </c>
      <c r="M757" s="535" t="s">
        <v>557</v>
      </c>
      <c r="N757" s="139">
        <f t="shared" si="40"/>
        <v>2316</v>
      </c>
      <c r="O757" s="538" t="s">
        <v>503</v>
      </c>
      <c r="P757" s="231" t="str">
        <f t="shared" si="41"/>
        <v>Aterro</v>
      </c>
      <c r="Q757" s="541" t="s">
        <v>1901</v>
      </c>
      <c r="R757" s="541" t="s">
        <v>1892</v>
      </c>
      <c r="S757" s="528" t="str">
        <f>IFERROR(INDEX(Tabela3[Tipos de Tratamento],MATCH('A3.9.1 copy'!O471,Tabela3[Código],0)),"")</f>
        <v xml:space="preserve">Troca de resíduos com vista a submetê-los a uma das operações enumeradas de R 1 a R 11 </v>
      </c>
      <c r="T757" s="458" t="s">
        <v>3263</v>
      </c>
      <c r="U757" s="458" t="s">
        <v>3264</v>
      </c>
      <c r="V757" s="93"/>
    </row>
    <row r="758" spans="1:22" ht="15.75" hidden="1" thickBot="1" x14ac:dyDescent="0.3">
      <c r="A758" s="529" t="s">
        <v>4594</v>
      </c>
      <c r="B758" s="529" t="s">
        <v>4594</v>
      </c>
      <c r="C758" s="424" t="str">
        <f t="shared" si="42"/>
        <v>X</v>
      </c>
      <c r="D758" s="422">
        <v>2022</v>
      </c>
      <c r="E758" s="250" t="s">
        <v>3499</v>
      </c>
      <c r="F758" s="250" t="s">
        <v>3566</v>
      </c>
      <c r="G758" s="422" t="s">
        <v>42</v>
      </c>
      <c r="H758" s="424" t="s">
        <v>42</v>
      </c>
      <c r="I758" s="532">
        <v>150110</v>
      </c>
      <c r="J758" s="425" t="str">
        <f>INDEX(aux!B:B,MATCH(I758,aux!A:A,0))</f>
        <v>(*) Embalagens contendo ou contaminadas por resíduos de substâncias perigosas</v>
      </c>
      <c r="K758" s="433" t="str">
        <f>INDEX(aux!C:C,MATCH(I758,aux!A:A,0))</f>
        <v>Sim</v>
      </c>
      <c r="L758" s="646">
        <v>104</v>
      </c>
      <c r="M758" s="535" t="s">
        <v>557</v>
      </c>
      <c r="N758" s="139">
        <f t="shared" si="40"/>
        <v>104</v>
      </c>
      <c r="O758" s="538" t="s">
        <v>509</v>
      </c>
      <c r="P758" s="231" t="str">
        <f t="shared" si="41"/>
        <v>Aterro</v>
      </c>
      <c r="Q758" s="541" t="s">
        <v>1901</v>
      </c>
      <c r="R758" s="541" t="s">
        <v>1892</v>
      </c>
      <c r="S758" s="528" t="str">
        <f>IFERROR(INDEX(Tabela3[Tipos de Tratamento],MATCH('A3.9.1 copy'!O457,Tabela3[Código],0)),"")</f>
        <v>Acumulação de resíduos destinados a uma das operações enumeradas de R1 a R12</v>
      </c>
      <c r="T758" s="458" t="s">
        <v>3263</v>
      </c>
      <c r="U758" s="458" t="s">
        <v>3266</v>
      </c>
      <c r="V758" s="422"/>
    </row>
    <row r="759" spans="1:22" ht="15.75" hidden="1" thickBot="1" x14ac:dyDescent="0.3">
      <c r="A759" s="529" t="s">
        <v>4594</v>
      </c>
      <c r="B759" s="529" t="s">
        <v>4594</v>
      </c>
      <c r="C759" s="424" t="str">
        <f t="shared" si="42"/>
        <v>X</v>
      </c>
      <c r="D759" s="422">
        <v>2022</v>
      </c>
      <c r="E759" s="250" t="s">
        <v>3499</v>
      </c>
      <c r="F759" s="250" t="s">
        <v>3566</v>
      </c>
      <c r="G759" s="422" t="s">
        <v>42</v>
      </c>
      <c r="H759" s="424" t="s">
        <v>42</v>
      </c>
      <c r="I759" s="532">
        <v>150202</v>
      </c>
      <c r="J759" s="425" t="str">
        <f>INDEX(aux!B:B,MATCH(I759,aux!A:A,0))</f>
        <v>(*) Absorventes, materiais filtrantes (incluindo filtros de óleo sem outras especificações), panos de limpeza e vestuário de proteção, contaminados por substâncias perigosas</v>
      </c>
      <c r="K759" s="433" t="str">
        <f>INDEX(aux!C:C,MATCH(I759,aux!A:A,0))</f>
        <v>Sim</v>
      </c>
      <c r="L759" s="646">
        <v>234</v>
      </c>
      <c r="M759" s="535" t="s">
        <v>557</v>
      </c>
      <c r="N759" s="139">
        <f t="shared" si="40"/>
        <v>234</v>
      </c>
      <c r="O759" s="538" t="s">
        <v>509</v>
      </c>
      <c r="P759" s="231" t="str">
        <f t="shared" si="41"/>
        <v>Aterro</v>
      </c>
      <c r="Q759" s="541" t="s">
        <v>1901</v>
      </c>
      <c r="R759" s="541" t="s">
        <v>1892</v>
      </c>
      <c r="S759" s="528" t="str">
        <f>IFERROR(INDEX(Tabela3[Tipos de Tratamento],MATCH('A3.9.1 copy'!O458,Tabela3[Código],0)),"")</f>
        <v>Acumulação de resíduos destinados a uma das operações enumeradas de R1 a R12</v>
      </c>
      <c r="T759" s="458" t="s">
        <v>3263</v>
      </c>
      <c r="U759" s="458" t="s">
        <v>3266</v>
      </c>
      <c r="V759" s="422"/>
    </row>
    <row r="760" spans="1:22" ht="15.75" hidden="1" thickBot="1" x14ac:dyDescent="0.3">
      <c r="A760" s="529" t="s">
        <v>4594</v>
      </c>
      <c r="B760" s="529" t="s">
        <v>4594</v>
      </c>
      <c r="C760" s="424" t="str">
        <f t="shared" si="42"/>
        <v>X</v>
      </c>
      <c r="D760" s="422">
        <v>2022</v>
      </c>
      <c r="E760" s="250" t="s">
        <v>3499</v>
      </c>
      <c r="F760" s="250" t="s">
        <v>3566</v>
      </c>
      <c r="G760" s="422" t="s">
        <v>42</v>
      </c>
      <c r="H760" s="424" t="s">
        <v>42</v>
      </c>
      <c r="I760" s="532">
        <v>150203</v>
      </c>
      <c r="J760" s="425" t="str">
        <f>INDEX(aux!B:B,MATCH(I760,aux!A:A,0))</f>
        <v>Absorventes, materiais filtrantes, panos de limpeza e vestuário de proteção não abrangidos em 15 02 02</v>
      </c>
      <c r="K760" s="433" t="str">
        <f>INDEX(aux!C:C,MATCH(I760,aux!A:A,0))</f>
        <v>Não</v>
      </c>
      <c r="L760" s="646">
        <v>350</v>
      </c>
      <c r="M760" s="535" t="s">
        <v>557</v>
      </c>
      <c r="N760" s="139">
        <f t="shared" si="40"/>
        <v>350</v>
      </c>
      <c r="O760" s="538" t="s">
        <v>509</v>
      </c>
      <c r="P760" s="231" t="str">
        <f t="shared" si="41"/>
        <v>Aterro</v>
      </c>
      <c r="Q760" s="541" t="s">
        <v>1901</v>
      </c>
      <c r="R760" s="541" t="s">
        <v>1892</v>
      </c>
      <c r="S760" s="528" t="str">
        <f>IFERROR(INDEX(Tabela3[Tipos de Tratamento],MATCH('A3.9.1 copy'!O459,Tabela3[Código],0)),"")</f>
        <v xml:space="preserve">Troca de resíduos com vista a submetê-los a uma das operações enumeradas de R 1 a R 11 </v>
      </c>
      <c r="T760" s="458" t="s">
        <v>3263</v>
      </c>
      <c r="U760" s="458" t="s">
        <v>3266</v>
      </c>
      <c r="V760" s="422"/>
    </row>
    <row r="761" spans="1:22" ht="15.75" hidden="1" thickBot="1" x14ac:dyDescent="0.3">
      <c r="A761" s="529" t="s">
        <v>4594</v>
      </c>
      <c r="B761" s="529" t="s">
        <v>4594</v>
      </c>
      <c r="C761" s="424" t="str">
        <f t="shared" si="42"/>
        <v>X</v>
      </c>
      <c r="D761" s="422">
        <v>2022</v>
      </c>
      <c r="E761" s="250" t="s">
        <v>3499</v>
      </c>
      <c r="F761" s="250" t="s">
        <v>3566</v>
      </c>
      <c r="G761" s="422" t="s">
        <v>42</v>
      </c>
      <c r="H761" s="424" t="s">
        <v>42</v>
      </c>
      <c r="I761" s="532">
        <v>160107</v>
      </c>
      <c r="J761" s="425" t="str">
        <f>INDEX(aux!B:B,MATCH(I761,aux!A:A,0))</f>
        <v>(*) Filtros de óleo</v>
      </c>
      <c r="K761" s="433" t="str">
        <f>INDEX(aux!C:C,MATCH(I761,aux!A:A,0))</f>
        <v>Sim</v>
      </c>
      <c r="L761" s="646">
        <v>126</v>
      </c>
      <c r="M761" s="535" t="s">
        <v>557</v>
      </c>
      <c r="N761" s="139">
        <f t="shared" si="40"/>
        <v>126</v>
      </c>
      <c r="O761" s="538" t="s">
        <v>484</v>
      </c>
      <c r="P761" s="231" t="str">
        <f t="shared" si="41"/>
        <v>Reciclagem</v>
      </c>
      <c r="Q761" s="541" t="s">
        <v>1901</v>
      </c>
      <c r="R761" s="541" t="s">
        <v>1892</v>
      </c>
      <c r="S761" s="528" t="str">
        <f>IFERROR(INDEX(Tabela3[Tipos de Tratamento],MATCH('A3.9.1 copy'!O461,Tabela3[Código],0)),"")</f>
        <v xml:space="preserve">Troca de resíduos com vista a submetê-los a uma das operações enumeradas de R 1 a R 11 </v>
      </c>
      <c r="T761" s="458" t="s">
        <v>3263</v>
      </c>
      <c r="U761" s="458" t="s">
        <v>3266</v>
      </c>
      <c r="V761" s="422"/>
    </row>
    <row r="762" spans="1:22" ht="15.75" hidden="1" thickBot="1" x14ac:dyDescent="0.3">
      <c r="A762" s="529" t="s">
        <v>4594</v>
      </c>
      <c r="B762" s="529" t="s">
        <v>4594</v>
      </c>
      <c r="C762" s="424" t="str">
        <f t="shared" si="42"/>
        <v>X</v>
      </c>
      <c r="D762" s="422">
        <v>2022</v>
      </c>
      <c r="E762" s="250" t="s">
        <v>3499</v>
      </c>
      <c r="F762" s="250" t="s">
        <v>3566</v>
      </c>
      <c r="G762" s="422" t="s">
        <v>42</v>
      </c>
      <c r="H762" s="424" t="s">
        <v>42</v>
      </c>
      <c r="I762" s="532">
        <v>160199</v>
      </c>
      <c r="J762" s="425" t="str">
        <f>INDEX(aux!B:B,MATCH(I762,aux!A:A,0))</f>
        <v>Resíduos sem outras especificações</v>
      </c>
      <c r="K762" s="433" t="str">
        <f>INDEX(aux!C:C,MATCH(I762,aux!A:A,0))</f>
        <v>Não</v>
      </c>
      <c r="L762" s="646">
        <v>166</v>
      </c>
      <c r="M762" s="535" t="s">
        <v>557</v>
      </c>
      <c r="N762" s="139">
        <f t="shared" si="40"/>
        <v>166</v>
      </c>
      <c r="O762" s="538" t="s">
        <v>509</v>
      </c>
      <c r="P762" s="231" t="str">
        <f t="shared" si="41"/>
        <v>Aterro</v>
      </c>
      <c r="Q762" s="541" t="s">
        <v>1901</v>
      </c>
      <c r="R762" s="541" t="s">
        <v>1892</v>
      </c>
      <c r="S762" s="528" t="str">
        <f>IFERROR(INDEX(Tabela3[Tipos de Tratamento],MATCH('A3.9.1 copy'!O464,Tabela3[Código],0)),"")</f>
        <v>Acumulação de resíduos destinados a uma das operações enumeradas de R1 a R12</v>
      </c>
      <c r="T762" s="458" t="s">
        <v>3263</v>
      </c>
      <c r="U762" s="458" t="s">
        <v>3266</v>
      </c>
      <c r="V762" s="422"/>
    </row>
    <row r="763" spans="1:22" ht="15.75" hidden="1" thickBot="1" x14ac:dyDescent="0.3">
      <c r="A763" s="529" t="s">
        <v>4594</v>
      </c>
      <c r="B763" s="529" t="s">
        <v>4594</v>
      </c>
      <c r="C763" s="424" t="str">
        <f t="shared" si="42"/>
        <v>X</v>
      </c>
      <c r="D763" s="422">
        <v>2022</v>
      </c>
      <c r="E763" s="250" t="s">
        <v>3499</v>
      </c>
      <c r="F763" s="250" t="s">
        <v>3566</v>
      </c>
      <c r="G763" s="422" t="s">
        <v>42</v>
      </c>
      <c r="H763" s="424" t="s">
        <v>42</v>
      </c>
      <c r="I763" s="532">
        <v>160504</v>
      </c>
      <c r="J763" s="425" t="str">
        <f>INDEX(aux!B:B,MATCH(I763,aux!A:A,0))</f>
        <v>Gases em recipientes sob pressão (incluindo halons) contendo substâncias perigosas</v>
      </c>
      <c r="K763" s="433" t="str">
        <f>INDEX(aux!C:C,MATCH(I763,aux!A:A,0))</f>
        <v>Sim</v>
      </c>
      <c r="L763" s="646">
        <v>38</v>
      </c>
      <c r="M763" s="535" t="s">
        <v>557</v>
      </c>
      <c r="N763" s="139">
        <f t="shared" si="40"/>
        <v>38</v>
      </c>
      <c r="O763" s="538" t="s">
        <v>509</v>
      </c>
      <c r="P763" s="231" t="str">
        <f t="shared" si="41"/>
        <v>Aterro</v>
      </c>
      <c r="Q763" s="541" t="s">
        <v>1901</v>
      </c>
      <c r="R763" s="541" t="s">
        <v>1892</v>
      </c>
      <c r="S763" s="528" t="str">
        <f>IFERROR(INDEX(Tabela3[Tipos de Tratamento],MATCH('A3.9.1 copy'!O465,Tabela3[Código],0)),"")</f>
        <v>Acumulação de resíduos destinados a uma das operações enumeradas de R1 a R12</v>
      </c>
      <c r="T763" s="458" t="s">
        <v>3263</v>
      </c>
      <c r="U763" s="458" t="s">
        <v>3266</v>
      </c>
      <c r="V763" s="93"/>
    </row>
    <row r="764" spans="1:22" ht="15.75" hidden="1" thickBot="1" x14ac:dyDescent="0.3">
      <c r="A764" s="529" t="s">
        <v>4594</v>
      </c>
      <c r="B764" s="529" t="s">
        <v>4594</v>
      </c>
      <c r="C764" s="424" t="str">
        <f t="shared" si="42"/>
        <v>X</v>
      </c>
      <c r="D764" s="422">
        <v>2022</v>
      </c>
      <c r="E764" s="250" t="s">
        <v>3499</v>
      </c>
      <c r="F764" s="250" t="s">
        <v>3566</v>
      </c>
      <c r="G764" s="422" t="s">
        <v>42</v>
      </c>
      <c r="H764" s="424" t="s">
        <v>42</v>
      </c>
      <c r="I764" s="532">
        <v>200121</v>
      </c>
      <c r="J764" s="425" t="str">
        <f>INDEX(aux!B:B,MATCH(I764,aux!A:A,0))</f>
        <v>(*) Lâmpadas fluorescentes e outros resíduos contendo mercúrio</v>
      </c>
      <c r="K764" s="433" t="str">
        <f>INDEX(aux!C:C,MATCH(I764,aux!A:A,0))</f>
        <v>Sim</v>
      </c>
      <c r="L764" s="646">
        <v>41</v>
      </c>
      <c r="M764" s="535" t="s">
        <v>557</v>
      </c>
      <c r="N764" s="139">
        <f t="shared" si="40"/>
        <v>41</v>
      </c>
      <c r="O764" s="538" t="s">
        <v>484</v>
      </c>
      <c r="P764" s="231" t="str">
        <f t="shared" si="41"/>
        <v>Reciclagem</v>
      </c>
      <c r="Q764" s="541" t="s">
        <v>1901</v>
      </c>
      <c r="R764" s="541" t="s">
        <v>1892</v>
      </c>
      <c r="S764" s="528" t="str">
        <f>IFERROR(INDEX(Tabela3[Tipos de Tratamento],MATCH('A3.9.1 copy'!O469,Tabela3[Código],0)),"")</f>
        <v xml:space="preserve">Troca de resíduos com vista a submetê-los a uma das operações enumeradas de R 1 a R 11 </v>
      </c>
      <c r="T764" s="458" t="s">
        <v>3263</v>
      </c>
      <c r="U764" s="458" t="s">
        <v>3266</v>
      </c>
      <c r="V764" s="93"/>
    </row>
    <row r="765" spans="1:22" ht="15.75" thickBot="1" x14ac:dyDescent="0.3">
      <c r="A765" s="93" t="s">
        <v>4594</v>
      </c>
      <c r="B765" s="93" t="s">
        <v>4594</v>
      </c>
      <c r="C765" s="424" t="str">
        <f t="shared" si="42"/>
        <v>X</v>
      </c>
      <c r="D765" s="422">
        <v>2023</v>
      </c>
      <c r="E765" s="250" t="s">
        <v>3499</v>
      </c>
      <c r="F765" s="250" t="s">
        <v>3566</v>
      </c>
      <c r="G765" s="422" t="s">
        <v>42</v>
      </c>
      <c r="H765" s="424" t="s">
        <v>42</v>
      </c>
      <c r="I765" s="522">
        <v>140603</v>
      </c>
      <c r="J765" s="425" t="str">
        <f>INDEX(aux!B:B,MATCH(I765,aux!A:A,0))</f>
        <v>Outros solventes e misturas de solventes</v>
      </c>
      <c r="K765" s="433" t="str">
        <f>INDEX(aux!C:C,MATCH(I765,aux!A:A,0))</f>
        <v>Sim</v>
      </c>
      <c r="L765" s="360">
        <v>188</v>
      </c>
      <c r="M765" s="359" t="s">
        <v>557</v>
      </c>
      <c r="N765" s="139">
        <f t="shared" si="40"/>
        <v>188</v>
      </c>
      <c r="O765" s="93" t="s">
        <v>473</v>
      </c>
      <c r="P765" s="231" t="str">
        <f t="shared" si="41"/>
        <v>Reciclagem</v>
      </c>
      <c r="Q765" s="541" t="s">
        <v>1901</v>
      </c>
      <c r="R765" s="541" t="s">
        <v>1892</v>
      </c>
      <c r="S765" s="544" t="s">
        <v>488</v>
      </c>
      <c r="T765" s="93" t="s">
        <v>3263</v>
      </c>
      <c r="U765" s="93" t="s">
        <v>6297</v>
      </c>
      <c r="V765" s="422"/>
    </row>
    <row r="766" spans="1:22" ht="15.75" thickBot="1" x14ac:dyDescent="0.3">
      <c r="A766" s="93" t="s">
        <v>4594</v>
      </c>
      <c r="B766" s="93" t="s">
        <v>4594</v>
      </c>
      <c r="C766" s="424" t="str">
        <f t="shared" si="42"/>
        <v>X</v>
      </c>
      <c r="D766" s="422">
        <v>2023</v>
      </c>
      <c r="E766" s="250" t="s">
        <v>3499</v>
      </c>
      <c r="F766" s="250" t="s">
        <v>3566</v>
      </c>
      <c r="G766" s="422" t="s">
        <v>42</v>
      </c>
      <c r="H766" s="424" t="s">
        <v>42</v>
      </c>
      <c r="I766" s="522">
        <v>150106</v>
      </c>
      <c r="J766" s="425" t="str">
        <f>INDEX(aux!B:B,MATCH(I766,aux!A:A,0))</f>
        <v>Mistura de embalagens</v>
      </c>
      <c r="K766" s="433" t="str">
        <f>INDEX(aux!C:C,MATCH(I766,aux!A:A,0))</f>
        <v>Não</v>
      </c>
      <c r="L766" s="360">
        <v>23</v>
      </c>
      <c r="M766" s="359" t="s">
        <v>557</v>
      </c>
      <c r="N766" s="139">
        <f t="shared" si="40"/>
        <v>23</v>
      </c>
      <c r="O766" s="93" t="s">
        <v>509</v>
      </c>
      <c r="P766" s="231" t="str">
        <f t="shared" si="41"/>
        <v>Aterro</v>
      </c>
      <c r="Q766" s="541" t="s">
        <v>1901</v>
      </c>
      <c r="R766" s="541" t="s">
        <v>1892</v>
      </c>
      <c r="S766" s="544" t="s">
        <v>1556</v>
      </c>
      <c r="T766" s="93" t="s">
        <v>3263</v>
      </c>
      <c r="U766" s="93" t="s">
        <v>6297</v>
      </c>
      <c r="V766" s="422"/>
    </row>
    <row r="767" spans="1:22" ht="15.75" thickBot="1" x14ac:dyDescent="0.3">
      <c r="A767" s="422" t="s">
        <v>4594</v>
      </c>
      <c r="B767" s="422" t="s">
        <v>4594</v>
      </c>
      <c r="C767" s="424" t="str">
        <f t="shared" si="42"/>
        <v>X</v>
      </c>
      <c r="D767" s="422">
        <v>2023</v>
      </c>
      <c r="E767" s="250" t="s">
        <v>3499</v>
      </c>
      <c r="F767" s="250" t="s">
        <v>3566</v>
      </c>
      <c r="G767" s="422" t="s">
        <v>42</v>
      </c>
      <c r="H767" s="424" t="s">
        <v>42</v>
      </c>
      <c r="I767" s="487">
        <v>160504</v>
      </c>
      <c r="J767" s="425" t="str">
        <f>INDEX(aux!B:B,MATCH(I767,aux!A:A,0))</f>
        <v>Gases em recipientes sob pressão (incluindo halons) contendo substâncias perigosas</v>
      </c>
      <c r="K767" s="433" t="str">
        <f>INDEX(aux!C:C,MATCH(I767,aux!A:A,0))</f>
        <v>Sim</v>
      </c>
      <c r="L767" s="259">
        <v>95</v>
      </c>
      <c r="M767" s="428" t="s">
        <v>557</v>
      </c>
      <c r="N767" s="139">
        <f t="shared" si="40"/>
        <v>95</v>
      </c>
      <c r="O767" s="422" t="s">
        <v>509</v>
      </c>
      <c r="P767" s="231" t="str">
        <f t="shared" si="41"/>
        <v>Aterro</v>
      </c>
      <c r="Q767" s="541" t="s">
        <v>1901</v>
      </c>
      <c r="R767" s="541" t="s">
        <v>1892</v>
      </c>
      <c r="S767" s="94" t="s">
        <v>1556</v>
      </c>
      <c r="T767" s="422" t="s">
        <v>3263</v>
      </c>
      <c r="U767" s="422" t="s">
        <v>6297</v>
      </c>
      <c r="V767" s="422"/>
    </row>
    <row r="768" spans="1:22" ht="15.75" thickBot="1" x14ac:dyDescent="0.3">
      <c r="A768" s="93" t="s">
        <v>4594</v>
      </c>
      <c r="B768" s="93" t="s">
        <v>4594</v>
      </c>
      <c r="C768" s="424" t="str">
        <f t="shared" si="42"/>
        <v>X</v>
      </c>
      <c r="D768" s="422">
        <v>2023</v>
      </c>
      <c r="E768" s="250" t="s">
        <v>3499</v>
      </c>
      <c r="F768" s="250" t="s">
        <v>3566</v>
      </c>
      <c r="G768" s="422" t="s">
        <v>42</v>
      </c>
      <c r="H768" s="424" t="s">
        <v>42</v>
      </c>
      <c r="I768" s="522">
        <v>130502</v>
      </c>
      <c r="J768" s="425" t="str">
        <f>INDEX(aux!B:B,MATCH(I768,aux!A:A,0))</f>
        <v>(*) Lamas provenientes dos separadores óleo/água</v>
      </c>
      <c r="K768" s="433" t="str">
        <f>INDEX(aux!C:C,MATCH(I768,aux!A:A,0))</f>
        <v>Sim</v>
      </c>
      <c r="L768" s="360">
        <v>4200</v>
      </c>
      <c r="M768" s="359" t="s">
        <v>557</v>
      </c>
      <c r="N768" s="139">
        <f t="shared" si="40"/>
        <v>4200</v>
      </c>
      <c r="O768" s="93" t="s">
        <v>503</v>
      </c>
      <c r="P768" s="231" t="str">
        <f t="shared" si="41"/>
        <v>Aterro</v>
      </c>
      <c r="Q768" s="541" t="s">
        <v>1901</v>
      </c>
      <c r="R768" s="541" t="s">
        <v>1892</v>
      </c>
      <c r="S768" s="544" t="s">
        <v>518</v>
      </c>
      <c r="T768" s="93" t="s">
        <v>3263</v>
      </c>
      <c r="U768" s="93" t="s">
        <v>3264</v>
      </c>
      <c r="V768" s="93"/>
    </row>
    <row r="769" spans="1:22" ht="15.75" thickBot="1" x14ac:dyDescent="0.3">
      <c r="A769" s="93" t="s">
        <v>4594</v>
      </c>
      <c r="B769" s="93" t="s">
        <v>4594</v>
      </c>
      <c r="C769" s="424" t="str">
        <f t="shared" si="42"/>
        <v>X</v>
      </c>
      <c r="D769" s="422">
        <v>2023</v>
      </c>
      <c r="E769" s="250" t="s">
        <v>3499</v>
      </c>
      <c r="F769" s="250" t="s">
        <v>3566</v>
      </c>
      <c r="G769" s="422" t="s">
        <v>42</v>
      </c>
      <c r="H769" s="424" t="s">
        <v>42</v>
      </c>
      <c r="I769" s="522">
        <v>130502</v>
      </c>
      <c r="J769" s="425" t="str">
        <f>INDEX(aux!B:B,MATCH(I769,aux!A:A,0))</f>
        <v>(*) Lamas provenientes dos separadores óleo/água</v>
      </c>
      <c r="K769" s="433" t="str">
        <f>INDEX(aux!C:C,MATCH(I769,aux!A:A,0))</f>
        <v>Sim</v>
      </c>
      <c r="L769" s="360">
        <v>600</v>
      </c>
      <c r="M769" s="359" t="s">
        <v>557</v>
      </c>
      <c r="N769" s="139">
        <f t="shared" si="40"/>
        <v>600</v>
      </c>
      <c r="O769" s="93" t="s">
        <v>503</v>
      </c>
      <c r="P769" s="231" t="str">
        <f t="shared" si="41"/>
        <v>Aterro</v>
      </c>
      <c r="Q769" s="541" t="s">
        <v>1901</v>
      </c>
      <c r="R769" s="541" t="s">
        <v>1892</v>
      </c>
      <c r="S769" s="544" t="s">
        <v>518</v>
      </c>
      <c r="T769" s="93" t="s">
        <v>3263</v>
      </c>
      <c r="U769" s="93" t="s">
        <v>3264</v>
      </c>
      <c r="V769" s="93"/>
    </row>
    <row r="770" spans="1:22" ht="15.75" thickBot="1" x14ac:dyDescent="0.3">
      <c r="A770" s="93" t="s">
        <v>4594</v>
      </c>
      <c r="B770" s="93" t="s">
        <v>4594</v>
      </c>
      <c r="C770" s="424" t="str">
        <f t="shared" si="42"/>
        <v>X</v>
      </c>
      <c r="D770" s="422">
        <v>2023</v>
      </c>
      <c r="E770" s="250" t="s">
        <v>3499</v>
      </c>
      <c r="F770" s="250" t="s">
        <v>3566</v>
      </c>
      <c r="G770" s="422" t="s">
        <v>42</v>
      </c>
      <c r="H770" s="424" t="s">
        <v>42</v>
      </c>
      <c r="I770" s="522">
        <v>130507</v>
      </c>
      <c r="J770" s="425" t="str">
        <f>INDEX(aux!B:B,MATCH(I770,aux!A:A,0))</f>
        <v>(*) Água com óleo proveniente dos separadores óleo/água</v>
      </c>
      <c r="K770" s="433" t="str">
        <f>INDEX(aux!C:C,MATCH(I770,aux!A:A,0))</f>
        <v>Sim</v>
      </c>
      <c r="L770" s="360">
        <v>5300</v>
      </c>
      <c r="M770" s="359" t="s">
        <v>557</v>
      </c>
      <c r="N770" s="139">
        <f t="shared" si="40"/>
        <v>5300</v>
      </c>
      <c r="O770" s="93" t="s">
        <v>503</v>
      </c>
      <c r="P770" s="231" t="str">
        <f t="shared" si="41"/>
        <v>Aterro</v>
      </c>
      <c r="Q770" s="541" t="s">
        <v>1901</v>
      </c>
      <c r="R770" s="541" t="s">
        <v>1892</v>
      </c>
      <c r="S770" s="544" t="s">
        <v>518</v>
      </c>
      <c r="T770" s="93" t="s">
        <v>3263</v>
      </c>
      <c r="U770" s="93" t="s">
        <v>3264</v>
      </c>
      <c r="V770" s="422"/>
    </row>
    <row r="771" spans="1:22" ht="15.75" thickBot="1" x14ac:dyDescent="0.3">
      <c r="A771" s="93" t="s">
        <v>4594</v>
      </c>
      <c r="B771" s="93" t="s">
        <v>4594</v>
      </c>
      <c r="C771" s="424" t="str">
        <f t="shared" si="42"/>
        <v>X</v>
      </c>
      <c r="D771" s="422">
        <v>2023</v>
      </c>
      <c r="E771" s="250" t="s">
        <v>3499</v>
      </c>
      <c r="F771" s="250" t="s">
        <v>3566</v>
      </c>
      <c r="G771" s="422" t="s">
        <v>42</v>
      </c>
      <c r="H771" s="424" t="s">
        <v>42</v>
      </c>
      <c r="I771" s="522">
        <v>130507</v>
      </c>
      <c r="J771" s="425" t="str">
        <f>INDEX(aux!B:B,MATCH(I771,aux!A:A,0))</f>
        <v>(*) Água com óleo proveniente dos separadores óleo/água</v>
      </c>
      <c r="K771" s="433" t="str">
        <f>INDEX(aux!C:C,MATCH(I771,aux!A:A,0))</f>
        <v>Sim</v>
      </c>
      <c r="L771" s="360">
        <v>2200</v>
      </c>
      <c r="M771" s="359" t="s">
        <v>557</v>
      </c>
      <c r="N771" s="139">
        <f t="shared" ref="N771:N834" si="43">IF(LEFT(M771,3)="ton",1000*L771,L771)</f>
        <v>2200</v>
      </c>
      <c r="O771" s="93" t="s">
        <v>503</v>
      </c>
      <c r="P771" s="231" t="str">
        <f t="shared" ref="P771:P834" si="44">IF(LEFT(O771,1)="R","Reciclagem",IF(OR(O771="D10",O771="D11"),"Iceneração","Aterro"))</f>
        <v>Aterro</v>
      </c>
      <c r="Q771" s="541" t="s">
        <v>1901</v>
      </c>
      <c r="R771" s="541" t="s">
        <v>1892</v>
      </c>
      <c r="S771" s="544" t="s">
        <v>518</v>
      </c>
      <c r="T771" s="93" t="s">
        <v>3263</v>
      </c>
      <c r="U771" s="93" t="s">
        <v>3264</v>
      </c>
      <c r="V771" s="422"/>
    </row>
    <row r="772" spans="1:22" ht="15.75" thickBot="1" x14ac:dyDescent="0.3">
      <c r="A772" s="422" t="s">
        <v>4594</v>
      </c>
      <c r="B772" s="422" t="s">
        <v>4594</v>
      </c>
      <c r="C772" s="424" t="str">
        <f t="shared" si="42"/>
        <v>X</v>
      </c>
      <c r="D772" s="422">
        <v>2023</v>
      </c>
      <c r="E772" s="250" t="s">
        <v>3499</v>
      </c>
      <c r="F772" s="250" t="s">
        <v>3566</v>
      </c>
      <c r="G772" s="422" t="s">
        <v>42</v>
      </c>
      <c r="H772" s="424" t="s">
        <v>42</v>
      </c>
      <c r="I772" s="487">
        <v>160199</v>
      </c>
      <c r="J772" s="425" t="str">
        <f>INDEX(aux!B:B,MATCH(I772,aux!A:A,0))</f>
        <v>Resíduos sem outras especificações</v>
      </c>
      <c r="K772" s="433" t="str">
        <f>INDEX(aux!C:C,MATCH(I772,aux!A:A,0))</f>
        <v>Não</v>
      </c>
      <c r="L772" s="259">
        <v>441</v>
      </c>
      <c r="M772" s="428" t="s">
        <v>557</v>
      </c>
      <c r="N772" s="139">
        <f t="shared" si="43"/>
        <v>441</v>
      </c>
      <c r="O772" s="422" t="s">
        <v>509</v>
      </c>
      <c r="P772" s="231" t="str">
        <f t="shared" si="44"/>
        <v>Aterro</v>
      </c>
      <c r="Q772" s="541" t="s">
        <v>1901</v>
      </c>
      <c r="R772" s="541" t="s">
        <v>1892</v>
      </c>
      <c r="S772" s="94" t="s">
        <v>1556</v>
      </c>
      <c r="T772" s="422" t="s">
        <v>3263</v>
      </c>
      <c r="U772" s="422" t="s">
        <v>6297</v>
      </c>
      <c r="V772" s="422"/>
    </row>
    <row r="773" spans="1:22" ht="15.75" thickBot="1" x14ac:dyDescent="0.3">
      <c r="A773" s="93" t="s">
        <v>4594</v>
      </c>
      <c r="B773" s="93" t="s">
        <v>4594</v>
      </c>
      <c r="C773" s="424" t="str">
        <f t="shared" si="42"/>
        <v>X</v>
      </c>
      <c r="D773" s="422">
        <v>2023</v>
      </c>
      <c r="E773" s="250" t="s">
        <v>3499</v>
      </c>
      <c r="F773" s="250" t="s">
        <v>3566</v>
      </c>
      <c r="G773" s="422" t="s">
        <v>42</v>
      </c>
      <c r="H773" s="424" t="s">
        <v>42</v>
      </c>
      <c r="I773" s="522">
        <v>150110</v>
      </c>
      <c r="J773" s="425" t="str">
        <f>INDEX(aux!B:B,MATCH(I773,aux!A:A,0))</f>
        <v>(*) Embalagens contendo ou contaminadas por resíduos de substâncias perigosas</v>
      </c>
      <c r="K773" s="433" t="str">
        <f>INDEX(aux!C:C,MATCH(I773,aux!A:A,0))</f>
        <v>Sim</v>
      </c>
      <c r="L773" s="360">
        <v>482</v>
      </c>
      <c r="M773" s="359" t="s">
        <v>557</v>
      </c>
      <c r="N773" s="139">
        <f t="shared" si="43"/>
        <v>482</v>
      </c>
      <c r="O773" s="93" t="s">
        <v>509</v>
      </c>
      <c r="P773" s="231" t="str">
        <f t="shared" si="44"/>
        <v>Aterro</v>
      </c>
      <c r="Q773" s="541" t="s">
        <v>1901</v>
      </c>
      <c r="R773" s="541" t="s">
        <v>1892</v>
      </c>
      <c r="S773" s="544" t="s">
        <v>1556</v>
      </c>
      <c r="T773" s="93" t="s">
        <v>3263</v>
      </c>
      <c r="U773" s="93" t="s">
        <v>6297</v>
      </c>
      <c r="V773" s="93"/>
    </row>
    <row r="774" spans="1:22" ht="15.75" thickBot="1" x14ac:dyDescent="0.3">
      <c r="A774" s="93" t="s">
        <v>4594</v>
      </c>
      <c r="B774" s="93" t="s">
        <v>4594</v>
      </c>
      <c r="C774" s="424" t="str">
        <f t="shared" si="42"/>
        <v>X</v>
      </c>
      <c r="D774" s="422">
        <v>2023</v>
      </c>
      <c r="E774" s="250" t="s">
        <v>3499</v>
      </c>
      <c r="F774" s="250" t="s">
        <v>3566</v>
      </c>
      <c r="G774" s="422" t="s">
        <v>42</v>
      </c>
      <c r="H774" s="424" t="s">
        <v>42</v>
      </c>
      <c r="I774" s="522">
        <v>150203</v>
      </c>
      <c r="J774" s="425" t="str">
        <f>INDEX(aux!B:B,MATCH(I774,aux!A:A,0))</f>
        <v>Absorventes, materiais filtrantes, panos de limpeza e vestuário de proteção não abrangidos em 15 02 02</v>
      </c>
      <c r="K774" s="433" t="str">
        <f>INDEX(aux!C:C,MATCH(I774,aux!A:A,0))</f>
        <v>Não</v>
      </c>
      <c r="L774" s="360">
        <v>775</v>
      </c>
      <c r="M774" s="359" t="s">
        <v>557</v>
      </c>
      <c r="N774" s="139">
        <f t="shared" si="43"/>
        <v>775</v>
      </c>
      <c r="O774" s="93" t="s">
        <v>509</v>
      </c>
      <c r="P774" s="231" t="str">
        <f t="shared" si="44"/>
        <v>Aterro</v>
      </c>
      <c r="Q774" s="541" t="s">
        <v>1901</v>
      </c>
      <c r="R774" s="541" t="s">
        <v>1892</v>
      </c>
      <c r="S774" s="544" t="s">
        <v>1556</v>
      </c>
      <c r="T774" s="93" t="s">
        <v>3263</v>
      </c>
      <c r="U774" s="93" t="s">
        <v>6297</v>
      </c>
      <c r="V774" s="93"/>
    </row>
    <row r="775" spans="1:22" ht="15.75" thickBot="1" x14ac:dyDescent="0.3">
      <c r="A775" s="93" t="s">
        <v>4594</v>
      </c>
      <c r="B775" s="93" t="s">
        <v>4594</v>
      </c>
      <c r="C775" s="424" t="str">
        <f t="shared" si="42"/>
        <v>X</v>
      </c>
      <c r="D775" s="422">
        <v>2023</v>
      </c>
      <c r="E775" s="250" t="s">
        <v>3499</v>
      </c>
      <c r="F775" s="250" t="s">
        <v>3566</v>
      </c>
      <c r="G775" s="422" t="s">
        <v>42</v>
      </c>
      <c r="H775" s="424" t="s">
        <v>42</v>
      </c>
      <c r="I775" s="522">
        <v>150202</v>
      </c>
      <c r="J775" s="425" t="str">
        <f>INDEX(aux!B:B,MATCH(I775,aux!A:A,0))</f>
        <v>(*) Absorventes, materiais filtrantes (incluindo filtros de óleo sem outras especificações), panos de limpeza e vestuário de proteção, contaminados por substâncias perigosas</v>
      </c>
      <c r="K775" s="433" t="str">
        <f>INDEX(aux!C:C,MATCH(I775,aux!A:A,0))</f>
        <v>Sim</v>
      </c>
      <c r="L775" s="360">
        <v>985</v>
      </c>
      <c r="M775" s="359" t="s">
        <v>557</v>
      </c>
      <c r="N775" s="139">
        <f t="shared" si="43"/>
        <v>985</v>
      </c>
      <c r="O775" s="93" t="s">
        <v>509</v>
      </c>
      <c r="P775" s="231" t="str">
        <f t="shared" si="44"/>
        <v>Aterro</v>
      </c>
      <c r="Q775" s="541" t="s">
        <v>1901</v>
      </c>
      <c r="R775" s="541" t="s">
        <v>1892</v>
      </c>
      <c r="S775" s="544" t="s">
        <v>1556</v>
      </c>
      <c r="T775" s="93" t="s">
        <v>3263</v>
      </c>
      <c r="U775" s="93" t="s">
        <v>6297</v>
      </c>
      <c r="V775" s="93"/>
    </row>
    <row r="776" spans="1:22" ht="15.75" thickBot="1" x14ac:dyDescent="0.3">
      <c r="A776" s="422" t="s">
        <v>4594</v>
      </c>
      <c r="B776" s="93" t="s">
        <v>4594</v>
      </c>
      <c r="C776" s="424" t="str">
        <f t="shared" si="42"/>
        <v>X</v>
      </c>
      <c r="D776" s="422">
        <v>2023</v>
      </c>
      <c r="E776" s="250" t="s">
        <v>3499</v>
      </c>
      <c r="F776" s="250" t="s">
        <v>3566</v>
      </c>
      <c r="G776" s="422" t="s">
        <v>42</v>
      </c>
      <c r="H776" s="424" t="s">
        <v>42</v>
      </c>
      <c r="I776" s="522">
        <v>160107</v>
      </c>
      <c r="J776" s="425" t="str">
        <f>INDEX(aux!B:B,MATCH(I776,aux!A:A,0))</f>
        <v>(*) Filtros de óleo</v>
      </c>
      <c r="K776" s="433" t="str">
        <f>INDEX(aux!C:C,MATCH(I776,aux!A:A,0))</f>
        <v>Sim</v>
      </c>
      <c r="L776" s="360">
        <v>445</v>
      </c>
      <c r="M776" s="359" t="s">
        <v>557</v>
      </c>
      <c r="N776" s="139">
        <f t="shared" si="43"/>
        <v>445</v>
      </c>
      <c r="O776" s="93" t="s">
        <v>484</v>
      </c>
      <c r="P776" s="231" t="str">
        <f t="shared" si="44"/>
        <v>Reciclagem</v>
      </c>
      <c r="Q776" s="541" t="s">
        <v>1901</v>
      </c>
      <c r="R776" s="541" t="s">
        <v>1892</v>
      </c>
      <c r="S776" s="544" t="s">
        <v>1553</v>
      </c>
      <c r="T776" s="93" t="s">
        <v>3263</v>
      </c>
      <c r="U776" s="93" t="s">
        <v>6297</v>
      </c>
      <c r="V776" s="93"/>
    </row>
    <row r="777" spans="1:22" ht="15.75" hidden="1" thickBot="1" x14ac:dyDescent="0.3">
      <c r="A777" s="529" t="s">
        <v>4594</v>
      </c>
      <c r="B777" s="529" t="s">
        <v>4594</v>
      </c>
      <c r="C777" s="424" t="str">
        <f t="shared" si="42"/>
        <v>X</v>
      </c>
      <c r="D777" s="422">
        <v>2022</v>
      </c>
      <c r="E777" s="250" t="s">
        <v>3499</v>
      </c>
      <c r="F777" s="250" t="s">
        <v>3566</v>
      </c>
      <c r="G777" s="422" t="s">
        <v>42</v>
      </c>
      <c r="H777" s="424" t="s">
        <v>42</v>
      </c>
      <c r="I777" s="532">
        <v>160104</v>
      </c>
      <c r="J777" s="425" t="str">
        <f>INDEX(aux!B:B,MATCH(I777,aux!A:A,0))</f>
        <v>Veículos em fim de vida</v>
      </c>
      <c r="K777" s="433" t="str">
        <f>INDEX(aux!C:C,MATCH(I777,aux!A:A,0))</f>
        <v>Sim</v>
      </c>
      <c r="L777" s="646">
        <v>300000</v>
      </c>
      <c r="M777" s="535" t="s">
        <v>557</v>
      </c>
      <c r="N777" s="139">
        <f t="shared" si="43"/>
        <v>300000</v>
      </c>
      <c r="O777" s="538" t="s">
        <v>483</v>
      </c>
      <c r="P777" s="231" t="str">
        <f t="shared" si="44"/>
        <v>Reciclagem</v>
      </c>
      <c r="Q777" s="541" t="s">
        <v>1907</v>
      </c>
      <c r="R777" s="541" t="s">
        <v>1903</v>
      </c>
      <c r="S777" s="528" t="str">
        <f>IFERROR(INDEX(Tabela3[Tipos de Tratamento],MATCH('A3.9.1 copy'!O460,Tabela3[Código],0)),"")</f>
        <v>Acumulação de resíduos destinados a uma das operações enumeradas de R1 a R12</v>
      </c>
      <c r="T777" s="458" t="s">
        <v>3269</v>
      </c>
      <c r="U777" s="458" t="s">
        <v>3270</v>
      </c>
      <c r="V777" s="93"/>
    </row>
    <row r="778" spans="1:22" ht="15.75" thickBot="1" x14ac:dyDescent="0.3">
      <c r="A778" s="93" t="s">
        <v>4594</v>
      </c>
      <c r="B778" s="93" t="s">
        <v>4594</v>
      </c>
      <c r="C778" s="424" t="str">
        <f t="shared" si="42"/>
        <v>X</v>
      </c>
      <c r="D778" s="422">
        <v>2023</v>
      </c>
      <c r="E778" s="250" t="s">
        <v>3499</v>
      </c>
      <c r="F778" s="250" t="s">
        <v>3566</v>
      </c>
      <c r="G778" s="422" t="s">
        <v>42</v>
      </c>
      <c r="H778" s="424" t="s">
        <v>42</v>
      </c>
      <c r="I778" s="522">
        <v>160104</v>
      </c>
      <c r="J778" s="425" t="str">
        <f>INDEX(aux!B:B,MATCH(I778,aux!A:A,0))</f>
        <v>Veículos em fim de vida</v>
      </c>
      <c r="K778" s="433" t="str">
        <f>INDEX(aux!C:C,MATCH(I778,aux!A:A,0))</f>
        <v>Sim</v>
      </c>
      <c r="L778" s="360">
        <v>48.5</v>
      </c>
      <c r="M778" s="359" t="s">
        <v>1532</v>
      </c>
      <c r="N778" s="139">
        <f t="shared" si="43"/>
        <v>48500</v>
      </c>
      <c r="O778" s="93" t="s">
        <v>483</v>
      </c>
      <c r="P778" s="231" t="str">
        <f t="shared" si="44"/>
        <v>Reciclagem</v>
      </c>
      <c r="Q778" s="541" t="s">
        <v>1907</v>
      </c>
      <c r="R778" s="541" t="s">
        <v>6569</v>
      </c>
      <c r="S778" s="544" t="s">
        <v>485</v>
      </c>
      <c r="T778" s="93" t="s">
        <v>3269</v>
      </c>
      <c r="U778" s="93" t="s">
        <v>3270</v>
      </c>
      <c r="V778" s="93"/>
    </row>
    <row r="779" spans="1:22" ht="15.75" hidden="1" thickBot="1" x14ac:dyDescent="0.3">
      <c r="A779" s="529" t="s">
        <v>4594</v>
      </c>
      <c r="B779" s="529" t="s">
        <v>4594</v>
      </c>
      <c r="C779" s="424" t="str">
        <f t="shared" si="42"/>
        <v>X</v>
      </c>
      <c r="D779" s="422">
        <v>2022</v>
      </c>
      <c r="E779" s="250" t="s">
        <v>3499</v>
      </c>
      <c r="F779" s="250" t="s">
        <v>3566</v>
      </c>
      <c r="G779" s="422" t="s">
        <v>42</v>
      </c>
      <c r="H779" s="424" t="s">
        <v>42</v>
      </c>
      <c r="I779" s="532">
        <v>160120</v>
      </c>
      <c r="J779" s="425" t="str">
        <f>INDEX(aux!B:B,MATCH(I779,aux!A:A,0))</f>
        <v>Vidro</v>
      </c>
      <c r="K779" s="433" t="str">
        <f>INDEX(aux!C:C,MATCH(I779,aux!A:A,0))</f>
        <v>Não</v>
      </c>
      <c r="L779" s="646">
        <v>126</v>
      </c>
      <c r="M779" s="535" t="s">
        <v>557</v>
      </c>
      <c r="N779" s="139">
        <f t="shared" si="43"/>
        <v>126</v>
      </c>
      <c r="O779" s="538" t="s">
        <v>509</v>
      </c>
      <c r="P779" s="231" t="str">
        <f t="shared" si="44"/>
        <v>Aterro</v>
      </c>
      <c r="Q779" s="541" t="s">
        <v>1561</v>
      </c>
      <c r="R779" s="541" t="s">
        <v>1903</v>
      </c>
      <c r="S779" s="528" t="str">
        <f>IFERROR(INDEX(Tabela3[Tipos de Tratamento],MATCH('A3.9.1 copy'!O463,Tabela3[Código],0)),"")</f>
        <v>Acumulação de resíduos destinados a uma das operações enumeradas de R1 a R12</v>
      </c>
      <c r="T779" s="458" t="s">
        <v>3263</v>
      </c>
      <c r="U779" s="458" t="s">
        <v>3266</v>
      </c>
      <c r="V779" s="93"/>
    </row>
    <row r="780" spans="1:22" ht="15.75" thickBot="1" x14ac:dyDescent="0.3">
      <c r="A780" s="93" t="s">
        <v>4594</v>
      </c>
      <c r="B780" s="93" t="s">
        <v>4594</v>
      </c>
      <c r="C780" s="424" t="str">
        <f t="shared" si="42"/>
        <v>X</v>
      </c>
      <c r="D780" s="422">
        <v>2023</v>
      </c>
      <c r="E780" s="250" t="s">
        <v>3499</v>
      </c>
      <c r="F780" s="250" t="s">
        <v>3566</v>
      </c>
      <c r="G780" s="422" t="s">
        <v>42</v>
      </c>
      <c r="H780" s="424" t="s">
        <v>42</v>
      </c>
      <c r="I780" s="522">
        <v>160120</v>
      </c>
      <c r="J780" s="425" t="str">
        <f>INDEX(aux!B:B,MATCH(I780,aux!A:A,0))</f>
        <v>Vidro</v>
      </c>
      <c r="K780" s="433" t="str">
        <f>INDEX(aux!C:C,MATCH(I780,aux!A:A,0))</f>
        <v>Não</v>
      </c>
      <c r="L780" s="360">
        <v>473</v>
      </c>
      <c r="M780" s="359" t="s">
        <v>557</v>
      </c>
      <c r="N780" s="139">
        <f t="shared" si="43"/>
        <v>473</v>
      </c>
      <c r="O780" s="93" t="s">
        <v>509</v>
      </c>
      <c r="P780" s="231" t="str">
        <f t="shared" si="44"/>
        <v>Aterro</v>
      </c>
      <c r="Q780" s="541" t="s">
        <v>1561</v>
      </c>
      <c r="R780" s="541" t="s">
        <v>6569</v>
      </c>
      <c r="S780" s="544" t="s">
        <v>1556</v>
      </c>
      <c r="T780" s="93" t="s">
        <v>3263</v>
      </c>
      <c r="U780" s="93" t="s">
        <v>6297</v>
      </c>
      <c r="V780" s="93"/>
    </row>
    <row r="781" spans="1:22" ht="15.75" hidden="1" thickBot="1" x14ac:dyDescent="0.3">
      <c r="A781" s="529" t="s">
        <v>1910</v>
      </c>
      <c r="B781" s="529" t="s">
        <v>1910</v>
      </c>
      <c r="C781" s="424" t="str">
        <f t="shared" si="42"/>
        <v>X</v>
      </c>
      <c r="D781" s="422">
        <v>2022</v>
      </c>
      <c r="E781" s="250" t="s">
        <v>3499</v>
      </c>
      <c r="F781" s="250" t="s">
        <v>3566</v>
      </c>
      <c r="G781" s="422" t="s">
        <v>42</v>
      </c>
      <c r="H781" s="424" t="s">
        <v>42</v>
      </c>
      <c r="I781" s="532">
        <v>160601</v>
      </c>
      <c r="J781" s="425" t="str">
        <f>INDEX(aux!B:B,MATCH(I781,aux!A:A,0))</f>
        <v>(*) Acumuladores de chumbo</v>
      </c>
      <c r="K781" s="433" t="str">
        <f>INDEX(aux!C:C,MATCH(I781,aux!A:A,0))</f>
        <v>Sim</v>
      </c>
      <c r="L781" s="646">
        <v>5.76</v>
      </c>
      <c r="M781" s="663" t="s">
        <v>1532</v>
      </c>
      <c r="N781" s="139">
        <f t="shared" si="43"/>
        <v>5760</v>
      </c>
      <c r="O781" s="538" t="s">
        <v>484</v>
      </c>
      <c r="P781" s="231" t="str">
        <f t="shared" si="44"/>
        <v>Reciclagem</v>
      </c>
      <c r="Q781" s="541" t="s">
        <v>1653</v>
      </c>
      <c r="R781" s="541" t="s">
        <v>1877</v>
      </c>
      <c r="S781" s="528" t="str">
        <f>IFERROR(INDEX(Tabela3[Tipos de Tratamento],MATCH('A3.9.1 copy'!O165,Tabela3[Código],0)),"")</f>
        <v xml:space="preserve">Troca de resíduos com vista a submetê-los a uma das operações enumeradas de R 1 a R 11 </v>
      </c>
      <c r="T781" s="458" t="s">
        <v>3171</v>
      </c>
      <c r="U781" s="458" t="s">
        <v>3171</v>
      </c>
      <c r="V781" s="93"/>
    </row>
    <row r="782" spans="1:22" ht="15.75" thickBot="1" x14ac:dyDescent="0.3">
      <c r="A782" s="93" t="s">
        <v>1910</v>
      </c>
      <c r="B782" s="93" t="s">
        <v>1910</v>
      </c>
      <c r="C782" s="424" t="str">
        <f t="shared" si="42"/>
        <v>X</v>
      </c>
      <c r="D782" s="422">
        <v>2023</v>
      </c>
      <c r="E782" s="250" t="s">
        <v>3499</v>
      </c>
      <c r="F782" s="250" t="s">
        <v>3566</v>
      </c>
      <c r="G782" s="422" t="s">
        <v>42</v>
      </c>
      <c r="H782" s="424" t="s">
        <v>42</v>
      </c>
      <c r="I782" s="522">
        <v>160601</v>
      </c>
      <c r="J782" s="425" t="str">
        <f>INDEX(aux!B:B,MATCH(I782,aux!A:A,0))</f>
        <v>(*) Acumuladores de chumbo</v>
      </c>
      <c r="K782" s="433" t="str">
        <f>INDEX(aux!C:C,MATCH(I782,aux!A:A,0))</f>
        <v>Sim</v>
      </c>
      <c r="L782" s="360">
        <v>5.16</v>
      </c>
      <c r="M782" s="359" t="s">
        <v>1532</v>
      </c>
      <c r="N782" s="139">
        <f t="shared" si="43"/>
        <v>5160</v>
      </c>
      <c r="O782" s="93" t="s">
        <v>484</v>
      </c>
      <c r="P782" s="231" t="str">
        <f t="shared" si="44"/>
        <v>Reciclagem</v>
      </c>
      <c r="Q782" s="541" t="s">
        <v>1653</v>
      </c>
      <c r="R782" s="541" t="s">
        <v>1877</v>
      </c>
      <c r="S782" s="544" t="s">
        <v>1553</v>
      </c>
      <c r="T782" s="93" t="s">
        <v>3171</v>
      </c>
      <c r="U782" s="93" t="s">
        <v>3171</v>
      </c>
      <c r="V782" s="93"/>
    </row>
    <row r="783" spans="1:22" ht="15.75" hidden="1" thickBot="1" x14ac:dyDescent="0.3">
      <c r="A783" s="529" t="s">
        <v>1910</v>
      </c>
      <c r="B783" s="529" t="s">
        <v>1910</v>
      </c>
      <c r="C783" s="424" t="str">
        <f t="shared" si="42"/>
        <v>X</v>
      </c>
      <c r="D783" s="422">
        <v>2022</v>
      </c>
      <c r="E783" s="250" t="s">
        <v>3499</v>
      </c>
      <c r="F783" s="250" t="s">
        <v>3566</v>
      </c>
      <c r="G783" s="422" t="s">
        <v>42</v>
      </c>
      <c r="H783" s="424" t="s">
        <v>42</v>
      </c>
      <c r="I783" s="532">
        <v>200136</v>
      </c>
      <c r="J783" s="425" t="str">
        <f>INDEX(aux!B:B,MATCH(I783,aux!A:A,0))</f>
        <v>Equipamento elétrico e eletrónico fora de uso não abrangido em 20 01 21, 20 01 23 ou 20 01 35</v>
      </c>
      <c r="K783" s="433" t="str">
        <f>INDEX(aux!C:C,MATCH(I783,aux!A:A,0))</f>
        <v>Não</v>
      </c>
      <c r="L783" s="646">
        <v>1.48</v>
      </c>
      <c r="M783" s="663" t="s">
        <v>1532</v>
      </c>
      <c r="N783" s="139">
        <f t="shared" si="43"/>
        <v>1480</v>
      </c>
      <c r="O783" s="538" t="s">
        <v>483</v>
      </c>
      <c r="P783" s="231" t="str">
        <f t="shared" si="44"/>
        <v>Reciclagem</v>
      </c>
      <c r="Q783" s="541" t="s">
        <v>1909</v>
      </c>
      <c r="R783" s="541" t="s">
        <v>1877</v>
      </c>
      <c r="S783" s="528" t="str">
        <f>IFERROR(INDEX(Tabela3[Tipos de Tratamento],MATCH('A3.9.1 copy'!O160,Tabela3[Código],0)),"")</f>
        <v xml:space="preserve">Troca de resíduos com vista a submetê-los a uma das operações enumeradas de R 1 a R 11 </v>
      </c>
      <c r="T783" s="458" t="s">
        <v>3171</v>
      </c>
      <c r="U783" s="458" t="s">
        <v>3171</v>
      </c>
      <c r="V783" s="93"/>
    </row>
    <row r="784" spans="1:22" ht="15.75" thickBot="1" x14ac:dyDescent="0.3">
      <c r="A784" s="93" t="s">
        <v>1910</v>
      </c>
      <c r="B784" s="93" t="s">
        <v>1910</v>
      </c>
      <c r="C784" s="424" t="str">
        <f t="shared" si="42"/>
        <v>X</v>
      </c>
      <c r="D784" s="422">
        <v>2023</v>
      </c>
      <c r="E784" s="250" t="s">
        <v>3499</v>
      </c>
      <c r="F784" s="250" t="s">
        <v>3566</v>
      </c>
      <c r="G784" s="422" t="s">
        <v>42</v>
      </c>
      <c r="H784" s="424" t="s">
        <v>42</v>
      </c>
      <c r="I784" s="522">
        <v>200136</v>
      </c>
      <c r="J784" s="425" t="str">
        <f>INDEX(aux!B:B,MATCH(I784,aux!A:A,0))</f>
        <v>Equipamento elétrico e eletrónico fora de uso não abrangido em 20 01 21, 20 01 23 ou 20 01 35</v>
      </c>
      <c r="K784" s="433" t="str">
        <f>INDEX(aux!C:C,MATCH(I784,aux!A:A,0))</f>
        <v>Não</v>
      </c>
      <c r="L784" s="360">
        <v>2.12</v>
      </c>
      <c r="M784" s="359" t="s">
        <v>1532</v>
      </c>
      <c r="N784" s="139">
        <f t="shared" si="43"/>
        <v>2120</v>
      </c>
      <c r="O784" s="93" t="s">
        <v>483</v>
      </c>
      <c r="P784" s="231" t="str">
        <f t="shared" si="44"/>
        <v>Reciclagem</v>
      </c>
      <c r="Q784" s="541" t="s">
        <v>1909</v>
      </c>
      <c r="R784" s="541" t="s">
        <v>1877</v>
      </c>
      <c r="S784" s="544" t="s">
        <v>485</v>
      </c>
      <c r="T784" s="93" t="s">
        <v>3171</v>
      </c>
      <c r="U784" s="93" t="s">
        <v>3171</v>
      </c>
      <c r="V784" s="93"/>
    </row>
    <row r="785" spans="1:22" ht="15.75" hidden="1" thickBot="1" x14ac:dyDescent="0.3">
      <c r="A785" s="529" t="s">
        <v>1910</v>
      </c>
      <c r="B785" s="529" t="s">
        <v>1910</v>
      </c>
      <c r="C785" s="424" t="str">
        <f t="shared" si="42"/>
        <v>X</v>
      </c>
      <c r="D785" s="422">
        <v>2022</v>
      </c>
      <c r="E785" s="250" t="s">
        <v>3499</v>
      </c>
      <c r="F785" s="250" t="s">
        <v>3566</v>
      </c>
      <c r="G785" s="422" t="s">
        <v>42</v>
      </c>
      <c r="H785" s="424" t="s">
        <v>42</v>
      </c>
      <c r="I785" s="532">
        <v>150103</v>
      </c>
      <c r="J785" s="425" t="str">
        <f>INDEX(aux!B:B,MATCH(I785,aux!A:A,0))</f>
        <v>Embalagens de madeira</v>
      </c>
      <c r="K785" s="433" t="str">
        <f>INDEX(aux!C:C,MATCH(I785,aux!A:A,0))</f>
        <v>Não</v>
      </c>
      <c r="L785" s="646">
        <v>0.33999999999999997</v>
      </c>
      <c r="M785" s="663" t="s">
        <v>1532</v>
      </c>
      <c r="N785" s="139">
        <f t="shared" si="43"/>
        <v>339.99999999999994</v>
      </c>
      <c r="O785" s="538" t="s">
        <v>484</v>
      </c>
      <c r="P785" s="231" t="str">
        <f t="shared" si="44"/>
        <v>Reciclagem</v>
      </c>
      <c r="Q785" s="541" t="s">
        <v>1905</v>
      </c>
      <c r="R785" s="541" t="s">
        <v>1903</v>
      </c>
      <c r="S785" s="528" t="str">
        <f>IFERROR(INDEX(Tabela3[Tipos de Tratamento],MATCH('A3.9.1 copy'!O154,Tabela3[Código],0)),"")</f>
        <v xml:space="preserve">Troca de resíduos com vista a submetê-los a uma das operações enumeradas de R 1 a R 11 </v>
      </c>
      <c r="T785" s="458" t="s">
        <v>3171</v>
      </c>
      <c r="U785" s="458" t="s">
        <v>3171</v>
      </c>
      <c r="V785" s="93"/>
    </row>
    <row r="786" spans="1:22" ht="15.75" thickBot="1" x14ac:dyDescent="0.3">
      <c r="A786" s="93" t="s">
        <v>1910</v>
      </c>
      <c r="B786" s="93" t="s">
        <v>1910</v>
      </c>
      <c r="C786" s="424" t="str">
        <f t="shared" si="42"/>
        <v>X</v>
      </c>
      <c r="D786" s="422">
        <v>2023</v>
      </c>
      <c r="E786" s="250" t="s">
        <v>3499</v>
      </c>
      <c r="F786" s="250" t="s">
        <v>3566</v>
      </c>
      <c r="G786" s="422" t="s">
        <v>42</v>
      </c>
      <c r="H786" s="424" t="s">
        <v>42</v>
      </c>
      <c r="I786" s="522">
        <v>150103</v>
      </c>
      <c r="J786" s="425" t="str">
        <f>INDEX(aux!B:B,MATCH(I786,aux!A:A,0))</f>
        <v>Embalagens de madeira</v>
      </c>
      <c r="K786" s="433" t="str">
        <f>INDEX(aux!C:C,MATCH(I786,aux!A:A,0))</f>
        <v>Não</v>
      </c>
      <c r="L786" s="360">
        <v>1.6600000000000001</v>
      </c>
      <c r="M786" s="359" t="s">
        <v>1532</v>
      </c>
      <c r="N786" s="139">
        <f t="shared" si="43"/>
        <v>1660.0000000000002</v>
      </c>
      <c r="O786" s="93" t="s">
        <v>484</v>
      </c>
      <c r="P786" s="231" t="str">
        <f t="shared" si="44"/>
        <v>Reciclagem</v>
      </c>
      <c r="Q786" s="541" t="s">
        <v>1905</v>
      </c>
      <c r="R786" s="541" t="s">
        <v>6569</v>
      </c>
      <c r="S786" s="544" t="s">
        <v>1553</v>
      </c>
      <c r="T786" s="93" t="s">
        <v>3171</v>
      </c>
      <c r="U786" s="93" t="s">
        <v>3171</v>
      </c>
      <c r="V786" s="93"/>
    </row>
    <row r="787" spans="1:22" ht="15.75" hidden="1" thickBot="1" x14ac:dyDescent="0.3">
      <c r="A787" s="529" t="s">
        <v>1910</v>
      </c>
      <c r="B787" s="529" t="s">
        <v>1910</v>
      </c>
      <c r="C787" s="424" t="str">
        <f t="shared" si="42"/>
        <v>X</v>
      </c>
      <c r="D787" s="422">
        <v>2022</v>
      </c>
      <c r="E787" s="250" t="s">
        <v>3499</v>
      </c>
      <c r="F787" s="250" t="s">
        <v>3566</v>
      </c>
      <c r="G787" s="422" t="s">
        <v>42</v>
      </c>
      <c r="H787" s="424" t="s">
        <v>42</v>
      </c>
      <c r="I787" s="532">
        <v>160117</v>
      </c>
      <c r="J787" s="425" t="str">
        <f>INDEX(aux!B:B,MATCH(I787,aux!A:A,0))</f>
        <v>Metais ferrosos</v>
      </c>
      <c r="K787" s="433" t="str">
        <f>INDEX(aux!C:C,MATCH(I787,aux!A:A,0))</f>
        <v>Não</v>
      </c>
      <c r="L787" s="646">
        <v>18.38</v>
      </c>
      <c r="M787" s="663" t="s">
        <v>1532</v>
      </c>
      <c r="N787" s="139">
        <f t="shared" si="43"/>
        <v>18380</v>
      </c>
      <c r="O787" s="538" t="s">
        <v>483</v>
      </c>
      <c r="P787" s="231" t="str">
        <f t="shared" si="44"/>
        <v>Reciclagem</v>
      </c>
      <c r="Q787" s="541" t="s">
        <v>1557</v>
      </c>
      <c r="R787" s="541" t="s">
        <v>1903</v>
      </c>
      <c r="S787" s="528" t="str">
        <f>IFERROR(INDEX(Tabela3[Tipos de Tratamento],MATCH('A3.9.1 copy'!O169,Tabela3[Código],0)),"")</f>
        <v>Acumulação de resíduos destinados a uma das operações enumeradas de R1 a R12</v>
      </c>
      <c r="T787" s="458" t="s">
        <v>3171</v>
      </c>
      <c r="U787" s="458" t="s">
        <v>3171</v>
      </c>
      <c r="V787" s="93"/>
    </row>
    <row r="788" spans="1:22" ht="15.75" thickBot="1" x14ac:dyDescent="0.3">
      <c r="A788" s="93" t="s">
        <v>1910</v>
      </c>
      <c r="B788" s="93" t="s">
        <v>1910</v>
      </c>
      <c r="C788" s="424" t="str">
        <f t="shared" si="42"/>
        <v>X</v>
      </c>
      <c r="D788" s="422">
        <v>2023</v>
      </c>
      <c r="E788" s="250" t="s">
        <v>3499</v>
      </c>
      <c r="F788" s="250" t="s">
        <v>3566</v>
      </c>
      <c r="G788" s="422" t="s">
        <v>42</v>
      </c>
      <c r="H788" s="424" t="s">
        <v>42</v>
      </c>
      <c r="I788" s="522">
        <v>160112</v>
      </c>
      <c r="J788" s="425" t="str">
        <f>INDEX(aux!B:B,MATCH(I788,aux!A:A,0))</f>
        <v>Pastilhas de travões não abrangidas em 16 01 11</v>
      </c>
      <c r="K788" s="433" t="str">
        <f>INDEX(aux!C:C,MATCH(I788,aux!A:A,0))</f>
        <v>Não</v>
      </c>
      <c r="L788" s="360">
        <v>0.44</v>
      </c>
      <c r="M788" s="359" t="s">
        <v>1532</v>
      </c>
      <c r="N788" s="139">
        <f t="shared" si="43"/>
        <v>440</v>
      </c>
      <c r="O788" s="93" t="s">
        <v>484</v>
      </c>
      <c r="P788" s="231" t="str">
        <f t="shared" si="44"/>
        <v>Reciclagem</v>
      </c>
      <c r="Q788" s="541" t="s">
        <v>1557</v>
      </c>
      <c r="R788" s="541" t="s">
        <v>6569</v>
      </c>
      <c r="S788" s="544" t="s">
        <v>1553</v>
      </c>
      <c r="T788" s="93" t="s">
        <v>3171</v>
      </c>
      <c r="U788" s="93" t="s">
        <v>3171</v>
      </c>
      <c r="V788" s="422"/>
    </row>
    <row r="789" spans="1:22" ht="15.75" thickBot="1" x14ac:dyDescent="0.3">
      <c r="A789" s="93" t="s">
        <v>1910</v>
      </c>
      <c r="B789" s="93" t="s">
        <v>1910</v>
      </c>
      <c r="C789" s="424" t="str">
        <f t="shared" si="42"/>
        <v>X</v>
      </c>
      <c r="D789" s="422">
        <v>2023</v>
      </c>
      <c r="E789" s="250" t="s">
        <v>3499</v>
      </c>
      <c r="F789" s="250" t="s">
        <v>3566</v>
      </c>
      <c r="G789" s="422" t="s">
        <v>42</v>
      </c>
      <c r="H789" s="424" t="s">
        <v>42</v>
      </c>
      <c r="I789" s="522">
        <v>160117</v>
      </c>
      <c r="J789" s="425" t="str">
        <f>INDEX(aux!B:B,MATCH(I789,aux!A:A,0))</f>
        <v>Metais ferrosos</v>
      </c>
      <c r="K789" s="433" t="str">
        <f>INDEX(aux!C:C,MATCH(I789,aux!A:A,0))</f>
        <v>Não</v>
      </c>
      <c r="L789" s="360">
        <v>17.38</v>
      </c>
      <c r="M789" s="359" t="s">
        <v>1532</v>
      </c>
      <c r="N789" s="139">
        <f t="shared" si="43"/>
        <v>17380</v>
      </c>
      <c r="O789" s="93" t="s">
        <v>483</v>
      </c>
      <c r="P789" s="231" t="str">
        <f t="shared" si="44"/>
        <v>Reciclagem</v>
      </c>
      <c r="Q789" s="541" t="s">
        <v>1557</v>
      </c>
      <c r="R789" s="541" t="s">
        <v>6569</v>
      </c>
      <c r="S789" s="544" t="s">
        <v>485</v>
      </c>
      <c r="T789" s="93" t="s">
        <v>3171</v>
      </c>
      <c r="U789" s="93" t="s">
        <v>3171</v>
      </c>
      <c r="V789" s="422"/>
    </row>
    <row r="790" spans="1:22" ht="15.75" hidden="1" thickBot="1" x14ac:dyDescent="0.3">
      <c r="A790" s="529" t="s">
        <v>1910</v>
      </c>
      <c r="B790" s="529" t="s">
        <v>1910</v>
      </c>
      <c r="C790" s="424" t="str">
        <f t="shared" si="42"/>
        <v>X</v>
      </c>
      <c r="D790" s="422">
        <v>2022</v>
      </c>
      <c r="E790" s="250" t="s">
        <v>3499</v>
      </c>
      <c r="F790" s="250" t="s">
        <v>3566</v>
      </c>
      <c r="G790" s="422" t="s">
        <v>42</v>
      </c>
      <c r="H790" s="424" t="s">
        <v>42</v>
      </c>
      <c r="I790" s="532">
        <v>150111</v>
      </c>
      <c r="J790" s="425" t="str">
        <f>INDEX(aux!B:B,MATCH(I790,aux!A:A,0))</f>
        <v>(*) Embalagens de metal, incluindo recipientes vazios sob pressão, contendo uma matriz porosa sólida perigosa (por exemplo, amianto)</v>
      </c>
      <c r="K790" s="433" t="str">
        <f>INDEX(aux!C:C,MATCH(I790,aux!A:A,0))</f>
        <v>Sim</v>
      </c>
      <c r="L790" s="646">
        <v>0.02</v>
      </c>
      <c r="M790" s="663" t="s">
        <v>1532</v>
      </c>
      <c r="N790" s="139">
        <f t="shared" si="43"/>
        <v>20</v>
      </c>
      <c r="O790" s="538" t="s">
        <v>484</v>
      </c>
      <c r="P790" s="231" t="str">
        <f t="shared" si="44"/>
        <v>Reciclagem</v>
      </c>
      <c r="Q790" s="541" t="s">
        <v>1906</v>
      </c>
      <c r="R790" s="541" t="s">
        <v>1903</v>
      </c>
      <c r="S790" s="528" t="str">
        <f>IFERROR(INDEX(Tabela3[Tipos de Tratamento],MATCH('A3.9.1 copy'!O151,Tabela3[Código],0)),"")</f>
        <v xml:space="preserve">Troca de resíduos com vista a submetê-los a uma das operações enumeradas de R 1 a R 11 </v>
      </c>
      <c r="T790" s="458" t="s">
        <v>3171</v>
      </c>
      <c r="U790" s="458" t="s">
        <v>3171</v>
      </c>
      <c r="V790" s="93"/>
    </row>
    <row r="791" spans="1:22" ht="15.75" thickBot="1" x14ac:dyDescent="0.3">
      <c r="A791" s="93" t="s">
        <v>1910</v>
      </c>
      <c r="B791" s="93" t="s">
        <v>1910</v>
      </c>
      <c r="C791" s="424" t="str">
        <f t="shared" si="42"/>
        <v>X</v>
      </c>
      <c r="D791" s="422">
        <v>2023</v>
      </c>
      <c r="E791" s="250" t="s">
        <v>3499</v>
      </c>
      <c r="F791" s="250" t="s">
        <v>3566</v>
      </c>
      <c r="G791" s="422" t="s">
        <v>42</v>
      </c>
      <c r="H791" s="424" t="s">
        <v>42</v>
      </c>
      <c r="I791" s="522">
        <v>150111</v>
      </c>
      <c r="J791" s="425" t="str">
        <f>INDEX(aux!B:B,MATCH(I791,aux!A:A,0))</f>
        <v>(*) Embalagens de metal, incluindo recipientes vazios sob pressão, contendo uma matriz porosa sólida perigosa (por exemplo, amianto)</v>
      </c>
      <c r="K791" s="433" t="str">
        <f>INDEX(aux!C:C,MATCH(I791,aux!A:A,0))</f>
        <v>Sim</v>
      </c>
      <c r="L791" s="360">
        <v>0.1</v>
      </c>
      <c r="M791" s="359" t="s">
        <v>1532</v>
      </c>
      <c r="N791" s="139">
        <f t="shared" si="43"/>
        <v>100</v>
      </c>
      <c r="O791" s="93" t="s">
        <v>484</v>
      </c>
      <c r="P791" s="231" t="str">
        <f t="shared" si="44"/>
        <v>Reciclagem</v>
      </c>
      <c r="Q791" s="541" t="s">
        <v>1906</v>
      </c>
      <c r="R791" s="541" t="s">
        <v>6569</v>
      </c>
      <c r="S791" s="544" t="s">
        <v>1553</v>
      </c>
      <c r="T791" s="93" t="s">
        <v>3171</v>
      </c>
      <c r="U791" s="93" t="s">
        <v>3171</v>
      </c>
      <c r="V791" s="422"/>
    </row>
    <row r="792" spans="1:22" ht="15.75" thickBot="1" x14ac:dyDescent="0.3">
      <c r="A792" s="93" t="s">
        <v>1910</v>
      </c>
      <c r="B792" s="93" t="s">
        <v>1910</v>
      </c>
      <c r="C792" s="424" t="str">
        <f t="shared" si="42"/>
        <v>X</v>
      </c>
      <c r="D792" s="422">
        <v>2023</v>
      </c>
      <c r="E792" s="250" t="s">
        <v>3499</v>
      </c>
      <c r="F792" s="250" t="s">
        <v>3566</v>
      </c>
      <c r="G792" s="422" t="s">
        <v>42</v>
      </c>
      <c r="H792" s="424" t="s">
        <v>42</v>
      </c>
      <c r="I792" s="522">
        <v>160118</v>
      </c>
      <c r="J792" s="425" t="str">
        <f>INDEX(aux!B:B,MATCH(I792,aux!A:A,0))</f>
        <v>Metais não ferrosos</v>
      </c>
      <c r="K792" s="433" t="str">
        <f>INDEX(aux!C:C,MATCH(I792,aux!A:A,0))</f>
        <v>Não</v>
      </c>
      <c r="L792" s="360">
        <v>0.08</v>
      </c>
      <c r="M792" s="359" t="s">
        <v>1532</v>
      </c>
      <c r="N792" s="139">
        <f t="shared" si="43"/>
        <v>80</v>
      </c>
      <c r="O792" s="93" t="s">
        <v>483</v>
      </c>
      <c r="P792" s="231" t="str">
        <f t="shared" si="44"/>
        <v>Reciclagem</v>
      </c>
      <c r="Q792" s="541" t="s">
        <v>1906</v>
      </c>
      <c r="R792" s="541" t="s">
        <v>6569</v>
      </c>
      <c r="S792" s="544" t="s">
        <v>485</v>
      </c>
      <c r="T792" s="93" t="s">
        <v>3171</v>
      </c>
      <c r="U792" s="93" t="s">
        <v>3171</v>
      </c>
      <c r="V792" s="422"/>
    </row>
    <row r="793" spans="1:22" ht="15.75" hidden="1" thickBot="1" x14ac:dyDescent="0.3">
      <c r="A793" s="529" t="s">
        <v>1910</v>
      </c>
      <c r="B793" s="529" t="s">
        <v>1910</v>
      </c>
      <c r="C793" s="424" t="str">
        <f t="shared" si="42"/>
        <v>X</v>
      </c>
      <c r="D793" s="422">
        <v>2022</v>
      </c>
      <c r="E793" s="250" t="s">
        <v>3499</v>
      </c>
      <c r="F793" s="250" t="s">
        <v>3566</v>
      </c>
      <c r="G793" s="422" t="s">
        <v>42</v>
      </c>
      <c r="H793" s="424" t="s">
        <v>42</v>
      </c>
      <c r="I793" s="532">
        <v>130208</v>
      </c>
      <c r="J793" s="425" t="str">
        <f>INDEX(aux!B:B,MATCH(I793,aux!A:A,0))</f>
        <v>(*) Outros óleos de motores, transmissões e lubrificação</v>
      </c>
      <c r="K793" s="433" t="str">
        <f>INDEX(aux!C:C,MATCH(I793,aux!A:A,0))</f>
        <v>Sim</v>
      </c>
      <c r="L793" s="646">
        <v>13.734999999999999</v>
      </c>
      <c r="M793" s="663" t="s">
        <v>1532</v>
      </c>
      <c r="N793" s="139">
        <f t="shared" si="43"/>
        <v>13735</v>
      </c>
      <c r="O793" s="538" t="s">
        <v>480</v>
      </c>
      <c r="P793" s="231" t="str">
        <f t="shared" si="44"/>
        <v>Reciclagem</v>
      </c>
      <c r="Q793" s="541" t="s">
        <v>1902</v>
      </c>
      <c r="R793" s="541" t="s">
        <v>1877</v>
      </c>
      <c r="S793" s="528" t="str">
        <f>IFERROR(INDEX(Tabela3[Tipos de Tratamento],MATCH('A3.9.1 copy'!O168,Tabela3[Código],0)),"")</f>
        <v>Acumulação de resíduos destinados a uma das operações enumeradas de R1 a R12</v>
      </c>
      <c r="T793" s="458" t="s">
        <v>3173</v>
      </c>
      <c r="U793" s="458" t="s">
        <v>3174</v>
      </c>
      <c r="V793" s="93"/>
    </row>
    <row r="794" spans="1:22" ht="15.75" thickBot="1" x14ac:dyDescent="0.3">
      <c r="A794" s="93" t="s">
        <v>1910</v>
      </c>
      <c r="B794" s="93" t="s">
        <v>1910</v>
      </c>
      <c r="C794" s="424" t="str">
        <f t="shared" si="42"/>
        <v>X</v>
      </c>
      <c r="D794" s="422">
        <v>2023</v>
      </c>
      <c r="E794" s="250" t="s">
        <v>3499</v>
      </c>
      <c r="F794" s="250" t="s">
        <v>3566</v>
      </c>
      <c r="G794" s="422" t="s">
        <v>42</v>
      </c>
      <c r="H794" s="424" t="s">
        <v>42</v>
      </c>
      <c r="I794" s="522">
        <v>130208</v>
      </c>
      <c r="J794" s="425" t="str">
        <f>INDEX(aux!B:B,MATCH(I794,aux!A:A,0))</f>
        <v>(*) Outros óleos de motores, transmissões e lubrificação</v>
      </c>
      <c r="K794" s="433" t="str">
        <f>INDEX(aux!C:C,MATCH(I794,aux!A:A,0))</f>
        <v>Sim</v>
      </c>
      <c r="L794" s="360">
        <v>5.2009999999999996</v>
      </c>
      <c r="M794" s="359" t="s">
        <v>1532</v>
      </c>
      <c r="N794" s="139">
        <f t="shared" si="43"/>
        <v>5201</v>
      </c>
      <c r="O794" s="93" t="s">
        <v>483</v>
      </c>
      <c r="P794" s="231" t="str">
        <f t="shared" si="44"/>
        <v>Reciclagem</v>
      </c>
      <c r="Q794" s="541" t="s">
        <v>1902</v>
      </c>
      <c r="R794" s="541" t="s">
        <v>1877</v>
      </c>
      <c r="S794" s="544" t="s">
        <v>485</v>
      </c>
      <c r="T794" s="93" t="s">
        <v>6301</v>
      </c>
      <c r="U794" s="93" t="s">
        <v>6301</v>
      </c>
      <c r="V794" s="93"/>
    </row>
    <row r="795" spans="1:22" ht="15.75" thickBot="1" x14ac:dyDescent="0.3">
      <c r="A795" s="93" t="s">
        <v>1910</v>
      </c>
      <c r="B795" s="93" t="s">
        <v>1910</v>
      </c>
      <c r="C795" s="424" t="str">
        <f t="shared" si="42"/>
        <v>X</v>
      </c>
      <c r="D795" s="422">
        <v>2023</v>
      </c>
      <c r="E795" s="250" t="s">
        <v>3499</v>
      </c>
      <c r="F795" s="250" t="s">
        <v>3566</v>
      </c>
      <c r="G795" s="422" t="s">
        <v>42</v>
      </c>
      <c r="H795" s="424" t="s">
        <v>42</v>
      </c>
      <c r="I795" s="522">
        <v>130208</v>
      </c>
      <c r="J795" s="425" t="str">
        <f>INDEX(aux!B:B,MATCH(I795,aux!A:A,0))</f>
        <v>(*) Outros óleos de motores, transmissões e lubrificação</v>
      </c>
      <c r="K795" s="433" t="str">
        <f>INDEX(aux!C:C,MATCH(I795,aux!A:A,0))</f>
        <v>Sim</v>
      </c>
      <c r="L795" s="360">
        <v>7.6859999999999999</v>
      </c>
      <c r="M795" s="359" t="s">
        <v>1532</v>
      </c>
      <c r="N795" s="139">
        <f t="shared" si="43"/>
        <v>7686</v>
      </c>
      <c r="O795" s="93" t="s">
        <v>480</v>
      </c>
      <c r="P795" s="231" t="str">
        <f t="shared" si="44"/>
        <v>Reciclagem</v>
      </c>
      <c r="Q795" s="541" t="s">
        <v>1902</v>
      </c>
      <c r="R795" s="541" t="s">
        <v>1877</v>
      </c>
      <c r="S795" s="544" t="s">
        <v>1546</v>
      </c>
      <c r="T795" s="93" t="s">
        <v>3173</v>
      </c>
      <c r="U795" s="93" t="s">
        <v>3174</v>
      </c>
      <c r="V795" s="93"/>
    </row>
    <row r="796" spans="1:22" ht="15.75" hidden="1" thickBot="1" x14ac:dyDescent="0.3">
      <c r="A796" s="529" t="s">
        <v>1910</v>
      </c>
      <c r="B796" s="529" t="s">
        <v>1910</v>
      </c>
      <c r="C796" s="424" t="str">
        <f t="shared" si="42"/>
        <v>X</v>
      </c>
      <c r="D796" s="422">
        <v>2022</v>
      </c>
      <c r="E796" s="250" t="s">
        <v>3499</v>
      </c>
      <c r="F796" s="250" t="s">
        <v>3566</v>
      </c>
      <c r="G796" s="422" t="s">
        <v>42</v>
      </c>
      <c r="H796" s="424" t="s">
        <v>42</v>
      </c>
      <c r="I796" s="532">
        <v>150101</v>
      </c>
      <c r="J796" s="425" t="str">
        <f>INDEX(aux!B:B,MATCH(I796,aux!A:A,0))</f>
        <v>Embalagens de papel e cartão</v>
      </c>
      <c r="K796" s="433" t="str">
        <f>INDEX(aux!C:C,MATCH(I796,aux!A:A,0))</f>
        <v>Não</v>
      </c>
      <c r="L796" s="646">
        <v>3.1400010000000003</v>
      </c>
      <c r="M796" s="663" t="s">
        <v>1532</v>
      </c>
      <c r="N796" s="139">
        <f t="shared" si="43"/>
        <v>3140.0010000000002</v>
      </c>
      <c r="O796" s="538" t="s">
        <v>484</v>
      </c>
      <c r="P796" s="231" t="str">
        <f t="shared" si="44"/>
        <v>Reciclagem</v>
      </c>
      <c r="Q796" s="541" t="s">
        <v>1904</v>
      </c>
      <c r="R796" s="541" t="s">
        <v>1903</v>
      </c>
      <c r="S796" s="528" t="str">
        <f>IFERROR(INDEX(Tabela3[Tipos de Tratamento],MATCH('A3.9.1 copy'!O163,Tabela3[Código],0)),"")</f>
        <v xml:space="preserve">Regeneração de óleos e outras reutilizações de óleos </v>
      </c>
      <c r="T796" s="458" t="s">
        <v>3171</v>
      </c>
      <c r="U796" s="458" t="s">
        <v>3171</v>
      </c>
      <c r="V796" s="93"/>
    </row>
    <row r="797" spans="1:22" ht="15.75" thickBot="1" x14ac:dyDescent="0.3">
      <c r="A797" s="93" t="s">
        <v>1910</v>
      </c>
      <c r="B797" s="93" t="s">
        <v>1910</v>
      </c>
      <c r="C797" s="424" t="str">
        <f t="shared" si="42"/>
        <v>X</v>
      </c>
      <c r="D797" s="422">
        <v>2023</v>
      </c>
      <c r="E797" s="250" t="s">
        <v>3499</v>
      </c>
      <c r="F797" s="250" t="s">
        <v>3566</v>
      </c>
      <c r="G797" s="422" t="s">
        <v>42</v>
      </c>
      <c r="H797" s="424" t="s">
        <v>42</v>
      </c>
      <c r="I797" s="522">
        <v>150101</v>
      </c>
      <c r="J797" s="425" t="str">
        <f>INDEX(aux!B:B,MATCH(I797,aux!A:A,0))</f>
        <v>Embalagens de papel e cartão</v>
      </c>
      <c r="K797" s="433" t="str">
        <f>INDEX(aux!C:C,MATCH(I797,aux!A:A,0))</f>
        <v>Não</v>
      </c>
      <c r="L797" s="360">
        <v>7.68</v>
      </c>
      <c r="M797" s="359" t="s">
        <v>1532</v>
      </c>
      <c r="N797" s="139">
        <f t="shared" si="43"/>
        <v>7680</v>
      </c>
      <c r="O797" s="93" t="s">
        <v>483</v>
      </c>
      <c r="P797" s="231" t="str">
        <f t="shared" si="44"/>
        <v>Reciclagem</v>
      </c>
      <c r="Q797" s="541" t="s">
        <v>1904</v>
      </c>
      <c r="R797" s="541" t="s">
        <v>6569</v>
      </c>
      <c r="S797" s="544" t="s">
        <v>485</v>
      </c>
      <c r="T797" s="93" t="s">
        <v>6302</v>
      </c>
      <c r="U797" s="93" t="s">
        <v>6303</v>
      </c>
      <c r="V797" s="422"/>
    </row>
    <row r="798" spans="1:22" ht="15.75" thickBot="1" x14ac:dyDescent="0.3">
      <c r="A798" s="93" t="s">
        <v>1910</v>
      </c>
      <c r="B798" s="93" t="s">
        <v>1910</v>
      </c>
      <c r="C798" s="424" t="str">
        <f t="shared" si="42"/>
        <v>X</v>
      </c>
      <c r="D798" s="422">
        <v>2023</v>
      </c>
      <c r="E798" s="250" t="s">
        <v>3499</v>
      </c>
      <c r="F798" s="250" t="s">
        <v>3566</v>
      </c>
      <c r="G798" s="422" t="s">
        <v>42</v>
      </c>
      <c r="H798" s="424" t="s">
        <v>42</v>
      </c>
      <c r="I798" s="522">
        <v>150101</v>
      </c>
      <c r="J798" s="425" t="str">
        <f>INDEX(aux!B:B,MATCH(I798,aux!A:A,0))</f>
        <v>Embalagens de papel e cartão</v>
      </c>
      <c r="K798" s="433" t="str">
        <f>INDEX(aux!C:C,MATCH(I798,aux!A:A,0))</f>
        <v>Não</v>
      </c>
      <c r="L798" s="360">
        <v>13.52</v>
      </c>
      <c r="M798" s="359" t="s">
        <v>1532</v>
      </c>
      <c r="N798" s="139">
        <f t="shared" si="43"/>
        <v>13520</v>
      </c>
      <c r="O798" s="93" t="s">
        <v>484</v>
      </c>
      <c r="P798" s="231" t="str">
        <f t="shared" si="44"/>
        <v>Reciclagem</v>
      </c>
      <c r="Q798" s="541" t="s">
        <v>1904</v>
      </c>
      <c r="R798" s="541" t="s">
        <v>6569</v>
      </c>
      <c r="S798" s="544" t="s">
        <v>1553</v>
      </c>
      <c r="T798" s="93" t="s">
        <v>3171</v>
      </c>
      <c r="U798" s="93" t="s">
        <v>3171</v>
      </c>
      <c r="V798" s="422"/>
    </row>
    <row r="799" spans="1:22" ht="15.75" hidden="1" thickBot="1" x14ac:dyDescent="0.3">
      <c r="A799" s="529" t="s">
        <v>1910</v>
      </c>
      <c r="B799" s="529" t="s">
        <v>1910</v>
      </c>
      <c r="C799" s="424" t="str">
        <f t="shared" si="42"/>
        <v>X</v>
      </c>
      <c r="D799" s="422">
        <v>2022</v>
      </c>
      <c r="E799" s="250" t="s">
        <v>3499</v>
      </c>
      <c r="F799" s="250" t="s">
        <v>3566</v>
      </c>
      <c r="G799" s="422" t="s">
        <v>42</v>
      </c>
      <c r="H799" s="424" t="s">
        <v>42</v>
      </c>
      <c r="I799" s="532">
        <v>160119</v>
      </c>
      <c r="J799" s="425" t="str">
        <f>INDEX(aux!B:B,MATCH(I799,aux!A:A,0))</f>
        <v>Plástico</v>
      </c>
      <c r="K799" s="433" t="str">
        <f>INDEX(aux!C:C,MATCH(I799,aux!A:A,0))</f>
        <v>Não</v>
      </c>
      <c r="L799" s="646">
        <v>0.43</v>
      </c>
      <c r="M799" s="663" t="s">
        <v>1532</v>
      </c>
      <c r="N799" s="139">
        <f t="shared" si="43"/>
        <v>430</v>
      </c>
      <c r="O799" s="538" t="s">
        <v>484</v>
      </c>
      <c r="P799" s="231" t="str">
        <f t="shared" si="44"/>
        <v>Reciclagem</v>
      </c>
      <c r="Q799" s="541" t="s">
        <v>1560</v>
      </c>
      <c r="R799" s="541" t="s">
        <v>1903</v>
      </c>
      <c r="S799" s="528" t="str">
        <f>IFERROR(INDEX(Tabela3[Tipos de Tratamento],MATCH('A3.9.1 copy'!O155,Tabela3[Código],0)),"")</f>
        <v>Acumulação de resíduos destinados a uma das operações enumeradas de R1 a R12</v>
      </c>
      <c r="T799" s="458" t="s">
        <v>3171</v>
      </c>
      <c r="U799" s="458" t="s">
        <v>3171</v>
      </c>
      <c r="V799" s="422"/>
    </row>
    <row r="800" spans="1:22" ht="15.75" thickBot="1" x14ac:dyDescent="0.3">
      <c r="A800" s="93" t="s">
        <v>1910</v>
      </c>
      <c r="B800" s="93" t="s">
        <v>1910</v>
      </c>
      <c r="C800" s="424" t="str">
        <f t="shared" si="42"/>
        <v>X</v>
      </c>
      <c r="D800" s="422">
        <v>2023</v>
      </c>
      <c r="E800" s="250" t="s">
        <v>3499</v>
      </c>
      <c r="F800" s="250" t="s">
        <v>3566</v>
      </c>
      <c r="G800" s="422" t="s">
        <v>42</v>
      </c>
      <c r="H800" s="424" t="s">
        <v>42</v>
      </c>
      <c r="I800" s="522">
        <v>160119</v>
      </c>
      <c r="J800" s="425" t="str">
        <f>INDEX(aux!B:B,MATCH(I800,aux!A:A,0))</f>
        <v>Plástico</v>
      </c>
      <c r="K800" s="433" t="str">
        <f>INDEX(aux!C:C,MATCH(I800,aux!A:A,0))</f>
        <v>Não</v>
      </c>
      <c r="L800" s="360">
        <v>0.66</v>
      </c>
      <c r="M800" s="359" t="s">
        <v>1532</v>
      </c>
      <c r="N800" s="139">
        <f t="shared" si="43"/>
        <v>660</v>
      </c>
      <c r="O800" s="93" t="s">
        <v>484</v>
      </c>
      <c r="P800" s="231" t="str">
        <f t="shared" si="44"/>
        <v>Reciclagem</v>
      </c>
      <c r="Q800" s="541" t="s">
        <v>1560</v>
      </c>
      <c r="R800" s="541" t="s">
        <v>6569</v>
      </c>
      <c r="S800" s="544" t="s">
        <v>1553</v>
      </c>
      <c r="T800" s="93" t="s">
        <v>3171</v>
      </c>
      <c r="U800" s="93" t="s">
        <v>3171</v>
      </c>
      <c r="V800" s="422"/>
    </row>
    <row r="801" spans="1:22" ht="15.75" hidden="1" thickBot="1" x14ac:dyDescent="0.3">
      <c r="A801" s="529" t="s">
        <v>1910</v>
      </c>
      <c r="B801" s="529" t="s">
        <v>1910</v>
      </c>
      <c r="C801" s="424" t="str">
        <f t="shared" si="42"/>
        <v>X</v>
      </c>
      <c r="D801" s="422">
        <v>2022</v>
      </c>
      <c r="E801" s="250" t="s">
        <v>3499</v>
      </c>
      <c r="F801" s="250" t="s">
        <v>3566</v>
      </c>
      <c r="G801" s="422" t="s">
        <v>42</v>
      </c>
      <c r="H801" s="424" t="s">
        <v>42</v>
      </c>
      <c r="I801" s="532">
        <v>160103</v>
      </c>
      <c r="J801" s="425" t="str">
        <f>INDEX(aux!B:B,MATCH(I801,aux!A:A,0))</f>
        <v>Pneus usados</v>
      </c>
      <c r="K801" s="433" t="str">
        <f>INDEX(aux!C:C,MATCH(I801,aux!A:A,0))</f>
        <v>Não</v>
      </c>
      <c r="L801" s="646">
        <v>9.5400000000000009</v>
      </c>
      <c r="M801" s="663" t="s">
        <v>1532</v>
      </c>
      <c r="N801" s="139">
        <f t="shared" si="43"/>
        <v>9540.0000000000018</v>
      </c>
      <c r="O801" s="538" t="s">
        <v>484</v>
      </c>
      <c r="P801" s="231" t="str">
        <f t="shared" si="44"/>
        <v>Reciclagem</v>
      </c>
      <c r="Q801" s="541" t="s">
        <v>1681</v>
      </c>
      <c r="R801" s="541" t="s">
        <v>1903</v>
      </c>
      <c r="S801" s="528" t="str">
        <f>IFERROR(INDEX(Tabela3[Tipos de Tratamento],MATCH('A3.9.1 copy'!O167,Tabela3[Código],0)),"")</f>
        <v>Armazenagem enquanto se aguarda a execução de uma das operações enumeradas de D1 a D14</v>
      </c>
      <c r="T801" s="458" t="s">
        <v>3172</v>
      </c>
      <c r="U801" s="458" t="s">
        <v>3172</v>
      </c>
      <c r="V801" s="93"/>
    </row>
    <row r="802" spans="1:22" ht="15.75" thickBot="1" x14ac:dyDescent="0.3">
      <c r="A802" s="93" t="s">
        <v>1910</v>
      </c>
      <c r="B802" s="93" t="s">
        <v>1910</v>
      </c>
      <c r="C802" s="424" t="str">
        <f t="shared" si="42"/>
        <v>X</v>
      </c>
      <c r="D802" s="422">
        <v>2023</v>
      </c>
      <c r="E802" s="250" t="s">
        <v>3499</v>
      </c>
      <c r="F802" s="250" t="s">
        <v>3566</v>
      </c>
      <c r="G802" s="422" t="s">
        <v>42</v>
      </c>
      <c r="H802" s="424" t="s">
        <v>42</v>
      </c>
      <c r="I802" s="522">
        <v>160103</v>
      </c>
      <c r="J802" s="425" t="str">
        <f>INDEX(aux!B:B,MATCH(I802,aux!A:A,0))</f>
        <v>Pneus usados</v>
      </c>
      <c r="K802" s="433" t="str">
        <f>INDEX(aux!C:C,MATCH(I802,aux!A:A,0))</f>
        <v>Não</v>
      </c>
      <c r="L802" s="360">
        <v>18.3</v>
      </c>
      <c r="M802" s="359" t="s">
        <v>1532</v>
      </c>
      <c r="N802" s="139">
        <f t="shared" si="43"/>
        <v>18300</v>
      </c>
      <c r="O802" s="93" t="s">
        <v>484</v>
      </c>
      <c r="P802" s="231" t="str">
        <f t="shared" si="44"/>
        <v>Reciclagem</v>
      </c>
      <c r="Q802" s="541" t="s">
        <v>1681</v>
      </c>
      <c r="R802" s="541" t="s">
        <v>6569</v>
      </c>
      <c r="S802" s="544" t="s">
        <v>1553</v>
      </c>
      <c r="T802" s="93" t="s">
        <v>3172</v>
      </c>
      <c r="U802" s="93" t="s">
        <v>3172</v>
      </c>
      <c r="V802" s="93"/>
    </row>
    <row r="803" spans="1:22" ht="15.75" thickBot="1" x14ac:dyDescent="0.3">
      <c r="A803" s="93" t="s">
        <v>1910</v>
      </c>
      <c r="B803" s="93" t="s">
        <v>1910</v>
      </c>
      <c r="C803" s="424" t="str">
        <f t="shared" si="42"/>
        <v>X</v>
      </c>
      <c r="D803" s="422">
        <v>2023</v>
      </c>
      <c r="E803" s="250" t="s">
        <v>3499</v>
      </c>
      <c r="F803" s="250" t="s">
        <v>3566</v>
      </c>
      <c r="G803" s="422" t="s">
        <v>42</v>
      </c>
      <c r="H803" s="424" t="s">
        <v>42</v>
      </c>
      <c r="I803" s="522">
        <v>170904</v>
      </c>
      <c r="J803" s="425" t="str">
        <f>INDEX(aux!B:B,MATCH(I803,aux!A:A,0))</f>
        <v xml:space="preserve">Misturas de resíduos de construção e demolição não abrangidos em 17 09 01, 17 09 02 e 17 09 03 </v>
      </c>
      <c r="K803" s="433" t="str">
        <f>INDEX(aux!C:C,MATCH(I803,aux!A:A,0))</f>
        <v>Não</v>
      </c>
      <c r="L803" s="360">
        <v>2.2000000000000002</v>
      </c>
      <c r="M803" s="359" t="s">
        <v>1532</v>
      </c>
      <c r="N803" s="139">
        <f t="shared" si="43"/>
        <v>2200</v>
      </c>
      <c r="O803" s="93" t="s">
        <v>484</v>
      </c>
      <c r="P803" s="231" t="str">
        <f t="shared" si="44"/>
        <v>Reciclagem</v>
      </c>
      <c r="Q803" s="541" t="s">
        <v>1901</v>
      </c>
      <c r="R803" s="541" t="s">
        <v>1892</v>
      </c>
      <c r="S803" s="544" t="s">
        <v>1553</v>
      </c>
      <c r="T803" s="93" t="s">
        <v>3171</v>
      </c>
      <c r="U803" s="93" t="s">
        <v>3171</v>
      </c>
      <c r="V803" s="93"/>
    </row>
    <row r="804" spans="1:22" ht="15.75" hidden="1" thickBot="1" x14ac:dyDescent="0.3">
      <c r="A804" s="529" t="s">
        <v>1910</v>
      </c>
      <c r="B804" s="529" t="s">
        <v>1910</v>
      </c>
      <c r="C804" s="424" t="str">
        <f t="shared" si="42"/>
        <v>X</v>
      </c>
      <c r="D804" s="422">
        <v>2022</v>
      </c>
      <c r="E804" s="250" t="s">
        <v>3499</v>
      </c>
      <c r="F804" s="250" t="s">
        <v>3566</v>
      </c>
      <c r="G804" s="422" t="s">
        <v>42</v>
      </c>
      <c r="H804" s="424" t="s">
        <v>42</v>
      </c>
      <c r="I804" s="532">
        <v>130502</v>
      </c>
      <c r="J804" s="425" t="str">
        <f>INDEX(aux!B:B,MATCH(I804,aux!A:A,0))</f>
        <v>(*) Lamas provenientes dos separadores óleo/água</v>
      </c>
      <c r="K804" s="433" t="str">
        <f>INDEX(aux!C:C,MATCH(I804,aux!A:A,0))</f>
        <v>Sim</v>
      </c>
      <c r="L804" s="646">
        <v>19.3</v>
      </c>
      <c r="M804" s="663" t="s">
        <v>1532</v>
      </c>
      <c r="N804" s="139">
        <f t="shared" si="43"/>
        <v>19300</v>
      </c>
      <c r="O804" s="538" t="s">
        <v>503</v>
      </c>
      <c r="P804" s="231" t="str">
        <f t="shared" si="44"/>
        <v>Aterro</v>
      </c>
      <c r="Q804" s="541" t="s">
        <v>1901</v>
      </c>
      <c r="R804" s="541" t="s">
        <v>1892</v>
      </c>
      <c r="S804" s="528" t="str">
        <f>IFERROR(INDEX(Tabela3[Tipos de Tratamento],MATCH('A3.9.1 copy'!O170,Tabela3[Código],0)),"")</f>
        <v>Acumulação de resíduos destinados a uma das operações enumeradas de R1 a R12</v>
      </c>
      <c r="T804" s="458" t="s">
        <v>3175</v>
      </c>
      <c r="U804" s="458" t="s">
        <v>3175</v>
      </c>
      <c r="V804" s="93"/>
    </row>
    <row r="805" spans="1:22" ht="15.75" hidden="1" thickBot="1" x14ac:dyDescent="0.3">
      <c r="A805" s="529" t="s">
        <v>1910</v>
      </c>
      <c r="B805" s="529" t="s">
        <v>1910</v>
      </c>
      <c r="C805" s="424" t="str">
        <f t="shared" si="42"/>
        <v>X</v>
      </c>
      <c r="D805" s="422">
        <v>2022</v>
      </c>
      <c r="E805" s="250" t="s">
        <v>3499</v>
      </c>
      <c r="F805" s="250" t="s">
        <v>3566</v>
      </c>
      <c r="G805" s="422" t="s">
        <v>42</v>
      </c>
      <c r="H805" s="424" t="s">
        <v>42</v>
      </c>
      <c r="I805" s="532">
        <v>130507</v>
      </c>
      <c r="J805" s="425" t="str">
        <f>INDEX(aux!B:B,MATCH(I805,aux!A:A,0))</f>
        <v>(*) Água com óleo proveniente dos separadores óleo/água</v>
      </c>
      <c r="K805" s="433" t="str">
        <f>INDEX(aux!C:C,MATCH(I805,aux!A:A,0))</f>
        <v>Sim</v>
      </c>
      <c r="L805" s="531">
        <v>105.3</v>
      </c>
      <c r="M805" s="663" t="s">
        <v>1532</v>
      </c>
      <c r="N805" s="139">
        <f t="shared" si="43"/>
        <v>105300</v>
      </c>
      <c r="O805" s="666" t="s">
        <v>503</v>
      </c>
      <c r="P805" s="231" t="str">
        <f t="shared" si="44"/>
        <v>Aterro</v>
      </c>
      <c r="Q805" s="541" t="s">
        <v>1901</v>
      </c>
      <c r="R805" s="541" t="s">
        <v>1892</v>
      </c>
      <c r="S805" s="528" t="str">
        <f>IFERROR(INDEX(Tabela3[Tipos de Tratamento],MATCH('A3.9.1 copy'!O171,Tabela3[Código],0)),"")</f>
        <v xml:space="preserve">Troca de resíduos com vista a submetê-los a uma das operações enumeradas de R 1 a R 11 </v>
      </c>
      <c r="T805" s="669" t="s">
        <v>3175</v>
      </c>
      <c r="U805" s="669" t="s">
        <v>3175</v>
      </c>
      <c r="V805" s="93"/>
    </row>
    <row r="806" spans="1:22" ht="15.75" hidden="1" thickBot="1" x14ac:dyDescent="0.3">
      <c r="A806" s="529" t="s">
        <v>1910</v>
      </c>
      <c r="B806" s="529" t="s">
        <v>1910</v>
      </c>
      <c r="C806" s="424" t="str">
        <f t="shared" si="42"/>
        <v>X</v>
      </c>
      <c r="D806" s="422">
        <v>2022</v>
      </c>
      <c r="E806" s="250" t="s">
        <v>3499</v>
      </c>
      <c r="F806" s="250" t="s">
        <v>3566</v>
      </c>
      <c r="G806" s="422" t="s">
        <v>42</v>
      </c>
      <c r="H806" s="424" t="s">
        <v>42</v>
      </c>
      <c r="I806" s="532">
        <v>150110</v>
      </c>
      <c r="J806" s="425" t="str">
        <f>INDEX(aux!B:B,MATCH(I806,aux!A:A,0))</f>
        <v>(*) Embalagens contendo ou contaminadas por resíduos de substâncias perigosas</v>
      </c>
      <c r="K806" s="433" t="str">
        <f>INDEX(aux!C:C,MATCH(I806,aux!A:A,0))</f>
        <v>Sim</v>
      </c>
      <c r="L806" s="646">
        <v>1.1600000000000001</v>
      </c>
      <c r="M806" s="663" t="s">
        <v>1532</v>
      </c>
      <c r="N806" s="139">
        <f t="shared" si="43"/>
        <v>1160.0000000000002</v>
      </c>
      <c r="O806" s="538" t="s">
        <v>484</v>
      </c>
      <c r="P806" s="231" t="str">
        <f t="shared" si="44"/>
        <v>Reciclagem</v>
      </c>
      <c r="Q806" s="541" t="s">
        <v>1901</v>
      </c>
      <c r="R806" s="541" t="s">
        <v>1892</v>
      </c>
      <c r="S806" s="528" t="str">
        <f>IFERROR(INDEX(Tabela3[Tipos de Tratamento],MATCH('A3.9.1 copy'!O157,Tabela3[Código],0)),"")</f>
        <v xml:space="preserve">Troca de resíduos com vista a submetê-los a uma das operações enumeradas de R 1 a R 11 </v>
      </c>
      <c r="T806" s="458" t="s">
        <v>3171</v>
      </c>
      <c r="U806" s="458" t="s">
        <v>3171</v>
      </c>
      <c r="V806" s="93"/>
    </row>
    <row r="807" spans="1:22" ht="15.75" hidden="1" thickBot="1" x14ac:dyDescent="0.3">
      <c r="A807" s="529" t="s">
        <v>1910</v>
      </c>
      <c r="B807" s="529" t="s">
        <v>1910</v>
      </c>
      <c r="C807" s="424" t="str">
        <f t="shared" si="42"/>
        <v>X</v>
      </c>
      <c r="D807" s="422">
        <v>2022</v>
      </c>
      <c r="E807" s="250" t="s">
        <v>3499</v>
      </c>
      <c r="F807" s="250" t="s">
        <v>3566</v>
      </c>
      <c r="G807" s="422" t="s">
        <v>42</v>
      </c>
      <c r="H807" s="424" t="s">
        <v>42</v>
      </c>
      <c r="I807" s="532">
        <v>150202</v>
      </c>
      <c r="J807" s="425" t="str">
        <f>INDEX(aux!B:B,MATCH(I807,aux!A:A,0))</f>
        <v>(*) Absorventes, materiais filtrantes (incluindo filtros de óleo sem outras especificações), panos de limpeza e vestuário de proteção, contaminados por substâncias perigosas</v>
      </c>
      <c r="K807" s="433" t="str">
        <f>INDEX(aux!C:C,MATCH(I807,aux!A:A,0))</f>
        <v>Sim</v>
      </c>
      <c r="L807" s="646">
        <v>6.84</v>
      </c>
      <c r="M807" s="663" t="s">
        <v>1532</v>
      </c>
      <c r="N807" s="139">
        <f t="shared" si="43"/>
        <v>6840</v>
      </c>
      <c r="O807" s="538" t="s">
        <v>509</v>
      </c>
      <c r="P807" s="231" t="str">
        <f t="shared" si="44"/>
        <v>Aterro</v>
      </c>
      <c r="Q807" s="541" t="s">
        <v>1901</v>
      </c>
      <c r="R807" s="541" t="s">
        <v>1892</v>
      </c>
      <c r="S807" s="528" t="str">
        <f>IFERROR(INDEX(Tabela3[Tipos de Tratamento],MATCH('A3.9.1 copy'!O166,Tabela3[Código],0)),"")</f>
        <v>Acumulação de resíduos destinados a uma das operações enumeradas de R1 a R12</v>
      </c>
      <c r="T807" s="458" t="s">
        <v>3171</v>
      </c>
      <c r="U807" s="458" t="s">
        <v>3171</v>
      </c>
      <c r="V807" s="93"/>
    </row>
    <row r="808" spans="1:22" ht="15.75" hidden="1" thickBot="1" x14ac:dyDescent="0.3">
      <c r="A808" s="529" t="s">
        <v>1910</v>
      </c>
      <c r="B808" s="529" t="s">
        <v>1910</v>
      </c>
      <c r="C808" s="424" t="str">
        <f t="shared" si="42"/>
        <v>X</v>
      </c>
      <c r="D808" s="422">
        <v>2022</v>
      </c>
      <c r="E808" s="250" t="s">
        <v>3499</v>
      </c>
      <c r="F808" s="250" t="s">
        <v>3566</v>
      </c>
      <c r="G808" s="422" t="s">
        <v>42</v>
      </c>
      <c r="H808" s="424" t="s">
        <v>42</v>
      </c>
      <c r="I808" s="532">
        <v>150203</v>
      </c>
      <c r="J808" s="425" t="str">
        <f>INDEX(aux!B:B,MATCH(I808,aux!A:A,0))</f>
        <v>Absorventes, materiais filtrantes, panos de limpeza e vestuário de proteção não abrangidos em 15 02 02</v>
      </c>
      <c r="K808" s="433" t="str">
        <f>INDEX(aux!C:C,MATCH(I808,aux!A:A,0))</f>
        <v>Não</v>
      </c>
      <c r="L808" s="646">
        <v>1.3599999999999999</v>
      </c>
      <c r="M808" s="663" t="s">
        <v>1532</v>
      </c>
      <c r="N808" s="139">
        <f t="shared" si="43"/>
        <v>1359.9999999999998</v>
      </c>
      <c r="O808" s="538" t="s">
        <v>509</v>
      </c>
      <c r="P808" s="231" t="str">
        <f t="shared" si="44"/>
        <v>Aterro</v>
      </c>
      <c r="Q808" s="541" t="s">
        <v>1901</v>
      </c>
      <c r="R808" s="541" t="s">
        <v>1892</v>
      </c>
      <c r="S808" s="528" t="str">
        <f>IFERROR(INDEX(Tabela3[Tipos de Tratamento],MATCH('A3.9.1 copy'!O159,Tabela3[Código],0)),"")</f>
        <v xml:space="preserve">Troca de resíduos com vista a submetê-los a uma das operações enumeradas de R 1 a R 11 </v>
      </c>
      <c r="T808" s="458" t="s">
        <v>3171</v>
      </c>
      <c r="U808" s="458" t="s">
        <v>3171</v>
      </c>
      <c r="V808" s="422"/>
    </row>
    <row r="809" spans="1:22" ht="15.75" hidden="1" thickBot="1" x14ac:dyDescent="0.3">
      <c r="A809" s="529" t="s">
        <v>1910</v>
      </c>
      <c r="B809" s="529" t="s">
        <v>1910</v>
      </c>
      <c r="C809" s="424" t="str">
        <f t="shared" si="42"/>
        <v>X</v>
      </c>
      <c r="D809" s="422">
        <v>2022</v>
      </c>
      <c r="E809" s="250" t="s">
        <v>3499</v>
      </c>
      <c r="F809" s="250" t="s">
        <v>3566</v>
      </c>
      <c r="G809" s="422" t="s">
        <v>42</v>
      </c>
      <c r="H809" s="424" t="s">
        <v>42</v>
      </c>
      <c r="I809" s="532">
        <v>160107</v>
      </c>
      <c r="J809" s="425" t="str">
        <f>INDEX(aux!B:B,MATCH(I809,aux!A:A,0))</f>
        <v>(*) Filtros de óleo</v>
      </c>
      <c r="K809" s="433" t="str">
        <f>INDEX(aux!C:C,MATCH(I809,aux!A:A,0))</f>
        <v>Sim</v>
      </c>
      <c r="L809" s="646">
        <v>0.86</v>
      </c>
      <c r="M809" s="663" t="s">
        <v>1532</v>
      </c>
      <c r="N809" s="139">
        <f t="shared" si="43"/>
        <v>860</v>
      </c>
      <c r="O809" s="538" t="s">
        <v>484</v>
      </c>
      <c r="P809" s="231" t="str">
        <f t="shared" si="44"/>
        <v>Reciclagem</v>
      </c>
      <c r="Q809" s="541" t="s">
        <v>1901</v>
      </c>
      <c r="R809" s="541" t="s">
        <v>1892</v>
      </c>
      <c r="S809" s="528" t="str">
        <f>IFERROR(INDEX(Tabela3[Tipos de Tratamento],MATCH('A3.9.1 copy'!O156,Tabela3[Código],0)),"")</f>
        <v>Acumulação de resíduos destinados a uma das operações enumeradas de R1 a R12</v>
      </c>
      <c r="T809" s="458" t="s">
        <v>3171</v>
      </c>
      <c r="U809" s="458" t="s">
        <v>3171</v>
      </c>
      <c r="V809" s="422"/>
    </row>
    <row r="810" spans="1:22" ht="15.75" hidden="1" thickBot="1" x14ac:dyDescent="0.3">
      <c r="A810" s="529" t="s">
        <v>1910</v>
      </c>
      <c r="B810" s="529" t="s">
        <v>1910</v>
      </c>
      <c r="C810" s="424" t="str">
        <f t="shared" si="42"/>
        <v>X</v>
      </c>
      <c r="D810" s="422">
        <v>2022</v>
      </c>
      <c r="E810" s="250" t="s">
        <v>3499</v>
      </c>
      <c r="F810" s="250" t="s">
        <v>3566</v>
      </c>
      <c r="G810" s="422" t="s">
        <v>42</v>
      </c>
      <c r="H810" s="424" t="s">
        <v>42</v>
      </c>
      <c r="I810" s="532">
        <v>160199</v>
      </c>
      <c r="J810" s="425" t="str">
        <f>INDEX(aux!B:B,MATCH(I810,aux!A:A,0))</f>
        <v>Resíduos sem outras especificações</v>
      </c>
      <c r="K810" s="433" t="str">
        <f>INDEX(aux!C:C,MATCH(I810,aux!A:A,0))</f>
        <v>Não</v>
      </c>
      <c r="L810" s="646">
        <v>3.26</v>
      </c>
      <c r="M810" s="663" t="s">
        <v>1532</v>
      </c>
      <c r="N810" s="139">
        <f t="shared" si="43"/>
        <v>3260</v>
      </c>
      <c r="O810" s="538" t="s">
        <v>484</v>
      </c>
      <c r="P810" s="231" t="str">
        <f t="shared" si="44"/>
        <v>Reciclagem</v>
      </c>
      <c r="Q810" s="541" t="s">
        <v>1901</v>
      </c>
      <c r="R810" s="541" t="s">
        <v>1892</v>
      </c>
      <c r="S810" s="528" t="str">
        <f>IFERROR(INDEX(Tabela3[Tipos de Tratamento],MATCH('A3.9.1 copy'!O164,Tabela3[Código],0)),"")</f>
        <v>Acumulação de resíduos destinados a uma das operações enumeradas de R1 a R12</v>
      </c>
      <c r="T810" s="458" t="s">
        <v>3171</v>
      </c>
      <c r="U810" s="458" t="s">
        <v>3171</v>
      </c>
      <c r="V810" s="93"/>
    </row>
    <row r="811" spans="1:22" ht="15.75" hidden="1" thickBot="1" x14ac:dyDescent="0.3">
      <c r="A811" s="529" t="s">
        <v>1910</v>
      </c>
      <c r="B811" s="529" t="s">
        <v>1910</v>
      </c>
      <c r="C811" s="424" t="str">
        <f t="shared" si="42"/>
        <v>X</v>
      </c>
      <c r="D811" s="422">
        <v>2022</v>
      </c>
      <c r="E811" s="250" t="s">
        <v>3499</v>
      </c>
      <c r="F811" s="250" t="s">
        <v>3566</v>
      </c>
      <c r="G811" s="422" t="s">
        <v>42</v>
      </c>
      <c r="H811" s="424" t="s">
        <v>42</v>
      </c>
      <c r="I811" s="532">
        <v>160216</v>
      </c>
      <c r="J811" s="425" t="str">
        <f>INDEX(aux!B:B,MATCH(I811,aux!A:A,0))</f>
        <v>Componentes retirados de equipamento fora de uso não abrangidos em 16 02 15</v>
      </c>
      <c r="K811" s="433" t="str">
        <f>INDEX(aux!C:C,MATCH(I811,aux!A:A,0))</f>
        <v>Não</v>
      </c>
      <c r="L811" s="646">
        <v>0.02</v>
      </c>
      <c r="M811" s="663" t="s">
        <v>1532</v>
      </c>
      <c r="N811" s="139">
        <f t="shared" si="43"/>
        <v>20</v>
      </c>
      <c r="O811" s="538" t="s">
        <v>483</v>
      </c>
      <c r="P811" s="231" t="str">
        <f t="shared" si="44"/>
        <v>Reciclagem</v>
      </c>
      <c r="Q811" s="541" t="s">
        <v>1901</v>
      </c>
      <c r="R811" s="541" t="s">
        <v>1892</v>
      </c>
      <c r="S811" s="528" t="str">
        <f>IFERROR(INDEX(Tabela3[Tipos de Tratamento],MATCH('A3.9.1 copy'!O152,Tabela3[Código],0)),"")</f>
        <v>Acumulação de resíduos destinados a uma das operações enumeradas de R1 a R12</v>
      </c>
      <c r="T811" s="458" t="s">
        <v>3171</v>
      </c>
      <c r="U811" s="458" t="s">
        <v>3171</v>
      </c>
      <c r="V811" s="93"/>
    </row>
    <row r="812" spans="1:22" ht="15.75" hidden="1" thickBot="1" x14ac:dyDescent="0.3">
      <c r="A812" s="529" t="s">
        <v>1910</v>
      </c>
      <c r="B812" s="529" t="s">
        <v>1910</v>
      </c>
      <c r="C812" s="424" t="str">
        <f t="shared" si="42"/>
        <v>X</v>
      </c>
      <c r="D812" s="422">
        <v>2022</v>
      </c>
      <c r="E812" s="250" t="s">
        <v>3499</v>
      </c>
      <c r="F812" s="250" t="s">
        <v>3566</v>
      </c>
      <c r="G812" s="422" t="s">
        <v>42</v>
      </c>
      <c r="H812" s="424" t="s">
        <v>42</v>
      </c>
      <c r="I812" s="532">
        <v>200121</v>
      </c>
      <c r="J812" s="425" t="str">
        <f>INDEX(aux!B:B,MATCH(I812,aux!A:A,0))</f>
        <v>(*) Lâmpadas fluorescentes e outros resíduos contendo mercúrio</v>
      </c>
      <c r="K812" s="433" t="str">
        <f>INDEX(aux!C:C,MATCH(I812,aux!A:A,0))</f>
        <v>Sim</v>
      </c>
      <c r="L812" s="646">
        <v>0.06</v>
      </c>
      <c r="M812" s="663" t="s">
        <v>1532</v>
      </c>
      <c r="N812" s="139">
        <f t="shared" si="43"/>
        <v>60</v>
      </c>
      <c r="O812" s="538" t="s">
        <v>484</v>
      </c>
      <c r="P812" s="231" t="str">
        <f t="shared" si="44"/>
        <v>Reciclagem</v>
      </c>
      <c r="Q812" s="541" t="s">
        <v>1901</v>
      </c>
      <c r="R812" s="541" t="s">
        <v>1892</v>
      </c>
      <c r="S812" s="528" t="str">
        <f>IFERROR(INDEX(Tabela3[Tipos de Tratamento],MATCH('A3.9.1 copy'!O153,Tabela3[Código],0)),"")</f>
        <v>Acumulação de resíduos destinados a uma das operações enumeradas de R1 a R12</v>
      </c>
      <c r="T812" s="458" t="s">
        <v>3171</v>
      </c>
      <c r="U812" s="458" t="s">
        <v>3171</v>
      </c>
      <c r="V812" s="93"/>
    </row>
    <row r="813" spans="1:22" ht="15.75" thickBot="1" x14ac:dyDescent="0.3">
      <c r="A813" s="93" t="s">
        <v>1910</v>
      </c>
      <c r="B813" s="93" t="s">
        <v>1910</v>
      </c>
      <c r="C813" s="424" t="str">
        <f t="shared" si="42"/>
        <v>X</v>
      </c>
      <c r="D813" s="422">
        <v>2023</v>
      </c>
      <c r="E813" s="250" t="s">
        <v>3499</v>
      </c>
      <c r="F813" s="250" t="s">
        <v>3566</v>
      </c>
      <c r="G813" s="422" t="s">
        <v>42</v>
      </c>
      <c r="H813" s="424" t="s">
        <v>42</v>
      </c>
      <c r="I813" s="522">
        <v>60102</v>
      </c>
      <c r="J813" s="425" t="str">
        <f>INDEX(aux!B:B,MATCH(I813,aux!A:A,0))</f>
        <v>(*) Ácido clorídrico</v>
      </c>
      <c r="K813" s="433" t="str">
        <f>INDEX(aux!C:C,MATCH(I813,aux!A:A,0))</f>
        <v>Sim</v>
      </c>
      <c r="L813" s="360">
        <v>0.08</v>
      </c>
      <c r="M813" s="359" t="s">
        <v>1532</v>
      </c>
      <c r="N813" s="139">
        <f t="shared" si="43"/>
        <v>80</v>
      </c>
      <c r="O813" s="93" t="s">
        <v>483</v>
      </c>
      <c r="P813" s="231" t="str">
        <f t="shared" si="44"/>
        <v>Reciclagem</v>
      </c>
      <c r="Q813" s="541" t="s">
        <v>1901</v>
      </c>
      <c r="R813" s="541" t="s">
        <v>1892</v>
      </c>
      <c r="S813" s="544" t="s">
        <v>485</v>
      </c>
      <c r="T813" s="93" t="s">
        <v>3171</v>
      </c>
      <c r="U813" s="93" t="s">
        <v>3171</v>
      </c>
      <c r="V813" s="93"/>
    </row>
    <row r="814" spans="1:22" ht="15.75" thickBot="1" x14ac:dyDescent="0.3">
      <c r="A814" s="93" t="s">
        <v>1910</v>
      </c>
      <c r="B814" s="93" t="s">
        <v>1910</v>
      </c>
      <c r="C814" s="424" t="str">
        <f t="shared" si="42"/>
        <v>X</v>
      </c>
      <c r="D814" s="422">
        <v>2023</v>
      </c>
      <c r="E814" s="250" t="s">
        <v>3499</v>
      </c>
      <c r="F814" s="250" t="s">
        <v>3566</v>
      </c>
      <c r="G814" s="422" t="s">
        <v>42</v>
      </c>
      <c r="H814" s="424" t="s">
        <v>42</v>
      </c>
      <c r="I814" s="522">
        <v>60204</v>
      </c>
      <c r="J814" s="425" t="str">
        <f>INDEX(aux!B:B,MATCH(I814,aux!A:A,0))</f>
        <v>(*) Hidróxidos de sódio e de potássio</v>
      </c>
      <c r="K814" s="433" t="str">
        <f>INDEX(aux!C:C,MATCH(I814,aux!A:A,0))</f>
        <v>Sim</v>
      </c>
      <c r="L814" s="360">
        <v>0.1</v>
      </c>
      <c r="M814" s="359" t="s">
        <v>1532</v>
      </c>
      <c r="N814" s="139">
        <f t="shared" si="43"/>
        <v>100</v>
      </c>
      <c r="O814" s="93" t="s">
        <v>483</v>
      </c>
      <c r="P814" s="231" t="str">
        <f t="shared" si="44"/>
        <v>Reciclagem</v>
      </c>
      <c r="Q814" s="541" t="s">
        <v>1901</v>
      </c>
      <c r="R814" s="541" t="s">
        <v>1892</v>
      </c>
      <c r="S814" s="544" t="s">
        <v>485</v>
      </c>
      <c r="T814" s="93" t="s">
        <v>3171</v>
      </c>
      <c r="U814" s="93" t="s">
        <v>3171</v>
      </c>
      <c r="V814" s="93"/>
    </row>
    <row r="815" spans="1:22" ht="15.75" thickBot="1" x14ac:dyDescent="0.3">
      <c r="A815" s="93" t="s">
        <v>1910</v>
      </c>
      <c r="B815" s="93" t="s">
        <v>1910</v>
      </c>
      <c r="C815" s="424" t="str">
        <f t="shared" ref="C815:C878" si="45">IF(A815=B815,"X",RIGHT(A815,LEN(A815)-LEN(B815)-3))</f>
        <v>X</v>
      </c>
      <c r="D815" s="422">
        <v>2023</v>
      </c>
      <c r="E815" s="250" t="s">
        <v>3499</v>
      </c>
      <c r="F815" s="250" t="s">
        <v>3566</v>
      </c>
      <c r="G815" s="422" t="s">
        <v>42</v>
      </c>
      <c r="H815" s="424" t="s">
        <v>42</v>
      </c>
      <c r="I815" s="522">
        <v>110105</v>
      </c>
      <c r="J815" s="425" t="str">
        <f>INDEX(aux!B:B,MATCH(I815,aux!A:A,0))</f>
        <v>Ácidos de decapagem</v>
      </c>
      <c r="K815" s="433" t="str">
        <f>INDEX(aux!C:C,MATCH(I815,aux!A:A,0))</f>
        <v>Sim</v>
      </c>
      <c r="L815" s="360">
        <v>0.06</v>
      </c>
      <c r="M815" s="359" t="s">
        <v>1532</v>
      </c>
      <c r="N815" s="139">
        <f t="shared" si="43"/>
        <v>60</v>
      </c>
      <c r="O815" s="93" t="s">
        <v>509</v>
      </c>
      <c r="P815" s="231" t="str">
        <f t="shared" si="44"/>
        <v>Aterro</v>
      </c>
      <c r="Q815" s="541" t="s">
        <v>1901</v>
      </c>
      <c r="R815" s="541" t="s">
        <v>1892</v>
      </c>
      <c r="S815" s="544" t="s">
        <v>1556</v>
      </c>
      <c r="T815" s="93" t="s">
        <v>3171</v>
      </c>
      <c r="U815" s="93" t="s">
        <v>3171</v>
      </c>
      <c r="V815" s="93"/>
    </row>
    <row r="816" spans="1:22" ht="15.75" thickBot="1" x14ac:dyDescent="0.3">
      <c r="A816" s="93" t="s">
        <v>1910</v>
      </c>
      <c r="B816" s="93" t="s">
        <v>1910</v>
      </c>
      <c r="C816" s="424" t="str">
        <f t="shared" si="45"/>
        <v>X</v>
      </c>
      <c r="D816" s="422">
        <v>2023</v>
      </c>
      <c r="E816" s="250" t="s">
        <v>3499</v>
      </c>
      <c r="F816" s="250" t="s">
        <v>3566</v>
      </c>
      <c r="G816" s="422" t="s">
        <v>42</v>
      </c>
      <c r="H816" s="424" t="s">
        <v>42</v>
      </c>
      <c r="I816" s="522">
        <v>140603</v>
      </c>
      <c r="J816" s="425" t="str">
        <f>INDEX(aux!B:B,MATCH(I816,aux!A:A,0))</f>
        <v>Outros solventes e misturas de solventes</v>
      </c>
      <c r="K816" s="433" t="str">
        <f>INDEX(aux!C:C,MATCH(I816,aux!A:A,0))</f>
        <v>Sim</v>
      </c>
      <c r="L816" s="360">
        <v>0.1</v>
      </c>
      <c r="M816" s="359" t="s">
        <v>1532</v>
      </c>
      <c r="N816" s="139">
        <f t="shared" si="43"/>
        <v>100</v>
      </c>
      <c r="O816" s="93" t="s">
        <v>509</v>
      </c>
      <c r="P816" s="231" t="str">
        <f t="shared" si="44"/>
        <v>Aterro</v>
      </c>
      <c r="Q816" s="541" t="s">
        <v>1901</v>
      </c>
      <c r="R816" s="541" t="s">
        <v>1892</v>
      </c>
      <c r="S816" s="544" t="s">
        <v>1556</v>
      </c>
      <c r="T816" s="93" t="s">
        <v>3171</v>
      </c>
      <c r="U816" s="93" t="s">
        <v>3171</v>
      </c>
      <c r="V816" s="422"/>
    </row>
    <row r="817" spans="1:22" ht="15.75" thickBot="1" x14ac:dyDescent="0.3">
      <c r="A817" s="422" t="s">
        <v>1910</v>
      </c>
      <c r="B817" s="422" t="s">
        <v>1910</v>
      </c>
      <c r="C817" s="424" t="str">
        <f t="shared" si="45"/>
        <v>X</v>
      </c>
      <c r="D817" s="422">
        <v>2023</v>
      </c>
      <c r="E817" s="250" t="s">
        <v>3499</v>
      </c>
      <c r="F817" s="250" t="s">
        <v>3566</v>
      </c>
      <c r="G817" s="422" t="s">
        <v>42</v>
      </c>
      <c r="H817" s="424" t="s">
        <v>42</v>
      </c>
      <c r="I817" s="487">
        <v>160505</v>
      </c>
      <c r="J817" s="425" t="str">
        <f>INDEX(aux!B:B,MATCH(I817,aux!A:A,0))</f>
        <v xml:space="preserve">Gases em recipientes sob pressão, não abrangidos em 16 05 04 </v>
      </c>
      <c r="K817" s="433" t="str">
        <f>INDEX(aux!C:C,MATCH(I817,aux!A:A,0))</f>
        <v>Não</v>
      </c>
      <c r="L817" s="259">
        <v>0.06</v>
      </c>
      <c r="M817" s="428" t="s">
        <v>1532</v>
      </c>
      <c r="N817" s="139">
        <f t="shared" si="43"/>
        <v>60</v>
      </c>
      <c r="O817" s="422" t="s">
        <v>484</v>
      </c>
      <c r="P817" s="231" t="str">
        <f t="shared" si="44"/>
        <v>Reciclagem</v>
      </c>
      <c r="Q817" s="541" t="s">
        <v>1901</v>
      </c>
      <c r="R817" s="541" t="s">
        <v>1892</v>
      </c>
      <c r="S817" s="94" t="s">
        <v>1553</v>
      </c>
      <c r="T817" s="422" t="s">
        <v>3171</v>
      </c>
      <c r="U817" s="422" t="s">
        <v>3171</v>
      </c>
      <c r="V817" s="422"/>
    </row>
    <row r="818" spans="1:22" ht="15.75" thickBot="1" x14ac:dyDescent="0.3">
      <c r="A818" s="422" t="s">
        <v>1910</v>
      </c>
      <c r="B818" s="422" t="s">
        <v>1910</v>
      </c>
      <c r="C818" s="424" t="str">
        <f t="shared" si="45"/>
        <v>X</v>
      </c>
      <c r="D818" s="422">
        <v>2023</v>
      </c>
      <c r="E818" s="250" t="s">
        <v>3499</v>
      </c>
      <c r="F818" s="250" t="s">
        <v>3566</v>
      </c>
      <c r="G818" s="422" t="s">
        <v>42</v>
      </c>
      <c r="H818" s="424" t="s">
        <v>42</v>
      </c>
      <c r="I818" s="487">
        <v>200121</v>
      </c>
      <c r="J818" s="425" t="str">
        <f>INDEX(aux!B:B,MATCH(I818,aux!A:A,0))</f>
        <v>(*) Lâmpadas fluorescentes e outros resíduos contendo mercúrio</v>
      </c>
      <c r="K818" s="433" t="str">
        <f>INDEX(aux!C:C,MATCH(I818,aux!A:A,0))</f>
        <v>Sim</v>
      </c>
      <c r="L818" s="259">
        <v>0.37</v>
      </c>
      <c r="M818" s="428" t="s">
        <v>1532</v>
      </c>
      <c r="N818" s="139">
        <f t="shared" si="43"/>
        <v>370</v>
      </c>
      <c r="O818" s="422" t="s">
        <v>484</v>
      </c>
      <c r="P818" s="231" t="str">
        <f t="shared" si="44"/>
        <v>Reciclagem</v>
      </c>
      <c r="Q818" s="541" t="s">
        <v>1901</v>
      </c>
      <c r="R818" s="541" t="s">
        <v>1892</v>
      </c>
      <c r="S818" s="544" t="s">
        <v>1553</v>
      </c>
      <c r="T818" s="93" t="s">
        <v>3171</v>
      </c>
      <c r="U818" s="93" t="s">
        <v>3171</v>
      </c>
      <c r="V818" s="93"/>
    </row>
    <row r="819" spans="1:22" ht="15.75" thickBot="1" x14ac:dyDescent="0.3">
      <c r="A819" s="422" t="s">
        <v>1910</v>
      </c>
      <c r="B819" s="422" t="s">
        <v>1910</v>
      </c>
      <c r="C819" s="424" t="str">
        <f t="shared" si="45"/>
        <v>X</v>
      </c>
      <c r="D819" s="422">
        <v>2023</v>
      </c>
      <c r="E819" s="250" t="s">
        <v>3499</v>
      </c>
      <c r="F819" s="250" t="s">
        <v>3566</v>
      </c>
      <c r="G819" s="422" t="s">
        <v>42</v>
      </c>
      <c r="H819" s="424" t="s">
        <v>42</v>
      </c>
      <c r="I819" s="487">
        <v>200201</v>
      </c>
      <c r="J819" s="425" t="str">
        <f>INDEX(aux!B:B,MATCH(I819,aux!A:A,0))</f>
        <v xml:space="preserve">Resíduos biodegradáveis </v>
      </c>
      <c r="K819" s="433" t="str">
        <f>INDEX(aux!C:C,MATCH(I819,aux!A:A,0))</f>
        <v>Não</v>
      </c>
      <c r="L819" s="259">
        <v>0.28000000000000003</v>
      </c>
      <c r="M819" s="428" t="s">
        <v>1532</v>
      </c>
      <c r="N819" s="139">
        <f t="shared" si="43"/>
        <v>280</v>
      </c>
      <c r="O819" s="422" t="s">
        <v>484</v>
      </c>
      <c r="P819" s="231" t="str">
        <f t="shared" si="44"/>
        <v>Reciclagem</v>
      </c>
      <c r="Q819" s="541" t="s">
        <v>1901</v>
      </c>
      <c r="R819" s="541" t="s">
        <v>1892</v>
      </c>
      <c r="S819" s="544" t="s">
        <v>1553</v>
      </c>
      <c r="T819" s="93" t="s">
        <v>3171</v>
      </c>
      <c r="U819" s="93" t="s">
        <v>3171</v>
      </c>
      <c r="V819" s="93"/>
    </row>
    <row r="820" spans="1:22" ht="15.75" thickBot="1" x14ac:dyDescent="0.3">
      <c r="A820" s="93" t="s">
        <v>1910</v>
      </c>
      <c r="B820" s="93" t="s">
        <v>1910</v>
      </c>
      <c r="C820" s="424" t="str">
        <f t="shared" si="45"/>
        <v>X</v>
      </c>
      <c r="D820" s="422">
        <v>2023</v>
      </c>
      <c r="E820" s="250" t="s">
        <v>3499</v>
      </c>
      <c r="F820" s="250" t="s">
        <v>3566</v>
      </c>
      <c r="G820" s="422" t="s">
        <v>42</v>
      </c>
      <c r="H820" s="424" t="s">
        <v>42</v>
      </c>
      <c r="I820" s="522">
        <v>130502</v>
      </c>
      <c r="J820" s="425" t="str">
        <f>INDEX(aux!B:B,MATCH(I820,aux!A:A,0))</f>
        <v>(*) Lamas provenientes dos separadores óleo/água</v>
      </c>
      <c r="K820" s="433" t="str">
        <f>INDEX(aux!C:C,MATCH(I820,aux!A:A,0))</f>
        <v>Sim</v>
      </c>
      <c r="L820" s="360">
        <v>4.74</v>
      </c>
      <c r="M820" s="359" t="s">
        <v>1532</v>
      </c>
      <c r="N820" s="139">
        <f t="shared" si="43"/>
        <v>4740</v>
      </c>
      <c r="O820" s="93" t="s">
        <v>509</v>
      </c>
      <c r="P820" s="231" t="str">
        <f t="shared" si="44"/>
        <v>Aterro</v>
      </c>
      <c r="Q820" s="541" t="s">
        <v>1901</v>
      </c>
      <c r="R820" s="541" t="s">
        <v>1892</v>
      </c>
      <c r="S820" s="544" t="s">
        <v>1556</v>
      </c>
      <c r="T820" s="93" t="s">
        <v>3171</v>
      </c>
      <c r="U820" s="93" t="s">
        <v>3171</v>
      </c>
      <c r="V820" s="93"/>
    </row>
    <row r="821" spans="1:22" ht="15.75" thickBot="1" x14ac:dyDescent="0.3">
      <c r="A821" s="93" t="s">
        <v>1910</v>
      </c>
      <c r="B821" s="93" t="s">
        <v>1910</v>
      </c>
      <c r="C821" s="424" t="str">
        <f t="shared" si="45"/>
        <v>X</v>
      </c>
      <c r="D821" s="422">
        <v>2023</v>
      </c>
      <c r="E821" s="250" t="s">
        <v>3499</v>
      </c>
      <c r="F821" s="250" t="s">
        <v>3566</v>
      </c>
      <c r="G821" s="422" t="s">
        <v>42</v>
      </c>
      <c r="H821" s="424" t="s">
        <v>42</v>
      </c>
      <c r="I821" s="522">
        <v>130502</v>
      </c>
      <c r="J821" s="425" t="str">
        <f>INDEX(aux!B:B,MATCH(I821,aux!A:A,0))</f>
        <v>(*) Lamas provenientes dos separadores óleo/água</v>
      </c>
      <c r="K821" s="433" t="str">
        <f>INDEX(aux!C:C,MATCH(I821,aux!A:A,0))</f>
        <v>Sim</v>
      </c>
      <c r="L821" s="360">
        <v>15.64</v>
      </c>
      <c r="M821" s="359" t="s">
        <v>1532</v>
      </c>
      <c r="N821" s="139">
        <f t="shared" si="43"/>
        <v>15640</v>
      </c>
      <c r="O821" s="93" t="s">
        <v>503</v>
      </c>
      <c r="P821" s="231" t="str">
        <f t="shared" si="44"/>
        <v>Aterro</v>
      </c>
      <c r="Q821" s="541" t="s">
        <v>1901</v>
      </c>
      <c r="R821" s="541" t="s">
        <v>1892</v>
      </c>
      <c r="S821" s="544" t="s">
        <v>518</v>
      </c>
      <c r="T821" s="93" t="s">
        <v>3175</v>
      </c>
      <c r="U821" s="93" t="s">
        <v>3175</v>
      </c>
      <c r="V821" s="93"/>
    </row>
    <row r="822" spans="1:22" ht="15.75" thickBot="1" x14ac:dyDescent="0.3">
      <c r="A822" s="422" t="s">
        <v>1910</v>
      </c>
      <c r="B822" s="422" t="s">
        <v>1910</v>
      </c>
      <c r="C822" s="424" t="str">
        <f t="shared" si="45"/>
        <v>X</v>
      </c>
      <c r="D822" s="422">
        <v>2023</v>
      </c>
      <c r="E822" s="250" t="s">
        <v>3499</v>
      </c>
      <c r="F822" s="250" t="s">
        <v>3566</v>
      </c>
      <c r="G822" s="422" t="s">
        <v>42</v>
      </c>
      <c r="H822" s="424" t="s">
        <v>42</v>
      </c>
      <c r="I822" s="487">
        <v>160199</v>
      </c>
      <c r="J822" s="425" t="str">
        <f>INDEX(aux!B:B,MATCH(I822,aux!A:A,0))</f>
        <v>Resíduos sem outras especificações</v>
      </c>
      <c r="K822" s="433" t="str">
        <f>INDEX(aux!C:C,MATCH(I822,aux!A:A,0))</f>
        <v>Não</v>
      </c>
      <c r="L822" s="259">
        <v>3.6799999999999997</v>
      </c>
      <c r="M822" s="428" t="s">
        <v>1532</v>
      </c>
      <c r="N822" s="139">
        <f t="shared" si="43"/>
        <v>3679.9999999999995</v>
      </c>
      <c r="O822" s="422" t="s">
        <v>484</v>
      </c>
      <c r="P822" s="231" t="str">
        <f t="shared" si="44"/>
        <v>Reciclagem</v>
      </c>
      <c r="Q822" s="541" t="s">
        <v>1901</v>
      </c>
      <c r="R822" s="541" t="s">
        <v>1892</v>
      </c>
      <c r="S822" s="544" t="s">
        <v>1553</v>
      </c>
      <c r="T822" s="93" t="s">
        <v>3171</v>
      </c>
      <c r="U822" s="93" t="s">
        <v>3171</v>
      </c>
      <c r="V822" s="93"/>
    </row>
    <row r="823" spans="1:22" ht="15.75" hidden="1" thickBot="1" x14ac:dyDescent="0.3">
      <c r="A823" s="529" t="s">
        <v>1910</v>
      </c>
      <c r="B823" s="529" t="s">
        <v>1910</v>
      </c>
      <c r="C823" s="424" t="str">
        <f t="shared" si="45"/>
        <v>X</v>
      </c>
      <c r="D823" s="422">
        <v>2022</v>
      </c>
      <c r="E823" s="250" t="s">
        <v>3499</v>
      </c>
      <c r="F823" s="250" t="s">
        <v>3566</v>
      </c>
      <c r="G823" s="422" t="s">
        <v>42</v>
      </c>
      <c r="H823" s="424" t="s">
        <v>42</v>
      </c>
      <c r="I823" s="532">
        <v>160122</v>
      </c>
      <c r="J823" s="425" t="str">
        <f>INDEX(aux!B:B,MATCH(I823,aux!A:A,0))</f>
        <v>Componentes sem outras especificações</v>
      </c>
      <c r="K823" s="433" t="str">
        <f>INDEX(aux!C:C,MATCH(I823,aux!A:A,0))</f>
        <v>Não</v>
      </c>
      <c r="L823" s="646">
        <v>1.7399999999999998</v>
      </c>
      <c r="M823" s="663" t="s">
        <v>1532</v>
      </c>
      <c r="N823" s="139">
        <f t="shared" si="43"/>
        <v>1739.9999999999998</v>
      </c>
      <c r="O823" s="538" t="s">
        <v>484</v>
      </c>
      <c r="P823" s="231" t="str">
        <f t="shared" si="44"/>
        <v>Reciclagem</v>
      </c>
      <c r="Q823" s="541" t="s">
        <v>1901</v>
      </c>
      <c r="R823" s="541" t="s">
        <v>1892</v>
      </c>
      <c r="S823" s="528" t="str">
        <f>IFERROR(INDEX(Tabela3[Tipos de Tratamento],MATCH('A3.9.1 copy'!O161,Tabela3[Código],0)),"")</f>
        <v xml:space="preserve">Troca de resíduos com vista a submetê-los a uma das operações enumeradas de R 1 a R 11 </v>
      </c>
      <c r="T823" s="458" t="s">
        <v>3171</v>
      </c>
      <c r="U823" s="458" t="s">
        <v>3171</v>
      </c>
      <c r="V823" s="93"/>
    </row>
    <row r="824" spans="1:22" ht="15.75" thickBot="1" x14ac:dyDescent="0.3">
      <c r="A824" s="93" t="s">
        <v>1910</v>
      </c>
      <c r="B824" s="93" t="s">
        <v>1910</v>
      </c>
      <c r="C824" s="424" t="str">
        <f t="shared" si="45"/>
        <v>X</v>
      </c>
      <c r="D824" s="422">
        <v>2023</v>
      </c>
      <c r="E824" s="250" t="s">
        <v>3499</v>
      </c>
      <c r="F824" s="250" t="s">
        <v>3566</v>
      </c>
      <c r="G824" s="422" t="s">
        <v>42</v>
      </c>
      <c r="H824" s="424" t="s">
        <v>42</v>
      </c>
      <c r="I824" s="522">
        <v>130507</v>
      </c>
      <c r="J824" s="425" t="str">
        <f>INDEX(aux!B:B,MATCH(I824,aux!A:A,0))</f>
        <v>(*) Água com óleo proveniente dos separadores óleo/água</v>
      </c>
      <c r="K824" s="433" t="str">
        <f>INDEX(aux!C:C,MATCH(I824,aux!A:A,0))</f>
        <v>Sim</v>
      </c>
      <c r="L824" s="360">
        <v>87</v>
      </c>
      <c r="M824" s="359" t="s">
        <v>1532</v>
      </c>
      <c r="N824" s="139">
        <f t="shared" si="43"/>
        <v>87000</v>
      </c>
      <c r="O824" s="93" t="s">
        <v>503</v>
      </c>
      <c r="P824" s="231" t="str">
        <f t="shared" si="44"/>
        <v>Aterro</v>
      </c>
      <c r="Q824" s="541" t="s">
        <v>1901</v>
      </c>
      <c r="R824" s="541" t="s">
        <v>1892</v>
      </c>
      <c r="S824" s="544" t="s">
        <v>518</v>
      </c>
      <c r="T824" s="93" t="s">
        <v>3175</v>
      </c>
      <c r="U824" s="93" t="s">
        <v>3175</v>
      </c>
      <c r="V824" s="93"/>
    </row>
    <row r="825" spans="1:22" ht="15.75" thickBot="1" x14ac:dyDescent="0.3">
      <c r="A825" s="93" t="s">
        <v>1910</v>
      </c>
      <c r="B825" s="93" t="s">
        <v>1910</v>
      </c>
      <c r="C825" s="424" t="str">
        <f t="shared" si="45"/>
        <v>X</v>
      </c>
      <c r="D825" s="422">
        <v>2023</v>
      </c>
      <c r="E825" s="250" t="s">
        <v>3499</v>
      </c>
      <c r="F825" s="250" t="s">
        <v>3566</v>
      </c>
      <c r="G825" s="422" t="s">
        <v>42</v>
      </c>
      <c r="H825" s="424" t="s">
        <v>42</v>
      </c>
      <c r="I825" s="522">
        <v>150110</v>
      </c>
      <c r="J825" s="425" t="str">
        <f>INDEX(aux!B:B,MATCH(I825,aux!A:A,0))</f>
        <v>(*) Embalagens contendo ou contaminadas por resíduos de substâncias perigosas</v>
      </c>
      <c r="K825" s="433" t="str">
        <f>INDEX(aux!C:C,MATCH(I825,aux!A:A,0))</f>
        <v>Sim</v>
      </c>
      <c r="L825" s="360">
        <v>2.2800000000000002</v>
      </c>
      <c r="M825" s="359" t="s">
        <v>1532</v>
      </c>
      <c r="N825" s="139">
        <f t="shared" si="43"/>
        <v>2280.0000000000005</v>
      </c>
      <c r="O825" s="93" t="s">
        <v>484</v>
      </c>
      <c r="P825" s="231" t="str">
        <f t="shared" si="44"/>
        <v>Reciclagem</v>
      </c>
      <c r="Q825" s="541" t="s">
        <v>1901</v>
      </c>
      <c r="R825" s="541" t="s">
        <v>1892</v>
      </c>
      <c r="S825" s="544" t="s">
        <v>1553</v>
      </c>
      <c r="T825" s="93" t="s">
        <v>3171</v>
      </c>
      <c r="U825" s="93" t="s">
        <v>3171</v>
      </c>
      <c r="V825" s="93"/>
    </row>
    <row r="826" spans="1:22" ht="15.75" thickBot="1" x14ac:dyDescent="0.3">
      <c r="A826" s="93" t="s">
        <v>1910</v>
      </c>
      <c r="B826" s="93" t="s">
        <v>1910</v>
      </c>
      <c r="C826" s="424" t="str">
        <f t="shared" si="45"/>
        <v>X</v>
      </c>
      <c r="D826" s="422">
        <v>2023</v>
      </c>
      <c r="E826" s="250" t="s">
        <v>3499</v>
      </c>
      <c r="F826" s="250" t="s">
        <v>3566</v>
      </c>
      <c r="G826" s="422" t="s">
        <v>42</v>
      </c>
      <c r="H826" s="424" t="s">
        <v>42</v>
      </c>
      <c r="I826" s="522">
        <v>150203</v>
      </c>
      <c r="J826" s="425" t="str">
        <f>INDEX(aux!B:B,MATCH(I826,aux!A:A,0))</f>
        <v>Absorventes, materiais filtrantes, panos de limpeza e vestuário de proteção não abrangidos em 15 02 02</v>
      </c>
      <c r="K826" s="433" t="str">
        <f>INDEX(aux!C:C,MATCH(I826,aux!A:A,0))</f>
        <v>Não</v>
      </c>
      <c r="L826" s="360">
        <v>3.84</v>
      </c>
      <c r="M826" s="359" t="s">
        <v>1532</v>
      </c>
      <c r="N826" s="139">
        <f t="shared" si="43"/>
        <v>3840</v>
      </c>
      <c r="O826" s="93" t="s">
        <v>509</v>
      </c>
      <c r="P826" s="231" t="str">
        <f t="shared" si="44"/>
        <v>Aterro</v>
      </c>
      <c r="Q826" s="541" t="s">
        <v>1901</v>
      </c>
      <c r="R826" s="541" t="s">
        <v>1892</v>
      </c>
      <c r="S826" s="544" t="s">
        <v>1556</v>
      </c>
      <c r="T826" s="93" t="s">
        <v>3171</v>
      </c>
      <c r="U826" s="93" t="s">
        <v>3171</v>
      </c>
      <c r="V826" s="93"/>
    </row>
    <row r="827" spans="1:22" ht="15.75" thickBot="1" x14ac:dyDescent="0.3">
      <c r="A827" s="93" t="s">
        <v>1910</v>
      </c>
      <c r="B827" s="93" t="s">
        <v>1910</v>
      </c>
      <c r="C827" s="424" t="str">
        <f t="shared" si="45"/>
        <v>X</v>
      </c>
      <c r="D827" s="422">
        <v>2023</v>
      </c>
      <c r="E827" s="250" t="s">
        <v>3499</v>
      </c>
      <c r="F827" s="250" t="s">
        <v>3566</v>
      </c>
      <c r="G827" s="422" t="s">
        <v>42</v>
      </c>
      <c r="H827" s="424" t="s">
        <v>42</v>
      </c>
      <c r="I827" s="522">
        <v>150202</v>
      </c>
      <c r="J827" s="425" t="str">
        <f>INDEX(aux!B:B,MATCH(I827,aux!A:A,0))</f>
        <v>(*) Absorventes, materiais filtrantes (incluindo filtros de óleo sem outras especificações), panos de limpeza e vestuário de proteção, contaminados por substâncias perigosas</v>
      </c>
      <c r="K827" s="433" t="str">
        <f>INDEX(aux!C:C,MATCH(I827,aux!A:A,0))</f>
        <v>Sim</v>
      </c>
      <c r="L827" s="360">
        <v>7.8800000000000008</v>
      </c>
      <c r="M827" s="359" t="s">
        <v>1532</v>
      </c>
      <c r="N827" s="139">
        <f t="shared" si="43"/>
        <v>7880.0000000000009</v>
      </c>
      <c r="O827" s="93" t="s">
        <v>509</v>
      </c>
      <c r="P827" s="231" t="str">
        <f t="shared" si="44"/>
        <v>Aterro</v>
      </c>
      <c r="Q827" s="541" t="s">
        <v>1901</v>
      </c>
      <c r="R827" s="541" t="s">
        <v>1892</v>
      </c>
      <c r="S827" s="544" t="s">
        <v>1556</v>
      </c>
      <c r="T827" s="93" t="s">
        <v>3171</v>
      </c>
      <c r="U827" s="93" t="s">
        <v>3171</v>
      </c>
      <c r="V827" s="93"/>
    </row>
    <row r="828" spans="1:22" ht="15.75" thickBot="1" x14ac:dyDescent="0.3">
      <c r="A828" s="422" t="s">
        <v>1910</v>
      </c>
      <c r="B828" s="93" t="s">
        <v>1910</v>
      </c>
      <c r="C828" s="424" t="str">
        <f t="shared" si="45"/>
        <v>X</v>
      </c>
      <c r="D828" s="422">
        <v>2023</v>
      </c>
      <c r="E828" s="250" t="s">
        <v>3499</v>
      </c>
      <c r="F828" s="250" t="s">
        <v>3566</v>
      </c>
      <c r="G828" s="422" t="s">
        <v>42</v>
      </c>
      <c r="H828" s="424" t="s">
        <v>42</v>
      </c>
      <c r="I828" s="522">
        <v>160107</v>
      </c>
      <c r="J828" s="425" t="str">
        <f>INDEX(aux!B:B,MATCH(I828,aux!A:A,0))</f>
        <v>(*) Filtros de óleo</v>
      </c>
      <c r="K828" s="433" t="str">
        <f>INDEX(aux!C:C,MATCH(I828,aux!A:A,0))</f>
        <v>Sim</v>
      </c>
      <c r="L828" s="360">
        <v>0.72</v>
      </c>
      <c r="M828" s="359" t="s">
        <v>1532</v>
      </c>
      <c r="N828" s="139">
        <f t="shared" si="43"/>
        <v>720</v>
      </c>
      <c r="O828" s="93" t="s">
        <v>484</v>
      </c>
      <c r="P828" s="231" t="str">
        <f t="shared" si="44"/>
        <v>Reciclagem</v>
      </c>
      <c r="Q828" s="541" t="s">
        <v>1901</v>
      </c>
      <c r="R828" s="541" t="s">
        <v>1892</v>
      </c>
      <c r="S828" s="544" t="s">
        <v>1553</v>
      </c>
      <c r="T828" s="93" t="s">
        <v>3171</v>
      </c>
      <c r="U828" s="93" t="s">
        <v>3171</v>
      </c>
      <c r="V828" s="93"/>
    </row>
    <row r="829" spans="1:22" ht="15.75" thickBot="1" x14ac:dyDescent="0.3">
      <c r="A829" s="422" t="s">
        <v>1910</v>
      </c>
      <c r="B829" s="422" t="s">
        <v>1910</v>
      </c>
      <c r="C829" s="424" t="str">
        <f t="shared" si="45"/>
        <v>X</v>
      </c>
      <c r="D829" s="422">
        <v>2023</v>
      </c>
      <c r="E829" s="250" t="s">
        <v>3499</v>
      </c>
      <c r="F829" s="250" t="s">
        <v>3566</v>
      </c>
      <c r="G829" s="422" t="s">
        <v>42</v>
      </c>
      <c r="H829" s="424" t="s">
        <v>42</v>
      </c>
      <c r="I829" s="487">
        <v>160122</v>
      </c>
      <c r="J829" s="425" t="str">
        <f>INDEX(aux!B:B,MATCH(I829,aux!A:A,0))</f>
        <v>Componentes sem outras especificações</v>
      </c>
      <c r="K829" s="433" t="str">
        <f>INDEX(aux!C:C,MATCH(I829,aux!A:A,0))</f>
        <v>Não</v>
      </c>
      <c r="L829" s="259">
        <v>0.78</v>
      </c>
      <c r="M829" s="428" t="s">
        <v>1532</v>
      </c>
      <c r="N829" s="139">
        <f t="shared" si="43"/>
        <v>780</v>
      </c>
      <c r="O829" s="422" t="s">
        <v>484</v>
      </c>
      <c r="P829" s="231" t="str">
        <f t="shared" si="44"/>
        <v>Reciclagem</v>
      </c>
      <c r="Q829" s="541" t="s">
        <v>1901</v>
      </c>
      <c r="R829" s="541" t="s">
        <v>1892</v>
      </c>
      <c r="S829" s="544" t="s">
        <v>1553</v>
      </c>
      <c r="T829" s="93" t="s">
        <v>3171</v>
      </c>
      <c r="U829" s="93" t="s">
        <v>3171</v>
      </c>
      <c r="V829" s="93"/>
    </row>
    <row r="830" spans="1:22" ht="15.75" hidden="1" thickBot="1" x14ac:dyDescent="0.3">
      <c r="A830" s="529" t="s">
        <v>1910</v>
      </c>
      <c r="B830" s="529" t="s">
        <v>1910</v>
      </c>
      <c r="C830" s="424" t="str">
        <f t="shared" si="45"/>
        <v>X</v>
      </c>
      <c r="D830" s="422">
        <v>2022</v>
      </c>
      <c r="E830" s="250" t="s">
        <v>3499</v>
      </c>
      <c r="F830" s="250" t="s">
        <v>3566</v>
      </c>
      <c r="G830" s="422" t="s">
        <v>42</v>
      </c>
      <c r="H830" s="424" t="s">
        <v>42</v>
      </c>
      <c r="I830" s="532">
        <v>200307</v>
      </c>
      <c r="J830" s="425" t="str">
        <f>INDEX(aux!B:B,MATCH(I830,aux!A:A,0))</f>
        <v xml:space="preserve">Monstros </v>
      </c>
      <c r="K830" s="433" t="str">
        <f>INDEX(aux!C:C,MATCH(I830,aux!A:A,0))</f>
        <v>Não</v>
      </c>
      <c r="L830" s="646">
        <v>2.3600000000000003</v>
      </c>
      <c r="M830" s="663" t="s">
        <v>1532</v>
      </c>
      <c r="N830" s="139">
        <f t="shared" si="43"/>
        <v>2360.0000000000005</v>
      </c>
      <c r="O830" s="538" t="s">
        <v>483</v>
      </c>
      <c r="P830" s="231" t="str">
        <f t="shared" si="44"/>
        <v>Reciclagem</v>
      </c>
      <c r="Q830" s="541" t="s">
        <v>1908</v>
      </c>
      <c r="R830" s="541" t="s">
        <v>1877</v>
      </c>
      <c r="S830" s="528" t="str">
        <f>IFERROR(INDEX(Tabela3[Tipos de Tratamento],MATCH('A3.9.1 copy'!O162,Tabela3[Código],0)),"")</f>
        <v>Acumulação de resíduos destinados a uma das operações enumeradas de R1 a R12</v>
      </c>
      <c r="T830" s="458" t="s">
        <v>3171</v>
      </c>
      <c r="U830" s="458" t="s">
        <v>3171</v>
      </c>
      <c r="V830" s="93"/>
    </row>
    <row r="831" spans="1:22" ht="15.75" thickBot="1" x14ac:dyDescent="0.3">
      <c r="A831" s="422" t="s">
        <v>1910</v>
      </c>
      <c r="B831" s="422" t="s">
        <v>1910</v>
      </c>
      <c r="C831" s="424" t="str">
        <f t="shared" si="45"/>
        <v>X</v>
      </c>
      <c r="D831" s="422">
        <v>2023</v>
      </c>
      <c r="E831" s="250" t="s">
        <v>3499</v>
      </c>
      <c r="F831" s="250" t="s">
        <v>3566</v>
      </c>
      <c r="G831" s="422" t="s">
        <v>42</v>
      </c>
      <c r="H831" s="424" t="s">
        <v>42</v>
      </c>
      <c r="I831" s="487">
        <v>200301</v>
      </c>
      <c r="J831" s="425" t="str">
        <f>INDEX(aux!B:B,MATCH(I831,aux!A:A,0))</f>
        <v>Misturas de resíduos urbanos equiparados</v>
      </c>
      <c r="K831" s="433" t="str">
        <f>INDEX(aux!C:C,MATCH(I831,aux!A:A,0))</f>
        <v>Não</v>
      </c>
      <c r="L831" s="259">
        <v>5.84</v>
      </c>
      <c r="M831" s="428" t="s">
        <v>1532</v>
      </c>
      <c r="N831" s="139">
        <f t="shared" si="43"/>
        <v>5840</v>
      </c>
      <c r="O831" s="422" t="s">
        <v>483</v>
      </c>
      <c r="P831" s="231" t="str">
        <f t="shared" si="44"/>
        <v>Reciclagem</v>
      </c>
      <c r="Q831" s="541" t="s">
        <v>1908</v>
      </c>
      <c r="R831" s="541" t="s">
        <v>1877</v>
      </c>
      <c r="S831" s="544" t="s">
        <v>485</v>
      </c>
      <c r="T831" s="93" t="s">
        <v>3171</v>
      </c>
      <c r="U831" s="93" t="s">
        <v>3171</v>
      </c>
      <c r="V831" s="93"/>
    </row>
    <row r="832" spans="1:22" ht="15.75" thickBot="1" x14ac:dyDescent="0.3">
      <c r="A832" s="422" t="s">
        <v>1910</v>
      </c>
      <c r="B832" s="422" t="s">
        <v>1910</v>
      </c>
      <c r="C832" s="424" t="str">
        <f t="shared" si="45"/>
        <v>X</v>
      </c>
      <c r="D832" s="422">
        <v>2023</v>
      </c>
      <c r="E832" s="250" t="s">
        <v>3499</v>
      </c>
      <c r="F832" s="250" t="s">
        <v>3566</v>
      </c>
      <c r="G832" s="422" t="s">
        <v>42</v>
      </c>
      <c r="H832" s="424" t="s">
        <v>42</v>
      </c>
      <c r="I832" s="487">
        <v>200307</v>
      </c>
      <c r="J832" s="425" t="str">
        <f>INDEX(aux!B:B,MATCH(I832,aux!A:A,0))</f>
        <v xml:space="preserve">Monstros </v>
      </c>
      <c r="K832" s="433" t="str">
        <f>INDEX(aux!C:C,MATCH(I832,aux!A:A,0))</f>
        <v>Não</v>
      </c>
      <c r="L832" s="259">
        <v>5.22</v>
      </c>
      <c r="M832" s="428" t="s">
        <v>1532</v>
      </c>
      <c r="N832" s="139">
        <f t="shared" si="43"/>
        <v>5220</v>
      </c>
      <c r="O832" s="422" t="s">
        <v>483</v>
      </c>
      <c r="P832" s="231" t="str">
        <f t="shared" si="44"/>
        <v>Reciclagem</v>
      </c>
      <c r="Q832" s="541" t="s">
        <v>1908</v>
      </c>
      <c r="R832" s="541" t="s">
        <v>1877</v>
      </c>
      <c r="S832" s="544" t="s">
        <v>485</v>
      </c>
      <c r="T832" s="93" t="s">
        <v>3171</v>
      </c>
      <c r="U832" s="93" t="s">
        <v>3171</v>
      </c>
      <c r="V832" s="93"/>
    </row>
    <row r="833" spans="1:22" ht="15.75" hidden="1" thickBot="1" x14ac:dyDescent="0.3">
      <c r="A833" s="529" t="s">
        <v>1910</v>
      </c>
      <c r="B833" s="529" t="s">
        <v>1910</v>
      </c>
      <c r="C833" s="424" t="str">
        <f t="shared" si="45"/>
        <v>X</v>
      </c>
      <c r="D833" s="422">
        <v>2022</v>
      </c>
      <c r="E833" s="250" t="s">
        <v>3499</v>
      </c>
      <c r="F833" s="250" t="s">
        <v>3566</v>
      </c>
      <c r="G833" s="422" t="s">
        <v>42</v>
      </c>
      <c r="H833" s="424" t="s">
        <v>42</v>
      </c>
      <c r="I833" s="532">
        <v>160104</v>
      </c>
      <c r="J833" s="425" t="str">
        <f>INDEX(aux!B:B,MATCH(I833,aux!A:A,0))</f>
        <v>Veículos em fim de vida</v>
      </c>
      <c r="K833" s="433" t="str">
        <f>INDEX(aux!C:C,MATCH(I833,aux!A:A,0))</f>
        <v>Sim</v>
      </c>
      <c r="L833" s="531">
        <v>271.26</v>
      </c>
      <c r="M833" s="663" t="s">
        <v>1532</v>
      </c>
      <c r="N833" s="139">
        <f t="shared" si="43"/>
        <v>271260</v>
      </c>
      <c r="O833" s="666" t="s">
        <v>483</v>
      </c>
      <c r="P833" s="231" t="str">
        <f t="shared" si="44"/>
        <v>Reciclagem</v>
      </c>
      <c r="Q833" s="541" t="s">
        <v>1907</v>
      </c>
      <c r="R833" s="541" t="s">
        <v>1903</v>
      </c>
      <c r="S833" s="528" t="str">
        <f>IFERROR(INDEX(Tabela3[Tipos de Tratamento],MATCH('A3.9.1 copy'!O172,Tabela3[Código],0)),"")</f>
        <v>Acumulação de resíduos destinados a uma das operações enumeradas de R1 a R12</v>
      </c>
      <c r="T833" s="669" t="s">
        <v>3171</v>
      </c>
      <c r="U833" s="669" t="s">
        <v>3176</v>
      </c>
      <c r="V833" s="93"/>
    </row>
    <row r="834" spans="1:22" ht="15.75" thickBot="1" x14ac:dyDescent="0.3">
      <c r="A834" s="93" t="s">
        <v>1910</v>
      </c>
      <c r="B834" s="93" t="s">
        <v>1910</v>
      </c>
      <c r="C834" s="424" t="str">
        <f t="shared" si="45"/>
        <v>X</v>
      </c>
      <c r="D834" s="422">
        <v>2023</v>
      </c>
      <c r="E834" s="250" t="s">
        <v>3499</v>
      </c>
      <c r="F834" s="250" t="s">
        <v>3566</v>
      </c>
      <c r="G834" s="422" t="s">
        <v>42</v>
      </c>
      <c r="H834" s="424" t="s">
        <v>42</v>
      </c>
      <c r="I834" s="522">
        <v>160104</v>
      </c>
      <c r="J834" s="425" t="str">
        <f>INDEX(aux!B:B,MATCH(I834,aux!A:A,0))</f>
        <v>Veículos em fim de vida</v>
      </c>
      <c r="K834" s="433" t="str">
        <f>INDEX(aux!C:C,MATCH(I834,aux!A:A,0))</f>
        <v>Sim</v>
      </c>
      <c r="L834" s="360">
        <v>732.54</v>
      </c>
      <c r="M834" s="359" t="s">
        <v>1532</v>
      </c>
      <c r="N834" s="139">
        <f t="shared" si="43"/>
        <v>732540</v>
      </c>
      <c r="O834" s="93" t="s">
        <v>483</v>
      </c>
      <c r="P834" s="231" t="str">
        <f t="shared" si="44"/>
        <v>Reciclagem</v>
      </c>
      <c r="Q834" s="541" t="s">
        <v>1907</v>
      </c>
      <c r="R834" s="541" t="s">
        <v>6569</v>
      </c>
      <c r="S834" s="544" t="s">
        <v>485</v>
      </c>
      <c r="T834" s="93" t="s">
        <v>3171</v>
      </c>
      <c r="U834" s="93" t="s">
        <v>3171</v>
      </c>
      <c r="V834" s="93"/>
    </row>
    <row r="835" spans="1:22" ht="15.75" hidden="1" thickBot="1" x14ac:dyDescent="0.3">
      <c r="A835" s="529" t="s">
        <v>1910</v>
      </c>
      <c r="B835" s="529" t="s">
        <v>1910</v>
      </c>
      <c r="C835" s="424" t="str">
        <f t="shared" si="45"/>
        <v>X</v>
      </c>
      <c r="D835" s="422">
        <v>2022</v>
      </c>
      <c r="E835" s="250" t="s">
        <v>3499</v>
      </c>
      <c r="F835" s="250" t="s">
        <v>3566</v>
      </c>
      <c r="G835" s="422" t="s">
        <v>42</v>
      </c>
      <c r="H835" s="424" t="s">
        <v>42</v>
      </c>
      <c r="I835" s="532">
        <v>160120</v>
      </c>
      <c r="J835" s="425" t="str">
        <f>INDEX(aux!B:B,MATCH(I835,aux!A:A,0))</f>
        <v>Vidro</v>
      </c>
      <c r="K835" s="433" t="str">
        <f>INDEX(aux!C:C,MATCH(I835,aux!A:A,0))</f>
        <v>Não</v>
      </c>
      <c r="L835" s="646">
        <v>1.1600000000000001</v>
      </c>
      <c r="M835" s="663" t="s">
        <v>1532</v>
      </c>
      <c r="N835" s="139">
        <f t="shared" ref="N835:N898" si="46">IF(LEFT(M835,3)="ton",1000*L835,L835)</f>
        <v>1160.0000000000002</v>
      </c>
      <c r="O835" s="538" t="s">
        <v>484</v>
      </c>
      <c r="P835" s="231" t="str">
        <f t="shared" ref="P835:P898" si="47">IF(LEFT(O835,1)="R","Reciclagem",IF(OR(O835="D10",O835="D11"),"Iceneração","Aterro"))</f>
        <v>Reciclagem</v>
      </c>
      <c r="Q835" s="541" t="s">
        <v>1561</v>
      </c>
      <c r="R835" s="541" t="s">
        <v>1903</v>
      </c>
      <c r="S835" s="528" t="str">
        <f>IFERROR(INDEX(Tabela3[Tipos de Tratamento],MATCH('A3.9.1 copy'!O158,Tabela3[Código],0)),"")</f>
        <v>Acumulação de resíduos destinados a uma das operações enumeradas de R1 a R12</v>
      </c>
      <c r="T835" s="458" t="s">
        <v>3171</v>
      </c>
      <c r="U835" s="458" t="s">
        <v>3171</v>
      </c>
      <c r="V835" s="93"/>
    </row>
    <row r="836" spans="1:22" ht="15.75" thickBot="1" x14ac:dyDescent="0.3">
      <c r="A836" s="93" t="s">
        <v>1910</v>
      </c>
      <c r="B836" s="93" t="s">
        <v>1910</v>
      </c>
      <c r="C836" s="424" t="str">
        <f t="shared" si="45"/>
        <v>X</v>
      </c>
      <c r="D836" s="422">
        <v>2023</v>
      </c>
      <c r="E836" s="250" t="s">
        <v>3499</v>
      </c>
      <c r="F836" s="250" t="s">
        <v>3566</v>
      </c>
      <c r="G836" s="422" t="s">
        <v>42</v>
      </c>
      <c r="H836" s="424" t="s">
        <v>42</v>
      </c>
      <c r="I836" s="522">
        <v>160120</v>
      </c>
      <c r="J836" s="425" t="str">
        <f>INDEX(aux!B:B,MATCH(I836,aux!A:A,0))</f>
        <v>Vidro</v>
      </c>
      <c r="K836" s="433" t="str">
        <f>INDEX(aux!C:C,MATCH(I836,aux!A:A,0))</f>
        <v>Não</v>
      </c>
      <c r="L836" s="360">
        <v>1.08</v>
      </c>
      <c r="M836" s="359" t="s">
        <v>1532</v>
      </c>
      <c r="N836" s="139">
        <f t="shared" si="46"/>
        <v>1080</v>
      </c>
      <c r="O836" s="93" t="s">
        <v>484</v>
      </c>
      <c r="P836" s="231" t="str">
        <f t="shared" si="47"/>
        <v>Reciclagem</v>
      </c>
      <c r="Q836" s="541" t="s">
        <v>1561</v>
      </c>
      <c r="R836" s="541" t="s">
        <v>6569</v>
      </c>
      <c r="S836" s="544" t="s">
        <v>1553</v>
      </c>
      <c r="T836" s="93" t="s">
        <v>3171</v>
      </c>
      <c r="U836" s="93" t="s">
        <v>3171</v>
      </c>
      <c r="V836" s="93"/>
    </row>
    <row r="837" spans="1:22" ht="15.75" hidden="1" thickBot="1" x14ac:dyDescent="0.3">
      <c r="A837" s="529" t="s">
        <v>3195</v>
      </c>
      <c r="B837" s="529" t="s">
        <v>1916</v>
      </c>
      <c r="C837" s="424" t="str">
        <f t="shared" si="45"/>
        <v xml:space="preserve"> ZI Portalegre (APA08355203)</v>
      </c>
      <c r="D837" s="422">
        <v>2022</v>
      </c>
      <c r="E837" s="250" t="s">
        <v>3499</v>
      </c>
      <c r="F837" s="250" t="s">
        <v>3566</v>
      </c>
      <c r="G837" s="422" t="s">
        <v>42</v>
      </c>
      <c r="H837" s="424" t="s">
        <v>42</v>
      </c>
      <c r="I837" s="531">
        <v>160601</v>
      </c>
      <c r="J837" s="425" t="str">
        <f>INDEX(aux!B:B,MATCH(I837,aux!A:A,0))</f>
        <v>(*) Acumuladores de chumbo</v>
      </c>
      <c r="K837" s="433" t="str">
        <f>INDEX(aux!C:C,MATCH(I837,aux!A:A,0))</f>
        <v>Sim</v>
      </c>
      <c r="L837" s="646">
        <v>0.60699999999999998</v>
      </c>
      <c r="M837" s="535" t="s">
        <v>1532</v>
      </c>
      <c r="N837" s="139">
        <f t="shared" si="46"/>
        <v>607</v>
      </c>
      <c r="O837" s="538" t="s">
        <v>483</v>
      </c>
      <c r="P837" s="231" t="str">
        <f t="shared" si="47"/>
        <v>Reciclagem</v>
      </c>
      <c r="Q837" s="541" t="s">
        <v>1653</v>
      </c>
      <c r="R837" s="541" t="s">
        <v>1877</v>
      </c>
      <c r="S837" s="528" t="str">
        <f>IFERROR(INDEX(Tabela3[Tipos de Tratamento],MATCH('A3.9.1 copy'!O228,Tabela3[Código],0)),"")</f>
        <v xml:space="preserve">Troca de resíduos com vista a submetê-los a uma das operações enumeradas de R 1 a R 11 </v>
      </c>
      <c r="T837" s="458" t="s">
        <v>3194</v>
      </c>
      <c r="U837" s="458" t="s">
        <v>3194</v>
      </c>
      <c r="V837" s="93"/>
    </row>
    <row r="838" spans="1:22" ht="15.75" hidden="1" thickBot="1" x14ac:dyDescent="0.3">
      <c r="A838" s="529" t="s">
        <v>3195</v>
      </c>
      <c r="B838" s="529" t="s">
        <v>1916</v>
      </c>
      <c r="C838" s="424" t="str">
        <f t="shared" si="45"/>
        <v xml:space="preserve"> ZI Portalegre (APA08355203)</v>
      </c>
      <c r="D838" s="422">
        <v>2022</v>
      </c>
      <c r="E838" s="250" t="s">
        <v>3499</v>
      </c>
      <c r="F838" s="250" t="s">
        <v>3566</v>
      </c>
      <c r="G838" s="422" t="s">
        <v>42</v>
      </c>
      <c r="H838" s="424" t="s">
        <v>42</v>
      </c>
      <c r="I838" s="531">
        <v>160601</v>
      </c>
      <c r="J838" s="425" t="str">
        <f>INDEX(aux!B:B,MATCH(I838,aux!A:A,0))</f>
        <v>(*) Acumuladores de chumbo</v>
      </c>
      <c r="K838" s="433" t="str">
        <f>INDEX(aux!C:C,MATCH(I838,aux!A:A,0))</f>
        <v>Sim</v>
      </c>
      <c r="L838" s="646">
        <v>0.27</v>
      </c>
      <c r="M838" s="535" t="s">
        <v>1532</v>
      </c>
      <c r="N838" s="139">
        <f t="shared" si="46"/>
        <v>270</v>
      </c>
      <c r="O838" s="538" t="s">
        <v>484</v>
      </c>
      <c r="P838" s="231" t="str">
        <f t="shared" si="47"/>
        <v>Reciclagem</v>
      </c>
      <c r="Q838" s="541" t="s">
        <v>1653</v>
      </c>
      <c r="R838" s="541" t="s">
        <v>1877</v>
      </c>
      <c r="S838" s="528" t="str">
        <f>IFERROR(INDEX(Tabela3[Tipos de Tratamento],MATCH('A3.9.1 copy'!O229,Tabela3[Código],0)),"")</f>
        <v>Acumulação de resíduos destinados a uma das operações enumeradas de R1 a R12</v>
      </c>
      <c r="T838" s="458" t="s">
        <v>3194</v>
      </c>
      <c r="U838" s="458" t="s">
        <v>3194</v>
      </c>
      <c r="V838" s="93"/>
    </row>
    <row r="839" spans="1:22" ht="15.75" hidden="1" thickBot="1" x14ac:dyDescent="0.3">
      <c r="A839" s="529" t="s">
        <v>3195</v>
      </c>
      <c r="B839" s="529" t="s">
        <v>1916</v>
      </c>
      <c r="C839" s="424" t="str">
        <f t="shared" si="45"/>
        <v xml:space="preserve"> ZI Portalegre (APA08355203)</v>
      </c>
      <c r="D839" s="422">
        <v>2022</v>
      </c>
      <c r="E839" s="250" t="s">
        <v>3499</v>
      </c>
      <c r="F839" s="250" t="s">
        <v>3566</v>
      </c>
      <c r="G839" s="422" t="s">
        <v>42</v>
      </c>
      <c r="H839" s="424" t="s">
        <v>42</v>
      </c>
      <c r="I839" s="531">
        <v>191202</v>
      </c>
      <c r="J839" s="425" t="str">
        <f>INDEX(aux!B:B,MATCH(I839,aux!A:A,0))</f>
        <v>Metais ferrosos</v>
      </c>
      <c r="K839" s="433" t="str">
        <f>INDEX(aux!C:C,MATCH(I839,aux!A:A,0))</f>
        <v>Não</v>
      </c>
      <c r="L839" s="646">
        <v>2.52</v>
      </c>
      <c r="M839" s="535" t="s">
        <v>1532</v>
      </c>
      <c r="N839" s="139">
        <f t="shared" si="46"/>
        <v>2520</v>
      </c>
      <c r="O839" s="538" t="s">
        <v>483</v>
      </c>
      <c r="P839" s="231" t="str">
        <f t="shared" si="47"/>
        <v>Reciclagem</v>
      </c>
      <c r="Q839" s="541" t="s">
        <v>1557</v>
      </c>
      <c r="R839" s="541" t="s">
        <v>1903</v>
      </c>
      <c r="S839" s="528" t="str">
        <f>IFERROR(INDEX(Tabela3[Tipos de Tratamento],MATCH('A3.9.1 copy'!O230,Tabela3[Código],0)),"")</f>
        <v xml:space="preserve">Regeneração de óleos e outras reutilizações de óleos </v>
      </c>
      <c r="T839" s="458" t="s">
        <v>3194</v>
      </c>
      <c r="U839" s="458" t="s">
        <v>3194</v>
      </c>
      <c r="V839" s="93"/>
    </row>
    <row r="840" spans="1:22" ht="15.75" hidden="1" thickBot="1" x14ac:dyDescent="0.3">
      <c r="A840" s="529" t="s">
        <v>3195</v>
      </c>
      <c r="B840" s="529" t="s">
        <v>1916</v>
      </c>
      <c r="C840" s="424" t="str">
        <f t="shared" si="45"/>
        <v xml:space="preserve"> ZI Portalegre (APA08355203)</v>
      </c>
      <c r="D840" s="422">
        <v>2022</v>
      </c>
      <c r="E840" s="250" t="s">
        <v>3499</v>
      </c>
      <c r="F840" s="250" t="s">
        <v>3566</v>
      </c>
      <c r="G840" s="422" t="s">
        <v>42</v>
      </c>
      <c r="H840" s="424" t="s">
        <v>42</v>
      </c>
      <c r="I840" s="531">
        <v>130208</v>
      </c>
      <c r="J840" s="425" t="str">
        <f>INDEX(aux!B:B,MATCH(I840,aux!A:A,0))</f>
        <v>(*) Outros óleos de motores, transmissões e lubrificação</v>
      </c>
      <c r="K840" s="433" t="str">
        <f>INDEX(aux!C:C,MATCH(I840,aux!A:A,0))</f>
        <v>Sim</v>
      </c>
      <c r="L840" s="646">
        <v>2.3929999999999998</v>
      </c>
      <c r="M840" s="535" t="s">
        <v>1532</v>
      </c>
      <c r="N840" s="139">
        <f t="shared" si="46"/>
        <v>2393</v>
      </c>
      <c r="O840" s="538" t="s">
        <v>483</v>
      </c>
      <c r="P840" s="231" t="str">
        <f t="shared" si="47"/>
        <v>Reciclagem</v>
      </c>
      <c r="Q840" s="541" t="s">
        <v>1902</v>
      </c>
      <c r="R840" s="541" t="s">
        <v>1877</v>
      </c>
      <c r="S840" s="528" t="str">
        <f>IFERROR(INDEX(Tabela3[Tipos de Tratamento],MATCH('A3.9.1 copy'!O225,Tabela3[Código],0)),"")</f>
        <v xml:space="preserve">Troca de resíduos com vista a submetê-los a uma das operações enumeradas de R 1 a R 11 </v>
      </c>
      <c r="T840" s="458" t="s">
        <v>1539</v>
      </c>
      <c r="U840" s="458" t="s">
        <v>1539</v>
      </c>
      <c r="V840" s="93"/>
    </row>
    <row r="841" spans="1:22" ht="15.75" hidden="1" thickBot="1" x14ac:dyDescent="0.3">
      <c r="A841" s="529" t="s">
        <v>3195</v>
      </c>
      <c r="B841" s="529" t="s">
        <v>1916</v>
      </c>
      <c r="C841" s="424" t="str">
        <f t="shared" si="45"/>
        <v xml:space="preserve"> ZI Portalegre (APA08355203)</v>
      </c>
      <c r="D841" s="422">
        <v>2022</v>
      </c>
      <c r="E841" s="250" t="s">
        <v>3499</v>
      </c>
      <c r="F841" s="250" t="s">
        <v>3566</v>
      </c>
      <c r="G841" s="422" t="s">
        <v>42</v>
      </c>
      <c r="H841" s="424" t="s">
        <v>42</v>
      </c>
      <c r="I841" s="531">
        <v>160104</v>
      </c>
      <c r="J841" s="425" t="str">
        <f>INDEX(aux!B:B,MATCH(I841,aux!A:A,0))</f>
        <v>Veículos em fim de vida</v>
      </c>
      <c r="K841" s="433" t="str">
        <f>INDEX(aux!C:C,MATCH(I841,aux!A:A,0))</f>
        <v>Sim</v>
      </c>
      <c r="L841" s="646">
        <v>61.16</v>
      </c>
      <c r="M841" s="535" t="s">
        <v>1532</v>
      </c>
      <c r="N841" s="139">
        <f t="shared" si="46"/>
        <v>61160</v>
      </c>
      <c r="O841" s="538" t="s">
        <v>483</v>
      </c>
      <c r="P841" s="231" t="str">
        <f t="shared" si="47"/>
        <v>Reciclagem</v>
      </c>
      <c r="Q841" s="541" t="s">
        <v>1907</v>
      </c>
      <c r="R841" s="541" t="s">
        <v>1903</v>
      </c>
      <c r="S841" s="528" t="str">
        <f>IFERROR(INDEX(Tabela3[Tipos de Tratamento],MATCH('A3.9.1 copy'!O226,Tabela3[Código],0)),"")</f>
        <v>Acumulação de resíduos destinados a uma das operações enumeradas de R1 a R12</v>
      </c>
      <c r="T841" s="458" t="s">
        <v>3206</v>
      </c>
      <c r="U841" s="458" t="s">
        <v>3207</v>
      </c>
      <c r="V841" s="93"/>
    </row>
    <row r="842" spans="1:22" ht="15.75" hidden="1" thickBot="1" x14ac:dyDescent="0.3">
      <c r="A842" s="529" t="s">
        <v>3195</v>
      </c>
      <c r="B842" s="529" t="s">
        <v>1916</v>
      </c>
      <c r="C842" s="424" t="str">
        <f t="shared" si="45"/>
        <v xml:space="preserve"> ZI Portalegre (APA08355203)</v>
      </c>
      <c r="D842" s="422">
        <v>2022</v>
      </c>
      <c r="E842" s="250" t="s">
        <v>3499</v>
      </c>
      <c r="F842" s="250" t="s">
        <v>3566</v>
      </c>
      <c r="G842" s="422" t="s">
        <v>42</v>
      </c>
      <c r="H842" s="424" t="s">
        <v>42</v>
      </c>
      <c r="I842" s="531">
        <v>160104</v>
      </c>
      <c r="J842" s="425" t="str">
        <f>INDEX(aux!B:B,MATCH(I842,aux!A:A,0))</f>
        <v>Veículos em fim de vida</v>
      </c>
      <c r="K842" s="433" t="str">
        <f>INDEX(aux!C:C,MATCH(I842,aux!A:A,0))</f>
        <v>Sim</v>
      </c>
      <c r="L842" s="646">
        <v>53.22</v>
      </c>
      <c r="M842" s="535" t="s">
        <v>1532</v>
      </c>
      <c r="N842" s="139">
        <f t="shared" si="46"/>
        <v>53220</v>
      </c>
      <c r="O842" s="538" t="s">
        <v>484</v>
      </c>
      <c r="P842" s="231" t="str">
        <f t="shared" si="47"/>
        <v>Reciclagem</v>
      </c>
      <c r="Q842" s="541" t="s">
        <v>1907</v>
      </c>
      <c r="R842" s="541" t="s">
        <v>1903</v>
      </c>
      <c r="S842" s="528" t="str">
        <f>IFERROR(INDEX(Tabela3[Tipos de Tratamento],MATCH('A3.9.1 copy'!O227,Tabela3[Código],0)),"")</f>
        <v xml:space="preserve">Troca de resíduos com vista a submetê-los a uma das operações enumeradas de R 1 a R 11 </v>
      </c>
      <c r="T842" s="458" t="s">
        <v>3208</v>
      </c>
      <c r="U842" s="458" t="s">
        <v>3207</v>
      </c>
      <c r="V842" s="93"/>
    </row>
    <row r="843" spans="1:22" ht="15.75" hidden="1" thickBot="1" x14ac:dyDescent="0.3">
      <c r="A843" s="529" t="s">
        <v>3197</v>
      </c>
      <c r="B843" s="529" t="s">
        <v>1916</v>
      </c>
      <c r="C843" s="424" t="str">
        <f t="shared" si="45"/>
        <v>Beja (APA00066322)</v>
      </c>
      <c r="D843" s="422">
        <v>2022</v>
      </c>
      <c r="E843" s="250" t="s">
        <v>3499</v>
      </c>
      <c r="F843" s="250" t="s">
        <v>3566</v>
      </c>
      <c r="G843" s="422" t="s">
        <v>42</v>
      </c>
      <c r="H843" s="424" t="s">
        <v>42</v>
      </c>
      <c r="I843" s="531">
        <v>160601</v>
      </c>
      <c r="J843" s="425" t="str">
        <f>INDEX(aux!B:B,MATCH(I843,aux!A:A,0))</f>
        <v>(*) Acumuladores de chumbo</v>
      </c>
      <c r="K843" s="433" t="str">
        <f>INDEX(aux!C:C,MATCH(I843,aux!A:A,0))</f>
        <v>Sim</v>
      </c>
      <c r="L843" s="646">
        <v>1.548</v>
      </c>
      <c r="M843" s="535" t="s">
        <v>1532</v>
      </c>
      <c r="N843" s="139">
        <f t="shared" si="46"/>
        <v>1548</v>
      </c>
      <c r="O843" s="538" t="s">
        <v>484</v>
      </c>
      <c r="P843" s="231" t="str">
        <f t="shared" si="47"/>
        <v>Reciclagem</v>
      </c>
      <c r="Q843" s="541" t="s">
        <v>1653</v>
      </c>
      <c r="R843" s="541" t="s">
        <v>1877</v>
      </c>
      <c r="S843" s="528" t="str">
        <f>IFERROR(INDEX(Tabela3[Tipos de Tratamento],MATCH('A3.9.1 copy'!O258,Tabela3[Código],0)),"")</f>
        <v xml:space="preserve">Troca de resíduos com vista a submetê-los a uma das operações enumeradas de R 1 a R 11 </v>
      </c>
      <c r="T843" s="458" t="s">
        <v>3208</v>
      </c>
      <c r="U843" s="458" t="s">
        <v>3208</v>
      </c>
      <c r="V843" s="93"/>
    </row>
    <row r="844" spans="1:22" ht="15.75" thickBot="1" x14ac:dyDescent="0.3">
      <c r="A844" s="93" t="s">
        <v>3197</v>
      </c>
      <c r="B844" s="93" t="s">
        <v>1916</v>
      </c>
      <c r="C844" s="424" t="str">
        <f t="shared" si="45"/>
        <v>Beja (APA00066322)</v>
      </c>
      <c r="D844" s="422">
        <v>2023</v>
      </c>
      <c r="E844" s="250" t="s">
        <v>3499</v>
      </c>
      <c r="F844" s="250" t="s">
        <v>3566</v>
      </c>
      <c r="G844" s="422" t="s">
        <v>42</v>
      </c>
      <c r="H844" s="424" t="s">
        <v>42</v>
      </c>
      <c r="I844" s="524">
        <v>160601</v>
      </c>
      <c r="J844" s="425" t="str">
        <f>INDEX(aux!B:B,MATCH(I844,aux!A:A,0))</f>
        <v>(*) Acumuladores de chumbo</v>
      </c>
      <c r="K844" s="433" t="str">
        <f>INDEX(aux!C:C,MATCH(I844,aux!A:A,0))</f>
        <v>Sim</v>
      </c>
      <c r="L844" s="360">
        <v>4.2699999999999996</v>
      </c>
      <c r="M844" s="359" t="s">
        <v>1532</v>
      </c>
      <c r="N844" s="139">
        <f t="shared" si="46"/>
        <v>4270</v>
      </c>
      <c r="O844" s="93" t="s">
        <v>484</v>
      </c>
      <c r="P844" s="231" t="str">
        <f t="shared" si="47"/>
        <v>Reciclagem</v>
      </c>
      <c r="Q844" s="541" t="s">
        <v>1653</v>
      </c>
      <c r="R844" s="541" t="s">
        <v>1877</v>
      </c>
      <c r="S844" s="544" t="s">
        <v>1553</v>
      </c>
      <c r="T844" s="93" t="s">
        <v>3208</v>
      </c>
      <c r="U844" s="93" t="s">
        <v>3208</v>
      </c>
      <c r="V844" s="93"/>
    </row>
    <row r="845" spans="1:22" ht="15.75" hidden="1" thickBot="1" x14ac:dyDescent="0.3">
      <c r="A845" s="529" t="s">
        <v>3197</v>
      </c>
      <c r="B845" s="529" t="s">
        <v>1916</v>
      </c>
      <c r="C845" s="424" t="str">
        <f t="shared" si="45"/>
        <v>Beja (APA00066322)</v>
      </c>
      <c r="D845" s="422">
        <v>2022</v>
      </c>
      <c r="E845" s="250" t="s">
        <v>3499</v>
      </c>
      <c r="F845" s="250" t="s">
        <v>3566</v>
      </c>
      <c r="G845" s="422" t="s">
        <v>42</v>
      </c>
      <c r="H845" s="424" t="s">
        <v>42</v>
      </c>
      <c r="I845" s="531">
        <v>160112</v>
      </c>
      <c r="J845" s="425" t="str">
        <f>INDEX(aux!B:B,MATCH(I845,aux!A:A,0))</f>
        <v>Pastilhas de travões não abrangidas em 16 01 11</v>
      </c>
      <c r="K845" s="433" t="str">
        <f>INDEX(aux!C:C,MATCH(I845,aux!A:A,0))</f>
        <v>Não</v>
      </c>
      <c r="L845" s="646">
        <v>0.72599999999999998</v>
      </c>
      <c r="M845" s="535" t="s">
        <v>1532</v>
      </c>
      <c r="N845" s="139">
        <f t="shared" si="46"/>
        <v>726</v>
      </c>
      <c r="O845" s="538" t="s">
        <v>509</v>
      </c>
      <c r="P845" s="231" t="str">
        <f t="shared" si="47"/>
        <v>Aterro</v>
      </c>
      <c r="Q845" s="541" t="s">
        <v>1557</v>
      </c>
      <c r="R845" s="541" t="s">
        <v>1903</v>
      </c>
      <c r="S845" s="528" t="str">
        <f>IFERROR(INDEX(Tabela3[Tipos de Tratamento],MATCH('A3.9.1 copy'!O256,Tabela3[Código],0)),"")</f>
        <v xml:space="preserve">Troca de resíduos com vista a submetê-los a uma das operações enumeradas de R 1 a R 11 </v>
      </c>
      <c r="T845" s="458" t="s">
        <v>1536</v>
      </c>
      <c r="U845" s="458" t="s">
        <v>1536</v>
      </c>
      <c r="V845" s="93"/>
    </row>
    <row r="846" spans="1:22" ht="15.75" hidden="1" thickBot="1" x14ac:dyDescent="0.3">
      <c r="A846" s="529" t="s">
        <v>3197</v>
      </c>
      <c r="B846" s="529" t="s">
        <v>1916</v>
      </c>
      <c r="C846" s="424" t="str">
        <f t="shared" si="45"/>
        <v>Beja (APA00066322)</v>
      </c>
      <c r="D846" s="422">
        <v>2022</v>
      </c>
      <c r="E846" s="250" t="s">
        <v>3499</v>
      </c>
      <c r="F846" s="250" t="s">
        <v>3566</v>
      </c>
      <c r="G846" s="422" t="s">
        <v>42</v>
      </c>
      <c r="H846" s="424" t="s">
        <v>42</v>
      </c>
      <c r="I846" s="531">
        <v>160117</v>
      </c>
      <c r="J846" s="425" t="str">
        <f>INDEX(aux!B:B,MATCH(I846,aux!A:A,0))</f>
        <v>Metais ferrosos</v>
      </c>
      <c r="K846" s="433" t="str">
        <f>INDEX(aux!C:C,MATCH(I846,aux!A:A,0))</f>
        <v>Não</v>
      </c>
      <c r="L846" s="646">
        <v>4.2</v>
      </c>
      <c r="M846" s="535" t="s">
        <v>1532</v>
      </c>
      <c r="N846" s="139">
        <f t="shared" si="46"/>
        <v>4200</v>
      </c>
      <c r="O846" s="538" t="s">
        <v>484</v>
      </c>
      <c r="P846" s="231" t="str">
        <f t="shared" si="47"/>
        <v>Reciclagem</v>
      </c>
      <c r="Q846" s="541" t="s">
        <v>1557</v>
      </c>
      <c r="R846" s="541" t="s">
        <v>1903</v>
      </c>
      <c r="S846" s="528" t="str">
        <f>IFERROR(INDEX(Tabela3[Tipos de Tratamento],MATCH('A3.9.1 copy'!O257,Tabela3[Código],0)),"")</f>
        <v xml:space="preserve">Troca de resíduos com vista a submetê-los a uma das operações enumeradas de R 1 a R 11 </v>
      </c>
      <c r="T846" s="458" t="s">
        <v>3208</v>
      </c>
      <c r="U846" s="458" t="s">
        <v>3208</v>
      </c>
      <c r="V846" s="93"/>
    </row>
    <row r="847" spans="1:22" ht="15.75" thickBot="1" x14ac:dyDescent="0.3">
      <c r="A847" s="93" t="s">
        <v>3197</v>
      </c>
      <c r="B847" s="93" t="s">
        <v>1916</v>
      </c>
      <c r="C847" s="424" t="str">
        <f t="shared" si="45"/>
        <v>Beja (APA00066322)</v>
      </c>
      <c r="D847" s="422">
        <v>2023</v>
      </c>
      <c r="E847" s="250" t="s">
        <v>3499</v>
      </c>
      <c r="F847" s="250" t="s">
        <v>3566</v>
      </c>
      <c r="G847" s="422" t="s">
        <v>42</v>
      </c>
      <c r="H847" s="424" t="s">
        <v>42</v>
      </c>
      <c r="I847" s="524">
        <v>160112</v>
      </c>
      <c r="J847" s="425" t="str">
        <f>INDEX(aux!B:B,MATCH(I847,aux!A:A,0))</f>
        <v>Pastilhas de travões não abrangidas em 16 01 11</v>
      </c>
      <c r="K847" s="433" t="str">
        <f>INDEX(aux!C:C,MATCH(I847,aux!A:A,0))</f>
        <v>Não</v>
      </c>
      <c r="L847" s="360">
        <v>0.86899999999999999</v>
      </c>
      <c r="M847" s="359" t="s">
        <v>1532</v>
      </c>
      <c r="N847" s="139">
        <f t="shared" si="46"/>
        <v>869</v>
      </c>
      <c r="O847" s="93" t="s">
        <v>509</v>
      </c>
      <c r="P847" s="231" t="str">
        <f t="shared" si="47"/>
        <v>Aterro</v>
      </c>
      <c r="Q847" s="541" t="s">
        <v>1557</v>
      </c>
      <c r="R847" s="541" t="s">
        <v>6569</v>
      </c>
      <c r="S847" s="544" t="s">
        <v>1556</v>
      </c>
      <c r="T847" s="93" t="s">
        <v>6276</v>
      </c>
      <c r="U847" s="93" t="s">
        <v>6277</v>
      </c>
      <c r="V847" s="422"/>
    </row>
    <row r="848" spans="1:22" ht="15.75" thickBot="1" x14ac:dyDescent="0.3">
      <c r="A848" s="93" t="s">
        <v>3197</v>
      </c>
      <c r="B848" s="93" t="s">
        <v>1916</v>
      </c>
      <c r="C848" s="424" t="str">
        <f t="shared" si="45"/>
        <v>Beja (APA00066322)</v>
      </c>
      <c r="D848" s="422">
        <v>2023</v>
      </c>
      <c r="E848" s="250" t="s">
        <v>3499</v>
      </c>
      <c r="F848" s="250" t="s">
        <v>3566</v>
      </c>
      <c r="G848" s="422" t="s">
        <v>42</v>
      </c>
      <c r="H848" s="424" t="s">
        <v>42</v>
      </c>
      <c r="I848" s="524">
        <v>160117</v>
      </c>
      <c r="J848" s="425" t="str">
        <f>INDEX(aux!B:B,MATCH(I848,aux!A:A,0))</f>
        <v>Metais ferrosos</v>
      </c>
      <c r="K848" s="433" t="str">
        <f>INDEX(aux!C:C,MATCH(I848,aux!A:A,0))</f>
        <v>Não</v>
      </c>
      <c r="L848" s="360">
        <v>7.46</v>
      </c>
      <c r="M848" s="359" t="s">
        <v>1532</v>
      </c>
      <c r="N848" s="139">
        <f t="shared" si="46"/>
        <v>7460</v>
      </c>
      <c r="O848" s="93" t="s">
        <v>484</v>
      </c>
      <c r="P848" s="231" t="str">
        <f t="shared" si="47"/>
        <v>Reciclagem</v>
      </c>
      <c r="Q848" s="541" t="s">
        <v>1557</v>
      </c>
      <c r="R848" s="541" t="s">
        <v>6569</v>
      </c>
      <c r="S848" s="544" t="s">
        <v>1553</v>
      </c>
      <c r="T848" s="93" t="s">
        <v>3208</v>
      </c>
      <c r="U848" s="93" t="s">
        <v>3208</v>
      </c>
      <c r="V848" s="422"/>
    </row>
    <row r="849" spans="1:22" ht="15.75" hidden="1" thickBot="1" x14ac:dyDescent="0.3">
      <c r="A849" s="529" t="s">
        <v>3197</v>
      </c>
      <c r="B849" s="529" t="s">
        <v>1916</v>
      </c>
      <c r="C849" s="424" t="str">
        <f t="shared" si="45"/>
        <v>Beja (APA00066322)</v>
      </c>
      <c r="D849" s="422">
        <v>2022</v>
      </c>
      <c r="E849" s="250" t="s">
        <v>3499</v>
      </c>
      <c r="F849" s="250" t="s">
        <v>3566</v>
      </c>
      <c r="G849" s="422" t="s">
        <v>42</v>
      </c>
      <c r="H849" s="424" t="s">
        <v>42</v>
      </c>
      <c r="I849" s="531">
        <v>130208</v>
      </c>
      <c r="J849" s="425" t="str">
        <f>INDEX(aux!B:B,MATCH(I849,aux!A:A,0))</f>
        <v>(*) Outros óleos de motores, transmissões e lubrificação</v>
      </c>
      <c r="K849" s="433" t="str">
        <f>INDEX(aux!C:C,MATCH(I849,aux!A:A,0))</f>
        <v>Sim</v>
      </c>
      <c r="L849" s="646">
        <v>4.8579999999999997</v>
      </c>
      <c r="M849" s="535" t="s">
        <v>1532</v>
      </c>
      <c r="N849" s="139">
        <f t="shared" si="46"/>
        <v>4858</v>
      </c>
      <c r="O849" s="538" t="s">
        <v>484</v>
      </c>
      <c r="P849" s="231" t="str">
        <f t="shared" si="47"/>
        <v>Reciclagem</v>
      </c>
      <c r="Q849" s="541" t="s">
        <v>1902</v>
      </c>
      <c r="R849" s="541" t="s">
        <v>1877</v>
      </c>
      <c r="S849" s="528" t="str">
        <f>IFERROR(INDEX(Tabela3[Tipos de Tratamento],MATCH('A3.9.1 copy'!O250,Tabela3[Código],0)),"")</f>
        <v xml:space="preserve">Troca de resíduos com vista a submetê-los a uma das operações enumeradas de R 1 a R 11 </v>
      </c>
      <c r="T849" s="458" t="s">
        <v>3209</v>
      </c>
      <c r="U849" s="458" t="s">
        <v>3209</v>
      </c>
      <c r="V849" s="93"/>
    </row>
    <row r="850" spans="1:22" ht="15.75" thickBot="1" x14ac:dyDescent="0.3">
      <c r="A850" s="93" t="s">
        <v>3197</v>
      </c>
      <c r="B850" s="93" t="s">
        <v>1916</v>
      </c>
      <c r="C850" s="424" t="str">
        <f t="shared" si="45"/>
        <v>Beja (APA00066322)</v>
      </c>
      <c r="D850" s="422">
        <v>2023</v>
      </c>
      <c r="E850" s="250" t="s">
        <v>3499</v>
      </c>
      <c r="F850" s="250" t="s">
        <v>3566</v>
      </c>
      <c r="G850" s="422" t="s">
        <v>42</v>
      </c>
      <c r="H850" s="424" t="s">
        <v>42</v>
      </c>
      <c r="I850" s="522">
        <v>130208</v>
      </c>
      <c r="J850" s="425" t="str">
        <f>INDEX(aux!B:B,MATCH(I850,aux!A:A,0))</f>
        <v>(*) Outros óleos de motores, transmissões e lubrificação</v>
      </c>
      <c r="K850" s="433" t="str">
        <f>INDEX(aux!C:C,MATCH(I850,aux!A:A,0))</f>
        <v>Sim</v>
      </c>
      <c r="L850" s="360">
        <v>5.17</v>
      </c>
      <c r="M850" s="359" t="s">
        <v>1532</v>
      </c>
      <c r="N850" s="139">
        <f t="shared" si="46"/>
        <v>5170</v>
      </c>
      <c r="O850" s="93" t="s">
        <v>484</v>
      </c>
      <c r="P850" s="231" t="str">
        <f t="shared" si="47"/>
        <v>Reciclagem</v>
      </c>
      <c r="Q850" s="541" t="s">
        <v>1902</v>
      </c>
      <c r="R850" s="541" t="s">
        <v>1877</v>
      </c>
      <c r="S850" s="544" t="s">
        <v>1553</v>
      </c>
      <c r="T850" s="93" t="s">
        <v>6275</v>
      </c>
      <c r="U850" s="93" t="s">
        <v>6275</v>
      </c>
      <c r="V850" s="93"/>
    </row>
    <row r="851" spans="1:22" ht="15.75" hidden="1" thickBot="1" x14ac:dyDescent="0.3">
      <c r="A851" s="529" t="s">
        <v>3197</v>
      </c>
      <c r="B851" s="529" t="s">
        <v>1916</v>
      </c>
      <c r="C851" s="424" t="str">
        <f t="shared" si="45"/>
        <v>Beja (APA00066322)</v>
      </c>
      <c r="D851" s="422">
        <v>2022</v>
      </c>
      <c r="E851" s="250" t="s">
        <v>3499</v>
      </c>
      <c r="F851" s="250" t="s">
        <v>3566</v>
      </c>
      <c r="G851" s="422" t="s">
        <v>42</v>
      </c>
      <c r="H851" s="424" t="s">
        <v>42</v>
      </c>
      <c r="I851" s="531">
        <v>80117</v>
      </c>
      <c r="J851" s="425" t="str">
        <f>INDEX(aux!B:B,MATCH(I851,aux!A:A,0))</f>
        <v>(*) Resíduos de tintas e vernizes, contendo solventes orgânicos ou outras substâncias perigosas</v>
      </c>
      <c r="K851" s="433" t="str">
        <f>INDEX(aux!C:C,MATCH(I851,aux!A:A,0))</f>
        <v>Sim</v>
      </c>
      <c r="L851" s="646">
        <v>8.2000000000000007E-3</v>
      </c>
      <c r="M851" s="535" t="s">
        <v>1532</v>
      </c>
      <c r="N851" s="139">
        <f t="shared" si="46"/>
        <v>8.2000000000000011</v>
      </c>
      <c r="O851" s="538" t="s">
        <v>509</v>
      </c>
      <c r="P851" s="231" t="str">
        <f t="shared" si="47"/>
        <v>Aterro</v>
      </c>
      <c r="Q851" s="541" t="s">
        <v>1901</v>
      </c>
      <c r="R851" s="541" t="s">
        <v>1892</v>
      </c>
      <c r="S851" s="528" t="str">
        <f>IFERROR(INDEX(Tabela3[Tipos de Tratamento],MATCH('A3.9.1 copy'!O247,Tabela3[Código],0)),"")</f>
        <v>Acumulação de resíduos destinados a uma das operações enumeradas de R1 a R12</v>
      </c>
      <c r="T851" s="458" t="s">
        <v>1539</v>
      </c>
      <c r="U851" s="458" t="s">
        <v>1539</v>
      </c>
      <c r="V851" s="93"/>
    </row>
    <row r="852" spans="1:22" ht="15.75" hidden="1" thickBot="1" x14ac:dyDescent="0.3">
      <c r="A852" s="529" t="s">
        <v>3197</v>
      </c>
      <c r="B852" s="529" t="s">
        <v>1916</v>
      </c>
      <c r="C852" s="424" t="str">
        <f t="shared" si="45"/>
        <v>Beja (APA00066322)</v>
      </c>
      <c r="D852" s="422">
        <v>2022</v>
      </c>
      <c r="E852" s="250" t="s">
        <v>3499</v>
      </c>
      <c r="F852" s="250" t="s">
        <v>3566</v>
      </c>
      <c r="G852" s="422" t="s">
        <v>42</v>
      </c>
      <c r="H852" s="424" t="s">
        <v>42</v>
      </c>
      <c r="I852" s="531">
        <v>80117</v>
      </c>
      <c r="J852" s="425" t="str">
        <f>INDEX(aux!B:B,MATCH(I852,aux!A:A,0))</f>
        <v>(*) Resíduos de tintas e vernizes, contendo solventes orgânicos ou outras substâncias perigosas</v>
      </c>
      <c r="K852" s="433" t="str">
        <f>INDEX(aux!C:C,MATCH(I852,aux!A:A,0))</f>
        <v>Sim</v>
      </c>
      <c r="L852" s="646">
        <v>4.1000000000000003E-3</v>
      </c>
      <c r="M852" s="535" t="s">
        <v>1532</v>
      </c>
      <c r="N852" s="139">
        <f t="shared" si="46"/>
        <v>4.1000000000000005</v>
      </c>
      <c r="O852" s="538" t="s">
        <v>483</v>
      </c>
      <c r="P852" s="231" t="str">
        <f t="shared" si="47"/>
        <v>Reciclagem</v>
      </c>
      <c r="Q852" s="541" t="s">
        <v>1901</v>
      </c>
      <c r="R852" s="541" t="s">
        <v>1892</v>
      </c>
      <c r="S852" s="528" t="str">
        <f>IFERROR(INDEX(Tabela3[Tipos de Tratamento],MATCH('A3.9.1 copy'!O248,Tabela3[Código],0)),"")</f>
        <v>Acumulação de resíduos destinados a uma das operações enumeradas de R1 a R12</v>
      </c>
      <c r="T852" s="458" t="s">
        <v>1539</v>
      </c>
      <c r="U852" s="458" t="s">
        <v>1539</v>
      </c>
      <c r="V852" s="93"/>
    </row>
    <row r="853" spans="1:22" ht="15.75" hidden="1" thickBot="1" x14ac:dyDescent="0.3">
      <c r="A853" s="529" t="s">
        <v>3197</v>
      </c>
      <c r="B853" s="529" t="s">
        <v>1916</v>
      </c>
      <c r="C853" s="424" t="str">
        <f t="shared" si="45"/>
        <v>Beja (APA00066322)</v>
      </c>
      <c r="D853" s="422">
        <v>2022</v>
      </c>
      <c r="E853" s="250" t="s">
        <v>3499</v>
      </c>
      <c r="F853" s="250" t="s">
        <v>3566</v>
      </c>
      <c r="G853" s="422" t="s">
        <v>42</v>
      </c>
      <c r="H853" s="424" t="s">
        <v>42</v>
      </c>
      <c r="I853" s="531">
        <v>80117</v>
      </c>
      <c r="J853" s="425" t="str">
        <f>INDEX(aux!B:B,MATCH(I853,aux!A:A,0))</f>
        <v>(*) Resíduos de tintas e vernizes, contendo solventes orgânicos ou outras substâncias perigosas</v>
      </c>
      <c r="K853" s="433" t="str">
        <f>INDEX(aux!C:C,MATCH(I853,aux!A:A,0))</f>
        <v>Sim</v>
      </c>
      <c r="L853" s="646">
        <v>4.1000000000000003E-3</v>
      </c>
      <c r="M853" s="535" t="s">
        <v>1532</v>
      </c>
      <c r="N853" s="139">
        <f t="shared" si="46"/>
        <v>4.1000000000000005</v>
      </c>
      <c r="O853" s="538" t="s">
        <v>484</v>
      </c>
      <c r="P853" s="231" t="str">
        <f t="shared" si="47"/>
        <v>Reciclagem</v>
      </c>
      <c r="Q853" s="541" t="s">
        <v>1901</v>
      </c>
      <c r="R853" s="541" t="s">
        <v>1892</v>
      </c>
      <c r="S853" s="528" t="str">
        <f>IFERROR(INDEX(Tabela3[Tipos de Tratamento],MATCH('A3.9.1 copy'!O249,Tabela3[Código],0)),"")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853" s="458" t="s">
        <v>1539</v>
      </c>
      <c r="U853" s="458" t="s">
        <v>1539</v>
      </c>
      <c r="V853" s="93"/>
    </row>
    <row r="854" spans="1:22" ht="15.75" hidden="1" thickBot="1" x14ac:dyDescent="0.3">
      <c r="A854" s="529" t="s">
        <v>3197</v>
      </c>
      <c r="B854" s="529" t="s">
        <v>1916</v>
      </c>
      <c r="C854" s="424" t="str">
        <f t="shared" si="45"/>
        <v>Beja (APA00066322)</v>
      </c>
      <c r="D854" s="422">
        <v>2022</v>
      </c>
      <c r="E854" s="250" t="s">
        <v>3499</v>
      </c>
      <c r="F854" s="250" t="s">
        <v>3566</v>
      </c>
      <c r="G854" s="422" t="s">
        <v>42</v>
      </c>
      <c r="H854" s="424" t="s">
        <v>42</v>
      </c>
      <c r="I854" s="531">
        <v>130508</v>
      </c>
      <c r="J854" s="425" t="str">
        <f>INDEX(aux!B:B,MATCH(I854,aux!A:A,0))</f>
        <v>(*) Misturas de resíduos provenientes de desarenadores e de separadores óleo/água</v>
      </c>
      <c r="K854" s="433" t="str">
        <f>INDEX(aux!C:C,MATCH(I854,aux!A:A,0))</f>
        <v>Sim</v>
      </c>
      <c r="L854" s="646">
        <v>6.0810000000000004</v>
      </c>
      <c r="M854" s="535" t="s">
        <v>1532</v>
      </c>
      <c r="N854" s="139">
        <f t="shared" si="46"/>
        <v>6081</v>
      </c>
      <c r="O854" s="538" t="s">
        <v>509</v>
      </c>
      <c r="P854" s="231" t="str">
        <f t="shared" si="47"/>
        <v>Aterro</v>
      </c>
      <c r="Q854" s="541" t="s">
        <v>1901</v>
      </c>
      <c r="R854" s="541" t="s">
        <v>1892</v>
      </c>
      <c r="S854" s="528" t="str">
        <f>IFERROR(INDEX(Tabela3[Tipos de Tratamento],MATCH('A3.9.1 copy'!O251,Tabela3[Código],0)),"")</f>
        <v xml:space="preserve">Troca de resíduos com vista a submetê-los a uma das operações enumeradas de R 1 a R 11 </v>
      </c>
      <c r="T854" s="458" t="s">
        <v>1536</v>
      </c>
      <c r="U854" s="458" t="s">
        <v>1536</v>
      </c>
      <c r="V854" s="93"/>
    </row>
    <row r="855" spans="1:22" ht="15.75" hidden="1" thickBot="1" x14ac:dyDescent="0.3">
      <c r="A855" s="529" t="s">
        <v>3197</v>
      </c>
      <c r="B855" s="529" t="s">
        <v>1916</v>
      </c>
      <c r="C855" s="424" t="str">
        <f t="shared" si="45"/>
        <v>Beja (APA00066322)</v>
      </c>
      <c r="D855" s="422">
        <v>2022</v>
      </c>
      <c r="E855" s="250" t="s">
        <v>3499</v>
      </c>
      <c r="F855" s="250" t="s">
        <v>3566</v>
      </c>
      <c r="G855" s="422" t="s">
        <v>42</v>
      </c>
      <c r="H855" s="424" t="s">
        <v>42</v>
      </c>
      <c r="I855" s="531">
        <v>140603</v>
      </c>
      <c r="J855" s="425" t="str">
        <f>INDEX(aux!B:B,MATCH(I855,aux!A:A,0))</f>
        <v>Outros solventes e misturas de solventes</v>
      </c>
      <c r="K855" s="433" t="str">
        <f>INDEX(aux!C:C,MATCH(I855,aux!A:A,0))</f>
        <v>Sim</v>
      </c>
      <c r="L855" s="646">
        <v>9.8400000000000001E-2</v>
      </c>
      <c r="M855" s="535" t="s">
        <v>1532</v>
      </c>
      <c r="N855" s="139">
        <f t="shared" si="46"/>
        <v>98.4</v>
      </c>
      <c r="O855" s="538" t="s">
        <v>484</v>
      </c>
      <c r="P855" s="231" t="str">
        <f t="shared" si="47"/>
        <v>Reciclagem</v>
      </c>
      <c r="Q855" s="541" t="s">
        <v>1901</v>
      </c>
      <c r="R855" s="541" t="s">
        <v>1892</v>
      </c>
      <c r="S855" s="528" t="str">
        <f>IFERROR(INDEX(Tabela3[Tipos de Tratamento],MATCH('A3.9.1 copy'!O252,Tabela3[Código],0)),"")</f>
        <v>Acumulação de resíduos destinados a uma das operações enumeradas de R1 a R12</v>
      </c>
      <c r="T855" s="458" t="s">
        <v>1539</v>
      </c>
      <c r="U855" s="458" t="s">
        <v>1539</v>
      </c>
      <c r="V855" s="93"/>
    </row>
    <row r="856" spans="1:22" ht="15.75" hidden="1" thickBot="1" x14ac:dyDescent="0.3">
      <c r="A856" s="529" t="s">
        <v>3197</v>
      </c>
      <c r="B856" s="529" t="s">
        <v>1916</v>
      </c>
      <c r="C856" s="424" t="str">
        <f t="shared" si="45"/>
        <v>Beja (APA00066322)</v>
      </c>
      <c r="D856" s="422">
        <v>2022</v>
      </c>
      <c r="E856" s="250" t="s">
        <v>3499</v>
      </c>
      <c r="F856" s="250" t="s">
        <v>3566</v>
      </c>
      <c r="G856" s="422" t="s">
        <v>42</v>
      </c>
      <c r="H856" s="424" t="s">
        <v>42</v>
      </c>
      <c r="I856" s="531">
        <v>150110</v>
      </c>
      <c r="J856" s="425" t="str">
        <f>INDEX(aux!B:B,MATCH(I856,aux!A:A,0))</f>
        <v>(*) Embalagens contendo ou contaminadas por resíduos de substâncias perigosas</v>
      </c>
      <c r="K856" s="433" t="str">
        <f>INDEX(aux!C:C,MATCH(I856,aux!A:A,0))</f>
        <v>Sim</v>
      </c>
      <c r="L856" s="646">
        <v>8.7999999999999995E-2</v>
      </c>
      <c r="M856" s="535" t="s">
        <v>1532</v>
      </c>
      <c r="N856" s="139">
        <f t="shared" si="46"/>
        <v>88</v>
      </c>
      <c r="O856" s="538" t="s">
        <v>484</v>
      </c>
      <c r="P856" s="231" t="str">
        <f t="shared" si="47"/>
        <v>Reciclagem</v>
      </c>
      <c r="Q856" s="541" t="s">
        <v>1901</v>
      </c>
      <c r="R856" s="541" t="s">
        <v>1892</v>
      </c>
      <c r="S856" s="528" t="str">
        <f>IFERROR(INDEX(Tabela3[Tipos de Tratamento],MATCH('A3.9.1 copy'!O253,Tabela3[Código],0)),"")</f>
        <v xml:space="preserve">Troca de resíduos com vista a submetê-los a uma das operações enumeradas de R 1 a R 11 </v>
      </c>
      <c r="T856" s="458" t="s">
        <v>1536</v>
      </c>
      <c r="U856" s="458" t="s">
        <v>1536</v>
      </c>
      <c r="V856" s="422"/>
    </row>
    <row r="857" spans="1:22" ht="15.75" hidden="1" thickBot="1" x14ac:dyDescent="0.3">
      <c r="A857" s="529" t="s">
        <v>3197</v>
      </c>
      <c r="B857" s="529" t="s">
        <v>1916</v>
      </c>
      <c r="C857" s="424" t="str">
        <f t="shared" si="45"/>
        <v>Beja (APA00066322)</v>
      </c>
      <c r="D857" s="422">
        <v>2022</v>
      </c>
      <c r="E857" s="250" t="s">
        <v>3499</v>
      </c>
      <c r="F857" s="250" t="s">
        <v>3566</v>
      </c>
      <c r="G857" s="422" t="s">
        <v>42</v>
      </c>
      <c r="H857" s="424" t="s">
        <v>42</v>
      </c>
      <c r="I857" s="531">
        <v>160107</v>
      </c>
      <c r="J857" s="425" t="str">
        <f>INDEX(aux!B:B,MATCH(I857,aux!A:A,0))</f>
        <v>(*) Filtros de óleo</v>
      </c>
      <c r="K857" s="433" t="str">
        <f>INDEX(aux!C:C,MATCH(I857,aux!A:A,0))</f>
        <v>Sim</v>
      </c>
      <c r="L857" s="646">
        <v>0.33500000000000002</v>
      </c>
      <c r="M857" s="535" t="s">
        <v>1532</v>
      </c>
      <c r="N857" s="139">
        <f t="shared" si="46"/>
        <v>335</v>
      </c>
      <c r="O857" s="538" t="s">
        <v>484</v>
      </c>
      <c r="P857" s="231" t="str">
        <f t="shared" si="47"/>
        <v>Reciclagem</v>
      </c>
      <c r="Q857" s="541" t="s">
        <v>1901</v>
      </c>
      <c r="R857" s="541" t="s">
        <v>1892</v>
      </c>
      <c r="S857" s="528" t="str">
        <f>IFERROR(INDEX(Tabela3[Tipos de Tratamento],MATCH('A3.9.1 copy'!O255,Tabela3[Código],0)),"")</f>
        <v>Acumulação de resíduos destinados a uma das operações enumeradas de R1 a R12</v>
      </c>
      <c r="T857" s="458" t="s">
        <v>1536</v>
      </c>
      <c r="U857" s="458" t="s">
        <v>1536</v>
      </c>
      <c r="V857" s="422"/>
    </row>
    <row r="858" spans="1:22" ht="15.75" thickBot="1" x14ac:dyDescent="0.3">
      <c r="A858" s="93" t="s">
        <v>3197</v>
      </c>
      <c r="B858" s="93" t="s">
        <v>1916</v>
      </c>
      <c r="C858" s="424" t="str">
        <f t="shared" si="45"/>
        <v>Beja (APA00066322)</v>
      </c>
      <c r="D858" s="422">
        <v>2023</v>
      </c>
      <c r="E858" s="250" t="s">
        <v>3499</v>
      </c>
      <c r="F858" s="250" t="s">
        <v>3566</v>
      </c>
      <c r="G858" s="422" t="s">
        <v>42</v>
      </c>
      <c r="H858" s="424" t="s">
        <v>42</v>
      </c>
      <c r="I858" s="522">
        <v>80117</v>
      </c>
      <c r="J858" s="425" t="str">
        <f>INDEX(aux!B:B,MATCH(I858,aux!A:A,0))</f>
        <v>(*) Resíduos de tintas e vernizes, contendo solventes orgânicos ou outras substâncias perigosas</v>
      </c>
      <c r="K858" s="433" t="str">
        <f>INDEX(aux!C:C,MATCH(I858,aux!A:A,0))</f>
        <v>Sim</v>
      </c>
      <c r="L858" s="360">
        <v>1.8450000000000001E-2</v>
      </c>
      <c r="M858" s="359" t="s">
        <v>1532</v>
      </c>
      <c r="N858" s="139">
        <f t="shared" si="46"/>
        <v>18.450000000000003</v>
      </c>
      <c r="O858" s="93" t="s">
        <v>509</v>
      </c>
      <c r="P858" s="231" t="str">
        <f t="shared" si="47"/>
        <v>Aterro</v>
      </c>
      <c r="Q858" s="541" t="s">
        <v>1901</v>
      </c>
      <c r="R858" s="541" t="s">
        <v>1892</v>
      </c>
      <c r="S858" s="544" t="s">
        <v>1556</v>
      </c>
      <c r="T858" s="93" t="s">
        <v>1539</v>
      </c>
      <c r="U858" s="93" t="s">
        <v>1539</v>
      </c>
      <c r="V858" s="93"/>
    </row>
    <row r="859" spans="1:22" ht="15.75" thickBot="1" x14ac:dyDescent="0.3">
      <c r="A859" s="93" t="s">
        <v>3197</v>
      </c>
      <c r="B859" s="93" t="s">
        <v>1916</v>
      </c>
      <c r="C859" s="424" t="str">
        <f t="shared" si="45"/>
        <v>Beja (APA00066322)</v>
      </c>
      <c r="D859" s="422">
        <v>2023</v>
      </c>
      <c r="E859" s="250" t="s">
        <v>3499</v>
      </c>
      <c r="F859" s="250" t="s">
        <v>3566</v>
      </c>
      <c r="G859" s="422" t="s">
        <v>42</v>
      </c>
      <c r="H859" s="424" t="s">
        <v>42</v>
      </c>
      <c r="I859" s="522">
        <v>140603</v>
      </c>
      <c r="J859" s="425" t="str">
        <f>INDEX(aux!B:B,MATCH(I859,aux!A:A,0))</f>
        <v>Outros solventes e misturas de solventes</v>
      </c>
      <c r="K859" s="433" t="str">
        <f>INDEX(aux!C:C,MATCH(I859,aux!A:A,0))</f>
        <v>Sim</v>
      </c>
      <c r="L859" s="360">
        <v>0.2009</v>
      </c>
      <c r="M859" s="359" t="s">
        <v>1532</v>
      </c>
      <c r="N859" s="139">
        <f t="shared" si="46"/>
        <v>200.9</v>
      </c>
      <c r="O859" s="93" t="s">
        <v>484</v>
      </c>
      <c r="P859" s="231" t="str">
        <f t="shared" si="47"/>
        <v>Reciclagem</v>
      </c>
      <c r="Q859" s="541" t="s">
        <v>1901</v>
      </c>
      <c r="R859" s="541" t="s">
        <v>1892</v>
      </c>
      <c r="S859" s="544" t="s">
        <v>1553</v>
      </c>
      <c r="T859" s="93" t="s">
        <v>1539</v>
      </c>
      <c r="U859" s="93" t="s">
        <v>1539</v>
      </c>
      <c r="V859" s="422"/>
    </row>
    <row r="860" spans="1:22" ht="15.75" thickBot="1" x14ac:dyDescent="0.3">
      <c r="A860" s="93" t="s">
        <v>3197</v>
      </c>
      <c r="B860" s="93" t="s">
        <v>1916</v>
      </c>
      <c r="C860" s="424" t="str">
        <f t="shared" si="45"/>
        <v>Beja (APA00066322)</v>
      </c>
      <c r="D860" s="422">
        <v>2023</v>
      </c>
      <c r="E860" s="250" t="s">
        <v>3499</v>
      </c>
      <c r="F860" s="250" t="s">
        <v>3566</v>
      </c>
      <c r="G860" s="422" t="s">
        <v>42</v>
      </c>
      <c r="H860" s="424" t="s">
        <v>42</v>
      </c>
      <c r="I860" s="522">
        <v>150110</v>
      </c>
      <c r="J860" s="425" t="str">
        <f>INDEX(aux!B:B,MATCH(I860,aux!A:A,0))</f>
        <v>(*) Embalagens contendo ou contaminadas por resíduos de substâncias perigosas</v>
      </c>
      <c r="K860" s="433" t="str">
        <f>INDEX(aux!C:C,MATCH(I860,aux!A:A,0))</f>
        <v>Sim</v>
      </c>
      <c r="L860" s="360">
        <v>0.13400000000000001</v>
      </c>
      <c r="M860" s="359" t="s">
        <v>1532</v>
      </c>
      <c r="N860" s="139">
        <f t="shared" si="46"/>
        <v>134</v>
      </c>
      <c r="O860" s="93" t="s">
        <v>484</v>
      </c>
      <c r="P860" s="231" t="str">
        <f t="shared" si="47"/>
        <v>Reciclagem</v>
      </c>
      <c r="Q860" s="541" t="s">
        <v>1901</v>
      </c>
      <c r="R860" s="541" t="s">
        <v>1892</v>
      </c>
      <c r="S860" s="544" t="s">
        <v>1553</v>
      </c>
      <c r="T860" s="93" t="s">
        <v>6276</v>
      </c>
      <c r="U860" s="93" t="s">
        <v>6277</v>
      </c>
      <c r="V860" s="422"/>
    </row>
    <row r="861" spans="1:22" ht="15.75" thickBot="1" x14ac:dyDescent="0.3">
      <c r="A861" s="93" t="s">
        <v>3197</v>
      </c>
      <c r="B861" s="93" t="s">
        <v>1916</v>
      </c>
      <c r="C861" s="424" t="str">
        <f t="shared" si="45"/>
        <v>Beja (APA00066322)</v>
      </c>
      <c r="D861" s="422">
        <v>2023</v>
      </c>
      <c r="E861" s="250" t="s">
        <v>3499</v>
      </c>
      <c r="F861" s="250" t="s">
        <v>3566</v>
      </c>
      <c r="G861" s="422" t="s">
        <v>42</v>
      </c>
      <c r="H861" s="424" t="s">
        <v>42</v>
      </c>
      <c r="I861" s="522">
        <v>150202</v>
      </c>
      <c r="J861" s="425" t="str">
        <f>INDEX(aux!B:B,MATCH(I861,aux!A:A,0))</f>
        <v>(*) Absorventes, materiais filtrantes (incluindo filtros de óleo sem outras especificações), panos de limpeza e vestuário de proteção, contaminados por substâncias perigosas</v>
      </c>
      <c r="K861" s="433" t="str">
        <f>INDEX(aux!C:C,MATCH(I861,aux!A:A,0))</f>
        <v>Sim</v>
      </c>
      <c r="L861" s="360">
        <v>0.158</v>
      </c>
      <c r="M861" s="359" t="s">
        <v>1532</v>
      </c>
      <c r="N861" s="139">
        <f t="shared" si="46"/>
        <v>158</v>
      </c>
      <c r="O861" s="93" t="s">
        <v>509</v>
      </c>
      <c r="P861" s="231" t="str">
        <f t="shared" si="47"/>
        <v>Aterro</v>
      </c>
      <c r="Q861" s="541" t="s">
        <v>1901</v>
      </c>
      <c r="R861" s="541" t="s">
        <v>1892</v>
      </c>
      <c r="S861" s="544" t="s">
        <v>1556</v>
      </c>
      <c r="T861" s="93" t="s">
        <v>6276</v>
      </c>
      <c r="U861" s="93" t="s">
        <v>6277</v>
      </c>
      <c r="V861" s="422"/>
    </row>
    <row r="862" spans="1:22" ht="15.75" thickBot="1" x14ac:dyDescent="0.3">
      <c r="A862" s="93" t="s">
        <v>3197</v>
      </c>
      <c r="B862" s="93" t="s">
        <v>1916</v>
      </c>
      <c r="C862" s="424" t="str">
        <f t="shared" si="45"/>
        <v>Beja (APA00066322)</v>
      </c>
      <c r="D862" s="422">
        <v>2023</v>
      </c>
      <c r="E862" s="250" t="s">
        <v>3499</v>
      </c>
      <c r="F862" s="250" t="s">
        <v>3566</v>
      </c>
      <c r="G862" s="422" t="s">
        <v>42</v>
      </c>
      <c r="H862" s="424" t="s">
        <v>42</v>
      </c>
      <c r="I862" s="522">
        <v>150203</v>
      </c>
      <c r="J862" s="425" t="str">
        <f>INDEX(aux!B:B,MATCH(I862,aux!A:A,0))</f>
        <v>Absorventes, materiais filtrantes, panos de limpeza e vestuário de proteção não abrangidos em 15 02 02</v>
      </c>
      <c r="K862" s="433" t="str">
        <f>INDEX(aux!C:C,MATCH(I862,aux!A:A,0))</f>
        <v>Não</v>
      </c>
      <c r="L862" s="360">
        <v>0.128</v>
      </c>
      <c r="M862" s="359" t="s">
        <v>1532</v>
      </c>
      <c r="N862" s="139">
        <f t="shared" si="46"/>
        <v>128</v>
      </c>
      <c r="O862" s="93" t="s">
        <v>484</v>
      </c>
      <c r="P862" s="231" t="str">
        <f t="shared" si="47"/>
        <v>Reciclagem</v>
      </c>
      <c r="Q862" s="541" t="s">
        <v>1901</v>
      </c>
      <c r="R862" s="541" t="s">
        <v>1892</v>
      </c>
      <c r="S862" s="544" t="s">
        <v>1553</v>
      </c>
      <c r="T862" s="93" t="s">
        <v>3208</v>
      </c>
      <c r="U862" s="93" t="s">
        <v>3208</v>
      </c>
      <c r="V862" s="422"/>
    </row>
    <row r="863" spans="1:22" ht="15.75" thickBot="1" x14ac:dyDescent="0.3">
      <c r="A863" s="422" t="s">
        <v>3197</v>
      </c>
      <c r="B863" s="93" t="s">
        <v>1916</v>
      </c>
      <c r="C863" s="424" t="str">
        <f t="shared" si="45"/>
        <v>Beja (APA00066322)</v>
      </c>
      <c r="D863" s="422">
        <v>2023</v>
      </c>
      <c r="E863" s="250" t="s">
        <v>3499</v>
      </c>
      <c r="F863" s="250" t="s">
        <v>3566</v>
      </c>
      <c r="G863" s="422" t="s">
        <v>42</v>
      </c>
      <c r="H863" s="424" t="s">
        <v>42</v>
      </c>
      <c r="I863" s="524">
        <v>160107</v>
      </c>
      <c r="J863" s="425" t="str">
        <f>INDEX(aux!B:B,MATCH(I863,aux!A:A,0))</f>
        <v>(*) Filtros de óleo</v>
      </c>
      <c r="K863" s="433" t="str">
        <f>INDEX(aux!C:C,MATCH(I863,aux!A:A,0))</f>
        <v>Sim</v>
      </c>
      <c r="L863" s="360">
        <v>0.40400000000000003</v>
      </c>
      <c r="M863" s="359" t="s">
        <v>1532</v>
      </c>
      <c r="N863" s="139">
        <f t="shared" si="46"/>
        <v>404</v>
      </c>
      <c r="O863" s="93" t="s">
        <v>484</v>
      </c>
      <c r="P863" s="231" t="str">
        <f t="shared" si="47"/>
        <v>Reciclagem</v>
      </c>
      <c r="Q863" s="541" t="s">
        <v>1901</v>
      </c>
      <c r="R863" s="541" t="s">
        <v>1892</v>
      </c>
      <c r="S863" s="544" t="s">
        <v>1553</v>
      </c>
      <c r="T863" s="93" t="s">
        <v>6276</v>
      </c>
      <c r="U863" s="93" t="s">
        <v>6277</v>
      </c>
      <c r="V863" s="422"/>
    </row>
    <row r="864" spans="1:22" ht="15.75" hidden="1" thickBot="1" x14ac:dyDescent="0.3">
      <c r="A864" s="529" t="s">
        <v>3197</v>
      </c>
      <c r="B864" s="529" t="s">
        <v>1916</v>
      </c>
      <c r="C864" s="424" t="str">
        <f t="shared" si="45"/>
        <v>Beja (APA00066322)</v>
      </c>
      <c r="D864" s="422">
        <v>2022</v>
      </c>
      <c r="E864" s="250" t="s">
        <v>3499</v>
      </c>
      <c r="F864" s="250" t="s">
        <v>3566</v>
      </c>
      <c r="G864" s="422" t="s">
        <v>42</v>
      </c>
      <c r="H864" s="424" t="s">
        <v>42</v>
      </c>
      <c r="I864" s="531">
        <v>200301</v>
      </c>
      <c r="J864" s="425" t="str">
        <f>INDEX(aux!B:B,MATCH(I864,aux!A:A,0))</f>
        <v>Misturas de resíduos urbanos equiparados</v>
      </c>
      <c r="K864" s="433" t="str">
        <f>INDEX(aux!C:C,MATCH(I864,aux!A:A,0))</f>
        <v>Não</v>
      </c>
      <c r="L864" s="646">
        <v>1.53</v>
      </c>
      <c r="M864" s="535" t="s">
        <v>1532</v>
      </c>
      <c r="N864" s="139">
        <f t="shared" si="46"/>
        <v>1530</v>
      </c>
      <c r="O864" s="538" t="s">
        <v>484</v>
      </c>
      <c r="P864" s="231" t="str">
        <f t="shared" si="47"/>
        <v>Reciclagem</v>
      </c>
      <c r="Q864" s="541" t="s">
        <v>1908</v>
      </c>
      <c r="R864" s="541" t="s">
        <v>1877</v>
      </c>
      <c r="S864" s="528" t="str">
        <f>IFERROR(INDEX(Tabela3[Tipos de Tratamento],MATCH('A3.9.1 copy'!O259,Tabela3[Código],0)),"")</f>
        <v xml:space="preserve">Troca de resíduos com vista a submetê-los a uma das operações enumeradas de R 1 a R 11 </v>
      </c>
      <c r="T864" s="458" t="s">
        <v>3208</v>
      </c>
      <c r="U864" s="458" t="s">
        <v>3208</v>
      </c>
      <c r="V864" s="93"/>
    </row>
    <row r="865" spans="1:22" ht="15.75" thickBot="1" x14ac:dyDescent="0.3">
      <c r="A865" s="422" t="s">
        <v>3197</v>
      </c>
      <c r="B865" s="422" t="s">
        <v>1916</v>
      </c>
      <c r="C865" s="424" t="str">
        <f t="shared" si="45"/>
        <v>Beja (APA00066322)</v>
      </c>
      <c r="D865" s="422">
        <v>2023</v>
      </c>
      <c r="E865" s="250" t="s">
        <v>3499</v>
      </c>
      <c r="F865" s="250" t="s">
        <v>3566</v>
      </c>
      <c r="G865" s="422" t="s">
        <v>42</v>
      </c>
      <c r="H865" s="424" t="s">
        <v>42</v>
      </c>
      <c r="I865" s="523">
        <v>200301</v>
      </c>
      <c r="J865" s="425" t="str">
        <f>INDEX(aux!B:B,MATCH(I865,aux!A:A,0))</f>
        <v>Misturas de resíduos urbanos equiparados</v>
      </c>
      <c r="K865" s="433" t="str">
        <f>INDEX(aux!C:C,MATCH(I865,aux!A:A,0))</f>
        <v>Não</v>
      </c>
      <c r="L865" s="259">
        <v>1.6459999999999999</v>
      </c>
      <c r="M865" s="428" t="s">
        <v>1532</v>
      </c>
      <c r="N865" s="139">
        <f t="shared" si="46"/>
        <v>1646</v>
      </c>
      <c r="O865" s="422" t="s">
        <v>484</v>
      </c>
      <c r="P865" s="231" t="str">
        <f t="shared" si="47"/>
        <v>Reciclagem</v>
      </c>
      <c r="Q865" s="541" t="s">
        <v>1908</v>
      </c>
      <c r="R865" s="541" t="s">
        <v>1877</v>
      </c>
      <c r="S865" s="544" t="s">
        <v>1553</v>
      </c>
      <c r="T865" s="93" t="s">
        <v>3208</v>
      </c>
      <c r="U865" s="93" t="s">
        <v>3208</v>
      </c>
      <c r="V865" s="93"/>
    </row>
    <row r="866" spans="1:22" ht="15.75" hidden="1" thickBot="1" x14ac:dyDescent="0.3">
      <c r="A866" s="529" t="s">
        <v>3197</v>
      </c>
      <c r="B866" s="529" t="s">
        <v>1916</v>
      </c>
      <c r="C866" s="424" t="str">
        <f t="shared" si="45"/>
        <v>Beja (APA00066322)</v>
      </c>
      <c r="D866" s="422">
        <v>2022</v>
      </c>
      <c r="E866" s="250" t="s">
        <v>3499</v>
      </c>
      <c r="F866" s="250" t="s">
        <v>3566</v>
      </c>
      <c r="G866" s="422" t="s">
        <v>42</v>
      </c>
      <c r="H866" s="424" t="s">
        <v>42</v>
      </c>
      <c r="I866" s="531">
        <v>160104</v>
      </c>
      <c r="J866" s="425" t="str">
        <f>INDEX(aux!B:B,MATCH(I866,aux!A:A,0))</f>
        <v>Veículos em fim de vida</v>
      </c>
      <c r="K866" s="433" t="str">
        <f>INDEX(aux!C:C,MATCH(I866,aux!A:A,0))</f>
        <v>Sim</v>
      </c>
      <c r="L866" s="646">
        <v>77.760000000000005</v>
      </c>
      <c r="M866" s="535" t="s">
        <v>1532</v>
      </c>
      <c r="N866" s="139">
        <f t="shared" si="46"/>
        <v>77760</v>
      </c>
      <c r="O866" s="538" t="s">
        <v>484</v>
      </c>
      <c r="P866" s="231" t="str">
        <f t="shared" si="47"/>
        <v>Reciclagem</v>
      </c>
      <c r="Q866" s="541" t="s">
        <v>1907</v>
      </c>
      <c r="R866" s="541" t="s">
        <v>1903</v>
      </c>
      <c r="S866" s="528" t="str">
        <f>IFERROR(INDEX(Tabela3[Tipos de Tratamento],MATCH('A3.9.1 copy'!O254,Tabela3[Código],0)),"")</f>
        <v>Acumulação de resíduos destinados a uma das operações enumeradas de R1 a R12</v>
      </c>
      <c r="T866" s="458" t="s">
        <v>3208</v>
      </c>
      <c r="U866" s="458" t="s">
        <v>3210</v>
      </c>
      <c r="V866" s="93"/>
    </row>
    <row r="867" spans="1:22" ht="15.75" thickBot="1" x14ac:dyDescent="0.3">
      <c r="A867" s="93" t="s">
        <v>3197</v>
      </c>
      <c r="B867" s="93" t="s">
        <v>1916</v>
      </c>
      <c r="C867" s="424" t="str">
        <f t="shared" si="45"/>
        <v>Beja (APA00066322)</v>
      </c>
      <c r="D867" s="422">
        <v>2023</v>
      </c>
      <c r="E867" s="250" t="s">
        <v>3499</v>
      </c>
      <c r="F867" s="250" t="s">
        <v>3566</v>
      </c>
      <c r="G867" s="422" t="s">
        <v>42</v>
      </c>
      <c r="H867" s="424" t="s">
        <v>42</v>
      </c>
      <c r="I867" s="524">
        <v>160104</v>
      </c>
      <c r="J867" s="425" t="str">
        <f>INDEX(aux!B:B,MATCH(I867,aux!A:A,0))</f>
        <v>Veículos em fim de vida</v>
      </c>
      <c r="K867" s="433" t="str">
        <f>INDEX(aux!C:C,MATCH(I867,aux!A:A,0))</f>
        <v>Sim</v>
      </c>
      <c r="L867" s="360">
        <v>46.58</v>
      </c>
      <c r="M867" s="359" t="s">
        <v>1532</v>
      </c>
      <c r="N867" s="139">
        <f t="shared" si="46"/>
        <v>46580</v>
      </c>
      <c r="O867" s="93" t="s">
        <v>484</v>
      </c>
      <c r="P867" s="231" t="str">
        <f t="shared" si="47"/>
        <v>Reciclagem</v>
      </c>
      <c r="Q867" s="541" t="s">
        <v>1907</v>
      </c>
      <c r="R867" s="541" t="s">
        <v>6569</v>
      </c>
      <c r="S867" s="544" t="s">
        <v>1553</v>
      </c>
      <c r="T867" s="93" t="s">
        <v>3208</v>
      </c>
      <c r="U867" s="93" t="s">
        <v>6278</v>
      </c>
      <c r="V867" s="93"/>
    </row>
    <row r="868" spans="1:22" ht="15.75" hidden="1" thickBot="1" x14ac:dyDescent="0.3">
      <c r="A868" s="529" t="s">
        <v>3198</v>
      </c>
      <c r="B868" s="529" t="s">
        <v>1916</v>
      </c>
      <c r="C868" s="424" t="str">
        <f t="shared" si="45"/>
        <v>Elvas (APA00066615)</v>
      </c>
      <c r="D868" s="422">
        <v>2022</v>
      </c>
      <c r="E868" s="250" t="s">
        <v>3499</v>
      </c>
      <c r="F868" s="250" t="s">
        <v>3566</v>
      </c>
      <c r="G868" s="422" t="s">
        <v>42</v>
      </c>
      <c r="H868" s="424" t="s">
        <v>42</v>
      </c>
      <c r="I868" s="531">
        <v>130508</v>
      </c>
      <c r="J868" s="425" t="str">
        <f>INDEX(aux!B:B,MATCH(I868,aux!A:A,0))</f>
        <v>(*) Misturas de resíduos provenientes de desarenadores e de separadores óleo/água</v>
      </c>
      <c r="K868" s="433" t="str">
        <f>INDEX(aux!C:C,MATCH(I868,aux!A:A,0))</f>
        <v>Sim</v>
      </c>
      <c r="L868" s="646">
        <v>1.8</v>
      </c>
      <c r="M868" s="535" t="s">
        <v>1532</v>
      </c>
      <c r="N868" s="139">
        <f t="shared" si="46"/>
        <v>1800</v>
      </c>
      <c r="O868" s="538" t="s">
        <v>493</v>
      </c>
      <c r="P868" s="231" t="str">
        <f t="shared" si="47"/>
        <v>Aterro</v>
      </c>
      <c r="Q868" s="541" t="s">
        <v>1901</v>
      </c>
      <c r="R868" s="541" t="s">
        <v>1892</v>
      </c>
      <c r="S868" s="528" t="str">
        <f>IFERROR(INDEX(Tabela3[Tipos de Tratamento],MATCH('A3.9.1 copy'!O260,Tabela3[Código],0)),"")</f>
        <v xml:space="preserve">Troca de resíduos com vista a submetê-los a uma das operações enumeradas de R 1 a R 11 </v>
      </c>
      <c r="T868" s="458" t="s">
        <v>3212</v>
      </c>
      <c r="U868" s="458" t="s">
        <v>1536</v>
      </c>
      <c r="V868" s="93"/>
    </row>
    <row r="869" spans="1:22" ht="15.75" thickBot="1" x14ac:dyDescent="0.3">
      <c r="A869" s="93" t="s">
        <v>3199</v>
      </c>
      <c r="B869" s="93" t="s">
        <v>1916</v>
      </c>
      <c r="C869" s="424" t="str">
        <f t="shared" si="45"/>
        <v>Évora (APA00162329)</v>
      </c>
      <c r="D869" s="422">
        <v>2023</v>
      </c>
      <c r="E869" s="250" t="s">
        <v>3499</v>
      </c>
      <c r="F869" s="250" t="s">
        <v>3566</v>
      </c>
      <c r="G869" s="422" t="s">
        <v>42</v>
      </c>
      <c r="H869" s="424" t="s">
        <v>42</v>
      </c>
      <c r="I869" s="522">
        <v>160601</v>
      </c>
      <c r="J869" s="425" t="str">
        <f>INDEX(aux!B:B,MATCH(I869,aux!A:A,0))</f>
        <v>(*) Acumuladores de chumbo</v>
      </c>
      <c r="K869" s="433" t="str">
        <f>INDEX(aux!C:C,MATCH(I869,aux!A:A,0))</f>
        <v>Sim</v>
      </c>
      <c r="L869" s="360">
        <v>2.3199999999999998</v>
      </c>
      <c r="M869" s="359" t="s">
        <v>1532</v>
      </c>
      <c r="N869" s="139">
        <f t="shared" si="46"/>
        <v>2320</v>
      </c>
      <c r="O869" s="93" t="s">
        <v>484</v>
      </c>
      <c r="P869" s="231" t="str">
        <f t="shared" si="47"/>
        <v>Reciclagem</v>
      </c>
      <c r="Q869" s="541" t="s">
        <v>1653</v>
      </c>
      <c r="R869" s="541" t="s">
        <v>1877</v>
      </c>
      <c r="S869" s="544" t="s">
        <v>1553</v>
      </c>
      <c r="T869" s="93" t="s">
        <v>6282</v>
      </c>
      <c r="U869" s="93" t="s">
        <v>6282</v>
      </c>
      <c r="V869" s="93"/>
    </row>
    <row r="870" spans="1:22" ht="15.75" hidden="1" thickBot="1" x14ac:dyDescent="0.3">
      <c r="A870" s="529" t="s">
        <v>3199</v>
      </c>
      <c r="B870" s="529" t="s">
        <v>1916</v>
      </c>
      <c r="C870" s="424" t="str">
        <f t="shared" si="45"/>
        <v>Évora (APA00162329)</v>
      </c>
      <c r="D870" s="422">
        <v>2022</v>
      </c>
      <c r="E870" s="250" t="s">
        <v>3499</v>
      </c>
      <c r="F870" s="250" t="s">
        <v>3566</v>
      </c>
      <c r="G870" s="422" t="s">
        <v>42</v>
      </c>
      <c r="H870" s="424" t="s">
        <v>42</v>
      </c>
      <c r="I870" s="531">
        <v>160112</v>
      </c>
      <c r="J870" s="425" t="str">
        <f>INDEX(aux!B:B,MATCH(I870,aux!A:A,0))</f>
        <v>Pastilhas de travões não abrangidas em 16 01 11</v>
      </c>
      <c r="K870" s="433" t="str">
        <f>INDEX(aux!C:C,MATCH(I870,aux!A:A,0))</f>
        <v>Não</v>
      </c>
      <c r="L870" s="646">
        <v>0.76700000000000002</v>
      </c>
      <c r="M870" s="535" t="s">
        <v>1532</v>
      </c>
      <c r="N870" s="139">
        <f t="shared" si="46"/>
        <v>767</v>
      </c>
      <c r="O870" s="538" t="s">
        <v>509</v>
      </c>
      <c r="P870" s="231" t="str">
        <f t="shared" si="47"/>
        <v>Aterro</v>
      </c>
      <c r="Q870" s="541" t="s">
        <v>1557</v>
      </c>
      <c r="R870" s="541" t="s">
        <v>1903</v>
      </c>
      <c r="S870" s="528" t="str">
        <f>IFERROR(INDEX(Tabela3[Tipos de Tratamento],MATCH('A3.9.1 copy'!O272,Tabela3[Código],0)),"")</f>
        <v>Acumulação de resíduos destinados a uma das operações enumeradas de R1 a R12</v>
      </c>
      <c r="T870" s="458" t="s">
        <v>1536</v>
      </c>
      <c r="U870" s="458" t="s">
        <v>3193</v>
      </c>
      <c r="V870" s="93"/>
    </row>
    <row r="871" spans="1:22" ht="15.75" hidden="1" thickBot="1" x14ac:dyDescent="0.3">
      <c r="A871" s="529" t="s">
        <v>3199</v>
      </c>
      <c r="B871" s="529" t="s">
        <v>1916</v>
      </c>
      <c r="C871" s="424" t="str">
        <f t="shared" si="45"/>
        <v>Évora (APA00162329)</v>
      </c>
      <c r="D871" s="422">
        <v>2022</v>
      </c>
      <c r="E871" s="250" t="s">
        <v>3499</v>
      </c>
      <c r="F871" s="250" t="s">
        <v>3566</v>
      </c>
      <c r="G871" s="422" t="s">
        <v>42</v>
      </c>
      <c r="H871" s="424" t="s">
        <v>42</v>
      </c>
      <c r="I871" s="531">
        <v>191202</v>
      </c>
      <c r="J871" s="425" t="str">
        <f>INDEX(aux!B:B,MATCH(I871,aux!A:A,0))</f>
        <v>Metais ferrosos</v>
      </c>
      <c r="K871" s="433" t="str">
        <f>INDEX(aux!C:C,MATCH(I871,aux!A:A,0))</f>
        <v>Não</v>
      </c>
      <c r="L871" s="646">
        <v>8.68</v>
      </c>
      <c r="M871" s="535" t="s">
        <v>1532</v>
      </c>
      <c r="N871" s="139">
        <f t="shared" si="46"/>
        <v>8680</v>
      </c>
      <c r="O871" s="538" t="s">
        <v>484</v>
      </c>
      <c r="P871" s="231" t="str">
        <f t="shared" si="47"/>
        <v>Reciclagem</v>
      </c>
      <c r="Q871" s="541" t="s">
        <v>1557</v>
      </c>
      <c r="R871" s="541" t="s">
        <v>1903</v>
      </c>
      <c r="S871" s="528" t="str">
        <f>IFERROR(INDEX(Tabela3[Tipos de Tratamento],MATCH('A3.9.1 copy'!O273,Tabela3[Código],0)),"")</f>
        <v xml:space="preserve">Troca de resíduos com vista a submetê-los a uma das operações enumeradas de R 1 a R 11 </v>
      </c>
      <c r="T871" s="458" t="s">
        <v>3213</v>
      </c>
      <c r="U871" s="458" t="s">
        <v>3213</v>
      </c>
      <c r="V871" s="93"/>
    </row>
    <row r="872" spans="1:22" ht="15.75" thickBot="1" x14ac:dyDescent="0.3">
      <c r="A872" s="93" t="s">
        <v>3199</v>
      </c>
      <c r="B872" s="93" t="s">
        <v>1916</v>
      </c>
      <c r="C872" s="424" t="str">
        <f t="shared" si="45"/>
        <v>Évora (APA00162329)</v>
      </c>
      <c r="D872" s="422">
        <v>2023</v>
      </c>
      <c r="E872" s="250" t="s">
        <v>3499</v>
      </c>
      <c r="F872" s="250" t="s">
        <v>3566</v>
      </c>
      <c r="G872" s="422" t="s">
        <v>42</v>
      </c>
      <c r="H872" s="424" t="s">
        <v>42</v>
      </c>
      <c r="I872" s="522">
        <v>160112</v>
      </c>
      <c r="J872" s="425" t="str">
        <f>INDEX(aux!B:B,MATCH(I872,aux!A:A,0))</f>
        <v>Pastilhas de travões não abrangidas em 16 01 11</v>
      </c>
      <c r="K872" s="433" t="str">
        <f>INDEX(aux!C:C,MATCH(I872,aux!A:A,0))</f>
        <v>Não</v>
      </c>
      <c r="L872" s="360">
        <v>1.03</v>
      </c>
      <c r="M872" s="359" t="s">
        <v>1532</v>
      </c>
      <c r="N872" s="139">
        <f t="shared" si="46"/>
        <v>1030</v>
      </c>
      <c r="O872" s="93" t="s">
        <v>509</v>
      </c>
      <c r="P872" s="231" t="str">
        <f t="shared" si="47"/>
        <v>Aterro</v>
      </c>
      <c r="Q872" s="541" t="s">
        <v>1557</v>
      </c>
      <c r="R872" s="541" t="s">
        <v>6569</v>
      </c>
      <c r="S872" s="544" t="s">
        <v>1556</v>
      </c>
      <c r="T872" s="93" t="s">
        <v>6276</v>
      </c>
      <c r="U872" s="93" t="s">
        <v>6277</v>
      </c>
      <c r="V872" s="422"/>
    </row>
    <row r="873" spans="1:22" ht="15.75" thickBot="1" x14ac:dyDescent="0.3">
      <c r="A873" s="93" t="s">
        <v>3199</v>
      </c>
      <c r="B873" s="93" t="s">
        <v>1916</v>
      </c>
      <c r="C873" s="424" t="str">
        <f t="shared" si="45"/>
        <v>Évora (APA00162329)</v>
      </c>
      <c r="D873" s="422">
        <v>2023</v>
      </c>
      <c r="E873" s="250" t="s">
        <v>3499</v>
      </c>
      <c r="F873" s="250" t="s">
        <v>3566</v>
      </c>
      <c r="G873" s="422" t="s">
        <v>42</v>
      </c>
      <c r="H873" s="424" t="s">
        <v>42</v>
      </c>
      <c r="I873" s="522">
        <v>191202</v>
      </c>
      <c r="J873" s="425" t="str">
        <f>INDEX(aux!B:B,MATCH(I873,aux!A:A,0))</f>
        <v>Metais ferrosos</v>
      </c>
      <c r="K873" s="433" t="str">
        <f>INDEX(aux!C:C,MATCH(I873,aux!A:A,0))</f>
        <v>Não</v>
      </c>
      <c r="L873" s="360">
        <v>5.14</v>
      </c>
      <c r="M873" s="359" t="s">
        <v>1532</v>
      </c>
      <c r="N873" s="139">
        <f t="shared" si="46"/>
        <v>5140</v>
      </c>
      <c r="O873" s="93" t="s">
        <v>484</v>
      </c>
      <c r="P873" s="231" t="str">
        <f t="shared" si="47"/>
        <v>Reciclagem</v>
      </c>
      <c r="Q873" s="541" t="s">
        <v>1557</v>
      </c>
      <c r="R873" s="541" t="s">
        <v>6569</v>
      </c>
      <c r="S873" s="544" t="s">
        <v>1553</v>
      </c>
      <c r="T873" s="93" t="s">
        <v>6280</v>
      </c>
      <c r="U873" s="93" t="s">
        <v>6280</v>
      </c>
      <c r="V873" s="93"/>
    </row>
    <row r="874" spans="1:22" ht="15.75" hidden="1" thickBot="1" x14ac:dyDescent="0.3">
      <c r="A874" s="529" t="s">
        <v>3199</v>
      </c>
      <c r="B874" s="529" t="s">
        <v>1916</v>
      </c>
      <c r="C874" s="424" t="str">
        <f t="shared" si="45"/>
        <v>Évora (APA00162329)</v>
      </c>
      <c r="D874" s="422">
        <v>2022</v>
      </c>
      <c r="E874" s="250" t="s">
        <v>3499</v>
      </c>
      <c r="F874" s="250" t="s">
        <v>3566</v>
      </c>
      <c r="G874" s="422" t="s">
        <v>42</v>
      </c>
      <c r="H874" s="424" t="s">
        <v>42</v>
      </c>
      <c r="I874" s="531">
        <v>130208</v>
      </c>
      <c r="J874" s="425" t="str">
        <f>INDEX(aux!B:B,MATCH(I874,aux!A:A,0))</f>
        <v>(*) Outros óleos de motores, transmissões e lubrificação</v>
      </c>
      <c r="K874" s="433" t="str">
        <f>INDEX(aux!C:C,MATCH(I874,aux!A:A,0))</f>
        <v>Sim</v>
      </c>
      <c r="L874" s="646">
        <v>4.51</v>
      </c>
      <c r="M874" s="535" t="s">
        <v>1532</v>
      </c>
      <c r="N874" s="139">
        <f t="shared" si="46"/>
        <v>4510</v>
      </c>
      <c r="O874" s="538" t="s">
        <v>483</v>
      </c>
      <c r="P874" s="231" t="str">
        <f t="shared" si="47"/>
        <v>Reciclagem</v>
      </c>
      <c r="Q874" s="541" t="s">
        <v>1902</v>
      </c>
      <c r="R874" s="541" t="s">
        <v>1877</v>
      </c>
      <c r="S874" s="528" t="str">
        <f>IFERROR(INDEX(Tabela3[Tipos de Tratamento],MATCH('A3.9.1 copy'!O263,Tabela3[Código],0)),"")</f>
        <v xml:space="preserve">Troca de resíduos com vista a submetê-los a uma das operações enumeradas de R 1 a R 11 </v>
      </c>
      <c r="T874" s="458" t="s">
        <v>3209</v>
      </c>
      <c r="U874" s="458" t="s">
        <v>3209</v>
      </c>
      <c r="V874" s="93"/>
    </row>
    <row r="875" spans="1:22" ht="15.75" thickBot="1" x14ac:dyDescent="0.3">
      <c r="A875" s="93" t="s">
        <v>3199</v>
      </c>
      <c r="B875" s="93" t="s">
        <v>1916</v>
      </c>
      <c r="C875" s="424" t="str">
        <f t="shared" si="45"/>
        <v>Évora (APA00162329)</v>
      </c>
      <c r="D875" s="422">
        <v>2023</v>
      </c>
      <c r="E875" s="250" t="s">
        <v>3499</v>
      </c>
      <c r="F875" s="250" t="s">
        <v>3566</v>
      </c>
      <c r="G875" s="422" t="s">
        <v>42</v>
      </c>
      <c r="H875" s="424" t="s">
        <v>42</v>
      </c>
      <c r="I875" s="524">
        <v>130208</v>
      </c>
      <c r="J875" s="425" t="str">
        <f>INDEX(aux!B:B,MATCH(I875,aux!A:A,0))</f>
        <v>(*) Outros óleos de motores, transmissões e lubrificação</v>
      </c>
      <c r="K875" s="433" t="str">
        <f>INDEX(aux!C:C,MATCH(I875,aux!A:A,0))</f>
        <v>Sim</v>
      </c>
      <c r="L875" s="360">
        <v>5.6950000000000003</v>
      </c>
      <c r="M875" s="359" t="s">
        <v>1532</v>
      </c>
      <c r="N875" s="139">
        <f t="shared" si="46"/>
        <v>5695</v>
      </c>
      <c r="O875" s="93" t="s">
        <v>483</v>
      </c>
      <c r="P875" s="231" t="str">
        <f t="shared" si="47"/>
        <v>Reciclagem</v>
      </c>
      <c r="Q875" s="541" t="s">
        <v>1902</v>
      </c>
      <c r="R875" s="541" t="s">
        <v>1877</v>
      </c>
      <c r="S875" s="544" t="s">
        <v>485</v>
      </c>
      <c r="T875" s="93" t="s">
        <v>6275</v>
      </c>
      <c r="U875" s="93" t="s">
        <v>6275</v>
      </c>
      <c r="V875" s="93"/>
    </row>
    <row r="876" spans="1:22" ht="15.75" hidden="1" thickBot="1" x14ac:dyDescent="0.3">
      <c r="A876" s="529" t="s">
        <v>3199</v>
      </c>
      <c r="B876" s="529" t="s">
        <v>1916</v>
      </c>
      <c r="C876" s="424" t="str">
        <f t="shared" si="45"/>
        <v>Évora (APA00162329)</v>
      </c>
      <c r="D876" s="422">
        <v>2022</v>
      </c>
      <c r="E876" s="250" t="s">
        <v>3499</v>
      </c>
      <c r="F876" s="250" t="s">
        <v>3566</v>
      </c>
      <c r="G876" s="422" t="s">
        <v>42</v>
      </c>
      <c r="H876" s="424" t="s">
        <v>42</v>
      </c>
      <c r="I876" s="531">
        <v>80117</v>
      </c>
      <c r="J876" s="425" t="str">
        <f>INDEX(aux!B:B,MATCH(I876,aux!A:A,0))</f>
        <v>(*) Resíduos de tintas e vernizes, contendo solventes orgânicos ou outras substâncias perigosas</v>
      </c>
      <c r="K876" s="433" t="str">
        <f>INDEX(aux!C:C,MATCH(I876,aux!A:A,0))</f>
        <v>Sim</v>
      </c>
      <c r="L876" s="646">
        <v>1.3325E-2</v>
      </c>
      <c r="M876" s="535" t="s">
        <v>1532</v>
      </c>
      <c r="N876" s="139">
        <f t="shared" si="46"/>
        <v>13.324999999999999</v>
      </c>
      <c r="O876" s="538" t="s">
        <v>509</v>
      </c>
      <c r="P876" s="231" t="str">
        <f t="shared" si="47"/>
        <v>Aterro</v>
      </c>
      <c r="Q876" s="541" t="s">
        <v>1901</v>
      </c>
      <c r="R876" s="541" t="s">
        <v>1892</v>
      </c>
      <c r="S876" s="528" t="str">
        <f>IFERROR(INDEX(Tabela3[Tipos de Tratamento],MATCH('A3.9.1 copy'!O261,Tabela3[Código],0)),"")</f>
        <v>Acumulação de resíduos destinados a uma das operações enumeradas de R1 a R12</v>
      </c>
      <c r="T876" s="458" t="s">
        <v>1539</v>
      </c>
      <c r="U876" s="458" t="s">
        <v>1539</v>
      </c>
      <c r="V876" s="93"/>
    </row>
    <row r="877" spans="1:22" ht="15.75" hidden="1" thickBot="1" x14ac:dyDescent="0.3">
      <c r="A877" s="529" t="s">
        <v>3199</v>
      </c>
      <c r="B877" s="529" t="s">
        <v>1916</v>
      </c>
      <c r="C877" s="424" t="str">
        <f t="shared" si="45"/>
        <v>Évora (APA00162329)</v>
      </c>
      <c r="D877" s="422">
        <v>2022</v>
      </c>
      <c r="E877" s="250" t="s">
        <v>3499</v>
      </c>
      <c r="F877" s="250" t="s">
        <v>3566</v>
      </c>
      <c r="G877" s="422" t="s">
        <v>42</v>
      </c>
      <c r="H877" s="424" t="s">
        <v>42</v>
      </c>
      <c r="I877" s="531">
        <v>80117</v>
      </c>
      <c r="J877" s="425" t="str">
        <f>INDEX(aux!B:B,MATCH(I877,aux!A:A,0))</f>
        <v>(*) Resíduos de tintas e vernizes, contendo solventes orgânicos ou outras substâncias perigosas</v>
      </c>
      <c r="K877" s="433" t="str">
        <f>INDEX(aux!C:C,MATCH(I877,aux!A:A,0))</f>
        <v>Sim</v>
      </c>
      <c r="L877" s="646">
        <v>1.23E-2</v>
      </c>
      <c r="M877" s="535" t="s">
        <v>1532</v>
      </c>
      <c r="N877" s="139">
        <f t="shared" si="46"/>
        <v>12.3</v>
      </c>
      <c r="O877" s="538" t="s">
        <v>483</v>
      </c>
      <c r="P877" s="231" t="str">
        <f t="shared" si="47"/>
        <v>Reciclagem</v>
      </c>
      <c r="Q877" s="541" t="s">
        <v>1901</v>
      </c>
      <c r="R877" s="541" t="s">
        <v>1892</v>
      </c>
      <c r="S877" s="528" t="str">
        <f>IFERROR(INDEX(Tabela3[Tipos de Tratamento],MATCH('A3.9.1 copy'!O262,Tabela3[Código],0)),"")</f>
        <v xml:space="preserve">Regeneração de óleos e outras reutilizações de óleos </v>
      </c>
      <c r="T877" s="458" t="s">
        <v>1539</v>
      </c>
      <c r="U877" s="458" t="s">
        <v>1539</v>
      </c>
      <c r="V877" s="93"/>
    </row>
    <row r="878" spans="1:22" ht="15.75" hidden="1" thickBot="1" x14ac:dyDescent="0.3">
      <c r="A878" s="529" t="s">
        <v>3199</v>
      </c>
      <c r="B878" s="529" t="s">
        <v>1916</v>
      </c>
      <c r="C878" s="424" t="str">
        <f t="shared" si="45"/>
        <v>Évora (APA00162329)</v>
      </c>
      <c r="D878" s="422">
        <v>2022</v>
      </c>
      <c r="E878" s="250" t="s">
        <v>3499</v>
      </c>
      <c r="F878" s="250" t="s">
        <v>3566</v>
      </c>
      <c r="G878" s="422" t="s">
        <v>42</v>
      </c>
      <c r="H878" s="424" t="s">
        <v>42</v>
      </c>
      <c r="I878" s="531">
        <v>130508</v>
      </c>
      <c r="J878" s="425" t="str">
        <f>INDEX(aux!B:B,MATCH(I878,aux!A:A,0))</f>
        <v>(*) Misturas de resíduos provenientes de desarenadores e de separadores óleo/água</v>
      </c>
      <c r="K878" s="433" t="str">
        <f>INDEX(aux!C:C,MATCH(I878,aux!A:A,0))</f>
        <v>Sim</v>
      </c>
      <c r="L878" s="646">
        <v>11.625</v>
      </c>
      <c r="M878" s="535" t="s">
        <v>1532</v>
      </c>
      <c r="N878" s="139">
        <f t="shared" si="46"/>
        <v>11625</v>
      </c>
      <c r="O878" s="538" t="s">
        <v>503</v>
      </c>
      <c r="P878" s="231" t="str">
        <f t="shared" si="47"/>
        <v>Aterro</v>
      </c>
      <c r="Q878" s="541" t="s">
        <v>1901</v>
      </c>
      <c r="R878" s="541" t="s">
        <v>1892</v>
      </c>
      <c r="S878" s="528" t="str">
        <f>IFERROR(INDEX(Tabela3[Tipos de Tratamento],MATCH('A3.9.1 copy'!O264,Tabela3[Código],0)),"")</f>
        <v xml:space="preserve">Troca de resíduos com vista a submetê-los a uma das operações enumeradas de R 1 a R 11 </v>
      </c>
      <c r="T878" s="458" t="s">
        <v>3212</v>
      </c>
      <c r="U878" s="458" t="s">
        <v>1536</v>
      </c>
      <c r="V878" s="93"/>
    </row>
    <row r="879" spans="1:22" ht="15.75" hidden="1" thickBot="1" x14ac:dyDescent="0.3">
      <c r="A879" s="529" t="s">
        <v>3199</v>
      </c>
      <c r="B879" s="529" t="s">
        <v>1916</v>
      </c>
      <c r="C879" s="424" t="str">
        <f t="shared" ref="C879:C942" si="48">IF(A879=B879,"X",RIGHT(A879,LEN(A879)-LEN(B879)-3))</f>
        <v>Évora (APA00162329)</v>
      </c>
      <c r="D879" s="422">
        <v>2022</v>
      </c>
      <c r="E879" s="250" t="s">
        <v>3499</v>
      </c>
      <c r="F879" s="250" t="s">
        <v>3566</v>
      </c>
      <c r="G879" s="422" t="s">
        <v>42</v>
      </c>
      <c r="H879" s="424" t="s">
        <v>42</v>
      </c>
      <c r="I879" s="531">
        <v>140603</v>
      </c>
      <c r="J879" s="425" t="str">
        <f>INDEX(aux!B:B,MATCH(I879,aux!A:A,0))</f>
        <v>Outros solventes e misturas de solventes</v>
      </c>
      <c r="K879" s="433" t="str">
        <f>INDEX(aux!C:C,MATCH(I879,aux!A:A,0))</f>
        <v>Sim</v>
      </c>
      <c r="L879" s="646">
        <v>0.12</v>
      </c>
      <c r="M879" s="535" t="s">
        <v>1532</v>
      </c>
      <c r="N879" s="139">
        <f t="shared" si="46"/>
        <v>120</v>
      </c>
      <c r="O879" s="538" t="s">
        <v>483</v>
      </c>
      <c r="P879" s="231" t="str">
        <f t="shared" si="47"/>
        <v>Reciclagem</v>
      </c>
      <c r="Q879" s="541" t="s">
        <v>1901</v>
      </c>
      <c r="R879" s="541" t="s">
        <v>1892</v>
      </c>
      <c r="S879" s="528" t="str">
        <f>IFERROR(INDEX(Tabela3[Tipos de Tratamento],MATCH('A3.9.1 copy'!O265,Tabela3[Código],0)),"")</f>
        <v xml:space="preserve">Troca de resíduos com vista a submetê-los a uma das operações enumeradas de R 1 a R 11 </v>
      </c>
      <c r="T879" s="458" t="s">
        <v>1539</v>
      </c>
      <c r="U879" s="458" t="s">
        <v>1539</v>
      </c>
      <c r="V879" s="93"/>
    </row>
    <row r="880" spans="1:22" ht="15.75" hidden="1" thickBot="1" x14ac:dyDescent="0.3">
      <c r="A880" s="529" t="s">
        <v>3199</v>
      </c>
      <c r="B880" s="529" t="s">
        <v>1916</v>
      </c>
      <c r="C880" s="424" t="str">
        <f t="shared" si="48"/>
        <v>Évora (APA00162329)</v>
      </c>
      <c r="D880" s="422">
        <v>2022</v>
      </c>
      <c r="E880" s="250" t="s">
        <v>3499</v>
      </c>
      <c r="F880" s="250" t="s">
        <v>3566</v>
      </c>
      <c r="G880" s="422" t="s">
        <v>42</v>
      </c>
      <c r="H880" s="424" t="s">
        <v>42</v>
      </c>
      <c r="I880" s="531">
        <v>140603</v>
      </c>
      <c r="J880" s="425" t="str">
        <f>INDEX(aux!B:B,MATCH(I880,aux!A:A,0))</f>
        <v>Outros solventes e misturas de solventes</v>
      </c>
      <c r="K880" s="433" t="str">
        <f>INDEX(aux!C:C,MATCH(I880,aux!A:A,0))</f>
        <v>Sim</v>
      </c>
      <c r="L880" s="646">
        <v>0.14000000000000001</v>
      </c>
      <c r="M880" s="535" t="s">
        <v>1532</v>
      </c>
      <c r="N880" s="139">
        <f t="shared" si="46"/>
        <v>140</v>
      </c>
      <c r="O880" s="538" t="s">
        <v>484</v>
      </c>
      <c r="P880" s="231" t="str">
        <f t="shared" si="47"/>
        <v>Reciclagem</v>
      </c>
      <c r="Q880" s="541" t="s">
        <v>1901</v>
      </c>
      <c r="R880" s="541" t="s">
        <v>1892</v>
      </c>
      <c r="S880" s="528" t="str">
        <f>IFERROR(INDEX(Tabela3[Tipos de Tratamento],MATCH('A3.9.1 copy'!O266,Tabela3[Código],0)),"")</f>
        <v xml:space="preserve">Troca de resíduos com vista a submetê-los a uma das operações enumeradas de R 1 a R 11 </v>
      </c>
      <c r="T880" s="458" t="s">
        <v>1539</v>
      </c>
      <c r="U880" s="458" t="s">
        <v>1539</v>
      </c>
      <c r="V880" s="93"/>
    </row>
    <row r="881" spans="1:22" ht="15.75" hidden="1" thickBot="1" x14ac:dyDescent="0.3">
      <c r="A881" s="529" t="s">
        <v>3199</v>
      </c>
      <c r="B881" s="529" t="s">
        <v>1916</v>
      </c>
      <c r="C881" s="424" t="str">
        <f t="shared" si="48"/>
        <v>Évora (APA00162329)</v>
      </c>
      <c r="D881" s="422">
        <v>2022</v>
      </c>
      <c r="E881" s="250" t="s">
        <v>3499</v>
      </c>
      <c r="F881" s="250" t="s">
        <v>3566</v>
      </c>
      <c r="G881" s="422" t="s">
        <v>42</v>
      </c>
      <c r="H881" s="424" t="s">
        <v>42</v>
      </c>
      <c r="I881" s="531">
        <v>140603</v>
      </c>
      <c r="J881" s="425" t="str">
        <f>INDEX(aux!B:B,MATCH(I881,aux!A:A,0))</f>
        <v>Outros solventes e misturas de solventes</v>
      </c>
      <c r="K881" s="433" t="str">
        <f>INDEX(aux!C:C,MATCH(I881,aux!A:A,0))</f>
        <v>Sim</v>
      </c>
      <c r="L881" s="646">
        <v>0.39300000000000002</v>
      </c>
      <c r="M881" s="535" t="s">
        <v>1532</v>
      </c>
      <c r="N881" s="139">
        <f t="shared" si="46"/>
        <v>393</v>
      </c>
      <c r="O881" s="538" t="s">
        <v>484</v>
      </c>
      <c r="P881" s="231" t="str">
        <f t="shared" si="47"/>
        <v>Reciclagem</v>
      </c>
      <c r="Q881" s="541" t="s">
        <v>1901</v>
      </c>
      <c r="R881" s="541" t="s">
        <v>1892</v>
      </c>
      <c r="S881" s="528" t="str">
        <f>IFERROR(INDEX(Tabela3[Tipos de Tratamento],MATCH('A3.9.1 copy'!O267,Tabela3[Código],0)),"")</f>
        <v>Acumulação de resíduos destinados a uma das operações enumeradas de R1 a R12</v>
      </c>
      <c r="T881" s="458" t="s">
        <v>1536</v>
      </c>
      <c r="U881" s="458" t="s">
        <v>3193</v>
      </c>
      <c r="V881" s="93"/>
    </row>
    <row r="882" spans="1:22" ht="15.75" hidden="1" thickBot="1" x14ac:dyDescent="0.3">
      <c r="A882" s="529" t="s">
        <v>3199</v>
      </c>
      <c r="B882" s="529" t="s">
        <v>1916</v>
      </c>
      <c r="C882" s="424" t="str">
        <f t="shared" si="48"/>
        <v>Évora (APA00162329)</v>
      </c>
      <c r="D882" s="422">
        <v>2022</v>
      </c>
      <c r="E882" s="250" t="s">
        <v>3499</v>
      </c>
      <c r="F882" s="250" t="s">
        <v>3566</v>
      </c>
      <c r="G882" s="422" t="s">
        <v>42</v>
      </c>
      <c r="H882" s="424" t="s">
        <v>42</v>
      </c>
      <c r="I882" s="531">
        <v>150202</v>
      </c>
      <c r="J882" s="425" t="str">
        <f>INDEX(aux!B:B,MATCH(I882,aux!A:A,0))</f>
        <v>(*) Absorventes, materiais filtrantes (incluindo filtros de óleo sem outras especificações), panos de limpeza e vestuário de proteção, contaminados por substâncias perigosas</v>
      </c>
      <c r="K882" s="433" t="str">
        <f>INDEX(aux!C:C,MATCH(I882,aux!A:A,0))</f>
        <v>Sim</v>
      </c>
      <c r="L882" s="646">
        <v>0.38200000000000001</v>
      </c>
      <c r="M882" s="535" t="s">
        <v>1532</v>
      </c>
      <c r="N882" s="139">
        <f t="shared" si="46"/>
        <v>382</v>
      </c>
      <c r="O882" s="538" t="s">
        <v>484</v>
      </c>
      <c r="P882" s="231" t="str">
        <f t="shared" si="47"/>
        <v>Reciclagem</v>
      </c>
      <c r="Q882" s="541" t="s">
        <v>1901</v>
      </c>
      <c r="R882" s="541" t="s">
        <v>1892</v>
      </c>
      <c r="S882" s="528" t="str">
        <f>IFERROR(INDEX(Tabela3[Tipos de Tratamento],MATCH('A3.9.1 copy'!O268,Tabela3[Código],0)),"")</f>
        <v>Acumulação de resíduos destinados a uma das operações enumeradas de R1 a R12</v>
      </c>
      <c r="T882" s="458" t="s">
        <v>1536</v>
      </c>
      <c r="U882" s="458" t="s">
        <v>3193</v>
      </c>
      <c r="V882" s="422"/>
    </row>
    <row r="883" spans="1:22" ht="15.75" hidden="1" thickBot="1" x14ac:dyDescent="0.3">
      <c r="A883" s="529" t="s">
        <v>3199</v>
      </c>
      <c r="B883" s="529" t="s">
        <v>1916</v>
      </c>
      <c r="C883" s="424" t="str">
        <f t="shared" si="48"/>
        <v>Évora (APA00162329)</v>
      </c>
      <c r="D883" s="422">
        <v>2022</v>
      </c>
      <c r="E883" s="250" t="s">
        <v>3499</v>
      </c>
      <c r="F883" s="250" t="s">
        <v>3566</v>
      </c>
      <c r="G883" s="422" t="s">
        <v>42</v>
      </c>
      <c r="H883" s="424" t="s">
        <v>42</v>
      </c>
      <c r="I883" s="531">
        <v>160107</v>
      </c>
      <c r="J883" s="425" t="str">
        <f>INDEX(aux!B:B,MATCH(I883,aux!A:A,0))</f>
        <v>(*) Filtros de óleo</v>
      </c>
      <c r="K883" s="433" t="str">
        <f>INDEX(aux!C:C,MATCH(I883,aux!A:A,0))</f>
        <v>Sim</v>
      </c>
      <c r="L883" s="646">
        <v>0.53100000000000003</v>
      </c>
      <c r="M883" s="535" t="s">
        <v>1532</v>
      </c>
      <c r="N883" s="139">
        <f t="shared" si="46"/>
        <v>531</v>
      </c>
      <c r="O883" s="538" t="s">
        <v>484</v>
      </c>
      <c r="P883" s="231" t="str">
        <f t="shared" si="47"/>
        <v>Reciclagem</v>
      </c>
      <c r="Q883" s="541" t="s">
        <v>1901</v>
      </c>
      <c r="R883" s="541" t="s">
        <v>1892</v>
      </c>
      <c r="S883" s="528" t="str">
        <f>IFERROR(INDEX(Tabela3[Tipos de Tratamento],MATCH('A3.9.1 copy'!O271,Tabela3[Código],0)),"")</f>
        <v xml:space="preserve">Troca de resíduos com vista a submetê-los a uma das operações enumeradas de R 1 a R 11 </v>
      </c>
      <c r="T883" s="458" t="s">
        <v>1536</v>
      </c>
      <c r="U883" s="458" t="s">
        <v>3193</v>
      </c>
      <c r="V883" s="422"/>
    </row>
    <row r="884" spans="1:22" ht="15.75" thickBot="1" x14ac:dyDescent="0.3">
      <c r="A884" s="93" t="s">
        <v>3199</v>
      </c>
      <c r="B884" s="93" t="s">
        <v>1916</v>
      </c>
      <c r="C884" s="424" t="str">
        <f t="shared" si="48"/>
        <v>Évora (APA00162329)</v>
      </c>
      <c r="D884" s="422">
        <v>2023</v>
      </c>
      <c r="E884" s="250" t="s">
        <v>3499</v>
      </c>
      <c r="F884" s="250" t="s">
        <v>3566</v>
      </c>
      <c r="G884" s="422" t="s">
        <v>42</v>
      </c>
      <c r="H884" s="424" t="s">
        <v>42</v>
      </c>
      <c r="I884" s="524">
        <v>80117</v>
      </c>
      <c r="J884" s="425" t="str">
        <f>INDEX(aux!B:B,MATCH(I884,aux!A:A,0))</f>
        <v>(*) Resíduos de tintas e vernizes, contendo solventes orgânicos ou outras substâncias perigosas</v>
      </c>
      <c r="K884" s="433" t="str">
        <f>INDEX(aux!C:C,MATCH(I884,aux!A:A,0))</f>
        <v>Sim</v>
      </c>
      <c r="L884" s="360">
        <v>3.0624999999999999E-2</v>
      </c>
      <c r="M884" s="359" t="s">
        <v>1532</v>
      </c>
      <c r="N884" s="139">
        <f t="shared" si="46"/>
        <v>30.625</v>
      </c>
      <c r="O884" s="93" t="s">
        <v>509</v>
      </c>
      <c r="P884" s="231" t="str">
        <f t="shared" si="47"/>
        <v>Aterro</v>
      </c>
      <c r="Q884" s="541" t="s">
        <v>1901</v>
      </c>
      <c r="R884" s="541" t="s">
        <v>1892</v>
      </c>
      <c r="S884" s="544" t="s">
        <v>1556</v>
      </c>
      <c r="T884" s="93" t="s">
        <v>1539</v>
      </c>
      <c r="U884" s="93" t="s">
        <v>1539</v>
      </c>
      <c r="V884" s="93"/>
    </row>
    <row r="885" spans="1:22" ht="15.75" thickBot="1" x14ac:dyDescent="0.3">
      <c r="A885" s="93" t="s">
        <v>3199</v>
      </c>
      <c r="B885" s="93" t="s">
        <v>1916</v>
      </c>
      <c r="C885" s="424" t="str">
        <f t="shared" si="48"/>
        <v>Évora (APA00162329)</v>
      </c>
      <c r="D885" s="422">
        <v>2023</v>
      </c>
      <c r="E885" s="250" t="s">
        <v>3499</v>
      </c>
      <c r="F885" s="250" t="s">
        <v>3566</v>
      </c>
      <c r="G885" s="422" t="s">
        <v>42</v>
      </c>
      <c r="H885" s="424" t="s">
        <v>42</v>
      </c>
      <c r="I885" s="524">
        <v>140603</v>
      </c>
      <c r="J885" s="425" t="str">
        <f>INDEX(aux!B:B,MATCH(I885,aux!A:A,0))</f>
        <v>Outros solventes e misturas de solventes</v>
      </c>
      <c r="K885" s="433" t="str">
        <f>INDEX(aux!C:C,MATCH(I885,aux!A:A,0))</f>
        <v>Sim</v>
      </c>
      <c r="L885" s="360">
        <v>0.28499999999999998</v>
      </c>
      <c r="M885" s="359" t="s">
        <v>1532</v>
      </c>
      <c r="N885" s="139">
        <f t="shared" si="46"/>
        <v>285</v>
      </c>
      <c r="O885" s="93" t="s">
        <v>484</v>
      </c>
      <c r="P885" s="231" t="str">
        <f t="shared" si="47"/>
        <v>Reciclagem</v>
      </c>
      <c r="Q885" s="541" t="s">
        <v>1901</v>
      </c>
      <c r="R885" s="541" t="s">
        <v>1892</v>
      </c>
      <c r="S885" s="544" t="s">
        <v>1553</v>
      </c>
      <c r="T885" s="93" t="s">
        <v>1539</v>
      </c>
      <c r="U885" s="93" t="s">
        <v>1539</v>
      </c>
      <c r="V885" s="422"/>
    </row>
    <row r="886" spans="1:22" ht="15.75" thickBot="1" x14ac:dyDescent="0.3">
      <c r="A886" s="93" t="s">
        <v>3199</v>
      </c>
      <c r="B886" s="93" t="s">
        <v>1916</v>
      </c>
      <c r="C886" s="424" t="str">
        <f t="shared" si="48"/>
        <v>Évora (APA00162329)</v>
      </c>
      <c r="D886" s="422">
        <v>2023</v>
      </c>
      <c r="E886" s="250" t="s">
        <v>3499</v>
      </c>
      <c r="F886" s="250" t="s">
        <v>3566</v>
      </c>
      <c r="G886" s="422" t="s">
        <v>42</v>
      </c>
      <c r="H886" s="424" t="s">
        <v>42</v>
      </c>
      <c r="I886" s="524">
        <v>140603</v>
      </c>
      <c r="J886" s="425" t="str">
        <f>INDEX(aux!B:B,MATCH(I886,aux!A:A,0))</f>
        <v>Outros solventes e misturas de solventes</v>
      </c>
      <c r="K886" s="433" t="str">
        <f>INDEX(aux!C:C,MATCH(I886,aux!A:A,0))</f>
        <v>Sim</v>
      </c>
      <c r="L886" s="360">
        <v>0.38700000000000001</v>
      </c>
      <c r="M886" s="359" t="s">
        <v>1532</v>
      </c>
      <c r="N886" s="139">
        <f t="shared" si="46"/>
        <v>387</v>
      </c>
      <c r="O886" s="93" t="s">
        <v>484</v>
      </c>
      <c r="P886" s="231" t="str">
        <f t="shared" si="47"/>
        <v>Reciclagem</v>
      </c>
      <c r="Q886" s="541" t="s">
        <v>1901</v>
      </c>
      <c r="R886" s="541" t="s">
        <v>1892</v>
      </c>
      <c r="S886" s="544" t="s">
        <v>1553</v>
      </c>
      <c r="T886" s="93" t="s">
        <v>6276</v>
      </c>
      <c r="U886" s="93" t="s">
        <v>6277</v>
      </c>
      <c r="V886" s="422"/>
    </row>
    <row r="887" spans="1:22" ht="15.75" thickBot="1" x14ac:dyDescent="0.3">
      <c r="A887" s="422" t="s">
        <v>3199</v>
      </c>
      <c r="B887" s="422" t="s">
        <v>1916</v>
      </c>
      <c r="C887" s="424" t="str">
        <f t="shared" si="48"/>
        <v>Évora (APA00162329)</v>
      </c>
      <c r="D887" s="422">
        <v>2023</v>
      </c>
      <c r="E887" s="250" t="s">
        <v>3499</v>
      </c>
      <c r="F887" s="250" t="s">
        <v>3566</v>
      </c>
      <c r="G887" s="422" t="s">
        <v>42</v>
      </c>
      <c r="H887" s="424" t="s">
        <v>42</v>
      </c>
      <c r="I887" s="524">
        <v>130508</v>
      </c>
      <c r="J887" s="425" t="str">
        <f>INDEX(aux!B:B,MATCH(I887,aux!A:A,0))</f>
        <v>(*) Misturas de resíduos provenientes de desarenadores e de separadores óleo/água</v>
      </c>
      <c r="K887" s="433" t="str">
        <f>INDEX(aux!C:C,MATCH(I887,aux!A:A,0))</f>
        <v>Sim</v>
      </c>
      <c r="L887" s="360">
        <v>9.3849999999999998</v>
      </c>
      <c r="M887" s="359" t="s">
        <v>1532</v>
      </c>
      <c r="N887" s="139">
        <f t="shared" si="46"/>
        <v>9385</v>
      </c>
      <c r="O887" s="93" t="s">
        <v>503</v>
      </c>
      <c r="P887" s="231" t="str">
        <f t="shared" si="47"/>
        <v>Aterro</v>
      </c>
      <c r="Q887" s="541" t="s">
        <v>1901</v>
      </c>
      <c r="R887" s="541" t="s">
        <v>1892</v>
      </c>
      <c r="S887" s="544" t="s">
        <v>518</v>
      </c>
      <c r="T887" s="93" t="s">
        <v>6279</v>
      </c>
      <c r="U887" s="93" t="s">
        <v>6276</v>
      </c>
      <c r="V887" s="422"/>
    </row>
    <row r="888" spans="1:22" ht="15.75" thickBot="1" x14ac:dyDescent="0.3">
      <c r="A888" s="93" t="s">
        <v>3199</v>
      </c>
      <c r="B888" s="93" t="s">
        <v>1916</v>
      </c>
      <c r="C888" s="424" t="str">
        <f t="shared" si="48"/>
        <v>Évora (APA00162329)</v>
      </c>
      <c r="D888" s="422">
        <v>2023</v>
      </c>
      <c r="E888" s="250" t="s">
        <v>3499</v>
      </c>
      <c r="F888" s="250" t="s">
        <v>3566</v>
      </c>
      <c r="G888" s="422" t="s">
        <v>42</v>
      </c>
      <c r="H888" s="424" t="s">
        <v>42</v>
      </c>
      <c r="I888" s="524">
        <v>150202</v>
      </c>
      <c r="J888" s="425" t="str">
        <f>INDEX(aux!B:B,MATCH(I888,aux!A:A,0))</f>
        <v>(*) Absorventes, materiais filtrantes (incluindo filtros de óleo sem outras especificações), panos de limpeza e vestuário de proteção, contaminados por substâncias perigosas</v>
      </c>
      <c r="K888" s="433" t="str">
        <f>INDEX(aux!C:C,MATCH(I888,aux!A:A,0))</f>
        <v>Sim</v>
      </c>
      <c r="L888" s="360">
        <v>0.39500000000000002</v>
      </c>
      <c r="M888" s="359" t="s">
        <v>1532</v>
      </c>
      <c r="N888" s="139">
        <f t="shared" si="46"/>
        <v>395</v>
      </c>
      <c r="O888" s="93" t="s">
        <v>509</v>
      </c>
      <c r="P888" s="231" t="str">
        <f t="shared" si="47"/>
        <v>Aterro</v>
      </c>
      <c r="Q888" s="541" t="s">
        <v>1901</v>
      </c>
      <c r="R888" s="541" t="s">
        <v>1892</v>
      </c>
      <c r="S888" s="544" t="s">
        <v>1556</v>
      </c>
      <c r="T888" s="93" t="s">
        <v>6276</v>
      </c>
      <c r="U888" s="93" t="s">
        <v>6277</v>
      </c>
      <c r="V888" s="422"/>
    </row>
    <row r="889" spans="1:22" ht="15.75" thickBot="1" x14ac:dyDescent="0.3">
      <c r="A889" s="422" t="s">
        <v>3199</v>
      </c>
      <c r="B889" s="93" t="s">
        <v>1916</v>
      </c>
      <c r="C889" s="424" t="str">
        <f t="shared" si="48"/>
        <v>Évora (APA00162329)</v>
      </c>
      <c r="D889" s="422">
        <v>2023</v>
      </c>
      <c r="E889" s="250" t="s">
        <v>3499</v>
      </c>
      <c r="F889" s="250" t="s">
        <v>3566</v>
      </c>
      <c r="G889" s="422" t="s">
        <v>42</v>
      </c>
      <c r="H889" s="424" t="s">
        <v>42</v>
      </c>
      <c r="I889" s="522">
        <v>160107</v>
      </c>
      <c r="J889" s="425" t="str">
        <f>INDEX(aux!B:B,MATCH(I889,aux!A:A,0))</f>
        <v>(*) Filtros de óleo</v>
      </c>
      <c r="K889" s="433" t="str">
        <f>INDEX(aux!C:C,MATCH(I889,aux!A:A,0))</f>
        <v>Sim</v>
      </c>
      <c r="L889" s="360">
        <v>0.73499999999999999</v>
      </c>
      <c r="M889" s="359" t="s">
        <v>1532</v>
      </c>
      <c r="N889" s="139">
        <f t="shared" si="46"/>
        <v>735</v>
      </c>
      <c r="O889" s="93" t="s">
        <v>484</v>
      </c>
      <c r="P889" s="231" t="str">
        <f t="shared" si="47"/>
        <v>Reciclagem</v>
      </c>
      <c r="Q889" s="541" t="s">
        <v>1901</v>
      </c>
      <c r="R889" s="541" t="s">
        <v>1892</v>
      </c>
      <c r="S889" s="544" t="s">
        <v>1553</v>
      </c>
      <c r="T889" s="93" t="s">
        <v>6276</v>
      </c>
      <c r="U889" s="93" t="s">
        <v>6277</v>
      </c>
      <c r="V889" s="422"/>
    </row>
    <row r="890" spans="1:22" ht="15.75" hidden="1" thickBot="1" x14ac:dyDescent="0.3">
      <c r="A890" s="529" t="s">
        <v>3199</v>
      </c>
      <c r="B890" s="529" t="s">
        <v>1916</v>
      </c>
      <c r="C890" s="424" t="str">
        <f t="shared" si="48"/>
        <v>Évora (APA00162329)</v>
      </c>
      <c r="D890" s="422">
        <v>2022</v>
      </c>
      <c r="E890" s="250" t="s">
        <v>3499</v>
      </c>
      <c r="F890" s="250" t="s">
        <v>3566</v>
      </c>
      <c r="G890" s="422" t="s">
        <v>42</v>
      </c>
      <c r="H890" s="424" t="s">
        <v>42</v>
      </c>
      <c r="I890" s="531">
        <v>160104</v>
      </c>
      <c r="J890" s="425" t="str">
        <f>INDEX(aux!B:B,MATCH(I890,aux!A:A,0))</f>
        <v>Veículos em fim de vida</v>
      </c>
      <c r="K890" s="433" t="str">
        <f>INDEX(aux!C:C,MATCH(I890,aux!A:A,0))</f>
        <v>Sim</v>
      </c>
      <c r="L890" s="646">
        <v>13.22</v>
      </c>
      <c r="M890" s="535" t="s">
        <v>1532</v>
      </c>
      <c r="N890" s="139">
        <f t="shared" si="46"/>
        <v>13220</v>
      </c>
      <c r="O890" s="538" t="s">
        <v>484</v>
      </c>
      <c r="P890" s="231" t="str">
        <f t="shared" si="47"/>
        <v>Reciclagem</v>
      </c>
      <c r="Q890" s="541" t="s">
        <v>1907</v>
      </c>
      <c r="R890" s="541" t="s">
        <v>1903</v>
      </c>
      <c r="S890" s="528" t="str">
        <f>IFERROR(INDEX(Tabela3[Tipos de Tratamento],MATCH('A3.9.1 copy'!O269,Tabela3[Código],0)),"")</f>
        <v xml:space="preserve">Troca de resíduos com vista a submetê-los a uma das operações enumeradas de R 1 a R 11 </v>
      </c>
      <c r="T890" s="458" t="s">
        <v>3208</v>
      </c>
      <c r="U890" s="458" t="s">
        <v>3207</v>
      </c>
      <c r="V890" s="93"/>
    </row>
    <row r="891" spans="1:22" ht="15.75" hidden="1" thickBot="1" x14ac:dyDescent="0.3">
      <c r="A891" s="529" t="s">
        <v>3199</v>
      </c>
      <c r="B891" s="529" t="s">
        <v>1916</v>
      </c>
      <c r="C891" s="424" t="str">
        <f t="shared" si="48"/>
        <v>Évora (APA00162329)</v>
      </c>
      <c r="D891" s="422">
        <v>2022</v>
      </c>
      <c r="E891" s="250" t="s">
        <v>3499</v>
      </c>
      <c r="F891" s="250" t="s">
        <v>3566</v>
      </c>
      <c r="G891" s="422" t="s">
        <v>42</v>
      </c>
      <c r="H891" s="424" t="s">
        <v>42</v>
      </c>
      <c r="I891" s="531">
        <v>160104</v>
      </c>
      <c r="J891" s="425" t="str">
        <f>INDEX(aux!B:B,MATCH(I891,aux!A:A,0))</f>
        <v>Veículos em fim de vida</v>
      </c>
      <c r="K891" s="433" t="str">
        <f>INDEX(aux!C:C,MATCH(I891,aux!A:A,0))</f>
        <v>Sim</v>
      </c>
      <c r="L891" s="646">
        <v>7.34</v>
      </c>
      <c r="M891" s="535" t="s">
        <v>1532</v>
      </c>
      <c r="N891" s="139">
        <f t="shared" si="46"/>
        <v>7340</v>
      </c>
      <c r="O891" s="538" t="s">
        <v>484</v>
      </c>
      <c r="P891" s="231" t="str">
        <f t="shared" si="47"/>
        <v>Reciclagem</v>
      </c>
      <c r="Q891" s="541" t="s">
        <v>1907</v>
      </c>
      <c r="R891" s="541" t="s">
        <v>1903</v>
      </c>
      <c r="S891" s="528" t="str">
        <f>IFERROR(INDEX(Tabela3[Tipos de Tratamento],MATCH('A3.9.1 copy'!O270,Tabela3[Código],0)),"")</f>
        <v>Acumulação de resíduos destinados a uma das operações enumeradas de R1 a R12</v>
      </c>
      <c r="T891" s="458" t="s">
        <v>3213</v>
      </c>
      <c r="U891" s="458" t="s">
        <v>3207</v>
      </c>
      <c r="V891" s="93"/>
    </row>
    <row r="892" spans="1:22" ht="15.75" thickBot="1" x14ac:dyDescent="0.3">
      <c r="A892" s="93" t="s">
        <v>3199</v>
      </c>
      <c r="B892" s="93" t="s">
        <v>1916</v>
      </c>
      <c r="C892" s="424" t="str">
        <f t="shared" si="48"/>
        <v>Évora (APA00162329)</v>
      </c>
      <c r="D892" s="422">
        <v>2023</v>
      </c>
      <c r="E892" s="250" t="s">
        <v>3499</v>
      </c>
      <c r="F892" s="250" t="s">
        <v>3566</v>
      </c>
      <c r="G892" s="422" t="s">
        <v>42</v>
      </c>
      <c r="H892" s="424" t="s">
        <v>42</v>
      </c>
      <c r="I892" s="524">
        <v>160104</v>
      </c>
      <c r="J892" s="425" t="str">
        <f>INDEX(aux!B:B,MATCH(I892,aux!A:A,0))</f>
        <v>Veículos em fim de vida</v>
      </c>
      <c r="K892" s="433" t="str">
        <f>INDEX(aux!C:C,MATCH(I892,aux!A:A,0))</f>
        <v>Sim</v>
      </c>
      <c r="L892" s="360">
        <v>55.6</v>
      </c>
      <c r="M892" s="359" t="s">
        <v>1532</v>
      </c>
      <c r="N892" s="139">
        <f t="shared" si="46"/>
        <v>55600</v>
      </c>
      <c r="O892" s="93" t="s">
        <v>484</v>
      </c>
      <c r="P892" s="231" t="str">
        <f t="shared" si="47"/>
        <v>Reciclagem</v>
      </c>
      <c r="Q892" s="541" t="s">
        <v>1907</v>
      </c>
      <c r="R892" s="541" t="s">
        <v>6569</v>
      </c>
      <c r="S892" s="544" t="s">
        <v>1553</v>
      </c>
      <c r="T892" s="93" t="s">
        <v>6280</v>
      </c>
      <c r="U892" s="93" t="s">
        <v>6281</v>
      </c>
      <c r="V892" s="93"/>
    </row>
    <row r="893" spans="1:22" ht="15.75" hidden="1" thickBot="1" x14ac:dyDescent="0.3">
      <c r="A893" s="529" t="s">
        <v>3200</v>
      </c>
      <c r="B893" s="529" t="s">
        <v>1916</v>
      </c>
      <c r="C893" s="424" t="str">
        <f t="shared" si="48"/>
        <v>Odemira (APA00067277)</v>
      </c>
      <c r="D893" s="422">
        <v>2022</v>
      </c>
      <c r="E893" s="250" t="s">
        <v>3499</v>
      </c>
      <c r="F893" s="250" t="s">
        <v>3566</v>
      </c>
      <c r="G893" s="422" t="s">
        <v>42</v>
      </c>
      <c r="H893" s="424" t="s">
        <v>42</v>
      </c>
      <c r="I893" s="531">
        <v>130208</v>
      </c>
      <c r="J893" s="425" t="str">
        <f>INDEX(aux!B:B,MATCH(I893,aux!A:A,0))</f>
        <v>(*) Outros óleos de motores, transmissões e lubrificação</v>
      </c>
      <c r="K893" s="433" t="str">
        <f>INDEX(aux!C:C,MATCH(I893,aux!A:A,0))</f>
        <v>Sim</v>
      </c>
      <c r="L893" s="646">
        <v>0.219</v>
      </c>
      <c r="M893" s="535" t="s">
        <v>1532</v>
      </c>
      <c r="N893" s="139">
        <f t="shared" si="46"/>
        <v>219</v>
      </c>
      <c r="O893" s="538" t="s">
        <v>484</v>
      </c>
      <c r="P893" s="231" t="str">
        <f t="shared" si="47"/>
        <v>Reciclagem</v>
      </c>
      <c r="Q893" s="541" t="s">
        <v>1902</v>
      </c>
      <c r="R893" s="541" t="s">
        <v>1877</v>
      </c>
      <c r="S893" s="528" t="str">
        <f>IFERROR(INDEX(Tabela3[Tipos de Tratamento],MATCH('A3.9.1 copy'!O274,Tabela3[Código],0)),"")</f>
        <v xml:space="preserve">Troca de resíduos com vista a submetê-los a uma das operações enumeradas de R 1 a R 11 </v>
      </c>
      <c r="T893" s="458" t="s">
        <v>3209</v>
      </c>
      <c r="U893" s="458" t="s">
        <v>3209</v>
      </c>
      <c r="V893" s="93"/>
    </row>
    <row r="894" spans="1:22" ht="15.75" hidden="1" thickBot="1" x14ac:dyDescent="0.3">
      <c r="A894" s="529" t="s">
        <v>3191</v>
      </c>
      <c r="B894" s="529" t="s">
        <v>1916</v>
      </c>
      <c r="C894" s="424" t="str">
        <f t="shared" si="48"/>
        <v>Ponte Sor (APA00067113)</v>
      </c>
      <c r="D894" s="422">
        <v>2022</v>
      </c>
      <c r="E894" s="250" t="s">
        <v>3499</v>
      </c>
      <c r="F894" s="250" t="s">
        <v>3566</v>
      </c>
      <c r="G894" s="422" t="s">
        <v>42</v>
      </c>
      <c r="H894" s="424" t="s">
        <v>42</v>
      </c>
      <c r="I894" s="531">
        <v>160601</v>
      </c>
      <c r="J894" s="425" t="str">
        <f>INDEX(aux!B:B,MATCH(I894,aux!A:A,0))</f>
        <v>(*) Acumuladores de chumbo</v>
      </c>
      <c r="K894" s="433" t="str">
        <f>INDEX(aux!C:C,MATCH(I894,aux!A:A,0))</f>
        <v>Sim</v>
      </c>
      <c r="L894" s="646">
        <v>0.115</v>
      </c>
      <c r="M894" s="535" t="s">
        <v>1532</v>
      </c>
      <c r="N894" s="139">
        <f t="shared" si="46"/>
        <v>115</v>
      </c>
      <c r="O894" s="538" t="s">
        <v>483</v>
      </c>
      <c r="P894" s="231" t="str">
        <f t="shared" si="47"/>
        <v>Reciclagem</v>
      </c>
      <c r="Q894" s="541" t="s">
        <v>1653</v>
      </c>
      <c r="R894" s="541" t="s">
        <v>1877</v>
      </c>
      <c r="S894" s="528" t="str">
        <f>IFERROR(INDEX(Tabela3[Tipos de Tratamento],MATCH('A3.9.1 copy'!O219,Tabela3[Código],0)),"")</f>
        <v>Acumulação de resíduos destinados a uma das operações enumeradas de R1 a R12</v>
      </c>
      <c r="T894" s="458" t="s">
        <v>3194</v>
      </c>
      <c r="U894" s="458" t="s">
        <v>3194</v>
      </c>
      <c r="V894" s="93"/>
    </row>
    <row r="895" spans="1:22" ht="15.75" hidden="1" thickBot="1" x14ac:dyDescent="0.3">
      <c r="A895" s="529" t="s">
        <v>3191</v>
      </c>
      <c r="B895" s="529" t="s">
        <v>1916</v>
      </c>
      <c r="C895" s="424" t="str">
        <f t="shared" si="48"/>
        <v>Ponte Sor (APA00067113)</v>
      </c>
      <c r="D895" s="422">
        <v>2022</v>
      </c>
      <c r="E895" s="250" t="s">
        <v>3499</v>
      </c>
      <c r="F895" s="250" t="s">
        <v>3566</v>
      </c>
      <c r="G895" s="422" t="s">
        <v>42</v>
      </c>
      <c r="H895" s="424" t="s">
        <v>42</v>
      </c>
      <c r="I895" s="531">
        <v>160601</v>
      </c>
      <c r="J895" s="425" t="str">
        <f>INDEX(aux!B:B,MATCH(I895,aux!A:A,0))</f>
        <v>(*) Acumuladores de chumbo</v>
      </c>
      <c r="K895" s="433" t="str">
        <f>INDEX(aux!C:C,MATCH(I895,aux!A:A,0))</f>
        <v>Sim</v>
      </c>
      <c r="L895" s="646">
        <v>0.3</v>
      </c>
      <c r="M895" s="535" t="s">
        <v>1532</v>
      </c>
      <c r="N895" s="139">
        <f t="shared" si="46"/>
        <v>300</v>
      </c>
      <c r="O895" s="538" t="s">
        <v>484</v>
      </c>
      <c r="P895" s="231" t="str">
        <f t="shared" si="47"/>
        <v>Reciclagem</v>
      </c>
      <c r="Q895" s="541" t="s">
        <v>1653</v>
      </c>
      <c r="R895" s="541" t="s">
        <v>1877</v>
      </c>
      <c r="S895" s="528" t="str">
        <f>IFERROR(INDEX(Tabela3[Tipos de Tratamento],MATCH('A3.9.1 copy'!O220,Tabela3[Código],0)),"")</f>
        <v xml:space="preserve">Troca de resíduos com vista a submetê-los a uma das operações enumeradas de R 1 a R 11 </v>
      </c>
      <c r="T895" s="458" t="s">
        <v>3194</v>
      </c>
      <c r="U895" s="458" t="s">
        <v>3194</v>
      </c>
      <c r="V895" s="93"/>
    </row>
    <row r="896" spans="1:22" ht="15.75" thickBot="1" x14ac:dyDescent="0.3">
      <c r="A896" s="93" t="s">
        <v>3191</v>
      </c>
      <c r="B896" s="93" t="s">
        <v>1916</v>
      </c>
      <c r="C896" s="424" t="str">
        <f t="shared" si="48"/>
        <v>Ponte Sor (APA00067113)</v>
      </c>
      <c r="D896" s="422">
        <v>2023</v>
      </c>
      <c r="E896" s="250" t="s">
        <v>3499</v>
      </c>
      <c r="F896" s="250" t="s">
        <v>3566</v>
      </c>
      <c r="G896" s="422" t="s">
        <v>42</v>
      </c>
      <c r="H896" s="424" t="s">
        <v>42</v>
      </c>
      <c r="I896" s="522">
        <v>160601</v>
      </c>
      <c r="J896" s="425" t="str">
        <f>INDEX(aux!B:B,MATCH(I896,aux!A:A,0))</f>
        <v>(*) Acumuladores de chumbo</v>
      </c>
      <c r="K896" s="433" t="str">
        <f>INDEX(aux!C:C,MATCH(I896,aux!A:A,0))</f>
        <v>Sim</v>
      </c>
      <c r="L896" s="360">
        <v>0.14299999999999999</v>
      </c>
      <c r="M896" s="359" t="s">
        <v>1532</v>
      </c>
      <c r="N896" s="139">
        <f t="shared" si="46"/>
        <v>143</v>
      </c>
      <c r="O896" s="93" t="s">
        <v>484</v>
      </c>
      <c r="P896" s="231" t="str">
        <f t="shared" si="47"/>
        <v>Reciclagem</v>
      </c>
      <c r="Q896" s="541" t="s">
        <v>1653</v>
      </c>
      <c r="R896" s="541" t="s">
        <v>1877</v>
      </c>
      <c r="S896" s="544" t="s">
        <v>1553</v>
      </c>
      <c r="T896" s="93" t="s">
        <v>6283</v>
      </c>
      <c r="U896" s="93" t="s">
        <v>6283</v>
      </c>
      <c r="V896" s="93"/>
    </row>
    <row r="897" spans="1:22" ht="15.75" thickBot="1" x14ac:dyDescent="0.3">
      <c r="A897" s="93" t="s">
        <v>3191</v>
      </c>
      <c r="B897" s="93" t="s">
        <v>1916</v>
      </c>
      <c r="C897" s="424" t="str">
        <f t="shared" si="48"/>
        <v>Ponte Sor (APA00067113)</v>
      </c>
      <c r="D897" s="422">
        <v>2023</v>
      </c>
      <c r="E897" s="250" t="s">
        <v>3499</v>
      </c>
      <c r="F897" s="250" t="s">
        <v>3566</v>
      </c>
      <c r="G897" s="422" t="s">
        <v>42</v>
      </c>
      <c r="H897" s="424" t="s">
        <v>42</v>
      </c>
      <c r="I897" s="522">
        <v>191202</v>
      </c>
      <c r="J897" s="425" t="str">
        <f>INDEX(aux!B:B,MATCH(I897,aux!A:A,0))</f>
        <v>Metais ferrosos</v>
      </c>
      <c r="K897" s="433" t="str">
        <f>INDEX(aux!C:C,MATCH(I897,aux!A:A,0))</f>
        <v>Não</v>
      </c>
      <c r="L897" s="360">
        <v>0.32500000000000001</v>
      </c>
      <c r="M897" s="359" t="s">
        <v>1532</v>
      </c>
      <c r="N897" s="139">
        <f t="shared" si="46"/>
        <v>325</v>
      </c>
      <c r="O897" s="93" t="s">
        <v>483</v>
      </c>
      <c r="P897" s="231" t="str">
        <f t="shared" si="47"/>
        <v>Reciclagem</v>
      </c>
      <c r="Q897" s="541" t="s">
        <v>1557</v>
      </c>
      <c r="R897" s="541" t="s">
        <v>6569</v>
      </c>
      <c r="S897" s="544" t="s">
        <v>485</v>
      </c>
      <c r="T897" s="93" t="s">
        <v>6283</v>
      </c>
      <c r="U897" s="93" t="s">
        <v>6283</v>
      </c>
      <c r="V897" s="93"/>
    </row>
    <row r="898" spans="1:22" ht="15.75" hidden="1" thickBot="1" x14ac:dyDescent="0.3">
      <c r="A898" s="529" t="s">
        <v>3191</v>
      </c>
      <c r="B898" s="529" t="s">
        <v>1916</v>
      </c>
      <c r="C898" s="424" t="str">
        <f t="shared" si="48"/>
        <v>Ponte Sor (APA00067113)</v>
      </c>
      <c r="D898" s="422">
        <v>2022</v>
      </c>
      <c r="E898" s="250" t="s">
        <v>3499</v>
      </c>
      <c r="F898" s="250" t="s">
        <v>3566</v>
      </c>
      <c r="G898" s="422" t="s">
        <v>42</v>
      </c>
      <c r="H898" s="424" t="s">
        <v>42</v>
      </c>
      <c r="I898" s="531">
        <v>130208</v>
      </c>
      <c r="J898" s="425" t="str">
        <f>INDEX(aux!B:B,MATCH(I898,aux!A:A,0))</f>
        <v>(*) Outros óleos de motores, transmissões e lubrificação</v>
      </c>
      <c r="K898" s="433" t="str">
        <f>INDEX(aux!C:C,MATCH(I898,aux!A:A,0))</f>
        <v>Sim</v>
      </c>
      <c r="L898" s="646">
        <v>0.51300000000000001</v>
      </c>
      <c r="M898" s="535" t="s">
        <v>1532</v>
      </c>
      <c r="N898" s="139">
        <f t="shared" si="46"/>
        <v>513</v>
      </c>
      <c r="O898" s="538" t="s">
        <v>483</v>
      </c>
      <c r="P898" s="231" t="str">
        <f t="shared" si="47"/>
        <v>Reciclagem</v>
      </c>
      <c r="Q898" s="541" t="s">
        <v>1902</v>
      </c>
      <c r="R898" s="541" t="s">
        <v>1877</v>
      </c>
      <c r="S898" s="528" t="str">
        <f>IFERROR(INDEX(Tabela3[Tipos de Tratamento],MATCH('A3.9.1 copy'!O216,Tabela3[Código],0)),"")</f>
        <v>Acumulação de resíduos destinados a uma das operações enumeradas de R1 a R12</v>
      </c>
      <c r="T898" s="458" t="s">
        <v>1539</v>
      </c>
      <c r="U898" s="458" t="s">
        <v>1539</v>
      </c>
      <c r="V898" s="93"/>
    </row>
    <row r="899" spans="1:22" ht="15.75" hidden="1" thickBot="1" x14ac:dyDescent="0.3">
      <c r="A899" s="529" t="s">
        <v>3191</v>
      </c>
      <c r="B899" s="529" t="s">
        <v>1916</v>
      </c>
      <c r="C899" s="424" t="str">
        <f t="shared" si="48"/>
        <v>Ponte Sor (APA00067113)</v>
      </c>
      <c r="D899" s="422">
        <v>2022</v>
      </c>
      <c r="E899" s="250" t="s">
        <v>3499</v>
      </c>
      <c r="F899" s="250" t="s">
        <v>3566</v>
      </c>
      <c r="G899" s="422" t="s">
        <v>42</v>
      </c>
      <c r="H899" s="424" t="s">
        <v>42</v>
      </c>
      <c r="I899" s="531">
        <v>150202</v>
      </c>
      <c r="J899" s="425" t="str">
        <f>INDEX(aux!B:B,MATCH(I899,aux!A:A,0))</f>
        <v>(*) Absorventes, materiais filtrantes (incluindo filtros de óleo sem outras especificações), panos de limpeza e vestuário de proteção, contaminados por substâncias perigosas</v>
      </c>
      <c r="K899" s="433" t="str">
        <f>INDEX(aux!C:C,MATCH(I899,aux!A:A,0))</f>
        <v>Sim</v>
      </c>
      <c r="L899" s="646">
        <v>0.13300000000000001</v>
      </c>
      <c r="M899" s="535" t="s">
        <v>1532</v>
      </c>
      <c r="N899" s="139">
        <f t="shared" ref="N899:N962" si="49">IF(LEFT(M899,3)="ton",1000*L899,L899)</f>
        <v>133</v>
      </c>
      <c r="O899" s="538" t="s">
        <v>484</v>
      </c>
      <c r="P899" s="231" t="str">
        <f t="shared" ref="P899:P962" si="50">IF(LEFT(O899,1)="R","Reciclagem",IF(OR(O899="D10",O899="D11"),"Iceneração","Aterro"))</f>
        <v>Reciclagem</v>
      </c>
      <c r="Q899" s="541" t="s">
        <v>1901</v>
      </c>
      <c r="R899" s="541" t="s">
        <v>1892</v>
      </c>
      <c r="S899" s="528" t="str">
        <f>IFERROR(INDEX(Tabela3[Tipos de Tratamento],MATCH('A3.9.1 copy'!O217,Tabela3[Código],0)),"")</f>
        <v>Armazenagem enquanto se aguarda a execução de uma das operações enumeradas de D1 a D14</v>
      </c>
      <c r="T899" s="458" t="s">
        <v>1536</v>
      </c>
      <c r="U899" s="458" t="s">
        <v>3193</v>
      </c>
      <c r="V899" s="422"/>
    </row>
    <row r="900" spans="1:22" ht="15.75" hidden="1" thickBot="1" x14ac:dyDescent="0.3">
      <c r="A900" s="529" t="s">
        <v>3191</v>
      </c>
      <c r="B900" s="529" t="s">
        <v>1916</v>
      </c>
      <c r="C900" s="424" t="str">
        <f t="shared" si="48"/>
        <v>Ponte Sor (APA00067113)</v>
      </c>
      <c r="D900" s="422">
        <v>2022</v>
      </c>
      <c r="E900" s="250" t="s">
        <v>3499</v>
      </c>
      <c r="F900" s="250" t="s">
        <v>3566</v>
      </c>
      <c r="G900" s="422" t="s">
        <v>42</v>
      </c>
      <c r="H900" s="424" t="s">
        <v>42</v>
      </c>
      <c r="I900" s="531">
        <v>160107</v>
      </c>
      <c r="J900" s="425" t="str">
        <f>INDEX(aux!B:B,MATCH(I900,aux!A:A,0))</f>
        <v>(*) Filtros de óleo</v>
      </c>
      <c r="K900" s="433" t="str">
        <f>INDEX(aux!C:C,MATCH(I900,aux!A:A,0))</f>
        <v>Sim</v>
      </c>
      <c r="L900" s="646">
        <v>6.5000000000000002E-2</v>
      </c>
      <c r="M900" s="535" t="s">
        <v>1532</v>
      </c>
      <c r="N900" s="139">
        <f t="shared" si="49"/>
        <v>65</v>
      </c>
      <c r="O900" s="538" t="s">
        <v>484</v>
      </c>
      <c r="P900" s="231" t="str">
        <f t="shared" si="50"/>
        <v>Reciclagem</v>
      </c>
      <c r="Q900" s="541" t="s">
        <v>1901</v>
      </c>
      <c r="R900" s="541" t="s">
        <v>1892</v>
      </c>
      <c r="S900" s="528" t="str">
        <f>IFERROR(INDEX(Tabela3[Tipos de Tratamento],MATCH('A3.9.1 copy'!O218,Tabela3[Código],0)),"")</f>
        <v xml:space="preserve">Troca de resíduos com vista a submetê-los a uma das operações enumeradas de R 1 a R 11 </v>
      </c>
      <c r="T900" s="458" t="s">
        <v>1536</v>
      </c>
      <c r="U900" s="458" t="s">
        <v>3193</v>
      </c>
      <c r="V900" s="422"/>
    </row>
    <row r="901" spans="1:22" ht="15.75" thickBot="1" x14ac:dyDescent="0.3">
      <c r="A901" s="93" t="s">
        <v>3191</v>
      </c>
      <c r="B901" s="93" t="s">
        <v>1916</v>
      </c>
      <c r="C901" s="424" t="str">
        <f t="shared" si="48"/>
        <v>Ponte Sor (APA00067113)</v>
      </c>
      <c r="D901" s="422">
        <v>2023</v>
      </c>
      <c r="E901" s="250" t="s">
        <v>3499</v>
      </c>
      <c r="F901" s="250" t="s">
        <v>3566</v>
      </c>
      <c r="G901" s="422" t="s">
        <v>42</v>
      </c>
      <c r="H901" s="424" t="s">
        <v>42</v>
      </c>
      <c r="I901" s="522">
        <v>150202</v>
      </c>
      <c r="J901" s="425" t="str">
        <f>INDEX(aux!B:B,MATCH(I901,aux!A:A,0))</f>
        <v>(*) Absorventes, materiais filtrantes (incluindo filtros de óleo sem outras especificações), panos de limpeza e vestuário de proteção, contaminados por substâncias perigosas</v>
      </c>
      <c r="K901" s="433" t="str">
        <f>INDEX(aux!C:C,MATCH(I901,aux!A:A,0))</f>
        <v>Sim</v>
      </c>
      <c r="L901" s="360">
        <v>7.1999999999999995E-2</v>
      </c>
      <c r="M901" s="359" t="s">
        <v>1532</v>
      </c>
      <c r="N901" s="139">
        <f t="shared" si="49"/>
        <v>72</v>
      </c>
      <c r="O901" s="93" t="s">
        <v>509</v>
      </c>
      <c r="P901" s="231" t="str">
        <f t="shared" si="50"/>
        <v>Aterro</v>
      </c>
      <c r="Q901" s="541" t="s">
        <v>1901</v>
      </c>
      <c r="R901" s="541" t="s">
        <v>1892</v>
      </c>
      <c r="S901" s="544" t="s">
        <v>1556</v>
      </c>
      <c r="T901" s="93" t="s">
        <v>6276</v>
      </c>
      <c r="U901" s="93" t="s">
        <v>6276</v>
      </c>
      <c r="V901" s="422"/>
    </row>
    <row r="902" spans="1:22" ht="15.75" thickBot="1" x14ac:dyDescent="0.3">
      <c r="A902" s="422" t="s">
        <v>3191</v>
      </c>
      <c r="B902" s="93" t="s">
        <v>1916</v>
      </c>
      <c r="C902" s="424" t="str">
        <f t="shared" si="48"/>
        <v>Ponte Sor (APA00067113)</v>
      </c>
      <c r="D902" s="422">
        <v>2023</v>
      </c>
      <c r="E902" s="250" t="s">
        <v>3499</v>
      </c>
      <c r="F902" s="250" t="s">
        <v>3566</v>
      </c>
      <c r="G902" s="422" t="s">
        <v>42</v>
      </c>
      <c r="H902" s="424" t="s">
        <v>42</v>
      </c>
      <c r="I902" s="522">
        <v>160107</v>
      </c>
      <c r="J902" s="425" t="str">
        <f>INDEX(aux!B:B,MATCH(I902,aux!A:A,0))</f>
        <v>(*) Filtros de óleo</v>
      </c>
      <c r="K902" s="433" t="str">
        <f>INDEX(aux!C:C,MATCH(I902,aux!A:A,0))</f>
        <v>Sim</v>
      </c>
      <c r="L902" s="360">
        <v>0.13500000000000001</v>
      </c>
      <c r="M902" s="359" t="s">
        <v>1532</v>
      </c>
      <c r="N902" s="139">
        <f t="shared" si="49"/>
        <v>135</v>
      </c>
      <c r="O902" s="93" t="s">
        <v>484</v>
      </c>
      <c r="P902" s="231" t="str">
        <f t="shared" si="50"/>
        <v>Reciclagem</v>
      </c>
      <c r="Q902" s="541" t="s">
        <v>1901</v>
      </c>
      <c r="R902" s="541" t="s">
        <v>1892</v>
      </c>
      <c r="S902" s="544" t="s">
        <v>1553</v>
      </c>
      <c r="T902" s="93" t="s">
        <v>6276</v>
      </c>
      <c r="U902" s="93" t="s">
        <v>6276</v>
      </c>
      <c r="V902" s="422"/>
    </row>
    <row r="903" spans="1:22" ht="15.75" thickBot="1" x14ac:dyDescent="0.3">
      <c r="A903" s="93" t="s">
        <v>3192</v>
      </c>
      <c r="B903" s="93" t="s">
        <v>1916</v>
      </c>
      <c r="C903" s="424" t="str">
        <f t="shared" si="48"/>
        <v>Portalegre (APA00066454)</v>
      </c>
      <c r="D903" s="422">
        <v>2023</v>
      </c>
      <c r="E903" s="250" t="s">
        <v>3499</v>
      </c>
      <c r="F903" s="250" t="s">
        <v>3566</v>
      </c>
      <c r="G903" s="422" t="s">
        <v>42</v>
      </c>
      <c r="H903" s="424" t="s">
        <v>42</v>
      </c>
      <c r="I903" s="522">
        <v>160601</v>
      </c>
      <c r="J903" s="425" t="str">
        <f>INDEX(aux!B:B,MATCH(I903,aux!A:A,0))</f>
        <v>(*) Acumuladores de chumbo</v>
      </c>
      <c r="K903" s="433" t="str">
        <f>INDEX(aux!C:C,MATCH(I903,aux!A:A,0))</f>
        <v>Sim</v>
      </c>
      <c r="L903" s="360">
        <v>0.11600000000000001</v>
      </c>
      <c r="M903" s="359" t="s">
        <v>1532</v>
      </c>
      <c r="N903" s="139">
        <f t="shared" si="49"/>
        <v>116</v>
      </c>
      <c r="O903" s="93" t="s">
        <v>484</v>
      </c>
      <c r="P903" s="231" t="str">
        <f t="shared" si="50"/>
        <v>Reciclagem</v>
      </c>
      <c r="Q903" s="541" t="s">
        <v>1653</v>
      </c>
      <c r="R903" s="541" t="s">
        <v>1877</v>
      </c>
      <c r="S903" s="544" t="s">
        <v>1553</v>
      </c>
      <c r="T903" s="93" t="s">
        <v>6283</v>
      </c>
      <c r="U903" s="93" t="s">
        <v>6283</v>
      </c>
      <c r="V903" s="93"/>
    </row>
    <row r="904" spans="1:22" ht="15.75" hidden="1" thickBot="1" x14ac:dyDescent="0.3">
      <c r="A904" s="529" t="s">
        <v>3192</v>
      </c>
      <c r="B904" s="529" t="s">
        <v>1916</v>
      </c>
      <c r="C904" s="424" t="str">
        <f t="shared" si="48"/>
        <v>Portalegre (APA00066454)</v>
      </c>
      <c r="D904" s="422">
        <v>2022</v>
      </c>
      <c r="E904" s="250" t="s">
        <v>3499</v>
      </c>
      <c r="F904" s="250" t="s">
        <v>3566</v>
      </c>
      <c r="G904" s="422" t="s">
        <v>42</v>
      </c>
      <c r="H904" s="424" t="s">
        <v>42</v>
      </c>
      <c r="I904" s="531">
        <v>160112</v>
      </c>
      <c r="J904" s="425" t="str">
        <f>INDEX(aux!B:B,MATCH(I904,aux!A:A,0))</f>
        <v>Pastilhas de travões não abrangidas em 16 01 11</v>
      </c>
      <c r="K904" s="433" t="str">
        <f>INDEX(aux!C:C,MATCH(I904,aux!A:A,0))</f>
        <v>Não</v>
      </c>
      <c r="L904" s="646">
        <v>0.19</v>
      </c>
      <c r="M904" s="535" t="s">
        <v>1532</v>
      </c>
      <c r="N904" s="139">
        <f t="shared" si="49"/>
        <v>190</v>
      </c>
      <c r="O904" s="538" t="s">
        <v>509</v>
      </c>
      <c r="P904" s="231" t="str">
        <f t="shared" si="50"/>
        <v>Aterro</v>
      </c>
      <c r="Q904" s="541" t="s">
        <v>1557</v>
      </c>
      <c r="R904" s="541" t="s">
        <v>1903</v>
      </c>
      <c r="S904" s="528" t="str">
        <f>IFERROR(INDEX(Tabela3[Tipos de Tratamento],MATCH('A3.9.1 copy'!O224,Tabela3[Código],0)),"")</f>
        <v xml:space="preserve">Troca de resíduos com vista a submetê-los a uma das operações enumeradas de R 1 a R 11 </v>
      </c>
      <c r="T904" s="458" t="s">
        <v>1536</v>
      </c>
      <c r="U904" s="458" t="s">
        <v>3193</v>
      </c>
      <c r="V904" s="93"/>
    </row>
    <row r="905" spans="1:22" ht="15.75" thickBot="1" x14ac:dyDescent="0.3">
      <c r="A905" s="93" t="s">
        <v>3192</v>
      </c>
      <c r="B905" s="93" t="s">
        <v>1916</v>
      </c>
      <c r="C905" s="424" t="str">
        <f t="shared" si="48"/>
        <v>Portalegre (APA00066454)</v>
      </c>
      <c r="D905" s="422">
        <v>2023</v>
      </c>
      <c r="E905" s="250" t="s">
        <v>3499</v>
      </c>
      <c r="F905" s="250" t="s">
        <v>3566</v>
      </c>
      <c r="G905" s="422" t="s">
        <v>42</v>
      </c>
      <c r="H905" s="424" t="s">
        <v>42</v>
      </c>
      <c r="I905" s="522">
        <v>191202</v>
      </c>
      <c r="J905" s="425" t="str">
        <f>INDEX(aux!B:B,MATCH(I905,aux!A:A,0))</f>
        <v>Metais ferrosos</v>
      </c>
      <c r="K905" s="433" t="str">
        <f>INDEX(aux!C:C,MATCH(I905,aux!A:A,0))</f>
        <v>Não</v>
      </c>
      <c r="L905" s="360">
        <v>0.86</v>
      </c>
      <c r="M905" s="359" t="s">
        <v>1532</v>
      </c>
      <c r="N905" s="139">
        <f t="shared" si="49"/>
        <v>860</v>
      </c>
      <c r="O905" s="93" t="s">
        <v>483</v>
      </c>
      <c r="P905" s="231" t="str">
        <f t="shared" si="50"/>
        <v>Reciclagem</v>
      </c>
      <c r="Q905" s="541" t="s">
        <v>1557</v>
      </c>
      <c r="R905" s="541" t="s">
        <v>6569</v>
      </c>
      <c r="S905" s="544" t="s">
        <v>485</v>
      </c>
      <c r="T905" s="93" t="s">
        <v>6283</v>
      </c>
      <c r="U905" s="93" t="s">
        <v>6283</v>
      </c>
      <c r="V905" s="93"/>
    </row>
    <row r="906" spans="1:22" ht="15.75" hidden="1" thickBot="1" x14ac:dyDescent="0.3">
      <c r="A906" s="529" t="s">
        <v>3192</v>
      </c>
      <c r="B906" s="529" t="s">
        <v>1916</v>
      </c>
      <c r="C906" s="424" t="str">
        <f t="shared" si="48"/>
        <v>Portalegre (APA00066454)</v>
      </c>
      <c r="D906" s="422">
        <v>2022</v>
      </c>
      <c r="E906" s="250" t="s">
        <v>3499</v>
      </c>
      <c r="F906" s="250" t="s">
        <v>3566</v>
      </c>
      <c r="G906" s="422" t="s">
        <v>42</v>
      </c>
      <c r="H906" s="424" t="s">
        <v>42</v>
      </c>
      <c r="I906" s="531">
        <v>140603</v>
      </c>
      <c r="J906" s="425" t="str">
        <f>INDEX(aux!B:B,MATCH(I906,aux!A:A,0))</f>
        <v>Outros solventes e misturas de solventes</v>
      </c>
      <c r="K906" s="433" t="str">
        <f>INDEX(aux!C:C,MATCH(I906,aux!A:A,0))</f>
        <v>Sim</v>
      </c>
      <c r="L906" s="646">
        <v>9.8400000000000001E-2</v>
      </c>
      <c r="M906" s="535" t="s">
        <v>1532</v>
      </c>
      <c r="N906" s="139">
        <f t="shared" si="49"/>
        <v>98.4</v>
      </c>
      <c r="O906" s="538" t="s">
        <v>483</v>
      </c>
      <c r="P906" s="231" t="str">
        <f t="shared" si="50"/>
        <v>Reciclagem</v>
      </c>
      <c r="Q906" s="541" t="s">
        <v>1901</v>
      </c>
      <c r="R906" s="541" t="s">
        <v>1892</v>
      </c>
      <c r="S906" s="528" t="str">
        <f>IFERROR(INDEX(Tabela3[Tipos de Tratamento],MATCH('A3.9.1 copy'!O221,Tabela3[Código],0)),"")</f>
        <v>Acumulação de resíduos destinados a uma das operações enumeradas de R1 a R12</v>
      </c>
      <c r="T906" s="458" t="s">
        <v>1539</v>
      </c>
      <c r="U906" s="458" t="s">
        <v>1539</v>
      </c>
      <c r="V906" s="93"/>
    </row>
    <row r="907" spans="1:22" ht="15.75" hidden="1" thickBot="1" x14ac:dyDescent="0.3">
      <c r="A907" s="529" t="s">
        <v>3192</v>
      </c>
      <c r="B907" s="529" t="s">
        <v>1916</v>
      </c>
      <c r="C907" s="424" t="str">
        <f t="shared" si="48"/>
        <v>Portalegre (APA00066454)</v>
      </c>
      <c r="D907" s="422">
        <v>2022</v>
      </c>
      <c r="E907" s="250" t="s">
        <v>3499</v>
      </c>
      <c r="F907" s="250" t="s">
        <v>3566</v>
      </c>
      <c r="G907" s="422" t="s">
        <v>42</v>
      </c>
      <c r="H907" s="424" t="s">
        <v>42</v>
      </c>
      <c r="I907" s="531">
        <v>140603</v>
      </c>
      <c r="J907" s="425" t="str">
        <f>INDEX(aux!B:B,MATCH(I907,aux!A:A,0))</f>
        <v>Outros solventes e misturas de solventes</v>
      </c>
      <c r="K907" s="433" t="str">
        <f>INDEX(aux!C:C,MATCH(I907,aux!A:A,0))</f>
        <v>Sim</v>
      </c>
      <c r="L907" s="646">
        <v>0.10249999999999999</v>
      </c>
      <c r="M907" s="535" t="s">
        <v>1532</v>
      </c>
      <c r="N907" s="139">
        <f t="shared" si="49"/>
        <v>102.5</v>
      </c>
      <c r="O907" s="538" t="s">
        <v>484</v>
      </c>
      <c r="P907" s="231" t="str">
        <f t="shared" si="50"/>
        <v>Reciclagem</v>
      </c>
      <c r="Q907" s="541" t="s">
        <v>1901</v>
      </c>
      <c r="R907" s="541" t="s">
        <v>1892</v>
      </c>
      <c r="S907" s="528" t="str">
        <f>IFERROR(INDEX(Tabela3[Tipos de Tratamento],MATCH('A3.9.1 copy'!O222,Tabela3[Código],0)),"")</f>
        <v>Acumulação de resíduos destinados a uma das operações enumeradas de R1 a R12</v>
      </c>
      <c r="T907" s="458" t="s">
        <v>1539</v>
      </c>
      <c r="U907" s="458" t="s">
        <v>1539</v>
      </c>
      <c r="V907" s="93"/>
    </row>
    <row r="908" spans="1:22" ht="15.75" hidden="1" thickBot="1" x14ac:dyDescent="0.3">
      <c r="A908" s="529" t="s">
        <v>3192</v>
      </c>
      <c r="B908" s="529" t="s">
        <v>1916</v>
      </c>
      <c r="C908" s="424" t="str">
        <f t="shared" si="48"/>
        <v>Portalegre (APA00066454)</v>
      </c>
      <c r="D908" s="422">
        <v>2022</v>
      </c>
      <c r="E908" s="250" t="s">
        <v>3499</v>
      </c>
      <c r="F908" s="250" t="s">
        <v>3566</v>
      </c>
      <c r="G908" s="422" t="s">
        <v>42</v>
      </c>
      <c r="H908" s="424" t="s">
        <v>42</v>
      </c>
      <c r="I908" s="531">
        <v>160107</v>
      </c>
      <c r="J908" s="425" t="str">
        <f>INDEX(aux!B:B,MATCH(I908,aux!A:A,0))</f>
        <v>(*) Filtros de óleo</v>
      </c>
      <c r="K908" s="433" t="str">
        <f>INDEX(aux!C:C,MATCH(I908,aux!A:A,0))</f>
        <v>Sim</v>
      </c>
      <c r="L908" s="646">
        <v>0.36699999999999999</v>
      </c>
      <c r="M908" s="535" t="s">
        <v>1532</v>
      </c>
      <c r="N908" s="139">
        <f t="shared" si="49"/>
        <v>367</v>
      </c>
      <c r="O908" s="538" t="s">
        <v>484</v>
      </c>
      <c r="P908" s="231" t="str">
        <f t="shared" si="50"/>
        <v>Reciclagem</v>
      </c>
      <c r="Q908" s="541" t="s">
        <v>1901</v>
      </c>
      <c r="R908" s="541" t="s">
        <v>1892</v>
      </c>
      <c r="S908" s="528" t="str">
        <f>IFERROR(INDEX(Tabela3[Tipos de Tratamento],MATCH('A3.9.1 copy'!O223,Tabela3[Código],0)),"")</f>
        <v xml:space="preserve">Troca de resíduos com vista a submetê-los a uma das operações enumeradas de R 1 a R 11 </v>
      </c>
      <c r="T908" s="458" t="s">
        <v>1536</v>
      </c>
      <c r="U908" s="458" t="s">
        <v>3193</v>
      </c>
      <c r="V908" s="422"/>
    </row>
    <row r="909" spans="1:22" ht="15.75" thickBot="1" x14ac:dyDescent="0.3">
      <c r="A909" s="93" t="s">
        <v>3192</v>
      </c>
      <c r="B909" s="93" t="s">
        <v>1916</v>
      </c>
      <c r="C909" s="424" t="str">
        <f t="shared" si="48"/>
        <v>Portalegre (APA00066454)</v>
      </c>
      <c r="D909" s="422">
        <v>2023</v>
      </c>
      <c r="E909" s="250" t="s">
        <v>3499</v>
      </c>
      <c r="F909" s="250" t="s">
        <v>3566</v>
      </c>
      <c r="G909" s="422" t="s">
        <v>42</v>
      </c>
      <c r="H909" s="424" t="s">
        <v>42</v>
      </c>
      <c r="I909" s="522">
        <v>140603</v>
      </c>
      <c r="J909" s="425" t="str">
        <f>INDEX(aux!B:B,MATCH(I909,aux!A:A,0))</f>
        <v>Outros solventes e misturas de solventes</v>
      </c>
      <c r="K909" s="433" t="str">
        <f>INDEX(aux!C:C,MATCH(I909,aux!A:A,0))</f>
        <v>Sim</v>
      </c>
      <c r="L909" s="360">
        <v>3.2800000000000003E-2</v>
      </c>
      <c r="M909" s="359" t="s">
        <v>1532</v>
      </c>
      <c r="N909" s="139">
        <f t="shared" si="49"/>
        <v>32.800000000000004</v>
      </c>
      <c r="O909" s="93" t="s">
        <v>483</v>
      </c>
      <c r="P909" s="231" t="str">
        <f t="shared" si="50"/>
        <v>Reciclagem</v>
      </c>
      <c r="Q909" s="541" t="s">
        <v>1901</v>
      </c>
      <c r="R909" s="541" t="s">
        <v>1892</v>
      </c>
      <c r="S909" s="544" t="s">
        <v>485</v>
      </c>
      <c r="T909" s="93" t="s">
        <v>1539</v>
      </c>
      <c r="U909" s="93" t="s">
        <v>1539</v>
      </c>
      <c r="V909" s="422"/>
    </row>
    <row r="910" spans="1:22" ht="15.75" thickBot="1" x14ac:dyDescent="0.3">
      <c r="A910" s="93" t="s">
        <v>3192</v>
      </c>
      <c r="B910" s="93" t="s">
        <v>1916</v>
      </c>
      <c r="C910" s="424" t="str">
        <f t="shared" si="48"/>
        <v>Portalegre (APA00066454)</v>
      </c>
      <c r="D910" s="422">
        <v>2023</v>
      </c>
      <c r="E910" s="250" t="s">
        <v>3499</v>
      </c>
      <c r="F910" s="250" t="s">
        <v>3566</v>
      </c>
      <c r="G910" s="422" t="s">
        <v>42</v>
      </c>
      <c r="H910" s="424" t="s">
        <v>42</v>
      </c>
      <c r="I910" s="522">
        <v>140603</v>
      </c>
      <c r="J910" s="425" t="str">
        <f>INDEX(aux!B:B,MATCH(I910,aux!A:A,0))</f>
        <v>Outros solventes e misturas de solventes</v>
      </c>
      <c r="K910" s="433" t="str">
        <f>INDEX(aux!C:C,MATCH(I910,aux!A:A,0))</f>
        <v>Sim</v>
      </c>
      <c r="L910" s="360">
        <v>3.2800000000000003E-2</v>
      </c>
      <c r="M910" s="359" t="s">
        <v>1532</v>
      </c>
      <c r="N910" s="139">
        <f t="shared" si="49"/>
        <v>32.800000000000004</v>
      </c>
      <c r="O910" s="93" t="s">
        <v>484</v>
      </c>
      <c r="P910" s="231" t="str">
        <f t="shared" si="50"/>
        <v>Reciclagem</v>
      </c>
      <c r="Q910" s="541" t="s">
        <v>1901</v>
      </c>
      <c r="R910" s="541" t="s">
        <v>1892</v>
      </c>
      <c r="S910" s="544" t="s">
        <v>1553</v>
      </c>
      <c r="T910" s="93" t="s">
        <v>1539</v>
      </c>
      <c r="U910" s="93" t="s">
        <v>1539</v>
      </c>
      <c r="V910" s="422"/>
    </row>
    <row r="911" spans="1:22" ht="15.75" thickBot="1" x14ac:dyDescent="0.3">
      <c r="A911" s="93" t="s">
        <v>3192</v>
      </c>
      <c r="B911" s="93" t="s">
        <v>1916</v>
      </c>
      <c r="C911" s="424" t="str">
        <f t="shared" si="48"/>
        <v>Portalegre (APA00066454)</v>
      </c>
      <c r="D911" s="422">
        <v>2023</v>
      </c>
      <c r="E911" s="250" t="s">
        <v>3499</v>
      </c>
      <c r="F911" s="250" t="s">
        <v>3566</v>
      </c>
      <c r="G911" s="422" t="s">
        <v>42</v>
      </c>
      <c r="H911" s="424" t="s">
        <v>42</v>
      </c>
      <c r="I911" s="522">
        <v>150203</v>
      </c>
      <c r="J911" s="425" t="str">
        <f>INDEX(aux!B:B,MATCH(I911,aux!A:A,0))</f>
        <v>Absorventes, materiais filtrantes, panos de limpeza e vestuário de proteção não abrangidos em 15 02 02</v>
      </c>
      <c r="K911" s="433" t="str">
        <f>INDEX(aux!C:C,MATCH(I911,aux!A:A,0))</f>
        <v>Não</v>
      </c>
      <c r="L911" s="360">
        <v>0.16</v>
      </c>
      <c r="M911" s="359" t="s">
        <v>1532</v>
      </c>
      <c r="N911" s="139">
        <f t="shared" si="49"/>
        <v>160</v>
      </c>
      <c r="O911" s="93" t="s">
        <v>509</v>
      </c>
      <c r="P911" s="231" t="str">
        <f t="shared" si="50"/>
        <v>Aterro</v>
      </c>
      <c r="Q911" s="541" t="s">
        <v>1901</v>
      </c>
      <c r="R911" s="541" t="s">
        <v>1892</v>
      </c>
      <c r="S911" s="544" t="s">
        <v>1556</v>
      </c>
      <c r="T911" s="93" t="s">
        <v>6276</v>
      </c>
      <c r="U911" s="93" t="s">
        <v>6276</v>
      </c>
      <c r="V911" s="422"/>
    </row>
    <row r="912" spans="1:22" ht="15.75" thickBot="1" x14ac:dyDescent="0.3">
      <c r="A912" s="422" t="s">
        <v>3192</v>
      </c>
      <c r="B912" s="93" t="s">
        <v>1916</v>
      </c>
      <c r="C912" s="424" t="str">
        <f t="shared" si="48"/>
        <v>Portalegre (APA00066454)</v>
      </c>
      <c r="D912" s="422">
        <v>2023</v>
      </c>
      <c r="E912" s="250" t="s">
        <v>3499</v>
      </c>
      <c r="F912" s="250" t="s">
        <v>3566</v>
      </c>
      <c r="G912" s="422" t="s">
        <v>42</v>
      </c>
      <c r="H912" s="424" t="s">
        <v>42</v>
      </c>
      <c r="I912" s="522">
        <v>160107</v>
      </c>
      <c r="J912" s="425" t="str">
        <f>INDEX(aux!B:B,MATCH(I912,aux!A:A,0))</f>
        <v>(*) Filtros de óleo</v>
      </c>
      <c r="K912" s="433" t="str">
        <f>INDEX(aux!C:C,MATCH(I912,aux!A:A,0))</f>
        <v>Sim</v>
      </c>
      <c r="L912" s="360">
        <v>0.33600000000000002</v>
      </c>
      <c r="M912" s="359" t="s">
        <v>1532</v>
      </c>
      <c r="N912" s="139">
        <f t="shared" si="49"/>
        <v>336</v>
      </c>
      <c r="O912" s="93" t="s">
        <v>484</v>
      </c>
      <c r="P912" s="231" t="str">
        <f t="shared" si="50"/>
        <v>Reciclagem</v>
      </c>
      <c r="Q912" s="541" t="s">
        <v>1901</v>
      </c>
      <c r="R912" s="541" t="s">
        <v>1892</v>
      </c>
      <c r="S912" s="544" t="s">
        <v>1553</v>
      </c>
      <c r="T912" s="93" t="s">
        <v>6276</v>
      </c>
      <c r="U912" s="93" t="s">
        <v>6277</v>
      </c>
      <c r="V912" s="422"/>
    </row>
    <row r="913" spans="1:22" ht="15.75" thickBot="1" x14ac:dyDescent="0.3">
      <c r="A913" s="422" t="s">
        <v>3192</v>
      </c>
      <c r="B913" s="422" t="s">
        <v>1916</v>
      </c>
      <c r="C913" s="424" t="str">
        <f t="shared" si="48"/>
        <v>Portalegre (APA00066454)</v>
      </c>
      <c r="D913" s="422">
        <v>2023</v>
      </c>
      <c r="E913" s="250" t="s">
        <v>3499</v>
      </c>
      <c r="F913" s="250" t="s">
        <v>3566</v>
      </c>
      <c r="G913" s="422" t="s">
        <v>42</v>
      </c>
      <c r="H913" s="424" t="s">
        <v>42</v>
      </c>
      <c r="I913" s="487">
        <v>160122</v>
      </c>
      <c r="J913" s="425" t="str">
        <f>INDEX(aux!B:B,MATCH(I913,aux!A:A,0))</f>
        <v>Componentes sem outras especificações</v>
      </c>
      <c r="K913" s="433" t="str">
        <f>INDEX(aux!C:C,MATCH(I913,aux!A:A,0))</f>
        <v>Não</v>
      </c>
      <c r="L913" s="259">
        <v>0.16</v>
      </c>
      <c r="M913" s="428" t="s">
        <v>1532</v>
      </c>
      <c r="N913" s="139">
        <f t="shared" si="49"/>
        <v>160</v>
      </c>
      <c r="O913" s="422" t="s">
        <v>509</v>
      </c>
      <c r="P913" s="231" t="str">
        <f t="shared" si="50"/>
        <v>Aterro</v>
      </c>
      <c r="Q913" s="541" t="s">
        <v>1901</v>
      </c>
      <c r="R913" s="541" t="s">
        <v>1892</v>
      </c>
      <c r="S913" s="544" t="s">
        <v>1556</v>
      </c>
      <c r="T913" s="93" t="s">
        <v>6276</v>
      </c>
      <c r="U913" s="93" t="s">
        <v>6276</v>
      </c>
      <c r="V913" s="93"/>
    </row>
    <row r="914" spans="1:22" ht="15.75" thickBot="1" x14ac:dyDescent="0.3">
      <c r="A914" s="93" t="s">
        <v>3192</v>
      </c>
      <c r="B914" s="93" t="s">
        <v>1916</v>
      </c>
      <c r="C914" s="424" t="str">
        <f t="shared" si="48"/>
        <v>Portalegre (APA00066454)</v>
      </c>
      <c r="D914" s="422">
        <v>2023</v>
      </c>
      <c r="E914" s="250" t="s">
        <v>3499</v>
      </c>
      <c r="F914" s="250" t="s">
        <v>3566</v>
      </c>
      <c r="G914" s="422" t="s">
        <v>42</v>
      </c>
      <c r="H914" s="424" t="s">
        <v>42</v>
      </c>
      <c r="I914" s="522">
        <v>160104</v>
      </c>
      <c r="J914" s="425" t="str">
        <f>INDEX(aux!B:B,MATCH(I914,aux!A:A,0))</f>
        <v>Veículos em fim de vida</v>
      </c>
      <c r="K914" s="433" t="str">
        <f>INDEX(aux!C:C,MATCH(I914,aux!A:A,0))</f>
        <v>Sim</v>
      </c>
      <c r="L914" s="360">
        <v>10.38</v>
      </c>
      <c r="M914" s="359" t="s">
        <v>1532</v>
      </c>
      <c r="N914" s="139">
        <f t="shared" si="49"/>
        <v>10380</v>
      </c>
      <c r="O914" s="93" t="s">
        <v>484</v>
      </c>
      <c r="P914" s="231" t="str">
        <f t="shared" si="50"/>
        <v>Reciclagem</v>
      </c>
      <c r="Q914" s="541" t="s">
        <v>1907</v>
      </c>
      <c r="R914" s="541" t="s">
        <v>6569</v>
      </c>
      <c r="S914" s="544" t="s">
        <v>1553</v>
      </c>
      <c r="T914" s="93" t="s">
        <v>3208</v>
      </c>
      <c r="U914" s="93" t="s">
        <v>6284</v>
      </c>
      <c r="V914" s="93"/>
    </row>
    <row r="915" spans="1:22" ht="15.75" hidden="1" thickBot="1" x14ac:dyDescent="0.3">
      <c r="A915" s="529" t="s">
        <v>3196</v>
      </c>
      <c r="B915" s="529" t="s">
        <v>1916</v>
      </c>
      <c r="C915" s="424" t="str">
        <f t="shared" si="48"/>
        <v>Santiago do Cacém (APA00065050)</v>
      </c>
      <c r="D915" s="422">
        <v>2022</v>
      </c>
      <c r="E915" s="250" t="s">
        <v>3499</v>
      </c>
      <c r="F915" s="250" t="s">
        <v>3566</v>
      </c>
      <c r="G915" s="422" t="s">
        <v>42</v>
      </c>
      <c r="H915" s="424" t="s">
        <v>42</v>
      </c>
      <c r="I915" s="531">
        <v>160601</v>
      </c>
      <c r="J915" s="425" t="str">
        <f>INDEX(aux!B:B,MATCH(I915,aux!A:A,0))</f>
        <v>(*) Acumuladores de chumbo</v>
      </c>
      <c r="K915" s="433" t="str">
        <f>INDEX(aux!C:C,MATCH(I915,aux!A:A,0))</f>
        <v>Sim</v>
      </c>
      <c r="L915" s="646">
        <v>1.8779999999999999</v>
      </c>
      <c r="M915" s="535" t="s">
        <v>1532</v>
      </c>
      <c r="N915" s="139">
        <f t="shared" si="49"/>
        <v>1878</v>
      </c>
      <c r="O915" s="538" t="s">
        <v>484</v>
      </c>
      <c r="P915" s="231" t="str">
        <f t="shared" si="50"/>
        <v>Reciclagem</v>
      </c>
      <c r="Q915" s="541" t="s">
        <v>1653</v>
      </c>
      <c r="R915" s="541" t="s">
        <v>1877</v>
      </c>
      <c r="S915" s="528" t="str">
        <f>IFERROR(INDEX(Tabela3[Tipos de Tratamento],MATCH('A3.9.1 copy'!O245,Tabela3[Código],0)),"")</f>
        <v xml:space="preserve">Regeneração de óleos e outras reutilizações de óleos </v>
      </c>
      <c r="T915" s="458" t="s">
        <v>3208</v>
      </c>
      <c r="U915" s="458" t="s">
        <v>3208</v>
      </c>
      <c r="V915" s="93"/>
    </row>
    <row r="916" spans="1:22" ht="15.75" thickBot="1" x14ac:dyDescent="0.3">
      <c r="A916" s="93" t="s">
        <v>3196</v>
      </c>
      <c r="B916" s="93" t="s">
        <v>1916</v>
      </c>
      <c r="C916" s="424" t="str">
        <f t="shared" si="48"/>
        <v>Santiago do Cacém (APA00065050)</v>
      </c>
      <c r="D916" s="422">
        <v>2023</v>
      </c>
      <c r="E916" s="250" t="s">
        <v>3499</v>
      </c>
      <c r="F916" s="250" t="s">
        <v>3566</v>
      </c>
      <c r="G916" s="422" t="s">
        <v>42</v>
      </c>
      <c r="H916" s="424" t="s">
        <v>42</v>
      </c>
      <c r="I916" s="522">
        <v>160601</v>
      </c>
      <c r="J916" s="425" t="str">
        <f>INDEX(aux!B:B,MATCH(I916,aux!A:A,0))</f>
        <v>(*) Acumuladores de chumbo</v>
      </c>
      <c r="K916" s="433" t="str">
        <f>INDEX(aux!C:C,MATCH(I916,aux!A:A,0))</f>
        <v>Sim</v>
      </c>
      <c r="L916" s="360">
        <v>1.286</v>
      </c>
      <c r="M916" s="359" t="s">
        <v>1532</v>
      </c>
      <c r="N916" s="139">
        <f t="shared" si="49"/>
        <v>1286</v>
      </c>
      <c r="O916" s="93" t="s">
        <v>484</v>
      </c>
      <c r="P916" s="231" t="str">
        <f t="shared" si="50"/>
        <v>Reciclagem</v>
      </c>
      <c r="Q916" s="541" t="s">
        <v>1653</v>
      </c>
      <c r="R916" s="541" t="s">
        <v>1877</v>
      </c>
      <c r="S916" s="544" t="s">
        <v>1553</v>
      </c>
      <c r="T916" s="93" t="s">
        <v>3208</v>
      </c>
      <c r="U916" s="93" t="s">
        <v>3208</v>
      </c>
      <c r="V916" s="93"/>
    </row>
    <row r="917" spans="1:22" ht="15.75" hidden="1" thickBot="1" x14ac:dyDescent="0.3">
      <c r="A917" s="529" t="s">
        <v>3196</v>
      </c>
      <c r="B917" s="529" t="s">
        <v>1916</v>
      </c>
      <c r="C917" s="424" t="str">
        <f t="shared" si="48"/>
        <v>Santiago do Cacém (APA00065050)</v>
      </c>
      <c r="D917" s="422">
        <v>2022</v>
      </c>
      <c r="E917" s="250" t="s">
        <v>3499</v>
      </c>
      <c r="F917" s="250" t="s">
        <v>3566</v>
      </c>
      <c r="G917" s="422" t="s">
        <v>42</v>
      </c>
      <c r="H917" s="424" t="s">
        <v>42</v>
      </c>
      <c r="I917" s="531">
        <v>160112</v>
      </c>
      <c r="J917" s="425" t="str">
        <f>INDEX(aux!B:B,MATCH(I917,aux!A:A,0))</f>
        <v>Pastilhas de travões não abrangidas em 16 01 11</v>
      </c>
      <c r="K917" s="433" t="str">
        <f>INDEX(aux!C:C,MATCH(I917,aux!A:A,0))</f>
        <v>Não</v>
      </c>
      <c r="L917" s="646">
        <v>0.27700000000000002</v>
      </c>
      <c r="M917" s="535" t="s">
        <v>1532</v>
      </c>
      <c r="N917" s="139">
        <f t="shared" si="49"/>
        <v>277</v>
      </c>
      <c r="O917" s="538" t="s">
        <v>507</v>
      </c>
      <c r="P917" s="231" t="str">
        <f t="shared" si="50"/>
        <v>Aterro</v>
      </c>
      <c r="Q917" s="541" t="s">
        <v>1557</v>
      </c>
      <c r="R917" s="541" t="s">
        <v>1903</v>
      </c>
      <c r="S917" s="528" t="str">
        <f>IFERROR(INDEX(Tabela3[Tipos de Tratamento],MATCH('A3.9.1 copy'!O241,Tabela3[Código],0)),"")</f>
        <v>Acumulação de resíduos destinados a uma das operações enumeradas de R1 a R12</v>
      </c>
      <c r="T917" s="458" t="s">
        <v>1536</v>
      </c>
      <c r="U917" s="458" t="s">
        <v>1536</v>
      </c>
      <c r="V917" s="93"/>
    </row>
    <row r="918" spans="1:22" ht="15.75" hidden="1" thickBot="1" x14ac:dyDescent="0.3">
      <c r="A918" s="529" t="s">
        <v>3196</v>
      </c>
      <c r="B918" s="529" t="s">
        <v>1916</v>
      </c>
      <c r="C918" s="424" t="str">
        <f t="shared" si="48"/>
        <v>Santiago do Cacém (APA00065050)</v>
      </c>
      <c r="D918" s="422">
        <v>2022</v>
      </c>
      <c r="E918" s="250" t="s">
        <v>3499</v>
      </c>
      <c r="F918" s="250" t="s">
        <v>3566</v>
      </c>
      <c r="G918" s="422" t="s">
        <v>42</v>
      </c>
      <c r="H918" s="424" t="s">
        <v>42</v>
      </c>
      <c r="I918" s="531">
        <v>160112</v>
      </c>
      <c r="J918" s="425" t="str">
        <f>INDEX(aux!B:B,MATCH(I918,aux!A:A,0))</f>
        <v>Pastilhas de travões não abrangidas em 16 01 11</v>
      </c>
      <c r="K918" s="433" t="str">
        <f>INDEX(aux!C:C,MATCH(I918,aux!A:A,0))</f>
        <v>Não</v>
      </c>
      <c r="L918" s="646">
        <v>291</v>
      </c>
      <c r="M918" s="535" t="s">
        <v>1532</v>
      </c>
      <c r="N918" s="139">
        <f t="shared" si="49"/>
        <v>291000</v>
      </c>
      <c r="O918" s="538" t="s">
        <v>509</v>
      </c>
      <c r="P918" s="231" t="str">
        <f t="shared" si="50"/>
        <v>Aterro</v>
      </c>
      <c r="Q918" s="541" t="s">
        <v>1557</v>
      </c>
      <c r="R918" s="541" t="s">
        <v>1903</v>
      </c>
      <c r="S918" s="528" t="str">
        <f>IFERROR(INDEX(Tabela3[Tipos de Tratamento],MATCH('A3.9.1 copy'!O242,Tabela3[Código],0)),"")</f>
        <v xml:space="preserve">Troca de resíduos com vista a submetê-los a uma das operações enumeradas de R 1 a R 11 </v>
      </c>
      <c r="T918" s="458" t="s">
        <v>1536</v>
      </c>
      <c r="U918" s="458" t="s">
        <v>1536</v>
      </c>
      <c r="V918" s="93"/>
    </row>
    <row r="919" spans="1:22" ht="15.75" hidden="1" thickBot="1" x14ac:dyDescent="0.3">
      <c r="A919" s="529" t="s">
        <v>3196</v>
      </c>
      <c r="B919" s="529" t="s">
        <v>1916</v>
      </c>
      <c r="C919" s="424" t="str">
        <f t="shared" si="48"/>
        <v>Santiago do Cacém (APA00065050)</v>
      </c>
      <c r="D919" s="422">
        <v>2022</v>
      </c>
      <c r="E919" s="250" t="s">
        <v>3499</v>
      </c>
      <c r="F919" s="250" t="s">
        <v>3566</v>
      </c>
      <c r="G919" s="422" t="s">
        <v>42</v>
      </c>
      <c r="H919" s="424" t="s">
        <v>42</v>
      </c>
      <c r="I919" s="531">
        <v>160117</v>
      </c>
      <c r="J919" s="425" t="str">
        <f>INDEX(aux!B:B,MATCH(I919,aux!A:A,0))</f>
        <v>Metais ferrosos</v>
      </c>
      <c r="K919" s="433" t="str">
        <f>INDEX(aux!C:C,MATCH(I919,aux!A:A,0))</f>
        <v>Não</v>
      </c>
      <c r="L919" s="646">
        <v>1.964</v>
      </c>
      <c r="M919" s="535" t="s">
        <v>1532</v>
      </c>
      <c r="N919" s="139">
        <f t="shared" si="49"/>
        <v>1964</v>
      </c>
      <c r="O919" s="538" t="s">
        <v>484</v>
      </c>
      <c r="P919" s="231" t="str">
        <f t="shared" si="50"/>
        <v>Reciclagem</v>
      </c>
      <c r="Q919" s="541" t="s">
        <v>1557</v>
      </c>
      <c r="R919" s="541" t="s">
        <v>1903</v>
      </c>
      <c r="S919" s="528" t="str">
        <f>IFERROR(INDEX(Tabela3[Tipos de Tratamento],MATCH('A3.9.1 copy'!O243,Tabela3[Código],0)),"")</f>
        <v xml:space="preserve">Troca de resíduos com vista a submetê-los a uma das operações enumeradas de R 1 a R 11 </v>
      </c>
      <c r="T919" s="458" t="s">
        <v>3208</v>
      </c>
      <c r="U919" s="458" t="s">
        <v>3208</v>
      </c>
      <c r="V919" s="93"/>
    </row>
    <row r="920" spans="1:22" ht="15.75" thickBot="1" x14ac:dyDescent="0.3">
      <c r="A920" s="93" t="s">
        <v>3196</v>
      </c>
      <c r="B920" s="93" t="s">
        <v>1916</v>
      </c>
      <c r="C920" s="424" t="str">
        <f t="shared" si="48"/>
        <v>Santiago do Cacém (APA00065050)</v>
      </c>
      <c r="D920" s="422">
        <v>2023</v>
      </c>
      <c r="E920" s="250" t="s">
        <v>3499</v>
      </c>
      <c r="F920" s="250" t="s">
        <v>3566</v>
      </c>
      <c r="G920" s="422" t="s">
        <v>42</v>
      </c>
      <c r="H920" s="424" t="s">
        <v>42</v>
      </c>
      <c r="I920" s="522">
        <v>160112</v>
      </c>
      <c r="J920" s="425" t="str">
        <f>INDEX(aux!B:B,MATCH(I920,aux!A:A,0))</f>
        <v>Pastilhas de travões não abrangidas em 16 01 11</v>
      </c>
      <c r="K920" s="433" t="str">
        <f>INDEX(aux!C:C,MATCH(I920,aux!A:A,0))</f>
        <v>Não</v>
      </c>
      <c r="L920" s="360">
        <v>0.71</v>
      </c>
      <c r="M920" s="359" t="s">
        <v>1532</v>
      </c>
      <c r="N920" s="139">
        <f t="shared" si="49"/>
        <v>710</v>
      </c>
      <c r="O920" s="93" t="s">
        <v>509</v>
      </c>
      <c r="P920" s="231" t="str">
        <f t="shared" si="50"/>
        <v>Aterro</v>
      </c>
      <c r="Q920" s="541" t="s">
        <v>1557</v>
      </c>
      <c r="R920" s="541" t="s">
        <v>6569</v>
      </c>
      <c r="S920" s="544" t="s">
        <v>1556</v>
      </c>
      <c r="T920" s="93" t="s">
        <v>6276</v>
      </c>
      <c r="U920" s="93" t="s">
        <v>6286</v>
      </c>
      <c r="V920" s="422"/>
    </row>
    <row r="921" spans="1:22" ht="15.75" thickBot="1" x14ac:dyDescent="0.3">
      <c r="A921" s="93" t="s">
        <v>3196</v>
      </c>
      <c r="B921" s="93" t="s">
        <v>1916</v>
      </c>
      <c r="C921" s="424" t="str">
        <f t="shared" si="48"/>
        <v>Santiago do Cacém (APA00065050)</v>
      </c>
      <c r="D921" s="422">
        <v>2023</v>
      </c>
      <c r="E921" s="250" t="s">
        <v>3499</v>
      </c>
      <c r="F921" s="250" t="s">
        <v>3566</v>
      </c>
      <c r="G921" s="422" t="s">
        <v>42</v>
      </c>
      <c r="H921" s="424" t="s">
        <v>42</v>
      </c>
      <c r="I921" s="522">
        <v>160117</v>
      </c>
      <c r="J921" s="425" t="str">
        <f>INDEX(aux!B:B,MATCH(I921,aux!A:A,0))</f>
        <v>Metais ferrosos</v>
      </c>
      <c r="K921" s="433" t="str">
        <f>INDEX(aux!C:C,MATCH(I921,aux!A:A,0))</f>
        <v>Não</v>
      </c>
      <c r="L921" s="360">
        <v>0.90600000000000003</v>
      </c>
      <c r="M921" s="359" t="s">
        <v>1532</v>
      </c>
      <c r="N921" s="139">
        <f t="shared" si="49"/>
        <v>906</v>
      </c>
      <c r="O921" s="93" t="s">
        <v>484</v>
      </c>
      <c r="P921" s="231" t="str">
        <f t="shared" si="50"/>
        <v>Reciclagem</v>
      </c>
      <c r="Q921" s="541" t="s">
        <v>1557</v>
      </c>
      <c r="R921" s="541" t="s">
        <v>6569</v>
      </c>
      <c r="S921" s="544" t="s">
        <v>1553</v>
      </c>
      <c r="T921" s="93" t="s">
        <v>3208</v>
      </c>
      <c r="U921" s="93" t="s">
        <v>3208</v>
      </c>
      <c r="V921" s="422"/>
    </row>
    <row r="922" spans="1:22" ht="15.75" thickBot="1" x14ac:dyDescent="0.3">
      <c r="A922" s="93" t="s">
        <v>3196</v>
      </c>
      <c r="B922" s="93" t="s">
        <v>1916</v>
      </c>
      <c r="C922" s="424" t="str">
        <f t="shared" si="48"/>
        <v>Santiago do Cacém (APA00065050)</v>
      </c>
      <c r="D922" s="422">
        <v>2023</v>
      </c>
      <c r="E922" s="250" t="s">
        <v>3499</v>
      </c>
      <c r="F922" s="250" t="s">
        <v>3566</v>
      </c>
      <c r="G922" s="422" t="s">
        <v>42</v>
      </c>
      <c r="H922" s="424" t="s">
        <v>42</v>
      </c>
      <c r="I922" s="522">
        <v>150111</v>
      </c>
      <c r="J922" s="425" t="str">
        <f>INDEX(aux!B:B,MATCH(I922,aux!A:A,0))</f>
        <v>(*) Embalagens de metal, incluindo recipientes vazios sob pressão, contendo uma matriz porosa sólida perigosa (por exemplo, amianto)</v>
      </c>
      <c r="K922" s="433" t="str">
        <f>INDEX(aux!C:C,MATCH(I922,aux!A:A,0))</f>
        <v>Sim</v>
      </c>
      <c r="L922" s="360">
        <v>3.1E-2</v>
      </c>
      <c r="M922" s="359" t="s">
        <v>1532</v>
      </c>
      <c r="N922" s="139">
        <f t="shared" si="49"/>
        <v>31</v>
      </c>
      <c r="O922" s="93" t="s">
        <v>484</v>
      </c>
      <c r="P922" s="231" t="str">
        <f t="shared" si="50"/>
        <v>Reciclagem</v>
      </c>
      <c r="Q922" s="541" t="s">
        <v>1906</v>
      </c>
      <c r="R922" s="541" t="s">
        <v>6569</v>
      </c>
      <c r="S922" s="544" t="s">
        <v>1553</v>
      </c>
      <c r="T922" s="93" t="s">
        <v>6276</v>
      </c>
      <c r="U922" s="93" t="s">
        <v>6286</v>
      </c>
      <c r="V922" s="422"/>
    </row>
    <row r="923" spans="1:22" ht="15.75" hidden="1" thickBot="1" x14ac:dyDescent="0.3">
      <c r="A923" s="529" t="s">
        <v>3196</v>
      </c>
      <c r="B923" s="529" t="s">
        <v>1916</v>
      </c>
      <c r="C923" s="424" t="str">
        <f t="shared" si="48"/>
        <v>Santiago do Cacém (APA00065050)</v>
      </c>
      <c r="D923" s="422">
        <v>2022</v>
      </c>
      <c r="E923" s="250" t="s">
        <v>3499</v>
      </c>
      <c r="F923" s="250" t="s">
        <v>3566</v>
      </c>
      <c r="G923" s="422" t="s">
        <v>42</v>
      </c>
      <c r="H923" s="424" t="s">
        <v>42</v>
      </c>
      <c r="I923" s="531">
        <v>130208</v>
      </c>
      <c r="J923" s="425" t="str">
        <f>INDEX(aux!B:B,MATCH(I923,aux!A:A,0))</f>
        <v>(*) Outros óleos de motores, transmissões e lubrificação</v>
      </c>
      <c r="K923" s="433" t="str">
        <f>INDEX(aux!C:C,MATCH(I923,aux!A:A,0))</f>
        <v>Sim</v>
      </c>
      <c r="L923" s="646">
        <v>2.8540000000000001</v>
      </c>
      <c r="M923" s="535" t="s">
        <v>1532</v>
      </c>
      <c r="N923" s="139">
        <f t="shared" si="49"/>
        <v>2854</v>
      </c>
      <c r="O923" s="538" t="s">
        <v>484</v>
      </c>
      <c r="P923" s="231" t="str">
        <f t="shared" si="50"/>
        <v>Reciclagem</v>
      </c>
      <c r="Q923" s="541" t="s">
        <v>1902</v>
      </c>
      <c r="R923" s="541" t="s">
        <v>1877</v>
      </c>
      <c r="S923" s="528" t="str">
        <f>IFERROR(INDEX(Tabela3[Tipos de Tratamento],MATCH('A3.9.1 copy'!O231,Tabela3[Código],0)),"")</f>
        <v xml:space="preserve">Troca de resíduos com vista a submetê-los a uma das operações enumeradas de R 1 a R 11 </v>
      </c>
      <c r="T923" s="458" t="s">
        <v>3209</v>
      </c>
      <c r="U923" s="458" t="s">
        <v>3209</v>
      </c>
      <c r="V923" s="93"/>
    </row>
    <row r="924" spans="1:22" ht="15.75" hidden="1" thickBot="1" x14ac:dyDescent="0.3">
      <c r="A924" s="529" t="s">
        <v>3196</v>
      </c>
      <c r="B924" s="529" t="s">
        <v>1916</v>
      </c>
      <c r="C924" s="424" t="str">
        <f t="shared" si="48"/>
        <v>Santiago do Cacém (APA00065050)</v>
      </c>
      <c r="D924" s="422">
        <v>2022</v>
      </c>
      <c r="E924" s="250" t="s">
        <v>3499</v>
      </c>
      <c r="F924" s="250" t="s">
        <v>3566</v>
      </c>
      <c r="G924" s="422" t="s">
        <v>42</v>
      </c>
      <c r="H924" s="424" t="s">
        <v>42</v>
      </c>
      <c r="I924" s="531">
        <v>130208</v>
      </c>
      <c r="J924" s="425" t="str">
        <f>INDEX(aux!B:B,MATCH(I924,aux!A:A,0))</f>
        <v>(*) Outros óleos de motores, transmissões e lubrificação</v>
      </c>
      <c r="K924" s="433" t="str">
        <f>INDEX(aux!C:C,MATCH(I924,aux!A:A,0))</f>
        <v>Sim</v>
      </c>
      <c r="L924" s="646">
        <v>0.88400000000000001</v>
      </c>
      <c r="M924" s="535" t="s">
        <v>1532</v>
      </c>
      <c r="N924" s="139">
        <f t="shared" si="49"/>
        <v>884</v>
      </c>
      <c r="O924" s="538" t="s">
        <v>483</v>
      </c>
      <c r="P924" s="231" t="str">
        <f t="shared" si="50"/>
        <v>Reciclagem</v>
      </c>
      <c r="Q924" s="541" t="s">
        <v>1902</v>
      </c>
      <c r="R924" s="541" t="s">
        <v>1877</v>
      </c>
      <c r="S924" s="528" t="str">
        <f>IFERROR(INDEX(Tabela3[Tipos de Tratamento],MATCH('A3.9.1 copy'!O232,Tabela3[Código],0)),"")</f>
        <v>Acumulação de resíduos destinados a uma das operações enumeradas de R1 a R12</v>
      </c>
      <c r="T924" s="458" t="s">
        <v>3209</v>
      </c>
      <c r="U924" s="458" t="s">
        <v>3209</v>
      </c>
      <c r="V924" s="93"/>
    </row>
    <row r="925" spans="1:22" ht="15.75" thickBot="1" x14ac:dyDescent="0.3">
      <c r="A925" s="93" t="s">
        <v>3196</v>
      </c>
      <c r="B925" s="93" t="s">
        <v>1916</v>
      </c>
      <c r="C925" s="424" t="str">
        <f t="shared" si="48"/>
        <v>Santiago do Cacém (APA00065050)</v>
      </c>
      <c r="D925" s="422">
        <v>2023</v>
      </c>
      <c r="E925" s="250" t="s">
        <v>3499</v>
      </c>
      <c r="F925" s="250" t="s">
        <v>3566</v>
      </c>
      <c r="G925" s="422" t="s">
        <v>42</v>
      </c>
      <c r="H925" s="424" t="s">
        <v>42</v>
      </c>
      <c r="I925" s="522">
        <v>130208</v>
      </c>
      <c r="J925" s="425" t="str">
        <f>INDEX(aux!B:B,MATCH(I925,aux!A:A,0))</f>
        <v>(*) Outros óleos de motores, transmissões e lubrificação</v>
      </c>
      <c r="K925" s="433" t="str">
        <f>INDEX(aux!C:C,MATCH(I925,aux!A:A,0))</f>
        <v>Sim</v>
      </c>
      <c r="L925" s="360">
        <v>2.403</v>
      </c>
      <c r="M925" s="359" t="s">
        <v>1532</v>
      </c>
      <c r="N925" s="139">
        <f t="shared" si="49"/>
        <v>2403</v>
      </c>
      <c r="O925" s="93" t="s">
        <v>484</v>
      </c>
      <c r="P925" s="231" t="str">
        <f t="shared" si="50"/>
        <v>Reciclagem</v>
      </c>
      <c r="Q925" s="541" t="s">
        <v>1902</v>
      </c>
      <c r="R925" s="541" t="s">
        <v>1877</v>
      </c>
      <c r="S925" s="544" t="s">
        <v>1553</v>
      </c>
      <c r="T925" s="93" t="s">
        <v>6275</v>
      </c>
      <c r="U925" s="93" t="s">
        <v>6275</v>
      </c>
      <c r="V925" s="93"/>
    </row>
    <row r="926" spans="1:22" ht="15.75" thickBot="1" x14ac:dyDescent="0.3">
      <c r="A926" s="93" t="s">
        <v>3196</v>
      </c>
      <c r="B926" s="93" t="s">
        <v>1916</v>
      </c>
      <c r="C926" s="424" t="str">
        <f t="shared" si="48"/>
        <v>Santiago do Cacém (APA00065050)</v>
      </c>
      <c r="D926" s="422">
        <v>2023</v>
      </c>
      <c r="E926" s="250" t="s">
        <v>3499</v>
      </c>
      <c r="F926" s="250" t="s">
        <v>3566</v>
      </c>
      <c r="G926" s="422" t="s">
        <v>42</v>
      </c>
      <c r="H926" s="424" t="s">
        <v>42</v>
      </c>
      <c r="I926" s="522">
        <v>200101</v>
      </c>
      <c r="J926" s="425" t="str">
        <f>INDEX(aux!B:B,MATCH(I926,aux!A:A,0))</f>
        <v xml:space="preserve">Papel e Cartão </v>
      </c>
      <c r="K926" s="433" t="str">
        <f>INDEX(aux!C:C,MATCH(I926,aux!A:A,0))</f>
        <v>Não</v>
      </c>
      <c r="L926" s="360">
        <v>1.46</v>
      </c>
      <c r="M926" s="359" t="s">
        <v>1532</v>
      </c>
      <c r="N926" s="139">
        <f t="shared" si="49"/>
        <v>1460</v>
      </c>
      <c r="O926" s="93" t="s">
        <v>483</v>
      </c>
      <c r="P926" s="231" t="str">
        <f t="shared" si="50"/>
        <v>Reciclagem</v>
      </c>
      <c r="Q926" s="541" t="s">
        <v>1904</v>
      </c>
      <c r="R926" s="541" t="s">
        <v>6569</v>
      </c>
      <c r="S926" s="544" t="s">
        <v>485</v>
      </c>
      <c r="T926" s="93" t="s">
        <v>6289</v>
      </c>
      <c r="U926" s="93" t="s">
        <v>6289</v>
      </c>
      <c r="V926" s="93"/>
    </row>
    <row r="927" spans="1:22" ht="15.75" hidden="1" thickBot="1" x14ac:dyDescent="0.3">
      <c r="A927" s="529" t="s">
        <v>3196</v>
      </c>
      <c r="B927" s="529" t="s">
        <v>1916</v>
      </c>
      <c r="C927" s="424" t="str">
        <f t="shared" si="48"/>
        <v>Santiago do Cacém (APA00065050)</v>
      </c>
      <c r="D927" s="422">
        <v>2022</v>
      </c>
      <c r="E927" s="250" t="s">
        <v>3499</v>
      </c>
      <c r="F927" s="250" t="s">
        <v>3566</v>
      </c>
      <c r="G927" s="422" t="s">
        <v>42</v>
      </c>
      <c r="H927" s="424" t="s">
        <v>42</v>
      </c>
      <c r="I927" s="531">
        <v>200139</v>
      </c>
      <c r="J927" s="425" t="str">
        <f>INDEX(aux!B:B,MATCH(I927,aux!A:A,0))</f>
        <v>Plasticos</v>
      </c>
      <c r="K927" s="433" t="str">
        <f>INDEX(aux!C:C,MATCH(I927,aux!A:A,0))</f>
        <v>Não</v>
      </c>
      <c r="L927" s="646">
        <v>1.34</v>
      </c>
      <c r="M927" s="535" t="s">
        <v>1532</v>
      </c>
      <c r="N927" s="139">
        <f t="shared" si="49"/>
        <v>1340</v>
      </c>
      <c r="O927" s="538" t="s">
        <v>483</v>
      </c>
      <c r="P927" s="231" t="str">
        <f t="shared" si="50"/>
        <v>Reciclagem</v>
      </c>
      <c r="Q927" s="541" t="s">
        <v>1560</v>
      </c>
      <c r="R927" s="541" t="s">
        <v>1903</v>
      </c>
      <c r="S927" s="528" t="str">
        <f>IFERROR(INDEX(Tabela3[Tipos de Tratamento],MATCH('A3.9.1 copy'!O246,Tabela3[Código],0)),"")</f>
        <v>Acumulação de resíduos destinados a uma das operações enumeradas de R1 a R12</v>
      </c>
      <c r="T927" s="458" t="s">
        <v>3211</v>
      </c>
      <c r="U927" s="458" t="s">
        <v>3211</v>
      </c>
      <c r="V927" s="93"/>
    </row>
    <row r="928" spans="1:22" ht="15.75" thickBot="1" x14ac:dyDescent="0.3">
      <c r="A928" s="93" t="s">
        <v>3196</v>
      </c>
      <c r="B928" s="93" t="s">
        <v>1916</v>
      </c>
      <c r="C928" s="424" t="str">
        <f t="shared" si="48"/>
        <v>Santiago do Cacém (APA00065050)</v>
      </c>
      <c r="D928" s="422">
        <v>2023</v>
      </c>
      <c r="E928" s="250" t="s">
        <v>3499</v>
      </c>
      <c r="F928" s="250" t="s">
        <v>3566</v>
      </c>
      <c r="G928" s="422" t="s">
        <v>42</v>
      </c>
      <c r="H928" s="424" t="s">
        <v>42</v>
      </c>
      <c r="I928" s="522">
        <v>160119</v>
      </c>
      <c r="J928" s="425" t="str">
        <f>INDEX(aux!B:B,MATCH(I928,aux!A:A,0))</f>
        <v>Plástico</v>
      </c>
      <c r="K928" s="433" t="str">
        <f>INDEX(aux!C:C,MATCH(I928,aux!A:A,0))</f>
        <v>Não</v>
      </c>
      <c r="L928" s="360">
        <v>0.89400000000000002</v>
      </c>
      <c r="M928" s="359" t="s">
        <v>1532</v>
      </c>
      <c r="N928" s="139">
        <f t="shared" si="49"/>
        <v>894</v>
      </c>
      <c r="O928" s="93" t="s">
        <v>484</v>
      </c>
      <c r="P928" s="231" t="str">
        <f t="shared" si="50"/>
        <v>Reciclagem</v>
      </c>
      <c r="Q928" s="541" t="s">
        <v>1560</v>
      </c>
      <c r="R928" s="541" t="s">
        <v>6569</v>
      </c>
      <c r="S928" s="544" t="s">
        <v>1553</v>
      </c>
      <c r="T928" s="93" t="s">
        <v>3208</v>
      </c>
      <c r="U928" s="93" t="s">
        <v>3208</v>
      </c>
      <c r="V928" s="422"/>
    </row>
    <row r="929" spans="1:22" ht="15.75" hidden="1" thickBot="1" x14ac:dyDescent="0.3">
      <c r="A929" s="529" t="s">
        <v>3196</v>
      </c>
      <c r="B929" s="529" t="s">
        <v>1916</v>
      </c>
      <c r="C929" s="424" t="str">
        <f t="shared" si="48"/>
        <v>Santiago do Cacém (APA00065050)</v>
      </c>
      <c r="D929" s="422">
        <v>2022</v>
      </c>
      <c r="E929" s="250" t="s">
        <v>3499</v>
      </c>
      <c r="F929" s="250" t="s">
        <v>3566</v>
      </c>
      <c r="G929" s="422" t="s">
        <v>42</v>
      </c>
      <c r="H929" s="424" t="s">
        <v>42</v>
      </c>
      <c r="I929" s="531">
        <v>140603</v>
      </c>
      <c r="J929" s="425" t="str">
        <f>INDEX(aux!B:B,MATCH(I929,aux!A:A,0))</f>
        <v>Outros solventes e misturas de solventes</v>
      </c>
      <c r="K929" s="433" t="str">
        <f>INDEX(aux!C:C,MATCH(I929,aux!A:A,0))</f>
        <v>Sim</v>
      </c>
      <c r="L929" s="646">
        <v>9.8400000000000001E-2</v>
      </c>
      <c r="M929" s="535" t="s">
        <v>1532</v>
      </c>
      <c r="N929" s="139">
        <f t="shared" si="49"/>
        <v>98.4</v>
      </c>
      <c r="O929" s="538" t="s">
        <v>483</v>
      </c>
      <c r="P929" s="231" t="str">
        <f t="shared" si="50"/>
        <v>Reciclagem</v>
      </c>
      <c r="Q929" s="541" t="s">
        <v>1901</v>
      </c>
      <c r="R929" s="541" t="s">
        <v>1892</v>
      </c>
      <c r="S929" s="528" t="str">
        <f>IFERROR(INDEX(Tabela3[Tipos de Tratamento],MATCH('A3.9.1 copy'!O233,Tabela3[Código],0)),"")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929" s="458" t="s">
        <v>1539</v>
      </c>
      <c r="U929" s="458" t="s">
        <v>1539</v>
      </c>
      <c r="V929" s="93"/>
    </row>
    <row r="930" spans="1:22" ht="15.75" hidden="1" thickBot="1" x14ac:dyDescent="0.3">
      <c r="A930" s="529" t="s">
        <v>3196</v>
      </c>
      <c r="B930" s="529" t="s">
        <v>1916</v>
      </c>
      <c r="C930" s="424" t="str">
        <f t="shared" si="48"/>
        <v>Santiago do Cacém (APA00065050)</v>
      </c>
      <c r="D930" s="422">
        <v>2022</v>
      </c>
      <c r="E930" s="250" t="s">
        <v>3499</v>
      </c>
      <c r="F930" s="250" t="s">
        <v>3566</v>
      </c>
      <c r="G930" s="422" t="s">
        <v>42</v>
      </c>
      <c r="H930" s="424" t="s">
        <v>42</v>
      </c>
      <c r="I930" s="531">
        <v>140603</v>
      </c>
      <c r="J930" s="425" t="str">
        <f>INDEX(aux!B:B,MATCH(I930,aux!A:A,0))</f>
        <v>Outros solventes e misturas de solventes</v>
      </c>
      <c r="K930" s="433" t="str">
        <f>INDEX(aux!C:C,MATCH(I930,aux!A:A,0))</f>
        <v>Sim</v>
      </c>
      <c r="L930" s="646">
        <v>9.8400000000000001E-2</v>
      </c>
      <c r="M930" s="535" t="s">
        <v>1532</v>
      </c>
      <c r="N930" s="139">
        <f t="shared" si="49"/>
        <v>98.4</v>
      </c>
      <c r="O930" s="538" t="s">
        <v>484</v>
      </c>
      <c r="P930" s="231" t="str">
        <f t="shared" si="50"/>
        <v>Reciclagem</v>
      </c>
      <c r="Q930" s="541" t="s">
        <v>1901</v>
      </c>
      <c r="R930" s="541" t="s">
        <v>1892</v>
      </c>
      <c r="S930" s="528" t="str">
        <f>IFERROR(INDEX(Tabela3[Tipos de Tratamento],MATCH('A3.9.1 copy'!O234,Tabela3[Código],0)),"")</f>
        <v xml:space="preserve">Troca de resíduos com vista a submetê-los a uma das operações enumeradas de R 1 a R 11 </v>
      </c>
      <c r="T930" s="458" t="s">
        <v>1539</v>
      </c>
      <c r="U930" s="458" t="s">
        <v>1539</v>
      </c>
      <c r="V930" s="93"/>
    </row>
    <row r="931" spans="1:22" ht="15.75" hidden="1" thickBot="1" x14ac:dyDescent="0.3">
      <c r="A931" s="529" t="s">
        <v>3196</v>
      </c>
      <c r="B931" s="529" t="s">
        <v>1916</v>
      </c>
      <c r="C931" s="424" t="str">
        <f t="shared" si="48"/>
        <v>Santiago do Cacém (APA00065050)</v>
      </c>
      <c r="D931" s="422">
        <v>2022</v>
      </c>
      <c r="E931" s="250" t="s">
        <v>3499</v>
      </c>
      <c r="F931" s="250" t="s">
        <v>3566</v>
      </c>
      <c r="G931" s="422" t="s">
        <v>42</v>
      </c>
      <c r="H931" s="424" t="s">
        <v>42</v>
      </c>
      <c r="I931" s="531">
        <v>150100</v>
      </c>
      <c r="J931" s="425" t="str">
        <f>INDEX(aux!B:B,MATCH(I931,aux!A:A,0))</f>
        <v>Embalagens contendo ou contaminadas por resíduos de substâncias perigosas</v>
      </c>
      <c r="K931" s="433" t="str">
        <f>INDEX(aux!C:C,MATCH(I931,aux!A:A,0))</f>
        <v>Sim</v>
      </c>
      <c r="L931" s="646">
        <v>2.9000000000000001E-2</v>
      </c>
      <c r="M931" s="535" t="s">
        <v>1532</v>
      </c>
      <c r="N931" s="139">
        <f t="shared" si="49"/>
        <v>29</v>
      </c>
      <c r="O931" s="538" t="s">
        <v>484</v>
      </c>
      <c r="P931" s="231" t="str">
        <f t="shared" si="50"/>
        <v>Reciclagem</v>
      </c>
      <c r="Q931" s="541" t="s">
        <v>1901</v>
      </c>
      <c r="R931" s="541" t="s">
        <v>1892</v>
      </c>
      <c r="S931" s="528" t="str">
        <f>IFERROR(INDEX(Tabela3[Tipos de Tratamento],MATCH('A3.9.1 copy'!O236,Tabela3[Código],0)),"")</f>
        <v>Acumulação de resíduos destinados a uma das operações enumeradas de R1 a R12</v>
      </c>
      <c r="T931" s="458" t="s">
        <v>1536</v>
      </c>
      <c r="U931" s="458" t="s">
        <v>1536</v>
      </c>
      <c r="V931" s="93"/>
    </row>
    <row r="932" spans="1:22" ht="15.75" hidden="1" thickBot="1" x14ac:dyDescent="0.3">
      <c r="A932" s="529" t="s">
        <v>3196</v>
      </c>
      <c r="B932" s="529" t="s">
        <v>1916</v>
      </c>
      <c r="C932" s="424" t="str">
        <f t="shared" si="48"/>
        <v>Santiago do Cacém (APA00065050)</v>
      </c>
      <c r="D932" s="422">
        <v>2022</v>
      </c>
      <c r="E932" s="250" t="s">
        <v>3499</v>
      </c>
      <c r="F932" s="250" t="s">
        <v>3566</v>
      </c>
      <c r="G932" s="422" t="s">
        <v>42</v>
      </c>
      <c r="H932" s="424" t="s">
        <v>42</v>
      </c>
      <c r="I932" s="531">
        <v>150110</v>
      </c>
      <c r="J932" s="425" t="str">
        <f>INDEX(aux!B:B,MATCH(I932,aux!A:A,0))</f>
        <v>(*) Embalagens contendo ou contaminadas por resíduos de substâncias perigosas</v>
      </c>
      <c r="K932" s="433" t="str">
        <f>INDEX(aux!C:C,MATCH(I932,aux!A:A,0))</f>
        <v>Sim</v>
      </c>
      <c r="L932" s="646">
        <v>0.14599999999999999</v>
      </c>
      <c r="M932" s="535" t="s">
        <v>1532</v>
      </c>
      <c r="N932" s="139">
        <f t="shared" si="49"/>
        <v>146</v>
      </c>
      <c r="O932" s="538" t="s">
        <v>484</v>
      </c>
      <c r="P932" s="231" t="str">
        <f t="shared" si="50"/>
        <v>Reciclagem</v>
      </c>
      <c r="Q932" s="541" t="s">
        <v>1901</v>
      </c>
      <c r="R932" s="541" t="s">
        <v>1892</v>
      </c>
      <c r="S932" s="528" t="str">
        <f>IFERROR(INDEX(Tabela3[Tipos de Tratamento],MATCH('A3.9.1 copy'!O235,Tabela3[Código],0)),"")</f>
        <v>Acumulação de resíduos destinados a uma das operações enumeradas de R1 a R12</v>
      </c>
      <c r="T932" s="458" t="s">
        <v>3208</v>
      </c>
      <c r="U932" s="458" t="s">
        <v>3208</v>
      </c>
      <c r="V932" s="93"/>
    </row>
    <row r="933" spans="1:22" ht="15.75" hidden="1" thickBot="1" x14ac:dyDescent="0.3">
      <c r="A933" s="529" t="s">
        <v>3196</v>
      </c>
      <c r="B933" s="529" t="s">
        <v>1916</v>
      </c>
      <c r="C933" s="424" t="str">
        <f t="shared" si="48"/>
        <v>Santiago do Cacém (APA00065050)</v>
      </c>
      <c r="D933" s="422">
        <v>2022</v>
      </c>
      <c r="E933" s="250" t="s">
        <v>3499</v>
      </c>
      <c r="F933" s="250" t="s">
        <v>3566</v>
      </c>
      <c r="G933" s="422" t="s">
        <v>42</v>
      </c>
      <c r="H933" s="424" t="s">
        <v>42</v>
      </c>
      <c r="I933" s="531">
        <v>150202</v>
      </c>
      <c r="J933" s="425" t="str">
        <f>INDEX(aux!B:B,MATCH(I933,aux!A:A,0))</f>
        <v>(*) Absorventes, materiais filtrantes (incluindo filtros de óleo sem outras especificações), panos de limpeza e vestuário de proteção, contaminados por substâncias perigosas</v>
      </c>
      <c r="K933" s="433" t="str">
        <f>INDEX(aux!C:C,MATCH(I933,aux!A:A,0))</f>
        <v>Sim</v>
      </c>
      <c r="L933" s="646">
        <v>0.14799999999999999</v>
      </c>
      <c r="M933" s="535" t="s">
        <v>1532</v>
      </c>
      <c r="N933" s="139">
        <f t="shared" si="49"/>
        <v>148</v>
      </c>
      <c r="O933" s="538" t="s">
        <v>484</v>
      </c>
      <c r="P933" s="231" t="str">
        <f t="shared" si="50"/>
        <v>Reciclagem</v>
      </c>
      <c r="Q933" s="541" t="s">
        <v>1901</v>
      </c>
      <c r="R933" s="541" t="s">
        <v>1892</v>
      </c>
      <c r="S933" s="528" t="str">
        <f>IFERROR(INDEX(Tabela3[Tipos de Tratamento],MATCH('A3.9.1 copy'!O237,Tabela3[Código],0)),"")</f>
        <v>Acumulação de resíduos destinados a uma das operações enumeradas de R1 a R12</v>
      </c>
      <c r="T933" s="458" t="s">
        <v>1536</v>
      </c>
      <c r="U933" s="458" t="s">
        <v>1536</v>
      </c>
      <c r="V933" s="93"/>
    </row>
    <row r="934" spans="1:22" ht="15.75" hidden="1" thickBot="1" x14ac:dyDescent="0.3">
      <c r="A934" s="529" t="s">
        <v>3196</v>
      </c>
      <c r="B934" s="529" t="s">
        <v>1916</v>
      </c>
      <c r="C934" s="424" t="str">
        <f t="shared" si="48"/>
        <v>Santiago do Cacém (APA00065050)</v>
      </c>
      <c r="D934" s="422">
        <v>2022</v>
      </c>
      <c r="E934" s="250" t="s">
        <v>3499</v>
      </c>
      <c r="F934" s="250" t="s">
        <v>3566</v>
      </c>
      <c r="G934" s="422" t="s">
        <v>42</v>
      </c>
      <c r="H934" s="424" t="s">
        <v>42</v>
      </c>
      <c r="I934" s="531">
        <v>150203</v>
      </c>
      <c r="J934" s="425" t="str">
        <f>INDEX(aux!B:B,MATCH(I934,aux!A:A,0))</f>
        <v>Absorventes, materiais filtrantes, panos de limpeza e vestuário de proteção não abrangidos em 15 02 02</v>
      </c>
      <c r="K934" s="433" t="str">
        <f>INDEX(aux!C:C,MATCH(I934,aux!A:A,0))</f>
        <v>Não</v>
      </c>
      <c r="L934" s="646">
        <v>0.216</v>
      </c>
      <c r="M934" s="535" t="s">
        <v>1532</v>
      </c>
      <c r="N934" s="139">
        <f t="shared" si="49"/>
        <v>216</v>
      </c>
      <c r="O934" s="538" t="s">
        <v>484</v>
      </c>
      <c r="P934" s="231" t="str">
        <f t="shared" si="50"/>
        <v>Reciclagem</v>
      </c>
      <c r="Q934" s="541" t="s">
        <v>1901</v>
      </c>
      <c r="R934" s="541" t="s">
        <v>1892</v>
      </c>
      <c r="S934" s="528" t="str">
        <f>IFERROR(INDEX(Tabela3[Tipos de Tratamento],MATCH('A3.9.1 copy'!O238,Tabela3[Código],0)),"")</f>
        <v xml:space="preserve">Troca de resíduos com vista a submetê-los a uma das operações enumeradas de R 1 a R 11 </v>
      </c>
      <c r="T934" s="458" t="s">
        <v>3208</v>
      </c>
      <c r="U934" s="458" t="s">
        <v>3208</v>
      </c>
      <c r="V934" s="93"/>
    </row>
    <row r="935" spans="1:22" ht="15.75" hidden="1" thickBot="1" x14ac:dyDescent="0.3">
      <c r="A935" s="529" t="s">
        <v>3196</v>
      </c>
      <c r="B935" s="529" t="s">
        <v>1916</v>
      </c>
      <c r="C935" s="424" t="str">
        <f t="shared" si="48"/>
        <v>Santiago do Cacém (APA00065050)</v>
      </c>
      <c r="D935" s="422">
        <v>2022</v>
      </c>
      <c r="E935" s="250" t="s">
        <v>3499</v>
      </c>
      <c r="F935" s="250" t="s">
        <v>3566</v>
      </c>
      <c r="G935" s="422" t="s">
        <v>42</v>
      </c>
      <c r="H935" s="424" t="s">
        <v>42</v>
      </c>
      <c r="I935" s="531">
        <v>160107</v>
      </c>
      <c r="J935" s="425" t="str">
        <f>INDEX(aux!B:B,MATCH(I935,aux!A:A,0))</f>
        <v>(*) Filtros de óleo</v>
      </c>
      <c r="K935" s="433" t="str">
        <f>INDEX(aux!C:C,MATCH(I935,aux!A:A,0))</f>
        <v>Sim</v>
      </c>
      <c r="L935" s="646">
        <v>0.32200000000000001</v>
      </c>
      <c r="M935" s="535" t="s">
        <v>1532</v>
      </c>
      <c r="N935" s="139">
        <f t="shared" si="49"/>
        <v>322</v>
      </c>
      <c r="O935" s="538" t="s">
        <v>484</v>
      </c>
      <c r="P935" s="231" t="str">
        <f t="shared" si="50"/>
        <v>Reciclagem</v>
      </c>
      <c r="Q935" s="541" t="s">
        <v>1901</v>
      </c>
      <c r="R935" s="541" t="s">
        <v>1892</v>
      </c>
      <c r="S935" s="528" t="str">
        <f>IFERROR(INDEX(Tabela3[Tipos de Tratamento],MATCH('A3.9.1 copy'!O240,Tabela3[Código],0)),"")</f>
        <v xml:space="preserve">Troca de resíduos com vista a submetê-los a uma das operações enumeradas de R 1 a R 11 </v>
      </c>
      <c r="T935" s="458" t="s">
        <v>1536</v>
      </c>
      <c r="U935" s="458" t="s">
        <v>1536</v>
      </c>
      <c r="V935" s="93"/>
    </row>
    <row r="936" spans="1:22" ht="15.75" hidden="1" thickBot="1" x14ac:dyDescent="0.3">
      <c r="A936" s="529" t="s">
        <v>3196</v>
      </c>
      <c r="B936" s="529" t="s">
        <v>1916</v>
      </c>
      <c r="C936" s="424" t="str">
        <f t="shared" si="48"/>
        <v>Santiago do Cacém (APA00065050)</v>
      </c>
      <c r="D936" s="422">
        <v>2022</v>
      </c>
      <c r="E936" s="250" t="s">
        <v>3499</v>
      </c>
      <c r="F936" s="250" t="s">
        <v>3566</v>
      </c>
      <c r="G936" s="422" t="s">
        <v>42</v>
      </c>
      <c r="H936" s="424" t="s">
        <v>42</v>
      </c>
      <c r="I936" s="531">
        <v>160199</v>
      </c>
      <c r="J936" s="425" t="str">
        <f>INDEX(aux!B:B,MATCH(I936,aux!A:A,0))</f>
        <v>Resíduos sem outras especificações</v>
      </c>
      <c r="K936" s="433" t="str">
        <f>INDEX(aux!C:C,MATCH(I936,aux!A:A,0))</f>
        <v>Não</v>
      </c>
      <c r="L936" s="646">
        <v>1.0820000000000001</v>
      </c>
      <c r="M936" s="535" t="s">
        <v>1532</v>
      </c>
      <c r="N936" s="139">
        <f t="shared" si="49"/>
        <v>1082</v>
      </c>
      <c r="O936" s="538" t="s">
        <v>484</v>
      </c>
      <c r="P936" s="231" t="str">
        <f t="shared" si="50"/>
        <v>Reciclagem</v>
      </c>
      <c r="Q936" s="541" t="s">
        <v>1901</v>
      </c>
      <c r="R936" s="541" t="s">
        <v>1892</v>
      </c>
      <c r="S936" s="528" t="str">
        <f>IFERROR(INDEX(Tabela3[Tipos de Tratamento],MATCH('A3.9.1 copy'!O244,Tabela3[Código],0)),"")</f>
        <v xml:space="preserve">Troca de resíduos com vista a submetê-los a uma das operações enumeradas de R 1 a R 11 </v>
      </c>
      <c r="T936" s="458" t="s">
        <v>3208</v>
      </c>
      <c r="U936" s="458" t="s">
        <v>3208</v>
      </c>
      <c r="V936" s="93"/>
    </row>
    <row r="937" spans="1:22" ht="15.75" thickBot="1" x14ac:dyDescent="0.3">
      <c r="A937" s="93" t="s">
        <v>3196</v>
      </c>
      <c r="B937" s="93" t="s">
        <v>1916</v>
      </c>
      <c r="C937" s="424" t="str">
        <f t="shared" si="48"/>
        <v>Santiago do Cacém (APA00065050)</v>
      </c>
      <c r="D937" s="422">
        <v>2023</v>
      </c>
      <c r="E937" s="250" t="s">
        <v>3499</v>
      </c>
      <c r="F937" s="250" t="s">
        <v>3566</v>
      </c>
      <c r="G937" s="422" t="s">
        <v>42</v>
      </c>
      <c r="H937" s="424" t="s">
        <v>42</v>
      </c>
      <c r="I937" s="522">
        <v>140603</v>
      </c>
      <c r="J937" s="425" t="str">
        <f>INDEX(aux!B:B,MATCH(I937,aux!A:A,0))</f>
        <v>Outros solventes e misturas de solventes</v>
      </c>
      <c r="K937" s="433" t="str">
        <f>INDEX(aux!C:C,MATCH(I937,aux!A:A,0))</f>
        <v>Sim</v>
      </c>
      <c r="L937" s="360">
        <v>0.2009</v>
      </c>
      <c r="M937" s="359" t="s">
        <v>1532</v>
      </c>
      <c r="N937" s="139">
        <f t="shared" si="49"/>
        <v>200.9</v>
      </c>
      <c r="O937" s="93" t="s">
        <v>484</v>
      </c>
      <c r="P937" s="231" t="str">
        <f t="shared" si="50"/>
        <v>Reciclagem</v>
      </c>
      <c r="Q937" s="541" t="s">
        <v>1901</v>
      </c>
      <c r="R937" s="541" t="s">
        <v>1892</v>
      </c>
      <c r="S937" s="544" t="s">
        <v>1553</v>
      </c>
      <c r="T937" s="93" t="s">
        <v>1539</v>
      </c>
      <c r="U937" s="93" t="s">
        <v>1539</v>
      </c>
      <c r="V937" s="422"/>
    </row>
    <row r="938" spans="1:22" ht="15.75" thickBot="1" x14ac:dyDescent="0.3">
      <c r="A938" s="93" t="s">
        <v>3196</v>
      </c>
      <c r="B938" s="93" t="s">
        <v>1916</v>
      </c>
      <c r="C938" s="424" t="str">
        <f t="shared" si="48"/>
        <v>Santiago do Cacém (APA00065050)</v>
      </c>
      <c r="D938" s="422">
        <v>2023</v>
      </c>
      <c r="E938" s="250" t="s">
        <v>3499</v>
      </c>
      <c r="F938" s="250" t="s">
        <v>3566</v>
      </c>
      <c r="G938" s="422" t="s">
        <v>42</v>
      </c>
      <c r="H938" s="424" t="s">
        <v>42</v>
      </c>
      <c r="I938" s="522">
        <v>130507</v>
      </c>
      <c r="J938" s="425" t="str">
        <f>INDEX(aux!B:B,MATCH(I938,aux!A:A,0))</f>
        <v>(*) Água com óleo proveniente dos separadores óleo/água</v>
      </c>
      <c r="K938" s="433" t="str">
        <f>INDEX(aux!C:C,MATCH(I938,aux!A:A,0))</f>
        <v>Sim</v>
      </c>
      <c r="L938" s="360">
        <v>0.5</v>
      </c>
      <c r="M938" s="359" t="s">
        <v>1532</v>
      </c>
      <c r="N938" s="139">
        <f t="shared" si="49"/>
        <v>500</v>
      </c>
      <c r="O938" s="93" t="s">
        <v>503</v>
      </c>
      <c r="P938" s="231" t="str">
        <f t="shared" si="50"/>
        <v>Aterro</v>
      </c>
      <c r="Q938" s="541" t="s">
        <v>1901</v>
      </c>
      <c r="R938" s="541" t="s">
        <v>1892</v>
      </c>
      <c r="S938" s="544" t="s">
        <v>518</v>
      </c>
      <c r="T938" s="93" t="s">
        <v>6285</v>
      </c>
      <c r="U938" s="93" t="s">
        <v>6285</v>
      </c>
      <c r="V938" s="422"/>
    </row>
    <row r="939" spans="1:22" ht="15.75" thickBot="1" x14ac:dyDescent="0.3">
      <c r="A939" s="422" t="s">
        <v>3196</v>
      </c>
      <c r="B939" s="422" t="s">
        <v>1916</v>
      </c>
      <c r="C939" s="424" t="str">
        <f t="shared" si="48"/>
        <v>Santiago do Cacém (APA00065050)</v>
      </c>
      <c r="D939" s="422">
        <v>2023</v>
      </c>
      <c r="E939" s="250" t="s">
        <v>3499</v>
      </c>
      <c r="F939" s="250" t="s">
        <v>3566</v>
      </c>
      <c r="G939" s="422" t="s">
        <v>42</v>
      </c>
      <c r="H939" s="424" t="s">
        <v>42</v>
      </c>
      <c r="I939" s="487">
        <v>160199</v>
      </c>
      <c r="J939" s="425" t="str">
        <f>INDEX(aux!B:B,MATCH(I939,aux!A:A,0))</f>
        <v>Resíduos sem outras especificações</v>
      </c>
      <c r="K939" s="433" t="str">
        <f>INDEX(aux!C:C,MATCH(I939,aux!A:A,0))</f>
        <v>Não</v>
      </c>
      <c r="L939" s="259">
        <v>2.536</v>
      </c>
      <c r="M939" s="428" t="s">
        <v>1532</v>
      </c>
      <c r="N939" s="139">
        <f t="shared" si="49"/>
        <v>2536</v>
      </c>
      <c r="O939" s="422" t="s">
        <v>484</v>
      </c>
      <c r="P939" s="231" t="str">
        <f t="shared" si="50"/>
        <v>Reciclagem</v>
      </c>
      <c r="Q939" s="541" t="s">
        <v>1901</v>
      </c>
      <c r="R939" s="541" t="s">
        <v>1892</v>
      </c>
      <c r="S939" s="94" t="s">
        <v>1553</v>
      </c>
      <c r="T939" s="422" t="s">
        <v>3208</v>
      </c>
      <c r="U939" s="422" t="s">
        <v>3208</v>
      </c>
      <c r="V939" s="422"/>
    </row>
    <row r="940" spans="1:22" ht="15.75" thickBot="1" x14ac:dyDescent="0.3">
      <c r="A940" s="93" t="s">
        <v>3196</v>
      </c>
      <c r="B940" s="93" t="s">
        <v>1916</v>
      </c>
      <c r="C940" s="424" t="str">
        <f t="shared" si="48"/>
        <v>Santiago do Cacém (APA00065050)</v>
      </c>
      <c r="D940" s="422">
        <v>2023</v>
      </c>
      <c r="E940" s="250" t="s">
        <v>3499</v>
      </c>
      <c r="F940" s="250" t="s">
        <v>3566</v>
      </c>
      <c r="G940" s="422" t="s">
        <v>42</v>
      </c>
      <c r="H940" s="424" t="s">
        <v>42</v>
      </c>
      <c r="I940" s="522">
        <v>150110</v>
      </c>
      <c r="J940" s="425" t="str">
        <f>INDEX(aux!B:B,MATCH(I940,aux!A:A,0))</f>
        <v>(*) Embalagens contendo ou contaminadas por resíduos de substâncias perigosas</v>
      </c>
      <c r="K940" s="433" t="str">
        <f>INDEX(aux!C:C,MATCH(I940,aux!A:A,0))</f>
        <v>Sim</v>
      </c>
      <c r="L940" s="360">
        <v>5.3999999999999999E-2</v>
      </c>
      <c r="M940" s="359" t="s">
        <v>1532</v>
      </c>
      <c r="N940" s="139">
        <f t="shared" si="49"/>
        <v>54</v>
      </c>
      <c r="O940" s="93" t="s">
        <v>484</v>
      </c>
      <c r="P940" s="231" t="str">
        <f t="shared" si="50"/>
        <v>Reciclagem</v>
      </c>
      <c r="Q940" s="541" t="s">
        <v>1901</v>
      </c>
      <c r="R940" s="541" t="s">
        <v>1892</v>
      </c>
      <c r="S940" s="544" t="s">
        <v>1553</v>
      </c>
      <c r="T940" s="93" t="s">
        <v>6276</v>
      </c>
      <c r="U940" s="93" t="s">
        <v>6286</v>
      </c>
      <c r="V940" s="422"/>
    </row>
    <row r="941" spans="1:22" ht="15.75" thickBot="1" x14ac:dyDescent="0.3">
      <c r="A941" s="422" t="s">
        <v>3196</v>
      </c>
      <c r="B941" s="422" t="s">
        <v>1916</v>
      </c>
      <c r="C941" s="424" t="str">
        <f t="shared" si="48"/>
        <v>Santiago do Cacém (APA00065050)</v>
      </c>
      <c r="D941" s="422">
        <v>2023</v>
      </c>
      <c r="E941" s="250" t="s">
        <v>3499</v>
      </c>
      <c r="F941" s="250" t="s">
        <v>3566</v>
      </c>
      <c r="G941" s="422" t="s">
        <v>42</v>
      </c>
      <c r="H941" s="424" t="s">
        <v>42</v>
      </c>
      <c r="I941" s="522">
        <v>130508</v>
      </c>
      <c r="J941" s="425" t="str">
        <f>INDEX(aux!B:B,MATCH(I941,aux!A:A,0))</f>
        <v>(*) Misturas de resíduos provenientes de desarenadores e de separadores óleo/água</v>
      </c>
      <c r="K941" s="433" t="str">
        <f>INDEX(aux!C:C,MATCH(I941,aux!A:A,0))</f>
        <v>Sim</v>
      </c>
      <c r="L941" s="360">
        <v>3.26</v>
      </c>
      <c r="M941" s="359" t="s">
        <v>1532</v>
      </c>
      <c r="N941" s="139">
        <f t="shared" si="49"/>
        <v>3260</v>
      </c>
      <c r="O941" s="93" t="s">
        <v>509</v>
      </c>
      <c r="P941" s="231" t="str">
        <f t="shared" si="50"/>
        <v>Aterro</v>
      </c>
      <c r="Q941" s="541" t="s">
        <v>1901</v>
      </c>
      <c r="R941" s="541" t="s">
        <v>1892</v>
      </c>
      <c r="S941" s="544" t="s">
        <v>1556</v>
      </c>
      <c r="T941" s="93" t="s">
        <v>6276</v>
      </c>
      <c r="U941" s="93" t="s">
        <v>6276</v>
      </c>
      <c r="V941" s="422"/>
    </row>
    <row r="942" spans="1:22" ht="15.75" thickBot="1" x14ac:dyDescent="0.3">
      <c r="A942" s="93" t="s">
        <v>3196</v>
      </c>
      <c r="B942" s="93" t="s">
        <v>1916</v>
      </c>
      <c r="C942" s="424" t="str">
        <f t="shared" si="48"/>
        <v>Santiago do Cacém (APA00065050)</v>
      </c>
      <c r="D942" s="422">
        <v>2023</v>
      </c>
      <c r="E942" s="250" t="s">
        <v>3499</v>
      </c>
      <c r="F942" s="250" t="s">
        <v>3566</v>
      </c>
      <c r="G942" s="422" t="s">
        <v>42</v>
      </c>
      <c r="H942" s="424" t="s">
        <v>42</v>
      </c>
      <c r="I942" s="522">
        <v>150203</v>
      </c>
      <c r="J942" s="425" t="str">
        <f>INDEX(aux!B:B,MATCH(I942,aux!A:A,0))</f>
        <v>Absorventes, materiais filtrantes, panos de limpeza e vestuário de proteção não abrangidos em 15 02 02</v>
      </c>
      <c r="K942" s="433" t="str">
        <f>INDEX(aux!C:C,MATCH(I942,aux!A:A,0))</f>
        <v>Não</v>
      </c>
      <c r="L942" s="360">
        <v>0.53600000000000003</v>
      </c>
      <c r="M942" s="359" t="s">
        <v>1532</v>
      </c>
      <c r="N942" s="139">
        <f t="shared" si="49"/>
        <v>536</v>
      </c>
      <c r="O942" s="93" t="s">
        <v>484</v>
      </c>
      <c r="P942" s="231" t="str">
        <f t="shared" si="50"/>
        <v>Reciclagem</v>
      </c>
      <c r="Q942" s="541" t="s">
        <v>1901</v>
      </c>
      <c r="R942" s="541" t="s">
        <v>1892</v>
      </c>
      <c r="S942" s="544" t="s">
        <v>1553</v>
      </c>
      <c r="T942" s="93" t="s">
        <v>3208</v>
      </c>
      <c r="U942" s="93" t="s">
        <v>3208</v>
      </c>
      <c r="V942" s="422"/>
    </row>
    <row r="943" spans="1:22" ht="15.75" thickBot="1" x14ac:dyDescent="0.3">
      <c r="A943" s="93" t="s">
        <v>3196</v>
      </c>
      <c r="B943" s="93" t="s">
        <v>1916</v>
      </c>
      <c r="C943" s="424" t="str">
        <f t="shared" ref="C943:C1006" si="51">IF(A943=B943,"X",RIGHT(A943,LEN(A943)-LEN(B943)-3))</f>
        <v>Santiago do Cacém (APA00065050)</v>
      </c>
      <c r="D943" s="422">
        <v>2023</v>
      </c>
      <c r="E943" s="250" t="s">
        <v>3499</v>
      </c>
      <c r="F943" s="250" t="s">
        <v>3566</v>
      </c>
      <c r="G943" s="422" t="s">
        <v>42</v>
      </c>
      <c r="H943" s="424" t="s">
        <v>42</v>
      </c>
      <c r="I943" s="522">
        <v>150202</v>
      </c>
      <c r="J943" s="425" t="str">
        <f>INDEX(aux!B:B,MATCH(I943,aux!A:A,0))</f>
        <v>(*) Absorventes, materiais filtrantes (incluindo filtros de óleo sem outras especificações), panos de limpeza e vestuário de proteção, contaminados por substâncias perigosas</v>
      </c>
      <c r="K943" s="433" t="str">
        <f>INDEX(aux!C:C,MATCH(I943,aux!A:A,0))</f>
        <v>Sim</v>
      </c>
      <c r="L943" s="360">
        <v>0.14000000000000001</v>
      </c>
      <c r="M943" s="359" t="s">
        <v>1532</v>
      </c>
      <c r="N943" s="139">
        <f t="shared" si="49"/>
        <v>140</v>
      </c>
      <c r="O943" s="93" t="s">
        <v>509</v>
      </c>
      <c r="P943" s="231" t="str">
        <f t="shared" si="50"/>
        <v>Aterro</v>
      </c>
      <c r="Q943" s="541" t="s">
        <v>1901</v>
      </c>
      <c r="R943" s="541" t="s">
        <v>1892</v>
      </c>
      <c r="S943" s="544" t="s">
        <v>1556</v>
      </c>
      <c r="T943" s="93" t="s">
        <v>6276</v>
      </c>
      <c r="U943" s="93" t="s">
        <v>6286</v>
      </c>
      <c r="V943" s="422"/>
    </row>
    <row r="944" spans="1:22" ht="15.75" thickBot="1" x14ac:dyDescent="0.3">
      <c r="A944" s="93" t="s">
        <v>3196</v>
      </c>
      <c r="B944" s="93" t="s">
        <v>1916</v>
      </c>
      <c r="C944" s="424" t="str">
        <f t="shared" si="51"/>
        <v>Santiago do Cacém (APA00065050)</v>
      </c>
      <c r="D944" s="422">
        <v>2023</v>
      </c>
      <c r="E944" s="250" t="s">
        <v>3499</v>
      </c>
      <c r="F944" s="250" t="s">
        <v>3566</v>
      </c>
      <c r="G944" s="422" t="s">
        <v>42</v>
      </c>
      <c r="H944" s="424" t="s">
        <v>42</v>
      </c>
      <c r="I944" s="522">
        <v>150202</v>
      </c>
      <c r="J944" s="425" t="str">
        <f>INDEX(aux!B:B,MATCH(I944,aux!A:A,0))</f>
        <v>(*) Absorventes, materiais filtrantes (incluindo filtros de óleo sem outras especificações), panos de limpeza e vestuário de proteção, contaminados por substâncias perigosas</v>
      </c>
      <c r="K944" s="433" t="str">
        <f>INDEX(aux!C:C,MATCH(I944,aux!A:A,0))</f>
        <v>Sim</v>
      </c>
      <c r="L944" s="360">
        <v>8.5000000000000006E-2</v>
      </c>
      <c r="M944" s="359" t="s">
        <v>1532</v>
      </c>
      <c r="N944" s="139">
        <f t="shared" si="49"/>
        <v>85</v>
      </c>
      <c r="O944" s="93" t="s">
        <v>484</v>
      </c>
      <c r="P944" s="231" t="str">
        <f t="shared" si="50"/>
        <v>Reciclagem</v>
      </c>
      <c r="Q944" s="541" t="s">
        <v>1901</v>
      </c>
      <c r="R944" s="541" t="s">
        <v>1892</v>
      </c>
      <c r="S944" s="544" t="s">
        <v>1553</v>
      </c>
      <c r="T944" s="93" t="s">
        <v>6276</v>
      </c>
      <c r="U944" s="93" t="s">
        <v>6286</v>
      </c>
      <c r="V944" s="422"/>
    </row>
    <row r="945" spans="1:22" ht="15.75" thickBot="1" x14ac:dyDescent="0.3">
      <c r="A945" s="422" t="s">
        <v>3196</v>
      </c>
      <c r="B945" s="93" t="s">
        <v>1916</v>
      </c>
      <c r="C945" s="424" t="str">
        <f t="shared" si="51"/>
        <v>Santiago do Cacém (APA00065050)</v>
      </c>
      <c r="D945" s="422">
        <v>2023</v>
      </c>
      <c r="E945" s="250" t="s">
        <v>3499</v>
      </c>
      <c r="F945" s="250" t="s">
        <v>3566</v>
      </c>
      <c r="G945" s="422" t="s">
        <v>42</v>
      </c>
      <c r="H945" s="424" t="s">
        <v>42</v>
      </c>
      <c r="I945" s="522">
        <v>160107</v>
      </c>
      <c r="J945" s="425" t="str">
        <f>INDEX(aux!B:B,MATCH(I945,aux!A:A,0))</f>
        <v>(*) Filtros de óleo</v>
      </c>
      <c r="K945" s="433" t="str">
        <f>INDEX(aux!C:C,MATCH(I945,aux!A:A,0))</f>
        <v>Sim</v>
      </c>
      <c r="L945" s="360">
        <v>0.41599999999999998</v>
      </c>
      <c r="M945" s="359" t="s">
        <v>1532</v>
      </c>
      <c r="N945" s="139">
        <f t="shared" si="49"/>
        <v>416</v>
      </c>
      <c r="O945" s="93" t="s">
        <v>484</v>
      </c>
      <c r="P945" s="231" t="str">
        <f t="shared" si="50"/>
        <v>Reciclagem</v>
      </c>
      <c r="Q945" s="541" t="s">
        <v>1901</v>
      </c>
      <c r="R945" s="541" t="s">
        <v>1892</v>
      </c>
      <c r="S945" s="544" t="s">
        <v>1553</v>
      </c>
      <c r="T945" s="93" t="s">
        <v>6276</v>
      </c>
      <c r="U945" s="93" t="s">
        <v>6286</v>
      </c>
      <c r="V945" s="422"/>
    </row>
    <row r="946" spans="1:22" ht="15.75" hidden="1" thickBot="1" x14ac:dyDescent="0.3">
      <c r="A946" s="529" t="s">
        <v>3196</v>
      </c>
      <c r="B946" s="529" t="s">
        <v>1916</v>
      </c>
      <c r="C946" s="424" t="str">
        <f t="shared" si="51"/>
        <v>Santiago do Cacém (APA00065050)</v>
      </c>
      <c r="D946" s="422">
        <v>2022</v>
      </c>
      <c r="E946" s="250" t="s">
        <v>3499</v>
      </c>
      <c r="F946" s="250" t="s">
        <v>3566</v>
      </c>
      <c r="G946" s="422" t="s">
        <v>42</v>
      </c>
      <c r="H946" s="424" t="s">
        <v>42</v>
      </c>
      <c r="I946" s="531">
        <v>160104</v>
      </c>
      <c r="J946" s="425" t="str">
        <f>INDEX(aux!B:B,MATCH(I946,aux!A:A,0))</f>
        <v>Veículos em fim de vida</v>
      </c>
      <c r="K946" s="433" t="str">
        <f>INDEX(aux!C:C,MATCH(I946,aux!A:A,0))</f>
        <v>Sim</v>
      </c>
      <c r="L946" s="646">
        <v>12.98</v>
      </c>
      <c r="M946" s="535" t="s">
        <v>1532</v>
      </c>
      <c r="N946" s="139">
        <f t="shared" si="49"/>
        <v>12980</v>
      </c>
      <c r="O946" s="538" t="s">
        <v>484</v>
      </c>
      <c r="P946" s="231" t="str">
        <f t="shared" si="50"/>
        <v>Reciclagem</v>
      </c>
      <c r="Q946" s="541" t="s">
        <v>1907</v>
      </c>
      <c r="R946" s="541" t="s">
        <v>1903</v>
      </c>
      <c r="S946" s="528" t="str">
        <f>IFERROR(INDEX(Tabela3[Tipos de Tratamento],MATCH('A3.9.1 copy'!O239,Tabela3[Código],0)),"")</f>
        <v>Acumulação de resíduos destinados a uma das operações enumeradas de R1 a R12</v>
      </c>
      <c r="T946" s="458" t="s">
        <v>3208</v>
      </c>
      <c r="U946" s="458" t="s">
        <v>3210</v>
      </c>
      <c r="V946" s="93"/>
    </row>
    <row r="947" spans="1:22" ht="15.75" thickBot="1" x14ac:dyDescent="0.3">
      <c r="A947" s="93" t="s">
        <v>3196</v>
      </c>
      <c r="B947" s="93" t="s">
        <v>1916</v>
      </c>
      <c r="C947" s="424" t="str">
        <f t="shared" si="51"/>
        <v>Santiago do Cacém (APA00065050)</v>
      </c>
      <c r="D947" s="422">
        <v>2023</v>
      </c>
      <c r="E947" s="250" t="s">
        <v>3499</v>
      </c>
      <c r="F947" s="250" t="s">
        <v>3566</v>
      </c>
      <c r="G947" s="422" t="s">
        <v>42</v>
      </c>
      <c r="H947" s="424" t="s">
        <v>42</v>
      </c>
      <c r="I947" s="522">
        <v>160104</v>
      </c>
      <c r="J947" s="425" t="str">
        <f>INDEX(aux!B:B,MATCH(I947,aux!A:A,0))</f>
        <v>Veículos em fim de vida</v>
      </c>
      <c r="K947" s="433" t="str">
        <f>INDEX(aux!C:C,MATCH(I947,aux!A:A,0))</f>
        <v>Sim</v>
      </c>
      <c r="L947" s="360">
        <v>13.2</v>
      </c>
      <c r="M947" s="359" t="s">
        <v>1532</v>
      </c>
      <c r="N947" s="139">
        <f t="shared" si="49"/>
        <v>13200</v>
      </c>
      <c r="O947" s="93" t="s">
        <v>483</v>
      </c>
      <c r="P947" s="231" t="str">
        <f t="shared" si="50"/>
        <v>Reciclagem</v>
      </c>
      <c r="Q947" s="541" t="s">
        <v>1907</v>
      </c>
      <c r="R947" s="541" t="s">
        <v>6569</v>
      </c>
      <c r="S947" s="544" t="s">
        <v>485</v>
      </c>
      <c r="T947" s="93" t="s">
        <v>3208</v>
      </c>
      <c r="U947" s="93" t="s">
        <v>6278</v>
      </c>
      <c r="V947" s="93"/>
    </row>
    <row r="948" spans="1:22" ht="15.75" thickBot="1" x14ac:dyDescent="0.3">
      <c r="A948" s="93" t="s">
        <v>3196</v>
      </c>
      <c r="B948" s="93" t="s">
        <v>1916</v>
      </c>
      <c r="C948" s="424" t="str">
        <f t="shared" si="51"/>
        <v>Santiago do Cacém (APA00065050)</v>
      </c>
      <c r="D948" s="422">
        <v>2023</v>
      </c>
      <c r="E948" s="250" t="s">
        <v>3499</v>
      </c>
      <c r="F948" s="250" t="s">
        <v>3566</v>
      </c>
      <c r="G948" s="422" t="s">
        <v>42</v>
      </c>
      <c r="H948" s="424" t="s">
        <v>42</v>
      </c>
      <c r="I948" s="522">
        <v>160104</v>
      </c>
      <c r="J948" s="425" t="str">
        <f>INDEX(aux!B:B,MATCH(I948,aux!A:A,0))</f>
        <v>Veículos em fim de vida</v>
      </c>
      <c r="K948" s="433" t="str">
        <f>INDEX(aux!C:C,MATCH(I948,aux!A:A,0))</f>
        <v>Sim</v>
      </c>
      <c r="L948" s="360">
        <v>61.78</v>
      </c>
      <c r="M948" s="359" t="s">
        <v>1532</v>
      </c>
      <c r="N948" s="139">
        <f t="shared" si="49"/>
        <v>61780</v>
      </c>
      <c r="O948" s="93" t="s">
        <v>484</v>
      </c>
      <c r="P948" s="231" t="str">
        <f t="shared" si="50"/>
        <v>Reciclagem</v>
      </c>
      <c r="Q948" s="541" t="s">
        <v>1907</v>
      </c>
      <c r="R948" s="541" t="s">
        <v>6569</v>
      </c>
      <c r="S948" s="544" t="s">
        <v>1553</v>
      </c>
      <c r="T948" s="93" t="s">
        <v>3208</v>
      </c>
      <c r="U948" s="93" t="s">
        <v>6287</v>
      </c>
      <c r="V948" s="93"/>
    </row>
    <row r="949" spans="1:22" ht="15.75" thickBot="1" x14ac:dyDescent="0.3">
      <c r="A949" s="93" t="s">
        <v>3196</v>
      </c>
      <c r="B949" s="93" t="s">
        <v>1916</v>
      </c>
      <c r="C949" s="424" t="str">
        <f t="shared" si="51"/>
        <v>Santiago do Cacém (APA00065050)</v>
      </c>
      <c r="D949" s="422">
        <v>2023</v>
      </c>
      <c r="E949" s="250" t="s">
        <v>3499</v>
      </c>
      <c r="F949" s="250" t="s">
        <v>3566</v>
      </c>
      <c r="G949" s="422" t="s">
        <v>42</v>
      </c>
      <c r="H949" s="424" t="s">
        <v>42</v>
      </c>
      <c r="I949" s="522">
        <v>160104</v>
      </c>
      <c r="J949" s="425" t="str">
        <f>INDEX(aux!B:B,MATCH(I949,aux!A:A,0))</f>
        <v>Veículos em fim de vida</v>
      </c>
      <c r="K949" s="433" t="str">
        <f>INDEX(aux!C:C,MATCH(I949,aux!A:A,0))</f>
        <v>Sim</v>
      </c>
      <c r="L949" s="360">
        <v>26.02</v>
      </c>
      <c r="M949" s="359" t="s">
        <v>1532</v>
      </c>
      <c r="N949" s="139">
        <f t="shared" si="49"/>
        <v>26020</v>
      </c>
      <c r="O949" s="93" t="s">
        <v>483</v>
      </c>
      <c r="P949" s="231" t="str">
        <f t="shared" si="50"/>
        <v>Reciclagem</v>
      </c>
      <c r="Q949" s="541" t="s">
        <v>1907</v>
      </c>
      <c r="R949" s="541" t="s">
        <v>6569</v>
      </c>
      <c r="S949" s="544" t="s">
        <v>485</v>
      </c>
      <c r="T949" s="93" t="s">
        <v>6288</v>
      </c>
      <c r="U949" s="93" t="s">
        <v>6288</v>
      </c>
      <c r="V949" s="93"/>
    </row>
    <row r="950" spans="1:22" ht="15.75" thickBot="1" x14ac:dyDescent="0.3">
      <c r="A950" s="93" t="s">
        <v>3196</v>
      </c>
      <c r="B950" s="93" t="s">
        <v>1916</v>
      </c>
      <c r="C950" s="424" t="str">
        <f t="shared" si="51"/>
        <v>Santiago do Cacém (APA00065050)</v>
      </c>
      <c r="D950" s="422">
        <v>2023</v>
      </c>
      <c r="E950" s="250" t="s">
        <v>3499</v>
      </c>
      <c r="F950" s="250" t="s">
        <v>3566</v>
      </c>
      <c r="G950" s="422" t="s">
        <v>42</v>
      </c>
      <c r="H950" s="424" t="s">
        <v>42</v>
      </c>
      <c r="I950" s="522">
        <v>160104</v>
      </c>
      <c r="J950" s="425" t="str">
        <f>INDEX(aux!B:B,MATCH(I950,aux!A:A,0))</f>
        <v>Veículos em fim de vida</v>
      </c>
      <c r="K950" s="433" t="str">
        <f>INDEX(aux!C:C,MATCH(I950,aux!A:A,0))</f>
        <v>Sim</v>
      </c>
      <c r="L950" s="360">
        <v>10.08</v>
      </c>
      <c r="M950" s="359" t="s">
        <v>1532</v>
      </c>
      <c r="N950" s="139">
        <f t="shared" si="49"/>
        <v>10080</v>
      </c>
      <c r="O950" s="93" t="s">
        <v>484</v>
      </c>
      <c r="P950" s="231" t="str">
        <f t="shared" si="50"/>
        <v>Reciclagem</v>
      </c>
      <c r="Q950" s="541" t="s">
        <v>1907</v>
      </c>
      <c r="R950" s="541" t="s">
        <v>6569</v>
      </c>
      <c r="S950" s="544" t="s">
        <v>1553</v>
      </c>
      <c r="T950" s="93" t="s">
        <v>6288</v>
      </c>
      <c r="U950" s="93" t="s">
        <v>6288</v>
      </c>
      <c r="V950" s="93"/>
    </row>
    <row r="951" spans="1:22" ht="15.75" thickBot="1" x14ac:dyDescent="0.3">
      <c r="A951" s="93" t="s">
        <v>6331</v>
      </c>
      <c r="B951" s="93" t="s">
        <v>1916</v>
      </c>
      <c r="C951" s="424" t="str">
        <f t="shared" si="51"/>
        <v>ZI Portalegre (APA08355203)</v>
      </c>
      <c r="D951" s="422">
        <v>2023</v>
      </c>
      <c r="E951" s="250" t="s">
        <v>3499</v>
      </c>
      <c r="F951" s="250" t="s">
        <v>3566</v>
      </c>
      <c r="G951" s="422" t="s">
        <v>42</v>
      </c>
      <c r="H951" s="424" t="s">
        <v>42</v>
      </c>
      <c r="I951" s="522">
        <v>160601</v>
      </c>
      <c r="J951" s="425" t="str">
        <f>INDEX(aux!B:B,MATCH(I951,aux!A:A,0))</f>
        <v>(*) Acumuladores de chumbo</v>
      </c>
      <c r="K951" s="433" t="str">
        <f>INDEX(aux!C:C,MATCH(I951,aux!A:A,0))</f>
        <v>Sim</v>
      </c>
      <c r="L951" s="360">
        <v>0.92</v>
      </c>
      <c r="M951" s="359" t="s">
        <v>1532</v>
      </c>
      <c r="N951" s="139">
        <f t="shared" si="49"/>
        <v>920</v>
      </c>
      <c r="O951" s="93" t="s">
        <v>484</v>
      </c>
      <c r="P951" s="231" t="str">
        <f t="shared" si="50"/>
        <v>Reciclagem</v>
      </c>
      <c r="Q951" s="541" t="s">
        <v>1653</v>
      </c>
      <c r="R951" s="541" t="s">
        <v>1877</v>
      </c>
      <c r="S951" s="544" t="s">
        <v>1553</v>
      </c>
      <c r="T951" s="93" t="s">
        <v>6283</v>
      </c>
      <c r="U951" s="93" t="s">
        <v>6283</v>
      </c>
      <c r="V951" s="93"/>
    </row>
    <row r="952" spans="1:22" ht="15.75" thickBot="1" x14ac:dyDescent="0.3">
      <c r="A952" s="93" t="s">
        <v>6331</v>
      </c>
      <c r="B952" s="93" t="s">
        <v>1916</v>
      </c>
      <c r="C952" s="424" t="str">
        <f t="shared" si="51"/>
        <v>ZI Portalegre (APA08355203)</v>
      </c>
      <c r="D952" s="422">
        <v>2023</v>
      </c>
      <c r="E952" s="250" t="s">
        <v>3499</v>
      </c>
      <c r="F952" s="250" t="s">
        <v>3566</v>
      </c>
      <c r="G952" s="422" t="s">
        <v>42</v>
      </c>
      <c r="H952" s="424" t="s">
        <v>42</v>
      </c>
      <c r="I952" s="522">
        <v>160601</v>
      </c>
      <c r="J952" s="425" t="str">
        <f>INDEX(aux!B:B,MATCH(I952,aux!A:A,0))</f>
        <v>(*) Acumuladores de chumbo</v>
      </c>
      <c r="K952" s="433" t="str">
        <f>INDEX(aux!C:C,MATCH(I952,aux!A:A,0))</f>
        <v>Sim</v>
      </c>
      <c r="L952" s="360">
        <v>1.131</v>
      </c>
      <c r="M952" s="359" t="s">
        <v>1532</v>
      </c>
      <c r="N952" s="139">
        <f t="shared" si="49"/>
        <v>1131</v>
      </c>
      <c r="O952" s="93" t="s">
        <v>484</v>
      </c>
      <c r="P952" s="231" t="str">
        <f t="shared" si="50"/>
        <v>Reciclagem</v>
      </c>
      <c r="Q952" s="541" t="s">
        <v>1653</v>
      </c>
      <c r="R952" s="541" t="s">
        <v>1877</v>
      </c>
      <c r="S952" s="544" t="s">
        <v>1553</v>
      </c>
      <c r="T952" s="93" t="s">
        <v>6282</v>
      </c>
      <c r="U952" s="93" t="s">
        <v>6282</v>
      </c>
      <c r="V952" s="93"/>
    </row>
    <row r="953" spans="1:22" ht="15.75" thickBot="1" x14ac:dyDescent="0.3">
      <c r="A953" s="93" t="s">
        <v>6331</v>
      </c>
      <c r="B953" s="93" t="s">
        <v>1916</v>
      </c>
      <c r="C953" s="424" t="str">
        <f t="shared" si="51"/>
        <v>ZI Portalegre (APA08355203)</v>
      </c>
      <c r="D953" s="422">
        <v>2023</v>
      </c>
      <c r="E953" s="250" t="s">
        <v>3499</v>
      </c>
      <c r="F953" s="250" t="s">
        <v>3566</v>
      </c>
      <c r="G953" s="422" t="s">
        <v>42</v>
      </c>
      <c r="H953" s="424" t="s">
        <v>42</v>
      </c>
      <c r="I953" s="522">
        <v>150103</v>
      </c>
      <c r="J953" s="425" t="str">
        <f>INDEX(aux!B:B,MATCH(I953,aux!A:A,0))</f>
        <v>Embalagens de madeira</v>
      </c>
      <c r="K953" s="433" t="str">
        <f>INDEX(aux!C:C,MATCH(I953,aux!A:A,0))</f>
        <v>Não</v>
      </c>
      <c r="L953" s="360">
        <v>0.9</v>
      </c>
      <c r="M953" s="359" t="s">
        <v>1532</v>
      </c>
      <c r="N953" s="139">
        <f t="shared" si="49"/>
        <v>900</v>
      </c>
      <c r="O953" s="93" t="s">
        <v>483</v>
      </c>
      <c r="P953" s="231" t="str">
        <f t="shared" si="50"/>
        <v>Reciclagem</v>
      </c>
      <c r="Q953" s="541" t="s">
        <v>1905</v>
      </c>
      <c r="R953" s="541" t="s">
        <v>6569</v>
      </c>
      <c r="S953" s="544" t="s">
        <v>485</v>
      </c>
      <c r="T953" s="93" t="s">
        <v>6282</v>
      </c>
      <c r="U953" s="93" t="s">
        <v>6282</v>
      </c>
      <c r="V953" s="93"/>
    </row>
    <row r="954" spans="1:22" ht="15.75" thickBot="1" x14ac:dyDescent="0.3">
      <c r="A954" s="93" t="s">
        <v>6331</v>
      </c>
      <c r="B954" s="93" t="s">
        <v>1916</v>
      </c>
      <c r="C954" s="424" t="str">
        <f t="shared" si="51"/>
        <v>ZI Portalegre (APA08355203)</v>
      </c>
      <c r="D954" s="422">
        <v>2023</v>
      </c>
      <c r="E954" s="250" t="s">
        <v>3499</v>
      </c>
      <c r="F954" s="250" t="s">
        <v>3566</v>
      </c>
      <c r="G954" s="422" t="s">
        <v>42</v>
      </c>
      <c r="H954" s="424" t="s">
        <v>42</v>
      </c>
      <c r="I954" s="522">
        <v>160117</v>
      </c>
      <c r="J954" s="425" t="str">
        <f>INDEX(aux!B:B,MATCH(I954,aux!A:A,0))</f>
        <v>Metais ferrosos</v>
      </c>
      <c r="K954" s="433" t="str">
        <f>INDEX(aux!C:C,MATCH(I954,aux!A:A,0))</f>
        <v>Não</v>
      </c>
      <c r="L954" s="360">
        <v>1.18</v>
      </c>
      <c r="M954" s="359" t="s">
        <v>1532</v>
      </c>
      <c r="N954" s="139">
        <f t="shared" si="49"/>
        <v>1180</v>
      </c>
      <c r="O954" s="93" t="s">
        <v>483</v>
      </c>
      <c r="P954" s="231" t="str">
        <f t="shared" si="50"/>
        <v>Reciclagem</v>
      </c>
      <c r="Q954" s="541" t="s">
        <v>1557</v>
      </c>
      <c r="R954" s="541" t="s">
        <v>6569</v>
      </c>
      <c r="S954" s="544" t="s">
        <v>485</v>
      </c>
      <c r="T954" s="93" t="s">
        <v>6282</v>
      </c>
      <c r="U954" s="93" t="s">
        <v>6282</v>
      </c>
      <c r="V954" s="422"/>
    </row>
    <row r="955" spans="1:22" ht="15.75" thickBot="1" x14ac:dyDescent="0.3">
      <c r="A955" s="93" t="s">
        <v>6331</v>
      </c>
      <c r="B955" s="93" t="s">
        <v>1916</v>
      </c>
      <c r="C955" s="424" t="str">
        <f t="shared" si="51"/>
        <v>ZI Portalegre (APA08355203)</v>
      </c>
      <c r="D955" s="422">
        <v>2023</v>
      </c>
      <c r="E955" s="250" t="s">
        <v>3499</v>
      </c>
      <c r="F955" s="250" t="s">
        <v>3566</v>
      </c>
      <c r="G955" s="422" t="s">
        <v>42</v>
      </c>
      <c r="H955" s="424" t="s">
        <v>42</v>
      </c>
      <c r="I955" s="522">
        <v>160117</v>
      </c>
      <c r="J955" s="425" t="str">
        <f>INDEX(aux!B:B,MATCH(I955,aux!A:A,0))</f>
        <v>Metais ferrosos</v>
      </c>
      <c r="K955" s="433" t="str">
        <f>INDEX(aux!C:C,MATCH(I955,aux!A:A,0))</f>
        <v>Não</v>
      </c>
      <c r="L955" s="360">
        <v>0.96</v>
      </c>
      <c r="M955" s="359" t="s">
        <v>1532</v>
      </c>
      <c r="N955" s="139">
        <f t="shared" si="49"/>
        <v>960</v>
      </c>
      <c r="O955" s="93" t="s">
        <v>483</v>
      </c>
      <c r="P955" s="231" t="str">
        <f t="shared" si="50"/>
        <v>Reciclagem</v>
      </c>
      <c r="Q955" s="541" t="s">
        <v>1557</v>
      </c>
      <c r="R955" s="541" t="s">
        <v>6569</v>
      </c>
      <c r="S955" s="544" t="s">
        <v>485</v>
      </c>
      <c r="T955" s="93" t="s">
        <v>6288</v>
      </c>
      <c r="U955" s="93" t="s">
        <v>6288</v>
      </c>
      <c r="V955" s="93"/>
    </row>
    <row r="956" spans="1:22" ht="15.75" thickBot="1" x14ac:dyDescent="0.3">
      <c r="A956" s="93" t="s">
        <v>6331</v>
      </c>
      <c r="B956" s="93" t="s">
        <v>1916</v>
      </c>
      <c r="C956" s="424" t="str">
        <f t="shared" si="51"/>
        <v>ZI Portalegre (APA08355203)</v>
      </c>
      <c r="D956" s="422">
        <v>2023</v>
      </c>
      <c r="E956" s="250" t="s">
        <v>3499</v>
      </c>
      <c r="F956" s="250" t="s">
        <v>3566</v>
      </c>
      <c r="G956" s="422" t="s">
        <v>42</v>
      </c>
      <c r="H956" s="424" t="s">
        <v>42</v>
      </c>
      <c r="I956" s="522">
        <v>191202</v>
      </c>
      <c r="J956" s="425" t="str">
        <f>INDEX(aux!B:B,MATCH(I956,aux!A:A,0))</f>
        <v>Metais ferrosos</v>
      </c>
      <c r="K956" s="433" t="str">
        <f>INDEX(aux!C:C,MATCH(I956,aux!A:A,0))</f>
        <v>Não</v>
      </c>
      <c r="L956" s="360">
        <v>0.8</v>
      </c>
      <c r="M956" s="359" t="s">
        <v>1532</v>
      </c>
      <c r="N956" s="139">
        <f t="shared" si="49"/>
        <v>800</v>
      </c>
      <c r="O956" s="93" t="s">
        <v>483</v>
      </c>
      <c r="P956" s="231" t="str">
        <f t="shared" si="50"/>
        <v>Reciclagem</v>
      </c>
      <c r="Q956" s="541" t="s">
        <v>1557</v>
      </c>
      <c r="R956" s="541" t="s">
        <v>6569</v>
      </c>
      <c r="S956" s="544" t="s">
        <v>485</v>
      </c>
      <c r="T956" s="93" t="s">
        <v>6283</v>
      </c>
      <c r="U956" s="93" t="s">
        <v>6283</v>
      </c>
      <c r="V956" s="93"/>
    </row>
    <row r="957" spans="1:22" ht="15.75" thickBot="1" x14ac:dyDescent="0.3">
      <c r="A957" s="93" t="s">
        <v>6331</v>
      </c>
      <c r="B957" s="93" t="s">
        <v>1916</v>
      </c>
      <c r="C957" s="424" t="str">
        <f t="shared" si="51"/>
        <v>ZI Portalegre (APA08355203)</v>
      </c>
      <c r="D957" s="422">
        <v>2023</v>
      </c>
      <c r="E957" s="250" t="s">
        <v>3499</v>
      </c>
      <c r="F957" s="250" t="s">
        <v>3566</v>
      </c>
      <c r="G957" s="422" t="s">
        <v>42</v>
      </c>
      <c r="H957" s="424" t="s">
        <v>42</v>
      </c>
      <c r="I957" s="522">
        <v>130208</v>
      </c>
      <c r="J957" s="425" t="str">
        <f>INDEX(aux!B:B,MATCH(I957,aux!A:A,0))</f>
        <v>(*) Outros óleos de motores, transmissões e lubrificação</v>
      </c>
      <c r="K957" s="433" t="str">
        <f>INDEX(aux!C:C,MATCH(I957,aux!A:A,0))</f>
        <v>Sim</v>
      </c>
      <c r="L957" s="360">
        <v>2.4350000000000001</v>
      </c>
      <c r="M957" s="359" t="s">
        <v>1532</v>
      </c>
      <c r="N957" s="139">
        <f t="shared" si="49"/>
        <v>2435</v>
      </c>
      <c r="O957" s="93" t="s">
        <v>483</v>
      </c>
      <c r="P957" s="231" t="str">
        <f t="shared" si="50"/>
        <v>Reciclagem</v>
      </c>
      <c r="Q957" s="541" t="s">
        <v>1902</v>
      </c>
      <c r="R957" s="541" t="s">
        <v>1877</v>
      </c>
      <c r="S957" s="544" t="s">
        <v>485</v>
      </c>
      <c r="T957" s="93" t="s">
        <v>1539</v>
      </c>
      <c r="U957" s="93" t="s">
        <v>1539</v>
      </c>
      <c r="V957" s="93"/>
    </row>
    <row r="958" spans="1:22" ht="15.75" thickBot="1" x14ac:dyDescent="0.3">
      <c r="A958" s="93" t="s">
        <v>6331</v>
      </c>
      <c r="B958" s="93" t="s">
        <v>1916</v>
      </c>
      <c r="C958" s="424" t="str">
        <f t="shared" si="51"/>
        <v>ZI Portalegre (APA08355203)</v>
      </c>
      <c r="D958" s="422">
        <v>2023</v>
      </c>
      <c r="E958" s="250" t="s">
        <v>3499</v>
      </c>
      <c r="F958" s="250" t="s">
        <v>3566</v>
      </c>
      <c r="G958" s="422" t="s">
        <v>42</v>
      </c>
      <c r="H958" s="424" t="s">
        <v>42</v>
      </c>
      <c r="I958" s="522">
        <v>150203</v>
      </c>
      <c r="J958" s="425" t="str">
        <f>INDEX(aux!B:B,MATCH(I958,aux!A:A,0))</f>
        <v>Absorventes, materiais filtrantes, panos de limpeza e vestuário de proteção não abrangidos em 15 02 02</v>
      </c>
      <c r="K958" s="433" t="str">
        <f>INDEX(aux!C:C,MATCH(I958,aux!A:A,0))</f>
        <v>Não</v>
      </c>
      <c r="L958" s="360">
        <v>0.124</v>
      </c>
      <c r="M958" s="359" t="s">
        <v>1532</v>
      </c>
      <c r="N958" s="139">
        <f t="shared" si="49"/>
        <v>124</v>
      </c>
      <c r="O958" s="93" t="s">
        <v>509</v>
      </c>
      <c r="P958" s="231" t="str">
        <f t="shared" si="50"/>
        <v>Aterro</v>
      </c>
      <c r="Q958" s="541" t="s">
        <v>1901</v>
      </c>
      <c r="R958" s="541" t="s">
        <v>1892</v>
      </c>
      <c r="S958" s="544" t="s">
        <v>1556</v>
      </c>
      <c r="T958" s="93" t="s">
        <v>6276</v>
      </c>
      <c r="U958" s="93" t="s">
        <v>6277</v>
      </c>
      <c r="V958" s="422"/>
    </row>
    <row r="959" spans="1:22" ht="15.75" thickBot="1" x14ac:dyDescent="0.3">
      <c r="A959" s="422" t="s">
        <v>6331</v>
      </c>
      <c r="B959" s="93" t="s">
        <v>1916</v>
      </c>
      <c r="C959" s="424" t="str">
        <f t="shared" si="51"/>
        <v>ZI Portalegre (APA08355203)</v>
      </c>
      <c r="D959" s="422">
        <v>2023</v>
      </c>
      <c r="E959" s="250" t="s">
        <v>3499</v>
      </c>
      <c r="F959" s="250" t="s">
        <v>3566</v>
      </c>
      <c r="G959" s="422" t="s">
        <v>42</v>
      </c>
      <c r="H959" s="424" t="s">
        <v>42</v>
      </c>
      <c r="I959" s="522">
        <v>160107</v>
      </c>
      <c r="J959" s="425" t="str">
        <f>INDEX(aux!B:B,MATCH(I959,aux!A:A,0))</f>
        <v>(*) Filtros de óleo</v>
      </c>
      <c r="K959" s="433" t="str">
        <f>INDEX(aux!C:C,MATCH(I959,aux!A:A,0))</f>
        <v>Sim</v>
      </c>
      <c r="L959" s="360">
        <v>8.5000000000000006E-2</v>
      </c>
      <c r="M959" s="359" t="s">
        <v>1532</v>
      </c>
      <c r="N959" s="139">
        <f t="shared" si="49"/>
        <v>85</v>
      </c>
      <c r="O959" s="93" t="s">
        <v>484</v>
      </c>
      <c r="P959" s="231" t="str">
        <f t="shared" si="50"/>
        <v>Reciclagem</v>
      </c>
      <c r="Q959" s="541" t="s">
        <v>1901</v>
      </c>
      <c r="R959" s="541" t="s">
        <v>1892</v>
      </c>
      <c r="S959" s="544" t="s">
        <v>1553</v>
      </c>
      <c r="T959" s="93" t="s">
        <v>6276</v>
      </c>
      <c r="U959" s="93" t="s">
        <v>6286</v>
      </c>
      <c r="V959" s="422"/>
    </row>
    <row r="960" spans="1:22" ht="15.75" thickBot="1" x14ac:dyDescent="0.3">
      <c r="A960" s="422" t="s">
        <v>6331</v>
      </c>
      <c r="B960" s="422" t="s">
        <v>1916</v>
      </c>
      <c r="C960" s="424" t="str">
        <f t="shared" si="51"/>
        <v>ZI Portalegre (APA08355203)</v>
      </c>
      <c r="D960" s="422">
        <v>2023</v>
      </c>
      <c r="E960" s="250" t="s">
        <v>3499</v>
      </c>
      <c r="F960" s="250" t="s">
        <v>3566</v>
      </c>
      <c r="G960" s="422" t="s">
        <v>42</v>
      </c>
      <c r="H960" s="424" t="s">
        <v>42</v>
      </c>
      <c r="I960" s="487">
        <v>160122</v>
      </c>
      <c r="J960" s="425" t="str">
        <f>INDEX(aux!B:B,MATCH(I960,aux!A:A,0))</f>
        <v>Componentes sem outras especificações</v>
      </c>
      <c r="K960" s="433" t="str">
        <f>INDEX(aux!C:C,MATCH(I960,aux!A:A,0))</f>
        <v>Não</v>
      </c>
      <c r="L960" s="259">
        <v>0.193</v>
      </c>
      <c r="M960" s="428" t="s">
        <v>1532</v>
      </c>
      <c r="N960" s="139">
        <f t="shared" si="49"/>
        <v>193</v>
      </c>
      <c r="O960" s="422" t="s">
        <v>509</v>
      </c>
      <c r="P960" s="231" t="str">
        <f t="shared" si="50"/>
        <v>Aterro</v>
      </c>
      <c r="Q960" s="541" t="s">
        <v>1901</v>
      </c>
      <c r="R960" s="541" t="s">
        <v>1892</v>
      </c>
      <c r="S960" s="544" t="s">
        <v>1556</v>
      </c>
      <c r="T960" s="93" t="s">
        <v>6276</v>
      </c>
      <c r="U960" s="93" t="s">
        <v>6276</v>
      </c>
      <c r="V960" s="93"/>
    </row>
    <row r="961" spans="1:22" ht="15.75" thickBot="1" x14ac:dyDescent="0.3">
      <c r="A961" s="93" t="s">
        <v>6331</v>
      </c>
      <c r="B961" s="93" t="s">
        <v>1916</v>
      </c>
      <c r="C961" s="424" t="str">
        <f t="shared" si="51"/>
        <v>ZI Portalegre (APA08355203)</v>
      </c>
      <c r="D961" s="422">
        <v>2023</v>
      </c>
      <c r="E961" s="250" t="s">
        <v>3499</v>
      </c>
      <c r="F961" s="250" t="s">
        <v>3566</v>
      </c>
      <c r="G961" s="422" t="s">
        <v>42</v>
      </c>
      <c r="H961" s="424" t="s">
        <v>42</v>
      </c>
      <c r="I961" s="522">
        <v>160104</v>
      </c>
      <c r="J961" s="425" t="str">
        <f>INDEX(aux!B:B,MATCH(I961,aux!A:A,0))</f>
        <v>Veículos em fim de vida</v>
      </c>
      <c r="K961" s="433" t="str">
        <f>INDEX(aux!C:C,MATCH(I961,aux!A:A,0))</f>
        <v>Sim</v>
      </c>
      <c r="L961" s="360">
        <v>21.32</v>
      </c>
      <c r="M961" s="359" t="s">
        <v>1532</v>
      </c>
      <c r="N961" s="139">
        <f t="shared" si="49"/>
        <v>21320</v>
      </c>
      <c r="O961" s="93" t="s">
        <v>483</v>
      </c>
      <c r="P961" s="231" t="str">
        <f t="shared" si="50"/>
        <v>Reciclagem</v>
      </c>
      <c r="Q961" s="541" t="s">
        <v>1907</v>
      </c>
      <c r="R961" s="541" t="s">
        <v>6569</v>
      </c>
      <c r="S961" s="544" t="s">
        <v>485</v>
      </c>
      <c r="T961" s="93" t="s">
        <v>3208</v>
      </c>
      <c r="U961" s="93" t="s">
        <v>6284</v>
      </c>
      <c r="V961" s="93"/>
    </row>
    <row r="962" spans="1:22" ht="15.75" thickBot="1" x14ac:dyDescent="0.3">
      <c r="A962" s="93" t="s">
        <v>6331</v>
      </c>
      <c r="B962" s="93" t="s">
        <v>1916</v>
      </c>
      <c r="C962" s="424" t="str">
        <f t="shared" si="51"/>
        <v>ZI Portalegre (APA08355203)</v>
      </c>
      <c r="D962" s="422">
        <v>2023</v>
      </c>
      <c r="E962" s="250" t="s">
        <v>3499</v>
      </c>
      <c r="F962" s="250" t="s">
        <v>3566</v>
      </c>
      <c r="G962" s="422" t="s">
        <v>42</v>
      </c>
      <c r="H962" s="424" t="s">
        <v>42</v>
      </c>
      <c r="I962" s="522">
        <v>160104</v>
      </c>
      <c r="J962" s="425" t="str">
        <f>INDEX(aux!B:B,MATCH(I962,aux!A:A,0))</f>
        <v>Veículos em fim de vida</v>
      </c>
      <c r="K962" s="433" t="str">
        <f>INDEX(aux!C:C,MATCH(I962,aux!A:A,0))</f>
        <v>Sim</v>
      </c>
      <c r="L962" s="360">
        <v>44.62</v>
      </c>
      <c r="M962" s="359" t="s">
        <v>1532</v>
      </c>
      <c r="N962" s="139">
        <f t="shared" si="49"/>
        <v>44620</v>
      </c>
      <c r="O962" s="93" t="s">
        <v>484</v>
      </c>
      <c r="P962" s="231" t="str">
        <f t="shared" si="50"/>
        <v>Reciclagem</v>
      </c>
      <c r="Q962" s="541" t="s">
        <v>1907</v>
      </c>
      <c r="R962" s="541" t="s">
        <v>6569</v>
      </c>
      <c r="S962" s="544" t="s">
        <v>1553</v>
      </c>
      <c r="T962" s="93" t="s">
        <v>3208</v>
      </c>
      <c r="U962" s="93" t="s">
        <v>6284</v>
      </c>
      <c r="V962" s="93"/>
    </row>
    <row r="963" spans="1:22" ht="15.75" thickBot="1" x14ac:dyDescent="0.3">
      <c r="A963" s="93" t="s">
        <v>6331</v>
      </c>
      <c r="B963" s="93" t="s">
        <v>1916</v>
      </c>
      <c r="C963" s="424" t="str">
        <f t="shared" si="51"/>
        <v>ZI Portalegre (APA08355203)</v>
      </c>
      <c r="D963" s="422">
        <v>2023</v>
      </c>
      <c r="E963" s="250" t="s">
        <v>3499</v>
      </c>
      <c r="F963" s="250" t="s">
        <v>3566</v>
      </c>
      <c r="G963" s="422" t="s">
        <v>42</v>
      </c>
      <c r="H963" s="424" t="s">
        <v>42</v>
      </c>
      <c r="I963" s="522">
        <v>160104</v>
      </c>
      <c r="J963" s="425" t="str">
        <f>INDEX(aux!B:B,MATCH(I963,aux!A:A,0))</f>
        <v>Veículos em fim de vida</v>
      </c>
      <c r="K963" s="433" t="str">
        <f>INDEX(aux!C:C,MATCH(I963,aux!A:A,0))</f>
        <v>Sim</v>
      </c>
      <c r="L963" s="360">
        <v>22.12</v>
      </c>
      <c r="M963" s="359" t="s">
        <v>1532</v>
      </c>
      <c r="N963" s="139">
        <f t="shared" ref="N963:N1026" si="52">IF(LEFT(M963,3)="ton",1000*L963,L963)</f>
        <v>22120</v>
      </c>
      <c r="O963" s="93" t="s">
        <v>483</v>
      </c>
      <c r="P963" s="231" t="str">
        <f t="shared" ref="P963:P1026" si="53">IF(LEFT(O963,1)="R","Reciclagem",IF(OR(O963="D10",O963="D11"),"Iceneração","Aterro"))</f>
        <v>Reciclagem</v>
      </c>
      <c r="Q963" s="541" t="s">
        <v>1907</v>
      </c>
      <c r="R963" s="541" t="s">
        <v>6569</v>
      </c>
      <c r="S963" s="544" t="s">
        <v>485</v>
      </c>
      <c r="T963" s="93" t="s">
        <v>6288</v>
      </c>
      <c r="U963" s="93" t="s">
        <v>6288</v>
      </c>
      <c r="V963" s="93"/>
    </row>
    <row r="964" spans="1:22" ht="15.75" thickBot="1" x14ac:dyDescent="0.3">
      <c r="A964" s="93" t="s">
        <v>6331</v>
      </c>
      <c r="B964" s="93" t="s">
        <v>1916</v>
      </c>
      <c r="C964" s="424" t="str">
        <f t="shared" si="51"/>
        <v>ZI Portalegre (APA08355203)</v>
      </c>
      <c r="D964" s="422">
        <v>2023</v>
      </c>
      <c r="E964" s="250" t="s">
        <v>3499</v>
      </c>
      <c r="F964" s="250" t="s">
        <v>3566</v>
      </c>
      <c r="G964" s="422" t="s">
        <v>42</v>
      </c>
      <c r="H964" s="424" t="s">
        <v>42</v>
      </c>
      <c r="I964" s="522">
        <v>160104</v>
      </c>
      <c r="J964" s="425" t="str">
        <f>INDEX(aux!B:B,MATCH(I964,aux!A:A,0))</f>
        <v>Veículos em fim de vida</v>
      </c>
      <c r="K964" s="433" t="str">
        <f>INDEX(aux!C:C,MATCH(I964,aux!A:A,0))</f>
        <v>Sim</v>
      </c>
      <c r="L964" s="360">
        <v>80.400000000000006</v>
      </c>
      <c r="M964" s="359" t="s">
        <v>1532</v>
      </c>
      <c r="N964" s="139">
        <f t="shared" si="52"/>
        <v>80400</v>
      </c>
      <c r="O964" s="93" t="s">
        <v>484</v>
      </c>
      <c r="P964" s="231" t="str">
        <f t="shared" si="53"/>
        <v>Reciclagem</v>
      </c>
      <c r="Q964" s="541" t="s">
        <v>1907</v>
      </c>
      <c r="R964" s="541" t="s">
        <v>6569</v>
      </c>
      <c r="S964" s="544" t="s">
        <v>1553</v>
      </c>
      <c r="T964" s="93" t="s">
        <v>6288</v>
      </c>
      <c r="U964" s="93" t="s">
        <v>6288</v>
      </c>
      <c r="V964" s="93"/>
    </row>
    <row r="965" spans="1:22" ht="15.75" thickBot="1" x14ac:dyDescent="0.3">
      <c r="A965" s="93" t="s">
        <v>2868</v>
      </c>
      <c r="B965" s="93" t="s">
        <v>2868</v>
      </c>
      <c r="C965" s="424" t="str">
        <f t="shared" si="51"/>
        <v>X</v>
      </c>
      <c r="D965" s="422">
        <v>2023</v>
      </c>
      <c r="E965" s="250" t="s">
        <v>3499</v>
      </c>
      <c r="F965" s="250" t="s">
        <v>3566</v>
      </c>
      <c r="G965" s="422" t="s">
        <v>42</v>
      </c>
      <c r="H965" s="424" t="s">
        <v>42</v>
      </c>
      <c r="I965" s="522">
        <v>160117</v>
      </c>
      <c r="J965" s="425" t="str">
        <f>INDEX(aux!B:B,MATCH(I965,aux!A:A,0))</f>
        <v>Metais ferrosos</v>
      </c>
      <c r="K965" s="433" t="str">
        <f>INDEX(aux!C:C,MATCH(I965,aux!A:A,0))</f>
        <v>Não</v>
      </c>
      <c r="L965" s="360">
        <v>7560</v>
      </c>
      <c r="M965" s="359" t="s">
        <v>557</v>
      </c>
      <c r="N965" s="139">
        <f t="shared" si="52"/>
        <v>7560</v>
      </c>
      <c r="O965" s="93" t="s">
        <v>483</v>
      </c>
      <c r="P965" s="231" t="str">
        <f t="shared" si="53"/>
        <v>Reciclagem</v>
      </c>
      <c r="Q965" s="541" t="s">
        <v>1557</v>
      </c>
      <c r="R965" s="541" t="s">
        <v>6569</v>
      </c>
      <c r="S965" s="544" t="s">
        <v>485</v>
      </c>
      <c r="T965" s="93" t="s">
        <v>3269</v>
      </c>
      <c r="U965" s="93" t="s">
        <v>3270</v>
      </c>
      <c r="V965" s="93"/>
    </row>
    <row r="966" spans="1:22" ht="15.75" thickBot="1" x14ac:dyDescent="0.3">
      <c r="A966" s="93" t="s">
        <v>2868</v>
      </c>
      <c r="B966" s="93" t="s">
        <v>2868</v>
      </c>
      <c r="C966" s="424" t="str">
        <f t="shared" si="51"/>
        <v>X</v>
      </c>
      <c r="D966" s="422">
        <v>2023</v>
      </c>
      <c r="E966" s="250" t="s">
        <v>3499</v>
      </c>
      <c r="F966" s="250" t="s">
        <v>3566</v>
      </c>
      <c r="G966" s="422" t="s">
        <v>42</v>
      </c>
      <c r="H966" s="424" t="s">
        <v>42</v>
      </c>
      <c r="I966" s="522">
        <v>160117</v>
      </c>
      <c r="J966" s="425" t="str">
        <f>INDEX(aux!B:B,MATCH(I966,aux!A:A,0))</f>
        <v>Metais ferrosos</v>
      </c>
      <c r="K966" s="433" t="str">
        <f>INDEX(aux!C:C,MATCH(I966,aux!A:A,0))</f>
        <v>Não</v>
      </c>
      <c r="L966" s="360">
        <v>5640</v>
      </c>
      <c r="M966" s="359" t="s">
        <v>557</v>
      </c>
      <c r="N966" s="139">
        <f t="shared" si="52"/>
        <v>5640</v>
      </c>
      <c r="O966" s="93" t="s">
        <v>483</v>
      </c>
      <c r="P966" s="231" t="str">
        <f t="shared" si="53"/>
        <v>Reciclagem</v>
      </c>
      <c r="Q966" s="541" t="s">
        <v>1557</v>
      </c>
      <c r="R966" s="541" t="s">
        <v>6569</v>
      </c>
      <c r="S966" s="544" t="s">
        <v>485</v>
      </c>
      <c r="T966" s="93" t="s">
        <v>3267</v>
      </c>
      <c r="U966" s="93" t="s">
        <v>3268</v>
      </c>
      <c r="V966" s="93"/>
    </row>
    <row r="967" spans="1:22" ht="15.75" thickBot="1" x14ac:dyDescent="0.3">
      <c r="A967" s="93" t="s">
        <v>2868</v>
      </c>
      <c r="B967" s="93" t="s">
        <v>2868</v>
      </c>
      <c r="C967" s="424" t="str">
        <f t="shared" si="51"/>
        <v>X</v>
      </c>
      <c r="D967" s="422">
        <v>2023</v>
      </c>
      <c r="E967" s="250" t="s">
        <v>3499</v>
      </c>
      <c r="F967" s="250" t="s">
        <v>3566</v>
      </c>
      <c r="G967" s="422" t="s">
        <v>42</v>
      </c>
      <c r="H967" s="424" t="s">
        <v>42</v>
      </c>
      <c r="I967" s="522">
        <v>200101</v>
      </c>
      <c r="J967" s="425" t="str">
        <f>INDEX(aux!B:B,MATCH(I967,aux!A:A,0))</f>
        <v xml:space="preserve">Papel e Cartão </v>
      </c>
      <c r="K967" s="433" t="str">
        <f>INDEX(aux!C:C,MATCH(I967,aux!A:A,0))</f>
        <v>Não</v>
      </c>
      <c r="L967" s="360">
        <v>2440</v>
      </c>
      <c r="M967" s="359" t="s">
        <v>557</v>
      </c>
      <c r="N967" s="139">
        <f t="shared" si="52"/>
        <v>2440</v>
      </c>
      <c r="O967" s="93" t="s">
        <v>484</v>
      </c>
      <c r="P967" s="231" t="str">
        <f t="shared" si="53"/>
        <v>Reciclagem</v>
      </c>
      <c r="Q967" s="541" t="s">
        <v>1904</v>
      </c>
      <c r="R967" s="541" t="s">
        <v>6569</v>
      </c>
      <c r="S967" s="544" t="s">
        <v>1553</v>
      </c>
      <c r="T967" s="93" t="s">
        <v>3263</v>
      </c>
      <c r="U967" s="93" t="s">
        <v>3272</v>
      </c>
      <c r="V967" s="93"/>
    </row>
    <row r="968" spans="1:22" ht="15.75" thickBot="1" x14ac:dyDescent="0.3">
      <c r="A968" s="93" t="s">
        <v>2868</v>
      </c>
      <c r="B968" s="93" t="s">
        <v>2868</v>
      </c>
      <c r="C968" s="424" t="str">
        <f t="shared" si="51"/>
        <v>X</v>
      </c>
      <c r="D968" s="422">
        <v>2023</v>
      </c>
      <c r="E968" s="250" t="s">
        <v>3499</v>
      </c>
      <c r="F968" s="250" t="s">
        <v>3566</v>
      </c>
      <c r="G968" s="422" t="s">
        <v>42</v>
      </c>
      <c r="H968" s="424" t="s">
        <v>42</v>
      </c>
      <c r="I968" s="522">
        <v>200101</v>
      </c>
      <c r="J968" s="425" t="str">
        <f>INDEX(aux!B:B,MATCH(I968,aux!A:A,0))</f>
        <v xml:space="preserve">Papel e Cartão </v>
      </c>
      <c r="K968" s="433" t="str">
        <f>INDEX(aux!C:C,MATCH(I968,aux!A:A,0))</f>
        <v>Não</v>
      </c>
      <c r="L968" s="360">
        <v>80</v>
      </c>
      <c r="M968" s="359" t="s">
        <v>557</v>
      </c>
      <c r="N968" s="139">
        <f t="shared" si="52"/>
        <v>80</v>
      </c>
      <c r="O968" s="93" t="s">
        <v>484</v>
      </c>
      <c r="P968" s="231" t="str">
        <f t="shared" si="53"/>
        <v>Reciclagem</v>
      </c>
      <c r="Q968" s="541" t="s">
        <v>1904</v>
      </c>
      <c r="R968" s="541" t="s">
        <v>6569</v>
      </c>
      <c r="S968" s="544" t="s">
        <v>1553</v>
      </c>
      <c r="T968" s="93" t="s">
        <v>3263</v>
      </c>
      <c r="U968" s="93" t="s">
        <v>6297</v>
      </c>
      <c r="V968" s="93"/>
    </row>
    <row r="969" spans="1:22" ht="15.75" thickBot="1" x14ac:dyDescent="0.3">
      <c r="A969" s="422" t="s">
        <v>2868</v>
      </c>
      <c r="B969" s="422" t="s">
        <v>2868</v>
      </c>
      <c r="C969" s="424" t="str">
        <f t="shared" si="51"/>
        <v>X</v>
      </c>
      <c r="D969" s="422">
        <v>2023</v>
      </c>
      <c r="E969" s="250" t="s">
        <v>3499</v>
      </c>
      <c r="F969" s="250" t="s">
        <v>3566</v>
      </c>
      <c r="G969" s="422" t="s">
        <v>42</v>
      </c>
      <c r="H969" s="424" t="s">
        <v>42</v>
      </c>
      <c r="I969" s="487">
        <v>160199</v>
      </c>
      <c r="J969" s="425" t="str">
        <f>INDEX(aux!B:B,MATCH(I969,aux!A:A,0))</f>
        <v>Resíduos sem outras especificações</v>
      </c>
      <c r="K969" s="433" t="str">
        <f>INDEX(aux!C:C,MATCH(I969,aux!A:A,0))</f>
        <v>Não</v>
      </c>
      <c r="L969" s="259">
        <v>4800</v>
      </c>
      <c r="M969" s="428" t="s">
        <v>557</v>
      </c>
      <c r="N969" s="139">
        <f t="shared" si="52"/>
        <v>4800</v>
      </c>
      <c r="O969" s="422" t="s">
        <v>509</v>
      </c>
      <c r="P969" s="231" t="str">
        <f t="shared" si="53"/>
        <v>Aterro</v>
      </c>
      <c r="Q969" s="541" t="s">
        <v>1901</v>
      </c>
      <c r="R969" s="541" t="s">
        <v>1892</v>
      </c>
      <c r="S969" s="544" t="s">
        <v>1556</v>
      </c>
      <c r="T969" s="93" t="s">
        <v>3263</v>
      </c>
      <c r="U969" s="93" t="s">
        <v>3272</v>
      </c>
      <c r="V969" s="93"/>
    </row>
    <row r="970" spans="1:22" ht="15.75" thickBot="1" x14ac:dyDescent="0.3">
      <c r="A970" s="93" t="s">
        <v>2868</v>
      </c>
      <c r="B970" s="93" t="s">
        <v>2868</v>
      </c>
      <c r="C970" s="424" t="str">
        <f t="shared" si="51"/>
        <v>X</v>
      </c>
      <c r="D970" s="422">
        <v>2023</v>
      </c>
      <c r="E970" s="250" t="s">
        <v>3499</v>
      </c>
      <c r="F970" s="250" t="s">
        <v>3566</v>
      </c>
      <c r="G970" s="422" t="s">
        <v>42</v>
      </c>
      <c r="H970" s="424" t="s">
        <v>42</v>
      </c>
      <c r="I970" s="522">
        <v>160104</v>
      </c>
      <c r="J970" s="425" t="str">
        <f>INDEX(aux!B:B,MATCH(I970,aux!A:A,0))</f>
        <v>Veículos em fim de vida</v>
      </c>
      <c r="K970" s="433" t="str">
        <f>INDEX(aux!C:C,MATCH(I970,aux!A:A,0))</f>
        <v>Sim</v>
      </c>
      <c r="L970" s="360">
        <v>36</v>
      </c>
      <c r="M970" s="359" t="s">
        <v>1532</v>
      </c>
      <c r="N970" s="139">
        <f t="shared" si="52"/>
        <v>36000</v>
      </c>
      <c r="O970" s="93" t="s">
        <v>483</v>
      </c>
      <c r="P970" s="231" t="str">
        <f t="shared" si="53"/>
        <v>Reciclagem</v>
      </c>
      <c r="Q970" s="541" t="s">
        <v>1907</v>
      </c>
      <c r="R970" s="541" t="s">
        <v>6569</v>
      </c>
      <c r="S970" s="544" t="s">
        <v>485</v>
      </c>
      <c r="T970" s="93" t="s">
        <v>3269</v>
      </c>
      <c r="U970" s="93" t="s">
        <v>3270</v>
      </c>
      <c r="V970" s="93"/>
    </row>
    <row r="971" spans="1:22" ht="15.75" thickBot="1" x14ac:dyDescent="0.3">
      <c r="A971" s="93" t="s">
        <v>4668</v>
      </c>
      <c r="B971" s="93" t="s">
        <v>4668</v>
      </c>
      <c r="C971" s="424" t="str">
        <f t="shared" si="51"/>
        <v>X</v>
      </c>
      <c r="D971" s="422">
        <v>2023</v>
      </c>
      <c r="E971" s="250" t="s">
        <v>3499</v>
      </c>
      <c r="F971" s="250" t="s">
        <v>3566</v>
      </c>
      <c r="G971" s="422" t="s">
        <v>42</v>
      </c>
      <c r="H971" s="424" t="s">
        <v>42</v>
      </c>
      <c r="I971" s="522">
        <v>160601</v>
      </c>
      <c r="J971" s="425" t="str">
        <f>INDEX(aux!B:B,MATCH(I971,aux!A:A,0))</f>
        <v>(*) Acumuladores de chumbo</v>
      </c>
      <c r="K971" s="433" t="str">
        <f>INDEX(aux!C:C,MATCH(I971,aux!A:A,0))</f>
        <v>Sim</v>
      </c>
      <c r="L971" s="360">
        <v>2299</v>
      </c>
      <c r="M971" s="359" t="s">
        <v>557</v>
      </c>
      <c r="N971" s="139">
        <f t="shared" si="52"/>
        <v>2299</v>
      </c>
      <c r="O971" s="93" t="s">
        <v>483</v>
      </c>
      <c r="P971" s="231" t="str">
        <f t="shared" si="53"/>
        <v>Reciclagem</v>
      </c>
      <c r="Q971" s="541" t="s">
        <v>1653</v>
      </c>
      <c r="R971" s="541" t="s">
        <v>1877</v>
      </c>
      <c r="S971" s="544" t="s">
        <v>485</v>
      </c>
      <c r="T971" s="93" t="s">
        <v>6308</v>
      </c>
      <c r="U971" s="93" t="s">
        <v>6309</v>
      </c>
      <c r="V971" s="93"/>
    </row>
    <row r="972" spans="1:22" ht="15.75" thickBot="1" x14ac:dyDescent="0.3">
      <c r="A972" s="93" t="s">
        <v>4668</v>
      </c>
      <c r="B972" s="93" t="s">
        <v>4668</v>
      </c>
      <c r="C972" s="424" t="str">
        <f t="shared" si="51"/>
        <v>X</v>
      </c>
      <c r="D972" s="422">
        <v>2023</v>
      </c>
      <c r="E972" s="250" t="s">
        <v>3499</v>
      </c>
      <c r="F972" s="250" t="s">
        <v>3566</v>
      </c>
      <c r="G972" s="422" t="s">
        <v>42</v>
      </c>
      <c r="H972" s="424" t="s">
        <v>42</v>
      </c>
      <c r="I972" s="522">
        <v>160112</v>
      </c>
      <c r="J972" s="425" t="str">
        <f>INDEX(aux!B:B,MATCH(I972,aux!A:A,0))</f>
        <v>Pastilhas de travões não abrangidas em 16 01 11</v>
      </c>
      <c r="K972" s="433" t="str">
        <f>INDEX(aux!C:C,MATCH(I972,aux!A:A,0))</f>
        <v>Não</v>
      </c>
      <c r="L972" s="360">
        <v>1199</v>
      </c>
      <c r="M972" s="359" t="s">
        <v>557</v>
      </c>
      <c r="N972" s="139">
        <f t="shared" si="52"/>
        <v>1199</v>
      </c>
      <c r="O972" s="93" t="s">
        <v>483</v>
      </c>
      <c r="P972" s="231" t="str">
        <f t="shared" si="53"/>
        <v>Reciclagem</v>
      </c>
      <c r="Q972" s="541" t="s">
        <v>1557</v>
      </c>
      <c r="R972" s="541" t="s">
        <v>6569</v>
      </c>
      <c r="S972" s="544" t="s">
        <v>485</v>
      </c>
      <c r="T972" s="93" t="s">
        <v>6305</v>
      </c>
      <c r="U972" s="93" t="s">
        <v>6305</v>
      </c>
      <c r="V972" s="93"/>
    </row>
    <row r="973" spans="1:22" ht="15.75" thickBot="1" x14ac:dyDescent="0.3">
      <c r="A973" s="93" t="s">
        <v>4668</v>
      </c>
      <c r="B973" s="93" t="s">
        <v>4668</v>
      </c>
      <c r="C973" s="424" t="str">
        <f t="shared" si="51"/>
        <v>X</v>
      </c>
      <c r="D973" s="422">
        <v>2023</v>
      </c>
      <c r="E973" s="250" t="s">
        <v>3499</v>
      </c>
      <c r="F973" s="250" t="s">
        <v>3566</v>
      </c>
      <c r="G973" s="422" t="s">
        <v>42</v>
      </c>
      <c r="H973" s="424" t="s">
        <v>42</v>
      </c>
      <c r="I973" s="522">
        <v>160117</v>
      </c>
      <c r="J973" s="425" t="str">
        <f>INDEX(aux!B:B,MATCH(I973,aux!A:A,0))</f>
        <v>Metais ferrosos</v>
      </c>
      <c r="K973" s="433" t="str">
        <f>INDEX(aux!C:C,MATCH(I973,aux!A:A,0))</f>
        <v>Não</v>
      </c>
      <c r="L973" s="360">
        <v>1372</v>
      </c>
      <c r="M973" s="359" t="s">
        <v>557</v>
      </c>
      <c r="N973" s="139">
        <f t="shared" si="52"/>
        <v>1372</v>
      </c>
      <c r="O973" s="93" t="s">
        <v>483</v>
      </c>
      <c r="P973" s="231" t="str">
        <f t="shared" si="53"/>
        <v>Reciclagem</v>
      </c>
      <c r="Q973" s="541" t="s">
        <v>1557</v>
      </c>
      <c r="R973" s="541" t="s">
        <v>6569</v>
      </c>
      <c r="S973" s="544" t="s">
        <v>485</v>
      </c>
      <c r="T973" s="93" t="s">
        <v>6305</v>
      </c>
      <c r="U973" s="93" t="s">
        <v>6305</v>
      </c>
      <c r="V973" s="93"/>
    </row>
    <row r="974" spans="1:22" ht="15.75" thickBot="1" x14ac:dyDescent="0.3">
      <c r="A974" s="93" t="s">
        <v>4668</v>
      </c>
      <c r="B974" s="93" t="s">
        <v>4668</v>
      </c>
      <c r="C974" s="424" t="str">
        <f t="shared" si="51"/>
        <v>X</v>
      </c>
      <c r="D974" s="422">
        <v>2023</v>
      </c>
      <c r="E974" s="250" t="s">
        <v>3499</v>
      </c>
      <c r="F974" s="250" t="s">
        <v>3566</v>
      </c>
      <c r="G974" s="422" t="s">
        <v>42</v>
      </c>
      <c r="H974" s="424" t="s">
        <v>42</v>
      </c>
      <c r="I974" s="522">
        <v>150104</v>
      </c>
      <c r="J974" s="425" t="str">
        <f>INDEX(aux!B:B,MATCH(I974,aux!A:A,0))</f>
        <v>Embalagens de metal</v>
      </c>
      <c r="K974" s="433" t="str">
        <f>INDEX(aux!C:C,MATCH(I974,aux!A:A,0))</f>
        <v>Não</v>
      </c>
      <c r="L974" s="360">
        <v>957</v>
      </c>
      <c r="M974" s="359" t="s">
        <v>557</v>
      </c>
      <c r="N974" s="139">
        <f t="shared" si="52"/>
        <v>957</v>
      </c>
      <c r="O974" s="93" t="s">
        <v>483</v>
      </c>
      <c r="P974" s="231" t="str">
        <f t="shared" si="53"/>
        <v>Reciclagem</v>
      </c>
      <c r="Q974" s="541" t="s">
        <v>1906</v>
      </c>
      <c r="R974" s="541" t="s">
        <v>6569</v>
      </c>
      <c r="S974" s="544" t="s">
        <v>485</v>
      </c>
      <c r="T974" s="93" t="s">
        <v>6305</v>
      </c>
      <c r="U974" s="93" t="s">
        <v>6305</v>
      </c>
      <c r="V974" s="93"/>
    </row>
    <row r="975" spans="1:22" ht="15.75" thickBot="1" x14ac:dyDescent="0.3">
      <c r="A975" s="93" t="s">
        <v>4668</v>
      </c>
      <c r="B975" s="93" t="s">
        <v>4668</v>
      </c>
      <c r="C975" s="424" t="str">
        <f t="shared" si="51"/>
        <v>X</v>
      </c>
      <c r="D975" s="422">
        <v>2023</v>
      </c>
      <c r="E975" s="250" t="s">
        <v>3499</v>
      </c>
      <c r="F975" s="250" t="s">
        <v>3566</v>
      </c>
      <c r="G975" s="422" t="s">
        <v>42</v>
      </c>
      <c r="H975" s="424" t="s">
        <v>42</v>
      </c>
      <c r="I975" s="522">
        <v>150111</v>
      </c>
      <c r="J975" s="425" t="str">
        <f>INDEX(aux!B:B,MATCH(I975,aux!A:A,0))</f>
        <v>(*) Embalagens de metal, incluindo recipientes vazios sob pressão, contendo uma matriz porosa sólida perigosa (por exemplo, amianto)</v>
      </c>
      <c r="K975" s="433" t="str">
        <f>INDEX(aux!C:C,MATCH(I975,aux!A:A,0))</f>
        <v>Sim</v>
      </c>
      <c r="L975" s="360">
        <v>14</v>
      </c>
      <c r="M975" s="359" t="s">
        <v>557</v>
      </c>
      <c r="N975" s="139">
        <f t="shared" si="52"/>
        <v>14</v>
      </c>
      <c r="O975" s="93" t="s">
        <v>483</v>
      </c>
      <c r="P975" s="231" t="str">
        <f t="shared" si="53"/>
        <v>Reciclagem</v>
      </c>
      <c r="Q975" s="541" t="s">
        <v>1906</v>
      </c>
      <c r="R975" s="541" t="s">
        <v>6569</v>
      </c>
      <c r="S975" s="544" t="s">
        <v>485</v>
      </c>
      <c r="T975" s="93" t="s">
        <v>6305</v>
      </c>
      <c r="U975" s="93" t="s">
        <v>6305</v>
      </c>
      <c r="V975" s="93"/>
    </row>
    <row r="976" spans="1:22" ht="15.75" thickBot="1" x14ac:dyDescent="0.3">
      <c r="A976" s="93" t="s">
        <v>4668</v>
      </c>
      <c r="B976" s="93" t="s">
        <v>4668</v>
      </c>
      <c r="C976" s="424" t="str">
        <f t="shared" si="51"/>
        <v>X</v>
      </c>
      <c r="D976" s="422">
        <v>2023</v>
      </c>
      <c r="E976" s="250" t="s">
        <v>3499</v>
      </c>
      <c r="F976" s="250" t="s">
        <v>3566</v>
      </c>
      <c r="G976" s="422" t="s">
        <v>42</v>
      </c>
      <c r="H976" s="424" t="s">
        <v>42</v>
      </c>
      <c r="I976" s="522">
        <v>200140</v>
      </c>
      <c r="J976" s="425" t="str">
        <f>INDEX(aux!B:B,MATCH(I976,aux!A:A,0))</f>
        <v>Metais</v>
      </c>
      <c r="K976" s="433" t="str">
        <f>INDEX(aux!C:C,MATCH(I976,aux!A:A,0))</f>
        <v>Não</v>
      </c>
      <c r="L976" s="360">
        <v>23480</v>
      </c>
      <c r="M976" s="359" t="s">
        <v>557</v>
      </c>
      <c r="N976" s="139">
        <f t="shared" si="52"/>
        <v>23480</v>
      </c>
      <c r="O976" s="93" t="s">
        <v>483</v>
      </c>
      <c r="P976" s="231" t="str">
        <f t="shared" si="53"/>
        <v>Reciclagem</v>
      </c>
      <c r="Q976" s="541" t="s">
        <v>1906</v>
      </c>
      <c r="R976" s="541" t="s">
        <v>6569</v>
      </c>
      <c r="S976" s="544" t="s">
        <v>485</v>
      </c>
      <c r="T976" s="93" t="s">
        <v>6304</v>
      </c>
      <c r="U976" s="93" t="s">
        <v>6304</v>
      </c>
      <c r="V976" s="93"/>
    </row>
    <row r="977" spans="1:22" ht="15.75" thickBot="1" x14ac:dyDescent="0.3">
      <c r="A977" s="93" t="s">
        <v>4668</v>
      </c>
      <c r="B977" s="93" t="s">
        <v>4668</v>
      </c>
      <c r="C977" s="424" t="str">
        <f t="shared" si="51"/>
        <v>X</v>
      </c>
      <c r="D977" s="422">
        <v>2023</v>
      </c>
      <c r="E977" s="250" t="s">
        <v>3499</v>
      </c>
      <c r="F977" s="250" t="s">
        <v>3566</v>
      </c>
      <c r="G977" s="422" t="s">
        <v>42</v>
      </c>
      <c r="H977" s="424" t="s">
        <v>42</v>
      </c>
      <c r="I977" s="522">
        <v>130208</v>
      </c>
      <c r="J977" s="425" t="str">
        <f>INDEX(aux!B:B,MATCH(I977,aux!A:A,0))</f>
        <v>(*) Outros óleos de motores, transmissões e lubrificação</v>
      </c>
      <c r="K977" s="433" t="str">
        <f>INDEX(aux!C:C,MATCH(I977,aux!A:A,0))</f>
        <v>Sim</v>
      </c>
      <c r="L977" s="360">
        <v>6627</v>
      </c>
      <c r="M977" s="359" t="s">
        <v>557</v>
      </c>
      <c r="N977" s="139">
        <f t="shared" si="52"/>
        <v>6627</v>
      </c>
      <c r="O977" s="93" t="s">
        <v>483</v>
      </c>
      <c r="P977" s="231" t="str">
        <f t="shared" si="53"/>
        <v>Reciclagem</v>
      </c>
      <c r="Q977" s="541" t="s">
        <v>1902</v>
      </c>
      <c r="R977" s="541" t="s">
        <v>1877</v>
      </c>
      <c r="S977" s="544" t="s">
        <v>485</v>
      </c>
      <c r="T977" s="93" t="s">
        <v>6301</v>
      </c>
      <c r="U977" s="93" t="s">
        <v>6301</v>
      </c>
      <c r="V977" s="93"/>
    </row>
    <row r="978" spans="1:22" ht="15.75" thickBot="1" x14ac:dyDescent="0.3">
      <c r="A978" s="93" t="s">
        <v>4668</v>
      </c>
      <c r="B978" s="93" t="s">
        <v>4668</v>
      </c>
      <c r="C978" s="424" t="str">
        <f t="shared" si="51"/>
        <v>X</v>
      </c>
      <c r="D978" s="422">
        <v>2023</v>
      </c>
      <c r="E978" s="250" t="s">
        <v>3499</v>
      </c>
      <c r="F978" s="250" t="s">
        <v>3566</v>
      </c>
      <c r="G978" s="422" t="s">
        <v>42</v>
      </c>
      <c r="H978" s="424" t="s">
        <v>42</v>
      </c>
      <c r="I978" s="522">
        <v>130208</v>
      </c>
      <c r="J978" s="425" t="str">
        <f>INDEX(aux!B:B,MATCH(I978,aux!A:A,0))</f>
        <v>(*) Outros óleos de motores, transmissões e lubrificação</v>
      </c>
      <c r="K978" s="433" t="str">
        <f>INDEX(aux!C:C,MATCH(I978,aux!A:A,0))</f>
        <v>Sim</v>
      </c>
      <c r="L978" s="360">
        <v>3426</v>
      </c>
      <c r="M978" s="359" t="s">
        <v>557</v>
      </c>
      <c r="N978" s="139">
        <f t="shared" si="52"/>
        <v>3426</v>
      </c>
      <c r="O978" s="93" t="s">
        <v>483</v>
      </c>
      <c r="P978" s="231" t="str">
        <f t="shared" si="53"/>
        <v>Reciclagem</v>
      </c>
      <c r="Q978" s="541" t="s">
        <v>1902</v>
      </c>
      <c r="R978" s="541" t="s">
        <v>1877</v>
      </c>
      <c r="S978" s="544" t="s">
        <v>485</v>
      </c>
      <c r="T978" s="93" t="s">
        <v>6304</v>
      </c>
      <c r="U978" s="93" t="s">
        <v>6304</v>
      </c>
      <c r="V978" s="93"/>
    </row>
    <row r="979" spans="1:22" ht="15.75" thickBot="1" x14ac:dyDescent="0.3">
      <c r="A979" s="93" t="s">
        <v>4668</v>
      </c>
      <c r="B979" s="93" t="s">
        <v>4668</v>
      </c>
      <c r="C979" s="424" t="str">
        <f t="shared" si="51"/>
        <v>X</v>
      </c>
      <c r="D979" s="422">
        <v>2023</v>
      </c>
      <c r="E979" s="250" t="s">
        <v>3499</v>
      </c>
      <c r="F979" s="250" t="s">
        <v>3566</v>
      </c>
      <c r="G979" s="422" t="s">
        <v>42</v>
      </c>
      <c r="H979" s="424" t="s">
        <v>42</v>
      </c>
      <c r="I979" s="522">
        <v>130208</v>
      </c>
      <c r="J979" s="425" t="str">
        <f>INDEX(aux!B:B,MATCH(I979,aux!A:A,0))</f>
        <v>(*) Outros óleos de motores, transmissões e lubrificação</v>
      </c>
      <c r="K979" s="433" t="str">
        <f>INDEX(aux!C:C,MATCH(I979,aux!A:A,0))</f>
        <v>Sim</v>
      </c>
      <c r="L979" s="360">
        <v>4287</v>
      </c>
      <c r="M979" s="359" t="s">
        <v>557</v>
      </c>
      <c r="N979" s="139">
        <f t="shared" si="52"/>
        <v>4287</v>
      </c>
      <c r="O979" s="93" t="s">
        <v>483</v>
      </c>
      <c r="P979" s="231" t="str">
        <f t="shared" si="53"/>
        <v>Reciclagem</v>
      </c>
      <c r="Q979" s="541" t="s">
        <v>1902</v>
      </c>
      <c r="R979" s="541" t="s">
        <v>1877</v>
      </c>
      <c r="S979" s="544" t="s">
        <v>485</v>
      </c>
      <c r="T979" s="93" t="s">
        <v>6305</v>
      </c>
      <c r="U979" s="93" t="s">
        <v>6305</v>
      </c>
      <c r="V979" s="93"/>
    </row>
    <row r="980" spans="1:22" ht="15.75" thickBot="1" x14ac:dyDescent="0.3">
      <c r="A980" s="93" t="s">
        <v>4668</v>
      </c>
      <c r="B980" s="93" t="s">
        <v>4668</v>
      </c>
      <c r="C980" s="424" t="str">
        <f t="shared" si="51"/>
        <v>X</v>
      </c>
      <c r="D980" s="422">
        <v>2023</v>
      </c>
      <c r="E980" s="250" t="s">
        <v>3499</v>
      </c>
      <c r="F980" s="250" t="s">
        <v>3566</v>
      </c>
      <c r="G980" s="422" t="s">
        <v>42</v>
      </c>
      <c r="H980" s="424" t="s">
        <v>42</v>
      </c>
      <c r="I980" s="522">
        <v>150101</v>
      </c>
      <c r="J980" s="425" t="str">
        <f>INDEX(aux!B:B,MATCH(I980,aux!A:A,0))</f>
        <v>Embalagens de papel e cartão</v>
      </c>
      <c r="K980" s="433" t="str">
        <f>INDEX(aux!C:C,MATCH(I980,aux!A:A,0))</f>
        <v>Não</v>
      </c>
      <c r="L980" s="360">
        <v>4982</v>
      </c>
      <c r="M980" s="359" t="s">
        <v>557</v>
      </c>
      <c r="N980" s="139">
        <f t="shared" si="52"/>
        <v>4982</v>
      </c>
      <c r="O980" s="93" t="s">
        <v>483</v>
      </c>
      <c r="P980" s="231" t="str">
        <f t="shared" si="53"/>
        <v>Reciclagem</v>
      </c>
      <c r="Q980" s="541" t="s">
        <v>1904</v>
      </c>
      <c r="R980" s="541" t="s">
        <v>6569</v>
      </c>
      <c r="S980" s="544" t="s">
        <v>485</v>
      </c>
      <c r="T980" s="93" t="s">
        <v>6304</v>
      </c>
      <c r="U980" s="93" t="s">
        <v>6304</v>
      </c>
      <c r="V980" s="93"/>
    </row>
    <row r="981" spans="1:22" ht="15.75" thickBot="1" x14ac:dyDescent="0.3">
      <c r="A981" s="93" t="s">
        <v>4668</v>
      </c>
      <c r="B981" s="93" t="s">
        <v>4668</v>
      </c>
      <c r="C981" s="424" t="str">
        <f t="shared" si="51"/>
        <v>X</v>
      </c>
      <c r="D981" s="422">
        <v>2023</v>
      </c>
      <c r="E981" s="250" t="s">
        <v>3499</v>
      </c>
      <c r="F981" s="250" t="s">
        <v>3566</v>
      </c>
      <c r="G981" s="422" t="s">
        <v>42</v>
      </c>
      <c r="H981" s="424" t="s">
        <v>42</v>
      </c>
      <c r="I981" s="522">
        <v>150102</v>
      </c>
      <c r="J981" s="425" t="str">
        <f>INDEX(aux!B:B,MATCH(I981,aux!A:A,0))</f>
        <v>Embalagens de plástico</v>
      </c>
      <c r="K981" s="433" t="str">
        <f>INDEX(aux!C:C,MATCH(I981,aux!A:A,0))</f>
        <v>Não</v>
      </c>
      <c r="L981" s="360">
        <v>508</v>
      </c>
      <c r="M981" s="359" t="s">
        <v>557</v>
      </c>
      <c r="N981" s="139">
        <f t="shared" si="52"/>
        <v>508</v>
      </c>
      <c r="O981" s="93" t="s">
        <v>483</v>
      </c>
      <c r="P981" s="231" t="str">
        <f t="shared" si="53"/>
        <v>Reciclagem</v>
      </c>
      <c r="Q981" s="541" t="s">
        <v>1560</v>
      </c>
      <c r="R981" s="541" t="s">
        <v>6569</v>
      </c>
      <c r="S981" s="544" t="s">
        <v>485</v>
      </c>
      <c r="T981" s="93" t="s">
        <v>6305</v>
      </c>
      <c r="U981" s="93" t="s">
        <v>6305</v>
      </c>
      <c r="V981" s="93"/>
    </row>
    <row r="982" spans="1:22" ht="15.75" thickBot="1" x14ac:dyDescent="0.3">
      <c r="A982" s="93" t="s">
        <v>4668</v>
      </c>
      <c r="B982" s="93" t="s">
        <v>4668</v>
      </c>
      <c r="C982" s="424" t="str">
        <f t="shared" si="51"/>
        <v>X</v>
      </c>
      <c r="D982" s="422">
        <v>2023</v>
      </c>
      <c r="E982" s="250" t="s">
        <v>3499</v>
      </c>
      <c r="F982" s="250" t="s">
        <v>3566</v>
      </c>
      <c r="G982" s="422" t="s">
        <v>42</v>
      </c>
      <c r="H982" s="424" t="s">
        <v>42</v>
      </c>
      <c r="I982" s="522">
        <v>160119</v>
      </c>
      <c r="J982" s="425" t="str">
        <f>INDEX(aux!B:B,MATCH(I982,aux!A:A,0))</f>
        <v>Plástico</v>
      </c>
      <c r="K982" s="433" t="str">
        <f>INDEX(aux!C:C,MATCH(I982,aux!A:A,0))</f>
        <v>Não</v>
      </c>
      <c r="L982" s="360">
        <v>134</v>
      </c>
      <c r="M982" s="359" t="s">
        <v>557</v>
      </c>
      <c r="N982" s="139">
        <f t="shared" si="52"/>
        <v>134</v>
      </c>
      <c r="O982" s="93" t="s">
        <v>483</v>
      </c>
      <c r="P982" s="231" t="str">
        <f t="shared" si="53"/>
        <v>Reciclagem</v>
      </c>
      <c r="Q982" s="541" t="s">
        <v>1560</v>
      </c>
      <c r="R982" s="541" t="s">
        <v>6569</v>
      </c>
      <c r="S982" s="544" t="s">
        <v>485</v>
      </c>
      <c r="T982" s="93" t="s">
        <v>6304</v>
      </c>
      <c r="U982" s="93" t="s">
        <v>6304</v>
      </c>
      <c r="V982" s="93"/>
    </row>
    <row r="983" spans="1:22" ht="15.75" thickBot="1" x14ac:dyDescent="0.3">
      <c r="A983" s="93" t="s">
        <v>4668</v>
      </c>
      <c r="B983" s="93" t="s">
        <v>4668</v>
      </c>
      <c r="C983" s="424" t="str">
        <f t="shared" si="51"/>
        <v>X</v>
      </c>
      <c r="D983" s="422">
        <v>2023</v>
      </c>
      <c r="E983" s="250" t="s">
        <v>3499</v>
      </c>
      <c r="F983" s="250" t="s">
        <v>3566</v>
      </c>
      <c r="G983" s="422" t="s">
        <v>42</v>
      </c>
      <c r="H983" s="424" t="s">
        <v>42</v>
      </c>
      <c r="I983" s="522">
        <v>160103</v>
      </c>
      <c r="J983" s="425" t="str">
        <f>INDEX(aux!B:B,MATCH(I983,aux!A:A,0))</f>
        <v>Pneus usados</v>
      </c>
      <c r="K983" s="433" t="str">
        <f>INDEX(aux!C:C,MATCH(I983,aux!A:A,0))</f>
        <v>Não</v>
      </c>
      <c r="L983" s="360">
        <v>3740</v>
      </c>
      <c r="M983" s="359" t="s">
        <v>557</v>
      </c>
      <c r="N983" s="139">
        <f t="shared" si="52"/>
        <v>3740</v>
      </c>
      <c r="O983" s="93" t="s">
        <v>483</v>
      </c>
      <c r="P983" s="231" t="str">
        <f t="shared" si="53"/>
        <v>Reciclagem</v>
      </c>
      <c r="Q983" s="541" t="s">
        <v>1681</v>
      </c>
      <c r="R983" s="541" t="s">
        <v>6569</v>
      </c>
      <c r="S983" s="544" t="s">
        <v>485</v>
      </c>
      <c r="T983" s="93" t="s">
        <v>6306</v>
      </c>
      <c r="U983" s="93" t="s">
        <v>6306</v>
      </c>
      <c r="V983" s="93"/>
    </row>
    <row r="984" spans="1:22" ht="15.75" thickBot="1" x14ac:dyDescent="0.3">
      <c r="A984" s="93" t="s">
        <v>4668</v>
      </c>
      <c r="B984" s="93" t="s">
        <v>4668</v>
      </c>
      <c r="C984" s="424" t="str">
        <f t="shared" si="51"/>
        <v>X</v>
      </c>
      <c r="D984" s="422">
        <v>2023</v>
      </c>
      <c r="E984" s="250" t="s">
        <v>3499</v>
      </c>
      <c r="F984" s="250" t="s">
        <v>3566</v>
      </c>
      <c r="G984" s="422" t="s">
        <v>42</v>
      </c>
      <c r="H984" s="424" t="s">
        <v>42</v>
      </c>
      <c r="I984" s="522">
        <v>140603</v>
      </c>
      <c r="J984" s="425" t="str">
        <f>INDEX(aux!B:B,MATCH(I984,aux!A:A,0))</f>
        <v>Outros solventes e misturas de solventes</v>
      </c>
      <c r="K984" s="433" t="str">
        <f>INDEX(aux!C:C,MATCH(I984,aux!A:A,0))</f>
        <v>Sim</v>
      </c>
      <c r="L984" s="360">
        <v>500</v>
      </c>
      <c r="M984" s="359" t="s">
        <v>557</v>
      </c>
      <c r="N984" s="139">
        <f t="shared" si="52"/>
        <v>500</v>
      </c>
      <c r="O984" s="93" t="s">
        <v>483</v>
      </c>
      <c r="P984" s="231" t="str">
        <f t="shared" si="53"/>
        <v>Reciclagem</v>
      </c>
      <c r="Q984" s="541" t="s">
        <v>1901</v>
      </c>
      <c r="R984" s="541" t="s">
        <v>1892</v>
      </c>
      <c r="S984" s="544" t="s">
        <v>485</v>
      </c>
      <c r="T984" s="93" t="s">
        <v>3178</v>
      </c>
      <c r="U984" s="93" t="s">
        <v>3178</v>
      </c>
      <c r="V984" s="93"/>
    </row>
    <row r="985" spans="1:22" ht="15.75" thickBot="1" x14ac:dyDescent="0.3">
      <c r="A985" s="422" t="s">
        <v>4668</v>
      </c>
      <c r="B985" s="422" t="s">
        <v>4668</v>
      </c>
      <c r="C985" s="424" t="str">
        <f t="shared" si="51"/>
        <v>X</v>
      </c>
      <c r="D985" s="422">
        <v>2023</v>
      </c>
      <c r="E985" s="250" t="s">
        <v>3499</v>
      </c>
      <c r="F985" s="250" t="s">
        <v>3566</v>
      </c>
      <c r="G985" s="422" t="s">
        <v>42</v>
      </c>
      <c r="H985" s="424" t="s">
        <v>42</v>
      </c>
      <c r="I985" s="487">
        <v>160216</v>
      </c>
      <c r="J985" s="425" t="str">
        <f>INDEX(aux!B:B,MATCH(I985,aux!A:A,0))</f>
        <v>Componentes retirados de equipamento fora de uso não abrangidos em 16 02 15</v>
      </c>
      <c r="K985" s="433" t="str">
        <f>INDEX(aux!C:C,MATCH(I985,aux!A:A,0))</f>
        <v>Não</v>
      </c>
      <c r="L985" s="259">
        <v>188</v>
      </c>
      <c r="M985" s="428" t="s">
        <v>557</v>
      </c>
      <c r="N985" s="139">
        <f t="shared" si="52"/>
        <v>188</v>
      </c>
      <c r="O985" s="422" t="s">
        <v>483</v>
      </c>
      <c r="P985" s="231" t="str">
        <f t="shared" si="53"/>
        <v>Reciclagem</v>
      </c>
      <c r="Q985" s="541" t="s">
        <v>1901</v>
      </c>
      <c r="R985" s="541" t="s">
        <v>1892</v>
      </c>
      <c r="S985" s="544" t="s">
        <v>485</v>
      </c>
      <c r="T985" s="93" t="s">
        <v>6304</v>
      </c>
      <c r="U985" s="93" t="s">
        <v>6304</v>
      </c>
      <c r="V985" s="93"/>
    </row>
    <row r="986" spans="1:22" ht="15.75" thickBot="1" x14ac:dyDescent="0.3">
      <c r="A986" s="422" t="s">
        <v>4668</v>
      </c>
      <c r="B986" s="422" t="s">
        <v>4668</v>
      </c>
      <c r="C986" s="424" t="str">
        <f t="shared" si="51"/>
        <v>X</v>
      </c>
      <c r="D986" s="422">
        <v>2023</v>
      </c>
      <c r="E986" s="250" t="s">
        <v>3499</v>
      </c>
      <c r="F986" s="250" t="s">
        <v>3566</v>
      </c>
      <c r="G986" s="422" t="s">
        <v>42</v>
      </c>
      <c r="H986" s="424" t="s">
        <v>42</v>
      </c>
      <c r="I986" s="487">
        <v>180101</v>
      </c>
      <c r="J986" s="425" t="str">
        <f>INDEX(aux!B:B,MATCH(I986,aux!A:A,0))</f>
        <v>Objetos cortantes e perfurantes Grupo IV</v>
      </c>
      <c r="K986" s="433" t="str">
        <f>INDEX(aux!C:C,MATCH(I986,aux!A:A,0))</f>
        <v>Sim</v>
      </c>
      <c r="L986" s="259">
        <v>13.125000000000002</v>
      </c>
      <c r="M986" s="428" t="s">
        <v>557</v>
      </c>
      <c r="N986" s="139">
        <f t="shared" si="52"/>
        <v>13.125000000000002</v>
      </c>
      <c r="O986" s="422" t="s">
        <v>509</v>
      </c>
      <c r="P986" s="231" t="str">
        <f t="shared" si="53"/>
        <v>Aterro</v>
      </c>
      <c r="Q986" s="541" t="s">
        <v>1901</v>
      </c>
      <c r="R986" s="541" t="s">
        <v>1892</v>
      </c>
      <c r="S986" s="544" t="s">
        <v>1556</v>
      </c>
      <c r="T986" s="93" t="s">
        <v>6310</v>
      </c>
      <c r="U986" s="93" t="s">
        <v>6311</v>
      </c>
      <c r="V986" s="93"/>
    </row>
    <row r="987" spans="1:22" ht="15.75" thickBot="1" x14ac:dyDescent="0.3">
      <c r="A987" s="422" t="s">
        <v>4668</v>
      </c>
      <c r="B987" s="422" t="s">
        <v>4668</v>
      </c>
      <c r="C987" s="424" t="str">
        <f t="shared" si="51"/>
        <v>X</v>
      </c>
      <c r="D987" s="422">
        <v>2023</v>
      </c>
      <c r="E987" s="250" t="s">
        <v>3499</v>
      </c>
      <c r="F987" s="250" t="s">
        <v>3566</v>
      </c>
      <c r="G987" s="422" t="s">
        <v>42</v>
      </c>
      <c r="H987" s="424" t="s">
        <v>42</v>
      </c>
      <c r="I987" s="487">
        <v>180103</v>
      </c>
      <c r="J987" s="425" t="str">
        <f>INDEX(aux!B:B,MATCH(I987,aux!A:A,0))</f>
        <v>Resíduos de enfermaria Grupo III</v>
      </c>
      <c r="K987" s="433" t="str">
        <f>INDEX(aux!C:C,MATCH(I987,aux!A:A,0))</f>
        <v>Sim</v>
      </c>
      <c r="L987" s="259">
        <v>19.5</v>
      </c>
      <c r="M987" s="428" t="s">
        <v>557</v>
      </c>
      <c r="N987" s="139">
        <f t="shared" si="52"/>
        <v>19.5</v>
      </c>
      <c r="O987" s="422" t="s">
        <v>503</v>
      </c>
      <c r="P987" s="231" t="str">
        <f t="shared" si="53"/>
        <v>Aterro</v>
      </c>
      <c r="Q987" s="541" t="s">
        <v>1901</v>
      </c>
      <c r="R987" s="541" t="s">
        <v>1892</v>
      </c>
      <c r="S987" s="544" t="s">
        <v>518</v>
      </c>
      <c r="T987" s="93" t="s">
        <v>6310</v>
      </c>
      <c r="U987" s="93" t="s">
        <v>6311</v>
      </c>
      <c r="V987" s="93"/>
    </row>
    <row r="988" spans="1:22" ht="15.75" thickBot="1" x14ac:dyDescent="0.3">
      <c r="A988" s="422" t="s">
        <v>4668</v>
      </c>
      <c r="B988" s="422" t="s">
        <v>4668</v>
      </c>
      <c r="C988" s="424" t="str">
        <f t="shared" si="51"/>
        <v>X</v>
      </c>
      <c r="D988" s="422">
        <v>2023</v>
      </c>
      <c r="E988" s="250" t="s">
        <v>3499</v>
      </c>
      <c r="F988" s="250" t="s">
        <v>3566</v>
      </c>
      <c r="G988" s="422" t="s">
        <v>42</v>
      </c>
      <c r="H988" s="424" t="s">
        <v>42</v>
      </c>
      <c r="I988" s="522">
        <v>130508</v>
      </c>
      <c r="J988" s="425" t="str">
        <f>INDEX(aux!B:B,MATCH(I988,aux!A:A,0))</f>
        <v>(*) Misturas de resíduos provenientes de desarenadores e de separadores óleo/água</v>
      </c>
      <c r="K988" s="433" t="str">
        <f>INDEX(aux!C:C,MATCH(I988,aux!A:A,0))</f>
        <v>Sim</v>
      </c>
      <c r="L988" s="360">
        <v>26860</v>
      </c>
      <c r="M988" s="359" t="s">
        <v>557</v>
      </c>
      <c r="N988" s="139">
        <f t="shared" si="52"/>
        <v>26860</v>
      </c>
      <c r="O988" s="93" t="s">
        <v>483</v>
      </c>
      <c r="P988" s="231" t="str">
        <f t="shared" si="53"/>
        <v>Reciclagem</v>
      </c>
      <c r="Q988" s="541" t="s">
        <v>1901</v>
      </c>
      <c r="R988" s="541" t="s">
        <v>1892</v>
      </c>
      <c r="S988" s="544" t="s">
        <v>485</v>
      </c>
      <c r="T988" s="93" t="s">
        <v>6301</v>
      </c>
      <c r="U988" s="93" t="s">
        <v>6301</v>
      </c>
      <c r="V988" s="93"/>
    </row>
    <row r="989" spans="1:22" ht="15.75" thickBot="1" x14ac:dyDescent="0.3">
      <c r="A989" s="93" t="s">
        <v>4668</v>
      </c>
      <c r="B989" s="93" t="s">
        <v>4668</v>
      </c>
      <c r="C989" s="424" t="str">
        <f t="shared" si="51"/>
        <v>X</v>
      </c>
      <c r="D989" s="422">
        <v>2023</v>
      </c>
      <c r="E989" s="250" t="s">
        <v>3499</v>
      </c>
      <c r="F989" s="250" t="s">
        <v>3566</v>
      </c>
      <c r="G989" s="422" t="s">
        <v>42</v>
      </c>
      <c r="H989" s="424" t="s">
        <v>42</v>
      </c>
      <c r="I989" s="522">
        <v>130502</v>
      </c>
      <c r="J989" s="425" t="str">
        <f>INDEX(aux!B:B,MATCH(I989,aux!A:A,0))</f>
        <v>(*) Lamas provenientes dos separadores óleo/água</v>
      </c>
      <c r="K989" s="433" t="str">
        <f>INDEX(aux!C:C,MATCH(I989,aux!A:A,0))</f>
        <v>Sim</v>
      </c>
      <c r="L989" s="360">
        <v>6640</v>
      </c>
      <c r="M989" s="359" t="s">
        <v>557</v>
      </c>
      <c r="N989" s="139">
        <f t="shared" si="52"/>
        <v>6640</v>
      </c>
      <c r="O989" s="93" t="s">
        <v>503</v>
      </c>
      <c r="P989" s="231" t="str">
        <f t="shared" si="53"/>
        <v>Aterro</v>
      </c>
      <c r="Q989" s="541" t="s">
        <v>1901</v>
      </c>
      <c r="R989" s="541" t="s">
        <v>1892</v>
      </c>
      <c r="S989" s="544" t="s">
        <v>518</v>
      </c>
      <c r="T989" s="93" t="s">
        <v>6305</v>
      </c>
      <c r="U989" s="93" t="s">
        <v>6305</v>
      </c>
      <c r="V989" s="93"/>
    </row>
    <row r="990" spans="1:22" ht="15.75" thickBot="1" x14ac:dyDescent="0.3">
      <c r="A990" s="422" t="s">
        <v>4668</v>
      </c>
      <c r="B990" s="422" t="s">
        <v>4668</v>
      </c>
      <c r="C990" s="424" t="str">
        <f t="shared" si="51"/>
        <v>X</v>
      </c>
      <c r="D990" s="422">
        <v>2023</v>
      </c>
      <c r="E990" s="250" t="s">
        <v>3499</v>
      </c>
      <c r="F990" s="250" t="s">
        <v>3566</v>
      </c>
      <c r="G990" s="422" t="s">
        <v>42</v>
      </c>
      <c r="H990" s="424" t="s">
        <v>42</v>
      </c>
      <c r="I990" s="487">
        <v>160199</v>
      </c>
      <c r="J990" s="425" t="str">
        <f>INDEX(aux!B:B,MATCH(I990,aux!A:A,0))</f>
        <v>Resíduos sem outras especificações</v>
      </c>
      <c r="K990" s="433" t="str">
        <f>INDEX(aux!C:C,MATCH(I990,aux!A:A,0))</f>
        <v>Não</v>
      </c>
      <c r="L990" s="259">
        <v>2454</v>
      </c>
      <c r="M990" s="428" t="s">
        <v>557</v>
      </c>
      <c r="N990" s="139">
        <f t="shared" si="52"/>
        <v>2454</v>
      </c>
      <c r="O990" s="422" t="s">
        <v>484</v>
      </c>
      <c r="P990" s="231" t="str">
        <f t="shared" si="53"/>
        <v>Reciclagem</v>
      </c>
      <c r="Q990" s="541" t="s">
        <v>1901</v>
      </c>
      <c r="R990" s="541" t="s">
        <v>1892</v>
      </c>
      <c r="S990" s="544" t="s">
        <v>1553</v>
      </c>
      <c r="T990" s="93" t="s">
        <v>6305</v>
      </c>
      <c r="U990" s="93" t="s">
        <v>6305</v>
      </c>
      <c r="V990" s="93"/>
    </row>
    <row r="991" spans="1:22" ht="15.75" thickBot="1" x14ac:dyDescent="0.3">
      <c r="A991" s="93" t="s">
        <v>4668</v>
      </c>
      <c r="B991" s="93" t="s">
        <v>4668</v>
      </c>
      <c r="C991" s="424" t="str">
        <f t="shared" si="51"/>
        <v>X</v>
      </c>
      <c r="D991" s="422">
        <v>2023</v>
      </c>
      <c r="E991" s="250" t="s">
        <v>3499</v>
      </c>
      <c r="F991" s="250" t="s">
        <v>3566</v>
      </c>
      <c r="G991" s="422" t="s">
        <v>42</v>
      </c>
      <c r="H991" s="424" t="s">
        <v>42</v>
      </c>
      <c r="I991" s="522">
        <v>130507</v>
      </c>
      <c r="J991" s="425" t="str">
        <f>INDEX(aux!B:B,MATCH(I991,aux!A:A,0))</f>
        <v>(*) Água com óleo proveniente dos separadores óleo/água</v>
      </c>
      <c r="K991" s="433" t="str">
        <f>INDEX(aux!C:C,MATCH(I991,aux!A:A,0))</f>
        <v>Sim</v>
      </c>
      <c r="L991" s="360">
        <v>8120</v>
      </c>
      <c r="M991" s="359" t="s">
        <v>557</v>
      </c>
      <c r="N991" s="139">
        <f t="shared" si="52"/>
        <v>8120</v>
      </c>
      <c r="O991" s="93" t="s">
        <v>503</v>
      </c>
      <c r="P991" s="231" t="str">
        <f t="shared" si="53"/>
        <v>Aterro</v>
      </c>
      <c r="Q991" s="541" t="s">
        <v>1901</v>
      </c>
      <c r="R991" s="541" t="s">
        <v>1892</v>
      </c>
      <c r="S991" s="544" t="s">
        <v>518</v>
      </c>
      <c r="T991" s="93" t="s">
        <v>6305</v>
      </c>
      <c r="U991" s="93" t="s">
        <v>6305</v>
      </c>
      <c r="V991" s="93"/>
    </row>
    <row r="992" spans="1:22" ht="15.75" thickBot="1" x14ac:dyDescent="0.3">
      <c r="A992" s="93" t="s">
        <v>4668</v>
      </c>
      <c r="B992" s="93" t="s">
        <v>4668</v>
      </c>
      <c r="C992" s="424" t="str">
        <f t="shared" si="51"/>
        <v>X</v>
      </c>
      <c r="D992" s="422">
        <v>2023</v>
      </c>
      <c r="E992" s="250" t="s">
        <v>3499</v>
      </c>
      <c r="F992" s="250" t="s">
        <v>3566</v>
      </c>
      <c r="G992" s="422" t="s">
        <v>42</v>
      </c>
      <c r="H992" s="424" t="s">
        <v>42</v>
      </c>
      <c r="I992" s="522">
        <v>150110</v>
      </c>
      <c r="J992" s="425" t="str">
        <f>INDEX(aux!B:B,MATCH(I992,aux!A:A,0))</f>
        <v>(*) Embalagens contendo ou contaminadas por resíduos de substâncias perigosas</v>
      </c>
      <c r="K992" s="433" t="str">
        <f>INDEX(aux!C:C,MATCH(I992,aux!A:A,0))</f>
        <v>Sim</v>
      </c>
      <c r="L992" s="360">
        <v>114</v>
      </c>
      <c r="M992" s="359" t="s">
        <v>557</v>
      </c>
      <c r="N992" s="139">
        <f t="shared" si="52"/>
        <v>114</v>
      </c>
      <c r="O992" s="93" t="s">
        <v>483</v>
      </c>
      <c r="P992" s="231" t="str">
        <f t="shared" si="53"/>
        <v>Reciclagem</v>
      </c>
      <c r="Q992" s="541" t="s">
        <v>1901</v>
      </c>
      <c r="R992" s="541" t="s">
        <v>1892</v>
      </c>
      <c r="S992" s="544" t="s">
        <v>485</v>
      </c>
      <c r="T992" s="93" t="s">
        <v>6305</v>
      </c>
      <c r="U992" s="93" t="s">
        <v>6305</v>
      </c>
      <c r="V992" s="93"/>
    </row>
    <row r="993" spans="1:22" ht="15.75" thickBot="1" x14ac:dyDescent="0.3">
      <c r="A993" s="93" t="s">
        <v>4668</v>
      </c>
      <c r="B993" s="93" t="s">
        <v>4668</v>
      </c>
      <c r="C993" s="424" t="str">
        <f t="shared" si="51"/>
        <v>X</v>
      </c>
      <c r="D993" s="422">
        <v>2023</v>
      </c>
      <c r="E993" s="250" t="s">
        <v>3499</v>
      </c>
      <c r="F993" s="250" t="s">
        <v>3566</v>
      </c>
      <c r="G993" s="422" t="s">
        <v>42</v>
      </c>
      <c r="H993" s="424" t="s">
        <v>42</v>
      </c>
      <c r="I993" s="522">
        <v>150203</v>
      </c>
      <c r="J993" s="425" t="str">
        <f>INDEX(aux!B:B,MATCH(I993,aux!A:A,0))</f>
        <v>Absorventes, materiais filtrantes, panos de limpeza e vestuário de proteção não abrangidos em 15 02 02</v>
      </c>
      <c r="K993" s="433" t="str">
        <f>INDEX(aux!C:C,MATCH(I993,aux!A:A,0))</f>
        <v>Não</v>
      </c>
      <c r="L993" s="360">
        <v>276</v>
      </c>
      <c r="M993" s="359" t="s">
        <v>557</v>
      </c>
      <c r="N993" s="139">
        <f t="shared" si="52"/>
        <v>276</v>
      </c>
      <c r="O993" s="93" t="s">
        <v>483</v>
      </c>
      <c r="P993" s="231" t="str">
        <f t="shared" si="53"/>
        <v>Reciclagem</v>
      </c>
      <c r="Q993" s="541" t="s">
        <v>1901</v>
      </c>
      <c r="R993" s="541" t="s">
        <v>1892</v>
      </c>
      <c r="S993" s="544" t="s">
        <v>485</v>
      </c>
      <c r="T993" s="93" t="s">
        <v>6304</v>
      </c>
      <c r="U993" s="93" t="s">
        <v>6304</v>
      </c>
      <c r="V993" s="93"/>
    </row>
    <row r="994" spans="1:22" ht="15.75" thickBot="1" x14ac:dyDescent="0.3">
      <c r="A994" s="93" t="s">
        <v>4668</v>
      </c>
      <c r="B994" s="93" t="s">
        <v>4668</v>
      </c>
      <c r="C994" s="424" t="str">
        <f t="shared" si="51"/>
        <v>X</v>
      </c>
      <c r="D994" s="422">
        <v>2023</v>
      </c>
      <c r="E994" s="250" t="s">
        <v>3499</v>
      </c>
      <c r="F994" s="250" t="s">
        <v>3566</v>
      </c>
      <c r="G994" s="422" t="s">
        <v>42</v>
      </c>
      <c r="H994" s="424" t="s">
        <v>42</v>
      </c>
      <c r="I994" s="522">
        <v>150202</v>
      </c>
      <c r="J994" s="425" t="str">
        <f>INDEX(aux!B:B,MATCH(I994,aux!A:A,0))</f>
        <v>(*) Absorventes, materiais filtrantes (incluindo filtros de óleo sem outras especificações), panos de limpeza e vestuário de proteção, contaminados por substâncias perigosas</v>
      </c>
      <c r="K994" s="433" t="str">
        <f>INDEX(aux!C:C,MATCH(I994,aux!A:A,0))</f>
        <v>Sim</v>
      </c>
      <c r="L994" s="360">
        <v>436</v>
      </c>
      <c r="M994" s="359" t="s">
        <v>557</v>
      </c>
      <c r="N994" s="139">
        <f t="shared" si="52"/>
        <v>436</v>
      </c>
      <c r="O994" s="93" t="s">
        <v>483</v>
      </c>
      <c r="P994" s="231" t="str">
        <f t="shared" si="53"/>
        <v>Reciclagem</v>
      </c>
      <c r="Q994" s="541" t="s">
        <v>1901</v>
      </c>
      <c r="R994" s="541" t="s">
        <v>1892</v>
      </c>
      <c r="S994" s="544" t="s">
        <v>485</v>
      </c>
      <c r="T994" s="93" t="s">
        <v>6304</v>
      </c>
      <c r="U994" s="93" t="s">
        <v>6304</v>
      </c>
      <c r="V994" s="93"/>
    </row>
    <row r="995" spans="1:22" ht="15.75" thickBot="1" x14ac:dyDescent="0.3">
      <c r="A995" s="93" t="s">
        <v>4668</v>
      </c>
      <c r="B995" s="93" t="s">
        <v>4668</v>
      </c>
      <c r="C995" s="424" t="str">
        <f t="shared" si="51"/>
        <v>X</v>
      </c>
      <c r="D995" s="422">
        <v>2023</v>
      </c>
      <c r="E995" s="250" t="s">
        <v>3499</v>
      </c>
      <c r="F995" s="250" t="s">
        <v>3566</v>
      </c>
      <c r="G995" s="422" t="s">
        <v>42</v>
      </c>
      <c r="H995" s="424" t="s">
        <v>42</v>
      </c>
      <c r="I995" s="522">
        <v>150202</v>
      </c>
      <c r="J995" s="425" t="str">
        <f>INDEX(aux!B:B,MATCH(I995,aux!A:A,0))</f>
        <v>(*) Absorventes, materiais filtrantes (incluindo filtros de óleo sem outras especificações), panos de limpeza e vestuário de proteção, contaminados por substâncias perigosas</v>
      </c>
      <c r="K995" s="433" t="str">
        <f>INDEX(aux!C:C,MATCH(I995,aux!A:A,0))</f>
        <v>Sim</v>
      </c>
      <c r="L995" s="360">
        <v>247</v>
      </c>
      <c r="M995" s="359" t="s">
        <v>557</v>
      </c>
      <c r="N995" s="139">
        <f t="shared" si="52"/>
        <v>247</v>
      </c>
      <c r="O995" s="93" t="s">
        <v>484</v>
      </c>
      <c r="P995" s="231" t="str">
        <f t="shared" si="53"/>
        <v>Reciclagem</v>
      </c>
      <c r="Q995" s="541" t="s">
        <v>1901</v>
      </c>
      <c r="R995" s="541" t="s">
        <v>1892</v>
      </c>
      <c r="S995" s="544" t="s">
        <v>1553</v>
      </c>
      <c r="T995" s="93" t="s">
        <v>6305</v>
      </c>
      <c r="U995" s="93" t="s">
        <v>6305</v>
      </c>
      <c r="V995" s="93"/>
    </row>
    <row r="996" spans="1:22" ht="15.75" thickBot="1" x14ac:dyDescent="0.3">
      <c r="A996" s="422" t="s">
        <v>4668</v>
      </c>
      <c r="B996" s="93" t="s">
        <v>4668</v>
      </c>
      <c r="C996" s="424" t="str">
        <f t="shared" si="51"/>
        <v>X</v>
      </c>
      <c r="D996" s="422">
        <v>2023</v>
      </c>
      <c r="E996" s="250" t="s">
        <v>3499</v>
      </c>
      <c r="F996" s="250" t="s">
        <v>3566</v>
      </c>
      <c r="G996" s="422" t="s">
        <v>42</v>
      </c>
      <c r="H996" s="424" t="s">
        <v>42</v>
      </c>
      <c r="I996" s="522">
        <v>160107</v>
      </c>
      <c r="J996" s="425" t="str">
        <f>INDEX(aux!B:B,MATCH(I996,aux!A:A,0))</f>
        <v>(*) Filtros de óleo</v>
      </c>
      <c r="K996" s="433" t="str">
        <f>INDEX(aux!C:C,MATCH(I996,aux!A:A,0))</f>
        <v>Sim</v>
      </c>
      <c r="L996" s="360">
        <v>306</v>
      </c>
      <c r="M996" s="359" t="s">
        <v>557</v>
      </c>
      <c r="N996" s="139">
        <f t="shared" si="52"/>
        <v>306</v>
      </c>
      <c r="O996" s="93" t="s">
        <v>483</v>
      </c>
      <c r="P996" s="231" t="str">
        <f t="shared" si="53"/>
        <v>Reciclagem</v>
      </c>
      <c r="Q996" s="541" t="s">
        <v>1901</v>
      </c>
      <c r="R996" s="541" t="s">
        <v>1892</v>
      </c>
      <c r="S996" s="544" t="s">
        <v>485</v>
      </c>
      <c r="T996" s="93" t="s">
        <v>6304</v>
      </c>
      <c r="U996" s="93" t="s">
        <v>6304</v>
      </c>
      <c r="V996" s="93"/>
    </row>
    <row r="997" spans="1:22" ht="15.75" thickBot="1" x14ac:dyDescent="0.3">
      <c r="A997" s="422" t="s">
        <v>4668</v>
      </c>
      <c r="B997" s="93" t="s">
        <v>4668</v>
      </c>
      <c r="C997" s="424" t="str">
        <f t="shared" si="51"/>
        <v>X</v>
      </c>
      <c r="D997" s="422">
        <v>2023</v>
      </c>
      <c r="E997" s="250" t="s">
        <v>3499</v>
      </c>
      <c r="F997" s="250" t="s">
        <v>3566</v>
      </c>
      <c r="G997" s="422" t="s">
        <v>42</v>
      </c>
      <c r="H997" s="424" t="s">
        <v>42</v>
      </c>
      <c r="I997" s="522">
        <v>160107</v>
      </c>
      <c r="J997" s="425" t="str">
        <f>INDEX(aux!B:B,MATCH(I997,aux!A:A,0))</f>
        <v>(*) Filtros de óleo</v>
      </c>
      <c r="K997" s="433" t="str">
        <f>INDEX(aux!C:C,MATCH(I997,aux!A:A,0))</f>
        <v>Sim</v>
      </c>
      <c r="L997" s="360">
        <v>438</v>
      </c>
      <c r="M997" s="359" t="s">
        <v>557</v>
      </c>
      <c r="N997" s="139">
        <f t="shared" si="52"/>
        <v>438</v>
      </c>
      <c r="O997" s="93" t="s">
        <v>483</v>
      </c>
      <c r="P997" s="231" t="str">
        <f t="shared" si="53"/>
        <v>Reciclagem</v>
      </c>
      <c r="Q997" s="541" t="s">
        <v>1901</v>
      </c>
      <c r="R997" s="541" t="s">
        <v>1892</v>
      </c>
      <c r="S997" s="544" t="s">
        <v>485</v>
      </c>
      <c r="T997" s="93" t="s">
        <v>6305</v>
      </c>
      <c r="U997" s="93" t="s">
        <v>6305</v>
      </c>
      <c r="V997" s="93"/>
    </row>
    <row r="998" spans="1:22" ht="15.75" thickBot="1" x14ac:dyDescent="0.3">
      <c r="A998" s="422" t="s">
        <v>4668</v>
      </c>
      <c r="B998" s="422" t="s">
        <v>4668</v>
      </c>
      <c r="C998" s="424" t="str">
        <f t="shared" si="51"/>
        <v>X</v>
      </c>
      <c r="D998" s="422">
        <v>2023</v>
      </c>
      <c r="E998" s="250" t="s">
        <v>3499</v>
      </c>
      <c r="F998" s="250" t="s">
        <v>3566</v>
      </c>
      <c r="G998" s="422" t="s">
        <v>42</v>
      </c>
      <c r="H998" s="424" t="s">
        <v>42</v>
      </c>
      <c r="I998" s="487">
        <v>160122</v>
      </c>
      <c r="J998" s="425" t="str">
        <f>INDEX(aux!B:B,MATCH(I998,aux!A:A,0))</f>
        <v>Componentes sem outras especificações</v>
      </c>
      <c r="K998" s="433" t="str">
        <f>INDEX(aux!C:C,MATCH(I998,aux!A:A,0))</f>
        <v>Não</v>
      </c>
      <c r="L998" s="259">
        <v>89</v>
      </c>
      <c r="M998" s="428" t="s">
        <v>557</v>
      </c>
      <c r="N998" s="139">
        <f t="shared" si="52"/>
        <v>89</v>
      </c>
      <c r="O998" s="422" t="s">
        <v>507</v>
      </c>
      <c r="P998" s="231" t="str">
        <f t="shared" si="53"/>
        <v>Aterro</v>
      </c>
      <c r="Q998" s="541" t="s">
        <v>1901</v>
      </c>
      <c r="R998" s="541" t="s">
        <v>1892</v>
      </c>
      <c r="S998" s="544" t="s">
        <v>1554</v>
      </c>
      <c r="T998" s="93" t="s">
        <v>6305</v>
      </c>
      <c r="U998" s="93" t="s">
        <v>6305</v>
      </c>
      <c r="V998" s="93"/>
    </row>
    <row r="999" spans="1:22" ht="15.75" thickBot="1" x14ac:dyDescent="0.3">
      <c r="A999" s="422" t="s">
        <v>4668</v>
      </c>
      <c r="B999" s="422" t="s">
        <v>4668</v>
      </c>
      <c r="C999" s="424" t="str">
        <f t="shared" si="51"/>
        <v>X</v>
      </c>
      <c r="D999" s="422">
        <v>2023</v>
      </c>
      <c r="E999" s="250" t="s">
        <v>3499</v>
      </c>
      <c r="F999" s="250" t="s">
        <v>3566</v>
      </c>
      <c r="G999" s="422" t="s">
        <v>42</v>
      </c>
      <c r="H999" s="424" t="s">
        <v>42</v>
      </c>
      <c r="I999" s="487">
        <v>160211</v>
      </c>
      <c r="J999" s="425" t="str">
        <f>INDEX(aux!B:B,MATCH(I999,aux!A:A,0))</f>
        <v>(*) Equipamento fora de uso contendo clorofluorcarbonetos, HCFC, HFC</v>
      </c>
      <c r="K999" s="433" t="str">
        <f>INDEX(aux!C:C,MATCH(I999,aux!A:A,0))</f>
        <v>Sim</v>
      </c>
      <c r="L999" s="259">
        <v>30</v>
      </c>
      <c r="M999" s="428" t="s">
        <v>557</v>
      </c>
      <c r="N999" s="139">
        <f t="shared" si="52"/>
        <v>30</v>
      </c>
      <c r="O999" s="422" t="s">
        <v>483</v>
      </c>
      <c r="P999" s="231" t="str">
        <f t="shared" si="53"/>
        <v>Reciclagem</v>
      </c>
      <c r="Q999" s="541" t="s">
        <v>1901</v>
      </c>
      <c r="R999" s="541" t="s">
        <v>1892</v>
      </c>
      <c r="S999" s="544" t="s">
        <v>485</v>
      </c>
      <c r="T999" s="93" t="s">
        <v>6305</v>
      </c>
      <c r="U999" s="93" t="s">
        <v>6305</v>
      </c>
      <c r="V999" s="93"/>
    </row>
    <row r="1000" spans="1:22" ht="15.75" thickBot="1" x14ac:dyDescent="0.3">
      <c r="A1000" s="422" t="s">
        <v>4668</v>
      </c>
      <c r="B1000" s="422" t="s">
        <v>4668</v>
      </c>
      <c r="C1000" s="424" t="str">
        <f t="shared" si="51"/>
        <v>X</v>
      </c>
      <c r="D1000" s="422">
        <v>2023</v>
      </c>
      <c r="E1000" s="250" t="s">
        <v>3499</v>
      </c>
      <c r="F1000" s="250" t="s">
        <v>3566</v>
      </c>
      <c r="G1000" s="422" t="s">
        <v>42</v>
      </c>
      <c r="H1000" s="424" t="s">
        <v>42</v>
      </c>
      <c r="I1000" s="487">
        <v>200301</v>
      </c>
      <c r="J1000" s="425" t="str">
        <f>INDEX(aux!B:B,MATCH(I1000,aux!A:A,0))</f>
        <v>Misturas de resíduos urbanos equiparados</v>
      </c>
      <c r="K1000" s="433" t="str">
        <f>INDEX(aux!C:C,MATCH(I1000,aux!A:A,0))</f>
        <v>Não</v>
      </c>
      <c r="L1000" s="259">
        <v>22300</v>
      </c>
      <c r="M1000" s="428" t="s">
        <v>557</v>
      </c>
      <c r="N1000" s="139">
        <f t="shared" si="52"/>
        <v>22300</v>
      </c>
      <c r="O1000" s="422" t="s">
        <v>483</v>
      </c>
      <c r="P1000" s="231" t="str">
        <f t="shared" si="53"/>
        <v>Reciclagem</v>
      </c>
      <c r="Q1000" s="541" t="s">
        <v>1908</v>
      </c>
      <c r="R1000" s="541" t="s">
        <v>1877</v>
      </c>
      <c r="S1000" s="544" t="s">
        <v>485</v>
      </c>
      <c r="T1000" s="93" t="s">
        <v>6304</v>
      </c>
      <c r="U1000" s="93" t="s">
        <v>6304</v>
      </c>
      <c r="V1000" s="93"/>
    </row>
    <row r="1001" spans="1:22" ht="15.75" thickBot="1" x14ac:dyDescent="0.3">
      <c r="A1001" s="422" t="s">
        <v>4668</v>
      </c>
      <c r="B1001" s="422" t="s">
        <v>4668</v>
      </c>
      <c r="C1001" s="424" t="str">
        <f t="shared" si="51"/>
        <v>X</v>
      </c>
      <c r="D1001" s="422">
        <v>2023</v>
      </c>
      <c r="E1001" s="250" t="s">
        <v>3499</v>
      </c>
      <c r="F1001" s="250" t="s">
        <v>3566</v>
      </c>
      <c r="G1001" s="422" t="s">
        <v>42</v>
      </c>
      <c r="H1001" s="424" t="s">
        <v>42</v>
      </c>
      <c r="I1001" s="487">
        <v>200301</v>
      </c>
      <c r="J1001" s="425" t="str">
        <f>INDEX(aux!B:B,MATCH(I1001,aux!A:A,0))</f>
        <v>Misturas de resíduos urbanos equiparados</v>
      </c>
      <c r="K1001" s="433" t="str">
        <f>INDEX(aux!C:C,MATCH(I1001,aux!A:A,0))</f>
        <v>Não</v>
      </c>
      <c r="L1001" s="259">
        <v>1680</v>
      </c>
      <c r="M1001" s="428" t="s">
        <v>557</v>
      </c>
      <c r="N1001" s="139">
        <f t="shared" si="52"/>
        <v>1680</v>
      </c>
      <c r="O1001" s="422" t="s">
        <v>484</v>
      </c>
      <c r="P1001" s="231" t="str">
        <f t="shared" si="53"/>
        <v>Reciclagem</v>
      </c>
      <c r="Q1001" s="541" t="s">
        <v>1908</v>
      </c>
      <c r="R1001" s="541" t="s">
        <v>1877</v>
      </c>
      <c r="S1001" s="544" t="s">
        <v>1553</v>
      </c>
      <c r="T1001" s="93" t="s">
        <v>6312</v>
      </c>
      <c r="U1001" s="93" t="s">
        <v>6313</v>
      </c>
      <c r="V1001" s="93"/>
    </row>
    <row r="1002" spans="1:22" ht="15.75" thickBot="1" x14ac:dyDescent="0.3">
      <c r="A1002" s="422" t="s">
        <v>4668</v>
      </c>
      <c r="B1002" s="422" t="s">
        <v>4668</v>
      </c>
      <c r="C1002" s="424" t="str">
        <f t="shared" si="51"/>
        <v>X</v>
      </c>
      <c r="D1002" s="422">
        <v>2023</v>
      </c>
      <c r="E1002" s="250" t="s">
        <v>3499</v>
      </c>
      <c r="F1002" s="250" t="s">
        <v>3566</v>
      </c>
      <c r="G1002" s="422" t="s">
        <v>42</v>
      </c>
      <c r="H1002" s="424" t="s">
        <v>42</v>
      </c>
      <c r="I1002" s="487">
        <v>200303</v>
      </c>
      <c r="J1002" s="425" t="str">
        <f>INDEX(aux!B:B,MATCH(I1002,aux!A:A,0))</f>
        <v>Resíduos da limpeza de ruas</v>
      </c>
      <c r="K1002" s="433" t="str">
        <f>INDEX(aux!C:C,MATCH(I1002,aux!A:A,0))</f>
        <v>Não</v>
      </c>
      <c r="L1002" s="259">
        <v>660</v>
      </c>
      <c r="M1002" s="428" t="s">
        <v>557</v>
      </c>
      <c r="N1002" s="139">
        <f t="shared" si="52"/>
        <v>660</v>
      </c>
      <c r="O1002" s="422" t="s">
        <v>483</v>
      </c>
      <c r="P1002" s="231" t="str">
        <f t="shared" si="53"/>
        <v>Reciclagem</v>
      </c>
      <c r="Q1002" s="541" t="s">
        <v>1908</v>
      </c>
      <c r="R1002" s="541" t="s">
        <v>1877</v>
      </c>
      <c r="S1002" s="544" t="s">
        <v>485</v>
      </c>
      <c r="T1002" s="93" t="s">
        <v>6305</v>
      </c>
      <c r="U1002" s="93" t="s">
        <v>6305</v>
      </c>
      <c r="V1002" s="93"/>
    </row>
    <row r="1003" spans="1:22" ht="15.75" thickBot="1" x14ac:dyDescent="0.3">
      <c r="A1003" s="93" t="s">
        <v>4668</v>
      </c>
      <c r="B1003" s="93" t="s">
        <v>4668</v>
      </c>
      <c r="C1003" s="424" t="str">
        <f t="shared" si="51"/>
        <v>X</v>
      </c>
      <c r="D1003" s="422">
        <v>2023</v>
      </c>
      <c r="E1003" s="250" t="s">
        <v>3499</v>
      </c>
      <c r="F1003" s="250" t="s">
        <v>3566</v>
      </c>
      <c r="G1003" s="422" t="s">
        <v>42</v>
      </c>
      <c r="H1003" s="424" t="s">
        <v>42</v>
      </c>
      <c r="I1003" s="487">
        <v>160104</v>
      </c>
      <c r="J1003" s="425" t="str">
        <f>INDEX(aux!B:B,MATCH(I1003,aux!A:A,0))</f>
        <v>Veículos em fim de vida</v>
      </c>
      <c r="K1003" s="433" t="str">
        <f>INDEX(aux!C:C,MATCH(I1003,aux!A:A,0))</f>
        <v>Sim</v>
      </c>
      <c r="L1003" s="360">
        <v>453060</v>
      </c>
      <c r="M1003" s="359" t="s">
        <v>557</v>
      </c>
      <c r="N1003" s="139">
        <f t="shared" si="52"/>
        <v>453060</v>
      </c>
      <c r="O1003" s="93" t="s">
        <v>483</v>
      </c>
      <c r="P1003" s="231" t="str">
        <f t="shared" si="53"/>
        <v>Reciclagem</v>
      </c>
      <c r="Q1003" s="541" t="s">
        <v>1907</v>
      </c>
      <c r="R1003" s="541" t="s">
        <v>6569</v>
      </c>
      <c r="S1003" s="544" t="s">
        <v>485</v>
      </c>
      <c r="T1003" s="93" t="s">
        <v>6307</v>
      </c>
      <c r="U1003" s="93" t="s">
        <v>3176</v>
      </c>
      <c r="V1003" s="93"/>
    </row>
    <row r="1004" spans="1:22" ht="15.75" thickBot="1" x14ac:dyDescent="0.3">
      <c r="A1004" s="93" t="s">
        <v>4668</v>
      </c>
      <c r="B1004" s="93" t="s">
        <v>4668</v>
      </c>
      <c r="C1004" s="424" t="str">
        <f t="shared" si="51"/>
        <v>X</v>
      </c>
      <c r="D1004" s="422">
        <v>2023</v>
      </c>
      <c r="E1004" s="250" t="s">
        <v>3499</v>
      </c>
      <c r="F1004" s="250" t="s">
        <v>3566</v>
      </c>
      <c r="G1004" s="422" t="s">
        <v>42</v>
      </c>
      <c r="H1004" s="424" t="s">
        <v>42</v>
      </c>
      <c r="I1004" s="487">
        <v>160120</v>
      </c>
      <c r="J1004" s="425" t="str">
        <f>INDEX(aux!B:B,MATCH(I1004,aux!A:A,0))</f>
        <v>Vidro</v>
      </c>
      <c r="K1004" s="433" t="str">
        <f>INDEX(aux!C:C,MATCH(I1004,aux!A:A,0))</f>
        <v>Não</v>
      </c>
      <c r="L1004" s="360">
        <v>2780</v>
      </c>
      <c r="M1004" s="359" t="s">
        <v>557</v>
      </c>
      <c r="N1004" s="139">
        <f t="shared" si="52"/>
        <v>2780</v>
      </c>
      <c r="O1004" s="93" t="s">
        <v>483</v>
      </c>
      <c r="P1004" s="231" t="str">
        <f t="shared" si="53"/>
        <v>Reciclagem</v>
      </c>
      <c r="Q1004" s="541" t="s">
        <v>1561</v>
      </c>
      <c r="R1004" s="541" t="s">
        <v>6569</v>
      </c>
      <c r="S1004" s="544" t="s">
        <v>485</v>
      </c>
      <c r="T1004" s="93" t="s">
        <v>6305</v>
      </c>
      <c r="U1004" s="93" t="s">
        <v>6305</v>
      </c>
      <c r="V1004" s="93"/>
    </row>
    <row r="1005" spans="1:22" ht="15.75" hidden="1" thickBot="1" x14ac:dyDescent="0.3">
      <c r="A1005" s="529" t="s">
        <v>4602</v>
      </c>
      <c r="B1005" s="529" t="s">
        <v>4602</v>
      </c>
      <c r="C1005" s="424" t="str">
        <f t="shared" si="51"/>
        <v>X</v>
      </c>
      <c r="D1005" s="422">
        <v>2022</v>
      </c>
      <c r="E1005" s="250" t="s">
        <v>3499</v>
      </c>
      <c r="F1005" s="250" t="s">
        <v>3566</v>
      </c>
      <c r="G1005" s="422" t="s">
        <v>42</v>
      </c>
      <c r="H1005" s="424" t="s">
        <v>42</v>
      </c>
      <c r="I1005" s="524">
        <v>160601</v>
      </c>
      <c r="J1005" s="425" t="str">
        <f>INDEX(aux!B:B,MATCH(I1005,aux!A:A,0))</f>
        <v>(*) Acumuladores de chumbo</v>
      </c>
      <c r="K1005" s="433" t="str">
        <f>INDEX(aux!C:C,MATCH(I1005,aux!A:A,0))</f>
        <v>Sim</v>
      </c>
      <c r="L1005" s="662">
        <v>640</v>
      </c>
      <c r="M1005" s="535" t="s">
        <v>557</v>
      </c>
      <c r="N1005" s="139">
        <f t="shared" si="52"/>
        <v>640</v>
      </c>
      <c r="O1005" s="538" t="s">
        <v>3592</v>
      </c>
      <c r="P1005" s="231" t="str">
        <f t="shared" si="53"/>
        <v>Reciclagem</v>
      </c>
      <c r="Q1005" s="541" t="s">
        <v>1653</v>
      </c>
      <c r="R1005" s="541" t="s">
        <v>1877</v>
      </c>
      <c r="S1005" s="458" t="s">
        <v>3594</v>
      </c>
      <c r="T1005" s="458" t="s">
        <v>3590</v>
      </c>
      <c r="U1005" s="458" t="s">
        <v>3591</v>
      </c>
      <c r="V1005" s="529" t="s">
        <v>3589</v>
      </c>
    </row>
    <row r="1006" spans="1:22" ht="15.75" hidden="1" thickBot="1" x14ac:dyDescent="0.3">
      <c r="A1006" s="529" t="s">
        <v>4602</v>
      </c>
      <c r="B1006" s="529" t="s">
        <v>4602</v>
      </c>
      <c r="C1006" s="424" t="str">
        <f t="shared" si="51"/>
        <v>X</v>
      </c>
      <c r="D1006" s="422">
        <v>2022</v>
      </c>
      <c r="E1006" s="250" t="s">
        <v>3499</v>
      </c>
      <c r="F1006" s="250" t="s">
        <v>3566</v>
      </c>
      <c r="G1006" s="422" t="s">
        <v>42</v>
      </c>
      <c r="H1006" s="424" t="s">
        <v>42</v>
      </c>
      <c r="I1006" s="524">
        <v>160602</v>
      </c>
      <c r="J1006" s="425" t="str">
        <f>INDEX(aux!B:B,MATCH(I1006,aux!A:A,0))</f>
        <v>(*) Acumuladores de níquel-cádmio</v>
      </c>
      <c r="K1006" s="433" t="str">
        <f>INDEX(aux!C:C,MATCH(I1006,aux!A:A,0))</f>
        <v>Sim</v>
      </c>
      <c r="L1006" s="662">
        <v>212</v>
      </c>
      <c r="M1006" s="535" t="s">
        <v>557</v>
      </c>
      <c r="N1006" s="139">
        <f t="shared" si="52"/>
        <v>212</v>
      </c>
      <c r="O1006" s="538" t="s">
        <v>3592</v>
      </c>
      <c r="P1006" s="231" t="str">
        <f t="shared" si="53"/>
        <v>Reciclagem</v>
      </c>
      <c r="Q1006" s="541" t="s">
        <v>1653</v>
      </c>
      <c r="R1006" s="541" t="s">
        <v>1877</v>
      </c>
      <c r="S1006" s="458" t="s">
        <v>3594</v>
      </c>
      <c r="T1006" s="458" t="s">
        <v>3590</v>
      </c>
      <c r="U1006" s="458" t="s">
        <v>3591</v>
      </c>
      <c r="V1006" s="529" t="s">
        <v>3589</v>
      </c>
    </row>
    <row r="1007" spans="1:22" ht="15.75" hidden="1" thickBot="1" x14ac:dyDescent="0.3">
      <c r="A1007" s="529" t="s">
        <v>4602</v>
      </c>
      <c r="B1007" s="529" t="s">
        <v>4602</v>
      </c>
      <c r="C1007" s="424" t="str">
        <f t="shared" ref="C1007:C1070" si="54">IF(A1007=B1007,"X",RIGHT(A1007,LEN(A1007)-LEN(B1007)-3))</f>
        <v>X</v>
      </c>
      <c r="D1007" s="422">
        <v>2022</v>
      </c>
      <c r="E1007" s="250" t="s">
        <v>3499</v>
      </c>
      <c r="F1007" s="250" t="s">
        <v>3566</v>
      </c>
      <c r="G1007" s="422" t="s">
        <v>42</v>
      </c>
      <c r="H1007" s="424" t="s">
        <v>42</v>
      </c>
      <c r="I1007" s="524">
        <v>200134</v>
      </c>
      <c r="J1007" s="425" t="str">
        <f>INDEX(aux!B:B,MATCH(I1007,aux!A:A,0))</f>
        <v>Pilhas e acumuladores não abrangidos em 20 01 33</v>
      </c>
      <c r="K1007" s="433" t="str">
        <f>INDEX(aux!C:C,MATCH(I1007,aux!A:A,0))</f>
        <v>Não</v>
      </c>
      <c r="L1007" s="662">
        <v>10</v>
      </c>
      <c r="M1007" s="535" t="s">
        <v>557</v>
      </c>
      <c r="N1007" s="139">
        <f t="shared" si="52"/>
        <v>10</v>
      </c>
      <c r="O1007" s="538" t="s">
        <v>3592</v>
      </c>
      <c r="P1007" s="231" t="str">
        <f t="shared" si="53"/>
        <v>Reciclagem</v>
      </c>
      <c r="Q1007" s="541" t="s">
        <v>1653</v>
      </c>
      <c r="R1007" s="541" t="s">
        <v>1877</v>
      </c>
      <c r="S1007" s="458" t="s">
        <v>3594</v>
      </c>
      <c r="T1007" s="458" t="s">
        <v>3590</v>
      </c>
      <c r="U1007" s="458" t="s">
        <v>3591</v>
      </c>
      <c r="V1007" s="93"/>
    </row>
    <row r="1008" spans="1:22" ht="15.75" thickBot="1" x14ac:dyDescent="0.3">
      <c r="A1008" s="93" t="s">
        <v>4602</v>
      </c>
      <c r="B1008" s="93" t="s">
        <v>4602</v>
      </c>
      <c r="C1008" s="424" t="str">
        <f t="shared" si="54"/>
        <v>X</v>
      </c>
      <c r="D1008" s="422">
        <v>2023</v>
      </c>
      <c r="E1008" s="250" t="s">
        <v>3499</v>
      </c>
      <c r="F1008" s="250" t="s">
        <v>3566</v>
      </c>
      <c r="G1008" s="422" t="s">
        <v>42</v>
      </c>
      <c r="H1008" s="424" t="s">
        <v>42</v>
      </c>
      <c r="I1008" s="522">
        <v>200134</v>
      </c>
      <c r="J1008" s="425" t="str">
        <f>INDEX(aux!B:B,MATCH(I1008,aux!A:A,0))</f>
        <v>Pilhas e acumuladores não abrangidos em 20 01 33</v>
      </c>
      <c r="K1008" s="433" t="str">
        <f>INDEX(aux!C:C,MATCH(I1008,aux!A:A,0))</f>
        <v>Não</v>
      </c>
      <c r="L1008" s="360">
        <v>11</v>
      </c>
      <c r="M1008" s="359" t="s">
        <v>557</v>
      </c>
      <c r="N1008" s="139">
        <f t="shared" si="52"/>
        <v>11</v>
      </c>
      <c r="O1008" s="93" t="s">
        <v>3592</v>
      </c>
      <c r="P1008" s="231" t="str">
        <f t="shared" si="53"/>
        <v>Reciclagem</v>
      </c>
      <c r="Q1008" s="541" t="s">
        <v>1653</v>
      </c>
      <c r="R1008" s="541" t="s">
        <v>1877</v>
      </c>
      <c r="S1008" s="544" t="s">
        <v>3594</v>
      </c>
      <c r="T1008" s="93" t="s">
        <v>3590</v>
      </c>
      <c r="U1008" s="93" t="s">
        <v>3591</v>
      </c>
      <c r="V1008" s="93"/>
    </row>
    <row r="1009" spans="1:22" ht="15.75" hidden="1" thickBot="1" x14ac:dyDescent="0.3">
      <c r="A1009" s="529" t="s">
        <v>4602</v>
      </c>
      <c r="B1009" s="529" t="s">
        <v>4602</v>
      </c>
      <c r="C1009" s="424" t="str">
        <f t="shared" si="54"/>
        <v>X</v>
      </c>
      <c r="D1009" s="422">
        <v>2022</v>
      </c>
      <c r="E1009" s="250" t="s">
        <v>3499</v>
      </c>
      <c r="F1009" s="250" t="s">
        <v>3566</v>
      </c>
      <c r="G1009" s="422" t="s">
        <v>42</v>
      </c>
      <c r="H1009" s="424" t="s">
        <v>42</v>
      </c>
      <c r="I1009" s="524">
        <v>200135</v>
      </c>
      <c r="J1009" s="425" t="str">
        <f>INDEX(aux!B:B,MATCH(I1009,aux!A:A,0))</f>
        <v>(*) Equipamento elétrico e eletrónico fora de uso, não abrangido em 20 01 21 ou 20 01 23, contendo componentes perigosos</v>
      </c>
      <c r="K1009" s="433" t="str">
        <f>INDEX(aux!C:C,MATCH(I1009,aux!A:A,0))</f>
        <v>Sim</v>
      </c>
      <c r="L1009" s="662">
        <v>65</v>
      </c>
      <c r="M1009" s="535" t="s">
        <v>557</v>
      </c>
      <c r="N1009" s="139">
        <f t="shared" si="52"/>
        <v>65</v>
      </c>
      <c r="O1009" s="538" t="s">
        <v>3592</v>
      </c>
      <c r="P1009" s="231" t="str">
        <f t="shared" si="53"/>
        <v>Reciclagem</v>
      </c>
      <c r="Q1009" s="541" t="s">
        <v>1909</v>
      </c>
      <c r="R1009" s="541" t="s">
        <v>1877</v>
      </c>
      <c r="S1009" s="458" t="s">
        <v>3594</v>
      </c>
      <c r="T1009" s="458" t="s">
        <v>3590</v>
      </c>
      <c r="U1009" s="458" t="s">
        <v>3591</v>
      </c>
      <c r="V1009" s="529" t="s">
        <v>3589</v>
      </c>
    </row>
    <row r="1010" spans="1:22" ht="15.75" hidden="1" thickBot="1" x14ac:dyDescent="0.3">
      <c r="A1010" s="529" t="s">
        <v>4602</v>
      </c>
      <c r="B1010" s="529" t="s">
        <v>4602</v>
      </c>
      <c r="C1010" s="424" t="str">
        <f t="shared" si="54"/>
        <v>X</v>
      </c>
      <c r="D1010" s="422">
        <v>2022</v>
      </c>
      <c r="E1010" s="250" t="s">
        <v>3499</v>
      </c>
      <c r="F1010" s="250" t="s">
        <v>3566</v>
      </c>
      <c r="G1010" s="422" t="s">
        <v>42</v>
      </c>
      <c r="H1010" s="424" t="s">
        <v>42</v>
      </c>
      <c r="I1010" s="524">
        <v>200136</v>
      </c>
      <c r="J1010" s="425" t="str">
        <f>INDEX(aux!B:B,MATCH(I1010,aux!A:A,0))</f>
        <v>Equipamento elétrico e eletrónico fora de uso não abrangido em 20 01 21, 20 01 23 ou 20 01 35</v>
      </c>
      <c r="K1010" s="433" t="str">
        <f>INDEX(aux!C:C,MATCH(I1010,aux!A:A,0))</f>
        <v>Não</v>
      </c>
      <c r="L1010" s="662">
        <v>633</v>
      </c>
      <c r="M1010" s="535" t="s">
        <v>557</v>
      </c>
      <c r="N1010" s="139">
        <f t="shared" si="52"/>
        <v>633</v>
      </c>
      <c r="O1010" s="538" t="s">
        <v>3592</v>
      </c>
      <c r="P1010" s="231" t="str">
        <f t="shared" si="53"/>
        <v>Reciclagem</v>
      </c>
      <c r="Q1010" s="541" t="s">
        <v>1909</v>
      </c>
      <c r="R1010" s="541" t="s">
        <v>1877</v>
      </c>
      <c r="S1010" s="458" t="s">
        <v>3594</v>
      </c>
      <c r="T1010" s="458" t="s">
        <v>3590</v>
      </c>
      <c r="U1010" s="458" t="s">
        <v>3591</v>
      </c>
      <c r="V1010" s="529" t="s">
        <v>3589</v>
      </c>
    </row>
    <row r="1011" spans="1:22" ht="15.75" hidden="1" thickBot="1" x14ac:dyDescent="0.3">
      <c r="A1011" s="529" t="s">
        <v>4602</v>
      </c>
      <c r="B1011" s="529" t="s">
        <v>4602</v>
      </c>
      <c r="C1011" s="424" t="str">
        <f t="shared" si="54"/>
        <v>X</v>
      </c>
      <c r="D1011" s="422">
        <v>2022</v>
      </c>
      <c r="E1011" s="250" t="s">
        <v>3499</v>
      </c>
      <c r="F1011" s="250" t="s">
        <v>3566</v>
      </c>
      <c r="G1011" s="422" t="s">
        <v>42</v>
      </c>
      <c r="H1011" s="424" t="s">
        <v>42</v>
      </c>
      <c r="I1011" s="524">
        <v>200136</v>
      </c>
      <c r="J1011" s="425" t="str">
        <f>INDEX(aux!B:B,MATCH(I1011,aux!A:A,0))</f>
        <v>Equipamento elétrico e eletrónico fora de uso não abrangido em 20 01 21, 20 01 23 ou 20 01 35</v>
      </c>
      <c r="K1011" s="433" t="str">
        <f>INDEX(aux!C:C,MATCH(I1011,aux!A:A,0))</f>
        <v>Não</v>
      </c>
      <c r="L1011" s="662">
        <v>15</v>
      </c>
      <c r="M1011" s="535" t="s">
        <v>557</v>
      </c>
      <c r="N1011" s="139">
        <f t="shared" si="52"/>
        <v>15</v>
      </c>
      <c r="O1011" s="538" t="s">
        <v>3592</v>
      </c>
      <c r="P1011" s="231" t="str">
        <f t="shared" si="53"/>
        <v>Reciclagem</v>
      </c>
      <c r="Q1011" s="541" t="s">
        <v>1909</v>
      </c>
      <c r="R1011" s="541" t="s">
        <v>1877</v>
      </c>
      <c r="S1011" s="458" t="s">
        <v>3594</v>
      </c>
      <c r="T1011" s="458" t="s">
        <v>3590</v>
      </c>
      <c r="U1011" s="458" t="s">
        <v>3591</v>
      </c>
      <c r="V1011" s="93"/>
    </row>
    <row r="1012" spans="1:22" ht="15.75" thickBot="1" x14ac:dyDescent="0.3">
      <c r="A1012" s="93" t="s">
        <v>4602</v>
      </c>
      <c r="B1012" s="93" t="s">
        <v>4602</v>
      </c>
      <c r="C1012" s="424" t="str">
        <f t="shared" si="54"/>
        <v>X</v>
      </c>
      <c r="D1012" s="422">
        <v>2023</v>
      </c>
      <c r="E1012" s="250" t="s">
        <v>3499</v>
      </c>
      <c r="F1012" s="250" t="s">
        <v>3566</v>
      </c>
      <c r="G1012" s="422" t="s">
        <v>42</v>
      </c>
      <c r="H1012" s="424" t="s">
        <v>42</v>
      </c>
      <c r="I1012" s="522">
        <v>200136</v>
      </c>
      <c r="J1012" s="425" t="str">
        <f>INDEX(aux!B:B,MATCH(I1012,aux!A:A,0))</f>
        <v>Equipamento elétrico e eletrónico fora de uso não abrangido em 20 01 21, 20 01 23 ou 20 01 35</v>
      </c>
      <c r="K1012" s="433" t="str">
        <f>INDEX(aux!C:C,MATCH(I1012,aux!A:A,0))</f>
        <v>Não</v>
      </c>
      <c r="L1012" s="360">
        <v>592</v>
      </c>
      <c r="M1012" s="359" t="s">
        <v>557</v>
      </c>
      <c r="N1012" s="139">
        <f t="shared" si="52"/>
        <v>592</v>
      </c>
      <c r="O1012" s="93" t="s">
        <v>3592</v>
      </c>
      <c r="P1012" s="231" t="str">
        <f t="shared" si="53"/>
        <v>Reciclagem</v>
      </c>
      <c r="Q1012" s="541" t="s">
        <v>1909</v>
      </c>
      <c r="R1012" s="541" t="s">
        <v>1877</v>
      </c>
      <c r="S1012" s="544" t="s">
        <v>3594</v>
      </c>
      <c r="T1012" s="93" t="s">
        <v>3590</v>
      </c>
      <c r="U1012" s="93" t="s">
        <v>3591</v>
      </c>
      <c r="V1012" s="93"/>
    </row>
    <row r="1013" spans="1:22" ht="15.75" hidden="1" thickBot="1" x14ac:dyDescent="0.3">
      <c r="A1013" s="529" t="s">
        <v>4602</v>
      </c>
      <c r="B1013" s="529" t="s">
        <v>4602</v>
      </c>
      <c r="C1013" s="424" t="str">
        <f t="shared" si="54"/>
        <v>X</v>
      </c>
      <c r="D1013" s="422">
        <v>2022</v>
      </c>
      <c r="E1013" s="250" t="s">
        <v>3499</v>
      </c>
      <c r="F1013" s="250" t="s">
        <v>3566</v>
      </c>
      <c r="G1013" s="422" t="s">
        <v>42</v>
      </c>
      <c r="H1013" s="424" t="s">
        <v>42</v>
      </c>
      <c r="I1013" s="524">
        <v>140601</v>
      </c>
      <c r="J1013" s="425" t="str">
        <f>INDEX(aux!B:B,MATCH(I1013,aux!A:A,0))</f>
        <v>Clorofluorcarbonetos, HCFC, HFC</v>
      </c>
      <c r="K1013" s="433" t="str">
        <f>INDEX(aux!C:C,MATCH(I1013,aux!A:A,0))</f>
        <v>Sim</v>
      </c>
      <c r="L1013" s="662">
        <v>261</v>
      </c>
      <c r="M1013" s="535" t="s">
        <v>557</v>
      </c>
      <c r="N1013" s="139">
        <f t="shared" si="52"/>
        <v>261</v>
      </c>
      <c r="O1013" s="538" t="s">
        <v>3592</v>
      </c>
      <c r="P1013" s="231" t="str">
        <f t="shared" si="53"/>
        <v>Reciclagem</v>
      </c>
      <c r="Q1013" s="541" t="s">
        <v>3600</v>
      </c>
      <c r="R1013" s="541" t="s">
        <v>76</v>
      </c>
      <c r="S1013" s="458" t="s">
        <v>3594</v>
      </c>
      <c r="T1013" s="458" t="s">
        <v>3590</v>
      </c>
      <c r="U1013" s="458" t="s">
        <v>3591</v>
      </c>
      <c r="V1013" s="529" t="s">
        <v>3589</v>
      </c>
    </row>
    <row r="1014" spans="1:22" ht="15.75" hidden="1" thickBot="1" x14ac:dyDescent="0.3">
      <c r="A1014" s="529" t="s">
        <v>4602</v>
      </c>
      <c r="B1014" s="529" t="s">
        <v>4602</v>
      </c>
      <c r="C1014" s="424" t="str">
        <f t="shared" si="54"/>
        <v>X</v>
      </c>
      <c r="D1014" s="422">
        <v>2022</v>
      </c>
      <c r="E1014" s="250" t="s">
        <v>3499</v>
      </c>
      <c r="F1014" s="250" t="s">
        <v>3566</v>
      </c>
      <c r="G1014" s="422" t="s">
        <v>42</v>
      </c>
      <c r="H1014" s="424" t="s">
        <v>42</v>
      </c>
      <c r="I1014" s="524">
        <v>200138</v>
      </c>
      <c r="J1014" s="425" t="str">
        <f>INDEX(aux!B:B,MATCH(I1014,aux!A:A,0))</f>
        <v>Madeira não abrangida em 20 01 37</v>
      </c>
      <c r="K1014" s="433" t="str">
        <f>INDEX(aux!C:C,MATCH(I1014,aux!A:A,0))</f>
        <v>Não</v>
      </c>
      <c r="L1014" s="662">
        <v>8150</v>
      </c>
      <c r="M1014" s="535" t="s">
        <v>557</v>
      </c>
      <c r="N1014" s="139">
        <f t="shared" si="52"/>
        <v>8150</v>
      </c>
      <c r="O1014" s="538" t="s">
        <v>3592</v>
      </c>
      <c r="P1014" s="231" t="str">
        <f t="shared" si="53"/>
        <v>Reciclagem</v>
      </c>
      <c r="Q1014" s="541" t="s">
        <v>1905</v>
      </c>
      <c r="R1014" s="541" t="s">
        <v>1903</v>
      </c>
      <c r="S1014" s="458" t="s">
        <v>3594</v>
      </c>
      <c r="T1014" s="458" t="s">
        <v>3590</v>
      </c>
      <c r="U1014" s="458" t="s">
        <v>3591</v>
      </c>
      <c r="V1014" s="529" t="s">
        <v>3589</v>
      </c>
    </row>
    <row r="1015" spans="1:22" ht="15.75" hidden="1" thickBot="1" x14ac:dyDescent="0.3">
      <c r="A1015" s="529" t="s">
        <v>4602</v>
      </c>
      <c r="B1015" s="529" t="s">
        <v>4602</v>
      </c>
      <c r="C1015" s="424" t="str">
        <f t="shared" si="54"/>
        <v>X</v>
      </c>
      <c r="D1015" s="422">
        <v>2022</v>
      </c>
      <c r="E1015" s="250" t="s">
        <v>3499</v>
      </c>
      <c r="F1015" s="250" t="s">
        <v>3566</v>
      </c>
      <c r="G1015" s="422" t="s">
        <v>42</v>
      </c>
      <c r="H1015" s="424" t="s">
        <v>42</v>
      </c>
      <c r="I1015" s="524">
        <v>120101</v>
      </c>
      <c r="J1015" s="425" t="str">
        <f>INDEX(aux!B:B,MATCH(I1015,aux!A:A,0))</f>
        <v>Aparas e limalhas de metais ferrosos</v>
      </c>
      <c r="K1015" s="433" t="str">
        <f>INDEX(aux!C:C,MATCH(I1015,aux!A:A,0))</f>
        <v>Não</v>
      </c>
      <c r="L1015" s="662">
        <v>13260</v>
      </c>
      <c r="M1015" s="535" t="s">
        <v>557</v>
      </c>
      <c r="N1015" s="139">
        <f t="shared" si="52"/>
        <v>13260</v>
      </c>
      <c r="O1015" s="538" t="s">
        <v>3592</v>
      </c>
      <c r="P1015" s="231" t="str">
        <f t="shared" si="53"/>
        <v>Reciclagem</v>
      </c>
      <c r="Q1015" s="541" t="s">
        <v>1557</v>
      </c>
      <c r="R1015" s="541" t="s">
        <v>1903</v>
      </c>
      <c r="S1015" s="458" t="s">
        <v>3594</v>
      </c>
      <c r="T1015" s="458" t="s">
        <v>3590</v>
      </c>
      <c r="U1015" s="458" t="s">
        <v>3591</v>
      </c>
      <c r="V1015" s="529" t="s">
        <v>3589</v>
      </c>
    </row>
    <row r="1016" spans="1:22" ht="15.75" hidden="1" thickBot="1" x14ac:dyDescent="0.3">
      <c r="A1016" s="529" t="s">
        <v>4602</v>
      </c>
      <c r="B1016" s="529" t="s">
        <v>4602</v>
      </c>
      <c r="C1016" s="424" t="str">
        <f t="shared" si="54"/>
        <v>X</v>
      </c>
      <c r="D1016" s="422">
        <v>2022</v>
      </c>
      <c r="E1016" s="250" t="s">
        <v>3499</v>
      </c>
      <c r="F1016" s="250" t="s">
        <v>3566</v>
      </c>
      <c r="G1016" s="422" t="s">
        <v>42</v>
      </c>
      <c r="H1016" s="424" t="s">
        <v>42</v>
      </c>
      <c r="I1016" s="524">
        <v>120113</v>
      </c>
      <c r="J1016" s="425" t="str">
        <f>INDEX(aux!B:B,MATCH(I1016,aux!A:A,0))</f>
        <v>Resíduos de soldadura</v>
      </c>
      <c r="K1016" s="433" t="str">
        <f>INDEX(aux!C:C,MATCH(I1016,aux!A:A,0))</f>
        <v>Não</v>
      </c>
      <c r="L1016" s="662">
        <v>274</v>
      </c>
      <c r="M1016" s="535" t="s">
        <v>557</v>
      </c>
      <c r="N1016" s="139">
        <f t="shared" si="52"/>
        <v>274</v>
      </c>
      <c r="O1016" s="538" t="s">
        <v>3592</v>
      </c>
      <c r="P1016" s="231" t="str">
        <f t="shared" si="53"/>
        <v>Reciclagem</v>
      </c>
      <c r="Q1016" s="541" t="s">
        <v>1557</v>
      </c>
      <c r="R1016" s="541" t="s">
        <v>1903</v>
      </c>
      <c r="S1016" s="458" t="s">
        <v>3594</v>
      </c>
      <c r="T1016" s="458" t="s">
        <v>3590</v>
      </c>
      <c r="U1016" s="458" t="s">
        <v>3591</v>
      </c>
      <c r="V1016" s="529" t="s">
        <v>3589</v>
      </c>
    </row>
    <row r="1017" spans="1:22" ht="15.75" hidden="1" thickBot="1" x14ac:dyDescent="0.3">
      <c r="A1017" s="529" t="s">
        <v>4602</v>
      </c>
      <c r="B1017" s="529" t="s">
        <v>4602</v>
      </c>
      <c r="C1017" s="424" t="str">
        <f t="shared" si="54"/>
        <v>X</v>
      </c>
      <c r="D1017" s="422">
        <v>2022</v>
      </c>
      <c r="E1017" s="250" t="s">
        <v>3499</v>
      </c>
      <c r="F1017" s="250" t="s">
        <v>3566</v>
      </c>
      <c r="G1017" s="422" t="s">
        <v>42</v>
      </c>
      <c r="H1017" s="424" t="s">
        <v>42</v>
      </c>
      <c r="I1017" s="524">
        <v>120121</v>
      </c>
      <c r="J1017" s="425" t="str">
        <f>INDEX(aux!B:B,MATCH(I1017,aux!A:A,0))</f>
        <v>Mós e materiais de rectificação usados</v>
      </c>
      <c r="K1017" s="433" t="str">
        <f>INDEX(aux!C:C,MATCH(I1017,aux!A:A,0))</f>
        <v>Não</v>
      </c>
      <c r="L1017" s="662">
        <v>569</v>
      </c>
      <c r="M1017" s="535" t="s">
        <v>557</v>
      </c>
      <c r="N1017" s="139">
        <f t="shared" si="52"/>
        <v>569</v>
      </c>
      <c r="O1017" s="538" t="s">
        <v>3592</v>
      </c>
      <c r="P1017" s="231" t="str">
        <f t="shared" si="53"/>
        <v>Reciclagem</v>
      </c>
      <c r="Q1017" s="541" t="s">
        <v>1557</v>
      </c>
      <c r="R1017" s="541" t="s">
        <v>1903</v>
      </c>
      <c r="S1017" s="458" t="s">
        <v>3594</v>
      </c>
      <c r="T1017" s="458" t="s">
        <v>3590</v>
      </c>
      <c r="U1017" s="458" t="s">
        <v>3591</v>
      </c>
      <c r="V1017" s="93"/>
    </row>
    <row r="1018" spans="1:22" ht="15.75" hidden="1" thickBot="1" x14ac:dyDescent="0.3">
      <c r="A1018" s="529" t="s">
        <v>4602</v>
      </c>
      <c r="B1018" s="529" t="s">
        <v>4602</v>
      </c>
      <c r="C1018" s="424" t="str">
        <f t="shared" si="54"/>
        <v>X</v>
      </c>
      <c r="D1018" s="422">
        <v>2022</v>
      </c>
      <c r="E1018" s="250" t="s">
        <v>3499</v>
      </c>
      <c r="F1018" s="250" t="s">
        <v>3566</v>
      </c>
      <c r="G1018" s="422" t="s">
        <v>42</v>
      </c>
      <c r="H1018" s="424" t="s">
        <v>42</v>
      </c>
      <c r="I1018" s="524">
        <v>160112</v>
      </c>
      <c r="J1018" s="425" t="str">
        <f>INDEX(aux!B:B,MATCH(I1018,aux!A:A,0))</f>
        <v>Pastilhas de travões não abrangidas em 16 01 11</v>
      </c>
      <c r="K1018" s="433" t="str">
        <f>INDEX(aux!C:C,MATCH(I1018,aux!A:A,0))</f>
        <v>Não</v>
      </c>
      <c r="L1018" s="662">
        <v>5501</v>
      </c>
      <c r="M1018" s="535" t="s">
        <v>557</v>
      </c>
      <c r="N1018" s="139">
        <f t="shared" si="52"/>
        <v>5501</v>
      </c>
      <c r="O1018" s="538" t="s">
        <v>3592</v>
      </c>
      <c r="P1018" s="231" t="str">
        <f t="shared" si="53"/>
        <v>Reciclagem</v>
      </c>
      <c r="Q1018" s="541" t="s">
        <v>1557</v>
      </c>
      <c r="R1018" s="541" t="s">
        <v>1903</v>
      </c>
      <c r="S1018" s="458" t="s">
        <v>3594</v>
      </c>
      <c r="T1018" s="458" t="s">
        <v>3590</v>
      </c>
      <c r="U1018" s="458" t="s">
        <v>3591</v>
      </c>
      <c r="V1018" s="529" t="s">
        <v>3589</v>
      </c>
    </row>
    <row r="1019" spans="1:22" ht="15.75" hidden="1" thickBot="1" x14ac:dyDescent="0.3">
      <c r="A1019" s="529" t="s">
        <v>4602</v>
      </c>
      <c r="B1019" s="529" t="s">
        <v>4602</v>
      </c>
      <c r="C1019" s="424" t="str">
        <f t="shared" si="54"/>
        <v>X</v>
      </c>
      <c r="D1019" s="422">
        <v>2022</v>
      </c>
      <c r="E1019" s="250" t="s">
        <v>3499</v>
      </c>
      <c r="F1019" s="250" t="s">
        <v>3566</v>
      </c>
      <c r="G1019" s="422" t="s">
        <v>42</v>
      </c>
      <c r="H1019" s="424" t="s">
        <v>42</v>
      </c>
      <c r="I1019" s="524">
        <v>160117</v>
      </c>
      <c r="J1019" s="425" t="str">
        <f>INDEX(aux!B:B,MATCH(I1019,aux!A:A,0))</f>
        <v>Metais ferrosos</v>
      </c>
      <c r="K1019" s="433" t="str">
        <f>INDEX(aux!C:C,MATCH(I1019,aux!A:A,0))</f>
        <v>Não</v>
      </c>
      <c r="L1019" s="662">
        <v>12247</v>
      </c>
      <c r="M1019" s="535" t="s">
        <v>557</v>
      </c>
      <c r="N1019" s="139">
        <f t="shared" si="52"/>
        <v>12247</v>
      </c>
      <c r="O1019" s="538" t="s">
        <v>3592</v>
      </c>
      <c r="P1019" s="231" t="str">
        <f t="shared" si="53"/>
        <v>Reciclagem</v>
      </c>
      <c r="Q1019" s="541" t="s">
        <v>1557</v>
      </c>
      <c r="R1019" s="541" t="s">
        <v>1903</v>
      </c>
      <c r="S1019" s="458" t="s">
        <v>3594</v>
      </c>
      <c r="T1019" s="458" t="s">
        <v>3590</v>
      </c>
      <c r="U1019" s="458" t="s">
        <v>3591</v>
      </c>
      <c r="V1019" s="529" t="s">
        <v>3589</v>
      </c>
    </row>
    <row r="1020" spans="1:22" ht="15.75" hidden="1" thickBot="1" x14ac:dyDescent="0.3">
      <c r="A1020" s="529" t="s">
        <v>4602</v>
      </c>
      <c r="B1020" s="529" t="s">
        <v>4602</v>
      </c>
      <c r="C1020" s="424" t="str">
        <f t="shared" si="54"/>
        <v>X</v>
      </c>
      <c r="D1020" s="422">
        <v>2022</v>
      </c>
      <c r="E1020" s="250" t="s">
        <v>3499</v>
      </c>
      <c r="F1020" s="250" t="s">
        <v>3566</v>
      </c>
      <c r="G1020" s="422" t="s">
        <v>42</v>
      </c>
      <c r="H1020" s="424" t="s">
        <v>42</v>
      </c>
      <c r="I1020" s="524">
        <v>170405</v>
      </c>
      <c r="J1020" s="425" t="str">
        <f>INDEX(aux!B:B,MATCH(I1020,aux!A:A,0))</f>
        <v>Ferro e Aço</v>
      </c>
      <c r="K1020" s="433" t="str">
        <f>INDEX(aux!C:C,MATCH(I1020,aux!A:A,0))</f>
        <v>Não</v>
      </c>
      <c r="L1020" s="662">
        <v>4380</v>
      </c>
      <c r="M1020" s="535" t="s">
        <v>557</v>
      </c>
      <c r="N1020" s="139">
        <f t="shared" si="52"/>
        <v>4380</v>
      </c>
      <c r="O1020" s="538" t="s">
        <v>3592</v>
      </c>
      <c r="P1020" s="231" t="str">
        <f t="shared" si="53"/>
        <v>Reciclagem</v>
      </c>
      <c r="Q1020" s="541" t="s">
        <v>1557</v>
      </c>
      <c r="R1020" s="541" t="s">
        <v>1903</v>
      </c>
      <c r="S1020" s="458" t="s">
        <v>3594</v>
      </c>
      <c r="T1020" s="458" t="s">
        <v>3590</v>
      </c>
      <c r="U1020" s="458" t="s">
        <v>3591</v>
      </c>
      <c r="V1020" s="529" t="s">
        <v>3589</v>
      </c>
    </row>
    <row r="1021" spans="1:22" ht="15.75" hidden="1" thickBot="1" x14ac:dyDescent="0.3">
      <c r="A1021" s="529" t="s">
        <v>4602</v>
      </c>
      <c r="B1021" s="529" t="s">
        <v>4602</v>
      </c>
      <c r="C1021" s="424" t="str">
        <f t="shared" si="54"/>
        <v>X</v>
      </c>
      <c r="D1021" s="422">
        <v>2022</v>
      </c>
      <c r="E1021" s="250" t="s">
        <v>3499</v>
      </c>
      <c r="F1021" s="250" t="s">
        <v>3566</v>
      </c>
      <c r="G1021" s="422" t="s">
        <v>42</v>
      </c>
      <c r="H1021" s="424" t="s">
        <v>42</v>
      </c>
      <c r="I1021" s="524">
        <v>150104</v>
      </c>
      <c r="J1021" s="425" t="str">
        <f>INDEX(aux!B:B,MATCH(I1021,aux!A:A,0))</f>
        <v>Embalagens de metal</v>
      </c>
      <c r="K1021" s="433" t="str">
        <f>INDEX(aux!C:C,MATCH(I1021,aux!A:A,0))</f>
        <v>Não</v>
      </c>
      <c r="L1021" s="662">
        <v>693</v>
      </c>
      <c r="M1021" s="535" t="s">
        <v>557</v>
      </c>
      <c r="N1021" s="139">
        <f t="shared" si="52"/>
        <v>693</v>
      </c>
      <c r="O1021" s="538" t="s">
        <v>3592</v>
      </c>
      <c r="P1021" s="231" t="str">
        <f t="shared" si="53"/>
        <v>Reciclagem</v>
      </c>
      <c r="Q1021" s="541" t="s">
        <v>1906</v>
      </c>
      <c r="R1021" s="541" t="s">
        <v>1903</v>
      </c>
      <c r="S1021" s="458" t="s">
        <v>3594</v>
      </c>
      <c r="T1021" s="458" t="s">
        <v>3590</v>
      </c>
      <c r="U1021" s="458" t="s">
        <v>3591</v>
      </c>
      <c r="V1021" s="529" t="s">
        <v>3589</v>
      </c>
    </row>
    <row r="1022" spans="1:22" ht="15.75" hidden="1" thickBot="1" x14ac:dyDescent="0.3">
      <c r="A1022" s="529" t="s">
        <v>4602</v>
      </c>
      <c r="B1022" s="529" t="s">
        <v>4602</v>
      </c>
      <c r="C1022" s="424" t="str">
        <f t="shared" si="54"/>
        <v>X</v>
      </c>
      <c r="D1022" s="422">
        <v>2022</v>
      </c>
      <c r="E1022" s="250" t="s">
        <v>3499</v>
      </c>
      <c r="F1022" s="250" t="s">
        <v>3566</v>
      </c>
      <c r="G1022" s="422" t="s">
        <v>42</v>
      </c>
      <c r="H1022" s="424" t="s">
        <v>42</v>
      </c>
      <c r="I1022" s="524">
        <v>150111</v>
      </c>
      <c r="J1022" s="425" t="str">
        <f>INDEX(aux!B:B,MATCH(I1022,aux!A:A,0))</f>
        <v>(*) Embalagens de metal, incluindo recipientes vazios sob pressão, contendo uma matriz porosa sólida perigosa (por exemplo, amianto)</v>
      </c>
      <c r="K1022" s="433" t="str">
        <f>INDEX(aux!C:C,MATCH(I1022,aux!A:A,0))</f>
        <v>Sim</v>
      </c>
      <c r="L1022" s="662">
        <v>189</v>
      </c>
      <c r="M1022" s="535" t="s">
        <v>557</v>
      </c>
      <c r="N1022" s="139">
        <f t="shared" si="52"/>
        <v>189</v>
      </c>
      <c r="O1022" s="538" t="s">
        <v>3592</v>
      </c>
      <c r="P1022" s="231" t="str">
        <f t="shared" si="53"/>
        <v>Reciclagem</v>
      </c>
      <c r="Q1022" s="541" t="s">
        <v>1906</v>
      </c>
      <c r="R1022" s="541" t="s">
        <v>1903</v>
      </c>
      <c r="S1022" s="458" t="s">
        <v>3594</v>
      </c>
      <c r="T1022" s="458" t="s">
        <v>3590</v>
      </c>
      <c r="U1022" s="458" t="s">
        <v>3591</v>
      </c>
      <c r="V1022" s="529" t="s">
        <v>3589</v>
      </c>
    </row>
    <row r="1023" spans="1:22" ht="15.75" hidden="1" thickBot="1" x14ac:dyDescent="0.3">
      <c r="A1023" s="529" t="s">
        <v>4602</v>
      </c>
      <c r="B1023" s="529" t="s">
        <v>4602</v>
      </c>
      <c r="C1023" s="424" t="str">
        <f t="shared" si="54"/>
        <v>X</v>
      </c>
      <c r="D1023" s="422">
        <v>2022</v>
      </c>
      <c r="E1023" s="250" t="s">
        <v>3499</v>
      </c>
      <c r="F1023" s="250" t="s">
        <v>3566</v>
      </c>
      <c r="G1023" s="422" t="s">
        <v>42</v>
      </c>
      <c r="H1023" s="424" t="s">
        <v>42</v>
      </c>
      <c r="I1023" s="524">
        <v>150111</v>
      </c>
      <c r="J1023" s="425" t="str">
        <f>INDEX(aux!B:B,MATCH(I1023,aux!A:A,0))</f>
        <v>(*) Embalagens de metal, incluindo recipientes vazios sob pressão, contendo uma matriz porosa sólida perigosa (por exemplo, amianto)</v>
      </c>
      <c r="K1023" s="433" t="str">
        <f>INDEX(aux!C:C,MATCH(I1023,aux!A:A,0))</f>
        <v>Sim</v>
      </c>
      <c r="L1023" s="662">
        <v>54</v>
      </c>
      <c r="M1023" s="535" t="s">
        <v>557</v>
      </c>
      <c r="N1023" s="139">
        <f t="shared" si="52"/>
        <v>54</v>
      </c>
      <c r="O1023" s="538" t="s">
        <v>3593</v>
      </c>
      <c r="P1023" s="231" t="str">
        <f t="shared" si="53"/>
        <v>Aterro</v>
      </c>
      <c r="Q1023" s="541" t="s">
        <v>1906</v>
      </c>
      <c r="R1023" s="541" t="s">
        <v>1903</v>
      </c>
      <c r="S1023" s="458" t="s">
        <v>3594</v>
      </c>
      <c r="T1023" s="458" t="s">
        <v>3590</v>
      </c>
      <c r="U1023" s="458" t="s">
        <v>3591</v>
      </c>
      <c r="V1023" s="529" t="s">
        <v>3589</v>
      </c>
    </row>
    <row r="1024" spans="1:22" ht="15.75" hidden="1" thickBot="1" x14ac:dyDescent="0.3">
      <c r="A1024" s="529" t="s">
        <v>4602</v>
      </c>
      <c r="B1024" s="529" t="s">
        <v>4602</v>
      </c>
      <c r="C1024" s="424" t="str">
        <f t="shared" si="54"/>
        <v>X</v>
      </c>
      <c r="D1024" s="422">
        <v>2022</v>
      </c>
      <c r="E1024" s="250" t="s">
        <v>3499</v>
      </c>
      <c r="F1024" s="250" t="s">
        <v>3566</v>
      </c>
      <c r="G1024" s="422" t="s">
        <v>42</v>
      </c>
      <c r="H1024" s="424" t="s">
        <v>42</v>
      </c>
      <c r="I1024" s="524">
        <v>160118</v>
      </c>
      <c r="J1024" s="425" t="str">
        <f>INDEX(aux!B:B,MATCH(I1024,aux!A:A,0))</f>
        <v>Metais não ferrosos</v>
      </c>
      <c r="K1024" s="433" t="str">
        <f>INDEX(aux!C:C,MATCH(I1024,aux!A:A,0))</f>
        <v>Não</v>
      </c>
      <c r="L1024" s="662">
        <v>464</v>
      </c>
      <c r="M1024" s="535" t="s">
        <v>557</v>
      </c>
      <c r="N1024" s="139">
        <f t="shared" si="52"/>
        <v>464</v>
      </c>
      <c r="O1024" s="538" t="s">
        <v>3592</v>
      </c>
      <c r="P1024" s="231" t="str">
        <f t="shared" si="53"/>
        <v>Reciclagem</v>
      </c>
      <c r="Q1024" s="541" t="s">
        <v>1906</v>
      </c>
      <c r="R1024" s="541" t="s">
        <v>1903</v>
      </c>
      <c r="S1024" s="458" t="s">
        <v>3594</v>
      </c>
      <c r="T1024" s="458" t="s">
        <v>3590</v>
      </c>
      <c r="U1024" s="458" t="s">
        <v>3591</v>
      </c>
      <c r="V1024" s="529" t="s">
        <v>3589</v>
      </c>
    </row>
    <row r="1025" spans="1:22" ht="15.75" hidden="1" thickBot="1" x14ac:dyDescent="0.3">
      <c r="A1025" s="529" t="s">
        <v>4602</v>
      </c>
      <c r="B1025" s="529" t="s">
        <v>4602</v>
      </c>
      <c r="C1025" s="424" t="str">
        <f t="shared" si="54"/>
        <v>X</v>
      </c>
      <c r="D1025" s="422">
        <v>2022</v>
      </c>
      <c r="E1025" s="250" t="s">
        <v>3499</v>
      </c>
      <c r="F1025" s="250" t="s">
        <v>3566</v>
      </c>
      <c r="G1025" s="422" t="s">
        <v>42</v>
      </c>
      <c r="H1025" s="424" t="s">
        <v>42</v>
      </c>
      <c r="I1025" s="524">
        <v>170407</v>
      </c>
      <c r="J1025" s="425" t="str">
        <f>INDEX(aux!B:B,MATCH(I1025,aux!A:A,0))</f>
        <v>Mistura de metais</v>
      </c>
      <c r="K1025" s="433" t="str">
        <f>INDEX(aux!C:C,MATCH(I1025,aux!A:A,0))</f>
        <v>Não</v>
      </c>
      <c r="L1025" s="662">
        <v>270</v>
      </c>
      <c r="M1025" s="535" t="s">
        <v>557</v>
      </c>
      <c r="N1025" s="139">
        <f t="shared" si="52"/>
        <v>270</v>
      </c>
      <c r="O1025" s="538" t="s">
        <v>3592</v>
      </c>
      <c r="P1025" s="231" t="str">
        <f t="shared" si="53"/>
        <v>Reciclagem</v>
      </c>
      <c r="Q1025" s="541" t="s">
        <v>1906</v>
      </c>
      <c r="R1025" s="541" t="s">
        <v>1903</v>
      </c>
      <c r="S1025" s="458" t="s">
        <v>3594</v>
      </c>
      <c r="T1025" s="458" t="s">
        <v>3590</v>
      </c>
      <c r="U1025" s="458" t="s">
        <v>3591</v>
      </c>
      <c r="V1025" s="529" t="s">
        <v>3589</v>
      </c>
    </row>
    <row r="1026" spans="1:22" ht="15.75" hidden="1" thickBot="1" x14ac:dyDescent="0.3">
      <c r="A1026" s="529" t="s">
        <v>4602</v>
      </c>
      <c r="B1026" s="529" t="s">
        <v>4602</v>
      </c>
      <c r="C1026" s="424" t="str">
        <f t="shared" si="54"/>
        <v>X</v>
      </c>
      <c r="D1026" s="422">
        <v>2022</v>
      </c>
      <c r="E1026" s="250" t="s">
        <v>3499</v>
      </c>
      <c r="F1026" s="250" t="s">
        <v>3566</v>
      </c>
      <c r="G1026" s="422" t="s">
        <v>42</v>
      </c>
      <c r="H1026" s="424" t="s">
        <v>42</v>
      </c>
      <c r="I1026" s="524">
        <v>200140</v>
      </c>
      <c r="J1026" s="425" t="str">
        <f>INDEX(aux!B:B,MATCH(I1026,aux!A:A,0))</f>
        <v>Metais</v>
      </c>
      <c r="K1026" s="433" t="str">
        <f>INDEX(aux!C:C,MATCH(I1026,aux!A:A,0))</f>
        <v>Não</v>
      </c>
      <c r="L1026" s="662">
        <v>7164</v>
      </c>
      <c r="M1026" s="535" t="s">
        <v>557</v>
      </c>
      <c r="N1026" s="139">
        <f t="shared" si="52"/>
        <v>7164</v>
      </c>
      <c r="O1026" s="538" t="s">
        <v>3592</v>
      </c>
      <c r="P1026" s="231" t="str">
        <f t="shared" si="53"/>
        <v>Reciclagem</v>
      </c>
      <c r="Q1026" s="541" t="s">
        <v>1906</v>
      </c>
      <c r="R1026" s="541" t="s">
        <v>1903</v>
      </c>
      <c r="S1026" s="458" t="s">
        <v>3594</v>
      </c>
      <c r="T1026" s="458" t="s">
        <v>3590</v>
      </c>
      <c r="U1026" s="458" t="s">
        <v>3591</v>
      </c>
      <c r="V1026" s="529" t="s">
        <v>3589</v>
      </c>
    </row>
    <row r="1027" spans="1:22" ht="15.75" hidden="1" thickBot="1" x14ac:dyDescent="0.3">
      <c r="A1027" s="529" t="s">
        <v>4602</v>
      </c>
      <c r="B1027" s="529" t="s">
        <v>4602</v>
      </c>
      <c r="C1027" s="424" t="str">
        <f t="shared" si="54"/>
        <v>X</v>
      </c>
      <c r="D1027" s="422">
        <v>2022</v>
      </c>
      <c r="E1027" s="250" t="s">
        <v>3499</v>
      </c>
      <c r="F1027" s="250" t="s">
        <v>3566</v>
      </c>
      <c r="G1027" s="422" t="s">
        <v>42</v>
      </c>
      <c r="H1027" s="424" t="s">
        <v>42</v>
      </c>
      <c r="I1027" s="524">
        <v>200140</v>
      </c>
      <c r="J1027" s="425" t="str">
        <f>INDEX(aux!B:B,MATCH(I1027,aux!A:A,0))</f>
        <v>Metais</v>
      </c>
      <c r="K1027" s="433" t="str">
        <f>INDEX(aux!C:C,MATCH(I1027,aux!A:A,0))</f>
        <v>Não</v>
      </c>
      <c r="L1027" s="662">
        <v>7328</v>
      </c>
      <c r="M1027" s="535" t="s">
        <v>557</v>
      </c>
      <c r="N1027" s="139">
        <f t="shared" ref="N1027:N1090" si="55">IF(LEFT(M1027,3)="ton",1000*L1027,L1027)</f>
        <v>7328</v>
      </c>
      <c r="O1027" s="538" t="s">
        <v>3592</v>
      </c>
      <c r="P1027" s="231" t="str">
        <f t="shared" ref="P1027:P1090" si="56">IF(LEFT(O1027,1)="R","Reciclagem",IF(OR(O1027="D10",O1027="D11"),"Iceneração","Aterro"))</f>
        <v>Reciclagem</v>
      </c>
      <c r="Q1027" s="541" t="s">
        <v>1906</v>
      </c>
      <c r="R1027" s="541" t="s">
        <v>1903</v>
      </c>
      <c r="S1027" s="458" t="s">
        <v>3594</v>
      </c>
      <c r="T1027" s="458" t="s">
        <v>3590</v>
      </c>
      <c r="U1027" s="458" t="s">
        <v>3591</v>
      </c>
      <c r="V1027" s="93"/>
    </row>
    <row r="1028" spans="1:22" ht="15.75" thickBot="1" x14ac:dyDescent="0.3">
      <c r="A1028" s="93" t="s">
        <v>4602</v>
      </c>
      <c r="B1028" s="93" t="s">
        <v>4602</v>
      </c>
      <c r="C1028" s="424" t="str">
        <f t="shared" si="54"/>
        <v>X</v>
      </c>
      <c r="D1028" s="422">
        <v>2023</v>
      </c>
      <c r="E1028" s="250" t="s">
        <v>3499</v>
      </c>
      <c r="F1028" s="250" t="s">
        <v>3566</v>
      </c>
      <c r="G1028" s="422" t="s">
        <v>42</v>
      </c>
      <c r="H1028" s="424" t="s">
        <v>42</v>
      </c>
      <c r="I1028" s="522">
        <v>200140</v>
      </c>
      <c r="J1028" s="425" t="str">
        <f>INDEX(aux!B:B,MATCH(I1028,aux!A:A,0))</f>
        <v>Metais</v>
      </c>
      <c r="K1028" s="433" t="str">
        <f>INDEX(aux!C:C,MATCH(I1028,aux!A:A,0))</f>
        <v>Não</v>
      </c>
      <c r="L1028" s="360">
        <v>0.5</v>
      </c>
      <c r="M1028" s="359" t="s">
        <v>557</v>
      </c>
      <c r="N1028" s="139">
        <f t="shared" si="55"/>
        <v>0.5</v>
      </c>
      <c r="O1028" s="93" t="s">
        <v>3592</v>
      </c>
      <c r="P1028" s="231" t="str">
        <f t="shared" si="56"/>
        <v>Reciclagem</v>
      </c>
      <c r="Q1028" s="541" t="s">
        <v>1906</v>
      </c>
      <c r="R1028" s="541" t="s">
        <v>6569</v>
      </c>
      <c r="S1028" s="544" t="s">
        <v>3594</v>
      </c>
      <c r="T1028" s="93" t="s">
        <v>3590</v>
      </c>
      <c r="U1028" s="93" t="s">
        <v>3591</v>
      </c>
      <c r="V1028" s="93"/>
    </row>
    <row r="1029" spans="1:22" ht="15.75" hidden="1" thickBot="1" x14ac:dyDescent="0.3">
      <c r="A1029" s="529" t="s">
        <v>4602</v>
      </c>
      <c r="B1029" s="529" t="s">
        <v>4602</v>
      </c>
      <c r="C1029" s="424" t="str">
        <f t="shared" si="54"/>
        <v>X</v>
      </c>
      <c r="D1029" s="422">
        <v>2022</v>
      </c>
      <c r="E1029" s="250" t="s">
        <v>3499</v>
      </c>
      <c r="F1029" s="250" t="s">
        <v>3566</v>
      </c>
      <c r="G1029" s="422" t="s">
        <v>42</v>
      </c>
      <c r="H1029" s="424" t="s">
        <v>42</v>
      </c>
      <c r="I1029" s="524">
        <v>130208</v>
      </c>
      <c r="J1029" s="425" t="str">
        <f>INDEX(aux!B:B,MATCH(I1029,aux!A:A,0))</f>
        <v>(*) Outros óleos de motores, transmissões e lubrificação</v>
      </c>
      <c r="K1029" s="433" t="str">
        <f>INDEX(aux!C:C,MATCH(I1029,aux!A:A,0))</f>
        <v>Sim</v>
      </c>
      <c r="L1029" s="662">
        <v>5053</v>
      </c>
      <c r="M1029" s="535" t="s">
        <v>557</v>
      </c>
      <c r="N1029" s="139">
        <f t="shared" si="55"/>
        <v>5053</v>
      </c>
      <c r="O1029" s="538" t="s">
        <v>3592</v>
      </c>
      <c r="P1029" s="231" t="str">
        <f t="shared" si="56"/>
        <v>Reciclagem</v>
      </c>
      <c r="Q1029" s="541" t="s">
        <v>1902</v>
      </c>
      <c r="R1029" s="541" t="s">
        <v>1877</v>
      </c>
      <c r="S1029" s="458" t="s">
        <v>3594</v>
      </c>
      <c r="T1029" s="458" t="s">
        <v>3590</v>
      </c>
      <c r="U1029" s="458" t="s">
        <v>3591</v>
      </c>
      <c r="V1029" s="529" t="s">
        <v>3589</v>
      </c>
    </row>
    <row r="1030" spans="1:22" ht="15.75" hidden="1" thickBot="1" x14ac:dyDescent="0.3">
      <c r="A1030" s="529" t="s">
        <v>4602</v>
      </c>
      <c r="B1030" s="529" t="s">
        <v>4602</v>
      </c>
      <c r="C1030" s="424" t="str">
        <f t="shared" si="54"/>
        <v>X</v>
      </c>
      <c r="D1030" s="422">
        <v>2022</v>
      </c>
      <c r="E1030" s="250" t="s">
        <v>3499</v>
      </c>
      <c r="F1030" s="250" t="s">
        <v>3566</v>
      </c>
      <c r="G1030" s="422" t="s">
        <v>42</v>
      </c>
      <c r="H1030" s="424" t="s">
        <v>42</v>
      </c>
      <c r="I1030" s="524">
        <v>150101</v>
      </c>
      <c r="J1030" s="425" t="str">
        <f>INDEX(aux!B:B,MATCH(I1030,aux!A:A,0))</f>
        <v>Embalagens de papel e cartão</v>
      </c>
      <c r="K1030" s="433" t="str">
        <f>INDEX(aux!C:C,MATCH(I1030,aux!A:A,0))</f>
        <v>Não</v>
      </c>
      <c r="L1030" s="662">
        <v>520</v>
      </c>
      <c r="M1030" s="535" t="s">
        <v>557</v>
      </c>
      <c r="N1030" s="139">
        <f t="shared" si="55"/>
        <v>520</v>
      </c>
      <c r="O1030" s="538" t="s">
        <v>3592</v>
      </c>
      <c r="P1030" s="231" t="str">
        <f t="shared" si="56"/>
        <v>Reciclagem</v>
      </c>
      <c r="Q1030" s="541" t="s">
        <v>1904</v>
      </c>
      <c r="R1030" s="541" t="s">
        <v>1903</v>
      </c>
      <c r="S1030" s="458" t="s">
        <v>3594</v>
      </c>
      <c r="T1030" s="458" t="s">
        <v>3590</v>
      </c>
      <c r="U1030" s="458" t="s">
        <v>3591</v>
      </c>
      <c r="V1030" s="529" t="s">
        <v>3589</v>
      </c>
    </row>
    <row r="1031" spans="1:22" ht="15.75" hidden="1" thickBot="1" x14ac:dyDescent="0.3">
      <c r="A1031" s="529" t="s">
        <v>4602</v>
      </c>
      <c r="B1031" s="529" t="s">
        <v>4602</v>
      </c>
      <c r="C1031" s="424" t="str">
        <f t="shared" si="54"/>
        <v>X</v>
      </c>
      <c r="D1031" s="422">
        <v>2022</v>
      </c>
      <c r="E1031" s="250" t="s">
        <v>3499</v>
      </c>
      <c r="F1031" s="250" t="s">
        <v>3566</v>
      </c>
      <c r="G1031" s="422" t="s">
        <v>42</v>
      </c>
      <c r="H1031" s="424" t="s">
        <v>42</v>
      </c>
      <c r="I1031" s="524">
        <v>150101</v>
      </c>
      <c r="J1031" s="425" t="str">
        <f>INDEX(aux!B:B,MATCH(I1031,aux!A:A,0))</f>
        <v>Embalagens de papel e cartão</v>
      </c>
      <c r="K1031" s="433" t="str">
        <f>INDEX(aux!C:C,MATCH(I1031,aux!A:A,0))</f>
        <v>Não</v>
      </c>
      <c r="L1031" s="662">
        <v>12</v>
      </c>
      <c r="M1031" s="535" t="s">
        <v>557</v>
      </c>
      <c r="N1031" s="139">
        <f t="shared" si="55"/>
        <v>12</v>
      </c>
      <c r="O1031" s="538" t="s">
        <v>3592</v>
      </c>
      <c r="P1031" s="231" t="str">
        <f t="shared" si="56"/>
        <v>Reciclagem</v>
      </c>
      <c r="Q1031" s="541" t="s">
        <v>1904</v>
      </c>
      <c r="R1031" s="541" t="s">
        <v>1903</v>
      </c>
      <c r="S1031" s="458" t="s">
        <v>3594</v>
      </c>
      <c r="T1031" s="458" t="s">
        <v>3590</v>
      </c>
      <c r="U1031" s="458" t="s">
        <v>3591</v>
      </c>
      <c r="V1031" s="93"/>
    </row>
    <row r="1032" spans="1:22" ht="15.75" hidden="1" thickBot="1" x14ac:dyDescent="0.3">
      <c r="A1032" s="529" t="s">
        <v>4602</v>
      </c>
      <c r="B1032" s="529" t="s">
        <v>4602</v>
      </c>
      <c r="C1032" s="424" t="str">
        <f t="shared" si="54"/>
        <v>X</v>
      </c>
      <c r="D1032" s="422">
        <v>2022</v>
      </c>
      <c r="E1032" s="250" t="s">
        <v>3499</v>
      </c>
      <c r="F1032" s="250" t="s">
        <v>3566</v>
      </c>
      <c r="G1032" s="422" t="s">
        <v>42</v>
      </c>
      <c r="H1032" s="424" t="s">
        <v>42</v>
      </c>
      <c r="I1032" s="524">
        <v>200101</v>
      </c>
      <c r="J1032" s="425" t="str">
        <f>INDEX(aux!B:B,MATCH(I1032,aux!A:A,0))</f>
        <v xml:space="preserve">Papel e Cartão </v>
      </c>
      <c r="K1032" s="433" t="str">
        <f>INDEX(aux!C:C,MATCH(I1032,aux!A:A,0))</f>
        <v>Não</v>
      </c>
      <c r="L1032" s="662">
        <v>69917</v>
      </c>
      <c r="M1032" s="535" t="s">
        <v>557</v>
      </c>
      <c r="N1032" s="139">
        <f t="shared" si="55"/>
        <v>69917</v>
      </c>
      <c r="O1032" s="538" t="s">
        <v>3592</v>
      </c>
      <c r="P1032" s="231" t="str">
        <f t="shared" si="56"/>
        <v>Reciclagem</v>
      </c>
      <c r="Q1032" s="541" t="s">
        <v>1904</v>
      </c>
      <c r="R1032" s="541" t="s">
        <v>1903</v>
      </c>
      <c r="S1032" s="458" t="s">
        <v>3594</v>
      </c>
      <c r="T1032" s="458" t="s">
        <v>3590</v>
      </c>
      <c r="U1032" s="458" t="s">
        <v>3591</v>
      </c>
      <c r="V1032" s="529" t="s">
        <v>3589</v>
      </c>
    </row>
    <row r="1033" spans="1:22" ht="15.75" hidden="1" thickBot="1" x14ac:dyDescent="0.3">
      <c r="A1033" s="529" t="s">
        <v>4602</v>
      </c>
      <c r="B1033" s="529" t="s">
        <v>4602</v>
      </c>
      <c r="C1033" s="424" t="str">
        <f t="shared" si="54"/>
        <v>X</v>
      </c>
      <c r="D1033" s="422">
        <v>2022</v>
      </c>
      <c r="E1033" s="250" t="s">
        <v>3499</v>
      </c>
      <c r="F1033" s="250" t="s">
        <v>3566</v>
      </c>
      <c r="G1033" s="422" t="s">
        <v>42</v>
      </c>
      <c r="H1033" s="424" t="s">
        <v>42</v>
      </c>
      <c r="I1033" s="524">
        <v>200101</v>
      </c>
      <c r="J1033" s="425" t="str">
        <f>INDEX(aux!B:B,MATCH(I1033,aux!A:A,0))</f>
        <v xml:space="preserve">Papel e Cartão </v>
      </c>
      <c r="K1033" s="433" t="str">
        <f>INDEX(aux!C:C,MATCH(I1033,aux!A:A,0))</f>
        <v>Não</v>
      </c>
      <c r="L1033" s="662">
        <v>200</v>
      </c>
      <c r="M1033" s="535" t="s">
        <v>557</v>
      </c>
      <c r="N1033" s="139">
        <f t="shared" si="55"/>
        <v>200</v>
      </c>
      <c r="O1033" s="538" t="s">
        <v>3592</v>
      </c>
      <c r="P1033" s="231" t="str">
        <f t="shared" si="56"/>
        <v>Reciclagem</v>
      </c>
      <c r="Q1033" s="541" t="s">
        <v>1904</v>
      </c>
      <c r="R1033" s="541" t="s">
        <v>1903</v>
      </c>
      <c r="S1033" s="458" t="s">
        <v>3594</v>
      </c>
      <c r="T1033" s="458" t="s">
        <v>3590</v>
      </c>
      <c r="U1033" s="458" t="s">
        <v>3591</v>
      </c>
      <c r="V1033" s="93"/>
    </row>
    <row r="1034" spans="1:22" ht="15.75" thickBot="1" x14ac:dyDescent="0.3">
      <c r="A1034" s="93" t="s">
        <v>4602</v>
      </c>
      <c r="B1034" s="93" t="s">
        <v>4602</v>
      </c>
      <c r="C1034" s="424" t="str">
        <f t="shared" si="54"/>
        <v>X</v>
      </c>
      <c r="D1034" s="422">
        <v>2023</v>
      </c>
      <c r="E1034" s="250" t="s">
        <v>3499</v>
      </c>
      <c r="F1034" s="250" t="s">
        <v>3566</v>
      </c>
      <c r="G1034" s="422" t="s">
        <v>42</v>
      </c>
      <c r="H1034" s="424" t="s">
        <v>42</v>
      </c>
      <c r="I1034" s="522">
        <v>150101</v>
      </c>
      <c r="J1034" s="425" t="str">
        <f>INDEX(aux!B:B,MATCH(I1034,aux!A:A,0))</f>
        <v>Embalagens de papel e cartão</v>
      </c>
      <c r="K1034" s="433" t="str">
        <f>INDEX(aux!C:C,MATCH(I1034,aux!A:A,0))</f>
        <v>Não</v>
      </c>
      <c r="L1034" s="360">
        <v>3</v>
      </c>
      <c r="M1034" s="359" t="s">
        <v>557</v>
      </c>
      <c r="N1034" s="139">
        <f t="shared" si="55"/>
        <v>3</v>
      </c>
      <c r="O1034" s="93" t="s">
        <v>3592</v>
      </c>
      <c r="P1034" s="231" t="str">
        <f t="shared" si="56"/>
        <v>Reciclagem</v>
      </c>
      <c r="Q1034" s="541" t="s">
        <v>1904</v>
      </c>
      <c r="R1034" s="541" t="s">
        <v>6569</v>
      </c>
      <c r="S1034" s="544" t="s">
        <v>3594</v>
      </c>
      <c r="T1034" s="93" t="s">
        <v>3590</v>
      </c>
      <c r="U1034" s="93" t="s">
        <v>3591</v>
      </c>
      <c r="V1034" s="93"/>
    </row>
    <row r="1035" spans="1:22" ht="15.75" thickBot="1" x14ac:dyDescent="0.3">
      <c r="A1035" s="93" t="s">
        <v>4602</v>
      </c>
      <c r="B1035" s="93" t="s">
        <v>4602</v>
      </c>
      <c r="C1035" s="424" t="str">
        <f t="shared" si="54"/>
        <v>X</v>
      </c>
      <c r="D1035" s="422">
        <v>2023</v>
      </c>
      <c r="E1035" s="250" t="s">
        <v>3499</v>
      </c>
      <c r="F1035" s="250" t="s">
        <v>3566</v>
      </c>
      <c r="G1035" s="422" t="s">
        <v>42</v>
      </c>
      <c r="H1035" s="424" t="s">
        <v>42</v>
      </c>
      <c r="I1035" s="522">
        <v>200101</v>
      </c>
      <c r="J1035" s="425" t="str">
        <f>INDEX(aux!B:B,MATCH(I1035,aux!A:A,0))</f>
        <v xml:space="preserve">Papel e Cartão </v>
      </c>
      <c r="K1035" s="433" t="str">
        <f>INDEX(aux!C:C,MATCH(I1035,aux!A:A,0))</f>
        <v>Não</v>
      </c>
      <c r="L1035" s="360">
        <v>8730</v>
      </c>
      <c r="M1035" s="359" t="s">
        <v>557</v>
      </c>
      <c r="N1035" s="139">
        <f t="shared" si="55"/>
        <v>8730</v>
      </c>
      <c r="O1035" s="93" t="s">
        <v>3592</v>
      </c>
      <c r="P1035" s="231" t="str">
        <f t="shared" si="56"/>
        <v>Reciclagem</v>
      </c>
      <c r="Q1035" s="541" t="s">
        <v>1904</v>
      </c>
      <c r="R1035" s="541" t="s">
        <v>6569</v>
      </c>
      <c r="S1035" s="544" t="s">
        <v>3594</v>
      </c>
      <c r="T1035" s="93" t="s">
        <v>3590</v>
      </c>
      <c r="U1035" s="93" t="s">
        <v>3591</v>
      </c>
      <c r="V1035" s="93"/>
    </row>
    <row r="1036" spans="1:22" ht="15.75" hidden="1" thickBot="1" x14ac:dyDescent="0.3">
      <c r="A1036" s="529" t="s">
        <v>4602</v>
      </c>
      <c r="B1036" s="529" t="s">
        <v>4602</v>
      </c>
      <c r="C1036" s="424" t="str">
        <f t="shared" si="54"/>
        <v>X</v>
      </c>
      <c r="D1036" s="422">
        <v>2022</v>
      </c>
      <c r="E1036" s="250" t="s">
        <v>3499</v>
      </c>
      <c r="F1036" s="250" t="s">
        <v>3566</v>
      </c>
      <c r="G1036" s="422" t="s">
        <v>42</v>
      </c>
      <c r="H1036" s="424" t="s">
        <v>42</v>
      </c>
      <c r="I1036" s="524">
        <v>150102</v>
      </c>
      <c r="J1036" s="425" t="str">
        <f>INDEX(aux!B:B,MATCH(I1036,aux!A:A,0))</f>
        <v>Embalagens de plástico</v>
      </c>
      <c r="K1036" s="433" t="str">
        <f>INDEX(aux!C:C,MATCH(I1036,aux!A:A,0))</f>
        <v>Não</v>
      </c>
      <c r="L1036" s="662">
        <v>200</v>
      </c>
      <c r="M1036" s="535" t="s">
        <v>557</v>
      </c>
      <c r="N1036" s="139">
        <f t="shared" si="55"/>
        <v>200</v>
      </c>
      <c r="O1036" s="538" t="s">
        <v>3592</v>
      </c>
      <c r="P1036" s="231" t="str">
        <f t="shared" si="56"/>
        <v>Reciclagem</v>
      </c>
      <c r="Q1036" s="541" t="s">
        <v>1560</v>
      </c>
      <c r="R1036" s="541" t="s">
        <v>1903</v>
      </c>
      <c r="S1036" s="458" t="s">
        <v>3594</v>
      </c>
      <c r="T1036" s="458" t="s">
        <v>3590</v>
      </c>
      <c r="U1036" s="458" t="s">
        <v>3591</v>
      </c>
      <c r="V1036" s="529" t="s">
        <v>3589</v>
      </c>
    </row>
    <row r="1037" spans="1:22" ht="15.75" hidden="1" thickBot="1" x14ac:dyDescent="0.3">
      <c r="A1037" s="529" t="s">
        <v>4602</v>
      </c>
      <c r="B1037" s="529" t="s">
        <v>4602</v>
      </c>
      <c r="C1037" s="424" t="str">
        <f t="shared" si="54"/>
        <v>X</v>
      </c>
      <c r="D1037" s="422">
        <v>2022</v>
      </c>
      <c r="E1037" s="250" t="s">
        <v>3499</v>
      </c>
      <c r="F1037" s="250" t="s">
        <v>3566</v>
      </c>
      <c r="G1037" s="422" t="s">
        <v>42</v>
      </c>
      <c r="H1037" s="424" t="s">
        <v>42</v>
      </c>
      <c r="I1037" s="524">
        <v>160119</v>
      </c>
      <c r="J1037" s="425" t="str">
        <f>INDEX(aux!B:B,MATCH(I1037,aux!A:A,0))</f>
        <v>Plástico</v>
      </c>
      <c r="K1037" s="433" t="str">
        <f>INDEX(aux!C:C,MATCH(I1037,aux!A:A,0))</f>
        <v>Não</v>
      </c>
      <c r="L1037" s="662">
        <v>640</v>
      </c>
      <c r="M1037" s="535" t="s">
        <v>557</v>
      </c>
      <c r="N1037" s="139">
        <f t="shared" si="55"/>
        <v>640</v>
      </c>
      <c r="O1037" s="538" t="s">
        <v>3592</v>
      </c>
      <c r="P1037" s="231" t="str">
        <f t="shared" si="56"/>
        <v>Reciclagem</v>
      </c>
      <c r="Q1037" s="541" t="s">
        <v>1560</v>
      </c>
      <c r="R1037" s="541" t="s">
        <v>1903</v>
      </c>
      <c r="S1037" s="458" t="s">
        <v>3594</v>
      </c>
      <c r="T1037" s="458" t="s">
        <v>3590</v>
      </c>
      <c r="U1037" s="458" t="s">
        <v>3591</v>
      </c>
      <c r="V1037" s="529" t="s">
        <v>3589</v>
      </c>
    </row>
    <row r="1038" spans="1:22" ht="15.75" hidden="1" thickBot="1" x14ac:dyDescent="0.3">
      <c r="A1038" s="529" t="s">
        <v>4602</v>
      </c>
      <c r="B1038" s="529" t="s">
        <v>4602</v>
      </c>
      <c r="C1038" s="424" t="str">
        <f t="shared" si="54"/>
        <v>X</v>
      </c>
      <c r="D1038" s="422">
        <v>2022</v>
      </c>
      <c r="E1038" s="250" t="s">
        <v>3499</v>
      </c>
      <c r="F1038" s="250" t="s">
        <v>3566</v>
      </c>
      <c r="G1038" s="422" t="s">
        <v>42</v>
      </c>
      <c r="H1038" s="424" t="s">
        <v>42</v>
      </c>
      <c r="I1038" s="524">
        <v>200139</v>
      </c>
      <c r="J1038" s="425" t="str">
        <f>INDEX(aux!B:B,MATCH(I1038,aux!A:A,0))</f>
        <v>Plasticos</v>
      </c>
      <c r="K1038" s="433" t="str">
        <f>INDEX(aux!C:C,MATCH(I1038,aux!A:A,0))</f>
        <v>Não</v>
      </c>
      <c r="L1038" s="662">
        <v>4360</v>
      </c>
      <c r="M1038" s="535" t="s">
        <v>557</v>
      </c>
      <c r="N1038" s="139">
        <f t="shared" si="55"/>
        <v>4360</v>
      </c>
      <c r="O1038" s="538" t="s">
        <v>3592</v>
      </c>
      <c r="P1038" s="231" t="str">
        <f t="shared" si="56"/>
        <v>Reciclagem</v>
      </c>
      <c r="Q1038" s="541" t="s">
        <v>1560</v>
      </c>
      <c r="R1038" s="541" t="s">
        <v>1903</v>
      </c>
      <c r="S1038" s="458" t="s">
        <v>3594</v>
      </c>
      <c r="T1038" s="458" t="s">
        <v>3590</v>
      </c>
      <c r="U1038" s="458" t="s">
        <v>3591</v>
      </c>
      <c r="V1038" s="529" t="s">
        <v>3589</v>
      </c>
    </row>
    <row r="1039" spans="1:22" ht="15.75" hidden="1" thickBot="1" x14ac:dyDescent="0.3">
      <c r="A1039" s="529" t="s">
        <v>4602</v>
      </c>
      <c r="B1039" s="529" t="s">
        <v>4602</v>
      </c>
      <c r="C1039" s="424" t="str">
        <f t="shared" si="54"/>
        <v>X</v>
      </c>
      <c r="D1039" s="422">
        <v>2022</v>
      </c>
      <c r="E1039" s="250" t="s">
        <v>3499</v>
      </c>
      <c r="F1039" s="250" t="s">
        <v>3566</v>
      </c>
      <c r="G1039" s="422" t="s">
        <v>42</v>
      </c>
      <c r="H1039" s="424" t="s">
        <v>42</v>
      </c>
      <c r="I1039" s="524">
        <v>200139</v>
      </c>
      <c r="J1039" s="425" t="str">
        <f>INDEX(aux!B:B,MATCH(I1039,aux!A:A,0))</f>
        <v>Plasticos</v>
      </c>
      <c r="K1039" s="433" t="str">
        <f>INDEX(aux!C:C,MATCH(I1039,aux!A:A,0))</f>
        <v>Não</v>
      </c>
      <c r="L1039" s="662">
        <v>50</v>
      </c>
      <c r="M1039" s="535" t="s">
        <v>557</v>
      </c>
      <c r="N1039" s="139">
        <f t="shared" si="55"/>
        <v>50</v>
      </c>
      <c r="O1039" s="538" t="s">
        <v>3592</v>
      </c>
      <c r="P1039" s="231" t="str">
        <f t="shared" si="56"/>
        <v>Reciclagem</v>
      </c>
      <c r="Q1039" s="541" t="s">
        <v>1560</v>
      </c>
      <c r="R1039" s="541" t="s">
        <v>1903</v>
      </c>
      <c r="S1039" s="458" t="s">
        <v>3594</v>
      </c>
      <c r="T1039" s="458" t="s">
        <v>3590</v>
      </c>
      <c r="U1039" s="458" t="s">
        <v>3591</v>
      </c>
      <c r="V1039" s="93"/>
    </row>
    <row r="1040" spans="1:22" ht="15.75" hidden="1" thickBot="1" x14ac:dyDescent="0.3">
      <c r="A1040" s="529" t="s">
        <v>4602</v>
      </c>
      <c r="B1040" s="529" t="s">
        <v>4602</v>
      </c>
      <c r="C1040" s="424" t="str">
        <f t="shared" si="54"/>
        <v>X</v>
      </c>
      <c r="D1040" s="422">
        <v>2022</v>
      </c>
      <c r="E1040" s="250" t="s">
        <v>3499</v>
      </c>
      <c r="F1040" s="250" t="s">
        <v>3566</v>
      </c>
      <c r="G1040" s="422" t="s">
        <v>42</v>
      </c>
      <c r="H1040" s="424" t="s">
        <v>42</v>
      </c>
      <c r="I1040" s="524">
        <v>70299</v>
      </c>
      <c r="J1040" s="425" t="str">
        <f>INDEX(aux!B:B,MATCH(I1040,aux!A:A,0))</f>
        <v>Resíduos Borracha sem outras especificações</v>
      </c>
      <c r="K1040" s="433" t="str">
        <f>INDEX(aux!C:C,MATCH(I1040,aux!A:A,0))</f>
        <v>Não</v>
      </c>
      <c r="L1040" s="662">
        <v>1245</v>
      </c>
      <c r="M1040" s="535" t="s">
        <v>557</v>
      </c>
      <c r="N1040" s="139">
        <f t="shared" si="55"/>
        <v>1245</v>
      </c>
      <c r="O1040" s="538" t="s">
        <v>3592</v>
      </c>
      <c r="P1040" s="231" t="str">
        <f t="shared" si="56"/>
        <v>Reciclagem</v>
      </c>
      <c r="Q1040" s="541" t="s">
        <v>1901</v>
      </c>
      <c r="R1040" s="541" t="s">
        <v>1892</v>
      </c>
      <c r="S1040" s="458" t="s">
        <v>3594</v>
      </c>
      <c r="T1040" s="458" t="s">
        <v>3590</v>
      </c>
      <c r="U1040" s="458" t="s">
        <v>3591</v>
      </c>
      <c r="V1040" s="529" t="s">
        <v>3589</v>
      </c>
    </row>
    <row r="1041" spans="1:22" ht="15.75" hidden="1" thickBot="1" x14ac:dyDescent="0.3">
      <c r="A1041" s="529" t="s">
        <v>4602</v>
      </c>
      <c r="B1041" s="529" t="s">
        <v>4602</v>
      </c>
      <c r="C1041" s="424" t="str">
        <f t="shared" si="54"/>
        <v>X</v>
      </c>
      <c r="D1041" s="422">
        <v>2022</v>
      </c>
      <c r="E1041" s="250" t="s">
        <v>3499</v>
      </c>
      <c r="F1041" s="250" t="s">
        <v>3566</v>
      </c>
      <c r="G1041" s="422" t="s">
        <v>42</v>
      </c>
      <c r="H1041" s="424" t="s">
        <v>42</v>
      </c>
      <c r="I1041" s="524">
        <v>80111</v>
      </c>
      <c r="J1041" s="425" t="str">
        <f>INDEX(aux!B:B,MATCH(I1041,aux!A:A,0))</f>
        <v>(*) Resíduos de tintas e vernizes, contendo solventes orgânicos ou outras substâncias perigosas</v>
      </c>
      <c r="K1041" s="433" t="str">
        <f>INDEX(aux!C:C,MATCH(I1041,aux!A:A,0))</f>
        <v>Sim</v>
      </c>
      <c r="L1041" s="662">
        <v>269</v>
      </c>
      <c r="M1041" s="535" t="s">
        <v>557</v>
      </c>
      <c r="N1041" s="139">
        <f t="shared" si="55"/>
        <v>269</v>
      </c>
      <c r="O1041" s="538" t="s">
        <v>3592</v>
      </c>
      <c r="P1041" s="231" t="str">
        <f t="shared" si="56"/>
        <v>Reciclagem</v>
      </c>
      <c r="Q1041" s="541" t="s">
        <v>1901</v>
      </c>
      <c r="R1041" s="541" t="s">
        <v>1892</v>
      </c>
      <c r="S1041" s="458" t="s">
        <v>3594</v>
      </c>
      <c r="T1041" s="458" t="s">
        <v>3590</v>
      </c>
      <c r="U1041" s="458" t="s">
        <v>3591</v>
      </c>
      <c r="V1041" s="529" t="s">
        <v>3589</v>
      </c>
    </row>
    <row r="1042" spans="1:22" ht="15.75" hidden="1" thickBot="1" x14ac:dyDescent="0.3">
      <c r="A1042" s="529" t="s">
        <v>4602</v>
      </c>
      <c r="B1042" s="529" t="s">
        <v>4602</v>
      </c>
      <c r="C1042" s="424" t="str">
        <f t="shared" si="54"/>
        <v>X</v>
      </c>
      <c r="D1042" s="422">
        <v>2022</v>
      </c>
      <c r="E1042" s="250" t="s">
        <v>3499</v>
      </c>
      <c r="F1042" s="250" t="s">
        <v>3566</v>
      </c>
      <c r="G1042" s="422" t="s">
        <v>42</v>
      </c>
      <c r="H1042" s="424" t="s">
        <v>42</v>
      </c>
      <c r="I1042" s="524">
        <v>80117</v>
      </c>
      <c r="J1042" s="425" t="str">
        <f>INDEX(aux!B:B,MATCH(I1042,aux!A:A,0))</f>
        <v>(*) Resíduos de tintas e vernizes, contendo solventes orgânicos ou outras substâncias perigosas</v>
      </c>
      <c r="K1042" s="433" t="str">
        <f>INDEX(aux!C:C,MATCH(I1042,aux!A:A,0))</f>
        <v>Sim</v>
      </c>
      <c r="L1042" s="662">
        <v>15</v>
      </c>
      <c r="M1042" s="535" t="s">
        <v>557</v>
      </c>
      <c r="N1042" s="139">
        <f t="shared" si="55"/>
        <v>15</v>
      </c>
      <c r="O1042" s="538" t="s">
        <v>3592</v>
      </c>
      <c r="P1042" s="231" t="str">
        <f t="shared" si="56"/>
        <v>Reciclagem</v>
      </c>
      <c r="Q1042" s="541" t="s">
        <v>1901</v>
      </c>
      <c r="R1042" s="541" t="s">
        <v>1892</v>
      </c>
      <c r="S1042" s="458" t="s">
        <v>3594</v>
      </c>
      <c r="T1042" s="458" t="s">
        <v>3590</v>
      </c>
      <c r="U1042" s="458" t="s">
        <v>3591</v>
      </c>
      <c r="V1042" s="529" t="s">
        <v>3589</v>
      </c>
    </row>
    <row r="1043" spans="1:22" ht="15.75" hidden="1" thickBot="1" x14ac:dyDescent="0.3">
      <c r="A1043" s="529" t="s">
        <v>4602</v>
      </c>
      <c r="B1043" s="529" t="s">
        <v>4602</v>
      </c>
      <c r="C1043" s="424" t="str">
        <f t="shared" si="54"/>
        <v>X</v>
      </c>
      <c r="D1043" s="422">
        <v>2022</v>
      </c>
      <c r="E1043" s="250" t="s">
        <v>3499</v>
      </c>
      <c r="F1043" s="250" t="s">
        <v>3566</v>
      </c>
      <c r="G1043" s="422" t="s">
        <v>42</v>
      </c>
      <c r="H1043" s="424" t="s">
        <v>42</v>
      </c>
      <c r="I1043" s="524">
        <v>120301</v>
      </c>
      <c r="J1043" s="425" t="str">
        <f>INDEX(aux!B:B,MATCH(I1043,aux!A:A,0))</f>
        <v>(*) Líquidos de lavagem aquosos</v>
      </c>
      <c r="K1043" s="433" t="str">
        <f>INDEX(aux!C:C,MATCH(I1043,aux!A:A,0))</f>
        <v>Sim</v>
      </c>
      <c r="L1043" s="662">
        <v>9016</v>
      </c>
      <c r="M1043" s="535" t="s">
        <v>557</v>
      </c>
      <c r="N1043" s="139">
        <f t="shared" si="55"/>
        <v>9016</v>
      </c>
      <c r="O1043" s="538" t="s">
        <v>3592</v>
      </c>
      <c r="P1043" s="231" t="str">
        <f t="shared" si="56"/>
        <v>Reciclagem</v>
      </c>
      <c r="Q1043" s="541" t="s">
        <v>1901</v>
      </c>
      <c r="R1043" s="541" t="s">
        <v>1892</v>
      </c>
      <c r="S1043" s="458" t="s">
        <v>3594</v>
      </c>
      <c r="T1043" s="458" t="s">
        <v>3590</v>
      </c>
      <c r="U1043" s="458" t="s">
        <v>3591</v>
      </c>
      <c r="V1043" s="529" t="s">
        <v>3589</v>
      </c>
    </row>
    <row r="1044" spans="1:22" ht="15.75" hidden="1" thickBot="1" x14ac:dyDescent="0.3">
      <c r="A1044" s="529" t="s">
        <v>4602</v>
      </c>
      <c r="B1044" s="529" t="s">
        <v>4602</v>
      </c>
      <c r="C1044" s="424" t="str">
        <f t="shared" si="54"/>
        <v>X</v>
      </c>
      <c r="D1044" s="422">
        <v>2022</v>
      </c>
      <c r="E1044" s="250" t="s">
        <v>3499</v>
      </c>
      <c r="F1044" s="250" t="s">
        <v>3566</v>
      </c>
      <c r="G1044" s="422" t="s">
        <v>42</v>
      </c>
      <c r="H1044" s="424" t="s">
        <v>42</v>
      </c>
      <c r="I1044" s="524">
        <v>130502</v>
      </c>
      <c r="J1044" s="425" t="str">
        <f>INDEX(aux!B:B,MATCH(I1044,aux!A:A,0))</f>
        <v>(*) Lamas provenientes dos separadores óleo/água</v>
      </c>
      <c r="K1044" s="433" t="str">
        <f>INDEX(aux!C:C,MATCH(I1044,aux!A:A,0))</f>
        <v>Sim</v>
      </c>
      <c r="L1044" s="662">
        <v>60575</v>
      </c>
      <c r="M1044" s="535" t="s">
        <v>557</v>
      </c>
      <c r="N1044" s="139">
        <f t="shared" si="55"/>
        <v>60575</v>
      </c>
      <c r="O1044" s="538" t="s">
        <v>3593</v>
      </c>
      <c r="P1044" s="231" t="str">
        <f t="shared" si="56"/>
        <v>Aterro</v>
      </c>
      <c r="Q1044" s="541" t="s">
        <v>1901</v>
      </c>
      <c r="R1044" s="541" t="s">
        <v>1892</v>
      </c>
      <c r="S1044" s="458" t="s">
        <v>3594</v>
      </c>
      <c r="T1044" s="458" t="s">
        <v>3590</v>
      </c>
      <c r="U1044" s="458" t="s">
        <v>3591</v>
      </c>
      <c r="V1044" s="529" t="s">
        <v>3589</v>
      </c>
    </row>
    <row r="1045" spans="1:22" ht="15.75" hidden="1" thickBot="1" x14ac:dyDescent="0.3">
      <c r="A1045" s="529" t="s">
        <v>4602</v>
      </c>
      <c r="B1045" s="529" t="s">
        <v>4602</v>
      </c>
      <c r="C1045" s="424" t="str">
        <f t="shared" si="54"/>
        <v>X</v>
      </c>
      <c r="D1045" s="422">
        <v>2022</v>
      </c>
      <c r="E1045" s="250" t="s">
        <v>3499</v>
      </c>
      <c r="F1045" s="250" t="s">
        <v>3566</v>
      </c>
      <c r="G1045" s="422" t="s">
        <v>42</v>
      </c>
      <c r="H1045" s="424" t="s">
        <v>42</v>
      </c>
      <c r="I1045" s="524">
        <v>130507</v>
      </c>
      <c r="J1045" s="425" t="str">
        <f>INDEX(aux!B:B,MATCH(I1045,aux!A:A,0))</f>
        <v>(*) Água com óleo proveniente dos separadores óleo/água</v>
      </c>
      <c r="K1045" s="433" t="str">
        <f>INDEX(aux!C:C,MATCH(I1045,aux!A:A,0))</f>
        <v>Sim</v>
      </c>
      <c r="L1045" s="662">
        <v>25270</v>
      </c>
      <c r="M1045" s="535" t="s">
        <v>557</v>
      </c>
      <c r="N1045" s="139">
        <f t="shared" si="55"/>
        <v>25270</v>
      </c>
      <c r="O1045" s="538" t="s">
        <v>3593</v>
      </c>
      <c r="P1045" s="231" t="str">
        <f t="shared" si="56"/>
        <v>Aterro</v>
      </c>
      <c r="Q1045" s="541" t="s">
        <v>1901</v>
      </c>
      <c r="R1045" s="541" t="s">
        <v>1892</v>
      </c>
      <c r="S1045" s="458" t="s">
        <v>3594</v>
      </c>
      <c r="T1045" s="458" t="s">
        <v>3590</v>
      </c>
      <c r="U1045" s="458" t="s">
        <v>3591</v>
      </c>
      <c r="V1045" s="529" t="s">
        <v>3589</v>
      </c>
    </row>
    <row r="1046" spans="1:22" ht="15.75" hidden="1" thickBot="1" x14ac:dyDescent="0.3">
      <c r="A1046" s="529" t="s">
        <v>4602</v>
      </c>
      <c r="B1046" s="529" t="s">
        <v>4602</v>
      </c>
      <c r="C1046" s="424" t="str">
        <f t="shared" si="54"/>
        <v>X</v>
      </c>
      <c r="D1046" s="422">
        <v>2022</v>
      </c>
      <c r="E1046" s="250" t="s">
        <v>3499</v>
      </c>
      <c r="F1046" s="250" t="s">
        <v>3566</v>
      </c>
      <c r="G1046" s="422" t="s">
        <v>42</v>
      </c>
      <c r="H1046" s="424" t="s">
        <v>42</v>
      </c>
      <c r="I1046" s="524">
        <v>140603</v>
      </c>
      <c r="J1046" s="425" t="str">
        <f>INDEX(aux!B:B,MATCH(I1046,aux!A:A,0))</f>
        <v>Outros solventes e misturas de solventes</v>
      </c>
      <c r="K1046" s="433" t="str">
        <f>INDEX(aux!C:C,MATCH(I1046,aux!A:A,0))</f>
        <v>Sim</v>
      </c>
      <c r="L1046" s="662">
        <v>560</v>
      </c>
      <c r="M1046" s="535" t="s">
        <v>557</v>
      </c>
      <c r="N1046" s="139">
        <f t="shared" si="55"/>
        <v>560</v>
      </c>
      <c r="O1046" s="538" t="s">
        <v>3592</v>
      </c>
      <c r="P1046" s="231" t="str">
        <f t="shared" si="56"/>
        <v>Reciclagem</v>
      </c>
      <c r="Q1046" s="541" t="s">
        <v>1901</v>
      </c>
      <c r="R1046" s="541" t="s">
        <v>1892</v>
      </c>
      <c r="S1046" s="458" t="s">
        <v>3594</v>
      </c>
      <c r="T1046" s="458" t="s">
        <v>3590</v>
      </c>
      <c r="U1046" s="458" t="s">
        <v>3591</v>
      </c>
      <c r="V1046" s="529" t="s">
        <v>3589</v>
      </c>
    </row>
    <row r="1047" spans="1:22" ht="15.75" hidden="1" thickBot="1" x14ac:dyDescent="0.3">
      <c r="A1047" s="529" t="s">
        <v>4602</v>
      </c>
      <c r="B1047" s="529" t="s">
        <v>4602</v>
      </c>
      <c r="C1047" s="424" t="str">
        <f t="shared" si="54"/>
        <v>X</v>
      </c>
      <c r="D1047" s="422">
        <v>2022</v>
      </c>
      <c r="E1047" s="250" t="s">
        <v>3499</v>
      </c>
      <c r="F1047" s="250" t="s">
        <v>3566</v>
      </c>
      <c r="G1047" s="422" t="s">
        <v>42</v>
      </c>
      <c r="H1047" s="424" t="s">
        <v>42</v>
      </c>
      <c r="I1047" s="524">
        <v>150106</v>
      </c>
      <c r="J1047" s="425" t="str">
        <f>INDEX(aux!B:B,MATCH(I1047,aux!A:A,0))</f>
        <v>Mistura de embalagens</v>
      </c>
      <c r="K1047" s="433" t="str">
        <f>INDEX(aux!C:C,MATCH(I1047,aux!A:A,0))</f>
        <v>Não</v>
      </c>
      <c r="L1047" s="662">
        <v>69995</v>
      </c>
      <c r="M1047" s="535" t="s">
        <v>557</v>
      </c>
      <c r="N1047" s="139">
        <f t="shared" si="55"/>
        <v>69995</v>
      </c>
      <c r="O1047" s="538" t="s">
        <v>3592</v>
      </c>
      <c r="P1047" s="231" t="str">
        <f t="shared" si="56"/>
        <v>Reciclagem</v>
      </c>
      <c r="Q1047" s="541" t="s">
        <v>1901</v>
      </c>
      <c r="R1047" s="541" t="s">
        <v>1892</v>
      </c>
      <c r="S1047" s="458" t="s">
        <v>3594</v>
      </c>
      <c r="T1047" s="458" t="s">
        <v>3590</v>
      </c>
      <c r="U1047" s="458" t="s">
        <v>3591</v>
      </c>
      <c r="V1047" s="529" t="s">
        <v>3589</v>
      </c>
    </row>
    <row r="1048" spans="1:22" ht="15.75" hidden="1" thickBot="1" x14ac:dyDescent="0.3">
      <c r="A1048" s="529" t="s">
        <v>4602</v>
      </c>
      <c r="B1048" s="529" t="s">
        <v>4602</v>
      </c>
      <c r="C1048" s="424" t="str">
        <f t="shared" si="54"/>
        <v>X</v>
      </c>
      <c r="D1048" s="422">
        <v>2022</v>
      </c>
      <c r="E1048" s="250" t="s">
        <v>3499</v>
      </c>
      <c r="F1048" s="250" t="s">
        <v>3566</v>
      </c>
      <c r="G1048" s="422" t="s">
        <v>42</v>
      </c>
      <c r="H1048" s="424" t="s">
        <v>42</v>
      </c>
      <c r="I1048" s="524">
        <v>150110</v>
      </c>
      <c r="J1048" s="425" t="str">
        <f>INDEX(aux!B:B,MATCH(I1048,aux!A:A,0))</f>
        <v>(*) Embalagens contendo ou contaminadas por resíduos de substâncias perigosas</v>
      </c>
      <c r="K1048" s="433" t="str">
        <f>INDEX(aux!C:C,MATCH(I1048,aux!A:A,0))</f>
        <v>Sim</v>
      </c>
      <c r="L1048" s="662">
        <v>454</v>
      </c>
      <c r="M1048" s="535" t="s">
        <v>557</v>
      </c>
      <c r="N1048" s="139">
        <f t="shared" si="55"/>
        <v>454</v>
      </c>
      <c r="O1048" s="538" t="s">
        <v>3593</v>
      </c>
      <c r="P1048" s="231" t="str">
        <f t="shared" si="56"/>
        <v>Aterro</v>
      </c>
      <c r="Q1048" s="541" t="s">
        <v>1901</v>
      </c>
      <c r="R1048" s="541" t="s">
        <v>1892</v>
      </c>
      <c r="S1048" s="429" t="s">
        <v>3594</v>
      </c>
      <c r="T1048" s="429" t="s">
        <v>3590</v>
      </c>
      <c r="U1048" s="429" t="s">
        <v>3591</v>
      </c>
      <c r="V1048" s="672" t="s">
        <v>3589</v>
      </c>
    </row>
    <row r="1049" spans="1:22" ht="15.75" hidden="1" thickBot="1" x14ac:dyDescent="0.3">
      <c r="A1049" s="529" t="s">
        <v>4602</v>
      </c>
      <c r="B1049" s="529" t="s">
        <v>4602</v>
      </c>
      <c r="C1049" s="424" t="str">
        <f t="shared" si="54"/>
        <v>X</v>
      </c>
      <c r="D1049" s="422">
        <v>2022</v>
      </c>
      <c r="E1049" s="250" t="s">
        <v>3499</v>
      </c>
      <c r="F1049" s="250" t="s">
        <v>3566</v>
      </c>
      <c r="G1049" s="422" t="s">
        <v>42</v>
      </c>
      <c r="H1049" s="424" t="s">
        <v>42</v>
      </c>
      <c r="I1049" s="524">
        <v>150110</v>
      </c>
      <c r="J1049" s="425" t="str">
        <f>INDEX(aux!B:B,MATCH(I1049,aux!A:A,0))</f>
        <v>(*) Embalagens contendo ou contaminadas por resíduos de substâncias perigosas</v>
      </c>
      <c r="K1049" s="433" t="str">
        <f>INDEX(aux!C:C,MATCH(I1049,aux!A:A,0))</f>
        <v>Sim</v>
      </c>
      <c r="L1049" s="662">
        <v>1260</v>
      </c>
      <c r="M1049" s="535" t="s">
        <v>557</v>
      </c>
      <c r="N1049" s="139">
        <f t="shared" si="55"/>
        <v>1260</v>
      </c>
      <c r="O1049" s="538" t="s">
        <v>3592</v>
      </c>
      <c r="P1049" s="231" t="str">
        <f t="shared" si="56"/>
        <v>Reciclagem</v>
      </c>
      <c r="Q1049" s="541" t="s">
        <v>1901</v>
      </c>
      <c r="R1049" s="541" t="s">
        <v>1892</v>
      </c>
      <c r="S1049" s="429" t="s">
        <v>3594</v>
      </c>
      <c r="T1049" s="429" t="s">
        <v>3590</v>
      </c>
      <c r="U1049" s="429" t="s">
        <v>3591</v>
      </c>
      <c r="V1049" s="672" t="s">
        <v>3589</v>
      </c>
    </row>
    <row r="1050" spans="1:22" ht="15.75" hidden="1" thickBot="1" x14ac:dyDescent="0.3">
      <c r="A1050" s="529" t="s">
        <v>4602</v>
      </c>
      <c r="B1050" s="529" t="s">
        <v>4602</v>
      </c>
      <c r="C1050" s="424" t="str">
        <f t="shared" si="54"/>
        <v>X</v>
      </c>
      <c r="D1050" s="422">
        <v>2022</v>
      </c>
      <c r="E1050" s="250" t="s">
        <v>3499</v>
      </c>
      <c r="F1050" s="250" t="s">
        <v>3566</v>
      </c>
      <c r="G1050" s="422" t="s">
        <v>42</v>
      </c>
      <c r="H1050" s="424" t="s">
        <v>42</v>
      </c>
      <c r="I1050" s="524">
        <v>150110</v>
      </c>
      <c r="J1050" s="425" t="str">
        <f>INDEX(aux!B:B,MATCH(I1050,aux!A:A,0))</f>
        <v>(*) Embalagens contendo ou contaminadas por resíduos de substâncias perigosas</v>
      </c>
      <c r="K1050" s="433" t="str">
        <f>INDEX(aux!C:C,MATCH(I1050,aux!A:A,0))</f>
        <v>Sim</v>
      </c>
      <c r="L1050" s="662">
        <v>56</v>
      </c>
      <c r="M1050" s="535" t="s">
        <v>557</v>
      </c>
      <c r="N1050" s="139">
        <f t="shared" si="55"/>
        <v>56</v>
      </c>
      <c r="O1050" s="538" t="s">
        <v>3592</v>
      </c>
      <c r="P1050" s="231" t="str">
        <f t="shared" si="56"/>
        <v>Reciclagem</v>
      </c>
      <c r="Q1050" s="541" t="s">
        <v>1901</v>
      </c>
      <c r="R1050" s="541" t="s">
        <v>1892</v>
      </c>
      <c r="S1050" s="429" t="s">
        <v>3594</v>
      </c>
      <c r="T1050" s="429" t="s">
        <v>3590</v>
      </c>
      <c r="U1050" s="429" t="s">
        <v>3591</v>
      </c>
      <c r="V1050" s="540"/>
    </row>
    <row r="1051" spans="1:22" ht="15.75" hidden="1" thickBot="1" x14ac:dyDescent="0.3">
      <c r="A1051" s="529" t="s">
        <v>4602</v>
      </c>
      <c r="B1051" s="529" t="s">
        <v>4602</v>
      </c>
      <c r="C1051" s="424" t="str">
        <f t="shared" si="54"/>
        <v>X</v>
      </c>
      <c r="D1051" s="422">
        <v>2022</v>
      </c>
      <c r="E1051" s="250" t="s">
        <v>3499</v>
      </c>
      <c r="F1051" s="250" t="s">
        <v>3566</v>
      </c>
      <c r="G1051" s="422" t="s">
        <v>42</v>
      </c>
      <c r="H1051" s="424" t="s">
        <v>42</v>
      </c>
      <c r="I1051" s="524">
        <v>150202</v>
      </c>
      <c r="J1051" s="425" t="str">
        <f>INDEX(aux!B:B,MATCH(I1051,aux!A:A,0))</f>
        <v>(*) Absorventes, materiais filtrantes (incluindo filtros de óleo sem outras especificações), panos de limpeza e vestuário de proteção, contaminados por substâncias perigosas</v>
      </c>
      <c r="K1051" s="433" t="str">
        <f>INDEX(aux!C:C,MATCH(I1051,aux!A:A,0))</f>
        <v>Sim</v>
      </c>
      <c r="L1051" s="662">
        <v>4023</v>
      </c>
      <c r="M1051" s="535" t="s">
        <v>557</v>
      </c>
      <c r="N1051" s="139">
        <f t="shared" si="55"/>
        <v>4023</v>
      </c>
      <c r="O1051" s="538" t="s">
        <v>3592</v>
      </c>
      <c r="P1051" s="231" t="str">
        <f t="shared" si="56"/>
        <v>Reciclagem</v>
      </c>
      <c r="Q1051" s="541" t="s">
        <v>1901</v>
      </c>
      <c r="R1051" s="541" t="s">
        <v>1892</v>
      </c>
      <c r="S1051" s="429" t="s">
        <v>3594</v>
      </c>
      <c r="T1051" s="429" t="s">
        <v>3590</v>
      </c>
      <c r="U1051" s="429" t="s">
        <v>3591</v>
      </c>
      <c r="V1051" s="672" t="s">
        <v>3589</v>
      </c>
    </row>
    <row r="1052" spans="1:22" ht="15.75" hidden="1" thickBot="1" x14ac:dyDescent="0.3">
      <c r="A1052" s="529" t="s">
        <v>4602</v>
      </c>
      <c r="B1052" s="529" t="s">
        <v>4602</v>
      </c>
      <c r="C1052" s="424" t="str">
        <f t="shared" si="54"/>
        <v>X</v>
      </c>
      <c r="D1052" s="422">
        <v>2022</v>
      </c>
      <c r="E1052" s="250" t="s">
        <v>3499</v>
      </c>
      <c r="F1052" s="250" t="s">
        <v>3566</v>
      </c>
      <c r="G1052" s="422" t="s">
        <v>42</v>
      </c>
      <c r="H1052" s="424" t="s">
        <v>42</v>
      </c>
      <c r="I1052" s="524">
        <v>150202</v>
      </c>
      <c r="J1052" s="425" t="str">
        <f>INDEX(aux!B:B,MATCH(I1052,aux!A:A,0))</f>
        <v>(*) Absorventes, materiais filtrantes (incluindo filtros de óleo sem outras especificações), panos de limpeza e vestuário de proteção, contaminados por substâncias perigosas</v>
      </c>
      <c r="K1052" s="433" t="str">
        <f>INDEX(aux!C:C,MATCH(I1052,aux!A:A,0))</f>
        <v>Sim</v>
      </c>
      <c r="L1052" s="662">
        <v>4862</v>
      </c>
      <c r="M1052" s="535" t="s">
        <v>557</v>
      </c>
      <c r="N1052" s="139">
        <f t="shared" si="55"/>
        <v>4862</v>
      </c>
      <c r="O1052" s="538" t="s">
        <v>3593</v>
      </c>
      <c r="P1052" s="231" t="str">
        <f t="shared" si="56"/>
        <v>Aterro</v>
      </c>
      <c r="Q1052" s="541" t="s">
        <v>1901</v>
      </c>
      <c r="R1052" s="541" t="s">
        <v>1892</v>
      </c>
      <c r="S1052" s="429" t="s">
        <v>3594</v>
      </c>
      <c r="T1052" s="429" t="s">
        <v>3590</v>
      </c>
      <c r="U1052" s="429" t="s">
        <v>3591</v>
      </c>
      <c r="V1052" s="672" t="s">
        <v>3589</v>
      </c>
    </row>
    <row r="1053" spans="1:22" ht="15.75" hidden="1" thickBot="1" x14ac:dyDescent="0.3">
      <c r="A1053" s="529" t="s">
        <v>4602</v>
      </c>
      <c r="B1053" s="529" t="s">
        <v>4602</v>
      </c>
      <c r="C1053" s="424" t="str">
        <f t="shared" si="54"/>
        <v>X</v>
      </c>
      <c r="D1053" s="422">
        <v>2022</v>
      </c>
      <c r="E1053" s="250" t="s">
        <v>3499</v>
      </c>
      <c r="F1053" s="250" t="s">
        <v>3566</v>
      </c>
      <c r="G1053" s="422" t="s">
        <v>42</v>
      </c>
      <c r="H1053" s="424" t="s">
        <v>42</v>
      </c>
      <c r="I1053" s="524">
        <v>150203</v>
      </c>
      <c r="J1053" s="425" t="str">
        <f>INDEX(aux!B:B,MATCH(I1053,aux!A:A,0))</f>
        <v>Absorventes, materiais filtrantes, panos de limpeza e vestuário de proteção não abrangidos em 15 02 02</v>
      </c>
      <c r="K1053" s="433" t="str">
        <f>INDEX(aux!C:C,MATCH(I1053,aux!A:A,0))</f>
        <v>Não</v>
      </c>
      <c r="L1053" s="662">
        <v>800</v>
      </c>
      <c r="M1053" s="535" t="s">
        <v>557</v>
      </c>
      <c r="N1053" s="139">
        <f t="shared" si="55"/>
        <v>800</v>
      </c>
      <c r="O1053" s="538" t="s">
        <v>3592</v>
      </c>
      <c r="P1053" s="231" t="str">
        <f t="shared" si="56"/>
        <v>Reciclagem</v>
      </c>
      <c r="Q1053" s="541" t="s">
        <v>1901</v>
      </c>
      <c r="R1053" s="541" t="s">
        <v>1892</v>
      </c>
      <c r="S1053" s="429" t="s">
        <v>3594</v>
      </c>
      <c r="T1053" s="429" t="s">
        <v>3590</v>
      </c>
      <c r="U1053" s="429" t="s">
        <v>3591</v>
      </c>
      <c r="V1053" s="672" t="s">
        <v>3589</v>
      </c>
    </row>
    <row r="1054" spans="1:22" ht="15.75" hidden="1" thickBot="1" x14ac:dyDescent="0.3">
      <c r="A1054" s="529" t="s">
        <v>4602</v>
      </c>
      <c r="B1054" s="529" t="s">
        <v>4602</v>
      </c>
      <c r="C1054" s="424" t="str">
        <f t="shared" si="54"/>
        <v>X</v>
      </c>
      <c r="D1054" s="422">
        <v>2022</v>
      </c>
      <c r="E1054" s="250" t="s">
        <v>3499</v>
      </c>
      <c r="F1054" s="250" t="s">
        <v>3566</v>
      </c>
      <c r="G1054" s="422" t="s">
        <v>42</v>
      </c>
      <c r="H1054" s="424" t="s">
        <v>42</v>
      </c>
      <c r="I1054" s="524">
        <v>160107</v>
      </c>
      <c r="J1054" s="425" t="str">
        <f>INDEX(aux!B:B,MATCH(I1054,aux!A:A,0))</f>
        <v>(*) Filtros de óleo</v>
      </c>
      <c r="K1054" s="433" t="str">
        <f>INDEX(aux!C:C,MATCH(I1054,aux!A:A,0))</f>
        <v>Sim</v>
      </c>
      <c r="L1054" s="662">
        <v>508</v>
      </c>
      <c r="M1054" s="535" t="s">
        <v>557</v>
      </c>
      <c r="N1054" s="139">
        <f t="shared" si="55"/>
        <v>508</v>
      </c>
      <c r="O1054" s="538" t="s">
        <v>3592</v>
      </c>
      <c r="P1054" s="231" t="str">
        <f t="shared" si="56"/>
        <v>Reciclagem</v>
      </c>
      <c r="Q1054" s="541" t="s">
        <v>1901</v>
      </c>
      <c r="R1054" s="541" t="s">
        <v>1892</v>
      </c>
      <c r="S1054" s="429" t="s">
        <v>3594</v>
      </c>
      <c r="T1054" s="429" t="s">
        <v>3590</v>
      </c>
      <c r="U1054" s="429" t="s">
        <v>3591</v>
      </c>
      <c r="V1054" s="672" t="s">
        <v>3589</v>
      </c>
    </row>
    <row r="1055" spans="1:22" ht="15.75" hidden="1" thickBot="1" x14ac:dyDescent="0.3">
      <c r="A1055" s="529" t="s">
        <v>4602</v>
      </c>
      <c r="B1055" s="529" t="s">
        <v>4602</v>
      </c>
      <c r="C1055" s="424" t="str">
        <f t="shared" si="54"/>
        <v>X</v>
      </c>
      <c r="D1055" s="422">
        <v>2022</v>
      </c>
      <c r="E1055" s="250" t="s">
        <v>3499</v>
      </c>
      <c r="F1055" s="250" t="s">
        <v>3566</v>
      </c>
      <c r="G1055" s="422" t="s">
        <v>42</v>
      </c>
      <c r="H1055" s="424" t="s">
        <v>42</v>
      </c>
      <c r="I1055" s="524">
        <v>160199</v>
      </c>
      <c r="J1055" s="425" t="str">
        <f>INDEX(aux!B:B,MATCH(I1055,aux!A:A,0))</f>
        <v>Resíduos sem outras especificações</v>
      </c>
      <c r="K1055" s="433" t="str">
        <f>INDEX(aux!C:C,MATCH(I1055,aux!A:A,0))</f>
        <v>Não</v>
      </c>
      <c r="L1055" s="662">
        <v>6351</v>
      </c>
      <c r="M1055" s="535" t="s">
        <v>557</v>
      </c>
      <c r="N1055" s="139">
        <f t="shared" si="55"/>
        <v>6351</v>
      </c>
      <c r="O1055" s="538" t="s">
        <v>3592</v>
      </c>
      <c r="P1055" s="231" t="str">
        <f t="shared" si="56"/>
        <v>Reciclagem</v>
      </c>
      <c r="Q1055" s="541" t="s">
        <v>1901</v>
      </c>
      <c r="R1055" s="541" t="s">
        <v>1892</v>
      </c>
      <c r="S1055" s="429" t="s">
        <v>3594</v>
      </c>
      <c r="T1055" s="429" t="s">
        <v>3590</v>
      </c>
      <c r="U1055" s="429" t="s">
        <v>3591</v>
      </c>
      <c r="V1055" s="672" t="s">
        <v>3589</v>
      </c>
    </row>
    <row r="1056" spans="1:22" ht="15.75" hidden="1" thickBot="1" x14ac:dyDescent="0.3">
      <c r="A1056" s="529" t="s">
        <v>4602</v>
      </c>
      <c r="B1056" s="529" t="s">
        <v>4602</v>
      </c>
      <c r="C1056" s="424" t="str">
        <f t="shared" si="54"/>
        <v>X</v>
      </c>
      <c r="D1056" s="422">
        <v>2022</v>
      </c>
      <c r="E1056" s="250" t="s">
        <v>3499</v>
      </c>
      <c r="F1056" s="250" t="s">
        <v>3566</v>
      </c>
      <c r="G1056" s="422" t="s">
        <v>42</v>
      </c>
      <c r="H1056" s="424" t="s">
        <v>42</v>
      </c>
      <c r="I1056" s="524">
        <v>160213</v>
      </c>
      <c r="J1056" s="425" t="str">
        <f>INDEX(aux!B:B,MATCH(I1056,aux!A:A,0))</f>
        <v>(*) Equipamento fora de uso, contendo componentes perigosos</v>
      </c>
      <c r="K1056" s="433" t="str">
        <f>INDEX(aux!C:C,MATCH(I1056,aux!A:A,0))</f>
        <v>Sim</v>
      </c>
      <c r="L1056" s="662">
        <v>9.5</v>
      </c>
      <c r="M1056" s="535" t="s">
        <v>557</v>
      </c>
      <c r="N1056" s="139">
        <f t="shared" si="55"/>
        <v>9.5</v>
      </c>
      <c r="O1056" s="538" t="s">
        <v>3592</v>
      </c>
      <c r="P1056" s="231" t="str">
        <f t="shared" si="56"/>
        <v>Reciclagem</v>
      </c>
      <c r="Q1056" s="541" t="s">
        <v>1901</v>
      </c>
      <c r="R1056" s="541" t="s">
        <v>1892</v>
      </c>
      <c r="S1056" s="429" t="s">
        <v>3594</v>
      </c>
      <c r="T1056" s="429" t="s">
        <v>3590</v>
      </c>
      <c r="U1056" s="429" t="s">
        <v>3591</v>
      </c>
      <c r="V1056" s="540"/>
    </row>
    <row r="1057" spans="1:22" ht="15.75" hidden="1" thickBot="1" x14ac:dyDescent="0.3">
      <c r="A1057" s="529" t="s">
        <v>4602</v>
      </c>
      <c r="B1057" s="529" t="s">
        <v>4602</v>
      </c>
      <c r="C1057" s="424" t="str">
        <f t="shared" si="54"/>
        <v>X</v>
      </c>
      <c r="D1057" s="422">
        <v>2022</v>
      </c>
      <c r="E1057" s="250" t="s">
        <v>3499</v>
      </c>
      <c r="F1057" s="250" t="s">
        <v>3566</v>
      </c>
      <c r="G1057" s="422" t="s">
        <v>42</v>
      </c>
      <c r="H1057" s="424" t="s">
        <v>42</v>
      </c>
      <c r="I1057" s="524">
        <v>160214</v>
      </c>
      <c r="J1057" s="425" t="str">
        <f>INDEX(aux!B:B,MATCH(I1057,aux!A:A,0))</f>
        <v>Componentes retirados de REEE’s fora de uso não abrangidos em 16 02 09 a 16 02 13</v>
      </c>
      <c r="K1057" s="433" t="str">
        <f>INDEX(aux!C:C,MATCH(I1057,aux!A:A,0))</f>
        <v>Não</v>
      </c>
      <c r="L1057" s="662">
        <v>860.5</v>
      </c>
      <c r="M1057" s="535" t="s">
        <v>557</v>
      </c>
      <c r="N1057" s="139">
        <f t="shared" si="55"/>
        <v>860.5</v>
      </c>
      <c r="O1057" s="538" t="s">
        <v>3592</v>
      </c>
      <c r="P1057" s="231" t="str">
        <f t="shared" si="56"/>
        <v>Reciclagem</v>
      </c>
      <c r="Q1057" s="541" t="s">
        <v>1901</v>
      </c>
      <c r="R1057" s="541" t="s">
        <v>1892</v>
      </c>
      <c r="S1057" s="429" t="s">
        <v>3594</v>
      </c>
      <c r="T1057" s="429" t="s">
        <v>3590</v>
      </c>
      <c r="U1057" s="429" t="s">
        <v>3591</v>
      </c>
      <c r="V1057" s="672" t="s">
        <v>3589</v>
      </c>
    </row>
    <row r="1058" spans="1:22" ht="15.75" hidden="1" thickBot="1" x14ac:dyDescent="0.3">
      <c r="A1058" s="529" t="s">
        <v>4602</v>
      </c>
      <c r="B1058" s="529" t="s">
        <v>4602</v>
      </c>
      <c r="C1058" s="424" t="str">
        <f t="shared" si="54"/>
        <v>X</v>
      </c>
      <c r="D1058" s="422">
        <v>2022</v>
      </c>
      <c r="E1058" s="250" t="s">
        <v>3499</v>
      </c>
      <c r="F1058" s="250" t="s">
        <v>3566</v>
      </c>
      <c r="G1058" s="422" t="s">
        <v>42</v>
      </c>
      <c r="H1058" s="424" t="s">
        <v>42</v>
      </c>
      <c r="I1058" s="524">
        <v>160216</v>
      </c>
      <c r="J1058" s="425" t="str">
        <f>INDEX(aux!B:B,MATCH(I1058,aux!A:A,0))</f>
        <v>Componentes retirados de equipamento fora de uso não abrangidos em 16 02 15</v>
      </c>
      <c r="K1058" s="433" t="str">
        <f>INDEX(aux!C:C,MATCH(I1058,aux!A:A,0))</f>
        <v>Não</v>
      </c>
      <c r="L1058" s="662">
        <v>281</v>
      </c>
      <c r="M1058" s="535" t="s">
        <v>557</v>
      </c>
      <c r="N1058" s="139">
        <f t="shared" si="55"/>
        <v>281</v>
      </c>
      <c r="O1058" s="538" t="s">
        <v>3592</v>
      </c>
      <c r="P1058" s="231" t="str">
        <f t="shared" si="56"/>
        <v>Reciclagem</v>
      </c>
      <c r="Q1058" s="541" t="s">
        <v>1901</v>
      </c>
      <c r="R1058" s="541" t="s">
        <v>1892</v>
      </c>
      <c r="S1058" s="429" t="s">
        <v>3594</v>
      </c>
      <c r="T1058" s="429" t="s">
        <v>3590</v>
      </c>
      <c r="U1058" s="429" t="s">
        <v>3591</v>
      </c>
      <c r="V1058" s="672" t="s">
        <v>3589</v>
      </c>
    </row>
    <row r="1059" spans="1:22" ht="15.75" hidden="1" thickBot="1" x14ac:dyDescent="0.3">
      <c r="A1059" s="529" t="s">
        <v>4602</v>
      </c>
      <c r="B1059" s="529" t="s">
        <v>4602</v>
      </c>
      <c r="C1059" s="424" t="str">
        <f t="shared" si="54"/>
        <v>X</v>
      </c>
      <c r="D1059" s="422">
        <v>2022</v>
      </c>
      <c r="E1059" s="250" t="s">
        <v>3499</v>
      </c>
      <c r="F1059" s="250" t="s">
        <v>3566</v>
      </c>
      <c r="G1059" s="422" t="s">
        <v>42</v>
      </c>
      <c r="H1059" s="424" t="s">
        <v>42</v>
      </c>
      <c r="I1059" s="524">
        <v>160505</v>
      </c>
      <c r="J1059" s="425" t="str">
        <f>INDEX(aux!B:B,MATCH(I1059,aux!A:A,0))</f>
        <v xml:space="preserve">Gases em recipientes sob pressão, não abrangidos em 16 05 04 </v>
      </c>
      <c r="K1059" s="433" t="str">
        <f>INDEX(aux!C:C,MATCH(I1059,aux!A:A,0))</f>
        <v>Não</v>
      </c>
      <c r="L1059" s="662">
        <v>632</v>
      </c>
      <c r="M1059" s="535" t="s">
        <v>557</v>
      </c>
      <c r="N1059" s="139">
        <f t="shared" si="55"/>
        <v>632</v>
      </c>
      <c r="O1059" s="538" t="s">
        <v>3592</v>
      </c>
      <c r="P1059" s="231" t="str">
        <f t="shared" si="56"/>
        <v>Reciclagem</v>
      </c>
      <c r="Q1059" s="541" t="s">
        <v>1901</v>
      </c>
      <c r="R1059" s="541" t="s">
        <v>1892</v>
      </c>
      <c r="S1059" s="429" t="s">
        <v>3594</v>
      </c>
      <c r="T1059" s="429" t="s">
        <v>3590</v>
      </c>
      <c r="U1059" s="429" t="s">
        <v>3591</v>
      </c>
      <c r="V1059" s="672" t="s">
        <v>3589</v>
      </c>
    </row>
    <row r="1060" spans="1:22" ht="15.75" hidden="1" thickBot="1" x14ac:dyDescent="0.3">
      <c r="A1060" s="529" t="s">
        <v>4602</v>
      </c>
      <c r="B1060" s="529" t="s">
        <v>4602</v>
      </c>
      <c r="C1060" s="424" t="str">
        <f t="shared" si="54"/>
        <v>X</v>
      </c>
      <c r="D1060" s="422">
        <v>2022</v>
      </c>
      <c r="E1060" s="250" t="s">
        <v>3499</v>
      </c>
      <c r="F1060" s="250" t="s">
        <v>3566</v>
      </c>
      <c r="G1060" s="422" t="s">
        <v>42</v>
      </c>
      <c r="H1060" s="424" t="s">
        <v>42</v>
      </c>
      <c r="I1060" s="524">
        <v>170504</v>
      </c>
      <c r="J1060" s="425" t="str">
        <f>INDEX(aux!B:B,MATCH(I1060,aux!A:A,0))</f>
        <v>Solos e rochas não abrangidos em 17 05 03</v>
      </c>
      <c r="K1060" s="433" t="str">
        <f>INDEX(aux!C:C,MATCH(I1060,aux!A:A,0))</f>
        <v>Não</v>
      </c>
      <c r="L1060" s="662">
        <v>9480</v>
      </c>
      <c r="M1060" s="535" t="s">
        <v>557</v>
      </c>
      <c r="N1060" s="139">
        <f t="shared" si="55"/>
        <v>9480</v>
      </c>
      <c r="O1060" s="538" t="s">
        <v>3592</v>
      </c>
      <c r="P1060" s="231" t="str">
        <f t="shared" si="56"/>
        <v>Reciclagem</v>
      </c>
      <c r="Q1060" s="541" t="s">
        <v>1901</v>
      </c>
      <c r="R1060" s="541" t="s">
        <v>1892</v>
      </c>
      <c r="S1060" s="429" t="s">
        <v>3594</v>
      </c>
      <c r="T1060" s="429" t="s">
        <v>3590</v>
      </c>
      <c r="U1060" s="429" t="s">
        <v>3591</v>
      </c>
      <c r="V1060" s="672" t="s">
        <v>3589</v>
      </c>
    </row>
    <row r="1061" spans="1:22" ht="15.75" hidden="1" thickBot="1" x14ac:dyDescent="0.3">
      <c r="A1061" s="529" t="s">
        <v>4602</v>
      </c>
      <c r="B1061" s="529" t="s">
        <v>4602</v>
      </c>
      <c r="C1061" s="424" t="str">
        <f t="shared" si="54"/>
        <v>X</v>
      </c>
      <c r="D1061" s="422">
        <v>2022</v>
      </c>
      <c r="E1061" s="250" t="s">
        <v>3499</v>
      </c>
      <c r="F1061" s="250" t="s">
        <v>3566</v>
      </c>
      <c r="G1061" s="422" t="s">
        <v>42</v>
      </c>
      <c r="H1061" s="424" t="s">
        <v>42</v>
      </c>
      <c r="I1061" s="524">
        <v>200111</v>
      </c>
      <c r="J1061" s="425" t="str">
        <f>INDEX(aux!B:B,MATCH(I1061,aux!A:A,0))</f>
        <v>Têxteis</v>
      </c>
      <c r="K1061" s="433" t="str">
        <f>INDEX(aux!C:C,MATCH(I1061,aux!A:A,0))</f>
        <v>Não</v>
      </c>
      <c r="L1061" s="662">
        <v>87</v>
      </c>
      <c r="M1061" s="535" t="s">
        <v>557</v>
      </c>
      <c r="N1061" s="139">
        <f t="shared" si="55"/>
        <v>87</v>
      </c>
      <c r="O1061" s="538" t="s">
        <v>3592</v>
      </c>
      <c r="P1061" s="231" t="str">
        <f t="shared" si="56"/>
        <v>Reciclagem</v>
      </c>
      <c r="Q1061" s="541" t="s">
        <v>1901</v>
      </c>
      <c r="R1061" s="541" t="s">
        <v>1892</v>
      </c>
      <c r="S1061" s="429" t="s">
        <v>3594</v>
      </c>
      <c r="T1061" s="429" t="s">
        <v>3590</v>
      </c>
      <c r="U1061" s="429" t="s">
        <v>3591</v>
      </c>
      <c r="V1061" s="672" t="s">
        <v>3589</v>
      </c>
    </row>
    <row r="1062" spans="1:22" ht="15.75" hidden="1" thickBot="1" x14ac:dyDescent="0.3">
      <c r="A1062" s="529" t="s">
        <v>4602</v>
      </c>
      <c r="B1062" s="529" t="s">
        <v>4602</v>
      </c>
      <c r="C1062" s="424" t="str">
        <f t="shared" si="54"/>
        <v>X</v>
      </c>
      <c r="D1062" s="422">
        <v>2022</v>
      </c>
      <c r="E1062" s="250" t="s">
        <v>3499</v>
      </c>
      <c r="F1062" s="250" t="s">
        <v>3566</v>
      </c>
      <c r="G1062" s="422" t="s">
        <v>42</v>
      </c>
      <c r="H1062" s="424" t="s">
        <v>42</v>
      </c>
      <c r="I1062" s="524">
        <v>200121</v>
      </c>
      <c r="J1062" s="425" t="str">
        <f>INDEX(aux!B:B,MATCH(I1062,aux!A:A,0))</f>
        <v>(*) Lâmpadas fluorescentes e outros resíduos contendo mercúrio</v>
      </c>
      <c r="K1062" s="433" t="str">
        <f>INDEX(aux!C:C,MATCH(I1062,aux!A:A,0))</f>
        <v>Sim</v>
      </c>
      <c r="L1062" s="662">
        <v>952</v>
      </c>
      <c r="M1062" s="535" t="s">
        <v>557</v>
      </c>
      <c r="N1062" s="139">
        <f t="shared" si="55"/>
        <v>952</v>
      </c>
      <c r="O1062" s="538" t="s">
        <v>3592</v>
      </c>
      <c r="P1062" s="231" t="str">
        <f t="shared" si="56"/>
        <v>Reciclagem</v>
      </c>
      <c r="Q1062" s="541" t="s">
        <v>1901</v>
      </c>
      <c r="R1062" s="541" t="s">
        <v>1892</v>
      </c>
      <c r="S1062" s="429" t="s">
        <v>3594</v>
      </c>
      <c r="T1062" s="429" t="s">
        <v>3590</v>
      </c>
      <c r="U1062" s="429" t="s">
        <v>3591</v>
      </c>
      <c r="V1062" s="672" t="s">
        <v>3589</v>
      </c>
    </row>
    <row r="1063" spans="1:22" ht="15.75" hidden="1" thickBot="1" x14ac:dyDescent="0.3">
      <c r="A1063" s="529" t="s">
        <v>4602</v>
      </c>
      <c r="B1063" s="529" t="s">
        <v>4602</v>
      </c>
      <c r="C1063" s="424" t="str">
        <f t="shared" si="54"/>
        <v>X</v>
      </c>
      <c r="D1063" s="422">
        <v>2022</v>
      </c>
      <c r="E1063" s="250" t="s">
        <v>3499</v>
      </c>
      <c r="F1063" s="250" t="s">
        <v>3566</v>
      </c>
      <c r="G1063" s="422" t="s">
        <v>42</v>
      </c>
      <c r="H1063" s="424" t="s">
        <v>42</v>
      </c>
      <c r="I1063" s="524">
        <v>200199</v>
      </c>
      <c r="J1063" s="425" t="str">
        <f>INDEX(aux!B:B,MATCH(I1063,aux!A:A,0))</f>
        <v>Outras frações, sem outras especificações</v>
      </c>
      <c r="K1063" s="433" t="str">
        <f>INDEX(aux!C:C,MATCH(I1063,aux!A:A,0))</f>
        <v>Não</v>
      </c>
      <c r="L1063" s="662">
        <v>12820</v>
      </c>
      <c r="M1063" s="535" t="s">
        <v>557</v>
      </c>
      <c r="N1063" s="139">
        <f t="shared" si="55"/>
        <v>12820</v>
      </c>
      <c r="O1063" s="538" t="s">
        <v>3592</v>
      </c>
      <c r="P1063" s="231" t="str">
        <f t="shared" si="56"/>
        <v>Reciclagem</v>
      </c>
      <c r="Q1063" s="541" t="s">
        <v>1901</v>
      </c>
      <c r="R1063" s="541" t="s">
        <v>1892</v>
      </c>
      <c r="S1063" s="429" t="s">
        <v>3594</v>
      </c>
      <c r="T1063" s="429" t="s">
        <v>3590</v>
      </c>
      <c r="U1063" s="429" t="s">
        <v>3591</v>
      </c>
      <c r="V1063" s="672" t="s">
        <v>3589</v>
      </c>
    </row>
    <row r="1064" spans="1:22" ht="15.75" hidden="1" thickBot="1" x14ac:dyDescent="0.3">
      <c r="A1064" s="529" t="s">
        <v>4602</v>
      </c>
      <c r="B1064" s="529" t="s">
        <v>4602</v>
      </c>
      <c r="C1064" s="424" t="str">
        <f t="shared" si="54"/>
        <v>X</v>
      </c>
      <c r="D1064" s="422">
        <v>2022</v>
      </c>
      <c r="E1064" s="250" t="s">
        <v>3499</v>
      </c>
      <c r="F1064" s="250" t="s">
        <v>3566</v>
      </c>
      <c r="G1064" s="422" t="s">
        <v>42</v>
      </c>
      <c r="H1064" s="424" t="s">
        <v>42</v>
      </c>
      <c r="I1064" s="524">
        <v>200201</v>
      </c>
      <c r="J1064" s="425" t="str">
        <f>INDEX(aux!B:B,MATCH(I1064,aux!A:A,0))</f>
        <v xml:space="preserve">Resíduos biodegradáveis </v>
      </c>
      <c r="K1064" s="433" t="str">
        <f>INDEX(aux!C:C,MATCH(I1064,aux!A:A,0))</f>
        <v>Não</v>
      </c>
      <c r="L1064" s="662">
        <v>83410</v>
      </c>
      <c r="M1064" s="535" t="s">
        <v>557</v>
      </c>
      <c r="N1064" s="139">
        <f t="shared" si="55"/>
        <v>83410</v>
      </c>
      <c r="O1064" s="538" t="s">
        <v>3592</v>
      </c>
      <c r="P1064" s="231" t="str">
        <f t="shared" si="56"/>
        <v>Reciclagem</v>
      </c>
      <c r="Q1064" s="541" t="s">
        <v>1901</v>
      </c>
      <c r="R1064" s="541" t="s">
        <v>1892</v>
      </c>
      <c r="S1064" s="429" t="s">
        <v>3594</v>
      </c>
      <c r="T1064" s="429" t="s">
        <v>3590</v>
      </c>
      <c r="U1064" s="429" t="s">
        <v>3591</v>
      </c>
      <c r="V1064" s="672" t="s">
        <v>3589</v>
      </c>
    </row>
    <row r="1065" spans="1:22" ht="15.75" hidden="1" thickBot="1" x14ac:dyDescent="0.3">
      <c r="A1065" s="529" t="s">
        <v>4602</v>
      </c>
      <c r="B1065" s="529" t="s">
        <v>4602</v>
      </c>
      <c r="C1065" s="424" t="str">
        <f t="shared" si="54"/>
        <v>X</v>
      </c>
      <c r="D1065" s="422">
        <v>2022</v>
      </c>
      <c r="E1065" s="250" t="s">
        <v>3499</v>
      </c>
      <c r="F1065" s="250" t="s">
        <v>3566</v>
      </c>
      <c r="G1065" s="422" t="s">
        <v>42</v>
      </c>
      <c r="H1065" s="424" t="s">
        <v>42</v>
      </c>
      <c r="I1065" s="524">
        <v>200202</v>
      </c>
      <c r="J1065" s="425" t="str">
        <f>INDEX(aux!B:B,MATCH(I1065,aux!A:A,0))</f>
        <v>Terras e pedras</v>
      </c>
      <c r="K1065" s="433" t="str">
        <f>INDEX(aux!C:C,MATCH(I1065,aux!A:A,0))</f>
        <v>Sim</v>
      </c>
      <c r="L1065" s="662">
        <v>11640</v>
      </c>
      <c r="M1065" s="535" t="s">
        <v>557</v>
      </c>
      <c r="N1065" s="139">
        <f t="shared" si="55"/>
        <v>11640</v>
      </c>
      <c r="O1065" s="538" t="s">
        <v>3592</v>
      </c>
      <c r="P1065" s="231" t="str">
        <f t="shared" si="56"/>
        <v>Reciclagem</v>
      </c>
      <c r="Q1065" s="541" t="s">
        <v>1901</v>
      </c>
      <c r="R1065" s="541" t="s">
        <v>1892</v>
      </c>
      <c r="S1065" s="429" t="s">
        <v>3594</v>
      </c>
      <c r="T1065" s="429" t="s">
        <v>3590</v>
      </c>
      <c r="U1065" s="429" t="s">
        <v>3591</v>
      </c>
      <c r="V1065" s="672" t="s">
        <v>3589</v>
      </c>
    </row>
    <row r="1066" spans="1:22" ht="15.75" thickBot="1" x14ac:dyDescent="0.3">
      <c r="A1066" s="93" t="s">
        <v>4602</v>
      </c>
      <c r="B1066" s="93" t="s">
        <v>4602</v>
      </c>
      <c r="C1066" s="424" t="str">
        <f t="shared" si="54"/>
        <v>X</v>
      </c>
      <c r="D1066" s="422">
        <v>2023</v>
      </c>
      <c r="E1066" s="250" t="s">
        <v>3499</v>
      </c>
      <c r="F1066" s="250" t="s">
        <v>3566</v>
      </c>
      <c r="G1066" s="422" t="s">
        <v>42</v>
      </c>
      <c r="H1066" s="424" t="s">
        <v>42</v>
      </c>
      <c r="I1066" s="522">
        <v>150106</v>
      </c>
      <c r="J1066" s="425" t="str">
        <f>INDEX(aux!B:B,MATCH(I1066,aux!A:A,0))</f>
        <v>Mistura de embalagens</v>
      </c>
      <c r="K1066" s="433" t="str">
        <f>INDEX(aux!C:C,MATCH(I1066,aux!A:A,0))</f>
        <v>Não</v>
      </c>
      <c r="L1066" s="360">
        <v>2080</v>
      </c>
      <c r="M1066" s="359" t="s">
        <v>557</v>
      </c>
      <c r="N1066" s="139">
        <f t="shared" si="55"/>
        <v>2080</v>
      </c>
      <c r="O1066" s="93" t="s">
        <v>3592</v>
      </c>
      <c r="P1066" s="231" t="str">
        <f t="shared" si="56"/>
        <v>Reciclagem</v>
      </c>
      <c r="Q1066" s="541" t="s">
        <v>1901</v>
      </c>
      <c r="R1066" s="541" t="s">
        <v>1892</v>
      </c>
      <c r="S1066" s="542" t="s">
        <v>3594</v>
      </c>
      <c r="T1066" s="540" t="s">
        <v>3590</v>
      </c>
      <c r="U1066" s="540" t="s">
        <v>3591</v>
      </c>
      <c r="V1066" s="540"/>
    </row>
    <row r="1067" spans="1:22" ht="15.75" thickBot="1" x14ac:dyDescent="0.3">
      <c r="A1067" s="422" t="s">
        <v>4602</v>
      </c>
      <c r="B1067" s="422" t="s">
        <v>4602</v>
      </c>
      <c r="C1067" s="424" t="str">
        <f t="shared" si="54"/>
        <v>X</v>
      </c>
      <c r="D1067" s="422">
        <v>2023</v>
      </c>
      <c r="E1067" s="250" t="s">
        <v>3499</v>
      </c>
      <c r="F1067" s="250" t="s">
        <v>3566</v>
      </c>
      <c r="G1067" s="422" t="s">
        <v>42</v>
      </c>
      <c r="H1067" s="424" t="s">
        <v>42</v>
      </c>
      <c r="I1067" s="487">
        <v>160216</v>
      </c>
      <c r="J1067" s="425" t="str">
        <f>INDEX(aux!B:B,MATCH(I1067,aux!A:A,0))</f>
        <v>Componentes retirados de equipamento fora de uso não abrangidos em 16 02 15</v>
      </c>
      <c r="K1067" s="433" t="str">
        <f>INDEX(aux!C:C,MATCH(I1067,aux!A:A,0))</f>
        <v>Não</v>
      </c>
      <c r="L1067" s="259">
        <v>3160</v>
      </c>
      <c r="M1067" s="428" t="s">
        <v>557</v>
      </c>
      <c r="N1067" s="139">
        <f t="shared" si="55"/>
        <v>3160</v>
      </c>
      <c r="O1067" s="422" t="s">
        <v>3592</v>
      </c>
      <c r="P1067" s="231" t="str">
        <f t="shared" si="56"/>
        <v>Reciclagem</v>
      </c>
      <c r="Q1067" s="541" t="s">
        <v>1901</v>
      </c>
      <c r="R1067" s="541" t="s">
        <v>1892</v>
      </c>
      <c r="S1067" s="542" t="s">
        <v>3594</v>
      </c>
      <c r="T1067" s="540" t="s">
        <v>3590</v>
      </c>
      <c r="U1067" s="540" t="s">
        <v>3591</v>
      </c>
      <c r="V1067" s="540"/>
    </row>
    <row r="1068" spans="1:22" ht="15.75" thickBot="1" x14ac:dyDescent="0.3">
      <c r="A1068" s="422" t="s">
        <v>4602</v>
      </c>
      <c r="B1068" s="422" t="s">
        <v>4602</v>
      </c>
      <c r="C1068" s="424" t="str">
        <f t="shared" si="54"/>
        <v>X</v>
      </c>
      <c r="D1068" s="422">
        <v>2023</v>
      </c>
      <c r="E1068" s="250" t="s">
        <v>3499</v>
      </c>
      <c r="F1068" s="250" t="s">
        <v>3566</v>
      </c>
      <c r="G1068" s="422" t="s">
        <v>42</v>
      </c>
      <c r="H1068" s="424" t="s">
        <v>42</v>
      </c>
      <c r="I1068" s="487">
        <v>200110</v>
      </c>
      <c r="J1068" s="425" t="str">
        <f>INDEX(aux!B:B,MATCH(I1068,aux!A:A,0))</f>
        <v>Roupas</v>
      </c>
      <c r="K1068" s="433" t="str">
        <f>INDEX(aux!C:C,MATCH(I1068,aux!A:A,0))</f>
        <v>Não</v>
      </c>
      <c r="L1068" s="259">
        <v>40</v>
      </c>
      <c r="M1068" s="428" t="s">
        <v>557</v>
      </c>
      <c r="N1068" s="139">
        <f t="shared" si="55"/>
        <v>40</v>
      </c>
      <c r="O1068" s="422" t="s">
        <v>3592</v>
      </c>
      <c r="P1068" s="231" t="str">
        <f t="shared" si="56"/>
        <v>Reciclagem</v>
      </c>
      <c r="Q1068" s="541" t="s">
        <v>1901</v>
      </c>
      <c r="R1068" s="541" t="s">
        <v>1892</v>
      </c>
      <c r="S1068" s="542" t="s">
        <v>3594</v>
      </c>
      <c r="T1068" s="540" t="s">
        <v>3590</v>
      </c>
      <c r="U1068" s="540" t="s">
        <v>3591</v>
      </c>
      <c r="V1068" s="540"/>
    </row>
    <row r="1069" spans="1:22" ht="15.75" thickBot="1" x14ac:dyDescent="0.3">
      <c r="A1069" s="422" t="s">
        <v>4602</v>
      </c>
      <c r="B1069" s="422" t="s">
        <v>4602</v>
      </c>
      <c r="C1069" s="424" t="str">
        <f t="shared" si="54"/>
        <v>X</v>
      </c>
      <c r="D1069" s="422">
        <v>2023</v>
      </c>
      <c r="E1069" s="250" t="s">
        <v>3499</v>
      </c>
      <c r="F1069" s="250" t="s">
        <v>3566</v>
      </c>
      <c r="G1069" s="422" t="s">
        <v>42</v>
      </c>
      <c r="H1069" s="424" t="s">
        <v>42</v>
      </c>
      <c r="I1069" s="522">
        <v>130508</v>
      </c>
      <c r="J1069" s="425" t="str">
        <f>INDEX(aux!B:B,MATCH(I1069,aux!A:A,0))</f>
        <v>(*) Misturas de resíduos provenientes de desarenadores e de separadores óleo/água</v>
      </c>
      <c r="K1069" s="433" t="str">
        <f>INDEX(aux!C:C,MATCH(I1069,aux!A:A,0))</f>
        <v>Sim</v>
      </c>
      <c r="L1069" s="360">
        <v>4200</v>
      </c>
      <c r="M1069" s="359" t="s">
        <v>557</v>
      </c>
      <c r="N1069" s="139">
        <f t="shared" si="55"/>
        <v>4200</v>
      </c>
      <c r="O1069" s="93" t="s">
        <v>3593</v>
      </c>
      <c r="P1069" s="231" t="str">
        <f t="shared" si="56"/>
        <v>Aterro</v>
      </c>
      <c r="Q1069" s="541" t="s">
        <v>1901</v>
      </c>
      <c r="R1069" s="541" t="s">
        <v>1892</v>
      </c>
      <c r="S1069" s="542" t="s">
        <v>3594</v>
      </c>
      <c r="T1069" s="540" t="s">
        <v>3590</v>
      </c>
      <c r="U1069" s="540" t="s">
        <v>3591</v>
      </c>
      <c r="V1069" s="540"/>
    </row>
    <row r="1070" spans="1:22" ht="15.75" thickBot="1" x14ac:dyDescent="0.3">
      <c r="A1070" s="93" t="s">
        <v>4602</v>
      </c>
      <c r="B1070" s="93" t="s">
        <v>4602</v>
      </c>
      <c r="C1070" s="424" t="str">
        <f t="shared" si="54"/>
        <v>X</v>
      </c>
      <c r="D1070" s="422">
        <v>2023</v>
      </c>
      <c r="E1070" s="250" t="s">
        <v>3499</v>
      </c>
      <c r="F1070" s="250" t="s">
        <v>3566</v>
      </c>
      <c r="G1070" s="422" t="s">
        <v>42</v>
      </c>
      <c r="H1070" s="424" t="s">
        <v>42</v>
      </c>
      <c r="I1070" s="522">
        <v>150110</v>
      </c>
      <c r="J1070" s="425" t="str">
        <f>INDEX(aux!B:B,MATCH(I1070,aux!A:A,0))</f>
        <v>(*) Embalagens contendo ou contaminadas por resíduos de substâncias perigosas</v>
      </c>
      <c r="K1070" s="433" t="str">
        <f>INDEX(aux!C:C,MATCH(I1070,aux!A:A,0))</f>
        <v>Sim</v>
      </c>
      <c r="L1070" s="360">
        <v>14</v>
      </c>
      <c r="M1070" s="359" t="s">
        <v>557</v>
      </c>
      <c r="N1070" s="139">
        <f t="shared" si="55"/>
        <v>14</v>
      </c>
      <c r="O1070" s="93" t="s">
        <v>3592</v>
      </c>
      <c r="P1070" s="231" t="str">
        <f t="shared" si="56"/>
        <v>Reciclagem</v>
      </c>
      <c r="Q1070" s="541" t="s">
        <v>1901</v>
      </c>
      <c r="R1070" s="541" t="s">
        <v>1892</v>
      </c>
      <c r="S1070" s="542" t="s">
        <v>3594</v>
      </c>
      <c r="T1070" s="540" t="s">
        <v>3590</v>
      </c>
      <c r="U1070" s="540" t="s">
        <v>3591</v>
      </c>
      <c r="V1070" s="540"/>
    </row>
    <row r="1071" spans="1:22" ht="15.75" hidden="1" thickBot="1" x14ac:dyDescent="0.3">
      <c r="A1071" s="529" t="s">
        <v>4602</v>
      </c>
      <c r="B1071" s="529" t="s">
        <v>4602</v>
      </c>
      <c r="C1071" s="424" t="str">
        <f t="shared" ref="C1071:C1134" si="57">IF(A1071=B1071,"X",RIGHT(A1071,LEN(A1071)-LEN(B1071)-3))</f>
        <v>X</v>
      </c>
      <c r="D1071" s="422">
        <v>2022</v>
      </c>
      <c r="E1071" s="250" t="s">
        <v>3499</v>
      </c>
      <c r="F1071" s="250" t="s">
        <v>3566</v>
      </c>
      <c r="G1071" s="422" t="s">
        <v>42</v>
      </c>
      <c r="H1071" s="424" t="s">
        <v>42</v>
      </c>
      <c r="I1071" s="524">
        <v>200301</v>
      </c>
      <c r="J1071" s="425" t="str">
        <f>INDEX(aux!B:B,MATCH(I1071,aux!A:A,0))</f>
        <v>Misturas de resíduos urbanos equiparados</v>
      </c>
      <c r="K1071" s="433" t="str">
        <f>INDEX(aux!C:C,MATCH(I1071,aux!A:A,0))</f>
        <v>Não</v>
      </c>
      <c r="L1071" s="662">
        <v>353253</v>
      </c>
      <c r="M1071" s="535" t="s">
        <v>557</v>
      </c>
      <c r="N1071" s="139">
        <f t="shared" si="55"/>
        <v>353253</v>
      </c>
      <c r="O1071" s="538" t="s">
        <v>3592</v>
      </c>
      <c r="P1071" s="231" t="str">
        <f t="shared" si="56"/>
        <v>Reciclagem</v>
      </c>
      <c r="Q1071" s="541" t="s">
        <v>1908</v>
      </c>
      <c r="R1071" s="541" t="s">
        <v>1877</v>
      </c>
      <c r="S1071" s="429" t="s">
        <v>3594</v>
      </c>
      <c r="T1071" s="429" t="s">
        <v>3590</v>
      </c>
      <c r="U1071" s="429" t="s">
        <v>3591</v>
      </c>
      <c r="V1071" s="672" t="s">
        <v>3589</v>
      </c>
    </row>
    <row r="1072" spans="1:22" ht="15.75" hidden="1" thickBot="1" x14ac:dyDescent="0.3">
      <c r="A1072" s="529" t="s">
        <v>4602</v>
      </c>
      <c r="B1072" s="529" t="s">
        <v>4602</v>
      </c>
      <c r="C1072" s="424" t="str">
        <f t="shared" si="57"/>
        <v>X</v>
      </c>
      <c r="D1072" s="422">
        <v>2022</v>
      </c>
      <c r="E1072" s="250" t="s">
        <v>3499</v>
      </c>
      <c r="F1072" s="250" t="s">
        <v>3566</v>
      </c>
      <c r="G1072" s="422" t="s">
        <v>42</v>
      </c>
      <c r="H1072" s="424" t="s">
        <v>42</v>
      </c>
      <c r="I1072" s="524">
        <v>200301</v>
      </c>
      <c r="J1072" s="425" t="str">
        <f>INDEX(aux!B:B,MATCH(I1072,aux!A:A,0))</f>
        <v>Misturas de resíduos urbanos equiparados</v>
      </c>
      <c r="K1072" s="433" t="str">
        <f>INDEX(aux!C:C,MATCH(I1072,aux!A:A,0))</f>
        <v>Não</v>
      </c>
      <c r="L1072" s="662">
        <v>1</v>
      </c>
      <c r="M1072" s="535" t="s">
        <v>557</v>
      </c>
      <c r="N1072" s="139">
        <f t="shared" si="55"/>
        <v>1</v>
      </c>
      <c r="O1072" s="538" t="s">
        <v>3592</v>
      </c>
      <c r="P1072" s="231" t="str">
        <f t="shared" si="56"/>
        <v>Reciclagem</v>
      </c>
      <c r="Q1072" s="541" t="s">
        <v>1908</v>
      </c>
      <c r="R1072" s="541" t="s">
        <v>1877</v>
      </c>
      <c r="S1072" s="429" t="s">
        <v>3594</v>
      </c>
      <c r="T1072" s="429" t="s">
        <v>3590</v>
      </c>
      <c r="U1072" s="429" t="s">
        <v>3591</v>
      </c>
      <c r="V1072" s="540"/>
    </row>
    <row r="1073" spans="1:22" ht="15.75" hidden="1" thickBot="1" x14ac:dyDescent="0.3">
      <c r="A1073" s="529" t="s">
        <v>4602</v>
      </c>
      <c r="B1073" s="529" t="s">
        <v>4602</v>
      </c>
      <c r="C1073" s="424" t="str">
        <f t="shared" si="57"/>
        <v>X</v>
      </c>
      <c r="D1073" s="422">
        <v>2022</v>
      </c>
      <c r="E1073" s="250" t="s">
        <v>3499</v>
      </c>
      <c r="F1073" s="250" t="s">
        <v>3566</v>
      </c>
      <c r="G1073" s="422" t="s">
        <v>42</v>
      </c>
      <c r="H1073" s="424" t="s">
        <v>42</v>
      </c>
      <c r="I1073" s="524">
        <v>200303</v>
      </c>
      <c r="J1073" s="425" t="str">
        <f>INDEX(aux!B:B,MATCH(I1073,aux!A:A,0))</f>
        <v>Resíduos da limpeza de ruas</v>
      </c>
      <c r="K1073" s="433" t="str">
        <f>INDEX(aux!C:C,MATCH(I1073,aux!A:A,0))</f>
        <v>Não</v>
      </c>
      <c r="L1073" s="662">
        <v>50080</v>
      </c>
      <c r="M1073" s="535" t="s">
        <v>557</v>
      </c>
      <c r="N1073" s="139">
        <f t="shared" si="55"/>
        <v>50080</v>
      </c>
      <c r="O1073" s="538" t="s">
        <v>3593</v>
      </c>
      <c r="P1073" s="231" t="str">
        <f t="shared" si="56"/>
        <v>Aterro</v>
      </c>
      <c r="Q1073" s="541" t="s">
        <v>1908</v>
      </c>
      <c r="R1073" s="541" t="s">
        <v>1877</v>
      </c>
      <c r="S1073" s="429" t="s">
        <v>3594</v>
      </c>
      <c r="T1073" s="429" t="s">
        <v>3590</v>
      </c>
      <c r="U1073" s="429" t="s">
        <v>3591</v>
      </c>
      <c r="V1073" s="672" t="s">
        <v>3589</v>
      </c>
    </row>
    <row r="1074" spans="1:22" ht="15.75" thickBot="1" x14ac:dyDescent="0.3">
      <c r="A1074" s="422" t="s">
        <v>4602</v>
      </c>
      <c r="B1074" s="422" t="s">
        <v>4602</v>
      </c>
      <c r="C1074" s="424" t="str">
        <f t="shared" si="57"/>
        <v>X</v>
      </c>
      <c r="D1074" s="422">
        <v>2023</v>
      </c>
      <c r="E1074" s="250" t="s">
        <v>3499</v>
      </c>
      <c r="F1074" s="250" t="s">
        <v>3566</v>
      </c>
      <c r="G1074" s="422" t="s">
        <v>42</v>
      </c>
      <c r="H1074" s="424" t="s">
        <v>42</v>
      </c>
      <c r="I1074" s="487">
        <v>200301</v>
      </c>
      <c r="J1074" s="425" t="str">
        <f>INDEX(aux!B:B,MATCH(I1074,aux!A:A,0))</f>
        <v>Misturas de resíduos urbanos equiparados</v>
      </c>
      <c r="K1074" s="433" t="str">
        <f>INDEX(aux!C:C,MATCH(I1074,aux!A:A,0))</f>
        <v>Não</v>
      </c>
      <c r="L1074" s="259">
        <v>6448</v>
      </c>
      <c r="M1074" s="428" t="s">
        <v>557</v>
      </c>
      <c r="N1074" s="139">
        <f t="shared" si="55"/>
        <v>6448</v>
      </c>
      <c r="O1074" s="422" t="s">
        <v>3593</v>
      </c>
      <c r="P1074" s="231" t="str">
        <f t="shared" si="56"/>
        <v>Aterro</v>
      </c>
      <c r="Q1074" s="541" t="s">
        <v>1908</v>
      </c>
      <c r="R1074" s="541" t="s">
        <v>1877</v>
      </c>
      <c r="S1074" s="542" t="s">
        <v>3594</v>
      </c>
      <c r="T1074" s="540" t="s">
        <v>3590</v>
      </c>
      <c r="U1074" s="540" t="s">
        <v>3591</v>
      </c>
      <c r="V1074" s="540"/>
    </row>
    <row r="1075" spans="1:22" ht="15.75" hidden="1" thickBot="1" x14ac:dyDescent="0.3">
      <c r="A1075" s="529" t="s">
        <v>4602</v>
      </c>
      <c r="B1075" s="529" t="s">
        <v>4602</v>
      </c>
      <c r="C1075" s="424" t="str">
        <f t="shared" si="57"/>
        <v>X</v>
      </c>
      <c r="D1075" s="422">
        <v>2022</v>
      </c>
      <c r="E1075" s="250" t="s">
        <v>3499</v>
      </c>
      <c r="F1075" s="250" t="s">
        <v>3566</v>
      </c>
      <c r="G1075" s="422" t="s">
        <v>42</v>
      </c>
      <c r="H1075" s="424" t="s">
        <v>42</v>
      </c>
      <c r="I1075" s="524">
        <v>101112</v>
      </c>
      <c r="J1075" s="425" t="str">
        <f>INDEX(aux!B:B,MATCH(I1075,aux!A:A,0))</f>
        <v>Resíduos de vidro não abrangidos em 10 11 11</v>
      </c>
      <c r="K1075" s="433" t="str">
        <f>INDEX(aux!C:C,MATCH(I1075,aux!A:A,0))</f>
        <v>Não</v>
      </c>
      <c r="L1075" s="662">
        <v>1327</v>
      </c>
      <c r="M1075" s="535" t="s">
        <v>557</v>
      </c>
      <c r="N1075" s="139">
        <f t="shared" si="55"/>
        <v>1327</v>
      </c>
      <c r="O1075" s="538" t="s">
        <v>3592</v>
      </c>
      <c r="P1075" s="231" t="str">
        <f t="shared" si="56"/>
        <v>Reciclagem</v>
      </c>
      <c r="Q1075" s="541" t="s">
        <v>1561</v>
      </c>
      <c r="R1075" s="541" t="s">
        <v>1903</v>
      </c>
      <c r="S1075" s="429" t="s">
        <v>3594</v>
      </c>
      <c r="T1075" s="429" t="s">
        <v>3590</v>
      </c>
      <c r="U1075" s="429" t="s">
        <v>3591</v>
      </c>
      <c r="V1075" s="672" t="s">
        <v>3589</v>
      </c>
    </row>
    <row r="1076" spans="1:22" ht="15.75" hidden="1" thickBot="1" x14ac:dyDescent="0.3">
      <c r="A1076" s="529" t="s">
        <v>4602</v>
      </c>
      <c r="B1076" s="529" t="s">
        <v>4602</v>
      </c>
      <c r="C1076" s="424" t="str">
        <f t="shared" si="57"/>
        <v>X</v>
      </c>
      <c r="D1076" s="422">
        <v>2022</v>
      </c>
      <c r="E1076" s="250" t="s">
        <v>3499</v>
      </c>
      <c r="F1076" s="250" t="s">
        <v>3566</v>
      </c>
      <c r="G1076" s="422" t="s">
        <v>42</v>
      </c>
      <c r="H1076" s="424" t="s">
        <v>42</v>
      </c>
      <c r="I1076" s="524">
        <v>150107</v>
      </c>
      <c r="J1076" s="425" t="str">
        <f>INDEX(aux!B:B,MATCH(I1076,aux!A:A,0))</f>
        <v>Embalagens de vidro</v>
      </c>
      <c r="K1076" s="433" t="str">
        <f>INDEX(aux!C:C,MATCH(I1076,aux!A:A,0))</f>
        <v>Não</v>
      </c>
      <c r="L1076" s="662">
        <v>37890</v>
      </c>
      <c r="M1076" s="535" t="s">
        <v>557</v>
      </c>
      <c r="N1076" s="139">
        <f t="shared" si="55"/>
        <v>37890</v>
      </c>
      <c r="O1076" s="538" t="s">
        <v>3592</v>
      </c>
      <c r="P1076" s="231" t="str">
        <f t="shared" si="56"/>
        <v>Reciclagem</v>
      </c>
      <c r="Q1076" s="541" t="s">
        <v>1561</v>
      </c>
      <c r="R1076" s="541" t="s">
        <v>1903</v>
      </c>
      <c r="S1076" s="429" t="s">
        <v>3594</v>
      </c>
      <c r="T1076" s="429" t="s">
        <v>3590</v>
      </c>
      <c r="U1076" s="429" t="s">
        <v>3591</v>
      </c>
      <c r="V1076" s="672" t="s">
        <v>3589</v>
      </c>
    </row>
    <row r="1077" spans="1:22" ht="15.75" hidden="1" thickBot="1" x14ac:dyDescent="0.3">
      <c r="A1077" s="529" t="s">
        <v>4602</v>
      </c>
      <c r="B1077" s="529" t="s">
        <v>4602</v>
      </c>
      <c r="C1077" s="424" t="str">
        <f t="shared" si="57"/>
        <v>X</v>
      </c>
      <c r="D1077" s="422">
        <v>2022</v>
      </c>
      <c r="E1077" s="250" t="s">
        <v>3499</v>
      </c>
      <c r="F1077" s="250" t="s">
        <v>3566</v>
      </c>
      <c r="G1077" s="422" t="s">
        <v>42</v>
      </c>
      <c r="H1077" s="424" t="s">
        <v>42</v>
      </c>
      <c r="I1077" s="524">
        <v>160120</v>
      </c>
      <c r="J1077" s="425" t="str">
        <f>INDEX(aux!B:B,MATCH(I1077,aux!A:A,0))</f>
        <v>Vidro</v>
      </c>
      <c r="K1077" s="433" t="str">
        <f>INDEX(aux!C:C,MATCH(I1077,aux!A:A,0))</f>
        <v>Não</v>
      </c>
      <c r="L1077" s="662">
        <v>4320</v>
      </c>
      <c r="M1077" s="535" t="s">
        <v>557</v>
      </c>
      <c r="N1077" s="139">
        <f t="shared" si="55"/>
        <v>4320</v>
      </c>
      <c r="O1077" s="538" t="s">
        <v>3592</v>
      </c>
      <c r="P1077" s="231" t="str">
        <f t="shared" si="56"/>
        <v>Reciclagem</v>
      </c>
      <c r="Q1077" s="541" t="s">
        <v>1561</v>
      </c>
      <c r="R1077" s="541" t="s">
        <v>1903</v>
      </c>
      <c r="S1077" s="429" t="s">
        <v>3594</v>
      </c>
      <c r="T1077" s="429" t="s">
        <v>3590</v>
      </c>
      <c r="U1077" s="429" t="s">
        <v>3591</v>
      </c>
      <c r="V1077" s="672" t="s">
        <v>3589</v>
      </c>
    </row>
    <row r="1078" spans="1:22" ht="15.75" thickBot="1" x14ac:dyDescent="0.3">
      <c r="A1078" s="93" t="s">
        <v>4602</v>
      </c>
      <c r="B1078" s="93" t="s">
        <v>4602</v>
      </c>
      <c r="C1078" s="424" t="str">
        <f t="shared" si="57"/>
        <v>X</v>
      </c>
      <c r="D1078" s="422">
        <v>2023</v>
      </c>
      <c r="E1078" s="250" t="s">
        <v>3499</v>
      </c>
      <c r="F1078" s="250" t="s">
        <v>3566</v>
      </c>
      <c r="G1078" s="422" t="s">
        <v>42</v>
      </c>
      <c r="H1078" s="424" t="s">
        <v>42</v>
      </c>
      <c r="I1078" s="487">
        <v>200102</v>
      </c>
      <c r="J1078" s="425" t="str">
        <f>INDEX(aux!B:B,MATCH(I1078,aux!A:A,0))</f>
        <v>Vidro</v>
      </c>
      <c r="K1078" s="433" t="str">
        <f>INDEX(aux!C:C,MATCH(I1078,aux!A:A,0))</f>
        <v>Não</v>
      </c>
      <c r="L1078" s="360">
        <v>350</v>
      </c>
      <c r="M1078" s="359" t="s">
        <v>557</v>
      </c>
      <c r="N1078" s="139">
        <f t="shared" si="55"/>
        <v>350</v>
      </c>
      <c r="O1078" s="93" t="s">
        <v>3592</v>
      </c>
      <c r="P1078" s="231" t="str">
        <f t="shared" si="56"/>
        <v>Reciclagem</v>
      </c>
      <c r="Q1078" s="541" t="s">
        <v>1561</v>
      </c>
      <c r="R1078" s="541" t="s">
        <v>6569</v>
      </c>
      <c r="S1078" s="542" t="s">
        <v>3594</v>
      </c>
      <c r="T1078" s="540" t="s">
        <v>3590</v>
      </c>
      <c r="U1078" s="540" t="s">
        <v>3591</v>
      </c>
      <c r="V1078" s="540"/>
    </row>
    <row r="1079" spans="1:22" ht="15.75" thickBot="1" x14ac:dyDescent="0.3">
      <c r="A1079" s="93" t="s">
        <v>6329</v>
      </c>
      <c r="B1079" s="93" t="s">
        <v>4602</v>
      </c>
      <c r="C1079" s="424" t="str">
        <f t="shared" si="57"/>
        <v>Subcontratados da ViaPorto</v>
      </c>
      <c r="D1079" s="422">
        <v>2023</v>
      </c>
      <c r="E1079" s="250" t="s">
        <v>3499</v>
      </c>
      <c r="F1079" s="250" t="s">
        <v>3566</v>
      </c>
      <c r="G1079" s="422" t="s">
        <v>42</v>
      </c>
      <c r="H1079" s="424" t="s">
        <v>42</v>
      </c>
      <c r="I1079" s="522">
        <v>160601</v>
      </c>
      <c r="J1079" s="425" t="str">
        <f>INDEX(aux!B:B,MATCH(I1079,aux!A:A,0))</f>
        <v>(*) Acumuladores de chumbo</v>
      </c>
      <c r="K1079" s="433" t="str">
        <f>INDEX(aux!C:C,MATCH(I1079,aux!A:A,0))</f>
        <v>Sim</v>
      </c>
      <c r="L1079" s="360">
        <v>207</v>
      </c>
      <c r="M1079" s="359" t="s">
        <v>557</v>
      </c>
      <c r="N1079" s="139">
        <f t="shared" si="55"/>
        <v>207</v>
      </c>
      <c r="O1079" s="93" t="s">
        <v>3592</v>
      </c>
      <c r="P1079" s="231" t="str">
        <f t="shared" si="56"/>
        <v>Reciclagem</v>
      </c>
      <c r="Q1079" s="541" t="s">
        <v>1653</v>
      </c>
      <c r="R1079" s="541" t="s">
        <v>1877</v>
      </c>
      <c r="S1079" s="542" t="s">
        <v>3594</v>
      </c>
      <c r="T1079" s="540" t="s">
        <v>3590</v>
      </c>
      <c r="U1079" s="540" t="s">
        <v>3591</v>
      </c>
      <c r="V1079" s="540"/>
    </row>
    <row r="1080" spans="1:22" ht="15.75" thickBot="1" x14ac:dyDescent="0.3">
      <c r="A1080" s="93" t="s">
        <v>6329</v>
      </c>
      <c r="B1080" s="93" t="s">
        <v>4602</v>
      </c>
      <c r="C1080" s="424" t="str">
        <f t="shared" si="57"/>
        <v>Subcontratados da ViaPorto</v>
      </c>
      <c r="D1080" s="422">
        <v>2023</v>
      </c>
      <c r="E1080" s="250" t="s">
        <v>3499</v>
      </c>
      <c r="F1080" s="250" t="s">
        <v>3566</v>
      </c>
      <c r="G1080" s="422" t="s">
        <v>42</v>
      </c>
      <c r="H1080" s="424" t="s">
        <v>42</v>
      </c>
      <c r="I1080" s="522">
        <v>160602</v>
      </c>
      <c r="J1080" s="425" t="str">
        <f>INDEX(aux!B:B,MATCH(I1080,aux!A:A,0))</f>
        <v>(*) Acumuladores de níquel-cádmio</v>
      </c>
      <c r="K1080" s="433" t="str">
        <f>INDEX(aux!C:C,MATCH(I1080,aux!A:A,0))</f>
        <v>Sim</v>
      </c>
      <c r="L1080" s="360">
        <v>630</v>
      </c>
      <c r="M1080" s="359" t="s">
        <v>557</v>
      </c>
      <c r="N1080" s="139">
        <f t="shared" si="55"/>
        <v>630</v>
      </c>
      <c r="O1080" s="93" t="s">
        <v>3592</v>
      </c>
      <c r="P1080" s="231" t="str">
        <f t="shared" si="56"/>
        <v>Reciclagem</v>
      </c>
      <c r="Q1080" s="541" t="s">
        <v>1653</v>
      </c>
      <c r="R1080" s="541" t="s">
        <v>1877</v>
      </c>
      <c r="S1080" s="542" t="s">
        <v>3594</v>
      </c>
      <c r="T1080" s="540" t="s">
        <v>3590</v>
      </c>
      <c r="U1080" s="540" t="s">
        <v>3591</v>
      </c>
      <c r="V1080" s="540"/>
    </row>
    <row r="1081" spans="1:22" ht="15.75" thickBot="1" x14ac:dyDescent="0.3">
      <c r="A1081" s="93" t="s">
        <v>6329</v>
      </c>
      <c r="B1081" s="93" t="s">
        <v>4602</v>
      </c>
      <c r="C1081" s="424" t="str">
        <f t="shared" si="57"/>
        <v>Subcontratados da ViaPorto</v>
      </c>
      <c r="D1081" s="422">
        <v>2023</v>
      </c>
      <c r="E1081" s="250" t="s">
        <v>3499</v>
      </c>
      <c r="F1081" s="250" t="s">
        <v>3566</v>
      </c>
      <c r="G1081" s="422" t="s">
        <v>42</v>
      </c>
      <c r="H1081" s="424" t="s">
        <v>42</v>
      </c>
      <c r="I1081" s="522">
        <v>200133</v>
      </c>
      <c r="J1081" s="425" t="str">
        <f>INDEX(aux!B:B,MATCH(I1081,aux!A:A,0))</f>
        <v>(*) Pilhas e acumuladores abrangidos em 16 06 01, 16 06 02 ou 16 06 03 e pilhas e acumuladores não triados contendo desses acumuladores ou pilhas</v>
      </c>
      <c r="K1081" s="433" t="str">
        <f>INDEX(aux!C:C,MATCH(I1081,aux!A:A,0))</f>
        <v>Sim</v>
      </c>
      <c r="L1081" s="360">
        <v>35</v>
      </c>
      <c r="M1081" s="359" t="s">
        <v>557</v>
      </c>
      <c r="N1081" s="139">
        <f t="shared" si="55"/>
        <v>35</v>
      </c>
      <c r="O1081" s="93" t="s">
        <v>3592</v>
      </c>
      <c r="P1081" s="231" t="str">
        <f t="shared" si="56"/>
        <v>Reciclagem</v>
      </c>
      <c r="Q1081" s="541" t="s">
        <v>1653</v>
      </c>
      <c r="R1081" s="541" t="s">
        <v>1877</v>
      </c>
      <c r="S1081" s="542" t="s">
        <v>3594</v>
      </c>
      <c r="T1081" s="540" t="s">
        <v>3590</v>
      </c>
      <c r="U1081" s="540" t="s">
        <v>3591</v>
      </c>
      <c r="V1081" s="540"/>
    </row>
    <row r="1082" spans="1:22" ht="15.75" thickBot="1" x14ac:dyDescent="0.3">
      <c r="A1082" s="93" t="s">
        <v>6329</v>
      </c>
      <c r="B1082" s="93" t="s">
        <v>4602</v>
      </c>
      <c r="C1082" s="424" t="str">
        <f t="shared" si="57"/>
        <v>Subcontratados da ViaPorto</v>
      </c>
      <c r="D1082" s="422">
        <v>2023</v>
      </c>
      <c r="E1082" s="250" t="s">
        <v>3499</v>
      </c>
      <c r="F1082" s="250" t="s">
        <v>3566</v>
      </c>
      <c r="G1082" s="422" t="s">
        <v>42</v>
      </c>
      <c r="H1082" s="424" t="s">
        <v>42</v>
      </c>
      <c r="I1082" s="522">
        <v>200135</v>
      </c>
      <c r="J1082" s="425" t="str">
        <f>INDEX(aux!B:B,MATCH(I1082,aux!A:A,0))</f>
        <v>(*) Equipamento elétrico e eletrónico fora de uso, não abrangido em 20 01 21 ou 20 01 23, contendo componentes perigosos</v>
      </c>
      <c r="K1082" s="433" t="str">
        <f>INDEX(aux!C:C,MATCH(I1082,aux!A:A,0))</f>
        <v>Sim</v>
      </c>
      <c r="L1082" s="360">
        <v>210</v>
      </c>
      <c r="M1082" s="359" t="s">
        <v>557</v>
      </c>
      <c r="N1082" s="139">
        <f t="shared" si="55"/>
        <v>210</v>
      </c>
      <c r="O1082" s="93" t="s">
        <v>3592</v>
      </c>
      <c r="P1082" s="231" t="str">
        <f t="shared" si="56"/>
        <v>Reciclagem</v>
      </c>
      <c r="Q1082" s="541" t="s">
        <v>1909</v>
      </c>
      <c r="R1082" s="541" t="s">
        <v>1877</v>
      </c>
      <c r="S1082" s="542" t="s">
        <v>3594</v>
      </c>
      <c r="T1082" s="540" t="s">
        <v>3590</v>
      </c>
      <c r="U1082" s="540" t="s">
        <v>3591</v>
      </c>
      <c r="V1082" s="540"/>
    </row>
    <row r="1083" spans="1:22" ht="15.75" thickBot="1" x14ac:dyDescent="0.3">
      <c r="A1083" s="93" t="s">
        <v>6329</v>
      </c>
      <c r="B1083" s="93" t="s">
        <v>4602</v>
      </c>
      <c r="C1083" s="424" t="str">
        <f t="shared" si="57"/>
        <v>Subcontratados da ViaPorto</v>
      </c>
      <c r="D1083" s="422">
        <v>2023</v>
      </c>
      <c r="E1083" s="250" t="s">
        <v>3499</v>
      </c>
      <c r="F1083" s="250" t="s">
        <v>3566</v>
      </c>
      <c r="G1083" s="422" t="s">
        <v>42</v>
      </c>
      <c r="H1083" s="424" t="s">
        <v>42</v>
      </c>
      <c r="I1083" s="522">
        <v>200136</v>
      </c>
      <c r="J1083" s="425" t="str">
        <f>INDEX(aux!B:B,MATCH(I1083,aux!A:A,0))</f>
        <v>Equipamento elétrico e eletrónico fora de uso não abrangido em 20 01 21, 20 01 23 ou 20 01 35</v>
      </c>
      <c r="K1083" s="433" t="str">
        <f>INDEX(aux!C:C,MATCH(I1083,aux!A:A,0))</f>
        <v>Não</v>
      </c>
      <c r="L1083" s="360">
        <v>1525</v>
      </c>
      <c r="M1083" s="359" t="s">
        <v>557</v>
      </c>
      <c r="N1083" s="139">
        <f t="shared" si="55"/>
        <v>1525</v>
      </c>
      <c r="O1083" s="93" t="s">
        <v>3592</v>
      </c>
      <c r="P1083" s="231" t="str">
        <f t="shared" si="56"/>
        <v>Reciclagem</v>
      </c>
      <c r="Q1083" s="541" t="s">
        <v>1909</v>
      </c>
      <c r="R1083" s="541" t="s">
        <v>1877</v>
      </c>
      <c r="S1083" s="542" t="s">
        <v>3594</v>
      </c>
      <c r="T1083" s="540" t="s">
        <v>3590</v>
      </c>
      <c r="U1083" s="540" t="s">
        <v>3591</v>
      </c>
      <c r="V1083" s="540"/>
    </row>
    <row r="1084" spans="1:22" ht="15.75" thickBot="1" x14ac:dyDescent="0.3">
      <c r="A1084" s="93" t="s">
        <v>6329</v>
      </c>
      <c r="B1084" s="93" t="s">
        <v>4602</v>
      </c>
      <c r="C1084" s="424" t="str">
        <f t="shared" si="57"/>
        <v>Subcontratados da ViaPorto</v>
      </c>
      <c r="D1084" s="422">
        <v>2023</v>
      </c>
      <c r="E1084" s="250" t="s">
        <v>3499</v>
      </c>
      <c r="F1084" s="250" t="s">
        <v>3566</v>
      </c>
      <c r="G1084" s="422" t="s">
        <v>42</v>
      </c>
      <c r="H1084" s="424" t="s">
        <v>42</v>
      </c>
      <c r="I1084" s="522">
        <v>200138</v>
      </c>
      <c r="J1084" s="425" t="str">
        <f>INDEX(aux!B:B,MATCH(I1084,aux!A:A,0))</f>
        <v>Madeira não abrangida em 20 01 37</v>
      </c>
      <c r="K1084" s="433" t="str">
        <f>INDEX(aux!C:C,MATCH(I1084,aux!A:A,0))</f>
        <v>Não</v>
      </c>
      <c r="L1084" s="360">
        <v>14745</v>
      </c>
      <c r="M1084" s="359" t="s">
        <v>557</v>
      </c>
      <c r="N1084" s="139">
        <f t="shared" si="55"/>
        <v>14745</v>
      </c>
      <c r="O1084" s="93" t="s">
        <v>3592</v>
      </c>
      <c r="P1084" s="231" t="str">
        <f t="shared" si="56"/>
        <v>Reciclagem</v>
      </c>
      <c r="Q1084" s="541" t="s">
        <v>1905</v>
      </c>
      <c r="R1084" s="541" t="s">
        <v>6569</v>
      </c>
      <c r="S1084" s="542" t="s">
        <v>3594</v>
      </c>
      <c r="T1084" s="540" t="s">
        <v>3590</v>
      </c>
      <c r="U1084" s="540" t="s">
        <v>3591</v>
      </c>
      <c r="V1084" s="540"/>
    </row>
    <row r="1085" spans="1:22" ht="15.75" thickBot="1" x14ac:dyDescent="0.3">
      <c r="A1085" s="93" t="s">
        <v>6329</v>
      </c>
      <c r="B1085" s="93" t="s">
        <v>4602</v>
      </c>
      <c r="C1085" s="424" t="str">
        <f t="shared" si="57"/>
        <v>Subcontratados da ViaPorto</v>
      </c>
      <c r="D1085" s="422">
        <v>2023</v>
      </c>
      <c r="E1085" s="250" t="s">
        <v>3499</v>
      </c>
      <c r="F1085" s="250" t="s">
        <v>3566</v>
      </c>
      <c r="G1085" s="422" t="s">
        <v>42</v>
      </c>
      <c r="H1085" s="424" t="s">
        <v>42</v>
      </c>
      <c r="I1085" s="522">
        <v>120101</v>
      </c>
      <c r="J1085" s="425" t="str">
        <f>INDEX(aux!B:B,MATCH(I1085,aux!A:A,0))</f>
        <v>Aparas e limalhas de metais ferrosos</v>
      </c>
      <c r="K1085" s="433" t="str">
        <f>INDEX(aux!C:C,MATCH(I1085,aux!A:A,0))</f>
        <v>Não</v>
      </c>
      <c r="L1085" s="360">
        <v>12980</v>
      </c>
      <c r="M1085" s="359" t="s">
        <v>557</v>
      </c>
      <c r="N1085" s="139">
        <f t="shared" si="55"/>
        <v>12980</v>
      </c>
      <c r="O1085" s="93" t="s">
        <v>3592</v>
      </c>
      <c r="P1085" s="231" t="str">
        <f t="shared" si="56"/>
        <v>Reciclagem</v>
      </c>
      <c r="Q1085" s="541" t="s">
        <v>1557</v>
      </c>
      <c r="R1085" s="541" t="s">
        <v>6569</v>
      </c>
      <c r="S1085" s="542" t="s">
        <v>3594</v>
      </c>
      <c r="T1085" s="540" t="s">
        <v>3590</v>
      </c>
      <c r="U1085" s="540" t="s">
        <v>3591</v>
      </c>
      <c r="V1085" s="540"/>
    </row>
    <row r="1086" spans="1:22" ht="15.75" thickBot="1" x14ac:dyDescent="0.3">
      <c r="A1086" s="93" t="s">
        <v>6329</v>
      </c>
      <c r="B1086" s="93" t="s">
        <v>4602</v>
      </c>
      <c r="C1086" s="424" t="str">
        <f t="shared" si="57"/>
        <v>Subcontratados da ViaPorto</v>
      </c>
      <c r="D1086" s="422">
        <v>2023</v>
      </c>
      <c r="E1086" s="250" t="s">
        <v>3499</v>
      </c>
      <c r="F1086" s="250" t="s">
        <v>3566</v>
      </c>
      <c r="G1086" s="422" t="s">
        <v>42</v>
      </c>
      <c r="H1086" s="424" t="s">
        <v>42</v>
      </c>
      <c r="I1086" s="522">
        <v>160112</v>
      </c>
      <c r="J1086" s="425" t="str">
        <f>INDEX(aux!B:B,MATCH(I1086,aux!A:A,0))</f>
        <v>Pastilhas de travões não abrangidas em 16 01 11</v>
      </c>
      <c r="K1086" s="433" t="str">
        <f>INDEX(aux!C:C,MATCH(I1086,aux!A:A,0))</f>
        <v>Não</v>
      </c>
      <c r="L1086" s="360">
        <v>2224</v>
      </c>
      <c r="M1086" s="359" t="s">
        <v>557</v>
      </c>
      <c r="N1086" s="139">
        <f t="shared" si="55"/>
        <v>2224</v>
      </c>
      <c r="O1086" s="93" t="s">
        <v>3592</v>
      </c>
      <c r="P1086" s="231" t="str">
        <f t="shared" si="56"/>
        <v>Reciclagem</v>
      </c>
      <c r="Q1086" s="541" t="s">
        <v>1557</v>
      </c>
      <c r="R1086" s="541" t="s">
        <v>6569</v>
      </c>
      <c r="S1086" s="542" t="s">
        <v>3594</v>
      </c>
      <c r="T1086" s="540" t="s">
        <v>3590</v>
      </c>
      <c r="U1086" s="540" t="s">
        <v>3591</v>
      </c>
      <c r="V1086" s="540"/>
    </row>
    <row r="1087" spans="1:22" ht="15.75" thickBot="1" x14ac:dyDescent="0.3">
      <c r="A1087" s="93" t="s">
        <v>6329</v>
      </c>
      <c r="B1087" s="93" t="s">
        <v>4602</v>
      </c>
      <c r="C1087" s="424" t="str">
        <f t="shared" si="57"/>
        <v>Subcontratados da ViaPorto</v>
      </c>
      <c r="D1087" s="422">
        <v>2023</v>
      </c>
      <c r="E1087" s="250" t="s">
        <v>3499</v>
      </c>
      <c r="F1087" s="250" t="s">
        <v>3566</v>
      </c>
      <c r="G1087" s="422" t="s">
        <v>42</v>
      </c>
      <c r="H1087" s="424" t="s">
        <v>42</v>
      </c>
      <c r="I1087" s="522">
        <v>160117</v>
      </c>
      <c r="J1087" s="425" t="str">
        <f>INDEX(aux!B:B,MATCH(I1087,aux!A:A,0))</f>
        <v>Metais ferrosos</v>
      </c>
      <c r="K1087" s="433" t="str">
        <f>INDEX(aux!C:C,MATCH(I1087,aux!A:A,0))</f>
        <v>Não</v>
      </c>
      <c r="L1087" s="360">
        <v>14189</v>
      </c>
      <c r="M1087" s="359" t="s">
        <v>557</v>
      </c>
      <c r="N1087" s="139">
        <f t="shared" si="55"/>
        <v>14189</v>
      </c>
      <c r="O1087" s="93" t="s">
        <v>3592</v>
      </c>
      <c r="P1087" s="231" t="str">
        <f t="shared" si="56"/>
        <v>Reciclagem</v>
      </c>
      <c r="Q1087" s="541" t="s">
        <v>1557</v>
      </c>
      <c r="R1087" s="541" t="s">
        <v>6569</v>
      </c>
      <c r="S1087" s="542" t="s">
        <v>3594</v>
      </c>
      <c r="T1087" s="540" t="s">
        <v>3590</v>
      </c>
      <c r="U1087" s="540" t="s">
        <v>3591</v>
      </c>
      <c r="V1087" s="540"/>
    </row>
    <row r="1088" spans="1:22" ht="15.75" thickBot="1" x14ac:dyDescent="0.3">
      <c r="A1088" s="93" t="s">
        <v>6329</v>
      </c>
      <c r="B1088" s="93" t="s">
        <v>4602</v>
      </c>
      <c r="C1088" s="424" t="str">
        <f t="shared" si="57"/>
        <v>Subcontratados da ViaPorto</v>
      </c>
      <c r="D1088" s="422">
        <v>2023</v>
      </c>
      <c r="E1088" s="250" t="s">
        <v>3499</v>
      </c>
      <c r="F1088" s="250" t="s">
        <v>3566</v>
      </c>
      <c r="G1088" s="422" t="s">
        <v>42</v>
      </c>
      <c r="H1088" s="424" t="s">
        <v>42</v>
      </c>
      <c r="I1088" s="522">
        <v>170405</v>
      </c>
      <c r="J1088" s="425" t="str">
        <f>INDEX(aux!B:B,MATCH(I1088,aux!A:A,0))</f>
        <v>Ferro e Aço</v>
      </c>
      <c r="K1088" s="433" t="str">
        <f>INDEX(aux!C:C,MATCH(I1088,aux!A:A,0))</f>
        <v>Não</v>
      </c>
      <c r="L1088" s="360">
        <v>7172</v>
      </c>
      <c r="M1088" s="359" t="s">
        <v>557</v>
      </c>
      <c r="N1088" s="139">
        <f t="shared" si="55"/>
        <v>7172</v>
      </c>
      <c r="O1088" s="93" t="s">
        <v>3592</v>
      </c>
      <c r="P1088" s="231" t="str">
        <f t="shared" si="56"/>
        <v>Reciclagem</v>
      </c>
      <c r="Q1088" s="541" t="s">
        <v>1557</v>
      </c>
      <c r="R1088" s="541" t="s">
        <v>6569</v>
      </c>
      <c r="S1088" s="542" t="s">
        <v>3594</v>
      </c>
      <c r="T1088" s="540" t="s">
        <v>3590</v>
      </c>
      <c r="U1088" s="540" t="s">
        <v>3591</v>
      </c>
      <c r="V1088" s="540"/>
    </row>
    <row r="1089" spans="1:22" ht="15.75" thickBot="1" x14ac:dyDescent="0.3">
      <c r="A1089" s="93" t="s">
        <v>6329</v>
      </c>
      <c r="B1089" s="93" t="s">
        <v>4602</v>
      </c>
      <c r="C1089" s="424" t="str">
        <f t="shared" si="57"/>
        <v>Subcontratados da ViaPorto</v>
      </c>
      <c r="D1089" s="422">
        <v>2023</v>
      </c>
      <c r="E1089" s="250" t="s">
        <v>3499</v>
      </c>
      <c r="F1089" s="250" t="s">
        <v>3566</v>
      </c>
      <c r="G1089" s="422" t="s">
        <v>42</v>
      </c>
      <c r="H1089" s="424" t="s">
        <v>42</v>
      </c>
      <c r="I1089" s="522">
        <v>150104</v>
      </c>
      <c r="J1089" s="425" t="str">
        <f>INDEX(aux!B:B,MATCH(I1089,aux!A:A,0))</f>
        <v>Embalagens de metal</v>
      </c>
      <c r="K1089" s="433" t="str">
        <f>INDEX(aux!C:C,MATCH(I1089,aux!A:A,0))</f>
        <v>Não</v>
      </c>
      <c r="L1089" s="360">
        <v>341</v>
      </c>
      <c r="M1089" s="359" t="s">
        <v>557</v>
      </c>
      <c r="N1089" s="139">
        <f t="shared" si="55"/>
        <v>341</v>
      </c>
      <c r="O1089" s="93" t="s">
        <v>3592</v>
      </c>
      <c r="P1089" s="231" t="str">
        <f t="shared" si="56"/>
        <v>Reciclagem</v>
      </c>
      <c r="Q1089" s="541" t="s">
        <v>1906</v>
      </c>
      <c r="R1089" s="541" t="s">
        <v>6569</v>
      </c>
      <c r="S1089" s="542" t="s">
        <v>3594</v>
      </c>
      <c r="T1089" s="540" t="s">
        <v>3590</v>
      </c>
      <c r="U1089" s="540" t="s">
        <v>3591</v>
      </c>
      <c r="V1089" s="540"/>
    </row>
    <row r="1090" spans="1:22" ht="15.75" thickBot="1" x14ac:dyDescent="0.3">
      <c r="A1090" s="93" t="s">
        <v>6329</v>
      </c>
      <c r="B1090" s="93" t="s">
        <v>4602</v>
      </c>
      <c r="C1090" s="424" t="str">
        <f t="shared" si="57"/>
        <v>Subcontratados da ViaPorto</v>
      </c>
      <c r="D1090" s="422">
        <v>2023</v>
      </c>
      <c r="E1090" s="250" t="s">
        <v>3499</v>
      </c>
      <c r="F1090" s="250" t="s">
        <v>3566</v>
      </c>
      <c r="G1090" s="422" t="s">
        <v>42</v>
      </c>
      <c r="H1090" s="424" t="s">
        <v>42</v>
      </c>
      <c r="I1090" s="522">
        <v>150111</v>
      </c>
      <c r="J1090" s="425" t="str">
        <f>INDEX(aux!B:B,MATCH(I1090,aux!A:A,0))</f>
        <v>(*) Embalagens de metal, incluindo recipientes vazios sob pressão, contendo uma matriz porosa sólida perigosa (por exemplo, amianto)</v>
      </c>
      <c r="K1090" s="433" t="str">
        <f>INDEX(aux!C:C,MATCH(I1090,aux!A:A,0))</f>
        <v>Sim</v>
      </c>
      <c r="L1090" s="360">
        <v>155</v>
      </c>
      <c r="M1090" s="359" t="s">
        <v>557</v>
      </c>
      <c r="N1090" s="139">
        <f t="shared" si="55"/>
        <v>155</v>
      </c>
      <c r="O1090" s="93" t="s">
        <v>3592</v>
      </c>
      <c r="P1090" s="231" t="str">
        <f t="shared" si="56"/>
        <v>Reciclagem</v>
      </c>
      <c r="Q1090" s="541" t="s">
        <v>1906</v>
      </c>
      <c r="R1090" s="541" t="s">
        <v>6569</v>
      </c>
      <c r="S1090" s="542" t="s">
        <v>3594</v>
      </c>
      <c r="T1090" s="540" t="s">
        <v>3590</v>
      </c>
      <c r="U1090" s="540" t="s">
        <v>3591</v>
      </c>
      <c r="V1090" s="540"/>
    </row>
    <row r="1091" spans="1:22" ht="15.75" thickBot="1" x14ac:dyDescent="0.3">
      <c r="A1091" s="93" t="s">
        <v>6329</v>
      </c>
      <c r="B1091" s="93" t="s">
        <v>4602</v>
      </c>
      <c r="C1091" s="424" t="str">
        <f t="shared" si="57"/>
        <v>Subcontratados da ViaPorto</v>
      </c>
      <c r="D1091" s="422">
        <v>2023</v>
      </c>
      <c r="E1091" s="250" t="s">
        <v>3499</v>
      </c>
      <c r="F1091" s="250" t="s">
        <v>3566</v>
      </c>
      <c r="G1091" s="422" t="s">
        <v>42</v>
      </c>
      <c r="H1091" s="424" t="s">
        <v>42</v>
      </c>
      <c r="I1091" s="522">
        <v>160118</v>
      </c>
      <c r="J1091" s="425" t="str">
        <f>INDEX(aux!B:B,MATCH(I1091,aux!A:A,0))</f>
        <v>Metais não ferrosos</v>
      </c>
      <c r="K1091" s="433" t="str">
        <f>INDEX(aux!C:C,MATCH(I1091,aux!A:A,0))</f>
        <v>Não</v>
      </c>
      <c r="L1091" s="360">
        <v>1628</v>
      </c>
      <c r="M1091" s="359" t="s">
        <v>557</v>
      </c>
      <c r="N1091" s="139">
        <f t="shared" ref="N1091:N1154" si="58">IF(LEFT(M1091,3)="ton",1000*L1091,L1091)</f>
        <v>1628</v>
      </c>
      <c r="O1091" s="93" t="s">
        <v>3592</v>
      </c>
      <c r="P1091" s="231" t="str">
        <f t="shared" ref="P1091:P1154" si="59">IF(LEFT(O1091,1)="R","Reciclagem",IF(OR(O1091="D10",O1091="D11"),"Iceneração","Aterro"))</f>
        <v>Reciclagem</v>
      </c>
      <c r="Q1091" s="541" t="s">
        <v>1906</v>
      </c>
      <c r="R1091" s="541" t="s">
        <v>6569</v>
      </c>
      <c r="S1091" s="542" t="s">
        <v>3594</v>
      </c>
      <c r="T1091" s="540" t="s">
        <v>3590</v>
      </c>
      <c r="U1091" s="540" t="s">
        <v>3591</v>
      </c>
      <c r="V1091" s="540"/>
    </row>
    <row r="1092" spans="1:22" ht="15.75" thickBot="1" x14ac:dyDescent="0.3">
      <c r="A1092" s="93" t="s">
        <v>6329</v>
      </c>
      <c r="B1092" s="93" t="s">
        <v>4602</v>
      </c>
      <c r="C1092" s="424" t="str">
        <f t="shared" si="57"/>
        <v>Subcontratados da ViaPorto</v>
      </c>
      <c r="D1092" s="422">
        <v>2023</v>
      </c>
      <c r="E1092" s="250" t="s">
        <v>3499</v>
      </c>
      <c r="F1092" s="250" t="s">
        <v>3566</v>
      </c>
      <c r="G1092" s="422" t="s">
        <v>42</v>
      </c>
      <c r="H1092" s="424" t="s">
        <v>42</v>
      </c>
      <c r="I1092" s="522">
        <v>170407</v>
      </c>
      <c r="J1092" s="425" t="str">
        <f>INDEX(aux!B:B,MATCH(I1092,aux!A:A,0))</f>
        <v>Mistura de metais</v>
      </c>
      <c r="K1092" s="433" t="str">
        <f>INDEX(aux!C:C,MATCH(I1092,aux!A:A,0))</f>
        <v>Não</v>
      </c>
      <c r="L1092" s="360">
        <v>311</v>
      </c>
      <c r="M1092" s="359" t="s">
        <v>557</v>
      </c>
      <c r="N1092" s="139">
        <f t="shared" si="58"/>
        <v>311</v>
      </c>
      <c r="O1092" s="93" t="s">
        <v>3592</v>
      </c>
      <c r="P1092" s="231" t="str">
        <f t="shared" si="59"/>
        <v>Reciclagem</v>
      </c>
      <c r="Q1092" s="541" t="s">
        <v>1906</v>
      </c>
      <c r="R1092" s="541" t="s">
        <v>6569</v>
      </c>
      <c r="S1092" s="542" t="s">
        <v>3594</v>
      </c>
      <c r="T1092" s="540" t="s">
        <v>3590</v>
      </c>
      <c r="U1092" s="540" t="s">
        <v>3591</v>
      </c>
      <c r="V1092" s="540"/>
    </row>
    <row r="1093" spans="1:22" ht="15.75" thickBot="1" x14ac:dyDescent="0.3">
      <c r="A1093" s="93" t="s">
        <v>6329</v>
      </c>
      <c r="B1093" s="93" t="s">
        <v>4602</v>
      </c>
      <c r="C1093" s="424" t="str">
        <f t="shared" si="57"/>
        <v>Subcontratados da ViaPorto</v>
      </c>
      <c r="D1093" s="422">
        <v>2023</v>
      </c>
      <c r="E1093" s="250" t="s">
        <v>3499</v>
      </c>
      <c r="F1093" s="250" t="s">
        <v>3566</v>
      </c>
      <c r="G1093" s="422" t="s">
        <v>42</v>
      </c>
      <c r="H1093" s="424" t="s">
        <v>42</v>
      </c>
      <c r="I1093" s="522">
        <v>200140</v>
      </c>
      <c r="J1093" s="425" t="str">
        <f>INDEX(aux!B:B,MATCH(I1093,aux!A:A,0))</f>
        <v>Metais</v>
      </c>
      <c r="K1093" s="433" t="str">
        <f>INDEX(aux!C:C,MATCH(I1093,aux!A:A,0))</f>
        <v>Não</v>
      </c>
      <c r="L1093" s="360">
        <v>2396.5</v>
      </c>
      <c r="M1093" s="359" t="s">
        <v>557</v>
      </c>
      <c r="N1093" s="139">
        <f t="shared" si="58"/>
        <v>2396.5</v>
      </c>
      <c r="O1093" s="93" t="s">
        <v>3592</v>
      </c>
      <c r="P1093" s="231" t="str">
        <f t="shared" si="59"/>
        <v>Reciclagem</v>
      </c>
      <c r="Q1093" s="541" t="s">
        <v>1906</v>
      </c>
      <c r="R1093" s="541" t="s">
        <v>6569</v>
      </c>
      <c r="S1093" s="542" t="s">
        <v>3594</v>
      </c>
      <c r="T1093" s="540" t="s">
        <v>3590</v>
      </c>
      <c r="U1093" s="540" t="s">
        <v>3591</v>
      </c>
      <c r="V1093" s="540"/>
    </row>
    <row r="1094" spans="1:22" ht="15.75" thickBot="1" x14ac:dyDescent="0.3">
      <c r="A1094" s="93" t="s">
        <v>6329</v>
      </c>
      <c r="B1094" s="93" t="s">
        <v>4602</v>
      </c>
      <c r="C1094" s="424" t="str">
        <f t="shared" si="57"/>
        <v>Subcontratados da ViaPorto</v>
      </c>
      <c r="D1094" s="422">
        <v>2023</v>
      </c>
      <c r="E1094" s="250" t="s">
        <v>3499</v>
      </c>
      <c r="F1094" s="250" t="s">
        <v>3566</v>
      </c>
      <c r="G1094" s="422" t="s">
        <v>42</v>
      </c>
      <c r="H1094" s="424" t="s">
        <v>42</v>
      </c>
      <c r="I1094" s="522">
        <v>130208</v>
      </c>
      <c r="J1094" s="425" t="str">
        <f>INDEX(aux!B:B,MATCH(I1094,aux!A:A,0))</f>
        <v>(*) Outros óleos de motores, transmissões e lubrificação</v>
      </c>
      <c r="K1094" s="433" t="str">
        <f>INDEX(aux!C:C,MATCH(I1094,aux!A:A,0))</f>
        <v>Sim</v>
      </c>
      <c r="L1094" s="360">
        <v>4884</v>
      </c>
      <c r="M1094" s="359" t="s">
        <v>557</v>
      </c>
      <c r="N1094" s="139">
        <f t="shared" si="58"/>
        <v>4884</v>
      </c>
      <c r="O1094" s="93" t="s">
        <v>3592</v>
      </c>
      <c r="P1094" s="231" t="str">
        <f t="shared" si="59"/>
        <v>Reciclagem</v>
      </c>
      <c r="Q1094" s="541" t="s">
        <v>1902</v>
      </c>
      <c r="R1094" s="541" t="s">
        <v>1877</v>
      </c>
      <c r="S1094" s="542" t="s">
        <v>3594</v>
      </c>
      <c r="T1094" s="540" t="s">
        <v>3590</v>
      </c>
      <c r="U1094" s="540" t="s">
        <v>3591</v>
      </c>
      <c r="V1094" s="540"/>
    </row>
    <row r="1095" spans="1:22" ht="15.75" thickBot="1" x14ac:dyDescent="0.3">
      <c r="A1095" s="93" t="s">
        <v>6329</v>
      </c>
      <c r="B1095" s="93" t="s">
        <v>4602</v>
      </c>
      <c r="C1095" s="424" t="str">
        <f t="shared" si="57"/>
        <v>Subcontratados da ViaPorto</v>
      </c>
      <c r="D1095" s="422">
        <v>2023</v>
      </c>
      <c r="E1095" s="250" t="s">
        <v>3499</v>
      </c>
      <c r="F1095" s="250" t="s">
        <v>3566</v>
      </c>
      <c r="G1095" s="422" t="s">
        <v>42</v>
      </c>
      <c r="H1095" s="424" t="s">
        <v>42</v>
      </c>
      <c r="I1095" s="522">
        <v>130899</v>
      </c>
      <c r="J1095" s="425" t="str">
        <f>INDEX(aux!B:B,MATCH(I1095,aux!A:A,0))</f>
        <v>(*)Resíduos sem outras especificações</v>
      </c>
      <c r="K1095" s="433" t="str">
        <f>INDEX(aux!C:C,MATCH(I1095,aux!A:A,0))</f>
        <v>Sim</v>
      </c>
      <c r="L1095" s="360">
        <v>167</v>
      </c>
      <c r="M1095" s="359" t="s">
        <v>557</v>
      </c>
      <c r="N1095" s="139">
        <f t="shared" si="58"/>
        <v>167</v>
      </c>
      <c r="O1095" s="93" t="s">
        <v>3592</v>
      </c>
      <c r="P1095" s="231" t="str">
        <f t="shared" si="59"/>
        <v>Reciclagem</v>
      </c>
      <c r="Q1095" s="541" t="s">
        <v>1902</v>
      </c>
      <c r="R1095" s="541" t="s">
        <v>1877</v>
      </c>
      <c r="S1095" s="542" t="s">
        <v>3594</v>
      </c>
      <c r="T1095" s="540" t="s">
        <v>3590</v>
      </c>
      <c r="U1095" s="540" t="s">
        <v>3591</v>
      </c>
      <c r="V1095" s="540"/>
    </row>
    <row r="1096" spans="1:22" ht="15.75" thickBot="1" x14ac:dyDescent="0.3">
      <c r="A1096" s="93" t="s">
        <v>6329</v>
      </c>
      <c r="B1096" s="93" t="s">
        <v>4602</v>
      </c>
      <c r="C1096" s="424" t="str">
        <f t="shared" si="57"/>
        <v>Subcontratados da ViaPorto</v>
      </c>
      <c r="D1096" s="422">
        <v>2023</v>
      </c>
      <c r="E1096" s="250" t="s">
        <v>3499</v>
      </c>
      <c r="F1096" s="250" t="s">
        <v>3566</v>
      </c>
      <c r="G1096" s="422" t="s">
        <v>42</v>
      </c>
      <c r="H1096" s="424" t="s">
        <v>42</v>
      </c>
      <c r="I1096" s="522">
        <v>150101</v>
      </c>
      <c r="J1096" s="425" t="str">
        <f>INDEX(aux!B:B,MATCH(I1096,aux!A:A,0))</f>
        <v>Embalagens de papel e cartão</v>
      </c>
      <c r="K1096" s="433" t="str">
        <f>INDEX(aux!C:C,MATCH(I1096,aux!A:A,0))</f>
        <v>Não</v>
      </c>
      <c r="L1096" s="360">
        <v>942</v>
      </c>
      <c r="M1096" s="359" t="s">
        <v>557</v>
      </c>
      <c r="N1096" s="139">
        <f t="shared" si="58"/>
        <v>942</v>
      </c>
      <c r="O1096" s="93" t="s">
        <v>3592</v>
      </c>
      <c r="P1096" s="231" t="str">
        <f t="shared" si="59"/>
        <v>Reciclagem</v>
      </c>
      <c r="Q1096" s="541" t="s">
        <v>1904</v>
      </c>
      <c r="R1096" s="541" t="s">
        <v>6569</v>
      </c>
      <c r="S1096" s="542" t="s">
        <v>3594</v>
      </c>
      <c r="T1096" s="540" t="s">
        <v>3590</v>
      </c>
      <c r="U1096" s="540" t="s">
        <v>3591</v>
      </c>
      <c r="V1096" s="540"/>
    </row>
    <row r="1097" spans="1:22" ht="15.75" thickBot="1" x14ac:dyDescent="0.3">
      <c r="A1097" s="93" t="s">
        <v>6329</v>
      </c>
      <c r="B1097" s="93" t="s">
        <v>4602</v>
      </c>
      <c r="C1097" s="424" t="str">
        <f t="shared" si="57"/>
        <v>Subcontratados da ViaPorto</v>
      </c>
      <c r="D1097" s="422">
        <v>2023</v>
      </c>
      <c r="E1097" s="250" t="s">
        <v>3499</v>
      </c>
      <c r="F1097" s="250" t="s">
        <v>3566</v>
      </c>
      <c r="G1097" s="422" t="s">
        <v>42</v>
      </c>
      <c r="H1097" s="424" t="s">
        <v>42</v>
      </c>
      <c r="I1097" s="522">
        <v>200101</v>
      </c>
      <c r="J1097" s="425" t="str">
        <f>INDEX(aux!B:B,MATCH(I1097,aux!A:A,0))</f>
        <v xml:space="preserve">Papel e Cartão </v>
      </c>
      <c r="K1097" s="433" t="str">
        <f>INDEX(aux!C:C,MATCH(I1097,aux!A:A,0))</f>
        <v>Não</v>
      </c>
      <c r="L1097" s="360">
        <v>62105</v>
      </c>
      <c r="M1097" s="359" t="s">
        <v>557</v>
      </c>
      <c r="N1097" s="139">
        <f t="shared" si="58"/>
        <v>62105</v>
      </c>
      <c r="O1097" s="93" t="s">
        <v>3592</v>
      </c>
      <c r="P1097" s="231" t="str">
        <f t="shared" si="59"/>
        <v>Reciclagem</v>
      </c>
      <c r="Q1097" s="541" t="s">
        <v>1904</v>
      </c>
      <c r="R1097" s="541" t="s">
        <v>6569</v>
      </c>
      <c r="S1097" s="542" t="s">
        <v>3594</v>
      </c>
      <c r="T1097" s="540" t="s">
        <v>3590</v>
      </c>
      <c r="U1097" s="540" t="s">
        <v>3591</v>
      </c>
      <c r="V1097" s="540"/>
    </row>
    <row r="1098" spans="1:22" ht="15.75" thickBot="1" x14ac:dyDescent="0.3">
      <c r="A1098" s="93" t="s">
        <v>6329</v>
      </c>
      <c r="B1098" s="93" t="s">
        <v>4602</v>
      </c>
      <c r="C1098" s="424" t="str">
        <f t="shared" si="57"/>
        <v>Subcontratados da ViaPorto</v>
      </c>
      <c r="D1098" s="422">
        <v>2023</v>
      </c>
      <c r="E1098" s="250" t="s">
        <v>3499</v>
      </c>
      <c r="F1098" s="250" t="s">
        <v>3566</v>
      </c>
      <c r="G1098" s="422" t="s">
        <v>42</v>
      </c>
      <c r="H1098" s="424" t="s">
        <v>42</v>
      </c>
      <c r="I1098" s="522">
        <v>150102</v>
      </c>
      <c r="J1098" s="425" t="str">
        <f>INDEX(aux!B:B,MATCH(I1098,aux!A:A,0))</f>
        <v>Embalagens de plástico</v>
      </c>
      <c r="K1098" s="433" t="str">
        <f>INDEX(aux!C:C,MATCH(I1098,aux!A:A,0))</f>
        <v>Não</v>
      </c>
      <c r="L1098" s="360">
        <v>40</v>
      </c>
      <c r="M1098" s="359" t="s">
        <v>557</v>
      </c>
      <c r="N1098" s="139">
        <f t="shared" si="58"/>
        <v>40</v>
      </c>
      <c r="O1098" s="93" t="s">
        <v>3592</v>
      </c>
      <c r="P1098" s="231" t="str">
        <f t="shared" si="59"/>
        <v>Reciclagem</v>
      </c>
      <c r="Q1098" s="541" t="s">
        <v>1560</v>
      </c>
      <c r="R1098" s="541" t="s">
        <v>6569</v>
      </c>
      <c r="S1098" s="542" t="s">
        <v>3594</v>
      </c>
      <c r="T1098" s="540" t="s">
        <v>3590</v>
      </c>
      <c r="U1098" s="540" t="s">
        <v>3591</v>
      </c>
      <c r="V1098" s="540"/>
    </row>
    <row r="1099" spans="1:22" ht="15.75" thickBot="1" x14ac:dyDescent="0.3">
      <c r="A1099" s="93" t="s">
        <v>6329</v>
      </c>
      <c r="B1099" s="93" t="s">
        <v>4602</v>
      </c>
      <c r="C1099" s="424" t="str">
        <f t="shared" si="57"/>
        <v>Subcontratados da ViaPorto</v>
      </c>
      <c r="D1099" s="422">
        <v>2023</v>
      </c>
      <c r="E1099" s="250" t="s">
        <v>3499</v>
      </c>
      <c r="F1099" s="250" t="s">
        <v>3566</v>
      </c>
      <c r="G1099" s="422" t="s">
        <v>42</v>
      </c>
      <c r="H1099" s="424" t="s">
        <v>42</v>
      </c>
      <c r="I1099" s="522">
        <v>160119</v>
      </c>
      <c r="J1099" s="425" t="str">
        <f>INDEX(aux!B:B,MATCH(I1099,aux!A:A,0))</f>
        <v>Plástico</v>
      </c>
      <c r="K1099" s="433" t="str">
        <f>INDEX(aux!C:C,MATCH(I1099,aux!A:A,0))</f>
        <v>Não</v>
      </c>
      <c r="L1099" s="360">
        <v>4145</v>
      </c>
      <c r="M1099" s="359" t="s">
        <v>557</v>
      </c>
      <c r="N1099" s="139">
        <f t="shared" si="58"/>
        <v>4145</v>
      </c>
      <c r="O1099" s="93" t="s">
        <v>3592</v>
      </c>
      <c r="P1099" s="231" t="str">
        <f t="shared" si="59"/>
        <v>Reciclagem</v>
      </c>
      <c r="Q1099" s="541" t="s">
        <v>1560</v>
      </c>
      <c r="R1099" s="541" t="s">
        <v>6569</v>
      </c>
      <c r="S1099" s="542" t="s">
        <v>3594</v>
      </c>
      <c r="T1099" s="540" t="s">
        <v>3590</v>
      </c>
      <c r="U1099" s="540" t="s">
        <v>3591</v>
      </c>
      <c r="V1099" s="540"/>
    </row>
    <row r="1100" spans="1:22" ht="15.75" thickBot="1" x14ac:dyDescent="0.3">
      <c r="A1100" s="93" t="s">
        <v>6329</v>
      </c>
      <c r="B1100" s="93" t="s">
        <v>4602</v>
      </c>
      <c r="C1100" s="424" t="str">
        <f t="shared" si="57"/>
        <v>Subcontratados da ViaPorto</v>
      </c>
      <c r="D1100" s="422">
        <v>2023</v>
      </c>
      <c r="E1100" s="250" t="s">
        <v>3499</v>
      </c>
      <c r="F1100" s="250" t="s">
        <v>3566</v>
      </c>
      <c r="G1100" s="422" t="s">
        <v>42</v>
      </c>
      <c r="H1100" s="424" t="s">
        <v>42</v>
      </c>
      <c r="I1100" s="522">
        <v>200139</v>
      </c>
      <c r="J1100" s="425" t="str">
        <f>INDEX(aux!B:B,MATCH(I1100,aux!A:A,0))</f>
        <v>Plasticos</v>
      </c>
      <c r="K1100" s="433" t="str">
        <f>INDEX(aux!C:C,MATCH(I1100,aux!A:A,0))</f>
        <v>Não</v>
      </c>
      <c r="L1100" s="360">
        <v>3754</v>
      </c>
      <c r="M1100" s="359" t="s">
        <v>557</v>
      </c>
      <c r="N1100" s="139">
        <f t="shared" si="58"/>
        <v>3754</v>
      </c>
      <c r="O1100" s="93" t="s">
        <v>3592</v>
      </c>
      <c r="P1100" s="231" t="str">
        <f t="shared" si="59"/>
        <v>Reciclagem</v>
      </c>
      <c r="Q1100" s="541" t="s">
        <v>1560</v>
      </c>
      <c r="R1100" s="541" t="s">
        <v>6569</v>
      </c>
      <c r="S1100" s="542" t="s">
        <v>3594</v>
      </c>
      <c r="T1100" s="540" t="s">
        <v>3590</v>
      </c>
      <c r="U1100" s="540" t="s">
        <v>3591</v>
      </c>
      <c r="V1100" s="540"/>
    </row>
    <row r="1101" spans="1:22" ht="15.75" thickBot="1" x14ac:dyDescent="0.3">
      <c r="A1101" s="93" t="s">
        <v>6329</v>
      </c>
      <c r="B1101" s="93" t="s">
        <v>4602</v>
      </c>
      <c r="C1101" s="424" t="str">
        <f t="shared" si="57"/>
        <v>Subcontratados da ViaPorto</v>
      </c>
      <c r="D1101" s="422">
        <v>2023</v>
      </c>
      <c r="E1101" s="250" t="s">
        <v>3499</v>
      </c>
      <c r="F1101" s="250" t="s">
        <v>3566</v>
      </c>
      <c r="G1101" s="422" t="s">
        <v>42</v>
      </c>
      <c r="H1101" s="424" t="s">
        <v>42</v>
      </c>
      <c r="I1101" s="522">
        <v>170101</v>
      </c>
      <c r="J1101" s="425" t="str">
        <f>INDEX(aux!B:B,MATCH(I1101,aux!A:A,0))</f>
        <v>Betão</v>
      </c>
      <c r="K1101" s="433" t="str">
        <f>INDEX(aux!C:C,MATCH(I1101,aux!A:A,0))</f>
        <v>Não</v>
      </c>
      <c r="L1101" s="360">
        <v>240</v>
      </c>
      <c r="M1101" s="359" t="s">
        <v>557</v>
      </c>
      <c r="N1101" s="139">
        <f t="shared" si="58"/>
        <v>240</v>
      </c>
      <c r="O1101" s="93" t="s">
        <v>3592</v>
      </c>
      <c r="P1101" s="231" t="str">
        <f t="shared" si="59"/>
        <v>Reciclagem</v>
      </c>
      <c r="Q1101" s="541" t="s">
        <v>1901</v>
      </c>
      <c r="R1101" s="541" t="s">
        <v>1892</v>
      </c>
      <c r="S1101" s="542" t="s">
        <v>3594</v>
      </c>
      <c r="T1101" s="540" t="s">
        <v>3590</v>
      </c>
      <c r="U1101" s="540" t="s">
        <v>3591</v>
      </c>
      <c r="V1101" s="540"/>
    </row>
    <row r="1102" spans="1:22" ht="15.75" thickBot="1" x14ac:dyDescent="0.3">
      <c r="A1102" s="93" t="s">
        <v>6329</v>
      </c>
      <c r="B1102" s="93" t="s">
        <v>4602</v>
      </c>
      <c r="C1102" s="424" t="str">
        <f t="shared" si="57"/>
        <v>Subcontratados da ViaPorto</v>
      </c>
      <c r="D1102" s="422">
        <v>2023</v>
      </c>
      <c r="E1102" s="250" t="s">
        <v>3499</v>
      </c>
      <c r="F1102" s="250" t="s">
        <v>3566</v>
      </c>
      <c r="G1102" s="422" t="s">
        <v>42</v>
      </c>
      <c r="H1102" s="424" t="s">
        <v>42</v>
      </c>
      <c r="I1102" s="522">
        <v>170107</v>
      </c>
      <c r="J1102" s="425" t="str">
        <f>INDEX(aux!B:B,MATCH(I1102,aux!A:A,0))</f>
        <v>Misturas de betão, tijolos, ladrilhos, telhas e materiais cerâmicos, não abrangidas em 17 01 06</v>
      </c>
      <c r="K1102" s="433" t="str">
        <f>INDEX(aux!C:C,MATCH(I1102,aux!A:A,0))</f>
        <v>Não</v>
      </c>
      <c r="L1102" s="360">
        <v>160</v>
      </c>
      <c r="M1102" s="359" t="s">
        <v>557</v>
      </c>
      <c r="N1102" s="139">
        <f t="shared" si="58"/>
        <v>160</v>
      </c>
      <c r="O1102" s="93" t="s">
        <v>3592</v>
      </c>
      <c r="P1102" s="231" t="str">
        <f t="shared" si="59"/>
        <v>Reciclagem</v>
      </c>
      <c r="Q1102" s="541" t="s">
        <v>1901</v>
      </c>
      <c r="R1102" s="541" t="s">
        <v>1892</v>
      </c>
      <c r="S1102" s="542" t="s">
        <v>3594</v>
      </c>
      <c r="T1102" s="540" t="s">
        <v>3590</v>
      </c>
      <c r="U1102" s="540" t="s">
        <v>3591</v>
      </c>
      <c r="V1102" s="540"/>
    </row>
    <row r="1103" spans="1:22" ht="15.75" thickBot="1" x14ac:dyDescent="0.3">
      <c r="A1103" s="93" t="s">
        <v>6329</v>
      </c>
      <c r="B1103" s="93" t="s">
        <v>4602</v>
      </c>
      <c r="C1103" s="424" t="str">
        <f t="shared" si="57"/>
        <v>Subcontratados da ViaPorto</v>
      </c>
      <c r="D1103" s="422">
        <v>2023</v>
      </c>
      <c r="E1103" s="250" t="s">
        <v>3499</v>
      </c>
      <c r="F1103" s="250" t="s">
        <v>3566</v>
      </c>
      <c r="G1103" s="422" t="s">
        <v>42</v>
      </c>
      <c r="H1103" s="424" t="s">
        <v>42</v>
      </c>
      <c r="I1103" s="522">
        <v>170802</v>
      </c>
      <c r="J1103" s="425" t="str">
        <f>INDEX(aux!B:B,MATCH(I1103,aux!A:A,0))</f>
        <v>Materiais de construção à base de gesso não abrangidos em 17 08 01</v>
      </c>
      <c r="K1103" s="433" t="str">
        <f>INDEX(aux!C:C,MATCH(I1103,aux!A:A,0))</f>
        <v>Não</v>
      </c>
      <c r="L1103" s="360">
        <v>360</v>
      </c>
      <c r="M1103" s="359" t="s">
        <v>557</v>
      </c>
      <c r="N1103" s="139">
        <f t="shared" si="58"/>
        <v>360</v>
      </c>
      <c r="O1103" s="93" t="s">
        <v>3592</v>
      </c>
      <c r="P1103" s="231" t="str">
        <f t="shared" si="59"/>
        <v>Reciclagem</v>
      </c>
      <c r="Q1103" s="541" t="s">
        <v>1901</v>
      </c>
      <c r="R1103" s="541" t="s">
        <v>1892</v>
      </c>
      <c r="S1103" s="542" t="s">
        <v>3594</v>
      </c>
      <c r="T1103" s="540" t="s">
        <v>3590</v>
      </c>
      <c r="U1103" s="540" t="s">
        <v>3591</v>
      </c>
      <c r="V1103" s="540"/>
    </row>
    <row r="1104" spans="1:22" ht="15.75" thickBot="1" x14ac:dyDescent="0.3">
      <c r="A1104" s="93" t="s">
        <v>6329</v>
      </c>
      <c r="B1104" s="93" t="s">
        <v>4602</v>
      </c>
      <c r="C1104" s="424" t="str">
        <f t="shared" si="57"/>
        <v>Subcontratados da ViaPorto</v>
      </c>
      <c r="D1104" s="422">
        <v>2023</v>
      </c>
      <c r="E1104" s="250" t="s">
        <v>3499</v>
      </c>
      <c r="F1104" s="250" t="s">
        <v>3566</v>
      </c>
      <c r="G1104" s="422" t="s">
        <v>42</v>
      </c>
      <c r="H1104" s="424" t="s">
        <v>42</v>
      </c>
      <c r="I1104" s="522">
        <v>70299</v>
      </c>
      <c r="J1104" s="425" t="str">
        <f>INDEX(aux!B:B,MATCH(I1104,aux!A:A,0))</f>
        <v>Resíduos Borracha sem outras especificações</v>
      </c>
      <c r="K1104" s="433" t="str">
        <f>INDEX(aux!C:C,MATCH(I1104,aux!A:A,0))</f>
        <v>Não</v>
      </c>
      <c r="L1104" s="360">
        <v>1115</v>
      </c>
      <c r="M1104" s="359" t="s">
        <v>557</v>
      </c>
      <c r="N1104" s="139">
        <f t="shared" si="58"/>
        <v>1115</v>
      </c>
      <c r="O1104" s="93" t="s">
        <v>3592</v>
      </c>
      <c r="P1104" s="231" t="str">
        <f t="shared" si="59"/>
        <v>Reciclagem</v>
      </c>
      <c r="Q1104" s="541" t="s">
        <v>1901</v>
      </c>
      <c r="R1104" s="541" t="s">
        <v>1892</v>
      </c>
      <c r="S1104" s="542" t="s">
        <v>3594</v>
      </c>
      <c r="T1104" s="540" t="s">
        <v>3590</v>
      </c>
      <c r="U1104" s="540" t="s">
        <v>3591</v>
      </c>
      <c r="V1104" s="540"/>
    </row>
    <row r="1105" spans="1:22" ht="15.75" thickBot="1" x14ac:dyDescent="0.3">
      <c r="A1105" s="93" t="s">
        <v>6329</v>
      </c>
      <c r="B1105" s="93" t="s">
        <v>4602</v>
      </c>
      <c r="C1105" s="424" t="str">
        <f t="shared" si="57"/>
        <v>Subcontratados da ViaPorto</v>
      </c>
      <c r="D1105" s="422">
        <v>2023</v>
      </c>
      <c r="E1105" s="250" t="s">
        <v>3499</v>
      </c>
      <c r="F1105" s="250" t="s">
        <v>3566</v>
      </c>
      <c r="G1105" s="422" t="s">
        <v>42</v>
      </c>
      <c r="H1105" s="424" t="s">
        <v>42</v>
      </c>
      <c r="I1105" s="522">
        <v>80111</v>
      </c>
      <c r="J1105" s="425" t="str">
        <f>INDEX(aux!B:B,MATCH(I1105,aux!A:A,0))</f>
        <v>(*) Resíduos de tintas e vernizes, contendo solventes orgânicos ou outras substâncias perigosas</v>
      </c>
      <c r="K1105" s="433" t="str">
        <f>INDEX(aux!C:C,MATCH(I1105,aux!A:A,0))</f>
        <v>Sim</v>
      </c>
      <c r="L1105" s="360">
        <v>235</v>
      </c>
      <c r="M1105" s="359" t="s">
        <v>557</v>
      </c>
      <c r="N1105" s="139">
        <f t="shared" si="58"/>
        <v>235</v>
      </c>
      <c r="O1105" s="93" t="s">
        <v>3593</v>
      </c>
      <c r="P1105" s="231" t="str">
        <f t="shared" si="59"/>
        <v>Aterro</v>
      </c>
      <c r="Q1105" s="541" t="s">
        <v>1901</v>
      </c>
      <c r="R1105" s="541" t="s">
        <v>1892</v>
      </c>
      <c r="S1105" s="542" t="s">
        <v>3594</v>
      </c>
      <c r="T1105" s="540" t="s">
        <v>3590</v>
      </c>
      <c r="U1105" s="540" t="s">
        <v>3591</v>
      </c>
      <c r="V1105" s="540"/>
    </row>
    <row r="1106" spans="1:22" ht="15.75" thickBot="1" x14ac:dyDescent="0.3">
      <c r="A1106" s="93" t="s">
        <v>6329</v>
      </c>
      <c r="B1106" s="93" t="s">
        <v>4602</v>
      </c>
      <c r="C1106" s="424" t="str">
        <f t="shared" si="57"/>
        <v>Subcontratados da ViaPorto</v>
      </c>
      <c r="D1106" s="422">
        <v>2023</v>
      </c>
      <c r="E1106" s="250" t="s">
        <v>3499</v>
      </c>
      <c r="F1106" s="250" t="s">
        <v>3566</v>
      </c>
      <c r="G1106" s="422" t="s">
        <v>42</v>
      </c>
      <c r="H1106" s="424" t="s">
        <v>42</v>
      </c>
      <c r="I1106" s="522">
        <v>80117</v>
      </c>
      <c r="J1106" s="425" t="str">
        <f>INDEX(aux!B:B,MATCH(I1106,aux!A:A,0))</f>
        <v>(*) Resíduos de tintas e vernizes, contendo solventes orgânicos ou outras substâncias perigosas</v>
      </c>
      <c r="K1106" s="433" t="str">
        <f>INDEX(aux!C:C,MATCH(I1106,aux!A:A,0))</f>
        <v>Sim</v>
      </c>
      <c r="L1106" s="360">
        <v>30</v>
      </c>
      <c r="M1106" s="359" t="s">
        <v>557</v>
      </c>
      <c r="N1106" s="139">
        <f t="shared" si="58"/>
        <v>30</v>
      </c>
      <c r="O1106" s="93" t="s">
        <v>3592</v>
      </c>
      <c r="P1106" s="231" t="str">
        <f t="shared" si="59"/>
        <v>Reciclagem</v>
      </c>
      <c r="Q1106" s="541" t="s">
        <v>1901</v>
      </c>
      <c r="R1106" s="541" t="s">
        <v>1892</v>
      </c>
      <c r="S1106" s="542" t="s">
        <v>3594</v>
      </c>
      <c r="T1106" s="540" t="s">
        <v>3590</v>
      </c>
      <c r="U1106" s="540" t="s">
        <v>3591</v>
      </c>
      <c r="V1106" s="540"/>
    </row>
    <row r="1107" spans="1:22" ht="15.75" thickBot="1" x14ac:dyDescent="0.3">
      <c r="A1107" s="93" t="s">
        <v>6329</v>
      </c>
      <c r="B1107" s="93" t="s">
        <v>4602</v>
      </c>
      <c r="C1107" s="424" t="str">
        <f t="shared" si="57"/>
        <v>Subcontratados da ViaPorto</v>
      </c>
      <c r="D1107" s="422">
        <v>2023</v>
      </c>
      <c r="E1107" s="250" t="s">
        <v>3499</v>
      </c>
      <c r="F1107" s="250" t="s">
        <v>3566</v>
      </c>
      <c r="G1107" s="422" t="s">
        <v>42</v>
      </c>
      <c r="H1107" s="424" t="s">
        <v>42</v>
      </c>
      <c r="I1107" s="522">
        <v>120301</v>
      </c>
      <c r="J1107" s="425" t="str">
        <f>INDEX(aux!B:B,MATCH(I1107,aux!A:A,0))</f>
        <v>(*) Líquidos de lavagem aquosos</v>
      </c>
      <c r="K1107" s="433" t="str">
        <f>INDEX(aux!C:C,MATCH(I1107,aux!A:A,0))</f>
        <v>Sim</v>
      </c>
      <c r="L1107" s="360">
        <v>10948</v>
      </c>
      <c r="M1107" s="359" t="s">
        <v>557</v>
      </c>
      <c r="N1107" s="139">
        <f t="shared" si="58"/>
        <v>10948</v>
      </c>
      <c r="O1107" s="93" t="s">
        <v>3592</v>
      </c>
      <c r="P1107" s="231" t="str">
        <f t="shared" si="59"/>
        <v>Reciclagem</v>
      </c>
      <c r="Q1107" s="541" t="s">
        <v>1901</v>
      </c>
      <c r="R1107" s="541" t="s">
        <v>1892</v>
      </c>
      <c r="S1107" s="542" t="s">
        <v>3594</v>
      </c>
      <c r="T1107" s="540" t="s">
        <v>3590</v>
      </c>
      <c r="U1107" s="540" t="s">
        <v>3591</v>
      </c>
      <c r="V1107" s="540"/>
    </row>
    <row r="1108" spans="1:22" ht="15.75" thickBot="1" x14ac:dyDescent="0.3">
      <c r="A1108" s="93" t="s">
        <v>6329</v>
      </c>
      <c r="B1108" s="93" t="s">
        <v>4602</v>
      </c>
      <c r="C1108" s="424" t="str">
        <f t="shared" si="57"/>
        <v>Subcontratados da ViaPorto</v>
      </c>
      <c r="D1108" s="422">
        <v>2023</v>
      </c>
      <c r="E1108" s="250" t="s">
        <v>3499</v>
      </c>
      <c r="F1108" s="250" t="s">
        <v>3566</v>
      </c>
      <c r="G1108" s="422" t="s">
        <v>42</v>
      </c>
      <c r="H1108" s="424" t="s">
        <v>42</v>
      </c>
      <c r="I1108" s="522">
        <v>140603</v>
      </c>
      <c r="J1108" s="425" t="str">
        <f>INDEX(aux!B:B,MATCH(I1108,aux!A:A,0))</f>
        <v>Outros solventes e misturas de solventes</v>
      </c>
      <c r="K1108" s="433" t="str">
        <f>INDEX(aux!C:C,MATCH(I1108,aux!A:A,0))</f>
        <v>Sim</v>
      </c>
      <c r="L1108" s="360">
        <v>620</v>
      </c>
      <c r="M1108" s="359" t="s">
        <v>557</v>
      </c>
      <c r="N1108" s="139">
        <f t="shared" si="58"/>
        <v>620</v>
      </c>
      <c r="O1108" s="93" t="s">
        <v>3592</v>
      </c>
      <c r="P1108" s="231" t="str">
        <f t="shared" si="59"/>
        <v>Reciclagem</v>
      </c>
      <c r="Q1108" s="541" t="s">
        <v>1901</v>
      </c>
      <c r="R1108" s="541" t="s">
        <v>1892</v>
      </c>
      <c r="S1108" s="542" t="s">
        <v>3594</v>
      </c>
      <c r="T1108" s="540" t="s">
        <v>3590</v>
      </c>
      <c r="U1108" s="540" t="s">
        <v>3591</v>
      </c>
      <c r="V1108" s="540"/>
    </row>
    <row r="1109" spans="1:22" ht="15.75" thickBot="1" x14ac:dyDescent="0.3">
      <c r="A1109" s="93" t="s">
        <v>6329</v>
      </c>
      <c r="B1109" s="93" t="s">
        <v>4602</v>
      </c>
      <c r="C1109" s="424" t="str">
        <f t="shared" si="57"/>
        <v>Subcontratados da ViaPorto</v>
      </c>
      <c r="D1109" s="422">
        <v>2023</v>
      </c>
      <c r="E1109" s="250" t="s">
        <v>3499</v>
      </c>
      <c r="F1109" s="250" t="s">
        <v>3566</v>
      </c>
      <c r="G1109" s="422" t="s">
        <v>42</v>
      </c>
      <c r="H1109" s="424" t="s">
        <v>42</v>
      </c>
      <c r="I1109" s="522">
        <v>140605</v>
      </c>
      <c r="J1109" s="425" t="str">
        <f>INDEX(aux!B:B,MATCH(I1109,aux!A:A,0))</f>
        <v>Lamas ou resíduos sólidos, contendo outros solventes</v>
      </c>
      <c r="K1109" s="433" t="str">
        <f>INDEX(aux!C:C,MATCH(I1109,aux!A:A,0))</f>
        <v>Sim</v>
      </c>
      <c r="L1109" s="360">
        <v>333</v>
      </c>
      <c r="M1109" s="359" t="s">
        <v>557</v>
      </c>
      <c r="N1109" s="139">
        <f t="shared" si="58"/>
        <v>333</v>
      </c>
      <c r="O1109" s="93" t="s">
        <v>3592</v>
      </c>
      <c r="P1109" s="231" t="str">
        <f t="shared" si="59"/>
        <v>Reciclagem</v>
      </c>
      <c r="Q1109" s="541" t="s">
        <v>1901</v>
      </c>
      <c r="R1109" s="541" t="s">
        <v>1892</v>
      </c>
      <c r="S1109" s="542" t="s">
        <v>3594</v>
      </c>
      <c r="T1109" s="540" t="s">
        <v>3590</v>
      </c>
      <c r="U1109" s="540" t="s">
        <v>3591</v>
      </c>
      <c r="V1109" s="540"/>
    </row>
    <row r="1110" spans="1:22" ht="15.75" thickBot="1" x14ac:dyDescent="0.3">
      <c r="A1110" s="93" t="s">
        <v>6329</v>
      </c>
      <c r="B1110" s="93" t="s">
        <v>4602</v>
      </c>
      <c r="C1110" s="424" t="str">
        <f t="shared" si="57"/>
        <v>Subcontratados da ViaPorto</v>
      </c>
      <c r="D1110" s="422">
        <v>2023</v>
      </c>
      <c r="E1110" s="250" t="s">
        <v>3499</v>
      </c>
      <c r="F1110" s="250" t="s">
        <v>3566</v>
      </c>
      <c r="G1110" s="422" t="s">
        <v>42</v>
      </c>
      <c r="H1110" s="424" t="s">
        <v>42</v>
      </c>
      <c r="I1110" s="522">
        <v>150106</v>
      </c>
      <c r="J1110" s="425" t="str">
        <f>INDEX(aux!B:B,MATCH(I1110,aux!A:A,0))</f>
        <v>Mistura de embalagens</v>
      </c>
      <c r="K1110" s="433" t="str">
        <f>INDEX(aux!C:C,MATCH(I1110,aux!A:A,0))</f>
        <v>Não</v>
      </c>
      <c r="L1110" s="360">
        <v>69021</v>
      </c>
      <c r="M1110" s="359" t="s">
        <v>557</v>
      </c>
      <c r="N1110" s="139">
        <f t="shared" si="58"/>
        <v>69021</v>
      </c>
      <c r="O1110" s="93" t="s">
        <v>3592</v>
      </c>
      <c r="P1110" s="231" t="str">
        <f t="shared" si="59"/>
        <v>Reciclagem</v>
      </c>
      <c r="Q1110" s="541" t="s">
        <v>1901</v>
      </c>
      <c r="R1110" s="541" t="s">
        <v>1892</v>
      </c>
      <c r="S1110" s="542" t="s">
        <v>3594</v>
      </c>
      <c r="T1110" s="540" t="s">
        <v>3590</v>
      </c>
      <c r="U1110" s="540" t="s">
        <v>3591</v>
      </c>
      <c r="V1110" s="540"/>
    </row>
    <row r="1111" spans="1:22" ht="15.75" thickBot="1" x14ac:dyDescent="0.3">
      <c r="A1111" s="422" t="s">
        <v>6329</v>
      </c>
      <c r="B1111" s="422" t="s">
        <v>4602</v>
      </c>
      <c r="C1111" s="424" t="str">
        <f t="shared" si="57"/>
        <v>Subcontratados da ViaPorto</v>
      </c>
      <c r="D1111" s="422">
        <v>2023</v>
      </c>
      <c r="E1111" s="250" t="s">
        <v>3499</v>
      </c>
      <c r="F1111" s="250" t="s">
        <v>3566</v>
      </c>
      <c r="G1111" s="422" t="s">
        <v>42</v>
      </c>
      <c r="H1111" s="424" t="s">
        <v>42</v>
      </c>
      <c r="I1111" s="487">
        <v>160214</v>
      </c>
      <c r="J1111" s="425" t="str">
        <f>INDEX(aux!B:B,MATCH(I1111,aux!A:A,0))</f>
        <v>Componentes retirados de REEE’s fora de uso não abrangidos em 16 02 09 a 16 02 13</v>
      </c>
      <c r="K1111" s="433" t="str">
        <f>INDEX(aux!C:C,MATCH(I1111,aux!A:A,0))</f>
        <v>Não</v>
      </c>
      <c r="L1111" s="259">
        <v>300</v>
      </c>
      <c r="M1111" s="428" t="s">
        <v>557</v>
      </c>
      <c r="N1111" s="139">
        <f t="shared" si="58"/>
        <v>300</v>
      </c>
      <c r="O1111" s="422" t="s">
        <v>3592</v>
      </c>
      <c r="P1111" s="231" t="str">
        <f t="shared" si="59"/>
        <v>Reciclagem</v>
      </c>
      <c r="Q1111" s="541" t="s">
        <v>1901</v>
      </c>
      <c r="R1111" s="541" t="s">
        <v>1892</v>
      </c>
      <c r="S1111" s="542" t="s">
        <v>3594</v>
      </c>
      <c r="T1111" s="540" t="s">
        <v>3590</v>
      </c>
      <c r="U1111" s="540" t="s">
        <v>3591</v>
      </c>
      <c r="V1111" s="540"/>
    </row>
    <row r="1112" spans="1:22" ht="15.75" thickBot="1" x14ac:dyDescent="0.3">
      <c r="A1112" s="422" t="s">
        <v>6329</v>
      </c>
      <c r="B1112" s="422" t="s">
        <v>4602</v>
      </c>
      <c r="C1112" s="424" t="str">
        <f t="shared" si="57"/>
        <v>Subcontratados da ViaPorto</v>
      </c>
      <c r="D1112" s="422">
        <v>2023</v>
      </c>
      <c r="E1112" s="250" t="s">
        <v>3499</v>
      </c>
      <c r="F1112" s="250" t="s">
        <v>3566</v>
      </c>
      <c r="G1112" s="422" t="s">
        <v>42</v>
      </c>
      <c r="H1112" s="424" t="s">
        <v>42</v>
      </c>
      <c r="I1112" s="487">
        <v>160216</v>
      </c>
      <c r="J1112" s="425" t="str">
        <f>INDEX(aux!B:B,MATCH(I1112,aux!A:A,0))</f>
        <v>Componentes retirados de equipamento fora de uso não abrangidos em 16 02 15</v>
      </c>
      <c r="K1112" s="433" t="str">
        <f>INDEX(aux!C:C,MATCH(I1112,aux!A:A,0))</f>
        <v>Não</v>
      </c>
      <c r="L1112" s="259">
        <v>292</v>
      </c>
      <c r="M1112" s="428" t="s">
        <v>557</v>
      </c>
      <c r="N1112" s="139">
        <f t="shared" si="58"/>
        <v>292</v>
      </c>
      <c r="O1112" s="422" t="s">
        <v>3592</v>
      </c>
      <c r="P1112" s="231" t="str">
        <f t="shared" si="59"/>
        <v>Reciclagem</v>
      </c>
      <c r="Q1112" s="541" t="s">
        <v>1901</v>
      </c>
      <c r="R1112" s="541" t="s">
        <v>1892</v>
      </c>
      <c r="S1112" s="542" t="s">
        <v>3594</v>
      </c>
      <c r="T1112" s="540" t="s">
        <v>3590</v>
      </c>
      <c r="U1112" s="540" t="s">
        <v>3591</v>
      </c>
      <c r="V1112" s="540"/>
    </row>
    <row r="1113" spans="1:22" ht="15.75" thickBot="1" x14ac:dyDescent="0.3">
      <c r="A1113" s="422" t="s">
        <v>6329</v>
      </c>
      <c r="B1113" s="422" t="s">
        <v>4602</v>
      </c>
      <c r="C1113" s="424" t="str">
        <f t="shared" si="57"/>
        <v>Subcontratados da ViaPorto</v>
      </c>
      <c r="D1113" s="422">
        <v>2023</v>
      </c>
      <c r="E1113" s="250" t="s">
        <v>3499</v>
      </c>
      <c r="F1113" s="250" t="s">
        <v>3566</v>
      </c>
      <c r="G1113" s="422" t="s">
        <v>42</v>
      </c>
      <c r="H1113" s="424" t="s">
        <v>42</v>
      </c>
      <c r="I1113" s="487">
        <v>160303</v>
      </c>
      <c r="J1113" s="425" t="str">
        <f>INDEX(aux!B:B,MATCH(I1113,aux!A:A,0))</f>
        <v>(*) Resíduos inorgânicos contendo substâncias perigosas</v>
      </c>
      <c r="K1113" s="433" t="str">
        <f>INDEX(aux!C:C,MATCH(I1113,aux!A:A,0))</f>
        <v>Sim</v>
      </c>
      <c r="L1113" s="259">
        <v>173</v>
      </c>
      <c r="M1113" s="428" t="s">
        <v>557</v>
      </c>
      <c r="N1113" s="139">
        <f t="shared" si="58"/>
        <v>173</v>
      </c>
      <c r="O1113" s="422" t="s">
        <v>3592</v>
      </c>
      <c r="P1113" s="231" t="str">
        <f t="shared" si="59"/>
        <v>Reciclagem</v>
      </c>
      <c r="Q1113" s="541" t="s">
        <v>1901</v>
      </c>
      <c r="R1113" s="541" t="s">
        <v>1892</v>
      </c>
      <c r="S1113" s="542" t="s">
        <v>3594</v>
      </c>
      <c r="T1113" s="540" t="s">
        <v>3590</v>
      </c>
      <c r="U1113" s="540" t="s">
        <v>3591</v>
      </c>
      <c r="V1113" s="540"/>
    </row>
    <row r="1114" spans="1:22" ht="15.75" thickBot="1" x14ac:dyDescent="0.3">
      <c r="A1114" s="422" t="s">
        <v>6329</v>
      </c>
      <c r="B1114" s="422" t="s">
        <v>4602</v>
      </c>
      <c r="C1114" s="424" t="str">
        <f t="shared" si="57"/>
        <v>Subcontratados da ViaPorto</v>
      </c>
      <c r="D1114" s="422">
        <v>2023</v>
      </c>
      <c r="E1114" s="250" t="s">
        <v>3499</v>
      </c>
      <c r="F1114" s="250" t="s">
        <v>3566</v>
      </c>
      <c r="G1114" s="422" t="s">
        <v>42</v>
      </c>
      <c r="H1114" s="424" t="s">
        <v>42</v>
      </c>
      <c r="I1114" s="487">
        <v>160505</v>
      </c>
      <c r="J1114" s="425" t="str">
        <f>INDEX(aux!B:B,MATCH(I1114,aux!A:A,0))</f>
        <v xml:space="preserve">Gases em recipientes sob pressão, não abrangidos em 16 05 04 </v>
      </c>
      <c r="K1114" s="433" t="str">
        <f>INDEX(aux!C:C,MATCH(I1114,aux!A:A,0))</f>
        <v>Não</v>
      </c>
      <c r="L1114" s="259">
        <v>240</v>
      </c>
      <c r="M1114" s="428" t="s">
        <v>557</v>
      </c>
      <c r="N1114" s="139">
        <f t="shared" si="58"/>
        <v>240</v>
      </c>
      <c r="O1114" s="422" t="s">
        <v>3592</v>
      </c>
      <c r="P1114" s="231" t="str">
        <f t="shared" si="59"/>
        <v>Reciclagem</v>
      </c>
      <c r="Q1114" s="541" t="s">
        <v>1901</v>
      </c>
      <c r="R1114" s="541" t="s">
        <v>1892</v>
      </c>
      <c r="S1114" s="542" t="s">
        <v>3594</v>
      </c>
      <c r="T1114" s="540" t="s">
        <v>3590</v>
      </c>
      <c r="U1114" s="540" t="s">
        <v>3591</v>
      </c>
      <c r="V1114" s="540"/>
    </row>
    <row r="1115" spans="1:22" ht="15.75" thickBot="1" x14ac:dyDescent="0.3">
      <c r="A1115" s="422" t="s">
        <v>6329</v>
      </c>
      <c r="B1115" s="422" t="s">
        <v>4602</v>
      </c>
      <c r="C1115" s="424" t="str">
        <f t="shared" si="57"/>
        <v>Subcontratados da ViaPorto</v>
      </c>
      <c r="D1115" s="422">
        <v>2023</v>
      </c>
      <c r="E1115" s="250" t="s">
        <v>3499</v>
      </c>
      <c r="F1115" s="250" t="s">
        <v>3566</v>
      </c>
      <c r="G1115" s="422" t="s">
        <v>42</v>
      </c>
      <c r="H1115" s="424" t="s">
        <v>42</v>
      </c>
      <c r="I1115" s="487">
        <v>170411</v>
      </c>
      <c r="J1115" s="425" t="str">
        <f>INDEX(aux!B:B,MATCH(I1115,aux!A:A,0))</f>
        <v>Cabos não abrangidos em 17 04 10</v>
      </c>
      <c r="K1115" s="433" t="str">
        <f>INDEX(aux!C:C,MATCH(I1115,aux!A:A,0))</f>
        <v>Não</v>
      </c>
      <c r="L1115" s="259">
        <v>143</v>
      </c>
      <c r="M1115" s="428" t="s">
        <v>557</v>
      </c>
      <c r="N1115" s="139">
        <f t="shared" si="58"/>
        <v>143</v>
      </c>
      <c r="O1115" s="422" t="s">
        <v>3592</v>
      </c>
      <c r="P1115" s="231" t="str">
        <f t="shared" si="59"/>
        <v>Reciclagem</v>
      </c>
      <c r="Q1115" s="541" t="s">
        <v>1901</v>
      </c>
      <c r="R1115" s="541" t="s">
        <v>1892</v>
      </c>
      <c r="S1115" s="542" t="s">
        <v>3594</v>
      </c>
      <c r="T1115" s="540" t="s">
        <v>3590</v>
      </c>
      <c r="U1115" s="540" t="s">
        <v>3591</v>
      </c>
      <c r="V1115" s="540"/>
    </row>
    <row r="1116" spans="1:22" ht="15.75" thickBot="1" x14ac:dyDescent="0.3">
      <c r="A1116" s="422" t="s">
        <v>6329</v>
      </c>
      <c r="B1116" s="422" t="s">
        <v>4602</v>
      </c>
      <c r="C1116" s="424" t="str">
        <f t="shared" si="57"/>
        <v>Subcontratados da ViaPorto</v>
      </c>
      <c r="D1116" s="422">
        <v>2023</v>
      </c>
      <c r="E1116" s="250" t="s">
        <v>3499</v>
      </c>
      <c r="F1116" s="250" t="s">
        <v>3566</v>
      </c>
      <c r="G1116" s="422" t="s">
        <v>42</v>
      </c>
      <c r="H1116" s="424" t="s">
        <v>42</v>
      </c>
      <c r="I1116" s="487">
        <v>170504</v>
      </c>
      <c r="J1116" s="425" t="str">
        <f>INDEX(aux!B:B,MATCH(I1116,aux!A:A,0))</f>
        <v>Solos e rochas não abrangidos em 17 05 03</v>
      </c>
      <c r="K1116" s="433" t="str">
        <f>INDEX(aux!C:C,MATCH(I1116,aux!A:A,0))</f>
        <v>Não</v>
      </c>
      <c r="L1116" s="259">
        <v>5240</v>
      </c>
      <c r="M1116" s="428" t="s">
        <v>557</v>
      </c>
      <c r="N1116" s="139">
        <f t="shared" si="58"/>
        <v>5240</v>
      </c>
      <c r="O1116" s="422" t="s">
        <v>3592</v>
      </c>
      <c r="P1116" s="231" t="str">
        <f t="shared" si="59"/>
        <v>Reciclagem</v>
      </c>
      <c r="Q1116" s="541" t="s">
        <v>1901</v>
      </c>
      <c r="R1116" s="541" t="s">
        <v>1892</v>
      </c>
      <c r="S1116" s="542" t="s">
        <v>3594</v>
      </c>
      <c r="T1116" s="540" t="s">
        <v>3590</v>
      </c>
      <c r="U1116" s="540" t="s">
        <v>3591</v>
      </c>
      <c r="V1116" s="540"/>
    </row>
    <row r="1117" spans="1:22" ht="15.75" thickBot="1" x14ac:dyDescent="0.3">
      <c r="A1117" s="422" t="s">
        <v>6329</v>
      </c>
      <c r="B1117" s="422" t="s">
        <v>4602</v>
      </c>
      <c r="C1117" s="424" t="str">
        <f t="shared" si="57"/>
        <v>Subcontratados da ViaPorto</v>
      </c>
      <c r="D1117" s="422">
        <v>2023</v>
      </c>
      <c r="E1117" s="250" t="s">
        <v>3499</v>
      </c>
      <c r="F1117" s="250" t="s">
        <v>3566</v>
      </c>
      <c r="G1117" s="422" t="s">
        <v>42</v>
      </c>
      <c r="H1117" s="424" t="s">
        <v>42</v>
      </c>
      <c r="I1117" s="487">
        <v>200111</v>
      </c>
      <c r="J1117" s="425" t="str">
        <f>INDEX(aux!B:B,MATCH(I1117,aux!A:A,0))</f>
        <v>Têxteis</v>
      </c>
      <c r="K1117" s="433" t="str">
        <f>INDEX(aux!C:C,MATCH(I1117,aux!A:A,0))</f>
        <v>Não</v>
      </c>
      <c r="L1117" s="259">
        <v>80</v>
      </c>
      <c r="M1117" s="428" t="s">
        <v>557</v>
      </c>
      <c r="N1117" s="139">
        <f t="shared" si="58"/>
        <v>80</v>
      </c>
      <c r="O1117" s="422" t="s">
        <v>3592</v>
      </c>
      <c r="P1117" s="231" t="str">
        <f t="shared" si="59"/>
        <v>Reciclagem</v>
      </c>
      <c r="Q1117" s="541" t="s">
        <v>1901</v>
      </c>
      <c r="R1117" s="541" t="s">
        <v>1892</v>
      </c>
      <c r="S1117" s="542" t="s">
        <v>3594</v>
      </c>
      <c r="T1117" s="540" t="s">
        <v>3590</v>
      </c>
      <c r="U1117" s="540" t="s">
        <v>3591</v>
      </c>
      <c r="V1117" s="540"/>
    </row>
    <row r="1118" spans="1:22" ht="15.75" thickBot="1" x14ac:dyDescent="0.3">
      <c r="A1118" s="422" t="s">
        <v>6329</v>
      </c>
      <c r="B1118" s="422" t="s">
        <v>4602</v>
      </c>
      <c r="C1118" s="424" t="str">
        <f t="shared" si="57"/>
        <v>Subcontratados da ViaPorto</v>
      </c>
      <c r="D1118" s="422">
        <v>2023</v>
      </c>
      <c r="E1118" s="250" t="s">
        <v>3499</v>
      </c>
      <c r="F1118" s="250" t="s">
        <v>3566</v>
      </c>
      <c r="G1118" s="422" t="s">
        <v>42</v>
      </c>
      <c r="H1118" s="424" t="s">
        <v>42</v>
      </c>
      <c r="I1118" s="487">
        <v>200121</v>
      </c>
      <c r="J1118" s="425" t="str">
        <f>INDEX(aux!B:B,MATCH(I1118,aux!A:A,0))</f>
        <v>(*) Lâmpadas fluorescentes e outros resíduos contendo mercúrio</v>
      </c>
      <c r="K1118" s="433" t="str">
        <f>INDEX(aux!C:C,MATCH(I1118,aux!A:A,0))</f>
        <v>Sim</v>
      </c>
      <c r="L1118" s="259">
        <v>858</v>
      </c>
      <c r="M1118" s="428" t="s">
        <v>557</v>
      </c>
      <c r="N1118" s="139">
        <f t="shared" si="58"/>
        <v>858</v>
      </c>
      <c r="O1118" s="422" t="s">
        <v>3592</v>
      </c>
      <c r="P1118" s="231" t="str">
        <f t="shared" si="59"/>
        <v>Reciclagem</v>
      </c>
      <c r="Q1118" s="541" t="s">
        <v>1901</v>
      </c>
      <c r="R1118" s="541" t="s">
        <v>1892</v>
      </c>
      <c r="S1118" s="542" t="s">
        <v>3594</v>
      </c>
      <c r="T1118" s="540" t="s">
        <v>3590</v>
      </c>
      <c r="U1118" s="540" t="s">
        <v>3591</v>
      </c>
      <c r="V1118" s="540"/>
    </row>
    <row r="1119" spans="1:22" ht="15.75" thickBot="1" x14ac:dyDescent="0.3">
      <c r="A1119" s="422" t="s">
        <v>6329</v>
      </c>
      <c r="B1119" s="422" t="s">
        <v>4602</v>
      </c>
      <c r="C1119" s="424" t="str">
        <f t="shared" si="57"/>
        <v>Subcontratados da ViaPorto</v>
      </c>
      <c r="D1119" s="422">
        <v>2023</v>
      </c>
      <c r="E1119" s="250" t="s">
        <v>3499</v>
      </c>
      <c r="F1119" s="250" t="s">
        <v>3566</v>
      </c>
      <c r="G1119" s="422" t="s">
        <v>42</v>
      </c>
      <c r="H1119" s="424" t="s">
        <v>42</v>
      </c>
      <c r="I1119" s="487">
        <v>200201</v>
      </c>
      <c r="J1119" s="425" t="str">
        <f>INDEX(aux!B:B,MATCH(I1119,aux!A:A,0))</f>
        <v xml:space="preserve">Resíduos biodegradáveis </v>
      </c>
      <c r="K1119" s="433" t="str">
        <f>INDEX(aux!C:C,MATCH(I1119,aux!A:A,0))</f>
        <v>Não</v>
      </c>
      <c r="L1119" s="259">
        <v>14200</v>
      </c>
      <c r="M1119" s="428" t="s">
        <v>557</v>
      </c>
      <c r="N1119" s="139">
        <f t="shared" si="58"/>
        <v>14200</v>
      </c>
      <c r="O1119" s="422" t="s">
        <v>3592</v>
      </c>
      <c r="P1119" s="231" t="str">
        <f t="shared" si="59"/>
        <v>Reciclagem</v>
      </c>
      <c r="Q1119" s="541" t="s">
        <v>1901</v>
      </c>
      <c r="R1119" s="541" t="s">
        <v>1892</v>
      </c>
      <c r="S1119" s="542" t="s">
        <v>3594</v>
      </c>
      <c r="T1119" s="540" t="s">
        <v>3590</v>
      </c>
      <c r="U1119" s="540" t="s">
        <v>3591</v>
      </c>
      <c r="V1119" s="540"/>
    </row>
    <row r="1120" spans="1:22" ht="15.75" thickBot="1" x14ac:dyDescent="0.3">
      <c r="A1120" s="422" t="s">
        <v>6329</v>
      </c>
      <c r="B1120" s="422" t="s">
        <v>4602</v>
      </c>
      <c r="C1120" s="424" t="str">
        <f t="shared" si="57"/>
        <v>Subcontratados da ViaPorto</v>
      </c>
      <c r="D1120" s="422">
        <v>2023</v>
      </c>
      <c r="E1120" s="250" t="s">
        <v>3499</v>
      </c>
      <c r="F1120" s="250" t="s">
        <v>3566</v>
      </c>
      <c r="G1120" s="422" t="s">
        <v>42</v>
      </c>
      <c r="H1120" s="424" t="s">
        <v>42</v>
      </c>
      <c r="I1120" s="487">
        <v>160121</v>
      </c>
      <c r="J1120" s="425" t="str">
        <f>INDEX(aux!B:B,MATCH(I1120,aux!A:A,0))</f>
        <v>(*) Componentes perigosos não abrangidos em 16 01 07 a 16 01 11, 16 01 13 e 16 01 14</v>
      </c>
      <c r="K1120" s="433" t="str">
        <f>INDEX(aux!C:C,MATCH(I1120,aux!A:A,0))</f>
        <v>Sim</v>
      </c>
      <c r="L1120" s="259">
        <v>34</v>
      </c>
      <c r="M1120" s="428" t="s">
        <v>557</v>
      </c>
      <c r="N1120" s="139">
        <f t="shared" si="58"/>
        <v>34</v>
      </c>
      <c r="O1120" s="422" t="s">
        <v>3593</v>
      </c>
      <c r="P1120" s="231" t="str">
        <f t="shared" si="59"/>
        <v>Aterro</v>
      </c>
      <c r="Q1120" s="541" t="s">
        <v>1901</v>
      </c>
      <c r="R1120" s="541" t="s">
        <v>1892</v>
      </c>
      <c r="S1120" s="542" t="s">
        <v>3594</v>
      </c>
      <c r="T1120" s="540" t="s">
        <v>3590</v>
      </c>
      <c r="U1120" s="540" t="s">
        <v>3591</v>
      </c>
      <c r="V1120" s="540"/>
    </row>
    <row r="1121" spans="1:22" ht="15.75" thickBot="1" x14ac:dyDescent="0.3">
      <c r="A1121" s="93" t="s">
        <v>6329</v>
      </c>
      <c r="B1121" s="93" t="s">
        <v>4602</v>
      </c>
      <c r="C1121" s="424" t="str">
        <f t="shared" si="57"/>
        <v>Subcontratados da ViaPorto</v>
      </c>
      <c r="D1121" s="422">
        <v>2023</v>
      </c>
      <c r="E1121" s="250" t="s">
        <v>3499</v>
      </c>
      <c r="F1121" s="250" t="s">
        <v>3566</v>
      </c>
      <c r="G1121" s="422" t="s">
        <v>42</v>
      </c>
      <c r="H1121" s="424" t="s">
        <v>42</v>
      </c>
      <c r="I1121" s="522">
        <v>130502</v>
      </c>
      <c r="J1121" s="425" t="str">
        <f>INDEX(aux!B:B,MATCH(I1121,aux!A:A,0))</f>
        <v>(*) Lamas provenientes dos separadores óleo/água</v>
      </c>
      <c r="K1121" s="433" t="str">
        <f>INDEX(aux!C:C,MATCH(I1121,aux!A:A,0))</f>
        <v>Sim</v>
      </c>
      <c r="L1121" s="360">
        <v>2150</v>
      </c>
      <c r="M1121" s="359" t="s">
        <v>557</v>
      </c>
      <c r="N1121" s="139">
        <f t="shared" si="58"/>
        <v>2150</v>
      </c>
      <c r="O1121" s="93" t="s">
        <v>3593</v>
      </c>
      <c r="P1121" s="231" t="str">
        <f t="shared" si="59"/>
        <v>Aterro</v>
      </c>
      <c r="Q1121" s="541" t="s">
        <v>1901</v>
      </c>
      <c r="R1121" s="541" t="s">
        <v>1892</v>
      </c>
      <c r="S1121" s="542" t="s">
        <v>3594</v>
      </c>
      <c r="T1121" s="540" t="s">
        <v>3590</v>
      </c>
      <c r="U1121" s="540" t="s">
        <v>3591</v>
      </c>
      <c r="V1121" s="540"/>
    </row>
    <row r="1122" spans="1:22" ht="15.75" thickBot="1" x14ac:dyDescent="0.3">
      <c r="A1122" s="422" t="s">
        <v>6329</v>
      </c>
      <c r="B1122" s="422" t="s">
        <v>4602</v>
      </c>
      <c r="C1122" s="424" t="str">
        <f t="shared" si="57"/>
        <v>Subcontratados da ViaPorto</v>
      </c>
      <c r="D1122" s="422">
        <v>2023</v>
      </c>
      <c r="E1122" s="250" t="s">
        <v>3499</v>
      </c>
      <c r="F1122" s="250" t="s">
        <v>3566</v>
      </c>
      <c r="G1122" s="422" t="s">
        <v>42</v>
      </c>
      <c r="H1122" s="424" t="s">
        <v>42</v>
      </c>
      <c r="I1122" s="487">
        <v>160199</v>
      </c>
      <c r="J1122" s="425" t="str">
        <f>INDEX(aux!B:B,MATCH(I1122,aux!A:A,0))</f>
        <v>Resíduos sem outras especificações</v>
      </c>
      <c r="K1122" s="433" t="str">
        <f>INDEX(aux!C:C,MATCH(I1122,aux!A:A,0))</f>
        <v>Não</v>
      </c>
      <c r="L1122" s="259">
        <v>2304</v>
      </c>
      <c r="M1122" s="428" t="s">
        <v>557</v>
      </c>
      <c r="N1122" s="139">
        <f t="shared" si="58"/>
        <v>2304</v>
      </c>
      <c r="O1122" s="422" t="s">
        <v>3592</v>
      </c>
      <c r="P1122" s="231" t="str">
        <f t="shared" si="59"/>
        <v>Reciclagem</v>
      </c>
      <c r="Q1122" s="541" t="s">
        <v>1901</v>
      </c>
      <c r="R1122" s="541" t="s">
        <v>1892</v>
      </c>
      <c r="S1122" s="542" t="s">
        <v>3594</v>
      </c>
      <c r="T1122" s="540" t="s">
        <v>3590</v>
      </c>
      <c r="U1122" s="540" t="s">
        <v>3591</v>
      </c>
      <c r="V1122" s="540"/>
    </row>
    <row r="1123" spans="1:22" ht="15.75" thickBot="1" x14ac:dyDescent="0.3">
      <c r="A1123" s="93" t="s">
        <v>6329</v>
      </c>
      <c r="B1123" s="93" t="s">
        <v>4602</v>
      </c>
      <c r="C1123" s="424" t="str">
        <f t="shared" si="57"/>
        <v>Subcontratados da ViaPorto</v>
      </c>
      <c r="D1123" s="422">
        <v>2023</v>
      </c>
      <c r="E1123" s="250" t="s">
        <v>3499</v>
      </c>
      <c r="F1123" s="250" t="s">
        <v>3566</v>
      </c>
      <c r="G1123" s="422" t="s">
        <v>42</v>
      </c>
      <c r="H1123" s="424" t="s">
        <v>42</v>
      </c>
      <c r="I1123" s="522">
        <v>130507</v>
      </c>
      <c r="J1123" s="425" t="str">
        <f>INDEX(aux!B:B,MATCH(I1123,aux!A:A,0))</f>
        <v>(*) Água com óleo proveniente dos separadores óleo/água</v>
      </c>
      <c r="K1123" s="433" t="str">
        <f>INDEX(aux!C:C,MATCH(I1123,aux!A:A,0))</f>
        <v>Sim</v>
      </c>
      <c r="L1123" s="360">
        <v>17440</v>
      </c>
      <c r="M1123" s="359" t="s">
        <v>557</v>
      </c>
      <c r="N1123" s="139">
        <f t="shared" si="58"/>
        <v>17440</v>
      </c>
      <c r="O1123" s="93" t="s">
        <v>3593</v>
      </c>
      <c r="P1123" s="231" t="str">
        <f t="shared" si="59"/>
        <v>Aterro</v>
      </c>
      <c r="Q1123" s="541" t="s">
        <v>1901</v>
      </c>
      <c r="R1123" s="541" t="s">
        <v>1892</v>
      </c>
      <c r="S1123" s="542" t="s">
        <v>3594</v>
      </c>
      <c r="T1123" s="540" t="s">
        <v>3590</v>
      </c>
      <c r="U1123" s="540" t="s">
        <v>3591</v>
      </c>
      <c r="V1123" s="540"/>
    </row>
    <row r="1124" spans="1:22" ht="15.75" thickBot="1" x14ac:dyDescent="0.3">
      <c r="A1124" s="93" t="s">
        <v>6329</v>
      </c>
      <c r="B1124" s="93" t="s">
        <v>4602</v>
      </c>
      <c r="C1124" s="424" t="str">
        <f t="shared" si="57"/>
        <v>Subcontratados da ViaPorto</v>
      </c>
      <c r="D1124" s="422">
        <v>2023</v>
      </c>
      <c r="E1124" s="250" t="s">
        <v>3499</v>
      </c>
      <c r="F1124" s="250" t="s">
        <v>3566</v>
      </c>
      <c r="G1124" s="422" t="s">
        <v>42</v>
      </c>
      <c r="H1124" s="424" t="s">
        <v>42</v>
      </c>
      <c r="I1124" s="522">
        <v>150110</v>
      </c>
      <c r="J1124" s="425" t="str">
        <f>INDEX(aux!B:B,MATCH(I1124,aux!A:A,0))</f>
        <v>(*) Embalagens contendo ou contaminadas por resíduos de substâncias perigosas</v>
      </c>
      <c r="K1124" s="433" t="str">
        <f>INDEX(aux!C:C,MATCH(I1124,aux!A:A,0))</f>
        <v>Sim</v>
      </c>
      <c r="L1124" s="360">
        <v>3110</v>
      </c>
      <c r="M1124" s="359" t="s">
        <v>557</v>
      </c>
      <c r="N1124" s="139">
        <f t="shared" si="58"/>
        <v>3110</v>
      </c>
      <c r="O1124" s="93" t="s">
        <v>3593</v>
      </c>
      <c r="P1124" s="231" t="str">
        <f t="shared" si="59"/>
        <v>Aterro</v>
      </c>
      <c r="Q1124" s="541" t="s">
        <v>1901</v>
      </c>
      <c r="R1124" s="541" t="s">
        <v>1892</v>
      </c>
      <c r="S1124" s="542" t="s">
        <v>3594</v>
      </c>
      <c r="T1124" s="540" t="s">
        <v>3590</v>
      </c>
      <c r="U1124" s="540" t="s">
        <v>3591</v>
      </c>
      <c r="V1124" s="540"/>
    </row>
    <row r="1125" spans="1:22" ht="15.75" thickBot="1" x14ac:dyDescent="0.3">
      <c r="A1125" s="93" t="s">
        <v>6329</v>
      </c>
      <c r="B1125" s="93" t="s">
        <v>4602</v>
      </c>
      <c r="C1125" s="424" t="str">
        <f t="shared" si="57"/>
        <v>Subcontratados da ViaPorto</v>
      </c>
      <c r="D1125" s="422">
        <v>2023</v>
      </c>
      <c r="E1125" s="250" t="s">
        <v>3499</v>
      </c>
      <c r="F1125" s="250" t="s">
        <v>3566</v>
      </c>
      <c r="G1125" s="422" t="s">
        <v>42</v>
      </c>
      <c r="H1125" s="424" t="s">
        <v>42</v>
      </c>
      <c r="I1125" s="522">
        <v>150203</v>
      </c>
      <c r="J1125" s="425" t="str">
        <f>INDEX(aux!B:B,MATCH(I1125,aux!A:A,0))</f>
        <v>Absorventes, materiais filtrantes, panos de limpeza e vestuário de proteção não abrangidos em 15 02 02</v>
      </c>
      <c r="K1125" s="433" t="str">
        <f>INDEX(aux!C:C,MATCH(I1125,aux!A:A,0))</f>
        <v>Não</v>
      </c>
      <c r="L1125" s="360">
        <v>2128</v>
      </c>
      <c r="M1125" s="359" t="s">
        <v>557</v>
      </c>
      <c r="N1125" s="139">
        <f t="shared" si="58"/>
        <v>2128</v>
      </c>
      <c r="O1125" s="93" t="s">
        <v>3592</v>
      </c>
      <c r="P1125" s="231" t="str">
        <f t="shared" si="59"/>
        <v>Reciclagem</v>
      </c>
      <c r="Q1125" s="541" t="s">
        <v>1901</v>
      </c>
      <c r="R1125" s="541" t="s">
        <v>1892</v>
      </c>
      <c r="S1125" s="542" t="s">
        <v>3594</v>
      </c>
      <c r="T1125" s="540" t="s">
        <v>3590</v>
      </c>
      <c r="U1125" s="540" t="s">
        <v>3591</v>
      </c>
      <c r="V1125" s="540"/>
    </row>
    <row r="1126" spans="1:22" ht="15.75" thickBot="1" x14ac:dyDescent="0.3">
      <c r="A1126" s="93" t="s">
        <v>6329</v>
      </c>
      <c r="B1126" s="93" t="s">
        <v>4602</v>
      </c>
      <c r="C1126" s="424" t="str">
        <f t="shared" si="57"/>
        <v>Subcontratados da ViaPorto</v>
      </c>
      <c r="D1126" s="422">
        <v>2023</v>
      </c>
      <c r="E1126" s="250" t="s">
        <v>3499</v>
      </c>
      <c r="F1126" s="250" t="s">
        <v>3566</v>
      </c>
      <c r="G1126" s="422" t="s">
        <v>42</v>
      </c>
      <c r="H1126" s="424" t="s">
        <v>42</v>
      </c>
      <c r="I1126" s="522">
        <v>150202</v>
      </c>
      <c r="J1126" s="425" t="str">
        <f>INDEX(aux!B:B,MATCH(I1126,aux!A:A,0))</f>
        <v>(*) Absorventes, materiais filtrantes (incluindo filtros de óleo sem outras especificações), panos de limpeza e vestuário de proteção, contaminados por substâncias perigosas</v>
      </c>
      <c r="K1126" s="433" t="str">
        <f>INDEX(aux!C:C,MATCH(I1126,aux!A:A,0))</f>
        <v>Sim</v>
      </c>
      <c r="L1126" s="360">
        <v>8139</v>
      </c>
      <c r="M1126" s="359" t="s">
        <v>557</v>
      </c>
      <c r="N1126" s="139">
        <f t="shared" si="58"/>
        <v>8139</v>
      </c>
      <c r="O1126" s="93" t="s">
        <v>3593</v>
      </c>
      <c r="P1126" s="231" t="str">
        <f t="shared" si="59"/>
        <v>Aterro</v>
      </c>
      <c r="Q1126" s="541" t="s">
        <v>1901</v>
      </c>
      <c r="R1126" s="541" t="s">
        <v>1892</v>
      </c>
      <c r="S1126" s="542" t="s">
        <v>3594</v>
      </c>
      <c r="T1126" s="540" t="s">
        <v>3590</v>
      </c>
      <c r="U1126" s="540" t="s">
        <v>3591</v>
      </c>
      <c r="V1126" s="540"/>
    </row>
    <row r="1127" spans="1:22" ht="15.75" thickBot="1" x14ac:dyDescent="0.3">
      <c r="A1127" s="422" t="s">
        <v>6329</v>
      </c>
      <c r="B1127" s="93" t="s">
        <v>4602</v>
      </c>
      <c r="C1127" s="424" t="str">
        <f t="shared" si="57"/>
        <v>Subcontratados da ViaPorto</v>
      </c>
      <c r="D1127" s="422">
        <v>2023</v>
      </c>
      <c r="E1127" s="250" t="s">
        <v>3499</v>
      </c>
      <c r="F1127" s="250" t="s">
        <v>3566</v>
      </c>
      <c r="G1127" s="422" t="s">
        <v>42</v>
      </c>
      <c r="H1127" s="424" t="s">
        <v>42</v>
      </c>
      <c r="I1127" s="522">
        <v>160107</v>
      </c>
      <c r="J1127" s="425" t="str">
        <f>INDEX(aux!B:B,MATCH(I1127,aux!A:A,0))</f>
        <v>(*) Filtros de óleo</v>
      </c>
      <c r="K1127" s="433" t="str">
        <f>INDEX(aux!C:C,MATCH(I1127,aux!A:A,0))</f>
        <v>Sim</v>
      </c>
      <c r="L1127" s="360">
        <v>344</v>
      </c>
      <c r="M1127" s="359" t="s">
        <v>557</v>
      </c>
      <c r="N1127" s="139">
        <f t="shared" si="58"/>
        <v>344</v>
      </c>
      <c r="O1127" s="93" t="s">
        <v>3592</v>
      </c>
      <c r="P1127" s="231" t="str">
        <f t="shared" si="59"/>
        <v>Reciclagem</v>
      </c>
      <c r="Q1127" s="541" t="s">
        <v>1901</v>
      </c>
      <c r="R1127" s="541" t="s">
        <v>1892</v>
      </c>
      <c r="S1127" s="542" t="s">
        <v>3594</v>
      </c>
      <c r="T1127" s="540" t="s">
        <v>3590</v>
      </c>
      <c r="U1127" s="540" t="s">
        <v>3591</v>
      </c>
      <c r="V1127" s="540"/>
    </row>
    <row r="1128" spans="1:22" ht="15.75" thickBot="1" x14ac:dyDescent="0.3">
      <c r="A1128" s="422" t="s">
        <v>6329</v>
      </c>
      <c r="B1128" s="422" t="s">
        <v>4602</v>
      </c>
      <c r="C1128" s="424" t="str">
        <f t="shared" si="57"/>
        <v>Subcontratados da ViaPorto</v>
      </c>
      <c r="D1128" s="422">
        <v>2023</v>
      </c>
      <c r="E1128" s="250" t="s">
        <v>3499</v>
      </c>
      <c r="F1128" s="250" t="s">
        <v>3566</v>
      </c>
      <c r="G1128" s="422" t="s">
        <v>42</v>
      </c>
      <c r="H1128" s="424" t="s">
        <v>42</v>
      </c>
      <c r="I1128" s="487">
        <v>200301</v>
      </c>
      <c r="J1128" s="425" t="str">
        <f>INDEX(aux!B:B,MATCH(I1128,aux!A:A,0))</f>
        <v>Misturas de resíduos urbanos equiparados</v>
      </c>
      <c r="K1128" s="433" t="str">
        <f>INDEX(aux!C:C,MATCH(I1128,aux!A:A,0))</f>
        <v>Não</v>
      </c>
      <c r="L1128" s="259">
        <v>371115</v>
      </c>
      <c r="M1128" s="428" t="s">
        <v>557</v>
      </c>
      <c r="N1128" s="139">
        <f t="shared" si="58"/>
        <v>371115</v>
      </c>
      <c r="O1128" s="422" t="s">
        <v>3592</v>
      </c>
      <c r="P1128" s="231" t="str">
        <f t="shared" si="59"/>
        <v>Reciclagem</v>
      </c>
      <c r="Q1128" s="541" t="s">
        <v>1908</v>
      </c>
      <c r="R1128" s="541" t="s">
        <v>1877</v>
      </c>
      <c r="S1128" s="542" t="s">
        <v>3594</v>
      </c>
      <c r="T1128" s="540" t="s">
        <v>3590</v>
      </c>
      <c r="U1128" s="540" t="s">
        <v>3591</v>
      </c>
      <c r="V1128" s="540"/>
    </row>
    <row r="1129" spans="1:22" ht="15.75" thickBot="1" x14ac:dyDescent="0.3">
      <c r="A1129" s="422" t="s">
        <v>6329</v>
      </c>
      <c r="B1129" s="422" t="s">
        <v>4602</v>
      </c>
      <c r="C1129" s="424" t="str">
        <f t="shared" si="57"/>
        <v>Subcontratados da ViaPorto</v>
      </c>
      <c r="D1129" s="422">
        <v>2023</v>
      </c>
      <c r="E1129" s="250" t="s">
        <v>3499</v>
      </c>
      <c r="F1129" s="250" t="s">
        <v>3566</v>
      </c>
      <c r="G1129" s="422" t="s">
        <v>42</v>
      </c>
      <c r="H1129" s="424" t="s">
        <v>42</v>
      </c>
      <c r="I1129" s="487">
        <v>200303</v>
      </c>
      <c r="J1129" s="425" t="str">
        <f>INDEX(aux!B:B,MATCH(I1129,aux!A:A,0))</f>
        <v>Resíduos da limpeza de ruas</v>
      </c>
      <c r="K1129" s="433" t="str">
        <f>INDEX(aux!C:C,MATCH(I1129,aux!A:A,0))</f>
        <v>Não</v>
      </c>
      <c r="L1129" s="259">
        <v>43340</v>
      </c>
      <c r="M1129" s="428" t="s">
        <v>557</v>
      </c>
      <c r="N1129" s="139">
        <f t="shared" si="58"/>
        <v>43340</v>
      </c>
      <c r="O1129" s="422" t="s">
        <v>3593</v>
      </c>
      <c r="P1129" s="231" t="str">
        <f t="shared" si="59"/>
        <v>Aterro</v>
      </c>
      <c r="Q1129" s="541" t="s">
        <v>1908</v>
      </c>
      <c r="R1129" s="541" t="s">
        <v>1877</v>
      </c>
      <c r="S1129" s="542" t="s">
        <v>3594</v>
      </c>
      <c r="T1129" s="540" t="s">
        <v>3590</v>
      </c>
      <c r="U1129" s="540" t="s">
        <v>3591</v>
      </c>
      <c r="V1129" s="540"/>
    </row>
    <row r="1130" spans="1:22" ht="15.75" thickBot="1" x14ac:dyDescent="0.3">
      <c r="A1130" s="93" t="s">
        <v>6329</v>
      </c>
      <c r="B1130" s="93" t="s">
        <v>4602</v>
      </c>
      <c r="C1130" s="424" t="str">
        <f t="shared" si="57"/>
        <v>Subcontratados da ViaPorto</v>
      </c>
      <c r="D1130" s="422">
        <v>2023</v>
      </c>
      <c r="E1130" s="250" t="s">
        <v>3499</v>
      </c>
      <c r="F1130" s="250" t="s">
        <v>3566</v>
      </c>
      <c r="G1130" s="422" t="s">
        <v>42</v>
      </c>
      <c r="H1130" s="424" t="s">
        <v>42</v>
      </c>
      <c r="I1130" s="522">
        <v>101112</v>
      </c>
      <c r="J1130" s="425" t="str">
        <f>INDEX(aux!B:B,MATCH(I1130,aux!A:A,0))</f>
        <v>Resíduos de vidro não abrangidos em 10 11 11</v>
      </c>
      <c r="K1130" s="433" t="str">
        <f>INDEX(aux!C:C,MATCH(I1130,aux!A:A,0))</f>
        <v>Não</v>
      </c>
      <c r="L1130" s="360">
        <v>615</v>
      </c>
      <c r="M1130" s="359" t="s">
        <v>557</v>
      </c>
      <c r="N1130" s="139">
        <f t="shared" si="58"/>
        <v>615</v>
      </c>
      <c r="O1130" s="93" t="s">
        <v>3592</v>
      </c>
      <c r="P1130" s="231" t="str">
        <f t="shared" si="59"/>
        <v>Reciclagem</v>
      </c>
      <c r="Q1130" s="541" t="s">
        <v>1561</v>
      </c>
      <c r="R1130" s="541" t="s">
        <v>6569</v>
      </c>
      <c r="S1130" s="542" t="s">
        <v>3594</v>
      </c>
      <c r="T1130" s="540" t="s">
        <v>3590</v>
      </c>
      <c r="U1130" s="540" t="s">
        <v>3591</v>
      </c>
      <c r="V1130" s="540"/>
    </row>
    <row r="1131" spans="1:22" ht="15.75" thickBot="1" x14ac:dyDescent="0.3">
      <c r="A1131" s="93" t="s">
        <v>6329</v>
      </c>
      <c r="B1131" s="93" t="s">
        <v>4602</v>
      </c>
      <c r="C1131" s="424" t="str">
        <f t="shared" si="57"/>
        <v>Subcontratados da ViaPorto</v>
      </c>
      <c r="D1131" s="422">
        <v>2023</v>
      </c>
      <c r="E1131" s="250" t="s">
        <v>3499</v>
      </c>
      <c r="F1131" s="250" t="s">
        <v>3566</v>
      </c>
      <c r="G1131" s="422" t="s">
        <v>42</v>
      </c>
      <c r="H1131" s="424" t="s">
        <v>42</v>
      </c>
      <c r="I1131" s="522">
        <v>150107</v>
      </c>
      <c r="J1131" s="425" t="str">
        <f>INDEX(aux!B:B,MATCH(I1131,aux!A:A,0))</f>
        <v>Embalagens de vidro</v>
      </c>
      <c r="K1131" s="433" t="str">
        <f>INDEX(aux!C:C,MATCH(I1131,aux!A:A,0))</f>
        <v>Não</v>
      </c>
      <c r="L1131" s="360">
        <v>36570</v>
      </c>
      <c r="M1131" s="359" t="s">
        <v>557</v>
      </c>
      <c r="N1131" s="139">
        <f t="shared" si="58"/>
        <v>36570</v>
      </c>
      <c r="O1131" s="93" t="s">
        <v>3592</v>
      </c>
      <c r="P1131" s="231" t="str">
        <f t="shared" si="59"/>
        <v>Reciclagem</v>
      </c>
      <c r="Q1131" s="541" t="s">
        <v>1561</v>
      </c>
      <c r="R1131" s="541" t="s">
        <v>6569</v>
      </c>
      <c r="S1131" s="542" t="s">
        <v>3594</v>
      </c>
      <c r="T1131" s="540" t="s">
        <v>3590</v>
      </c>
      <c r="U1131" s="540" t="s">
        <v>3591</v>
      </c>
      <c r="V1131" s="540"/>
    </row>
    <row r="1132" spans="1:22" ht="15.75" thickBot="1" x14ac:dyDescent="0.3">
      <c r="A1132" s="93" t="s">
        <v>6329</v>
      </c>
      <c r="B1132" s="93" t="s">
        <v>4602</v>
      </c>
      <c r="C1132" s="424" t="str">
        <f t="shared" si="57"/>
        <v>Subcontratados da ViaPorto</v>
      </c>
      <c r="D1132" s="422">
        <v>2023</v>
      </c>
      <c r="E1132" s="250" t="s">
        <v>3499</v>
      </c>
      <c r="F1132" s="250" t="s">
        <v>3566</v>
      </c>
      <c r="G1132" s="422" t="s">
        <v>42</v>
      </c>
      <c r="H1132" s="424" t="s">
        <v>42</v>
      </c>
      <c r="I1132" s="487">
        <v>160120</v>
      </c>
      <c r="J1132" s="425" t="str">
        <f>INDEX(aux!B:B,MATCH(I1132,aux!A:A,0))</f>
        <v>Vidro</v>
      </c>
      <c r="K1132" s="433" t="str">
        <f>INDEX(aux!C:C,MATCH(I1132,aux!A:A,0))</f>
        <v>Não</v>
      </c>
      <c r="L1132" s="360">
        <v>3670</v>
      </c>
      <c r="M1132" s="359" t="s">
        <v>557</v>
      </c>
      <c r="N1132" s="139">
        <f t="shared" si="58"/>
        <v>3670</v>
      </c>
      <c r="O1132" s="93" t="s">
        <v>3592</v>
      </c>
      <c r="P1132" s="231" t="str">
        <f t="shared" si="59"/>
        <v>Reciclagem</v>
      </c>
      <c r="Q1132" s="541" t="s">
        <v>1561</v>
      </c>
      <c r="R1132" s="541" t="s">
        <v>6569</v>
      </c>
      <c r="S1132" s="542" t="s">
        <v>3594</v>
      </c>
      <c r="T1132" s="540" t="s">
        <v>3590</v>
      </c>
      <c r="U1132" s="540" t="s">
        <v>3591</v>
      </c>
      <c r="V1132" s="540"/>
    </row>
    <row r="1133" spans="1:22" ht="15.75" hidden="1" thickBot="1" x14ac:dyDescent="0.3">
      <c r="A1133" s="529" t="s">
        <v>4590</v>
      </c>
      <c r="B1133" s="529" t="s">
        <v>4590</v>
      </c>
      <c r="C1133" s="424" t="str">
        <f t="shared" si="57"/>
        <v>X</v>
      </c>
      <c r="D1133" s="422">
        <v>2022</v>
      </c>
      <c r="E1133" s="250" t="s">
        <v>3499</v>
      </c>
      <c r="F1133" s="250" t="s">
        <v>3566</v>
      </c>
      <c r="G1133" s="422" t="s">
        <v>42</v>
      </c>
      <c r="H1133" s="424" t="s">
        <v>42</v>
      </c>
      <c r="I1133" s="532">
        <v>160601</v>
      </c>
      <c r="J1133" s="425" t="str">
        <f>INDEX(aux!B:B,MATCH(I1133,aux!A:A,0))</f>
        <v>(*) Acumuladores de chumbo</v>
      </c>
      <c r="K1133" s="433" t="str">
        <f>INDEX(aux!C:C,MATCH(I1133,aux!A:A,0))</f>
        <v>Sim</v>
      </c>
      <c r="L1133" s="646">
        <v>5.7329999999999997</v>
      </c>
      <c r="M1133" s="535" t="s">
        <v>1532</v>
      </c>
      <c r="N1133" s="139">
        <f t="shared" si="58"/>
        <v>5733</v>
      </c>
      <c r="O1133" s="538" t="s">
        <v>483</v>
      </c>
      <c r="P1133" s="231" t="str">
        <f t="shared" si="59"/>
        <v>Reciclagem</v>
      </c>
      <c r="Q1133" s="541" t="s">
        <v>1653</v>
      </c>
      <c r="R1133" s="541" t="s">
        <v>1877</v>
      </c>
      <c r="S1133" s="543" t="str">
        <f>IFERROR(INDEX(Tabela3[Tipos de Tratamento],MATCH('A3.9.1 copy'!O378,Tabela3[Código],0)),"")</f>
        <v xml:space="preserve">Troca de resíduos com vista a submetê-los a uma das operações enumeradas de R 1 a R 11 </v>
      </c>
      <c r="T1133" s="429" t="s">
        <v>3259</v>
      </c>
      <c r="U1133" s="429" t="s">
        <v>3259</v>
      </c>
      <c r="V1133" s="540"/>
    </row>
    <row r="1134" spans="1:22" ht="15.75" hidden="1" thickBot="1" x14ac:dyDescent="0.3">
      <c r="A1134" s="529" t="s">
        <v>4590</v>
      </c>
      <c r="B1134" s="529" t="s">
        <v>4590</v>
      </c>
      <c r="C1134" s="424" t="str">
        <f t="shared" si="57"/>
        <v>X</v>
      </c>
      <c r="D1134" s="422">
        <v>2022</v>
      </c>
      <c r="E1134" s="250" t="s">
        <v>3499</v>
      </c>
      <c r="F1134" s="250" t="s">
        <v>3566</v>
      </c>
      <c r="G1134" s="422" t="s">
        <v>42</v>
      </c>
      <c r="H1134" s="424" t="s">
        <v>42</v>
      </c>
      <c r="I1134" s="532">
        <v>150111</v>
      </c>
      <c r="J1134" s="425" t="str">
        <f>INDEX(aux!B:B,MATCH(I1134,aux!A:A,0))</f>
        <v>(*) Embalagens de metal, incluindo recipientes vazios sob pressão, contendo uma matriz porosa sólida perigosa (por exemplo, amianto)</v>
      </c>
      <c r="K1134" s="433" t="str">
        <f>INDEX(aux!C:C,MATCH(I1134,aux!A:A,0))</f>
        <v>Sim</v>
      </c>
      <c r="L1134" s="646">
        <v>5.1999999999999998E-2</v>
      </c>
      <c r="M1134" s="535" t="s">
        <v>1532</v>
      </c>
      <c r="N1134" s="139">
        <f t="shared" si="58"/>
        <v>52</v>
      </c>
      <c r="O1134" s="538" t="s">
        <v>483</v>
      </c>
      <c r="P1134" s="231" t="str">
        <f t="shared" si="59"/>
        <v>Reciclagem</v>
      </c>
      <c r="Q1134" s="541" t="s">
        <v>1906</v>
      </c>
      <c r="R1134" s="541" t="s">
        <v>1903</v>
      </c>
      <c r="S1134" s="543" t="str">
        <f>IFERROR(INDEX(Tabela3[Tipos de Tratamento],MATCH('A3.9.1 copy'!O365,Tabela3[Código],0)),"")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1134" s="429" t="s">
        <v>3245</v>
      </c>
      <c r="U1134" s="429" t="s">
        <v>3245</v>
      </c>
      <c r="V1134" s="540"/>
    </row>
    <row r="1135" spans="1:22" ht="15.75" hidden="1" thickBot="1" x14ac:dyDescent="0.3">
      <c r="A1135" s="529" t="s">
        <v>4590</v>
      </c>
      <c r="B1135" s="529" t="s">
        <v>4590</v>
      </c>
      <c r="C1135" s="424" t="str">
        <f t="shared" ref="C1135:C1158" si="60">IF(A1135=B1135,"X",RIGHT(A1135,LEN(A1135)-LEN(B1135)-3))</f>
        <v>X</v>
      </c>
      <c r="D1135" s="422">
        <v>2022</v>
      </c>
      <c r="E1135" s="250" t="s">
        <v>3499</v>
      </c>
      <c r="F1135" s="250" t="s">
        <v>3566</v>
      </c>
      <c r="G1135" s="422" t="s">
        <v>42</v>
      </c>
      <c r="H1135" s="424" t="s">
        <v>42</v>
      </c>
      <c r="I1135" s="532">
        <v>200140</v>
      </c>
      <c r="J1135" s="425" t="str">
        <f>INDEX(aux!B:B,MATCH(I1135,aux!A:A,0))</f>
        <v>Metais</v>
      </c>
      <c r="K1135" s="433" t="str">
        <f>INDEX(aux!C:C,MATCH(I1135,aux!A:A,0))</f>
        <v>Não</v>
      </c>
      <c r="L1135" s="646">
        <v>24.7</v>
      </c>
      <c r="M1135" s="535" t="s">
        <v>1532</v>
      </c>
      <c r="N1135" s="139">
        <f t="shared" si="58"/>
        <v>24700</v>
      </c>
      <c r="O1135" s="538" t="s">
        <v>483</v>
      </c>
      <c r="P1135" s="231" t="str">
        <f t="shared" si="59"/>
        <v>Reciclagem</v>
      </c>
      <c r="Q1135" s="541" t="s">
        <v>1906</v>
      </c>
      <c r="R1135" s="541" t="s">
        <v>1903</v>
      </c>
      <c r="S1135" s="543" t="str">
        <f>IFERROR(INDEX(Tabela3[Tipos de Tratamento],MATCH('A3.9.1 copy'!O381,Tabela3[Código],0)),"")</f>
        <v>Deposição sobre o solo ou no seu interior (por exemplo, aterro sanitário, etc.).</v>
      </c>
      <c r="T1135" s="429" t="s">
        <v>3245</v>
      </c>
      <c r="U1135" s="429" t="s">
        <v>3245</v>
      </c>
      <c r="V1135" s="540"/>
    </row>
    <row r="1136" spans="1:22" ht="15.75" hidden="1" thickBot="1" x14ac:dyDescent="0.3">
      <c r="A1136" s="529" t="s">
        <v>4590</v>
      </c>
      <c r="B1136" s="529" t="s">
        <v>4590</v>
      </c>
      <c r="C1136" s="424" t="str">
        <f t="shared" si="60"/>
        <v>X</v>
      </c>
      <c r="D1136" s="422">
        <v>2022</v>
      </c>
      <c r="E1136" s="250" t="s">
        <v>3499</v>
      </c>
      <c r="F1136" s="250" t="s">
        <v>3566</v>
      </c>
      <c r="G1136" s="422" t="s">
        <v>42</v>
      </c>
      <c r="H1136" s="424" t="s">
        <v>42</v>
      </c>
      <c r="I1136" s="532">
        <v>130208</v>
      </c>
      <c r="J1136" s="425" t="str">
        <f>INDEX(aux!B:B,MATCH(I1136,aux!A:A,0))</f>
        <v>(*) Outros óleos de motores, transmissões e lubrificação</v>
      </c>
      <c r="K1136" s="433" t="str">
        <f>INDEX(aux!C:C,MATCH(I1136,aux!A:A,0))</f>
        <v>Sim</v>
      </c>
      <c r="L1136" s="646">
        <v>16.899999999999999</v>
      </c>
      <c r="M1136" s="535" t="s">
        <v>1532</v>
      </c>
      <c r="N1136" s="139">
        <f t="shared" si="58"/>
        <v>16900</v>
      </c>
      <c r="O1136" s="538" t="s">
        <v>483</v>
      </c>
      <c r="P1136" s="231" t="str">
        <f t="shared" si="59"/>
        <v>Reciclagem</v>
      </c>
      <c r="Q1136" s="541" t="s">
        <v>1902</v>
      </c>
      <c r="R1136" s="541" t="s">
        <v>1877</v>
      </c>
      <c r="S1136" s="543" t="str">
        <f>IFERROR(INDEX(Tabela3[Tipos de Tratamento],MATCH('A3.9.1 copy'!O358,Tabela3[Código],0)),"")</f>
        <v>Acumulação de resíduos destinados a uma das operações enumeradas de R1 a R12</v>
      </c>
      <c r="T1136" s="429" t="s">
        <v>1599</v>
      </c>
      <c r="U1136" s="429" t="s">
        <v>1599</v>
      </c>
      <c r="V1136" s="540"/>
    </row>
    <row r="1137" spans="1:22" ht="15.75" hidden="1" thickBot="1" x14ac:dyDescent="0.3">
      <c r="A1137" s="529" t="s">
        <v>4590</v>
      </c>
      <c r="B1137" s="529" t="s">
        <v>4590</v>
      </c>
      <c r="C1137" s="424" t="str">
        <f t="shared" si="60"/>
        <v>X</v>
      </c>
      <c r="D1137" s="422">
        <v>2022</v>
      </c>
      <c r="E1137" s="250" t="s">
        <v>3499</v>
      </c>
      <c r="F1137" s="250" t="s">
        <v>3566</v>
      </c>
      <c r="G1137" s="422" t="s">
        <v>42</v>
      </c>
      <c r="H1137" s="424" t="s">
        <v>42</v>
      </c>
      <c r="I1137" s="532">
        <v>150101</v>
      </c>
      <c r="J1137" s="425" t="str">
        <f>INDEX(aux!B:B,MATCH(I1137,aux!A:A,0))</f>
        <v>Embalagens de papel e cartão</v>
      </c>
      <c r="K1137" s="433" t="str">
        <f>INDEX(aux!C:C,MATCH(I1137,aux!A:A,0))</f>
        <v>Não</v>
      </c>
      <c r="L1137" s="646">
        <v>1.55</v>
      </c>
      <c r="M1137" s="535" t="s">
        <v>1532</v>
      </c>
      <c r="N1137" s="139">
        <f t="shared" si="58"/>
        <v>1550</v>
      </c>
      <c r="O1137" s="538" t="s">
        <v>483</v>
      </c>
      <c r="P1137" s="231" t="str">
        <f t="shared" si="59"/>
        <v>Reciclagem</v>
      </c>
      <c r="Q1137" s="541" t="s">
        <v>1904</v>
      </c>
      <c r="R1137" s="541" t="s">
        <v>1903</v>
      </c>
      <c r="S1137" s="543" t="str">
        <f>IFERROR(INDEX(Tabela3[Tipos de Tratamento],MATCH('A3.9.1 copy'!O363,Tabela3[Código],0)),"")</f>
        <v xml:space="preserve">Troca de resíduos com vista a submetê-los a uma das operações enumeradas de R 1 a R 11 </v>
      </c>
      <c r="T1137" s="429" t="s">
        <v>3245</v>
      </c>
      <c r="U1137" s="429" t="s">
        <v>3245</v>
      </c>
      <c r="V1137" s="540"/>
    </row>
    <row r="1138" spans="1:22" ht="15.75" hidden="1" thickBot="1" x14ac:dyDescent="0.3">
      <c r="A1138" s="529" t="s">
        <v>4590</v>
      </c>
      <c r="B1138" s="529" t="s">
        <v>4590</v>
      </c>
      <c r="C1138" s="424" t="str">
        <f t="shared" si="60"/>
        <v>X</v>
      </c>
      <c r="D1138" s="422">
        <v>2022</v>
      </c>
      <c r="E1138" s="250" t="s">
        <v>3499</v>
      </c>
      <c r="F1138" s="250" t="s">
        <v>3566</v>
      </c>
      <c r="G1138" s="422" t="s">
        <v>42</v>
      </c>
      <c r="H1138" s="424" t="s">
        <v>42</v>
      </c>
      <c r="I1138" s="532">
        <v>160119</v>
      </c>
      <c r="J1138" s="425" t="str">
        <f>INDEX(aux!B:B,MATCH(I1138,aux!A:A,0))</f>
        <v>Plástico</v>
      </c>
      <c r="K1138" s="433" t="str">
        <f>INDEX(aux!C:C,MATCH(I1138,aux!A:A,0))</f>
        <v>Não</v>
      </c>
      <c r="L1138" s="646">
        <v>350</v>
      </c>
      <c r="M1138" s="535" t="s">
        <v>1532</v>
      </c>
      <c r="N1138" s="139">
        <f t="shared" si="58"/>
        <v>350000</v>
      </c>
      <c r="O1138" s="538" t="s">
        <v>483</v>
      </c>
      <c r="P1138" s="231" t="str">
        <f t="shared" si="59"/>
        <v>Reciclagem</v>
      </c>
      <c r="Q1138" s="541" t="s">
        <v>1560</v>
      </c>
      <c r="R1138" s="541" t="s">
        <v>1903</v>
      </c>
      <c r="S1138" s="543" t="str">
        <f>IFERROR(INDEX(Tabela3[Tipos de Tratamento],MATCH('A3.9.1 copy'!O371,Tabela3[Código],0)),"")</f>
        <v xml:space="preserve">Troca de resíduos com vista a submetê-los a uma das operações enumeradas de R 1 a R 11 </v>
      </c>
      <c r="T1138" s="429" t="s">
        <v>3245</v>
      </c>
      <c r="U1138" s="429" t="s">
        <v>3245</v>
      </c>
      <c r="V1138" s="540"/>
    </row>
    <row r="1139" spans="1:22" ht="15.75" hidden="1" thickBot="1" x14ac:dyDescent="0.3">
      <c r="A1139" s="529" t="s">
        <v>4590</v>
      </c>
      <c r="B1139" s="529" t="s">
        <v>4590</v>
      </c>
      <c r="C1139" s="424" t="str">
        <f t="shared" si="60"/>
        <v>X</v>
      </c>
      <c r="D1139" s="422">
        <v>2022</v>
      </c>
      <c r="E1139" s="250" t="s">
        <v>3499</v>
      </c>
      <c r="F1139" s="250" t="s">
        <v>3566</v>
      </c>
      <c r="G1139" s="422" t="s">
        <v>42</v>
      </c>
      <c r="H1139" s="424" t="s">
        <v>42</v>
      </c>
      <c r="I1139" s="532">
        <v>160103</v>
      </c>
      <c r="J1139" s="425" t="str">
        <f>INDEX(aux!B:B,MATCH(I1139,aux!A:A,0))</f>
        <v>Pneus usados</v>
      </c>
      <c r="K1139" s="433" t="str">
        <f>INDEX(aux!C:C,MATCH(I1139,aux!A:A,0))</f>
        <v>Não</v>
      </c>
      <c r="L1139" s="646">
        <v>17.78</v>
      </c>
      <c r="M1139" s="535" t="s">
        <v>1532</v>
      </c>
      <c r="N1139" s="139">
        <f t="shared" si="58"/>
        <v>17780</v>
      </c>
      <c r="O1139" s="538" t="s">
        <v>483</v>
      </c>
      <c r="P1139" s="231" t="str">
        <f t="shared" si="59"/>
        <v>Reciclagem</v>
      </c>
      <c r="Q1139" s="541" t="s">
        <v>1681</v>
      </c>
      <c r="R1139" s="541" t="s">
        <v>1903</v>
      </c>
      <c r="S1139" s="543" t="str">
        <f>IFERROR(INDEX(Tabela3[Tipos de Tratamento],MATCH('A3.9.1 copy'!O368,Tabela3[Código],0)),"")</f>
        <v>Acumulação de resíduos destinados a uma das operações enumeradas de R1 a R12</v>
      </c>
      <c r="T1139" s="429" t="s">
        <v>3256</v>
      </c>
      <c r="U1139" s="429" t="s">
        <v>3256</v>
      </c>
      <c r="V1139" s="540"/>
    </row>
    <row r="1140" spans="1:22" ht="15.75" hidden="1" thickBot="1" x14ac:dyDescent="0.3">
      <c r="A1140" s="529" t="s">
        <v>4590</v>
      </c>
      <c r="B1140" s="529" t="s">
        <v>4590</v>
      </c>
      <c r="C1140" s="424" t="str">
        <f t="shared" si="60"/>
        <v>X</v>
      </c>
      <c r="D1140" s="422">
        <v>2022</v>
      </c>
      <c r="E1140" s="250" t="s">
        <v>3499</v>
      </c>
      <c r="F1140" s="250" t="s">
        <v>3566</v>
      </c>
      <c r="G1140" s="422" t="s">
        <v>42</v>
      </c>
      <c r="H1140" s="424" t="s">
        <v>42</v>
      </c>
      <c r="I1140" s="532">
        <v>130508</v>
      </c>
      <c r="J1140" s="425" t="str">
        <f>INDEX(aux!B:B,MATCH(I1140,aux!A:A,0))</f>
        <v>(*) Misturas de resíduos provenientes de desarenadores e de separadores óleo/água</v>
      </c>
      <c r="K1140" s="433" t="str">
        <f>INDEX(aux!C:C,MATCH(I1140,aux!A:A,0))</f>
        <v>Sim</v>
      </c>
      <c r="L1140" s="646">
        <v>34.82</v>
      </c>
      <c r="M1140" s="535" t="s">
        <v>1532</v>
      </c>
      <c r="N1140" s="139">
        <f t="shared" si="58"/>
        <v>34820</v>
      </c>
      <c r="O1140" s="538" t="s">
        <v>483</v>
      </c>
      <c r="P1140" s="231" t="str">
        <f t="shared" si="59"/>
        <v>Reciclagem</v>
      </c>
      <c r="Q1140" s="541" t="s">
        <v>1901</v>
      </c>
      <c r="R1140" s="541" t="s">
        <v>1892</v>
      </c>
      <c r="S1140" s="543" t="str">
        <f>IFERROR(INDEX(Tabela3[Tipos de Tratamento],MATCH('A3.9.1 copy'!O359,Tabela3[Código],0)),"")</f>
        <v>Acumulação de resíduos destinados a uma das operações enumeradas de R1 a R12</v>
      </c>
      <c r="T1140" s="429" t="s">
        <v>1599</v>
      </c>
      <c r="U1140" s="429" t="s">
        <v>1599</v>
      </c>
      <c r="V1140" s="540"/>
    </row>
    <row r="1141" spans="1:22" ht="15.75" hidden="1" thickBot="1" x14ac:dyDescent="0.3">
      <c r="A1141" s="529" t="s">
        <v>4590</v>
      </c>
      <c r="B1141" s="529" t="s">
        <v>4590</v>
      </c>
      <c r="C1141" s="424" t="str">
        <f t="shared" si="60"/>
        <v>X</v>
      </c>
      <c r="D1141" s="422">
        <v>2022</v>
      </c>
      <c r="E1141" s="250" t="s">
        <v>3499</v>
      </c>
      <c r="F1141" s="250" t="s">
        <v>3566</v>
      </c>
      <c r="G1141" s="422" t="s">
        <v>42</v>
      </c>
      <c r="H1141" s="424" t="s">
        <v>42</v>
      </c>
      <c r="I1141" s="532">
        <v>130508</v>
      </c>
      <c r="J1141" s="425" t="str">
        <f>INDEX(aux!B:B,MATCH(I1141,aux!A:A,0))</f>
        <v>(*) Misturas de resíduos provenientes de desarenadores e de separadores óleo/água</v>
      </c>
      <c r="K1141" s="433" t="str">
        <f>INDEX(aux!C:C,MATCH(I1141,aux!A:A,0))</f>
        <v>Sim</v>
      </c>
      <c r="L1141" s="646">
        <v>13.44</v>
      </c>
      <c r="M1141" s="535" t="s">
        <v>1532</v>
      </c>
      <c r="N1141" s="139">
        <f t="shared" si="58"/>
        <v>13440</v>
      </c>
      <c r="O1141" s="538" t="s">
        <v>493</v>
      </c>
      <c r="P1141" s="231" t="str">
        <f t="shared" si="59"/>
        <v>Aterro</v>
      </c>
      <c r="Q1141" s="541" t="s">
        <v>1901</v>
      </c>
      <c r="R1141" s="541" t="s">
        <v>1892</v>
      </c>
      <c r="S1141" s="543" t="str">
        <f>IFERROR(INDEX(Tabela3[Tipos de Tratamento],MATCH('A3.9.1 copy'!O360,Tabela3[Código],0)),"")</f>
        <v xml:space="preserve">Troca de resíduos com vista a submetê-los a uma das operações enumeradas de R 1 a R 11 </v>
      </c>
      <c r="T1141" s="429" t="s">
        <v>3254</v>
      </c>
      <c r="U1141" s="429" t="s">
        <v>1536</v>
      </c>
      <c r="V1141" s="540"/>
    </row>
    <row r="1142" spans="1:22" ht="15.75" hidden="1" thickBot="1" x14ac:dyDescent="0.3">
      <c r="A1142" s="529" t="s">
        <v>4590</v>
      </c>
      <c r="B1142" s="529" t="s">
        <v>4590</v>
      </c>
      <c r="C1142" s="424" t="str">
        <f t="shared" si="60"/>
        <v>X</v>
      </c>
      <c r="D1142" s="422">
        <v>2022</v>
      </c>
      <c r="E1142" s="250" t="s">
        <v>3499</v>
      </c>
      <c r="F1142" s="250" t="s">
        <v>3566</v>
      </c>
      <c r="G1142" s="422" t="s">
        <v>42</v>
      </c>
      <c r="H1142" s="424" t="s">
        <v>42</v>
      </c>
      <c r="I1142" s="532">
        <v>130508</v>
      </c>
      <c r="J1142" s="425" t="str">
        <f>INDEX(aux!B:B,MATCH(I1142,aux!A:A,0))</f>
        <v>(*) Misturas de resíduos provenientes de desarenadores e de separadores óleo/água</v>
      </c>
      <c r="K1142" s="433" t="str">
        <f>INDEX(aux!C:C,MATCH(I1142,aux!A:A,0))</f>
        <v>Sim</v>
      </c>
      <c r="L1142" s="646">
        <v>13.5</v>
      </c>
      <c r="M1142" s="535" t="s">
        <v>1532</v>
      </c>
      <c r="N1142" s="139">
        <f t="shared" si="58"/>
        <v>13500</v>
      </c>
      <c r="O1142" s="538" t="s">
        <v>503</v>
      </c>
      <c r="P1142" s="231" t="str">
        <f t="shared" si="59"/>
        <v>Aterro</v>
      </c>
      <c r="Q1142" s="541" t="s">
        <v>1901</v>
      </c>
      <c r="R1142" s="541" t="s">
        <v>1892</v>
      </c>
      <c r="S1142" s="543" t="str">
        <f>IFERROR(INDEX(Tabela3[Tipos de Tratamento],MATCH('A3.9.1 copy'!O361,Tabela3[Código],0)),"")</f>
        <v xml:space="preserve">Troca de resíduos com vista a submetê-los a uma das operações enumeradas de R 1 a R 11 </v>
      </c>
      <c r="T1142" s="429" t="s">
        <v>3254</v>
      </c>
      <c r="U1142" s="429" t="s">
        <v>1536</v>
      </c>
      <c r="V1142" s="540"/>
    </row>
    <row r="1143" spans="1:22" ht="15.75" hidden="1" thickBot="1" x14ac:dyDescent="0.3">
      <c r="A1143" s="529" t="s">
        <v>4590</v>
      </c>
      <c r="B1143" s="529" t="s">
        <v>4590</v>
      </c>
      <c r="C1143" s="424" t="str">
        <f t="shared" si="60"/>
        <v>X</v>
      </c>
      <c r="D1143" s="422">
        <v>2022</v>
      </c>
      <c r="E1143" s="250" t="s">
        <v>3499</v>
      </c>
      <c r="F1143" s="250" t="s">
        <v>3566</v>
      </c>
      <c r="G1143" s="422" t="s">
        <v>42</v>
      </c>
      <c r="H1143" s="424" t="s">
        <v>42</v>
      </c>
      <c r="I1143" s="532">
        <v>140603</v>
      </c>
      <c r="J1143" s="425" t="str">
        <f>INDEX(aux!B:B,MATCH(I1143,aux!A:A,0))</f>
        <v>Outros solventes e misturas de solventes</v>
      </c>
      <c r="K1143" s="433" t="str">
        <f>INDEX(aux!C:C,MATCH(I1143,aux!A:A,0))</f>
        <v>Sim</v>
      </c>
      <c r="L1143" s="646">
        <v>0.4</v>
      </c>
      <c r="M1143" s="535" t="s">
        <v>1532</v>
      </c>
      <c r="N1143" s="139">
        <f t="shared" si="58"/>
        <v>400</v>
      </c>
      <c r="O1143" s="538" t="s">
        <v>483</v>
      </c>
      <c r="P1143" s="231" t="str">
        <f t="shared" si="59"/>
        <v>Reciclagem</v>
      </c>
      <c r="Q1143" s="541" t="s">
        <v>1901</v>
      </c>
      <c r="R1143" s="541" t="s">
        <v>1892</v>
      </c>
      <c r="S1143" s="543" t="str">
        <f>IFERROR(INDEX(Tabela3[Tipos de Tratamento],MATCH('A3.9.1 copy'!O362,Tabela3[Código],0)),"")</f>
        <v xml:space="preserve">Troca de resíduos com vista a submetê-los a uma das operações enumeradas de R 1 a R 11 </v>
      </c>
      <c r="T1143" s="429" t="s">
        <v>3255</v>
      </c>
      <c r="U1143" s="429" t="s">
        <v>3255</v>
      </c>
      <c r="V1143" s="540"/>
    </row>
    <row r="1144" spans="1:22" ht="15.75" hidden="1" thickBot="1" x14ac:dyDescent="0.3">
      <c r="A1144" s="529" t="s">
        <v>4590</v>
      </c>
      <c r="B1144" s="529" t="s">
        <v>4590</v>
      </c>
      <c r="C1144" s="424" t="str">
        <f t="shared" si="60"/>
        <v>X</v>
      </c>
      <c r="D1144" s="422">
        <v>2022</v>
      </c>
      <c r="E1144" s="250" t="s">
        <v>3499</v>
      </c>
      <c r="F1144" s="250" t="s">
        <v>3566</v>
      </c>
      <c r="G1144" s="422" t="s">
        <v>42</v>
      </c>
      <c r="H1144" s="424" t="s">
        <v>42</v>
      </c>
      <c r="I1144" s="532">
        <v>150110</v>
      </c>
      <c r="J1144" s="425" t="str">
        <f>INDEX(aux!B:B,MATCH(I1144,aux!A:A,0))</f>
        <v>(*) Embalagens contendo ou contaminadas por resíduos de substâncias perigosas</v>
      </c>
      <c r="K1144" s="433" t="str">
        <f>INDEX(aux!C:C,MATCH(I1144,aux!A:A,0))</f>
        <v>Sim</v>
      </c>
      <c r="L1144" s="646">
        <v>5.6000000000000001E-2</v>
      </c>
      <c r="M1144" s="535" t="s">
        <v>1532</v>
      </c>
      <c r="N1144" s="139">
        <f t="shared" si="58"/>
        <v>56</v>
      </c>
      <c r="O1144" s="538" t="s">
        <v>483</v>
      </c>
      <c r="P1144" s="231" t="str">
        <f t="shared" si="59"/>
        <v>Reciclagem</v>
      </c>
      <c r="Q1144" s="541" t="s">
        <v>1901</v>
      </c>
      <c r="R1144" s="541" t="s">
        <v>1892</v>
      </c>
      <c r="S1144" s="543" t="str">
        <f>IFERROR(INDEX(Tabela3[Tipos de Tratamento],MATCH('A3.9.1 copy'!O364,Tabela3[Código],0)),"")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1144" s="429" t="s">
        <v>3245</v>
      </c>
      <c r="U1144" s="429" t="s">
        <v>3245</v>
      </c>
      <c r="V1144" s="540"/>
    </row>
    <row r="1145" spans="1:22" ht="15.75" hidden="1" thickBot="1" x14ac:dyDescent="0.3">
      <c r="A1145" s="529" t="s">
        <v>4590</v>
      </c>
      <c r="B1145" s="529" t="s">
        <v>4590</v>
      </c>
      <c r="C1145" s="424" t="str">
        <f t="shared" si="60"/>
        <v>X</v>
      </c>
      <c r="D1145" s="422">
        <v>2022</v>
      </c>
      <c r="E1145" s="250" t="s">
        <v>3499</v>
      </c>
      <c r="F1145" s="250" t="s">
        <v>3566</v>
      </c>
      <c r="G1145" s="422" t="s">
        <v>42</v>
      </c>
      <c r="H1145" s="424" t="s">
        <v>42</v>
      </c>
      <c r="I1145" s="532">
        <v>150202</v>
      </c>
      <c r="J1145" s="425" t="str">
        <f>INDEX(aux!B:B,MATCH(I1145,aux!A:A,0))</f>
        <v>(*) Absorventes, materiais filtrantes (incluindo filtros de óleo sem outras especificações), panos de limpeza e vestuário de proteção, contaminados por substâncias perigosas</v>
      </c>
      <c r="K1145" s="433" t="str">
        <f>INDEX(aux!C:C,MATCH(I1145,aux!A:A,0))</f>
        <v>Sim</v>
      </c>
      <c r="L1145" s="646">
        <v>2.1920000000000002</v>
      </c>
      <c r="M1145" s="535" t="s">
        <v>1532</v>
      </c>
      <c r="N1145" s="139">
        <f t="shared" si="58"/>
        <v>2192</v>
      </c>
      <c r="O1145" s="538" t="s">
        <v>483</v>
      </c>
      <c r="P1145" s="231" t="str">
        <f t="shared" si="59"/>
        <v>Reciclagem</v>
      </c>
      <c r="Q1145" s="541" t="s">
        <v>1901</v>
      </c>
      <c r="R1145" s="541" t="s">
        <v>1892</v>
      </c>
      <c r="S1145" s="543" t="str">
        <f>IFERROR(INDEX(Tabela3[Tipos de Tratamento],MATCH('A3.9.1 copy'!O366,Tabela3[Código],0)),"")</f>
        <v>Tratamento físico-químico não especificado em qualquer outra parte da presente lista que produz compostos ou misturas finais rejeitados por meio de qualquer uma das operações enumeradas na presente lista (por exemplo, evaporação, secagem, calcinação, etc.)</v>
      </c>
      <c r="T1145" s="429" t="s">
        <v>3245</v>
      </c>
      <c r="U1145" s="429" t="s">
        <v>3245</v>
      </c>
      <c r="V1145" s="540"/>
    </row>
    <row r="1146" spans="1:22" ht="15.75" hidden="1" thickBot="1" x14ac:dyDescent="0.3">
      <c r="A1146" s="529" t="s">
        <v>4590</v>
      </c>
      <c r="B1146" s="529" t="s">
        <v>4590</v>
      </c>
      <c r="C1146" s="424" t="str">
        <f t="shared" si="60"/>
        <v>X</v>
      </c>
      <c r="D1146" s="422">
        <v>2022</v>
      </c>
      <c r="E1146" s="250" t="s">
        <v>3499</v>
      </c>
      <c r="F1146" s="250" t="s">
        <v>3566</v>
      </c>
      <c r="G1146" s="422" t="s">
        <v>42</v>
      </c>
      <c r="H1146" s="424" t="s">
        <v>42</v>
      </c>
      <c r="I1146" s="532">
        <v>150203</v>
      </c>
      <c r="J1146" s="425" t="str">
        <f>INDEX(aux!B:B,MATCH(I1146,aux!A:A,0))</f>
        <v>Absorventes, materiais filtrantes, panos de limpeza e vestuário de proteção não abrangidos em 15 02 02</v>
      </c>
      <c r="K1146" s="433" t="str">
        <f>INDEX(aux!C:C,MATCH(I1146,aux!A:A,0))</f>
        <v>Não</v>
      </c>
      <c r="L1146" s="646">
        <v>0.224</v>
      </c>
      <c r="M1146" s="535" t="s">
        <v>1532</v>
      </c>
      <c r="N1146" s="139">
        <f t="shared" si="58"/>
        <v>224</v>
      </c>
      <c r="O1146" s="538" t="s">
        <v>483</v>
      </c>
      <c r="P1146" s="231" t="str">
        <f t="shared" si="59"/>
        <v>Reciclagem</v>
      </c>
      <c r="Q1146" s="541" t="s">
        <v>1901</v>
      </c>
      <c r="R1146" s="541" t="s">
        <v>1892</v>
      </c>
      <c r="S1146" s="543" t="str">
        <f>IFERROR(INDEX(Tabela3[Tipos de Tratamento],MATCH('A3.9.1 copy'!O367,Tabela3[Código],0)),"")</f>
        <v xml:space="preserve">Troca de resíduos com vista a submetê-los a uma das operações enumeradas de R 1 a R 11 </v>
      </c>
      <c r="T1146" s="429" t="s">
        <v>3245</v>
      </c>
      <c r="U1146" s="429" t="s">
        <v>3245</v>
      </c>
      <c r="V1146" s="540"/>
    </row>
    <row r="1147" spans="1:22" ht="15.75" hidden="1" thickBot="1" x14ac:dyDescent="0.3">
      <c r="A1147" s="529" t="s">
        <v>4590</v>
      </c>
      <c r="B1147" s="529" t="s">
        <v>4590</v>
      </c>
      <c r="C1147" s="424" t="str">
        <f t="shared" si="60"/>
        <v>X</v>
      </c>
      <c r="D1147" s="422">
        <v>2022</v>
      </c>
      <c r="E1147" s="250" t="s">
        <v>3499</v>
      </c>
      <c r="F1147" s="250" t="s">
        <v>3566</v>
      </c>
      <c r="G1147" s="422" t="s">
        <v>42</v>
      </c>
      <c r="H1147" s="424" t="s">
        <v>42</v>
      </c>
      <c r="I1147" s="532">
        <v>160107</v>
      </c>
      <c r="J1147" s="425" t="str">
        <f>INDEX(aux!B:B,MATCH(I1147,aux!A:A,0))</f>
        <v>(*) Filtros de óleo</v>
      </c>
      <c r="K1147" s="433" t="str">
        <f>INDEX(aux!C:C,MATCH(I1147,aux!A:A,0))</f>
        <v>Sim</v>
      </c>
      <c r="L1147" s="646">
        <v>0.66400000000000003</v>
      </c>
      <c r="M1147" s="535" t="s">
        <v>1532</v>
      </c>
      <c r="N1147" s="139">
        <f t="shared" si="58"/>
        <v>664</v>
      </c>
      <c r="O1147" s="538" t="s">
        <v>483</v>
      </c>
      <c r="P1147" s="231" t="str">
        <f t="shared" si="59"/>
        <v>Reciclagem</v>
      </c>
      <c r="Q1147" s="541" t="s">
        <v>1901</v>
      </c>
      <c r="R1147" s="541" t="s">
        <v>1892</v>
      </c>
      <c r="S1147" s="543" t="str">
        <f>IFERROR(INDEX(Tabela3[Tipos de Tratamento],MATCH('A3.9.1 copy'!O370,Tabela3[Código],0)),"")</f>
        <v>Armazenagem enquanto se aguarda a execução de uma das operações enumeradas de D1 a D14</v>
      </c>
      <c r="T1147" s="429" t="s">
        <v>3245</v>
      </c>
      <c r="U1147" s="429" t="s">
        <v>3245</v>
      </c>
      <c r="V1147" s="540"/>
    </row>
    <row r="1148" spans="1:22" ht="15.75" hidden="1" thickBot="1" x14ac:dyDescent="0.3">
      <c r="A1148" s="529" t="s">
        <v>4590</v>
      </c>
      <c r="B1148" s="529" t="s">
        <v>4590</v>
      </c>
      <c r="C1148" s="424" t="str">
        <f t="shared" si="60"/>
        <v>X</v>
      </c>
      <c r="D1148" s="422">
        <v>2022</v>
      </c>
      <c r="E1148" s="250" t="s">
        <v>3499</v>
      </c>
      <c r="F1148" s="250" t="s">
        <v>3566</v>
      </c>
      <c r="G1148" s="422" t="s">
        <v>42</v>
      </c>
      <c r="H1148" s="424" t="s">
        <v>42</v>
      </c>
      <c r="I1148" s="532">
        <v>160121</v>
      </c>
      <c r="J1148" s="425" t="str">
        <f>INDEX(aux!B:B,MATCH(I1148,aux!A:A,0))</f>
        <v>(*) Componentes perigosos não abrangidos em 16 01 07 a 16 01 11, 16 01 13 e 16 01 14</v>
      </c>
      <c r="K1148" s="433" t="str">
        <f>INDEX(aux!C:C,MATCH(I1148,aux!A:A,0))</f>
        <v>Sim</v>
      </c>
      <c r="L1148" s="646">
        <v>0.63800000000000001</v>
      </c>
      <c r="M1148" s="535" t="s">
        <v>1532</v>
      </c>
      <c r="N1148" s="139">
        <f t="shared" si="58"/>
        <v>638</v>
      </c>
      <c r="O1148" s="538" t="s">
        <v>509</v>
      </c>
      <c r="P1148" s="231" t="str">
        <f t="shared" si="59"/>
        <v>Aterro</v>
      </c>
      <c r="Q1148" s="541" t="s">
        <v>1901</v>
      </c>
      <c r="R1148" s="541" t="s">
        <v>1892</v>
      </c>
      <c r="S1148" s="543" t="str">
        <f>IFERROR(INDEX(Tabela3[Tipos de Tratamento],MATCH('A3.9.1 copy'!O373,Tabela3[Código],0)),"")</f>
        <v>Acumulação de resíduos destinados a uma das operações enumeradas de R1 a R12</v>
      </c>
      <c r="T1148" s="429" t="s">
        <v>3245</v>
      </c>
      <c r="U1148" s="429" t="s">
        <v>3245</v>
      </c>
      <c r="V1148" s="540"/>
    </row>
    <row r="1149" spans="1:22" ht="15.75" hidden="1" thickBot="1" x14ac:dyDescent="0.3">
      <c r="A1149" s="529" t="s">
        <v>4590</v>
      </c>
      <c r="B1149" s="529" t="s">
        <v>4590</v>
      </c>
      <c r="C1149" s="424" t="str">
        <f t="shared" si="60"/>
        <v>X</v>
      </c>
      <c r="D1149" s="422">
        <v>2022</v>
      </c>
      <c r="E1149" s="250" t="s">
        <v>3499</v>
      </c>
      <c r="F1149" s="250" t="s">
        <v>3566</v>
      </c>
      <c r="G1149" s="422" t="s">
        <v>42</v>
      </c>
      <c r="H1149" s="424" t="s">
        <v>42</v>
      </c>
      <c r="I1149" s="532">
        <v>160199</v>
      </c>
      <c r="J1149" s="425" t="str">
        <f>INDEX(aux!B:B,MATCH(I1149,aux!A:A,0))</f>
        <v>Resíduos sem outras especificações</v>
      </c>
      <c r="K1149" s="433" t="str">
        <f>INDEX(aux!C:C,MATCH(I1149,aux!A:A,0))</f>
        <v>Não</v>
      </c>
      <c r="L1149" s="646">
        <v>0.38</v>
      </c>
      <c r="M1149" s="535" t="s">
        <v>1532</v>
      </c>
      <c r="N1149" s="139">
        <f t="shared" si="58"/>
        <v>380</v>
      </c>
      <c r="O1149" s="538" t="s">
        <v>484</v>
      </c>
      <c r="P1149" s="231" t="str">
        <f t="shared" si="59"/>
        <v>Reciclagem</v>
      </c>
      <c r="Q1149" s="541" t="s">
        <v>1901</v>
      </c>
      <c r="R1149" s="541" t="s">
        <v>1892</v>
      </c>
      <c r="S1149" s="543" t="str">
        <f>IFERROR(INDEX(Tabela3[Tipos de Tratamento],MATCH('A3.9.1 copy'!O375,Tabela3[Código],0)),"")</f>
        <v>Armazenagem enquanto se aguarda a execução de uma das operações enumeradas de D1 a D14</v>
      </c>
      <c r="T1149" s="429" t="s">
        <v>3245</v>
      </c>
      <c r="U1149" s="429" t="s">
        <v>3245</v>
      </c>
      <c r="V1149" s="540"/>
    </row>
    <row r="1150" spans="1:22" ht="15.75" hidden="1" thickBot="1" x14ac:dyDescent="0.3">
      <c r="A1150" s="529" t="s">
        <v>4590</v>
      </c>
      <c r="B1150" s="529" t="s">
        <v>4590</v>
      </c>
      <c r="C1150" s="424" t="str">
        <f t="shared" si="60"/>
        <v>X</v>
      </c>
      <c r="D1150" s="422">
        <v>2022</v>
      </c>
      <c r="E1150" s="250" t="s">
        <v>3499</v>
      </c>
      <c r="F1150" s="250" t="s">
        <v>3566</v>
      </c>
      <c r="G1150" s="422" t="s">
        <v>42</v>
      </c>
      <c r="H1150" s="424" t="s">
        <v>42</v>
      </c>
      <c r="I1150" s="532">
        <v>160214</v>
      </c>
      <c r="J1150" s="425" t="str">
        <f>INDEX(aux!B:B,MATCH(I1150,aux!A:A,0))</f>
        <v>Componentes retirados de REEE’s fora de uso não abrangidos em 16 02 09 a 16 02 13</v>
      </c>
      <c r="K1150" s="433" t="str">
        <f>INDEX(aux!C:C,MATCH(I1150,aux!A:A,0))</f>
        <v>Não</v>
      </c>
      <c r="L1150" s="646">
        <v>7.1999999999999995E-2</v>
      </c>
      <c r="M1150" s="535" t="s">
        <v>1532</v>
      </c>
      <c r="N1150" s="139">
        <f t="shared" si="58"/>
        <v>72</v>
      </c>
      <c r="O1150" s="538" t="s">
        <v>483</v>
      </c>
      <c r="P1150" s="231" t="str">
        <f t="shared" si="59"/>
        <v>Reciclagem</v>
      </c>
      <c r="Q1150" s="541" t="s">
        <v>1901</v>
      </c>
      <c r="R1150" s="541" t="s">
        <v>1892</v>
      </c>
      <c r="S1150" s="543" t="str">
        <f>IFERROR(INDEX(Tabela3[Tipos de Tratamento],MATCH('A3.9.1 copy'!O376,Tabela3[Código],0)),"")</f>
        <v>Acumulação de resíduos destinados a uma das operações enumeradas de R1 a R12</v>
      </c>
      <c r="T1150" s="429" t="s">
        <v>3245</v>
      </c>
      <c r="U1150" s="429" t="s">
        <v>3245</v>
      </c>
      <c r="V1150" s="540"/>
    </row>
    <row r="1151" spans="1:22" ht="15.75" hidden="1" thickBot="1" x14ac:dyDescent="0.3">
      <c r="A1151" s="529" t="s">
        <v>4590</v>
      </c>
      <c r="B1151" s="529" t="s">
        <v>4590</v>
      </c>
      <c r="C1151" s="424" t="str">
        <f t="shared" si="60"/>
        <v>X</v>
      </c>
      <c r="D1151" s="422">
        <v>2022</v>
      </c>
      <c r="E1151" s="250" t="s">
        <v>3499</v>
      </c>
      <c r="F1151" s="250" t="s">
        <v>3566</v>
      </c>
      <c r="G1151" s="422" t="s">
        <v>42</v>
      </c>
      <c r="H1151" s="424" t="s">
        <v>42</v>
      </c>
      <c r="I1151" s="532">
        <v>160216</v>
      </c>
      <c r="J1151" s="425" t="str">
        <f>INDEX(aux!B:B,MATCH(I1151,aux!A:A,0))</f>
        <v>Componentes retirados de equipamento fora de uso não abrangidos em 16 02 15</v>
      </c>
      <c r="K1151" s="433" t="str">
        <f>INDEX(aux!C:C,MATCH(I1151,aux!A:A,0))</f>
        <v>Não</v>
      </c>
      <c r="L1151" s="646">
        <v>0.13445799999999999</v>
      </c>
      <c r="M1151" s="535" t="s">
        <v>1532</v>
      </c>
      <c r="N1151" s="139">
        <f t="shared" si="58"/>
        <v>134.458</v>
      </c>
      <c r="O1151" s="538" t="s">
        <v>483</v>
      </c>
      <c r="P1151" s="231" t="str">
        <f t="shared" si="59"/>
        <v>Reciclagem</v>
      </c>
      <c r="Q1151" s="541" t="s">
        <v>1901</v>
      </c>
      <c r="R1151" s="541" t="s">
        <v>1892</v>
      </c>
      <c r="S1151" s="543" t="str">
        <f>IFERROR(INDEX(Tabela3[Tipos de Tratamento],MATCH('A3.9.1 copy'!O377,Tabela3[Código],0)),"")</f>
        <v>Armazenagem enquanto se aguarda a execução de uma das operações enumeradas de D1 a D14</v>
      </c>
      <c r="T1151" s="429" t="s">
        <v>3258</v>
      </c>
      <c r="U1151" s="429" t="s">
        <v>3258</v>
      </c>
      <c r="V1151" s="540"/>
    </row>
    <row r="1152" spans="1:22" ht="15.75" hidden="1" thickBot="1" x14ac:dyDescent="0.3">
      <c r="A1152" s="529" t="s">
        <v>4590</v>
      </c>
      <c r="B1152" s="529" t="s">
        <v>4590</v>
      </c>
      <c r="C1152" s="424" t="str">
        <f t="shared" si="60"/>
        <v>X</v>
      </c>
      <c r="D1152" s="422">
        <v>2022</v>
      </c>
      <c r="E1152" s="250" t="s">
        <v>3499</v>
      </c>
      <c r="F1152" s="250" t="s">
        <v>3566</v>
      </c>
      <c r="G1152" s="422" t="s">
        <v>42</v>
      </c>
      <c r="H1152" s="424" t="s">
        <v>42</v>
      </c>
      <c r="I1152" s="532">
        <v>180101</v>
      </c>
      <c r="J1152" s="425" t="str">
        <f>INDEX(aux!B:B,MATCH(I1152,aux!A:A,0))</f>
        <v>Objetos cortantes e perfurantes Grupo IV</v>
      </c>
      <c r="K1152" s="433" t="str">
        <f>INDEX(aux!C:C,MATCH(I1152,aux!A:A,0))</f>
        <v>Sim</v>
      </c>
      <c r="L1152" s="646">
        <v>3.6749999999999999E-3</v>
      </c>
      <c r="M1152" s="535" t="s">
        <v>1532</v>
      </c>
      <c r="N1152" s="139">
        <f t="shared" si="58"/>
        <v>3.6749999999999998</v>
      </c>
      <c r="O1152" s="538" t="s">
        <v>509</v>
      </c>
      <c r="P1152" s="231" t="str">
        <f t="shared" si="59"/>
        <v>Aterro</v>
      </c>
      <c r="Q1152" s="541" t="s">
        <v>1901</v>
      </c>
      <c r="R1152" s="541" t="s">
        <v>1892</v>
      </c>
      <c r="S1152" s="543" t="str">
        <f>IFERROR(INDEX(Tabela3[Tipos de Tratamento],MATCH('A3.9.1 copy'!O379,Tabela3[Código],0)),"")</f>
        <v xml:space="preserve">Troca de resíduos com vista a submetê-los a uma das operações enumeradas de R 1 a R 11 </v>
      </c>
      <c r="T1152" s="429" t="s">
        <v>3260</v>
      </c>
      <c r="U1152" s="429" t="s">
        <v>3260</v>
      </c>
      <c r="V1152" s="540"/>
    </row>
    <row r="1153" spans="1:22" ht="15.75" hidden="1" thickBot="1" x14ac:dyDescent="0.3">
      <c r="A1153" s="529" t="s">
        <v>4590</v>
      </c>
      <c r="B1153" s="529" t="s">
        <v>4590</v>
      </c>
      <c r="C1153" s="424" t="str">
        <f t="shared" si="60"/>
        <v>X</v>
      </c>
      <c r="D1153" s="422">
        <v>2022</v>
      </c>
      <c r="E1153" s="250" t="s">
        <v>3499</v>
      </c>
      <c r="F1153" s="250" t="s">
        <v>3566</v>
      </c>
      <c r="G1153" s="422" t="s">
        <v>42</v>
      </c>
      <c r="H1153" s="424" t="s">
        <v>42</v>
      </c>
      <c r="I1153" s="532">
        <v>180103</v>
      </c>
      <c r="J1153" s="425" t="str">
        <f>INDEX(aux!B:B,MATCH(I1153,aux!A:A,0))</f>
        <v>Resíduos de enfermaria Grupo III</v>
      </c>
      <c r="K1153" s="433" t="str">
        <f>INDEX(aux!C:C,MATCH(I1153,aux!A:A,0))</f>
        <v>Sim</v>
      </c>
      <c r="L1153" s="646">
        <v>2.1000000000000001E-2</v>
      </c>
      <c r="M1153" s="535" t="s">
        <v>1532</v>
      </c>
      <c r="N1153" s="139">
        <f t="shared" si="58"/>
        <v>21</v>
      </c>
      <c r="O1153" s="538" t="s">
        <v>503</v>
      </c>
      <c r="P1153" s="231" t="str">
        <f t="shared" si="59"/>
        <v>Aterro</v>
      </c>
      <c r="Q1153" s="541" t="s">
        <v>1901</v>
      </c>
      <c r="R1153" s="541" t="s">
        <v>1892</v>
      </c>
      <c r="S1153" s="543" t="str">
        <f>IFERROR(INDEX(Tabela3[Tipos de Tratamento],MATCH('A3.9.1 copy'!O380,Tabela3[Código],0)),"")</f>
        <v xml:space="preserve">Troca de resíduos com vista a submetê-los a uma das operações enumeradas de R 1 a R 11 </v>
      </c>
      <c r="T1153" s="429" t="s">
        <v>3260</v>
      </c>
      <c r="U1153" s="429" t="s">
        <v>3260</v>
      </c>
      <c r="V1153" s="540"/>
    </row>
    <row r="1154" spans="1:22" ht="15.75" hidden="1" thickBot="1" x14ac:dyDescent="0.3">
      <c r="A1154" s="529" t="s">
        <v>4590</v>
      </c>
      <c r="B1154" s="529" t="s">
        <v>4590</v>
      </c>
      <c r="C1154" s="424" t="str">
        <f t="shared" si="60"/>
        <v>X</v>
      </c>
      <c r="D1154" s="422">
        <v>2022</v>
      </c>
      <c r="E1154" s="250" t="s">
        <v>3499</v>
      </c>
      <c r="F1154" s="250" t="s">
        <v>3566</v>
      </c>
      <c r="G1154" s="422" t="s">
        <v>42</v>
      </c>
      <c r="H1154" s="424" t="s">
        <v>42</v>
      </c>
      <c r="I1154" s="532">
        <v>160122</v>
      </c>
      <c r="J1154" s="425" t="str">
        <f>INDEX(aux!B:B,MATCH(I1154,aux!A:A,0))</f>
        <v>Componentes sem outras especificações</v>
      </c>
      <c r="K1154" s="433" t="str">
        <f>INDEX(aux!C:C,MATCH(I1154,aux!A:A,0))</f>
        <v>Não</v>
      </c>
      <c r="L1154" s="646">
        <v>0.49</v>
      </c>
      <c r="M1154" s="535" t="s">
        <v>1532</v>
      </c>
      <c r="N1154" s="139">
        <f t="shared" si="58"/>
        <v>490</v>
      </c>
      <c r="O1154" s="538" t="s">
        <v>483</v>
      </c>
      <c r="P1154" s="231" t="str">
        <f t="shared" si="59"/>
        <v>Reciclagem</v>
      </c>
      <c r="Q1154" s="541" t="s">
        <v>1901</v>
      </c>
      <c r="R1154" s="541" t="s">
        <v>1892</v>
      </c>
      <c r="S1154" s="543" t="str">
        <f>IFERROR(INDEX(Tabela3[Tipos de Tratamento],MATCH('A3.9.1 copy'!O374,Tabela3[Código],0)),"")</f>
        <v>Acumulação de resíduos destinados a uma das operações enumeradas de R1 a R12</v>
      </c>
      <c r="T1154" s="429" t="s">
        <v>3245</v>
      </c>
      <c r="U1154" s="429" t="s">
        <v>3245</v>
      </c>
      <c r="V1154" s="540"/>
    </row>
    <row r="1155" spans="1:22" ht="15.75" hidden="1" thickBot="1" x14ac:dyDescent="0.3">
      <c r="A1155" s="529" t="s">
        <v>4590</v>
      </c>
      <c r="B1155" s="529" t="s">
        <v>4590</v>
      </c>
      <c r="C1155" s="424" t="str">
        <f t="shared" si="60"/>
        <v>X</v>
      </c>
      <c r="D1155" s="422">
        <v>2022</v>
      </c>
      <c r="E1155" s="250" t="s">
        <v>3499</v>
      </c>
      <c r="F1155" s="250" t="s">
        <v>3566</v>
      </c>
      <c r="G1155" s="422" t="s">
        <v>42</v>
      </c>
      <c r="H1155" s="424" t="s">
        <v>42</v>
      </c>
      <c r="I1155" s="532">
        <v>200301</v>
      </c>
      <c r="J1155" s="425" t="str">
        <f>INDEX(aux!B:B,MATCH(I1155,aux!A:A,0))</f>
        <v>Misturas de resíduos urbanos equiparados</v>
      </c>
      <c r="K1155" s="433" t="str">
        <f>INDEX(aux!C:C,MATCH(I1155,aux!A:A,0))</f>
        <v>Não</v>
      </c>
      <c r="L1155" s="646">
        <v>18.25</v>
      </c>
      <c r="M1155" s="535" t="s">
        <v>1532</v>
      </c>
      <c r="N1155" s="139">
        <f t="shared" ref="N1155:N1158" si="61">IF(LEFT(M1155,3)="ton",1000*L1155,L1155)</f>
        <v>18250</v>
      </c>
      <c r="O1155" s="538" t="s">
        <v>483</v>
      </c>
      <c r="P1155" s="231" t="str">
        <f t="shared" ref="P1155:P1158" si="62">IF(LEFT(O1155,1)="R","Reciclagem",IF(OR(O1155="D10",O1155="D11"),"Iceneração","Aterro"))</f>
        <v>Reciclagem</v>
      </c>
      <c r="Q1155" s="541" t="s">
        <v>1908</v>
      </c>
      <c r="R1155" s="541" t="s">
        <v>1877</v>
      </c>
      <c r="S1155" s="543" t="str">
        <f>IFERROR(INDEX(Tabela3[Tipos de Tratamento],MATCH('A3.9.1 copy'!O382,Tabela3[Código],0)),"")</f>
        <v>Armazenagem enquanto se aguarda a execução de uma das operações enumeradas de D1 a D14</v>
      </c>
      <c r="T1155" s="429" t="s">
        <v>3245</v>
      </c>
      <c r="U1155" s="429" t="s">
        <v>3245</v>
      </c>
      <c r="V1155" s="540"/>
    </row>
    <row r="1156" spans="1:22" ht="15.75" hidden="1" thickBot="1" x14ac:dyDescent="0.3">
      <c r="A1156" s="529" t="s">
        <v>4590</v>
      </c>
      <c r="B1156" s="529" t="s">
        <v>4590</v>
      </c>
      <c r="C1156" s="424" t="str">
        <f t="shared" si="60"/>
        <v>X</v>
      </c>
      <c r="D1156" s="422">
        <v>2022</v>
      </c>
      <c r="E1156" s="250" t="s">
        <v>3499</v>
      </c>
      <c r="F1156" s="250" t="s">
        <v>3566</v>
      </c>
      <c r="G1156" s="422" t="s">
        <v>42</v>
      </c>
      <c r="H1156" s="424" t="s">
        <v>42</v>
      </c>
      <c r="I1156" s="532">
        <v>202121</v>
      </c>
      <c r="J1156" s="425" t="str">
        <f>INDEX(aux!B:B,MATCH(I1156,aux!A:A,0))</f>
        <v>Lâmpadas</v>
      </c>
      <c r="K1156" s="433" t="str">
        <f>INDEX(aux!C:C,MATCH(I1156,aux!A:A,0))</f>
        <v>Sim</v>
      </c>
      <c r="L1156" s="646">
        <v>4.2000000000000003E-2</v>
      </c>
      <c r="M1156" s="535" t="s">
        <v>1532</v>
      </c>
      <c r="N1156" s="139">
        <f t="shared" si="61"/>
        <v>42</v>
      </c>
      <c r="O1156" s="538" t="s">
        <v>483</v>
      </c>
      <c r="P1156" s="231" t="str">
        <f t="shared" si="62"/>
        <v>Reciclagem</v>
      </c>
      <c r="Q1156" s="541" t="s">
        <v>1908</v>
      </c>
      <c r="R1156" s="541" t="s">
        <v>1877</v>
      </c>
      <c r="S1156" s="543" t="str">
        <f>IFERROR(INDEX(Tabela3[Tipos de Tratamento],MATCH('A3.9.1 copy'!O383,Tabela3[Código],0)),"")</f>
        <v>Deposição sobre o solo ou no seu interior (por exemplo, aterro sanitário, etc.).</v>
      </c>
      <c r="T1156" s="429" t="s">
        <v>3245</v>
      </c>
      <c r="U1156" s="429" t="s">
        <v>3245</v>
      </c>
      <c r="V1156" s="540"/>
    </row>
    <row r="1157" spans="1:22" ht="15.75" hidden="1" thickBot="1" x14ac:dyDescent="0.3">
      <c r="A1157" s="529" t="s">
        <v>4590</v>
      </c>
      <c r="B1157" s="529" t="s">
        <v>4590</v>
      </c>
      <c r="C1157" s="424" t="str">
        <f t="shared" si="60"/>
        <v>X</v>
      </c>
      <c r="D1157" s="422">
        <v>2022</v>
      </c>
      <c r="E1157" s="250" t="s">
        <v>3499</v>
      </c>
      <c r="F1157" s="250" t="s">
        <v>3566</v>
      </c>
      <c r="G1157" s="422" t="s">
        <v>42</v>
      </c>
      <c r="H1157" s="424" t="s">
        <v>42</v>
      </c>
      <c r="I1157" s="532">
        <v>160104</v>
      </c>
      <c r="J1157" s="425" t="str">
        <f>INDEX(aux!B:B,MATCH(I1157,aux!A:A,0))</f>
        <v>Veículos em fim de vida</v>
      </c>
      <c r="K1157" s="433" t="str">
        <f>INDEX(aux!C:C,MATCH(I1157,aux!A:A,0))</f>
        <v>Sim</v>
      </c>
      <c r="L1157" s="646">
        <v>362.9</v>
      </c>
      <c r="M1157" s="535" t="s">
        <v>1532</v>
      </c>
      <c r="N1157" s="139">
        <f t="shared" si="61"/>
        <v>362900</v>
      </c>
      <c r="O1157" s="538" t="s">
        <v>483</v>
      </c>
      <c r="P1157" s="231" t="str">
        <f t="shared" si="62"/>
        <v>Reciclagem</v>
      </c>
      <c r="Q1157" s="541" t="s">
        <v>1907</v>
      </c>
      <c r="R1157" s="541" t="s">
        <v>1903</v>
      </c>
      <c r="S1157" s="543" t="str">
        <f>IFERROR(INDEX(Tabela3[Tipos de Tratamento],MATCH('A3.9.1 copy'!O369,Tabela3[Código],0)),"")</f>
        <v xml:space="preserve">Troca de resíduos com vista a submetê-los a uma das operações enumeradas de R 1 a R 11 </v>
      </c>
      <c r="T1157" s="429" t="s">
        <v>1559</v>
      </c>
      <c r="U1157" s="429" t="s">
        <v>3257</v>
      </c>
      <c r="V1157" s="540"/>
    </row>
    <row r="1158" spans="1:22" ht="15.75" hidden="1" thickBot="1" x14ac:dyDescent="0.3">
      <c r="A1158" s="529" t="s">
        <v>4590</v>
      </c>
      <c r="B1158" s="529" t="s">
        <v>4590</v>
      </c>
      <c r="C1158" s="424" t="str">
        <f t="shared" si="60"/>
        <v>X</v>
      </c>
      <c r="D1158" s="422">
        <v>2022</v>
      </c>
      <c r="E1158" s="250" t="s">
        <v>3499</v>
      </c>
      <c r="F1158" s="250" t="s">
        <v>3566</v>
      </c>
      <c r="G1158" s="422" t="s">
        <v>42</v>
      </c>
      <c r="H1158" s="424" t="s">
        <v>42</v>
      </c>
      <c r="I1158" s="532">
        <v>160120</v>
      </c>
      <c r="J1158" s="425" t="str">
        <f>INDEX(aux!B:B,MATCH(I1158,aux!A:A,0))</f>
        <v>Vidro</v>
      </c>
      <c r="K1158" s="433" t="str">
        <f>INDEX(aux!C:C,MATCH(I1158,aux!A:A,0))</f>
        <v>Não</v>
      </c>
      <c r="L1158" s="646">
        <v>6.66</v>
      </c>
      <c r="M1158" s="535" t="s">
        <v>1532</v>
      </c>
      <c r="N1158" s="139">
        <f t="shared" si="61"/>
        <v>6660</v>
      </c>
      <c r="O1158" s="538" t="s">
        <v>483</v>
      </c>
      <c r="P1158" s="231" t="str">
        <f t="shared" si="62"/>
        <v>Reciclagem</v>
      </c>
      <c r="Q1158" s="541" t="s">
        <v>1561</v>
      </c>
      <c r="R1158" s="541" t="s">
        <v>1903</v>
      </c>
      <c r="S1158" s="543" t="str">
        <f>IFERROR(INDEX(Tabela3[Tipos de Tratamento],MATCH('A3.9.1 copy'!O372,Tabela3[Código],0)),"")</f>
        <v>Armazenagem enquanto se aguarda a execução de uma das operações enumeradas de D1 a D14</v>
      </c>
      <c r="T1158" s="429" t="s">
        <v>3215</v>
      </c>
      <c r="U1158" s="429" t="s">
        <v>3215</v>
      </c>
      <c r="V1158" s="540"/>
    </row>
  </sheetData>
  <autoFilter ref="A1:V1158">
    <filterColumn colId="3">
      <filters>
        <filter val="2023"/>
      </filters>
    </filterColumn>
    <sortState ref="A4:V1203">
      <sortCondition ref="A1:A1203"/>
    </sortState>
  </autoFilter>
  <mergeCells count="20">
    <mergeCell ref="H1:H2"/>
    <mergeCell ref="E1:E2"/>
    <mergeCell ref="F1:F2"/>
    <mergeCell ref="D1:D2"/>
    <mergeCell ref="U1:U2"/>
    <mergeCell ref="V1:V2"/>
    <mergeCell ref="S1:S2"/>
    <mergeCell ref="T1:T2"/>
    <mergeCell ref="A1:A2"/>
    <mergeCell ref="P1:P2"/>
    <mergeCell ref="N1:N2"/>
    <mergeCell ref="B1:B2"/>
    <mergeCell ref="I1:I2"/>
    <mergeCell ref="J1:J2"/>
    <mergeCell ref="K1:K2"/>
    <mergeCell ref="L1:L2"/>
    <mergeCell ref="M1:M2"/>
    <mergeCell ref="O1:O2"/>
    <mergeCell ref="C1:C2"/>
    <mergeCell ref="G1:G2"/>
  </mergeCells>
  <dataValidations disablePrompts="1" count="3">
    <dataValidation type="list" allowBlank="1" showInputMessage="1" showErrorMessage="1" sqref="M66:M79 M81:M129 M62:M64 M132:M274 M278:M394 M397:M417 M483:M581 M3:M55">
      <formula1>"kg (quilos), ton (toneladas)"</formula1>
    </dataValidation>
    <dataValidation type="list" allowBlank="1" showInputMessage="1" showErrorMessage="1" sqref="M396">
      <formula1>"kWh, l (litros), kg (quilos), Nm3 (metros cubicos norm.)"</formula1>
    </dataValidation>
    <dataValidation type="list" allowBlank="1" showInputMessage="1" showErrorMessage="1" sqref="K3:K1158">
      <formula1>"Sim, Não"</formula1>
    </dataValidation>
  </dataValidations>
  <pageMargins left="0.7" right="0.7" top="0.75" bottom="0.75" header="0.3" footer="0.3"/>
  <pageSetup paperSize="9" orientation="portrait" r:id="rId1"/>
  <customProperties>
    <customPr name="GUID" r:id="rId2"/>
  </customPropertie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'A3.9.1.1'!$C$2:$C$29</xm:f>
          </x14:formula1>
          <xm:sqref>O29:O150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2"/>
  <dimension ref="A1:C29"/>
  <sheetViews>
    <sheetView workbookViewId="0"/>
  </sheetViews>
  <sheetFormatPr defaultRowHeight="15" x14ac:dyDescent="0.25"/>
  <cols>
    <col min="1" max="1" width="171.42578125" style="3" customWidth="1"/>
    <col min="2" max="2" width="21.85546875" style="1" customWidth="1"/>
    <col min="3" max="3" width="9.28515625" style="1" customWidth="1"/>
  </cols>
  <sheetData>
    <row r="1" spans="1:3" ht="15" customHeight="1" x14ac:dyDescent="0.25">
      <c r="A1" s="3" t="s">
        <v>469</v>
      </c>
      <c r="B1" s="1" t="s">
        <v>470</v>
      </c>
      <c r="C1" s="1" t="s">
        <v>471</v>
      </c>
    </row>
    <row r="2" spans="1:3" ht="15" customHeight="1" x14ac:dyDescent="0.25">
      <c r="A2" s="97" t="s">
        <v>489</v>
      </c>
      <c r="B2" s="1" t="s">
        <v>495</v>
      </c>
      <c r="C2" s="1" t="s">
        <v>472</v>
      </c>
    </row>
    <row r="3" spans="1:3" x14ac:dyDescent="0.25">
      <c r="A3" s="96" t="s">
        <v>488</v>
      </c>
      <c r="B3" s="1" t="s">
        <v>495</v>
      </c>
      <c r="C3" s="1" t="s">
        <v>473</v>
      </c>
    </row>
    <row r="4" spans="1:3" x14ac:dyDescent="0.25">
      <c r="A4" s="96" t="s">
        <v>490</v>
      </c>
      <c r="B4" s="1" t="s">
        <v>495</v>
      </c>
      <c r="C4" s="1" t="s">
        <v>474</v>
      </c>
    </row>
    <row r="5" spans="1:3" x14ac:dyDescent="0.25">
      <c r="A5" s="96" t="s">
        <v>491</v>
      </c>
      <c r="B5" s="1" t="s">
        <v>495</v>
      </c>
      <c r="C5" s="1" t="s">
        <v>475</v>
      </c>
    </row>
    <row r="6" spans="1:3" x14ac:dyDescent="0.25">
      <c r="A6" s="96" t="s">
        <v>492</v>
      </c>
      <c r="B6" s="1" t="s">
        <v>495</v>
      </c>
      <c r="C6" s="1" t="s">
        <v>476</v>
      </c>
    </row>
    <row r="7" spans="1:3" x14ac:dyDescent="0.25">
      <c r="A7" s="96" t="s">
        <v>1543</v>
      </c>
      <c r="B7" s="1" t="s">
        <v>495</v>
      </c>
      <c r="C7" s="1" t="s">
        <v>477</v>
      </c>
    </row>
    <row r="8" spans="1:3" x14ac:dyDescent="0.25">
      <c r="A8" s="96" t="s">
        <v>1544</v>
      </c>
      <c r="B8" s="1" t="s">
        <v>495</v>
      </c>
      <c r="C8" s="1" t="s">
        <v>478</v>
      </c>
    </row>
    <row r="9" spans="1:3" x14ac:dyDescent="0.25">
      <c r="A9" s="96" t="s">
        <v>1545</v>
      </c>
      <c r="B9" s="1" t="s">
        <v>495</v>
      </c>
      <c r="C9" s="1" t="s">
        <v>479</v>
      </c>
    </row>
    <row r="10" spans="1:3" x14ac:dyDescent="0.25">
      <c r="A10" s="96" t="s">
        <v>1546</v>
      </c>
      <c r="B10" s="1" t="s">
        <v>495</v>
      </c>
      <c r="C10" s="1" t="s">
        <v>480</v>
      </c>
    </row>
    <row r="11" spans="1:3" x14ac:dyDescent="0.25">
      <c r="A11" s="96" t="s">
        <v>487</v>
      </c>
      <c r="B11" s="1" t="s">
        <v>495</v>
      </c>
      <c r="C11" s="1" t="s">
        <v>481</v>
      </c>
    </row>
    <row r="12" spans="1:3" x14ac:dyDescent="0.25">
      <c r="A12" s="96" t="s">
        <v>486</v>
      </c>
      <c r="B12" s="1" t="s">
        <v>495</v>
      </c>
      <c r="C12" s="1" t="s">
        <v>482</v>
      </c>
    </row>
    <row r="13" spans="1:3" x14ac:dyDescent="0.25">
      <c r="A13" s="96" t="s">
        <v>485</v>
      </c>
      <c r="B13" s="1" t="s">
        <v>495</v>
      </c>
      <c r="C13" s="1" t="s">
        <v>483</v>
      </c>
    </row>
    <row r="14" spans="1:3" x14ac:dyDescent="0.25">
      <c r="A14" s="96" t="s">
        <v>1553</v>
      </c>
      <c r="B14" s="1" t="s">
        <v>495</v>
      </c>
      <c r="C14" s="1" t="s">
        <v>484</v>
      </c>
    </row>
    <row r="15" spans="1:3" x14ac:dyDescent="0.25">
      <c r="A15" s="95" t="s">
        <v>511</v>
      </c>
      <c r="B15" s="1" t="s">
        <v>494</v>
      </c>
      <c r="C15" s="1" t="s">
        <v>493</v>
      </c>
    </row>
    <row r="16" spans="1:3" x14ac:dyDescent="0.25">
      <c r="A16" s="95" t="s">
        <v>510</v>
      </c>
      <c r="B16" s="1" t="s">
        <v>494</v>
      </c>
      <c r="C16" s="1" t="s">
        <v>496</v>
      </c>
    </row>
    <row r="17" spans="1:3" x14ac:dyDescent="0.25">
      <c r="A17" s="95" t="s">
        <v>513</v>
      </c>
      <c r="B17" s="1" t="s">
        <v>494</v>
      </c>
      <c r="C17" s="1" t="s">
        <v>497</v>
      </c>
    </row>
    <row r="18" spans="1:3" x14ac:dyDescent="0.25">
      <c r="A18" s="95" t="s">
        <v>512</v>
      </c>
      <c r="B18" s="1" t="s">
        <v>494</v>
      </c>
      <c r="C18" s="1" t="s">
        <v>498</v>
      </c>
    </row>
    <row r="19" spans="1:3" x14ac:dyDescent="0.25">
      <c r="A19" s="95" t="s">
        <v>514</v>
      </c>
      <c r="B19" s="1" t="s">
        <v>494</v>
      </c>
      <c r="C19" s="1" t="s">
        <v>499</v>
      </c>
    </row>
    <row r="20" spans="1:3" x14ac:dyDescent="0.25">
      <c r="A20" s="95" t="s">
        <v>515</v>
      </c>
      <c r="B20" s="1" t="s">
        <v>494</v>
      </c>
      <c r="C20" s="1" t="s">
        <v>500</v>
      </c>
    </row>
    <row r="21" spans="1:3" x14ac:dyDescent="0.25">
      <c r="A21" s="95" t="s">
        <v>516</v>
      </c>
      <c r="B21" s="1" t="s">
        <v>494</v>
      </c>
      <c r="C21" s="1" t="s">
        <v>501</v>
      </c>
    </row>
    <row r="22" spans="1:3" ht="30" x14ac:dyDescent="0.25">
      <c r="A22" s="95" t="s">
        <v>517</v>
      </c>
      <c r="B22" s="1" t="s">
        <v>494</v>
      </c>
      <c r="C22" s="1" t="s">
        <v>502</v>
      </c>
    </row>
    <row r="23" spans="1:3" ht="30" x14ac:dyDescent="0.25">
      <c r="A23" s="95" t="s">
        <v>518</v>
      </c>
      <c r="B23" s="1" t="s">
        <v>494</v>
      </c>
      <c r="C23" s="1" t="s">
        <v>503</v>
      </c>
    </row>
    <row r="24" spans="1:3" x14ac:dyDescent="0.25">
      <c r="A24" s="95" t="s">
        <v>519</v>
      </c>
      <c r="B24" s="1" t="s">
        <v>494</v>
      </c>
      <c r="C24" s="1" t="s">
        <v>504</v>
      </c>
    </row>
    <row r="25" spans="1:3" x14ac:dyDescent="0.25">
      <c r="A25" s="95" t="s">
        <v>520</v>
      </c>
      <c r="B25" s="1" t="s">
        <v>494</v>
      </c>
      <c r="C25" s="1" t="s">
        <v>505</v>
      </c>
    </row>
    <row r="26" spans="1:3" x14ac:dyDescent="0.25">
      <c r="A26" s="95" t="s">
        <v>521</v>
      </c>
      <c r="B26" s="1" t="s">
        <v>494</v>
      </c>
      <c r="C26" s="1" t="s">
        <v>506</v>
      </c>
    </row>
    <row r="27" spans="1:3" x14ac:dyDescent="0.25">
      <c r="A27" s="95" t="s">
        <v>1554</v>
      </c>
      <c r="B27" s="1" t="s">
        <v>494</v>
      </c>
      <c r="C27" s="1" t="s">
        <v>507</v>
      </c>
    </row>
    <row r="28" spans="1:3" x14ac:dyDescent="0.25">
      <c r="A28" s="95" t="s">
        <v>1555</v>
      </c>
      <c r="B28" s="1" t="s">
        <v>494</v>
      </c>
      <c r="C28" s="1" t="s">
        <v>508</v>
      </c>
    </row>
    <row r="29" spans="1:3" x14ac:dyDescent="0.25">
      <c r="A29" s="95" t="s">
        <v>1556</v>
      </c>
      <c r="B29" s="1" t="s">
        <v>494</v>
      </c>
      <c r="C29" s="1" t="s">
        <v>509</v>
      </c>
    </row>
  </sheetData>
  <pageMargins left="0.7" right="0.7" top="0.75" bottom="0.75" header="0.3" footer="0.3"/>
  <pageSetup paperSize="9" orientation="portrait" r:id="rId1"/>
  <customProperties>
    <customPr name="GUID" r:id="rId2"/>
  </customProperties>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5"/>
  <dimension ref="B6:U75"/>
  <sheetViews>
    <sheetView workbookViewId="0"/>
  </sheetViews>
  <sheetFormatPr defaultRowHeight="15" x14ac:dyDescent="0.25"/>
  <cols>
    <col min="2" max="2" width="50.5703125" customWidth="1"/>
    <col min="3" max="3" width="37.140625" customWidth="1"/>
    <col min="4" max="5" width="21.5703125" customWidth="1"/>
    <col min="6" max="6" width="27.140625" bestFit="1" customWidth="1"/>
    <col min="7" max="9" width="28.28515625" customWidth="1"/>
    <col min="10" max="10" width="40" customWidth="1"/>
    <col min="11" max="11" width="37.85546875" bestFit="1" customWidth="1"/>
  </cols>
  <sheetData>
    <row r="6" spans="2:21" ht="15.75" thickBot="1" x14ac:dyDescent="0.3"/>
    <row r="7" spans="2:21" x14ac:dyDescent="0.25">
      <c r="B7" s="78" t="s">
        <v>118</v>
      </c>
      <c r="C7" s="80"/>
    </row>
    <row r="9" spans="2:21" x14ac:dyDescent="0.25">
      <c r="B9" s="765" t="str">
        <f>"Grupo Barraqueiro: "&amp;'Folha de Rosto'!C6&amp;" "&amp;'Folha de Rosto'!I6&amp;" - Emissões de GEE de Âmbito 1"</f>
        <v>Grupo Barraqueiro: PEGADA DE CARBONO 2022 - Emissões de GEE de Âmbito 1</v>
      </c>
      <c r="C9" s="765"/>
      <c r="D9" s="765"/>
      <c r="E9" s="765"/>
      <c r="F9" s="765"/>
      <c r="G9" s="765"/>
      <c r="H9" s="765"/>
      <c r="I9" s="765"/>
      <c r="J9" s="765"/>
      <c r="K9" s="765"/>
      <c r="L9" s="765"/>
      <c r="M9" s="765"/>
      <c r="N9" s="765"/>
      <c r="O9" s="765"/>
      <c r="P9" s="765"/>
      <c r="Q9" s="765"/>
      <c r="R9" s="765"/>
      <c r="S9" s="765"/>
      <c r="T9" s="765"/>
      <c r="U9" s="765"/>
    </row>
    <row r="10" spans="2:21" ht="15.75" thickBot="1" x14ac:dyDescent="0.3"/>
    <row r="11" spans="2:21" ht="33.75" customHeight="1" thickBot="1" x14ac:dyDescent="0.3">
      <c r="B11" s="761" t="s">
        <v>119</v>
      </c>
      <c r="C11" s="761"/>
      <c r="D11" s="767" t="s">
        <v>127</v>
      </c>
      <c r="E11" s="768"/>
      <c r="F11" s="768"/>
      <c r="G11" s="768"/>
      <c r="H11" s="768"/>
      <c r="I11" s="768"/>
      <c r="J11" s="768"/>
      <c r="K11" s="768"/>
      <c r="L11" s="768"/>
      <c r="M11" s="768"/>
      <c r="N11" s="768"/>
      <c r="O11" s="768"/>
      <c r="P11" s="769"/>
    </row>
    <row r="12" spans="2:21" ht="67.5" customHeight="1" thickBot="1" x14ac:dyDescent="0.3">
      <c r="B12" s="761" t="s">
        <v>120</v>
      </c>
      <c r="C12" s="761"/>
      <c r="D12" s="770" t="s">
        <v>150</v>
      </c>
      <c r="E12" s="771"/>
      <c r="F12" s="771"/>
      <c r="G12" s="771"/>
      <c r="H12" s="771"/>
      <c r="I12" s="771"/>
      <c r="J12" s="771"/>
      <c r="K12" s="771"/>
      <c r="L12" s="771"/>
      <c r="M12" s="771"/>
      <c r="N12" s="771"/>
      <c r="O12" s="771"/>
      <c r="P12" s="772"/>
    </row>
    <row r="13" spans="2:21" ht="60" customHeight="1" thickBot="1" x14ac:dyDescent="0.3">
      <c r="B13" s="761" t="s">
        <v>121</v>
      </c>
      <c r="C13" s="761"/>
      <c r="D13" s="762" t="s">
        <v>1529</v>
      </c>
      <c r="E13" s="763"/>
      <c r="F13" s="763"/>
      <c r="G13" s="763"/>
      <c r="H13" s="763"/>
      <c r="I13" s="763"/>
      <c r="J13" s="763"/>
      <c r="K13" s="763"/>
      <c r="L13" s="763"/>
      <c r="M13" s="763"/>
      <c r="N13" s="763"/>
      <c r="O13" s="763"/>
      <c r="P13" s="764"/>
    </row>
    <row r="14" spans="2:21" ht="60" customHeight="1" thickBot="1" x14ac:dyDescent="0.3">
      <c r="B14" s="761" t="s">
        <v>122</v>
      </c>
      <c r="C14" s="761"/>
      <c r="D14" s="762" t="s">
        <v>123</v>
      </c>
      <c r="E14" s="763"/>
      <c r="F14" s="763"/>
      <c r="G14" s="763"/>
      <c r="H14" s="763"/>
      <c r="I14" s="763"/>
      <c r="J14" s="763"/>
      <c r="K14" s="763"/>
      <c r="L14" s="763"/>
      <c r="M14" s="763"/>
      <c r="N14" s="763"/>
      <c r="O14" s="763"/>
      <c r="P14" s="764"/>
    </row>
    <row r="15" spans="2:21" ht="60" customHeight="1" thickBot="1" x14ac:dyDescent="0.3">
      <c r="B15" s="761" t="s">
        <v>128</v>
      </c>
      <c r="C15" s="761"/>
      <c r="D15" s="762" t="s">
        <v>129</v>
      </c>
      <c r="E15" s="763"/>
      <c r="F15" s="763"/>
      <c r="G15" s="763"/>
      <c r="H15" s="763"/>
      <c r="I15" s="763"/>
      <c r="J15" s="763"/>
      <c r="K15" s="763"/>
      <c r="L15" s="763"/>
      <c r="M15" s="763"/>
      <c r="N15" s="763"/>
      <c r="O15" s="763"/>
      <c r="P15" s="764"/>
    </row>
    <row r="17" spans="2:21" x14ac:dyDescent="0.25">
      <c r="B17" s="765" t="s">
        <v>137</v>
      </c>
      <c r="C17" s="765"/>
      <c r="D17" s="765"/>
      <c r="E17" s="765"/>
      <c r="F17" s="765"/>
      <c r="G17" s="765"/>
      <c r="H17" s="765"/>
      <c r="I17" s="765"/>
      <c r="J17" s="765"/>
      <c r="K17" s="765"/>
      <c r="L17" s="765"/>
      <c r="M17" s="765"/>
      <c r="N17" s="765"/>
      <c r="O17" s="765"/>
      <c r="P17" s="765"/>
      <c r="Q17" s="765"/>
      <c r="R17" s="765"/>
      <c r="S17" s="765"/>
      <c r="T17" s="765"/>
      <c r="U17" s="765"/>
    </row>
    <row r="18" spans="2:21" x14ac:dyDescent="0.25">
      <c r="B18" t="s">
        <v>130</v>
      </c>
    </row>
    <row r="20" spans="2:21" x14ac:dyDescent="0.25">
      <c r="B20" s="81" t="s">
        <v>135</v>
      </c>
    </row>
    <row r="21" spans="2:21" x14ac:dyDescent="0.25">
      <c r="B21" s="766"/>
      <c r="C21" s="766"/>
      <c r="D21" s="766"/>
      <c r="E21" s="766"/>
      <c r="F21" s="766"/>
      <c r="G21" s="766"/>
      <c r="H21" s="766"/>
      <c r="I21" s="766"/>
      <c r="J21" s="766"/>
      <c r="K21" s="766"/>
      <c r="L21" s="766"/>
      <c r="M21" s="766"/>
      <c r="N21" s="766"/>
      <c r="O21" s="766"/>
      <c r="P21" s="766"/>
      <c r="Q21" s="766"/>
      <c r="R21" s="766"/>
      <c r="S21" s="766"/>
    </row>
    <row r="22" spans="2:21" x14ac:dyDescent="0.25">
      <c r="B22" s="766"/>
      <c r="C22" s="766"/>
      <c r="D22" s="766"/>
      <c r="E22" s="766"/>
      <c r="F22" s="766"/>
      <c r="G22" s="766"/>
      <c r="H22" s="766"/>
      <c r="I22" s="766"/>
      <c r="J22" s="766"/>
      <c r="K22" s="766"/>
      <c r="L22" s="766"/>
      <c r="M22" s="766"/>
      <c r="N22" s="766"/>
      <c r="O22" s="766"/>
      <c r="P22" s="766"/>
      <c r="Q22" s="766"/>
      <c r="R22" s="766"/>
      <c r="S22" s="766"/>
    </row>
    <row r="24" spans="2:21" x14ac:dyDescent="0.25">
      <c r="B24" s="81" t="s">
        <v>136</v>
      </c>
    </row>
    <row r="25" spans="2:21" x14ac:dyDescent="0.25">
      <c r="B25" s="766"/>
      <c r="C25" s="766"/>
      <c r="D25" s="766"/>
      <c r="E25" s="766"/>
      <c r="F25" s="766"/>
      <c r="G25" s="766"/>
      <c r="H25" s="766"/>
      <c r="I25" s="766"/>
      <c r="J25" s="766"/>
      <c r="K25" s="766"/>
      <c r="L25" s="766"/>
      <c r="M25" s="766"/>
      <c r="N25" s="766"/>
      <c r="O25" s="766"/>
      <c r="P25" s="766"/>
      <c r="Q25" s="766"/>
      <c r="R25" s="766"/>
      <c r="S25" s="766"/>
    </row>
    <row r="26" spans="2:21" x14ac:dyDescent="0.25">
      <c r="B26" s="766"/>
      <c r="C26" s="766"/>
      <c r="D26" s="766"/>
      <c r="E26" s="766"/>
      <c r="F26" s="766"/>
      <c r="G26" s="766"/>
      <c r="H26" s="766"/>
      <c r="I26" s="766"/>
      <c r="J26" s="766"/>
      <c r="K26" s="766"/>
      <c r="L26" s="766"/>
      <c r="M26" s="766"/>
      <c r="N26" s="766"/>
      <c r="O26" s="766"/>
      <c r="P26" s="766"/>
      <c r="Q26" s="766"/>
      <c r="R26" s="766"/>
      <c r="S26" s="766"/>
    </row>
    <row r="27" spans="2:21" ht="15.75" thickBot="1" x14ac:dyDescent="0.3"/>
    <row r="28" spans="2:21" ht="15.75" thickBot="1" x14ac:dyDescent="0.3">
      <c r="B28" s="757" t="s">
        <v>131</v>
      </c>
      <c r="C28" s="759" t="s">
        <v>138</v>
      </c>
      <c r="D28" s="757" t="s">
        <v>139</v>
      </c>
      <c r="E28" s="759" t="s">
        <v>140</v>
      </c>
      <c r="F28" s="757" t="s">
        <v>141</v>
      </c>
      <c r="G28" s="757" t="s">
        <v>146</v>
      </c>
      <c r="H28" s="757" t="s">
        <v>144</v>
      </c>
      <c r="I28" s="757" t="s">
        <v>1493</v>
      </c>
      <c r="J28" s="759" t="s">
        <v>134</v>
      </c>
      <c r="K28" s="760" t="s">
        <v>142</v>
      </c>
    </row>
    <row r="29" spans="2:21" ht="15.75" thickBot="1" x14ac:dyDescent="0.3">
      <c r="B29" s="758"/>
      <c r="C29" s="759"/>
      <c r="D29" s="758"/>
      <c r="E29" s="759"/>
      <c r="F29" s="758"/>
      <c r="G29" s="758"/>
      <c r="H29" s="758"/>
      <c r="I29" s="758"/>
      <c r="J29" s="759"/>
      <c r="K29" s="760"/>
    </row>
    <row r="30" spans="2:21" ht="15.75" thickBot="1" x14ac:dyDescent="0.3">
      <c r="B30" s="82" t="s">
        <v>534</v>
      </c>
      <c r="C30" s="83"/>
      <c r="D30" s="84" t="s">
        <v>620</v>
      </c>
      <c r="E30" s="127">
        <v>17997458.539999999</v>
      </c>
      <c r="F30" s="85" t="s">
        <v>621</v>
      </c>
      <c r="G30" s="128">
        <v>37006000</v>
      </c>
      <c r="H30" s="85"/>
      <c r="I30" s="85" t="s">
        <v>616</v>
      </c>
      <c r="J30" s="91" t="s">
        <v>627</v>
      </c>
      <c r="K30" s="85" t="s">
        <v>47</v>
      </c>
    </row>
    <row r="31" spans="2:21" ht="15.75" thickBot="1" x14ac:dyDescent="0.3">
      <c r="B31" s="82" t="s">
        <v>535</v>
      </c>
      <c r="C31" s="83"/>
      <c r="D31" s="84" t="s">
        <v>620</v>
      </c>
      <c r="E31" s="127">
        <v>1028791.97</v>
      </c>
      <c r="F31" s="85" t="s">
        <v>621</v>
      </c>
      <c r="G31" s="128">
        <v>2170000</v>
      </c>
      <c r="H31" s="85"/>
      <c r="I31" s="85" t="s">
        <v>617</v>
      </c>
      <c r="J31" s="85" t="s">
        <v>627</v>
      </c>
      <c r="K31" s="85" t="s">
        <v>47</v>
      </c>
    </row>
    <row r="32" spans="2:21" ht="15.75" thickBot="1" x14ac:dyDescent="0.3">
      <c r="B32" s="82" t="s">
        <v>601</v>
      </c>
      <c r="C32" s="83"/>
      <c r="D32" s="84" t="s">
        <v>620</v>
      </c>
      <c r="E32" s="127">
        <v>470233.37</v>
      </c>
      <c r="F32" s="85" t="s">
        <v>621</v>
      </c>
      <c r="G32" s="128">
        <v>1200000</v>
      </c>
      <c r="H32" s="85"/>
      <c r="I32" s="91" t="s">
        <v>618</v>
      </c>
      <c r="J32" s="85" t="s">
        <v>627</v>
      </c>
      <c r="K32" s="85" t="s">
        <v>47</v>
      </c>
    </row>
    <row r="33" spans="2:11" ht="15.75" thickBot="1" x14ac:dyDescent="0.3">
      <c r="B33" s="82" t="s">
        <v>602</v>
      </c>
      <c r="C33" s="83"/>
      <c r="D33" s="84" t="s">
        <v>620</v>
      </c>
      <c r="E33" s="127">
        <v>384964.8</v>
      </c>
      <c r="F33" s="85" t="s">
        <v>621</v>
      </c>
      <c r="G33" s="128">
        <v>857000</v>
      </c>
      <c r="H33" s="85"/>
      <c r="I33" s="91" t="s">
        <v>619</v>
      </c>
      <c r="J33" s="85" t="s">
        <v>627</v>
      </c>
      <c r="K33" s="85" t="s">
        <v>47</v>
      </c>
    </row>
    <row r="34" spans="2:11" ht="15.75" thickBot="1" x14ac:dyDescent="0.3">
      <c r="B34" s="82" t="s">
        <v>622</v>
      </c>
      <c r="C34" s="83"/>
      <c r="D34" s="84" t="s">
        <v>620</v>
      </c>
      <c r="E34" s="127">
        <v>796615.82000000007</v>
      </c>
      <c r="F34" s="85" t="s">
        <v>621</v>
      </c>
      <c r="G34" s="128">
        <v>0</v>
      </c>
      <c r="H34" s="85"/>
      <c r="I34" s="128">
        <v>0</v>
      </c>
      <c r="J34" s="85" t="s">
        <v>627</v>
      </c>
      <c r="K34" s="85" t="s">
        <v>47</v>
      </c>
    </row>
    <row r="35" spans="2:11" ht="15.75" thickBot="1" x14ac:dyDescent="0.3">
      <c r="B35" s="82" t="s">
        <v>534</v>
      </c>
      <c r="C35" s="83" t="s">
        <v>629</v>
      </c>
      <c r="D35" s="84" t="s">
        <v>620</v>
      </c>
      <c r="E35" s="127">
        <f>SUM(E39:E44)</f>
        <v>11494962.948999999</v>
      </c>
      <c r="F35" s="85" t="s">
        <v>630</v>
      </c>
      <c r="G35" s="128">
        <f>SUM(G39:G44)</f>
        <v>37028161</v>
      </c>
      <c r="H35" s="132">
        <f>I35/G35</f>
        <v>56.088298200928747</v>
      </c>
      <c r="I35" s="128">
        <f>SUM(I39:I44)</f>
        <v>2076846536</v>
      </c>
      <c r="J35" s="85" t="s">
        <v>1491</v>
      </c>
      <c r="K35" s="85" t="s">
        <v>47</v>
      </c>
    </row>
    <row r="36" spans="2:11" ht="15.75" thickBot="1" x14ac:dyDescent="0.3">
      <c r="B36" s="82" t="s">
        <v>535</v>
      </c>
      <c r="C36" s="83" t="s">
        <v>629</v>
      </c>
      <c r="D36" s="84" t="s">
        <v>620</v>
      </c>
      <c r="E36" s="127">
        <f t="array" ref="E36">SUMPRODUCT(IF('A1.1.1'!C$30:C$916='A1.1'!C36,1,0),IF('A1.1.1'!D$30:D$916='A1.1'!D36,1,0),IF('A1.1.1'!B$30:B$916='A1.1'!B36,1,0),'A1.1.1'!H$30:H$916)</f>
        <v>764882.6239999996</v>
      </c>
      <c r="F36" s="85" t="s">
        <v>630</v>
      </c>
      <c r="G36" s="128">
        <f t="array" ref="G36">SUMPRODUCT(IF('A1.1.1'!C$30:C$916='A1.1'!C36,1,0),IF('A1.1.1'!D$30:D$916='A1.1'!D36,1,0),IF('A1.1.1'!B$30:B$916='A1.1'!B36,1,0),'A1.1.1'!J$30:J$916)</f>
        <v>2169754</v>
      </c>
      <c r="H36" s="132">
        <f t="shared" ref="H36:H44" si="0">I36/G36</f>
        <v>62.980566921411366</v>
      </c>
      <c r="I36" s="128">
        <f t="array" ref="I36">SUMPRODUCT(IF('A1.1.1'!C$30:C$916='A1.1'!C36,1,0),IF('A1.1.1'!D$30:D$916='A1.1'!D36,1,0),IF('A1.1.1'!B$30:B$916='A1.1'!B36,1,0),'A1.1.1'!K$30:K$916)</f>
        <v>136652337</v>
      </c>
      <c r="J36" s="85" t="s">
        <v>1491</v>
      </c>
      <c r="K36" s="85" t="s">
        <v>47</v>
      </c>
    </row>
    <row r="37" spans="2:11" ht="15.75" thickBot="1" x14ac:dyDescent="0.3">
      <c r="B37" s="82" t="s">
        <v>536</v>
      </c>
      <c r="C37" s="83" t="s">
        <v>629</v>
      </c>
      <c r="D37" s="84" t="s">
        <v>620</v>
      </c>
      <c r="E37" s="127">
        <f t="array" ref="E37">SUMPRODUCT(IF('A1.1.1'!C$30:C$916='A1.1'!C37,1,0),IF('A1.1.1'!D$30:D$916='A1.1'!D37,1,0),IF('A1.1.1'!B$30:B$916='A1.1'!B37,1,0),'A1.1.1'!H$30:H$916)</f>
        <v>320773.27999999997</v>
      </c>
      <c r="F37" s="85" t="s">
        <v>630</v>
      </c>
      <c r="G37" s="128">
        <f t="array" ref="G37">SUMPRODUCT(IF('A1.1.1'!C$30:C$916='A1.1'!C37,1,0),IF('A1.1.1'!D$30:D$916='A1.1'!D37,1,0),IF('A1.1.1'!B$30:B$916='A1.1'!B37,1,0),'A1.1.1'!J$30:J$916)</f>
        <v>1016213</v>
      </c>
      <c r="H37" s="132">
        <f t="shared" si="0"/>
        <v>50.2639909152904</v>
      </c>
      <c r="I37" s="128">
        <f t="array" ref="I37">SUMPRODUCT(IF('A1.1.1'!C$30:C$916='A1.1'!C37,1,0),IF('A1.1.1'!D$30:D$916='A1.1'!D37,1,0),IF('A1.1.1'!B$30:B$916='A1.1'!B37,1,0),'A1.1.1'!K$30:K$916)</f>
        <v>51078921</v>
      </c>
      <c r="J37" s="85" t="s">
        <v>1491</v>
      </c>
      <c r="K37" s="85" t="s">
        <v>47</v>
      </c>
    </row>
    <row r="38" spans="2:11" ht="15.75" thickBot="1" x14ac:dyDescent="0.3">
      <c r="B38" s="82" t="s">
        <v>602</v>
      </c>
      <c r="C38" s="83" t="s">
        <v>629</v>
      </c>
      <c r="D38" s="84" t="s">
        <v>620</v>
      </c>
      <c r="E38" s="127">
        <f t="array" ref="E38">SUMPRODUCT(IF('A1.1.1'!C$30:C$916='A1.1'!C38,1,0),IF('A1.1.1'!D$30:D$916='A1.1'!D38,1,0),IF('A1.1.1'!B$30:B$916='A1.1'!B38,1,0),'A1.1.1'!H$30:H$916)</f>
        <v>251983.45699999997</v>
      </c>
      <c r="F38" s="85" t="s">
        <v>630</v>
      </c>
      <c r="G38" s="128">
        <f t="array" ref="G38">SUMPRODUCT(IF('A1.1.1'!C$30:C$916='A1.1'!C38,1,0),IF('A1.1.1'!D$30:D$916='A1.1'!D38,1,0),IF('A1.1.1'!B$30:B$916='A1.1'!B38,1,0),'A1.1.1'!J$30:J$916)</f>
        <v>882367</v>
      </c>
      <c r="H38" s="132">
        <f t="shared" si="0"/>
        <v>49.830907094213629</v>
      </c>
      <c r="I38" s="128">
        <f t="array" ref="I38">SUMPRODUCT(IF('A1.1.1'!C$30:C$916='A1.1'!C38,1,0),IF('A1.1.1'!D$30:D$916='A1.1'!D38,1,0),IF('A1.1.1'!B$30:B$916='A1.1'!B38,1,0),'A1.1.1'!K$30:K$916)</f>
        <v>43969148</v>
      </c>
      <c r="J38" s="85" t="s">
        <v>1491</v>
      </c>
      <c r="K38" s="85" t="s">
        <v>47</v>
      </c>
    </row>
    <row r="39" spans="2:11" ht="15.75" thickBot="1" x14ac:dyDescent="0.3">
      <c r="B39" s="82" t="s">
        <v>544</v>
      </c>
      <c r="C39" s="83" t="s">
        <v>629</v>
      </c>
      <c r="D39" s="84" t="s">
        <v>620</v>
      </c>
      <c r="E39" s="127">
        <f t="array" ref="E39">SUMPRODUCT(IF('A1.1.1'!C$30:C$916='A1.1'!C39,1,0),IF('A1.1.1'!D$30:D$916='A1.1'!D39,1,0),IF('A1.1.1'!B$30:B$916='A1.1'!B39,1,0),'A1.1.1'!H$30:H$916)</f>
        <v>1572158.5580000018</v>
      </c>
      <c r="F39" s="85" t="s">
        <v>630</v>
      </c>
      <c r="G39" s="128">
        <f t="array" ref="G39">SUMPRODUCT(IF('A1.1.1'!C$30:C$916='A1.1'!C39,1,0),IF('A1.1.1'!D$30:D$916='A1.1'!D39,1,0),IF('A1.1.1'!B$30:B$916='A1.1'!B39,1,0),'A1.1.1'!J$30:J$916)</f>
        <v>4185688</v>
      </c>
      <c r="H39" s="132">
        <f t="shared" si="0"/>
        <v>69.408101129372284</v>
      </c>
      <c r="I39" s="128">
        <f t="array" ref="I39">SUMPRODUCT(IF('A1.1.1'!C$30:C$916='A1.1'!C39,1,0),IF('A1.1.1'!D$30:D$916='A1.1'!D39,1,0),IF('A1.1.1'!B$30:B$916='A1.1'!B39,1,0),'A1.1.1'!K$30:K$916)</f>
        <v>290520656</v>
      </c>
      <c r="J39" s="85" t="s">
        <v>1491</v>
      </c>
      <c r="K39" s="85" t="s">
        <v>47</v>
      </c>
    </row>
    <row r="40" spans="2:11" ht="15.75" thickBot="1" x14ac:dyDescent="0.3">
      <c r="B40" s="82" t="s">
        <v>541</v>
      </c>
      <c r="C40" s="83" t="s">
        <v>629</v>
      </c>
      <c r="D40" s="84" t="s">
        <v>620</v>
      </c>
      <c r="E40" s="127">
        <f t="array" ref="E40">SUMPRODUCT(IF('A1.1.1'!C$30:C$916='A1.1'!C40,1,0),IF('A1.1.1'!D$30:D$916='A1.1'!D40,1,0),IF('A1.1.1'!B$30:B$916='A1.1'!B40,1,0),'A1.1.1'!H$30:H$916)</f>
        <v>1938393.5919999997</v>
      </c>
      <c r="F40" s="85" t="s">
        <v>630</v>
      </c>
      <c r="G40" s="128">
        <f t="array" ref="G40">SUMPRODUCT(IF('A1.1.1'!C$30:C$916='A1.1'!C40,1,0),IF('A1.1.1'!D$30:D$916='A1.1'!D40,1,0),IF('A1.1.1'!B$30:B$916='A1.1'!B40,1,0),'A1.1.1'!J$30:J$916)</f>
        <v>6390650</v>
      </c>
      <c r="H40" s="132">
        <f t="shared" si="0"/>
        <v>52.248969510143723</v>
      </c>
      <c r="I40" s="128">
        <f t="array" ref="I40">SUMPRODUCT(IF('A1.1.1'!C$30:C$916='A1.1'!C40,1,0),IF('A1.1.1'!D$30:D$916='A1.1'!D40,1,0),IF('A1.1.1'!B$30:B$916='A1.1'!B40,1,0),'A1.1.1'!K$30:K$916)</f>
        <v>333904877</v>
      </c>
      <c r="J40" s="85" t="s">
        <v>1491</v>
      </c>
      <c r="K40" s="85" t="s">
        <v>47</v>
      </c>
    </row>
    <row r="41" spans="2:11" ht="15.75" thickBot="1" x14ac:dyDescent="0.3">
      <c r="B41" s="82" t="s">
        <v>545</v>
      </c>
      <c r="C41" s="83" t="s">
        <v>629</v>
      </c>
      <c r="D41" s="84" t="s">
        <v>620</v>
      </c>
      <c r="E41" s="127">
        <f t="array" ref="E41">SUMPRODUCT(IF('A1.1.1'!C$30:C$916='A1.1'!C41,1,0),IF('A1.1.1'!D$30:D$916='A1.1'!D41,1,0),IF('A1.1.1'!B$30:B$916='A1.1'!B41,1,0),'A1.1.1'!H$30:H$916)</f>
        <v>3259085.7879999992</v>
      </c>
      <c r="F41" s="85" t="s">
        <v>630</v>
      </c>
      <c r="G41" s="128">
        <f t="array" ref="G41">SUMPRODUCT(IF('A1.1.1'!C$30:C$916='A1.1'!C41,1,0),IF('A1.1.1'!D$30:D$916='A1.1'!D41,1,0),IF('A1.1.1'!B$30:B$916='A1.1'!B41,1,0),'A1.1.1'!J$30:J$916)</f>
        <v>12204596</v>
      </c>
      <c r="H41" s="132">
        <f t="shared" si="0"/>
        <v>51.989681264336809</v>
      </c>
      <c r="I41" s="128">
        <f t="array" ref="I41">SUMPRODUCT(IF('A1.1.1'!C$30:C$916='A1.1'!C41,1,0),IF('A1.1.1'!D$30:D$916='A1.1'!D41,1,0),IF('A1.1.1'!B$30:B$916='A1.1'!B41,1,0),'A1.1.1'!K$30:K$916)</f>
        <v>634513056</v>
      </c>
      <c r="J41" s="85" t="s">
        <v>1491</v>
      </c>
      <c r="K41" s="85" t="s">
        <v>47</v>
      </c>
    </row>
    <row r="42" spans="2:11" ht="15.75" thickBot="1" x14ac:dyDescent="0.3">
      <c r="B42" s="82" t="s">
        <v>1072</v>
      </c>
      <c r="C42" s="83" t="s">
        <v>629</v>
      </c>
      <c r="D42" s="84" t="s">
        <v>620</v>
      </c>
      <c r="E42" s="127">
        <f t="array" ref="E42">SUMPRODUCT(IF('A1.1.1'!C$30:C$916='A1.1'!C42,1,0),IF('A1.1.1'!D$30:D$916='A1.1'!D42,1,0),IF('A1.1.1'!B$30:B$916='A1.1'!B42,1,0),'A1.1.1'!H$30:H$916)</f>
        <v>1162002.7049999996</v>
      </c>
      <c r="F42" s="85" t="s">
        <v>630</v>
      </c>
      <c r="G42" s="128">
        <f t="array" ref="G42">SUMPRODUCT(IF('A1.1.1'!C$30:C$916='A1.1'!C42,1,0),IF('A1.1.1'!D$30:D$916='A1.1'!D42,1,0),IF('A1.1.1'!B$30:B$916='A1.1'!B42,1,0),'A1.1.1'!J$30:J$916)</f>
        <v>4511626</v>
      </c>
      <c r="H42" s="132">
        <f t="shared" si="0"/>
        <v>52.571819561284556</v>
      </c>
      <c r="I42" s="128">
        <f t="array" ref="I42">SUMPRODUCT(IF('A1.1.1'!C$30:C$916='A1.1'!C42,1,0),IF('A1.1.1'!D$30:D$916='A1.1'!D42,1,0),IF('A1.1.1'!B$30:B$916='A1.1'!B42,1,0),'A1.1.1'!K$30:K$916)</f>
        <v>237184388</v>
      </c>
      <c r="J42" s="85" t="s">
        <v>1491</v>
      </c>
      <c r="K42" s="85" t="s">
        <v>47</v>
      </c>
    </row>
    <row r="43" spans="2:11" ht="15.75" thickBot="1" x14ac:dyDescent="0.3">
      <c r="B43" s="82" t="s">
        <v>542</v>
      </c>
      <c r="C43" s="83" t="s">
        <v>629</v>
      </c>
      <c r="D43" s="84" t="s">
        <v>620</v>
      </c>
      <c r="E43" s="127">
        <f t="array" ref="E43">SUMPRODUCT(IF('A1.1.1'!C$30:C$916='A1.1'!C43,1,0),IF('A1.1.1'!D$30:D$916='A1.1'!D43,1,0),IF('A1.1.1'!B$30:B$916='A1.1'!B43,1,0),'A1.1.1'!H$30:H$916)</f>
        <v>1861134.6719999989</v>
      </c>
      <c r="F43" s="85" t="s">
        <v>630</v>
      </c>
      <c r="G43" s="128">
        <f t="array" ref="G43">SUMPRODUCT(IF('A1.1.1'!C$30:C$916='A1.1'!C43,1,0),IF('A1.1.1'!D$30:D$916='A1.1'!D43,1,0),IF('A1.1.1'!B$30:B$916='A1.1'!B43,1,0),'A1.1.1'!J$30:J$916)</f>
        <v>5104260</v>
      </c>
      <c r="H43" s="132">
        <f t="shared" si="0"/>
        <v>60.034995278453685</v>
      </c>
      <c r="I43" s="128">
        <f t="array" ref="I43">SUMPRODUCT(IF('A1.1.1'!C$30:C$916='A1.1'!C43,1,0),IF('A1.1.1'!D$30:D$916='A1.1'!D43,1,0),IF('A1.1.1'!B$30:B$916='A1.1'!B43,1,0),'A1.1.1'!K$30:K$916)</f>
        <v>306434225</v>
      </c>
      <c r="J43" s="85" t="s">
        <v>1491</v>
      </c>
      <c r="K43" s="85" t="s">
        <v>47</v>
      </c>
    </row>
    <row r="44" spans="2:11" ht="15.75" thickBot="1" x14ac:dyDescent="0.3">
      <c r="B44" s="82" t="s">
        <v>543</v>
      </c>
      <c r="C44" s="83" t="s">
        <v>629</v>
      </c>
      <c r="D44" s="84" t="s">
        <v>620</v>
      </c>
      <c r="E44" s="127">
        <f t="array" ref="E44">SUMPRODUCT(IF('A1.1.1'!C$30:C$916='A1.1'!C44,1,0),IF('A1.1.1'!D$30:D$916='A1.1'!D44,1,0),IF('A1.1.1'!B$30:B$916='A1.1'!B44,1,0),'A1.1.1'!H$30:H$916)</f>
        <v>1702187.6340000001</v>
      </c>
      <c r="F44" s="85" t="s">
        <v>630</v>
      </c>
      <c r="G44" s="128">
        <f t="array" ref="G44">SUMPRODUCT(IF('A1.1.1'!C$30:C$916='A1.1'!C44,1,0),IF('A1.1.1'!D$30:D$916='A1.1'!D44,1,0),IF('A1.1.1'!B$30:B$916='A1.1'!B44,1,0),'A1.1.1'!J$30:J$916)</f>
        <v>4631341</v>
      </c>
      <c r="H44" s="132">
        <f t="shared" si="0"/>
        <v>59.224603414000391</v>
      </c>
      <c r="I44" s="128">
        <f t="array" ref="I44">SUMPRODUCT(IF('A1.1.1'!C$30:C$916='A1.1'!C44,1,0),IF('A1.1.1'!D$30:D$916='A1.1'!D44,1,0),IF('A1.1.1'!B$30:B$916='A1.1'!B44,1,0),'A1.1.1'!K$30:K$916)</f>
        <v>274289334</v>
      </c>
      <c r="J44" s="85" t="s">
        <v>1491</v>
      </c>
      <c r="K44" s="85" t="s">
        <v>47</v>
      </c>
    </row>
    <row r="45" spans="2:11" ht="15.75" thickBot="1" x14ac:dyDescent="0.3">
      <c r="B45" s="82" t="s">
        <v>534</v>
      </c>
      <c r="C45" s="83" t="s">
        <v>629</v>
      </c>
      <c r="D45" s="84" t="s">
        <v>620</v>
      </c>
      <c r="E45" s="127">
        <f>SUM(E49:E54)</f>
        <v>11534281.83</v>
      </c>
      <c r="F45" s="85" t="s">
        <v>630</v>
      </c>
      <c r="G45" s="128">
        <f>SUM(G49:G54)</f>
        <v>37101716</v>
      </c>
      <c r="H45" s="132"/>
      <c r="I45" s="128" t="s">
        <v>1512</v>
      </c>
      <c r="J45" s="85" t="s">
        <v>1492</v>
      </c>
      <c r="K45" s="85" t="s">
        <v>47</v>
      </c>
    </row>
    <row r="46" spans="2:11" ht="15.75" thickBot="1" x14ac:dyDescent="0.3">
      <c r="B46" s="82" t="s">
        <v>535</v>
      </c>
      <c r="C46" s="83" t="s">
        <v>629</v>
      </c>
      <c r="D46" s="84" t="s">
        <v>620</v>
      </c>
      <c r="E46" s="127">
        <v>695728.14299999957</v>
      </c>
      <c r="F46" s="85" t="s">
        <v>630</v>
      </c>
      <c r="G46" s="128">
        <v>1993144</v>
      </c>
      <c r="H46" s="132"/>
      <c r="I46" s="128" t="s">
        <v>1510</v>
      </c>
      <c r="J46" s="85" t="s">
        <v>1492</v>
      </c>
      <c r="K46" s="85" t="s">
        <v>47</v>
      </c>
    </row>
    <row r="47" spans="2:11" ht="15.75" thickBot="1" x14ac:dyDescent="0.3">
      <c r="B47" s="82" t="s">
        <v>536</v>
      </c>
      <c r="C47" s="83" t="s">
        <v>629</v>
      </c>
      <c r="D47" s="84" t="s">
        <v>620</v>
      </c>
      <c r="E47" s="127">
        <v>320773.28000000003</v>
      </c>
      <c r="F47" s="85" t="s">
        <v>630</v>
      </c>
      <c r="G47" s="128">
        <v>1016213</v>
      </c>
      <c r="H47" s="132"/>
      <c r="I47" s="128" t="s">
        <v>1494</v>
      </c>
      <c r="J47" s="85" t="s">
        <v>1492</v>
      </c>
      <c r="K47" s="85" t="s">
        <v>47</v>
      </c>
    </row>
    <row r="48" spans="2:11" ht="15.75" thickBot="1" x14ac:dyDescent="0.3">
      <c r="B48" s="82" t="s">
        <v>602</v>
      </c>
      <c r="C48" s="83" t="s">
        <v>629</v>
      </c>
      <c r="D48" s="84" t="s">
        <v>620</v>
      </c>
      <c r="E48" s="127">
        <v>252206.01700000002</v>
      </c>
      <c r="F48" s="85" t="s">
        <v>630</v>
      </c>
      <c r="G48" s="128">
        <v>883108</v>
      </c>
      <c r="H48" s="132"/>
      <c r="I48" s="128" t="s">
        <v>1495</v>
      </c>
      <c r="J48" s="85" t="s">
        <v>1492</v>
      </c>
      <c r="K48" s="85" t="s">
        <v>47</v>
      </c>
    </row>
    <row r="49" spans="2:11" ht="15.75" thickBot="1" x14ac:dyDescent="0.3">
      <c r="B49" s="82" t="s">
        <v>544</v>
      </c>
      <c r="C49" s="83" t="s">
        <v>629</v>
      </c>
      <c r="D49" s="84" t="s">
        <v>620</v>
      </c>
      <c r="E49" s="127">
        <v>1542617.7390000003</v>
      </c>
      <c r="F49" s="85" t="s">
        <v>630</v>
      </c>
      <c r="G49" s="128">
        <v>4130726</v>
      </c>
      <c r="H49" s="132"/>
      <c r="I49" s="128" t="s">
        <v>1513</v>
      </c>
      <c r="J49" s="85" t="s">
        <v>1492</v>
      </c>
      <c r="K49" s="85" t="s">
        <v>47</v>
      </c>
    </row>
    <row r="50" spans="2:11" ht="15.75" thickBot="1" x14ac:dyDescent="0.3">
      <c r="B50" s="82" t="s">
        <v>541</v>
      </c>
      <c r="C50" s="83" t="s">
        <v>629</v>
      </c>
      <c r="D50" s="84" t="s">
        <v>620</v>
      </c>
      <c r="E50" s="127">
        <v>1886894.6120000004</v>
      </c>
      <c r="F50" s="85" t="s">
        <v>630</v>
      </c>
      <c r="G50" s="128">
        <v>6209273</v>
      </c>
      <c r="H50" s="132"/>
      <c r="I50" s="128" t="s">
        <v>1514</v>
      </c>
      <c r="J50" s="85" t="s">
        <v>1492</v>
      </c>
      <c r="K50" s="85" t="s">
        <v>47</v>
      </c>
    </row>
    <row r="51" spans="2:11" ht="15.75" thickBot="1" x14ac:dyDescent="0.3">
      <c r="B51" s="82" t="s">
        <v>545</v>
      </c>
      <c r="C51" s="83" t="s">
        <v>629</v>
      </c>
      <c r="D51" s="84" t="s">
        <v>620</v>
      </c>
      <c r="E51" s="127">
        <v>3338755.4070000011</v>
      </c>
      <c r="F51" s="85" t="s">
        <v>630</v>
      </c>
      <c r="G51" s="128">
        <v>12525675</v>
      </c>
      <c r="H51" s="132"/>
      <c r="I51" s="128" t="s">
        <v>1496</v>
      </c>
      <c r="J51" s="85" t="s">
        <v>1492</v>
      </c>
      <c r="K51" s="85" t="s">
        <v>47</v>
      </c>
    </row>
    <row r="52" spans="2:11" ht="15.75" thickBot="1" x14ac:dyDescent="0.3">
      <c r="B52" s="82" t="s">
        <v>1072</v>
      </c>
      <c r="C52" s="83" t="s">
        <v>629</v>
      </c>
      <c r="D52" s="84" t="s">
        <v>620</v>
      </c>
      <c r="E52" s="127">
        <v>1083221.8660000002</v>
      </c>
      <c r="F52" s="85" t="s">
        <v>630</v>
      </c>
      <c r="G52" s="128">
        <v>4191185</v>
      </c>
      <c r="H52" s="132"/>
      <c r="I52" s="128" t="s">
        <v>1497</v>
      </c>
      <c r="J52" s="85" t="s">
        <v>1492</v>
      </c>
      <c r="K52" s="85" t="s">
        <v>47</v>
      </c>
    </row>
    <row r="53" spans="2:11" ht="15.75" thickBot="1" x14ac:dyDescent="0.3">
      <c r="B53" s="82" t="s">
        <v>542</v>
      </c>
      <c r="C53" s="83" t="s">
        <v>629</v>
      </c>
      <c r="D53" s="84" t="s">
        <v>620</v>
      </c>
      <c r="E53" s="127">
        <v>1862247.6619999986</v>
      </c>
      <c r="F53" s="85" t="s">
        <v>630</v>
      </c>
      <c r="G53" s="128">
        <v>5106985</v>
      </c>
      <c r="H53" s="132"/>
      <c r="I53" s="128" t="s">
        <v>1498</v>
      </c>
      <c r="J53" s="85" t="s">
        <v>1492</v>
      </c>
      <c r="K53" s="85" t="s">
        <v>47</v>
      </c>
    </row>
    <row r="54" spans="2:11" ht="15.75" thickBot="1" x14ac:dyDescent="0.3">
      <c r="B54" s="82" t="s">
        <v>543</v>
      </c>
      <c r="C54" s="83" t="s">
        <v>629</v>
      </c>
      <c r="D54" s="84" t="s">
        <v>620</v>
      </c>
      <c r="E54" s="127">
        <v>1820544.5440000002</v>
      </c>
      <c r="F54" s="85" t="s">
        <v>630</v>
      </c>
      <c r="G54" s="128">
        <v>4937872</v>
      </c>
      <c r="H54" s="132"/>
      <c r="I54" s="128" t="s">
        <v>1511</v>
      </c>
      <c r="J54" s="85" t="s">
        <v>1492</v>
      </c>
      <c r="K54" s="85" t="s">
        <v>47</v>
      </c>
    </row>
    <row r="55" spans="2:11" ht="15.75" thickBot="1" x14ac:dyDescent="0.3">
      <c r="B55" s="82" t="s">
        <v>534</v>
      </c>
      <c r="C55" s="83" t="s">
        <v>623</v>
      </c>
      <c r="D55" s="84" t="s">
        <v>620</v>
      </c>
      <c r="E55" s="127">
        <f>SUM(E56:E61)</f>
        <v>33864.712</v>
      </c>
      <c r="F55" s="85" t="s">
        <v>630</v>
      </c>
      <c r="G55" s="128">
        <f>SUM(G56:G61)</f>
        <v>465560</v>
      </c>
      <c r="H55" s="132"/>
      <c r="I55" s="128" t="s">
        <v>1499</v>
      </c>
      <c r="J55" s="85" t="s">
        <v>1492</v>
      </c>
      <c r="K55" s="85" t="s">
        <v>47</v>
      </c>
    </row>
    <row r="56" spans="2:11" ht="15.75" thickBot="1" x14ac:dyDescent="0.3">
      <c r="B56" s="82" t="s">
        <v>544</v>
      </c>
      <c r="C56" s="83" t="s">
        <v>623</v>
      </c>
      <c r="D56" s="84" t="s">
        <v>620</v>
      </c>
      <c r="E56" s="127">
        <v>1438.64</v>
      </c>
      <c r="F56" s="85" t="s">
        <v>630</v>
      </c>
      <c r="G56" s="128">
        <v>18222</v>
      </c>
      <c r="H56" s="132"/>
      <c r="I56" s="128" t="s">
        <v>1500</v>
      </c>
      <c r="J56" s="85" t="s">
        <v>1492</v>
      </c>
      <c r="K56" s="85" t="s">
        <v>47</v>
      </c>
    </row>
    <row r="57" spans="2:11" ht="15.75" thickBot="1" x14ac:dyDescent="0.3">
      <c r="B57" s="82" t="s">
        <v>541</v>
      </c>
      <c r="C57" s="83" t="s">
        <v>623</v>
      </c>
      <c r="D57" s="84" t="s">
        <v>620</v>
      </c>
      <c r="E57" s="127">
        <v>18150.851999999999</v>
      </c>
      <c r="F57" s="85" t="s">
        <v>630</v>
      </c>
      <c r="G57" s="128">
        <v>258386</v>
      </c>
      <c r="H57" s="132"/>
      <c r="I57" s="128" t="s">
        <v>1501</v>
      </c>
      <c r="J57" s="85" t="s">
        <v>1492</v>
      </c>
      <c r="K57" s="85" t="s">
        <v>47</v>
      </c>
    </row>
    <row r="58" spans="2:11" ht="15.75" thickBot="1" x14ac:dyDescent="0.3">
      <c r="B58" s="82" t="s">
        <v>545</v>
      </c>
      <c r="C58" s="83" t="s">
        <v>623</v>
      </c>
      <c r="D58" s="84" t="s">
        <v>620</v>
      </c>
      <c r="E58" s="127">
        <v>7443.12</v>
      </c>
      <c r="F58" s="85" t="s">
        <v>630</v>
      </c>
      <c r="G58" s="128">
        <v>100186</v>
      </c>
      <c r="H58" s="132"/>
      <c r="I58" s="128" t="s">
        <v>1502</v>
      </c>
      <c r="J58" s="85" t="s">
        <v>1492</v>
      </c>
      <c r="K58" s="85" t="s">
        <v>47</v>
      </c>
    </row>
    <row r="59" spans="2:11" ht="15.75" thickBot="1" x14ac:dyDescent="0.3">
      <c r="B59" s="82" t="s">
        <v>1072</v>
      </c>
      <c r="C59" s="83" t="s">
        <v>623</v>
      </c>
      <c r="D59" s="84" t="s">
        <v>620</v>
      </c>
      <c r="E59" s="127">
        <v>5764.59</v>
      </c>
      <c r="F59" s="85" t="s">
        <v>630</v>
      </c>
      <c r="G59" s="128">
        <v>75446</v>
      </c>
      <c r="H59" s="132"/>
      <c r="I59" s="128" t="s">
        <v>1503</v>
      </c>
      <c r="J59" s="85" t="s">
        <v>1492</v>
      </c>
      <c r="K59" s="85" t="s">
        <v>47</v>
      </c>
    </row>
    <row r="60" spans="2:11" ht="15.75" thickBot="1" x14ac:dyDescent="0.3">
      <c r="B60" s="82" t="s">
        <v>542</v>
      </c>
      <c r="C60" s="83" t="s">
        <v>623</v>
      </c>
      <c r="D60" s="84" t="s">
        <v>620</v>
      </c>
      <c r="E60" s="127">
        <v>0</v>
      </c>
      <c r="F60" s="85" t="s">
        <v>630</v>
      </c>
      <c r="G60" s="128">
        <v>0</v>
      </c>
      <c r="H60" s="132"/>
      <c r="I60" s="128">
        <v>0</v>
      </c>
      <c r="J60" s="85" t="s">
        <v>1492</v>
      </c>
      <c r="K60" s="85" t="s">
        <v>47</v>
      </c>
    </row>
    <row r="61" spans="2:11" ht="15.75" thickBot="1" x14ac:dyDescent="0.3">
      <c r="B61" s="82" t="s">
        <v>543</v>
      </c>
      <c r="C61" s="83" t="s">
        <v>623</v>
      </c>
      <c r="D61" s="84" t="s">
        <v>620</v>
      </c>
      <c r="E61" s="127">
        <v>1067.51</v>
      </c>
      <c r="F61" s="85" t="s">
        <v>630</v>
      </c>
      <c r="G61" s="128">
        <v>13320</v>
      </c>
      <c r="H61" s="132"/>
      <c r="I61" s="128" t="s">
        <v>1500</v>
      </c>
      <c r="J61" s="85" t="s">
        <v>1492</v>
      </c>
      <c r="K61" s="85" t="s">
        <v>47</v>
      </c>
    </row>
    <row r="62" spans="2:11" ht="15.75" thickBot="1" x14ac:dyDescent="0.3">
      <c r="B62" s="82" t="s">
        <v>535</v>
      </c>
      <c r="C62" s="83" t="s">
        <v>623</v>
      </c>
      <c r="D62" s="84" t="s">
        <v>620</v>
      </c>
      <c r="E62" s="127">
        <v>1623.58</v>
      </c>
      <c r="F62" s="85" t="s">
        <v>630</v>
      </c>
      <c r="G62" s="128">
        <v>19968</v>
      </c>
      <c r="H62" s="132"/>
      <c r="I62" s="128" t="s">
        <v>1500</v>
      </c>
      <c r="J62" s="85" t="s">
        <v>1492</v>
      </c>
      <c r="K62" s="85" t="s">
        <v>47</v>
      </c>
    </row>
    <row r="63" spans="2:11" ht="15.75" thickBot="1" x14ac:dyDescent="0.3">
      <c r="B63" s="82" t="s">
        <v>534</v>
      </c>
      <c r="C63" s="83"/>
      <c r="D63" s="84" t="s">
        <v>620</v>
      </c>
      <c r="E63" s="127">
        <f>SUM(E66:E71)</f>
        <v>12506851</v>
      </c>
      <c r="F63" s="85" t="s">
        <v>621</v>
      </c>
      <c r="G63" s="128"/>
      <c r="H63" s="85"/>
      <c r="I63" s="85"/>
      <c r="J63" s="85" t="s">
        <v>1517</v>
      </c>
      <c r="K63" s="85" t="s">
        <v>47</v>
      </c>
    </row>
    <row r="64" spans="2:11" ht="15.75" thickBot="1" x14ac:dyDescent="0.3">
      <c r="B64" s="82" t="s">
        <v>535</v>
      </c>
      <c r="C64" s="83"/>
      <c r="D64" s="84" t="s">
        <v>620</v>
      </c>
      <c r="E64" s="127">
        <v>601367</v>
      </c>
      <c r="F64" s="85" t="s">
        <v>621</v>
      </c>
      <c r="G64" s="128"/>
      <c r="H64" s="85"/>
      <c r="I64" s="85"/>
      <c r="J64" s="85" t="s">
        <v>1518</v>
      </c>
      <c r="K64" s="85" t="s">
        <v>47</v>
      </c>
    </row>
    <row r="65" spans="2:11" ht="15.75" thickBot="1" x14ac:dyDescent="0.3">
      <c r="B65" s="82" t="s">
        <v>536</v>
      </c>
      <c r="C65" s="83"/>
      <c r="D65" s="84" t="s">
        <v>620</v>
      </c>
      <c r="E65" s="127">
        <v>641566</v>
      </c>
      <c r="F65" s="85" t="s">
        <v>621</v>
      </c>
      <c r="G65" s="128"/>
      <c r="H65" s="85"/>
      <c r="I65" s="91"/>
      <c r="J65" s="85" t="s">
        <v>1519</v>
      </c>
      <c r="K65" s="85" t="s">
        <v>47</v>
      </c>
    </row>
    <row r="66" spans="2:11" ht="15.75" thickBot="1" x14ac:dyDescent="0.3">
      <c r="B66" s="82" t="s">
        <v>545</v>
      </c>
      <c r="C66" s="83"/>
      <c r="D66" s="84" t="s">
        <v>620</v>
      </c>
      <c r="E66" s="127">
        <v>3400455</v>
      </c>
      <c r="F66" s="127" t="s">
        <v>621</v>
      </c>
      <c r="G66" s="85"/>
      <c r="H66" s="128"/>
      <c r="I66" s="85"/>
      <c r="J66" s="91" t="s">
        <v>1520</v>
      </c>
      <c r="K66" s="85" t="s">
        <v>47</v>
      </c>
    </row>
    <row r="67" spans="2:11" ht="15.75" thickBot="1" x14ac:dyDescent="0.3">
      <c r="B67" s="82" t="s">
        <v>542</v>
      </c>
      <c r="C67" s="83"/>
      <c r="D67" s="84" t="s">
        <v>620</v>
      </c>
      <c r="E67" s="127">
        <v>1590211</v>
      </c>
      <c r="F67" s="127" t="s">
        <v>621</v>
      </c>
      <c r="G67" s="85"/>
      <c r="H67" s="128"/>
      <c r="I67" s="85"/>
      <c r="J67" s="91" t="s">
        <v>1521</v>
      </c>
      <c r="K67" s="85" t="s">
        <v>47</v>
      </c>
    </row>
    <row r="68" spans="2:11" ht="15.75" thickBot="1" x14ac:dyDescent="0.3">
      <c r="B68" s="82" t="s">
        <v>543</v>
      </c>
      <c r="C68" s="83"/>
      <c r="D68" s="84" t="s">
        <v>620</v>
      </c>
      <c r="E68" s="127">
        <v>1870238</v>
      </c>
      <c r="F68" s="127" t="s">
        <v>621</v>
      </c>
      <c r="G68" s="85"/>
      <c r="H68" s="128"/>
      <c r="I68" s="85"/>
      <c r="J68" s="91" t="s">
        <v>1522</v>
      </c>
      <c r="K68" s="85" t="s">
        <v>47</v>
      </c>
    </row>
    <row r="69" spans="2:11" ht="15.75" thickBot="1" x14ac:dyDescent="0.3">
      <c r="B69" s="82" t="s">
        <v>544</v>
      </c>
      <c r="C69" s="83"/>
      <c r="D69" s="84" t="s">
        <v>620</v>
      </c>
      <c r="E69" s="127">
        <v>1070235</v>
      </c>
      <c r="F69" s="127" t="s">
        <v>621</v>
      </c>
      <c r="G69" s="85"/>
      <c r="H69" s="128"/>
      <c r="I69" s="85"/>
      <c r="J69" s="91" t="s">
        <v>1523</v>
      </c>
      <c r="K69" s="85" t="s">
        <v>47</v>
      </c>
    </row>
    <row r="70" spans="2:11" ht="15.75" thickBot="1" x14ac:dyDescent="0.3">
      <c r="B70" s="82" t="s">
        <v>1516</v>
      </c>
      <c r="C70" s="83"/>
      <c r="D70" s="84" t="s">
        <v>620</v>
      </c>
      <c r="E70" s="127">
        <v>3792755</v>
      </c>
      <c r="F70" s="127" t="s">
        <v>621</v>
      </c>
      <c r="G70" s="83"/>
      <c r="H70" s="83"/>
      <c r="I70" s="83"/>
      <c r="J70" s="91" t="s">
        <v>1524</v>
      </c>
      <c r="K70" s="85" t="s">
        <v>47</v>
      </c>
    </row>
    <row r="71" spans="2:11" ht="15.75" thickBot="1" x14ac:dyDescent="0.3">
      <c r="B71" s="82" t="s">
        <v>1072</v>
      </c>
      <c r="C71" s="83"/>
      <c r="D71" s="84" t="s">
        <v>620</v>
      </c>
      <c r="E71" s="127">
        <v>782957</v>
      </c>
      <c r="F71" s="127" t="s">
        <v>621</v>
      </c>
      <c r="G71" s="83"/>
      <c r="H71" s="83"/>
      <c r="I71" s="83"/>
      <c r="J71" s="91" t="s">
        <v>1525</v>
      </c>
      <c r="K71" s="85" t="s">
        <v>47</v>
      </c>
    </row>
    <row r="72" spans="2:11" ht="15.75" thickBot="1" x14ac:dyDescent="0.3">
      <c r="B72" s="82" t="s">
        <v>534</v>
      </c>
      <c r="C72" s="83"/>
      <c r="D72" s="84" t="s">
        <v>620</v>
      </c>
      <c r="E72" s="127">
        <v>16042340.550000001</v>
      </c>
      <c r="F72" s="127" t="s">
        <v>621</v>
      </c>
      <c r="G72" s="83"/>
      <c r="H72" s="83"/>
      <c r="I72" s="83"/>
      <c r="J72" s="91" t="s">
        <v>627</v>
      </c>
      <c r="K72" s="85" t="s">
        <v>47</v>
      </c>
    </row>
    <row r="73" spans="2:11" ht="15.75" thickBot="1" x14ac:dyDescent="0.3">
      <c r="B73" s="82" t="s">
        <v>535</v>
      </c>
      <c r="C73" s="83"/>
      <c r="D73" s="84" t="s">
        <v>620</v>
      </c>
      <c r="E73" s="127">
        <v>1028791.97</v>
      </c>
      <c r="F73" s="127" t="s">
        <v>621</v>
      </c>
      <c r="G73" s="83"/>
      <c r="H73" s="83"/>
      <c r="I73" s="83"/>
      <c r="J73" s="91" t="s">
        <v>627</v>
      </c>
      <c r="K73" s="85" t="s">
        <v>47</v>
      </c>
    </row>
    <row r="74" spans="2:11" ht="15.75" thickBot="1" x14ac:dyDescent="0.3">
      <c r="B74" s="82" t="s">
        <v>536</v>
      </c>
      <c r="C74" s="83"/>
      <c r="D74" s="84" t="s">
        <v>620</v>
      </c>
      <c r="E74" s="127">
        <v>463400.92000000004</v>
      </c>
      <c r="F74" s="127" t="s">
        <v>621</v>
      </c>
      <c r="G74" s="83"/>
      <c r="H74" s="83"/>
      <c r="I74" s="83"/>
      <c r="J74" s="91" t="s">
        <v>627</v>
      </c>
      <c r="K74" s="85" t="s">
        <v>47</v>
      </c>
    </row>
    <row r="75" spans="2:11" ht="15.75" thickBot="1" x14ac:dyDescent="0.3">
      <c r="B75" s="82" t="s">
        <v>602</v>
      </c>
      <c r="C75" s="83"/>
      <c r="D75" s="84" t="s">
        <v>620</v>
      </c>
      <c r="E75" s="127">
        <v>384964.88999999996</v>
      </c>
      <c r="F75" s="127" t="s">
        <v>621</v>
      </c>
      <c r="G75" s="83"/>
      <c r="H75" s="83"/>
      <c r="I75" s="83"/>
      <c r="J75" s="91" t="s">
        <v>627</v>
      </c>
      <c r="K75" s="85" t="s">
        <v>47</v>
      </c>
    </row>
  </sheetData>
  <mergeCells count="24">
    <mergeCell ref="B14:C14"/>
    <mergeCell ref="D14:P14"/>
    <mergeCell ref="B9:U9"/>
    <mergeCell ref="B11:C11"/>
    <mergeCell ref="D11:P11"/>
    <mergeCell ref="B12:C12"/>
    <mergeCell ref="D12:P12"/>
    <mergeCell ref="B13:C13"/>
    <mergeCell ref="D13:P13"/>
    <mergeCell ref="B28:B29"/>
    <mergeCell ref="C28:C29"/>
    <mergeCell ref="D28:D29"/>
    <mergeCell ref="E28:E29"/>
    <mergeCell ref="F28:F29"/>
    <mergeCell ref="B15:C15"/>
    <mergeCell ref="D15:P15"/>
    <mergeCell ref="B17:U17"/>
    <mergeCell ref="B21:S22"/>
    <mergeCell ref="B25:S26"/>
    <mergeCell ref="G28:G29"/>
    <mergeCell ref="H28:H29"/>
    <mergeCell ref="I28:I29"/>
    <mergeCell ref="J28:J29"/>
    <mergeCell ref="K28:K29"/>
  </mergeCells>
  <dataValidations count="3">
    <dataValidation type="list" allowBlank="1" showInputMessage="1" showErrorMessage="1" sqref="F30:F75">
      <formula1>"l (litros), kg (quilos), Nm3 (metros cubicos norm.), € (euros)"</formula1>
    </dataValidation>
    <dataValidation type="list" allowBlank="1" showInputMessage="1" showErrorMessage="1" sqref="C30:C75 E70 G70:I75">
      <formula1>"Pesado de Passageiros M3, Pesado de Passageiros M2, Ligeiro de Passageiros M1, Pesado de Mercadorias N3, Pesado de Mercadorias N2, Ligeiro de Mercadorias N1, Misto"</formula1>
    </dataValidation>
    <dataValidation type="list" allowBlank="1" showInputMessage="1" showErrorMessage="1" sqref="D30:D75">
      <formula1>"Gasóleo, Gasolina, GPL, GNC, GNV, Butano, Propano, H2"</formula1>
    </dataValidation>
  </dataValidations>
  <pageMargins left="0.7" right="0.7" top="0.75" bottom="0.75" header="0.3" footer="0.3"/>
  <customProperties>
    <customPr name="GUID" r:id="rId1"/>
  </customProperties>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3"/>
  <dimension ref="A1:L67"/>
  <sheetViews>
    <sheetView workbookViewId="0"/>
  </sheetViews>
  <sheetFormatPr defaultRowHeight="15" x14ac:dyDescent="0.25"/>
  <cols>
    <col min="1" max="1" width="28.28515625" customWidth="1"/>
    <col min="2" max="2" width="156.140625" bestFit="1" customWidth="1"/>
  </cols>
  <sheetData>
    <row r="1" spans="1:12" ht="15" customHeight="1" thickBot="1" x14ac:dyDescent="0.3">
      <c r="A1" s="149" t="s">
        <v>465</v>
      </c>
      <c r="B1" s="150" t="s">
        <v>466</v>
      </c>
      <c r="K1" t="s">
        <v>465</v>
      </c>
      <c r="L1" t="s">
        <v>466</v>
      </c>
    </row>
    <row r="2" spans="1:12" ht="15.75" thickBot="1" x14ac:dyDescent="0.3">
      <c r="A2" s="147">
        <v>120301</v>
      </c>
      <c r="B2" s="148" t="s">
        <v>1601</v>
      </c>
    </row>
    <row r="3" spans="1:12" ht="15.75" thickBot="1" x14ac:dyDescent="0.3">
      <c r="A3" s="147">
        <v>130208</v>
      </c>
      <c r="B3" s="148" t="s">
        <v>3239</v>
      </c>
    </row>
    <row r="4" spans="1:12" ht="15.75" thickBot="1" x14ac:dyDescent="0.3">
      <c r="A4" s="147">
        <v>130502</v>
      </c>
      <c r="B4" s="148" t="s">
        <v>1569</v>
      </c>
    </row>
    <row r="5" spans="1:12" ht="15.75" thickBot="1" x14ac:dyDescent="0.3">
      <c r="A5" s="147">
        <v>130507</v>
      </c>
      <c r="B5" s="148" t="s">
        <v>1572</v>
      </c>
    </row>
    <row r="6" spans="1:12" ht="15.75" thickBot="1" x14ac:dyDescent="0.3">
      <c r="A6" s="147">
        <v>130508</v>
      </c>
      <c r="B6" s="148" t="s">
        <v>3236</v>
      </c>
    </row>
    <row r="7" spans="1:12" ht="15.75" thickBot="1" x14ac:dyDescent="0.3">
      <c r="A7" s="147">
        <v>140603</v>
      </c>
      <c r="B7" s="148" t="s">
        <v>1591</v>
      </c>
    </row>
    <row r="8" spans="1:12" ht="15.75" thickBot="1" x14ac:dyDescent="0.3">
      <c r="A8" s="147">
        <v>150101</v>
      </c>
      <c r="B8" s="148" t="s">
        <v>1537</v>
      </c>
    </row>
    <row r="9" spans="1:12" ht="15.75" thickBot="1" x14ac:dyDescent="0.3">
      <c r="A9" s="147">
        <v>150102</v>
      </c>
      <c r="B9" s="148" t="s">
        <v>1575</v>
      </c>
    </row>
    <row r="10" spans="1:12" ht="15.75" thickBot="1" x14ac:dyDescent="0.3">
      <c r="A10" s="147">
        <v>150103</v>
      </c>
      <c r="B10" s="148" t="s">
        <v>1605</v>
      </c>
    </row>
    <row r="11" spans="1:12" ht="15.75" thickBot="1" x14ac:dyDescent="0.3">
      <c r="A11" s="147">
        <v>150110</v>
      </c>
      <c r="B11" s="148" t="s">
        <v>1542</v>
      </c>
    </row>
    <row r="12" spans="1:12" ht="15.75" thickBot="1" x14ac:dyDescent="0.3">
      <c r="A12" s="147">
        <v>150111</v>
      </c>
      <c r="B12" s="148" t="s">
        <v>1548</v>
      </c>
    </row>
    <row r="13" spans="1:12" ht="15.75" thickBot="1" x14ac:dyDescent="0.3">
      <c r="A13" s="147">
        <v>150202</v>
      </c>
      <c r="B13" s="148" t="s">
        <v>1547</v>
      </c>
    </row>
    <row r="14" spans="1:12" ht="15.75" thickBot="1" x14ac:dyDescent="0.3">
      <c r="A14" s="147">
        <v>150203</v>
      </c>
      <c r="B14" s="148" t="s">
        <v>1550</v>
      </c>
    </row>
    <row r="15" spans="1:12" ht="15.75" thickBot="1" x14ac:dyDescent="0.3">
      <c r="A15" s="147">
        <v>160103</v>
      </c>
      <c r="B15" s="148" t="s">
        <v>1582</v>
      </c>
    </row>
    <row r="16" spans="1:12" ht="15.75" thickBot="1" x14ac:dyDescent="0.3">
      <c r="A16" s="147">
        <v>160104</v>
      </c>
      <c r="B16" s="148" t="s">
        <v>1584</v>
      </c>
    </row>
    <row r="17" spans="1:2" ht="15.75" thickBot="1" x14ac:dyDescent="0.3">
      <c r="A17" s="147">
        <v>160106</v>
      </c>
      <c r="B17" s="148" t="s">
        <v>1592</v>
      </c>
    </row>
    <row r="18" spans="1:2" ht="15.75" thickBot="1" x14ac:dyDescent="0.3">
      <c r="A18" s="147">
        <v>160107</v>
      </c>
      <c r="B18" s="148" t="s">
        <v>1551</v>
      </c>
    </row>
    <row r="19" spans="1:2" ht="15.75" thickBot="1" x14ac:dyDescent="0.3">
      <c r="A19" s="147">
        <v>160112</v>
      </c>
      <c r="B19" s="148" t="s">
        <v>1552</v>
      </c>
    </row>
    <row r="20" spans="1:2" ht="15.75" thickBot="1" x14ac:dyDescent="0.3">
      <c r="A20" s="147">
        <v>160117</v>
      </c>
      <c r="B20" s="148" t="s">
        <v>1557</v>
      </c>
    </row>
    <row r="21" spans="1:2" ht="15.75" thickBot="1" x14ac:dyDescent="0.3">
      <c r="A21" s="147">
        <v>160118</v>
      </c>
      <c r="B21" s="148" t="s">
        <v>3233</v>
      </c>
    </row>
    <row r="22" spans="1:2" ht="15.75" thickBot="1" x14ac:dyDescent="0.3">
      <c r="A22" s="147">
        <v>160119</v>
      </c>
      <c r="B22" s="148" t="s">
        <v>1560</v>
      </c>
    </row>
    <row r="23" spans="1:2" ht="15.75" thickBot="1" x14ac:dyDescent="0.3">
      <c r="A23" s="147">
        <v>160120</v>
      </c>
      <c r="B23" s="148" t="s">
        <v>1561</v>
      </c>
    </row>
    <row r="24" spans="1:2" ht="15.75" thickBot="1" x14ac:dyDescent="0.3">
      <c r="A24" s="147">
        <v>160121</v>
      </c>
      <c r="B24" s="148" t="s">
        <v>1576</v>
      </c>
    </row>
    <row r="25" spans="1:2" ht="15.75" thickBot="1" x14ac:dyDescent="0.3">
      <c r="A25" s="147">
        <v>160121</v>
      </c>
      <c r="B25" s="148" t="s">
        <v>3220</v>
      </c>
    </row>
    <row r="26" spans="1:2" ht="15.75" thickBot="1" x14ac:dyDescent="0.3">
      <c r="A26" s="147">
        <v>160122</v>
      </c>
      <c r="B26" s="148" t="s">
        <v>3221</v>
      </c>
    </row>
    <row r="27" spans="1:2" ht="15.75" thickBot="1" x14ac:dyDescent="0.3">
      <c r="A27" s="147">
        <v>160199</v>
      </c>
      <c r="B27" s="148" t="s">
        <v>1562</v>
      </c>
    </row>
    <row r="28" spans="1:2" ht="15.75" thickBot="1" x14ac:dyDescent="0.3">
      <c r="A28" s="147">
        <v>160214</v>
      </c>
      <c r="B28" s="148" t="s">
        <v>3244</v>
      </c>
    </row>
    <row r="29" spans="1:2" ht="15.75" thickBot="1" x14ac:dyDescent="0.3">
      <c r="A29" s="147">
        <v>160216</v>
      </c>
      <c r="B29" s="148" t="s">
        <v>3169</v>
      </c>
    </row>
    <row r="30" spans="1:2" ht="15.75" thickBot="1" x14ac:dyDescent="0.3">
      <c r="A30" s="147">
        <v>160216</v>
      </c>
      <c r="B30" s="148" t="s">
        <v>3222</v>
      </c>
    </row>
    <row r="31" spans="1:2" ht="15.75" thickBot="1" x14ac:dyDescent="0.3">
      <c r="A31" s="147">
        <v>160504</v>
      </c>
      <c r="B31" s="148" t="s">
        <v>3230</v>
      </c>
    </row>
    <row r="32" spans="1:2" ht="15.75" thickBot="1" x14ac:dyDescent="0.3">
      <c r="A32" s="147">
        <v>160601</v>
      </c>
      <c r="B32" s="148" t="s">
        <v>1563</v>
      </c>
    </row>
    <row r="33" spans="1:2" ht="15.75" thickBot="1" x14ac:dyDescent="0.3">
      <c r="A33" s="147">
        <v>170107</v>
      </c>
      <c r="B33" s="148" t="s">
        <v>3231</v>
      </c>
    </row>
    <row r="34" spans="1:2" ht="15.75" thickBot="1" x14ac:dyDescent="0.3">
      <c r="A34" s="147">
        <v>170302</v>
      </c>
      <c r="B34" s="148" t="s">
        <v>3234</v>
      </c>
    </row>
    <row r="35" spans="1:2" ht="15.75" thickBot="1" x14ac:dyDescent="0.3">
      <c r="A35" s="147">
        <v>180101</v>
      </c>
      <c r="B35" s="148" t="s">
        <v>3223</v>
      </c>
    </row>
    <row r="36" spans="1:2" ht="15.75" thickBot="1" x14ac:dyDescent="0.3">
      <c r="A36" s="147">
        <v>180103</v>
      </c>
      <c r="B36" s="148" t="s">
        <v>3224</v>
      </c>
    </row>
    <row r="37" spans="1:2" ht="15.75" thickBot="1" x14ac:dyDescent="0.3">
      <c r="A37" s="147">
        <v>190805</v>
      </c>
      <c r="B37" s="148" t="s">
        <v>1577</v>
      </c>
    </row>
    <row r="38" spans="1:2" ht="15.75" thickBot="1" x14ac:dyDescent="0.3">
      <c r="A38" s="147">
        <v>200101</v>
      </c>
      <c r="B38" s="148" t="s">
        <v>1597</v>
      </c>
    </row>
    <row r="39" spans="1:2" ht="15.75" thickBot="1" x14ac:dyDescent="0.3">
      <c r="A39" s="147">
        <v>200102</v>
      </c>
      <c r="B39" s="148" t="s">
        <v>1561</v>
      </c>
    </row>
    <row r="40" spans="1:2" ht="15.75" thickBot="1" x14ac:dyDescent="0.3">
      <c r="A40" s="147">
        <v>200121</v>
      </c>
      <c r="B40" s="148" t="s">
        <v>1564</v>
      </c>
    </row>
    <row r="41" spans="1:2" ht="15.75" thickBot="1" x14ac:dyDescent="0.3">
      <c r="A41" s="147">
        <v>200125</v>
      </c>
      <c r="B41" s="148" t="s">
        <v>1565</v>
      </c>
    </row>
    <row r="42" spans="1:2" ht="15.75" thickBot="1" x14ac:dyDescent="0.3">
      <c r="A42" s="147">
        <v>200127</v>
      </c>
      <c r="B42" s="148" t="s">
        <v>3228</v>
      </c>
    </row>
    <row r="43" spans="1:2" ht="15.75" thickBot="1" x14ac:dyDescent="0.3">
      <c r="A43" s="147">
        <v>200136</v>
      </c>
      <c r="B43" s="148" t="s">
        <v>1568</v>
      </c>
    </row>
    <row r="44" spans="1:2" ht="15.75" thickBot="1" x14ac:dyDescent="0.3">
      <c r="A44" s="147">
        <v>200139</v>
      </c>
      <c r="B44" s="148" t="s">
        <v>3229</v>
      </c>
    </row>
    <row r="45" spans="1:2" ht="15.75" thickBot="1" x14ac:dyDescent="0.3">
      <c r="A45" s="147">
        <v>200140</v>
      </c>
      <c r="B45" s="148" t="s">
        <v>1658</v>
      </c>
    </row>
    <row r="46" spans="1:2" ht="15.75" thickBot="1" x14ac:dyDescent="0.3">
      <c r="A46" s="147">
        <v>200202</v>
      </c>
      <c r="B46" s="148" t="s">
        <v>3235</v>
      </c>
    </row>
    <row r="47" spans="1:2" ht="15.75" thickBot="1" x14ac:dyDescent="0.3">
      <c r="A47" s="147">
        <v>200301</v>
      </c>
      <c r="B47" s="148" t="s">
        <v>1610</v>
      </c>
    </row>
    <row r="48" spans="1:2" ht="15.75" thickBot="1" x14ac:dyDescent="0.3">
      <c r="A48" s="147">
        <v>200306</v>
      </c>
      <c r="B48" s="148" t="s">
        <v>3232</v>
      </c>
    </row>
    <row r="49" spans="1:2" ht="15.75" thickBot="1" x14ac:dyDescent="0.3">
      <c r="A49" s="147">
        <v>200307</v>
      </c>
      <c r="B49" s="148" t="s">
        <v>3237</v>
      </c>
    </row>
    <row r="50" spans="1:2" ht="15.75" thickBot="1" x14ac:dyDescent="0.3">
      <c r="A50" s="147">
        <v>200399</v>
      </c>
      <c r="B50" s="148" t="s">
        <v>3238</v>
      </c>
    </row>
    <row r="51" spans="1:2" ht="15.75" thickBot="1" x14ac:dyDescent="0.3">
      <c r="A51" s="147">
        <v>202121</v>
      </c>
      <c r="B51" s="148" t="s">
        <v>3225</v>
      </c>
    </row>
    <row r="52" spans="1:2" ht="15.75" thickBot="1" x14ac:dyDescent="0.3">
      <c r="A52" s="297" t="s">
        <v>1579</v>
      </c>
      <c r="B52" s="148" t="s">
        <v>1580</v>
      </c>
    </row>
    <row r="53" spans="1:2" ht="15.75" thickBot="1" x14ac:dyDescent="0.3">
      <c r="A53" s="297" t="s">
        <v>3182</v>
      </c>
      <c r="B53" s="148" t="s">
        <v>3240</v>
      </c>
    </row>
    <row r="54" spans="1:2" ht="15.75" thickBot="1" x14ac:dyDescent="0.3">
      <c r="A54" s="147" t="s">
        <v>1588</v>
      </c>
      <c r="B54" s="148" t="s">
        <v>1589</v>
      </c>
    </row>
    <row r="55" spans="1:2" ht="15.75" thickBot="1" x14ac:dyDescent="0.3">
      <c r="A55" s="147" t="s">
        <v>3204</v>
      </c>
      <c r="B55" s="148" t="s">
        <v>3205</v>
      </c>
    </row>
    <row r="56" spans="1:2" ht="15.75" thickBot="1" x14ac:dyDescent="0.3">
      <c r="A56" s="147" t="s">
        <v>3183</v>
      </c>
      <c r="B56" s="148" t="s">
        <v>3243</v>
      </c>
    </row>
    <row r="57" spans="1:2" ht="15.75" thickBot="1" x14ac:dyDescent="0.3">
      <c r="A57" s="147" t="s">
        <v>3202</v>
      </c>
      <c r="B57" s="148" t="s">
        <v>1542</v>
      </c>
    </row>
    <row r="58" spans="1:2" ht="15.75" thickBot="1" x14ac:dyDescent="0.3">
      <c r="A58" s="147" t="s">
        <v>1865</v>
      </c>
      <c r="B58" s="148" t="s">
        <v>3226</v>
      </c>
    </row>
    <row r="59" spans="1:2" ht="15.75" thickBot="1" x14ac:dyDescent="0.3">
      <c r="A59" s="147" t="s">
        <v>1606</v>
      </c>
      <c r="B59" s="148" t="s">
        <v>1607</v>
      </c>
    </row>
    <row r="60" spans="1:2" ht="15.75" thickBot="1" x14ac:dyDescent="0.3">
      <c r="A60" s="147" t="s">
        <v>3184</v>
      </c>
      <c r="B60" s="148" t="s">
        <v>3242</v>
      </c>
    </row>
    <row r="61" spans="1:2" ht="15.75" thickBot="1" x14ac:dyDescent="0.3">
      <c r="A61" s="147" t="s">
        <v>1866</v>
      </c>
      <c r="B61" s="148" t="s">
        <v>3219</v>
      </c>
    </row>
    <row r="62" spans="1:2" ht="15.75" thickBot="1" x14ac:dyDescent="0.3">
      <c r="A62" s="147" t="s">
        <v>1867</v>
      </c>
      <c r="B62" s="148" t="s">
        <v>3227</v>
      </c>
    </row>
    <row r="63" spans="1:2" ht="15.75" thickBot="1" x14ac:dyDescent="0.3">
      <c r="A63" s="147" t="s">
        <v>3185</v>
      </c>
      <c r="B63" s="148" t="s">
        <v>3241</v>
      </c>
    </row>
    <row r="64" spans="1:2" ht="15.75" thickBot="1" x14ac:dyDescent="0.3">
      <c r="A64" s="147" t="s">
        <v>3217</v>
      </c>
      <c r="B64" s="148" t="s">
        <v>3218</v>
      </c>
    </row>
    <row r="65" spans="1:2" ht="15.75" thickBot="1" x14ac:dyDescent="0.3">
      <c r="A65" s="147" t="s">
        <v>3201</v>
      </c>
      <c r="B65" s="148" t="s">
        <v>1557</v>
      </c>
    </row>
    <row r="66" spans="1:2" ht="15.75" thickBot="1" x14ac:dyDescent="0.3">
      <c r="A66" s="147" t="s">
        <v>3203</v>
      </c>
      <c r="B66" s="148" t="s">
        <v>2983</v>
      </c>
    </row>
    <row r="67" spans="1:2" ht="15.75" thickBot="1" x14ac:dyDescent="0.3">
      <c r="A67" s="147" t="s">
        <v>1609</v>
      </c>
      <c r="B67" s="148" t="s">
        <v>3216</v>
      </c>
    </row>
  </sheetData>
  <pageMargins left="0.7" right="0.7" top="0.75" bottom="0.75" header="0.3" footer="0.3"/>
  <customProperties>
    <customPr name="GUID" r:id="rId1"/>
  </customProperties>
  <tableParts count="1">
    <tablePart r:id="rId2"/>
  </tablePar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4"/>
  <dimension ref="B6:X49"/>
  <sheetViews>
    <sheetView workbookViewId="0"/>
  </sheetViews>
  <sheetFormatPr defaultRowHeight="15" x14ac:dyDescent="0.25"/>
  <cols>
    <col min="2" max="2" width="56.28515625" customWidth="1"/>
    <col min="3" max="3" width="37.7109375" customWidth="1"/>
    <col min="4" max="4" width="36.85546875" customWidth="1"/>
    <col min="5" max="5" width="37.85546875" customWidth="1"/>
    <col min="6" max="6" width="24.42578125" customWidth="1"/>
    <col min="7" max="7" width="27.5703125" customWidth="1"/>
    <col min="8" max="8" width="41.7109375" customWidth="1"/>
    <col min="9" max="9" width="29.28515625" customWidth="1"/>
  </cols>
  <sheetData>
    <row r="6" spans="2:24" ht="15.75" thickBot="1" x14ac:dyDescent="0.3"/>
    <row r="7" spans="2:24" x14ac:dyDescent="0.25">
      <c r="B7" s="78" t="s">
        <v>118</v>
      </c>
      <c r="C7" s="79"/>
    </row>
    <row r="9" spans="2:24" x14ac:dyDescent="0.25">
      <c r="B9" s="765" t="str">
        <f>"Grupo Barraqueiro: "&amp;'Folha de Rosto'!C6&amp;" "&amp;'Folha de Rosto'!I6&amp;" - Emissões de GEE de Âmbito 3"</f>
        <v>Grupo Barraqueiro: PEGADA DE CARBONO 2022 - Emissões de GEE de Âmbito 3</v>
      </c>
      <c r="C9" s="765"/>
      <c r="D9" s="765"/>
      <c r="E9" s="765"/>
      <c r="F9" s="765"/>
      <c r="G9" s="765"/>
      <c r="H9" s="765"/>
      <c r="I9" s="765"/>
      <c r="J9" s="765"/>
      <c r="K9" s="765"/>
      <c r="L9" s="765"/>
      <c r="M9" s="765"/>
      <c r="N9" s="765"/>
      <c r="O9" s="765"/>
      <c r="P9" s="765"/>
      <c r="Q9" s="765"/>
      <c r="R9" s="765"/>
      <c r="S9" s="765"/>
      <c r="T9" s="765"/>
      <c r="U9" s="765"/>
      <c r="V9" s="765"/>
      <c r="W9" s="765"/>
      <c r="X9" s="765"/>
    </row>
    <row r="10" spans="2:24" ht="15.75" thickBot="1" x14ac:dyDescent="0.3"/>
    <row r="11" spans="2:24" ht="33.6" customHeight="1" thickBot="1" x14ac:dyDescent="0.3">
      <c r="B11" s="761" t="s">
        <v>119</v>
      </c>
      <c r="C11" s="761"/>
      <c r="D11" s="767" t="s">
        <v>522</v>
      </c>
      <c r="E11" s="767"/>
      <c r="F11" s="767"/>
      <c r="G11" s="767"/>
      <c r="H11" s="768"/>
      <c r="I11" s="768"/>
      <c r="J11" s="768"/>
      <c r="K11" s="768"/>
      <c r="L11" s="768"/>
      <c r="M11" s="768"/>
      <c r="N11" s="768"/>
      <c r="O11" s="768"/>
      <c r="P11" s="768"/>
      <c r="Q11" s="769"/>
    </row>
    <row r="12" spans="2:24" ht="60.95" customHeight="1" thickBot="1" x14ac:dyDescent="0.3">
      <c r="B12" s="761" t="s">
        <v>120</v>
      </c>
      <c r="C12" s="761"/>
      <c r="D12" s="770" t="s">
        <v>530</v>
      </c>
      <c r="E12" s="770"/>
      <c r="F12" s="770"/>
      <c r="G12" s="770"/>
      <c r="H12" s="771"/>
      <c r="I12" s="771"/>
      <c r="J12" s="771"/>
      <c r="K12" s="771"/>
      <c r="L12" s="771"/>
      <c r="M12" s="771"/>
      <c r="N12" s="771"/>
      <c r="O12" s="771"/>
      <c r="P12" s="771"/>
      <c r="Q12" s="772"/>
    </row>
    <row r="13" spans="2:24" ht="60.95" customHeight="1" thickBot="1" x14ac:dyDescent="0.3">
      <c r="B13" s="761" t="s">
        <v>121</v>
      </c>
      <c r="C13" s="761"/>
      <c r="D13" s="798" t="s">
        <v>1529</v>
      </c>
      <c r="E13" s="799"/>
      <c r="F13" s="799"/>
      <c r="G13" s="799"/>
      <c r="H13" s="799"/>
      <c r="I13" s="799"/>
      <c r="J13" s="799"/>
      <c r="K13" s="799"/>
      <c r="L13" s="799"/>
      <c r="M13" s="799"/>
      <c r="N13" s="799"/>
      <c r="O13" s="799"/>
      <c r="P13" s="799"/>
      <c r="Q13" s="808"/>
    </row>
    <row r="14" spans="2:24" ht="60.95" customHeight="1" thickBot="1" x14ac:dyDescent="0.3">
      <c r="B14" s="761" t="s">
        <v>122</v>
      </c>
      <c r="C14" s="761"/>
      <c r="D14" s="762" t="s">
        <v>123</v>
      </c>
      <c r="E14" s="762"/>
      <c r="F14" s="762"/>
      <c r="G14" s="762"/>
      <c r="H14" s="763"/>
      <c r="I14" s="763"/>
      <c r="J14" s="763"/>
      <c r="K14" s="763"/>
      <c r="L14" s="763"/>
      <c r="M14" s="763"/>
      <c r="N14" s="763"/>
      <c r="O14" s="763"/>
      <c r="P14" s="763"/>
      <c r="Q14" s="764"/>
    </row>
    <row r="15" spans="2:24" ht="60" customHeight="1" thickBot="1" x14ac:dyDescent="0.3">
      <c r="B15" s="761" t="s">
        <v>128</v>
      </c>
      <c r="C15" s="761"/>
      <c r="D15" s="798" t="s">
        <v>129</v>
      </c>
      <c r="E15" s="799"/>
      <c r="F15" s="799"/>
      <c r="G15" s="799"/>
      <c r="H15" s="799"/>
      <c r="I15" s="799"/>
      <c r="J15" s="799"/>
      <c r="K15" s="799"/>
      <c r="L15" s="799"/>
      <c r="M15" s="799"/>
      <c r="N15" s="799"/>
      <c r="O15" s="799"/>
      <c r="P15" s="799"/>
      <c r="Q15" s="762"/>
    </row>
    <row r="17" spans="2:24" x14ac:dyDescent="0.25">
      <c r="B17" s="765" t="s">
        <v>1814</v>
      </c>
      <c r="C17" s="765"/>
      <c r="D17" s="765"/>
      <c r="E17" s="765"/>
      <c r="F17" s="765"/>
      <c r="G17" s="765"/>
      <c r="H17" s="765"/>
      <c r="I17" s="765"/>
      <c r="J17" s="765"/>
      <c r="K17" s="765"/>
      <c r="L17" s="765"/>
      <c r="M17" s="765"/>
      <c r="N17" s="765"/>
      <c r="O17" s="765"/>
      <c r="P17" s="765"/>
      <c r="Q17" s="765"/>
      <c r="R17" s="765"/>
      <c r="S17" s="765"/>
      <c r="T17" s="765"/>
      <c r="U17" s="765"/>
      <c r="V17" s="765"/>
      <c r="W17" s="765"/>
      <c r="X17" s="765"/>
    </row>
    <row r="18" spans="2:24" x14ac:dyDescent="0.25">
      <c r="B18" t="s">
        <v>130</v>
      </c>
    </row>
    <row r="20" spans="2:24" x14ac:dyDescent="0.25">
      <c r="B20" s="81" t="s">
        <v>135</v>
      </c>
    </row>
    <row r="21" spans="2:24" x14ac:dyDescent="0.25">
      <c r="B21" s="766"/>
      <c r="C21" s="766"/>
      <c r="D21" s="766"/>
      <c r="E21" s="766"/>
      <c r="F21" s="766"/>
      <c r="G21" s="766"/>
      <c r="H21" s="766"/>
      <c r="I21" s="766"/>
      <c r="J21" s="766"/>
      <c r="K21" s="766"/>
      <c r="L21" s="766"/>
      <c r="M21" s="766"/>
      <c r="N21" s="766"/>
      <c r="O21" s="766"/>
      <c r="P21" s="766"/>
      <c r="Q21" s="766"/>
      <c r="R21" s="766"/>
      <c r="S21" s="766"/>
      <c r="T21" s="766"/>
      <c r="U21" s="766"/>
      <c r="V21" s="766"/>
    </row>
    <row r="22" spans="2:24" x14ac:dyDescent="0.25">
      <c r="B22" s="766"/>
      <c r="C22" s="766"/>
      <c r="D22" s="766"/>
      <c r="E22" s="766"/>
      <c r="F22" s="766"/>
      <c r="G22" s="766"/>
      <c r="H22" s="766"/>
      <c r="I22" s="766"/>
      <c r="J22" s="766"/>
      <c r="K22" s="766"/>
      <c r="L22" s="766"/>
      <c r="M22" s="766"/>
      <c r="N22" s="766"/>
      <c r="O22" s="766"/>
      <c r="P22" s="766"/>
      <c r="Q22" s="766"/>
      <c r="R22" s="766"/>
      <c r="S22" s="766"/>
      <c r="T22" s="766"/>
      <c r="U22" s="766"/>
      <c r="V22" s="766"/>
    </row>
    <row r="24" spans="2:24" ht="15" customHeight="1" x14ac:dyDescent="0.25">
      <c r="B24" s="81" t="s">
        <v>136</v>
      </c>
    </row>
    <row r="25" spans="2:24" x14ac:dyDescent="0.25">
      <c r="B25" s="766"/>
      <c r="C25" s="766"/>
      <c r="D25" s="766"/>
      <c r="E25" s="766"/>
      <c r="F25" s="766"/>
      <c r="G25" s="766"/>
      <c r="H25" s="766"/>
      <c r="I25" s="766"/>
      <c r="J25" s="766"/>
      <c r="K25" s="766"/>
      <c r="L25" s="766"/>
      <c r="M25" s="766"/>
      <c r="N25" s="766"/>
      <c r="O25" s="766"/>
      <c r="P25" s="766"/>
      <c r="Q25" s="766"/>
      <c r="R25" s="766"/>
      <c r="S25" s="766"/>
      <c r="T25" s="766"/>
      <c r="U25" s="766"/>
      <c r="V25" s="766"/>
    </row>
    <row r="26" spans="2:24" x14ac:dyDescent="0.25">
      <c r="B26" s="766"/>
      <c r="C26" s="766"/>
      <c r="D26" s="766"/>
      <c r="E26" s="766"/>
      <c r="F26" s="766"/>
      <c r="G26" s="766"/>
      <c r="H26" s="766"/>
      <c r="I26" s="766"/>
      <c r="J26" s="766"/>
      <c r="K26" s="766"/>
      <c r="L26" s="766"/>
      <c r="M26" s="766"/>
      <c r="N26" s="766"/>
      <c r="O26" s="766"/>
      <c r="P26" s="766"/>
      <c r="Q26" s="766"/>
      <c r="R26" s="766"/>
      <c r="S26" s="766"/>
      <c r="T26" s="766"/>
      <c r="U26" s="766"/>
      <c r="V26" s="766"/>
    </row>
    <row r="27" spans="2:24" ht="15.75" thickBot="1" x14ac:dyDescent="0.3"/>
    <row r="28" spans="2:24" s="94" customFormat="1" ht="30.75" customHeight="1" x14ac:dyDescent="0.25">
      <c r="B28" s="757" t="s">
        <v>131</v>
      </c>
      <c r="C28" s="757" t="s">
        <v>531</v>
      </c>
      <c r="D28" s="757" t="s">
        <v>533</v>
      </c>
      <c r="E28" s="757" t="s">
        <v>532</v>
      </c>
      <c r="F28" s="757" t="s">
        <v>141</v>
      </c>
      <c r="G28" s="757" t="s">
        <v>528</v>
      </c>
      <c r="H28" s="778" t="s">
        <v>134</v>
      </c>
    </row>
    <row r="29" spans="2:24" s="94" customFormat="1" ht="15" customHeight="1" thickBot="1" x14ac:dyDescent="0.3">
      <c r="B29" s="758"/>
      <c r="C29" s="758"/>
      <c r="D29" s="758"/>
      <c r="E29" s="758"/>
      <c r="F29" s="758"/>
      <c r="G29" s="758"/>
      <c r="H29" s="779"/>
    </row>
    <row r="30" spans="2:24" ht="15.75" thickBot="1" x14ac:dyDescent="0.3">
      <c r="B30" s="83" t="s">
        <v>535</v>
      </c>
      <c r="C30" s="83" t="s">
        <v>1616</v>
      </c>
      <c r="D30" s="152">
        <f t="array" ref="D30">SUMPRODUCT(IF('A3.9.2.1'!B$30:B$270='A3.9.2'!B30,1,0),IF('A3.9.2.1'!C$30:C$270='A3.9.2'!C30,1,0),IF('A3.9.2.1'!F$30:F$270='A3.9.2'!F30,1,0),IF('A3.9.2.1'!G$30:G$270='A3.9.2'!G30,1,0),'A3.9.2.1'!D$30:D$270)</f>
        <v>482.64245987605273</v>
      </c>
      <c r="E30" s="139">
        <f t="array" ref="E30">SUMPRODUCT(IF('A3.9.2.1'!B$30:B$270='A3.9.2'!B30,1,0),IF('A3.9.2.1'!C$30:C$270='A3.9.2'!C30,1,0),IF('A3.9.2.1'!F$30:F$270='A3.9.2'!F30,1,0),IF('A3.9.2.1'!G$30:G$270='A3.9.2'!G30,1,0),'A3.9.2.1'!E$30:E$270)</f>
        <v>482.64245987605273</v>
      </c>
      <c r="F30" s="85" t="s">
        <v>1618</v>
      </c>
      <c r="G30" s="91" t="s">
        <v>1619</v>
      </c>
      <c r="H30" s="91"/>
    </row>
    <row r="31" spans="2:24" ht="15.75" thickBot="1" x14ac:dyDescent="0.3">
      <c r="B31" s="83" t="s">
        <v>534</v>
      </c>
      <c r="C31" s="83" t="s">
        <v>1616</v>
      </c>
      <c r="D31" s="152">
        <f>D34+D37+D38+D39+D40+D41</f>
        <v>0</v>
      </c>
      <c r="E31" s="152">
        <f>E34+E37+E38+E39+E40+E41</f>
        <v>0</v>
      </c>
      <c r="F31" s="85" t="s">
        <v>1618</v>
      </c>
      <c r="G31" s="91" t="s">
        <v>1619</v>
      </c>
      <c r="H31" s="91"/>
    </row>
    <row r="32" spans="2:24" ht="15.75" thickBot="1" x14ac:dyDescent="0.3">
      <c r="B32" s="83" t="s">
        <v>534</v>
      </c>
      <c r="C32" s="83" t="s">
        <v>1616</v>
      </c>
      <c r="D32" s="152">
        <f>D36</f>
        <v>0</v>
      </c>
      <c r="E32" s="139">
        <f>D36:E36</f>
        <v>0</v>
      </c>
      <c r="F32" s="85" t="s">
        <v>1618</v>
      </c>
      <c r="G32" s="91" t="s">
        <v>1620</v>
      </c>
      <c r="H32" s="91"/>
    </row>
    <row r="33" spans="2:8" ht="15.75" thickBot="1" x14ac:dyDescent="0.3">
      <c r="B33" s="83" t="s">
        <v>534</v>
      </c>
      <c r="C33" s="83" t="s">
        <v>1617</v>
      </c>
      <c r="D33" s="152">
        <f>D35</f>
        <v>0</v>
      </c>
      <c r="E33" s="139">
        <f>E35</f>
        <v>0</v>
      </c>
      <c r="F33" s="85" t="s">
        <v>1618</v>
      </c>
      <c r="G33" s="91" t="s">
        <v>1619</v>
      </c>
      <c r="H33" s="91"/>
    </row>
    <row r="34" spans="2:8" ht="15.75" thickBot="1" x14ac:dyDescent="0.3">
      <c r="B34" s="83" t="s">
        <v>543</v>
      </c>
      <c r="C34" s="83" t="s">
        <v>1616</v>
      </c>
      <c r="D34" s="152">
        <f t="array" ref="D34">SUMPRODUCT(IF('A3.9.2.1'!B$30:B$270='A3.9.2'!B34,1,0),IF('A3.9.2.1'!C$30:C$270='A3.9.2'!C34,1,0),IF('A3.9.2.1'!F$30:F$270='A3.9.2'!F34,1,0),IF('A3.9.2.1'!G$30:G$270='A3.9.2'!G34,1,0),'A3.9.2.1'!D$30:D$270)</f>
        <v>0</v>
      </c>
      <c r="E34" s="139">
        <f t="array" ref="E34">SUMPRODUCT(IF('A3.9.2.1'!B$30:B$270='A3.9.2'!B34,1,0),IF('A3.9.2.1'!C$30:C$270='A3.9.2'!C34,1,0),IF('A3.9.2.1'!F$30:F$270='A3.9.2'!F34,1,0),IF('A3.9.2.1'!G$30:G$270='A3.9.2'!G34,1,0),'A3.9.2.1'!E$30:E$270)</f>
        <v>0</v>
      </c>
      <c r="F34" s="85" t="s">
        <v>1618</v>
      </c>
      <c r="G34" s="91" t="s">
        <v>1619</v>
      </c>
      <c r="H34" s="91"/>
    </row>
    <row r="35" spans="2:8" ht="15.75" thickBot="1" x14ac:dyDescent="0.3">
      <c r="B35" s="83" t="s">
        <v>543</v>
      </c>
      <c r="C35" s="83" t="s">
        <v>1617</v>
      </c>
      <c r="D35" s="152">
        <f t="array" ref="D35">SUMPRODUCT(IF('A3.9.2.1'!B$30:B$270='A3.9.2'!B35,1,0),IF('A3.9.2.1'!C$30:C$270='A3.9.2'!C35,1,0),IF('A3.9.2.1'!F$30:F$270='A3.9.2'!F35,1,0),IF('A3.9.2.1'!G$30:G$270='A3.9.2'!G35,1,0),'A3.9.2.1'!D$30:D$270)</f>
        <v>0</v>
      </c>
      <c r="E35" s="139">
        <f t="array" ref="E35">SUMPRODUCT(IF('A3.9.2.1'!B$30:B$270='A3.9.2'!B35,1,0),IF('A3.9.2.1'!C$30:C$270='A3.9.2'!C35,1,0),IF('A3.9.2.1'!F$30:F$270='A3.9.2'!F35,1,0),IF('A3.9.2.1'!G$30:G$270='A3.9.2'!G35,1,0),'A3.9.2.1'!E$30:E$270)</f>
        <v>0</v>
      </c>
      <c r="F35" s="85" t="s">
        <v>1618</v>
      </c>
      <c r="G35" s="91" t="s">
        <v>1619</v>
      </c>
      <c r="H35" s="91"/>
    </row>
    <row r="36" spans="2:8" ht="15.75" thickBot="1" x14ac:dyDescent="0.3">
      <c r="B36" s="83" t="s">
        <v>542</v>
      </c>
      <c r="C36" s="83" t="s">
        <v>1616</v>
      </c>
      <c r="D36" s="152">
        <f t="array" ref="D36">SUMPRODUCT(IF('A3.9.2.1'!B$30:B$270='A3.9.2'!B36,1,0),IF('A3.9.2.1'!C$30:C$270='A3.9.2'!C36,1,0),IF('A3.9.2.1'!F$30:F$270='A3.9.2'!F36,1,0),IF('A3.9.2.1'!G$30:G$270='A3.9.2'!G36,1,0),'A3.9.2.1'!D$30:D$270)</f>
        <v>0</v>
      </c>
      <c r="E36" s="139">
        <f t="array" ref="E36">SUMPRODUCT(IF('A3.9.2.1'!B$30:B$270='A3.9.2'!B36,1,0),IF('A3.9.2.1'!C$30:C$270='A3.9.2'!C36,1,0),IF('A3.9.2.1'!F$30:F$270='A3.9.2'!F36,1,0),IF('A3.9.2.1'!G$30:G$270='A3.9.2'!G36,1,0),'A3.9.2.1'!E$30:E$270)</f>
        <v>0</v>
      </c>
      <c r="F36" s="85" t="s">
        <v>1618</v>
      </c>
      <c r="G36" s="91" t="s">
        <v>1620</v>
      </c>
      <c r="H36" s="91"/>
    </row>
    <row r="37" spans="2:8" ht="15.75" thickBot="1" x14ac:dyDescent="0.3">
      <c r="B37" s="83" t="s">
        <v>544</v>
      </c>
      <c r="C37" s="83" t="s">
        <v>1616</v>
      </c>
      <c r="D37" s="152">
        <f t="array" ref="D37">SUMPRODUCT(IF('A3.9.2.1'!B$30:B$270='A3.9.2'!B37,1,0),IF('A3.9.2.1'!C$30:C$270='A3.9.2'!C37,1,0),IF('A3.9.2.1'!F$30:F$270='A3.9.2'!F37,1,0),IF('A3.9.2.1'!G$30:G$270='A3.9.2'!G37,1,0),'A3.9.2.1'!D$30:D$270)</f>
        <v>0</v>
      </c>
      <c r="E37" s="139">
        <f t="array" ref="E37">SUMPRODUCT(IF('A3.9.2.1'!B$30:B$270='A3.9.2'!B37,1,0),IF('A3.9.2.1'!C$30:C$270='A3.9.2'!C37,1,0),IF('A3.9.2.1'!F$30:F$270='A3.9.2'!F37,1,0),IF('A3.9.2.1'!G$30:G$270='A3.9.2'!G37,1,0),'A3.9.2.1'!E$30:E$270)</f>
        <v>0</v>
      </c>
      <c r="F37" s="85" t="s">
        <v>1618</v>
      </c>
      <c r="G37" s="91" t="s">
        <v>1619</v>
      </c>
      <c r="H37" s="91"/>
    </row>
    <row r="38" spans="2:8" ht="15.75" thickBot="1" x14ac:dyDescent="0.3">
      <c r="B38" s="83" t="s">
        <v>541</v>
      </c>
      <c r="C38" s="83" t="s">
        <v>1616</v>
      </c>
      <c r="D38" s="152">
        <f t="array" ref="D38">SUMPRODUCT(IF('A3.9.2.1'!B$30:B$270='A3.9.2'!B38,1,0),IF('A3.9.2.1'!C$30:C$270='A3.9.2'!C38,1,0),IF('A3.9.2.1'!F$30:F$270='A3.9.2'!F38,1,0),IF('A3.9.2.1'!G$30:G$270='A3.9.2'!G38,1,0),'A3.9.2.1'!D$30:D$270)</f>
        <v>0</v>
      </c>
      <c r="E38" s="139">
        <f t="array" ref="E38">SUMPRODUCT(IF('A3.9.2.1'!B$30:B$270='A3.9.2'!B38,1,0),IF('A3.9.2.1'!C$30:C$270='A3.9.2'!C38,1,0),IF('A3.9.2.1'!F$30:F$270='A3.9.2'!F38,1,0),IF('A3.9.2.1'!G$30:G$270='A3.9.2'!G38,1,0),'A3.9.2.1'!E$30:E$270)</f>
        <v>0</v>
      </c>
      <c r="F38" s="85" t="s">
        <v>1618</v>
      </c>
      <c r="G38" s="91" t="s">
        <v>1619</v>
      </c>
      <c r="H38" s="91"/>
    </row>
    <row r="39" spans="2:8" ht="15.75" thickBot="1" x14ac:dyDescent="0.3">
      <c r="B39" s="83" t="s">
        <v>1613</v>
      </c>
      <c r="C39" s="83" t="s">
        <v>1616</v>
      </c>
      <c r="D39" s="152">
        <f t="array" ref="D39">SUMPRODUCT(IF('A3.9.2.1'!B$30:B$270='A3.9.2'!B39,1,0),IF('A3.9.2.1'!C$30:C$270='A3.9.2'!C39,1,0),IF('A3.9.2.1'!F$30:F$270='A3.9.2'!F39,1,0),IF('A3.9.2.1'!G$30:G$270='A3.9.2'!G39,1,0),'A3.9.2.1'!D$30:D$270)</f>
        <v>0</v>
      </c>
      <c r="E39" s="139">
        <f t="array" ref="E39">SUMPRODUCT(IF('A3.9.2.1'!B$30:B$270='A3.9.2'!B39,1,0),IF('A3.9.2.1'!C$30:C$270='A3.9.2'!C39,1,0),IF('A3.9.2.1'!F$30:F$270='A3.9.2'!F39,1,0),IF('A3.9.2.1'!G$30:G$270='A3.9.2'!G39,1,0),'A3.9.2.1'!E$30:E$270)</f>
        <v>0</v>
      </c>
      <c r="F39" s="85" t="s">
        <v>1618</v>
      </c>
      <c r="G39" s="91" t="s">
        <v>1619</v>
      </c>
      <c r="H39" s="91"/>
    </row>
    <row r="40" spans="2:8" ht="15.75" thickBot="1" x14ac:dyDescent="0.3">
      <c r="B40" s="83" t="s">
        <v>1614</v>
      </c>
      <c r="C40" s="83" t="s">
        <v>1616</v>
      </c>
      <c r="D40" s="152">
        <f t="array" ref="D40">SUMPRODUCT(IF('A3.9.2.1'!B$30:B$270='A3.9.2'!B40,1,0),IF('A3.9.2.1'!C$30:C$270='A3.9.2'!C40,1,0),IF('A3.9.2.1'!F$30:F$270='A3.9.2'!F40,1,0),IF('A3.9.2.1'!G$30:G$270='A3.9.2'!G40,1,0),'A3.9.2.1'!D$30:D$270)</f>
        <v>0</v>
      </c>
      <c r="E40" s="139">
        <f t="array" ref="E40">SUMPRODUCT(IF('A3.9.2.1'!B$30:B$270='A3.9.2'!B40,1,0),IF('A3.9.2.1'!C$30:C$270='A3.9.2'!C40,1,0),IF('A3.9.2.1'!F$30:F$270='A3.9.2'!F40,1,0),IF('A3.9.2.1'!G$30:G$270='A3.9.2'!G40,1,0),'A3.9.2.1'!E$30:E$270)</f>
        <v>0</v>
      </c>
      <c r="F40" s="85" t="s">
        <v>1618</v>
      </c>
      <c r="G40" s="91" t="s">
        <v>1619</v>
      </c>
      <c r="H40" s="91" t="s">
        <v>1634</v>
      </c>
    </row>
    <row r="41" spans="2:8" ht="15.75" thickBot="1" x14ac:dyDescent="0.3">
      <c r="B41" s="83" t="s">
        <v>1615</v>
      </c>
      <c r="C41" s="83" t="s">
        <v>1616</v>
      </c>
      <c r="D41" s="152">
        <f t="array" ref="D41">SUMPRODUCT(IF('A3.9.2.1'!B$30:B$270='A3.9.2'!B41,1,0),IF('A3.9.2.1'!C$30:C$270='A3.9.2'!C41,1,0),IF('A3.9.2.1'!F$30:F$270='A3.9.2'!F41,1,0),IF('A3.9.2.1'!G$30:G$270='A3.9.2'!G41,1,0),'A3.9.2.1'!D$30:D$270)</f>
        <v>0</v>
      </c>
      <c r="E41" s="139">
        <f t="array" ref="E41">SUMPRODUCT(IF('A3.9.2.1'!B$30:B$270='A3.9.2'!B41,1,0),IF('A3.9.2.1'!C$30:C$270='A3.9.2'!C41,1,0),IF('A3.9.2.1'!F$30:F$270='A3.9.2'!F41,1,0),IF('A3.9.2.1'!G$30:G$270='A3.9.2'!G41,1,0),'A3.9.2.1'!E$30:E$270)</f>
        <v>0</v>
      </c>
      <c r="F41" s="85" t="s">
        <v>1618</v>
      </c>
      <c r="G41" s="91" t="s">
        <v>1619</v>
      </c>
      <c r="H41" s="91" t="s">
        <v>1633</v>
      </c>
    </row>
    <row r="42" spans="2:8" ht="15.75" thickBot="1" x14ac:dyDescent="0.3">
      <c r="B42" s="83" t="s">
        <v>1635</v>
      </c>
      <c r="C42" s="83" t="s">
        <v>1616</v>
      </c>
      <c r="D42" s="152">
        <f>D34+D40*0.2</f>
        <v>0</v>
      </c>
      <c r="E42" s="139">
        <f t="array" ref="E42">SUMPRODUCT(IF('A3.9.2.1'!B$30:B$270='A3.9.2'!B42,1,0),IF('A3.9.2.1'!C$30:C$270='A3.9.2'!C42,1,0),IF('A3.9.2.1'!F$30:F$270='A3.9.2'!F42,1,0),IF('A3.9.2.1'!G$30:G$270='A3.9.2'!G42,1,0),'A3.9.2.1'!E$30:E$270)</f>
        <v>0</v>
      </c>
      <c r="F42" s="85" t="s">
        <v>1618</v>
      </c>
      <c r="G42" s="91" t="s">
        <v>1619</v>
      </c>
      <c r="H42" s="91"/>
    </row>
    <row r="43" spans="2:8" ht="15.75" thickBot="1" x14ac:dyDescent="0.3">
      <c r="B43" s="83" t="s">
        <v>1636</v>
      </c>
      <c r="C43" s="83" t="s">
        <v>1616</v>
      </c>
      <c r="D43" s="152">
        <f>D40+D37+0.4*D41</f>
        <v>0</v>
      </c>
      <c r="E43" s="152">
        <f>E40+E37+0.4*E41</f>
        <v>0</v>
      </c>
      <c r="F43" s="85" t="s">
        <v>1618</v>
      </c>
      <c r="G43" s="91" t="s">
        <v>1619</v>
      </c>
      <c r="H43" s="91"/>
    </row>
    <row r="44" spans="2:8" ht="15.75" thickBot="1" x14ac:dyDescent="0.3">
      <c r="B44" s="83" t="s">
        <v>540</v>
      </c>
      <c r="C44" s="83" t="s">
        <v>1616</v>
      </c>
      <c r="D44" s="152">
        <f>0.15*D39</f>
        <v>0</v>
      </c>
      <c r="E44" s="152">
        <f>0.15*E39</f>
        <v>0</v>
      </c>
      <c r="F44" s="85" t="s">
        <v>1618</v>
      </c>
      <c r="G44" s="91" t="s">
        <v>1619</v>
      </c>
      <c r="H44" s="91"/>
    </row>
    <row r="45" spans="2:8" ht="15.75" thickBot="1" x14ac:dyDescent="0.3">
      <c r="B45" s="83" t="s">
        <v>545</v>
      </c>
      <c r="C45" s="83" t="s">
        <v>1616</v>
      </c>
      <c r="D45" s="152">
        <f>0.85*D39</f>
        <v>0</v>
      </c>
      <c r="E45" s="152">
        <f>0.85*E39</f>
        <v>0</v>
      </c>
      <c r="F45" s="85" t="s">
        <v>1618</v>
      </c>
      <c r="G45" s="91" t="s">
        <v>1619</v>
      </c>
      <c r="H45" s="91"/>
    </row>
    <row r="46" spans="2:8" ht="15.75" thickBot="1" x14ac:dyDescent="0.3">
      <c r="B46" s="83" t="s">
        <v>542</v>
      </c>
      <c r="C46" s="83" t="s">
        <v>1616</v>
      </c>
      <c r="D46" s="152">
        <f>D36</f>
        <v>0</v>
      </c>
      <c r="E46" s="152">
        <f>E36</f>
        <v>0</v>
      </c>
      <c r="F46" s="85" t="s">
        <v>1618</v>
      </c>
      <c r="G46" s="91" t="s">
        <v>1620</v>
      </c>
      <c r="H46" s="91"/>
    </row>
    <row r="47" spans="2:8" ht="15.75" thickBot="1" x14ac:dyDescent="0.3">
      <c r="B47" s="83" t="s">
        <v>542</v>
      </c>
      <c r="C47" s="83" t="s">
        <v>1616</v>
      </c>
      <c r="D47" s="152">
        <f>D40*0.4</f>
        <v>0</v>
      </c>
      <c r="E47" s="152">
        <f>E40*0.4</f>
        <v>0</v>
      </c>
      <c r="F47" s="85" t="s">
        <v>1618</v>
      </c>
      <c r="G47" s="91" t="s">
        <v>1619</v>
      </c>
      <c r="H47" s="91"/>
    </row>
    <row r="48" spans="2:8" ht="15.75" thickBot="1" x14ac:dyDescent="0.3">
      <c r="B48" s="82" t="s">
        <v>601</v>
      </c>
      <c r="C48" s="83" t="s">
        <v>1616</v>
      </c>
      <c r="D48" s="152">
        <v>344.5138879456706</v>
      </c>
      <c r="E48" s="152">
        <v>344.5138879456706</v>
      </c>
      <c r="F48" s="85" t="s">
        <v>1618</v>
      </c>
      <c r="G48" s="91" t="s">
        <v>1619</v>
      </c>
      <c r="H48" s="201" t="s">
        <v>1841</v>
      </c>
    </row>
    <row r="49" spans="2:8" ht="15.75" thickBot="1" x14ac:dyDescent="0.3">
      <c r="B49" s="82" t="s">
        <v>537</v>
      </c>
      <c r="C49" s="83" t="s">
        <v>1616</v>
      </c>
      <c r="D49" s="152">
        <v>229.67592529711374</v>
      </c>
      <c r="E49" s="152">
        <v>229.67592529711374</v>
      </c>
      <c r="F49" s="85" t="s">
        <v>1618</v>
      </c>
      <c r="G49" s="91" t="s">
        <v>1619</v>
      </c>
      <c r="H49" s="91" t="s">
        <v>1841</v>
      </c>
    </row>
  </sheetData>
  <mergeCells count="21">
    <mergeCell ref="B25:V26"/>
    <mergeCell ref="B28:B29"/>
    <mergeCell ref="C28:C29"/>
    <mergeCell ref="D28:D29"/>
    <mergeCell ref="E28:E29"/>
    <mergeCell ref="F28:F29"/>
    <mergeCell ref="G28:G29"/>
    <mergeCell ref="H28:H29"/>
    <mergeCell ref="B21:V22"/>
    <mergeCell ref="B9:X9"/>
    <mergeCell ref="B11:C11"/>
    <mergeCell ref="D11:Q11"/>
    <mergeCell ref="B12:C12"/>
    <mergeCell ref="D12:Q12"/>
    <mergeCell ref="B13:C13"/>
    <mergeCell ref="D13:Q13"/>
    <mergeCell ref="B14:C14"/>
    <mergeCell ref="D14:Q14"/>
    <mergeCell ref="B15:C15"/>
    <mergeCell ref="D15:Q15"/>
    <mergeCell ref="B17:X17"/>
  </mergeCells>
  <dataValidations count="3">
    <dataValidation type="list" allowBlank="1" showInputMessage="1" showErrorMessage="1" sqref="G30:G49">
      <formula1>"ETAR Rede Pública, ETAR Industrial Propietária"</formula1>
    </dataValidation>
    <dataValidation type="list" allowBlank="1" showInputMessage="1" showErrorMessage="1" sqref="F30:F49">
      <formula1>"m3 (metros cúbicos), l (litros), ton (toneladas)"</formula1>
    </dataValidation>
    <dataValidation type="list" allowBlank="1" showInputMessage="1" showErrorMessage="1" sqref="C30:C49">
      <mc:AlternateContent xmlns:x12ac="http://schemas.microsoft.com/office/spreadsheetml/2011/1/ac" xmlns:mc="http://schemas.openxmlformats.org/markup-compatibility/2006">
        <mc:Choice Requires="x12ac">
          <x12ac:list>Rede Pública," Captação (Furo, Poço, etc.)", Águas Pluviais</x12ac:list>
        </mc:Choice>
        <mc:Fallback>
          <formula1>"Rede Pública, Captação (Furo, Poço, etc.), Águas Pluviais"</formula1>
        </mc:Fallback>
      </mc:AlternateContent>
    </dataValidation>
  </dataValidations>
  <pageMargins left="0.7" right="0.7" top="0.75" bottom="0.75" header="0.3" footer="0.3"/>
  <customProperties>
    <customPr name="GUID" r:id="rId1"/>
  </customProperties>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03"/>
  <sheetViews>
    <sheetView workbookViewId="0"/>
  </sheetViews>
  <sheetFormatPr defaultRowHeight="15" x14ac:dyDescent="0.25"/>
  <cols>
    <col min="1" max="1" width="84.7109375" style="520" customWidth="1"/>
    <col min="2" max="2" width="165.28515625" style="521" bestFit="1" customWidth="1"/>
    <col min="3" max="3" width="16" style="476" customWidth="1"/>
    <col min="4" max="16384" width="9.140625" style="422"/>
  </cols>
  <sheetData>
    <row r="1" spans="1:3" ht="15" customHeight="1" x14ac:dyDescent="0.25">
      <c r="A1" s="495" t="s">
        <v>465</v>
      </c>
      <c r="B1" s="496" t="s">
        <v>466</v>
      </c>
      <c r="C1" s="497" t="s">
        <v>1530</v>
      </c>
    </row>
    <row r="2" spans="1:3" x14ac:dyDescent="0.25">
      <c r="A2" s="498">
        <v>20101</v>
      </c>
      <c r="B2" s="499" t="s">
        <v>6267</v>
      </c>
      <c r="C2" s="500" t="s">
        <v>42</v>
      </c>
    </row>
    <row r="3" spans="1:3" x14ac:dyDescent="0.25">
      <c r="A3" s="498">
        <v>60102</v>
      </c>
      <c r="B3" s="499" t="s">
        <v>6332</v>
      </c>
      <c r="C3" s="500" t="s">
        <v>34</v>
      </c>
    </row>
    <row r="4" spans="1:3" x14ac:dyDescent="0.25">
      <c r="A4" s="498">
        <v>60204</v>
      </c>
      <c r="B4" s="499" t="s">
        <v>6333</v>
      </c>
      <c r="C4" s="500" t="s">
        <v>34</v>
      </c>
    </row>
    <row r="5" spans="1:3" x14ac:dyDescent="0.25">
      <c r="A5" s="498">
        <v>70299</v>
      </c>
      <c r="B5" s="499" t="s">
        <v>6334</v>
      </c>
      <c r="C5" s="500" t="s">
        <v>42</v>
      </c>
    </row>
    <row r="6" spans="1:3" x14ac:dyDescent="0.25">
      <c r="A6" s="498">
        <v>80111</v>
      </c>
      <c r="B6" s="499" t="s">
        <v>6268</v>
      </c>
      <c r="C6" s="501" t="s">
        <v>34</v>
      </c>
    </row>
    <row r="7" spans="1:3" x14ac:dyDescent="0.25">
      <c r="A7" s="498">
        <v>80117</v>
      </c>
      <c r="B7" s="499" t="s">
        <v>6268</v>
      </c>
      <c r="C7" s="500" t="s">
        <v>34</v>
      </c>
    </row>
    <row r="8" spans="1:3" x14ac:dyDescent="0.25">
      <c r="A8" s="498">
        <v>80119</v>
      </c>
      <c r="B8" s="499" t="s">
        <v>6335</v>
      </c>
      <c r="C8" s="500" t="s">
        <v>34</v>
      </c>
    </row>
    <row r="9" spans="1:3" x14ac:dyDescent="0.25">
      <c r="A9" s="498">
        <v>80317</v>
      </c>
      <c r="B9" s="499" t="s">
        <v>6271</v>
      </c>
      <c r="C9" s="500" t="s">
        <v>34</v>
      </c>
    </row>
    <row r="10" spans="1:3" x14ac:dyDescent="0.25">
      <c r="A10" s="498">
        <v>101112</v>
      </c>
      <c r="B10" s="499" t="s">
        <v>6336</v>
      </c>
      <c r="C10" s="500" t="s">
        <v>42</v>
      </c>
    </row>
    <row r="11" spans="1:3" x14ac:dyDescent="0.25">
      <c r="A11" s="498">
        <v>110105</v>
      </c>
      <c r="B11" s="499" t="s">
        <v>6261</v>
      </c>
      <c r="C11" s="500" t="s">
        <v>34</v>
      </c>
    </row>
    <row r="12" spans="1:3" x14ac:dyDescent="0.25">
      <c r="A12" s="498">
        <v>120101</v>
      </c>
      <c r="B12" s="499" t="s">
        <v>3856</v>
      </c>
      <c r="C12" s="500" t="s">
        <v>42</v>
      </c>
    </row>
    <row r="13" spans="1:3" x14ac:dyDescent="0.25">
      <c r="A13" s="498">
        <v>120105</v>
      </c>
      <c r="B13" s="499" t="s">
        <v>6259</v>
      </c>
      <c r="C13" s="500" t="s">
        <v>42</v>
      </c>
    </row>
    <row r="14" spans="1:3" x14ac:dyDescent="0.25">
      <c r="A14" s="498">
        <v>120113</v>
      </c>
      <c r="B14" s="502" t="s">
        <v>6337</v>
      </c>
      <c r="C14" s="501" t="s">
        <v>42</v>
      </c>
    </row>
    <row r="15" spans="1:3" x14ac:dyDescent="0.25">
      <c r="A15" s="498">
        <v>120121</v>
      </c>
      <c r="B15" s="502" t="s">
        <v>3599</v>
      </c>
      <c r="C15" s="501" t="s">
        <v>42</v>
      </c>
    </row>
    <row r="16" spans="1:3" x14ac:dyDescent="0.25">
      <c r="A16" s="498">
        <v>120301</v>
      </c>
      <c r="B16" s="499" t="s">
        <v>6338</v>
      </c>
      <c r="C16" s="500" t="s">
        <v>34</v>
      </c>
    </row>
    <row r="17" spans="1:3" x14ac:dyDescent="0.25">
      <c r="A17" s="503">
        <v>130208</v>
      </c>
      <c r="B17" s="499" t="s">
        <v>3828</v>
      </c>
      <c r="C17" s="500" t="s">
        <v>34</v>
      </c>
    </row>
    <row r="18" spans="1:3" x14ac:dyDescent="0.25">
      <c r="A18" s="503">
        <v>130502</v>
      </c>
      <c r="B18" s="499" t="s">
        <v>6339</v>
      </c>
      <c r="C18" s="500" t="s">
        <v>34</v>
      </c>
    </row>
    <row r="19" spans="1:3" x14ac:dyDescent="0.25">
      <c r="A19" s="503">
        <v>130507</v>
      </c>
      <c r="B19" s="502" t="s">
        <v>3857</v>
      </c>
      <c r="C19" s="501" t="s">
        <v>34</v>
      </c>
    </row>
    <row r="20" spans="1:3" x14ac:dyDescent="0.25">
      <c r="A20" s="498">
        <v>130508</v>
      </c>
      <c r="B20" s="499" t="s">
        <v>6269</v>
      </c>
      <c r="C20" s="500" t="s">
        <v>34</v>
      </c>
    </row>
    <row r="21" spans="1:3" x14ac:dyDescent="0.25">
      <c r="A21" s="498">
        <v>130701</v>
      </c>
      <c r="B21" s="504" t="s">
        <v>6340</v>
      </c>
      <c r="C21" s="500" t="s">
        <v>34</v>
      </c>
    </row>
    <row r="22" spans="1:3" x14ac:dyDescent="0.25">
      <c r="A22" s="498">
        <v>130899</v>
      </c>
      <c r="B22" s="504" t="s">
        <v>6341</v>
      </c>
      <c r="C22" s="500" t="s">
        <v>34</v>
      </c>
    </row>
    <row r="23" spans="1:3" x14ac:dyDescent="0.25">
      <c r="A23" s="498">
        <v>140601</v>
      </c>
      <c r="B23" s="502" t="s">
        <v>3595</v>
      </c>
      <c r="C23" s="501" t="s">
        <v>34</v>
      </c>
    </row>
    <row r="24" spans="1:3" x14ac:dyDescent="0.25">
      <c r="A24" s="503">
        <v>140603</v>
      </c>
      <c r="B24" s="502" t="s">
        <v>1591</v>
      </c>
      <c r="C24" s="501" t="s">
        <v>34</v>
      </c>
    </row>
    <row r="25" spans="1:3" x14ac:dyDescent="0.25">
      <c r="A25" s="498">
        <v>140605</v>
      </c>
      <c r="B25" s="499" t="s">
        <v>6265</v>
      </c>
      <c r="C25" s="500" t="s">
        <v>34</v>
      </c>
    </row>
    <row r="26" spans="1:3" x14ac:dyDescent="0.25">
      <c r="A26" s="503">
        <v>150100</v>
      </c>
      <c r="B26" s="502" t="s">
        <v>1542</v>
      </c>
      <c r="C26" s="501" t="s">
        <v>34</v>
      </c>
    </row>
    <row r="27" spans="1:3" x14ac:dyDescent="0.25">
      <c r="A27" s="503">
        <v>150101</v>
      </c>
      <c r="B27" s="499" t="s">
        <v>1537</v>
      </c>
      <c r="C27" s="500" t="s">
        <v>42</v>
      </c>
    </row>
    <row r="28" spans="1:3" x14ac:dyDescent="0.25">
      <c r="A28" s="498">
        <v>150102</v>
      </c>
      <c r="B28" s="499" t="s">
        <v>1575</v>
      </c>
      <c r="C28" s="500" t="s">
        <v>42</v>
      </c>
    </row>
    <row r="29" spans="1:3" x14ac:dyDescent="0.25">
      <c r="A29" s="503">
        <v>150103</v>
      </c>
      <c r="B29" s="499" t="s">
        <v>1605</v>
      </c>
      <c r="C29" s="500" t="s">
        <v>42</v>
      </c>
    </row>
    <row r="30" spans="1:3" x14ac:dyDescent="0.25">
      <c r="A30" s="498">
        <v>150104</v>
      </c>
      <c r="B30" s="499" t="s">
        <v>1607</v>
      </c>
      <c r="C30" s="500" t="s">
        <v>42</v>
      </c>
    </row>
    <row r="31" spans="1:3" x14ac:dyDescent="0.25">
      <c r="A31" s="498">
        <v>150106</v>
      </c>
      <c r="B31" s="499" t="s">
        <v>6260</v>
      </c>
      <c r="C31" s="500" t="s">
        <v>42</v>
      </c>
    </row>
    <row r="32" spans="1:3" x14ac:dyDescent="0.25">
      <c r="A32" s="498">
        <v>150107</v>
      </c>
      <c r="B32" s="499" t="s">
        <v>3597</v>
      </c>
      <c r="C32" s="500" t="s">
        <v>42</v>
      </c>
    </row>
    <row r="33" spans="1:3" x14ac:dyDescent="0.25">
      <c r="A33" s="503">
        <v>150110</v>
      </c>
      <c r="B33" s="502" t="s">
        <v>3858</v>
      </c>
      <c r="C33" s="501" t="s">
        <v>34</v>
      </c>
    </row>
    <row r="34" spans="1:3" x14ac:dyDescent="0.25">
      <c r="A34" s="498">
        <v>150111</v>
      </c>
      <c r="B34" s="502" t="s">
        <v>3829</v>
      </c>
      <c r="C34" s="501" t="s">
        <v>34</v>
      </c>
    </row>
    <row r="35" spans="1:3" x14ac:dyDescent="0.25">
      <c r="A35" s="498">
        <v>150202</v>
      </c>
      <c r="B35" s="502" t="s">
        <v>3830</v>
      </c>
      <c r="C35" s="501" t="s">
        <v>34</v>
      </c>
    </row>
    <row r="36" spans="1:3" x14ac:dyDescent="0.25">
      <c r="A36" s="503">
        <v>150203</v>
      </c>
      <c r="B36" s="499" t="s">
        <v>1550</v>
      </c>
      <c r="C36" s="501" t="s">
        <v>42</v>
      </c>
    </row>
    <row r="37" spans="1:3" x14ac:dyDescent="0.25">
      <c r="A37" s="505">
        <v>160103</v>
      </c>
      <c r="B37" s="506" t="s">
        <v>1582</v>
      </c>
      <c r="C37" s="507" t="s">
        <v>42</v>
      </c>
    </row>
    <row r="38" spans="1:3" x14ac:dyDescent="0.25">
      <c r="A38" s="505">
        <v>160104</v>
      </c>
      <c r="B38" s="506" t="s">
        <v>1584</v>
      </c>
      <c r="C38" s="507" t="s">
        <v>34</v>
      </c>
    </row>
    <row r="39" spans="1:3" x14ac:dyDescent="0.25">
      <c r="A39" s="508">
        <v>160106</v>
      </c>
      <c r="B39" s="509" t="s">
        <v>1592</v>
      </c>
      <c r="C39" s="510" t="s">
        <v>42</v>
      </c>
    </row>
    <row r="40" spans="1:3" x14ac:dyDescent="0.25">
      <c r="A40" s="503">
        <v>160107</v>
      </c>
      <c r="B40" s="511" t="s">
        <v>3831</v>
      </c>
      <c r="C40" s="500" t="s">
        <v>34</v>
      </c>
    </row>
    <row r="41" spans="1:3" x14ac:dyDescent="0.25">
      <c r="A41" s="503">
        <v>160112</v>
      </c>
      <c r="B41" s="502" t="s">
        <v>1552</v>
      </c>
      <c r="C41" s="500" t="s">
        <v>42</v>
      </c>
    </row>
    <row r="42" spans="1:3" x14ac:dyDescent="0.25">
      <c r="A42" s="498">
        <v>160114</v>
      </c>
      <c r="B42" s="511" t="s">
        <v>6342</v>
      </c>
      <c r="C42" s="500" t="s">
        <v>34</v>
      </c>
    </row>
    <row r="43" spans="1:3" x14ac:dyDescent="0.25">
      <c r="A43" s="503">
        <v>160117</v>
      </c>
      <c r="B43" s="499" t="s">
        <v>1557</v>
      </c>
      <c r="C43" s="500" t="s">
        <v>42</v>
      </c>
    </row>
    <row r="44" spans="1:3" x14ac:dyDescent="0.25">
      <c r="A44" s="503">
        <v>160118</v>
      </c>
      <c r="B44" s="475" t="s">
        <v>3233</v>
      </c>
      <c r="C44" s="501" t="s">
        <v>42</v>
      </c>
    </row>
    <row r="45" spans="1:3" x14ac:dyDescent="0.25">
      <c r="A45" s="512">
        <v>160119</v>
      </c>
      <c r="B45" s="513" t="s">
        <v>1560</v>
      </c>
      <c r="C45" s="514" t="s">
        <v>42</v>
      </c>
    </row>
    <row r="46" spans="1:3" x14ac:dyDescent="0.25">
      <c r="A46" s="512">
        <v>160120</v>
      </c>
      <c r="B46" s="513" t="s">
        <v>1561</v>
      </c>
      <c r="C46" s="514" t="s">
        <v>42</v>
      </c>
    </row>
    <row r="47" spans="1:3" x14ac:dyDescent="0.25">
      <c r="A47" s="515">
        <v>160121</v>
      </c>
      <c r="B47" s="516" t="s">
        <v>3832</v>
      </c>
      <c r="C47" s="517" t="s">
        <v>34</v>
      </c>
    </row>
    <row r="48" spans="1:3" x14ac:dyDescent="0.25">
      <c r="A48" s="512">
        <v>160122</v>
      </c>
      <c r="B48" s="513" t="s">
        <v>3833</v>
      </c>
      <c r="C48" s="514" t="s">
        <v>42</v>
      </c>
    </row>
    <row r="49" spans="1:3" x14ac:dyDescent="0.25">
      <c r="A49" s="512">
        <v>160199</v>
      </c>
      <c r="B49" s="513" t="s">
        <v>1562</v>
      </c>
      <c r="C49" s="514" t="s">
        <v>42</v>
      </c>
    </row>
    <row r="50" spans="1:3" x14ac:dyDescent="0.25">
      <c r="A50" s="515">
        <v>160211</v>
      </c>
      <c r="B50" s="518" t="s">
        <v>6343</v>
      </c>
      <c r="C50" s="514" t="s">
        <v>34</v>
      </c>
    </row>
    <row r="51" spans="1:3" x14ac:dyDescent="0.25">
      <c r="A51" s="515">
        <v>160213</v>
      </c>
      <c r="B51" s="516" t="s">
        <v>6344</v>
      </c>
      <c r="C51" s="517" t="s">
        <v>34</v>
      </c>
    </row>
    <row r="52" spans="1:3" x14ac:dyDescent="0.25">
      <c r="A52" s="512">
        <v>160214</v>
      </c>
      <c r="B52" s="513" t="s">
        <v>3596</v>
      </c>
      <c r="C52" s="514" t="s">
        <v>42</v>
      </c>
    </row>
    <row r="53" spans="1:3" x14ac:dyDescent="0.25">
      <c r="A53" s="503">
        <v>160216</v>
      </c>
      <c r="B53" s="499" t="s">
        <v>3169</v>
      </c>
      <c r="C53" s="500" t="s">
        <v>42</v>
      </c>
    </row>
    <row r="54" spans="1:3" x14ac:dyDescent="0.25">
      <c r="A54" s="498">
        <v>160303</v>
      </c>
      <c r="B54" s="511" t="s">
        <v>6345</v>
      </c>
      <c r="C54" s="500" t="s">
        <v>34</v>
      </c>
    </row>
    <row r="55" spans="1:3" x14ac:dyDescent="0.25">
      <c r="A55" s="498">
        <v>160306</v>
      </c>
      <c r="B55" s="499" t="s">
        <v>6346</v>
      </c>
      <c r="C55" s="500" t="s">
        <v>42</v>
      </c>
    </row>
    <row r="56" spans="1:3" x14ac:dyDescent="0.25">
      <c r="A56" s="503">
        <v>160504</v>
      </c>
      <c r="B56" s="502" t="s">
        <v>3230</v>
      </c>
      <c r="C56" s="501" t="s">
        <v>34</v>
      </c>
    </row>
    <row r="57" spans="1:3" x14ac:dyDescent="0.25">
      <c r="A57" s="498">
        <v>160505</v>
      </c>
      <c r="B57" s="499" t="s">
        <v>6262</v>
      </c>
      <c r="C57" s="500" t="s">
        <v>42</v>
      </c>
    </row>
    <row r="58" spans="1:3" x14ac:dyDescent="0.25">
      <c r="A58" s="503">
        <v>160601</v>
      </c>
      <c r="B58" s="499" t="s">
        <v>6347</v>
      </c>
      <c r="C58" s="500" t="s">
        <v>34</v>
      </c>
    </row>
    <row r="59" spans="1:3" x14ac:dyDescent="0.25">
      <c r="A59" s="515">
        <v>160602</v>
      </c>
      <c r="B59" s="513" t="s">
        <v>6348</v>
      </c>
      <c r="C59" s="514" t="s">
        <v>34</v>
      </c>
    </row>
    <row r="60" spans="1:3" x14ac:dyDescent="0.25">
      <c r="A60" s="515">
        <v>160708</v>
      </c>
      <c r="B60" s="513" t="s">
        <v>6349</v>
      </c>
      <c r="C60" s="514" t="s">
        <v>34</v>
      </c>
    </row>
    <row r="61" spans="1:3" x14ac:dyDescent="0.25">
      <c r="A61" s="512">
        <v>161002</v>
      </c>
      <c r="B61" s="516" t="s">
        <v>3218</v>
      </c>
      <c r="C61" s="517" t="s">
        <v>34</v>
      </c>
    </row>
    <row r="62" spans="1:3" x14ac:dyDescent="0.25">
      <c r="A62" s="515">
        <v>170101</v>
      </c>
      <c r="B62" s="513" t="s">
        <v>6350</v>
      </c>
      <c r="C62" s="514" t="s">
        <v>42</v>
      </c>
    </row>
    <row r="63" spans="1:3" x14ac:dyDescent="0.25">
      <c r="A63" s="512">
        <v>170107</v>
      </c>
      <c r="B63" s="516" t="s">
        <v>3231</v>
      </c>
      <c r="C63" s="517" t="s">
        <v>42</v>
      </c>
    </row>
    <row r="64" spans="1:3" x14ac:dyDescent="0.25">
      <c r="A64" s="512">
        <v>170201</v>
      </c>
      <c r="B64" s="516" t="s">
        <v>1905</v>
      </c>
      <c r="C64" s="517" t="s">
        <v>42</v>
      </c>
    </row>
    <row r="65" spans="1:3" x14ac:dyDescent="0.25">
      <c r="A65" s="503">
        <v>170302</v>
      </c>
      <c r="B65" s="502" t="s">
        <v>3234</v>
      </c>
      <c r="C65" s="500" t="s">
        <v>42</v>
      </c>
    </row>
    <row r="66" spans="1:3" x14ac:dyDescent="0.25">
      <c r="A66" s="498">
        <v>170405</v>
      </c>
      <c r="B66" s="499" t="s">
        <v>3598</v>
      </c>
      <c r="C66" s="500" t="s">
        <v>42</v>
      </c>
    </row>
    <row r="67" spans="1:3" x14ac:dyDescent="0.25">
      <c r="A67" s="519">
        <v>170407</v>
      </c>
      <c r="B67" s="506" t="s">
        <v>6351</v>
      </c>
      <c r="C67" s="507" t="s">
        <v>42</v>
      </c>
    </row>
    <row r="68" spans="1:3" x14ac:dyDescent="0.25">
      <c r="A68" s="519">
        <v>170411</v>
      </c>
      <c r="B68" s="506" t="s">
        <v>6352</v>
      </c>
      <c r="C68" s="507" t="s">
        <v>42</v>
      </c>
    </row>
    <row r="69" spans="1:3" x14ac:dyDescent="0.25">
      <c r="A69" s="519">
        <v>170503</v>
      </c>
      <c r="B69" s="506" t="s">
        <v>6353</v>
      </c>
      <c r="C69" s="507" t="s">
        <v>34</v>
      </c>
    </row>
    <row r="70" spans="1:3" x14ac:dyDescent="0.25">
      <c r="A70" s="498">
        <v>170504</v>
      </c>
      <c r="B70" s="499" t="s">
        <v>6354</v>
      </c>
      <c r="C70" s="500" t="s">
        <v>42</v>
      </c>
    </row>
    <row r="71" spans="1:3" x14ac:dyDescent="0.25">
      <c r="A71" s="519">
        <v>170802</v>
      </c>
      <c r="B71" s="506" t="s">
        <v>6355</v>
      </c>
      <c r="C71" s="507" t="s">
        <v>42</v>
      </c>
    </row>
    <row r="72" spans="1:3" x14ac:dyDescent="0.25">
      <c r="A72" s="519">
        <v>170904</v>
      </c>
      <c r="B72" s="506" t="s">
        <v>6263</v>
      </c>
      <c r="C72" s="507" t="s">
        <v>42</v>
      </c>
    </row>
    <row r="73" spans="1:3" x14ac:dyDescent="0.25">
      <c r="A73" s="505">
        <v>180101</v>
      </c>
      <c r="B73" s="509" t="s">
        <v>3223</v>
      </c>
      <c r="C73" s="510" t="s">
        <v>34</v>
      </c>
    </row>
    <row r="74" spans="1:3" x14ac:dyDescent="0.25">
      <c r="A74" s="505">
        <v>180103</v>
      </c>
      <c r="B74" s="509" t="s">
        <v>3224</v>
      </c>
      <c r="C74" s="510" t="s">
        <v>34</v>
      </c>
    </row>
    <row r="75" spans="1:3" x14ac:dyDescent="0.25">
      <c r="A75" s="519">
        <v>190801</v>
      </c>
      <c r="B75" s="506" t="s">
        <v>6270</v>
      </c>
      <c r="C75" s="507" t="s">
        <v>42</v>
      </c>
    </row>
    <row r="76" spans="1:3" x14ac:dyDescent="0.25">
      <c r="A76" s="519">
        <v>190805</v>
      </c>
      <c r="B76" s="506" t="s">
        <v>1577</v>
      </c>
      <c r="C76" s="507" t="s">
        <v>42</v>
      </c>
    </row>
    <row r="77" spans="1:3" x14ac:dyDescent="0.25">
      <c r="A77" s="505">
        <v>191202</v>
      </c>
      <c r="B77" s="509" t="s">
        <v>1557</v>
      </c>
      <c r="C77" s="510" t="s">
        <v>42</v>
      </c>
    </row>
    <row r="78" spans="1:3" x14ac:dyDescent="0.25">
      <c r="A78" s="505">
        <v>200101</v>
      </c>
      <c r="B78" s="506" t="s">
        <v>6266</v>
      </c>
      <c r="C78" s="507" t="s">
        <v>42</v>
      </c>
    </row>
    <row r="79" spans="1:3" x14ac:dyDescent="0.25">
      <c r="A79" s="519">
        <v>200102</v>
      </c>
      <c r="B79" s="506" t="s">
        <v>1561</v>
      </c>
      <c r="C79" s="507" t="s">
        <v>42</v>
      </c>
    </row>
    <row r="80" spans="1:3" x14ac:dyDescent="0.25">
      <c r="A80" s="498">
        <v>200110</v>
      </c>
      <c r="B80" s="499" t="s">
        <v>6356</v>
      </c>
      <c r="C80" s="500" t="s">
        <v>42</v>
      </c>
    </row>
    <row r="81" spans="1:3" x14ac:dyDescent="0.25">
      <c r="A81" s="498">
        <v>200111</v>
      </c>
      <c r="B81" s="499" t="s">
        <v>3834</v>
      </c>
      <c r="C81" s="500" t="s">
        <v>42</v>
      </c>
    </row>
    <row r="82" spans="1:3" x14ac:dyDescent="0.25">
      <c r="A82" s="519">
        <v>200121</v>
      </c>
      <c r="B82" s="509" t="s">
        <v>3835</v>
      </c>
      <c r="C82" s="510" t="s">
        <v>34</v>
      </c>
    </row>
    <row r="83" spans="1:3" x14ac:dyDescent="0.25">
      <c r="A83" s="498">
        <v>200125</v>
      </c>
      <c r="B83" s="499" t="s">
        <v>1565</v>
      </c>
      <c r="C83" s="500" t="s">
        <v>42</v>
      </c>
    </row>
    <row r="84" spans="1:3" x14ac:dyDescent="0.25">
      <c r="A84" s="505">
        <v>200127</v>
      </c>
      <c r="B84" s="509" t="s">
        <v>3228</v>
      </c>
      <c r="C84" s="510" t="s">
        <v>34</v>
      </c>
    </row>
    <row r="85" spans="1:3" x14ac:dyDescent="0.25">
      <c r="A85" s="519">
        <v>200133</v>
      </c>
      <c r="B85" s="506" t="s">
        <v>6357</v>
      </c>
      <c r="C85" s="507" t="s">
        <v>34</v>
      </c>
    </row>
    <row r="86" spans="1:3" x14ac:dyDescent="0.25">
      <c r="A86" s="519">
        <v>200134</v>
      </c>
      <c r="B86" s="506" t="s">
        <v>6358</v>
      </c>
      <c r="C86" s="507" t="s">
        <v>42</v>
      </c>
    </row>
    <row r="87" spans="1:3" x14ac:dyDescent="0.25">
      <c r="A87" s="519">
        <v>200135</v>
      </c>
      <c r="B87" s="506" t="s">
        <v>6359</v>
      </c>
      <c r="C87" s="507" t="s">
        <v>34</v>
      </c>
    </row>
    <row r="88" spans="1:3" x14ac:dyDescent="0.25">
      <c r="A88" s="505">
        <v>200136</v>
      </c>
      <c r="B88" s="506" t="s">
        <v>1568</v>
      </c>
      <c r="C88" s="507" t="s">
        <v>42</v>
      </c>
    </row>
    <row r="89" spans="1:3" x14ac:dyDescent="0.25">
      <c r="A89" s="519">
        <v>200138</v>
      </c>
      <c r="B89" s="509" t="s">
        <v>3836</v>
      </c>
      <c r="C89" s="510" t="s">
        <v>42</v>
      </c>
    </row>
    <row r="90" spans="1:3" x14ac:dyDescent="0.25">
      <c r="A90" s="505">
        <v>200139</v>
      </c>
      <c r="B90" s="509" t="s">
        <v>3229</v>
      </c>
      <c r="C90" s="510" t="s">
        <v>42</v>
      </c>
    </row>
    <row r="91" spans="1:3" x14ac:dyDescent="0.25">
      <c r="A91" s="505">
        <v>200140</v>
      </c>
      <c r="B91" s="509" t="s">
        <v>1658</v>
      </c>
      <c r="C91" s="510" t="s">
        <v>42</v>
      </c>
    </row>
    <row r="92" spans="1:3" x14ac:dyDescent="0.25">
      <c r="A92" s="519">
        <v>200199</v>
      </c>
      <c r="B92" s="509" t="s">
        <v>6360</v>
      </c>
      <c r="C92" s="510" t="s">
        <v>42</v>
      </c>
    </row>
    <row r="93" spans="1:3" x14ac:dyDescent="0.25">
      <c r="A93" s="519">
        <v>200201</v>
      </c>
      <c r="B93" s="506" t="s">
        <v>6264</v>
      </c>
      <c r="C93" s="507" t="s">
        <v>42</v>
      </c>
    </row>
    <row r="94" spans="1:3" x14ac:dyDescent="0.25">
      <c r="A94" s="505">
        <v>200202</v>
      </c>
      <c r="B94" s="509" t="s">
        <v>3235</v>
      </c>
      <c r="C94" s="510" t="s">
        <v>34</v>
      </c>
    </row>
    <row r="95" spans="1:3" x14ac:dyDescent="0.25">
      <c r="A95" s="503">
        <v>200301</v>
      </c>
      <c r="B95" s="502" t="s">
        <v>1610</v>
      </c>
      <c r="C95" s="501" t="s">
        <v>42</v>
      </c>
    </row>
    <row r="96" spans="1:3" x14ac:dyDescent="0.25">
      <c r="A96" s="498">
        <v>200303</v>
      </c>
      <c r="B96" s="499" t="s">
        <v>6361</v>
      </c>
      <c r="C96" s="500" t="s">
        <v>42</v>
      </c>
    </row>
    <row r="97" spans="1:3" x14ac:dyDescent="0.25">
      <c r="A97" s="503">
        <v>200306</v>
      </c>
      <c r="B97" s="502" t="s">
        <v>3232</v>
      </c>
      <c r="C97" s="501" t="s">
        <v>42</v>
      </c>
    </row>
    <row r="98" spans="1:3" x14ac:dyDescent="0.25">
      <c r="A98" s="503">
        <v>200307</v>
      </c>
      <c r="B98" s="499" t="s">
        <v>3170</v>
      </c>
      <c r="C98" s="500" t="s">
        <v>42</v>
      </c>
    </row>
    <row r="99" spans="1:3" x14ac:dyDescent="0.25">
      <c r="A99" s="503">
        <v>200307</v>
      </c>
      <c r="B99" s="502" t="s">
        <v>3237</v>
      </c>
      <c r="C99" s="500" t="s">
        <v>42</v>
      </c>
    </row>
    <row r="100" spans="1:3" x14ac:dyDescent="0.25">
      <c r="A100" s="503">
        <v>200399</v>
      </c>
      <c r="B100" s="502" t="s">
        <v>3238</v>
      </c>
      <c r="C100" s="500" t="s">
        <v>42</v>
      </c>
    </row>
    <row r="101" spans="1:3" x14ac:dyDescent="0.25">
      <c r="A101" s="503">
        <v>202121</v>
      </c>
      <c r="B101" s="502" t="s">
        <v>3225</v>
      </c>
      <c r="C101" s="501" t="s">
        <v>34</v>
      </c>
    </row>
    <row r="102" spans="1:3" x14ac:dyDescent="0.25">
      <c r="A102" s="511"/>
      <c r="B102" s="511"/>
      <c r="C102" s="511"/>
    </row>
    <row r="103" spans="1:3" x14ac:dyDescent="0.25">
      <c r="A103" s="422"/>
      <c r="B103" s="422"/>
      <c r="C103" s="422"/>
    </row>
    <row r="104" spans="1:3" x14ac:dyDescent="0.25">
      <c r="A104" s="422"/>
      <c r="B104" s="422"/>
      <c r="C104" s="422"/>
    </row>
    <row r="105" spans="1:3" x14ac:dyDescent="0.25">
      <c r="A105" s="422"/>
      <c r="B105" s="422"/>
      <c r="C105" s="422"/>
    </row>
    <row r="106" spans="1:3" x14ac:dyDescent="0.25">
      <c r="A106" s="422"/>
      <c r="B106" s="422"/>
      <c r="C106" s="422"/>
    </row>
    <row r="107" spans="1:3" x14ac:dyDescent="0.25">
      <c r="A107" s="422"/>
      <c r="B107" s="422"/>
      <c r="C107" s="422"/>
    </row>
    <row r="108" spans="1:3" x14ac:dyDescent="0.25">
      <c r="A108" s="422"/>
      <c r="B108" s="422"/>
      <c r="C108" s="422"/>
    </row>
    <row r="109" spans="1:3" x14ac:dyDescent="0.25">
      <c r="A109" s="422"/>
      <c r="B109" s="422"/>
      <c r="C109" s="422"/>
    </row>
    <row r="110" spans="1:3" x14ac:dyDescent="0.25">
      <c r="A110" s="422"/>
      <c r="B110" s="422"/>
      <c r="C110" s="422"/>
    </row>
    <row r="111" spans="1:3" x14ac:dyDescent="0.25">
      <c r="A111" s="422"/>
      <c r="B111" s="422"/>
      <c r="C111" s="422"/>
    </row>
    <row r="112" spans="1:3" x14ac:dyDescent="0.25">
      <c r="A112" s="422"/>
      <c r="B112" s="422"/>
      <c r="C112" s="422"/>
    </row>
    <row r="113" spans="1:3" x14ac:dyDescent="0.25">
      <c r="A113" s="422"/>
      <c r="B113" s="422"/>
      <c r="C113" s="422"/>
    </row>
    <row r="114" spans="1:3" x14ac:dyDescent="0.25">
      <c r="A114" s="422"/>
      <c r="B114" s="422"/>
      <c r="C114" s="422"/>
    </row>
    <row r="115" spans="1:3" x14ac:dyDescent="0.25">
      <c r="A115" s="422"/>
      <c r="B115" s="422"/>
      <c r="C115" s="422"/>
    </row>
    <row r="116" spans="1:3" x14ac:dyDescent="0.25">
      <c r="A116" s="422"/>
      <c r="B116" s="422"/>
      <c r="C116" s="422"/>
    </row>
    <row r="117" spans="1:3" x14ac:dyDescent="0.25">
      <c r="A117" s="422"/>
      <c r="B117" s="422"/>
      <c r="C117" s="422"/>
    </row>
    <row r="118" spans="1:3" x14ac:dyDescent="0.25">
      <c r="A118" s="422"/>
      <c r="B118" s="422"/>
      <c r="C118" s="422"/>
    </row>
    <row r="119" spans="1:3" x14ac:dyDescent="0.25">
      <c r="A119" s="422"/>
      <c r="B119" s="422"/>
      <c r="C119" s="422"/>
    </row>
    <row r="120" spans="1:3" x14ac:dyDescent="0.25">
      <c r="A120" s="422"/>
      <c r="B120" s="422"/>
      <c r="C120" s="422"/>
    </row>
    <row r="121" spans="1:3" x14ac:dyDescent="0.25">
      <c r="A121" s="422"/>
      <c r="B121" s="422"/>
      <c r="C121" s="422"/>
    </row>
    <row r="122" spans="1:3" x14ac:dyDescent="0.25">
      <c r="A122" s="422"/>
      <c r="B122" s="422"/>
      <c r="C122" s="422"/>
    </row>
    <row r="123" spans="1:3" x14ac:dyDescent="0.25">
      <c r="A123" s="422"/>
      <c r="B123" s="422"/>
      <c r="C123" s="422"/>
    </row>
    <row r="124" spans="1:3" x14ac:dyDescent="0.25">
      <c r="A124" s="422"/>
      <c r="B124" s="422"/>
      <c r="C124" s="422"/>
    </row>
    <row r="125" spans="1:3" x14ac:dyDescent="0.25">
      <c r="A125" s="422"/>
      <c r="B125" s="422"/>
      <c r="C125" s="422"/>
    </row>
    <row r="126" spans="1:3" x14ac:dyDescent="0.25">
      <c r="A126" s="422"/>
      <c r="B126" s="422"/>
      <c r="C126" s="422"/>
    </row>
    <row r="127" spans="1:3" x14ac:dyDescent="0.25">
      <c r="A127" s="422"/>
      <c r="B127" s="422"/>
      <c r="C127" s="422"/>
    </row>
    <row r="128" spans="1:3" x14ac:dyDescent="0.25">
      <c r="A128" s="422"/>
      <c r="B128" s="422"/>
      <c r="C128" s="422"/>
    </row>
    <row r="129" spans="1:3" x14ac:dyDescent="0.25">
      <c r="A129" s="422"/>
      <c r="B129" s="422"/>
      <c r="C129" s="422"/>
    </row>
    <row r="130" spans="1:3" x14ac:dyDescent="0.25">
      <c r="A130" s="422"/>
      <c r="B130" s="422"/>
      <c r="C130" s="422"/>
    </row>
    <row r="131" spans="1:3" x14ac:dyDescent="0.25">
      <c r="A131" s="422"/>
      <c r="B131" s="422"/>
      <c r="C131" s="422"/>
    </row>
    <row r="132" spans="1:3" x14ac:dyDescent="0.25">
      <c r="A132" s="422"/>
      <c r="B132" s="422"/>
      <c r="C132" s="422"/>
    </row>
    <row r="133" spans="1:3" x14ac:dyDescent="0.25">
      <c r="A133" s="422"/>
      <c r="B133" s="422"/>
      <c r="C133" s="422"/>
    </row>
    <row r="134" spans="1:3" x14ac:dyDescent="0.25">
      <c r="A134" s="422"/>
      <c r="B134" s="422"/>
      <c r="C134" s="422"/>
    </row>
    <row r="135" spans="1:3" x14ac:dyDescent="0.25">
      <c r="A135" s="422"/>
      <c r="B135" s="422"/>
      <c r="C135" s="422"/>
    </row>
    <row r="136" spans="1:3" x14ac:dyDescent="0.25">
      <c r="A136" s="422"/>
      <c r="B136" s="422"/>
      <c r="C136" s="422"/>
    </row>
    <row r="137" spans="1:3" x14ac:dyDescent="0.25">
      <c r="A137" s="422"/>
      <c r="B137" s="422"/>
      <c r="C137" s="422"/>
    </row>
    <row r="138" spans="1:3" x14ac:dyDescent="0.25">
      <c r="A138" s="422"/>
      <c r="B138" s="422"/>
      <c r="C138" s="422"/>
    </row>
    <row r="139" spans="1:3" x14ac:dyDescent="0.25">
      <c r="A139" s="422"/>
      <c r="B139" s="422"/>
      <c r="C139" s="422"/>
    </row>
    <row r="140" spans="1:3" x14ac:dyDescent="0.25">
      <c r="A140" s="422"/>
      <c r="B140" s="422"/>
      <c r="C140" s="422"/>
    </row>
    <row r="141" spans="1:3" x14ac:dyDescent="0.25">
      <c r="A141" s="422"/>
      <c r="B141" s="422"/>
      <c r="C141" s="422"/>
    </row>
    <row r="142" spans="1:3" x14ac:dyDescent="0.25">
      <c r="A142" s="422"/>
      <c r="B142" s="422"/>
      <c r="C142" s="422"/>
    </row>
    <row r="143" spans="1:3" x14ac:dyDescent="0.25">
      <c r="A143" s="422"/>
      <c r="B143" s="422"/>
      <c r="C143" s="422"/>
    </row>
    <row r="144" spans="1:3" x14ac:dyDescent="0.25">
      <c r="A144" s="422"/>
      <c r="B144" s="422"/>
      <c r="C144" s="422"/>
    </row>
    <row r="145" spans="1:3" x14ac:dyDescent="0.25">
      <c r="A145" s="422"/>
      <c r="B145" s="422"/>
      <c r="C145" s="422"/>
    </row>
    <row r="146" spans="1:3" x14ac:dyDescent="0.25">
      <c r="A146" s="422"/>
      <c r="B146" s="422"/>
      <c r="C146" s="422"/>
    </row>
    <row r="147" spans="1:3" x14ac:dyDescent="0.25">
      <c r="A147" s="422"/>
      <c r="B147" s="422"/>
      <c r="C147" s="422"/>
    </row>
    <row r="148" spans="1:3" x14ac:dyDescent="0.25">
      <c r="A148" s="422"/>
      <c r="B148" s="422"/>
      <c r="C148" s="422"/>
    </row>
    <row r="149" spans="1:3" x14ac:dyDescent="0.25">
      <c r="A149" s="422"/>
      <c r="B149" s="422"/>
      <c r="C149" s="422"/>
    </row>
    <row r="150" spans="1:3" x14ac:dyDescent="0.25">
      <c r="A150" s="422"/>
      <c r="B150" s="422"/>
      <c r="C150" s="422"/>
    </row>
    <row r="151" spans="1:3" x14ac:dyDescent="0.25">
      <c r="A151" s="422"/>
      <c r="B151" s="422"/>
      <c r="C151" s="422"/>
    </row>
    <row r="152" spans="1:3" x14ac:dyDescent="0.25">
      <c r="A152" s="422"/>
      <c r="B152" s="422"/>
      <c r="C152" s="422"/>
    </row>
    <row r="153" spans="1:3" x14ac:dyDescent="0.25">
      <c r="A153" s="422"/>
      <c r="B153" s="422"/>
      <c r="C153" s="422"/>
    </row>
    <row r="154" spans="1:3" x14ac:dyDescent="0.25">
      <c r="A154" s="422"/>
      <c r="B154" s="422"/>
      <c r="C154" s="422"/>
    </row>
    <row r="155" spans="1:3" x14ac:dyDescent="0.25">
      <c r="A155" s="422"/>
      <c r="B155" s="422"/>
      <c r="C155" s="422"/>
    </row>
    <row r="156" spans="1:3" x14ac:dyDescent="0.25">
      <c r="A156" s="422"/>
      <c r="B156" s="422"/>
      <c r="C156" s="422"/>
    </row>
    <row r="157" spans="1:3" x14ac:dyDescent="0.25">
      <c r="A157" s="422"/>
      <c r="B157" s="422"/>
      <c r="C157" s="422"/>
    </row>
    <row r="158" spans="1:3" x14ac:dyDescent="0.25">
      <c r="A158" s="422"/>
      <c r="B158" s="422"/>
      <c r="C158" s="422"/>
    </row>
    <row r="159" spans="1:3" x14ac:dyDescent="0.25">
      <c r="A159" s="422"/>
      <c r="B159" s="422"/>
      <c r="C159" s="422"/>
    </row>
    <row r="160" spans="1:3" x14ac:dyDescent="0.25">
      <c r="A160" s="422"/>
      <c r="B160" s="422"/>
      <c r="C160" s="422"/>
    </row>
    <row r="161" spans="1:3" x14ac:dyDescent="0.25">
      <c r="A161" s="422"/>
      <c r="B161" s="422"/>
      <c r="C161" s="422"/>
    </row>
    <row r="162" spans="1:3" x14ac:dyDescent="0.25">
      <c r="A162" s="422"/>
      <c r="B162" s="422"/>
      <c r="C162" s="422"/>
    </row>
    <row r="163" spans="1:3" x14ac:dyDescent="0.25">
      <c r="A163" s="422"/>
      <c r="B163" s="422"/>
      <c r="C163" s="422"/>
    </row>
    <row r="164" spans="1:3" x14ac:dyDescent="0.25">
      <c r="A164" s="422"/>
      <c r="B164" s="422"/>
      <c r="C164" s="422"/>
    </row>
    <row r="165" spans="1:3" x14ac:dyDescent="0.25">
      <c r="A165" s="422"/>
      <c r="B165" s="422"/>
      <c r="C165" s="422"/>
    </row>
    <row r="166" spans="1:3" x14ac:dyDescent="0.25">
      <c r="A166" s="422"/>
      <c r="B166" s="422"/>
      <c r="C166" s="422"/>
    </row>
    <row r="167" spans="1:3" x14ac:dyDescent="0.25">
      <c r="A167" s="422"/>
      <c r="B167" s="422"/>
      <c r="C167" s="422"/>
    </row>
    <row r="168" spans="1:3" x14ac:dyDescent="0.25">
      <c r="A168" s="422"/>
      <c r="B168" s="422"/>
      <c r="C168" s="422"/>
    </row>
    <row r="169" spans="1:3" x14ac:dyDescent="0.25">
      <c r="A169" s="422"/>
      <c r="B169" s="422"/>
      <c r="C169" s="422"/>
    </row>
    <row r="170" spans="1:3" x14ac:dyDescent="0.25">
      <c r="A170" s="422"/>
      <c r="B170" s="422"/>
      <c r="C170" s="422"/>
    </row>
    <row r="171" spans="1:3" x14ac:dyDescent="0.25">
      <c r="A171" s="422"/>
      <c r="B171" s="422"/>
      <c r="C171" s="422"/>
    </row>
    <row r="172" spans="1:3" x14ac:dyDescent="0.25">
      <c r="A172" s="422"/>
      <c r="B172" s="422"/>
      <c r="C172" s="422"/>
    </row>
    <row r="173" spans="1:3" x14ac:dyDescent="0.25">
      <c r="A173" s="422"/>
      <c r="B173" s="422"/>
      <c r="C173" s="422"/>
    </row>
    <row r="174" spans="1:3" x14ac:dyDescent="0.25">
      <c r="A174" s="422"/>
      <c r="B174" s="422"/>
      <c r="C174" s="422"/>
    </row>
    <row r="175" spans="1:3" x14ac:dyDescent="0.25">
      <c r="A175" s="422"/>
      <c r="B175" s="422"/>
      <c r="C175" s="422"/>
    </row>
    <row r="176" spans="1:3" x14ac:dyDescent="0.25">
      <c r="A176" s="422"/>
      <c r="B176" s="422"/>
      <c r="C176" s="422"/>
    </row>
    <row r="177" spans="1:3" x14ac:dyDescent="0.25">
      <c r="A177" s="422"/>
      <c r="B177" s="422"/>
      <c r="C177" s="422"/>
    </row>
    <row r="178" spans="1:3" x14ac:dyDescent="0.25">
      <c r="A178" s="422"/>
      <c r="B178" s="422"/>
      <c r="C178" s="422"/>
    </row>
    <row r="179" spans="1:3" x14ac:dyDescent="0.25">
      <c r="A179" s="422"/>
      <c r="B179" s="422"/>
      <c r="C179" s="422"/>
    </row>
    <row r="180" spans="1:3" x14ac:dyDescent="0.25">
      <c r="A180" s="422"/>
      <c r="B180" s="422"/>
      <c r="C180" s="422"/>
    </row>
    <row r="181" spans="1:3" x14ac:dyDescent="0.25">
      <c r="A181" s="422"/>
      <c r="B181" s="422"/>
      <c r="C181" s="422"/>
    </row>
    <row r="182" spans="1:3" x14ac:dyDescent="0.25">
      <c r="A182" s="422"/>
      <c r="B182" s="422"/>
      <c r="C182" s="422"/>
    </row>
    <row r="183" spans="1:3" x14ac:dyDescent="0.25">
      <c r="A183" s="422"/>
      <c r="B183" s="422"/>
      <c r="C183" s="422"/>
    </row>
    <row r="184" spans="1:3" x14ac:dyDescent="0.25">
      <c r="A184" s="422"/>
      <c r="B184" s="422"/>
      <c r="C184" s="422"/>
    </row>
    <row r="185" spans="1:3" x14ac:dyDescent="0.25">
      <c r="A185" s="422"/>
      <c r="B185" s="422"/>
      <c r="C185" s="422"/>
    </row>
    <row r="186" spans="1:3" x14ac:dyDescent="0.25">
      <c r="A186" s="422"/>
      <c r="B186" s="422"/>
      <c r="C186" s="422"/>
    </row>
    <row r="187" spans="1:3" x14ac:dyDescent="0.25">
      <c r="A187" s="422"/>
      <c r="B187" s="422"/>
      <c r="C187" s="422"/>
    </row>
    <row r="188" spans="1:3" x14ac:dyDescent="0.25">
      <c r="A188" s="422"/>
      <c r="B188" s="422"/>
      <c r="C188" s="422"/>
    </row>
    <row r="189" spans="1:3" x14ac:dyDescent="0.25">
      <c r="A189" s="422"/>
      <c r="B189" s="422"/>
      <c r="C189" s="422"/>
    </row>
    <row r="190" spans="1:3" x14ac:dyDescent="0.25">
      <c r="A190" s="422"/>
      <c r="B190" s="422"/>
      <c r="C190" s="422"/>
    </row>
    <row r="191" spans="1:3" x14ac:dyDescent="0.25">
      <c r="A191" s="422"/>
      <c r="B191" s="422"/>
      <c r="C191" s="422"/>
    </row>
    <row r="192" spans="1:3" x14ac:dyDescent="0.25">
      <c r="A192" s="422"/>
      <c r="B192" s="422"/>
      <c r="C192" s="422"/>
    </row>
    <row r="193" spans="1:3" x14ac:dyDescent="0.25">
      <c r="A193" s="422"/>
      <c r="B193" s="422"/>
      <c r="C193" s="422"/>
    </row>
    <row r="194" spans="1:3" x14ac:dyDescent="0.25">
      <c r="A194" s="422"/>
      <c r="B194" s="422"/>
      <c r="C194" s="422"/>
    </row>
    <row r="195" spans="1:3" x14ac:dyDescent="0.25">
      <c r="A195" s="422"/>
      <c r="B195" s="422"/>
      <c r="C195" s="422"/>
    </row>
    <row r="196" spans="1:3" x14ac:dyDescent="0.25">
      <c r="A196" s="422"/>
      <c r="B196" s="422"/>
      <c r="C196" s="422"/>
    </row>
    <row r="197" spans="1:3" x14ac:dyDescent="0.25">
      <c r="A197" s="422"/>
      <c r="B197" s="422"/>
      <c r="C197" s="422"/>
    </row>
    <row r="198" spans="1:3" x14ac:dyDescent="0.25">
      <c r="A198" s="422"/>
      <c r="B198" s="422"/>
      <c r="C198" s="422"/>
    </row>
    <row r="199" spans="1:3" x14ac:dyDescent="0.25">
      <c r="A199" s="422"/>
      <c r="B199" s="422"/>
      <c r="C199" s="422"/>
    </row>
    <row r="200" spans="1:3" x14ac:dyDescent="0.25">
      <c r="A200" s="422"/>
      <c r="B200" s="422"/>
      <c r="C200" s="422"/>
    </row>
    <row r="201" spans="1:3" x14ac:dyDescent="0.25">
      <c r="A201" s="422"/>
      <c r="B201" s="422"/>
      <c r="C201" s="422"/>
    </row>
    <row r="202" spans="1:3" x14ac:dyDescent="0.25">
      <c r="A202" s="422"/>
      <c r="B202" s="422"/>
      <c r="C202" s="422"/>
    </row>
    <row r="203" spans="1:3" x14ac:dyDescent="0.25">
      <c r="A203" s="422"/>
      <c r="B203" s="422"/>
      <c r="C203" s="422"/>
    </row>
    <row r="204" spans="1:3" x14ac:dyDescent="0.25">
      <c r="A204" s="422"/>
      <c r="B204" s="422"/>
      <c r="C204" s="422"/>
    </row>
    <row r="205" spans="1:3" x14ac:dyDescent="0.25">
      <c r="A205" s="422"/>
      <c r="B205" s="422"/>
      <c r="C205" s="422"/>
    </row>
    <row r="206" spans="1:3" x14ac:dyDescent="0.25">
      <c r="A206" s="422"/>
      <c r="B206" s="422"/>
      <c r="C206" s="422"/>
    </row>
    <row r="207" spans="1:3" x14ac:dyDescent="0.25">
      <c r="A207" s="422"/>
      <c r="B207" s="422"/>
      <c r="C207" s="422"/>
    </row>
    <row r="208" spans="1:3" x14ac:dyDescent="0.25">
      <c r="A208" s="422"/>
      <c r="B208" s="422"/>
      <c r="C208" s="422"/>
    </row>
    <row r="209" spans="1:3" x14ac:dyDescent="0.25">
      <c r="A209" s="422"/>
      <c r="B209" s="422"/>
      <c r="C209" s="422"/>
    </row>
    <row r="210" spans="1:3" x14ac:dyDescent="0.25">
      <c r="A210" s="422"/>
      <c r="B210" s="422"/>
      <c r="C210" s="422"/>
    </row>
    <row r="211" spans="1:3" x14ac:dyDescent="0.25">
      <c r="A211" s="422"/>
      <c r="B211" s="422"/>
      <c r="C211" s="422"/>
    </row>
    <row r="212" spans="1:3" x14ac:dyDescent="0.25">
      <c r="A212" s="422"/>
      <c r="B212" s="422"/>
      <c r="C212" s="422"/>
    </row>
    <row r="213" spans="1:3" x14ac:dyDescent="0.25">
      <c r="A213" s="422"/>
      <c r="B213" s="422"/>
      <c r="C213" s="422"/>
    </row>
    <row r="214" spans="1:3" x14ac:dyDescent="0.25">
      <c r="A214" s="422"/>
      <c r="B214" s="422"/>
      <c r="C214" s="422"/>
    </row>
    <row r="215" spans="1:3" x14ac:dyDescent="0.25">
      <c r="A215" s="422"/>
      <c r="B215" s="422"/>
      <c r="C215" s="422"/>
    </row>
    <row r="216" spans="1:3" x14ac:dyDescent="0.25">
      <c r="A216" s="422"/>
      <c r="B216" s="422"/>
      <c r="C216" s="422"/>
    </row>
    <row r="217" spans="1:3" x14ac:dyDescent="0.25">
      <c r="A217" s="422"/>
      <c r="B217" s="422"/>
      <c r="C217" s="422"/>
    </row>
    <row r="218" spans="1:3" x14ac:dyDescent="0.25">
      <c r="A218" s="422"/>
      <c r="B218" s="422"/>
      <c r="C218" s="422"/>
    </row>
    <row r="219" spans="1:3" x14ac:dyDescent="0.25">
      <c r="A219" s="422"/>
      <c r="B219" s="422"/>
      <c r="C219" s="422"/>
    </row>
    <row r="220" spans="1:3" x14ac:dyDescent="0.25">
      <c r="A220" s="422"/>
      <c r="B220" s="422"/>
      <c r="C220" s="422"/>
    </row>
    <row r="221" spans="1:3" x14ac:dyDescent="0.25">
      <c r="A221" s="422"/>
      <c r="B221" s="422"/>
      <c r="C221" s="422"/>
    </row>
    <row r="222" spans="1:3" x14ac:dyDescent="0.25">
      <c r="A222" s="422"/>
      <c r="B222" s="422"/>
      <c r="C222" s="422"/>
    </row>
    <row r="223" spans="1:3" x14ac:dyDescent="0.25">
      <c r="A223" s="422"/>
      <c r="B223" s="422"/>
      <c r="C223" s="422"/>
    </row>
    <row r="224" spans="1:3" x14ac:dyDescent="0.25">
      <c r="A224" s="422"/>
      <c r="B224" s="422"/>
      <c r="C224" s="422"/>
    </row>
    <row r="225" spans="1:3" x14ac:dyDescent="0.25">
      <c r="A225" s="422"/>
      <c r="B225" s="422"/>
      <c r="C225" s="422"/>
    </row>
    <row r="226" spans="1:3" x14ac:dyDescent="0.25">
      <c r="A226" s="422"/>
      <c r="B226" s="422"/>
      <c r="C226" s="422"/>
    </row>
    <row r="227" spans="1:3" x14ac:dyDescent="0.25">
      <c r="A227" s="422"/>
      <c r="B227" s="422"/>
      <c r="C227" s="422"/>
    </row>
    <row r="228" spans="1:3" x14ac:dyDescent="0.25">
      <c r="A228" s="422"/>
      <c r="B228" s="422"/>
      <c r="C228" s="422"/>
    </row>
    <row r="229" spans="1:3" x14ac:dyDescent="0.25">
      <c r="A229" s="422"/>
      <c r="B229" s="422"/>
      <c r="C229" s="422"/>
    </row>
    <row r="230" spans="1:3" x14ac:dyDescent="0.25">
      <c r="A230" s="422"/>
      <c r="B230" s="422"/>
      <c r="C230" s="422"/>
    </row>
    <row r="231" spans="1:3" x14ac:dyDescent="0.25">
      <c r="A231" s="422"/>
      <c r="B231" s="422"/>
      <c r="C231" s="422"/>
    </row>
    <row r="232" spans="1:3" x14ac:dyDescent="0.25">
      <c r="A232" s="422"/>
      <c r="B232" s="422"/>
      <c r="C232" s="422"/>
    </row>
    <row r="233" spans="1:3" x14ac:dyDescent="0.25">
      <c r="A233" s="422"/>
      <c r="B233" s="422"/>
      <c r="C233" s="422"/>
    </row>
    <row r="234" spans="1:3" x14ac:dyDescent="0.25">
      <c r="A234" s="422"/>
      <c r="B234" s="422"/>
      <c r="C234" s="422"/>
    </row>
    <row r="235" spans="1:3" x14ac:dyDescent="0.25">
      <c r="A235" s="422"/>
      <c r="B235" s="422"/>
      <c r="C235" s="422"/>
    </row>
    <row r="236" spans="1:3" x14ac:dyDescent="0.25">
      <c r="A236" s="422"/>
      <c r="B236" s="422"/>
      <c r="C236" s="422"/>
    </row>
    <row r="237" spans="1:3" x14ac:dyDescent="0.25">
      <c r="A237" s="422"/>
      <c r="B237" s="422"/>
      <c r="C237" s="422"/>
    </row>
    <row r="238" spans="1:3" x14ac:dyDescent="0.25">
      <c r="A238" s="422"/>
      <c r="B238" s="422"/>
      <c r="C238" s="422"/>
    </row>
    <row r="239" spans="1:3" x14ac:dyDescent="0.25">
      <c r="A239" s="422"/>
      <c r="B239" s="422"/>
      <c r="C239" s="422"/>
    </row>
    <row r="240" spans="1:3" x14ac:dyDescent="0.25">
      <c r="A240" s="422"/>
      <c r="B240" s="422"/>
      <c r="C240" s="422"/>
    </row>
    <row r="241" spans="1:3" x14ac:dyDescent="0.25">
      <c r="A241" s="422"/>
      <c r="B241" s="422"/>
      <c r="C241" s="422"/>
    </row>
    <row r="242" spans="1:3" x14ac:dyDescent="0.25">
      <c r="A242" s="422"/>
      <c r="B242" s="422"/>
      <c r="C242" s="422"/>
    </row>
    <row r="243" spans="1:3" x14ac:dyDescent="0.25">
      <c r="A243" s="422"/>
      <c r="B243" s="422"/>
      <c r="C243" s="422"/>
    </row>
    <row r="244" spans="1:3" x14ac:dyDescent="0.25">
      <c r="A244" s="422"/>
      <c r="B244" s="422"/>
      <c r="C244" s="422"/>
    </row>
    <row r="245" spans="1:3" x14ac:dyDescent="0.25">
      <c r="A245" s="422"/>
      <c r="B245" s="422"/>
      <c r="C245" s="422"/>
    </row>
    <row r="246" spans="1:3" x14ac:dyDescent="0.25">
      <c r="A246" s="422"/>
      <c r="B246" s="422"/>
      <c r="C246" s="422"/>
    </row>
    <row r="247" spans="1:3" x14ac:dyDescent="0.25">
      <c r="A247" s="422"/>
      <c r="B247" s="422"/>
      <c r="C247" s="422"/>
    </row>
    <row r="248" spans="1:3" x14ac:dyDescent="0.25">
      <c r="A248" s="422"/>
      <c r="B248" s="422"/>
      <c r="C248" s="422"/>
    </row>
    <row r="249" spans="1:3" x14ac:dyDescent="0.25">
      <c r="A249" s="422"/>
      <c r="B249" s="422"/>
      <c r="C249" s="422"/>
    </row>
    <row r="250" spans="1:3" x14ac:dyDescent="0.25">
      <c r="A250" s="422"/>
      <c r="B250" s="422"/>
      <c r="C250" s="422"/>
    </row>
    <row r="251" spans="1:3" x14ac:dyDescent="0.25">
      <c r="A251" s="422"/>
      <c r="B251" s="422"/>
      <c r="C251" s="422"/>
    </row>
    <row r="252" spans="1:3" x14ac:dyDescent="0.25">
      <c r="A252" s="422"/>
      <c r="B252" s="422"/>
      <c r="C252" s="422"/>
    </row>
    <row r="253" spans="1:3" x14ac:dyDescent="0.25">
      <c r="A253" s="422"/>
      <c r="B253" s="422"/>
      <c r="C253" s="422"/>
    </row>
    <row r="254" spans="1:3" x14ac:dyDescent="0.25">
      <c r="A254" s="422"/>
      <c r="B254" s="422"/>
      <c r="C254" s="422"/>
    </row>
    <row r="255" spans="1:3" x14ac:dyDescent="0.25">
      <c r="A255" s="422"/>
      <c r="B255" s="422"/>
      <c r="C255" s="422"/>
    </row>
    <row r="256" spans="1:3" x14ac:dyDescent="0.25">
      <c r="A256" s="422"/>
      <c r="B256" s="422"/>
      <c r="C256" s="422"/>
    </row>
    <row r="257" spans="1:3" x14ac:dyDescent="0.25">
      <c r="A257" s="422"/>
      <c r="B257" s="422"/>
      <c r="C257" s="422"/>
    </row>
    <row r="258" spans="1:3" x14ac:dyDescent="0.25">
      <c r="A258" s="422"/>
      <c r="B258" s="422"/>
      <c r="C258" s="422"/>
    </row>
    <row r="259" spans="1:3" x14ac:dyDescent="0.25">
      <c r="A259" s="422"/>
      <c r="B259" s="422"/>
      <c r="C259" s="422"/>
    </row>
    <row r="260" spans="1:3" x14ac:dyDescent="0.25">
      <c r="A260" s="422"/>
      <c r="B260" s="422"/>
      <c r="C260" s="422"/>
    </row>
    <row r="261" spans="1:3" x14ac:dyDescent="0.25">
      <c r="A261" s="422"/>
      <c r="B261" s="422"/>
      <c r="C261" s="422"/>
    </row>
    <row r="262" spans="1:3" x14ac:dyDescent="0.25">
      <c r="A262" s="422"/>
      <c r="B262" s="422"/>
      <c r="C262" s="422"/>
    </row>
    <row r="263" spans="1:3" x14ac:dyDescent="0.25">
      <c r="A263" s="422"/>
      <c r="B263" s="422"/>
      <c r="C263" s="422"/>
    </row>
    <row r="264" spans="1:3" x14ac:dyDescent="0.25">
      <c r="A264" s="422"/>
      <c r="B264" s="422"/>
      <c r="C264" s="422"/>
    </row>
    <row r="265" spans="1:3" x14ac:dyDescent="0.25">
      <c r="A265" s="422"/>
      <c r="B265" s="422"/>
      <c r="C265" s="422"/>
    </row>
    <row r="266" spans="1:3" x14ac:dyDescent="0.25">
      <c r="A266" s="422"/>
      <c r="B266" s="422"/>
      <c r="C266" s="422"/>
    </row>
    <row r="267" spans="1:3" x14ac:dyDescent="0.25">
      <c r="A267" s="422"/>
      <c r="B267" s="422"/>
      <c r="C267" s="422"/>
    </row>
    <row r="268" spans="1:3" x14ac:dyDescent="0.25">
      <c r="A268" s="422"/>
      <c r="B268" s="422"/>
      <c r="C268" s="422"/>
    </row>
    <row r="269" spans="1:3" x14ac:dyDescent="0.25">
      <c r="A269" s="422"/>
      <c r="B269" s="422"/>
      <c r="C269" s="422"/>
    </row>
    <row r="270" spans="1:3" x14ac:dyDescent="0.25">
      <c r="A270" s="422"/>
      <c r="B270" s="422"/>
      <c r="C270" s="422"/>
    </row>
    <row r="271" spans="1:3" x14ac:dyDescent="0.25">
      <c r="A271" s="422"/>
      <c r="B271" s="422"/>
      <c r="C271" s="422"/>
    </row>
    <row r="272" spans="1:3" x14ac:dyDescent="0.25">
      <c r="A272" s="422"/>
      <c r="B272" s="422"/>
      <c r="C272" s="422"/>
    </row>
    <row r="273" spans="1:3" x14ac:dyDescent="0.25">
      <c r="A273" s="422"/>
      <c r="B273" s="422"/>
      <c r="C273" s="422"/>
    </row>
    <row r="274" spans="1:3" x14ac:dyDescent="0.25">
      <c r="A274" s="422"/>
      <c r="B274" s="422"/>
      <c r="C274" s="422"/>
    </row>
    <row r="275" spans="1:3" x14ac:dyDescent="0.25">
      <c r="A275" s="422"/>
      <c r="B275" s="422"/>
      <c r="C275" s="422"/>
    </row>
    <row r="276" spans="1:3" x14ac:dyDescent="0.25">
      <c r="A276" s="422"/>
      <c r="B276" s="422"/>
      <c r="C276" s="422"/>
    </row>
    <row r="277" spans="1:3" x14ac:dyDescent="0.25">
      <c r="A277" s="422"/>
      <c r="B277" s="422"/>
      <c r="C277" s="422"/>
    </row>
    <row r="278" spans="1:3" x14ac:dyDescent="0.25">
      <c r="A278" s="422"/>
      <c r="B278" s="422"/>
      <c r="C278" s="422"/>
    </row>
    <row r="279" spans="1:3" x14ac:dyDescent="0.25">
      <c r="A279" s="422"/>
      <c r="B279" s="422"/>
      <c r="C279" s="422"/>
    </row>
    <row r="280" spans="1:3" x14ac:dyDescent="0.25">
      <c r="A280" s="422"/>
      <c r="B280" s="422"/>
      <c r="C280" s="422"/>
    </row>
    <row r="281" spans="1:3" x14ac:dyDescent="0.25">
      <c r="A281" s="422"/>
      <c r="B281" s="422"/>
      <c r="C281" s="422"/>
    </row>
    <row r="282" spans="1:3" x14ac:dyDescent="0.25">
      <c r="A282" s="422"/>
      <c r="B282" s="422"/>
      <c r="C282" s="422"/>
    </row>
    <row r="283" spans="1:3" x14ac:dyDescent="0.25">
      <c r="A283" s="422"/>
      <c r="B283" s="422"/>
      <c r="C283" s="422"/>
    </row>
    <row r="284" spans="1:3" x14ac:dyDescent="0.25">
      <c r="A284" s="422"/>
      <c r="B284" s="422"/>
      <c r="C284" s="422"/>
    </row>
    <row r="285" spans="1:3" x14ac:dyDescent="0.25">
      <c r="A285" s="422"/>
      <c r="B285" s="422"/>
      <c r="C285" s="422"/>
    </row>
    <row r="286" spans="1:3" x14ac:dyDescent="0.25">
      <c r="A286" s="422"/>
      <c r="B286" s="422"/>
      <c r="C286" s="422"/>
    </row>
    <row r="287" spans="1:3" x14ac:dyDescent="0.25">
      <c r="A287" s="422"/>
      <c r="B287" s="422"/>
      <c r="C287" s="422"/>
    </row>
    <row r="288" spans="1:3" x14ac:dyDescent="0.25">
      <c r="A288" s="422"/>
      <c r="B288" s="422"/>
      <c r="C288" s="422"/>
    </row>
    <row r="289" spans="1:3" x14ac:dyDescent="0.25">
      <c r="A289" s="422"/>
      <c r="B289" s="422"/>
      <c r="C289" s="422"/>
    </row>
    <row r="290" spans="1:3" x14ac:dyDescent="0.25">
      <c r="A290" s="422"/>
      <c r="B290" s="422"/>
      <c r="C290" s="422"/>
    </row>
    <row r="291" spans="1:3" x14ac:dyDescent="0.25">
      <c r="A291" s="422"/>
      <c r="B291" s="422"/>
      <c r="C291" s="422"/>
    </row>
    <row r="292" spans="1:3" x14ac:dyDescent="0.25">
      <c r="A292" s="422"/>
      <c r="B292" s="422"/>
      <c r="C292" s="422"/>
    </row>
    <row r="293" spans="1:3" x14ac:dyDescent="0.25">
      <c r="A293" s="422"/>
      <c r="B293" s="422"/>
      <c r="C293" s="422"/>
    </row>
    <row r="294" spans="1:3" x14ac:dyDescent="0.25">
      <c r="A294" s="422"/>
      <c r="B294" s="422"/>
      <c r="C294" s="422"/>
    </row>
    <row r="295" spans="1:3" x14ac:dyDescent="0.25">
      <c r="A295" s="422"/>
      <c r="B295" s="422"/>
      <c r="C295" s="422"/>
    </row>
    <row r="296" spans="1:3" x14ac:dyDescent="0.25">
      <c r="A296" s="422"/>
      <c r="B296" s="422"/>
      <c r="C296" s="422"/>
    </row>
    <row r="297" spans="1:3" x14ac:dyDescent="0.25">
      <c r="A297" s="422"/>
      <c r="B297" s="422"/>
      <c r="C297" s="422"/>
    </row>
    <row r="298" spans="1:3" x14ac:dyDescent="0.25">
      <c r="A298" s="422"/>
      <c r="B298" s="422"/>
      <c r="C298" s="422"/>
    </row>
    <row r="299" spans="1:3" x14ac:dyDescent="0.25">
      <c r="A299" s="422"/>
      <c r="B299" s="422"/>
      <c r="C299" s="422"/>
    </row>
    <row r="300" spans="1:3" x14ac:dyDescent="0.25">
      <c r="A300" s="422"/>
      <c r="B300" s="422"/>
      <c r="C300" s="422"/>
    </row>
    <row r="301" spans="1:3" x14ac:dyDescent="0.25">
      <c r="A301" s="422"/>
      <c r="B301" s="422"/>
      <c r="C301" s="422"/>
    </row>
    <row r="302" spans="1:3" x14ac:dyDescent="0.25">
      <c r="A302" s="422"/>
      <c r="B302" s="422"/>
      <c r="C302" s="422"/>
    </row>
    <row r="303" spans="1:3" x14ac:dyDescent="0.25">
      <c r="A303" s="422"/>
      <c r="B303" s="422"/>
      <c r="C303" s="422"/>
    </row>
    <row r="304" spans="1:3" x14ac:dyDescent="0.25">
      <c r="A304" s="422"/>
      <c r="B304" s="422"/>
      <c r="C304" s="422"/>
    </row>
    <row r="305" spans="1:3" x14ac:dyDescent="0.25">
      <c r="A305" s="422"/>
      <c r="B305" s="422"/>
      <c r="C305" s="422"/>
    </row>
    <row r="306" spans="1:3" x14ac:dyDescent="0.25">
      <c r="A306" s="422"/>
      <c r="B306" s="422"/>
      <c r="C306" s="422"/>
    </row>
    <row r="307" spans="1:3" x14ac:dyDescent="0.25">
      <c r="A307" s="422"/>
      <c r="B307" s="422"/>
      <c r="C307" s="422"/>
    </row>
    <row r="308" spans="1:3" x14ac:dyDescent="0.25">
      <c r="A308" s="422"/>
      <c r="B308" s="422"/>
      <c r="C308" s="422"/>
    </row>
    <row r="309" spans="1:3" x14ac:dyDescent="0.25">
      <c r="A309" s="422"/>
      <c r="B309" s="422"/>
      <c r="C309" s="422"/>
    </row>
    <row r="310" spans="1:3" x14ac:dyDescent="0.25">
      <c r="A310" s="422"/>
      <c r="B310" s="422"/>
      <c r="C310" s="422"/>
    </row>
    <row r="311" spans="1:3" x14ac:dyDescent="0.25">
      <c r="A311" s="422"/>
      <c r="B311" s="422"/>
      <c r="C311" s="422"/>
    </row>
    <row r="312" spans="1:3" x14ac:dyDescent="0.25">
      <c r="A312" s="422"/>
      <c r="B312" s="422"/>
      <c r="C312" s="422"/>
    </row>
    <row r="313" spans="1:3" x14ac:dyDescent="0.25">
      <c r="A313" s="422"/>
      <c r="B313" s="422"/>
      <c r="C313" s="422"/>
    </row>
    <row r="314" spans="1:3" x14ac:dyDescent="0.25">
      <c r="A314" s="422"/>
      <c r="B314" s="422"/>
      <c r="C314" s="422"/>
    </row>
    <row r="315" spans="1:3" x14ac:dyDescent="0.25">
      <c r="A315" s="422"/>
      <c r="B315" s="422"/>
      <c r="C315" s="422"/>
    </row>
    <row r="316" spans="1:3" x14ac:dyDescent="0.25">
      <c r="A316" s="422"/>
      <c r="B316" s="422"/>
      <c r="C316" s="422"/>
    </row>
    <row r="317" spans="1:3" x14ac:dyDescent="0.25">
      <c r="A317" s="422"/>
      <c r="B317" s="422"/>
      <c r="C317" s="422"/>
    </row>
    <row r="318" spans="1:3" x14ac:dyDescent="0.25">
      <c r="A318" s="422"/>
      <c r="B318" s="422"/>
      <c r="C318" s="422"/>
    </row>
    <row r="319" spans="1:3" x14ac:dyDescent="0.25">
      <c r="A319" s="422"/>
      <c r="B319" s="422"/>
      <c r="C319" s="422"/>
    </row>
    <row r="320" spans="1:3" x14ac:dyDescent="0.25">
      <c r="A320" s="422"/>
      <c r="B320" s="422"/>
      <c r="C320" s="422"/>
    </row>
    <row r="321" spans="1:3" x14ac:dyDescent="0.25">
      <c r="A321" s="422"/>
      <c r="B321" s="422"/>
      <c r="C321" s="422"/>
    </row>
    <row r="322" spans="1:3" x14ac:dyDescent="0.25">
      <c r="A322" s="422"/>
      <c r="B322" s="422"/>
      <c r="C322" s="422"/>
    </row>
    <row r="323" spans="1:3" x14ac:dyDescent="0.25">
      <c r="A323" s="422"/>
      <c r="B323" s="422"/>
      <c r="C323" s="422"/>
    </row>
    <row r="324" spans="1:3" x14ac:dyDescent="0.25">
      <c r="A324" s="422"/>
      <c r="B324" s="422"/>
      <c r="C324" s="422"/>
    </row>
    <row r="325" spans="1:3" x14ac:dyDescent="0.25">
      <c r="A325" s="422"/>
      <c r="B325" s="422"/>
      <c r="C325" s="422"/>
    </row>
    <row r="326" spans="1:3" x14ac:dyDescent="0.25">
      <c r="A326" s="422"/>
      <c r="B326" s="422"/>
      <c r="C326" s="422"/>
    </row>
    <row r="327" spans="1:3" x14ac:dyDescent="0.25">
      <c r="A327" s="422"/>
      <c r="B327" s="422"/>
      <c r="C327" s="422"/>
    </row>
    <row r="328" spans="1:3" x14ac:dyDescent="0.25">
      <c r="A328" s="422"/>
      <c r="B328" s="422"/>
      <c r="C328" s="422"/>
    </row>
    <row r="329" spans="1:3" x14ac:dyDescent="0.25">
      <c r="A329" s="422"/>
      <c r="B329" s="422"/>
      <c r="C329" s="422"/>
    </row>
    <row r="330" spans="1:3" x14ac:dyDescent="0.25">
      <c r="A330" s="422"/>
      <c r="B330" s="422"/>
      <c r="C330" s="422"/>
    </row>
    <row r="331" spans="1:3" x14ac:dyDescent="0.25">
      <c r="A331" s="422"/>
      <c r="B331" s="422"/>
      <c r="C331" s="422"/>
    </row>
    <row r="332" spans="1:3" x14ac:dyDescent="0.25">
      <c r="A332" s="422"/>
      <c r="B332" s="422"/>
      <c r="C332" s="422"/>
    </row>
    <row r="333" spans="1:3" x14ac:dyDescent="0.25">
      <c r="A333" s="422"/>
      <c r="B333" s="422"/>
      <c r="C333" s="422"/>
    </row>
    <row r="334" spans="1:3" x14ac:dyDescent="0.25">
      <c r="A334" s="422"/>
      <c r="B334" s="422"/>
      <c r="C334" s="422"/>
    </row>
    <row r="335" spans="1:3" x14ac:dyDescent="0.25">
      <c r="A335" s="422"/>
      <c r="B335" s="422"/>
      <c r="C335" s="422"/>
    </row>
    <row r="336" spans="1:3" x14ac:dyDescent="0.25">
      <c r="A336" s="422"/>
      <c r="B336" s="422"/>
      <c r="C336" s="422"/>
    </row>
    <row r="337" spans="1:3" x14ac:dyDescent="0.25">
      <c r="A337" s="422"/>
      <c r="B337" s="422"/>
      <c r="C337" s="422"/>
    </row>
    <row r="338" spans="1:3" x14ac:dyDescent="0.25">
      <c r="A338" s="422"/>
      <c r="B338" s="422"/>
      <c r="C338" s="422"/>
    </row>
    <row r="339" spans="1:3" x14ac:dyDescent="0.25">
      <c r="A339" s="422"/>
      <c r="B339" s="422"/>
      <c r="C339" s="422"/>
    </row>
    <row r="340" spans="1:3" x14ac:dyDescent="0.25">
      <c r="A340" s="422"/>
      <c r="B340" s="422"/>
      <c r="C340" s="422"/>
    </row>
    <row r="341" spans="1:3" x14ac:dyDescent="0.25">
      <c r="A341" s="422"/>
      <c r="B341" s="422"/>
      <c r="C341" s="422"/>
    </row>
    <row r="342" spans="1:3" x14ac:dyDescent="0.25">
      <c r="A342" s="422"/>
      <c r="B342" s="422"/>
      <c r="C342" s="422"/>
    </row>
    <row r="343" spans="1:3" x14ac:dyDescent="0.25">
      <c r="A343" s="422"/>
      <c r="B343" s="422"/>
      <c r="C343" s="422"/>
    </row>
    <row r="344" spans="1:3" x14ac:dyDescent="0.25">
      <c r="A344" s="422"/>
      <c r="B344" s="422"/>
      <c r="C344" s="422"/>
    </row>
    <row r="345" spans="1:3" x14ac:dyDescent="0.25">
      <c r="A345" s="422"/>
      <c r="B345" s="422"/>
      <c r="C345" s="422"/>
    </row>
    <row r="346" spans="1:3" x14ac:dyDescent="0.25">
      <c r="A346" s="422"/>
      <c r="B346" s="422"/>
      <c r="C346" s="422"/>
    </row>
    <row r="347" spans="1:3" x14ac:dyDescent="0.25">
      <c r="A347" s="422"/>
      <c r="B347" s="422"/>
      <c r="C347" s="422"/>
    </row>
    <row r="348" spans="1:3" x14ac:dyDescent="0.25">
      <c r="A348" s="422"/>
      <c r="B348" s="422"/>
      <c r="C348" s="422"/>
    </row>
    <row r="349" spans="1:3" x14ac:dyDescent="0.25">
      <c r="A349" s="422"/>
      <c r="B349" s="422"/>
      <c r="C349" s="422"/>
    </row>
    <row r="350" spans="1:3" x14ac:dyDescent="0.25">
      <c r="A350" s="422"/>
      <c r="B350" s="422"/>
      <c r="C350" s="422"/>
    </row>
    <row r="351" spans="1:3" x14ac:dyDescent="0.25">
      <c r="A351" s="422"/>
      <c r="B351" s="422"/>
      <c r="C351" s="422"/>
    </row>
    <row r="352" spans="1:3" x14ac:dyDescent="0.25">
      <c r="A352" s="422"/>
      <c r="B352" s="422"/>
      <c r="C352" s="422"/>
    </row>
    <row r="353" spans="1:3" x14ac:dyDescent="0.25">
      <c r="A353" s="422"/>
      <c r="B353" s="422"/>
      <c r="C353" s="422"/>
    </row>
    <row r="354" spans="1:3" x14ac:dyDescent="0.25">
      <c r="A354" s="422"/>
      <c r="B354" s="422"/>
      <c r="C354" s="422"/>
    </row>
    <row r="355" spans="1:3" x14ac:dyDescent="0.25">
      <c r="A355" s="422"/>
      <c r="B355" s="422"/>
      <c r="C355" s="422"/>
    </row>
    <row r="356" spans="1:3" x14ac:dyDescent="0.25">
      <c r="A356" s="422"/>
      <c r="B356" s="422"/>
      <c r="C356" s="422"/>
    </row>
    <row r="357" spans="1:3" x14ac:dyDescent="0.25">
      <c r="A357" s="422"/>
      <c r="B357" s="422"/>
      <c r="C357" s="422"/>
    </row>
    <row r="358" spans="1:3" x14ac:dyDescent="0.25">
      <c r="A358" s="422"/>
      <c r="B358" s="422"/>
      <c r="C358" s="422"/>
    </row>
    <row r="359" spans="1:3" x14ac:dyDescent="0.25">
      <c r="A359" s="422"/>
      <c r="B359" s="422"/>
      <c r="C359" s="422"/>
    </row>
    <row r="360" spans="1:3" x14ac:dyDescent="0.25">
      <c r="A360" s="422"/>
      <c r="B360" s="422"/>
      <c r="C360" s="422"/>
    </row>
    <row r="361" spans="1:3" x14ac:dyDescent="0.25">
      <c r="A361" s="422"/>
      <c r="B361" s="422"/>
      <c r="C361" s="422"/>
    </row>
    <row r="362" spans="1:3" x14ac:dyDescent="0.25">
      <c r="A362" s="422"/>
      <c r="B362" s="422"/>
      <c r="C362" s="422"/>
    </row>
    <row r="363" spans="1:3" x14ac:dyDescent="0.25">
      <c r="A363" s="422"/>
      <c r="B363" s="422"/>
      <c r="C363" s="422"/>
    </row>
    <row r="364" spans="1:3" x14ac:dyDescent="0.25">
      <c r="A364" s="422"/>
      <c r="B364" s="422"/>
      <c r="C364" s="422"/>
    </row>
    <row r="365" spans="1:3" x14ac:dyDescent="0.25">
      <c r="A365" s="422"/>
      <c r="B365" s="422"/>
      <c r="C365" s="422"/>
    </row>
    <row r="366" spans="1:3" x14ac:dyDescent="0.25">
      <c r="A366" s="422"/>
      <c r="B366" s="422"/>
      <c r="C366" s="422"/>
    </row>
    <row r="367" spans="1:3" x14ac:dyDescent="0.25">
      <c r="A367" s="422"/>
      <c r="B367" s="422"/>
      <c r="C367" s="422"/>
    </row>
    <row r="368" spans="1:3" x14ac:dyDescent="0.25">
      <c r="A368" s="422"/>
      <c r="B368" s="422"/>
      <c r="C368" s="422"/>
    </row>
    <row r="369" spans="1:3" x14ac:dyDescent="0.25">
      <c r="A369" s="422"/>
      <c r="B369" s="422"/>
      <c r="C369" s="422"/>
    </row>
    <row r="370" spans="1:3" x14ac:dyDescent="0.25">
      <c r="A370" s="422"/>
      <c r="B370" s="422"/>
      <c r="C370" s="422"/>
    </row>
    <row r="371" spans="1:3" x14ac:dyDescent="0.25">
      <c r="A371" s="422"/>
      <c r="B371" s="422"/>
      <c r="C371" s="422"/>
    </row>
    <row r="372" spans="1:3" x14ac:dyDescent="0.25">
      <c r="A372" s="422"/>
      <c r="B372" s="422"/>
      <c r="C372" s="422"/>
    </row>
    <row r="373" spans="1:3" x14ac:dyDescent="0.25">
      <c r="A373" s="422"/>
      <c r="B373" s="422"/>
      <c r="C373" s="422"/>
    </row>
    <row r="374" spans="1:3" x14ac:dyDescent="0.25">
      <c r="A374" s="422"/>
      <c r="B374" s="422"/>
      <c r="C374" s="422"/>
    </row>
    <row r="375" spans="1:3" x14ac:dyDescent="0.25">
      <c r="A375" s="422"/>
      <c r="B375" s="422"/>
      <c r="C375" s="422"/>
    </row>
    <row r="376" spans="1:3" x14ac:dyDescent="0.25">
      <c r="A376" s="422"/>
      <c r="B376" s="422"/>
      <c r="C376" s="422"/>
    </row>
    <row r="377" spans="1:3" x14ac:dyDescent="0.25">
      <c r="A377" s="422"/>
      <c r="B377" s="422"/>
      <c r="C377" s="422"/>
    </row>
    <row r="378" spans="1:3" x14ac:dyDescent="0.25">
      <c r="A378" s="422"/>
      <c r="B378" s="422"/>
      <c r="C378" s="422"/>
    </row>
    <row r="379" spans="1:3" x14ac:dyDescent="0.25">
      <c r="A379" s="422"/>
      <c r="B379" s="422"/>
      <c r="C379" s="422"/>
    </row>
    <row r="380" spans="1:3" x14ac:dyDescent="0.25">
      <c r="A380" s="422"/>
      <c r="B380" s="422"/>
      <c r="C380" s="422"/>
    </row>
    <row r="381" spans="1:3" x14ac:dyDescent="0.25">
      <c r="A381" s="422"/>
      <c r="B381" s="422"/>
      <c r="C381" s="422"/>
    </row>
    <row r="382" spans="1:3" x14ac:dyDescent="0.25">
      <c r="A382" s="422"/>
      <c r="B382" s="422"/>
      <c r="C382" s="422"/>
    </row>
    <row r="383" spans="1:3" x14ac:dyDescent="0.25">
      <c r="A383" s="422"/>
      <c r="B383" s="422"/>
      <c r="C383" s="422"/>
    </row>
    <row r="384" spans="1:3" x14ac:dyDescent="0.25">
      <c r="A384" s="422"/>
      <c r="B384" s="422"/>
      <c r="C384" s="422"/>
    </row>
    <row r="385" spans="1:3" x14ac:dyDescent="0.25">
      <c r="A385" s="422"/>
      <c r="B385" s="422"/>
      <c r="C385" s="422"/>
    </row>
    <row r="386" spans="1:3" x14ac:dyDescent="0.25">
      <c r="A386" s="422"/>
      <c r="B386" s="422"/>
      <c r="C386" s="422"/>
    </row>
    <row r="387" spans="1:3" x14ac:dyDescent="0.25">
      <c r="A387" s="422"/>
      <c r="B387" s="422"/>
      <c r="C387" s="422"/>
    </row>
    <row r="388" spans="1:3" x14ac:dyDescent="0.25">
      <c r="A388" s="422"/>
      <c r="B388" s="422"/>
      <c r="C388" s="422"/>
    </row>
    <row r="389" spans="1:3" x14ac:dyDescent="0.25">
      <c r="A389" s="422"/>
      <c r="B389" s="422"/>
      <c r="C389" s="422"/>
    </row>
    <row r="390" spans="1:3" x14ac:dyDescent="0.25">
      <c r="A390" s="422"/>
      <c r="B390" s="422"/>
      <c r="C390" s="422"/>
    </row>
    <row r="391" spans="1:3" x14ac:dyDescent="0.25">
      <c r="A391" s="422"/>
      <c r="B391" s="422"/>
      <c r="C391" s="422"/>
    </row>
    <row r="392" spans="1:3" x14ac:dyDescent="0.25">
      <c r="A392" s="422"/>
      <c r="B392" s="422"/>
      <c r="C392" s="422"/>
    </row>
    <row r="393" spans="1:3" x14ac:dyDescent="0.25">
      <c r="A393" s="422"/>
      <c r="B393" s="422"/>
      <c r="C393" s="422"/>
    </row>
    <row r="394" spans="1:3" x14ac:dyDescent="0.25">
      <c r="A394" s="422"/>
      <c r="B394" s="422"/>
      <c r="C394" s="422"/>
    </row>
    <row r="395" spans="1:3" x14ac:dyDescent="0.25">
      <c r="A395" s="422"/>
      <c r="B395" s="422"/>
      <c r="C395" s="422"/>
    </row>
    <row r="396" spans="1:3" x14ac:dyDescent="0.25">
      <c r="A396" s="422"/>
      <c r="B396" s="422"/>
      <c r="C396" s="422"/>
    </row>
    <row r="397" spans="1:3" x14ac:dyDescent="0.25">
      <c r="A397" s="422"/>
      <c r="B397" s="422"/>
      <c r="C397" s="422"/>
    </row>
    <row r="398" spans="1:3" x14ac:dyDescent="0.25">
      <c r="A398" s="422"/>
      <c r="B398" s="422"/>
      <c r="C398" s="422"/>
    </row>
    <row r="399" spans="1:3" x14ac:dyDescent="0.25">
      <c r="A399" s="422"/>
      <c r="B399" s="422"/>
      <c r="C399" s="422"/>
    </row>
    <row r="400" spans="1:3" x14ac:dyDescent="0.25">
      <c r="A400" s="422"/>
      <c r="B400" s="422"/>
      <c r="C400" s="422"/>
    </row>
    <row r="401" spans="1:3" x14ac:dyDescent="0.25">
      <c r="A401" s="422"/>
      <c r="B401" s="422"/>
      <c r="C401" s="422"/>
    </row>
    <row r="402" spans="1:3" x14ac:dyDescent="0.25">
      <c r="A402" s="422"/>
      <c r="B402" s="422"/>
      <c r="C402" s="422"/>
    </row>
    <row r="403" spans="1:3" x14ac:dyDescent="0.25">
      <c r="A403" s="422"/>
      <c r="B403" s="422"/>
      <c r="C403" s="422"/>
    </row>
    <row r="404" spans="1:3" x14ac:dyDescent="0.25">
      <c r="A404" s="422"/>
      <c r="B404" s="422"/>
      <c r="C404" s="422"/>
    </row>
    <row r="405" spans="1:3" x14ac:dyDescent="0.25">
      <c r="A405" s="422"/>
      <c r="B405" s="422"/>
      <c r="C405" s="422"/>
    </row>
    <row r="406" spans="1:3" x14ac:dyDescent="0.25">
      <c r="A406" s="422"/>
      <c r="B406" s="422"/>
      <c r="C406" s="422"/>
    </row>
    <row r="407" spans="1:3" x14ac:dyDescent="0.25">
      <c r="A407" s="422"/>
      <c r="B407" s="422"/>
      <c r="C407" s="422"/>
    </row>
    <row r="408" spans="1:3" x14ac:dyDescent="0.25">
      <c r="A408" s="422"/>
      <c r="B408" s="422"/>
      <c r="C408" s="422"/>
    </row>
    <row r="409" spans="1:3" x14ac:dyDescent="0.25">
      <c r="A409" s="422"/>
      <c r="B409" s="422"/>
      <c r="C409" s="422"/>
    </row>
    <row r="410" spans="1:3" x14ac:dyDescent="0.25">
      <c r="A410" s="422"/>
      <c r="B410" s="422"/>
      <c r="C410" s="422"/>
    </row>
    <row r="411" spans="1:3" x14ac:dyDescent="0.25">
      <c r="A411" s="422"/>
      <c r="B411" s="422"/>
      <c r="C411" s="422"/>
    </row>
    <row r="412" spans="1:3" x14ac:dyDescent="0.25">
      <c r="A412" s="422"/>
      <c r="B412" s="422"/>
      <c r="C412" s="422"/>
    </row>
    <row r="413" spans="1:3" x14ac:dyDescent="0.25">
      <c r="A413" s="422"/>
      <c r="B413" s="422"/>
      <c r="C413" s="422"/>
    </row>
    <row r="414" spans="1:3" x14ac:dyDescent="0.25">
      <c r="A414" s="422"/>
      <c r="B414" s="422"/>
      <c r="C414" s="422"/>
    </row>
    <row r="415" spans="1:3" x14ac:dyDescent="0.25">
      <c r="A415" s="422"/>
      <c r="B415" s="422"/>
      <c r="C415" s="422"/>
    </row>
    <row r="416" spans="1:3" x14ac:dyDescent="0.25">
      <c r="A416" s="422"/>
      <c r="B416" s="422"/>
      <c r="C416" s="422"/>
    </row>
    <row r="417" spans="1:3" x14ac:dyDescent="0.25">
      <c r="A417" s="422"/>
      <c r="B417" s="422"/>
      <c r="C417" s="422"/>
    </row>
    <row r="418" spans="1:3" x14ac:dyDescent="0.25">
      <c r="A418" s="422"/>
      <c r="B418" s="422"/>
      <c r="C418" s="422"/>
    </row>
    <row r="419" spans="1:3" x14ac:dyDescent="0.25">
      <c r="A419" s="422"/>
      <c r="B419" s="422"/>
      <c r="C419" s="422"/>
    </row>
    <row r="420" spans="1:3" x14ac:dyDescent="0.25">
      <c r="A420" s="422"/>
      <c r="B420" s="422"/>
      <c r="C420" s="422"/>
    </row>
    <row r="421" spans="1:3" x14ac:dyDescent="0.25">
      <c r="A421" s="422"/>
      <c r="B421" s="422"/>
      <c r="C421" s="422"/>
    </row>
    <row r="422" spans="1:3" x14ac:dyDescent="0.25">
      <c r="A422" s="422"/>
      <c r="B422" s="422"/>
      <c r="C422" s="422"/>
    </row>
    <row r="423" spans="1:3" x14ac:dyDescent="0.25">
      <c r="A423" s="422"/>
      <c r="B423" s="422"/>
      <c r="C423" s="422"/>
    </row>
    <row r="424" spans="1:3" x14ac:dyDescent="0.25">
      <c r="A424" s="422"/>
      <c r="B424" s="422"/>
      <c r="C424" s="422"/>
    </row>
    <row r="425" spans="1:3" x14ac:dyDescent="0.25">
      <c r="A425" s="422"/>
      <c r="B425" s="422"/>
      <c r="C425" s="422"/>
    </row>
    <row r="426" spans="1:3" x14ac:dyDescent="0.25">
      <c r="A426" s="422"/>
      <c r="B426" s="422"/>
      <c r="C426" s="422"/>
    </row>
    <row r="427" spans="1:3" x14ac:dyDescent="0.25">
      <c r="A427" s="422"/>
      <c r="B427" s="422"/>
      <c r="C427" s="422"/>
    </row>
    <row r="428" spans="1:3" x14ac:dyDescent="0.25">
      <c r="A428" s="422"/>
      <c r="B428" s="422"/>
      <c r="C428" s="422"/>
    </row>
    <row r="429" spans="1:3" x14ac:dyDescent="0.25">
      <c r="A429" s="422"/>
      <c r="B429" s="422"/>
      <c r="C429" s="422"/>
    </row>
    <row r="430" spans="1:3" x14ac:dyDescent="0.25">
      <c r="A430" s="422"/>
      <c r="B430" s="422"/>
      <c r="C430" s="422"/>
    </row>
    <row r="431" spans="1:3" x14ac:dyDescent="0.25">
      <c r="A431" s="422"/>
      <c r="B431" s="422"/>
      <c r="C431" s="422"/>
    </row>
    <row r="432" spans="1:3" x14ac:dyDescent="0.25">
      <c r="A432" s="422"/>
      <c r="B432" s="422"/>
      <c r="C432" s="422"/>
    </row>
    <row r="433" spans="1:3" x14ac:dyDescent="0.25">
      <c r="A433" s="422"/>
      <c r="B433" s="422"/>
      <c r="C433" s="422"/>
    </row>
    <row r="434" spans="1:3" x14ac:dyDescent="0.25">
      <c r="A434" s="422"/>
      <c r="B434" s="422"/>
      <c r="C434" s="422"/>
    </row>
    <row r="435" spans="1:3" x14ac:dyDescent="0.25">
      <c r="A435" s="422"/>
      <c r="B435" s="422"/>
      <c r="C435" s="422"/>
    </row>
    <row r="436" spans="1:3" x14ac:dyDescent="0.25">
      <c r="A436" s="422"/>
      <c r="B436" s="422"/>
      <c r="C436" s="422"/>
    </row>
    <row r="437" spans="1:3" x14ac:dyDescent="0.25">
      <c r="A437" s="422"/>
      <c r="B437" s="422"/>
      <c r="C437" s="422"/>
    </row>
    <row r="438" spans="1:3" x14ac:dyDescent="0.25">
      <c r="A438" s="422"/>
      <c r="B438" s="422"/>
      <c r="C438" s="422"/>
    </row>
    <row r="439" spans="1:3" x14ac:dyDescent="0.25">
      <c r="A439" s="422"/>
      <c r="B439" s="422"/>
      <c r="C439" s="422"/>
    </row>
    <row r="440" spans="1:3" x14ac:dyDescent="0.25">
      <c r="A440" s="422"/>
      <c r="B440" s="422"/>
      <c r="C440" s="422"/>
    </row>
    <row r="441" spans="1:3" x14ac:dyDescent="0.25">
      <c r="A441" s="422"/>
      <c r="B441" s="422"/>
      <c r="C441" s="422"/>
    </row>
    <row r="442" spans="1:3" x14ac:dyDescent="0.25">
      <c r="A442" s="422"/>
      <c r="B442" s="422"/>
      <c r="C442" s="422"/>
    </row>
    <row r="443" spans="1:3" x14ac:dyDescent="0.25">
      <c r="A443" s="422"/>
      <c r="B443" s="422"/>
      <c r="C443" s="422"/>
    </row>
    <row r="444" spans="1:3" x14ac:dyDescent="0.25">
      <c r="A444" s="422"/>
      <c r="B444" s="422"/>
      <c r="C444" s="422"/>
    </row>
    <row r="445" spans="1:3" x14ac:dyDescent="0.25">
      <c r="A445" s="422"/>
      <c r="B445" s="422"/>
      <c r="C445" s="422"/>
    </row>
    <row r="446" spans="1:3" x14ac:dyDescent="0.25">
      <c r="A446" s="422"/>
      <c r="B446" s="422"/>
      <c r="C446" s="422"/>
    </row>
    <row r="447" spans="1:3" x14ac:dyDescent="0.25">
      <c r="A447" s="422"/>
      <c r="B447" s="422"/>
      <c r="C447" s="422"/>
    </row>
    <row r="448" spans="1:3" x14ac:dyDescent="0.25">
      <c r="A448" s="422"/>
      <c r="B448" s="422"/>
      <c r="C448" s="422"/>
    </row>
    <row r="449" spans="1:3" x14ac:dyDescent="0.25">
      <c r="A449" s="422"/>
      <c r="B449" s="422"/>
      <c r="C449" s="422"/>
    </row>
    <row r="450" spans="1:3" x14ac:dyDescent="0.25">
      <c r="A450" s="422"/>
      <c r="B450" s="422"/>
      <c r="C450" s="422"/>
    </row>
    <row r="451" spans="1:3" x14ac:dyDescent="0.25">
      <c r="A451" s="422"/>
      <c r="B451" s="422"/>
      <c r="C451" s="422"/>
    </row>
    <row r="452" spans="1:3" x14ac:dyDescent="0.25">
      <c r="A452" s="422"/>
      <c r="B452" s="422"/>
      <c r="C452" s="422"/>
    </row>
    <row r="453" spans="1:3" x14ac:dyDescent="0.25">
      <c r="A453" s="422"/>
      <c r="B453" s="422"/>
      <c r="C453" s="422"/>
    </row>
    <row r="454" spans="1:3" x14ac:dyDescent="0.25">
      <c r="A454" s="422"/>
      <c r="B454" s="422"/>
      <c r="C454" s="422"/>
    </row>
    <row r="455" spans="1:3" x14ac:dyDescent="0.25">
      <c r="A455" s="422"/>
      <c r="B455" s="422"/>
      <c r="C455" s="422"/>
    </row>
    <row r="456" spans="1:3" x14ac:dyDescent="0.25">
      <c r="A456" s="422"/>
      <c r="B456" s="422"/>
      <c r="C456" s="422"/>
    </row>
    <row r="457" spans="1:3" x14ac:dyDescent="0.25">
      <c r="A457" s="422"/>
      <c r="B457" s="422"/>
      <c r="C457" s="422"/>
    </row>
    <row r="458" spans="1:3" x14ac:dyDescent="0.25">
      <c r="A458" s="422"/>
      <c r="B458" s="422"/>
      <c r="C458" s="422"/>
    </row>
    <row r="459" spans="1:3" x14ac:dyDescent="0.25">
      <c r="A459" s="422"/>
      <c r="B459" s="422"/>
      <c r="C459" s="422"/>
    </row>
    <row r="460" spans="1:3" x14ac:dyDescent="0.25">
      <c r="A460" s="422"/>
      <c r="B460" s="422"/>
      <c r="C460" s="422"/>
    </row>
    <row r="461" spans="1:3" x14ac:dyDescent="0.25">
      <c r="A461" s="422"/>
      <c r="B461" s="422"/>
      <c r="C461" s="422"/>
    </row>
    <row r="462" spans="1:3" x14ac:dyDescent="0.25">
      <c r="A462" s="422"/>
      <c r="B462" s="422"/>
      <c r="C462" s="422"/>
    </row>
    <row r="463" spans="1:3" x14ac:dyDescent="0.25">
      <c r="A463" s="422"/>
      <c r="B463" s="422"/>
      <c r="C463" s="422"/>
    </row>
    <row r="464" spans="1:3" x14ac:dyDescent="0.25">
      <c r="A464" s="422"/>
      <c r="B464" s="422"/>
      <c r="C464" s="422"/>
    </row>
    <row r="465" spans="1:3" x14ac:dyDescent="0.25">
      <c r="A465" s="422"/>
      <c r="B465" s="422"/>
      <c r="C465" s="422"/>
    </row>
    <row r="466" spans="1:3" x14ac:dyDescent="0.25">
      <c r="A466" s="422"/>
      <c r="B466" s="422"/>
      <c r="C466" s="422"/>
    </row>
    <row r="467" spans="1:3" x14ac:dyDescent="0.25">
      <c r="A467" s="422"/>
      <c r="B467" s="422"/>
      <c r="C467" s="422"/>
    </row>
    <row r="468" spans="1:3" x14ac:dyDescent="0.25">
      <c r="A468" s="422"/>
      <c r="B468" s="422"/>
      <c r="C468" s="422"/>
    </row>
    <row r="469" spans="1:3" x14ac:dyDescent="0.25">
      <c r="A469" s="422"/>
      <c r="B469" s="422"/>
      <c r="C469" s="422"/>
    </row>
    <row r="470" spans="1:3" x14ac:dyDescent="0.25">
      <c r="A470" s="422"/>
      <c r="B470" s="422"/>
      <c r="C470" s="422"/>
    </row>
    <row r="471" spans="1:3" x14ac:dyDescent="0.25">
      <c r="A471" s="422"/>
      <c r="B471" s="422"/>
      <c r="C471" s="422"/>
    </row>
    <row r="472" spans="1:3" x14ac:dyDescent="0.25">
      <c r="A472" s="422"/>
      <c r="B472" s="422"/>
      <c r="C472" s="422"/>
    </row>
    <row r="473" spans="1:3" x14ac:dyDescent="0.25">
      <c r="A473" s="422"/>
      <c r="B473" s="422"/>
      <c r="C473" s="422"/>
    </row>
    <row r="474" spans="1:3" x14ac:dyDescent="0.25">
      <c r="A474" s="422"/>
      <c r="B474" s="422"/>
      <c r="C474" s="422"/>
    </row>
    <row r="475" spans="1:3" x14ac:dyDescent="0.25">
      <c r="A475" s="422"/>
      <c r="B475" s="422"/>
      <c r="C475" s="422"/>
    </row>
    <row r="476" spans="1:3" x14ac:dyDescent="0.25">
      <c r="A476" s="422"/>
      <c r="B476" s="422"/>
      <c r="C476" s="422"/>
    </row>
    <row r="477" spans="1:3" x14ac:dyDescent="0.25">
      <c r="A477" s="422"/>
      <c r="B477" s="422"/>
      <c r="C477" s="422"/>
    </row>
    <row r="478" spans="1:3" x14ac:dyDescent="0.25">
      <c r="A478" s="422"/>
      <c r="B478" s="422"/>
      <c r="C478" s="422"/>
    </row>
    <row r="479" spans="1:3" x14ac:dyDescent="0.25">
      <c r="A479" s="422"/>
      <c r="B479" s="422"/>
      <c r="C479" s="422"/>
    </row>
    <row r="480" spans="1:3" x14ac:dyDescent="0.25">
      <c r="A480" s="422"/>
      <c r="B480" s="422"/>
      <c r="C480" s="422"/>
    </row>
    <row r="481" spans="1:3" x14ac:dyDescent="0.25">
      <c r="A481" s="422"/>
      <c r="B481" s="422"/>
      <c r="C481" s="422"/>
    </row>
    <row r="482" spans="1:3" x14ac:dyDescent="0.25">
      <c r="A482" s="422"/>
      <c r="B482" s="422"/>
      <c r="C482" s="422"/>
    </row>
    <row r="483" spans="1:3" x14ac:dyDescent="0.25">
      <c r="A483" s="422"/>
      <c r="B483" s="422"/>
      <c r="C483" s="422"/>
    </row>
    <row r="484" spans="1:3" x14ac:dyDescent="0.25">
      <c r="A484" s="422"/>
      <c r="B484" s="422"/>
      <c r="C484" s="422"/>
    </row>
    <row r="485" spans="1:3" x14ac:dyDescent="0.25">
      <c r="A485" s="422"/>
      <c r="B485" s="422"/>
      <c r="C485" s="422"/>
    </row>
    <row r="486" spans="1:3" x14ac:dyDescent="0.25">
      <c r="A486" s="422"/>
      <c r="B486" s="422"/>
      <c r="C486" s="422"/>
    </row>
    <row r="487" spans="1:3" x14ac:dyDescent="0.25">
      <c r="A487" s="422"/>
      <c r="B487" s="422"/>
      <c r="C487" s="422"/>
    </row>
    <row r="488" spans="1:3" x14ac:dyDescent="0.25">
      <c r="A488" s="422"/>
      <c r="B488" s="422"/>
      <c r="C488" s="422"/>
    </row>
    <row r="489" spans="1:3" x14ac:dyDescent="0.25">
      <c r="A489" s="422"/>
      <c r="B489" s="422"/>
      <c r="C489" s="422"/>
    </row>
    <row r="490" spans="1:3" x14ac:dyDescent="0.25">
      <c r="A490" s="422"/>
      <c r="B490" s="422"/>
      <c r="C490" s="422"/>
    </row>
    <row r="491" spans="1:3" x14ac:dyDescent="0.25">
      <c r="A491" s="422"/>
      <c r="B491" s="422"/>
      <c r="C491" s="422"/>
    </row>
    <row r="492" spans="1:3" x14ac:dyDescent="0.25">
      <c r="A492" s="422"/>
      <c r="B492" s="422"/>
      <c r="C492" s="422"/>
    </row>
    <row r="493" spans="1:3" x14ac:dyDescent="0.25">
      <c r="A493" s="422"/>
      <c r="B493" s="422"/>
      <c r="C493" s="422"/>
    </row>
    <row r="494" spans="1:3" x14ac:dyDescent="0.25">
      <c r="A494" s="422"/>
      <c r="B494" s="422"/>
      <c r="C494" s="422"/>
    </row>
    <row r="495" spans="1:3" x14ac:dyDescent="0.25">
      <c r="A495" s="422"/>
      <c r="B495" s="422"/>
      <c r="C495" s="422"/>
    </row>
    <row r="496" spans="1:3" x14ac:dyDescent="0.25">
      <c r="A496" s="422"/>
      <c r="B496" s="422"/>
      <c r="C496" s="422"/>
    </row>
    <row r="497" spans="1:3" x14ac:dyDescent="0.25">
      <c r="A497" s="422"/>
      <c r="B497" s="422"/>
      <c r="C497" s="422"/>
    </row>
    <row r="498" spans="1:3" x14ac:dyDescent="0.25">
      <c r="A498" s="422"/>
      <c r="B498" s="422"/>
      <c r="C498" s="422"/>
    </row>
    <row r="499" spans="1:3" x14ac:dyDescent="0.25">
      <c r="A499" s="422"/>
      <c r="B499" s="422"/>
      <c r="C499" s="422"/>
    </row>
    <row r="500" spans="1:3" x14ac:dyDescent="0.25">
      <c r="A500" s="422"/>
      <c r="B500" s="422"/>
      <c r="C500" s="422"/>
    </row>
    <row r="501" spans="1:3" x14ac:dyDescent="0.25">
      <c r="A501" s="422"/>
      <c r="B501" s="422"/>
      <c r="C501" s="422"/>
    </row>
    <row r="502" spans="1:3" x14ac:dyDescent="0.25">
      <c r="A502" s="422"/>
      <c r="B502" s="422"/>
      <c r="C502" s="422"/>
    </row>
    <row r="503" spans="1:3" x14ac:dyDescent="0.25">
      <c r="A503" s="422"/>
      <c r="B503" s="422"/>
      <c r="C503" s="422"/>
    </row>
    <row r="504" spans="1:3" x14ac:dyDescent="0.25">
      <c r="A504" s="422"/>
      <c r="B504" s="422"/>
      <c r="C504" s="422"/>
    </row>
    <row r="505" spans="1:3" x14ac:dyDescent="0.25">
      <c r="A505" s="422"/>
      <c r="B505" s="422"/>
      <c r="C505" s="422"/>
    </row>
    <row r="506" spans="1:3" x14ac:dyDescent="0.25">
      <c r="A506" s="422"/>
      <c r="B506" s="422"/>
      <c r="C506" s="422"/>
    </row>
    <row r="507" spans="1:3" x14ac:dyDescent="0.25">
      <c r="A507" s="422"/>
      <c r="B507" s="422"/>
      <c r="C507" s="422"/>
    </row>
    <row r="508" spans="1:3" x14ac:dyDescent="0.25">
      <c r="A508" s="422"/>
      <c r="B508" s="422"/>
      <c r="C508" s="422"/>
    </row>
    <row r="509" spans="1:3" x14ac:dyDescent="0.25">
      <c r="A509" s="422"/>
      <c r="B509" s="422"/>
      <c r="C509" s="422"/>
    </row>
    <row r="510" spans="1:3" x14ac:dyDescent="0.25">
      <c r="A510" s="422"/>
      <c r="B510" s="422"/>
      <c r="C510" s="422"/>
    </row>
    <row r="511" spans="1:3" x14ac:dyDescent="0.25">
      <c r="A511" s="422"/>
      <c r="B511" s="422"/>
      <c r="C511" s="422"/>
    </row>
    <row r="512" spans="1:3" x14ac:dyDescent="0.25">
      <c r="A512" s="422"/>
      <c r="B512" s="422"/>
      <c r="C512" s="422"/>
    </row>
    <row r="513" spans="1:3" x14ac:dyDescent="0.25">
      <c r="A513" s="422"/>
      <c r="B513" s="422"/>
      <c r="C513" s="422"/>
    </row>
    <row r="514" spans="1:3" x14ac:dyDescent="0.25">
      <c r="A514" s="422"/>
      <c r="B514" s="422"/>
      <c r="C514" s="422"/>
    </row>
    <row r="515" spans="1:3" x14ac:dyDescent="0.25">
      <c r="A515" s="422"/>
      <c r="B515" s="422"/>
      <c r="C515" s="422"/>
    </row>
    <row r="516" spans="1:3" x14ac:dyDescent="0.25">
      <c r="A516" s="422"/>
      <c r="B516" s="422"/>
      <c r="C516" s="422"/>
    </row>
    <row r="517" spans="1:3" x14ac:dyDescent="0.25">
      <c r="A517" s="422"/>
      <c r="B517" s="422"/>
      <c r="C517" s="422"/>
    </row>
    <row r="518" spans="1:3" x14ac:dyDescent="0.25">
      <c r="A518" s="422"/>
      <c r="B518" s="422"/>
      <c r="C518" s="422"/>
    </row>
    <row r="519" spans="1:3" x14ac:dyDescent="0.25">
      <c r="A519" s="422"/>
      <c r="B519" s="422"/>
      <c r="C519" s="422"/>
    </row>
    <row r="520" spans="1:3" x14ac:dyDescent="0.25">
      <c r="A520" s="422"/>
      <c r="B520" s="422"/>
      <c r="C520" s="422"/>
    </row>
    <row r="521" spans="1:3" x14ac:dyDescent="0.25">
      <c r="A521" s="422"/>
      <c r="B521" s="422"/>
      <c r="C521" s="422"/>
    </row>
    <row r="522" spans="1:3" x14ac:dyDescent="0.25">
      <c r="A522" s="422"/>
      <c r="B522" s="422"/>
      <c r="C522" s="422"/>
    </row>
    <row r="523" spans="1:3" x14ac:dyDescent="0.25">
      <c r="A523" s="422"/>
      <c r="B523" s="422"/>
      <c r="C523" s="422"/>
    </row>
    <row r="524" spans="1:3" x14ac:dyDescent="0.25">
      <c r="A524" s="422"/>
      <c r="B524" s="422"/>
      <c r="C524" s="422"/>
    </row>
    <row r="525" spans="1:3" x14ac:dyDescent="0.25">
      <c r="A525" s="422"/>
      <c r="B525" s="422"/>
      <c r="C525" s="422"/>
    </row>
    <row r="526" spans="1:3" x14ac:dyDescent="0.25">
      <c r="A526" s="422"/>
      <c r="B526" s="422"/>
      <c r="C526" s="422"/>
    </row>
    <row r="527" spans="1:3" x14ac:dyDescent="0.25">
      <c r="A527" s="422"/>
      <c r="B527" s="422"/>
      <c r="C527" s="422"/>
    </row>
    <row r="528" spans="1:3" x14ac:dyDescent="0.25">
      <c r="A528" s="422"/>
      <c r="B528" s="422"/>
      <c r="C528" s="422"/>
    </row>
    <row r="529" spans="1:3" x14ac:dyDescent="0.25">
      <c r="A529" s="422"/>
      <c r="B529" s="422"/>
      <c r="C529" s="422"/>
    </row>
    <row r="530" spans="1:3" x14ac:dyDescent="0.25">
      <c r="A530" s="422"/>
      <c r="B530" s="422"/>
      <c r="C530" s="422"/>
    </row>
    <row r="531" spans="1:3" x14ac:dyDescent="0.25">
      <c r="A531" s="422"/>
      <c r="B531" s="422"/>
      <c r="C531" s="422"/>
    </row>
    <row r="532" spans="1:3" x14ac:dyDescent="0.25">
      <c r="A532" s="422"/>
      <c r="B532" s="422"/>
      <c r="C532" s="422"/>
    </row>
    <row r="533" spans="1:3" x14ac:dyDescent="0.25">
      <c r="A533" s="422"/>
      <c r="B533" s="422"/>
      <c r="C533" s="422"/>
    </row>
    <row r="534" spans="1:3" x14ac:dyDescent="0.25">
      <c r="A534" s="422"/>
      <c r="B534" s="422"/>
      <c r="C534" s="422"/>
    </row>
    <row r="535" spans="1:3" x14ac:dyDescent="0.25">
      <c r="A535" s="422"/>
      <c r="B535" s="422"/>
      <c r="C535" s="422"/>
    </row>
    <row r="536" spans="1:3" x14ac:dyDescent="0.25">
      <c r="A536" s="422"/>
      <c r="B536" s="422"/>
      <c r="C536" s="422"/>
    </row>
    <row r="537" spans="1:3" x14ac:dyDescent="0.25">
      <c r="A537" s="422"/>
      <c r="B537" s="422"/>
      <c r="C537" s="422"/>
    </row>
    <row r="538" spans="1:3" x14ac:dyDescent="0.25">
      <c r="A538" s="422"/>
      <c r="B538" s="422"/>
      <c r="C538" s="422"/>
    </row>
    <row r="539" spans="1:3" x14ac:dyDescent="0.25">
      <c r="A539" s="422"/>
      <c r="B539" s="422"/>
      <c r="C539" s="422"/>
    </row>
    <row r="540" spans="1:3" x14ac:dyDescent="0.25">
      <c r="A540" s="422"/>
      <c r="B540" s="422"/>
      <c r="C540" s="422"/>
    </row>
    <row r="541" spans="1:3" x14ac:dyDescent="0.25">
      <c r="A541" s="422"/>
      <c r="B541" s="422"/>
      <c r="C541" s="422"/>
    </row>
    <row r="542" spans="1:3" x14ac:dyDescent="0.25">
      <c r="A542" s="422"/>
      <c r="B542" s="422"/>
      <c r="C542" s="422"/>
    </row>
    <row r="543" spans="1:3" x14ac:dyDescent="0.25">
      <c r="A543" s="422"/>
      <c r="B543" s="422"/>
      <c r="C543" s="422"/>
    </row>
    <row r="544" spans="1:3" x14ac:dyDescent="0.25">
      <c r="A544" s="422"/>
      <c r="B544" s="422"/>
      <c r="C544" s="422"/>
    </row>
    <row r="545" spans="1:3" x14ac:dyDescent="0.25">
      <c r="A545" s="422"/>
      <c r="B545" s="422"/>
      <c r="C545" s="422"/>
    </row>
    <row r="546" spans="1:3" x14ac:dyDescent="0.25">
      <c r="A546" s="422"/>
      <c r="B546" s="422"/>
      <c r="C546" s="422"/>
    </row>
    <row r="547" spans="1:3" x14ac:dyDescent="0.25">
      <c r="A547" s="422"/>
      <c r="B547" s="422"/>
      <c r="C547" s="422"/>
    </row>
    <row r="548" spans="1:3" x14ac:dyDescent="0.25">
      <c r="A548" s="422"/>
      <c r="B548" s="422"/>
      <c r="C548" s="422"/>
    </row>
    <row r="549" spans="1:3" x14ac:dyDescent="0.25">
      <c r="A549" s="422"/>
      <c r="B549" s="422"/>
      <c r="C549" s="422"/>
    </row>
    <row r="550" spans="1:3" x14ac:dyDescent="0.25">
      <c r="A550" s="422"/>
      <c r="B550" s="422"/>
      <c r="C550" s="422"/>
    </row>
    <row r="551" spans="1:3" x14ac:dyDescent="0.25">
      <c r="A551" s="422"/>
      <c r="B551" s="422"/>
      <c r="C551" s="422"/>
    </row>
    <row r="552" spans="1:3" x14ac:dyDescent="0.25">
      <c r="A552" s="422"/>
      <c r="B552" s="422"/>
      <c r="C552" s="422"/>
    </row>
    <row r="553" spans="1:3" x14ac:dyDescent="0.25">
      <c r="A553" s="422"/>
      <c r="B553" s="422"/>
      <c r="C553" s="422"/>
    </row>
    <row r="554" spans="1:3" x14ac:dyDescent="0.25">
      <c r="A554" s="422"/>
      <c r="B554" s="422"/>
      <c r="C554" s="422"/>
    </row>
    <row r="555" spans="1:3" x14ac:dyDescent="0.25">
      <c r="A555" s="422"/>
      <c r="B555" s="422"/>
      <c r="C555" s="422"/>
    </row>
    <row r="556" spans="1:3" x14ac:dyDescent="0.25">
      <c r="A556" s="422"/>
      <c r="B556" s="422"/>
      <c r="C556" s="422"/>
    </row>
    <row r="557" spans="1:3" x14ac:dyDescent="0.25">
      <c r="A557" s="422"/>
      <c r="B557" s="422"/>
      <c r="C557" s="422"/>
    </row>
    <row r="558" spans="1:3" x14ac:dyDescent="0.25">
      <c r="A558" s="422"/>
      <c r="B558" s="422"/>
      <c r="C558" s="422"/>
    </row>
    <row r="559" spans="1:3" x14ac:dyDescent="0.25">
      <c r="A559" s="422"/>
      <c r="B559" s="422"/>
      <c r="C559" s="422"/>
    </row>
    <row r="560" spans="1:3" x14ac:dyDescent="0.25">
      <c r="A560" s="422"/>
      <c r="B560" s="422"/>
      <c r="C560" s="422"/>
    </row>
    <row r="561" spans="1:3" x14ac:dyDescent="0.25">
      <c r="A561" s="422"/>
      <c r="B561" s="422"/>
      <c r="C561" s="422"/>
    </row>
    <row r="562" spans="1:3" x14ac:dyDescent="0.25">
      <c r="A562" s="422"/>
      <c r="B562" s="422"/>
      <c r="C562" s="422"/>
    </row>
    <row r="563" spans="1:3" x14ac:dyDescent="0.25">
      <c r="A563" s="422"/>
      <c r="B563" s="422"/>
      <c r="C563" s="422"/>
    </row>
    <row r="564" spans="1:3" x14ac:dyDescent="0.25">
      <c r="A564" s="422"/>
      <c r="B564" s="422"/>
      <c r="C564" s="422"/>
    </row>
    <row r="565" spans="1:3" x14ac:dyDescent="0.25">
      <c r="A565" s="422"/>
      <c r="B565" s="422"/>
      <c r="C565" s="422"/>
    </row>
    <row r="566" spans="1:3" x14ac:dyDescent="0.25">
      <c r="A566" s="422"/>
      <c r="B566" s="422"/>
      <c r="C566" s="422"/>
    </row>
    <row r="567" spans="1:3" x14ac:dyDescent="0.25">
      <c r="A567" s="422"/>
      <c r="B567" s="422"/>
      <c r="C567" s="422"/>
    </row>
    <row r="568" spans="1:3" x14ac:dyDescent="0.25">
      <c r="A568" s="422"/>
      <c r="B568" s="422"/>
      <c r="C568" s="422"/>
    </row>
    <row r="569" spans="1:3" x14ac:dyDescent="0.25">
      <c r="A569" s="422"/>
      <c r="B569" s="422"/>
      <c r="C569" s="422"/>
    </row>
    <row r="570" spans="1:3" x14ac:dyDescent="0.25">
      <c r="A570" s="422"/>
      <c r="B570" s="422"/>
      <c r="C570" s="422"/>
    </row>
    <row r="571" spans="1:3" x14ac:dyDescent="0.25">
      <c r="A571" s="422"/>
      <c r="B571" s="422"/>
      <c r="C571" s="422"/>
    </row>
    <row r="572" spans="1:3" x14ac:dyDescent="0.25">
      <c r="A572" s="422"/>
      <c r="B572" s="422"/>
      <c r="C572" s="422"/>
    </row>
    <row r="573" spans="1:3" x14ac:dyDescent="0.25">
      <c r="A573" s="422"/>
      <c r="B573" s="422"/>
      <c r="C573" s="422"/>
    </row>
    <row r="574" spans="1:3" x14ac:dyDescent="0.25">
      <c r="A574" s="422"/>
      <c r="B574" s="422"/>
      <c r="C574" s="422"/>
    </row>
    <row r="575" spans="1:3" x14ac:dyDescent="0.25">
      <c r="A575" s="422"/>
      <c r="B575" s="422"/>
      <c r="C575" s="422"/>
    </row>
    <row r="576" spans="1:3" x14ac:dyDescent="0.25">
      <c r="A576" s="422"/>
      <c r="B576" s="422"/>
      <c r="C576" s="422"/>
    </row>
    <row r="577" spans="1:3" x14ac:dyDescent="0.25">
      <c r="A577" s="422"/>
      <c r="B577" s="422"/>
      <c r="C577" s="422"/>
    </row>
    <row r="578" spans="1:3" x14ac:dyDescent="0.25">
      <c r="A578" s="422"/>
      <c r="B578" s="422"/>
      <c r="C578" s="422"/>
    </row>
    <row r="579" spans="1:3" x14ac:dyDescent="0.25">
      <c r="A579" s="422"/>
      <c r="B579" s="422"/>
      <c r="C579" s="422"/>
    </row>
    <row r="580" spans="1:3" x14ac:dyDescent="0.25">
      <c r="A580" s="422"/>
      <c r="B580" s="422"/>
      <c r="C580" s="422"/>
    </row>
    <row r="581" spans="1:3" x14ac:dyDescent="0.25">
      <c r="A581" s="422"/>
      <c r="B581" s="422"/>
      <c r="C581" s="422"/>
    </row>
    <row r="582" spans="1:3" x14ac:dyDescent="0.25">
      <c r="A582" s="422"/>
      <c r="B582" s="422"/>
      <c r="C582" s="422"/>
    </row>
    <row r="583" spans="1:3" x14ac:dyDescent="0.25">
      <c r="A583" s="422"/>
      <c r="B583" s="422"/>
      <c r="C583" s="422"/>
    </row>
    <row r="584" spans="1:3" x14ac:dyDescent="0.25">
      <c r="A584" s="422"/>
      <c r="B584" s="422"/>
      <c r="C584" s="422"/>
    </row>
    <row r="585" spans="1:3" x14ac:dyDescent="0.25">
      <c r="A585" s="422"/>
      <c r="B585" s="422"/>
      <c r="C585" s="422"/>
    </row>
    <row r="586" spans="1:3" x14ac:dyDescent="0.25">
      <c r="A586" s="422"/>
      <c r="B586" s="422"/>
      <c r="C586" s="422"/>
    </row>
    <row r="587" spans="1:3" x14ac:dyDescent="0.25">
      <c r="A587" s="422"/>
      <c r="B587" s="422"/>
      <c r="C587" s="422"/>
    </row>
    <row r="588" spans="1:3" x14ac:dyDescent="0.25">
      <c r="A588" s="422"/>
      <c r="B588" s="422"/>
      <c r="C588" s="422"/>
    </row>
    <row r="589" spans="1:3" x14ac:dyDescent="0.25">
      <c r="A589" s="422"/>
      <c r="B589" s="422"/>
      <c r="C589" s="422"/>
    </row>
    <row r="590" spans="1:3" x14ac:dyDescent="0.25">
      <c r="A590" s="422"/>
      <c r="B590" s="422"/>
      <c r="C590" s="422"/>
    </row>
    <row r="591" spans="1:3" x14ac:dyDescent="0.25">
      <c r="A591" s="422"/>
      <c r="B591" s="422"/>
      <c r="C591" s="422"/>
    </row>
    <row r="592" spans="1:3" x14ac:dyDescent="0.25">
      <c r="A592" s="422"/>
      <c r="B592" s="422"/>
      <c r="C592" s="422"/>
    </row>
    <row r="593" spans="1:3" x14ac:dyDescent="0.25">
      <c r="A593" s="422"/>
      <c r="B593" s="422"/>
      <c r="C593" s="422"/>
    </row>
    <row r="594" spans="1:3" x14ac:dyDescent="0.25">
      <c r="A594" s="422"/>
      <c r="B594" s="422"/>
      <c r="C594" s="422"/>
    </row>
    <row r="595" spans="1:3" x14ac:dyDescent="0.25">
      <c r="A595" s="422"/>
      <c r="B595" s="422"/>
      <c r="C595" s="422"/>
    </row>
    <row r="596" spans="1:3" x14ac:dyDescent="0.25">
      <c r="A596" s="422"/>
      <c r="B596" s="422"/>
      <c r="C596" s="422"/>
    </row>
    <row r="597" spans="1:3" x14ac:dyDescent="0.25">
      <c r="A597" s="422"/>
      <c r="B597" s="422"/>
      <c r="C597" s="422"/>
    </row>
    <row r="598" spans="1:3" x14ac:dyDescent="0.25">
      <c r="A598" s="422"/>
      <c r="B598" s="422"/>
      <c r="C598" s="422"/>
    </row>
    <row r="599" spans="1:3" x14ac:dyDescent="0.25">
      <c r="A599" s="422"/>
      <c r="B599" s="422"/>
      <c r="C599" s="422"/>
    </row>
    <row r="600" spans="1:3" x14ac:dyDescent="0.25">
      <c r="A600" s="422"/>
      <c r="B600" s="422"/>
      <c r="C600" s="422"/>
    </row>
    <row r="601" spans="1:3" x14ac:dyDescent="0.25">
      <c r="A601" s="422"/>
      <c r="B601" s="422"/>
      <c r="C601" s="422"/>
    </row>
    <row r="602" spans="1:3" x14ac:dyDescent="0.25">
      <c r="A602" s="422"/>
      <c r="B602" s="422"/>
      <c r="C602" s="422"/>
    </row>
    <row r="603" spans="1:3" x14ac:dyDescent="0.25">
      <c r="A603" s="422"/>
      <c r="B603" s="422"/>
      <c r="C603" s="422"/>
    </row>
    <row r="604" spans="1:3" x14ac:dyDescent="0.25">
      <c r="A604" s="422"/>
      <c r="B604" s="422"/>
      <c r="C604" s="422"/>
    </row>
    <row r="605" spans="1:3" x14ac:dyDescent="0.25">
      <c r="A605" s="422"/>
      <c r="B605" s="422"/>
      <c r="C605" s="422"/>
    </row>
    <row r="606" spans="1:3" x14ac:dyDescent="0.25">
      <c r="A606" s="422"/>
      <c r="B606" s="422"/>
      <c r="C606" s="422"/>
    </row>
    <row r="607" spans="1:3" x14ac:dyDescent="0.25">
      <c r="A607" s="422"/>
      <c r="B607" s="422"/>
      <c r="C607" s="422"/>
    </row>
    <row r="608" spans="1:3" x14ac:dyDescent="0.25">
      <c r="A608" s="422"/>
      <c r="B608" s="422"/>
      <c r="C608" s="422"/>
    </row>
    <row r="609" spans="1:3" x14ac:dyDescent="0.25">
      <c r="A609" s="422"/>
      <c r="B609" s="422"/>
      <c r="C609" s="422"/>
    </row>
    <row r="610" spans="1:3" x14ac:dyDescent="0.25">
      <c r="A610" s="422"/>
      <c r="B610" s="422"/>
      <c r="C610" s="422"/>
    </row>
    <row r="611" spans="1:3" x14ac:dyDescent="0.25">
      <c r="A611" s="422"/>
      <c r="B611" s="422"/>
      <c r="C611" s="422"/>
    </row>
    <row r="612" spans="1:3" x14ac:dyDescent="0.25">
      <c r="A612" s="422"/>
      <c r="B612" s="422"/>
      <c r="C612" s="422"/>
    </row>
    <row r="613" spans="1:3" x14ac:dyDescent="0.25">
      <c r="A613" s="422"/>
      <c r="B613" s="422"/>
      <c r="C613" s="422"/>
    </row>
    <row r="614" spans="1:3" x14ac:dyDescent="0.25">
      <c r="A614" s="422"/>
      <c r="B614" s="422"/>
      <c r="C614" s="422"/>
    </row>
    <row r="615" spans="1:3" x14ac:dyDescent="0.25">
      <c r="A615" s="422"/>
      <c r="B615" s="422"/>
      <c r="C615" s="422"/>
    </row>
    <row r="616" spans="1:3" x14ac:dyDescent="0.25">
      <c r="A616" s="422"/>
      <c r="B616" s="422"/>
      <c r="C616" s="422"/>
    </row>
    <row r="617" spans="1:3" x14ac:dyDescent="0.25">
      <c r="A617" s="422"/>
      <c r="B617" s="422"/>
      <c r="C617" s="422"/>
    </row>
    <row r="618" spans="1:3" x14ac:dyDescent="0.25">
      <c r="A618" s="422"/>
      <c r="B618" s="422"/>
      <c r="C618" s="422"/>
    </row>
    <row r="619" spans="1:3" x14ac:dyDescent="0.25">
      <c r="A619" s="422"/>
      <c r="B619" s="422"/>
      <c r="C619" s="422"/>
    </row>
    <row r="620" spans="1:3" x14ac:dyDescent="0.25">
      <c r="A620" s="422"/>
      <c r="B620" s="422"/>
      <c r="C620" s="422"/>
    </row>
    <row r="621" spans="1:3" x14ac:dyDescent="0.25">
      <c r="A621" s="422"/>
      <c r="B621" s="422"/>
      <c r="C621" s="422"/>
    </row>
    <row r="622" spans="1:3" x14ac:dyDescent="0.25">
      <c r="A622" s="422"/>
      <c r="B622" s="422"/>
      <c r="C622" s="422"/>
    </row>
    <row r="623" spans="1:3" x14ac:dyDescent="0.25">
      <c r="A623" s="422"/>
      <c r="B623" s="422"/>
      <c r="C623" s="422"/>
    </row>
    <row r="624" spans="1:3" x14ac:dyDescent="0.25">
      <c r="A624" s="422"/>
      <c r="B624" s="422"/>
      <c r="C624" s="422"/>
    </row>
    <row r="625" spans="1:3" x14ac:dyDescent="0.25">
      <c r="A625" s="422"/>
      <c r="B625" s="422"/>
      <c r="C625" s="422"/>
    </row>
    <row r="626" spans="1:3" x14ac:dyDescent="0.25">
      <c r="A626" s="422"/>
      <c r="B626" s="422"/>
      <c r="C626" s="422"/>
    </row>
    <row r="627" spans="1:3" x14ac:dyDescent="0.25">
      <c r="A627" s="422"/>
      <c r="B627" s="422"/>
      <c r="C627" s="422"/>
    </row>
    <row r="628" spans="1:3" x14ac:dyDescent="0.25">
      <c r="A628" s="422"/>
      <c r="B628" s="422"/>
      <c r="C628" s="422"/>
    </row>
    <row r="629" spans="1:3" x14ac:dyDescent="0.25">
      <c r="A629" s="422"/>
      <c r="B629" s="422"/>
      <c r="C629" s="422"/>
    </row>
    <row r="630" spans="1:3" x14ac:dyDescent="0.25">
      <c r="A630" s="422"/>
      <c r="B630" s="422"/>
      <c r="C630" s="422"/>
    </row>
    <row r="631" spans="1:3" x14ac:dyDescent="0.25">
      <c r="A631" s="422"/>
      <c r="B631" s="422"/>
      <c r="C631" s="422"/>
    </row>
    <row r="632" spans="1:3" x14ac:dyDescent="0.25">
      <c r="A632" s="422"/>
      <c r="B632" s="422"/>
      <c r="C632" s="422"/>
    </row>
    <row r="633" spans="1:3" x14ac:dyDescent="0.25">
      <c r="A633" s="422"/>
      <c r="B633" s="422"/>
      <c r="C633" s="422"/>
    </row>
    <row r="634" spans="1:3" x14ac:dyDescent="0.25">
      <c r="A634" s="422"/>
      <c r="B634" s="422"/>
      <c r="C634" s="422"/>
    </row>
    <row r="635" spans="1:3" x14ac:dyDescent="0.25">
      <c r="A635" s="422"/>
      <c r="B635" s="422"/>
      <c r="C635" s="422"/>
    </row>
    <row r="636" spans="1:3" x14ac:dyDescent="0.25">
      <c r="A636" s="422"/>
      <c r="B636" s="422"/>
      <c r="C636" s="422"/>
    </row>
    <row r="637" spans="1:3" x14ac:dyDescent="0.25">
      <c r="A637" s="422"/>
      <c r="B637" s="422"/>
      <c r="C637" s="422"/>
    </row>
    <row r="638" spans="1:3" x14ac:dyDescent="0.25">
      <c r="A638" s="422"/>
      <c r="B638" s="422"/>
      <c r="C638" s="422"/>
    </row>
    <row r="639" spans="1:3" x14ac:dyDescent="0.25">
      <c r="A639" s="422"/>
      <c r="B639" s="422"/>
      <c r="C639" s="422"/>
    </row>
    <row r="640" spans="1:3" x14ac:dyDescent="0.25">
      <c r="A640" s="422"/>
      <c r="B640" s="422"/>
      <c r="C640" s="422"/>
    </row>
    <row r="641" spans="1:3" x14ac:dyDescent="0.25">
      <c r="A641" s="422"/>
      <c r="B641" s="422"/>
      <c r="C641" s="422"/>
    </row>
    <row r="642" spans="1:3" x14ac:dyDescent="0.25">
      <c r="A642" s="422"/>
      <c r="B642" s="422"/>
      <c r="C642" s="422"/>
    </row>
    <row r="643" spans="1:3" x14ac:dyDescent="0.25">
      <c r="A643" s="422"/>
      <c r="B643" s="422"/>
      <c r="C643" s="422"/>
    </row>
    <row r="644" spans="1:3" x14ac:dyDescent="0.25">
      <c r="A644" s="422"/>
      <c r="B644" s="422"/>
      <c r="C644" s="422"/>
    </row>
    <row r="645" spans="1:3" x14ac:dyDescent="0.25">
      <c r="A645" s="422"/>
      <c r="B645" s="422"/>
      <c r="C645" s="422"/>
    </row>
    <row r="646" spans="1:3" x14ac:dyDescent="0.25">
      <c r="A646" s="422"/>
      <c r="B646" s="422"/>
      <c r="C646" s="422"/>
    </row>
    <row r="647" spans="1:3" x14ac:dyDescent="0.25">
      <c r="A647" s="422"/>
      <c r="B647" s="422"/>
      <c r="C647" s="422"/>
    </row>
    <row r="648" spans="1:3" x14ac:dyDescent="0.25">
      <c r="A648" s="422"/>
      <c r="B648" s="422"/>
      <c r="C648" s="422"/>
    </row>
    <row r="649" spans="1:3" x14ac:dyDescent="0.25">
      <c r="A649" s="422"/>
      <c r="B649" s="422"/>
      <c r="C649" s="422"/>
    </row>
    <row r="650" spans="1:3" x14ac:dyDescent="0.25">
      <c r="A650" s="422"/>
      <c r="B650" s="422"/>
      <c r="C650" s="422"/>
    </row>
    <row r="651" spans="1:3" x14ac:dyDescent="0.25">
      <c r="A651" s="422"/>
      <c r="B651" s="422"/>
      <c r="C651" s="422"/>
    </row>
    <row r="652" spans="1:3" x14ac:dyDescent="0.25">
      <c r="A652" s="422"/>
      <c r="B652" s="422"/>
      <c r="C652" s="422"/>
    </row>
    <row r="653" spans="1:3" x14ac:dyDescent="0.25">
      <c r="A653" s="422"/>
      <c r="B653" s="422"/>
      <c r="C653" s="422"/>
    </row>
    <row r="654" spans="1:3" x14ac:dyDescent="0.25">
      <c r="A654" s="422"/>
      <c r="B654" s="422"/>
      <c r="C654" s="422"/>
    </row>
    <row r="655" spans="1:3" x14ac:dyDescent="0.25">
      <c r="A655" s="422"/>
      <c r="B655" s="422"/>
      <c r="C655" s="422"/>
    </row>
    <row r="656" spans="1:3" x14ac:dyDescent="0.25">
      <c r="A656" s="422"/>
      <c r="B656" s="422"/>
      <c r="C656" s="422"/>
    </row>
    <row r="657" spans="1:3" x14ac:dyDescent="0.25">
      <c r="A657" s="422"/>
      <c r="B657" s="422"/>
      <c r="C657" s="422"/>
    </row>
    <row r="658" spans="1:3" x14ac:dyDescent="0.25">
      <c r="A658" s="422"/>
      <c r="B658" s="422"/>
      <c r="C658" s="422"/>
    </row>
    <row r="659" spans="1:3" x14ac:dyDescent="0.25">
      <c r="A659" s="422"/>
      <c r="B659" s="422"/>
      <c r="C659" s="422"/>
    </row>
    <row r="660" spans="1:3" x14ac:dyDescent="0.25">
      <c r="A660" s="422"/>
      <c r="B660" s="422"/>
      <c r="C660" s="422"/>
    </row>
    <row r="661" spans="1:3" x14ac:dyDescent="0.25">
      <c r="A661" s="422"/>
      <c r="B661" s="422"/>
      <c r="C661" s="422"/>
    </row>
    <row r="662" spans="1:3" x14ac:dyDescent="0.25">
      <c r="A662" s="422"/>
      <c r="B662" s="422"/>
      <c r="C662" s="422"/>
    </row>
    <row r="663" spans="1:3" x14ac:dyDescent="0.25">
      <c r="A663" s="422"/>
      <c r="B663" s="422"/>
      <c r="C663" s="422"/>
    </row>
    <row r="664" spans="1:3" x14ac:dyDescent="0.25">
      <c r="A664" s="422"/>
      <c r="B664" s="422"/>
      <c r="C664" s="422"/>
    </row>
    <row r="665" spans="1:3" x14ac:dyDescent="0.25">
      <c r="A665" s="422"/>
      <c r="B665" s="422"/>
      <c r="C665" s="422"/>
    </row>
    <row r="666" spans="1:3" x14ac:dyDescent="0.25">
      <c r="A666" s="422"/>
      <c r="B666" s="422"/>
      <c r="C666" s="422"/>
    </row>
    <row r="667" spans="1:3" x14ac:dyDescent="0.25">
      <c r="A667" s="422"/>
      <c r="B667" s="422"/>
      <c r="C667" s="422"/>
    </row>
    <row r="668" spans="1:3" x14ac:dyDescent="0.25">
      <c r="A668" s="422"/>
      <c r="B668" s="422"/>
      <c r="C668" s="422"/>
    </row>
    <row r="669" spans="1:3" x14ac:dyDescent="0.25">
      <c r="A669" s="422"/>
      <c r="B669" s="422"/>
      <c r="C669" s="422"/>
    </row>
    <row r="670" spans="1:3" x14ac:dyDescent="0.25">
      <c r="A670" s="422"/>
      <c r="B670" s="422"/>
      <c r="C670" s="422"/>
    </row>
    <row r="671" spans="1:3" x14ac:dyDescent="0.25">
      <c r="A671" s="422"/>
      <c r="B671" s="422"/>
      <c r="C671" s="422"/>
    </row>
    <row r="672" spans="1:3" x14ac:dyDescent="0.25">
      <c r="A672" s="422"/>
      <c r="B672" s="422"/>
      <c r="C672" s="422"/>
    </row>
    <row r="673" spans="1:3" x14ac:dyDescent="0.25">
      <c r="A673" s="422"/>
      <c r="B673" s="422"/>
      <c r="C673" s="422"/>
    </row>
    <row r="674" spans="1:3" x14ac:dyDescent="0.25">
      <c r="A674" s="422"/>
      <c r="B674" s="422"/>
      <c r="C674" s="422"/>
    </row>
    <row r="675" spans="1:3" x14ac:dyDescent="0.25">
      <c r="A675" s="422"/>
      <c r="B675" s="422"/>
      <c r="C675" s="422"/>
    </row>
    <row r="676" spans="1:3" x14ac:dyDescent="0.25">
      <c r="A676" s="422"/>
      <c r="B676" s="422"/>
      <c r="C676" s="422"/>
    </row>
    <row r="677" spans="1:3" x14ac:dyDescent="0.25">
      <c r="A677" s="422"/>
      <c r="B677" s="422"/>
      <c r="C677" s="422"/>
    </row>
    <row r="678" spans="1:3" x14ac:dyDescent="0.25">
      <c r="A678" s="422"/>
      <c r="B678" s="422"/>
      <c r="C678" s="422"/>
    </row>
    <row r="679" spans="1:3" x14ac:dyDescent="0.25">
      <c r="A679" s="422"/>
      <c r="B679" s="422"/>
      <c r="C679" s="422"/>
    </row>
    <row r="680" spans="1:3" x14ac:dyDescent="0.25">
      <c r="A680" s="422"/>
      <c r="B680" s="422"/>
      <c r="C680" s="422"/>
    </row>
    <row r="681" spans="1:3" x14ac:dyDescent="0.25">
      <c r="A681" s="422"/>
      <c r="B681" s="422"/>
      <c r="C681" s="422"/>
    </row>
    <row r="682" spans="1:3" x14ac:dyDescent="0.25">
      <c r="A682" s="422"/>
      <c r="B682" s="422"/>
      <c r="C682" s="422"/>
    </row>
    <row r="683" spans="1:3" x14ac:dyDescent="0.25">
      <c r="A683" s="422"/>
      <c r="B683" s="422"/>
      <c r="C683" s="422"/>
    </row>
    <row r="684" spans="1:3" x14ac:dyDescent="0.25">
      <c r="A684" s="422"/>
      <c r="B684" s="422"/>
      <c r="C684" s="422"/>
    </row>
    <row r="685" spans="1:3" x14ac:dyDescent="0.25">
      <c r="A685" s="422"/>
      <c r="B685" s="422"/>
      <c r="C685" s="422"/>
    </row>
    <row r="686" spans="1:3" x14ac:dyDescent="0.25">
      <c r="A686" s="422"/>
      <c r="B686" s="422"/>
      <c r="C686" s="422"/>
    </row>
    <row r="687" spans="1:3" x14ac:dyDescent="0.25">
      <c r="A687" s="422"/>
      <c r="B687" s="422"/>
      <c r="C687" s="422"/>
    </row>
    <row r="688" spans="1:3" x14ac:dyDescent="0.25">
      <c r="A688" s="422"/>
      <c r="B688" s="422"/>
      <c r="C688" s="422"/>
    </row>
    <row r="689" spans="1:3" x14ac:dyDescent="0.25">
      <c r="A689" s="422"/>
      <c r="B689" s="422"/>
      <c r="C689" s="422"/>
    </row>
    <row r="690" spans="1:3" x14ac:dyDescent="0.25">
      <c r="A690" s="422"/>
      <c r="B690" s="422"/>
      <c r="C690" s="422"/>
    </row>
    <row r="691" spans="1:3" x14ac:dyDescent="0.25">
      <c r="A691" s="422"/>
      <c r="B691" s="422"/>
      <c r="C691" s="422"/>
    </row>
    <row r="692" spans="1:3" x14ac:dyDescent="0.25">
      <c r="A692" s="422"/>
      <c r="B692" s="422"/>
      <c r="C692" s="422"/>
    </row>
    <row r="693" spans="1:3" x14ac:dyDescent="0.25">
      <c r="A693" s="422"/>
      <c r="B693" s="422"/>
      <c r="C693" s="422"/>
    </row>
    <row r="694" spans="1:3" x14ac:dyDescent="0.25">
      <c r="A694" s="422"/>
      <c r="B694" s="422"/>
      <c r="C694" s="422"/>
    </row>
    <row r="695" spans="1:3" x14ac:dyDescent="0.25">
      <c r="A695" s="422"/>
      <c r="B695" s="422"/>
      <c r="C695" s="422"/>
    </row>
    <row r="696" spans="1:3" x14ac:dyDescent="0.25">
      <c r="A696" s="422"/>
      <c r="B696" s="422"/>
      <c r="C696" s="422"/>
    </row>
    <row r="697" spans="1:3" x14ac:dyDescent="0.25">
      <c r="A697" s="422"/>
      <c r="B697" s="422"/>
      <c r="C697" s="422"/>
    </row>
    <row r="698" spans="1:3" x14ac:dyDescent="0.25">
      <c r="A698" s="422"/>
      <c r="B698" s="422"/>
      <c r="C698" s="422"/>
    </row>
    <row r="699" spans="1:3" x14ac:dyDescent="0.25">
      <c r="A699" s="422"/>
      <c r="B699" s="422"/>
      <c r="C699" s="422"/>
    </row>
    <row r="700" spans="1:3" x14ac:dyDescent="0.25">
      <c r="A700" s="422"/>
      <c r="B700" s="422"/>
      <c r="C700" s="422"/>
    </row>
    <row r="701" spans="1:3" x14ac:dyDescent="0.25">
      <c r="A701" s="422"/>
      <c r="B701" s="422"/>
      <c r="C701" s="422"/>
    </row>
    <row r="702" spans="1:3" x14ac:dyDescent="0.25">
      <c r="A702" s="422"/>
      <c r="B702" s="422"/>
      <c r="C702" s="422"/>
    </row>
    <row r="703" spans="1:3" x14ac:dyDescent="0.25">
      <c r="A703" s="422"/>
      <c r="B703" s="422"/>
      <c r="C703" s="422"/>
    </row>
    <row r="704" spans="1:3" x14ac:dyDescent="0.25">
      <c r="A704" s="422"/>
      <c r="B704" s="422"/>
      <c r="C704" s="422"/>
    </row>
    <row r="705" spans="1:3" x14ac:dyDescent="0.25">
      <c r="A705" s="422"/>
      <c r="B705" s="422"/>
      <c r="C705" s="422"/>
    </row>
    <row r="706" spans="1:3" x14ac:dyDescent="0.25">
      <c r="A706" s="422"/>
      <c r="B706" s="422"/>
      <c r="C706" s="422"/>
    </row>
    <row r="707" spans="1:3" x14ac:dyDescent="0.25">
      <c r="A707" s="422"/>
      <c r="B707" s="422"/>
      <c r="C707" s="422"/>
    </row>
    <row r="708" spans="1:3" x14ac:dyDescent="0.25">
      <c r="A708" s="422"/>
      <c r="B708" s="422"/>
      <c r="C708" s="422"/>
    </row>
    <row r="709" spans="1:3" x14ac:dyDescent="0.25">
      <c r="A709" s="422"/>
      <c r="B709" s="422"/>
      <c r="C709" s="422"/>
    </row>
    <row r="710" spans="1:3" x14ac:dyDescent="0.25">
      <c r="A710" s="422"/>
      <c r="B710" s="422"/>
      <c r="C710" s="422"/>
    </row>
    <row r="711" spans="1:3" x14ac:dyDescent="0.25">
      <c r="A711" s="422"/>
      <c r="B711" s="422"/>
      <c r="C711" s="422"/>
    </row>
    <row r="712" spans="1:3" x14ac:dyDescent="0.25">
      <c r="A712" s="422"/>
      <c r="B712" s="422"/>
      <c r="C712" s="422"/>
    </row>
    <row r="713" spans="1:3" x14ac:dyDescent="0.25">
      <c r="A713" s="422"/>
      <c r="B713" s="422"/>
      <c r="C713" s="422"/>
    </row>
    <row r="714" spans="1:3" x14ac:dyDescent="0.25">
      <c r="A714" s="422"/>
      <c r="B714" s="422"/>
      <c r="C714" s="422"/>
    </row>
    <row r="715" spans="1:3" x14ac:dyDescent="0.25">
      <c r="A715" s="422"/>
      <c r="B715" s="422"/>
      <c r="C715" s="422"/>
    </row>
    <row r="716" spans="1:3" x14ac:dyDescent="0.25">
      <c r="A716" s="422"/>
      <c r="B716" s="422"/>
      <c r="C716" s="422"/>
    </row>
    <row r="717" spans="1:3" x14ac:dyDescent="0.25">
      <c r="A717" s="422"/>
      <c r="B717" s="422"/>
      <c r="C717" s="422"/>
    </row>
    <row r="718" spans="1:3" x14ac:dyDescent="0.25">
      <c r="A718" s="422"/>
      <c r="B718" s="422"/>
      <c r="C718" s="422"/>
    </row>
    <row r="719" spans="1:3" x14ac:dyDescent="0.25">
      <c r="A719" s="422"/>
      <c r="B719" s="422"/>
      <c r="C719" s="422"/>
    </row>
    <row r="720" spans="1:3" x14ac:dyDescent="0.25">
      <c r="A720" s="422"/>
      <c r="B720" s="422"/>
      <c r="C720" s="422"/>
    </row>
    <row r="721" spans="1:3" x14ac:dyDescent="0.25">
      <c r="A721" s="422"/>
      <c r="B721" s="422"/>
      <c r="C721" s="422"/>
    </row>
    <row r="722" spans="1:3" x14ac:dyDescent="0.25">
      <c r="A722" s="422"/>
      <c r="B722" s="422"/>
      <c r="C722" s="422"/>
    </row>
    <row r="723" spans="1:3" x14ac:dyDescent="0.25">
      <c r="A723" s="422"/>
      <c r="B723" s="422"/>
      <c r="C723" s="422"/>
    </row>
    <row r="724" spans="1:3" x14ac:dyDescent="0.25">
      <c r="A724" s="422"/>
      <c r="B724" s="422"/>
      <c r="C724" s="422"/>
    </row>
    <row r="725" spans="1:3" x14ac:dyDescent="0.25">
      <c r="A725" s="422"/>
      <c r="B725" s="422"/>
      <c r="C725" s="422"/>
    </row>
    <row r="726" spans="1:3" x14ac:dyDescent="0.25">
      <c r="A726" s="422"/>
      <c r="B726" s="422"/>
      <c r="C726" s="422"/>
    </row>
    <row r="727" spans="1:3" x14ac:dyDescent="0.25">
      <c r="A727" s="422"/>
      <c r="B727" s="422"/>
      <c r="C727" s="422"/>
    </row>
    <row r="728" spans="1:3" x14ac:dyDescent="0.25">
      <c r="A728" s="422"/>
      <c r="B728" s="422"/>
      <c r="C728" s="422"/>
    </row>
    <row r="729" spans="1:3" x14ac:dyDescent="0.25">
      <c r="A729" s="422"/>
      <c r="B729" s="422"/>
      <c r="C729" s="422"/>
    </row>
    <row r="730" spans="1:3" x14ac:dyDescent="0.25">
      <c r="A730" s="422"/>
      <c r="B730" s="422"/>
      <c r="C730" s="422"/>
    </row>
    <row r="731" spans="1:3" x14ac:dyDescent="0.25">
      <c r="A731" s="422"/>
      <c r="B731" s="422"/>
      <c r="C731" s="422"/>
    </row>
    <row r="732" spans="1:3" x14ac:dyDescent="0.25">
      <c r="A732" s="422"/>
      <c r="B732" s="422"/>
      <c r="C732" s="422"/>
    </row>
    <row r="733" spans="1:3" x14ac:dyDescent="0.25">
      <c r="A733" s="422"/>
      <c r="B733" s="422"/>
      <c r="C733" s="422"/>
    </row>
    <row r="734" spans="1:3" x14ac:dyDescent="0.25">
      <c r="A734" s="422"/>
      <c r="B734" s="422"/>
      <c r="C734" s="422"/>
    </row>
    <row r="735" spans="1:3" x14ac:dyDescent="0.25">
      <c r="A735" s="422"/>
      <c r="B735" s="422"/>
      <c r="C735" s="422"/>
    </row>
    <row r="736" spans="1:3" x14ac:dyDescent="0.25">
      <c r="A736" s="422"/>
      <c r="B736" s="422"/>
      <c r="C736" s="422"/>
    </row>
    <row r="737" spans="1:3" x14ac:dyDescent="0.25">
      <c r="A737" s="422"/>
      <c r="B737" s="422"/>
      <c r="C737" s="422"/>
    </row>
    <row r="738" spans="1:3" x14ac:dyDescent="0.25">
      <c r="A738" s="422"/>
      <c r="B738" s="422"/>
      <c r="C738" s="422"/>
    </row>
    <row r="739" spans="1:3" x14ac:dyDescent="0.25">
      <c r="A739" s="422"/>
      <c r="B739" s="422"/>
      <c r="C739" s="422"/>
    </row>
    <row r="740" spans="1:3" x14ac:dyDescent="0.25">
      <c r="A740" s="422"/>
      <c r="B740" s="422"/>
      <c r="C740" s="422"/>
    </row>
    <row r="741" spans="1:3" x14ac:dyDescent="0.25">
      <c r="A741" s="422"/>
      <c r="B741" s="422"/>
      <c r="C741" s="422"/>
    </row>
    <row r="742" spans="1:3" x14ac:dyDescent="0.25">
      <c r="A742" s="422"/>
      <c r="B742" s="422"/>
      <c r="C742" s="422"/>
    </row>
    <row r="743" spans="1:3" x14ac:dyDescent="0.25">
      <c r="A743" s="422"/>
      <c r="B743" s="422"/>
      <c r="C743" s="422"/>
    </row>
    <row r="744" spans="1:3" x14ac:dyDescent="0.25">
      <c r="A744" s="422"/>
      <c r="B744" s="422"/>
      <c r="C744" s="422"/>
    </row>
    <row r="745" spans="1:3" x14ac:dyDescent="0.25">
      <c r="A745" s="422"/>
      <c r="B745" s="422"/>
      <c r="C745" s="422"/>
    </row>
    <row r="746" spans="1:3" x14ac:dyDescent="0.25">
      <c r="A746" s="422"/>
      <c r="B746" s="422"/>
      <c r="C746" s="422"/>
    </row>
    <row r="747" spans="1:3" x14ac:dyDescent="0.25">
      <c r="A747" s="422"/>
      <c r="B747" s="422"/>
      <c r="C747" s="422"/>
    </row>
    <row r="748" spans="1:3" x14ac:dyDescent="0.25">
      <c r="A748" s="422"/>
      <c r="B748" s="422"/>
      <c r="C748" s="422"/>
    </row>
    <row r="749" spans="1:3" x14ac:dyDescent="0.25">
      <c r="A749" s="422"/>
      <c r="B749" s="422"/>
      <c r="C749" s="422"/>
    </row>
    <row r="750" spans="1:3" x14ac:dyDescent="0.25">
      <c r="A750" s="422"/>
      <c r="B750" s="422"/>
      <c r="C750" s="422"/>
    </row>
    <row r="751" spans="1:3" x14ac:dyDescent="0.25">
      <c r="A751" s="422"/>
      <c r="B751" s="422"/>
      <c r="C751" s="422"/>
    </row>
    <row r="752" spans="1:3" x14ac:dyDescent="0.25">
      <c r="A752" s="422"/>
      <c r="B752" s="422"/>
      <c r="C752" s="422"/>
    </row>
    <row r="753" spans="1:3" x14ac:dyDescent="0.25">
      <c r="A753" s="422"/>
      <c r="B753" s="422"/>
      <c r="C753" s="422"/>
    </row>
    <row r="754" spans="1:3" x14ac:dyDescent="0.25">
      <c r="A754" s="422"/>
      <c r="B754" s="422"/>
      <c r="C754" s="422"/>
    </row>
    <row r="755" spans="1:3" x14ac:dyDescent="0.25">
      <c r="A755" s="422"/>
      <c r="B755" s="422"/>
      <c r="C755" s="422"/>
    </row>
    <row r="756" spans="1:3" x14ac:dyDescent="0.25">
      <c r="A756" s="422"/>
      <c r="B756" s="422"/>
      <c r="C756" s="422"/>
    </row>
    <row r="757" spans="1:3" x14ac:dyDescent="0.25">
      <c r="A757" s="422"/>
      <c r="B757" s="422"/>
      <c r="C757" s="422"/>
    </row>
    <row r="758" spans="1:3" x14ac:dyDescent="0.25">
      <c r="A758" s="422"/>
      <c r="B758" s="422"/>
      <c r="C758" s="422"/>
    </row>
    <row r="759" spans="1:3" x14ac:dyDescent="0.25">
      <c r="A759" s="422"/>
      <c r="B759" s="422"/>
      <c r="C759" s="422"/>
    </row>
    <row r="760" spans="1:3" x14ac:dyDescent="0.25">
      <c r="A760" s="422"/>
      <c r="B760" s="422"/>
      <c r="C760" s="422"/>
    </row>
    <row r="761" spans="1:3" x14ac:dyDescent="0.25">
      <c r="A761" s="422"/>
      <c r="B761" s="422"/>
      <c r="C761" s="422"/>
    </row>
    <row r="762" spans="1:3" x14ac:dyDescent="0.25">
      <c r="A762" s="422"/>
      <c r="B762" s="422"/>
      <c r="C762" s="422"/>
    </row>
    <row r="763" spans="1:3" x14ac:dyDescent="0.25">
      <c r="A763" s="422"/>
      <c r="B763" s="422"/>
      <c r="C763" s="422"/>
    </row>
    <row r="764" spans="1:3" x14ac:dyDescent="0.25">
      <c r="A764" s="422"/>
      <c r="B764" s="422"/>
      <c r="C764" s="422"/>
    </row>
    <row r="765" spans="1:3" x14ac:dyDescent="0.25">
      <c r="A765" s="422"/>
      <c r="B765" s="422"/>
      <c r="C765" s="422"/>
    </row>
    <row r="766" spans="1:3" x14ac:dyDescent="0.25">
      <c r="A766" s="422"/>
      <c r="B766" s="422"/>
      <c r="C766" s="422"/>
    </row>
    <row r="767" spans="1:3" x14ac:dyDescent="0.25">
      <c r="A767" s="422"/>
      <c r="B767" s="422"/>
      <c r="C767" s="422"/>
    </row>
    <row r="768" spans="1:3" x14ac:dyDescent="0.25">
      <c r="A768" s="422"/>
      <c r="B768" s="422"/>
      <c r="C768" s="422"/>
    </row>
    <row r="769" spans="1:3" x14ac:dyDescent="0.25">
      <c r="A769" s="422"/>
      <c r="B769" s="422"/>
      <c r="C769" s="422"/>
    </row>
    <row r="770" spans="1:3" x14ac:dyDescent="0.25">
      <c r="A770" s="422"/>
      <c r="B770" s="422"/>
      <c r="C770" s="422"/>
    </row>
    <row r="771" spans="1:3" x14ac:dyDescent="0.25">
      <c r="A771" s="422"/>
      <c r="B771" s="422"/>
      <c r="C771" s="422"/>
    </row>
    <row r="772" spans="1:3" x14ac:dyDescent="0.25">
      <c r="A772" s="422"/>
      <c r="B772" s="422"/>
      <c r="C772" s="422"/>
    </row>
    <row r="773" spans="1:3" x14ac:dyDescent="0.25">
      <c r="A773" s="422"/>
      <c r="B773" s="422"/>
      <c r="C773" s="422"/>
    </row>
    <row r="774" spans="1:3" x14ac:dyDescent="0.25">
      <c r="A774" s="422"/>
      <c r="B774" s="422"/>
      <c r="C774" s="422"/>
    </row>
    <row r="775" spans="1:3" x14ac:dyDescent="0.25">
      <c r="A775" s="422"/>
      <c r="B775" s="422"/>
      <c r="C775" s="422"/>
    </row>
    <row r="776" spans="1:3" x14ac:dyDescent="0.25">
      <c r="A776" s="422"/>
      <c r="B776" s="422"/>
      <c r="C776" s="422"/>
    </row>
    <row r="777" spans="1:3" x14ac:dyDescent="0.25">
      <c r="A777" s="422"/>
      <c r="B777" s="422"/>
      <c r="C777" s="422"/>
    </row>
    <row r="778" spans="1:3" x14ac:dyDescent="0.25">
      <c r="A778" s="422"/>
      <c r="B778" s="422"/>
      <c r="C778" s="422"/>
    </row>
    <row r="779" spans="1:3" x14ac:dyDescent="0.25">
      <c r="A779" s="422"/>
      <c r="B779" s="422"/>
      <c r="C779" s="422"/>
    </row>
    <row r="780" spans="1:3" x14ac:dyDescent="0.25">
      <c r="A780" s="422"/>
      <c r="B780" s="422"/>
      <c r="C780" s="422"/>
    </row>
    <row r="781" spans="1:3" x14ac:dyDescent="0.25">
      <c r="A781" s="422"/>
      <c r="B781" s="422"/>
      <c r="C781" s="422"/>
    </row>
    <row r="782" spans="1:3" x14ac:dyDescent="0.25">
      <c r="A782" s="422"/>
      <c r="B782" s="422"/>
      <c r="C782" s="422"/>
    </row>
    <row r="783" spans="1:3" x14ac:dyDescent="0.25">
      <c r="A783" s="422"/>
      <c r="B783" s="422"/>
      <c r="C783" s="422"/>
    </row>
    <row r="784" spans="1:3" x14ac:dyDescent="0.25">
      <c r="A784" s="422"/>
      <c r="B784" s="422"/>
      <c r="C784" s="422"/>
    </row>
    <row r="785" spans="1:3" x14ac:dyDescent="0.25">
      <c r="A785" s="422"/>
      <c r="B785" s="422"/>
      <c r="C785" s="422"/>
    </row>
    <row r="786" spans="1:3" x14ac:dyDescent="0.25">
      <c r="A786" s="422"/>
      <c r="B786" s="422"/>
      <c r="C786" s="422"/>
    </row>
    <row r="787" spans="1:3" x14ac:dyDescent="0.25">
      <c r="A787" s="422"/>
      <c r="B787" s="422"/>
      <c r="C787" s="422"/>
    </row>
    <row r="788" spans="1:3" x14ac:dyDescent="0.25">
      <c r="A788" s="422"/>
      <c r="B788" s="422"/>
      <c r="C788" s="422"/>
    </row>
    <row r="789" spans="1:3" x14ac:dyDescent="0.25">
      <c r="A789" s="422"/>
      <c r="B789" s="422"/>
      <c r="C789" s="422"/>
    </row>
    <row r="790" spans="1:3" x14ac:dyDescent="0.25">
      <c r="A790" s="422"/>
      <c r="B790" s="422"/>
      <c r="C790" s="422"/>
    </row>
    <row r="791" spans="1:3" x14ac:dyDescent="0.25">
      <c r="A791" s="422"/>
      <c r="B791" s="422"/>
      <c r="C791" s="422"/>
    </row>
    <row r="792" spans="1:3" x14ac:dyDescent="0.25">
      <c r="A792" s="422"/>
      <c r="B792" s="422"/>
      <c r="C792" s="422"/>
    </row>
    <row r="793" spans="1:3" x14ac:dyDescent="0.25">
      <c r="A793" s="422"/>
      <c r="B793" s="422"/>
      <c r="C793" s="422"/>
    </row>
    <row r="794" spans="1:3" x14ac:dyDescent="0.25">
      <c r="A794" s="422"/>
      <c r="B794" s="422"/>
      <c r="C794" s="422"/>
    </row>
    <row r="795" spans="1:3" x14ac:dyDescent="0.25">
      <c r="A795" s="422"/>
      <c r="B795" s="422"/>
      <c r="C795" s="422"/>
    </row>
    <row r="796" spans="1:3" x14ac:dyDescent="0.25">
      <c r="A796" s="422"/>
      <c r="B796" s="422"/>
      <c r="C796" s="422"/>
    </row>
    <row r="797" spans="1:3" x14ac:dyDescent="0.25">
      <c r="A797" s="422"/>
      <c r="B797" s="422"/>
      <c r="C797" s="422"/>
    </row>
    <row r="798" spans="1:3" x14ac:dyDescent="0.25">
      <c r="A798" s="422"/>
      <c r="B798" s="422"/>
      <c r="C798" s="422"/>
    </row>
    <row r="799" spans="1:3" x14ac:dyDescent="0.25">
      <c r="A799" s="422"/>
      <c r="B799" s="422"/>
      <c r="C799" s="422"/>
    </row>
    <row r="800" spans="1:3" x14ac:dyDescent="0.25">
      <c r="A800" s="422"/>
      <c r="B800" s="422"/>
      <c r="C800" s="422"/>
    </row>
    <row r="801" spans="1:3" x14ac:dyDescent="0.25">
      <c r="A801" s="422"/>
      <c r="B801" s="422"/>
      <c r="C801" s="422"/>
    </row>
    <row r="802" spans="1:3" x14ac:dyDescent="0.25">
      <c r="A802" s="422"/>
      <c r="B802" s="422"/>
      <c r="C802" s="422"/>
    </row>
    <row r="803" spans="1:3" x14ac:dyDescent="0.25">
      <c r="A803" s="422"/>
      <c r="B803" s="422"/>
      <c r="C803" s="422"/>
    </row>
    <row r="804" spans="1:3" x14ac:dyDescent="0.25">
      <c r="A804" s="422"/>
      <c r="B804" s="422"/>
      <c r="C804" s="422"/>
    </row>
    <row r="805" spans="1:3" x14ac:dyDescent="0.25">
      <c r="A805" s="422"/>
      <c r="B805" s="422"/>
      <c r="C805" s="422"/>
    </row>
    <row r="806" spans="1:3" x14ac:dyDescent="0.25">
      <c r="A806" s="422"/>
      <c r="B806" s="422"/>
      <c r="C806" s="422"/>
    </row>
    <row r="807" spans="1:3" x14ac:dyDescent="0.25">
      <c r="A807" s="422"/>
      <c r="B807" s="422"/>
      <c r="C807" s="422"/>
    </row>
    <row r="808" spans="1:3" x14ac:dyDescent="0.25">
      <c r="A808" s="422"/>
      <c r="B808" s="422"/>
      <c r="C808" s="422"/>
    </row>
    <row r="809" spans="1:3" x14ac:dyDescent="0.25">
      <c r="A809" s="422"/>
      <c r="B809" s="422"/>
      <c r="C809" s="422"/>
    </row>
    <row r="810" spans="1:3" x14ac:dyDescent="0.25">
      <c r="A810" s="422"/>
      <c r="B810" s="422"/>
      <c r="C810" s="422"/>
    </row>
    <row r="811" spans="1:3" x14ac:dyDescent="0.25">
      <c r="A811" s="422"/>
      <c r="B811" s="422"/>
      <c r="C811" s="422"/>
    </row>
    <row r="812" spans="1:3" x14ac:dyDescent="0.25">
      <c r="A812" s="422"/>
      <c r="B812" s="422"/>
      <c r="C812" s="422"/>
    </row>
    <row r="813" spans="1:3" x14ac:dyDescent="0.25">
      <c r="A813" s="422"/>
      <c r="B813" s="422"/>
      <c r="C813" s="422"/>
    </row>
    <row r="814" spans="1:3" x14ac:dyDescent="0.25">
      <c r="A814" s="422"/>
      <c r="B814" s="422"/>
      <c r="C814" s="422"/>
    </row>
    <row r="815" spans="1:3" x14ac:dyDescent="0.25">
      <c r="A815" s="422"/>
      <c r="B815" s="422"/>
      <c r="C815" s="422"/>
    </row>
    <row r="816" spans="1:3" x14ac:dyDescent="0.25">
      <c r="A816" s="422"/>
      <c r="B816" s="422"/>
      <c r="C816" s="422"/>
    </row>
    <row r="817" spans="1:3" x14ac:dyDescent="0.25">
      <c r="A817" s="422"/>
      <c r="B817" s="422"/>
      <c r="C817" s="422"/>
    </row>
    <row r="818" spans="1:3" x14ac:dyDescent="0.25">
      <c r="A818" s="422"/>
      <c r="B818" s="422"/>
      <c r="C818" s="422"/>
    </row>
    <row r="819" spans="1:3" x14ac:dyDescent="0.25">
      <c r="A819" s="422"/>
      <c r="B819" s="422"/>
      <c r="C819" s="422"/>
    </row>
    <row r="820" spans="1:3" x14ac:dyDescent="0.25">
      <c r="A820" s="422"/>
      <c r="B820" s="422"/>
      <c r="C820" s="422"/>
    </row>
    <row r="821" spans="1:3" x14ac:dyDescent="0.25">
      <c r="A821" s="422"/>
      <c r="B821" s="422"/>
      <c r="C821" s="422"/>
    </row>
    <row r="822" spans="1:3" x14ac:dyDescent="0.25">
      <c r="A822" s="422"/>
      <c r="B822" s="422"/>
      <c r="C822" s="422"/>
    </row>
    <row r="823" spans="1:3" x14ac:dyDescent="0.25">
      <c r="A823" s="422"/>
      <c r="B823" s="422"/>
      <c r="C823" s="422"/>
    </row>
    <row r="824" spans="1:3" x14ac:dyDescent="0.25">
      <c r="A824" s="422"/>
      <c r="B824" s="422"/>
      <c r="C824" s="422"/>
    </row>
    <row r="825" spans="1:3" x14ac:dyDescent="0.25">
      <c r="A825" s="422"/>
      <c r="B825" s="422"/>
      <c r="C825" s="422"/>
    </row>
    <row r="826" spans="1:3" x14ac:dyDescent="0.25">
      <c r="A826" s="422"/>
      <c r="B826" s="422"/>
      <c r="C826" s="422"/>
    </row>
    <row r="827" spans="1:3" x14ac:dyDescent="0.25">
      <c r="A827" s="422"/>
      <c r="B827" s="422"/>
      <c r="C827" s="422"/>
    </row>
    <row r="828" spans="1:3" x14ac:dyDescent="0.25">
      <c r="A828" s="422"/>
      <c r="B828" s="422"/>
      <c r="C828" s="422"/>
    </row>
    <row r="829" spans="1:3" x14ac:dyDescent="0.25">
      <c r="A829" s="422"/>
      <c r="B829" s="422"/>
      <c r="C829" s="422"/>
    </row>
    <row r="830" spans="1:3" x14ac:dyDescent="0.25">
      <c r="A830" s="422"/>
      <c r="B830" s="422"/>
      <c r="C830" s="422"/>
    </row>
    <row r="831" spans="1:3" x14ac:dyDescent="0.25">
      <c r="A831" s="422"/>
      <c r="B831" s="422"/>
      <c r="C831" s="422"/>
    </row>
    <row r="832" spans="1:3" x14ac:dyDescent="0.25">
      <c r="A832" s="422"/>
      <c r="B832" s="422"/>
      <c r="C832" s="422"/>
    </row>
    <row r="833" spans="1:3" x14ac:dyDescent="0.25">
      <c r="A833" s="422"/>
      <c r="B833" s="422"/>
      <c r="C833" s="422"/>
    </row>
    <row r="834" spans="1:3" x14ac:dyDescent="0.25">
      <c r="A834" s="422"/>
      <c r="B834" s="422"/>
      <c r="C834" s="422"/>
    </row>
    <row r="835" spans="1:3" x14ac:dyDescent="0.25">
      <c r="A835" s="422"/>
      <c r="B835" s="422"/>
      <c r="C835" s="422"/>
    </row>
    <row r="836" spans="1:3" x14ac:dyDescent="0.25">
      <c r="A836" s="422"/>
      <c r="B836" s="422"/>
      <c r="C836" s="422"/>
    </row>
    <row r="837" spans="1:3" x14ac:dyDescent="0.25">
      <c r="A837" s="422"/>
      <c r="B837" s="422"/>
      <c r="C837" s="422"/>
    </row>
    <row r="838" spans="1:3" x14ac:dyDescent="0.25">
      <c r="A838" s="422"/>
      <c r="B838" s="422"/>
      <c r="C838" s="422"/>
    </row>
    <row r="839" spans="1:3" x14ac:dyDescent="0.25">
      <c r="A839" s="422"/>
      <c r="B839" s="422"/>
      <c r="C839" s="422"/>
    </row>
    <row r="840" spans="1:3" x14ac:dyDescent="0.25">
      <c r="A840" s="422"/>
      <c r="B840" s="422"/>
      <c r="C840" s="422"/>
    </row>
    <row r="841" spans="1:3" x14ac:dyDescent="0.25">
      <c r="A841" s="422"/>
      <c r="B841" s="422"/>
      <c r="C841" s="422"/>
    </row>
    <row r="842" spans="1:3" x14ac:dyDescent="0.25">
      <c r="A842" s="422"/>
      <c r="B842" s="422"/>
      <c r="C842" s="422"/>
    </row>
    <row r="843" spans="1:3" x14ac:dyDescent="0.25">
      <c r="A843" s="422"/>
      <c r="B843" s="422"/>
      <c r="C843" s="422"/>
    </row>
    <row r="844" spans="1:3" x14ac:dyDescent="0.25">
      <c r="A844" s="422"/>
      <c r="B844" s="422"/>
      <c r="C844" s="422"/>
    </row>
    <row r="845" spans="1:3" x14ac:dyDescent="0.25">
      <c r="A845" s="422"/>
      <c r="B845" s="422"/>
      <c r="C845" s="422"/>
    </row>
    <row r="846" spans="1:3" x14ac:dyDescent="0.25">
      <c r="A846" s="422"/>
      <c r="B846" s="422"/>
      <c r="C846" s="422"/>
    </row>
    <row r="847" spans="1:3" x14ac:dyDescent="0.25">
      <c r="A847" s="422"/>
      <c r="B847" s="422"/>
      <c r="C847" s="422"/>
    </row>
    <row r="848" spans="1:3" x14ac:dyDescent="0.25">
      <c r="A848" s="422"/>
      <c r="B848" s="422"/>
      <c r="C848" s="422"/>
    </row>
    <row r="849" spans="1:3" x14ac:dyDescent="0.25">
      <c r="A849" s="422"/>
      <c r="B849" s="422"/>
      <c r="C849" s="422"/>
    </row>
    <row r="850" spans="1:3" x14ac:dyDescent="0.25">
      <c r="A850" s="422"/>
      <c r="B850" s="422"/>
      <c r="C850" s="422"/>
    </row>
    <row r="851" spans="1:3" x14ac:dyDescent="0.25">
      <c r="A851" s="422"/>
      <c r="B851" s="422"/>
      <c r="C851" s="422"/>
    </row>
    <row r="852" spans="1:3" x14ac:dyDescent="0.25">
      <c r="A852" s="422"/>
      <c r="B852" s="422"/>
      <c r="C852" s="422"/>
    </row>
    <row r="853" spans="1:3" x14ac:dyDescent="0.25">
      <c r="A853" s="422"/>
      <c r="B853" s="422"/>
      <c r="C853" s="422"/>
    </row>
    <row r="854" spans="1:3" x14ac:dyDescent="0.25">
      <c r="A854" s="422"/>
      <c r="B854" s="422"/>
      <c r="C854" s="422"/>
    </row>
    <row r="855" spans="1:3" x14ac:dyDescent="0.25">
      <c r="A855" s="422"/>
      <c r="B855" s="422"/>
      <c r="C855" s="422"/>
    </row>
    <row r="856" spans="1:3" x14ac:dyDescent="0.25">
      <c r="A856" s="422"/>
      <c r="B856" s="422"/>
      <c r="C856" s="422"/>
    </row>
    <row r="857" spans="1:3" x14ac:dyDescent="0.25">
      <c r="A857" s="422"/>
      <c r="B857" s="422"/>
      <c r="C857" s="422"/>
    </row>
    <row r="858" spans="1:3" x14ac:dyDescent="0.25">
      <c r="A858" s="422"/>
      <c r="B858" s="422"/>
      <c r="C858" s="422"/>
    </row>
    <row r="859" spans="1:3" x14ac:dyDescent="0.25">
      <c r="A859" s="422"/>
      <c r="B859" s="422"/>
      <c r="C859" s="422"/>
    </row>
    <row r="860" spans="1:3" x14ac:dyDescent="0.25">
      <c r="A860" s="422"/>
      <c r="B860" s="422"/>
      <c r="C860" s="422"/>
    </row>
    <row r="861" spans="1:3" x14ac:dyDescent="0.25">
      <c r="A861" s="422"/>
      <c r="B861" s="422"/>
      <c r="C861" s="422"/>
    </row>
    <row r="862" spans="1:3" x14ac:dyDescent="0.25">
      <c r="A862" s="422"/>
      <c r="B862" s="422"/>
      <c r="C862" s="422"/>
    </row>
    <row r="863" spans="1:3" x14ac:dyDescent="0.25">
      <c r="A863" s="422"/>
      <c r="B863" s="422"/>
      <c r="C863" s="422"/>
    </row>
    <row r="864" spans="1:3" x14ac:dyDescent="0.25">
      <c r="A864" s="422"/>
      <c r="B864" s="422"/>
      <c r="C864" s="422"/>
    </row>
    <row r="865" spans="1:3" x14ac:dyDescent="0.25">
      <c r="A865" s="422"/>
      <c r="B865" s="422"/>
      <c r="C865" s="422"/>
    </row>
    <row r="866" spans="1:3" x14ac:dyDescent="0.25">
      <c r="A866" s="422"/>
      <c r="B866" s="422"/>
      <c r="C866" s="422"/>
    </row>
    <row r="867" spans="1:3" x14ac:dyDescent="0.25">
      <c r="A867" s="422"/>
      <c r="B867" s="422"/>
      <c r="C867" s="422"/>
    </row>
    <row r="868" spans="1:3" x14ac:dyDescent="0.25">
      <c r="A868" s="422"/>
      <c r="B868" s="422"/>
      <c r="C868" s="422"/>
    </row>
    <row r="869" spans="1:3" x14ac:dyDescent="0.25">
      <c r="A869" s="422"/>
      <c r="B869" s="422"/>
      <c r="C869" s="422"/>
    </row>
    <row r="870" spans="1:3" x14ac:dyDescent="0.25">
      <c r="A870" s="422"/>
      <c r="B870" s="422"/>
      <c r="C870" s="422"/>
    </row>
    <row r="871" spans="1:3" x14ac:dyDescent="0.25">
      <c r="A871" s="422"/>
      <c r="B871" s="422"/>
      <c r="C871" s="422"/>
    </row>
    <row r="872" spans="1:3" x14ac:dyDescent="0.25">
      <c r="A872" s="422"/>
      <c r="B872" s="422"/>
      <c r="C872" s="422"/>
    </row>
    <row r="873" spans="1:3" x14ac:dyDescent="0.25">
      <c r="A873" s="422"/>
      <c r="B873" s="422"/>
      <c r="C873" s="422"/>
    </row>
    <row r="874" spans="1:3" x14ac:dyDescent="0.25">
      <c r="A874" s="422"/>
      <c r="B874" s="422"/>
      <c r="C874" s="422"/>
    </row>
    <row r="875" spans="1:3" x14ac:dyDescent="0.25">
      <c r="A875" s="422"/>
      <c r="B875" s="422"/>
      <c r="C875" s="422"/>
    </row>
    <row r="876" spans="1:3" x14ac:dyDescent="0.25">
      <c r="A876" s="422"/>
      <c r="B876" s="422"/>
      <c r="C876" s="422"/>
    </row>
    <row r="877" spans="1:3" x14ac:dyDescent="0.25">
      <c r="A877" s="422"/>
      <c r="B877" s="422"/>
      <c r="C877" s="422"/>
    </row>
    <row r="878" spans="1:3" x14ac:dyDescent="0.25">
      <c r="A878" s="422"/>
      <c r="B878" s="422"/>
      <c r="C878" s="422"/>
    </row>
    <row r="879" spans="1:3" x14ac:dyDescent="0.25">
      <c r="A879" s="422"/>
      <c r="B879" s="422"/>
      <c r="C879" s="422"/>
    </row>
    <row r="880" spans="1:3" x14ac:dyDescent="0.25">
      <c r="A880" s="422"/>
      <c r="B880" s="422"/>
      <c r="C880" s="422"/>
    </row>
    <row r="881" spans="1:3" x14ac:dyDescent="0.25">
      <c r="A881" s="422"/>
      <c r="B881" s="422"/>
      <c r="C881" s="422"/>
    </row>
    <row r="882" spans="1:3" x14ac:dyDescent="0.25">
      <c r="A882" s="422"/>
      <c r="B882" s="422"/>
      <c r="C882" s="422"/>
    </row>
    <row r="883" spans="1:3" x14ac:dyDescent="0.25">
      <c r="A883" s="422"/>
      <c r="B883" s="422"/>
      <c r="C883" s="422"/>
    </row>
    <row r="884" spans="1:3" x14ac:dyDescent="0.25">
      <c r="A884" s="422"/>
      <c r="B884" s="422"/>
      <c r="C884" s="422"/>
    </row>
    <row r="885" spans="1:3" x14ac:dyDescent="0.25">
      <c r="A885" s="422"/>
      <c r="B885" s="422"/>
      <c r="C885" s="422"/>
    </row>
    <row r="886" spans="1:3" x14ac:dyDescent="0.25">
      <c r="A886" s="422"/>
      <c r="B886" s="422"/>
      <c r="C886" s="422"/>
    </row>
    <row r="887" spans="1:3" x14ac:dyDescent="0.25">
      <c r="A887" s="422"/>
      <c r="B887" s="422"/>
      <c r="C887" s="422"/>
    </row>
    <row r="888" spans="1:3" x14ac:dyDescent="0.25">
      <c r="A888" s="422"/>
      <c r="B888" s="422"/>
      <c r="C888" s="422"/>
    </row>
    <row r="889" spans="1:3" x14ac:dyDescent="0.25">
      <c r="A889" s="422"/>
      <c r="B889" s="422"/>
      <c r="C889" s="422"/>
    </row>
    <row r="890" spans="1:3" x14ac:dyDescent="0.25">
      <c r="A890" s="422"/>
      <c r="B890" s="422"/>
      <c r="C890" s="422"/>
    </row>
    <row r="891" spans="1:3" x14ac:dyDescent="0.25">
      <c r="A891" s="422"/>
      <c r="B891" s="422"/>
      <c r="C891" s="422"/>
    </row>
    <row r="892" spans="1:3" x14ac:dyDescent="0.25">
      <c r="A892" s="422"/>
      <c r="B892" s="422"/>
      <c r="C892" s="422"/>
    </row>
    <row r="893" spans="1:3" x14ac:dyDescent="0.25">
      <c r="A893" s="422"/>
      <c r="B893" s="422"/>
      <c r="C893" s="422"/>
    </row>
    <row r="894" spans="1:3" x14ac:dyDescent="0.25">
      <c r="A894" s="422"/>
      <c r="B894" s="422"/>
      <c r="C894" s="422"/>
    </row>
    <row r="895" spans="1:3" x14ac:dyDescent="0.25">
      <c r="A895" s="422"/>
      <c r="B895" s="422"/>
      <c r="C895" s="422"/>
    </row>
    <row r="896" spans="1:3" x14ac:dyDescent="0.25">
      <c r="A896" s="422"/>
      <c r="B896" s="422"/>
      <c r="C896" s="422"/>
    </row>
    <row r="897" spans="1:3" x14ac:dyDescent="0.25">
      <c r="A897" s="422"/>
      <c r="B897" s="422"/>
      <c r="C897" s="422"/>
    </row>
    <row r="898" spans="1:3" x14ac:dyDescent="0.25">
      <c r="A898" s="422"/>
      <c r="B898" s="422"/>
      <c r="C898" s="422"/>
    </row>
    <row r="899" spans="1:3" x14ac:dyDescent="0.25">
      <c r="A899" s="422"/>
      <c r="B899" s="422"/>
      <c r="C899" s="422"/>
    </row>
    <row r="900" spans="1:3" x14ac:dyDescent="0.25">
      <c r="A900" s="422"/>
      <c r="B900" s="422"/>
      <c r="C900" s="422"/>
    </row>
    <row r="901" spans="1:3" x14ac:dyDescent="0.25">
      <c r="A901" s="422"/>
      <c r="B901" s="422"/>
      <c r="C901" s="422"/>
    </row>
    <row r="902" spans="1:3" x14ac:dyDescent="0.25">
      <c r="A902" s="422"/>
      <c r="B902" s="422"/>
      <c r="C902" s="422"/>
    </row>
    <row r="903" spans="1:3" x14ac:dyDescent="0.25">
      <c r="A903" s="422"/>
      <c r="B903" s="422"/>
      <c r="C903" s="422"/>
    </row>
    <row r="904" spans="1:3" x14ac:dyDescent="0.25">
      <c r="A904" s="422"/>
      <c r="B904" s="422"/>
      <c r="C904" s="422"/>
    </row>
    <row r="905" spans="1:3" x14ac:dyDescent="0.25">
      <c r="A905" s="422"/>
      <c r="B905" s="422"/>
      <c r="C905" s="422"/>
    </row>
    <row r="906" spans="1:3" x14ac:dyDescent="0.25">
      <c r="A906" s="422"/>
      <c r="B906" s="422"/>
      <c r="C906" s="422"/>
    </row>
    <row r="907" spans="1:3" x14ac:dyDescent="0.25">
      <c r="A907" s="422"/>
      <c r="B907" s="422"/>
      <c r="C907" s="422"/>
    </row>
    <row r="908" spans="1:3" x14ac:dyDescent="0.25">
      <c r="A908" s="422"/>
      <c r="B908" s="422"/>
      <c r="C908" s="422"/>
    </row>
    <row r="909" spans="1:3" x14ac:dyDescent="0.25">
      <c r="A909" s="422"/>
      <c r="B909" s="422"/>
      <c r="C909" s="422"/>
    </row>
    <row r="910" spans="1:3" x14ac:dyDescent="0.25">
      <c r="A910" s="422"/>
      <c r="B910" s="422"/>
      <c r="C910" s="422"/>
    </row>
    <row r="911" spans="1:3" x14ac:dyDescent="0.25">
      <c r="A911" s="422"/>
      <c r="B911" s="422"/>
      <c r="C911" s="422"/>
    </row>
    <row r="912" spans="1:3" x14ac:dyDescent="0.25">
      <c r="A912" s="422"/>
      <c r="B912" s="422"/>
      <c r="C912" s="422"/>
    </row>
    <row r="913" spans="1:3" x14ac:dyDescent="0.25">
      <c r="A913" s="422"/>
      <c r="B913" s="422"/>
      <c r="C913" s="422"/>
    </row>
    <row r="914" spans="1:3" x14ac:dyDescent="0.25">
      <c r="A914" s="422"/>
      <c r="B914" s="422"/>
      <c r="C914" s="422"/>
    </row>
    <row r="915" spans="1:3" x14ac:dyDescent="0.25">
      <c r="A915" s="422"/>
      <c r="B915" s="422"/>
      <c r="C915" s="422"/>
    </row>
    <row r="916" spans="1:3" x14ac:dyDescent="0.25">
      <c r="A916" s="422"/>
      <c r="B916" s="422"/>
      <c r="C916" s="422"/>
    </row>
    <row r="917" spans="1:3" x14ac:dyDescent="0.25">
      <c r="A917" s="422"/>
      <c r="B917" s="422"/>
      <c r="C917" s="422"/>
    </row>
    <row r="918" spans="1:3" x14ac:dyDescent="0.25">
      <c r="A918" s="422"/>
      <c r="B918" s="422"/>
      <c r="C918" s="422"/>
    </row>
    <row r="919" spans="1:3" x14ac:dyDescent="0.25">
      <c r="A919" s="422"/>
      <c r="B919" s="422"/>
      <c r="C919" s="422"/>
    </row>
    <row r="920" spans="1:3" x14ac:dyDescent="0.25">
      <c r="A920" s="422"/>
      <c r="B920" s="422"/>
      <c r="C920" s="422"/>
    </row>
    <row r="921" spans="1:3" x14ac:dyDescent="0.25">
      <c r="A921" s="422"/>
      <c r="B921" s="422"/>
      <c r="C921" s="422"/>
    </row>
    <row r="922" spans="1:3" x14ac:dyDescent="0.25">
      <c r="A922" s="422"/>
      <c r="B922" s="422"/>
      <c r="C922" s="422"/>
    </row>
    <row r="923" spans="1:3" x14ac:dyDescent="0.25">
      <c r="A923" s="422"/>
      <c r="B923" s="422"/>
      <c r="C923" s="422"/>
    </row>
    <row r="924" spans="1:3" x14ac:dyDescent="0.25">
      <c r="A924" s="422"/>
      <c r="B924" s="422"/>
      <c r="C924" s="422"/>
    </row>
    <row r="925" spans="1:3" x14ac:dyDescent="0.25">
      <c r="A925" s="422"/>
      <c r="B925" s="422"/>
      <c r="C925" s="422"/>
    </row>
    <row r="926" spans="1:3" x14ac:dyDescent="0.25">
      <c r="A926" s="422"/>
      <c r="B926" s="422"/>
      <c r="C926" s="422"/>
    </row>
    <row r="927" spans="1:3" x14ac:dyDescent="0.25">
      <c r="A927" s="422"/>
      <c r="B927" s="422"/>
      <c r="C927" s="422"/>
    </row>
    <row r="928" spans="1:3" x14ac:dyDescent="0.25">
      <c r="A928" s="422"/>
      <c r="B928" s="422"/>
      <c r="C928" s="422"/>
    </row>
    <row r="929" spans="1:3" x14ac:dyDescent="0.25">
      <c r="A929" s="422"/>
      <c r="B929" s="422"/>
      <c r="C929" s="422"/>
    </row>
    <row r="930" spans="1:3" x14ac:dyDescent="0.25">
      <c r="A930" s="422"/>
      <c r="B930" s="422"/>
      <c r="C930" s="422"/>
    </row>
    <row r="931" spans="1:3" x14ac:dyDescent="0.25">
      <c r="A931" s="422"/>
      <c r="B931" s="422"/>
      <c r="C931" s="422"/>
    </row>
    <row r="932" spans="1:3" x14ac:dyDescent="0.25">
      <c r="A932" s="422"/>
      <c r="B932" s="422"/>
      <c r="C932" s="422"/>
    </row>
    <row r="933" spans="1:3" x14ac:dyDescent="0.25">
      <c r="A933" s="422"/>
      <c r="B933" s="422"/>
      <c r="C933" s="422"/>
    </row>
    <row r="934" spans="1:3" x14ac:dyDescent="0.25">
      <c r="A934" s="422"/>
      <c r="B934" s="422"/>
      <c r="C934" s="422"/>
    </row>
    <row r="935" spans="1:3" x14ac:dyDescent="0.25">
      <c r="A935" s="422"/>
      <c r="B935" s="422"/>
      <c r="C935" s="422"/>
    </row>
    <row r="936" spans="1:3" x14ac:dyDescent="0.25">
      <c r="A936" s="422"/>
      <c r="B936" s="422"/>
      <c r="C936" s="422"/>
    </row>
    <row r="937" spans="1:3" x14ac:dyDescent="0.25">
      <c r="A937" s="422"/>
      <c r="B937" s="422"/>
      <c r="C937" s="422"/>
    </row>
    <row r="938" spans="1:3" x14ac:dyDescent="0.25">
      <c r="A938" s="422"/>
      <c r="B938" s="422"/>
      <c r="C938" s="422"/>
    </row>
    <row r="939" spans="1:3" x14ac:dyDescent="0.25">
      <c r="A939" s="422"/>
      <c r="B939" s="422"/>
      <c r="C939" s="422"/>
    </row>
    <row r="940" spans="1:3" x14ac:dyDescent="0.25">
      <c r="A940" s="422"/>
      <c r="B940" s="422"/>
      <c r="C940" s="422"/>
    </row>
    <row r="941" spans="1:3" x14ac:dyDescent="0.25">
      <c r="A941" s="422"/>
      <c r="B941" s="422"/>
      <c r="C941" s="422"/>
    </row>
    <row r="942" spans="1:3" x14ac:dyDescent="0.25">
      <c r="A942" s="422"/>
      <c r="B942" s="422"/>
      <c r="C942" s="422"/>
    </row>
    <row r="943" spans="1:3" x14ac:dyDescent="0.25">
      <c r="A943" s="422"/>
      <c r="B943" s="422"/>
      <c r="C943" s="422"/>
    </row>
    <row r="944" spans="1:3" x14ac:dyDescent="0.25">
      <c r="A944" s="422"/>
      <c r="B944" s="422"/>
      <c r="C944" s="422"/>
    </row>
    <row r="945" spans="1:3" x14ac:dyDescent="0.25">
      <c r="A945" s="422"/>
      <c r="B945" s="422"/>
      <c r="C945" s="422"/>
    </row>
    <row r="946" spans="1:3" x14ac:dyDescent="0.25">
      <c r="A946" s="422"/>
      <c r="B946" s="422"/>
      <c r="C946" s="422"/>
    </row>
    <row r="947" spans="1:3" x14ac:dyDescent="0.25">
      <c r="A947" s="422"/>
      <c r="B947" s="422"/>
      <c r="C947" s="422"/>
    </row>
    <row r="948" spans="1:3" x14ac:dyDescent="0.25">
      <c r="A948" s="422"/>
      <c r="B948" s="422"/>
      <c r="C948" s="422"/>
    </row>
    <row r="949" spans="1:3" x14ac:dyDescent="0.25">
      <c r="A949" s="422"/>
      <c r="B949" s="422"/>
      <c r="C949" s="422"/>
    </row>
    <row r="950" spans="1:3" x14ac:dyDescent="0.25">
      <c r="A950" s="422"/>
      <c r="B950" s="422"/>
      <c r="C950" s="422"/>
    </row>
    <row r="951" spans="1:3" x14ac:dyDescent="0.25">
      <c r="A951" s="422"/>
      <c r="B951" s="422"/>
      <c r="C951" s="422"/>
    </row>
    <row r="952" spans="1:3" x14ac:dyDescent="0.25">
      <c r="A952" s="422"/>
      <c r="B952" s="422"/>
      <c r="C952" s="422"/>
    </row>
    <row r="953" spans="1:3" x14ac:dyDescent="0.25">
      <c r="A953" s="422"/>
      <c r="B953" s="422"/>
      <c r="C953" s="422"/>
    </row>
    <row r="954" spans="1:3" x14ac:dyDescent="0.25">
      <c r="A954" s="422"/>
      <c r="B954" s="422"/>
      <c r="C954" s="422"/>
    </row>
    <row r="955" spans="1:3" x14ac:dyDescent="0.25">
      <c r="A955" s="422"/>
      <c r="B955" s="422"/>
      <c r="C955" s="422"/>
    </row>
    <row r="956" spans="1:3" x14ac:dyDescent="0.25">
      <c r="A956" s="422"/>
      <c r="B956" s="422"/>
      <c r="C956" s="422"/>
    </row>
    <row r="957" spans="1:3" x14ac:dyDescent="0.25">
      <c r="A957" s="422"/>
      <c r="B957" s="422"/>
      <c r="C957" s="422"/>
    </row>
    <row r="958" spans="1:3" x14ac:dyDescent="0.25">
      <c r="A958" s="422"/>
      <c r="B958" s="422"/>
      <c r="C958" s="422"/>
    </row>
    <row r="959" spans="1:3" x14ac:dyDescent="0.25">
      <c r="A959" s="422"/>
      <c r="B959" s="422"/>
      <c r="C959" s="422"/>
    </row>
    <row r="960" spans="1:3" x14ac:dyDescent="0.25">
      <c r="A960" s="422"/>
      <c r="B960" s="422"/>
      <c r="C960" s="422"/>
    </row>
    <row r="961" spans="1:3" x14ac:dyDescent="0.25">
      <c r="A961" s="422"/>
      <c r="B961" s="422"/>
      <c r="C961" s="422"/>
    </row>
    <row r="962" spans="1:3" x14ac:dyDescent="0.25">
      <c r="A962" s="422"/>
      <c r="B962" s="422"/>
      <c r="C962" s="422"/>
    </row>
    <row r="963" spans="1:3" x14ac:dyDescent="0.25">
      <c r="A963" s="422"/>
      <c r="B963" s="422"/>
      <c r="C963" s="422"/>
    </row>
    <row r="964" spans="1:3" x14ac:dyDescent="0.25">
      <c r="A964" s="422"/>
      <c r="B964" s="422"/>
      <c r="C964" s="422"/>
    </row>
    <row r="965" spans="1:3" x14ac:dyDescent="0.25">
      <c r="A965" s="422"/>
      <c r="B965" s="422"/>
      <c r="C965" s="422"/>
    </row>
    <row r="966" spans="1:3" x14ac:dyDescent="0.25">
      <c r="A966" s="422"/>
      <c r="B966" s="422"/>
      <c r="C966" s="422"/>
    </row>
    <row r="967" spans="1:3" x14ac:dyDescent="0.25">
      <c r="A967" s="422"/>
      <c r="B967" s="422"/>
      <c r="C967" s="422"/>
    </row>
    <row r="968" spans="1:3" x14ac:dyDescent="0.25">
      <c r="A968" s="422"/>
      <c r="B968" s="422"/>
      <c r="C968" s="422"/>
    </row>
    <row r="969" spans="1:3" x14ac:dyDescent="0.25">
      <c r="A969" s="422"/>
      <c r="B969" s="422"/>
      <c r="C969" s="422"/>
    </row>
    <row r="970" spans="1:3" x14ac:dyDescent="0.25">
      <c r="A970" s="422"/>
      <c r="B970" s="422"/>
      <c r="C970" s="422"/>
    </row>
    <row r="971" spans="1:3" x14ac:dyDescent="0.25">
      <c r="A971" s="422"/>
      <c r="B971" s="422"/>
      <c r="C971" s="422"/>
    </row>
    <row r="972" spans="1:3" x14ac:dyDescent="0.25">
      <c r="A972" s="422"/>
      <c r="B972" s="422"/>
      <c r="C972" s="422"/>
    </row>
    <row r="973" spans="1:3" x14ac:dyDescent="0.25">
      <c r="A973" s="422"/>
      <c r="B973" s="422"/>
      <c r="C973" s="422"/>
    </row>
    <row r="974" spans="1:3" x14ac:dyDescent="0.25">
      <c r="A974" s="422"/>
      <c r="B974" s="422"/>
      <c r="C974" s="422"/>
    </row>
    <row r="975" spans="1:3" x14ac:dyDescent="0.25">
      <c r="A975" s="422"/>
      <c r="B975" s="422"/>
      <c r="C975" s="422"/>
    </row>
    <row r="976" spans="1:3" x14ac:dyDescent="0.25">
      <c r="A976" s="422"/>
      <c r="B976" s="422"/>
      <c r="C976" s="422"/>
    </row>
    <row r="977" spans="1:3" x14ac:dyDescent="0.25">
      <c r="A977" s="422"/>
      <c r="B977" s="422"/>
      <c r="C977" s="422"/>
    </row>
    <row r="978" spans="1:3" x14ac:dyDescent="0.25">
      <c r="A978" s="422"/>
      <c r="B978" s="422"/>
      <c r="C978" s="422"/>
    </row>
    <row r="979" spans="1:3" x14ac:dyDescent="0.25">
      <c r="A979" s="422"/>
      <c r="B979" s="422"/>
      <c r="C979" s="422"/>
    </row>
    <row r="980" spans="1:3" x14ac:dyDescent="0.25">
      <c r="A980" s="422"/>
      <c r="B980" s="422"/>
      <c r="C980" s="422"/>
    </row>
    <row r="981" spans="1:3" x14ac:dyDescent="0.25">
      <c r="A981" s="422"/>
      <c r="B981" s="422"/>
      <c r="C981" s="422"/>
    </row>
    <row r="982" spans="1:3" x14ac:dyDescent="0.25">
      <c r="A982" s="422"/>
      <c r="B982" s="422"/>
      <c r="C982" s="422"/>
    </row>
    <row r="983" spans="1:3" x14ac:dyDescent="0.25">
      <c r="A983" s="422"/>
      <c r="B983" s="422"/>
      <c r="C983" s="422"/>
    </row>
    <row r="984" spans="1:3" x14ac:dyDescent="0.25">
      <c r="A984" s="422"/>
      <c r="B984" s="422"/>
      <c r="C984" s="422"/>
    </row>
    <row r="985" spans="1:3" x14ac:dyDescent="0.25">
      <c r="A985" s="422"/>
      <c r="B985" s="422"/>
      <c r="C985" s="422"/>
    </row>
    <row r="986" spans="1:3" x14ac:dyDescent="0.25">
      <c r="A986" s="422"/>
      <c r="B986" s="422"/>
      <c r="C986" s="422"/>
    </row>
    <row r="987" spans="1:3" x14ac:dyDescent="0.25">
      <c r="A987" s="422"/>
      <c r="B987" s="422"/>
      <c r="C987" s="422"/>
    </row>
    <row r="988" spans="1:3" x14ac:dyDescent="0.25">
      <c r="A988" s="422"/>
      <c r="B988" s="422"/>
      <c r="C988" s="422"/>
    </row>
    <row r="989" spans="1:3" x14ac:dyDescent="0.25">
      <c r="A989" s="422"/>
      <c r="B989" s="422"/>
      <c r="C989" s="422"/>
    </row>
    <row r="990" spans="1:3" x14ac:dyDescent="0.25">
      <c r="A990" s="422"/>
      <c r="B990" s="422"/>
      <c r="C990" s="422"/>
    </row>
    <row r="991" spans="1:3" x14ac:dyDescent="0.25">
      <c r="A991" s="422"/>
      <c r="B991" s="422"/>
      <c r="C991" s="422"/>
    </row>
    <row r="992" spans="1:3" x14ac:dyDescent="0.25">
      <c r="A992" s="422"/>
      <c r="B992" s="422"/>
      <c r="C992" s="422"/>
    </row>
    <row r="993" spans="1:3" x14ac:dyDescent="0.25">
      <c r="A993" s="422"/>
      <c r="B993" s="422"/>
      <c r="C993" s="422"/>
    </row>
    <row r="994" spans="1:3" x14ac:dyDescent="0.25">
      <c r="A994" s="422"/>
      <c r="B994" s="422"/>
      <c r="C994" s="422"/>
    </row>
    <row r="995" spans="1:3" x14ac:dyDescent="0.25">
      <c r="A995" s="422"/>
      <c r="B995" s="422"/>
      <c r="C995" s="422"/>
    </row>
    <row r="996" spans="1:3" x14ac:dyDescent="0.25">
      <c r="A996" s="422"/>
      <c r="B996" s="422"/>
      <c r="C996" s="422"/>
    </row>
    <row r="997" spans="1:3" x14ac:dyDescent="0.25">
      <c r="A997" s="422"/>
      <c r="B997" s="422"/>
      <c r="C997" s="422"/>
    </row>
    <row r="998" spans="1:3" x14ac:dyDescent="0.25">
      <c r="A998" s="422"/>
      <c r="B998" s="422"/>
      <c r="C998" s="422"/>
    </row>
    <row r="999" spans="1:3" x14ac:dyDescent="0.25">
      <c r="A999" s="422"/>
      <c r="B999" s="422"/>
      <c r="C999" s="422"/>
    </row>
    <row r="1000" spans="1:3" x14ac:dyDescent="0.25">
      <c r="A1000" s="422"/>
      <c r="B1000" s="422"/>
      <c r="C1000" s="422"/>
    </row>
    <row r="1001" spans="1:3" x14ac:dyDescent="0.25">
      <c r="A1001" s="422"/>
      <c r="B1001" s="422"/>
      <c r="C1001" s="422"/>
    </row>
    <row r="1002" spans="1:3" x14ac:dyDescent="0.25">
      <c r="A1002" s="422"/>
      <c r="B1002" s="422"/>
      <c r="C1002" s="422"/>
    </row>
    <row r="1003" spans="1:3" x14ac:dyDescent="0.25">
      <c r="A1003" s="422"/>
      <c r="B1003" s="422"/>
      <c r="C1003" s="422"/>
    </row>
    <row r="1004" spans="1:3" x14ac:dyDescent="0.25">
      <c r="A1004" s="422"/>
      <c r="B1004" s="422"/>
      <c r="C1004" s="422"/>
    </row>
    <row r="1005" spans="1:3" x14ac:dyDescent="0.25">
      <c r="A1005" s="422"/>
      <c r="B1005" s="422"/>
      <c r="C1005" s="422"/>
    </row>
    <row r="1006" spans="1:3" x14ac:dyDescent="0.25">
      <c r="A1006" s="422"/>
      <c r="B1006" s="422"/>
      <c r="C1006" s="422"/>
    </row>
    <row r="1007" spans="1:3" x14ac:dyDescent="0.25">
      <c r="A1007" s="422"/>
      <c r="B1007" s="422"/>
      <c r="C1007" s="422"/>
    </row>
    <row r="1008" spans="1:3" x14ac:dyDescent="0.25">
      <c r="A1008" s="422"/>
      <c r="B1008" s="422"/>
      <c r="C1008" s="422"/>
    </row>
    <row r="1009" spans="1:3" x14ac:dyDescent="0.25">
      <c r="A1009" s="422"/>
      <c r="B1009" s="422"/>
      <c r="C1009" s="422"/>
    </row>
    <row r="1010" spans="1:3" x14ac:dyDescent="0.25">
      <c r="A1010" s="422"/>
      <c r="B1010" s="422"/>
      <c r="C1010" s="422"/>
    </row>
    <row r="1011" spans="1:3" x14ac:dyDescent="0.25">
      <c r="A1011" s="422"/>
      <c r="B1011" s="422"/>
      <c r="C1011" s="422"/>
    </row>
    <row r="1012" spans="1:3" x14ac:dyDescent="0.25">
      <c r="A1012" s="422"/>
      <c r="B1012" s="422"/>
      <c r="C1012" s="422"/>
    </row>
    <row r="1013" spans="1:3" x14ac:dyDescent="0.25">
      <c r="A1013" s="422"/>
      <c r="B1013" s="422"/>
      <c r="C1013" s="422"/>
    </row>
    <row r="1014" spans="1:3" x14ac:dyDescent="0.25">
      <c r="A1014" s="422"/>
      <c r="B1014" s="422"/>
      <c r="C1014" s="422"/>
    </row>
    <row r="1015" spans="1:3" x14ac:dyDescent="0.25">
      <c r="A1015" s="422"/>
      <c r="B1015" s="422"/>
      <c r="C1015" s="422"/>
    </row>
    <row r="1016" spans="1:3" x14ac:dyDescent="0.25">
      <c r="A1016" s="422"/>
      <c r="B1016" s="422"/>
      <c r="C1016" s="422"/>
    </row>
    <row r="1017" spans="1:3" x14ac:dyDescent="0.25">
      <c r="A1017" s="422"/>
      <c r="B1017" s="422"/>
      <c r="C1017" s="422"/>
    </row>
    <row r="1018" spans="1:3" x14ac:dyDescent="0.25">
      <c r="A1018" s="422"/>
      <c r="B1018" s="422"/>
      <c r="C1018" s="422"/>
    </row>
    <row r="1019" spans="1:3" x14ac:dyDescent="0.25">
      <c r="A1019" s="422"/>
      <c r="B1019" s="422"/>
      <c r="C1019" s="422"/>
    </row>
    <row r="1020" spans="1:3" x14ac:dyDescent="0.25">
      <c r="A1020" s="422"/>
      <c r="B1020" s="422"/>
      <c r="C1020" s="422"/>
    </row>
    <row r="1021" spans="1:3" x14ac:dyDescent="0.25">
      <c r="A1021" s="422"/>
      <c r="B1021" s="422"/>
      <c r="C1021" s="422"/>
    </row>
    <row r="1022" spans="1:3" x14ac:dyDescent="0.25">
      <c r="A1022" s="422"/>
      <c r="B1022" s="422"/>
      <c r="C1022" s="422"/>
    </row>
    <row r="1023" spans="1:3" x14ac:dyDescent="0.25">
      <c r="A1023" s="422"/>
      <c r="B1023" s="422"/>
      <c r="C1023" s="422"/>
    </row>
    <row r="1024" spans="1:3" x14ac:dyDescent="0.25">
      <c r="A1024" s="422"/>
      <c r="B1024" s="422"/>
      <c r="C1024" s="422"/>
    </row>
    <row r="1025" spans="1:3" x14ac:dyDescent="0.25">
      <c r="A1025" s="422"/>
      <c r="B1025" s="422"/>
      <c r="C1025" s="422"/>
    </row>
    <row r="1026" spans="1:3" x14ac:dyDescent="0.25">
      <c r="A1026" s="422"/>
      <c r="B1026" s="422"/>
      <c r="C1026" s="422"/>
    </row>
    <row r="1027" spans="1:3" x14ac:dyDescent="0.25">
      <c r="A1027" s="422"/>
      <c r="B1027" s="422"/>
      <c r="C1027" s="422"/>
    </row>
    <row r="1028" spans="1:3" x14ac:dyDescent="0.25">
      <c r="A1028" s="422"/>
      <c r="B1028" s="422"/>
      <c r="C1028" s="422"/>
    </row>
    <row r="1029" spans="1:3" x14ac:dyDescent="0.25">
      <c r="A1029" s="422"/>
      <c r="B1029" s="422"/>
      <c r="C1029" s="422"/>
    </row>
    <row r="1030" spans="1:3" x14ac:dyDescent="0.25">
      <c r="A1030" s="422"/>
      <c r="B1030" s="422"/>
      <c r="C1030" s="422"/>
    </row>
    <row r="1031" spans="1:3" x14ac:dyDescent="0.25">
      <c r="A1031" s="422"/>
      <c r="B1031" s="422"/>
      <c r="C1031" s="422"/>
    </row>
    <row r="1032" spans="1:3" x14ac:dyDescent="0.25">
      <c r="A1032" s="422"/>
      <c r="B1032" s="422"/>
      <c r="C1032" s="422"/>
    </row>
    <row r="1033" spans="1:3" x14ac:dyDescent="0.25">
      <c r="A1033" s="422"/>
      <c r="B1033" s="422"/>
      <c r="C1033" s="422"/>
    </row>
    <row r="1034" spans="1:3" x14ac:dyDescent="0.25">
      <c r="A1034" s="422"/>
      <c r="B1034" s="422"/>
      <c r="C1034" s="422"/>
    </row>
    <row r="1035" spans="1:3" x14ac:dyDescent="0.25">
      <c r="A1035" s="422"/>
      <c r="B1035" s="422"/>
      <c r="C1035" s="422"/>
    </row>
    <row r="1036" spans="1:3" x14ac:dyDescent="0.25">
      <c r="A1036" s="422"/>
      <c r="B1036" s="422"/>
      <c r="C1036" s="422"/>
    </row>
    <row r="1037" spans="1:3" x14ac:dyDescent="0.25">
      <c r="A1037" s="422"/>
      <c r="B1037" s="422"/>
      <c r="C1037" s="422"/>
    </row>
    <row r="1038" spans="1:3" x14ac:dyDescent="0.25">
      <c r="A1038" s="422"/>
      <c r="B1038" s="422"/>
      <c r="C1038" s="422"/>
    </row>
    <row r="1039" spans="1:3" x14ac:dyDescent="0.25">
      <c r="A1039" s="422"/>
      <c r="B1039" s="422"/>
      <c r="C1039" s="422"/>
    </row>
    <row r="1040" spans="1:3" x14ac:dyDescent="0.25">
      <c r="A1040" s="422"/>
      <c r="B1040" s="422"/>
      <c r="C1040" s="422"/>
    </row>
    <row r="1041" spans="1:3" x14ac:dyDescent="0.25">
      <c r="A1041" s="422"/>
      <c r="B1041" s="422"/>
      <c r="C1041" s="422"/>
    </row>
    <row r="1042" spans="1:3" x14ac:dyDescent="0.25">
      <c r="A1042" s="422"/>
      <c r="B1042" s="422"/>
      <c r="C1042" s="422"/>
    </row>
    <row r="1043" spans="1:3" x14ac:dyDescent="0.25">
      <c r="A1043" s="422"/>
      <c r="B1043" s="422"/>
      <c r="C1043" s="422"/>
    </row>
    <row r="1044" spans="1:3" x14ac:dyDescent="0.25">
      <c r="A1044" s="422"/>
      <c r="B1044" s="422"/>
      <c r="C1044" s="422"/>
    </row>
    <row r="1045" spans="1:3" x14ac:dyDescent="0.25">
      <c r="A1045" s="422"/>
      <c r="B1045" s="422"/>
      <c r="C1045" s="422"/>
    </row>
    <row r="1046" spans="1:3" x14ac:dyDescent="0.25">
      <c r="A1046" s="422"/>
      <c r="B1046" s="422"/>
      <c r="C1046" s="422"/>
    </row>
    <row r="1047" spans="1:3" x14ac:dyDescent="0.25">
      <c r="A1047" s="422"/>
      <c r="B1047" s="422"/>
      <c r="C1047" s="422"/>
    </row>
    <row r="1048" spans="1:3" x14ac:dyDescent="0.25">
      <c r="A1048" s="422"/>
      <c r="B1048" s="422"/>
      <c r="C1048" s="422"/>
    </row>
    <row r="1049" spans="1:3" x14ac:dyDescent="0.25">
      <c r="A1049" s="422"/>
      <c r="B1049" s="422"/>
      <c r="C1049" s="422"/>
    </row>
    <row r="1050" spans="1:3" x14ac:dyDescent="0.25">
      <c r="A1050" s="422"/>
      <c r="B1050" s="422"/>
      <c r="C1050" s="422"/>
    </row>
    <row r="1051" spans="1:3" x14ac:dyDescent="0.25">
      <c r="A1051" s="422"/>
      <c r="B1051" s="422"/>
      <c r="C1051" s="422"/>
    </row>
    <row r="1052" spans="1:3" x14ac:dyDescent="0.25">
      <c r="A1052" s="422"/>
      <c r="B1052" s="422"/>
      <c r="C1052" s="422"/>
    </row>
    <row r="1053" spans="1:3" x14ac:dyDescent="0.25">
      <c r="A1053" s="422"/>
      <c r="B1053" s="422"/>
      <c r="C1053" s="422"/>
    </row>
    <row r="1054" spans="1:3" x14ac:dyDescent="0.25">
      <c r="A1054" s="422"/>
      <c r="B1054" s="422"/>
      <c r="C1054" s="422"/>
    </row>
    <row r="1055" spans="1:3" x14ac:dyDescent="0.25">
      <c r="A1055" s="422"/>
      <c r="B1055" s="422"/>
      <c r="C1055" s="422"/>
    </row>
    <row r="1056" spans="1:3" x14ac:dyDescent="0.25">
      <c r="A1056" s="422"/>
      <c r="B1056" s="422"/>
      <c r="C1056" s="422"/>
    </row>
    <row r="1057" spans="1:3" x14ac:dyDescent="0.25">
      <c r="A1057" s="422"/>
      <c r="B1057" s="422"/>
      <c r="C1057" s="422"/>
    </row>
    <row r="1058" spans="1:3" x14ac:dyDescent="0.25">
      <c r="A1058" s="422"/>
      <c r="B1058" s="422"/>
      <c r="C1058" s="422"/>
    </row>
    <row r="1059" spans="1:3" x14ac:dyDescent="0.25">
      <c r="A1059" s="422"/>
      <c r="B1059" s="422"/>
      <c r="C1059" s="422"/>
    </row>
    <row r="1060" spans="1:3" x14ac:dyDescent="0.25">
      <c r="A1060" s="422"/>
      <c r="B1060" s="422"/>
      <c r="C1060" s="422"/>
    </row>
    <row r="1061" spans="1:3" x14ac:dyDescent="0.25">
      <c r="A1061" s="422"/>
      <c r="B1061" s="422"/>
      <c r="C1061" s="422"/>
    </row>
    <row r="1062" spans="1:3" x14ac:dyDescent="0.25">
      <c r="A1062" s="422"/>
      <c r="B1062" s="422"/>
      <c r="C1062" s="422"/>
    </row>
    <row r="1063" spans="1:3" x14ac:dyDescent="0.25">
      <c r="A1063" s="422"/>
      <c r="B1063" s="422"/>
      <c r="C1063" s="422"/>
    </row>
    <row r="1064" spans="1:3" x14ac:dyDescent="0.25">
      <c r="A1064" s="422"/>
      <c r="B1064" s="422"/>
      <c r="C1064" s="422"/>
    </row>
    <row r="1065" spans="1:3" x14ac:dyDescent="0.25">
      <c r="A1065" s="422"/>
      <c r="B1065" s="422"/>
      <c r="C1065" s="422"/>
    </row>
    <row r="1066" spans="1:3" x14ac:dyDescent="0.25">
      <c r="A1066" s="422"/>
      <c r="B1066" s="422"/>
      <c r="C1066" s="422"/>
    </row>
    <row r="1067" spans="1:3" x14ac:dyDescent="0.25">
      <c r="A1067" s="422"/>
      <c r="B1067" s="422"/>
      <c r="C1067" s="422"/>
    </row>
    <row r="1068" spans="1:3" x14ac:dyDescent="0.25">
      <c r="A1068" s="422"/>
      <c r="B1068" s="422"/>
      <c r="C1068" s="422"/>
    </row>
    <row r="1069" spans="1:3" x14ac:dyDescent="0.25">
      <c r="A1069" s="422"/>
      <c r="B1069" s="422"/>
      <c r="C1069" s="422"/>
    </row>
    <row r="1070" spans="1:3" x14ac:dyDescent="0.25">
      <c r="A1070" s="422"/>
      <c r="B1070" s="422"/>
      <c r="C1070" s="422"/>
    </row>
    <row r="1071" spans="1:3" x14ac:dyDescent="0.25">
      <c r="A1071" s="422"/>
      <c r="B1071" s="422"/>
      <c r="C1071" s="422"/>
    </row>
    <row r="1072" spans="1:3" x14ac:dyDescent="0.25">
      <c r="A1072" s="422"/>
      <c r="B1072" s="422"/>
      <c r="C1072" s="422"/>
    </row>
    <row r="1073" spans="1:3" x14ac:dyDescent="0.25">
      <c r="A1073" s="422"/>
      <c r="B1073" s="422"/>
      <c r="C1073" s="422"/>
    </row>
    <row r="1074" spans="1:3" x14ac:dyDescent="0.25">
      <c r="A1074" s="422"/>
      <c r="B1074" s="422"/>
      <c r="C1074" s="422"/>
    </row>
    <row r="1075" spans="1:3" x14ac:dyDescent="0.25">
      <c r="A1075" s="422"/>
      <c r="B1075" s="422"/>
      <c r="C1075" s="422"/>
    </row>
    <row r="1076" spans="1:3" x14ac:dyDescent="0.25">
      <c r="A1076" s="422"/>
      <c r="B1076" s="422"/>
      <c r="C1076" s="422"/>
    </row>
    <row r="1077" spans="1:3" x14ac:dyDescent="0.25">
      <c r="A1077" s="422"/>
      <c r="B1077" s="422"/>
      <c r="C1077" s="422"/>
    </row>
    <row r="1078" spans="1:3" x14ac:dyDescent="0.25">
      <c r="A1078" s="422"/>
      <c r="B1078" s="422"/>
      <c r="C1078" s="422"/>
    </row>
    <row r="1079" spans="1:3" x14ac:dyDescent="0.25">
      <c r="A1079" s="422"/>
      <c r="B1079" s="422"/>
      <c r="C1079" s="422"/>
    </row>
    <row r="1080" spans="1:3" x14ac:dyDescent="0.25">
      <c r="A1080" s="422"/>
      <c r="B1080" s="422"/>
      <c r="C1080" s="422"/>
    </row>
    <row r="1081" spans="1:3" x14ac:dyDescent="0.25">
      <c r="A1081" s="422"/>
      <c r="B1081" s="422"/>
      <c r="C1081" s="422"/>
    </row>
    <row r="1082" spans="1:3" x14ac:dyDescent="0.25">
      <c r="A1082" s="422"/>
      <c r="B1082" s="422"/>
      <c r="C1082" s="422"/>
    </row>
    <row r="1083" spans="1:3" x14ac:dyDescent="0.25">
      <c r="A1083" s="422"/>
      <c r="B1083" s="422"/>
      <c r="C1083" s="422"/>
    </row>
    <row r="1084" spans="1:3" x14ac:dyDescent="0.25">
      <c r="A1084" s="422"/>
      <c r="B1084" s="422"/>
      <c r="C1084" s="422"/>
    </row>
    <row r="1085" spans="1:3" x14ac:dyDescent="0.25">
      <c r="A1085" s="422"/>
      <c r="B1085" s="422"/>
      <c r="C1085" s="422"/>
    </row>
    <row r="1086" spans="1:3" x14ac:dyDescent="0.25">
      <c r="A1086" s="422"/>
      <c r="B1086" s="422"/>
      <c r="C1086" s="422"/>
    </row>
    <row r="1087" spans="1:3" x14ac:dyDescent="0.25">
      <c r="A1087" s="422"/>
      <c r="B1087" s="422"/>
      <c r="C1087" s="422"/>
    </row>
    <row r="1088" spans="1:3" x14ac:dyDescent="0.25">
      <c r="A1088" s="422"/>
      <c r="B1088" s="422"/>
      <c r="C1088" s="422"/>
    </row>
    <row r="1089" spans="1:3" x14ac:dyDescent="0.25">
      <c r="A1089" s="422"/>
      <c r="B1089" s="422"/>
      <c r="C1089" s="422"/>
    </row>
    <row r="1090" spans="1:3" x14ac:dyDescent="0.25">
      <c r="A1090" s="422"/>
      <c r="B1090" s="422"/>
      <c r="C1090" s="422"/>
    </row>
    <row r="1091" spans="1:3" x14ac:dyDescent="0.25">
      <c r="A1091" s="422"/>
      <c r="B1091" s="422"/>
      <c r="C1091" s="422"/>
    </row>
    <row r="1092" spans="1:3" x14ac:dyDescent="0.25">
      <c r="A1092" s="422"/>
      <c r="B1092" s="422"/>
      <c r="C1092" s="422"/>
    </row>
    <row r="1093" spans="1:3" x14ac:dyDescent="0.25">
      <c r="A1093" s="422"/>
      <c r="B1093" s="422"/>
      <c r="C1093" s="422"/>
    </row>
    <row r="1094" spans="1:3" x14ac:dyDescent="0.25">
      <c r="A1094" s="422"/>
      <c r="B1094" s="422"/>
      <c r="C1094" s="422"/>
    </row>
    <row r="1095" spans="1:3" x14ac:dyDescent="0.25">
      <c r="A1095" s="422"/>
      <c r="B1095" s="422"/>
      <c r="C1095" s="422"/>
    </row>
    <row r="1096" spans="1:3" x14ac:dyDescent="0.25">
      <c r="A1096" s="422"/>
      <c r="B1096" s="422"/>
      <c r="C1096" s="422"/>
    </row>
    <row r="1097" spans="1:3" x14ac:dyDescent="0.25">
      <c r="A1097" s="422"/>
      <c r="B1097" s="422"/>
      <c r="C1097" s="422"/>
    </row>
    <row r="1098" spans="1:3" x14ac:dyDescent="0.25">
      <c r="A1098" s="422"/>
      <c r="B1098" s="422"/>
      <c r="C1098" s="422"/>
    </row>
    <row r="1099" spans="1:3" x14ac:dyDescent="0.25">
      <c r="A1099" s="422"/>
      <c r="B1099" s="422"/>
      <c r="C1099" s="422"/>
    </row>
    <row r="1100" spans="1:3" x14ac:dyDescent="0.25">
      <c r="A1100" s="422"/>
      <c r="B1100" s="422"/>
      <c r="C1100" s="422"/>
    </row>
    <row r="1101" spans="1:3" x14ac:dyDescent="0.25">
      <c r="A1101" s="422"/>
      <c r="B1101" s="422"/>
      <c r="C1101" s="422"/>
    </row>
    <row r="1102" spans="1:3" x14ac:dyDescent="0.25">
      <c r="A1102" s="422"/>
      <c r="B1102" s="422"/>
      <c r="C1102" s="422"/>
    </row>
    <row r="1103" spans="1:3" x14ac:dyDescent="0.25">
      <c r="A1103" s="422"/>
      <c r="B1103" s="422"/>
      <c r="C1103" s="422"/>
    </row>
    <row r="1104" spans="1:3" x14ac:dyDescent="0.25">
      <c r="A1104" s="422"/>
      <c r="B1104" s="422"/>
      <c r="C1104" s="422"/>
    </row>
    <row r="1105" spans="1:3" x14ac:dyDescent="0.25">
      <c r="A1105" s="422"/>
      <c r="B1105" s="422"/>
      <c r="C1105" s="422"/>
    </row>
    <row r="1106" spans="1:3" x14ac:dyDescent="0.25">
      <c r="A1106" s="422"/>
      <c r="B1106" s="422"/>
      <c r="C1106" s="422"/>
    </row>
    <row r="1107" spans="1:3" x14ac:dyDescent="0.25">
      <c r="A1107" s="422"/>
      <c r="B1107" s="422"/>
      <c r="C1107" s="422"/>
    </row>
    <row r="1108" spans="1:3" x14ac:dyDescent="0.25">
      <c r="A1108" s="422"/>
      <c r="B1108" s="422"/>
      <c r="C1108" s="422"/>
    </row>
    <row r="1109" spans="1:3" x14ac:dyDescent="0.25">
      <c r="A1109" s="422"/>
      <c r="B1109" s="422"/>
      <c r="C1109" s="422"/>
    </row>
    <row r="1110" spans="1:3" x14ac:dyDescent="0.25">
      <c r="A1110" s="422"/>
      <c r="B1110" s="422"/>
      <c r="C1110" s="422"/>
    </row>
    <row r="1111" spans="1:3" x14ac:dyDescent="0.25">
      <c r="A1111" s="422"/>
      <c r="B1111" s="422"/>
      <c r="C1111" s="422"/>
    </row>
    <row r="1112" spans="1:3" x14ac:dyDescent="0.25">
      <c r="A1112" s="422"/>
      <c r="B1112" s="422"/>
      <c r="C1112" s="422"/>
    </row>
    <row r="1113" spans="1:3" x14ac:dyDescent="0.25">
      <c r="A1113" s="422"/>
      <c r="B1113" s="422"/>
      <c r="C1113" s="422"/>
    </row>
    <row r="1114" spans="1:3" x14ac:dyDescent="0.25">
      <c r="A1114" s="422"/>
      <c r="B1114" s="422"/>
      <c r="C1114" s="422"/>
    </row>
    <row r="1115" spans="1:3" x14ac:dyDescent="0.25">
      <c r="A1115" s="422"/>
      <c r="B1115" s="422"/>
      <c r="C1115" s="422"/>
    </row>
    <row r="1116" spans="1:3" x14ac:dyDescent="0.25">
      <c r="A1116" s="422"/>
      <c r="B1116" s="422"/>
      <c r="C1116" s="422"/>
    </row>
    <row r="1117" spans="1:3" x14ac:dyDescent="0.25">
      <c r="A1117" s="422"/>
      <c r="B1117" s="422"/>
      <c r="C1117" s="422"/>
    </row>
    <row r="1118" spans="1:3" x14ac:dyDescent="0.25">
      <c r="A1118" s="422"/>
      <c r="B1118" s="422"/>
      <c r="C1118" s="422"/>
    </row>
    <row r="1119" spans="1:3" x14ac:dyDescent="0.25">
      <c r="A1119" s="422"/>
      <c r="B1119" s="422"/>
      <c r="C1119" s="422"/>
    </row>
    <row r="1120" spans="1:3" x14ac:dyDescent="0.25">
      <c r="A1120" s="422"/>
      <c r="B1120" s="422"/>
      <c r="C1120" s="422"/>
    </row>
    <row r="1121" spans="1:3" x14ac:dyDescent="0.25">
      <c r="A1121" s="422"/>
      <c r="B1121" s="422"/>
      <c r="C1121" s="422"/>
    </row>
    <row r="1122" spans="1:3" x14ac:dyDescent="0.25">
      <c r="A1122" s="422"/>
      <c r="B1122" s="422"/>
      <c r="C1122" s="422"/>
    </row>
    <row r="1123" spans="1:3" x14ac:dyDescent="0.25">
      <c r="A1123" s="422"/>
      <c r="B1123" s="422"/>
      <c r="C1123" s="422"/>
    </row>
    <row r="1124" spans="1:3" x14ac:dyDescent="0.25">
      <c r="A1124" s="422"/>
      <c r="B1124" s="422"/>
      <c r="C1124" s="422"/>
    </row>
    <row r="1125" spans="1:3" x14ac:dyDescent="0.25">
      <c r="A1125" s="422"/>
      <c r="B1125" s="422"/>
      <c r="C1125" s="422"/>
    </row>
    <row r="1126" spans="1:3" x14ac:dyDescent="0.25">
      <c r="A1126" s="422"/>
      <c r="B1126" s="422"/>
      <c r="C1126" s="422"/>
    </row>
    <row r="1127" spans="1:3" x14ac:dyDescent="0.25">
      <c r="A1127" s="422"/>
      <c r="B1127" s="422"/>
      <c r="C1127" s="422"/>
    </row>
    <row r="1128" spans="1:3" x14ac:dyDescent="0.25">
      <c r="A1128" s="422"/>
      <c r="B1128" s="422"/>
      <c r="C1128" s="422"/>
    </row>
    <row r="1129" spans="1:3" x14ac:dyDescent="0.25">
      <c r="A1129" s="422"/>
      <c r="B1129" s="422"/>
      <c r="C1129" s="422"/>
    </row>
    <row r="1130" spans="1:3" x14ac:dyDescent="0.25">
      <c r="A1130" s="422"/>
      <c r="B1130" s="422"/>
      <c r="C1130" s="422"/>
    </row>
    <row r="1131" spans="1:3" x14ac:dyDescent="0.25">
      <c r="A1131" s="422"/>
      <c r="B1131" s="422"/>
      <c r="C1131" s="422"/>
    </row>
    <row r="1132" spans="1:3" x14ac:dyDescent="0.25">
      <c r="A1132" s="422"/>
      <c r="B1132" s="422"/>
      <c r="C1132" s="422"/>
    </row>
    <row r="1133" spans="1:3" x14ac:dyDescent="0.25">
      <c r="A1133" s="422"/>
      <c r="B1133" s="422"/>
      <c r="C1133" s="422"/>
    </row>
    <row r="1134" spans="1:3" x14ac:dyDescent="0.25">
      <c r="A1134" s="422"/>
      <c r="B1134" s="422"/>
      <c r="C1134" s="422"/>
    </row>
    <row r="1135" spans="1:3" x14ac:dyDescent="0.25">
      <c r="A1135" s="422"/>
      <c r="B1135" s="422"/>
      <c r="C1135" s="422"/>
    </row>
    <row r="1136" spans="1:3" x14ac:dyDescent="0.25">
      <c r="A1136" s="422"/>
      <c r="B1136" s="422"/>
      <c r="C1136" s="422"/>
    </row>
    <row r="1137" spans="1:3" x14ac:dyDescent="0.25">
      <c r="A1137" s="422"/>
      <c r="B1137" s="422"/>
      <c r="C1137" s="422"/>
    </row>
    <row r="1138" spans="1:3" x14ac:dyDescent="0.25">
      <c r="A1138" s="422"/>
      <c r="B1138" s="422"/>
      <c r="C1138" s="422"/>
    </row>
    <row r="1139" spans="1:3" x14ac:dyDescent="0.25">
      <c r="A1139" s="422"/>
      <c r="B1139" s="422"/>
      <c r="C1139" s="422"/>
    </row>
    <row r="1140" spans="1:3" x14ac:dyDescent="0.25">
      <c r="A1140" s="422"/>
      <c r="B1140" s="422"/>
      <c r="C1140" s="422"/>
    </row>
    <row r="1141" spans="1:3" x14ac:dyDescent="0.25">
      <c r="A1141" s="422"/>
      <c r="B1141" s="422"/>
      <c r="C1141" s="422"/>
    </row>
    <row r="1142" spans="1:3" x14ac:dyDescent="0.25">
      <c r="A1142" s="422"/>
      <c r="B1142" s="422"/>
      <c r="C1142" s="422"/>
    </row>
    <row r="1143" spans="1:3" x14ac:dyDescent="0.25">
      <c r="A1143" s="422"/>
      <c r="B1143" s="422"/>
      <c r="C1143" s="422"/>
    </row>
    <row r="1144" spans="1:3" x14ac:dyDescent="0.25">
      <c r="A1144" s="422"/>
      <c r="B1144" s="422"/>
      <c r="C1144" s="422"/>
    </row>
    <row r="1145" spans="1:3" x14ac:dyDescent="0.25">
      <c r="A1145" s="422"/>
      <c r="B1145" s="422"/>
      <c r="C1145" s="422"/>
    </row>
    <row r="1146" spans="1:3" x14ac:dyDescent="0.25">
      <c r="A1146" s="422"/>
      <c r="B1146" s="422"/>
      <c r="C1146" s="422"/>
    </row>
    <row r="1147" spans="1:3" x14ac:dyDescent="0.25">
      <c r="A1147" s="422"/>
      <c r="B1147" s="422"/>
      <c r="C1147" s="422"/>
    </row>
    <row r="1148" spans="1:3" x14ac:dyDescent="0.25">
      <c r="A1148" s="422"/>
      <c r="B1148" s="422"/>
      <c r="C1148" s="422"/>
    </row>
    <row r="1149" spans="1:3" x14ac:dyDescent="0.25">
      <c r="A1149" s="422"/>
      <c r="B1149" s="422"/>
      <c r="C1149" s="422"/>
    </row>
    <row r="1150" spans="1:3" x14ac:dyDescent="0.25">
      <c r="A1150" s="422"/>
      <c r="B1150" s="422"/>
      <c r="C1150" s="422"/>
    </row>
    <row r="1151" spans="1:3" x14ac:dyDescent="0.25">
      <c r="A1151" s="422"/>
      <c r="B1151" s="422"/>
      <c r="C1151" s="422"/>
    </row>
    <row r="1152" spans="1:3" x14ac:dyDescent="0.25">
      <c r="A1152" s="422"/>
      <c r="B1152" s="422"/>
      <c r="C1152" s="422"/>
    </row>
    <row r="1153" spans="1:3" x14ac:dyDescent="0.25">
      <c r="A1153" s="422"/>
      <c r="B1153" s="422"/>
      <c r="C1153" s="422"/>
    </row>
    <row r="1154" spans="1:3" x14ac:dyDescent="0.25">
      <c r="A1154" s="422"/>
      <c r="B1154" s="422"/>
      <c r="C1154" s="422"/>
    </row>
    <row r="1155" spans="1:3" x14ac:dyDescent="0.25">
      <c r="A1155" s="422"/>
      <c r="B1155" s="422"/>
      <c r="C1155" s="422"/>
    </row>
    <row r="1156" spans="1:3" x14ac:dyDescent="0.25">
      <c r="A1156" s="422"/>
      <c r="B1156" s="422"/>
      <c r="C1156" s="422"/>
    </row>
    <row r="1157" spans="1:3" x14ac:dyDescent="0.25">
      <c r="A1157" s="422"/>
      <c r="B1157" s="422"/>
      <c r="C1157" s="422"/>
    </row>
    <row r="1158" spans="1:3" x14ac:dyDescent="0.25">
      <c r="A1158" s="422"/>
      <c r="B1158" s="422"/>
      <c r="C1158" s="422"/>
    </row>
    <row r="1159" spans="1:3" x14ac:dyDescent="0.25">
      <c r="A1159" s="422"/>
      <c r="B1159" s="422"/>
      <c r="C1159" s="422"/>
    </row>
    <row r="1160" spans="1:3" x14ac:dyDescent="0.25">
      <c r="A1160" s="422"/>
      <c r="B1160" s="422"/>
      <c r="C1160" s="422"/>
    </row>
    <row r="1161" spans="1:3" x14ac:dyDescent="0.25">
      <c r="A1161" s="422"/>
      <c r="B1161" s="422"/>
      <c r="C1161" s="422"/>
    </row>
    <row r="1162" spans="1:3" x14ac:dyDescent="0.25">
      <c r="A1162" s="422"/>
      <c r="B1162" s="422"/>
      <c r="C1162" s="422"/>
    </row>
    <row r="1163" spans="1:3" x14ac:dyDescent="0.25">
      <c r="A1163" s="422"/>
      <c r="B1163" s="422"/>
      <c r="C1163" s="422"/>
    </row>
    <row r="1164" spans="1:3" x14ac:dyDescent="0.25">
      <c r="A1164" s="422"/>
      <c r="B1164" s="422"/>
      <c r="C1164" s="422"/>
    </row>
    <row r="1165" spans="1:3" x14ac:dyDescent="0.25">
      <c r="A1165" s="422"/>
      <c r="B1165" s="422"/>
      <c r="C1165" s="422"/>
    </row>
    <row r="1166" spans="1:3" x14ac:dyDescent="0.25">
      <c r="A1166" s="422"/>
      <c r="B1166" s="422"/>
      <c r="C1166" s="422"/>
    </row>
    <row r="1167" spans="1:3" x14ac:dyDescent="0.25">
      <c r="A1167" s="422"/>
      <c r="B1167" s="422"/>
      <c r="C1167" s="422"/>
    </row>
    <row r="1168" spans="1:3" x14ac:dyDescent="0.25">
      <c r="A1168" s="422"/>
      <c r="B1168" s="422"/>
      <c r="C1168" s="422"/>
    </row>
    <row r="1169" spans="1:3" x14ac:dyDescent="0.25">
      <c r="A1169" s="422"/>
      <c r="B1169" s="422"/>
      <c r="C1169" s="422"/>
    </row>
    <row r="1170" spans="1:3" x14ac:dyDescent="0.25">
      <c r="A1170" s="422"/>
      <c r="B1170" s="422"/>
      <c r="C1170" s="422"/>
    </row>
    <row r="1171" spans="1:3" x14ac:dyDescent="0.25">
      <c r="A1171" s="422"/>
      <c r="B1171" s="422"/>
      <c r="C1171" s="422"/>
    </row>
    <row r="1172" spans="1:3" x14ac:dyDescent="0.25">
      <c r="A1172" s="422"/>
      <c r="B1172" s="422"/>
      <c r="C1172" s="422"/>
    </row>
    <row r="1173" spans="1:3" x14ac:dyDescent="0.25">
      <c r="A1173" s="422"/>
      <c r="B1173" s="422"/>
      <c r="C1173" s="422"/>
    </row>
    <row r="1174" spans="1:3" x14ac:dyDescent="0.25">
      <c r="A1174" s="422"/>
      <c r="B1174" s="422"/>
      <c r="C1174" s="422"/>
    </row>
    <row r="1175" spans="1:3" x14ac:dyDescent="0.25">
      <c r="A1175" s="422"/>
      <c r="B1175" s="422"/>
      <c r="C1175" s="422"/>
    </row>
    <row r="1176" spans="1:3" x14ac:dyDescent="0.25">
      <c r="A1176" s="422"/>
      <c r="B1176" s="422"/>
      <c r="C1176" s="422"/>
    </row>
    <row r="1177" spans="1:3" x14ac:dyDescent="0.25">
      <c r="A1177" s="422"/>
      <c r="B1177" s="422"/>
      <c r="C1177" s="422"/>
    </row>
    <row r="1178" spans="1:3" x14ac:dyDescent="0.25">
      <c r="A1178" s="422"/>
      <c r="B1178" s="422"/>
      <c r="C1178" s="422"/>
    </row>
    <row r="1179" spans="1:3" x14ac:dyDescent="0.25">
      <c r="A1179" s="422"/>
      <c r="B1179" s="422"/>
      <c r="C1179" s="422"/>
    </row>
    <row r="1180" spans="1:3" x14ac:dyDescent="0.25">
      <c r="A1180" s="422"/>
      <c r="B1180" s="422"/>
      <c r="C1180" s="422"/>
    </row>
    <row r="1181" spans="1:3" x14ac:dyDescent="0.25">
      <c r="A1181" s="422"/>
      <c r="B1181" s="422"/>
      <c r="C1181" s="422"/>
    </row>
    <row r="1182" spans="1:3" x14ac:dyDescent="0.25">
      <c r="A1182" s="422"/>
      <c r="B1182" s="422"/>
      <c r="C1182" s="422"/>
    </row>
    <row r="1183" spans="1:3" x14ac:dyDescent="0.25">
      <c r="A1183" s="422"/>
      <c r="B1183" s="422"/>
      <c r="C1183" s="422"/>
    </row>
    <row r="1184" spans="1:3" x14ac:dyDescent="0.25">
      <c r="A1184" s="422"/>
      <c r="B1184" s="422"/>
      <c r="C1184" s="422"/>
    </row>
    <row r="1185" spans="1:3" x14ac:dyDescent="0.25">
      <c r="A1185" s="422"/>
      <c r="B1185" s="422"/>
      <c r="C1185" s="422"/>
    </row>
    <row r="1186" spans="1:3" x14ac:dyDescent="0.25">
      <c r="A1186" s="422"/>
      <c r="B1186" s="422"/>
      <c r="C1186" s="422"/>
    </row>
    <row r="1187" spans="1:3" x14ac:dyDescent="0.25">
      <c r="A1187" s="422"/>
      <c r="B1187" s="422"/>
      <c r="C1187" s="422"/>
    </row>
    <row r="1188" spans="1:3" x14ac:dyDescent="0.25">
      <c r="A1188" s="422"/>
      <c r="B1188" s="422"/>
      <c r="C1188" s="422"/>
    </row>
    <row r="1189" spans="1:3" x14ac:dyDescent="0.25">
      <c r="A1189" s="422"/>
      <c r="B1189" s="422"/>
      <c r="C1189" s="422"/>
    </row>
    <row r="1190" spans="1:3" x14ac:dyDescent="0.25">
      <c r="A1190" s="422"/>
      <c r="B1190" s="422"/>
      <c r="C1190" s="422"/>
    </row>
    <row r="1191" spans="1:3" x14ac:dyDescent="0.25">
      <c r="A1191" s="422"/>
      <c r="B1191" s="422"/>
      <c r="C1191" s="422"/>
    </row>
    <row r="1192" spans="1:3" x14ac:dyDescent="0.25">
      <c r="A1192" s="422"/>
      <c r="B1192" s="422"/>
      <c r="C1192" s="422"/>
    </row>
    <row r="1193" spans="1:3" x14ac:dyDescent="0.25">
      <c r="A1193" s="422"/>
      <c r="B1193" s="422"/>
      <c r="C1193" s="422"/>
    </row>
    <row r="1194" spans="1:3" x14ac:dyDescent="0.25">
      <c r="A1194" s="422"/>
      <c r="B1194" s="422"/>
      <c r="C1194" s="422"/>
    </row>
    <row r="1195" spans="1:3" x14ac:dyDescent="0.25">
      <c r="A1195" s="422"/>
      <c r="B1195" s="422"/>
      <c r="C1195" s="422"/>
    </row>
    <row r="1196" spans="1:3" x14ac:dyDescent="0.25">
      <c r="A1196" s="422"/>
      <c r="B1196" s="422"/>
      <c r="C1196" s="422"/>
    </row>
    <row r="1197" spans="1:3" x14ac:dyDescent="0.25">
      <c r="A1197" s="422"/>
      <c r="B1197" s="422"/>
      <c r="C1197" s="422"/>
    </row>
    <row r="1198" spans="1:3" x14ac:dyDescent="0.25">
      <c r="A1198" s="422"/>
      <c r="B1198" s="422"/>
      <c r="C1198" s="422"/>
    </row>
    <row r="1199" spans="1:3" x14ac:dyDescent="0.25">
      <c r="A1199" s="422"/>
      <c r="B1199" s="422"/>
      <c r="C1199" s="422"/>
    </row>
    <row r="1200" spans="1:3" x14ac:dyDescent="0.25">
      <c r="A1200" s="422"/>
      <c r="B1200" s="422"/>
      <c r="C1200" s="422"/>
    </row>
    <row r="1201" spans="1:3" x14ac:dyDescent="0.25">
      <c r="A1201" s="422"/>
      <c r="B1201" s="422"/>
      <c r="C1201" s="422"/>
    </row>
    <row r="1202" spans="1:3" x14ac:dyDescent="0.25">
      <c r="A1202" s="422"/>
      <c r="B1202" s="422"/>
      <c r="C1202" s="422"/>
    </row>
    <row r="1203" spans="1:3" x14ac:dyDescent="0.25">
      <c r="A1203" s="422"/>
      <c r="B1203" s="422"/>
      <c r="C1203" s="422"/>
    </row>
  </sheetData>
  <dataValidations count="1">
    <dataValidation type="list" allowBlank="1" showInputMessage="1" showErrorMessage="1" sqref="C55:C57 C89 C71:C73 C92 C101 C75:C79 C81 C84:C86 C96:C98 C2:C7 C12:C52 C59:C65">
      <formula1>"Sim, Não"</formula1>
    </dataValidation>
  </dataValidations>
  <pageMargins left="0.7" right="0.7" top="0.75" bottom="0.75" header="0.3" footer="0.3"/>
  <customProperties>
    <customPr name="GUID" r:id="rId1"/>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5"/>
  <dimension ref="A1:S94"/>
  <sheetViews>
    <sheetView topLeftCell="F58" workbookViewId="0">
      <selection activeCell="Q94" sqref="Q94:S94"/>
    </sheetView>
  </sheetViews>
  <sheetFormatPr defaultRowHeight="15" x14ac:dyDescent="0.25"/>
  <cols>
    <col min="1" max="2" width="67.7109375" bestFit="1" customWidth="1"/>
    <col min="3" max="3" width="56.28515625" customWidth="1"/>
    <col min="4" max="5" width="37.7109375" customWidth="1"/>
    <col min="6" max="8" width="36.85546875" customWidth="1"/>
    <col min="9" max="9" width="37.85546875" customWidth="1"/>
    <col min="10" max="11" width="24.42578125" customWidth="1"/>
    <col min="12" max="12" width="27.5703125" customWidth="1"/>
    <col min="13" max="13" width="27.5703125" style="422" customWidth="1"/>
    <col min="14" max="14" width="37.28515625" bestFit="1" customWidth="1"/>
    <col min="15" max="15" width="37.28515625" style="422" customWidth="1"/>
    <col min="16" max="16" width="83.140625" bestFit="1" customWidth="1"/>
    <col min="17" max="17" width="20.5703125" customWidth="1"/>
    <col min="18" max="18" width="13.42578125" customWidth="1"/>
  </cols>
  <sheetData>
    <row r="1" spans="1:19" s="89" customFormat="1" ht="30.75" customHeight="1" thickBot="1" x14ac:dyDescent="0.3">
      <c r="A1" s="588" t="s">
        <v>1851</v>
      </c>
      <c r="B1" s="588" t="s">
        <v>131</v>
      </c>
      <c r="C1" s="588" t="s">
        <v>1852</v>
      </c>
      <c r="D1" s="588" t="s">
        <v>531</v>
      </c>
      <c r="E1" s="362" t="s">
        <v>1856</v>
      </c>
      <c r="F1" s="588" t="s">
        <v>533</v>
      </c>
      <c r="G1" s="362" t="s">
        <v>3825</v>
      </c>
      <c r="H1" s="362" t="s">
        <v>3826</v>
      </c>
      <c r="I1" s="588" t="s">
        <v>532</v>
      </c>
      <c r="J1" s="588" t="s">
        <v>141</v>
      </c>
      <c r="K1" s="588" t="s">
        <v>1870</v>
      </c>
      <c r="L1" s="588" t="s">
        <v>528</v>
      </c>
      <c r="M1" s="394" t="s">
        <v>6239</v>
      </c>
      <c r="N1" s="362" t="s">
        <v>6242</v>
      </c>
      <c r="O1" s="394" t="s">
        <v>6243</v>
      </c>
      <c r="P1" s="588" t="s">
        <v>134</v>
      </c>
      <c r="Q1" s="587" t="s">
        <v>2812</v>
      </c>
      <c r="R1" s="587" t="s">
        <v>3588</v>
      </c>
      <c r="S1" s="587" t="s">
        <v>3628</v>
      </c>
    </row>
    <row r="2" spans="1:19" ht="30.75" thickBot="1" x14ac:dyDescent="0.3">
      <c r="A2" s="83" t="s">
        <v>4580</v>
      </c>
      <c r="B2" s="82" t="s">
        <v>4580</v>
      </c>
      <c r="C2" s="82" t="str">
        <f>IF(A2=B2,"X",RIGHT(A2,LEN(A2)-LEN(B2)-3))</f>
        <v>X</v>
      </c>
      <c r="D2" s="83" t="s">
        <v>1616</v>
      </c>
      <c r="E2" s="91">
        <v>2022</v>
      </c>
      <c r="F2" s="152">
        <v>482.64245987605273</v>
      </c>
      <c r="G2" s="139" t="s">
        <v>42</v>
      </c>
      <c r="H2" s="374">
        <v>1</v>
      </c>
      <c r="I2" s="139">
        <v>482.64245987605273</v>
      </c>
      <c r="J2" s="85" t="s">
        <v>1618</v>
      </c>
      <c r="K2" s="91" t="s">
        <v>1899</v>
      </c>
      <c r="L2" s="91" t="s">
        <v>1619</v>
      </c>
      <c r="M2" s="429" t="s">
        <v>6240</v>
      </c>
      <c r="N2" s="91" t="str">
        <f>"DEFRA: Água: Consumo + TAR: "&amp;TEXT(E2,"0000")</f>
        <v>DEFRA: Água: Consumo + TAR: 2022</v>
      </c>
      <c r="O2" s="429"/>
      <c r="P2" s="91"/>
      <c r="Q2" s="250" t="s">
        <v>3499</v>
      </c>
      <c r="R2" s="250" t="s">
        <v>3567</v>
      </c>
      <c r="S2" t="s">
        <v>42</v>
      </c>
    </row>
    <row r="3" spans="1:19" ht="15.75" thickBot="1" x14ac:dyDescent="0.3">
      <c r="A3" s="83" t="s">
        <v>45</v>
      </c>
      <c r="B3" s="82" t="str">
        <f t="shared" ref="B3:B19" si="0">LEFT(A3,IFERROR(FIND(" - ",A3)-1,LEN(A3)))</f>
        <v>Barraqueiro Transportes, S.A.</v>
      </c>
      <c r="C3" s="82" t="str">
        <f t="shared" ref="C3:C66" si="1">IF(A3=B3,"X",RIGHT(A3,LEN(A3)-LEN(B3)-3))</f>
        <v>X</v>
      </c>
      <c r="D3" s="83" t="s">
        <v>1616</v>
      </c>
      <c r="E3" s="91">
        <v>2022</v>
      </c>
      <c r="F3" s="152">
        <f>F6+F9+F10+F11+F12+F13</f>
        <v>7004.1304695874205</v>
      </c>
      <c r="G3" s="139" t="s">
        <v>42</v>
      </c>
      <c r="H3" s="374">
        <v>1</v>
      </c>
      <c r="I3" s="152">
        <f>I6+I9+I10+I11+I12+I13</f>
        <v>7004.1304695874205</v>
      </c>
      <c r="J3" s="85" t="s">
        <v>1618</v>
      </c>
      <c r="K3" s="91" t="s">
        <v>1899</v>
      </c>
      <c r="L3" s="91" t="s">
        <v>1619</v>
      </c>
      <c r="M3" s="429" t="s">
        <v>6240</v>
      </c>
      <c r="N3" s="91" t="str">
        <f t="shared" ref="N3:N40" si="2">"DEFRA: Água: Consumo + TAR: "&amp;TEXT(E3,"0000")</f>
        <v>DEFRA: Água: Consumo + TAR: 2022</v>
      </c>
      <c r="O3" s="429"/>
      <c r="P3" s="91"/>
      <c r="Q3" s="250" t="s">
        <v>3499</v>
      </c>
      <c r="R3" s="250" t="s">
        <v>3567</v>
      </c>
      <c r="S3" t="s">
        <v>42</v>
      </c>
    </row>
    <row r="4" spans="1:19" ht="15.75" customHeight="1" thickBot="1" x14ac:dyDescent="0.3">
      <c r="A4" s="83" t="s">
        <v>45</v>
      </c>
      <c r="B4" s="82" t="str">
        <f t="shared" si="0"/>
        <v>Barraqueiro Transportes, S.A.</v>
      </c>
      <c r="C4" s="82" t="str">
        <f t="shared" si="1"/>
        <v>X</v>
      </c>
      <c r="D4" s="83" t="s">
        <v>1616</v>
      </c>
      <c r="E4" s="91">
        <v>2022</v>
      </c>
      <c r="F4" s="152">
        <f>F8</f>
        <v>1378.4205128205128</v>
      </c>
      <c r="G4" s="139" t="s">
        <v>42</v>
      </c>
      <c r="H4" s="374">
        <v>1</v>
      </c>
      <c r="I4" s="139">
        <f>I8</f>
        <v>1378.4205128205128</v>
      </c>
      <c r="J4" s="85" t="s">
        <v>1618</v>
      </c>
      <c r="K4" s="91" t="s">
        <v>1899</v>
      </c>
      <c r="L4" s="375" t="s">
        <v>1620</v>
      </c>
      <c r="M4" s="429" t="s">
        <v>6240</v>
      </c>
      <c r="N4" s="375" t="str">
        <f t="shared" si="2"/>
        <v>DEFRA: Água: Consumo + TAR: 2022</v>
      </c>
      <c r="O4" s="375"/>
      <c r="P4" s="91"/>
      <c r="Q4" s="250" t="s">
        <v>3499</v>
      </c>
      <c r="R4" s="250" t="s">
        <v>3567</v>
      </c>
      <c r="S4" t="s">
        <v>42</v>
      </c>
    </row>
    <row r="5" spans="1:19" ht="15.75" thickBot="1" x14ac:dyDescent="0.3">
      <c r="A5" s="83" t="s">
        <v>45</v>
      </c>
      <c r="B5" s="82" t="str">
        <f t="shared" si="0"/>
        <v>Barraqueiro Transportes, S.A.</v>
      </c>
      <c r="C5" s="82" t="str">
        <f t="shared" si="1"/>
        <v>X</v>
      </c>
      <c r="D5" s="83" t="s">
        <v>1617</v>
      </c>
      <c r="E5" s="91">
        <v>2022</v>
      </c>
      <c r="F5" s="152">
        <f>F7</f>
        <v>1188.3266129032259</v>
      </c>
      <c r="G5" s="139" t="s">
        <v>42</v>
      </c>
      <c r="H5" s="374">
        <v>1</v>
      </c>
      <c r="I5" s="139">
        <f>I7</f>
        <v>1188.3266129032259</v>
      </c>
      <c r="J5" s="85" t="s">
        <v>1618</v>
      </c>
      <c r="K5" s="91" t="s">
        <v>1899</v>
      </c>
      <c r="L5" s="91" t="s">
        <v>1619</v>
      </c>
      <c r="M5" s="429" t="s">
        <v>6240</v>
      </c>
      <c r="N5" s="91" t="str">
        <f t="shared" si="2"/>
        <v>DEFRA: Água: Consumo + TAR: 2022</v>
      </c>
      <c r="O5" s="429"/>
      <c r="P5" s="91"/>
      <c r="Q5" s="250" t="s">
        <v>3499</v>
      </c>
      <c r="R5" s="250" t="s">
        <v>3567</v>
      </c>
      <c r="S5" t="s">
        <v>42</v>
      </c>
    </row>
    <row r="6" spans="1:19" ht="15.75" thickBot="1" x14ac:dyDescent="0.3">
      <c r="A6" s="83" t="s">
        <v>3474</v>
      </c>
      <c r="B6" s="82" t="str">
        <f t="shared" si="0"/>
        <v>Barraqueiro Transportes, S.A.</v>
      </c>
      <c r="C6" s="82" t="str">
        <f t="shared" si="1"/>
        <v>Boa Viagem</v>
      </c>
      <c r="D6" s="83" t="s">
        <v>1616</v>
      </c>
      <c r="E6" s="91">
        <v>2022</v>
      </c>
      <c r="F6" s="152">
        <f t="array" ref="F6">SUMPRODUCT(IF('A3.9.2.1'!B$30:B$270='A3.9.2 copy'!A6,1,0),IF('A3.9.2.1'!C$30:C$270='A3.9.2 copy'!D6,1,0),IF('A3.9.2.1'!F$30:F$270='A3.9.2 copy'!J6,1,0),IF('A3.9.2.1'!G$30:G$270='A3.9.2 copy'!L6,1,0),'A3.9.2.1'!D$30:D$270)</f>
        <v>700.27600111234699</v>
      </c>
      <c r="G6" s="139" t="s">
        <v>42</v>
      </c>
      <c r="H6" s="374">
        <v>1</v>
      </c>
      <c r="I6" s="139">
        <f t="array" ref="I6">SUMPRODUCT(IF('A3.9.2.1'!B$30:B$270='A3.9.2 copy'!A6,1,0),IF('A3.9.2.1'!C$30:C$270='A3.9.2 copy'!D6,1,0),IF('A3.9.2.1'!F$30:F$270='A3.9.2 copy'!J6,1,0),IF('A3.9.2.1'!G$30:G$270='A3.9.2 copy'!L6,1,0),'A3.9.2.1'!E$30:E$270)</f>
        <v>700.27600111234699</v>
      </c>
      <c r="J6" s="85" t="s">
        <v>1618</v>
      </c>
      <c r="K6" s="91" t="s">
        <v>1899</v>
      </c>
      <c r="L6" s="91" t="s">
        <v>1619</v>
      </c>
      <c r="M6" s="429" t="s">
        <v>6240</v>
      </c>
      <c r="N6" s="91" t="str">
        <f t="shared" si="2"/>
        <v>DEFRA: Água: Consumo + TAR: 2022</v>
      </c>
      <c r="O6" s="429"/>
      <c r="P6" s="91"/>
      <c r="Q6" s="250" t="s">
        <v>3499</v>
      </c>
      <c r="R6" s="250" t="s">
        <v>3567</v>
      </c>
      <c r="S6" t="s">
        <v>42</v>
      </c>
    </row>
    <row r="7" spans="1:19" ht="15.75" thickBot="1" x14ac:dyDescent="0.3">
      <c r="A7" s="83" t="s">
        <v>3474</v>
      </c>
      <c r="B7" s="82" t="str">
        <f t="shared" si="0"/>
        <v>Barraqueiro Transportes, S.A.</v>
      </c>
      <c r="C7" s="82" t="str">
        <f t="shared" si="1"/>
        <v>Boa Viagem</v>
      </c>
      <c r="D7" s="83" t="s">
        <v>1617</v>
      </c>
      <c r="E7" s="91">
        <v>2022</v>
      </c>
      <c r="F7" s="152">
        <f t="array" ref="F7">SUMPRODUCT(IF('A3.9.2.1'!B$30:B$270='A3.9.2 copy'!A7,1,0),IF('A3.9.2.1'!C$30:C$270='A3.9.2 copy'!D7,1,0),IF('A3.9.2.1'!F$30:F$270='A3.9.2 copy'!J7,1,0),IF('A3.9.2.1'!G$30:G$270='A3.9.2 copy'!L7,1,0),'A3.9.2.1'!D$30:D$270)</f>
        <v>1188.3266129032259</v>
      </c>
      <c r="G7" s="139" t="s">
        <v>42</v>
      </c>
      <c r="H7" s="374">
        <v>1</v>
      </c>
      <c r="I7" s="139">
        <f t="array" ref="I7">SUMPRODUCT(IF('A3.9.2.1'!B$30:B$270='A3.9.2 copy'!A7,1,0),IF('A3.9.2.1'!C$30:C$270='A3.9.2 copy'!D7,1,0),IF('A3.9.2.1'!F$30:F$270='A3.9.2 copy'!J7,1,0),IF('A3.9.2.1'!G$30:G$270='A3.9.2 copy'!L7,1,0),'A3.9.2.1'!E$30:E$270)</f>
        <v>1188.3266129032259</v>
      </c>
      <c r="J7" s="85" t="s">
        <v>1618</v>
      </c>
      <c r="K7" s="91" t="s">
        <v>1899</v>
      </c>
      <c r="L7" s="91" t="s">
        <v>1619</v>
      </c>
      <c r="M7" s="429" t="s">
        <v>6240</v>
      </c>
      <c r="N7" s="91" t="str">
        <f t="shared" si="2"/>
        <v>DEFRA: Água: Consumo + TAR: 2022</v>
      </c>
      <c r="O7" s="429"/>
      <c r="P7" s="91"/>
      <c r="Q7" s="250" t="s">
        <v>3499</v>
      </c>
      <c r="R7" s="250" t="s">
        <v>3567</v>
      </c>
      <c r="S7" t="s">
        <v>42</v>
      </c>
    </row>
    <row r="8" spans="1:19" ht="15.75" customHeight="1" thickBot="1" x14ac:dyDescent="0.3">
      <c r="A8" s="83" t="s">
        <v>3473</v>
      </c>
      <c r="B8" s="82" t="str">
        <f t="shared" si="0"/>
        <v>Barraqueiro Transportes, S.A.</v>
      </c>
      <c r="C8" s="82" t="str">
        <f t="shared" si="1"/>
        <v>Barraqueiro Oeste</v>
      </c>
      <c r="D8" s="83" t="s">
        <v>1616</v>
      </c>
      <c r="E8" s="91">
        <v>2022</v>
      </c>
      <c r="F8" s="152">
        <f t="array" ref="F8">SUMPRODUCT(IF('A3.9.2.1'!B$30:B$270='A3.9.2 copy'!A8,1,0),IF('A3.9.2.1'!C$30:C$270='A3.9.2 copy'!D8,1,0),IF('A3.9.2.1'!F$30:F$270='A3.9.2 copy'!J8,1,0),IF('A3.9.2.1'!G$30:G$270='A3.9.2 copy'!L8,1,0),'A3.9.2.1'!D$30:D$270)</f>
        <v>1378.4205128205128</v>
      </c>
      <c r="G8" s="139" t="s">
        <v>42</v>
      </c>
      <c r="H8" s="374">
        <v>1</v>
      </c>
      <c r="I8" s="139">
        <f t="array" ref="I8">SUMPRODUCT(IF('A3.9.2.1'!B$30:B$270='A3.9.2 copy'!A8,1,0),IF('A3.9.2.1'!C$30:C$270='A3.9.2 copy'!D8,1,0),IF('A3.9.2.1'!F$30:F$270='A3.9.2 copy'!J8,1,0),IF('A3.9.2.1'!G$30:G$270='A3.9.2 copy'!L8,1,0),'A3.9.2.1'!E$30:E$270)</f>
        <v>1378.4205128205128</v>
      </c>
      <c r="J8" s="85" t="s">
        <v>1618</v>
      </c>
      <c r="K8" s="91" t="s">
        <v>1899</v>
      </c>
      <c r="L8" s="375" t="s">
        <v>1620</v>
      </c>
      <c r="M8" s="429" t="s">
        <v>6240</v>
      </c>
      <c r="N8" s="375" t="str">
        <f t="shared" si="2"/>
        <v>DEFRA: Água: Consumo + TAR: 2022</v>
      </c>
      <c r="O8" s="375"/>
      <c r="P8" s="91"/>
      <c r="Q8" s="250" t="s">
        <v>3499</v>
      </c>
      <c r="R8" s="250" t="s">
        <v>3567</v>
      </c>
      <c r="S8" t="s">
        <v>42</v>
      </c>
    </row>
    <row r="9" spans="1:19" ht="15.75" thickBot="1" x14ac:dyDescent="0.3">
      <c r="A9" s="83" t="s">
        <v>3470</v>
      </c>
      <c r="B9" s="82" t="str">
        <f t="shared" si="0"/>
        <v>Barraqueiro Transportes, S.A.</v>
      </c>
      <c r="C9" s="82" t="str">
        <f t="shared" si="1"/>
        <v>Mafrense</v>
      </c>
      <c r="D9" s="83" t="s">
        <v>1616</v>
      </c>
      <c r="E9" s="91">
        <v>2022</v>
      </c>
      <c r="F9" s="152">
        <f t="array" ref="F9">SUMPRODUCT(IF('A3.9.2.1'!B$30:B$270='A3.9.2 copy'!A9,1,0),IF('A3.9.2.1'!C$30:C$270='A3.9.2 copy'!D9,1,0),IF('A3.9.2.1'!F$30:F$270='A3.9.2 copy'!J9,1,0),IF('A3.9.2.1'!G$30:G$270='A3.9.2 copy'!L9,1,0),'A3.9.2.1'!D$30:D$270)</f>
        <v>1772.8888117930453</v>
      </c>
      <c r="G9" s="139" t="s">
        <v>42</v>
      </c>
      <c r="H9" s="374">
        <v>1</v>
      </c>
      <c r="I9" s="139">
        <f t="array" ref="I9">SUMPRODUCT(IF('A3.9.2.1'!B$30:B$270='A3.9.2 copy'!A9,1,0),IF('A3.9.2.1'!C$30:C$270='A3.9.2 copy'!D9,1,0),IF('A3.9.2.1'!F$30:F$270='A3.9.2 copy'!J9,1,0),IF('A3.9.2.1'!G$30:G$270='A3.9.2 copy'!L9,1,0),'A3.9.2.1'!E$30:E$270)</f>
        <v>1772.8888117930453</v>
      </c>
      <c r="J9" s="85" t="s">
        <v>1618</v>
      </c>
      <c r="K9" s="91" t="s">
        <v>1899</v>
      </c>
      <c r="L9" s="91" t="s">
        <v>1619</v>
      </c>
      <c r="M9" s="429" t="s">
        <v>6240</v>
      </c>
      <c r="N9" s="91" t="str">
        <f t="shared" si="2"/>
        <v>DEFRA: Água: Consumo + TAR: 2022</v>
      </c>
      <c r="O9" s="429"/>
      <c r="P9" s="91"/>
      <c r="Q9" s="250" t="s">
        <v>3499</v>
      </c>
      <c r="R9" s="250" t="s">
        <v>3567</v>
      </c>
      <c r="S9" t="s">
        <v>42</v>
      </c>
    </row>
    <row r="10" spans="1:19" ht="15.75" thickBot="1" x14ac:dyDescent="0.3">
      <c r="A10" s="83" t="s">
        <v>3278</v>
      </c>
      <c r="B10" s="82" t="str">
        <f t="shared" si="0"/>
        <v>Barraqueiro Transportes, S.A.</v>
      </c>
      <c r="C10" s="82" t="str">
        <f t="shared" si="1"/>
        <v>Barraqueiro Alugueres</v>
      </c>
      <c r="D10" s="83" t="s">
        <v>1616</v>
      </c>
      <c r="E10" s="91">
        <v>2022</v>
      </c>
      <c r="F10" s="152">
        <f t="array" ref="F10">SUMPRODUCT(IF('A3.9.2.1'!B$30:B$270='A3.9.2 copy'!A10,1,0),IF('A3.9.2.1'!C$30:C$270='A3.9.2 copy'!D10,1,0),IF('A3.9.2.1'!F$30:F$270='A3.9.2 copy'!J10,1,0),IF('A3.9.2.1'!G$30:G$270='A3.9.2 copy'!L10,1,0),'A3.9.2.1'!D$30:D$270)</f>
        <v>26.35483870967742</v>
      </c>
      <c r="G10" s="139" t="s">
        <v>42</v>
      </c>
      <c r="H10" s="374">
        <v>1</v>
      </c>
      <c r="I10" s="139">
        <f t="array" ref="I10">SUMPRODUCT(IF('A3.9.2.1'!B$30:B$270='A3.9.2 copy'!A10,1,0),IF('A3.9.2.1'!C$30:C$270='A3.9.2 copy'!D10,1,0),IF('A3.9.2.1'!F$30:F$270='A3.9.2 copy'!J10,1,0),IF('A3.9.2.1'!G$30:G$270='A3.9.2 copy'!L10,1,0),'A3.9.2.1'!E$30:E$270)</f>
        <v>26.35483870967742</v>
      </c>
      <c r="J10" s="85" t="s">
        <v>1618</v>
      </c>
      <c r="K10" s="91" t="s">
        <v>1899</v>
      </c>
      <c r="L10" s="91" t="s">
        <v>1619</v>
      </c>
      <c r="M10" s="429" t="s">
        <v>6240</v>
      </c>
      <c r="N10" s="91" t="str">
        <f t="shared" si="2"/>
        <v>DEFRA: Água: Consumo + TAR: 2022</v>
      </c>
      <c r="O10" s="429"/>
      <c r="P10" s="91"/>
      <c r="Q10" s="250" t="s">
        <v>3499</v>
      </c>
      <c r="R10" s="250" t="s">
        <v>3567</v>
      </c>
      <c r="S10" t="s">
        <v>42</v>
      </c>
    </row>
    <row r="11" spans="1:19" ht="15.75" thickBot="1" x14ac:dyDescent="0.3">
      <c r="A11" s="83" t="s">
        <v>3631</v>
      </c>
      <c r="B11" s="82" t="str">
        <f t="shared" si="0"/>
        <v>Barraqueiro Transportes, S.A.</v>
      </c>
      <c r="C11" s="82" t="str">
        <f t="shared" si="1"/>
        <v>Sede + Estremadura</v>
      </c>
      <c r="D11" s="83" t="s">
        <v>1616</v>
      </c>
      <c r="E11" s="91">
        <v>2022</v>
      </c>
      <c r="F11" s="152">
        <f t="array" ref="F11">SUMPRODUCT(IF('A3.9.2.1'!B$30:B$270='A3.9.2 copy'!A11,1,0),IF('A3.9.2.1'!C$30:C$270='A3.9.2 copy'!D11,1,0),IF('A3.9.2.1'!F$30:F$270='A3.9.2 copy'!J11,1,0),IF('A3.9.2.1'!G$30:G$270='A3.9.2 copy'!L11,1,0),'A3.9.2.1'!D$30:D$270)</f>
        <v>4309.6973548387095</v>
      </c>
      <c r="G11" s="139" t="s">
        <v>42</v>
      </c>
      <c r="H11" s="374">
        <v>1</v>
      </c>
      <c r="I11" s="139">
        <f t="array" ref="I11">SUMPRODUCT(IF('A3.9.2.1'!B$30:B$270='A3.9.2 copy'!A11,1,0),IF('A3.9.2.1'!C$30:C$270='A3.9.2 copy'!D11,1,0),IF('A3.9.2.1'!F$30:F$270='A3.9.2 copy'!J11,1,0),IF('A3.9.2.1'!G$30:G$270='A3.9.2 copy'!L11,1,0),'A3.9.2.1'!E$30:E$270)</f>
        <v>4309.6973548387095</v>
      </c>
      <c r="J11" s="85" t="s">
        <v>1618</v>
      </c>
      <c r="K11" s="91" t="s">
        <v>1899</v>
      </c>
      <c r="L11" s="91" t="s">
        <v>1619</v>
      </c>
      <c r="M11" s="429" t="s">
        <v>6240</v>
      </c>
      <c r="N11" s="91" t="str">
        <f t="shared" si="2"/>
        <v>DEFRA: Água: Consumo + TAR: 2022</v>
      </c>
      <c r="O11" s="429"/>
      <c r="P11" s="91"/>
      <c r="Q11" s="250" t="s">
        <v>3499</v>
      </c>
      <c r="R11" s="250" t="s">
        <v>3567</v>
      </c>
      <c r="S11" t="s">
        <v>42</v>
      </c>
    </row>
    <row r="12" spans="1:19" ht="15.75" customHeight="1" thickBot="1" x14ac:dyDescent="0.3">
      <c r="A12" s="83" t="s">
        <v>3632</v>
      </c>
      <c r="B12" s="82" t="str">
        <f t="shared" si="0"/>
        <v>Barraqueiro Transportes, S.A.</v>
      </c>
      <c r="C12" s="82" t="str">
        <f t="shared" si="1"/>
        <v>CG (Mafrense; BO; BV)</v>
      </c>
      <c r="D12" s="83" t="s">
        <v>1616</v>
      </c>
      <c r="E12" s="91">
        <v>2022</v>
      </c>
      <c r="F12" s="152">
        <f t="array" ref="F12">SUMPRODUCT(IF('A3.9.2.1'!B$30:B$270='A3.9.2 copy'!A12,1,0),IF('A3.9.2.1'!C$30:C$270='A3.9.2 copy'!D12,1,0),IF('A3.9.2.1'!F$30:F$270='A3.9.2 copy'!J12,1,0),IF('A3.9.2.1'!G$30:G$270='A3.9.2 copy'!L12,1,0),'A3.9.2.1'!D$30:D$270)</f>
        <v>194.84678571428569</v>
      </c>
      <c r="G12" s="139" t="s">
        <v>42</v>
      </c>
      <c r="H12" s="374">
        <v>1</v>
      </c>
      <c r="I12" s="139">
        <f t="array" ref="I12">SUMPRODUCT(IF('A3.9.2.1'!B$30:B$270='A3.9.2 copy'!A12,1,0),IF('A3.9.2.1'!C$30:C$270='A3.9.2 copy'!D12,1,0),IF('A3.9.2.1'!F$30:F$270='A3.9.2 copy'!J12,1,0),IF('A3.9.2.1'!G$30:G$270='A3.9.2 copy'!L12,1,0),'A3.9.2.1'!E$30:E$270)</f>
        <v>194.84678571428569</v>
      </c>
      <c r="J12" s="85" t="s">
        <v>1618</v>
      </c>
      <c r="K12" s="91" t="s">
        <v>1899</v>
      </c>
      <c r="L12" s="91" t="s">
        <v>1619</v>
      </c>
      <c r="M12" s="429" t="s">
        <v>6240</v>
      </c>
      <c r="N12" s="91" t="str">
        <f t="shared" si="2"/>
        <v>DEFRA: Água: Consumo + TAR: 2022</v>
      </c>
      <c r="O12" s="429"/>
      <c r="P12" s="91" t="s">
        <v>1634</v>
      </c>
      <c r="Q12" s="250" t="s">
        <v>3499</v>
      </c>
      <c r="R12" s="250" t="s">
        <v>3567</v>
      </c>
      <c r="S12" t="s">
        <v>42</v>
      </c>
    </row>
    <row r="13" spans="1:19" ht="15.75" thickBot="1" x14ac:dyDescent="0.3">
      <c r="A13" s="83" t="s">
        <v>3633</v>
      </c>
      <c r="B13" s="82" t="str">
        <f t="shared" si="0"/>
        <v>Barraqueiro Transportes, S.A.</v>
      </c>
      <c r="C13" s="82" t="str">
        <f t="shared" si="1"/>
        <v>Calc. Desterro (Isidoro?)</v>
      </c>
      <c r="D13" s="83" t="s">
        <v>1616</v>
      </c>
      <c r="E13" s="91">
        <v>2022</v>
      </c>
      <c r="F13" s="152">
        <f t="array" ref="F13">SUMPRODUCT(IF('A3.9.2.1'!B$30:B$270='A3.9.2 copy'!A13,1,0),IF('A3.9.2.1'!C$30:C$270='A3.9.2 copy'!D13,1,0),IF('A3.9.2.1'!F$30:F$270='A3.9.2 copy'!J13,1,0),IF('A3.9.2.1'!G$30:G$270='A3.9.2 copy'!L13,1,0),'A3.9.2.1'!D$30:D$270)</f>
        <v>6.6677419354838716E-2</v>
      </c>
      <c r="G13" s="139" t="s">
        <v>42</v>
      </c>
      <c r="H13" s="374">
        <v>1</v>
      </c>
      <c r="I13" s="139">
        <f t="array" ref="I13">SUMPRODUCT(IF('A3.9.2.1'!B$30:B$270='A3.9.2 copy'!A13,1,0),IF('A3.9.2.1'!C$30:C$270='A3.9.2 copy'!D13,1,0),IF('A3.9.2.1'!F$30:F$270='A3.9.2 copy'!J13,1,0),IF('A3.9.2.1'!G$30:G$270='A3.9.2 copy'!L13,1,0),'A3.9.2.1'!E$30:E$270)</f>
        <v>6.6677419354838716E-2</v>
      </c>
      <c r="J13" s="85" t="s">
        <v>1618</v>
      </c>
      <c r="K13" s="91" t="s">
        <v>1899</v>
      </c>
      <c r="L13" s="91" t="s">
        <v>1619</v>
      </c>
      <c r="M13" s="429" t="s">
        <v>6240</v>
      </c>
      <c r="N13" s="91" t="str">
        <f t="shared" si="2"/>
        <v>DEFRA: Água: Consumo + TAR: 2022</v>
      </c>
      <c r="O13" s="429"/>
      <c r="P13" s="91" t="s">
        <v>1633</v>
      </c>
      <c r="Q13" s="250" t="s">
        <v>3499</v>
      </c>
      <c r="R13" s="250" t="s">
        <v>3567</v>
      </c>
      <c r="S13" t="s">
        <v>42</v>
      </c>
    </row>
    <row r="14" spans="1:19" ht="15.75" thickBot="1" x14ac:dyDescent="0.3">
      <c r="A14" s="83" t="s">
        <v>3634</v>
      </c>
      <c r="B14" s="82" t="str">
        <f t="shared" si="0"/>
        <v>Barraqueiro Transportes, S.A.</v>
      </c>
      <c r="C14" s="82" t="str">
        <f t="shared" si="1"/>
        <v>Boa Viagem agr</v>
      </c>
      <c r="D14" s="83" t="s">
        <v>1616</v>
      </c>
      <c r="E14" s="91">
        <v>2022</v>
      </c>
      <c r="F14" s="152">
        <f>F6+F12*0.2</f>
        <v>739.24535825520411</v>
      </c>
      <c r="G14" s="139" t="s">
        <v>42</v>
      </c>
      <c r="H14" s="374">
        <v>1</v>
      </c>
      <c r="I14" s="139">
        <f>F14</f>
        <v>739.24535825520411</v>
      </c>
      <c r="J14" s="85" t="s">
        <v>1618</v>
      </c>
      <c r="K14" s="91" t="s">
        <v>1899</v>
      </c>
      <c r="L14" s="91" t="s">
        <v>1619</v>
      </c>
      <c r="M14" s="429" t="s">
        <v>6240</v>
      </c>
      <c r="N14" s="91" t="str">
        <f t="shared" si="2"/>
        <v>DEFRA: Água: Consumo + TAR: 2022</v>
      </c>
      <c r="O14" s="429"/>
      <c r="P14" s="91"/>
      <c r="Q14" s="250" t="s">
        <v>3499</v>
      </c>
      <c r="R14" s="250" t="s">
        <v>3567</v>
      </c>
      <c r="S14" t="s">
        <v>42</v>
      </c>
    </row>
    <row r="15" spans="1:19" ht="15.75" thickBot="1" x14ac:dyDescent="0.3">
      <c r="A15" s="83" t="s">
        <v>3635</v>
      </c>
      <c r="B15" s="82" t="str">
        <f t="shared" si="0"/>
        <v>Barraqueiro Transportes, S.A.</v>
      </c>
      <c r="C15" s="82" t="str">
        <f t="shared" si="1"/>
        <v>Mafrense agr</v>
      </c>
      <c r="D15" s="83" t="s">
        <v>1616</v>
      </c>
      <c r="E15" s="91">
        <v>2022</v>
      </c>
      <c r="F15" s="152">
        <f>F12+F9+0.4*F13</f>
        <v>1967.7622684750729</v>
      </c>
      <c r="G15" s="139" t="s">
        <v>42</v>
      </c>
      <c r="H15" s="374">
        <v>1</v>
      </c>
      <c r="I15" s="152">
        <f>I12+I9+0.4*I13</f>
        <v>1967.7622684750729</v>
      </c>
      <c r="J15" s="85" t="s">
        <v>1618</v>
      </c>
      <c r="K15" s="91" t="s">
        <v>1899</v>
      </c>
      <c r="L15" s="91" t="s">
        <v>1619</v>
      </c>
      <c r="M15" s="429" t="s">
        <v>6240</v>
      </c>
      <c r="N15" s="91" t="str">
        <f t="shared" si="2"/>
        <v>DEFRA: Água: Consumo + TAR: 2022</v>
      </c>
      <c r="O15" s="429"/>
      <c r="P15" s="91"/>
      <c r="Q15" s="250" t="s">
        <v>3499</v>
      </c>
      <c r="R15" s="250" t="s">
        <v>3567</v>
      </c>
      <c r="S15" t="s">
        <v>42</v>
      </c>
    </row>
    <row r="16" spans="1:19" ht="15.75" customHeight="1" thickBot="1" x14ac:dyDescent="0.3">
      <c r="A16" s="83" t="s">
        <v>3478</v>
      </c>
      <c r="B16" s="82" t="str">
        <f t="shared" si="0"/>
        <v>Barraqueiro Transportes, S.A.</v>
      </c>
      <c r="C16" s="82" t="str">
        <f t="shared" si="1"/>
        <v>Sede</v>
      </c>
      <c r="D16" s="83" t="s">
        <v>1616</v>
      </c>
      <c r="E16" s="91">
        <v>2022</v>
      </c>
      <c r="F16" s="152">
        <f>0.15*F11</f>
        <v>646.45460322580641</v>
      </c>
      <c r="G16" s="139" t="s">
        <v>42</v>
      </c>
      <c r="H16" s="374">
        <v>1</v>
      </c>
      <c r="I16" s="152">
        <f>0.15*I11</f>
        <v>646.45460322580641</v>
      </c>
      <c r="J16" s="85" t="s">
        <v>1618</v>
      </c>
      <c r="K16" s="91" t="s">
        <v>1899</v>
      </c>
      <c r="L16" s="91" t="s">
        <v>1619</v>
      </c>
      <c r="M16" s="429" t="s">
        <v>6240</v>
      </c>
      <c r="N16" s="91" t="str">
        <f t="shared" si="2"/>
        <v>DEFRA: Água: Consumo + TAR: 2022</v>
      </c>
      <c r="O16" s="429"/>
      <c r="P16" s="91"/>
      <c r="Q16" s="250" t="s">
        <v>3499</v>
      </c>
      <c r="R16" s="250" t="s">
        <v>3567</v>
      </c>
      <c r="S16" t="s">
        <v>42</v>
      </c>
    </row>
    <row r="17" spans="1:19" ht="15.75" thickBot="1" x14ac:dyDescent="0.3">
      <c r="A17" s="83" t="s">
        <v>3471</v>
      </c>
      <c r="B17" s="82" t="str">
        <f t="shared" si="0"/>
        <v>Barraqueiro Transportes, S.A.</v>
      </c>
      <c r="C17" s="82" t="str">
        <f t="shared" si="1"/>
        <v>Estremadura</v>
      </c>
      <c r="D17" s="83" t="s">
        <v>1616</v>
      </c>
      <c r="E17" s="91">
        <v>2022</v>
      </c>
      <c r="F17" s="152">
        <f>0.85*F11</f>
        <v>3663.2427516129028</v>
      </c>
      <c r="G17" s="139" t="s">
        <v>42</v>
      </c>
      <c r="H17" s="374">
        <v>1</v>
      </c>
      <c r="I17" s="152">
        <f>0.85*I11</f>
        <v>3663.2427516129028</v>
      </c>
      <c r="J17" s="85" t="s">
        <v>1618</v>
      </c>
      <c r="K17" s="91" t="s">
        <v>1899</v>
      </c>
      <c r="L17" s="91" t="s">
        <v>1619</v>
      </c>
      <c r="M17" s="429" t="s">
        <v>6240</v>
      </c>
      <c r="N17" s="91" t="str">
        <f t="shared" si="2"/>
        <v>DEFRA: Água: Consumo + TAR: 2022</v>
      </c>
      <c r="O17" s="429"/>
      <c r="P17" s="91"/>
      <c r="Q17" s="250" t="s">
        <v>3499</v>
      </c>
      <c r="R17" s="250" t="s">
        <v>3567</v>
      </c>
      <c r="S17" t="s">
        <v>42</v>
      </c>
    </row>
    <row r="18" spans="1:19" ht="15.75" thickBot="1" x14ac:dyDescent="0.3">
      <c r="A18" s="83" t="s">
        <v>3473</v>
      </c>
      <c r="B18" s="82" t="str">
        <f t="shared" si="0"/>
        <v>Barraqueiro Transportes, S.A.</v>
      </c>
      <c r="C18" s="82" t="str">
        <f t="shared" si="1"/>
        <v>Barraqueiro Oeste</v>
      </c>
      <c r="D18" s="83" t="s">
        <v>1616</v>
      </c>
      <c r="E18" s="91">
        <v>2022</v>
      </c>
      <c r="F18" s="152">
        <f>F8</f>
        <v>1378.4205128205128</v>
      </c>
      <c r="G18" s="139" t="s">
        <v>42</v>
      </c>
      <c r="H18" s="374">
        <v>1</v>
      </c>
      <c r="I18" s="152">
        <f>I8</f>
        <v>1378.4205128205128</v>
      </c>
      <c r="J18" s="85" t="s">
        <v>1618</v>
      </c>
      <c r="K18" s="91" t="s">
        <v>1899</v>
      </c>
      <c r="L18" s="375" t="s">
        <v>1620</v>
      </c>
      <c r="M18" s="429" t="s">
        <v>6240</v>
      </c>
      <c r="N18" s="375" t="str">
        <f t="shared" si="2"/>
        <v>DEFRA: Água: Consumo + TAR: 2022</v>
      </c>
      <c r="O18" s="375"/>
      <c r="P18" s="91"/>
      <c r="Q18" s="250" t="s">
        <v>3499</v>
      </c>
      <c r="R18" s="250" t="s">
        <v>3567</v>
      </c>
      <c r="S18" t="s">
        <v>42</v>
      </c>
    </row>
    <row r="19" spans="1:19" ht="15.75" thickBot="1" x14ac:dyDescent="0.3">
      <c r="A19" s="83" t="s">
        <v>3473</v>
      </c>
      <c r="B19" s="82" t="str">
        <f t="shared" si="0"/>
        <v>Barraqueiro Transportes, S.A.</v>
      </c>
      <c r="C19" s="82" t="str">
        <f t="shared" si="1"/>
        <v>Barraqueiro Oeste</v>
      </c>
      <c r="D19" s="83" t="s">
        <v>1616</v>
      </c>
      <c r="E19" s="91">
        <v>2022</v>
      </c>
      <c r="F19" s="152">
        <f>F12*0.4</f>
        <v>77.938714285714283</v>
      </c>
      <c r="G19" s="139" t="s">
        <v>42</v>
      </c>
      <c r="H19" s="374">
        <v>1</v>
      </c>
      <c r="I19" s="152">
        <f>I12*0.4</f>
        <v>77.938714285714283</v>
      </c>
      <c r="J19" s="85" t="s">
        <v>1618</v>
      </c>
      <c r="K19" s="91" t="s">
        <v>1899</v>
      </c>
      <c r="L19" s="91" t="s">
        <v>1619</v>
      </c>
      <c r="M19" s="429" t="s">
        <v>6240</v>
      </c>
      <c r="N19" s="91" t="str">
        <f t="shared" si="2"/>
        <v>DEFRA: Água: Consumo + TAR: 2022</v>
      </c>
      <c r="O19" s="429"/>
      <c r="P19" s="91"/>
      <c r="Q19" s="250" t="s">
        <v>3499</v>
      </c>
      <c r="R19" s="250" t="s">
        <v>3567</v>
      </c>
      <c r="S19" t="s">
        <v>42</v>
      </c>
    </row>
    <row r="20" spans="1:19" ht="15.75" customHeight="1" thickBot="1" x14ac:dyDescent="0.3">
      <c r="A20" s="82" t="s">
        <v>4581</v>
      </c>
      <c r="B20" s="82" t="s">
        <v>4581</v>
      </c>
      <c r="C20" s="82" t="str">
        <f t="shared" si="1"/>
        <v>X</v>
      </c>
      <c r="D20" s="83" t="s">
        <v>1616</v>
      </c>
      <c r="E20" s="91">
        <v>2022</v>
      </c>
      <c r="F20" s="152">
        <v>344.5138879456706</v>
      </c>
      <c r="G20" s="139" t="s">
        <v>42</v>
      </c>
      <c r="H20" s="374">
        <v>1</v>
      </c>
      <c r="I20" s="152">
        <v>344.5138879456706</v>
      </c>
      <c r="J20" s="85" t="s">
        <v>1618</v>
      </c>
      <c r="K20" s="91" t="s">
        <v>1899</v>
      </c>
      <c r="L20" s="91" t="s">
        <v>1619</v>
      </c>
      <c r="M20" s="429" t="s">
        <v>6240</v>
      </c>
      <c r="N20" s="91" t="str">
        <f t="shared" si="2"/>
        <v>DEFRA: Água: Consumo + TAR: 2022</v>
      </c>
      <c r="O20" s="429"/>
      <c r="P20" s="201" t="s">
        <v>1841</v>
      </c>
      <c r="Q20" s="250" t="s">
        <v>3499</v>
      </c>
      <c r="R20" s="250" t="s">
        <v>3567</v>
      </c>
      <c r="S20" t="s">
        <v>42</v>
      </c>
    </row>
    <row r="21" spans="1:19" ht="15.75" thickBot="1" x14ac:dyDescent="0.3">
      <c r="A21" s="82" t="s">
        <v>4582</v>
      </c>
      <c r="B21" s="82" t="s">
        <v>4582</v>
      </c>
      <c r="C21" s="82" t="str">
        <f t="shared" si="1"/>
        <v>X</v>
      </c>
      <c r="D21" s="83" t="s">
        <v>1616</v>
      </c>
      <c r="E21" s="91">
        <v>2022</v>
      </c>
      <c r="F21" s="152">
        <v>229.67592529711374</v>
      </c>
      <c r="G21" s="139" t="s">
        <v>42</v>
      </c>
      <c r="H21" s="374">
        <v>1</v>
      </c>
      <c r="I21" s="152">
        <v>229.67592529711374</v>
      </c>
      <c r="J21" s="85" t="s">
        <v>1618</v>
      </c>
      <c r="K21" s="91" t="s">
        <v>1899</v>
      </c>
      <c r="L21" s="91" t="s">
        <v>1619</v>
      </c>
      <c r="M21" s="429" t="s">
        <v>6240</v>
      </c>
      <c r="N21" s="91" t="str">
        <f t="shared" si="2"/>
        <v>DEFRA: Água: Consumo + TAR: 2022</v>
      </c>
      <c r="O21" s="429"/>
      <c r="P21" s="91" t="s">
        <v>1841</v>
      </c>
      <c r="Q21" s="250" t="s">
        <v>3499</v>
      </c>
      <c r="R21" s="250" t="s">
        <v>3567</v>
      </c>
      <c r="S21" t="s">
        <v>42</v>
      </c>
    </row>
    <row r="22" spans="1:19" ht="15.75" thickBot="1" x14ac:dyDescent="0.3">
      <c r="A22" s="83" t="s">
        <v>1910</v>
      </c>
      <c r="B22" s="83" t="s">
        <v>1910</v>
      </c>
      <c r="C22" s="82" t="str">
        <f t="shared" si="1"/>
        <v>X</v>
      </c>
      <c r="D22" s="83" t="s">
        <v>1616</v>
      </c>
      <c r="E22" s="91">
        <v>2022</v>
      </c>
      <c r="F22" s="265">
        <v>4393</v>
      </c>
      <c r="G22" s="139" t="s">
        <v>42</v>
      </c>
      <c r="H22" s="374">
        <v>1</v>
      </c>
      <c r="I22" s="265">
        <v>4393</v>
      </c>
      <c r="J22" s="85" t="s">
        <v>1618</v>
      </c>
      <c r="K22" s="91" t="s">
        <v>1899</v>
      </c>
      <c r="L22" s="91" t="s">
        <v>1619</v>
      </c>
      <c r="M22" s="429" t="s">
        <v>6240</v>
      </c>
      <c r="N22" s="91" t="str">
        <f t="shared" si="2"/>
        <v>DEFRA: Água: Consumo + TAR: 2022</v>
      </c>
      <c r="O22" s="429"/>
      <c r="P22" s="91" t="s">
        <v>2960</v>
      </c>
      <c r="Q22" s="250" t="s">
        <v>3499</v>
      </c>
      <c r="R22" s="250" t="s">
        <v>3567</v>
      </c>
      <c r="S22" t="s">
        <v>42</v>
      </c>
    </row>
    <row r="23" spans="1:19" ht="15.75" thickBot="1" x14ac:dyDescent="0.3">
      <c r="A23" s="83" t="s">
        <v>1910</v>
      </c>
      <c r="B23" s="83" t="s">
        <v>1910</v>
      </c>
      <c r="C23" s="82" t="str">
        <f t="shared" si="1"/>
        <v>X</v>
      </c>
      <c r="D23" s="83" t="s">
        <v>1617</v>
      </c>
      <c r="E23" s="91">
        <v>2022</v>
      </c>
      <c r="F23" s="265">
        <v>7550</v>
      </c>
      <c r="G23" s="139" t="s">
        <v>42</v>
      </c>
      <c r="H23" s="374">
        <v>1</v>
      </c>
      <c r="I23" s="265">
        <v>7550</v>
      </c>
      <c r="J23" s="85" t="s">
        <v>1618</v>
      </c>
      <c r="K23" s="91" t="s">
        <v>1899</v>
      </c>
      <c r="L23" s="91" t="s">
        <v>1619</v>
      </c>
      <c r="M23" s="429" t="s">
        <v>6240</v>
      </c>
      <c r="N23" s="91" t="str">
        <f t="shared" si="2"/>
        <v>DEFRA: Água: Consumo + TAR: 2022</v>
      </c>
      <c r="O23" s="429"/>
      <c r="P23" s="91" t="s">
        <v>2960</v>
      </c>
      <c r="Q23" s="250" t="s">
        <v>3499</v>
      </c>
      <c r="R23" s="250" t="s">
        <v>3567</v>
      </c>
      <c r="S23" t="s">
        <v>42</v>
      </c>
    </row>
    <row r="24" spans="1:19" ht="15.75" customHeight="1" thickBot="1" x14ac:dyDescent="0.3">
      <c r="A24" s="83" t="s">
        <v>1911</v>
      </c>
      <c r="B24" s="83" t="s">
        <v>1911</v>
      </c>
      <c r="C24" s="82" t="str">
        <f t="shared" si="1"/>
        <v>X</v>
      </c>
      <c r="D24" s="83" t="s">
        <v>1616</v>
      </c>
      <c r="E24" s="91">
        <v>2022</v>
      </c>
      <c r="F24" s="152">
        <v>122</v>
      </c>
      <c r="G24" s="139" t="s">
        <v>42</v>
      </c>
      <c r="H24" s="374">
        <v>1</v>
      </c>
      <c r="I24" s="139">
        <v>122</v>
      </c>
      <c r="J24" s="85" t="s">
        <v>1618</v>
      </c>
      <c r="K24" s="91" t="s">
        <v>1899</v>
      </c>
      <c r="L24" s="91" t="s">
        <v>1619</v>
      </c>
      <c r="M24" s="429" t="s">
        <v>6240</v>
      </c>
      <c r="N24" s="91" t="str">
        <f t="shared" si="2"/>
        <v>DEFRA: Água: Consumo + TAR: 2022</v>
      </c>
      <c r="O24" s="429"/>
      <c r="P24" s="91"/>
      <c r="Q24" s="250" t="s">
        <v>3499</v>
      </c>
      <c r="R24" s="250" t="s">
        <v>3567</v>
      </c>
      <c r="S24" t="s">
        <v>42</v>
      </c>
    </row>
    <row r="25" spans="1:19" ht="15.75" thickBot="1" x14ac:dyDescent="0.3">
      <c r="A25" s="83" t="s">
        <v>1911</v>
      </c>
      <c r="B25" s="83" t="s">
        <v>1911</v>
      </c>
      <c r="C25" s="82" t="str">
        <f t="shared" si="1"/>
        <v>X</v>
      </c>
      <c r="D25" s="83" t="s">
        <v>1617</v>
      </c>
      <c r="E25" s="91">
        <v>2022</v>
      </c>
      <c r="F25" s="152">
        <v>402</v>
      </c>
      <c r="G25" s="139" t="s">
        <v>42</v>
      </c>
      <c r="H25" s="374">
        <v>1</v>
      </c>
      <c r="I25" s="152">
        <v>402</v>
      </c>
      <c r="J25" s="85" t="s">
        <v>1618</v>
      </c>
      <c r="K25" s="91" t="s">
        <v>1899</v>
      </c>
      <c r="L25" s="91" t="s">
        <v>1619</v>
      </c>
      <c r="M25" s="429" t="s">
        <v>6240</v>
      </c>
      <c r="N25" s="91" t="str">
        <f t="shared" si="2"/>
        <v>DEFRA: Água: Consumo + TAR: 2022</v>
      </c>
      <c r="O25" s="429"/>
      <c r="P25" s="91"/>
      <c r="Q25" s="250" t="s">
        <v>3499</v>
      </c>
      <c r="R25" s="250" t="s">
        <v>3567</v>
      </c>
      <c r="S25" t="s">
        <v>42</v>
      </c>
    </row>
    <row r="26" spans="1:19" ht="15.75" thickBot="1" x14ac:dyDescent="0.3">
      <c r="A26" s="83" t="s">
        <v>1914</v>
      </c>
      <c r="B26" s="83" t="s">
        <v>1914</v>
      </c>
      <c r="C26" s="82" t="str">
        <f t="shared" si="1"/>
        <v>X</v>
      </c>
      <c r="D26" s="83" t="s">
        <v>1616</v>
      </c>
      <c r="E26" s="91">
        <v>2022</v>
      </c>
      <c r="F26" s="152">
        <v>6212</v>
      </c>
      <c r="G26" s="139" t="s">
        <v>42</v>
      </c>
      <c r="H26" s="374">
        <v>1</v>
      </c>
      <c r="I26" s="139">
        <v>6212</v>
      </c>
      <c r="J26" s="85" t="s">
        <v>1618</v>
      </c>
      <c r="K26" s="91" t="s">
        <v>1899</v>
      </c>
      <c r="L26" s="91" t="s">
        <v>1619</v>
      </c>
      <c r="M26" s="429" t="s">
        <v>6240</v>
      </c>
      <c r="N26" s="91" t="str">
        <f t="shared" si="2"/>
        <v>DEFRA: Água: Consumo + TAR: 2022</v>
      </c>
      <c r="O26" s="429"/>
      <c r="P26" s="91"/>
      <c r="Q26" s="250" t="s">
        <v>3499</v>
      </c>
      <c r="R26" s="250" t="s">
        <v>3567</v>
      </c>
      <c r="S26" t="s">
        <v>42</v>
      </c>
    </row>
    <row r="27" spans="1:19" ht="15.75" thickBot="1" x14ac:dyDescent="0.3">
      <c r="A27" s="83" t="s">
        <v>4583</v>
      </c>
      <c r="B27" s="83" t="s">
        <v>4583</v>
      </c>
      <c r="C27" s="82" t="str">
        <f t="shared" si="1"/>
        <v>X</v>
      </c>
      <c r="D27" s="83" t="s">
        <v>1616</v>
      </c>
      <c r="E27" s="91">
        <v>2022</v>
      </c>
      <c r="F27" s="152">
        <v>38064</v>
      </c>
      <c r="G27" s="139" t="s">
        <v>42</v>
      </c>
      <c r="H27" s="374">
        <v>1</v>
      </c>
      <c r="I27" s="139">
        <v>38064</v>
      </c>
      <c r="J27" s="85" t="s">
        <v>1618</v>
      </c>
      <c r="K27" s="91" t="s">
        <v>1899</v>
      </c>
      <c r="L27" s="91" t="s">
        <v>1619</v>
      </c>
      <c r="M27" s="429" t="s">
        <v>6240</v>
      </c>
      <c r="N27" s="91" t="str">
        <f t="shared" si="2"/>
        <v>DEFRA: Água: Consumo + TAR: 2022</v>
      </c>
      <c r="O27" s="429"/>
      <c r="P27" s="91"/>
      <c r="Q27" s="250" t="s">
        <v>3499</v>
      </c>
      <c r="R27" s="250" t="s">
        <v>3567</v>
      </c>
      <c r="S27" t="s">
        <v>42</v>
      </c>
    </row>
    <row r="28" spans="1:19" ht="15.75" customHeight="1" thickBot="1" x14ac:dyDescent="0.3">
      <c r="A28" s="83" t="s">
        <v>4583</v>
      </c>
      <c r="B28" s="83" t="s">
        <v>4583</v>
      </c>
      <c r="C28" s="82" t="str">
        <f t="shared" si="1"/>
        <v>X</v>
      </c>
      <c r="D28" s="83" t="s">
        <v>1616</v>
      </c>
      <c r="E28" s="91">
        <v>2022</v>
      </c>
      <c r="F28" s="152">
        <v>76</v>
      </c>
      <c r="G28" s="139" t="s">
        <v>42</v>
      </c>
      <c r="H28" s="374">
        <v>1</v>
      </c>
      <c r="I28" s="152">
        <v>76</v>
      </c>
      <c r="J28" s="85" t="s">
        <v>1618</v>
      </c>
      <c r="K28" s="91" t="s">
        <v>1899</v>
      </c>
      <c r="L28" s="91" t="s">
        <v>1619</v>
      </c>
      <c r="M28" s="429" t="s">
        <v>6240</v>
      </c>
      <c r="N28" s="91" t="str">
        <f t="shared" si="2"/>
        <v>DEFRA: Água: Consumo + TAR: 2022</v>
      </c>
      <c r="O28" s="429"/>
      <c r="P28" s="91"/>
      <c r="Q28" s="250" t="s">
        <v>3499</v>
      </c>
      <c r="R28" s="250" t="s">
        <v>3567</v>
      </c>
      <c r="S28" t="s">
        <v>42</v>
      </c>
    </row>
    <row r="29" spans="1:19" ht="15.75" thickBot="1" x14ac:dyDescent="0.3">
      <c r="A29" s="83" t="s">
        <v>4584</v>
      </c>
      <c r="B29" s="83" t="s">
        <v>4584</v>
      </c>
      <c r="C29" s="82" t="str">
        <f t="shared" si="1"/>
        <v>X</v>
      </c>
      <c r="D29" s="83" t="s">
        <v>1616</v>
      </c>
      <c r="E29" s="91">
        <v>2022</v>
      </c>
      <c r="F29" s="152">
        <v>1367</v>
      </c>
      <c r="G29" s="139" t="s">
        <v>42</v>
      </c>
      <c r="H29" s="374">
        <v>1</v>
      </c>
      <c r="I29" s="139">
        <v>1367</v>
      </c>
      <c r="J29" s="85" t="s">
        <v>1618</v>
      </c>
      <c r="K29" s="91" t="s">
        <v>1899</v>
      </c>
      <c r="L29" s="91" t="s">
        <v>1619</v>
      </c>
      <c r="M29" s="429" t="s">
        <v>6240</v>
      </c>
      <c r="N29" s="91" t="str">
        <f t="shared" si="2"/>
        <v>DEFRA: Água: Consumo + TAR: 2022</v>
      </c>
      <c r="O29" s="429"/>
      <c r="P29" s="91"/>
      <c r="Q29" s="250" t="s">
        <v>3499</v>
      </c>
      <c r="R29" s="250" t="s">
        <v>3567</v>
      </c>
      <c r="S29" t="s">
        <v>42</v>
      </c>
    </row>
    <row r="30" spans="1:19" ht="15.75" thickBot="1" x14ac:dyDescent="0.3">
      <c r="A30" s="83" t="s">
        <v>2959</v>
      </c>
      <c r="B30" s="83" t="s">
        <v>2959</v>
      </c>
      <c r="C30" s="82" t="str">
        <f t="shared" si="1"/>
        <v>X</v>
      </c>
      <c r="D30" s="83" t="s">
        <v>1616</v>
      </c>
      <c r="E30" s="91">
        <v>2022</v>
      </c>
      <c r="F30" s="152">
        <v>711</v>
      </c>
      <c r="G30" s="139" t="s">
        <v>42</v>
      </c>
      <c r="H30" s="374">
        <v>1</v>
      </c>
      <c r="I30" s="139">
        <v>711</v>
      </c>
      <c r="J30" s="85" t="s">
        <v>1618</v>
      </c>
      <c r="K30" s="91" t="s">
        <v>1899</v>
      </c>
      <c r="L30" s="91" t="s">
        <v>1619</v>
      </c>
      <c r="M30" s="429" t="s">
        <v>6240</v>
      </c>
      <c r="N30" s="91" t="str">
        <f t="shared" si="2"/>
        <v>DEFRA: Água: Consumo + TAR: 2022</v>
      </c>
      <c r="O30" s="429"/>
      <c r="P30" s="91"/>
      <c r="Q30" s="250" t="s">
        <v>3499</v>
      </c>
      <c r="R30" s="250" t="s">
        <v>3567</v>
      </c>
      <c r="S30" t="s">
        <v>42</v>
      </c>
    </row>
    <row r="31" spans="1:19" ht="15.75" thickBot="1" x14ac:dyDescent="0.3">
      <c r="A31" s="83" t="s">
        <v>4590</v>
      </c>
      <c r="B31" s="83" t="s">
        <v>4590</v>
      </c>
      <c r="C31" s="82" t="str">
        <f t="shared" si="1"/>
        <v>X</v>
      </c>
      <c r="D31" s="83" t="s">
        <v>1616</v>
      </c>
      <c r="E31" s="91">
        <v>2022</v>
      </c>
      <c r="F31" s="265">
        <v>5468</v>
      </c>
      <c r="G31" s="139" t="s">
        <v>42</v>
      </c>
      <c r="H31" s="374">
        <v>1</v>
      </c>
      <c r="I31" s="265">
        <v>5468</v>
      </c>
      <c r="J31" s="85" t="s">
        <v>1618</v>
      </c>
      <c r="K31" s="91" t="s">
        <v>1899</v>
      </c>
      <c r="L31" s="91" t="s">
        <v>1619</v>
      </c>
      <c r="M31" s="429" t="s">
        <v>6240</v>
      </c>
      <c r="N31" s="91" t="str">
        <f t="shared" si="2"/>
        <v>DEFRA: Água: Consumo + TAR: 2022</v>
      </c>
      <c r="O31" s="429"/>
      <c r="P31" s="91"/>
      <c r="Q31" s="250" t="s">
        <v>3499</v>
      </c>
      <c r="R31" s="250" t="s">
        <v>3567</v>
      </c>
      <c r="S31" t="s">
        <v>42</v>
      </c>
    </row>
    <row r="32" spans="1:19" ht="15.75" customHeight="1" thickBot="1" x14ac:dyDescent="0.3">
      <c r="A32" s="83" t="s">
        <v>4606</v>
      </c>
      <c r="B32" s="83" t="s">
        <v>4606</v>
      </c>
      <c r="C32" s="82" t="str">
        <f t="shared" si="1"/>
        <v>X</v>
      </c>
      <c r="D32" s="83" t="s">
        <v>1616</v>
      </c>
      <c r="E32" s="91">
        <v>2022</v>
      </c>
      <c r="F32" s="152">
        <v>56.94</v>
      </c>
      <c r="G32" s="139" t="s">
        <v>42</v>
      </c>
      <c r="H32" s="374">
        <v>1</v>
      </c>
      <c r="I32" s="139">
        <v>56.94</v>
      </c>
      <c r="J32" s="85" t="s">
        <v>1618</v>
      </c>
      <c r="K32" s="91" t="s">
        <v>1899</v>
      </c>
      <c r="L32" s="91" t="s">
        <v>1619</v>
      </c>
      <c r="M32" s="429" t="s">
        <v>6240</v>
      </c>
      <c r="N32" s="91" t="str">
        <f t="shared" si="2"/>
        <v>DEFRA: Água: Consumo + TAR: 2022</v>
      </c>
      <c r="O32" s="429"/>
      <c r="P32" s="91" t="s">
        <v>2961</v>
      </c>
      <c r="Q32" s="250" t="s">
        <v>3499</v>
      </c>
      <c r="R32" s="250" t="s">
        <v>3567</v>
      </c>
      <c r="S32" t="s">
        <v>42</v>
      </c>
    </row>
    <row r="33" spans="1:19" ht="15.75" thickBot="1" x14ac:dyDescent="0.3">
      <c r="A33" s="82" t="s">
        <v>2817</v>
      </c>
      <c r="B33" s="82" t="s">
        <v>2817</v>
      </c>
      <c r="C33" s="82" t="str">
        <f t="shared" si="1"/>
        <v>X</v>
      </c>
      <c r="D33" s="83" t="s">
        <v>1616</v>
      </c>
      <c r="E33" s="91">
        <v>2022</v>
      </c>
      <c r="F33" s="152">
        <v>2473</v>
      </c>
      <c r="G33" s="139" t="s">
        <v>42</v>
      </c>
      <c r="H33" s="374">
        <v>1</v>
      </c>
      <c r="I33" s="130">
        <v>2473</v>
      </c>
      <c r="J33" s="85" t="s">
        <v>1618</v>
      </c>
      <c r="K33" s="91" t="s">
        <v>1899</v>
      </c>
      <c r="L33" s="266" t="s">
        <v>1620</v>
      </c>
      <c r="M33" s="429" t="s">
        <v>6240</v>
      </c>
      <c r="N33" s="91" t="str">
        <f t="shared" si="2"/>
        <v>DEFRA: Água: Consumo + TAR: 2022</v>
      </c>
      <c r="O33" s="429"/>
      <c r="P33" s="91" t="s">
        <v>2962</v>
      </c>
      <c r="Q33" s="250" t="s">
        <v>3499</v>
      </c>
      <c r="R33" s="250" t="s">
        <v>3567</v>
      </c>
      <c r="S33" t="s">
        <v>42</v>
      </c>
    </row>
    <row r="34" spans="1:19" ht="15.75" thickBot="1" x14ac:dyDescent="0.3">
      <c r="A34" s="83" t="s">
        <v>2868</v>
      </c>
      <c r="B34" s="83" t="s">
        <v>2868</v>
      </c>
      <c r="C34" s="82" t="str">
        <f t="shared" si="1"/>
        <v>X</v>
      </c>
      <c r="D34" s="83" t="s">
        <v>1616</v>
      </c>
      <c r="E34" s="91">
        <v>2022</v>
      </c>
      <c r="F34" s="152">
        <v>570</v>
      </c>
      <c r="G34" s="139" t="s">
        <v>42</v>
      </c>
      <c r="H34" s="374">
        <v>1</v>
      </c>
      <c r="I34" s="139">
        <v>570</v>
      </c>
      <c r="J34" s="85" t="s">
        <v>1618</v>
      </c>
      <c r="K34" s="91" t="s">
        <v>1899</v>
      </c>
      <c r="L34" s="91" t="s">
        <v>1619</v>
      </c>
      <c r="M34" s="429" t="s">
        <v>6240</v>
      </c>
      <c r="N34" s="91" t="str">
        <f t="shared" si="2"/>
        <v>DEFRA: Água: Consumo + TAR: 2022</v>
      </c>
      <c r="O34" s="429"/>
      <c r="P34" s="91"/>
      <c r="Q34" s="250" t="s">
        <v>3499</v>
      </c>
      <c r="R34" s="250" t="s">
        <v>3567</v>
      </c>
      <c r="S34" t="s">
        <v>42</v>
      </c>
    </row>
    <row r="35" spans="1:19" ht="15.75" thickBot="1" x14ac:dyDescent="0.3">
      <c r="A35" s="83" t="s">
        <v>4592</v>
      </c>
      <c r="B35" s="83" t="s">
        <v>4592</v>
      </c>
      <c r="C35" s="82" t="str">
        <f t="shared" si="1"/>
        <v>X</v>
      </c>
      <c r="D35" s="83" t="s">
        <v>1616</v>
      </c>
      <c r="E35" s="91">
        <v>2022</v>
      </c>
      <c r="F35" s="152">
        <v>1546</v>
      </c>
      <c r="G35" s="139" t="s">
        <v>42</v>
      </c>
      <c r="H35" s="374">
        <v>1</v>
      </c>
      <c r="I35" s="152">
        <v>1546</v>
      </c>
      <c r="J35" s="85" t="s">
        <v>1618</v>
      </c>
      <c r="K35" s="91" t="s">
        <v>1899</v>
      </c>
      <c r="L35" s="91" t="s">
        <v>1619</v>
      </c>
      <c r="M35" s="429" t="s">
        <v>6240</v>
      </c>
      <c r="N35" s="91" t="str">
        <f t="shared" si="2"/>
        <v>DEFRA: Água: Consumo + TAR: 2022</v>
      </c>
      <c r="O35" s="429"/>
      <c r="P35" s="91"/>
      <c r="Q35" s="250" t="s">
        <v>3499</v>
      </c>
      <c r="R35" s="250" t="s">
        <v>3567</v>
      </c>
      <c r="S35" t="s">
        <v>42</v>
      </c>
    </row>
    <row r="36" spans="1:19" ht="15.75" customHeight="1" thickBot="1" x14ac:dyDescent="0.3">
      <c r="A36" s="83" t="s">
        <v>4593</v>
      </c>
      <c r="B36" s="83" t="s">
        <v>4593</v>
      </c>
      <c r="C36" s="82" t="str">
        <f t="shared" si="1"/>
        <v>X</v>
      </c>
      <c r="D36" s="83" t="s">
        <v>1616</v>
      </c>
      <c r="E36" s="91">
        <v>2022</v>
      </c>
      <c r="F36" s="152">
        <v>5449</v>
      </c>
      <c r="G36" s="139" t="s">
        <v>42</v>
      </c>
      <c r="H36" s="374">
        <v>1</v>
      </c>
      <c r="I36" s="139">
        <v>5449</v>
      </c>
      <c r="J36" s="85" t="s">
        <v>1618</v>
      </c>
      <c r="K36" s="91" t="s">
        <v>1899</v>
      </c>
      <c r="L36" s="91" t="s">
        <v>1619</v>
      </c>
      <c r="M36" s="429" t="s">
        <v>6240</v>
      </c>
      <c r="N36" s="91" t="str">
        <f t="shared" si="2"/>
        <v>DEFRA: Água: Consumo + TAR: 2022</v>
      </c>
      <c r="O36" s="429"/>
      <c r="P36" s="91"/>
      <c r="Q36" s="250" t="s">
        <v>3499</v>
      </c>
      <c r="R36" s="250" t="s">
        <v>3567</v>
      </c>
      <c r="S36" t="s">
        <v>42</v>
      </c>
    </row>
    <row r="37" spans="1:19" ht="15.75" thickBot="1" x14ac:dyDescent="0.3">
      <c r="A37" s="83" t="s">
        <v>4595</v>
      </c>
      <c r="B37" s="83" t="s">
        <v>4595</v>
      </c>
      <c r="C37" s="82" t="str">
        <f t="shared" si="1"/>
        <v>X</v>
      </c>
      <c r="D37" s="83" t="s">
        <v>1616</v>
      </c>
      <c r="E37" s="91">
        <v>2022</v>
      </c>
      <c r="F37" s="152">
        <v>4554</v>
      </c>
      <c r="G37" s="139" t="s">
        <v>42</v>
      </c>
      <c r="H37" s="374">
        <v>1</v>
      </c>
      <c r="I37" s="139">
        <v>4554</v>
      </c>
      <c r="J37" s="85" t="s">
        <v>1618</v>
      </c>
      <c r="K37" s="91" t="s">
        <v>1899</v>
      </c>
      <c r="L37" s="91" t="s">
        <v>1619</v>
      </c>
      <c r="M37" s="429" t="s">
        <v>6240</v>
      </c>
      <c r="N37" s="91" t="str">
        <f t="shared" si="2"/>
        <v>DEFRA: Água: Consumo + TAR: 2022</v>
      </c>
      <c r="O37" s="429"/>
      <c r="P37" s="91"/>
      <c r="Q37" s="250" t="s">
        <v>3499</v>
      </c>
      <c r="R37" s="250" t="s">
        <v>3567</v>
      </c>
      <c r="S37" t="s">
        <v>42</v>
      </c>
    </row>
    <row r="38" spans="1:19" ht="15.75" thickBot="1" x14ac:dyDescent="0.3">
      <c r="A38" s="83" t="s">
        <v>4594</v>
      </c>
      <c r="B38" s="83" t="s">
        <v>4594</v>
      </c>
      <c r="C38" s="82" t="str">
        <f t="shared" si="1"/>
        <v>X</v>
      </c>
      <c r="D38" s="83" t="s">
        <v>1616</v>
      </c>
      <c r="E38" s="91">
        <v>2022</v>
      </c>
      <c r="F38" s="152">
        <v>2771</v>
      </c>
      <c r="G38" s="139" t="s">
        <v>42</v>
      </c>
      <c r="H38" s="374">
        <v>1</v>
      </c>
      <c r="I38" s="139">
        <v>2771</v>
      </c>
      <c r="J38" s="85" t="s">
        <v>1618</v>
      </c>
      <c r="K38" s="91" t="s">
        <v>1899</v>
      </c>
      <c r="L38" s="91" t="s">
        <v>1619</v>
      </c>
      <c r="M38" s="429" t="s">
        <v>6240</v>
      </c>
      <c r="N38" s="91" t="str">
        <f t="shared" si="2"/>
        <v>DEFRA: Água: Consumo + TAR: 2022</v>
      </c>
      <c r="O38" s="429"/>
      <c r="P38" s="91"/>
      <c r="Q38" s="250" t="s">
        <v>3499</v>
      </c>
      <c r="R38" s="250" t="s">
        <v>3567</v>
      </c>
      <c r="S38" t="s">
        <v>42</v>
      </c>
    </row>
    <row r="39" spans="1:19" ht="15.75" thickBot="1" x14ac:dyDescent="0.3">
      <c r="A39" s="82" t="s">
        <v>4602</v>
      </c>
      <c r="B39" s="82" t="s">
        <v>4602</v>
      </c>
      <c r="C39" s="82" t="str">
        <f t="shared" si="1"/>
        <v>X</v>
      </c>
      <c r="D39" s="83" t="s">
        <v>1617</v>
      </c>
      <c r="E39" s="91">
        <v>2022</v>
      </c>
      <c r="F39" s="341">
        <v>34151</v>
      </c>
      <c r="G39" s="139" t="s">
        <v>34</v>
      </c>
      <c r="H39" s="374">
        <v>0</v>
      </c>
      <c r="I39" s="342">
        <v>0</v>
      </c>
      <c r="J39" s="242" t="s">
        <v>1618</v>
      </c>
      <c r="K39" s="91" t="s">
        <v>1899</v>
      </c>
      <c r="L39" s="343" t="s">
        <v>76</v>
      </c>
      <c r="M39" s="429" t="s">
        <v>6240</v>
      </c>
      <c r="N39" s="266" t="str">
        <f t="shared" si="2"/>
        <v>DEFRA: Água: Consumo + TAR: 2022</v>
      </c>
      <c r="O39" s="266"/>
      <c r="P39" s="345" t="s">
        <v>3601</v>
      </c>
      <c r="Q39" s="250" t="s">
        <v>3499</v>
      </c>
      <c r="R39" s="250" t="s">
        <v>3567</v>
      </c>
      <c r="S39" t="s">
        <v>42</v>
      </c>
    </row>
    <row r="40" spans="1:19" ht="15.75" thickBot="1" x14ac:dyDescent="0.3">
      <c r="A40" s="82" t="s">
        <v>4602</v>
      </c>
      <c r="B40" s="82" t="s">
        <v>4602</v>
      </c>
      <c r="C40" s="82" t="str">
        <f t="shared" si="1"/>
        <v>X</v>
      </c>
      <c r="D40" s="83" t="s">
        <v>1616</v>
      </c>
      <c r="E40" s="91">
        <v>2022</v>
      </c>
      <c r="F40" s="341">
        <v>88080</v>
      </c>
      <c r="G40" s="139" t="s">
        <v>34</v>
      </c>
      <c r="H40" s="374">
        <v>0</v>
      </c>
      <c r="I40" s="342">
        <v>0</v>
      </c>
      <c r="J40" s="242" t="s">
        <v>1618</v>
      </c>
      <c r="K40" s="91" t="s">
        <v>1899</v>
      </c>
      <c r="L40" s="343" t="s">
        <v>76</v>
      </c>
      <c r="M40" s="429" t="s">
        <v>6240</v>
      </c>
      <c r="N40" s="266" t="str">
        <f t="shared" si="2"/>
        <v>DEFRA: Água: Consumo + TAR: 2022</v>
      </c>
      <c r="O40" s="266"/>
      <c r="P40" s="266" t="s">
        <v>3605</v>
      </c>
      <c r="Q40" s="250" t="s">
        <v>3499</v>
      </c>
      <c r="R40" s="250" t="s">
        <v>3567</v>
      </c>
      <c r="S40" t="s">
        <v>42</v>
      </c>
    </row>
    <row r="41" spans="1:19" ht="15.75" thickBot="1" x14ac:dyDescent="0.3">
      <c r="A41" s="82" t="s">
        <v>4602</v>
      </c>
      <c r="B41" s="82" t="s">
        <v>4602</v>
      </c>
      <c r="C41" s="82" t="str">
        <f t="shared" si="1"/>
        <v>X</v>
      </c>
      <c r="D41" s="83" t="s">
        <v>1616</v>
      </c>
      <c r="E41" s="91">
        <v>2022</v>
      </c>
      <c r="F41" s="341">
        <v>6524</v>
      </c>
      <c r="G41" s="139" t="s">
        <v>42</v>
      </c>
      <c r="H41" s="374">
        <v>1</v>
      </c>
      <c r="I41" s="341">
        <v>6524</v>
      </c>
      <c r="J41" s="85" t="s">
        <v>1618</v>
      </c>
      <c r="K41" s="91" t="s">
        <v>1899</v>
      </c>
      <c r="L41" s="91" t="s">
        <v>1619</v>
      </c>
      <c r="M41" s="429" t="s">
        <v>6240</v>
      </c>
      <c r="N41" s="91" t="str">
        <f>"DEFRA: Água: Consumo + TAR: "&amp;TEXT(E41,"0000")</f>
        <v>DEFRA: Água: Consumo + TAR: 2022</v>
      </c>
      <c r="O41" s="429"/>
      <c r="P41" s="91" t="s">
        <v>3602</v>
      </c>
      <c r="Q41" s="250" t="s">
        <v>3499</v>
      </c>
      <c r="R41" s="250" t="s">
        <v>3567</v>
      </c>
      <c r="S41" t="s">
        <v>42</v>
      </c>
    </row>
    <row r="42" spans="1:19" ht="15.75" thickBot="1" x14ac:dyDescent="0.3">
      <c r="A42" s="82" t="s">
        <v>4602</v>
      </c>
      <c r="B42" s="82" t="s">
        <v>4602</v>
      </c>
      <c r="C42" s="82" t="str">
        <f t="shared" si="1"/>
        <v>X</v>
      </c>
      <c r="D42" s="83" t="s">
        <v>1616</v>
      </c>
      <c r="E42" s="91">
        <v>2022</v>
      </c>
      <c r="F42" s="341">
        <v>1048</v>
      </c>
      <c r="G42" s="139" t="s">
        <v>42</v>
      </c>
      <c r="H42" s="374">
        <v>1</v>
      </c>
      <c r="I42" s="341">
        <v>1048</v>
      </c>
      <c r="J42" s="85" t="s">
        <v>1618</v>
      </c>
      <c r="K42" s="91" t="s">
        <v>1899</v>
      </c>
      <c r="L42" s="91" t="s">
        <v>1619</v>
      </c>
      <c r="M42" s="429" t="s">
        <v>6240</v>
      </c>
      <c r="N42" s="91" t="str">
        <f>"DEFRA: Água: Consumo + TAR: "&amp;TEXT(E42,"0000")</f>
        <v>DEFRA: Água: Consumo + TAR: 2022</v>
      </c>
      <c r="O42" s="429"/>
      <c r="P42" s="91" t="s">
        <v>3603</v>
      </c>
      <c r="Q42" s="250" t="s">
        <v>3499</v>
      </c>
      <c r="R42" s="250" t="s">
        <v>3567</v>
      </c>
      <c r="S42" t="s">
        <v>42</v>
      </c>
    </row>
    <row r="43" spans="1:19" ht="15.75" thickBot="1" x14ac:dyDescent="0.3">
      <c r="A43" s="82" t="s">
        <v>4602</v>
      </c>
      <c r="B43" s="82" t="s">
        <v>4602</v>
      </c>
      <c r="C43" s="82" t="str">
        <f t="shared" si="1"/>
        <v>X</v>
      </c>
      <c r="D43" s="83" t="s">
        <v>1617</v>
      </c>
      <c r="E43" s="91">
        <v>2022</v>
      </c>
      <c r="F43" s="341">
        <v>4607</v>
      </c>
      <c r="G43" s="139" t="s">
        <v>42</v>
      </c>
      <c r="H43" s="374">
        <v>1</v>
      </c>
      <c r="I43" s="341">
        <v>4607</v>
      </c>
      <c r="J43" s="85" t="s">
        <v>1618</v>
      </c>
      <c r="K43" s="91" t="s">
        <v>1899</v>
      </c>
      <c r="L43" s="91" t="s">
        <v>1619</v>
      </c>
      <c r="M43" s="429" t="s">
        <v>6240</v>
      </c>
      <c r="N43" s="91" t="str">
        <f>"DEFRA: Água: Consumo + TAR: "&amp;TEXT(E43,"0000")</f>
        <v>DEFRA: Água: Consumo + TAR: 2022</v>
      </c>
      <c r="O43" s="429"/>
      <c r="P43" s="344" t="s">
        <v>3606</v>
      </c>
      <c r="Q43" s="250" t="s">
        <v>3499</v>
      </c>
      <c r="R43" s="250" t="s">
        <v>3567</v>
      </c>
      <c r="S43" t="s">
        <v>42</v>
      </c>
    </row>
    <row r="44" spans="1:19" ht="15.75" thickBot="1" x14ac:dyDescent="0.3">
      <c r="A44" s="82" t="s">
        <v>4602</v>
      </c>
      <c r="B44" s="82" t="s">
        <v>4602</v>
      </c>
      <c r="C44" s="82" t="str">
        <f t="shared" si="1"/>
        <v>X</v>
      </c>
      <c r="D44" s="83" t="s">
        <v>1616</v>
      </c>
      <c r="E44" s="91">
        <v>2022</v>
      </c>
      <c r="F44" s="341">
        <v>1665</v>
      </c>
      <c r="G44" s="139" t="s">
        <v>42</v>
      </c>
      <c r="H44" s="374">
        <v>1</v>
      </c>
      <c r="I44" s="341">
        <v>1665</v>
      </c>
      <c r="J44" s="85" t="s">
        <v>1618</v>
      </c>
      <c r="K44" s="91" t="s">
        <v>1899</v>
      </c>
      <c r="L44" s="91" t="s">
        <v>1619</v>
      </c>
      <c r="M44" s="429" t="s">
        <v>6240</v>
      </c>
      <c r="N44" s="91" t="str">
        <f>"DEFRA: Água: Consumo + TAR: "&amp;TEXT(E44,"0000")</f>
        <v>DEFRA: Água: Consumo + TAR: 2022</v>
      </c>
      <c r="O44" s="429"/>
      <c r="P44" s="344" t="s">
        <v>3604</v>
      </c>
      <c r="Q44" s="250" t="s">
        <v>3499</v>
      </c>
      <c r="R44" s="250" t="s">
        <v>3567</v>
      </c>
      <c r="S44" t="s">
        <v>42</v>
      </c>
    </row>
    <row r="45" spans="1:19" ht="15.75" thickBot="1" x14ac:dyDescent="0.3">
      <c r="A45" s="82" t="s">
        <v>4598</v>
      </c>
      <c r="B45" s="82" t="s">
        <v>4598</v>
      </c>
      <c r="C45" s="82" t="str">
        <f t="shared" si="1"/>
        <v>X</v>
      </c>
      <c r="D45" s="83" t="s">
        <v>1616</v>
      </c>
      <c r="E45" s="91">
        <v>2022</v>
      </c>
      <c r="F45" s="341">
        <v>32</v>
      </c>
      <c r="G45" s="139" t="s">
        <v>42</v>
      </c>
      <c r="H45" s="374">
        <v>1</v>
      </c>
      <c r="I45" s="341">
        <v>32</v>
      </c>
      <c r="J45" s="85" t="s">
        <v>1618</v>
      </c>
      <c r="K45" s="91" t="s">
        <v>1899</v>
      </c>
      <c r="L45" s="91" t="s">
        <v>1619</v>
      </c>
      <c r="M45" s="429" t="s">
        <v>6240</v>
      </c>
      <c r="N45" s="91" t="str">
        <f t="shared" ref="N45:N47" si="3">"DEFRA: Água: Consumo + TAR: "&amp;TEXT(E45,"0000")</f>
        <v>DEFRA: Água: Consumo + TAR: 2022</v>
      </c>
      <c r="O45" s="429"/>
      <c r="P45" s="91"/>
      <c r="Q45" s="250" t="s">
        <v>3499</v>
      </c>
      <c r="R45" s="250" t="s">
        <v>3567</v>
      </c>
      <c r="S45" t="s">
        <v>42</v>
      </c>
    </row>
    <row r="46" spans="1:19" ht="15.75" thickBot="1" x14ac:dyDescent="0.3">
      <c r="A46" s="422" t="s">
        <v>4643</v>
      </c>
      <c r="B46" s="422" t="s">
        <v>4643</v>
      </c>
      <c r="C46" s="82" t="str">
        <f t="shared" si="1"/>
        <v>X</v>
      </c>
      <c r="D46" s="83" t="s">
        <v>1616</v>
      </c>
      <c r="E46" s="91">
        <v>2022</v>
      </c>
      <c r="F46" s="341">
        <v>21.9</v>
      </c>
      <c r="G46" s="139" t="s">
        <v>42</v>
      </c>
      <c r="H46" s="374">
        <v>1</v>
      </c>
      <c r="I46" s="341">
        <v>21.9</v>
      </c>
      <c r="J46" s="85" t="s">
        <v>1618</v>
      </c>
      <c r="K46" s="91" t="s">
        <v>1899</v>
      </c>
      <c r="L46" s="91" t="s">
        <v>1619</v>
      </c>
      <c r="M46" s="429" t="s">
        <v>6240</v>
      </c>
      <c r="N46" s="91" t="str">
        <f t="shared" si="3"/>
        <v>DEFRA: Água: Consumo + TAR: 2022</v>
      </c>
      <c r="O46" s="429"/>
      <c r="P46" s="91"/>
      <c r="Q46" s="250" t="s">
        <v>3499</v>
      </c>
      <c r="R46" s="250" t="s">
        <v>3567</v>
      </c>
      <c r="S46" t="s">
        <v>42</v>
      </c>
    </row>
    <row r="47" spans="1:19" ht="15.75" thickBot="1" x14ac:dyDescent="0.3">
      <c r="A47" s="422" t="s">
        <v>4642</v>
      </c>
      <c r="B47" s="422" t="s">
        <v>4642</v>
      </c>
      <c r="C47" s="82" t="str">
        <f t="shared" si="1"/>
        <v>X</v>
      </c>
      <c r="D47" s="83" t="s">
        <v>1616</v>
      </c>
      <c r="E47" s="91">
        <v>2022</v>
      </c>
      <c r="F47" s="341">
        <v>18</v>
      </c>
      <c r="G47" s="139" t="s">
        <v>42</v>
      </c>
      <c r="H47" s="374">
        <v>1</v>
      </c>
      <c r="I47" s="341">
        <v>18</v>
      </c>
      <c r="J47" s="85" t="s">
        <v>1618</v>
      </c>
      <c r="K47" s="91" t="s">
        <v>1899</v>
      </c>
      <c r="L47" s="91" t="s">
        <v>1619</v>
      </c>
      <c r="M47" s="429" t="s">
        <v>6240</v>
      </c>
      <c r="N47" s="91" t="str">
        <f t="shared" si="3"/>
        <v>DEFRA: Água: Consumo + TAR: 2022</v>
      </c>
      <c r="O47" s="429"/>
      <c r="P47" s="91"/>
      <c r="Q47" s="250" t="s">
        <v>3499</v>
      </c>
      <c r="R47" s="250" t="s">
        <v>3567</v>
      </c>
      <c r="S47" t="s">
        <v>42</v>
      </c>
    </row>
    <row r="48" spans="1:19" ht="15.75" thickBot="1" x14ac:dyDescent="0.3">
      <c r="A48" t="s">
        <v>4601</v>
      </c>
      <c r="B48" t="s">
        <v>4601</v>
      </c>
      <c r="C48" s="82" t="str">
        <f t="shared" si="1"/>
        <v>X</v>
      </c>
      <c r="D48" t="s">
        <v>1616</v>
      </c>
      <c r="E48" s="91">
        <v>2022</v>
      </c>
      <c r="F48" s="341">
        <v>9293</v>
      </c>
      <c r="G48" s="139" t="s">
        <v>42</v>
      </c>
      <c r="H48" s="374">
        <v>1</v>
      </c>
      <c r="I48" s="341">
        <v>9293</v>
      </c>
      <c r="J48" s="85" t="s">
        <v>1618</v>
      </c>
      <c r="K48" s="91" t="s">
        <v>1899</v>
      </c>
      <c r="L48" s="91" t="s">
        <v>1619</v>
      </c>
      <c r="M48" s="429" t="s">
        <v>6240</v>
      </c>
      <c r="N48" s="91" t="str">
        <f t="shared" ref="N48:N49" si="4">"DEFRA: Água: Consumo + TAR: "&amp;TEXT(E48,"0000")</f>
        <v>DEFRA: Água: Consumo + TAR: 2022</v>
      </c>
      <c r="O48" s="429"/>
      <c r="P48" s="91"/>
      <c r="Q48" s="250" t="s">
        <v>3499</v>
      </c>
      <c r="R48" s="250" t="s">
        <v>3567</v>
      </c>
      <c r="S48" t="s">
        <v>42</v>
      </c>
    </row>
    <row r="49" spans="1:19" ht="15.75" thickBot="1" x14ac:dyDescent="0.3">
      <c r="A49" t="s">
        <v>4601</v>
      </c>
      <c r="B49" t="s">
        <v>4601</v>
      </c>
      <c r="C49" s="82" t="str">
        <f t="shared" si="1"/>
        <v>X</v>
      </c>
      <c r="D49" t="s">
        <v>1617</v>
      </c>
      <c r="E49" s="91">
        <v>2022</v>
      </c>
      <c r="F49" s="341">
        <v>13923</v>
      </c>
      <c r="G49" s="139" t="s">
        <v>42</v>
      </c>
      <c r="H49" s="374">
        <v>1</v>
      </c>
      <c r="I49" s="341">
        <v>13923</v>
      </c>
      <c r="J49" s="85" t="s">
        <v>1618</v>
      </c>
      <c r="K49" s="91" t="s">
        <v>1899</v>
      </c>
      <c r="L49" s="91" t="s">
        <v>1619</v>
      </c>
      <c r="M49" s="429" t="s">
        <v>6240</v>
      </c>
      <c r="N49" s="91" t="str">
        <f t="shared" si="4"/>
        <v>DEFRA: Água: Consumo + TAR: 2022</v>
      </c>
      <c r="O49" s="429"/>
      <c r="P49" s="91"/>
      <c r="Q49" s="250" t="s">
        <v>3499</v>
      </c>
      <c r="R49" s="250" t="s">
        <v>3567</v>
      </c>
      <c r="S49" t="s">
        <v>42</v>
      </c>
    </row>
    <row r="50" spans="1:19" ht="15.75" thickBot="1" x14ac:dyDescent="0.3">
      <c r="A50" t="s">
        <v>4601</v>
      </c>
      <c r="B50" t="s">
        <v>4601</v>
      </c>
      <c r="C50" s="82" t="str">
        <f t="shared" si="1"/>
        <v>X</v>
      </c>
      <c r="D50" t="s">
        <v>1616</v>
      </c>
      <c r="E50" s="91">
        <v>2022</v>
      </c>
      <c r="F50" s="341">
        <v>1423</v>
      </c>
      <c r="G50" s="139" t="s">
        <v>42</v>
      </c>
      <c r="H50" s="374">
        <v>1</v>
      </c>
      <c r="I50" s="341">
        <v>1423</v>
      </c>
      <c r="J50" s="85" t="s">
        <v>1618</v>
      </c>
      <c r="K50" s="91" t="s">
        <v>1899</v>
      </c>
      <c r="L50" s="375" t="s">
        <v>1620</v>
      </c>
      <c r="M50" s="429" t="s">
        <v>6240</v>
      </c>
      <c r="N50" s="375" t="str">
        <f t="shared" ref="N50:N51" si="5">"DEFRA: Água: Consumo + TAR: "&amp;TEXT(E50,"0000")</f>
        <v>DEFRA: Água: Consumo + TAR: 2022</v>
      </c>
      <c r="O50" s="375"/>
      <c r="P50" s="91"/>
      <c r="Q50" s="250" t="s">
        <v>3499</v>
      </c>
      <c r="R50" s="250" t="s">
        <v>3567</v>
      </c>
      <c r="S50" t="s">
        <v>42</v>
      </c>
    </row>
    <row r="51" spans="1:19" ht="15.75" thickBot="1" x14ac:dyDescent="0.3">
      <c r="A51" t="s">
        <v>4601</v>
      </c>
      <c r="B51" t="s">
        <v>4601</v>
      </c>
      <c r="C51" s="82" t="str">
        <f t="shared" si="1"/>
        <v>X</v>
      </c>
      <c r="D51" t="s">
        <v>1617</v>
      </c>
      <c r="E51" s="91">
        <v>2022</v>
      </c>
      <c r="F51" s="341">
        <v>4712</v>
      </c>
      <c r="G51" s="139" t="s">
        <v>42</v>
      </c>
      <c r="H51" s="374">
        <v>1</v>
      </c>
      <c r="I51" s="341">
        <v>4712</v>
      </c>
      <c r="J51" s="85" t="s">
        <v>1618</v>
      </c>
      <c r="K51" s="91" t="s">
        <v>1899</v>
      </c>
      <c r="L51" s="375" t="s">
        <v>1620</v>
      </c>
      <c r="M51" s="429" t="s">
        <v>6240</v>
      </c>
      <c r="N51" s="375" t="str">
        <f t="shared" si="5"/>
        <v>DEFRA: Água: Consumo + TAR: 2022</v>
      </c>
      <c r="O51" s="375"/>
      <c r="P51" s="91"/>
      <c r="Q51" s="250" t="s">
        <v>3499</v>
      </c>
      <c r="R51" s="250" t="s">
        <v>3567</v>
      </c>
      <c r="S51" t="s">
        <v>42</v>
      </c>
    </row>
    <row r="52" spans="1:19" ht="15.75" thickBot="1" x14ac:dyDescent="0.3">
      <c r="A52" t="s">
        <v>45</v>
      </c>
      <c r="B52" t="s">
        <v>45</v>
      </c>
      <c r="C52" s="424" t="str">
        <f t="shared" si="1"/>
        <v>X</v>
      </c>
      <c r="D52" t="s">
        <v>1616</v>
      </c>
      <c r="E52" s="287">
        <v>2023</v>
      </c>
      <c r="F52">
        <v>3262</v>
      </c>
      <c r="G52" s="139" t="s">
        <v>42</v>
      </c>
      <c r="H52" s="490">
        <f>I52/F52</f>
        <v>0.98629675045984055</v>
      </c>
      <c r="I52" s="422">
        <v>3217.2999999999997</v>
      </c>
      <c r="J52" s="422" t="s">
        <v>1618</v>
      </c>
      <c r="K52" s="429" t="s">
        <v>1899</v>
      </c>
      <c r="L52" t="s">
        <v>1619</v>
      </c>
      <c r="M52" s="429" t="s">
        <v>6241</v>
      </c>
      <c r="N52" s="491" t="str">
        <f t="shared" ref="N52" si="6">"DEFRA: Água: Consumo: "&amp;TEXT(E52,"0000")</f>
        <v>DEFRA: Água: Consumo: 2023</v>
      </c>
      <c r="O52" s="491" t="str">
        <f>"DEFRA: Água: TAR: "&amp;TEXT(E52,"0000")</f>
        <v>DEFRA: Água: TAR: 2023</v>
      </c>
      <c r="Q52" s="250" t="s">
        <v>3499</v>
      </c>
      <c r="R52" s="250" t="s">
        <v>3567</v>
      </c>
      <c r="S52" s="422" t="s">
        <v>42</v>
      </c>
    </row>
    <row r="53" spans="1:19" ht="15.75" thickBot="1" x14ac:dyDescent="0.3">
      <c r="A53" t="s">
        <v>45</v>
      </c>
      <c r="B53" t="s">
        <v>45</v>
      </c>
      <c r="C53" s="424" t="str">
        <f t="shared" si="1"/>
        <v>X</v>
      </c>
      <c r="D53" t="s">
        <v>1616</v>
      </c>
      <c r="E53" s="287">
        <v>2023</v>
      </c>
      <c r="F53">
        <v>1420</v>
      </c>
      <c r="G53" s="139" t="s">
        <v>42</v>
      </c>
      <c r="H53" s="490">
        <f t="shared" ref="H53:H55" si="7">I53/F53</f>
        <v>1</v>
      </c>
      <c r="I53" s="422">
        <v>1420</v>
      </c>
      <c r="J53" s="422" t="s">
        <v>1618</v>
      </c>
      <c r="K53" s="429" t="s">
        <v>1899</v>
      </c>
      <c r="L53" t="s">
        <v>1620</v>
      </c>
      <c r="M53" s="429" t="s">
        <v>6241</v>
      </c>
      <c r="N53" s="491" t="str">
        <f>"DEFRA: Água: Consumo: "&amp;TEXT(E53,"0000")</f>
        <v>DEFRA: Água: Consumo: 2023</v>
      </c>
      <c r="O53" s="491" t="str">
        <f t="shared" ref="O53:O56" si="8">"DEFRA: Água: TAR: "&amp;TEXT(E53,"0000")</f>
        <v>DEFRA: Água: TAR: 2023</v>
      </c>
      <c r="Q53" s="250" t="s">
        <v>3499</v>
      </c>
      <c r="R53" s="250" t="s">
        <v>3567</v>
      </c>
      <c r="S53" s="422" t="s">
        <v>42</v>
      </c>
    </row>
    <row r="54" spans="1:19" ht="15.75" thickBot="1" x14ac:dyDescent="0.3">
      <c r="A54" t="s">
        <v>45</v>
      </c>
      <c r="B54" t="s">
        <v>45</v>
      </c>
      <c r="C54" s="424" t="str">
        <f t="shared" si="1"/>
        <v>X</v>
      </c>
      <c r="D54" t="s">
        <v>1617</v>
      </c>
      <c r="E54" s="287">
        <v>2023</v>
      </c>
      <c r="F54">
        <v>771</v>
      </c>
      <c r="G54" s="139" t="s">
        <v>42</v>
      </c>
      <c r="H54" s="490">
        <f t="shared" si="7"/>
        <v>1</v>
      </c>
      <c r="I54" s="422">
        <v>771</v>
      </c>
      <c r="J54" s="422" t="s">
        <v>1618</v>
      </c>
      <c r="K54" s="429" t="s">
        <v>1899</v>
      </c>
      <c r="L54" t="s">
        <v>1619</v>
      </c>
      <c r="M54" s="429" t="s">
        <v>6241</v>
      </c>
      <c r="N54" s="491" t="str">
        <f t="shared" ref="N54:N56" si="9">"DEFRA: Água: Consumo: "&amp;TEXT(E54,"0000")</f>
        <v>DEFRA: Água: Consumo: 2023</v>
      </c>
      <c r="O54" s="491" t="str">
        <f t="shared" si="8"/>
        <v>DEFRA: Água: TAR: 2023</v>
      </c>
      <c r="Q54" s="250" t="s">
        <v>3499</v>
      </c>
      <c r="R54" s="250" t="s">
        <v>3567</v>
      </c>
      <c r="S54" s="422" t="s">
        <v>42</v>
      </c>
    </row>
    <row r="55" spans="1:19" ht="15.75" thickBot="1" x14ac:dyDescent="0.3">
      <c r="A55" t="s">
        <v>45</v>
      </c>
      <c r="B55" t="s">
        <v>45</v>
      </c>
      <c r="C55" s="424" t="str">
        <f t="shared" si="1"/>
        <v>X</v>
      </c>
      <c r="D55" t="s">
        <v>1616</v>
      </c>
      <c r="E55" s="287">
        <v>2023</v>
      </c>
      <c r="F55">
        <v>4998627</v>
      </c>
      <c r="G55" s="139" t="s">
        <v>42</v>
      </c>
      <c r="H55" s="490">
        <f t="shared" si="7"/>
        <v>0.90024006592210215</v>
      </c>
      <c r="I55" s="422">
        <v>4499964.3</v>
      </c>
      <c r="J55" s="422" t="s">
        <v>630</v>
      </c>
      <c r="K55" t="s">
        <v>1861</v>
      </c>
      <c r="L55" t="s">
        <v>1619</v>
      </c>
      <c r="M55" s="429" t="s">
        <v>6241</v>
      </c>
      <c r="N55" s="491" t="str">
        <f t="shared" si="9"/>
        <v>DEFRA: Água: Consumo: 2023</v>
      </c>
      <c r="O55" s="491" t="str">
        <f t="shared" si="8"/>
        <v>DEFRA: Água: TAR: 2023</v>
      </c>
      <c r="Q55" s="250" t="s">
        <v>3499</v>
      </c>
      <c r="R55" s="250" t="s">
        <v>3567</v>
      </c>
      <c r="S55" s="422" t="s">
        <v>42</v>
      </c>
    </row>
    <row r="56" spans="1:19" ht="15.75" thickBot="1" x14ac:dyDescent="0.3">
      <c r="A56" t="s">
        <v>4580</v>
      </c>
      <c r="B56" t="s">
        <v>4580</v>
      </c>
      <c r="C56" s="424" t="str">
        <f t="shared" si="1"/>
        <v>X</v>
      </c>
      <c r="D56" s="425" t="s">
        <v>1616</v>
      </c>
      <c r="E56" s="287">
        <v>2023</v>
      </c>
      <c r="F56">
        <v>417</v>
      </c>
      <c r="G56" s="139" t="s">
        <v>42</v>
      </c>
      <c r="H56" s="490">
        <f t="shared" ref="H56:H93" si="10">I56/F56</f>
        <v>0.89928057553956831</v>
      </c>
      <c r="I56" s="422">
        <v>375</v>
      </c>
      <c r="J56" s="422" t="s">
        <v>1618</v>
      </c>
      <c r="K56" s="429" t="s">
        <v>1899</v>
      </c>
      <c r="L56" s="422" t="s">
        <v>1619</v>
      </c>
      <c r="M56" s="429" t="s">
        <v>6241</v>
      </c>
      <c r="N56" s="492" t="str">
        <f t="shared" si="9"/>
        <v>DEFRA: Água: Consumo: 2023</v>
      </c>
      <c r="O56" s="492" t="str">
        <f t="shared" si="8"/>
        <v>DEFRA: Água: TAR: 2023</v>
      </c>
      <c r="Q56" s="250" t="s">
        <v>3499</v>
      </c>
      <c r="R56" s="250" t="s">
        <v>3567</v>
      </c>
      <c r="S56" s="422" t="s">
        <v>42</v>
      </c>
    </row>
    <row r="57" spans="1:19" ht="15.75" thickBot="1" x14ac:dyDescent="0.3">
      <c r="A57" t="s">
        <v>1916</v>
      </c>
      <c r="B57" t="s">
        <v>1916</v>
      </c>
      <c r="C57" s="424" t="str">
        <f t="shared" si="1"/>
        <v>X</v>
      </c>
      <c r="D57" t="s">
        <v>1616</v>
      </c>
      <c r="E57" s="287">
        <v>2023</v>
      </c>
      <c r="F57">
        <v>8239</v>
      </c>
      <c r="G57" s="139" t="s">
        <v>42</v>
      </c>
      <c r="H57" s="490">
        <f t="shared" si="10"/>
        <v>1</v>
      </c>
      <c r="I57">
        <v>8239</v>
      </c>
      <c r="J57" t="s">
        <v>1618</v>
      </c>
      <c r="K57" s="429" t="s">
        <v>1899</v>
      </c>
      <c r="L57" t="s">
        <v>1619</v>
      </c>
      <c r="M57" s="429" t="s">
        <v>6241</v>
      </c>
      <c r="N57" s="491" t="str">
        <f t="shared" ref="N57:N93" si="11">"DEFRA: Água: Consumo: "&amp;TEXT(E57,"0000")</f>
        <v>DEFRA: Água: Consumo: 2023</v>
      </c>
      <c r="O57" s="491" t="str">
        <f t="shared" ref="O57:O93" si="12">"DEFRA: Água: TAR: "&amp;TEXT(E57,"0000")</f>
        <v>DEFRA: Água: TAR: 2023</v>
      </c>
      <c r="Q57" s="250" t="s">
        <v>3499</v>
      </c>
      <c r="R57" s="250" t="s">
        <v>3567</v>
      </c>
      <c r="S57" s="422" t="s">
        <v>42</v>
      </c>
    </row>
    <row r="58" spans="1:19" ht="15.75" thickBot="1" x14ac:dyDescent="0.3">
      <c r="A58" t="s">
        <v>4583</v>
      </c>
      <c r="B58" t="s">
        <v>4583</v>
      </c>
      <c r="C58" s="424" t="str">
        <f t="shared" si="1"/>
        <v>X</v>
      </c>
      <c r="D58" t="s">
        <v>1616</v>
      </c>
      <c r="E58" s="287">
        <v>2023</v>
      </c>
      <c r="F58">
        <v>12249.66</v>
      </c>
      <c r="G58" s="139" t="s">
        <v>42</v>
      </c>
      <c r="H58" s="490">
        <f t="shared" si="10"/>
        <v>1</v>
      </c>
      <c r="I58">
        <v>12249.66</v>
      </c>
      <c r="J58" t="s">
        <v>1618</v>
      </c>
      <c r="K58" s="429" t="s">
        <v>1899</v>
      </c>
      <c r="L58" t="s">
        <v>1619</v>
      </c>
      <c r="M58" s="429" t="s">
        <v>6241</v>
      </c>
      <c r="N58" s="492" t="str">
        <f t="shared" si="11"/>
        <v>DEFRA: Água: Consumo: 2023</v>
      </c>
      <c r="O58" s="492" t="str">
        <f t="shared" si="12"/>
        <v>DEFRA: Água: TAR: 2023</v>
      </c>
      <c r="Q58" s="250" t="s">
        <v>3499</v>
      </c>
      <c r="R58" s="250" t="s">
        <v>3567</v>
      </c>
      <c r="S58" s="422" t="s">
        <v>42</v>
      </c>
    </row>
    <row r="59" spans="1:19" ht="15.75" thickBot="1" x14ac:dyDescent="0.3">
      <c r="A59" t="s">
        <v>4584</v>
      </c>
      <c r="B59" t="s">
        <v>4584</v>
      </c>
      <c r="C59" s="424" t="str">
        <f t="shared" si="1"/>
        <v>X</v>
      </c>
      <c r="D59" t="s">
        <v>1616</v>
      </c>
      <c r="E59" s="287">
        <v>2023</v>
      </c>
      <c r="F59">
        <v>1265</v>
      </c>
      <c r="G59" s="139" t="s">
        <v>42</v>
      </c>
      <c r="H59" s="490">
        <f t="shared" si="10"/>
        <v>1</v>
      </c>
      <c r="I59">
        <v>1265</v>
      </c>
      <c r="J59" t="s">
        <v>1618</v>
      </c>
      <c r="K59" s="429" t="s">
        <v>1899</v>
      </c>
      <c r="L59" t="s">
        <v>1619</v>
      </c>
      <c r="M59" s="429" t="s">
        <v>6241</v>
      </c>
      <c r="N59" s="491" t="str">
        <f t="shared" si="11"/>
        <v>DEFRA: Água: Consumo: 2023</v>
      </c>
      <c r="O59" s="491" t="str">
        <f t="shared" si="12"/>
        <v>DEFRA: Água: TAR: 2023</v>
      </c>
      <c r="Q59" s="250" t="s">
        <v>3499</v>
      </c>
      <c r="R59" s="250" t="s">
        <v>3567</v>
      </c>
      <c r="S59" s="422" t="s">
        <v>42</v>
      </c>
    </row>
    <row r="60" spans="1:19" ht="15.75" thickBot="1" x14ac:dyDescent="0.3">
      <c r="A60" t="s">
        <v>2959</v>
      </c>
      <c r="B60" t="s">
        <v>2959</v>
      </c>
      <c r="C60" s="424" t="str">
        <f t="shared" si="1"/>
        <v>X</v>
      </c>
      <c r="D60" t="s">
        <v>1616</v>
      </c>
      <c r="E60" s="287">
        <v>2023</v>
      </c>
      <c r="F60">
        <v>1195</v>
      </c>
      <c r="G60" s="139" t="s">
        <v>42</v>
      </c>
      <c r="H60" s="490">
        <f t="shared" si="10"/>
        <v>1</v>
      </c>
      <c r="I60">
        <v>1195</v>
      </c>
      <c r="J60" t="s">
        <v>1618</v>
      </c>
      <c r="K60" s="429" t="s">
        <v>1899</v>
      </c>
      <c r="L60" t="s">
        <v>1619</v>
      </c>
      <c r="M60" s="429" t="s">
        <v>6241</v>
      </c>
      <c r="N60" s="492" t="str">
        <f t="shared" si="11"/>
        <v>DEFRA: Água: Consumo: 2023</v>
      </c>
      <c r="O60" s="492" t="str">
        <f t="shared" si="12"/>
        <v>DEFRA: Água: TAR: 2023</v>
      </c>
      <c r="Q60" s="250" t="s">
        <v>3499</v>
      </c>
      <c r="R60" s="250" t="s">
        <v>3567</v>
      </c>
      <c r="S60" s="422" t="s">
        <v>42</v>
      </c>
    </row>
    <row r="61" spans="1:19" ht="15.75" thickBot="1" x14ac:dyDescent="0.3">
      <c r="A61" t="s">
        <v>4606</v>
      </c>
      <c r="B61" t="s">
        <v>4606</v>
      </c>
      <c r="C61" s="424" t="str">
        <f t="shared" si="1"/>
        <v>X</v>
      </c>
      <c r="D61" t="s">
        <v>1616</v>
      </c>
      <c r="E61" s="287">
        <v>2023</v>
      </c>
      <c r="F61">
        <v>20.648286885245902</v>
      </c>
      <c r="G61" s="139" t="s">
        <v>42</v>
      </c>
      <c r="H61" s="490">
        <f t="shared" si="10"/>
        <v>1</v>
      </c>
      <c r="I61">
        <v>20.648286885245902</v>
      </c>
      <c r="J61" t="s">
        <v>1618</v>
      </c>
      <c r="K61" s="429" t="s">
        <v>1899</v>
      </c>
      <c r="L61" t="s">
        <v>1619</v>
      </c>
      <c r="M61" s="429" t="s">
        <v>6241</v>
      </c>
      <c r="N61" s="491" t="str">
        <f t="shared" si="11"/>
        <v>DEFRA: Água: Consumo: 2023</v>
      </c>
      <c r="O61" s="491" t="str">
        <f t="shared" si="12"/>
        <v>DEFRA: Água: TAR: 2023</v>
      </c>
      <c r="P61" s="422" t="s">
        <v>6244</v>
      </c>
      <c r="Q61" s="250" t="s">
        <v>3499</v>
      </c>
      <c r="R61" s="250" t="s">
        <v>3567</v>
      </c>
      <c r="S61" s="422" t="s">
        <v>42</v>
      </c>
    </row>
    <row r="62" spans="1:19" ht="15.75" thickBot="1" x14ac:dyDescent="0.3">
      <c r="A62" t="s">
        <v>4606</v>
      </c>
      <c r="B62" t="s">
        <v>4606</v>
      </c>
      <c r="C62" s="424" t="str">
        <f t="shared" si="1"/>
        <v>X</v>
      </c>
      <c r="D62" t="s">
        <v>1616</v>
      </c>
      <c r="E62" s="287">
        <v>2023</v>
      </c>
      <c r="F62">
        <v>53.146000000000001</v>
      </c>
      <c r="G62" s="139" t="s">
        <v>42</v>
      </c>
      <c r="H62" s="490">
        <f t="shared" si="10"/>
        <v>1</v>
      </c>
      <c r="I62">
        <v>53.146000000000001</v>
      </c>
      <c r="J62" t="s">
        <v>1618</v>
      </c>
      <c r="K62" s="429" t="s">
        <v>1899</v>
      </c>
      <c r="L62" t="s">
        <v>1619</v>
      </c>
      <c r="M62" s="429" t="s">
        <v>6241</v>
      </c>
      <c r="N62" s="492" t="str">
        <f t="shared" si="11"/>
        <v>DEFRA: Água: Consumo: 2023</v>
      </c>
      <c r="O62" s="492" t="str">
        <f t="shared" si="12"/>
        <v>DEFRA: Água: TAR: 2023</v>
      </c>
      <c r="P62" s="422" t="s">
        <v>6245</v>
      </c>
      <c r="Q62" s="250" t="s">
        <v>3499</v>
      </c>
      <c r="R62" s="250" t="s">
        <v>3567</v>
      </c>
      <c r="S62" s="422" t="s">
        <v>42</v>
      </c>
    </row>
    <row r="63" spans="1:19" ht="15.75" thickBot="1" x14ac:dyDescent="0.3">
      <c r="A63" t="s">
        <v>4606</v>
      </c>
      <c r="B63" t="s">
        <v>4606</v>
      </c>
      <c r="C63" s="424" t="str">
        <f t="shared" si="1"/>
        <v>X</v>
      </c>
      <c r="D63" t="s">
        <v>1616</v>
      </c>
      <c r="E63" s="287">
        <v>2023</v>
      </c>
      <c r="F63">
        <v>6.524</v>
      </c>
      <c r="G63" s="139" t="s">
        <v>42</v>
      </c>
      <c r="H63" s="490">
        <f t="shared" si="10"/>
        <v>1</v>
      </c>
      <c r="I63">
        <v>6.524</v>
      </c>
      <c r="J63" t="s">
        <v>1618</v>
      </c>
      <c r="K63" s="429" t="s">
        <v>1899</v>
      </c>
      <c r="L63" t="s">
        <v>1619</v>
      </c>
      <c r="M63" s="429" t="s">
        <v>6241</v>
      </c>
      <c r="N63" s="491" t="str">
        <f t="shared" si="11"/>
        <v>DEFRA: Água: Consumo: 2023</v>
      </c>
      <c r="O63" s="491" t="str">
        <f t="shared" si="12"/>
        <v>DEFRA: Água: TAR: 2023</v>
      </c>
      <c r="P63" s="422" t="s">
        <v>6246</v>
      </c>
      <c r="Q63" s="250" t="s">
        <v>3499</v>
      </c>
      <c r="R63" s="250" t="s">
        <v>3567</v>
      </c>
      <c r="S63" s="422" t="s">
        <v>42</v>
      </c>
    </row>
    <row r="64" spans="1:19" ht="15.75" thickBot="1" x14ac:dyDescent="0.3">
      <c r="A64" t="s">
        <v>2817</v>
      </c>
      <c r="B64" t="s">
        <v>2817</v>
      </c>
      <c r="C64" s="424" t="str">
        <f t="shared" si="1"/>
        <v>X</v>
      </c>
      <c r="D64" t="s">
        <v>1616</v>
      </c>
      <c r="E64" s="287">
        <v>2023</v>
      </c>
      <c r="F64">
        <v>4685</v>
      </c>
      <c r="G64" s="139" t="s">
        <v>42</v>
      </c>
      <c r="H64" s="490">
        <f t="shared" si="10"/>
        <v>1</v>
      </c>
      <c r="I64">
        <v>4685</v>
      </c>
      <c r="J64" t="s">
        <v>1618</v>
      </c>
      <c r="K64" s="429" t="s">
        <v>1899</v>
      </c>
      <c r="L64" t="s">
        <v>1619</v>
      </c>
      <c r="M64" s="429" t="s">
        <v>6241</v>
      </c>
      <c r="N64" s="492" t="str">
        <f t="shared" si="11"/>
        <v>DEFRA: Água: Consumo: 2023</v>
      </c>
      <c r="O64" s="492" t="str">
        <f t="shared" si="12"/>
        <v>DEFRA: Água: TAR: 2023</v>
      </c>
      <c r="P64" s="422" t="s">
        <v>2962</v>
      </c>
      <c r="Q64" s="250" t="s">
        <v>3499</v>
      </c>
      <c r="R64" s="250" t="s">
        <v>3567</v>
      </c>
      <c r="S64" s="422" t="s">
        <v>42</v>
      </c>
    </row>
    <row r="65" spans="1:19" ht="15.75" thickBot="1" x14ac:dyDescent="0.3">
      <c r="A65" s="422" t="s">
        <v>4594</v>
      </c>
      <c r="B65" s="422" t="s">
        <v>4594</v>
      </c>
      <c r="C65" s="424" t="str">
        <f t="shared" si="1"/>
        <v>X</v>
      </c>
      <c r="D65" t="s">
        <v>1616</v>
      </c>
      <c r="E65" s="287">
        <v>2023</v>
      </c>
      <c r="F65">
        <v>3044</v>
      </c>
      <c r="G65" s="139" t="s">
        <v>42</v>
      </c>
      <c r="H65" s="490">
        <f t="shared" si="10"/>
        <v>1</v>
      </c>
      <c r="I65">
        <v>3044</v>
      </c>
      <c r="J65" t="s">
        <v>1618</v>
      </c>
      <c r="K65" s="429" t="s">
        <v>1899</v>
      </c>
      <c r="L65" t="s">
        <v>1619</v>
      </c>
      <c r="M65" s="429" t="s">
        <v>6241</v>
      </c>
      <c r="N65" s="491" t="str">
        <f t="shared" si="11"/>
        <v>DEFRA: Água: Consumo: 2023</v>
      </c>
      <c r="O65" s="491" t="str">
        <f t="shared" si="12"/>
        <v>DEFRA: Água: TAR: 2023</v>
      </c>
      <c r="P65" s="422"/>
      <c r="Q65" s="250" t="s">
        <v>3499</v>
      </c>
      <c r="R65" s="250" t="s">
        <v>3567</v>
      </c>
      <c r="S65" s="422" t="s">
        <v>42</v>
      </c>
    </row>
    <row r="66" spans="1:19" ht="15.75" thickBot="1" x14ac:dyDescent="0.3">
      <c r="A66" s="422" t="s">
        <v>4593</v>
      </c>
      <c r="B66" s="422" t="s">
        <v>4593</v>
      </c>
      <c r="C66" s="424" t="str">
        <f t="shared" si="1"/>
        <v>X</v>
      </c>
      <c r="D66" t="s">
        <v>1616</v>
      </c>
      <c r="E66" s="287">
        <v>2023</v>
      </c>
      <c r="F66">
        <v>3464</v>
      </c>
      <c r="G66" s="139" t="s">
        <v>42</v>
      </c>
      <c r="H66" s="490">
        <f t="shared" si="10"/>
        <v>1</v>
      </c>
      <c r="I66">
        <v>3464</v>
      </c>
      <c r="J66" t="s">
        <v>1618</v>
      </c>
      <c r="K66" s="429" t="s">
        <v>1899</v>
      </c>
      <c r="L66" t="s">
        <v>1619</v>
      </c>
      <c r="M66" s="429" t="s">
        <v>6241</v>
      </c>
      <c r="N66" s="492" t="str">
        <f t="shared" si="11"/>
        <v>DEFRA: Água: Consumo: 2023</v>
      </c>
      <c r="O66" s="492" t="str">
        <f t="shared" si="12"/>
        <v>DEFRA: Água: TAR: 2023</v>
      </c>
      <c r="P66" s="422"/>
      <c r="Q66" s="250" t="s">
        <v>3499</v>
      </c>
      <c r="R66" s="250" t="s">
        <v>3567</v>
      </c>
      <c r="S66" s="422" t="s">
        <v>42</v>
      </c>
    </row>
    <row r="67" spans="1:19" ht="15.75" thickBot="1" x14ac:dyDescent="0.3">
      <c r="A67" t="s">
        <v>4670</v>
      </c>
      <c r="B67" t="s">
        <v>4670</v>
      </c>
      <c r="C67" s="424" t="str">
        <f t="shared" ref="C67:C93" si="13">IF(A67=B67,"X",RIGHT(A67,LEN(A67)-LEN(B67)-3))</f>
        <v>X</v>
      </c>
      <c r="D67" t="s">
        <v>1616</v>
      </c>
      <c r="E67" s="287">
        <v>2023</v>
      </c>
      <c r="F67">
        <v>4522</v>
      </c>
      <c r="G67" s="139" t="s">
        <v>42</v>
      </c>
      <c r="H67" s="490">
        <f t="shared" si="10"/>
        <v>1</v>
      </c>
      <c r="I67">
        <v>4522</v>
      </c>
      <c r="J67" t="s">
        <v>1618</v>
      </c>
      <c r="K67" s="429" t="s">
        <v>1899</v>
      </c>
      <c r="L67" t="s">
        <v>1619</v>
      </c>
      <c r="M67" s="429" t="s">
        <v>6241</v>
      </c>
      <c r="N67" s="491" t="str">
        <f t="shared" si="11"/>
        <v>DEFRA: Água: Consumo: 2023</v>
      </c>
      <c r="O67" s="491" t="str">
        <f t="shared" si="12"/>
        <v>DEFRA: Água: TAR: 2023</v>
      </c>
      <c r="P67" s="422"/>
      <c r="Q67" s="250" t="s">
        <v>3499</v>
      </c>
      <c r="R67" s="250" t="s">
        <v>3567</v>
      </c>
      <c r="S67" s="422" t="s">
        <v>42</v>
      </c>
    </row>
    <row r="68" spans="1:19" ht="15.75" thickBot="1" x14ac:dyDescent="0.3">
      <c r="A68" s="422" t="s">
        <v>4592</v>
      </c>
      <c r="B68" s="422" t="s">
        <v>4592</v>
      </c>
      <c r="C68" s="424" t="str">
        <f t="shared" si="13"/>
        <v>X</v>
      </c>
      <c r="D68" t="s">
        <v>1616</v>
      </c>
      <c r="E68" s="287">
        <v>2023</v>
      </c>
      <c r="F68">
        <v>2681</v>
      </c>
      <c r="G68" s="139" t="s">
        <v>42</v>
      </c>
      <c r="H68" s="490">
        <f t="shared" si="10"/>
        <v>1</v>
      </c>
      <c r="I68">
        <v>2681</v>
      </c>
      <c r="J68" t="s">
        <v>1618</v>
      </c>
      <c r="K68" s="429" t="s">
        <v>1899</v>
      </c>
      <c r="L68" t="s">
        <v>1619</v>
      </c>
      <c r="M68" s="429" t="s">
        <v>6241</v>
      </c>
      <c r="N68" s="492" t="str">
        <f t="shared" si="11"/>
        <v>DEFRA: Água: Consumo: 2023</v>
      </c>
      <c r="O68" s="492" t="str">
        <f t="shared" si="12"/>
        <v>DEFRA: Água: TAR: 2023</v>
      </c>
      <c r="P68" s="422"/>
      <c r="Q68" s="250" t="s">
        <v>3499</v>
      </c>
      <c r="R68" s="250" t="s">
        <v>3567</v>
      </c>
      <c r="S68" s="422" t="s">
        <v>42</v>
      </c>
    </row>
    <row r="69" spans="1:19" ht="15.75" thickBot="1" x14ac:dyDescent="0.3">
      <c r="A69" s="422" t="s">
        <v>2868</v>
      </c>
      <c r="B69" s="422" t="s">
        <v>2868</v>
      </c>
      <c r="C69" s="424" t="str">
        <f t="shared" si="13"/>
        <v>X</v>
      </c>
      <c r="D69" t="s">
        <v>1616</v>
      </c>
      <c r="E69" s="287">
        <v>2023</v>
      </c>
      <c r="F69">
        <v>1249</v>
      </c>
      <c r="G69" s="139" t="s">
        <v>42</v>
      </c>
      <c r="H69" s="490">
        <f t="shared" si="10"/>
        <v>1</v>
      </c>
      <c r="I69">
        <v>1249</v>
      </c>
      <c r="J69" t="s">
        <v>1618</v>
      </c>
      <c r="K69" s="429" t="s">
        <v>1899</v>
      </c>
      <c r="L69" t="s">
        <v>1619</v>
      </c>
      <c r="M69" s="429" t="s">
        <v>6241</v>
      </c>
      <c r="N69" s="491" t="str">
        <f t="shared" si="11"/>
        <v>DEFRA: Água: Consumo: 2023</v>
      </c>
      <c r="O69" s="491" t="str">
        <f t="shared" si="12"/>
        <v>DEFRA: Água: TAR: 2023</v>
      </c>
      <c r="P69" s="422"/>
      <c r="Q69" s="250" t="s">
        <v>3499</v>
      </c>
      <c r="R69" s="250" t="s">
        <v>3567</v>
      </c>
      <c r="S69" s="422" t="s">
        <v>42</v>
      </c>
    </row>
    <row r="70" spans="1:19" ht="15.75" thickBot="1" x14ac:dyDescent="0.3">
      <c r="A70" t="s">
        <v>1910</v>
      </c>
      <c r="B70" t="s">
        <v>1910</v>
      </c>
      <c r="C70" s="424" t="str">
        <f t="shared" si="13"/>
        <v>X</v>
      </c>
      <c r="D70" t="s">
        <v>1616</v>
      </c>
      <c r="E70" s="287">
        <v>2023</v>
      </c>
      <c r="F70">
        <v>4885</v>
      </c>
      <c r="G70" s="139" t="s">
        <v>42</v>
      </c>
      <c r="H70" s="490">
        <f t="shared" si="10"/>
        <v>0.8500000000000002</v>
      </c>
      <c r="I70">
        <v>4152.2500000000009</v>
      </c>
      <c r="J70" t="s">
        <v>1618</v>
      </c>
      <c r="K70" s="429" t="s">
        <v>1899</v>
      </c>
      <c r="L70" t="s">
        <v>1619</v>
      </c>
      <c r="M70" s="429" t="s">
        <v>6241</v>
      </c>
      <c r="N70" s="492" t="str">
        <f t="shared" si="11"/>
        <v>DEFRA: Água: Consumo: 2023</v>
      </c>
      <c r="O70" s="492" t="str">
        <f t="shared" si="12"/>
        <v>DEFRA: Água: TAR: 2023</v>
      </c>
      <c r="P70" s="422" t="s">
        <v>2960</v>
      </c>
      <c r="Q70" s="250" t="s">
        <v>3499</v>
      </c>
      <c r="R70" s="250" t="s">
        <v>3567</v>
      </c>
      <c r="S70" s="422" t="s">
        <v>42</v>
      </c>
    </row>
    <row r="71" spans="1:19" ht="15.75" thickBot="1" x14ac:dyDescent="0.3">
      <c r="A71" t="s">
        <v>1910</v>
      </c>
      <c r="B71" t="s">
        <v>1910</v>
      </c>
      <c r="C71" s="424" t="str">
        <f t="shared" si="13"/>
        <v>X</v>
      </c>
      <c r="D71" t="s">
        <v>1617</v>
      </c>
      <c r="E71" s="287">
        <v>2023</v>
      </c>
      <c r="F71">
        <v>10743</v>
      </c>
      <c r="G71" s="139" t="s">
        <v>42</v>
      </c>
      <c r="H71" s="490">
        <f t="shared" si="10"/>
        <v>0.85</v>
      </c>
      <c r="I71">
        <v>9131.5499999999993</v>
      </c>
      <c r="J71" t="s">
        <v>1618</v>
      </c>
      <c r="K71" s="429" t="s">
        <v>1899</v>
      </c>
      <c r="L71" t="s">
        <v>1619</v>
      </c>
      <c r="M71" s="429" t="s">
        <v>6241</v>
      </c>
      <c r="N71" s="491" t="str">
        <f t="shared" si="11"/>
        <v>DEFRA: Água: Consumo: 2023</v>
      </c>
      <c r="O71" s="491" t="str">
        <f t="shared" si="12"/>
        <v>DEFRA: Água: TAR: 2023</v>
      </c>
      <c r="P71" s="422" t="s">
        <v>2960</v>
      </c>
      <c r="Q71" s="250" t="s">
        <v>3499</v>
      </c>
      <c r="R71" s="250" t="s">
        <v>3567</v>
      </c>
      <c r="S71" s="422" t="s">
        <v>42</v>
      </c>
    </row>
    <row r="72" spans="1:19" ht="15.75" thickBot="1" x14ac:dyDescent="0.3">
      <c r="A72" s="422" t="s">
        <v>4598</v>
      </c>
      <c r="B72" s="422" t="s">
        <v>4598</v>
      </c>
      <c r="C72" s="424" t="str">
        <f t="shared" si="13"/>
        <v>X</v>
      </c>
      <c r="D72" t="s">
        <v>1616</v>
      </c>
      <c r="E72" s="287">
        <v>2023</v>
      </c>
      <c r="F72">
        <v>42.5</v>
      </c>
      <c r="G72" s="139" t="s">
        <v>42</v>
      </c>
      <c r="H72" s="490">
        <f t="shared" si="10"/>
        <v>1</v>
      </c>
      <c r="I72">
        <v>42.5</v>
      </c>
      <c r="J72" t="s">
        <v>1618</v>
      </c>
      <c r="K72" s="429" t="s">
        <v>1899</v>
      </c>
      <c r="L72" t="s">
        <v>1619</v>
      </c>
      <c r="M72" s="429" t="s">
        <v>6241</v>
      </c>
      <c r="N72" s="492" t="str">
        <f t="shared" si="11"/>
        <v>DEFRA: Água: Consumo: 2023</v>
      </c>
      <c r="O72" s="492" t="str">
        <f t="shared" si="12"/>
        <v>DEFRA: Água: TAR: 2023</v>
      </c>
      <c r="P72" s="422"/>
      <c r="Q72" s="250" t="s">
        <v>3499</v>
      </c>
      <c r="R72" s="250" t="s">
        <v>3567</v>
      </c>
      <c r="S72" s="422" t="s">
        <v>42</v>
      </c>
    </row>
    <row r="73" spans="1:19" ht="15.75" thickBot="1" x14ac:dyDescent="0.3">
      <c r="A73" s="422" t="s">
        <v>4643</v>
      </c>
      <c r="B73" s="422" t="s">
        <v>4643</v>
      </c>
      <c r="C73" s="424" t="str">
        <f t="shared" si="13"/>
        <v>X</v>
      </c>
      <c r="D73" t="s">
        <v>1616</v>
      </c>
      <c r="E73" s="287">
        <v>2023</v>
      </c>
      <c r="F73">
        <v>32</v>
      </c>
      <c r="G73" s="139" t="s">
        <v>42</v>
      </c>
      <c r="H73" s="490">
        <f t="shared" si="10"/>
        <v>1</v>
      </c>
      <c r="I73">
        <v>32</v>
      </c>
      <c r="J73" t="s">
        <v>1618</v>
      </c>
      <c r="K73" s="429" t="s">
        <v>1899</v>
      </c>
      <c r="L73" t="s">
        <v>1619</v>
      </c>
      <c r="M73" s="429" t="s">
        <v>6241</v>
      </c>
      <c r="N73" s="491" t="str">
        <f t="shared" si="11"/>
        <v>DEFRA: Água: Consumo: 2023</v>
      </c>
      <c r="O73" s="491" t="str">
        <f t="shared" si="12"/>
        <v>DEFRA: Água: TAR: 2023</v>
      </c>
      <c r="P73" s="422"/>
      <c r="Q73" s="250" t="s">
        <v>3499</v>
      </c>
      <c r="R73" s="250" t="s">
        <v>3567</v>
      </c>
      <c r="S73" s="422" t="s">
        <v>42</v>
      </c>
    </row>
    <row r="74" spans="1:19" ht="15.75" thickBot="1" x14ac:dyDescent="0.3">
      <c r="A74" s="422" t="s">
        <v>4642</v>
      </c>
      <c r="B74" s="422" t="s">
        <v>4642</v>
      </c>
      <c r="C74" s="424" t="str">
        <f t="shared" si="13"/>
        <v>X</v>
      </c>
      <c r="D74" t="s">
        <v>1616</v>
      </c>
      <c r="E74" s="287">
        <v>2023</v>
      </c>
      <c r="F74">
        <v>23</v>
      </c>
      <c r="G74" s="139" t="s">
        <v>42</v>
      </c>
      <c r="H74" s="490">
        <f t="shared" si="10"/>
        <v>1</v>
      </c>
      <c r="I74">
        <v>23</v>
      </c>
      <c r="J74" t="s">
        <v>1618</v>
      </c>
      <c r="K74" s="429" t="s">
        <v>1899</v>
      </c>
      <c r="L74" t="s">
        <v>1619</v>
      </c>
      <c r="M74" s="429" t="s">
        <v>6241</v>
      </c>
      <c r="N74" s="492" t="str">
        <f t="shared" si="11"/>
        <v>DEFRA: Água: Consumo: 2023</v>
      </c>
      <c r="O74" s="492" t="str">
        <f t="shared" si="12"/>
        <v>DEFRA: Água: TAR: 2023</v>
      </c>
      <c r="P74" s="422"/>
      <c r="Q74" s="250" t="s">
        <v>3499</v>
      </c>
      <c r="R74" s="250" t="s">
        <v>3567</v>
      </c>
      <c r="S74" s="422" t="s">
        <v>42</v>
      </c>
    </row>
    <row r="75" spans="1:19" ht="15.75" thickBot="1" x14ac:dyDescent="0.3">
      <c r="A75" t="s">
        <v>4668</v>
      </c>
      <c r="B75" t="s">
        <v>4668</v>
      </c>
      <c r="C75" s="424" t="str">
        <f t="shared" si="13"/>
        <v>X</v>
      </c>
      <c r="D75" t="s">
        <v>1616</v>
      </c>
      <c r="E75" s="287">
        <v>2023</v>
      </c>
      <c r="F75">
        <v>6108</v>
      </c>
      <c r="G75" s="139" t="s">
        <v>42</v>
      </c>
      <c r="H75" s="490">
        <f t="shared" si="10"/>
        <v>1</v>
      </c>
      <c r="I75">
        <v>6108</v>
      </c>
      <c r="J75" t="s">
        <v>1618</v>
      </c>
      <c r="K75" s="429" t="s">
        <v>1899</v>
      </c>
      <c r="L75" t="s">
        <v>1619</v>
      </c>
      <c r="M75" s="429" t="s">
        <v>6241</v>
      </c>
      <c r="N75" s="491" t="str">
        <f t="shared" si="11"/>
        <v>DEFRA: Água: Consumo: 2023</v>
      </c>
      <c r="O75" s="491" t="str">
        <f t="shared" si="12"/>
        <v>DEFRA: Água: TAR: 2023</v>
      </c>
      <c r="P75" s="422"/>
      <c r="Q75" s="250" t="s">
        <v>3499</v>
      </c>
      <c r="R75" s="250" t="s">
        <v>3567</v>
      </c>
      <c r="S75" s="422" t="s">
        <v>42</v>
      </c>
    </row>
    <row r="76" spans="1:19" ht="15.75" thickBot="1" x14ac:dyDescent="0.3">
      <c r="A76" t="s">
        <v>4668</v>
      </c>
      <c r="B76" t="s">
        <v>4668</v>
      </c>
      <c r="C76" s="424" t="str">
        <f t="shared" si="13"/>
        <v>X</v>
      </c>
      <c r="D76" t="s">
        <v>1617</v>
      </c>
      <c r="E76" s="287">
        <v>2023</v>
      </c>
      <c r="F76">
        <v>2365</v>
      </c>
      <c r="G76" s="139" t="s">
        <v>42</v>
      </c>
      <c r="H76" s="490">
        <f t="shared" si="10"/>
        <v>1</v>
      </c>
      <c r="I76">
        <v>2365</v>
      </c>
      <c r="J76" t="s">
        <v>1618</v>
      </c>
      <c r="K76" s="429" t="s">
        <v>1899</v>
      </c>
      <c r="L76" t="s">
        <v>1619</v>
      </c>
      <c r="M76" s="429" t="s">
        <v>6241</v>
      </c>
      <c r="N76" s="492" t="str">
        <f t="shared" si="11"/>
        <v>DEFRA: Água: Consumo: 2023</v>
      </c>
      <c r="O76" s="492" t="str">
        <f t="shared" si="12"/>
        <v>DEFRA: Água: TAR: 2023</v>
      </c>
      <c r="P76" s="422"/>
      <c r="Q76" s="250" t="s">
        <v>3499</v>
      </c>
      <c r="R76" s="250" t="s">
        <v>3567</v>
      </c>
      <c r="S76" s="422" t="s">
        <v>42</v>
      </c>
    </row>
    <row r="77" spans="1:19" ht="15.75" thickBot="1" x14ac:dyDescent="0.3">
      <c r="A77" t="s">
        <v>4602</v>
      </c>
      <c r="B77" t="s">
        <v>4602</v>
      </c>
      <c r="C77" s="424" t="str">
        <f t="shared" si="13"/>
        <v>X</v>
      </c>
      <c r="D77" t="s">
        <v>1617</v>
      </c>
      <c r="E77" s="287">
        <v>2023</v>
      </c>
      <c r="F77">
        <v>39172</v>
      </c>
      <c r="G77" s="139" t="s">
        <v>34</v>
      </c>
      <c r="H77" s="490">
        <f t="shared" si="10"/>
        <v>0</v>
      </c>
      <c r="I77">
        <v>0</v>
      </c>
      <c r="J77" t="s">
        <v>1618</v>
      </c>
      <c r="K77" s="429" t="s">
        <v>1899</v>
      </c>
      <c r="L77" s="343" t="s">
        <v>76</v>
      </c>
      <c r="M77" s="429" t="s">
        <v>6241</v>
      </c>
      <c r="N77" s="491" t="str">
        <f t="shared" si="11"/>
        <v>DEFRA: Água: Consumo: 2023</v>
      </c>
      <c r="O77" s="491" t="str">
        <f t="shared" si="12"/>
        <v>DEFRA: Água: TAR: 2023</v>
      </c>
      <c r="P77" s="422" t="s">
        <v>3601</v>
      </c>
      <c r="Q77" s="250" t="s">
        <v>3499</v>
      </c>
      <c r="R77" s="250" t="s">
        <v>3567</v>
      </c>
      <c r="S77" s="422" t="s">
        <v>42</v>
      </c>
    </row>
    <row r="78" spans="1:19" ht="15.75" thickBot="1" x14ac:dyDescent="0.3">
      <c r="A78" t="s">
        <v>6257</v>
      </c>
      <c r="B78" s="422" t="s">
        <v>4602</v>
      </c>
      <c r="C78" s="424" t="str">
        <f t="shared" si="13"/>
        <v>(subcontratado)</v>
      </c>
      <c r="D78" t="s">
        <v>1616</v>
      </c>
      <c r="E78" s="287">
        <v>2023</v>
      </c>
      <c r="F78">
        <v>63141</v>
      </c>
      <c r="G78" s="139" t="s">
        <v>34</v>
      </c>
      <c r="H78" s="490">
        <f t="shared" si="10"/>
        <v>0</v>
      </c>
      <c r="I78">
        <v>0</v>
      </c>
      <c r="J78" t="s">
        <v>1618</v>
      </c>
      <c r="K78" s="429" t="s">
        <v>1899</v>
      </c>
      <c r="L78" s="343" t="s">
        <v>76</v>
      </c>
      <c r="M78" s="429" t="s">
        <v>6241</v>
      </c>
      <c r="N78" s="492" t="str">
        <f t="shared" si="11"/>
        <v>DEFRA: Água: Consumo: 2023</v>
      </c>
      <c r="O78" s="492" t="str">
        <f t="shared" si="12"/>
        <v>DEFRA: Água: TAR: 2023</v>
      </c>
      <c r="P78" s="422" t="s">
        <v>6247</v>
      </c>
      <c r="Q78" s="250" t="s">
        <v>3499</v>
      </c>
      <c r="R78" s="250" t="s">
        <v>3567</v>
      </c>
      <c r="S78" s="422" t="s">
        <v>42</v>
      </c>
    </row>
    <row r="79" spans="1:19" ht="15.75" thickBot="1" x14ac:dyDescent="0.3">
      <c r="A79" t="s">
        <v>4602</v>
      </c>
      <c r="B79" s="422" t="s">
        <v>4602</v>
      </c>
      <c r="C79" s="424" t="str">
        <f t="shared" si="13"/>
        <v>X</v>
      </c>
      <c r="D79" t="s">
        <v>1616</v>
      </c>
      <c r="E79" s="287">
        <v>2023</v>
      </c>
      <c r="F79">
        <v>8129</v>
      </c>
      <c r="G79" s="139" t="s">
        <v>42</v>
      </c>
      <c r="H79" s="490">
        <f t="shared" si="10"/>
        <v>1</v>
      </c>
      <c r="I79">
        <v>8129</v>
      </c>
      <c r="J79" t="s">
        <v>1618</v>
      </c>
      <c r="K79" s="429" t="s">
        <v>1899</v>
      </c>
      <c r="L79" t="s">
        <v>1619</v>
      </c>
      <c r="M79" s="429" t="s">
        <v>6241</v>
      </c>
      <c r="N79" s="491" t="str">
        <f t="shared" si="11"/>
        <v>DEFRA: Água: Consumo: 2023</v>
      </c>
      <c r="O79" s="491" t="str">
        <f t="shared" si="12"/>
        <v>DEFRA: Água: TAR: 2023</v>
      </c>
      <c r="P79" s="422" t="s">
        <v>3602</v>
      </c>
      <c r="Q79" s="250" t="s">
        <v>3499</v>
      </c>
      <c r="R79" s="250" t="s">
        <v>3567</v>
      </c>
      <c r="S79" s="422" t="s">
        <v>42</v>
      </c>
    </row>
    <row r="80" spans="1:19" ht="15.75" thickBot="1" x14ac:dyDescent="0.3">
      <c r="A80" t="s">
        <v>4602</v>
      </c>
      <c r="B80" s="422" t="s">
        <v>4602</v>
      </c>
      <c r="C80" s="424" t="str">
        <f t="shared" si="13"/>
        <v>X</v>
      </c>
      <c r="D80" t="s">
        <v>1616</v>
      </c>
      <c r="E80" s="287">
        <v>2023</v>
      </c>
      <c r="F80">
        <v>1287</v>
      </c>
      <c r="G80" s="139" t="s">
        <v>42</v>
      </c>
      <c r="H80" s="490">
        <f t="shared" si="10"/>
        <v>1</v>
      </c>
      <c r="I80">
        <v>1287</v>
      </c>
      <c r="J80" t="s">
        <v>1618</v>
      </c>
      <c r="K80" s="429" t="s">
        <v>1899</v>
      </c>
      <c r="L80" t="s">
        <v>1619</v>
      </c>
      <c r="M80" s="429" t="s">
        <v>6241</v>
      </c>
      <c r="N80" s="492" t="str">
        <f t="shared" si="11"/>
        <v>DEFRA: Água: Consumo: 2023</v>
      </c>
      <c r="O80" s="492" t="str">
        <f t="shared" si="12"/>
        <v>DEFRA: Água: TAR: 2023</v>
      </c>
      <c r="P80" s="422" t="s">
        <v>3603</v>
      </c>
      <c r="Q80" s="250" t="s">
        <v>3499</v>
      </c>
      <c r="R80" s="250" t="s">
        <v>3567</v>
      </c>
      <c r="S80" s="422" t="s">
        <v>42</v>
      </c>
    </row>
    <row r="81" spans="1:19" ht="15.75" thickBot="1" x14ac:dyDescent="0.3">
      <c r="A81" s="422" t="s">
        <v>6257</v>
      </c>
      <c r="B81" s="422" t="s">
        <v>4602</v>
      </c>
      <c r="C81" s="424" t="str">
        <f t="shared" si="13"/>
        <v>(subcontratado)</v>
      </c>
      <c r="D81" t="s">
        <v>1617</v>
      </c>
      <c r="E81" s="287">
        <v>2023</v>
      </c>
      <c r="F81">
        <v>5379</v>
      </c>
      <c r="G81" s="139" t="s">
        <v>42</v>
      </c>
      <c r="H81" s="490">
        <f t="shared" si="10"/>
        <v>1</v>
      </c>
      <c r="I81">
        <v>5379</v>
      </c>
      <c r="J81" t="s">
        <v>1618</v>
      </c>
      <c r="K81" s="429" t="s">
        <v>1899</v>
      </c>
      <c r="L81" t="s">
        <v>1619</v>
      </c>
      <c r="M81" s="429" t="s">
        <v>6241</v>
      </c>
      <c r="N81" s="491" t="str">
        <f t="shared" si="11"/>
        <v>DEFRA: Água: Consumo: 2023</v>
      </c>
      <c r="O81" s="491" t="str">
        <f t="shared" si="12"/>
        <v>DEFRA: Água: TAR: 2023</v>
      </c>
      <c r="P81" s="422" t="s">
        <v>6248</v>
      </c>
      <c r="Q81" s="250" t="s">
        <v>3499</v>
      </c>
      <c r="R81" s="250" t="s">
        <v>3567</v>
      </c>
      <c r="S81" s="422" t="s">
        <v>42</v>
      </c>
    </row>
    <row r="82" spans="1:19" ht="15.75" thickBot="1" x14ac:dyDescent="0.3">
      <c r="A82" t="s">
        <v>4602</v>
      </c>
      <c r="B82" t="s">
        <v>4602</v>
      </c>
      <c r="C82" s="424" t="str">
        <f t="shared" si="13"/>
        <v>X</v>
      </c>
      <c r="D82" t="s">
        <v>1616</v>
      </c>
      <c r="E82" s="287">
        <v>2023</v>
      </c>
      <c r="F82">
        <v>831</v>
      </c>
      <c r="G82" s="139" t="s">
        <v>42</v>
      </c>
      <c r="H82" s="490">
        <f t="shared" si="10"/>
        <v>1</v>
      </c>
      <c r="I82">
        <v>831</v>
      </c>
      <c r="J82" t="s">
        <v>1618</v>
      </c>
      <c r="K82" s="429" t="s">
        <v>1899</v>
      </c>
      <c r="L82" t="s">
        <v>1619</v>
      </c>
      <c r="M82" s="429" t="s">
        <v>6241</v>
      </c>
      <c r="N82" s="492" t="str">
        <f t="shared" si="11"/>
        <v>DEFRA: Água: Consumo: 2023</v>
      </c>
      <c r="O82" s="492" t="str">
        <f t="shared" si="12"/>
        <v>DEFRA: Água: TAR: 2023</v>
      </c>
      <c r="P82" s="422" t="s">
        <v>3604</v>
      </c>
      <c r="Q82" s="250" t="s">
        <v>3499</v>
      </c>
      <c r="R82" s="250" t="s">
        <v>3567</v>
      </c>
      <c r="S82" s="422" t="s">
        <v>42</v>
      </c>
    </row>
    <row r="83" spans="1:19" ht="15.75" thickBot="1" x14ac:dyDescent="0.3">
      <c r="A83" t="s">
        <v>4669</v>
      </c>
      <c r="B83" t="s">
        <v>4669</v>
      </c>
      <c r="C83" s="424" t="str">
        <f t="shared" si="13"/>
        <v>X</v>
      </c>
      <c r="D83" t="s">
        <v>1616</v>
      </c>
      <c r="E83" s="287">
        <v>2023</v>
      </c>
      <c r="F83">
        <v>14818</v>
      </c>
      <c r="G83" s="139" t="s">
        <v>42</v>
      </c>
      <c r="H83" s="490">
        <f t="shared" si="10"/>
        <v>1</v>
      </c>
      <c r="I83">
        <v>14818</v>
      </c>
      <c r="J83" t="s">
        <v>1618</v>
      </c>
      <c r="K83" s="429" t="s">
        <v>1899</v>
      </c>
      <c r="L83" t="s">
        <v>1620</v>
      </c>
      <c r="M83" s="429" t="s">
        <v>6241</v>
      </c>
      <c r="N83" s="491" t="str">
        <f t="shared" si="11"/>
        <v>DEFRA: Água: Consumo: 2023</v>
      </c>
      <c r="O83" s="491" t="str">
        <f t="shared" si="12"/>
        <v>DEFRA: Água: TAR: 2023</v>
      </c>
      <c r="P83" s="422"/>
      <c r="Q83" s="250" t="s">
        <v>3499</v>
      </c>
      <c r="R83" s="250" t="s">
        <v>3567</v>
      </c>
      <c r="S83" s="422" t="s">
        <v>42</v>
      </c>
    </row>
    <row r="84" spans="1:19" ht="15.75" thickBot="1" x14ac:dyDescent="0.3">
      <c r="A84" t="s">
        <v>4591</v>
      </c>
      <c r="B84" t="s">
        <v>4591</v>
      </c>
      <c r="C84" s="424" t="str">
        <f t="shared" si="13"/>
        <v>X</v>
      </c>
      <c r="D84" t="s">
        <v>1617</v>
      </c>
      <c r="E84" s="287">
        <v>2023</v>
      </c>
      <c r="F84">
        <v>1064</v>
      </c>
      <c r="G84" s="139" t="s">
        <v>42</v>
      </c>
      <c r="H84" s="490">
        <f t="shared" si="10"/>
        <v>1</v>
      </c>
      <c r="I84">
        <v>1064</v>
      </c>
      <c r="J84" t="s">
        <v>1618</v>
      </c>
      <c r="K84" s="429" t="s">
        <v>1899</v>
      </c>
      <c r="L84" t="s">
        <v>1619</v>
      </c>
      <c r="M84" s="429" t="s">
        <v>6241</v>
      </c>
      <c r="N84" s="492" t="str">
        <f t="shared" si="11"/>
        <v>DEFRA: Água: Consumo: 2023</v>
      </c>
      <c r="O84" s="492" t="str">
        <f t="shared" si="12"/>
        <v>DEFRA: Água: TAR: 2023</v>
      </c>
      <c r="P84" s="422" t="s">
        <v>6249</v>
      </c>
      <c r="Q84" s="250" t="s">
        <v>3499</v>
      </c>
      <c r="R84" s="250" t="s">
        <v>3567</v>
      </c>
      <c r="S84" s="422" t="s">
        <v>42</v>
      </c>
    </row>
    <row r="85" spans="1:19" ht="15.75" thickBot="1" x14ac:dyDescent="0.3">
      <c r="A85" t="s">
        <v>4591</v>
      </c>
      <c r="B85" t="s">
        <v>4591</v>
      </c>
      <c r="C85" s="424" t="str">
        <f t="shared" si="13"/>
        <v>X</v>
      </c>
      <c r="D85" t="s">
        <v>1617</v>
      </c>
      <c r="E85" s="287">
        <v>2023</v>
      </c>
      <c r="F85">
        <v>162</v>
      </c>
      <c r="G85" s="139" t="s">
        <v>42</v>
      </c>
      <c r="H85" s="490">
        <f t="shared" si="10"/>
        <v>1</v>
      </c>
      <c r="I85">
        <v>162</v>
      </c>
      <c r="J85" t="s">
        <v>1618</v>
      </c>
      <c r="K85" s="429" t="s">
        <v>1899</v>
      </c>
      <c r="L85" t="s">
        <v>1619</v>
      </c>
      <c r="M85" s="429" t="s">
        <v>6241</v>
      </c>
      <c r="N85" s="491" t="str">
        <f t="shared" si="11"/>
        <v>DEFRA: Água: Consumo: 2023</v>
      </c>
      <c r="O85" s="491" t="str">
        <f t="shared" si="12"/>
        <v>DEFRA: Água: TAR: 2023</v>
      </c>
      <c r="P85" s="422" t="s">
        <v>6250</v>
      </c>
      <c r="Q85" s="250" t="s">
        <v>3499</v>
      </c>
      <c r="R85" s="250" t="s">
        <v>3567</v>
      </c>
      <c r="S85" s="422" t="s">
        <v>42</v>
      </c>
    </row>
    <row r="86" spans="1:19" ht="15.75" thickBot="1" x14ac:dyDescent="0.3">
      <c r="A86" s="422" t="s">
        <v>6251</v>
      </c>
      <c r="B86" t="s">
        <v>4601</v>
      </c>
      <c r="C86" s="424" t="str">
        <f t="shared" si="13"/>
        <v>Estações</v>
      </c>
      <c r="D86" t="s">
        <v>1616</v>
      </c>
      <c r="E86" s="287">
        <v>2023</v>
      </c>
      <c r="F86">
        <v>7205</v>
      </c>
      <c r="G86" s="139" t="s">
        <v>42</v>
      </c>
      <c r="H86" s="490">
        <f t="shared" si="10"/>
        <v>1</v>
      </c>
      <c r="I86">
        <v>7205</v>
      </c>
      <c r="J86" t="s">
        <v>1618</v>
      </c>
      <c r="K86" s="429" t="s">
        <v>1899</v>
      </c>
      <c r="L86" t="s">
        <v>1619</v>
      </c>
      <c r="M86" s="429" t="s">
        <v>6241</v>
      </c>
      <c r="N86" s="492" t="str">
        <f t="shared" si="11"/>
        <v>DEFRA: Água: Consumo: 2023</v>
      </c>
      <c r="O86" s="492" t="str">
        <f t="shared" si="12"/>
        <v>DEFRA: Água: TAR: 2023</v>
      </c>
      <c r="P86" s="422"/>
      <c r="Q86" s="250" t="s">
        <v>3499</v>
      </c>
      <c r="R86" s="250" t="s">
        <v>3567</v>
      </c>
      <c r="S86" s="422" t="s">
        <v>42</v>
      </c>
    </row>
    <row r="87" spans="1:19" ht="15.75" thickBot="1" x14ac:dyDescent="0.3">
      <c r="A87" s="422" t="s">
        <v>6252</v>
      </c>
      <c r="B87" t="s">
        <v>4601</v>
      </c>
      <c r="C87" s="424" t="str">
        <f t="shared" si="13"/>
        <v>Rega</v>
      </c>
      <c r="D87" t="s">
        <v>1616</v>
      </c>
      <c r="E87" s="287">
        <v>2023</v>
      </c>
      <c r="F87">
        <v>815</v>
      </c>
      <c r="G87" s="139" t="s">
        <v>34</v>
      </c>
      <c r="H87" s="490">
        <f t="shared" si="10"/>
        <v>0</v>
      </c>
      <c r="I87">
        <v>0</v>
      </c>
      <c r="J87" t="s">
        <v>1618</v>
      </c>
      <c r="K87" s="429" t="s">
        <v>1899</v>
      </c>
      <c r="L87" t="s">
        <v>1619</v>
      </c>
      <c r="M87" s="429" t="s">
        <v>6241</v>
      </c>
      <c r="N87" s="491" t="str">
        <f t="shared" si="11"/>
        <v>DEFRA: Água: Consumo: 2023</v>
      </c>
      <c r="O87" s="491" t="str">
        <f t="shared" si="12"/>
        <v>DEFRA: Água: TAR: 2023</v>
      </c>
      <c r="P87" s="422"/>
      <c r="Q87" s="250" t="s">
        <v>3499</v>
      </c>
      <c r="R87" s="250" t="s">
        <v>3567</v>
      </c>
      <c r="S87" s="422" t="s">
        <v>42</v>
      </c>
    </row>
    <row r="88" spans="1:19" ht="15.75" thickBot="1" x14ac:dyDescent="0.3">
      <c r="A88" s="422" t="s">
        <v>6253</v>
      </c>
      <c r="B88" t="s">
        <v>4601</v>
      </c>
      <c r="C88" s="424" t="str">
        <f t="shared" si="13"/>
        <v>Parques</v>
      </c>
      <c r="D88" t="s">
        <v>1616</v>
      </c>
      <c r="E88" s="287">
        <v>2023</v>
      </c>
      <c r="F88">
        <v>166</v>
      </c>
      <c r="G88" s="139" t="s">
        <v>42</v>
      </c>
      <c r="H88" s="490">
        <f t="shared" si="10"/>
        <v>1</v>
      </c>
      <c r="I88">
        <v>166</v>
      </c>
      <c r="J88" t="s">
        <v>1618</v>
      </c>
      <c r="K88" s="429" t="s">
        <v>1899</v>
      </c>
      <c r="L88" t="s">
        <v>1619</v>
      </c>
      <c r="M88" s="429" t="s">
        <v>6241</v>
      </c>
      <c r="N88" s="492" t="str">
        <f t="shared" si="11"/>
        <v>DEFRA: Água: Consumo: 2023</v>
      </c>
      <c r="O88" s="492" t="str">
        <f t="shared" si="12"/>
        <v>DEFRA: Água: TAR: 2023</v>
      </c>
      <c r="Q88" s="250" t="s">
        <v>3499</v>
      </c>
      <c r="R88" s="250" t="s">
        <v>3567</v>
      </c>
      <c r="S88" s="422" t="s">
        <v>42</v>
      </c>
    </row>
    <row r="89" spans="1:19" ht="15.75" thickBot="1" x14ac:dyDescent="0.3">
      <c r="A89" s="422" t="s">
        <v>6254</v>
      </c>
      <c r="B89" t="s">
        <v>4601</v>
      </c>
      <c r="C89" s="424" t="str">
        <f t="shared" si="13"/>
        <v>Complexo Ferroviário de Coina</v>
      </c>
      <c r="D89" t="s">
        <v>1616</v>
      </c>
      <c r="E89" s="287">
        <v>2023</v>
      </c>
      <c r="F89">
        <v>1773</v>
      </c>
      <c r="G89" s="139" t="s">
        <v>42</v>
      </c>
      <c r="H89" s="490">
        <f t="shared" si="10"/>
        <v>1</v>
      </c>
      <c r="I89">
        <v>1773</v>
      </c>
      <c r="J89" t="s">
        <v>1618</v>
      </c>
      <c r="K89" s="429" t="s">
        <v>1899</v>
      </c>
      <c r="L89" t="s">
        <v>1620</v>
      </c>
      <c r="M89" s="429" t="s">
        <v>6241</v>
      </c>
      <c r="N89" s="491" t="str">
        <f t="shared" si="11"/>
        <v>DEFRA: Água: Consumo: 2023</v>
      </c>
      <c r="O89" s="491" t="str">
        <f t="shared" si="12"/>
        <v>DEFRA: Água: TAR: 2023</v>
      </c>
      <c r="Q89" s="250" t="s">
        <v>3499</v>
      </c>
      <c r="R89" s="250" t="s">
        <v>3567</v>
      </c>
      <c r="S89" s="422" t="s">
        <v>42</v>
      </c>
    </row>
    <row r="90" spans="1:19" ht="15.75" thickBot="1" x14ac:dyDescent="0.3">
      <c r="A90" s="422" t="s">
        <v>6254</v>
      </c>
      <c r="B90" t="s">
        <v>4601</v>
      </c>
      <c r="C90" s="424" t="str">
        <f t="shared" si="13"/>
        <v>Complexo Ferroviário de Coina</v>
      </c>
      <c r="D90" t="s">
        <v>1617</v>
      </c>
      <c r="E90" s="287">
        <v>2023</v>
      </c>
      <c r="F90">
        <v>4145</v>
      </c>
      <c r="G90" s="139" t="s">
        <v>42</v>
      </c>
      <c r="H90" s="490">
        <f t="shared" si="10"/>
        <v>1</v>
      </c>
      <c r="I90">
        <v>4145</v>
      </c>
      <c r="J90" t="s">
        <v>1618</v>
      </c>
      <c r="K90" s="429" t="s">
        <v>1899</v>
      </c>
      <c r="L90" t="s">
        <v>1620</v>
      </c>
      <c r="M90" s="429" t="s">
        <v>6241</v>
      </c>
      <c r="N90" s="492" t="str">
        <f t="shared" si="11"/>
        <v>DEFRA: Água: Consumo: 2023</v>
      </c>
      <c r="O90" s="492" t="str">
        <f t="shared" si="12"/>
        <v>DEFRA: Água: TAR: 2023</v>
      </c>
      <c r="Q90" s="250" t="s">
        <v>3499</v>
      </c>
      <c r="R90" s="250" t="s">
        <v>3567</v>
      </c>
      <c r="S90" s="422" t="s">
        <v>42</v>
      </c>
    </row>
    <row r="91" spans="1:19" ht="15.75" thickBot="1" x14ac:dyDescent="0.3">
      <c r="A91" s="422" t="s">
        <v>6255</v>
      </c>
      <c r="B91" t="s">
        <v>4601</v>
      </c>
      <c r="C91" s="424" t="str">
        <f t="shared" si="13"/>
        <v>Pragal</v>
      </c>
      <c r="D91" t="s">
        <v>1617</v>
      </c>
      <c r="E91" s="287">
        <v>2023</v>
      </c>
      <c r="F91">
        <v>9076</v>
      </c>
      <c r="G91" s="139" t="s">
        <v>42</v>
      </c>
      <c r="H91" s="490">
        <f t="shared" si="10"/>
        <v>1</v>
      </c>
      <c r="I91">
        <v>9076</v>
      </c>
      <c r="J91" t="s">
        <v>1618</v>
      </c>
      <c r="K91" s="429" t="s">
        <v>1899</v>
      </c>
      <c r="L91" t="s">
        <v>1619</v>
      </c>
      <c r="M91" s="429" t="s">
        <v>6241</v>
      </c>
      <c r="N91" s="491" t="str">
        <f t="shared" si="11"/>
        <v>DEFRA: Água: Consumo: 2023</v>
      </c>
      <c r="O91" s="491" t="str">
        <f t="shared" si="12"/>
        <v>DEFRA: Água: TAR: 2023</v>
      </c>
      <c r="Q91" s="250" t="s">
        <v>3499</v>
      </c>
      <c r="R91" s="250" t="s">
        <v>3567</v>
      </c>
      <c r="S91" s="422" t="s">
        <v>42</v>
      </c>
    </row>
    <row r="92" spans="1:19" ht="15.75" thickBot="1" x14ac:dyDescent="0.3">
      <c r="A92" s="422" t="s">
        <v>6256</v>
      </c>
      <c r="B92" t="s">
        <v>4601</v>
      </c>
      <c r="C92" s="424" t="str">
        <f t="shared" si="13"/>
        <v>Corroios</v>
      </c>
      <c r="D92" t="s">
        <v>1617</v>
      </c>
      <c r="E92" s="287">
        <v>2023</v>
      </c>
      <c r="F92">
        <v>6206</v>
      </c>
      <c r="G92" s="139" t="s">
        <v>42</v>
      </c>
      <c r="H92" s="490">
        <f t="shared" si="10"/>
        <v>1</v>
      </c>
      <c r="I92">
        <v>6206</v>
      </c>
      <c r="J92" t="s">
        <v>1618</v>
      </c>
      <c r="K92" s="429" t="s">
        <v>1899</v>
      </c>
      <c r="L92" t="s">
        <v>1619</v>
      </c>
      <c r="M92" s="429" t="s">
        <v>6241</v>
      </c>
      <c r="N92" s="492" t="str">
        <f t="shared" si="11"/>
        <v>DEFRA: Água: Consumo: 2023</v>
      </c>
      <c r="O92" s="492" t="str">
        <f t="shared" si="12"/>
        <v>DEFRA: Água: TAR: 2023</v>
      </c>
      <c r="Q92" s="250" t="s">
        <v>3499</v>
      </c>
      <c r="R92" s="250" t="s">
        <v>3567</v>
      </c>
      <c r="S92" s="422" t="s">
        <v>42</v>
      </c>
    </row>
    <row r="93" spans="1:19" ht="15.75" thickBot="1" x14ac:dyDescent="0.3">
      <c r="A93" t="s">
        <v>4589</v>
      </c>
      <c r="B93" t="s">
        <v>4589</v>
      </c>
      <c r="C93" s="424" t="str">
        <f t="shared" si="13"/>
        <v>X</v>
      </c>
      <c r="D93" t="s">
        <v>1616</v>
      </c>
      <c r="E93" s="287">
        <v>2023</v>
      </c>
      <c r="F93">
        <v>16</v>
      </c>
      <c r="G93" s="139" t="s">
        <v>42</v>
      </c>
      <c r="H93" s="490">
        <f t="shared" si="10"/>
        <v>1</v>
      </c>
      <c r="I93">
        <v>16</v>
      </c>
      <c r="J93" t="s">
        <v>1618</v>
      </c>
      <c r="K93" s="429" t="s">
        <v>1899</v>
      </c>
      <c r="L93" t="s">
        <v>1619</v>
      </c>
      <c r="M93" s="429" t="s">
        <v>6241</v>
      </c>
      <c r="N93" s="491" t="str">
        <f t="shared" si="11"/>
        <v>DEFRA: Água: Consumo: 2023</v>
      </c>
      <c r="O93" s="491" t="str">
        <f t="shared" si="12"/>
        <v>DEFRA: Água: TAR: 2023</v>
      </c>
      <c r="Q93" s="250" t="s">
        <v>3499</v>
      </c>
      <c r="R93" s="250" t="s">
        <v>3567</v>
      </c>
      <c r="S93" s="422" t="s">
        <v>42</v>
      </c>
    </row>
    <row r="94" spans="1:19" ht="15.75" thickBot="1" x14ac:dyDescent="0.3">
      <c r="A94" s="680" t="s">
        <v>6582</v>
      </c>
      <c r="B94" s="680" t="s">
        <v>6582</v>
      </c>
      <c r="C94" s="422" t="s">
        <v>1950</v>
      </c>
      <c r="D94" s="422" t="s">
        <v>1616</v>
      </c>
      <c r="E94" s="287">
        <v>2023</v>
      </c>
      <c r="F94">
        <v>220</v>
      </c>
      <c r="G94" s="139" t="s">
        <v>42</v>
      </c>
      <c r="H94" s="490">
        <f t="shared" ref="H94" si="14">I94/F94</f>
        <v>1</v>
      </c>
      <c r="I94" s="422">
        <v>220</v>
      </c>
      <c r="J94" s="422" t="s">
        <v>1618</v>
      </c>
      <c r="K94" s="429" t="s">
        <v>1899</v>
      </c>
      <c r="L94" s="422" t="s">
        <v>1619</v>
      </c>
      <c r="M94" s="429" t="s">
        <v>6241</v>
      </c>
      <c r="N94" s="491" t="str">
        <f t="shared" ref="N94" si="15">"DEFRA: Água: Consumo: "&amp;TEXT(E94,"0000")</f>
        <v>DEFRA: Água: Consumo: 2023</v>
      </c>
      <c r="O94" s="491" t="str">
        <f t="shared" ref="O94" si="16">"DEFRA: Água: TAR: "&amp;TEXT(E94,"0000")</f>
        <v>DEFRA: Água: TAR: 2023</v>
      </c>
      <c r="Q94" s="250" t="s">
        <v>3499</v>
      </c>
      <c r="R94" s="250" t="s">
        <v>3567</v>
      </c>
      <c r="S94" s="422" t="s">
        <v>42</v>
      </c>
    </row>
  </sheetData>
  <dataValidations count="5">
    <dataValidation type="list" allowBlank="1" showInputMessage="1" showErrorMessage="1" sqref="D2:D47">
      <formula1>"Rede Pública, Captação (Furo, Poço, etc.), Águas Pluviais"</formula1>
    </dataValidation>
    <dataValidation type="list" allowBlank="1" showInputMessage="1" showErrorMessage="1" sqref="J2:J51">
      <formula1>"m3 (metros cúbicos), l (litros), ton (toneladas)"</formula1>
    </dataValidation>
    <dataValidation type="list" allowBlank="1" showInputMessage="1" showErrorMessage="1" sqref="L2:L38 L41:L51">
      <formula1>"ETAR Rede Pública, ETAR Industrial Propietária"</formula1>
    </dataValidation>
    <dataValidation type="list" allowBlank="1" showInputMessage="1" showErrorMessage="1" sqref="M2:M94">
      <formula1>"Combinada, Componentes"</formula1>
    </dataValidation>
    <dataValidation type="list" allowBlank="1" showInputMessage="1" showErrorMessage="1" sqref="D56">
      <mc:AlternateContent xmlns:x12ac="http://schemas.microsoft.com/office/spreadsheetml/2011/1/ac" xmlns:mc="http://schemas.openxmlformats.org/markup-compatibility/2006">
        <mc:Choice Requires="x12ac">
          <x12ac:list>Rede Pública," Captação (Furo, Poço, etc.)", Águas Pluviais</x12ac:list>
        </mc:Choice>
        <mc:Fallback>
          <formula1>"Rede Pública, Captação (Furo, Poço, etc.), Águas Pluviais"</formula1>
        </mc:Fallback>
      </mc:AlternateContent>
    </dataValidation>
  </dataValidations>
  <pageMargins left="0.7" right="0.7" top="0.75" bottom="0.75" header="0.3" footer="0.3"/>
  <customProperties>
    <customPr name="GUID" r:id="rId1"/>
  </customPropertie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6"/>
  <dimension ref="B6:AA283"/>
  <sheetViews>
    <sheetView workbookViewId="0"/>
  </sheetViews>
  <sheetFormatPr defaultRowHeight="15" x14ac:dyDescent="0.25"/>
  <cols>
    <col min="2" max="2" width="49.28515625" customWidth="1"/>
    <col min="3" max="3" width="37.7109375" customWidth="1"/>
    <col min="4" max="4" width="36.85546875" style="151" customWidth="1"/>
    <col min="5" max="5" width="34.5703125" style="151" customWidth="1"/>
    <col min="6" max="6" width="24.42578125" customWidth="1"/>
    <col min="7" max="10" width="27.5703125" customWidth="1"/>
    <col min="11" max="11" width="41.7109375" style="151" customWidth="1"/>
    <col min="12" max="12" width="34.85546875" style="1" bestFit="1" customWidth="1"/>
  </cols>
  <sheetData>
    <row r="6" spans="2:27" ht="15.75" thickBot="1" x14ac:dyDescent="0.3"/>
    <row r="7" spans="2:27" x14ac:dyDescent="0.25">
      <c r="B7" s="78" t="s">
        <v>118</v>
      </c>
      <c r="C7" s="79"/>
    </row>
    <row r="9" spans="2:27" x14ac:dyDescent="0.25">
      <c r="B9" s="765" t="str">
        <f>"Grupo Barraqueiro: "&amp;'Folha de Rosto'!C6&amp;" "&amp;'Folha de Rosto'!I6&amp;" - Emissões de GEE de Âmbito 3"</f>
        <v>Grupo Barraqueiro: PEGADA DE CARBONO 2022 - Emissões de GEE de Âmbito 3</v>
      </c>
      <c r="C9" s="765"/>
      <c r="D9" s="765"/>
      <c r="E9" s="765"/>
      <c r="F9" s="765"/>
      <c r="G9" s="765"/>
      <c r="H9" s="765"/>
      <c r="I9" s="765"/>
      <c r="J9" s="765"/>
      <c r="K9" s="765"/>
      <c r="L9" s="765"/>
      <c r="M9" s="765"/>
      <c r="N9" s="765"/>
      <c r="O9" s="765"/>
      <c r="P9" s="765"/>
      <c r="Q9" s="765"/>
      <c r="R9" s="765"/>
      <c r="S9" s="765"/>
      <c r="T9" s="765"/>
      <c r="U9" s="765"/>
      <c r="V9" s="765"/>
      <c r="W9" s="765"/>
      <c r="X9" s="765"/>
      <c r="Y9" s="765"/>
      <c r="Z9" s="765"/>
      <c r="AA9" s="765"/>
    </row>
    <row r="10" spans="2:27" ht="15.75" thickBot="1" x14ac:dyDescent="0.3"/>
    <row r="11" spans="2:27" ht="33.6" customHeight="1" thickBot="1" x14ac:dyDescent="0.3">
      <c r="B11" s="761" t="s">
        <v>119</v>
      </c>
      <c r="C11" s="761"/>
      <c r="D11" s="767" t="s">
        <v>522</v>
      </c>
      <c r="E11" s="767"/>
      <c r="F11" s="767"/>
      <c r="G11" s="767"/>
      <c r="H11" s="767"/>
      <c r="I11" s="767"/>
      <c r="J11" s="767"/>
      <c r="K11" s="768"/>
      <c r="L11" s="768"/>
      <c r="M11" s="768"/>
      <c r="N11" s="768"/>
      <c r="O11" s="768"/>
      <c r="P11" s="768"/>
      <c r="Q11" s="768"/>
      <c r="R11" s="768"/>
      <c r="S11" s="768"/>
      <c r="T11" s="769"/>
    </row>
    <row r="12" spans="2:27" ht="60.95" customHeight="1" thickBot="1" x14ac:dyDescent="0.3">
      <c r="B12" s="761" t="s">
        <v>120</v>
      </c>
      <c r="C12" s="761"/>
      <c r="D12" s="770" t="s">
        <v>530</v>
      </c>
      <c r="E12" s="770"/>
      <c r="F12" s="770"/>
      <c r="G12" s="770"/>
      <c r="H12" s="770"/>
      <c r="I12" s="770"/>
      <c r="J12" s="770"/>
      <c r="K12" s="771"/>
      <c r="L12" s="771"/>
      <c r="M12" s="771"/>
      <c r="N12" s="771"/>
      <c r="O12" s="771"/>
      <c r="P12" s="771"/>
      <c r="Q12" s="771"/>
      <c r="R12" s="771"/>
      <c r="S12" s="771"/>
      <c r="T12" s="772"/>
    </row>
    <row r="13" spans="2:27" ht="60.95" customHeight="1" thickBot="1" x14ac:dyDescent="0.3">
      <c r="B13" s="761" t="s">
        <v>121</v>
      </c>
      <c r="C13" s="761"/>
      <c r="D13" s="798" t="s">
        <v>1529</v>
      </c>
      <c r="E13" s="799"/>
      <c r="F13" s="799"/>
      <c r="G13" s="799"/>
      <c r="H13" s="799"/>
      <c r="I13" s="799"/>
      <c r="J13" s="799"/>
      <c r="K13" s="799"/>
      <c r="L13" s="799"/>
      <c r="M13" s="799"/>
      <c r="N13" s="799"/>
      <c r="O13" s="799"/>
      <c r="P13" s="799"/>
      <c r="Q13" s="799"/>
      <c r="R13" s="799"/>
      <c r="S13" s="799"/>
      <c r="T13" s="808"/>
    </row>
    <row r="14" spans="2:27" ht="60.95" customHeight="1" thickBot="1" x14ac:dyDescent="0.3">
      <c r="B14" s="761" t="s">
        <v>122</v>
      </c>
      <c r="C14" s="761"/>
      <c r="D14" s="762" t="s">
        <v>123</v>
      </c>
      <c r="E14" s="762"/>
      <c r="F14" s="762"/>
      <c r="G14" s="762"/>
      <c r="H14" s="762"/>
      <c r="I14" s="762"/>
      <c r="J14" s="762"/>
      <c r="K14" s="763"/>
      <c r="L14" s="763"/>
      <c r="M14" s="763"/>
      <c r="N14" s="763"/>
      <c r="O14" s="763"/>
      <c r="P14" s="763"/>
      <c r="Q14" s="763"/>
      <c r="R14" s="763"/>
      <c r="S14" s="763"/>
      <c r="T14" s="764"/>
    </row>
    <row r="15" spans="2:27" ht="60" customHeight="1" thickBot="1" x14ac:dyDescent="0.3">
      <c r="B15" s="761" t="s">
        <v>128</v>
      </c>
      <c r="C15" s="761"/>
      <c r="D15" s="798" t="s">
        <v>129</v>
      </c>
      <c r="E15" s="799"/>
      <c r="F15" s="799"/>
      <c r="G15" s="799"/>
      <c r="H15" s="799"/>
      <c r="I15" s="799"/>
      <c r="J15" s="799"/>
      <c r="K15" s="799"/>
      <c r="L15" s="799"/>
      <c r="M15" s="799"/>
      <c r="N15" s="799"/>
      <c r="O15" s="799"/>
      <c r="P15" s="799"/>
      <c r="Q15" s="799"/>
      <c r="R15" s="799"/>
      <c r="S15" s="799"/>
      <c r="T15" s="762"/>
    </row>
    <row r="17" spans="2:27" x14ac:dyDescent="0.25">
      <c r="B17" s="765" t="s">
        <v>1814</v>
      </c>
      <c r="C17" s="765"/>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row>
    <row r="18" spans="2:27" x14ac:dyDescent="0.25">
      <c r="B18" t="s">
        <v>130</v>
      </c>
    </row>
    <row r="20" spans="2:27" x14ac:dyDescent="0.25">
      <c r="B20" s="81" t="s">
        <v>135</v>
      </c>
    </row>
    <row r="21" spans="2:27" x14ac:dyDescent="0.25">
      <c r="B21" s="766"/>
      <c r="C21" s="766"/>
      <c r="D21" s="766"/>
      <c r="E21" s="766"/>
      <c r="F21" s="766"/>
      <c r="G21" s="766"/>
      <c r="H21" s="766"/>
      <c r="I21" s="766"/>
      <c r="J21" s="766"/>
      <c r="K21" s="766"/>
      <c r="L21" s="766"/>
      <c r="M21" s="766"/>
      <c r="N21" s="766"/>
      <c r="O21" s="766"/>
      <c r="P21" s="766"/>
      <c r="Q21" s="766"/>
      <c r="R21" s="766"/>
      <c r="S21" s="766"/>
      <c r="T21" s="766"/>
      <c r="U21" s="766"/>
      <c r="V21" s="766"/>
      <c r="W21" s="766"/>
      <c r="X21" s="766"/>
      <c r="Y21" s="766"/>
    </row>
    <row r="22" spans="2:27" x14ac:dyDescent="0.25">
      <c r="B22" s="766"/>
      <c r="C22" s="766"/>
      <c r="D22" s="766"/>
      <c r="E22" s="766"/>
      <c r="F22" s="766"/>
      <c r="G22" s="766"/>
      <c r="H22" s="766"/>
      <c r="I22" s="766"/>
      <c r="J22" s="766"/>
      <c r="K22" s="766"/>
      <c r="L22" s="766"/>
      <c r="M22" s="766"/>
      <c r="N22" s="766"/>
      <c r="O22" s="766"/>
      <c r="P22" s="766"/>
      <c r="Q22" s="766"/>
      <c r="R22" s="766"/>
      <c r="S22" s="766"/>
      <c r="T22" s="766"/>
      <c r="U22" s="766"/>
      <c r="V22" s="766"/>
      <c r="W22" s="766"/>
      <c r="X22" s="766"/>
      <c r="Y22" s="766"/>
    </row>
    <row r="24" spans="2:27" ht="15" customHeight="1" x14ac:dyDescent="0.25">
      <c r="B24" s="81" t="s">
        <v>136</v>
      </c>
    </row>
    <row r="25" spans="2:27" x14ac:dyDescent="0.25">
      <c r="B25" s="766"/>
      <c r="C25" s="766"/>
      <c r="D25" s="766"/>
      <c r="E25" s="766"/>
      <c r="F25" s="766"/>
      <c r="G25" s="766"/>
      <c r="H25" s="766"/>
      <c r="I25" s="766"/>
      <c r="J25" s="766"/>
      <c r="K25" s="766"/>
      <c r="L25" s="766"/>
      <c r="M25" s="766"/>
      <c r="N25" s="766"/>
      <c r="O25" s="766"/>
      <c r="P25" s="766"/>
      <c r="Q25" s="766"/>
      <c r="R25" s="766"/>
      <c r="S25" s="766"/>
      <c r="T25" s="766"/>
      <c r="U25" s="766"/>
      <c r="V25" s="766"/>
      <c r="W25" s="766"/>
      <c r="X25" s="766"/>
      <c r="Y25" s="766"/>
    </row>
    <row r="26" spans="2:27" x14ac:dyDescent="0.25">
      <c r="B26" s="766"/>
      <c r="C26" s="766"/>
      <c r="D26" s="766"/>
      <c r="E26" s="766"/>
      <c r="F26" s="766"/>
      <c r="G26" s="766"/>
      <c r="H26" s="766"/>
      <c r="I26" s="766"/>
      <c r="J26" s="766"/>
      <c r="K26" s="766"/>
      <c r="L26" s="766"/>
      <c r="M26" s="766"/>
      <c r="N26" s="766"/>
      <c r="O26" s="766"/>
      <c r="P26" s="766"/>
      <c r="Q26" s="766"/>
      <c r="R26" s="766"/>
      <c r="S26" s="766"/>
      <c r="T26" s="766"/>
      <c r="U26" s="766"/>
      <c r="V26" s="766"/>
      <c r="W26" s="766"/>
      <c r="X26" s="766"/>
      <c r="Y26" s="766"/>
    </row>
    <row r="27" spans="2:27" ht="15.75" thickBot="1" x14ac:dyDescent="0.3"/>
    <row r="28" spans="2:27" s="94" customFormat="1" ht="30.75" customHeight="1" x14ac:dyDescent="0.25">
      <c r="B28" s="757" t="s">
        <v>131</v>
      </c>
      <c r="C28" s="757" t="s">
        <v>531</v>
      </c>
      <c r="D28" s="831" t="s">
        <v>533</v>
      </c>
      <c r="E28" s="831" t="s">
        <v>532</v>
      </c>
      <c r="F28" s="757" t="s">
        <v>141</v>
      </c>
      <c r="G28" s="757" t="s">
        <v>528</v>
      </c>
      <c r="H28" s="757" t="s">
        <v>1611</v>
      </c>
      <c r="I28" s="757" t="s">
        <v>1612</v>
      </c>
      <c r="J28" s="778" t="s">
        <v>1623</v>
      </c>
      <c r="K28" s="833" t="s">
        <v>1621</v>
      </c>
      <c r="L28" s="778" t="s">
        <v>1622</v>
      </c>
    </row>
    <row r="29" spans="2:27" s="94" customFormat="1" ht="15" customHeight="1" thickBot="1" x14ac:dyDescent="0.3">
      <c r="B29" s="758"/>
      <c r="C29" s="758"/>
      <c r="D29" s="832"/>
      <c r="E29" s="832"/>
      <c r="F29" s="758"/>
      <c r="G29" s="758"/>
      <c r="H29" s="758"/>
      <c r="I29" s="758"/>
      <c r="J29" s="779"/>
      <c r="K29" s="834"/>
      <c r="L29" s="779"/>
    </row>
    <row r="30" spans="2:27" ht="15.75" thickBot="1" x14ac:dyDescent="0.3">
      <c r="B30" s="83" t="s">
        <v>3474</v>
      </c>
      <c r="C30" s="83" t="s">
        <v>1617</v>
      </c>
      <c r="D30" s="152">
        <v>10.875</v>
      </c>
      <c r="E30" s="139">
        <v>10.875</v>
      </c>
      <c r="F30" s="85" t="s">
        <v>1618</v>
      </c>
      <c r="G30" s="91" t="s">
        <v>1619</v>
      </c>
      <c r="H30" s="153">
        <v>44533</v>
      </c>
      <c r="I30" s="153">
        <v>44564</v>
      </c>
      <c r="J30" s="153" t="s">
        <v>1624</v>
      </c>
      <c r="K30" s="139">
        <v>116</v>
      </c>
      <c r="L30" s="125">
        <v>3</v>
      </c>
    </row>
    <row r="31" spans="2:27" ht="15.75" thickBot="1" x14ac:dyDescent="0.3">
      <c r="B31" s="83" t="s">
        <v>3474</v>
      </c>
      <c r="C31" s="83" t="s">
        <v>1616</v>
      </c>
      <c r="D31" s="152">
        <v>11.379310344827585</v>
      </c>
      <c r="E31" s="139">
        <v>11.379310344827585</v>
      </c>
      <c r="F31" s="85" t="s">
        <v>1618</v>
      </c>
      <c r="G31" s="91" t="s">
        <v>1619</v>
      </c>
      <c r="H31" s="153">
        <v>44544</v>
      </c>
      <c r="I31" s="153">
        <v>44572</v>
      </c>
      <c r="J31" s="153" t="s">
        <v>1624</v>
      </c>
      <c r="K31" s="139">
        <v>30</v>
      </c>
      <c r="L31" s="125">
        <v>11</v>
      </c>
    </row>
    <row r="32" spans="2:27" ht="15.75" thickBot="1" x14ac:dyDescent="0.3">
      <c r="B32" s="83" t="s">
        <v>3474</v>
      </c>
      <c r="C32" s="83" t="s">
        <v>1616</v>
      </c>
      <c r="D32" s="152">
        <v>0</v>
      </c>
      <c r="E32" s="139">
        <v>0</v>
      </c>
      <c r="F32" s="85" t="s">
        <v>1618</v>
      </c>
      <c r="G32" s="91" t="s">
        <v>1619</v>
      </c>
      <c r="H32" s="153">
        <v>44551</v>
      </c>
      <c r="I32" s="153">
        <v>44579</v>
      </c>
      <c r="J32" s="153" t="s">
        <v>1624</v>
      </c>
      <c r="K32" s="139">
        <v>0</v>
      </c>
      <c r="L32" s="125">
        <v>18</v>
      </c>
    </row>
    <row r="33" spans="2:12" ht="15.75" thickBot="1" x14ac:dyDescent="0.3">
      <c r="B33" s="83" t="s">
        <v>3474</v>
      </c>
      <c r="C33" s="83" t="s">
        <v>1617</v>
      </c>
      <c r="D33" s="152">
        <v>110</v>
      </c>
      <c r="E33" s="139">
        <v>110</v>
      </c>
      <c r="F33" s="85" t="s">
        <v>1618</v>
      </c>
      <c r="G33" s="91" t="s">
        <v>1619</v>
      </c>
      <c r="H33" s="153">
        <v>44565</v>
      </c>
      <c r="I33" s="153">
        <v>44593</v>
      </c>
      <c r="J33" s="153" t="s">
        <v>1624</v>
      </c>
      <c r="K33" s="139">
        <v>110</v>
      </c>
      <c r="L33" s="125">
        <v>29</v>
      </c>
    </row>
    <row r="34" spans="2:12" ht="15.75" thickBot="1" x14ac:dyDescent="0.3">
      <c r="B34" s="83" t="s">
        <v>3474</v>
      </c>
      <c r="C34" s="83" t="s">
        <v>1616</v>
      </c>
      <c r="D34" s="152">
        <v>43</v>
      </c>
      <c r="E34" s="139">
        <v>43</v>
      </c>
      <c r="F34" s="85" t="s">
        <v>1618</v>
      </c>
      <c r="G34" s="91" t="s">
        <v>1619</v>
      </c>
      <c r="H34" s="153">
        <v>44573</v>
      </c>
      <c r="I34" s="153">
        <v>44601</v>
      </c>
      <c r="J34" s="153" t="s">
        <v>1624</v>
      </c>
      <c r="K34" s="139">
        <v>43</v>
      </c>
      <c r="L34" s="125">
        <v>29</v>
      </c>
    </row>
    <row r="35" spans="2:12" ht="15.75" thickBot="1" x14ac:dyDescent="0.3">
      <c r="B35" s="83" t="s">
        <v>3474</v>
      </c>
      <c r="C35" s="83" t="s">
        <v>1616</v>
      </c>
      <c r="D35" s="152">
        <v>1</v>
      </c>
      <c r="E35" s="139">
        <v>1</v>
      </c>
      <c r="F35" s="85" t="s">
        <v>1618</v>
      </c>
      <c r="G35" s="91" t="s">
        <v>1619</v>
      </c>
      <c r="H35" s="153">
        <v>44580</v>
      </c>
      <c r="I35" s="153">
        <v>44608</v>
      </c>
      <c r="J35" s="153" t="s">
        <v>1624</v>
      </c>
      <c r="K35" s="139">
        <v>1</v>
      </c>
      <c r="L35" s="125">
        <v>29</v>
      </c>
    </row>
    <row r="36" spans="2:12" ht="15.75" thickBot="1" x14ac:dyDescent="0.3">
      <c r="B36" s="83" t="s">
        <v>3474</v>
      </c>
      <c r="C36" s="83" t="s">
        <v>1617</v>
      </c>
      <c r="D36" s="152">
        <v>164</v>
      </c>
      <c r="E36" s="139">
        <v>164</v>
      </c>
      <c r="F36" s="85" t="s">
        <v>1618</v>
      </c>
      <c r="G36" s="91" t="s">
        <v>1619</v>
      </c>
      <c r="H36" s="153">
        <v>44594</v>
      </c>
      <c r="I36" s="153">
        <v>44622</v>
      </c>
      <c r="J36" s="153" t="s">
        <v>1624</v>
      </c>
      <c r="K36" s="139">
        <v>164</v>
      </c>
      <c r="L36" s="125">
        <v>29</v>
      </c>
    </row>
    <row r="37" spans="2:12" ht="15.75" thickBot="1" x14ac:dyDescent="0.3">
      <c r="B37" s="83" t="s">
        <v>3474</v>
      </c>
      <c r="C37" s="83" t="s">
        <v>1616</v>
      </c>
      <c r="D37" s="152">
        <v>25</v>
      </c>
      <c r="E37" s="139">
        <v>25</v>
      </c>
      <c r="F37" s="85" t="s">
        <v>1618</v>
      </c>
      <c r="G37" s="91" t="s">
        <v>1619</v>
      </c>
      <c r="H37" s="153">
        <v>44602</v>
      </c>
      <c r="I37" s="153">
        <v>44630</v>
      </c>
      <c r="J37" s="153" t="s">
        <v>1624</v>
      </c>
      <c r="K37" s="139">
        <v>25</v>
      </c>
      <c r="L37" s="125">
        <v>29</v>
      </c>
    </row>
    <row r="38" spans="2:12" ht="15.75" thickBot="1" x14ac:dyDescent="0.3">
      <c r="B38" s="83" t="s">
        <v>3474</v>
      </c>
      <c r="C38" s="83" t="s">
        <v>1616</v>
      </c>
      <c r="D38" s="152">
        <v>1</v>
      </c>
      <c r="E38" s="139">
        <v>1</v>
      </c>
      <c r="F38" s="85" t="s">
        <v>1618</v>
      </c>
      <c r="G38" s="91" t="s">
        <v>1619</v>
      </c>
      <c r="H38" s="153">
        <v>44609</v>
      </c>
      <c r="I38" s="153">
        <v>44637</v>
      </c>
      <c r="J38" s="153" t="s">
        <v>1624</v>
      </c>
      <c r="K38" s="139">
        <v>1</v>
      </c>
      <c r="L38" s="125">
        <v>29</v>
      </c>
    </row>
    <row r="39" spans="2:12" ht="15.75" thickBot="1" x14ac:dyDescent="0.3">
      <c r="B39" s="83" t="s">
        <v>3474</v>
      </c>
      <c r="C39" s="83" t="s">
        <v>1617</v>
      </c>
      <c r="D39" s="152">
        <v>40</v>
      </c>
      <c r="E39" s="139">
        <v>40</v>
      </c>
      <c r="F39" s="85" t="s">
        <v>1618</v>
      </c>
      <c r="G39" s="91" t="s">
        <v>1619</v>
      </c>
      <c r="H39" s="153">
        <v>44623</v>
      </c>
      <c r="I39" s="153">
        <v>44652</v>
      </c>
      <c r="J39" s="153" t="s">
        <v>1624</v>
      </c>
      <c r="K39" s="139">
        <v>40</v>
      </c>
      <c r="L39" s="125">
        <v>30</v>
      </c>
    </row>
    <row r="40" spans="2:12" ht="15.75" thickBot="1" x14ac:dyDescent="0.3">
      <c r="B40" s="83" t="s">
        <v>3474</v>
      </c>
      <c r="C40" s="83" t="s">
        <v>1616</v>
      </c>
      <c r="D40" s="152">
        <v>50</v>
      </c>
      <c r="E40" s="139">
        <v>50</v>
      </c>
      <c r="F40" s="85" t="s">
        <v>1618</v>
      </c>
      <c r="G40" s="91" t="s">
        <v>1619</v>
      </c>
      <c r="H40" s="153">
        <v>44631</v>
      </c>
      <c r="I40" s="153">
        <v>44662</v>
      </c>
      <c r="J40" s="153" t="s">
        <v>1624</v>
      </c>
      <c r="K40" s="139">
        <v>50</v>
      </c>
      <c r="L40" s="125">
        <v>32</v>
      </c>
    </row>
    <row r="41" spans="2:12" ht="15.75" thickBot="1" x14ac:dyDescent="0.3">
      <c r="B41" s="83" t="s">
        <v>3474</v>
      </c>
      <c r="C41" s="83" t="s">
        <v>1616</v>
      </c>
      <c r="D41" s="152">
        <v>1</v>
      </c>
      <c r="E41" s="139">
        <v>1</v>
      </c>
      <c r="F41" s="85" t="s">
        <v>1618</v>
      </c>
      <c r="G41" s="91" t="s">
        <v>1619</v>
      </c>
      <c r="H41" s="153">
        <v>44638</v>
      </c>
      <c r="I41" s="153">
        <v>44670</v>
      </c>
      <c r="J41" s="153" t="s">
        <v>1624</v>
      </c>
      <c r="K41" s="139">
        <v>1</v>
      </c>
      <c r="L41" s="125">
        <v>33</v>
      </c>
    </row>
    <row r="42" spans="2:12" ht="15.75" thickBot="1" x14ac:dyDescent="0.3">
      <c r="B42" s="83" t="s">
        <v>3474</v>
      </c>
      <c r="C42" s="83" t="s">
        <v>1617</v>
      </c>
      <c r="D42" s="152">
        <v>113</v>
      </c>
      <c r="E42" s="139">
        <v>113</v>
      </c>
      <c r="F42" s="85" t="s">
        <v>1618</v>
      </c>
      <c r="G42" s="91" t="s">
        <v>1619</v>
      </c>
      <c r="H42" s="153">
        <v>44655</v>
      </c>
      <c r="I42" s="153">
        <v>44683</v>
      </c>
      <c r="J42" s="153" t="s">
        <v>1624</v>
      </c>
      <c r="K42" s="139">
        <v>113</v>
      </c>
      <c r="L42" s="125">
        <v>29</v>
      </c>
    </row>
    <row r="43" spans="2:12" ht="15.75" thickBot="1" x14ac:dyDescent="0.3">
      <c r="B43" s="83" t="s">
        <v>3474</v>
      </c>
      <c r="C43" s="83" t="s">
        <v>1616</v>
      </c>
      <c r="D43" s="152">
        <v>31</v>
      </c>
      <c r="E43" s="139">
        <v>31</v>
      </c>
      <c r="F43" s="85" t="s">
        <v>1618</v>
      </c>
      <c r="G43" s="91" t="s">
        <v>1619</v>
      </c>
      <c r="H43" s="153">
        <v>44663</v>
      </c>
      <c r="I43" s="153">
        <v>44691</v>
      </c>
      <c r="J43" s="153" t="s">
        <v>1624</v>
      </c>
      <c r="K43" s="139">
        <v>31</v>
      </c>
      <c r="L43" s="125">
        <v>29</v>
      </c>
    </row>
    <row r="44" spans="2:12" ht="15.75" thickBot="1" x14ac:dyDescent="0.3">
      <c r="B44" s="83" t="s">
        <v>3474</v>
      </c>
      <c r="C44" s="83" t="s">
        <v>1616</v>
      </c>
      <c r="D44" s="152">
        <v>1</v>
      </c>
      <c r="E44" s="139">
        <v>1</v>
      </c>
      <c r="F44" s="85" t="s">
        <v>1618</v>
      </c>
      <c r="G44" s="91" t="s">
        <v>1619</v>
      </c>
      <c r="H44" s="153">
        <v>44671</v>
      </c>
      <c r="I44" s="153">
        <v>44698</v>
      </c>
      <c r="J44" s="153" t="s">
        <v>1624</v>
      </c>
      <c r="K44" s="139">
        <v>1</v>
      </c>
      <c r="L44" s="125">
        <v>28</v>
      </c>
    </row>
    <row r="45" spans="2:12" ht="15.75" thickBot="1" x14ac:dyDescent="0.3">
      <c r="B45" s="83" t="s">
        <v>3474</v>
      </c>
      <c r="C45" s="83" t="s">
        <v>1617</v>
      </c>
      <c r="D45" s="152">
        <v>146</v>
      </c>
      <c r="E45" s="139">
        <v>146</v>
      </c>
      <c r="F45" s="85" t="s">
        <v>1618</v>
      </c>
      <c r="G45" s="91" t="s">
        <v>1619</v>
      </c>
      <c r="H45" s="153">
        <v>44684</v>
      </c>
      <c r="I45" s="153">
        <v>44713</v>
      </c>
      <c r="J45" s="153" t="s">
        <v>1624</v>
      </c>
      <c r="K45" s="139">
        <v>146</v>
      </c>
      <c r="L45" s="125">
        <v>30</v>
      </c>
    </row>
    <row r="46" spans="2:12" ht="15.75" thickBot="1" x14ac:dyDescent="0.3">
      <c r="B46" s="83" t="s">
        <v>3474</v>
      </c>
      <c r="C46" s="83" t="s">
        <v>1616</v>
      </c>
      <c r="D46" s="152">
        <v>64</v>
      </c>
      <c r="E46" s="139">
        <v>64</v>
      </c>
      <c r="F46" s="85" t="s">
        <v>1618</v>
      </c>
      <c r="G46" s="91" t="s">
        <v>1619</v>
      </c>
      <c r="H46" s="153">
        <v>44692</v>
      </c>
      <c r="I46" s="153">
        <v>44721</v>
      </c>
      <c r="J46" s="153" t="s">
        <v>1624</v>
      </c>
      <c r="K46" s="139">
        <v>64</v>
      </c>
      <c r="L46" s="125">
        <v>30</v>
      </c>
    </row>
    <row r="47" spans="2:12" ht="15.75" thickBot="1" x14ac:dyDescent="0.3">
      <c r="B47" s="83" t="s">
        <v>3474</v>
      </c>
      <c r="C47" s="83" t="s">
        <v>1616</v>
      </c>
      <c r="D47" s="152">
        <v>0</v>
      </c>
      <c r="E47" s="139">
        <v>0</v>
      </c>
      <c r="F47" s="85" t="s">
        <v>1618</v>
      </c>
      <c r="G47" s="91" t="s">
        <v>1619</v>
      </c>
      <c r="H47" s="153">
        <v>44699</v>
      </c>
      <c r="I47" s="153">
        <v>44732</v>
      </c>
      <c r="J47" s="153" t="s">
        <v>1624</v>
      </c>
      <c r="K47" s="139">
        <v>0</v>
      </c>
      <c r="L47" s="125">
        <v>34</v>
      </c>
    </row>
    <row r="48" spans="2:12" ht="15.75" thickBot="1" x14ac:dyDescent="0.3">
      <c r="B48" s="83" t="s">
        <v>3474</v>
      </c>
      <c r="C48" s="83" t="s">
        <v>1617</v>
      </c>
      <c r="D48" s="152">
        <v>166</v>
      </c>
      <c r="E48" s="139">
        <v>166</v>
      </c>
      <c r="F48" s="85" t="s">
        <v>1618</v>
      </c>
      <c r="G48" s="91" t="s">
        <v>1619</v>
      </c>
      <c r="H48" s="153">
        <v>44714</v>
      </c>
      <c r="I48" s="153">
        <v>44743</v>
      </c>
      <c r="J48" s="153" t="s">
        <v>1624</v>
      </c>
      <c r="K48" s="139">
        <v>166</v>
      </c>
      <c r="L48" s="125">
        <v>30</v>
      </c>
    </row>
    <row r="49" spans="2:12" ht="15.75" thickBot="1" x14ac:dyDescent="0.3">
      <c r="B49" s="83" t="s">
        <v>3474</v>
      </c>
      <c r="C49" s="83" t="s">
        <v>1616</v>
      </c>
      <c r="D49" s="152">
        <v>68</v>
      </c>
      <c r="E49" s="139">
        <v>68</v>
      </c>
      <c r="F49" s="85" t="s">
        <v>1618</v>
      </c>
      <c r="G49" s="91" t="s">
        <v>1619</v>
      </c>
      <c r="H49" s="153">
        <v>44722</v>
      </c>
      <c r="I49" s="153">
        <v>44753</v>
      </c>
      <c r="J49" s="153" t="s">
        <v>1624</v>
      </c>
      <c r="K49" s="139">
        <v>68</v>
      </c>
      <c r="L49" s="125">
        <v>32</v>
      </c>
    </row>
    <row r="50" spans="2:12" ht="15.75" thickBot="1" x14ac:dyDescent="0.3">
      <c r="B50" s="83" t="s">
        <v>3474</v>
      </c>
      <c r="C50" s="83" t="s">
        <v>1616</v>
      </c>
      <c r="D50" s="152">
        <v>0</v>
      </c>
      <c r="E50" s="139">
        <v>0</v>
      </c>
      <c r="F50" s="85" t="s">
        <v>1618</v>
      </c>
      <c r="G50" s="91" t="s">
        <v>1619</v>
      </c>
      <c r="H50" s="153">
        <v>44733</v>
      </c>
      <c r="I50" s="153">
        <v>44760</v>
      </c>
      <c r="J50" s="153" t="s">
        <v>1624</v>
      </c>
      <c r="K50" s="139">
        <v>0</v>
      </c>
      <c r="L50" s="125">
        <v>28</v>
      </c>
    </row>
    <row r="51" spans="2:12" ht="15.75" thickBot="1" x14ac:dyDescent="0.3">
      <c r="B51" s="83" t="s">
        <v>3474</v>
      </c>
      <c r="C51" s="83" t="s">
        <v>1617</v>
      </c>
      <c r="D51" s="152">
        <v>107</v>
      </c>
      <c r="E51" s="139">
        <v>107</v>
      </c>
      <c r="F51" s="85" t="s">
        <v>1618</v>
      </c>
      <c r="G51" s="91" t="s">
        <v>1619</v>
      </c>
      <c r="H51" s="153">
        <v>44744</v>
      </c>
      <c r="I51" s="153">
        <v>44774</v>
      </c>
      <c r="J51" s="153" t="s">
        <v>1624</v>
      </c>
      <c r="K51" s="139">
        <v>107</v>
      </c>
      <c r="L51" s="125">
        <v>31</v>
      </c>
    </row>
    <row r="52" spans="2:12" ht="15.75" thickBot="1" x14ac:dyDescent="0.3">
      <c r="B52" s="83" t="s">
        <v>3474</v>
      </c>
      <c r="C52" s="83" t="s">
        <v>1616</v>
      </c>
      <c r="D52" s="152">
        <v>-15</v>
      </c>
      <c r="E52" s="139">
        <v>-15</v>
      </c>
      <c r="F52" s="85" t="s">
        <v>1618</v>
      </c>
      <c r="G52" s="91" t="s">
        <v>1619</v>
      </c>
      <c r="H52" s="153">
        <v>44754</v>
      </c>
      <c r="I52" s="153">
        <v>44782</v>
      </c>
      <c r="J52" s="153" t="s">
        <v>1624</v>
      </c>
      <c r="K52" s="139">
        <v>-15</v>
      </c>
      <c r="L52" s="125">
        <v>29</v>
      </c>
    </row>
    <row r="53" spans="2:12" ht="15.75" thickBot="1" x14ac:dyDescent="0.3">
      <c r="B53" s="83" t="s">
        <v>3474</v>
      </c>
      <c r="C53" s="83" t="s">
        <v>1616</v>
      </c>
      <c r="D53" s="152">
        <v>11</v>
      </c>
      <c r="E53" s="139">
        <v>11</v>
      </c>
      <c r="F53" s="85" t="s">
        <v>1618</v>
      </c>
      <c r="G53" s="91" t="s">
        <v>1619</v>
      </c>
      <c r="H53" s="153">
        <v>44761</v>
      </c>
      <c r="I53" s="153">
        <v>44790</v>
      </c>
      <c r="J53" s="153" t="s">
        <v>1624</v>
      </c>
      <c r="K53" s="139">
        <v>11</v>
      </c>
      <c r="L53" s="125">
        <v>30</v>
      </c>
    </row>
    <row r="54" spans="2:12" ht="15.75" thickBot="1" x14ac:dyDescent="0.3">
      <c r="B54" s="83" t="s">
        <v>3474</v>
      </c>
      <c r="C54" s="83" t="s">
        <v>1617</v>
      </c>
      <c r="D54" s="152">
        <v>96</v>
      </c>
      <c r="E54" s="139">
        <v>96</v>
      </c>
      <c r="F54" s="85" t="s">
        <v>1618</v>
      </c>
      <c r="G54" s="91" t="s">
        <v>1619</v>
      </c>
      <c r="H54" s="153">
        <v>44775</v>
      </c>
      <c r="I54" s="153">
        <v>44805</v>
      </c>
      <c r="J54" s="153" t="s">
        <v>1624</v>
      </c>
      <c r="K54" s="139">
        <v>96</v>
      </c>
      <c r="L54" s="125">
        <v>31</v>
      </c>
    </row>
    <row r="55" spans="2:12" ht="15.75" thickBot="1" x14ac:dyDescent="0.3">
      <c r="B55" s="83" t="s">
        <v>3474</v>
      </c>
      <c r="C55" s="83" t="s">
        <v>1616</v>
      </c>
      <c r="D55" s="152">
        <v>13</v>
      </c>
      <c r="E55" s="139">
        <v>13</v>
      </c>
      <c r="F55" s="85" t="s">
        <v>1618</v>
      </c>
      <c r="G55" s="91" t="s">
        <v>1619</v>
      </c>
      <c r="H55" s="153">
        <v>44783</v>
      </c>
      <c r="I55" s="153">
        <v>44813</v>
      </c>
      <c r="J55" s="153" t="s">
        <v>1624</v>
      </c>
      <c r="K55" s="139">
        <v>13</v>
      </c>
      <c r="L55" s="125">
        <v>31</v>
      </c>
    </row>
    <row r="56" spans="2:12" ht="15.75" thickBot="1" x14ac:dyDescent="0.3">
      <c r="B56" s="83" t="s">
        <v>3474</v>
      </c>
      <c r="C56" s="83" t="s">
        <v>1616</v>
      </c>
      <c r="D56" s="152">
        <v>6</v>
      </c>
      <c r="E56" s="139">
        <v>6</v>
      </c>
      <c r="F56" s="85" t="s">
        <v>1618</v>
      </c>
      <c r="G56" s="91" t="s">
        <v>1619</v>
      </c>
      <c r="H56" s="153">
        <v>44791</v>
      </c>
      <c r="I56" s="153">
        <v>44820</v>
      </c>
      <c r="J56" s="153" t="s">
        <v>1624</v>
      </c>
      <c r="K56" s="139">
        <v>6</v>
      </c>
      <c r="L56" s="125">
        <v>30</v>
      </c>
    </row>
    <row r="57" spans="2:12" ht="15.75" thickBot="1" x14ac:dyDescent="0.3">
      <c r="B57" s="83" t="s">
        <v>3474</v>
      </c>
      <c r="C57" s="83" t="s">
        <v>1617</v>
      </c>
      <c r="D57" s="152">
        <v>102</v>
      </c>
      <c r="E57" s="139">
        <v>102</v>
      </c>
      <c r="F57" s="85" t="s">
        <v>1618</v>
      </c>
      <c r="G57" s="91" t="s">
        <v>1619</v>
      </c>
      <c r="H57" s="153">
        <v>44806</v>
      </c>
      <c r="I57" s="153">
        <v>44837</v>
      </c>
      <c r="J57" s="153" t="s">
        <v>1624</v>
      </c>
      <c r="K57" s="139">
        <v>102</v>
      </c>
      <c r="L57" s="125">
        <v>32</v>
      </c>
    </row>
    <row r="58" spans="2:12" ht="15.75" thickBot="1" x14ac:dyDescent="0.3">
      <c r="B58" s="83" t="s">
        <v>3474</v>
      </c>
      <c r="C58" s="83" t="s">
        <v>1616</v>
      </c>
      <c r="D58" s="152">
        <v>28</v>
      </c>
      <c r="E58" s="139">
        <v>28</v>
      </c>
      <c r="F58" s="85" t="s">
        <v>1618</v>
      </c>
      <c r="G58" s="91" t="s">
        <v>1619</v>
      </c>
      <c r="H58" s="153">
        <v>44814</v>
      </c>
      <c r="I58" s="153">
        <v>44846</v>
      </c>
      <c r="J58" s="153" t="s">
        <v>1624</v>
      </c>
      <c r="K58" s="139">
        <v>28</v>
      </c>
      <c r="L58" s="125">
        <v>33</v>
      </c>
    </row>
    <row r="59" spans="2:12" ht="15.75" thickBot="1" x14ac:dyDescent="0.3">
      <c r="B59" s="83" t="s">
        <v>3474</v>
      </c>
      <c r="C59" s="83" t="s">
        <v>1616</v>
      </c>
      <c r="D59" s="152">
        <v>13</v>
      </c>
      <c r="E59" s="139">
        <v>13</v>
      </c>
      <c r="F59" s="85" t="s">
        <v>1618</v>
      </c>
      <c r="G59" s="91" t="s">
        <v>1619</v>
      </c>
      <c r="H59" s="153">
        <v>44821</v>
      </c>
      <c r="I59" s="153">
        <v>44853</v>
      </c>
      <c r="J59" s="153" t="s">
        <v>1624</v>
      </c>
      <c r="K59" s="139">
        <v>13</v>
      </c>
      <c r="L59" s="125">
        <v>33</v>
      </c>
    </row>
    <row r="60" spans="2:12" ht="15.75" thickBot="1" x14ac:dyDescent="0.3">
      <c r="B60" s="83" t="s">
        <v>3474</v>
      </c>
      <c r="C60" s="83" t="s">
        <v>1617</v>
      </c>
      <c r="D60" s="152">
        <v>41</v>
      </c>
      <c r="E60" s="139">
        <v>41</v>
      </c>
      <c r="F60" s="85" t="s">
        <v>1618</v>
      </c>
      <c r="G60" s="91" t="s">
        <v>1619</v>
      </c>
      <c r="H60" s="153">
        <v>44838</v>
      </c>
      <c r="I60" s="153">
        <v>44867</v>
      </c>
      <c r="J60" s="153" t="s">
        <v>1624</v>
      </c>
      <c r="K60" s="139">
        <v>41</v>
      </c>
      <c r="L60" s="125">
        <v>30</v>
      </c>
    </row>
    <row r="61" spans="2:12" ht="15.75" thickBot="1" x14ac:dyDescent="0.3">
      <c r="B61" s="83" t="s">
        <v>3474</v>
      </c>
      <c r="C61" s="83" t="s">
        <v>1616</v>
      </c>
      <c r="D61" s="152">
        <v>40</v>
      </c>
      <c r="E61" s="139">
        <v>40</v>
      </c>
      <c r="F61" s="85" t="s">
        <v>1618</v>
      </c>
      <c r="G61" s="91" t="s">
        <v>1619</v>
      </c>
      <c r="H61" s="153">
        <v>44847</v>
      </c>
      <c r="I61" s="153">
        <v>44875</v>
      </c>
      <c r="J61" s="153" t="s">
        <v>1624</v>
      </c>
      <c r="K61" s="139">
        <v>40</v>
      </c>
      <c r="L61" s="125">
        <v>29</v>
      </c>
    </row>
    <row r="62" spans="2:12" ht="15.75" thickBot="1" x14ac:dyDescent="0.3">
      <c r="B62" s="83" t="s">
        <v>3474</v>
      </c>
      <c r="C62" s="83" t="s">
        <v>1616</v>
      </c>
      <c r="D62" s="152">
        <v>9</v>
      </c>
      <c r="E62" s="139">
        <v>9</v>
      </c>
      <c r="F62" s="85" t="s">
        <v>1618</v>
      </c>
      <c r="G62" s="91" t="s">
        <v>1619</v>
      </c>
      <c r="H62" s="153">
        <v>44854</v>
      </c>
      <c r="I62" s="153">
        <v>44882</v>
      </c>
      <c r="J62" s="153" t="s">
        <v>1624</v>
      </c>
      <c r="K62" s="139">
        <v>9</v>
      </c>
      <c r="L62" s="125">
        <v>29</v>
      </c>
    </row>
    <row r="63" spans="2:12" ht="15.75" thickBot="1" x14ac:dyDescent="0.3">
      <c r="B63" s="83" t="s">
        <v>3474</v>
      </c>
      <c r="C63" s="83" t="s">
        <v>1617</v>
      </c>
      <c r="D63" s="152">
        <v>70</v>
      </c>
      <c r="E63" s="139">
        <v>70</v>
      </c>
      <c r="F63" s="85" t="s">
        <v>1618</v>
      </c>
      <c r="G63" s="91" t="s">
        <v>1619</v>
      </c>
      <c r="H63" s="153">
        <v>44868</v>
      </c>
      <c r="I63" s="153">
        <v>44897</v>
      </c>
      <c r="J63" s="153" t="s">
        <v>1624</v>
      </c>
      <c r="K63" s="139">
        <v>70</v>
      </c>
      <c r="L63" s="125">
        <v>30</v>
      </c>
    </row>
    <row r="64" spans="2:12" ht="15.75" thickBot="1" x14ac:dyDescent="0.3">
      <c r="B64" s="83" t="s">
        <v>3474</v>
      </c>
      <c r="C64" s="83" t="s">
        <v>1616</v>
      </c>
      <c r="D64" s="152">
        <v>17</v>
      </c>
      <c r="E64" s="139">
        <v>17</v>
      </c>
      <c r="F64" s="85" t="s">
        <v>1618</v>
      </c>
      <c r="G64" s="91" t="s">
        <v>1619</v>
      </c>
      <c r="H64" s="153">
        <v>44876</v>
      </c>
      <c r="I64" s="153">
        <v>44908</v>
      </c>
      <c r="J64" s="153" t="s">
        <v>1624</v>
      </c>
      <c r="K64" s="139">
        <v>17</v>
      </c>
      <c r="L64" s="125">
        <v>33</v>
      </c>
    </row>
    <row r="65" spans="2:12" ht="15.75" thickBot="1" x14ac:dyDescent="0.3">
      <c r="B65" s="83" t="s">
        <v>3474</v>
      </c>
      <c r="C65" s="83" t="s">
        <v>1616</v>
      </c>
      <c r="D65" s="152">
        <v>10</v>
      </c>
      <c r="E65" s="139">
        <v>10</v>
      </c>
      <c r="F65" s="85" t="s">
        <v>1618</v>
      </c>
      <c r="G65" s="91" t="s">
        <v>1619</v>
      </c>
      <c r="H65" s="153">
        <v>44883</v>
      </c>
      <c r="I65" s="153">
        <v>44915</v>
      </c>
      <c r="J65" s="153" t="s">
        <v>1624</v>
      </c>
      <c r="K65" s="139">
        <v>10</v>
      </c>
      <c r="L65" s="125">
        <v>33</v>
      </c>
    </row>
    <row r="66" spans="2:12" ht="15.75" thickBot="1" x14ac:dyDescent="0.3">
      <c r="B66" s="83" t="s">
        <v>3474</v>
      </c>
      <c r="C66" s="83" t="s">
        <v>1617</v>
      </c>
      <c r="D66" s="152">
        <v>22.451612903225808</v>
      </c>
      <c r="E66" s="139">
        <v>22.451612903225808</v>
      </c>
      <c r="F66" s="85" t="s">
        <v>1618</v>
      </c>
      <c r="G66" s="91" t="s">
        <v>1619</v>
      </c>
      <c r="H66" s="153">
        <v>44898</v>
      </c>
      <c r="I66" s="153">
        <v>44928</v>
      </c>
      <c r="J66" s="153" t="s">
        <v>1624</v>
      </c>
      <c r="K66" s="139">
        <v>24</v>
      </c>
      <c r="L66" s="125">
        <v>29</v>
      </c>
    </row>
    <row r="67" spans="2:12" ht="15.75" thickBot="1" x14ac:dyDescent="0.3">
      <c r="B67" s="83" t="s">
        <v>3474</v>
      </c>
      <c r="C67" s="83" t="s">
        <v>1616</v>
      </c>
      <c r="D67" s="152">
        <v>8.3571428571428577</v>
      </c>
      <c r="E67" s="139">
        <v>8.3571428571428577</v>
      </c>
      <c r="F67" s="85" t="s">
        <v>1618</v>
      </c>
      <c r="G67" s="91" t="s">
        <v>1619</v>
      </c>
      <c r="H67" s="153">
        <v>44909</v>
      </c>
      <c r="I67" s="153">
        <v>44936</v>
      </c>
      <c r="J67" s="153" t="s">
        <v>1624</v>
      </c>
      <c r="K67" s="139">
        <v>13</v>
      </c>
      <c r="L67" s="125">
        <v>18</v>
      </c>
    </row>
    <row r="68" spans="2:12" ht="15.75" thickBot="1" x14ac:dyDescent="0.3">
      <c r="B68" s="83" t="s">
        <v>3474</v>
      </c>
      <c r="C68" s="83" t="s">
        <v>1616</v>
      </c>
      <c r="D68" s="152">
        <v>3.1428571428571428</v>
      </c>
      <c r="E68" s="139">
        <v>3.1428571428571428</v>
      </c>
      <c r="F68" s="85" t="s">
        <v>1618</v>
      </c>
      <c r="G68" s="91" t="s">
        <v>1619</v>
      </c>
      <c r="H68" s="153">
        <v>44916</v>
      </c>
      <c r="I68" s="153">
        <v>44943</v>
      </c>
      <c r="J68" s="153" t="s">
        <v>1624</v>
      </c>
      <c r="K68" s="139">
        <v>8</v>
      </c>
      <c r="L68" s="125">
        <v>11</v>
      </c>
    </row>
    <row r="69" spans="2:12" ht="15.75" thickBot="1" x14ac:dyDescent="0.3">
      <c r="B69" s="83" t="s">
        <v>3473</v>
      </c>
      <c r="C69" s="83" t="s">
        <v>1616</v>
      </c>
      <c r="D69" s="152">
        <v>26.153846153846153</v>
      </c>
      <c r="E69" s="139">
        <v>26.153846153846153</v>
      </c>
      <c r="F69" s="85" t="s">
        <v>1618</v>
      </c>
      <c r="G69" s="91" t="s">
        <v>1620</v>
      </c>
      <c r="H69" s="153">
        <v>44546</v>
      </c>
      <c r="I69" s="153">
        <v>44571</v>
      </c>
      <c r="J69" s="153" t="s">
        <v>1625</v>
      </c>
      <c r="K69" s="139">
        <v>68</v>
      </c>
      <c r="L69" s="125">
        <v>10</v>
      </c>
    </row>
    <row r="70" spans="2:12" ht="15.75" thickBot="1" x14ac:dyDescent="0.3">
      <c r="B70" s="83" t="s">
        <v>3473</v>
      </c>
      <c r="C70" s="83" t="s">
        <v>1616</v>
      </c>
      <c r="D70" s="152">
        <v>148</v>
      </c>
      <c r="E70" s="139">
        <v>148</v>
      </c>
      <c r="F70" s="85" t="s">
        <v>1618</v>
      </c>
      <c r="G70" s="91" t="s">
        <v>1620</v>
      </c>
      <c r="H70" s="153">
        <v>44572</v>
      </c>
      <c r="I70" s="153">
        <v>44602</v>
      </c>
      <c r="J70" s="153" t="s">
        <v>1625</v>
      </c>
      <c r="K70" s="139">
        <v>148</v>
      </c>
      <c r="L70" s="125">
        <v>31</v>
      </c>
    </row>
    <row r="71" spans="2:12" ht="15.75" thickBot="1" x14ac:dyDescent="0.3">
      <c r="B71" s="83" t="s">
        <v>3473</v>
      </c>
      <c r="C71" s="83" t="s">
        <v>1616</v>
      </c>
      <c r="D71" s="152">
        <v>106</v>
      </c>
      <c r="E71" s="139">
        <v>106</v>
      </c>
      <c r="F71" s="85" t="s">
        <v>1618</v>
      </c>
      <c r="G71" s="91" t="s">
        <v>1620</v>
      </c>
      <c r="H71" s="153">
        <v>44603</v>
      </c>
      <c r="I71" s="153">
        <v>44630</v>
      </c>
      <c r="J71" s="153" t="s">
        <v>1625</v>
      </c>
      <c r="K71" s="139">
        <v>106</v>
      </c>
      <c r="L71" s="125">
        <v>28</v>
      </c>
    </row>
    <row r="72" spans="2:12" ht="15.75" thickBot="1" x14ac:dyDescent="0.3">
      <c r="B72" s="83" t="s">
        <v>3473</v>
      </c>
      <c r="C72" s="83" t="s">
        <v>1616</v>
      </c>
      <c r="D72" s="152">
        <v>130</v>
      </c>
      <c r="E72" s="139">
        <v>130</v>
      </c>
      <c r="F72" s="85" t="s">
        <v>1618</v>
      </c>
      <c r="G72" s="91" t="s">
        <v>1620</v>
      </c>
      <c r="H72" s="153">
        <v>44631</v>
      </c>
      <c r="I72" s="153">
        <v>44663</v>
      </c>
      <c r="J72" s="153" t="s">
        <v>1625</v>
      </c>
      <c r="K72" s="139">
        <v>130</v>
      </c>
      <c r="L72" s="125">
        <v>33</v>
      </c>
    </row>
    <row r="73" spans="2:12" ht="15.75" thickBot="1" x14ac:dyDescent="0.3">
      <c r="B73" s="83" t="s">
        <v>3473</v>
      </c>
      <c r="C73" s="83" t="s">
        <v>1616</v>
      </c>
      <c r="D73" s="152">
        <v>116</v>
      </c>
      <c r="E73" s="139">
        <v>116</v>
      </c>
      <c r="F73" s="85" t="s">
        <v>1618</v>
      </c>
      <c r="G73" s="91" t="s">
        <v>1620</v>
      </c>
      <c r="H73" s="153">
        <v>44664</v>
      </c>
      <c r="I73" s="153">
        <v>44693</v>
      </c>
      <c r="J73" s="153" t="s">
        <v>1625</v>
      </c>
      <c r="K73" s="139">
        <v>116</v>
      </c>
      <c r="L73" s="125">
        <v>30</v>
      </c>
    </row>
    <row r="74" spans="2:12" ht="15.75" thickBot="1" x14ac:dyDescent="0.3">
      <c r="B74" s="83" t="s">
        <v>3473</v>
      </c>
      <c r="C74" s="83" t="s">
        <v>1616</v>
      </c>
      <c r="D74" s="152">
        <v>107</v>
      </c>
      <c r="E74" s="139">
        <v>107</v>
      </c>
      <c r="F74" s="85" t="s">
        <v>1618</v>
      </c>
      <c r="G74" s="91" t="s">
        <v>1620</v>
      </c>
      <c r="H74" s="153">
        <v>44694</v>
      </c>
      <c r="I74" s="153">
        <v>44726</v>
      </c>
      <c r="J74" s="153" t="s">
        <v>1625</v>
      </c>
      <c r="K74" s="139">
        <v>107</v>
      </c>
      <c r="L74" s="125">
        <v>33</v>
      </c>
    </row>
    <row r="75" spans="2:12" ht="15.75" thickBot="1" x14ac:dyDescent="0.3">
      <c r="B75" s="83" t="s">
        <v>3473</v>
      </c>
      <c r="C75" s="83" t="s">
        <v>1616</v>
      </c>
      <c r="D75" s="152">
        <v>99</v>
      </c>
      <c r="E75" s="139">
        <v>99</v>
      </c>
      <c r="F75" s="85" t="s">
        <v>1618</v>
      </c>
      <c r="G75" s="91" t="s">
        <v>1620</v>
      </c>
      <c r="H75" s="153">
        <v>44727</v>
      </c>
      <c r="I75" s="153">
        <v>44755</v>
      </c>
      <c r="J75" s="153" t="s">
        <v>1625</v>
      </c>
      <c r="K75" s="139">
        <v>99</v>
      </c>
      <c r="L75" s="125">
        <v>29</v>
      </c>
    </row>
    <row r="76" spans="2:12" ht="15.75" thickBot="1" x14ac:dyDescent="0.3">
      <c r="B76" s="83" t="s">
        <v>3473</v>
      </c>
      <c r="C76" s="83" t="s">
        <v>1616</v>
      </c>
      <c r="D76" s="152">
        <v>94</v>
      </c>
      <c r="E76" s="139">
        <v>94</v>
      </c>
      <c r="F76" s="85" t="s">
        <v>1618</v>
      </c>
      <c r="G76" s="91" t="s">
        <v>1620</v>
      </c>
      <c r="H76" s="153">
        <v>44756</v>
      </c>
      <c r="I76" s="153">
        <v>44784</v>
      </c>
      <c r="J76" s="153" t="s">
        <v>1625</v>
      </c>
      <c r="K76" s="139">
        <v>94</v>
      </c>
      <c r="L76" s="125">
        <v>29</v>
      </c>
    </row>
    <row r="77" spans="2:12" ht="15.75" thickBot="1" x14ac:dyDescent="0.3">
      <c r="B77" s="83" t="s">
        <v>3473</v>
      </c>
      <c r="C77" s="83" t="s">
        <v>1616</v>
      </c>
      <c r="D77" s="152">
        <v>100</v>
      </c>
      <c r="E77" s="139">
        <v>100</v>
      </c>
      <c r="F77" s="85" t="s">
        <v>1618</v>
      </c>
      <c r="G77" s="91" t="s">
        <v>1620</v>
      </c>
      <c r="H77" s="153">
        <v>44785</v>
      </c>
      <c r="I77" s="153">
        <v>44815</v>
      </c>
      <c r="J77" s="153" t="s">
        <v>1625</v>
      </c>
      <c r="K77" s="139">
        <v>100</v>
      </c>
      <c r="L77" s="125">
        <v>31</v>
      </c>
    </row>
    <row r="78" spans="2:12" ht="15.75" thickBot="1" x14ac:dyDescent="0.3">
      <c r="B78" s="83" t="s">
        <v>3473</v>
      </c>
      <c r="C78" s="83" t="s">
        <v>1616</v>
      </c>
      <c r="D78" s="152">
        <v>195</v>
      </c>
      <c r="E78" s="139">
        <v>195</v>
      </c>
      <c r="F78" s="85" t="s">
        <v>1618</v>
      </c>
      <c r="G78" s="91" t="s">
        <v>1620</v>
      </c>
      <c r="H78" s="153">
        <v>44816</v>
      </c>
      <c r="I78" s="153">
        <v>44852</v>
      </c>
      <c r="J78" s="153" t="s">
        <v>1625</v>
      </c>
      <c r="K78" s="139">
        <v>195</v>
      </c>
      <c r="L78" s="125">
        <v>37</v>
      </c>
    </row>
    <row r="79" spans="2:12" ht="15.75" thickBot="1" x14ac:dyDescent="0.3">
      <c r="B79" s="83" t="s">
        <v>3473</v>
      </c>
      <c r="C79" s="83" t="s">
        <v>1616</v>
      </c>
      <c r="D79" s="152">
        <v>103</v>
      </c>
      <c r="E79" s="139">
        <v>103</v>
      </c>
      <c r="F79" s="85" t="s">
        <v>1618</v>
      </c>
      <c r="G79" s="91" t="s">
        <v>1620</v>
      </c>
      <c r="H79" s="153">
        <v>44853</v>
      </c>
      <c r="I79" s="153">
        <v>44878</v>
      </c>
      <c r="J79" s="153" t="s">
        <v>1625</v>
      </c>
      <c r="K79" s="139">
        <v>103</v>
      </c>
      <c r="L79" s="125">
        <v>26</v>
      </c>
    </row>
    <row r="80" spans="2:12" ht="15.75" thickBot="1" x14ac:dyDescent="0.3">
      <c r="B80" s="83" t="s">
        <v>3473</v>
      </c>
      <c r="C80" s="83" t="s">
        <v>1616</v>
      </c>
      <c r="D80" s="152">
        <v>102</v>
      </c>
      <c r="E80" s="139">
        <v>102</v>
      </c>
      <c r="F80" s="85" t="s">
        <v>1618</v>
      </c>
      <c r="G80" s="91" t="s">
        <v>1620</v>
      </c>
      <c r="H80" s="153">
        <v>44879</v>
      </c>
      <c r="I80" s="153">
        <v>44910</v>
      </c>
      <c r="J80" s="153" t="s">
        <v>1625</v>
      </c>
      <c r="K80" s="139">
        <v>102</v>
      </c>
      <c r="L80" s="125">
        <v>32</v>
      </c>
    </row>
    <row r="81" spans="2:12" ht="15.75" thickBot="1" x14ac:dyDescent="0.3">
      <c r="B81" s="83" t="s">
        <v>3473</v>
      </c>
      <c r="C81" s="83" t="s">
        <v>1616</v>
      </c>
      <c r="D81" s="152">
        <v>52.266666666666666</v>
      </c>
      <c r="E81" s="139">
        <v>52.266666666666666</v>
      </c>
      <c r="F81" s="85" t="s">
        <v>1618</v>
      </c>
      <c r="G81" s="91" t="s">
        <v>1620</v>
      </c>
      <c r="H81" s="153">
        <v>44911</v>
      </c>
      <c r="I81" s="153">
        <v>44940</v>
      </c>
      <c r="J81" s="153" t="s">
        <v>1625</v>
      </c>
      <c r="K81" s="139">
        <v>98</v>
      </c>
      <c r="L81" s="125">
        <v>16</v>
      </c>
    </row>
    <row r="82" spans="2:12" ht="15.75" thickBot="1" x14ac:dyDescent="0.3">
      <c r="B82" s="83" t="s">
        <v>535</v>
      </c>
      <c r="C82" s="83" t="s">
        <v>1616</v>
      </c>
      <c r="D82" s="152">
        <v>0</v>
      </c>
      <c r="E82" s="139">
        <v>0</v>
      </c>
      <c r="F82" s="85" t="s">
        <v>1618</v>
      </c>
      <c r="G82" s="91" t="s">
        <v>1619</v>
      </c>
      <c r="H82" s="153">
        <v>44543</v>
      </c>
      <c r="I82" s="153">
        <v>44574</v>
      </c>
      <c r="J82" s="153" t="s">
        <v>1626</v>
      </c>
      <c r="K82" s="139">
        <v>0</v>
      </c>
      <c r="L82" s="125">
        <v>13</v>
      </c>
    </row>
    <row r="83" spans="2:12" ht="15.75" thickBot="1" x14ac:dyDescent="0.3">
      <c r="B83" s="83" t="s">
        <v>535</v>
      </c>
      <c r="C83" s="83" t="s">
        <v>1616</v>
      </c>
      <c r="D83" s="152">
        <v>0</v>
      </c>
      <c r="E83" s="139">
        <v>0</v>
      </c>
      <c r="F83" s="85" t="s">
        <v>1618</v>
      </c>
      <c r="G83" s="91" t="s">
        <v>1619</v>
      </c>
      <c r="H83" s="153">
        <v>44575</v>
      </c>
      <c r="I83" s="153">
        <v>44605</v>
      </c>
      <c r="J83" s="153" t="s">
        <v>1626</v>
      </c>
      <c r="K83" s="139">
        <v>0</v>
      </c>
      <c r="L83" s="125">
        <v>31</v>
      </c>
    </row>
    <row r="84" spans="2:12" ht="15.75" thickBot="1" x14ac:dyDescent="0.3">
      <c r="B84" s="83" t="s">
        <v>535</v>
      </c>
      <c r="C84" s="83" t="s">
        <v>1616</v>
      </c>
      <c r="D84" s="152">
        <v>0</v>
      </c>
      <c r="E84" s="139">
        <v>0</v>
      </c>
      <c r="F84" s="85" t="s">
        <v>1618</v>
      </c>
      <c r="G84" s="91" t="s">
        <v>1619</v>
      </c>
      <c r="H84" s="153">
        <v>44606</v>
      </c>
      <c r="I84" s="153">
        <v>44634</v>
      </c>
      <c r="J84" s="153" t="s">
        <v>1626</v>
      </c>
      <c r="K84" s="139">
        <v>0</v>
      </c>
      <c r="L84" s="125">
        <v>29</v>
      </c>
    </row>
    <row r="85" spans="2:12" ht="15.75" thickBot="1" x14ac:dyDescent="0.3">
      <c r="B85" s="83" t="s">
        <v>535</v>
      </c>
      <c r="C85" s="83" t="s">
        <v>1616</v>
      </c>
      <c r="D85" s="152">
        <v>0</v>
      </c>
      <c r="E85" s="139">
        <v>0</v>
      </c>
      <c r="F85" s="85" t="s">
        <v>1618</v>
      </c>
      <c r="G85" s="91" t="s">
        <v>1619</v>
      </c>
      <c r="H85" s="153">
        <v>44635</v>
      </c>
      <c r="I85" s="153">
        <v>44662</v>
      </c>
      <c r="J85" s="153" t="s">
        <v>1626</v>
      </c>
      <c r="K85" s="139">
        <v>0</v>
      </c>
      <c r="L85" s="125">
        <v>28</v>
      </c>
    </row>
    <row r="86" spans="2:12" ht="15.75" thickBot="1" x14ac:dyDescent="0.3">
      <c r="B86" s="83" t="s">
        <v>535</v>
      </c>
      <c r="C86" s="83" t="s">
        <v>1616</v>
      </c>
      <c r="D86" s="152">
        <v>1</v>
      </c>
      <c r="E86" s="139">
        <v>1</v>
      </c>
      <c r="F86" s="85" t="s">
        <v>1618</v>
      </c>
      <c r="G86" s="91" t="s">
        <v>1619</v>
      </c>
      <c r="H86" s="153">
        <v>44663</v>
      </c>
      <c r="I86" s="153">
        <v>44693</v>
      </c>
      <c r="J86" s="153" t="s">
        <v>1626</v>
      </c>
      <c r="K86" s="139">
        <v>1</v>
      </c>
      <c r="L86" s="125">
        <v>31</v>
      </c>
    </row>
    <row r="87" spans="2:12" ht="15.75" thickBot="1" x14ac:dyDescent="0.3">
      <c r="B87" s="83" t="s">
        <v>535</v>
      </c>
      <c r="C87" s="83" t="s">
        <v>1616</v>
      </c>
      <c r="D87" s="152">
        <v>1</v>
      </c>
      <c r="E87" s="139">
        <v>1</v>
      </c>
      <c r="F87" s="85" t="s">
        <v>1618</v>
      </c>
      <c r="G87" s="91" t="s">
        <v>1619</v>
      </c>
      <c r="H87" s="153">
        <v>44694</v>
      </c>
      <c r="I87" s="153">
        <v>44724</v>
      </c>
      <c r="J87" s="153" t="s">
        <v>1626</v>
      </c>
      <c r="K87" s="139">
        <v>1</v>
      </c>
      <c r="L87" s="125">
        <v>31</v>
      </c>
    </row>
    <row r="88" spans="2:12" ht="15.75" thickBot="1" x14ac:dyDescent="0.3">
      <c r="B88" s="83" t="s">
        <v>535</v>
      </c>
      <c r="C88" s="83" t="s">
        <v>1616</v>
      </c>
      <c r="D88" s="152">
        <v>1</v>
      </c>
      <c r="E88" s="139">
        <v>1</v>
      </c>
      <c r="F88" s="85" t="s">
        <v>1618</v>
      </c>
      <c r="G88" s="91" t="s">
        <v>1619</v>
      </c>
      <c r="H88" s="153">
        <v>44725</v>
      </c>
      <c r="I88" s="153">
        <v>44756</v>
      </c>
      <c r="J88" s="153" t="s">
        <v>1626</v>
      </c>
      <c r="K88" s="139">
        <v>1</v>
      </c>
      <c r="L88" s="125">
        <v>32</v>
      </c>
    </row>
    <row r="89" spans="2:12" ht="15.75" thickBot="1" x14ac:dyDescent="0.3">
      <c r="B89" s="83" t="s">
        <v>535</v>
      </c>
      <c r="C89" s="83" t="s">
        <v>1616</v>
      </c>
      <c r="D89" s="152">
        <v>0</v>
      </c>
      <c r="E89" s="139">
        <v>0</v>
      </c>
      <c r="F89" s="85" t="s">
        <v>1618</v>
      </c>
      <c r="G89" s="91" t="s">
        <v>1619</v>
      </c>
      <c r="H89" s="153">
        <v>44757</v>
      </c>
      <c r="I89" s="153">
        <v>44787</v>
      </c>
      <c r="J89" s="153" t="s">
        <v>1626</v>
      </c>
      <c r="K89" s="139">
        <v>0</v>
      </c>
      <c r="L89" s="125">
        <v>31</v>
      </c>
    </row>
    <row r="90" spans="2:12" ht="15.75" thickBot="1" x14ac:dyDescent="0.3">
      <c r="B90" s="83" t="s">
        <v>535</v>
      </c>
      <c r="C90" s="83" t="s">
        <v>1616</v>
      </c>
      <c r="D90" s="152">
        <v>1</v>
      </c>
      <c r="E90" s="139">
        <v>1</v>
      </c>
      <c r="F90" s="85" t="s">
        <v>1618</v>
      </c>
      <c r="G90" s="91" t="s">
        <v>1619</v>
      </c>
      <c r="H90" s="153">
        <v>44788</v>
      </c>
      <c r="I90" s="153">
        <v>44817</v>
      </c>
      <c r="J90" s="153" t="s">
        <v>1626</v>
      </c>
      <c r="K90" s="139">
        <v>1</v>
      </c>
      <c r="L90" s="125">
        <v>30</v>
      </c>
    </row>
    <row r="91" spans="2:12" ht="15.75" thickBot="1" x14ac:dyDescent="0.3">
      <c r="B91" s="83" t="s">
        <v>535</v>
      </c>
      <c r="C91" s="83" t="s">
        <v>1616</v>
      </c>
      <c r="D91" s="152">
        <v>0</v>
      </c>
      <c r="E91" s="139">
        <v>0</v>
      </c>
      <c r="F91" s="85" t="s">
        <v>1618</v>
      </c>
      <c r="G91" s="91" t="s">
        <v>1619</v>
      </c>
      <c r="H91" s="153">
        <v>44818</v>
      </c>
      <c r="I91" s="153">
        <v>44848</v>
      </c>
      <c r="J91" s="153" t="s">
        <v>1626</v>
      </c>
      <c r="K91" s="139">
        <v>0</v>
      </c>
      <c r="L91" s="125">
        <v>31</v>
      </c>
    </row>
    <row r="92" spans="2:12" ht="15.75" thickBot="1" x14ac:dyDescent="0.3">
      <c r="B92" s="83" t="s">
        <v>535</v>
      </c>
      <c r="C92" s="83" t="s">
        <v>1616</v>
      </c>
      <c r="D92" s="152">
        <v>0</v>
      </c>
      <c r="E92" s="139">
        <v>0</v>
      </c>
      <c r="F92" s="85" t="s">
        <v>1618</v>
      </c>
      <c r="G92" s="91" t="s">
        <v>1619</v>
      </c>
      <c r="H92" s="153">
        <v>44849</v>
      </c>
      <c r="I92" s="153">
        <v>44879</v>
      </c>
      <c r="J92" s="153" t="s">
        <v>1626</v>
      </c>
      <c r="K92" s="139">
        <v>0</v>
      </c>
      <c r="L92" s="125">
        <v>31</v>
      </c>
    </row>
    <row r="93" spans="2:12" ht="15.75" thickBot="1" x14ac:dyDescent="0.3">
      <c r="B93" s="83" t="s">
        <v>535</v>
      </c>
      <c r="C93" s="83" t="s">
        <v>1616</v>
      </c>
      <c r="D93" s="152">
        <v>0</v>
      </c>
      <c r="E93" s="139">
        <v>0</v>
      </c>
      <c r="F93" s="85" t="s">
        <v>1618</v>
      </c>
      <c r="G93" s="91" t="s">
        <v>1619</v>
      </c>
      <c r="H93" s="153">
        <v>44880</v>
      </c>
      <c r="I93" s="153">
        <v>44909</v>
      </c>
      <c r="J93" s="153" t="s">
        <v>1626</v>
      </c>
      <c r="K93" s="139">
        <v>0</v>
      </c>
      <c r="L93" s="125">
        <v>30</v>
      </c>
    </row>
    <row r="94" spans="2:12" ht="15.75" thickBot="1" x14ac:dyDescent="0.3">
      <c r="B94" s="83" t="s">
        <v>535</v>
      </c>
      <c r="C94" s="83" t="s">
        <v>1616</v>
      </c>
      <c r="D94" s="152">
        <v>1.1724137931034482</v>
      </c>
      <c r="E94" s="139">
        <v>1.1724137931034482</v>
      </c>
      <c r="F94" s="85" t="s">
        <v>1618</v>
      </c>
      <c r="G94" s="91" t="s">
        <v>1619</v>
      </c>
      <c r="H94" s="153">
        <v>44910</v>
      </c>
      <c r="I94" s="153">
        <v>44938</v>
      </c>
      <c r="J94" s="153" t="s">
        <v>1626</v>
      </c>
      <c r="K94" s="139">
        <v>2</v>
      </c>
      <c r="L94" s="125">
        <v>17</v>
      </c>
    </row>
    <row r="95" spans="2:12" ht="15.75" thickBot="1" x14ac:dyDescent="0.3">
      <c r="B95" s="83" t="s">
        <v>535</v>
      </c>
      <c r="C95" s="83" t="s">
        <v>1616</v>
      </c>
      <c r="D95" s="152">
        <v>8.129032258064516</v>
      </c>
      <c r="E95" s="139">
        <v>8.129032258064516</v>
      </c>
      <c r="F95" s="85" t="s">
        <v>1618</v>
      </c>
      <c r="G95" s="91" t="s">
        <v>1619</v>
      </c>
      <c r="H95" s="153">
        <v>44540</v>
      </c>
      <c r="I95" s="153">
        <v>44570</v>
      </c>
      <c r="J95" s="153" t="s">
        <v>1626</v>
      </c>
      <c r="K95" s="139">
        <v>28</v>
      </c>
      <c r="L95" s="125">
        <v>9</v>
      </c>
    </row>
    <row r="96" spans="2:12" ht="15.75" thickBot="1" x14ac:dyDescent="0.3">
      <c r="B96" s="83" t="s">
        <v>535</v>
      </c>
      <c r="C96" s="83" t="s">
        <v>1616</v>
      </c>
      <c r="D96" s="152">
        <v>42</v>
      </c>
      <c r="E96" s="139">
        <v>42</v>
      </c>
      <c r="F96" s="85" t="s">
        <v>1618</v>
      </c>
      <c r="G96" s="91" t="s">
        <v>1619</v>
      </c>
      <c r="H96" s="153">
        <v>44571</v>
      </c>
      <c r="I96" s="153">
        <v>44599</v>
      </c>
      <c r="J96" s="153" t="s">
        <v>1626</v>
      </c>
      <c r="K96" s="139">
        <v>42</v>
      </c>
      <c r="L96" s="125">
        <v>29</v>
      </c>
    </row>
    <row r="97" spans="2:12" ht="15.75" thickBot="1" x14ac:dyDescent="0.3">
      <c r="B97" s="83" t="s">
        <v>535</v>
      </c>
      <c r="C97" s="83" t="s">
        <v>1616</v>
      </c>
      <c r="D97" s="152">
        <v>27</v>
      </c>
      <c r="E97" s="139">
        <v>27</v>
      </c>
      <c r="F97" s="85" t="s">
        <v>1618</v>
      </c>
      <c r="G97" s="91" t="s">
        <v>1619</v>
      </c>
      <c r="H97" s="153">
        <v>44600</v>
      </c>
      <c r="I97" s="153">
        <v>44630</v>
      </c>
      <c r="J97" s="153" t="s">
        <v>1626</v>
      </c>
      <c r="K97" s="139">
        <v>27</v>
      </c>
      <c r="L97" s="125">
        <v>31</v>
      </c>
    </row>
    <row r="98" spans="2:12" ht="15.75" thickBot="1" x14ac:dyDescent="0.3">
      <c r="B98" s="83" t="s">
        <v>535</v>
      </c>
      <c r="C98" s="83" t="s">
        <v>1616</v>
      </c>
      <c r="D98" s="152">
        <v>23</v>
      </c>
      <c r="E98" s="139">
        <v>23</v>
      </c>
      <c r="F98" s="85" t="s">
        <v>1618</v>
      </c>
      <c r="G98" s="91" t="s">
        <v>1619</v>
      </c>
      <c r="H98" s="153">
        <v>44631</v>
      </c>
      <c r="I98" s="153">
        <v>44657</v>
      </c>
      <c r="J98" s="153" t="s">
        <v>1626</v>
      </c>
      <c r="K98" s="139">
        <v>23</v>
      </c>
      <c r="L98" s="125">
        <v>27</v>
      </c>
    </row>
    <row r="99" spans="2:12" ht="15.75" thickBot="1" x14ac:dyDescent="0.3">
      <c r="B99" s="83" t="s">
        <v>535</v>
      </c>
      <c r="C99" s="83" t="s">
        <v>1616</v>
      </c>
      <c r="D99" s="152">
        <v>26</v>
      </c>
      <c r="E99" s="139">
        <v>26</v>
      </c>
      <c r="F99" s="85" t="s">
        <v>1618</v>
      </c>
      <c r="G99" s="91" t="s">
        <v>1619</v>
      </c>
      <c r="H99" s="153">
        <v>44658</v>
      </c>
      <c r="I99" s="153">
        <v>44687</v>
      </c>
      <c r="J99" s="153" t="s">
        <v>1626</v>
      </c>
      <c r="K99" s="139">
        <v>26</v>
      </c>
      <c r="L99" s="125">
        <v>30</v>
      </c>
    </row>
    <row r="100" spans="2:12" ht="15.75" thickBot="1" x14ac:dyDescent="0.3">
      <c r="B100" s="83" t="s">
        <v>535</v>
      </c>
      <c r="C100" s="83" t="s">
        <v>1616</v>
      </c>
      <c r="D100" s="152">
        <v>58</v>
      </c>
      <c r="E100" s="139">
        <v>58</v>
      </c>
      <c r="F100" s="85" t="s">
        <v>1618</v>
      </c>
      <c r="G100" s="91" t="s">
        <v>1619</v>
      </c>
      <c r="H100" s="153">
        <v>44688</v>
      </c>
      <c r="I100" s="153">
        <v>44719</v>
      </c>
      <c r="J100" s="153" t="s">
        <v>1626</v>
      </c>
      <c r="K100" s="139">
        <v>58</v>
      </c>
      <c r="L100" s="125">
        <v>32</v>
      </c>
    </row>
    <row r="101" spans="2:12" ht="15.75" thickBot="1" x14ac:dyDescent="0.3">
      <c r="B101" s="83" t="s">
        <v>535</v>
      </c>
      <c r="C101" s="83" t="s">
        <v>1616</v>
      </c>
      <c r="D101" s="152">
        <v>16</v>
      </c>
      <c r="E101" s="139">
        <v>16</v>
      </c>
      <c r="F101" s="85" t="s">
        <v>1618</v>
      </c>
      <c r="G101" s="91" t="s">
        <v>1619</v>
      </c>
      <c r="H101" s="153">
        <v>44720</v>
      </c>
      <c r="I101" s="153">
        <v>44750</v>
      </c>
      <c r="J101" s="153" t="s">
        <v>1626</v>
      </c>
      <c r="K101" s="139">
        <v>16</v>
      </c>
      <c r="L101" s="125">
        <v>31</v>
      </c>
    </row>
    <row r="102" spans="2:12" ht="15.75" thickBot="1" x14ac:dyDescent="0.3">
      <c r="B102" s="83" t="s">
        <v>535</v>
      </c>
      <c r="C102" s="83" t="s">
        <v>1616</v>
      </c>
      <c r="D102" s="152">
        <v>15</v>
      </c>
      <c r="E102" s="139">
        <v>15</v>
      </c>
      <c r="F102" s="85" t="s">
        <v>1618</v>
      </c>
      <c r="G102" s="91" t="s">
        <v>1619</v>
      </c>
      <c r="H102" s="153">
        <v>44751</v>
      </c>
      <c r="I102" s="153">
        <v>44778</v>
      </c>
      <c r="J102" s="153" t="s">
        <v>1626</v>
      </c>
      <c r="K102" s="139">
        <v>15</v>
      </c>
      <c r="L102" s="125">
        <v>28</v>
      </c>
    </row>
    <row r="103" spans="2:12" ht="15.75" thickBot="1" x14ac:dyDescent="0.3">
      <c r="B103" s="83" t="s">
        <v>535</v>
      </c>
      <c r="C103" s="83" t="s">
        <v>1616</v>
      </c>
      <c r="D103" s="152">
        <v>17</v>
      </c>
      <c r="E103" s="139">
        <v>17</v>
      </c>
      <c r="F103" s="85" t="s">
        <v>1618</v>
      </c>
      <c r="G103" s="91" t="s">
        <v>1619</v>
      </c>
      <c r="H103" s="153">
        <v>44779</v>
      </c>
      <c r="I103" s="153">
        <v>44809</v>
      </c>
      <c r="J103" s="153" t="s">
        <v>1626</v>
      </c>
      <c r="K103" s="139">
        <v>17</v>
      </c>
      <c r="L103" s="125">
        <v>31</v>
      </c>
    </row>
    <row r="104" spans="2:12" ht="15.75" thickBot="1" x14ac:dyDescent="0.3">
      <c r="B104" s="83" t="s">
        <v>535</v>
      </c>
      <c r="C104" s="83" t="s">
        <v>1616</v>
      </c>
      <c r="D104" s="152">
        <v>37</v>
      </c>
      <c r="E104" s="139">
        <v>37</v>
      </c>
      <c r="F104" s="85" t="s">
        <v>1618</v>
      </c>
      <c r="G104" s="91" t="s">
        <v>1619</v>
      </c>
      <c r="H104" s="153">
        <v>44810</v>
      </c>
      <c r="I104" s="153">
        <v>44844</v>
      </c>
      <c r="J104" s="153" t="s">
        <v>1626</v>
      </c>
      <c r="K104" s="139">
        <v>37</v>
      </c>
      <c r="L104" s="125">
        <v>35</v>
      </c>
    </row>
    <row r="105" spans="2:12" ht="15.75" thickBot="1" x14ac:dyDescent="0.3">
      <c r="B105" s="83" t="s">
        <v>535</v>
      </c>
      <c r="C105" s="83" t="s">
        <v>1616</v>
      </c>
      <c r="D105" s="152">
        <v>18</v>
      </c>
      <c r="E105" s="139">
        <v>18</v>
      </c>
      <c r="F105" s="85" t="s">
        <v>1618</v>
      </c>
      <c r="G105" s="91" t="s">
        <v>1619</v>
      </c>
      <c r="H105" s="153">
        <v>44845</v>
      </c>
      <c r="I105" s="153">
        <v>44875</v>
      </c>
      <c r="J105" s="153" t="s">
        <v>1626</v>
      </c>
      <c r="K105" s="139">
        <v>18</v>
      </c>
      <c r="L105" s="125">
        <v>31</v>
      </c>
    </row>
    <row r="106" spans="2:12" ht="15.75" thickBot="1" x14ac:dyDescent="0.3">
      <c r="B106" s="83" t="s">
        <v>535</v>
      </c>
      <c r="C106" s="83" t="s">
        <v>1616</v>
      </c>
      <c r="D106" s="152">
        <v>16</v>
      </c>
      <c r="E106" s="139">
        <v>16</v>
      </c>
      <c r="F106" s="85" t="s">
        <v>1618</v>
      </c>
      <c r="G106" s="91" t="s">
        <v>1619</v>
      </c>
      <c r="H106" s="153">
        <v>44876</v>
      </c>
      <c r="I106" s="153">
        <v>44904</v>
      </c>
      <c r="J106" s="153" t="s">
        <v>1626</v>
      </c>
      <c r="K106" s="139">
        <v>16</v>
      </c>
      <c r="L106" s="125">
        <v>29</v>
      </c>
    </row>
    <row r="107" spans="2:12" ht="15.75" thickBot="1" x14ac:dyDescent="0.3">
      <c r="B107" s="83" t="s">
        <v>535</v>
      </c>
      <c r="C107" s="83" t="s">
        <v>1616</v>
      </c>
      <c r="D107" s="152">
        <v>12.774193548387096</v>
      </c>
      <c r="E107" s="139">
        <v>12.774193548387096</v>
      </c>
      <c r="F107" s="85" t="s">
        <v>1618</v>
      </c>
      <c r="G107" s="91" t="s">
        <v>1619</v>
      </c>
      <c r="H107" s="153">
        <v>44905</v>
      </c>
      <c r="I107" s="153">
        <v>44935</v>
      </c>
      <c r="J107" s="153" t="s">
        <v>1626</v>
      </c>
      <c r="K107" s="139">
        <v>18</v>
      </c>
      <c r="L107" s="125">
        <v>22</v>
      </c>
    </row>
    <row r="108" spans="2:12" ht="15.75" thickBot="1" x14ac:dyDescent="0.3">
      <c r="B108" s="83" t="s">
        <v>3470</v>
      </c>
      <c r="C108" s="83" t="s">
        <v>1616</v>
      </c>
      <c r="D108" s="152">
        <v>6.53125</v>
      </c>
      <c r="E108" s="139">
        <v>6.53125</v>
      </c>
      <c r="F108" s="85" t="s">
        <v>1618</v>
      </c>
      <c r="G108" s="91" t="s">
        <v>1619</v>
      </c>
      <c r="H108" s="153">
        <v>44541</v>
      </c>
      <c r="I108" s="153">
        <v>44572</v>
      </c>
      <c r="J108" s="153" t="s">
        <v>1627</v>
      </c>
      <c r="K108" s="139">
        <v>19</v>
      </c>
      <c r="L108" s="125">
        <v>11</v>
      </c>
    </row>
    <row r="109" spans="2:12" ht="15.75" thickBot="1" x14ac:dyDescent="0.3">
      <c r="B109" s="83" t="s">
        <v>3470</v>
      </c>
      <c r="C109" s="83" t="s">
        <v>1616</v>
      </c>
      <c r="D109" s="152">
        <v>18</v>
      </c>
      <c r="E109" s="139">
        <v>18</v>
      </c>
      <c r="F109" s="85" t="s">
        <v>1618</v>
      </c>
      <c r="G109" s="91" t="s">
        <v>1619</v>
      </c>
      <c r="H109" s="153">
        <v>44573</v>
      </c>
      <c r="I109" s="153">
        <v>44601</v>
      </c>
      <c r="J109" s="153" t="s">
        <v>1627</v>
      </c>
      <c r="K109" s="139">
        <v>18</v>
      </c>
      <c r="L109" s="125">
        <v>29</v>
      </c>
    </row>
    <row r="110" spans="2:12" ht="15.75" thickBot="1" x14ac:dyDescent="0.3">
      <c r="B110" s="83" t="s">
        <v>3470</v>
      </c>
      <c r="C110" s="83" t="s">
        <v>1616</v>
      </c>
      <c r="D110" s="152">
        <v>11</v>
      </c>
      <c r="E110" s="139">
        <v>11</v>
      </c>
      <c r="F110" s="85" t="s">
        <v>1618</v>
      </c>
      <c r="G110" s="91" t="s">
        <v>1619</v>
      </c>
      <c r="H110" s="153">
        <v>44602</v>
      </c>
      <c r="I110" s="153">
        <v>44630</v>
      </c>
      <c r="J110" s="153" t="s">
        <v>1627</v>
      </c>
      <c r="K110" s="139">
        <v>11</v>
      </c>
      <c r="L110" s="125">
        <v>29</v>
      </c>
    </row>
    <row r="111" spans="2:12" ht="15.75" thickBot="1" x14ac:dyDescent="0.3">
      <c r="B111" s="83" t="s">
        <v>3470</v>
      </c>
      <c r="C111" s="83" t="s">
        <v>1616</v>
      </c>
      <c r="D111" s="152">
        <v>17</v>
      </c>
      <c r="E111" s="139">
        <v>17</v>
      </c>
      <c r="F111" s="85" t="s">
        <v>1618</v>
      </c>
      <c r="G111" s="91" t="s">
        <v>1619</v>
      </c>
      <c r="H111" s="153">
        <v>44631</v>
      </c>
      <c r="I111" s="153">
        <v>44662</v>
      </c>
      <c r="J111" s="153" t="s">
        <v>1627</v>
      </c>
      <c r="K111" s="139">
        <v>17</v>
      </c>
      <c r="L111" s="125">
        <v>32</v>
      </c>
    </row>
    <row r="112" spans="2:12" ht="15.75" thickBot="1" x14ac:dyDescent="0.3">
      <c r="B112" s="83" t="s">
        <v>3470</v>
      </c>
      <c r="C112" s="83" t="s">
        <v>1616</v>
      </c>
      <c r="D112" s="152">
        <v>16</v>
      </c>
      <c r="E112" s="139">
        <v>16</v>
      </c>
      <c r="F112" s="85" t="s">
        <v>1618</v>
      </c>
      <c r="G112" s="91" t="s">
        <v>1619</v>
      </c>
      <c r="H112" s="153">
        <v>44663</v>
      </c>
      <c r="I112" s="153">
        <v>44691</v>
      </c>
      <c r="J112" s="153" t="s">
        <v>1627</v>
      </c>
      <c r="K112" s="139">
        <v>16</v>
      </c>
      <c r="L112" s="125">
        <v>29</v>
      </c>
    </row>
    <row r="113" spans="2:12" ht="15.75" thickBot="1" x14ac:dyDescent="0.3">
      <c r="B113" s="83" t="s">
        <v>3470</v>
      </c>
      <c r="C113" s="83" t="s">
        <v>1616</v>
      </c>
      <c r="D113" s="152">
        <v>22</v>
      </c>
      <c r="E113" s="139">
        <v>22</v>
      </c>
      <c r="F113" s="85" t="s">
        <v>1618</v>
      </c>
      <c r="G113" s="91" t="s">
        <v>1619</v>
      </c>
      <c r="H113" s="153">
        <v>44692</v>
      </c>
      <c r="I113" s="153">
        <v>44721</v>
      </c>
      <c r="J113" s="153" t="s">
        <v>1627</v>
      </c>
      <c r="K113" s="139">
        <v>22</v>
      </c>
      <c r="L113" s="125">
        <v>30</v>
      </c>
    </row>
    <row r="114" spans="2:12" ht="15.75" thickBot="1" x14ac:dyDescent="0.3">
      <c r="B114" s="83" t="s">
        <v>3470</v>
      </c>
      <c r="C114" s="83" t="s">
        <v>1616</v>
      </c>
      <c r="D114" s="152">
        <v>19</v>
      </c>
      <c r="E114" s="139">
        <v>19</v>
      </c>
      <c r="F114" s="85" t="s">
        <v>1618</v>
      </c>
      <c r="G114" s="91" t="s">
        <v>1619</v>
      </c>
      <c r="H114" s="153">
        <v>44722</v>
      </c>
      <c r="I114" s="153">
        <v>44753</v>
      </c>
      <c r="J114" s="153" t="s">
        <v>1627</v>
      </c>
      <c r="K114" s="139">
        <v>19</v>
      </c>
      <c r="L114" s="125">
        <v>32</v>
      </c>
    </row>
    <row r="115" spans="2:12" ht="15.75" thickBot="1" x14ac:dyDescent="0.3">
      <c r="B115" s="83" t="s">
        <v>3470</v>
      </c>
      <c r="C115" s="83" t="s">
        <v>1616</v>
      </c>
      <c r="D115" s="152">
        <v>18</v>
      </c>
      <c r="E115" s="139">
        <v>18</v>
      </c>
      <c r="F115" s="85" t="s">
        <v>1618</v>
      </c>
      <c r="G115" s="91" t="s">
        <v>1619</v>
      </c>
      <c r="H115" s="153">
        <v>44754</v>
      </c>
      <c r="I115" s="153">
        <v>44782</v>
      </c>
      <c r="J115" s="153" t="s">
        <v>1627</v>
      </c>
      <c r="K115" s="139">
        <v>18</v>
      </c>
      <c r="L115" s="125">
        <v>29</v>
      </c>
    </row>
    <row r="116" spans="2:12" ht="15.75" thickBot="1" x14ac:dyDescent="0.3">
      <c r="B116" s="83" t="s">
        <v>3470</v>
      </c>
      <c r="C116" s="83" t="s">
        <v>1616</v>
      </c>
      <c r="D116" s="152">
        <v>27</v>
      </c>
      <c r="E116" s="139">
        <v>27</v>
      </c>
      <c r="F116" s="85" t="s">
        <v>1618</v>
      </c>
      <c r="G116" s="91" t="s">
        <v>1619</v>
      </c>
      <c r="H116" s="153">
        <v>44783</v>
      </c>
      <c r="I116" s="153">
        <v>44813</v>
      </c>
      <c r="J116" s="153" t="s">
        <v>1627</v>
      </c>
      <c r="K116" s="139">
        <v>27</v>
      </c>
      <c r="L116" s="125">
        <v>31</v>
      </c>
    </row>
    <row r="117" spans="2:12" ht="15.75" thickBot="1" x14ac:dyDescent="0.3">
      <c r="B117" s="83" t="s">
        <v>3470</v>
      </c>
      <c r="C117" s="83" t="s">
        <v>1616</v>
      </c>
      <c r="D117" s="152">
        <v>23</v>
      </c>
      <c r="E117" s="139">
        <v>23</v>
      </c>
      <c r="F117" s="85" t="s">
        <v>1618</v>
      </c>
      <c r="G117" s="91" t="s">
        <v>1619</v>
      </c>
      <c r="H117" s="153">
        <v>44814</v>
      </c>
      <c r="I117" s="153">
        <v>44846</v>
      </c>
      <c r="J117" s="153" t="s">
        <v>1627</v>
      </c>
      <c r="K117" s="139">
        <v>23</v>
      </c>
      <c r="L117" s="125">
        <v>33</v>
      </c>
    </row>
    <row r="118" spans="2:12" ht="15.75" thickBot="1" x14ac:dyDescent="0.3">
      <c r="B118" s="83" t="s">
        <v>3470</v>
      </c>
      <c r="C118" s="83" t="s">
        <v>1616</v>
      </c>
      <c r="D118" s="152">
        <v>20</v>
      </c>
      <c r="E118" s="139">
        <v>20</v>
      </c>
      <c r="F118" s="85" t="s">
        <v>1618</v>
      </c>
      <c r="G118" s="91" t="s">
        <v>1619</v>
      </c>
      <c r="H118" s="153">
        <v>44847</v>
      </c>
      <c r="I118" s="153">
        <v>44875</v>
      </c>
      <c r="J118" s="153" t="s">
        <v>1627</v>
      </c>
      <c r="K118" s="139">
        <v>20</v>
      </c>
      <c r="L118" s="125">
        <v>29</v>
      </c>
    </row>
    <row r="119" spans="2:12" ht="15.75" thickBot="1" x14ac:dyDescent="0.3">
      <c r="B119" s="83" t="s">
        <v>3470</v>
      </c>
      <c r="C119" s="83" t="s">
        <v>1616</v>
      </c>
      <c r="D119" s="152">
        <v>56</v>
      </c>
      <c r="E119" s="139">
        <v>56</v>
      </c>
      <c r="F119" s="85" t="s">
        <v>1618</v>
      </c>
      <c r="G119" s="91" t="s">
        <v>1619</v>
      </c>
      <c r="H119" s="153">
        <v>44876</v>
      </c>
      <c r="I119" s="153">
        <v>44908</v>
      </c>
      <c r="J119" s="153" t="s">
        <v>1627</v>
      </c>
      <c r="K119" s="139">
        <v>56</v>
      </c>
      <c r="L119" s="125">
        <v>33</v>
      </c>
    </row>
    <row r="120" spans="2:12" ht="15.75" thickBot="1" x14ac:dyDescent="0.3">
      <c r="B120" s="83" t="s">
        <v>3470</v>
      </c>
      <c r="C120" s="83" t="s">
        <v>1616</v>
      </c>
      <c r="D120" s="152">
        <v>10.928571428571429</v>
      </c>
      <c r="E120" s="139">
        <v>10.928571428571429</v>
      </c>
      <c r="F120" s="85" t="s">
        <v>1618</v>
      </c>
      <c r="G120" s="91" t="s">
        <v>1619</v>
      </c>
      <c r="H120" s="153">
        <v>44909</v>
      </c>
      <c r="I120" s="153">
        <v>44936</v>
      </c>
      <c r="J120" s="153" t="s">
        <v>1627</v>
      </c>
      <c r="K120" s="139">
        <v>17</v>
      </c>
      <c r="L120" s="125">
        <v>18</v>
      </c>
    </row>
    <row r="121" spans="2:12" ht="15.75" thickBot="1" x14ac:dyDescent="0.3">
      <c r="B121" s="83" t="s">
        <v>3470</v>
      </c>
      <c r="C121" s="83" t="s">
        <v>1616</v>
      </c>
      <c r="D121" s="152">
        <v>75.63636363636364</v>
      </c>
      <c r="E121" s="139">
        <v>75.63636363636364</v>
      </c>
      <c r="F121" s="85" t="s">
        <v>1618</v>
      </c>
      <c r="G121" s="91" t="s">
        <v>1619</v>
      </c>
      <c r="H121" s="153">
        <v>44553</v>
      </c>
      <c r="I121" s="153">
        <v>44585</v>
      </c>
      <c r="J121" s="153" t="s">
        <v>1627</v>
      </c>
      <c r="K121" s="139">
        <v>104</v>
      </c>
      <c r="L121" s="125">
        <v>24</v>
      </c>
    </row>
    <row r="122" spans="2:12" ht="15.75" thickBot="1" x14ac:dyDescent="0.3">
      <c r="B122" s="83" t="s">
        <v>3470</v>
      </c>
      <c r="C122" s="83" t="s">
        <v>1616</v>
      </c>
      <c r="D122" s="152">
        <v>119</v>
      </c>
      <c r="E122" s="139">
        <v>119</v>
      </c>
      <c r="F122" s="85" t="s">
        <v>1618</v>
      </c>
      <c r="G122" s="91" t="s">
        <v>1619</v>
      </c>
      <c r="H122" s="153">
        <v>44586</v>
      </c>
      <c r="I122" s="153">
        <v>44615</v>
      </c>
      <c r="J122" s="153" t="s">
        <v>1627</v>
      </c>
      <c r="K122" s="139">
        <v>119</v>
      </c>
      <c r="L122" s="125">
        <v>30</v>
      </c>
    </row>
    <row r="123" spans="2:12" ht="15.75" thickBot="1" x14ac:dyDescent="0.3">
      <c r="B123" s="83" t="s">
        <v>3470</v>
      </c>
      <c r="C123" s="83" t="s">
        <v>1616</v>
      </c>
      <c r="D123" s="152">
        <v>140</v>
      </c>
      <c r="E123" s="139">
        <v>140</v>
      </c>
      <c r="F123" s="85" t="s">
        <v>1618</v>
      </c>
      <c r="G123" s="91" t="s">
        <v>1619</v>
      </c>
      <c r="H123" s="153">
        <v>44616</v>
      </c>
      <c r="I123" s="153">
        <v>44645</v>
      </c>
      <c r="J123" s="153" t="s">
        <v>1627</v>
      </c>
      <c r="K123" s="139">
        <v>140</v>
      </c>
      <c r="L123" s="125">
        <v>30</v>
      </c>
    </row>
    <row r="124" spans="2:12" ht="15.75" thickBot="1" x14ac:dyDescent="0.3">
      <c r="B124" s="83" t="s">
        <v>3470</v>
      </c>
      <c r="C124" s="83" t="s">
        <v>1616</v>
      </c>
      <c r="D124" s="152">
        <v>139</v>
      </c>
      <c r="E124" s="139">
        <v>139</v>
      </c>
      <c r="F124" s="85" t="s">
        <v>1618</v>
      </c>
      <c r="G124" s="91" t="s">
        <v>1619</v>
      </c>
      <c r="H124" s="153">
        <v>44646</v>
      </c>
      <c r="I124" s="153">
        <v>44678</v>
      </c>
      <c r="J124" s="153" t="s">
        <v>1627</v>
      </c>
      <c r="K124" s="139">
        <v>139</v>
      </c>
      <c r="L124" s="125">
        <v>33</v>
      </c>
    </row>
    <row r="125" spans="2:12" ht="15.75" thickBot="1" x14ac:dyDescent="0.3">
      <c r="B125" s="83" t="s">
        <v>3470</v>
      </c>
      <c r="C125" s="83" t="s">
        <v>1616</v>
      </c>
      <c r="D125" s="152">
        <v>130</v>
      </c>
      <c r="E125" s="139">
        <v>130</v>
      </c>
      <c r="F125" s="85" t="s">
        <v>1618</v>
      </c>
      <c r="G125" s="91" t="s">
        <v>1619</v>
      </c>
      <c r="H125" s="153">
        <v>44678</v>
      </c>
      <c r="I125" s="153">
        <v>44705</v>
      </c>
      <c r="J125" s="153" t="s">
        <v>1627</v>
      </c>
      <c r="K125" s="139">
        <v>130</v>
      </c>
      <c r="L125" s="125">
        <v>28</v>
      </c>
    </row>
    <row r="126" spans="2:12" ht="15.75" thickBot="1" x14ac:dyDescent="0.3">
      <c r="B126" s="83" t="s">
        <v>3470</v>
      </c>
      <c r="C126" s="83" t="s">
        <v>1616</v>
      </c>
      <c r="D126" s="152">
        <v>143</v>
      </c>
      <c r="E126" s="139">
        <v>143</v>
      </c>
      <c r="F126" s="85" t="s">
        <v>1618</v>
      </c>
      <c r="G126" s="91" t="s">
        <v>1619</v>
      </c>
      <c r="H126" s="153">
        <v>44706</v>
      </c>
      <c r="I126" s="153">
        <v>44736</v>
      </c>
      <c r="J126" s="153" t="s">
        <v>1627</v>
      </c>
      <c r="K126" s="139">
        <v>143</v>
      </c>
      <c r="L126" s="125">
        <v>31</v>
      </c>
    </row>
    <row r="127" spans="2:12" ht="15.75" thickBot="1" x14ac:dyDescent="0.3">
      <c r="B127" s="83" t="s">
        <v>3470</v>
      </c>
      <c r="C127" s="83" t="s">
        <v>1616</v>
      </c>
      <c r="D127" s="152">
        <v>158</v>
      </c>
      <c r="E127" s="139">
        <v>158</v>
      </c>
      <c r="F127" s="85" t="s">
        <v>1618</v>
      </c>
      <c r="G127" s="91" t="s">
        <v>1619</v>
      </c>
      <c r="H127" s="153">
        <v>44737</v>
      </c>
      <c r="I127" s="153">
        <v>44768</v>
      </c>
      <c r="J127" s="153" t="s">
        <v>1627</v>
      </c>
      <c r="K127" s="139">
        <v>158</v>
      </c>
      <c r="L127" s="125">
        <v>32</v>
      </c>
    </row>
    <row r="128" spans="2:12" ht="15.75" thickBot="1" x14ac:dyDescent="0.3">
      <c r="B128" s="83" t="s">
        <v>3470</v>
      </c>
      <c r="C128" s="83" t="s">
        <v>1616</v>
      </c>
      <c r="D128" s="152">
        <v>111</v>
      </c>
      <c r="E128" s="139">
        <v>111</v>
      </c>
      <c r="F128" s="85" t="s">
        <v>1618</v>
      </c>
      <c r="G128" s="91" t="s">
        <v>1619</v>
      </c>
      <c r="H128" s="153">
        <v>44769</v>
      </c>
      <c r="I128" s="153">
        <v>44797</v>
      </c>
      <c r="J128" s="153" t="s">
        <v>1627</v>
      </c>
      <c r="K128" s="139">
        <v>111</v>
      </c>
      <c r="L128" s="125">
        <v>29</v>
      </c>
    </row>
    <row r="129" spans="2:12" ht="15.75" thickBot="1" x14ac:dyDescent="0.3">
      <c r="B129" s="83" t="s">
        <v>3470</v>
      </c>
      <c r="C129" s="83" t="s">
        <v>1616</v>
      </c>
      <c r="D129" s="152">
        <v>50</v>
      </c>
      <c r="E129" s="139">
        <v>50</v>
      </c>
      <c r="F129" s="85" t="s">
        <v>1618</v>
      </c>
      <c r="G129" s="91" t="s">
        <v>1619</v>
      </c>
      <c r="H129" s="153">
        <v>44798</v>
      </c>
      <c r="I129" s="153">
        <v>44830</v>
      </c>
      <c r="J129" s="153" t="s">
        <v>1627</v>
      </c>
      <c r="K129" s="139">
        <v>50</v>
      </c>
      <c r="L129" s="125">
        <v>33</v>
      </c>
    </row>
    <row r="130" spans="2:12" ht="15.75" thickBot="1" x14ac:dyDescent="0.3">
      <c r="B130" s="83" t="s">
        <v>3470</v>
      </c>
      <c r="C130" s="83" t="s">
        <v>1616</v>
      </c>
      <c r="D130" s="152">
        <v>129</v>
      </c>
      <c r="E130" s="139">
        <v>129</v>
      </c>
      <c r="F130" s="85" t="s">
        <v>1618</v>
      </c>
      <c r="G130" s="91" t="s">
        <v>1619</v>
      </c>
      <c r="H130" s="153">
        <v>44831</v>
      </c>
      <c r="I130" s="153">
        <v>44859</v>
      </c>
      <c r="J130" s="153" t="s">
        <v>1627</v>
      </c>
      <c r="K130" s="139">
        <v>129</v>
      </c>
      <c r="L130" s="125">
        <v>29</v>
      </c>
    </row>
    <row r="131" spans="2:12" ht="15.75" thickBot="1" x14ac:dyDescent="0.3">
      <c r="B131" s="83" t="s">
        <v>3470</v>
      </c>
      <c r="C131" s="83" t="s">
        <v>1616</v>
      </c>
      <c r="D131" s="152">
        <v>129</v>
      </c>
      <c r="E131" s="139">
        <v>129</v>
      </c>
      <c r="F131" s="85" t="s">
        <v>1618</v>
      </c>
      <c r="G131" s="91" t="s">
        <v>1619</v>
      </c>
      <c r="H131" s="153">
        <v>44860</v>
      </c>
      <c r="I131" s="153">
        <v>44888</v>
      </c>
      <c r="J131" s="153" t="s">
        <v>1627</v>
      </c>
      <c r="K131" s="139">
        <v>129</v>
      </c>
      <c r="L131" s="125">
        <v>29</v>
      </c>
    </row>
    <row r="132" spans="2:12" ht="15.75" thickBot="1" x14ac:dyDescent="0.3">
      <c r="B132" s="83" t="s">
        <v>3470</v>
      </c>
      <c r="C132" s="83" t="s">
        <v>1616</v>
      </c>
      <c r="D132" s="152">
        <v>124</v>
      </c>
      <c r="E132" s="139">
        <v>124</v>
      </c>
      <c r="F132" s="85" t="s">
        <v>1618</v>
      </c>
      <c r="G132" s="91" t="s">
        <v>1619</v>
      </c>
      <c r="H132" s="153">
        <v>44889</v>
      </c>
      <c r="I132" s="153">
        <v>44918</v>
      </c>
      <c r="J132" s="153" t="s">
        <v>1627</v>
      </c>
      <c r="K132" s="139">
        <v>124</v>
      </c>
      <c r="L132" s="125">
        <v>30</v>
      </c>
    </row>
    <row r="133" spans="2:12" ht="15.75" thickBot="1" x14ac:dyDescent="0.3">
      <c r="B133" s="83" t="s">
        <v>3470</v>
      </c>
      <c r="C133" s="83" t="s">
        <v>1616</v>
      </c>
      <c r="D133" s="152">
        <v>46.25</v>
      </c>
      <c r="E133" s="139">
        <v>46.25</v>
      </c>
      <c r="F133" s="85" t="s">
        <v>1618</v>
      </c>
      <c r="G133" s="91" t="s">
        <v>1619</v>
      </c>
      <c r="H133" s="153">
        <v>44919</v>
      </c>
      <c r="I133" s="153">
        <v>44950</v>
      </c>
      <c r="J133" s="153" t="s">
        <v>1627</v>
      </c>
      <c r="K133" s="139">
        <v>185</v>
      </c>
      <c r="L133" s="125">
        <v>8</v>
      </c>
    </row>
    <row r="134" spans="2:12" ht="15.75" thickBot="1" x14ac:dyDescent="0.3">
      <c r="B134" s="83" t="s">
        <v>3470</v>
      </c>
      <c r="C134" s="83" t="s">
        <v>1616</v>
      </c>
      <c r="D134" s="152">
        <v>0.6785714285714286</v>
      </c>
      <c r="E134" s="139">
        <v>0.6785714285714286</v>
      </c>
      <c r="F134" s="85" t="s">
        <v>1618</v>
      </c>
      <c r="G134" s="91" t="s">
        <v>1619</v>
      </c>
      <c r="H134" s="153">
        <v>44553</v>
      </c>
      <c r="I134" s="153">
        <v>44580</v>
      </c>
      <c r="J134" s="153" t="s">
        <v>1627</v>
      </c>
      <c r="K134" s="139">
        <v>1</v>
      </c>
      <c r="L134" s="125">
        <v>19</v>
      </c>
    </row>
    <row r="135" spans="2:12" ht="15.75" thickBot="1" x14ac:dyDescent="0.3">
      <c r="B135" s="83" t="s">
        <v>3470</v>
      </c>
      <c r="C135" s="83" t="s">
        <v>1616</v>
      </c>
      <c r="D135" s="152">
        <v>0</v>
      </c>
      <c r="E135" s="139">
        <v>0</v>
      </c>
      <c r="F135" s="85" t="s">
        <v>1618</v>
      </c>
      <c r="G135" s="91" t="s">
        <v>1619</v>
      </c>
      <c r="H135" s="153">
        <v>44581</v>
      </c>
      <c r="I135" s="153">
        <v>44610</v>
      </c>
      <c r="J135" s="153" t="s">
        <v>1627</v>
      </c>
      <c r="K135" s="139">
        <v>0</v>
      </c>
      <c r="L135" s="125">
        <v>30</v>
      </c>
    </row>
    <row r="136" spans="2:12" ht="15.75" thickBot="1" x14ac:dyDescent="0.3">
      <c r="B136" s="83" t="s">
        <v>3470</v>
      </c>
      <c r="C136" s="83" t="s">
        <v>1616</v>
      </c>
      <c r="D136" s="152">
        <v>0</v>
      </c>
      <c r="E136" s="139">
        <v>0</v>
      </c>
      <c r="F136" s="85" t="s">
        <v>1618</v>
      </c>
      <c r="G136" s="91" t="s">
        <v>1619</v>
      </c>
      <c r="H136" s="153">
        <v>44611</v>
      </c>
      <c r="I136" s="153">
        <v>44638</v>
      </c>
      <c r="J136" s="153" t="s">
        <v>1627</v>
      </c>
      <c r="K136" s="139">
        <v>0</v>
      </c>
      <c r="L136" s="125">
        <v>28</v>
      </c>
    </row>
    <row r="137" spans="2:12" ht="15.75" thickBot="1" x14ac:dyDescent="0.3">
      <c r="B137" s="83" t="s">
        <v>3470</v>
      </c>
      <c r="C137" s="83" t="s">
        <v>1616</v>
      </c>
      <c r="D137" s="152">
        <v>1</v>
      </c>
      <c r="E137" s="139">
        <v>1</v>
      </c>
      <c r="F137" s="85" t="s">
        <v>1618</v>
      </c>
      <c r="G137" s="91" t="s">
        <v>1619</v>
      </c>
      <c r="H137" s="153">
        <v>44639</v>
      </c>
      <c r="I137" s="153">
        <v>44672</v>
      </c>
      <c r="J137" s="153" t="s">
        <v>1627</v>
      </c>
      <c r="K137" s="139">
        <v>1</v>
      </c>
      <c r="L137" s="125">
        <v>34</v>
      </c>
    </row>
    <row r="138" spans="2:12" ht="15.75" thickBot="1" x14ac:dyDescent="0.3">
      <c r="B138" s="83" t="s">
        <v>3470</v>
      </c>
      <c r="C138" s="83" t="s">
        <v>1616</v>
      </c>
      <c r="D138" s="152">
        <v>0</v>
      </c>
      <c r="E138" s="139">
        <v>0</v>
      </c>
      <c r="F138" s="85" t="s">
        <v>1618</v>
      </c>
      <c r="G138" s="91" t="s">
        <v>1619</v>
      </c>
      <c r="H138" s="153">
        <v>44673</v>
      </c>
      <c r="I138" s="153">
        <v>44700</v>
      </c>
      <c r="J138" s="153" t="s">
        <v>1627</v>
      </c>
      <c r="K138" s="139">
        <v>0</v>
      </c>
      <c r="L138" s="125">
        <v>28</v>
      </c>
    </row>
    <row r="139" spans="2:12" ht="15.75" thickBot="1" x14ac:dyDescent="0.3">
      <c r="B139" s="83" t="s">
        <v>3470</v>
      </c>
      <c r="C139" s="83" t="s">
        <v>1616</v>
      </c>
      <c r="D139" s="152">
        <v>1</v>
      </c>
      <c r="E139" s="139">
        <v>1</v>
      </c>
      <c r="F139" s="85" t="s">
        <v>1618</v>
      </c>
      <c r="G139" s="91" t="s">
        <v>1619</v>
      </c>
      <c r="H139" s="153">
        <v>44701</v>
      </c>
      <c r="I139" s="153">
        <v>44733</v>
      </c>
      <c r="J139" s="153" t="s">
        <v>1627</v>
      </c>
      <c r="K139" s="139">
        <v>1</v>
      </c>
      <c r="L139" s="125">
        <v>33</v>
      </c>
    </row>
    <row r="140" spans="2:12" ht="15.75" thickBot="1" x14ac:dyDescent="0.3">
      <c r="B140" s="83" t="s">
        <v>3470</v>
      </c>
      <c r="C140" s="83" t="s">
        <v>1616</v>
      </c>
      <c r="D140" s="152">
        <v>0</v>
      </c>
      <c r="E140" s="139">
        <v>0</v>
      </c>
      <c r="F140" s="85" t="s">
        <v>1618</v>
      </c>
      <c r="G140" s="91" t="s">
        <v>1619</v>
      </c>
      <c r="H140" s="153">
        <v>44734</v>
      </c>
      <c r="I140" s="153">
        <v>44762</v>
      </c>
      <c r="J140" s="153" t="s">
        <v>1627</v>
      </c>
      <c r="K140" s="139">
        <v>0</v>
      </c>
      <c r="L140" s="125">
        <v>29</v>
      </c>
    </row>
    <row r="141" spans="2:12" ht="15.75" thickBot="1" x14ac:dyDescent="0.3">
      <c r="B141" s="83" t="s">
        <v>3470</v>
      </c>
      <c r="C141" s="83" t="s">
        <v>1616</v>
      </c>
      <c r="D141" s="152">
        <v>0</v>
      </c>
      <c r="E141" s="139">
        <v>0</v>
      </c>
      <c r="F141" s="85" t="s">
        <v>1618</v>
      </c>
      <c r="G141" s="91" t="s">
        <v>1619</v>
      </c>
      <c r="H141" s="153">
        <v>44763</v>
      </c>
      <c r="I141" s="153">
        <v>44792</v>
      </c>
      <c r="J141" s="153" t="s">
        <v>1627</v>
      </c>
      <c r="K141" s="139">
        <v>0</v>
      </c>
      <c r="L141" s="125">
        <v>30</v>
      </c>
    </row>
    <row r="142" spans="2:12" ht="15.75" thickBot="1" x14ac:dyDescent="0.3">
      <c r="B142" s="83" t="s">
        <v>3470</v>
      </c>
      <c r="C142" s="83" t="s">
        <v>1616</v>
      </c>
      <c r="D142" s="152">
        <v>0</v>
      </c>
      <c r="E142" s="139">
        <v>0</v>
      </c>
      <c r="F142" s="85" t="s">
        <v>1618</v>
      </c>
      <c r="G142" s="91" t="s">
        <v>1619</v>
      </c>
      <c r="H142" s="153">
        <v>44793</v>
      </c>
      <c r="I142" s="153">
        <v>44824</v>
      </c>
      <c r="J142" s="153" t="s">
        <v>1627</v>
      </c>
      <c r="K142" s="139">
        <v>0</v>
      </c>
      <c r="L142" s="125">
        <v>32</v>
      </c>
    </row>
    <row r="143" spans="2:12" ht="15.75" thickBot="1" x14ac:dyDescent="0.3">
      <c r="B143" s="83" t="s">
        <v>3470</v>
      </c>
      <c r="C143" s="83" t="s">
        <v>1616</v>
      </c>
      <c r="D143" s="152">
        <v>0</v>
      </c>
      <c r="E143" s="139">
        <v>0</v>
      </c>
      <c r="F143" s="85" t="s">
        <v>1618</v>
      </c>
      <c r="G143" s="91" t="s">
        <v>1619</v>
      </c>
      <c r="H143" s="153">
        <v>44825</v>
      </c>
      <c r="I143" s="153">
        <v>44855</v>
      </c>
      <c r="J143" s="153" t="s">
        <v>1627</v>
      </c>
      <c r="K143" s="139">
        <v>0</v>
      </c>
      <c r="L143" s="125">
        <v>31</v>
      </c>
    </row>
    <row r="144" spans="2:12" ht="15.75" thickBot="1" x14ac:dyDescent="0.3">
      <c r="B144" s="83" t="s">
        <v>3470</v>
      </c>
      <c r="C144" s="83" t="s">
        <v>1616</v>
      </c>
      <c r="D144" s="152">
        <v>0</v>
      </c>
      <c r="E144" s="139">
        <v>0</v>
      </c>
      <c r="F144" s="85" t="s">
        <v>1618</v>
      </c>
      <c r="G144" s="91" t="s">
        <v>1619</v>
      </c>
      <c r="H144" s="153">
        <v>44856</v>
      </c>
      <c r="I144" s="153">
        <v>44886</v>
      </c>
      <c r="J144" s="153" t="s">
        <v>1627</v>
      </c>
      <c r="K144" s="139">
        <v>0</v>
      </c>
      <c r="L144" s="125">
        <v>31</v>
      </c>
    </row>
    <row r="145" spans="2:12" ht="15.75" thickBot="1" x14ac:dyDescent="0.3">
      <c r="B145" s="83" t="s">
        <v>3470</v>
      </c>
      <c r="C145" s="83" t="s">
        <v>1616</v>
      </c>
      <c r="D145" s="152">
        <v>0</v>
      </c>
      <c r="E145" s="139">
        <v>0</v>
      </c>
      <c r="F145" s="85" t="s">
        <v>1618</v>
      </c>
      <c r="G145" s="91" t="s">
        <v>1619</v>
      </c>
      <c r="H145" s="153">
        <v>44887</v>
      </c>
      <c r="I145" s="153">
        <v>44917</v>
      </c>
      <c r="J145" s="153" t="s">
        <v>1627</v>
      </c>
      <c r="K145" s="139">
        <v>0</v>
      </c>
      <c r="L145" s="125">
        <v>31</v>
      </c>
    </row>
    <row r="146" spans="2:12" ht="15.75" thickBot="1" x14ac:dyDescent="0.3">
      <c r="B146" s="83" t="s">
        <v>3470</v>
      </c>
      <c r="C146" s="83" t="s">
        <v>1616</v>
      </c>
      <c r="D146" s="152">
        <v>1.9285714285714286</v>
      </c>
      <c r="E146" s="139">
        <v>1.9285714285714286</v>
      </c>
      <c r="F146" s="85" t="s">
        <v>1618</v>
      </c>
      <c r="G146" s="91" t="s">
        <v>1619</v>
      </c>
      <c r="H146" s="153">
        <v>44918</v>
      </c>
      <c r="I146" s="153">
        <v>44945</v>
      </c>
      <c r="J146" s="153" t="s">
        <v>1627</v>
      </c>
      <c r="K146" s="139">
        <v>6</v>
      </c>
      <c r="L146" s="125">
        <v>9</v>
      </c>
    </row>
    <row r="147" spans="2:12" ht="15.75" thickBot="1" x14ac:dyDescent="0.3">
      <c r="B147" s="83" t="s">
        <v>3470</v>
      </c>
      <c r="C147" s="83" t="s">
        <v>1616</v>
      </c>
      <c r="D147" s="152">
        <v>9.6774193548387094E-2</v>
      </c>
      <c r="E147" s="139">
        <v>9.6774193548387094E-2</v>
      </c>
      <c r="F147" s="85" t="s">
        <v>1618</v>
      </c>
      <c r="G147" s="91" t="s">
        <v>1619</v>
      </c>
      <c r="H147" s="153">
        <v>44534</v>
      </c>
      <c r="I147" s="153">
        <v>44564</v>
      </c>
      <c r="J147" s="153" t="s">
        <v>1628</v>
      </c>
      <c r="K147" s="139">
        <v>1</v>
      </c>
      <c r="L147" s="125">
        <v>3</v>
      </c>
    </row>
    <row r="148" spans="2:12" ht="15.75" thickBot="1" x14ac:dyDescent="0.3">
      <c r="B148" s="83" t="s">
        <v>3470</v>
      </c>
      <c r="C148" s="83" t="s">
        <v>1616</v>
      </c>
      <c r="D148" s="152">
        <v>1</v>
      </c>
      <c r="E148" s="139">
        <v>1</v>
      </c>
      <c r="F148" s="85" t="s">
        <v>1618</v>
      </c>
      <c r="G148" s="91" t="s">
        <v>1619</v>
      </c>
      <c r="H148" s="153">
        <v>44565</v>
      </c>
      <c r="I148" s="153">
        <v>44594</v>
      </c>
      <c r="J148" s="153" t="s">
        <v>1628</v>
      </c>
      <c r="K148" s="139">
        <v>1</v>
      </c>
      <c r="L148" s="125">
        <v>30</v>
      </c>
    </row>
    <row r="149" spans="2:12" ht="15.75" thickBot="1" x14ac:dyDescent="0.3">
      <c r="B149" s="83" t="s">
        <v>3470</v>
      </c>
      <c r="C149" s="83" t="s">
        <v>1616</v>
      </c>
      <c r="D149" s="152">
        <v>0</v>
      </c>
      <c r="E149" s="139">
        <v>0</v>
      </c>
      <c r="F149" s="85" t="s">
        <v>1618</v>
      </c>
      <c r="G149" s="91" t="s">
        <v>1619</v>
      </c>
      <c r="H149" s="153">
        <v>44595</v>
      </c>
      <c r="I149" s="153">
        <v>44622</v>
      </c>
      <c r="J149" s="153" t="s">
        <v>1628</v>
      </c>
      <c r="K149" s="139">
        <v>0</v>
      </c>
      <c r="L149" s="125">
        <v>28</v>
      </c>
    </row>
    <row r="150" spans="2:12" ht="15.75" thickBot="1" x14ac:dyDescent="0.3">
      <c r="B150" s="83" t="s">
        <v>3470</v>
      </c>
      <c r="C150" s="83" t="s">
        <v>1616</v>
      </c>
      <c r="D150" s="152">
        <v>1</v>
      </c>
      <c r="E150" s="139">
        <v>1</v>
      </c>
      <c r="F150" s="85" t="s">
        <v>1618</v>
      </c>
      <c r="G150" s="91" t="s">
        <v>1619</v>
      </c>
      <c r="H150" s="153">
        <v>44623</v>
      </c>
      <c r="I150" s="153">
        <v>44655</v>
      </c>
      <c r="J150" s="153" t="s">
        <v>1628</v>
      </c>
      <c r="K150" s="139">
        <v>1</v>
      </c>
      <c r="L150" s="125">
        <v>33</v>
      </c>
    </row>
    <row r="151" spans="2:12" ht="15.75" thickBot="1" x14ac:dyDescent="0.3">
      <c r="B151" s="83" t="s">
        <v>3470</v>
      </c>
      <c r="C151" s="83" t="s">
        <v>1616</v>
      </c>
      <c r="D151" s="152">
        <v>1</v>
      </c>
      <c r="E151" s="139">
        <v>1</v>
      </c>
      <c r="F151" s="85" t="s">
        <v>1618</v>
      </c>
      <c r="G151" s="91" t="s">
        <v>1619</v>
      </c>
      <c r="H151" s="153">
        <v>44656</v>
      </c>
      <c r="I151" s="153">
        <v>44685</v>
      </c>
      <c r="J151" s="153" t="s">
        <v>1628</v>
      </c>
      <c r="K151" s="139">
        <v>1</v>
      </c>
      <c r="L151" s="125">
        <v>30</v>
      </c>
    </row>
    <row r="152" spans="2:12" ht="15.75" thickBot="1" x14ac:dyDescent="0.3">
      <c r="B152" s="83" t="s">
        <v>3470</v>
      </c>
      <c r="C152" s="83" t="s">
        <v>1616</v>
      </c>
      <c r="D152" s="152">
        <v>1</v>
      </c>
      <c r="E152" s="139">
        <v>1</v>
      </c>
      <c r="F152" s="85" t="s">
        <v>1618</v>
      </c>
      <c r="G152" s="91" t="s">
        <v>1619</v>
      </c>
      <c r="H152" s="153">
        <v>44686</v>
      </c>
      <c r="I152" s="153">
        <v>44714</v>
      </c>
      <c r="J152" s="153" t="s">
        <v>1628</v>
      </c>
      <c r="K152" s="139">
        <v>1</v>
      </c>
      <c r="L152" s="125">
        <v>29</v>
      </c>
    </row>
    <row r="153" spans="2:12" ht="15.75" thickBot="1" x14ac:dyDescent="0.3">
      <c r="B153" s="83" t="s">
        <v>3470</v>
      </c>
      <c r="C153" s="83" t="s">
        <v>1616</v>
      </c>
      <c r="D153" s="152">
        <v>1</v>
      </c>
      <c r="E153" s="139">
        <v>1</v>
      </c>
      <c r="F153" s="85" t="s">
        <v>1618</v>
      </c>
      <c r="G153" s="91" t="s">
        <v>1619</v>
      </c>
      <c r="H153" s="153">
        <v>44715</v>
      </c>
      <c r="I153" s="153">
        <v>44744</v>
      </c>
      <c r="J153" s="153" t="s">
        <v>1628</v>
      </c>
      <c r="K153" s="139">
        <v>1</v>
      </c>
      <c r="L153" s="125">
        <v>30</v>
      </c>
    </row>
    <row r="154" spans="2:12" ht="15.75" thickBot="1" x14ac:dyDescent="0.3">
      <c r="B154" s="83" t="s">
        <v>3470</v>
      </c>
      <c r="C154" s="83" t="s">
        <v>1616</v>
      </c>
      <c r="D154" s="152">
        <v>1</v>
      </c>
      <c r="E154" s="139">
        <v>1</v>
      </c>
      <c r="F154" s="85" t="s">
        <v>1618</v>
      </c>
      <c r="G154" s="91" t="s">
        <v>1619</v>
      </c>
      <c r="H154" s="153">
        <v>44745</v>
      </c>
      <c r="I154" s="153">
        <v>44775</v>
      </c>
      <c r="J154" s="153" t="s">
        <v>1628</v>
      </c>
      <c r="K154" s="139">
        <v>1</v>
      </c>
      <c r="L154" s="125">
        <v>31</v>
      </c>
    </row>
    <row r="155" spans="2:12" ht="15.75" thickBot="1" x14ac:dyDescent="0.3">
      <c r="B155" s="83" t="s">
        <v>3470</v>
      </c>
      <c r="C155" s="83" t="s">
        <v>1616</v>
      </c>
      <c r="D155" s="152">
        <v>1</v>
      </c>
      <c r="E155" s="139">
        <v>1</v>
      </c>
      <c r="F155" s="85" t="s">
        <v>1618</v>
      </c>
      <c r="G155" s="91" t="s">
        <v>1619</v>
      </c>
      <c r="H155" s="153">
        <v>44776</v>
      </c>
      <c r="I155" s="153">
        <v>44806</v>
      </c>
      <c r="J155" s="153" t="s">
        <v>1628</v>
      </c>
      <c r="K155" s="139">
        <v>1</v>
      </c>
      <c r="L155" s="125">
        <v>31</v>
      </c>
    </row>
    <row r="156" spans="2:12" ht="15.75" thickBot="1" x14ac:dyDescent="0.3">
      <c r="B156" s="83" t="s">
        <v>3470</v>
      </c>
      <c r="C156" s="83" t="s">
        <v>1616</v>
      </c>
      <c r="D156" s="152">
        <v>1</v>
      </c>
      <c r="E156" s="139">
        <v>1</v>
      </c>
      <c r="F156" s="85" t="s">
        <v>1618</v>
      </c>
      <c r="G156" s="91" t="s">
        <v>1619</v>
      </c>
      <c r="H156" s="153">
        <v>44807</v>
      </c>
      <c r="I156" s="153">
        <v>44838</v>
      </c>
      <c r="J156" s="153" t="s">
        <v>1628</v>
      </c>
      <c r="K156" s="139">
        <v>1</v>
      </c>
      <c r="L156" s="125">
        <v>32</v>
      </c>
    </row>
    <row r="157" spans="2:12" ht="15.75" thickBot="1" x14ac:dyDescent="0.3">
      <c r="B157" s="83" t="s">
        <v>3470</v>
      </c>
      <c r="C157" s="83" t="s">
        <v>1616</v>
      </c>
      <c r="D157" s="152">
        <v>1</v>
      </c>
      <c r="E157" s="139">
        <v>1</v>
      </c>
      <c r="F157" s="85" t="s">
        <v>1618</v>
      </c>
      <c r="G157" s="91" t="s">
        <v>1619</v>
      </c>
      <c r="H157" s="153">
        <v>44839</v>
      </c>
      <c r="I157" s="153">
        <v>44869</v>
      </c>
      <c r="J157" s="153" t="s">
        <v>1628</v>
      </c>
      <c r="K157" s="139">
        <v>1</v>
      </c>
      <c r="L157" s="125">
        <v>31</v>
      </c>
    </row>
    <row r="158" spans="2:12" ht="15.75" thickBot="1" x14ac:dyDescent="0.3">
      <c r="B158" s="83" t="s">
        <v>3470</v>
      </c>
      <c r="C158" s="83" t="s">
        <v>1616</v>
      </c>
      <c r="D158" s="152">
        <v>0</v>
      </c>
      <c r="E158" s="139">
        <v>0</v>
      </c>
      <c r="F158" s="85" t="s">
        <v>1618</v>
      </c>
      <c r="G158" s="91" t="s">
        <v>1619</v>
      </c>
      <c r="H158" s="153">
        <v>44870</v>
      </c>
      <c r="I158" s="153">
        <v>44900</v>
      </c>
      <c r="J158" s="153" t="s">
        <v>1628</v>
      </c>
      <c r="K158" s="139">
        <v>0</v>
      </c>
      <c r="L158" s="125">
        <v>31</v>
      </c>
    </row>
    <row r="159" spans="2:12" ht="15.75" thickBot="1" x14ac:dyDescent="0.3">
      <c r="B159" s="83" t="s">
        <v>3470</v>
      </c>
      <c r="C159" s="83" t="s">
        <v>1616</v>
      </c>
      <c r="D159" s="152">
        <v>0.83870967741935487</v>
      </c>
      <c r="E159" s="139">
        <v>0.83870967741935487</v>
      </c>
      <c r="F159" s="85" t="s">
        <v>1618</v>
      </c>
      <c r="G159" s="91" t="s">
        <v>1619</v>
      </c>
      <c r="H159" s="153">
        <v>44901</v>
      </c>
      <c r="I159" s="153">
        <v>44931</v>
      </c>
      <c r="J159" s="153" t="s">
        <v>1628</v>
      </c>
      <c r="K159" s="139">
        <v>1</v>
      </c>
      <c r="L159" s="125">
        <v>26</v>
      </c>
    </row>
    <row r="160" spans="2:12" ht="15.75" thickBot="1" x14ac:dyDescent="0.3">
      <c r="B160" s="83" t="s">
        <v>535</v>
      </c>
      <c r="C160" s="83" t="s">
        <v>1616</v>
      </c>
      <c r="D160" s="152">
        <v>0.48275862068965519</v>
      </c>
      <c r="E160" s="139">
        <v>0.48275862068965519</v>
      </c>
      <c r="F160" s="85" t="s">
        <v>1618</v>
      </c>
      <c r="G160" s="91" t="s">
        <v>1619</v>
      </c>
      <c r="H160" s="153">
        <v>44540</v>
      </c>
      <c r="I160" s="153">
        <v>44568</v>
      </c>
      <c r="J160" s="153" t="s">
        <v>1626</v>
      </c>
      <c r="K160" s="139">
        <v>2</v>
      </c>
      <c r="L160" s="125">
        <v>7</v>
      </c>
    </row>
    <row r="161" spans="2:12" ht="15.75" thickBot="1" x14ac:dyDescent="0.3">
      <c r="B161" s="83" t="s">
        <v>535</v>
      </c>
      <c r="C161" s="83" t="s">
        <v>1616</v>
      </c>
      <c r="D161" s="152">
        <v>1</v>
      </c>
      <c r="E161" s="139">
        <v>1</v>
      </c>
      <c r="F161" s="85" t="s">
        <v>1618</v>
      </c>
      <c r="G161" s="91" t="s">
        <v>1619</v>
      </c>
      <c r="H161" s="153">
        <v>44569</v>
      </c>
      <c r="I161" s="153">
        <v>44599</v>
      </c>
      <c r="J161" s="153" t="s">
        <v>1626</v>
      </c>
      <c r="K161" s="139">
        <v>1</v>
      </c>
      <c r="L161" s="125">
        <v>31</v>
      </c>
    </row>
    <row r="162" spans="2:12" ht="15.75" thickBot="1" x14ac:dyDescent="0.3">
      <c r="B162" s="83" t="s">
        <v>535</v>
      </c>
      <c r="C162" s="83" t="s">
        <v>1616</v>
      </c>
      <c r="D162" s="152">
        <v>6</v>
      </c>
      <c r="E162" s="139">
        <v>6</v>
      </c>
      <c r="F162" s="85" t="s">
        <v>1618</v>
      </c>
      <c r="G162" s="91" t="s">
        <v>1619</v>
      </c>
      <c r="H162" s="153">
        <v>44600</v>
      </c>
      <c r="I162" s="153">
        <v>44628</v>
      </c>
      <c r="J162" s="153" t="s">
        <v>1626</v>
      </c>
      <c r="K162" s="139">
        <v>6</v>
      </c>
      <c r="L162" s="125">
        <v>29</v>
      </c>
    </row>
    <row r="163" spans="2:12" ht="15.75" thickBot="1" x14ac:dyDescent="0.3">
      <c r="B163" s="83" t="s">
        <v>535</v>
      </c>
      <c r="C163" s="83" t="s">
        <v>1616</v>
      </c>
      <c r="D163" s="152">
        <v>3</v>
      </c>
      <c r="E163" s="139">
        <v>3</v>
      </c>
      <c r="F163" s="85" t="s">
        <v>1618</v>
      </c>
      <c r="G163" s="91" t="s">
        <v>1619</v>
      </c>
      <c r="H163" s="153">
        <v>44629</v>
      </c>
      <c r="I163" s="153">
        <v>44658</v>
      </c>
      <c r="J163" s="153" t="s">
        <v>1626</v>
      </c>
      <c r="K163" s="139">
        <v>3</v>
      </c>
      <c r="L163" s="125">
        <v>30</v>
      </c>
    </row>
    <row r="164" spans="2:12" ht="15.75" thickBot="1" x14ac:dyDescent="0.3">
      <c r="B164" s="83" t="s">
        <v>535</v>
      </c>
      <c r="C164" s="83" t="s">
        <v>1616</v>
      </c>
      <c r="D164" s="152">
        <v>2</v>
      </c>
      <c r="E164" s="139">
        <v>2</v>
      </c>
      <c r="F164" s="85" t="s">
        <v>1618</v>
      </c>
      <c r="G164" s="91" t="s">
        <v>1619</v>
      </c>
      <c r="H164" s="153">
        <v>44659</v>
      </c>
      <c r="I164" s="153">
        <v>44687</v>
      </c>
      <c r="J164" s="153" t="s">
        <v>1626</v>
      </c>
      <c r="K164" s="139">
        <v>2</v>
      </c>
      <c r="L164" s="125">
        <v>29</v>
      </c>
    </row>
    <row r="165" spans="2:12" ht="15.75" thickBot="1" x14ac:dyDescent="0.3">
      <c r="B165" s="83" t="s">
        <v>535</v>
      </c>
      <c r="C165" s="83" t="s">
        <v>1616</v>
      </c>
      <c r="D165" s="152">
        <v>1</v>
      </c>
      <c r="E165" s="139">
        <v>1</v>
      </c>
      <c r="F165" s="85" t="s">
        <v>1618</v>
      </c>
      <c r="G165" s="91" t="s">
        <v>1619</v>
      </c>
      <c r="H165" s="153">
        <v>44688</v>
      </c>
      <c r="I165" s="153">
        <v>44719</v>
      </c>
      <c r="J165" s="153" t="s">
        <v>1626</v>
      </c>
      <c r="K165" s="139">
        <v>1</v>
      </c>
      <c r="L165" s="125">
        <v>32</v>
      </c>
    </row>
    <row r="166" spans="2:12" ht="15.75" thickBot="1" x14ac:dyDescent="0.3">
      <c r="B166" s="83" t="s">
        <v>535</v>
      </c>
      <c r="C166" s="83" t="s">
        <v>1616</v>
      </c>
      <c r="D166" s="152">
        <v>3</v>
      </c>
      <c r="E166" s="139">
        <v>3</v>
      </c>
      <c r="F166" s="85" t="s">
        <v>1618</v>
      </c>
      <c r="G166" s="91" t="s">
        <v>1619</v>
      </c>
      <c r="H166" s="153">
        <v>44720</v>
      </c>
      <c r="I166" s="153">
        <v>44749</v>
      </c>
      <c r="J166" s="153" t="s">
        <v>1626</v>
      </c>
      <c r="K166" s="139">
        <v>3</v>
      </c>
      <c r="L166" s="125">
        <v>30</v>
      </c>
    </row>
    <row r="167" spans="2:12" ht="15.75" thickBot="1" x14ac:dyDescent="0.3">
      <c r="B167" s="83" t="s">
        <v>535</v>
      </c>
      <c r="C167" s="83" t="s">
        <v>1616</v>
      </c>
      <c r="D167" s="152">
        <v>1</v>
      </c>
      <c r="E167" s="139">
        <v>1</v>
      </c>
      <c r="F167" s="85" t="s">
        <v>1618</v>
      </c>
      <c r="G167" s="91" t="s">
        <v>1619</v>
      </c>
      <c r="H167" s="153">
        <v>44750</v>
      </c>
      <c r="I167" s="153">
        <v>44778</v>
      </c>
      <c r="J167" s="153" t="s">
        <v>1626</v>
      </c>
      <c r="K167" s="139">
        <v>1</v>
      </c>
      <c r="L167" s="125">
        <v>29</v>
      </c>
    </row>
    <row r="168" spans="2:12" ht="15.75" thickBot="1" x14ac:dyDescent="0.3">
      <c r="B168" s="83" t="s">
        <v>535</v>
      </c>
      <c r="C168" s="83" t="s">
        <v>1616</v>
      </c>
      <c r="D168" s="152">
        <v>1</v>
      </c>
      <c r="E168" s="139">
        <v>1</v>
      </c>
      <c r="F168" s="85" t="s">
        <v>1618</v>
      </c>
      <c r="G168" s="91" t="s">
        <v>1619</v>
      </c>
      <c r="H168" s="153">
        <v>44779</v>
      </c>
      <c r="I168" s="153">
        <v>44811</v>
      </c>
      <c r="J168" s="153" t="s">
        <v>1626</v>
      </c>
      <c r="K168" s="139">
        <v>1</v>
      </c>
      <c r="L168" s="125">
        <v>33</v>
      </c>
    </row>
    <row r="169" spans="2:12" ht="15.75" thickBot="1" x14ac:dyDescent="0.3">
      <c r="B169" s="83" t="s">
        <v>535</v>
      </c>
      <c r="C169" s="83" t="s">
        <v>1616</v>
      </c>
      <c r="D169" s="152">
        <v>12</v>
      </c>
      <c r="E169" s="139">
        <v>12</v>
      </c>
      <c r="F169" s="85" t="s">
        <v>1618</v>
      </c>
      <c r="G169" s="91" t="s">
        <v>1619</v>
      </c>
      <c r="H169" s="153">
        <v>44812</v>
      </c>
      <c r="I169" s="153">
        <v>44844</v>
      </c>
      <c r="J169" s="153" t="s">
        <v>1626</v>
      </c>
      <c r="K169" s="139">
        <v>12</v>
      </c>
      <c r="L169" s="125">
        <v>33</v>
      </c>
    </row>
    <row r="170" spans="2:12" ht="15.75" thickBot="1" x14ac:dyDescent="0.3">
      <c r="B170" s="83" t="s">
        <v>535</v>
      </c>
      <c r="C170" s="83" t="s">
        <v>1616</v>
      </c>
      <c r="D170" s="152">
        <v>4</v>
      </c>
      <c r="E170" s="139">
        <v>4</v>
      </c>
      <c r="F170" s="85" t="s">
        <v>1618</v>
      </c>
      <c r="G170" s="91" t="s">
        <v>1619</v>
      </c>
      <c r="H170" s="153">
        <v>44845</v>
      </c>
      <c r="I170" s="153">
        <v>44873</v>
      </c>
      <c r="J170" s="153" t="s">
        <v>1626</v>
      </c>
      <c r="K170" s="139">
        <v>4</v>
      </c>
      <c r="L170" s="125">
        <v>29</v>
      </c>
    </row>
    <row r="171" spans="2:12" ht="15.75" thickBot="1" x14ac:dyDescent="0.3">
      <c r="B171" s="83" t="s">
        <v>535</v>
      </c>
      <c r="C171" s="83" t="s">
        <v>1616</v>
      </c>
      <c r="D171" s="152">
        <v>3</v>
      </c>
      <c r="E171" s="139">
        <v>3</v>
      </c>
      <c r="F171" s="85" t="s">
        <v>1618</v>
      </c>
      <c r="G171" s="91" t="s">
        <v>1619</v>
      </c>
      <c r="H171" s="153">
        <v>44874</v>
      </c>
      <c r="I171" s="153">
        <v>44904</v>
      </c>
      <c r="J171" s="153" t="s">
        <v>1626</v>
      </c>
      <c r="K171" s="139">
        <v>3</v>
      </c>
      <c r="L171" s="125">
        <v>31</v>
      </c>
    </row>
    <row r="172" spans="2:12" ht="15.75" thickBot="1" x14ac:dyDescent="0.3">
      <c r="B172" s="83" t="s">
        <v>535</v>
      </c>
      <c r="C172" s="83" t="s">
        <v>1616</v>
      </c>
      <c r="D172" s="152">
        <v>1.5714285714285714</v>
      </c>
      <c r="E172" s="139">
        <v>1.5714285714285714</v>
      </c>
      <c r="F172" s="85" t="s">
        <v>1618</v>
      </c>
      <c r="G172" s="91" t="s">
        <v>1619</v>
      </c>
      <c r="H172" s="153">
        <v>44905</v>
      </c>
      <c r="I172" s="153">
        <v>44932</v>
      </c>
      <c r="J172" s="153" t="s">
        <v>1626</v>
      </c>
      <c r="K172" s="139">
        <v>2</v>
      </c>
      <c r="L172" s="125">
        <v>22</v>
      </c>
    </row>
    <row r="173" spans="2:12" ht="15.75" thickBot="1" x14ac:dyDescent="0.3">
      <c r="B173" s="83" t="s">
        <v>535</v>
      </c>
      <c r="C173" s="83" t="s">
        <v>1616</v>
      </c>
      <c r="D173" s="152">
        <v>1.5172413793103448</v>
      </c>
      <c r="E173" s="139">
        <v>1.5172413793103448</v>
      </c>
      <c r="F173" s="85" t="s">
        <v>1618</v>
      </c>
      <c r="G173" s="91" t="s">
        <v>1619</v>
      </c>
      <c r="H173" s="153">
        <v>44544</v>
      </c>
      <c r="I173" s="153">
        <v>44572</v>
      </c>
      <c r="J173" s="153" t="s">
        <v>1626</v>
      </c>
      <c r="K173" s="139">
        <v>4</v>
      </c>
      <c r="L173" s="125">
        <v>11</v>
      </c>
    </row>
    <row r="174" spans="2:12" ht="15.75" thickBot="1" x14ac:dyDescent="0.3">
      <c r="B174" s="83" t="s">
        <v>535</v>
      </c>
      <c r="C174" s="83" t="s">
        <v>1616</v>
      </c>
      <c r="D174" s="152">
        <v>2</v>
      </c>
      <c r="E174" s="139">
        <v>2</v>
      </c>
      <c r="F174" s="85" t="s">
        <v>1618</v>
      </c>
      <c r="G174" s="91" t="s">
        <v>1619</v>
      </c>
      <c r="H174" s="153">
        <v>44573</v>
      </c>
      <c r="I174" s="153">
        <v>44601</v>
      </c>
      <c r="J174" s="153" t="s">
        <v>1626</v>
      </c>
      <c r="K174" s="139">
        <v>2</v>
      </c>
      <c r="L174" s="125">
        <v>29</v>
      </c>
    </row>
    <row r="175" spans="2:12" ht="15.75" thickBot="1" x14ac:dyDescent="0.3">
      <c r="B175" s="83" t="s">
        <v>535</v>
      </c>
      <c r="C175" s="83" t="s">
        <v>1616</v>
      </c>
      <c r="D175" s="152">
        <v>3</v>
      </c>
      <c r="E175" s="139">
        <v>3</v>
      </c>
      <c r="F175" s="85" t="s">
        <v>1618</v>
      </c>
      <c r="G175" s="91" t="s">
        <v>1619</v>
      </c>
      <c r="H175" s="153">
        <v>44602</v>
      </c>
      <c r="I175" s="153">
        <v>44629</v>
      </c>
      <c r="J175" s="153" t="s">
        <v>1626</v>
      </c>
      <c r="K175" s="139">
        <v>3</v>
      </c>
      <c r="L175" s="125">
        <v>28</v>
      </c>
    </row>
    <row r="176" spans="2:12" ht="15.75" thickBot="1" x14ac:dyDescent="0.3">
      <c r="B176" s="83" t="s">
        <v>535</v>
      </c>
      <c r="C176" s="83" t="s">
        <v>1616</v>
      </c>
      <c r="D176" s="152">
        <v>2</v>
      </c>
      <c r="E176" s="139">
        <v>2</v>
      </c>
      <c r="F176" s="85" t="s">
        <v>1618</v>
      </c>
      <c r="G176" s="91" t="s">
        <v>1619</v>
      </c>
      <c r="H176" s="153">
        <v>44630</v>
      </c>
      <c r="I176" s="153">
        <v>44662</v>
      </c>
      <c r="J176" s="153" t="s">
        <v>1626</v>
      </c>
      <c r="K176" s="139">
        <v>2</v>
      </c>
      <c r="L176" s="125">
        <v>33</v>
      </c>
    </row>
    <row r="177" spans="2:12" ht="15.75" thickBot="1" x14ac:dyDescent="0.3">
      <c r="B177" s="83" t="s">
        <v>535</v>
      </c>
      <c r="C177" s="83" t="s">
        <v>1616</v>
      </c>
      <c r="D177" s="152">
        <v>5</v>
      </c>
      <c r="E177" s="139">
        <v>5</v>
      </c>
      <c r="F177" s="85" t="s">
        <v>1618</v>
      </c>
      <c r="G177" s="91" t="s">
        <v>1619</v>
      </c>
      <c r="H177" s="153">
        <v>44663</v>
      </c>
      <c r="I177" s="153">
        <v>44691</v>
      </c>
      <c r="J177" s="153" t="s">
        <v>1626</v>
      </c>
      <c r="K177" s="139">
        <v>5</v>
      </c>
      <c r="L177" s="125">
        <v>29</v>
      </c>
    </row>
    <row r="178" spans="2:12" ht="15.75" thickBot="1" x14ac:dyDescent="0.3">
      <c r="B178" s="83" t="s">
        <v>535</v>
      </c>
      <c r="C178" s="83" t="s">
        <v>1616</v>
      </c>
      <c r="D178" s="152">
        <v>2</v>
      </c>
      <c r="E178" s="139">
        <v>2</v>
      </c>
      <c r="F178" s="85" t="s">
        <v>1618</v>
      </c>
      <c r="G178" s="91" t="s">
        <v>1619</v>
      </c>
      <c r="H178" s="153">
        <v>44692</v>
      </c>
      <c r="I178" s="153">
        <v>44721</v>
      </c>
      <c r="J178" s="153" t="s">
        <v>1626</v>
      </c>
      <c r="K178" s="139">
        <v>2</v>
      </c>
      <c r="L178" s="125">
        <v>30</v>
      </c>
    </row>
    <row r="179" spans="2:12" ht="15.75" thickBot="1" x14ac:dyDescent="0.3">
      <c r="B179" s="83" t="s">
        <v>535</v>
      </c>
      <c r="C179" s="83" t="s">
        <v>1616</v>
      </c>
      <c r="D179" s="152">
        <v>2</v>
      </c>
      <c r="E179" s="139">
        <v>2</v>
      </c>
      <c r="F179" s="85" t="s">
        <v>1618</v>
      </c>
      <c r="G179" s="91" t="s">
        <v>1619</v>
      </c>
      <c r="H179" s="153">
        <v>44722</v>
      </c>
      <c r="I179" s="153">
        <v>44753</v>
      </c>
      <c r="J179" s="153" t="s">
        <v>1626</v>
      </c>
      <c r="K179" s="139">
        <v>2</v>
      </c>
      <c r="L179" s="125">
        <v>32</v>
      </c>
    </row>
    <row r="180" spans="2:12" ht="15.75" thickBot="1" x14ac:dyDescent="0.3">
      <c r="B180" s="83" t="s">
        <v>535</v>
      </c>
      <c r="C180" s="83" t="s">
        <v>1616</v>
      </c>
      <c r="D180" s="152">
        <v>2</v>
      </c>
      <c r="E180" s="139">
        <v>2</v>
      </c>
      <c r="F180" s="85" t="s">
        <v>1618</v>
      </c>
      <c r="G180" s="91" t="s">
        <v>1619</v>
      </c>
      <c r="H180" s="153">
        <v>44754</v>
      </c>
      <c r="I180" s="153">
        <v>44782</v>
      </c>
      <c r="J180" s="153" t="s">
        <v>1626</v>
      </c>
      <c r="K180" s="139">
        <v>2</v>
      </c>
      <c r="L180" s="125">
        <v>29</v>
      </c>
    </row>
    <row r="181" spans="2:12" ht="15.75" thickBot="1" x14ac:dyDescent="0.3">
      <c r="B181" s="83" t="s">
        <v>535</v>
      </c>
      <c r="C181" s="83" t="s">
        <v>1616</v>
      </c>
      <c r="D181" s="152">
        <v>13</v>
      </c>
      <c r="E181" s="139">
        <v>13</v>
      </c>
      <c r="F181" s="85" t="s">
        <v>1618</v>
      </c>
      <c r="G181" s="91" t="s">
        <v>1619</v>
      </c>
      <c r="H181" s="153">
        <v>44783</v>
      </c>
      <c r="I181" s="153">
        <v>44813</v>
      </c>
      <c r="J181" s="153" t="s">
        <v>1626</v>
      </c>
      <c r="K181" s="139">
        <v>13</v>
      </c>
      <c r="L181" s="125">
        <v>31</v>
      </c>
    </row>
    <row r="182" spans="2:12" ht="15.75" thickBot="1" x14ac:dyDescent="0.3">
      <c r="B182" s="83" t="s">
        <v>535</v>
      </c>
      <c r="C182" s="83" t="s">
        <v>1616</v>
      </c>
      <c r="D182" s="152">
        <v>3</v>
      </c>
      <c r="E182" s="139">
        <v>3</v>
      </c>
      <c r="F182" s="85" t="s">
        <v>1618</v>
      </c>
      <c r="G182" s="91" t="s">
        <v>1619</v>
      </c>
      <c r="H182" s="153">
        <v>44814</v>
      </c>
      <c r="I182" s="153">
        <v>44846</v>
      </c>
      <c r="J182" s="153" t="s">
        <v>1626</v>
      </c>
      <c r="K182" s="139">
        <v>3</v>
      </c>
      <c r="L182" s="125">
        <v>33</v>
      </c>
    </row>
    <row r="183" spans="2:12" ht="15.75" thickBot="1" x14ac:dyDescent="0.3">
      <c r="B183" s="83" t="s">
        <v>535</v>
      </c>
      <c r="C183" s="83" t="s">
        <v>1616</v>
      </c>
      <c r="D183" s="152">
        <v>5</v>
      </c>
      <c r="E183" s="139">
        <v>5</v>
      </c>
      <c r="F183" s="85" t="s">
        <v>1618</v>
      </c>
      <c r="G183" s="91" t="s">
        <v>1619</v>
      </c>
      <c r="H183" s="153">
        <v>44847</v>
      </c>
      <c r="I183" s="153">
        <v>44875</v>
      </c>
      <c r="J183" s="153" t="s">
        <v>1626</v>
      </c>
      <c r="K183" s="139">
        <v>5</v>
      </c>
      <c r="L183" s="125">
        <v>29</v>
      </c>
    </row>
    <row r="184" spans="2:12" ht="15.75" thickBot="1" x14ac:dyDescent="0.3">
      <c r="B184" s="83" t="s">
        <v>535</v>
      </c>
      <c r="C184" s="83" t="s">
        <v>1616</v>
      </c>
      <c r="D184" s="152">
        <v>2</v>
      </c>
      <c r="E184" s="139">
        <v>2</v>
      </c>
      <c r="F184" s="85" t="s">
        <v>1618</v>
      </c>
      <c r="G184" s="91" t="s">
        <v>1619</v>
      </c>
      <c r="H184" s="153">
        <v>44876</v>
      </c>
      <c r="I184" s="153">
        <v>44908</v>
      </c>
      <c r="J184" s="153" t="s">
        <v>1626</v>
      </c>
      <c r="K184" s="139">
        <v>2</v>
      </c>
      <c r="L184" s="125">
        <v>33</v>
      </c>
    </row>
    <row r="185" spans="2:12" ht="15.75" thickBot="1" x14ac:dyDescent="0.3">
      <c r="B185" s="83" t="s">
        <v>535</v>
      </c>
      <c r="C185" s="83" t="s">
        <v>1616</v>
      </c>
      <c r="D185" s="152">
        <v>10.285714285714286</v>
      </c>
      <c r="E185" s="139">
        <v>10.285714285714286</v>
      </c>
      <c r="F185" s="85" t="s">
        <v>1618</v>
      </c>
      <c r="G185" s="91" t="s">
        <v>1619</v>
      </c>
      <c r="H185" s="153">
        <v>44909</v>
      </c>
      <c r="I185" s="153">
        <v>44936</v>
      </c>
      <c r="J185" s="153" t="s">
        <v>1626</v>
      </c>
      <c r="K185" s="139">
        <v>16</v>
      </c>
      <c r="L185" s="125">
        <v>18</v>
      </c>
    </row>
    <row r="186" spans="2:12" ht="15.75" thickBot="1" x14ac:dyDescent="0.3">
      <c r="B186" s="83" t="s">
        <v>3278</v>
      </c>
      <c r="C186" s="83" t="s">
        <v>1616</v>
      </c>
      <c r="D186" s="152">
        <v>0.70967741935483875</v>
      </c>
      <c r="E186" s="139">
        <v>0.70967741935483875</v>
      </c>
      <c r="F186" s="85" t="s">
        <v>1618</v>
      </c>
      <c r="G186" s="91" t="s">
        <v>1619</v>
      </c>
      <c r="H186" s="153">
        <v>44553</v>
      </c>
      <c r="I186" s="153">
        <v>44583</v>
      </c>
      <c r="J186" s="153" t="s">
        <v>1629</v>
      </c>
      <c r="K186" s="139">
        <v>1</v>
      </c>
      <c r="L186" s="125">
        <v>22</v>
      </c>
    </row>
    <row r="187" spans="2:12" ht="15.75" thickBot="1" x14ac:dyDescent="0.3">
      <c r="B187" s="83" t="s">
        <v>3278</v>
      </c>
      <c r="C187" s="83" t="s">
        <v>1616</v>
      </c>
      <c r="D187" s="152">
        <v>3</v>
      </c>
      <c r="E187" s="139">
        <v>3</v>
      </c>
      <c r="F187" s="85" t="s">
        <v>1618</v>
      </c>
      <c r="G187" s="91" t="s">
        <v>1619</v>
      </c>
      <c r="H187" s="153">
        <v>44584</v>
      </c>
      <c r="I187" s="153">
        <v>44609</v>
      </c>
      <c r="J187" s="153" t="s">
        <v>1629</v>
      </c>
      <c r="K187" s="139">
        <v>3</v>
      </c>
      <c r="L187" s="125">
        <v>26</v>
      </c>
    </row>
    <row r="188" spans="2:12" ht="15.75" thickBot="1" x14ac:dyDescent="0.3">
      <c r="B188" s="83" t="s">
        <v>3278</v>
      </c>
      <c r="C188" s="83" t="s">
        <v>1616</v>
      </c>
      <c r="D188" s="152">
        <v>1</v>
      </c>
      <c r="E188" s="139">
        <v>1</v>
      </c>
      <c r="F188" s="85" t="s">
        <v>1618</v>
      </c>
      <c r="G188" s="91" t="s">
        <v>1619</v>
      </c>
      <c r="H188" s="153">
        <v>44610</v>
      </c>
      <c r="I188" s="153">
        <v>44637</v>
      </c>
      <c r="J188" s="153" t="s">
        <v>1629</v>
      </c>
      <c r="K188" s="139">
        <v>1</v>
      </c>
      <c r="L188" s="125">
        <v>28</v>
      </c>
    </row>
    <row r="189" spans="2:12" ht="15.75" thickBot="1" x14ac:dyDescent="0.3">
      <c r="B189" s="83" t="s">
        <v>3278</v>
      </c>
      <c r="C189" s="83" t="s">
        <v>1616</v>
      </c>
      <c r="D189" s="152">
        <v>3</v>
      </c>
      <c r="E189" s="139">
        <v>3</v>
      </c>
      <c r="F189" s="85" t="s">
        <v>1618</v>
      </c>
      <c r="G189" s="91" t="s">
        <v>1619</v>
      </c>
      <c r="H189" s="153">
        <v>44638</v>
      </c>
      <c r="I189" s="153">
        <v>44670</v>
      </c>
      <c r="J189" s="153" t="s">
        <v>1629</v>
      </c>
      <c r="K189" s="139">
        <v>3</v>
      </c>
      <c r="L189" s="125">
        <v>33</v>
      </c>
    </row>
    <row r="190" spans="2:12" ht="15.75" thickBot="1" x14ac:dyDescent="0.3">
      <c r="B190" s="83" t="s">
        <v>3278</v>
      </c>
      <c r="C190" s="83" t="s">
        <v>1616</v>
      </c>
      <c r="D190" s="152">
        <v>2</v>
      </c>
      <c r="E190" s="139">
        <v>2</v>
      </c>
      <c r="F190" s="85" t="s">
        <v>1618</v>
      </c>
      <c r="G190" s="91" t="s">
        <v>1619</v>
      </c>
      <c r="H190" s="153">
        <v>44671</v>
      </c>
      <c r="I190" s="153">
        <v>44700</v>
      </c>
      <c r="J190" s="153" t="s">
        <v>1629</v>
      </c>
      <c r="K190" s="139">
        <v>2</v>
      </c>
      <c r="L190" s="125">
        <v>30</v>
      </c>
    </row>
    <row r="191" spans="2:12" ht="15.75" thickBot="1" x14ac:dyDescent="0.3">
      <c r="B191" s="83" t="s">
        <v>3278</v>
      </c>
      <c r="C191" s="83" t="s">
        <v>1616</v>
      </c>
      <c r="D191" s="152">
        <v>2</v>
      </c>
      <c r="E191" s="139">
        <v>2</v>
      </c>
      <c r="F191" s="85" t="s">
        <v>1618</v>
      </c>
      <c r="G191" s="91" t="s">
        <v>1619</v>
      </c>
      <c r="H191" s="153">
        <v>44701</v>
      </c>
      <c r="I191" s="153">
        <v>44733</v>
      </c>
      <c r="J191" s="153" t="s">
        <v>1629</v>
      </c>
      <c r="K191" s="139">
        <v>2</v>
      </c>
      <c r="L191" s="125">
        <v>33</v>
      </c>
    </row>
    <row r="192" spans="2:12" ht="15.75" thickBot="1" x14ac:dyDescent="0.3">
      <c r="B192" s="83" t="s">
        <v>3278</v>
      </c>
      <c r="C192" s="83" t="s">
        <v>1616</v>
      </c>
      <c r="D192" s="152">
        <v>2</v>
      </c>
      <c r="E192" s="139">
        <v>2</v>
      </c>
      <c r="F192" s="85" t="s">
        <v>1618</v>
      </c>
      <c r="G192" s="91" t="s">
        <v>1619</v>
      </c>
      <c r="H192" s="153">
        <v>44734</v>
      </c>
      <c r="I192" s="153">
        <v>44763</v>
      </c>
      <c r="J192" s="153" t="s">
        <v>1629</v>
      </c>
      <c r="K192" s="139">
        <v>2</v>
      </c>
      <c r="L192" s="125">
        <v>30</v>
      </c>
    </row>
    <row r="193" spans="2:12" ht="15.75" thickBot="1" x14ac:dyDescent="0.3">
      <c r="B193" s="83" t="s">
        <v>3278</v>
      </c>
      <c r="C193" s="83" t="s">
        <v>1616</v>
      </c>
      <c r="D193" s="152">
        <v>3</v>
      </c>
      <c r="E193" s="139">
        <v>3</v>
      </c>
      <c r="F193" s="85" t="s">
        <v>1618</v>
      </c>
      <c r="G193" s="91" t="s">
        <v>1619</v>
      </c>
      <c r="H193" s="153">
        <v>44764</v>
      </c>
      <c r="I193" s="153">
        <v>44792</v>
      </c>
      <c r="J193" s="153" t="s">
        <v>1629</v>
      </c>
      <c r="K193" s="139">
        <v>3</v>
      </c>
      <c r="L193" s="125">
        <v>29</v>
      </c>
    </row>
    <row r="194" spans="2:12" ht="15.75" thickBot="1" x14ac:dyDescent="0.3">
      <c r="B194" s="83" t="s">
        <v>3278</v>
      </c>
      <c r="C194" s="83" t="s">
        <v>1616</v>
      </c>
      <c r="D194" s="152">
        <v>2</v>
      </c>
      <c r="E194" s="139">
        <v>2</v>
      </c>
      <c r="F194" s="85" t="s">
        <v>1618</v>
      </c>
      <c r="G194" s="91" t="s">
        <v>1619</v>
      </c>
      <c r="H194" s="153">
        <v>44793</v>
      </c>
      <c r="I194" s="153">
        <v>44823</v>
      </c>
      <c r="J194" s="153" t="s">
        <v>1629</v>
      </c>
      <c r="K194" s="139">
        <v>2</v>
      </c>
      <c r="L194" s="125">
        <v>31</v>
      </c>
    </row>
    <row r="195" spans="2:12" ht="15.75" thickBot="1" x14ac:dyDescent="0.3">
      <c r="B195" s="83" t="s">
        <v>3278</v>
      </c>
      <c r="C195" s="83" t="s">
        <v>1616</v>
      </c>
      <c r="D195" s="152">
        <v>3</v>
      </c>
      <c r="E195" s="139">
        <v>3</v>
      </c>
      <c r="F195" s="85" t="s">
        <v>1618</v>
      </c>
      <c r="G195" s="91" t="s">
        <v>1619</v>
      </c>
      <c r="H195" s="153">
        <v>44824</v>
      </c>
      <c r="I195" s="153">
        <v>44855</v>
      </c>
      <c r="J195" s="153" t="s">
        <v>1629</v>
      </c>
      <c r="K195" s="139">
        <v>3</v>
      </c>
      <c r="L195" s="125">
        <v>32</v>
      </c>
    </row>
    <row r="196" spans="2:12" ht="15.75" thickBot="1" x14ac:dyDescent="0.3">
      <c r="B196" s="83" t="s">
        <v>3278</v>
      </c>
      <c r="C196" s="83" t="s">
        <v>1616</v>
      </c>
      <c r="D196" s="152">
        <v>2</v>
      </c>
      <c r="E196" s="139">
        <v>2</v>
      </c>
      <c r="F196" s="85" t="s">
        <v>1618</v>
      </c>
      <c r="G196" s="91" t="s">
        <v>1619</v>
      </c>
      <c r="H196" s="153">
        <v>44856</v>
      </c>
      <c r="I196" s="153">
        <v>44885</v>
      </c>
      <c r="J196" s="153" t="s">
        <v>1629</v>
      </c>
      <c r="K196" s="139">
        <v>2</v>
      </c>
      <c r="L196" s="125">
        <v>30</v>
      </c>
    </row>
    <row r="197" spans="2:12" ht="15.75" thickBot="1" x14ac:dyDescent="0.3">
      <c r="B197" s="83" t="s">
        <v>3278</v>
      </c>
      <c r="C197" s="83" t="s">
        <v>1616</v>
      </c>
      <c r="D197" s="152">
        <v>2</v>
      </c>
      <c r="E197" s="139">
        <v>2</v>
      </c>
      <c r="F197" s="85" t="s">
        <v>1618</v>
      </c>
      <c r="G197" s="91" t="s">
        <v>1619</v>
      </c>
      <c r="H197" s="153">
        <v>44886</v>
      </c>
      <c r="I197" s="153">
        <v>44916</v>
      </c>
      <c r="J197" s="153" t="s">
        <v>1629</v>
      </c>
      <c r="K197" s="139">
        <v>2</v>
      </c>
      <c r="L197" s="125">
        <v>31</v>
      </c>
    </row>
    <row r="198" spans="2:12" ht="15.75" thickBot="1" x14ac:dyDescent="0.3">
      <c r="B198" s="83" t="s">
        <v>3278</v>
      </c>
      <c r="C198" s="83" t="s">
        <v>1616</v>
      </c>
      <c r="D198" s="152">
        <v>0.64516129032258063</v>
      </c>
      <c r="E198" s="139">
        <v>0.64516129032258063</v>
      </c>
      <c r="F198" s="85" t="s">
        <v>1618</v>
      </c>
      <c r="G198" s="91" t="s">
        <v>1619</v>
      </c>
      <c r="H198" s="153">
        <v>44917</v>
      </c>
      <c r="I198" s="153">
        <v>44947</v>
      </c>
      <c r="J198" s="153" t="s">
        <v>1629</v>
      </c>
      <c r="K198" s="139">
        <v>2</v>
      </c>
      <c r="L198" s="125">
        <v>10</v>
      </c>
    </row>
    <row r="199" spans="2:12" ht="15.75" thickBot="1" x14ac:dyDescent="0.3">
      <c r="B199" s="83" t="s">
        <v>535</v>
      </c>
      <c r="C199" s="83" t="s">
        <v>1616</v>
      </c>
      <c r="D199" s="152">
        <v>0.87096774193548387</v>
      </c>
      <c r="E199" s="139">
        <v>0.87096774193548387</v>
      </c>
      <c r="F199" s="85" t="s">
        <v>1618</v>
      </c>
      <c r="G199" s="91" t="s">
        <v>1619</v>
      </c>
      <c r="H199" s="153">
        <v>44540</v>
      </c>
      <c r="I199" s="153">
        <v>44570</v>
      </c>
      <c r="J199" s="153" t="s">
        <v>1626</v>
      </c>
      <c r="K199" s="139">
        <v>3</v>
      </c>
      <c r="L199" s="125">
        <v>9</v>
      </c>
    </row>
    <row r="200" spans="2:12" ht="15.75" thickBot="1" x14ac:dyDescent="0.3">
      <c r="B200" s="83" t="s">
        <v>535</v>
      </c>
      <c r="C200" s="83" t="s">
        <v>1616</v>
      </c>
      <c r="D200" s="152">
        <v>5</v>
      </c>
      <c r="E200" s="139">
        <v>5</v>
      </c>
      <c r="F200" s="85" t="s">
        <v>1618</v>
      </c>
      <c r="G200" s="91" t="s">
        <v>1619</v>
      </c>
      <c r="H200" s="153">
        <v>44571</v>
      </c>
      <c r="I200" s="153">
        <v>44599</v>
      </c>
      <c r="J200" s="153" t="s">
        <v>1626</v>
      </c>
      <c r="K200" s="139">
        <v>5</v>
      </c>
      <c r="L200" s="125">
        <v>29</v>
      </c>
    </row>
    <row r="201" spans="2:12" ht="15.75" thickBot="1" x14ac:dyDescent="0.3">
      <c r="B201" s="83" t="s">
        <v>535</v>
      </c>
      <c r="C201" s="83" t="s">
        <v>1616</v>
      </c>
      <c r="D201" s="152">
        <v>5</v>
      </c>
      <c r="E201" s="139">
        <v>5</v>
      </c>
      <c r="F201" s="85" t="s">
        <v>1618</v>
      </c>
      <c r="G201" s="91" t="s">
        <v>1619</v>
      </c>
      <c r="H201" s="153">
        <v>44600</v>
      </c>
      <c r="I201" s="153">
        <v>44630</v>
      </c>
      <c r="J201" s="153" t="s">
        <v>1626</v>
      </c>
      <c r="K201" s="139">
        <v>5</v>
      </c>
      <c r="L201" s="125">
        <v>31</v>
      </c>
    </row>
    <row r="202" spans="2:12" ht="15.75" thickBot="1" x14ac:dyDescent="0.3">
      <c r="B202" s="83" t="s">
        <v>535</v>
      </c>
      <c r="C202" s="83" t="s">
        <v>1616</v>
      </c>
      <c r="D202" s="152">
        <v>5</v>
      </c>
      <c r="E202" s="139">
        <v>5</v>
      </c>
      <c r="F202" s="85" t="s">
        <v>1618</v>
      </c>
      <c r="G202" s="91" t="s">
        <v>1619</v>
      </c>
      <c r="H202" s="153">
        <v>44631</v>
      </c>
      <c r="I202" s="153">
        <v>44657</v>
      </c>
      <c r="J202" s="153" t="s">
        <v>1626</v>
      </c>
      <c r="K202" s="139">
        <v>5</v>
      </c>
      <c r="L202" s="125">
        <v>27</v>
      </c>
    </row>
    <row r="203" spans="2:12" ht="15.75" thickBot="1" x14ac:dyDescent="0.3">
      <c r="B203" s="83" t="s">
        <v>535</v>
      </c>
      <c r="C203" s="83" t="s">
        <v>1616</v>
      </c>
      <c r="D203" s="152">
        <v>5</v>
      </c>
      <c r="E203" s="139">
        <v>5</v>
      </c>
      <c r="F203" s="85" t="s">
        <v>1618</v>
      </c>
      <c r="G203" s="91" t="s">
        <v>1619</v>
      </c>
      <c r="H203" s="153">
        <v>44658</v>
      </c>
      <c r="I203" s="153">
        <v>44687</v>
      </c>
      <c r="J203" s="153" t="s">
        <v>1626</v>
      </c>
      <c r="K203" s="139">
        <v>5</v>
      </c>
      <c r="L203" s="125">
        <v>30</v>
      </c>
    </row>
    <row r="204" spans="2:12" ht="15.75" thickBot="1" x14ac:dyDescent="0.3">
      <c r="B204" s="83" t="s">
        <v>535</v>
      </c>
      <c r="C204" s="83" t="s">
        <v>1616</v>
      </c>
      <c r="D204" s="152">
        <v>11</v>
      </c>
      <c r="E204" s="139">
        <v>11</v>
      </c>
      <c r="F204" s="85" t="s">
        <v>1618</v>
      </c>
      <c r="G204" s="91" t="s">
        <v>1619</v>
      </c>
      <c r="H204" s="153">
        <v>44688</v>
      </c>
      <c r="I204" s="153">
        <v>44719</v>
      </c>
      <c r="J204" s="153" t="s">
        <v>1626</v>
      </c>
      <c r="K204" s="139">
        <v>11</v>
      </c>
      <c r="L204" s="125">
        <v>32</v>
      </c>
    </row>
    <row r="205" spans="2:12" ht="15.75" thickBot="1" x14ac:dyDescent="0.3">
      <c r="B205" s="83" t="s">
        <v>535</v>
      </c>
      <c r="C205" s="83" t="s">
        <v>1616</v>
      </c>
      <c r="D205" s="152">
        <v>6</v>
      </c>
      <c r="E205" s="139">
        <v>6</v>
      </c>
      <c r="F205" s="85" t="s">
        <v>1618</v>
      </c>
      <c r="G205" s="91" t="s">
        <v>1619</v>
      </c>
      <c r="H205" s="153">
        <v>44720</v>
      </c>
      <c r="I205" s="153">
        <v>44750</v>
      </c>
      <c r="J205" s="153" t="s">
        <v>1626</v>
      </c>
      <c r="K205" s="139">
        <v>6</v>
      </c>
      <c r="L205" s="125">
        <v>31</v>
      </c>
    </row>
    <row r="206" spans="2:12" ht="15.75" thickBot="1" x14ac:dyDescent="0.3">
      <c r="B206" s="83" t="s">
        <v>535</v>
      </c>
      <c r="C206" s="83" t="s">
        <v>1616</v>
      </c>
      <c r="D206" s="152">
        <v>6</v>
      </c>
      <c r="E206" s="139">
        <v>6</v>
      </c>
      <c r="F206" s="85" t="s">
        <v>1618</v>
      </c>
      <c r="G206" s="91" t="s">
        <v>1619</v>
      </c>
      <c r="H206" s="153">
        <v>44751</v>
      </c>
      <c r="I206" s="153">
        <v>44778</v>
      </c>
      <c r="J206" s="153" t="s">
        <v>1626</v>
      </c>
      <c r="K206" s="139">
        <v>6</v>
      </c>
      <c r="L206" s="125">
        <v>28</v>
      </c>
    </row>
    <row r="207" spans="2:12" ht="15.75" thickBot="1" x14ac:dyDescent="0.3">
      <c r="B207" s="83" t="s">
        <v>535</v>
      </c>
      <c r="C207" s="83" t="s">
        <v>1616</v>
      </c>
      <c r="D207" s="152">
        <v>6</v>
      </c>
      <c r="E207" s="139">
        <v>6</v>
      </c>
      <c r="F207" s="85" t="s">
        <v>1618</v>
      </c>
      <c r="G207" s="91" t="s">
        <v>1619</v>
      </c>
      <c r="H207" s="153">
        <v>44779</v>
      </c>
      <c r="I207" s="153">
        <v>44809</v>
      </c>
      <c r="J207" s="153" t="s">
        <v>1626</v>
      </c>
      <c r="K207" s="139">
        <v>6</v>
      </c>
      <c r="L207" s="125">
        <v>31</v>
      </c>
    </row>
    <row r="208" spans="2:12" ht="15.75" thickBot="1" x14ac:dyDescent="0.3">
      <c r="B208" s="83" t="s">
        <v>535</v>
      </c>
      <c r="C208" s="83" t="s">
        <v>1616</v>
      </c>
      <c r="D208" s="152">
        <v>9</v>
      </c>
      <c r="E208" s="139">
        <v>9</v>
      </c>
      <c r="F208" s="85" t="s">
        <v>1618</v>
      </c>
      <c r="G208" s="91" t="s">
        <v>1619</v>
      </c>
      <c r="H208" s="153">
        <v>44810</v>
      </c>
      <c r="I208" s="153">
        <v>44844</v>
      </c>
      <c r="J208" s="153" t="s">
        <v>1626</v>
      </c>
      <c r="K208" s="139">
        <v>9</v>
      </c>
      <c r="L208" s="125">
        <v>35</v>
      </c>
    </row>
    <row r="209" spans="2:12" ht="15.75" thickBot="1" x14ac:dyDescent="0.3">
      <c r="B209" s="83" t="s">
        <v>535</v>
      </c>
      <c r="C209" s="83" t="s">
        <v>1616</v>
      </c>
      <c r="D209" s="152">
        <v>4</v>
      </c>
      <c r="E209" s="139">
        <v>4</v>
      </c>
      <c r="F209" s="85" t="s">
        <v>1618</v>
      </c>
      <c r="G209" s="91" t="s">
        <v>1619</v>
      </c>
      <c r="H209" s="153">
        <v>44845</v>
      </c>
      <c r="I209" s="153">
        <v>44875</v>
      </c>
      <c r="J209" s="153" t="s">
        <v>1626</v>
      </c>
      <c r="K209" s="139">
        <v>4</v>
      </c>
      <c r="L209" s="125">
        <v>31</v>
      </c>
    </row>
    <row r="210" spans="2:12" ht="15.75" thickBot="1" x14ac:dyDescent="0.3">
      <c r="B210" s="83" t="s">
        <v>535</v>
      </c>
      <c r="C210" s="83" t="s">
        <v>1616</v>
      </c>
      <c r="D210" s="152">
        <v>4</v>
      </c>
      <c r="E210" s="139">
        <v>4</v>
      </c>
      <c r="F210" s="85" t="s">
        <v>1618</v>
      </c>
      <c r="G210" s="91" t="s">
        <v>1619</v>
      </c>
      <c r="H210" s="153">
        <v>44876</v>
      </c>
      <c r="I210" s="153">
        <v>44904</v>
      </c>
      <c r="J210" s="153" t="s">
        <v>1626</v>
      </c>
      <c r="K210" s="139">
        <v>4</v>
      </c>
      <c r="L210" s="125">
        <v>29</v>
      </c>
    </row>
    <row r="211" spans="2:12" ht="15.75" thickBot="1" x14ac:dyDescent="0.3">
      <c r="B211" s="83" t="s">
        <v>535</v>
      </c>
      <c r="C211" s="83" t="s">
        <v>1616</v>
      </c>
      <c r="D211" s="152">
        <v>2.838709677419355</v>
      </c>
      <c r="E211" s="139">
        <v>2.838709677419355</v>
      </c>
      <c r="F211" s="85" t="s">
        <v>1618</v>
      </c>
      <c r="G211" s="91" t="s">
        <v>1619</v>
      </c>
      <c r="H211" s="153">
        <v>44905</v>
      </c>
      <c r="I211" s="153">
        <v>44935</v>
      </c>
      <c r="J211" s="153" t="s">
        <v>1626</v>
      </c>
      <c r="K211" s="139">
        <v>4</v>
      </c>
      <c r="L211" s="125">
        <v>22</v>
      </c>
    </row>
    <row r="212" spans="2:12" ht="15.75" thickBot="1" x14ac:dyDescent="0.3">
      <c r="B212" s="83" t="s">
        <v>3474</v>
      </c>
      <c r="C212" s="83" t="s">
        <v>1616</v>
      </c>
      <c r="D212" s="152">
        <v>11.586206896551724</v>
      </c>
      <c r="E212" s="139">
        <v>11.586206896551724</v>
      </c>
      <c r="F212" s="85" t="s">
        <v>1618</v>
      </c>
      <c r="G212" s="91" t="s">
        <v>1619</v>
      </c>
      <c r="H212" s="153">
        <v>44561</v>
      </c>
      <c r="I212" s="153">
        <v>44589</v>
      </c>
      <c r="J212" s="153" t="s">
        <v>1630</v>
      </c>
      <c r="K212" s="139">
        <v>12</v>
      </c>
      <c r="L212" s="125">
        <v>28</v>
      </c>
    </row>
    <row r="213" spans="2:12" ht="15.75" thickBot="1" x14ac:dyDescent="0.3">
      <c r="B213" s="83" t="s">
        <v>3474</v>
      </c>
      <c r="C213" s="83" t="s">
        <v>1616</v>
      </c>
      <c r="D213" s="152">
        <v>19</v>
      </c>
      <c r="E213" s="139">
        <v>19</v>
      </c>
      <c r="F213" s="85" t="s">
        <v>1618</v>
      </c>
      <c r="G213" s="91" t="s">
        <v>1619</v>
      </c>
      <c r="H213" s="153">
        <v>44590</v>
      </c>
      <c r="I213" s="153">
        <v>44622</v>
      </c>
      <c r="J213" s="153" t="s">
        <v>1630</v>
      </c>
      <c r="K213" s="139">
        <v>19</v>
      </c>
      <c r="L213" s="125">
        <v>33</v>
      </c>
    </row>
    <row r="214" spans="2:12" ht="15.75" thickBot="1" x14ac:dyDescent="0.3">
      <c r="B214" s="83" t="s">
        <v>3474</v>
      </c>
      <c r="C214" s="83" t="s">
        <v>1616</v>
      </c>
      <c r="D214" s="152">
        <v>16</v>
      </c>
      <c r="E214" s="139">
        <v>16</v>
      </c>
      <c r="F214" s="85" t="s">
        <v>1618</v>
      </c>
      <c r="G214" s="91" t="s">
        <v>1619</v>
      </c>
      <c r="H214" s="153">
        <v>44623</v>
      </c>
      <c r="I214" s="153">
        <v>44651</v>
      </c>
      <c r="J214" s="153" t="s">
        <v>1630</v>
      </c>
      <c r="K214" s="139">
        <v>16</v>
      </c>
      <c r="L214" s="125">
        <v>29</v>
      </c>
    </row>
    <row r="215" spans="2:12" ht="15.75" thickBot="1" x14ac:dyDescent="0.3">
      <c r="B215" s="83" t="s">
        <v>3474</v>
      </c>
      <c r="C215" s="83" t="s">
        <v>1616</v>
      </c>
      <c r="D215" s="152">
        <v>3</v>
      </c>
      <c r="E215" s="139">
        <v>3</v>
      </c>
      <c r="F215" s="85" t="s">
        <v>1618</v>
      </c>
      <c r="G215" s="91" t="s">
        <v>1619</v>
      </c>
      <c r="H215" s="153">
        <v>44652</v>
      </c>
      <c r="I215" s="153">
        <v>44680</v>
      </c>
      <c r="J215" s="153" t="s">
        <v>1630</v>
      </c>
      <c r="K215" s="139">
        <v>3</v>
      </c>
      <c r="L215" s="125">
        <v>29</v>
      </c>
    </row>
    <row r="216" spans="2:12" ht="15.75" thickBot="1" x14ac:dyDescent="0.3">
      <c r="B216" s="83" t="s">
        <v>3474</v>
      </c>
      <c r="C216" s="83" t="s">
        <v>1616</v>
      </c>
      <c r="D216" s="152">
        <v>4</v>
      </c>
      <c r="E216" s="139">
        <v>4</v>
      </c>
      <c r="F216" s="85" t="s">
        <v>1618</v>
      </c>
      <c r="G216" s="91" t="s">
        <v>1619</v>
      </c>
      <c r="H216" s="153">
        <v>44681</v>
      </c>
      <c r="I216" s="153">
        <v>44711</v>
      </c>
      <c r="J216" s="153" t="s">
        <v>1630</v>
      </c>
      <c r="K216" s="139">
        <v>4</v>
      </c>
      <c r="L216" s="125">
        <v>31</v>
      </c>
    </row>
    <row r="217" spans="2:12" ht="15.75" thickBot="1" x14ac:dyDescent="0.3">
      <c r="B217" s="83" t="s">
        <v>3474</v>
      </c>
      <c r="C217" s="83" t="s">
        <v>1616</v>
      </c>
      <c r="D217" s="152">
        <v>4</v>
      </c>
      <c r="E217" s="139">
        <v>4</v>
      </c>
      <c r="F217" s="85" t="s">
        <v>1618</v>
      </c>
      <c r="G217" s="91" t="s">
        <v>1619</v>
      </c>
      <c r="H217" s="153">
        <v>44712</v>
      </c>
      <c r="I217" s="153">
        <v>44742</v>
      </c>
      <c r="J217" s="153" t="s">
        <v>1630</v>
      </c>
      <c r="K217" s="139">
        <v>4</v>
      </c>
      <c r="L217" s="125">
        <v>31</v>
      </c>
    </row>
    <row r="218" spans="2:12" ht="15.75" thickBot="1" x14ac:dyDescent="0.3">
      <c r="B218" s="83" t="s">
        <v>3474</v>
      </c>
      <c r="C218" s="83" t="s">
        <v>1616</v>
      </c>
      <c r="D218" s="152">
        <v>8</v>
      </c>
      <c r="E218" s="139">
        <v>8</v>
      </c>
      <c r="F218" s="85" t="s">
        <v>1618</v>
      </c>
      <c r="G218" s="91" t="s">
        <v>1619</v>
      </c>
      <c r="H218" s="153">
        <v>44743</v>
      </c>
      <c r="I218" s="153">
        <v>44771</v>
      </c>
      <c r="J218" s="153" t="s">
        <v>1630</v>
      </c>
      <c r="K218" s="139">
        <v>8</v>
      </c>
      <c r="L218" s="125">
        <v>29</v>
      </c>
    </row>
    <row r="219" spans="2:12" ht="15.75" thickBot="1" x14ac:dyDescent="0.3">
      <c r="B219" s="83" t="s">
        <v>3474</v>
      </c>
      <c r="C219" s="83" t="s">
        <v>1616</v>
      </c>
      <c r="D219" s="152">
        <v>8</v>
      </c>
      <c r="E219" s="139">
        <v>8</v>
      </c>
      <c r="F219" s="85" t="s">
        <v>1618</v>
      </c>
      <c r="G219" s="91" t="s">
        <v>1619</v>
      </c>
      <c r="H219" s="153">
        <v>44772</v>
      </c>
      <c r="I219" s="153">
        <v>44803</v>
      </c>
      <c r="J219" s="153" t="s">
        <v>1630</v>
      </c>
      <c r="K219" s="139">
        <v>8</v>
      </c>
      <c r="L219" s="125">
        <v>32</v>
      </c>
    </row>
    <row r="220" spans="2:12" ht="15.75" thickBot="1" x14ac:dyDescent="0.3">
      <c r="B220" s="83" t="s">
        <v>3474</v>
      </c>
      <c r="C220" s="83" t="s">
        <v>1616</v>
      </c>
      <c r="D220" s="152">
        <v>12</v>
      </c>
      <c r="E220" s="139">
        <v>12</v>
      </c>
      <c r="F220" s="85" t="s">
        <v>1618</v>
      </c>
      <c r="G220" s="91" t="s">
        <v>1619</v>
      </c>
      <c r="H220" s="153">
        <v>44804</v>
      </c>
      <c r="I220" s="153">
        <v>44833</v>
      </c>
      <c r="J220" s="153" t="s">
        <v>1630</v>
      </c>
      <c r="K220" s="139">
        <v>12</v>
      </c>
      <c r="L220" s="125">
        <v>30</v>
      </c>
    </row>
    <row r="221" spans="2:12" ht="15.75" thickBot="1" x14ac:dyDescent="0.3">
      <c r="B221" s="83" t="s">
        <v>3474</v>
      </c>
      <c r="C221" s="83" t="s">
        <v>1616</v>
      </c>
      <c r="D221" s="152">
        <v>13</v>
      </c>
      <c r="E221" s="139">
        <v>13</v>
      </c>
      <c r="F221" s="85" t="s">
        <v>1618</v>
      </c>
      <c r="G221" s="91" t="s">
        <v>1619</v>
      </c>
      <c r="H221" s="153">
        <v>44834</v>
      </c>
      <c r="I221" s="153">
        <v>44862</v>
      </c>
      <c r="J221" s="153" t="s">
        <v>1630</v>
      </c>
      <c r="K221" s="139">
        <v>13</v>
      </c>
      <c r="L221" s="125">
        <v>29</v>
      </c>
    </row>
    <row r="222" spans="2:12" ht="15.75" thickBot="1" x14ac:dyDescent="0.3">
      <c r="B222" s="83" t="s">
        <v>3474</v>
      </c>
      <c r="C222" s="83" t="s">
        <v>1616</v>
      </c>
      <c r="D222" s="152">
        <v>18</v>
      </c>
      <c r="E222" s="139">
        <v>18</v>
      </c>
      <c r="F222" s="85" t="s">
        <v>1618</v>
      </c>
      <c r="G222" s="91" t="s">
        <v>1619</v>
      </c>
      <c r="H222" s="153">
        <v>44863</v>
      </c>
      <c r="I222" s="153">
        <v>44894</v>
      </c>
      <c r="J222" s="153" t="s">
        <v>1630</v>
      </c>
      <c r="K222" s="139">
        <v>18</v>
      </c>
      <c r="L222" s="125">
        <v>32</v>
      </c>
    </row>
    <row r="223" spans="2:12" ht="15.75" thickBot="1" x14ac:dyDescent="0.3">
      <c r="B223" s="83" t="s">
        <v>3474</v>
      </c>
      <c r="C223" s="83" t="s">
        <v>1616</v>
      </c>
      <c r="D223" s="152">
        <v>11</v>
      </c>
      <c r="E223" s="139">
        <v>11</v>
      </c>
      <c r="F223" s="85" t="s">
        <v>1618</v>
      </c>
      <c r="G223" s="91" t="s">
        <v>1619</v>
      </c>
      <c r="H223" s="153">
        <v>44895</v>
      </c>
      <c r="I223" s="153">
        <v>44924</v>
      </c>
      <c r="J223" s="153" t="s">
        <v>1630</v>
      </c>
      <c r="K223" s="139">
        <v>11</v>
      </c>
      <c r="L223" s="125">
        <v>30</v>
      </c>
    </row>
    <row r="224" spans="2:12" ht="15.75" thickBot="1" x14ac:dyDescent="0.3">
      <c r="B224" s="83" t="s">
        <v>3474</v>
      </c>
      <c r="C224" s="83" t="s">
        <v>1616</v>
      </c>
      <c r="D224" s="152">
        <v>0.875</v>
      </c>
      <c r="E224" s="139">
        <v>0.875</v>
      </c>
      <c r="F224" s="85" t="s">
        <v>1618</v>
      </c>
      <c r="G224" s="91" t="s">
        <v>1619</v>
      </c>
      <c r="H224" s="153">
        <v>44925</v>
      </c>
      <c r="I224" s="153">
        <v>44956</v>
      </c>
      <c r="J224" s="153" t="s">
        <v>1630</v>
      </c>
      <c r="K224" s="139">
        <v>14</v>
      </c>
      <c r="L224" s="125">
        <v>2</v>
      </c>
    </row>
    <row r="225" spans="2:12" ht="15.75" thickBot="1" x14ac:dyDescent="0.3">
      <c r="B225" s="83" t="s">
        <v>3474</v>
      </c>
      <c r="C225" s="83" t="s">
        <v>1616</v>
      </c>
      <c r="D225" s="152">
        <v>4.258064516129032</v>
      </c>
      <c r="E225" s="139">
        <v>4.258064516129032</v>
      </c>
      <c r="F225" s="85" t="s">
        <v>1618</v>
      </c>
      <c r="G225" s="91" t="s">
        <v>1619</v>
      </c>
      <c r="H225" s="153">
        <v>44543</v>
      </c>
      <c r="I225" s="153">
        <v>44573</v>
      </c>
      <c r="J225" s="153" t="s">
        <v>1631</v>
      </c>
      <c r="K225" s="139">
        <v>11</v>
      </c>
      <c r="L225" s="125">
        <v>12</v>
      </c>
    </row>
    <row r="226" spans="2:12" ht="15.75" thickBot="1" x14ac:dyDescent="0.3">
      <c r="B226" s="83" t="s">
        <v>3474</v>
      </c>
      <c r="C226" s="83" t="s">
        <v>1616</v>
      </c>
      <c r="D226" s="152">
        <v>2</v>
      </c>
      <c r="E226" s="139">
        <v>2</v>
      </c>
      <c r="F226" s="85" t="s">
        <v>1618</v>
      </c>
      <c r="G226" s="91" t="s">
        <v>1619</v>
      </c>
      <c r="H226" s="153">
        <v>44574</v>
      </c>
      <c r="I226" s="153">
        <v>44603</v>
      </c>
      <c r="J226" s="153" t="s">
        <v>1631</v>
      </c>
      <c r="K226" s="139">
        <v>2</v>
      </c>
      <c r="L226" s="125">
        <v>30</v>
      </c>
    </row>
    <row r="227" spans="2:12" ht="15.75" thickBot="1" x14ac:dyDescent="0.3">
      <c r="B227" s="83" t="s">
        <v>3474</v>
      </c>
      <c r="C227" s="83" t="s">
        <v>1616</v>
      </c>
      <c r="D227" s="152">
        <v>7</v>
      </c>
      <c r="E227" s="139">
        <v>7</v>
      </c>
      <c r="F227" s="85" t="s">
        <v>1618</v>
      </c>
      <c r="G227" s="91" t="s">
        <v>1619</v>
      </c>
      <c r="H227" s="153">
        <v>44604</v>
      </c>
      <c r="I227" s="153">
        <v>44631</v>
      </c>
      <c r="J227" s="153" t="s">
        <v>1631</v>
      </c>
      <c r="K227" s="139">
        <v>7</v>
      </c>
      <c r="L227" s="125">
        <v>28</v>
      </c>
    </row>
    <row r="228" spans="2:12" ht="15.75" thickBot="1" x14ac:dyDescent="0.3">
      <c r="B228" s="83" t="s">
        <v>3474</v>
      </c>
      <c r="C228" s="83" t="s">
        <v>1616</v>
      </c>
      <c r="D228" s="152">
        <v>8</v>
      </c>
      <c r="E228" s="139">
        <v>8</v>
      </c>
      <c r="F228" s="85" t="s">
        <v>1618</v>
      </c>
      <c r="G228" s="91" t="s">
        <v>1619</v>
      </c>
      <c r="H228" s="153">
        <v>44632</v>
      </c>
      <c r="I228" s="153">
        <v>44662</v>
      </c>
      <c r="J228" s="153" t="s">
        <v>1631</v>
      </c>
      <c r="K228" s="139">
        <v>8</v>
      </c>
      <c r="L228" s="125">
        <v>31</v>
      </c>
    </row>
    <row r="229" spans="2:12" ht="15.75" thickBot="1" x14ac:dyDescent="0.3">
      <c r="B229" s="83" t="s">
        <v>3474</v>
      </c>
      <c r="C229" s="83" t="s">
        <v>1616</v>
      </c>
      <c r="D229" s="152">
        <v>3</v>
      </c>
      <c r="E229" s="139">
        <v>3</v>
      </c>
      <c r="F229" s="85" t="s">
        <v>1618</v>
      </c>
      <c r="G229" s="91" t="s">
        <v>1619</v>
      </c>
      <c r="H229" s="153">
        <v>44663</v>
      </c>
      <c r="I229" s="153">
        <v>44693</v>
      </c>
      <c r="J229" s="153" t="s">
        <v>1631</v>
      </c>
      <c r="K229" s="139">
        <v>3</v>
      </c>
      <c r="L229" s="125">
        <v>31</v>
      </c>
    </row>
    <row r="230" spans="2:12" ht="15.75" thickBot="1" x14ac:dyDescent="0.3">
      <c r="B230" s="83" t="s">
        <v>3474</v>
      </c>
      <c r="C230" s="83" t="s">
        <v>1616</v>
      </c>
      <c r="D230" s="152">
        <v>6</v>
      </c>
      <c r="E230" s="139">
        <v>6</v>
      </c>
      <c r="F230" s="85" t="s">
        <v>1618</v>
      </c>
      <c r="G230" s="91" t="s">
        <v>1619</v>
      </c>
      <c r="H230" s="153">
        <v>44694</v>
      </c>
      <c r="I230" s="153">
        <v>44724</v>
      </c>
      <c r="J230" s="153" t="s">
        <v>1631</v>
      </c>
      <c r="K230" s="139">
        <v>6</v>
      </c>
      <c r="L230" s="125">
        <v>31</v>
      </c>
    </row>
    <row r="231" spans="2:12" ht="15.75" thickBot="1" x14ac:dyDescent="0.3">
      <c r="B231" s="83" t="s">
        <v>3474</v>
      </c>
      <c r="C231" s="83" t="s">
        <v>1616</v>
      </c>
      <c r="D231" s="152">
        <v>6</v>
      </c>
      <c r="E231" s="139">
        <v>6</v>
      </c>
      <c r="F231" s="85" t="s">
        <v>1618</v>
      </c>
      <c r="G231" s="91" t="s">
        <v>1619</v>
      </c>
      <c r="H231" s="153">
        <v>44725</v>
      </c>
      <c r="I231" s="153">
        <v>44754</v>
      </c>
      <c r="J231" s="153" t="s">
        <v>1631</v>
      </c>
      <c r="K231" s="139">
        <v>6</v>
      </c>
      <c r="L231" s="125">
        <v>30</v>
      </c>
    </row>
    <row r="232" spans="2:12" ht="15.75" thickBot="1" x14ac:dyDescent="0.3">
      <c r="B232" s="83" t="s">
        <v>3474</v>
      </c>
      <c r="C232" s="83" t="s">
        <v>1616</v>
      </c>
      <c r="D232" s="152">
        <v>31</v>
      </c>
      <c r="E232" s="139">
        <v>31</v>
      </c>
      <c r="F232" s="85" t="s">
        <v>1618</v>
      </c>
      <c r="G232" s="91" t="s">
        <v>1619</v>
      </c>
      <c r="H232" s="153">
        <v>44755</v>
      </c>
      <c r="I232" s="153">
        <v>44785</v>
      </c>
      <c r="J232" s="153" t="s">
        <v>1631</v>
      </c>
      <c r="K232" s="139">
        <v>31</v>
      </c>
      <c r="L232" s="125">
        <v>31</v>
      </c>
    </row>
    <row r="233" spans="2:12" ht="15.75" thickBot="1" x14ac:dyDescent="0.3">
      <c r="B233" s="83" t="s">
        <v>3474</v>
      </c>
      <c r="C233" s="83" t="s">
        <v>1616</v>
      </c>
      <c r="D233" s="152">
        <v>14</v>
      </c>
      <c r="E233" s="139">
        <v>14</v>
      </c>
      <c r="F233" s="85" t="s">
        <v>1618</v>
      </c>
      <c r="G233" s="91" t="s">
        <v>1619</v>
      </c>
      <c r="H233" s="153">
        <v>44786</v>
      </c>
      <c r="I233" s="153">
        <v>44816</v>
      </c>
      <c r="J233" s="153" t="s">
        <v>1631</v>
      </c>
      <c r="K233" s="139">
        <v>14</v>
      </c>
      <c r="L233" s="125">
        <v>31</v>
      </c>
    </row>
    <row r="234" spans="2:12" ht="15.75" thickBot="1" x14ac:dyDescent="0.3">
      <c r="B234" s="83" t="s">
        <v>3474</v>
      </c>
      <c r="C234" s="83" t="s">
        <v>1616</v>
      </c>
      <c r="D234" s="152">
        <v>14</v>
      </c>
      <c r="E234" s="139">
        <v>14</v>
      </c>
      <c r="F234" s="85" t="s">
        <v>1618</v>
      </c>
      <c r="G234" s="91" t="s">
        <v>1619</v>
      </c>
      <c r="H234" s="153">
        <v>44817</v>
      </c>
      <c r="I234" s="153">
        <v>44846</v>
      </c>
      <c r="J234" s="153" t="s">
        <v>1631</v>
      </c>
      <c r="K234" s="139">
        <v>14</v>
      </c>
      <c r="L234" s="125">
        <v>30</v>
      </c>
    </row>
    <row r="235" spans="2:12" ht="15.75" thickBot="1" x14ac:dyDescent="0.3">
      <c r="B235" s="83" t="s">
        <v>3474</v>
      </c>
      <c r="C235" s="83" t="s">
        <v>1616</v>
      </c>
      <c r="D235" s="152">
        <v>15</v>
      </c>
      <c r="E235" s="139">
        <v>15</v>
      </c>
      <c r="F235" s="85" t="s">
        <v>1618</v>
      </c>
      <c r="G235" s="91" t="s">
        <v>1619</v>
      </c>
      <c r="H235" s="153">
        <v>44847</v>
      </c>
      <c r="I235" s="153">
        <v>44879</v>
      </c>
      <c r="J235" s="153" t="s">
        <v>1631</v>
      </c>
      <c r="K235" s="139">
        <v>15</v>
      </c>
      <c r="L235" s="125">
        <v>33</v>
      </c>
    </row>
    <row r="236" spans="2:12" ht="15.75" thickBot="1" x14ac:dyDescent="0.3">
      <c r="B236" s="83" t="s">
        <v>3474</v>
      </c>
      <c r="C236" s="83" t="s">
        <v>1616</v>
      </c>
      <c r="D236" s="152">
        <v>14</v>
      </c>
      <c r="E236" s="139">
        <v>14</v>
      </c>
      <c r="F236" s="85" t="s">
        <v>1618</v>
      </c>
      <c r="G236" s="91" t="s">
        <v>1619</v>
      </c>
      <c r="H236" s="153">
        <v>44880</v>
      </c>
      <c r="I236" s="153">
        <v>44909</v>
      </c>
      <c r="J236" s="153" t="s">
        <v>1631</v>
      </c>
      <c r="K236" s="139">
        <v>14</v>
      </c>
      <c r="L236" s="125">
        <v>30</v>
      </c>
    </row>
    <row r="237" spans="2:12" ht="15.75" thickBot="1" x14ac:dyDescent="0.3">
      <c r="B237" s="83" t="s">
        <v>3474</v>
      </c>
      <c r="C237" s="83" t="s">
        <v>1616</v>
      </c>
      <c r="D237" s="152">
        <v>7.67741935483871</v>
      </c>
      <c r="E237" s="139">
        <v>7.67741935483871</v>
      </c>
      <c r="F237" s="85" t="s">
        <v>1618</v>
      </c>
      <c r="G237" s="91" t="s">
        <v>1619</v>
      </c>
      <c r="H237" s="153">
        <v>44910</v>
      </c>
      <c r="I237" s="153">
        <v>44940</v>
      </c>
      <c r="J237" s="153" t="s">
        <v>1631</v>
      </c>
      <c r="K237" s="139">
        <v>14</v>
      </c>
      <c r="L237" s="125">
        <v>17</v>
      </c>
    </row>
    <row r="238" spans="2:12" ht="15.75" thickBot="1" x14ac:dyDescent="0.3">
      <c r="B238" s="83" t="s">
        <v>3631</v>
      </c>
      <c r="C238" s="83" t="s">
        <v>1616</v>
      </c>
      <c r="D238" s="152">
        <v>386.81299999999999</v>
      </c>
      <c r="E238" s="139">
        <v>386.81299999999999</v>
      </c>
      <c r="F238" s="85" t="s">
        <v>1618</v>
      </c>
      <c r="G238" s="91" t="s">
        <v>1619</v>
      </c>
      <c r="H238" s="153">
        <v>44683</v>
      </c>
      <c r="I238" s="153">
        <v>44713</v>
      </c>
      <c r="J238" s="153" t="s">
        <v>1632</v>
      </c>
      <c r="K238" s="139">
        <v>386.81299999999999</v>
      </c>
      <c r="L238" s="125">
        <v>31</v>
      </c>
    </row>
    <row r="239" spans="2:12" ht="15.75" thickBot="1" x14ac:dyDescent="0.3">
      <c r="B239" s="83" t="s">
        <v>3631</v>
      </c>
      <c r="C239" s="83" t="s">
        <v>1616</v>
      </c>
      <c r="D239" s="152">
        <v>454.096</v>
      </c>
      <c r="E239" s="139">
        <v>454.096</v>
      </c>
      <c r="F239" s="85" t="s">
        <v>1618</v>
      </c>
      <c r="G239" s="91" t="s">
        <v>1619</v>
      </c>
      <c r="H239" s="153">
        <v>44836</v>
      </c>
      <c r="I239" s="153">
        <v>44866</v>
      </c>
      <c r="J239" s="153" t="s">
        <v>1632</v>
      </c>
      <c r="K239" s="139">
        <v>454.096</v>
      </c>
      <c r="L239" s="125">
        <v>31</v>
      </c>
    </row>
    <row r="240" spans="2:12" ht="15.75" thickBot="1" x14ac:dyDescent="0.3">
      <c r="B240" s="83" t="s">
        <v>3631</v>
      </c>
      <c r="C240" s="83" t="s">
        <v>1616</v>
      </c>
      <c r="D240" s="152">
        <v>270.77</v>
      </c>
      <c r="E240" s="139">
        <v>270.77</v>
      </c>
      <c r="F240" s="85" t="s">
        <v>1618</v>
      </c>
      <c r="G240" s="91" t="s">
        <v>1619</v>
      </c>
      <c r="H240" s="153">
        <v>44594</v>
      </c>
      <c r="I240" s="153">
        <v>44621</v>
      </c>
      <c r="J240" s="153" t="s">
        <v>1632</v>
      </c>
      <c r="K240" s="139">
        <v>270.77</v>
      </c>
      <c r="L240" s="125">
        <v>28</v>
      </c>
    </row>
    <row r="241" spans="2:12" ht="15.75" thickBot="1" x14ac:dyDescent="0.3">
      <c r="B241" s="83" t="s">
        <v>3631</v>
      </c>
      <c r="C241" s="83" t="s">
        <v>1616</v>
      </c>
      <c r="D241" s="152">
        <v>261.40600000000001</v>
      </c>
      <c r="E241" s="139">
        <v>261.40600000000001</v>
      </c>
      <c r="F241" s="85" t="s">
        <v>1618</v>
      </c>
      <c r="G241" s="91" t="s">
        <v>1619</v>
      </c>
      <c r="H241" s="153">
        <v>44653</v>
      </c>
      <c r="I241" s="153">
        <v>44682</v>
      </c>
      <c r="J241" s="153" t="s">
        <v>1632</v>
      </c>
      <c r="K241" s="139">
        <v>261.40600000000001</v>
      </c>
      <c r="L241" s="125">
        <v>30</v>
      </c>
    </row>
    <row r="242" spans="2:12" ht="15.75" thickBot="1" x14ac:dyDescent="0.3">
      <c r="B242" s="83" t="s">
        <v>3631</v>
      </c>
      <c r="C242" s="83" t="s">
        <v>1616</v>
      </c>
      <c r="D242" s="152">
        <v>250.917</v>
      </c>
      <c r="E242" s="139">
        <v>250.917</v>
      </c>
      <c r="F242" s="85" t="s">
        <v>1618</v>
      </c>
      <c r="G242" s="91" t="s">
        <v>1619</v>
      </c>
      <c r="H242" s="153">
        <v>44562</v>
      </c>
      <c r="I242" s="153">
        <v>44593</v>
      </c>
      <c r="J242" s="153" t="s">
        <v>1632</v>
      </c>
      <c r="K242" s="139">
        <v>250.917</v>
      </c>
      <c r="L242" s="125">
        <v>32</v>
      </c>
    </row>
    <row r="243" spans="2:12" ht="15.75" thickBot="1" x14ac:dyDescent="0.3">
      <c r="B243" s="83" t="s">
        <v>3631</v>
      </c>
      <c r="C243" s="83" t="s">
        <v>1616</v>
      </c>
      <c r="D243" s="152">
        <v>434.32400000000001</v>
      </c>
      <c r="E243" s="139">
        <v>434.32400000000001</v>
      </c>
      <c r="F243" s="85" t="s">
        <v>1618</v>
      </c>
      <c r="G243" s="91" t="s">
        <v>1619</v>
      </c>
      <c r="H243" s="153">
        <v>44775</v>
      </c>
      <c r="I243" s="153">
        <v>44805</v>
      </c>
      <c r="J243" s="153" t="s">
        <v>1632</v>
      </c>
      <c r="K243" s="139">
        <v>434.32400000000001</v>
      </c>
      <c r="L243" s="125">
        <v>31</v>
      </c>
    </row>
    <row r="244" spans="2:12" ht="15.75" thickBot="1" x14ac:dyDescent="0.3">
      <c r="B244" s="83" t="s">
        <v>3631</v>
      </c>
      <c r="C244" s="83" t="s">
        <v>1616</v>
      </c>
      <c r="D244" s="152">
        <v>281.08600000000001</v>
      </c>
      <c r="E244" s="139">
        <v>281.08600000000001</v>
      </c>
      <c r="F244" s="85" t="s">
        <v>1618</v>
      </c>
      <c r="G244" s="91" t="s">
        <v>1619</v>
      </c>
      <c r="H244" s="153">
        <v>44622</v>
      </c>
      <c r="I244" s="153">
        <v>44652</v>
      </c>
      <c r="J244" s="153" t="s">
        <v>1632</v>
      </c>
      <c r="K244" s="139">
        <v>281.08600000000001</v>
      </c>
      <c r="L244" s="125">
        <v>31</v>
      </c>
    </row>
    <row r="245" spans="2:12" ht="15.75" thickBot="1" x14ac:dyDescent="0.3">
      <c r="B245" s="83" t="s">
        <v>3631</v>
      </c>
      <c r="C245" s="83" t="s">
        <v>1616</v>
      </c>
      <c r="D245" s="152">
        <v>531.17499999999995</v>
      </c>
      <c r="E245" s="139">
        <v>531.17499999999995</v>
      </c>
      <c r="F245" s="85" t="s">
        <v>1618</v>
      </c>
      <c r="G245" s="91" t="s">
        <v>1619</v>
      </c>
      <c r="H245" s="153">
        <v>44714</v>
      </c>
      <c r="I245" s="153">
        <v>44743</v>
      </c>
      <c r="J245" s="153" t="s">
        <v>1632</v>
      </c>
      <c r="K245" s="139">
        <v>531.17499999999995</v>
      </c>
      <c r="L245" s="125">
        <v>30</v>
      </c>
    </row>
    <row r="246" spans="2:12" ht="15.75" thickBot="1" x14ac:dyDescent="0.3">
      <c r="B246" s="83" t="s">
        <v>3631</v>
      </c>
      <c r="C246" s="83" t="s">
        <v>1616</v>
      </c>
      <c r="D246" s="152">
        <v>686.35599999999999</v>
      </c>
      <c r="E246" s="139">
        <v>686.35599999999999</v>
      </c>
      <c r="F246" s="85" t="s">
        <v>1618</v>
      </c>
      <c r="G246" s="91" t="s">
        <v>1619</v>
      </c>
      <c r="H246" s="153">
        <v>44744</v>
      </c>
      <c r="I246" s="153">
        <v>44774</v>
      </c>
      <c r="J246" s="153" t="s">
        <v>1632</v>
      </c>
      <c r="K246" s="139">
        <v>686.35599999999999</v>
      </c>
      <c r="L246" s="125">
        <v>31</v>
      </c>
    </row>
    <row r="247" spans="2:12" ht="15.75" thickBot="1" x14ac:dyDescent="0.3">
      <c r="B247" s="83" t="s">
        <v>3631</v>
      </c>
      <c r="C247" s="83" t="s">
        <v>1616</v>
      </c>
      <c r="D247" s="152">
        <v>356.66399999999999</v>
      </c>
      <c r="E247" s="139">
        <v>356.66399999999999</v>
      </c>
      <c r="F247" s="85" t="s">
        <v>1618</v>
      </c>
      <c r="G247" s="91" t="s">
        <v>1619</v>
      </c>
      <c r="H247" s="153">
        <v>44806</v>
      </c>
      <c r="I247" s="153">
        <v>44835</v>
      </c>
      <c r="J247" s="153" t="s">
        <v>1632</v>
      </c>
      <c r="K247" s="139">
        <v>356.66399999999999</v>
      </c>
      <c r="L247" s="125">
        <v>30</v>
      </c>
    </row>
    <row r="248" spans="2:12" ht="15.75" thickBot="1" x14ac:dyDescent="0.3">
      <c r="B248" s="83" t="s">
        <v>3631</v>
      </c>
      <c r="C248" s="83" t="s">
        <v>1616</v>
      </c>
      <c r="D248" s="152">
        <v>225.64</v>
      </c>
      <c r="E248" s="139">
        <v>225.64</v>
      </c>
      <c r="F248" s="85" t="s">
        <v>1618</v>
      </c>
      <c r="G248" s="91" t="s">
        <v>1619</v>
      </c>
      <c r="H248" s="153">
        <v>44867</v>
      </c>
      <c r="I248" s="153">
        <v>44896</v>
      </c>
      <c r="J248" s="153" t="s">
        <v>1632</v>
      </c>
      <c r="K248" s="139">
        <v>225.64</v>
      </c>
      <c r="L248" s="125">
        <v>30</v>
      </c>
    </row>
    <row r="249" spans="2:12" ht="15.75" thickBot="1" x14ac:dyDescent="0.3">
      <c r="B249" s="83" t="s">
        <v>3631</v>
      </c>
      <c r="C249" s="83" t="s">
        <v>1616</v>
      </c>
      <c r="D249" s="152">
        <v>7.3277741935483869</v>
      </c>
      <c r="E249" s="139">
        <v>7.3277741935483869</v>
      </c>
      <c r="F249" s="85" t="s">
        <v>1618</v>
      </c>
      <c r="G249" s="91" t="s">
        <v>1619</v>
      </c>
      <c r="H249" s="153">
        <v>44532</v>
      </c>
      <c r="I249" s="153">
        <v>44562</v>
      </c>
      <c r="J249" s="153" t="s">
        <v>1632</v>
      </c>
      <c r="K249" s="139">
        <v>227.161</v>
      </c>
      <c r="L249" s="125">
        <v>1</v>
      </c>
    </row>
    <row r="250" spans="2:12" ht="15.75" thickBot="1" x14ac:dyDescent="0.3">
      <c r="B250" s="83" t="s">
        <v>3631</v>
      </c>
      <c r="C250" s="83" t="s">
        <v>1616</v>
      </c>
      <c r="D250" s="152">
        <v>163.12258064516129</v>
      </c>
      <c r="E250" s="139">
        <v>163.12258064516129</v>
      </c>
      <c r="F250" s="85" t="s">
        <v>1618</v>
      </c>
      <c r="G250" s="91" t="s">
        <v>1619</v>
      </c>
      <c r="H250" s="153">
        <v>44897</v>
      </c>
      <c r="I250" s="153">
        <v>44927</v>
      </c>
      <c r="J250" s="153" t="s">
        <v>1632</v>
      </c>
      <c r="K250" s="139">
        <v>168.56</v>
      </c>
      <c r="L250" s="125">
        <v>30</v>
      </c>
    </row>
    <row r="251" spans="2:12" ht="15.75" thickBot="1" x14ac:dyDescent="0.3">
      <c r="B251" s="83" t="s">
        <v>3632</v>
      </c>
      <c r="C251" s="83" t="s">
        <v>1616</v>
      </c>
      <c r="D251" s="152">
        <v>14.287000000000001</v>
      </c>
      <c r="E251" s="139">
        <v>14.287000000000001</v>
      </c>
      <c r="F251" s="85" t="s">
        <v>1618</v>
      </c>
      <c r="G251" s="91" t="s">
        <v>1619</v>
      </c>
      <c r="H251" s="153">
        <v>44762</v>
      </c>
      <c r="I251" s="153">
        <v>44791</v>
      </c>
      <c r="J251" s="153" t="s">
        <v>1632</v>
      </c>
      <c r="K251" s="139">
        <v>14.287000000000001</v>
      </c>
      <c r="L251" s="125">
        <v>30</v>
      </c>
    </row>
    <row r="252" spans="2:12" ht="15.75" thickBot="1" x14ac:dyDescent="0.3">
      <c r="B252" s="83" t="s">
        <v>3632</v>
      </c>
      <c r="C252" s="83" t="s">
        <v>1616</v>
      </c>
      <c r="D252" s="152">
        <v>11.125999999999999</v>
      </c>
      <c r="E252" s="139">
        <v>11.125999999999999</v>
      </c>
      <c r="F252" s="85" t="s">
        <v>1618</v>
      </c>
      <c r="G252" s="91" t="s">
        <v>1619</v>
      </c>
      <c r="H252" s="153">
        <v>44672</v>
      </c>
      <c r="I252" s="153">
        <v>44699</v>
      </c>
      <c r="J252" s="153" t="s">
        <v>1632</v>
      </c>
      <c r="K252" s="139">
        <v>11.125999999999999</v>
      </c>
      <c r="L252" s="125">
        <v>28</v>
      </c>
    </row>
    <row r="253" spans="2:12" ht="15.75" thickBot="1" x14ac:dyDescent="0.3">
      <c r="B253" s="83" t="s">
        <v>3632</v>
      </c>
      <c r="C253" s="83" t="s">
        <v>1616</v>
      </c>
      <c r="D253" s="152">
        <v>8.036999999999999</v>
      </c>
      <c r="E253" s="139">
        <v>8.036999999999999</v>
      </c>
      <c r="F253" s="85" t="s">
        <v>1618</v>
      </c>
      <c r="G253" s="91" t="s">
        <v>1619</v>
      </c>
      <c r="H253" s="153">
        <v>44552</v>
      </c>
      <c r="I253" s="153">
        <v>44580</v>
      </c>
      <c r="J253" s="153" t="s">
        <v>1632</v>
      </c>
      <c r="K253" s="139">
        <v>12.266999999999999</v>
      </c>
      <c r="L253" s="125">
        <v>19</v>
      </c>
    </row>
    <row r="254" spans="2:12" ht="15.75" thickBot="1" x14ac:dyDescent="0.3">
      <c r="B254" s="83" t="s">
        <v>3632</v>
      </c>
      <c r="C254" s="83" t="s">
        <v>1616</v>
      </c>
      <c r="D254" s="152">
        <v>12.981</v>
      </c>
      <c r="E254" s="139">
        <v>12.981</v>
      </c>
      <c r="F254" s="85" t="s">
        <v>1618</v>
      </c>
      <c r="G254" s="91" t="s">
        <v>1619</v>
      </c>
      <c r="H254" s="153">
        <v>44700</v>
      </c>
      <c r="I254" s="153">
        <v>44734</v>
      </c>
      <c r="J254" s="153" t="s">
        <v>1632</v>
      </c>
      <c r="K254" s="139">
        <v>12.981</v>
      </c>
      <c r="L254" s="125">
        <v>35</v>
      </c>
    </row>
    <row r="255" spans="2:12" ht="15.75" thickBot="1" x14ac:dyDescent="0.3">
      <c r="B255" s="83" t="s">
        <v>3632</v>
      </c>
      <c r="C255" s="83" t="s">
        <v>1616</v>
      </c>
      <c r="D255" s="152">
        <v>12.625999999999999</v>
      </c>
      <c r="E255" s="139">
        <v>12.625999999999999</v>
      </c>
      <c r="F255" s="85" t="s">
        <v>1618</v>
      </c>
      <c r="G255" s="91" t="s">
        <v>1619</v>
      </c>
      <c r="H255" s="153">
        <v>44581</v>
      </c>
      <c r="I255" s="153">
        <v>44609</v>
      </c>
      <c r="J255" s="153" t="s">
        <v>1632</v>
      </c>
      <c r="K255" s="139">
        <v>12.625999999999999</v>
      </c>
      <c r="L255" s="125">
        <v>29</v>
      </c>
    </row>
    <row r="256" spans="2:12" ht="15.75" thickBot="1" x14ac:dyDescent="0.3">
      <c r="B256" s="83" t="s">
        <v>3632</v>
      </c>
      <c r="C256" s="83" t="s">
        <v>1616</v>
      </c>
      <c r="D256" s="152">
        <v>13.069000000000001</v>
      </c>
      <c r="E256" s="139">
        <v>13.069000000000001</v>
      </c>
      <c r="F256" s="85" t="s">
        <v>1618</v>
      </c>
      <c r="G256" s="91" t="s">
        <v>1619</v>
      </c>
      <c r="H256" s="153">
        <v>44884</v>
      </c>
      <c r="I256" s="153">
        <v>44916</v>
      </c>
      <c r="J256" s="153" t="s">
        <v>1632</v>
      </c>
      <c r="K256" s="139">
        <v>13.069000000000001</v>
      </c>
      <c r="L256" s="125">
        <v>33</v>
      </c>
    </row>
    <row r="257" spans="2:12" ht="15.75" thickBot="1" x14ac:dyDescent="0.3">
      <c r="B257" s="83" t="s">
        <v>3632</v>
      </c>
      <c r="C257" s="83" t="s">
        <v>1616</v>
      </c>
      <c r="D257" s="152">
        <v>31.003</v>
      </c>
      <c r="E257" s="139">
        <v>31.003</v>
      </c>
      <c r="F257" s="85" t="s">
        <v>1618</v>
      </c>
      <c r="G257" s="91" t="s">
        <v>1619</v>
      </c>
      <c r="H257" s="153">
        <v>44792</v>
      </c>
      <c r="I257" s="153">
        <v>44823</v>
      </c>
      <c r="J257" s="153" t="s">
        <v>1632</v>
      </c>
      <c r="K257" s="139">
        <v>31.003</v>
      </c>
      <c r="L257" s="125">
        <v>32</v>
      </c>
    </row>
    <row r="258" spans="2:12" ht="15.75" thickBot="1" x14ac:dyDescent="0.3">
      <c r="B258" s="83" t="s">
        <v>3632</v>
      </c>
      <c r="C258" s="83" t="s">
        <v>1616</v>
      </c>
      <c r="D258" s="152">
        <v>16.733000000000001</v>
      </c>
      <c r="E258" s="139">
        <v>16.733000000000001</v>
      </c>
      <c r="F258" s="85" t="s">
        <v>1618</v>
      </c>
      <c r="G258" s="91" t="s">
        <v>1619</v>
      </c>
      <c r="H258" s="153">
        <v>44735</v>
      </c>
      <c r="I258" s="153">
        <v>44761</v>
      </c>
      <c r="J258" s="153" t="s">
        <v>1632</v>
      </c>
      <c r="K258" s="139">
        <v>16.733000000000001</v>
      </c>
      <c r="L258" s="125">
        <v>27</v>
      </c>
    </row>
    <row r="259" spans="2:12" ht="15.75" thickBot="1" x14ac:dyDescent="0.3">
      <c r="B259" s="83" t="s">
        <v>3632</v>
      </c>
      <c r="C259" s="83" t="s">
        <v>1616</v>
      </c>
      <c r="D259" s="152">
        <v>29.893000000000001</v>
      </c>
      <c r="E259" s="139">
        <v>29.893000000000001</v>
      </c>
      <c r="F259" s="85" t="s">
        <v>1618</v>
      </c>
      <c r="G259" s="91" t="s">
        <v>1619</v>
      </c>
      <c r="H259" s="153">
        <v>44639</v>
      </c>
      <c r="I259" s="153">
        <v>44671</v>
      </c>
      <c r="J259" s="153" t="s">
        <v>1632</v>
      </c>
      <c r="K259" s="139">
        <v>29.893000000000001</v>
      </c>
      <c r="L259" s="125">
        <v>33</v>
      </c>
    </row>
    <row r="260" spans="2:12" ht="15.75" thickBot="1" x14ac:dyDescent="0.3">
      <c r="B260" s="83" t="s">
        <v>3632</v>
      </c>
      <c r="C260" s="83" t="s">
        <v>1616</v>
      </c>
      <c r="D260" s="152">
        <v>13.374000000000001</v>
      </c>
      <c r="E260" s="139">
        <v>13.374000000000001</v>
      </c>
      <c r="F260" s="85" t="s">
        <v>1618</v>
      </c>
      <c r="G260" s="91" t="s">
        <v>1619</v>
      </c>
      <c r="H260" s="153">
        <v>44610</v>
      </c>
      <c r="I260" s="153">
        <v>44638</v>
      </c>
      <c r="J260" s="153" t="s">
        <v>1632</v>
      </c>
      <c r="K260" s="139">
        <v>13.374000000000001</v>
      </c>
      <c r="L260" s="125">
        <v>29</v>
      </c>
    </row>
    <row r="261" spans="2:12" ht="15.75" thickBot="1" x14ac:dyDescent="0.3">
      <c r="B261" s="83" t="s">
        <v>3632</v>
      </c>
      <c r="C261" s="83" t="s">
        <v>1616</v>
      </c>
      <c r="D261" s="152">
        <v>6.7867857142857142</v>
      </c>
      <c r="E261" s="139">
        <v>6.7867857142857142</v>
      </c>
      <c r="F261" s="85" t="s">
        <v>1618</v>
      </c>
      <c r="G261" s="91" t="s">
        <v>1619</v>
      </c>
      <c r="H261" s="153">
        <v>44917</v>
      </c>
      <c r="I261" s="153">
        <v>44944</v>
      </c>
      <c r="J261" s="153" t="s">
        <v>1632</v>
      </c>
      <c r="K261" s="139">
        <v>19.003</v>
      </c>
      <c r="L261" s="125">
        <v>10</v>
      </c>
    </row>
    <row r="262" spans="2:12" ht="15.75" thickBot="1" x14ac:dyDescent="0.3">
      <c r="B262" s="83" t="s">
        <v>3632</v>
      </c>
      <c r="C262" s="83" t="s">
        <v>1616</v>
      </c>
      <c r="D262" s="152">
        <v>13.331</v>
      </c>
      <c r="E262" s="139">
        <v>13.331</v>
      </c>
      <c r="F262" s="85" t="s">
        <v>1618</v>
      </c>
      <c r="G262" s="91" t="s">
        <v>1619</v>
      </c>
      <c r="H262" s="153">
        <v>44855</v>
      </c>
      <c r="I262" s="153">
        <v>44883</v>
      </c>
      <c r="J262" s="153" t="s">
        <v>1632</v>
      </c>
      <c r="K262" s="139">
        <v>13.331</v>
      </c>
      <c r="L262" s="125">
        <v>29</v>
      </c>
    </row>
    <row r="263" spans="2:12" ht="15.75" thickBot="1" x14ac:dyDescent="0.3">
      <c r="B263" s="83" t="s">
        <v>3632</v>
      </c>
      <c r="C263" s="83" t="s">
        <v>1616</v>
      </c>
      <c r="D263" s="139">
        <v>11.6</v>
      </c>
      <c r="E263" s="139">
        <v>11.6</v>
      </c>
      <c r="F263" s="85" t="s">
        <v>1618</v>
      </c>
      <c r="G263" s="91" t="s">
        <v>1619</v>
      </c>
      <c r="H263" s="153">
        <v>44824</v>
      </c>
      <c r="I263" s="153">
        <v>44854</v>
      </c>
      <c r="J263" s="153" t="s">
        <v>1632</v>
      </c>
      <c r="K263" s="139">
        <v>11.6</v>
      </c>
      <c r="L263" s="125">
        <v>31</v>
      </c>
    </row>
    <row r="264" spans="2:12" ht="15.75" thickBot="1" x14ac:dyDescent="0.3">
      <c r="B264" s="83" t="s">
        <v>3633</v>
      </c>
      <c r="C264" s="83" t="s">
        <v>1616</v>
      </c>
      <c r="D264" s="152">
        <v>0</v>
      </c>
      <c r="E264" s="139">
        <v>0</v>
      </c>
      <c r="F264" s="85" t="s">
        <v>1618</v>
      </c>
      <c r="G264" s="91" t="s">
        <v>1619</v>
      </c>
      <c r="H264" s="153">
        <v>44793</v>
      </c>
      <c r="I264" s="153">
        <v>44853</v>
      </c>
      <c r="J264" s="153" t="s">
        <v>1632</v>
      </c>
      <c r="K264" s="139">
        <v>0</v>
      </c>
      <c r="L264" s="125">
        <v>61</v>
      </c>
    </row>
    <row r="265" spans="2:12" ht="15.75" thickBot="1" x14ac:dyDescent="0.3">
      <c r="B265" s="83" t="s">
        <v>3633</v>
      </c>
      <c r="C265" s="83" t="s">
        <v>1616</v>
      </c>
      <c r="D265" s="152">
        <v>0</v>
      </c>
      <c r="E265" s="139">
        <v>0</v>
      </c>
      <c r="F265" s="85" t="s">
        <v>1618</v>
      </c>
      <c r="G265" s="91" t="s">
        <v>1619</v>
      </c>
      <c r="H265" s="153">
        <v>44736</v>
      </c>
      <c r="I265" s="153">
        <v>44792</v>
      </c>
      <c r="J265" s="153" t="s">
        <v>1632</v>
      </c>
      <c r="K265" s="139">
        <v>0</v>
      </c>
      <c r="L265" s="125">
        <v>57</v>
      </c>
    </row>
    <row r="266" spans="2:12" ht="15.75" thickBot="1" x14ac:dyDescent="0.3">
      <c r="B266" s="83" t="s">
        <v>3633</v>
      </c>
      <c r="C266" s="83" t="s">
        <v>1616</v>
      </c>
      <c r="D266" s="152">
        <v>0</v>
      </c>
      <c r="E266" s="139">
        <v>0</v>
      </c>
      <c r="F266" s="85" t="s">
        <v>1618</v>
      </c>
      <c r="G266" s="91" t="s">
        <v>1619</v>
      </c>
      <c r="H266" s="153">
        <v>44615</v>
      </c>
      <c r="I266" s="153">
        <v>44673</v>
      </c>
      <c r="J266" s="153" t="s">
        <v>1632</v>
      </c>
      <c r="K266" s="139">
        <v>0</v>
      </c>
      <c r="L266" s="125">
        <v>59</v>
      </c>
    </row>
    <row r="267" spans="2:12" ht="15.75" thickBot="1" x14ac:dyDescent="0.3">
      <c r="B267" s="83" t="s">
        <v>3633</v>
      </c>
      <c r="C267" s="83" t="s">
        <v>1616</v>
      </c>
      <c r="D267" s="152">
        <v>0</v>
      </c>
      <c r="E267" s="139">
        <v>0</v>
      </c>
      <c r="F267" s="85" t="s">
        <v>1618</v>
      </c>
      <c r="G267" s="91" t="s">
        <v>1619</v>
      </c>
      <c r="H267" s="153">
        <v>44674</v>
      </c>
      <c r="I267" s="153">
        <v>44735</v>
      </c>
      <c r="J267" s="153" t="s">
        <v>1632</v>
      </c>
      <c r="K267" s="139">
        <v>0</v>
      </c>
      <c r="L267" s="125">
        <v>62</v>
      </c>
    </row>
    <row r="268" spans="2:12" ht="15.75" thickBot="1" x14ac:dyDescent="0.3">
      <c r="B268" s="83" t="s">
        <v>3633</v>
      </c>
      <c r="C268" s="83" t="s">
        <v>1616</v>
      </c>
      <c r="D268" s="152">
        <v>6.6677419354838716E-2</v>
      </c>
      <c r="E268" s="139">
        <v>6.6677419354838716E-2</v>
      </c>
      <c r="F268" s="85" t="s">
        <v>1618</v>
      </c>
      <c r="G268" s="91" t="s">
        <v>1619</v>
      </c>
      <c r="H268" s="153">
        <v>44553</v>
      </c>
      <c r="I268" s="153">
        <v>44614</v>
      </c>
      <c r="J268" s="153" t="s">
        <v>1632</v>
      </c>
      <c r="K268" s="139">
        <v>7.8E-2</v>
      </c>
      <c r="L268" s="125">
        <v>53</v>
      </c>
    </row>
    <row r="269" spans="2:12" ht="15.75" thickBot="1" x14ac:dyDescent="0.3">
      <c r="B269" s="83" t="s">
        <v>3633</v>
      </c>
      <c r="C269" s="83" t="s">
        <v>1616</v>
      </c>
      <c r="D269" s="152">
        <v>0</v>
      </c>
      <c r="E269" s="139">
        <v>0</v>
      </c>
      <c r="F269" s="85" t="s">
        <v>1618</v>
      </c>
      <c r="G269" s="91" t="s">
        <v>1619</v>
      </c>
      <c r="H269" s="153">
        <v>44854</v>
      </c>
      <c r="I269" s="153">
        <v>44917</v>
      </c>
      <c r="J269" s="153" t="s">
        <v>1632</v>
      </c>
      <c r="K269" s="139">
        <v>0</v>
      </c>
      <c r="L269" s="125">
        <v>64</v>
      </c>
    </row>
    <row r="270" spans="2:12" ht="15.75" thickBot="1" x14ac:dyDescent="0.3">
      <c r="B270" s="83" t="s">
        <v>3633</v>
      </c>
      <c r="C270" s="83" t="s">
        <v>1616</v>
      </c>
      <c r="D270" s="152">
        <v>0</v>
      </c>
      <c r="E270" s="139">
        <v>0</v>
      </c>
      <c r="F270" s="85" t="s">
        <v>1618</v>
      </c>
      <c r="G270" s="91" t="s">
        <v>1619</v>
      </c>
      <c r="H270" s="153">
        <v>44918</v>
      </c>
      <c r="I270" s="153">
        <v>44979</v>
      </c>
      <c r="J270" s="153" t="s">
        <v>1632</v>
      </c>
      <c r="K270" s="139">
        <v>0</v>
      </c>
      <c r="L270" s="125">
        <v>9</v>
      </c>
    </row>
    <row r="271" spans="2:12" ht="15.75" thickBot="1" x14ac:dyDescent="0.3">
      <c r="B271" s="83" t="s">
        <v>1839</v>
      </c>
      <c r="C271" s="83" t="s">
        <v>1616</v>
      </c>
      <c r="D271" s="152">
        <v>2.4516129032258065</v>
      </c>
      <c r="E271" s="139">
        <v>2.4516129032258065</v>
      </c>
      <c r="F271" s="85" t="s">
        <v>1618</v>
      </c>
      <c r="G271" s="91" t="s">
        <v>1619</v>
      </c>
      <c r="H271" s="153">
        <v>44550</v>
      </c>
      <c r="I271" s="153">
        <v>44580</v>
      </c>
      <c r="J271" s="153" t="s">
        <v>1840</v>
      </c>
      <c r="K271" s="139">
        <v>4</v>
      </c>
      <c r="L271" s="125">
        <v>19</v>
      </c>
    </row>
    <row r="272" spans="2:12" ht="15.75" thickBot="1" x14ac:dyDescent="0.3">
      <c r="B272" s="83" t="s">
        <v>1839</v>
      </c>
      <c r="C272" s="83" t="s">
        <v>1616</v>
      </c>
      <c r="D272" s="152">
        <v>64.673684210526318</v>
      </c>
      <c r="E272" s="139">
        <v>64.673684210526318</v>
      </c>
      <c r="F272" s="85" t="s">
        <v>1618</v>
      </c>
      <c r="G272" s="91" t="s">
        <v>1619</v>
      </c>
      <c r="H272" s="153">
        <v>44515</v>
      </c>
      <c r="I272" s="153">
        <v>44609</v>
      </c>
      <c r="J272" s="153" t="s">
        <v>1840</v>
      </c>
      <c r="K272" s="139">
        <v>128</v>
      </c>
      <c r="L272" s="130">
        <v>48</v>
      </c>
    </row>
    <row r="273" spans="2:12" ht="15.75" thickBot="1" x14ac:dyDescent="0.3">
      <c r="B273" s="83" t="s">
        <v>1839</v>
      </c>
      <c r="C273" s="83" t="s">
        <v>1616</v>
      </c>
      <c r="D273" s="152">
        <v>40</v>
      </c>
      <c r="E273" s="139">
        <v>40</v>
      </c>
      <c r="F273" s="85" t="s">
        <v>1618</v>
      </c>
      <c r="G273" s="91" t="s">
        <v>1619</v>
      </c>
      <c r="H273" s="153">
        <v>44610</v>
      </c>
      <c r="I273" s="153">
        <v>44637</v>
      </c>
      <c r="J273" s="153" t="s">
        <v>1840</v>
      </c>
      <c r="K273" s="139">
        <v>40</v>
      </c>
      <c r="L273" s="125">
        <v>28</v>
      </c>
    </row>
    <row r="274" spans="2:12" ht="15.75" thickBot="1" x14ac:dyDescent="0.3">
      <c r="B274" s="83" t="s">
        <v>1839</v>
      </c>
      <c r="C274" s="83" t="s">
        <v>1616</v>
      </c>
      <c r="D274" s="152">
        <v>44</v>
      </c>
      <c r="E274" s="139">
        <v>44</v>
      </c>
      <c r="F274" s="85" t="s">
        <v>1618</v>
      </c>
      <c r="G274" s="91" t="s">
        <v>1619</v>
      </c>
      <c r="H274" s="153">
        <v>44638</v>
      </c>
      <c r="I274" s="153">
        <v>44668</v>
      </c>
      <c r="J274" s="153" t="s">
        <v>1840</v>
      </c>
      <c r="K274" s="139">
        <v>44</v>
      </c>
      <c r="L274" s="125">
        <v>31</v>
      </c>
    </row>
    <row r="275" spans="2:12" ht="15.75" thickBot="1" x14ac:dyDescent="0.3">
      <c r="B275" s="83" t="s">
        <v>1839</v>
      </c>
      <c r="C275" s="83" t="s">
        <v>1616</v>
      </c>
      <c r="D275" s="152">
        <v>16</v>
      </c>
      <c r="E275" s="139">
        <v>16</v>
      </c>
      <c r="F275" s="85" t="s">
        <v>1618</v>
      </c>
      <c r="G275" s="91" t="s">
        <v>1619</v>
      </c>
      <c r="H275" s="153">
        <v>44610</v>
      </c>
      <c r="I275" s="153">
        <v>44700</v>
      </c>
      <c r="J275" s="153" t="s">
        <v>1840</v>
      </c>
      <c r="K275" s="139">
        <v>16</v>
      </c>
      <c r="L275" s="125">
        <v>91</v>
      </c>
    </row>
    <row r="276" spans="2:12" ht="15.75" thickBot="1" x14ac:dyDescent="0.3">
      <c r="B276" s="83" t="s">
        <v>1839</v>
      </c>
      <c r="C276" s="83" t="s">
        <v>1616</v>
      </c>
      <c r="D276" s="152">
        <v>34</v>
      </c>
      <c r="E276" s="139">
        <v>34</v>
      </c>
      <c r="F276" s="85" t="s">
        <v>1618</v>
      </c>
      <c r="G276" s="91" t="s">
        <v>1619</v>
      </c>
      <c r="H276" s="153">
        <v>44701</v>
      </c>
      <c r="I276" s="153">
        <v>44731</v>
      </c>
      <c r="J276" s="153" t="s">
        <v>1840</v>
      </c>
      <c r="K276" s="139">
        <v>34</v>
      </c>
      <c r="L276" s="125">
        <v>31</v>
      </c>
    </row>
    <row r="277" spans="2:12" ht="15.75" thickBot="1" x14ac:dyDescent="0.3">
      <c r="B277" s="83" t="s">
        <v>1839</v>
      </c>
      <c r="C277" s="83" t="s">
        <v>1616</v>
      </c>
      <c r="D277" s="152">
        <v>33</v>
      </c>
      <c r="E277" s="139">
        <v>33</v>
      </c>
      <c r="F277" s="85" t="s">
        <v>1618</v>
      </c>
      <c r="G277" s="91" t="s">
        <v>1619</v>
      </c>
      <c r="H277" s="153">
        <v>44732</v>
      </c>
      <c r="I277" s="153">
        <v>44761</v>
      </c>
      <c r="J277" s="153" t="s">
        <v>1840</v>
      </c>
      <c r="K277" s="139">
        <v>33</v>
      </c>
      <c r="L277" s="125">
        <v>30</v>
      </c>
    </row>
    <row r="278" spans="2:12" ht="15.75" thickBot="1" x14ac:dyDescent="0.3">
      <c r="B278" s="83" t="s">
        <v>1839</v>
      </c>
      <c r="C278" s="83" t="s">
        <v>1616</v>
      </c>
      <c r="D278" s="152">
        <v>34</v>
      </c>
      <c r="E278" s="139">
        <v>34</v>
      </c>
      <c r="F278" s="85" t="s">
        <v>1618</v>
      </c>
      <c r="G278" s="91" t="s">
        <v>1619</v>
      </c>
      <c r="H278" s="153">
        <v>44762</v>
      </c>
      <c r="I278" s="153">
        <v>44792</v>
      </c>
      <c r="J278" s="153" t="s">
        <v>1840</v>
      </c>
      <c r="K278" s="139">
        <v>34</v>
      </c>
      <c r="L278" s="125">
        <v>31</v>
      </c>
    </row>
    <row r="279" spans="2:12" ht="15.75" thickBot="1" x14ac:dyDescent="0.3">
      <c r="B279" s="83" t="s">
        <v>1839</v>
      </c>
      <c r="C279" s="83" t="s">
        <v>1616</v>
      </c>
      <c r="D279" s="152">
        <v>34</v>
      </c>
      <c r="E279" s="139">
        <v>34</v>
      </c>
      <c r="F279" s="85" t="s">
        <v>1618</v>
      </c>
      <c r="G279" s="91" t="s">
        <v>1619</v>
      </c>
      <c r="H279" s="153">
        <v>44793</v>
      </c>
      <c r="I279" s="153">
        <v>44823</v>
      </c>
      <c r="J279" s="153" t="s">
        <v>1840</v>
      </c>
      <c r="K279" s="139">
        <v>34</v>
      </c>
      <c r="L279" s="125">
        <v>31</v>
      </c>
    </row>
    <row r="280" spans="2:12" ht="15.75" thickBot="1" x14ac:dyDescent="0.3">
      <c r="B280" s="83" t="s">
        <v>1839</v>
      </c>
      <c r="C280" s="83" t="s">
        <v>1616</v>
      </c>
      <c r="D280" s="152">
        <v>33</v>
      </c>
      <c r="E280" s="139">
        <v>33</v>
      </c>
      <c r="F280" s="85" t="s">
        <v>1618</v>
      </c>
      <c r="G280" s="91" t="s">
        <v>1619</v>
      </c>
      <c r="H280" s="153">
        <v>44824</v>
      </c>
      <c r="I280" s="153">
        <v>44853</v>
      </c>
      <c r="J280" s="153" t="s">
        <v>1840</v>
      </c>
      <c r="K280" s="139">
        <v>33</v>
      </c>
      <c r="L280" s="125">
        <v>30</v>
      </c>
    </row>
    <row r="281" spans="2:12" ht="15.75" thickBot="1" x14ac:dyDescent="0.3">
      <c r="B281" s="83" t="s">
        <v>1839</v>
      </c>
      <c r="C281" s="83" t="s">
        <v>1616</v>
      </c>
      <c r="D281" s="152">
        <v>167</v>
      </c>
      <c r="E281" s="139">
        <v>167</v>
      </c>
      <c r="F281" s="85" t="s">
        <v>1618</v>
      </c>
      <c r="G281" s="91" t="s">
        <v>1619</v>
      </c>
      <c r="H281" s="153">
        <v>44854</v>
      </c>
      <c r="I281" s="153">
        <v>44886</v>
      </c>
      <c r="J281" s="153" t="s">
        <v>1840</v>
      </c>
      <c r="K281" s="139">
        <v>167</v>
      </c>
      <c r="L281" s="125">
        <v>33</v>
      </c>
    </row>
    <row r="282" spans="2:12" ht="15.75" thickBot="1" x14ac:dyDescent="0.3">
      <c r="B282" s="83" t="s">
        <v>1839</v>
      </c>
      <c r="C282" s="83" t="s">
        <v>1616</v>
      </c>
      <c r="D282" s="152">
        <v>54</v>
      </c>
      <c r="E282" s="139">
        <v>54</v>
      </c>
      <c r="F282" s="85" t="s">
        <v>1618</v>
      </c>
      <c r="G282" s="91" t="s">
        <v>1619</v>
      </c>
      <c r="H282" s="153">
        <v>44887</v>
      </c>
      <c r="I282" s="153">
        <v>44916</v>
      </c>
      <c r="J282" s="153" t="s">
        <v>1840</v>
      </c>
      <c r="K282" s="139">
        <v>54</v>
      </c>
      <c r="L282" s="125">
        <v>30</v>
      </c>
    </row>
    <row r="283" spans="2:12" ht="15.75" thickBot="1" x14ac:dyDescent="0.3">
      <c r="B283" s="83" t="s">
        <v>1839</v>
      </c>
      <c r="C283" s="83" t="s">
        <v>1616</v>
      </c>
      <c r="D283" s="152">
        <v>18.064516129032256</v>
      </c>
      <c r="E283" s="139">
        <v>18.064516129032256</v>
      </c>
      <c r="F283" s="85" t="s">
        <v>1618</v>
      </c>
      <c r="G283" s="91" t="s">
        <v>1619</v>
      </c>
      <c r="H283" s="153">
        <v>44917</v>
      </c>
      <c r="I283" s="153">
        <v>44947</v>
      </c>
      <c r="J283" s="153" t="s">
        <v>1840</v>
      </c>
      <c r="K283" s="139">
        <v>56</v>
      </c>
      <c r="L283" s="130">
        <v>10</v>
      </c>
    </row>
  </sheetData>
  <mergeCells count="25">
    <mergeCell ref="L28:L29"/>
    <mergeCell ref="J28:J29"/>
    <mergeCell ref="B25:Y26"/>
    <mergeCell ref="B28:B29"/>
    <mergeCell ref="C28:C29"/>
    <mergeCell ref="D28:D29"/>
    <mergeCell ref="E28:E29"/>
    <mergeCell ref="F28:F29"/>
    <mergeCell ref="G28:G29"/>
    <mergeCell ref="K28:K29"/>
    <mergeCell ref="H28:H29"/>
    <mergeCell ref="I28:I29"/>
    <mergeCell ref="B21:Y22"/>
    <mergeCell ref="B9:AA9"/>
    <mergeCell ref="B11:C11"/>
    <mergeCell ref="D11:T11"/>
    <mergeCell ref="B12:C12"/>
    <mergeCell ref="D12:T12"/>
    <mergeCell ref="B13:C13"/>
    <mergeCell ref="D13:T13"/>
    <mergeCell ref="B14:C14"/>
    <mergeCell ref="D14:T14"/>
    <mergeCell ref="B15:C15"/>
    <mergeCell ref="D15:T15"/>
    <mergeCell ref="B17:AA17"/>
  </mergeCells>
  <dataValidations count="3">
    <dataValidation type="list" allowBlank="1" showInputMessage="1" showErrorMessage="1" sqref="C30:C35">
      <formula1>"Rede Pública, Captação (Furo, Poço, etc.), Águas Pluviais"</formula1>
    </dataValidation>
    <dataValidation type="list" allowBlank="1" showInputMessage="1" showErrorMessage="1" sqref="F30:F270">
      <formula1>"m3 (metros cúbicos), l (litros), ton (toneladas)"</formula1>
    </dataValidation>
    <dataValidation type="list" allowBlank="1" showInputMessage="1" showErrorMessage="1" sqref="G30:G270">
      <formula1>"ETAR Rede Pública, ETAR Industrial Propietária"</formula1>
    </dataValidation>
  </dataValidations>
  <pageMargins left="0.7" right="0.7" top="0.75" bottom="0.75" header="0.3" footer="0.3"/>
  <customProperties>
    <customPr name="GUID" r:id="rId1"/>
  </customPropertie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7"/>
  <dimension ref="B6:AA46"/>
  <sheetViews>
    <sheetView topLeftCell="A4" workbookViewId="0">
      <selection activeCell="F58" sqref="F58"/>
    </sheetView>
  </sheetViews>
  <sheetFormatPr defaultRowHeight="15" x14ac:dyDescent="0.25"/>
  <cols>
    <col min="2" max="2" width="43" customWidth="1"/>
    <col min="3" max="5" width="35.7109375" customWidth="1"/>
    <col min="6" max="6" width="24.140625" customWidth="1"/>
    <col min="7" max="8" width="25.7109375" customWidth="1"/>
    <col min="9" max="9" width="28.7109375" customWidth="1"/>
    <col min="10" max="12" width="25.7109375" customWidth="1"/>
    <col min="13" max="13" width="30.5703125" customWidth="1"/>
    <col min="14" max="14" width="43.28515625" customWidth="1"/>
    <col min="15" max="15" width="18.85546875" bestFit="1" customWidth="1"/>
  </cols>
  <sheetData>
    <row r="6" spans="2:25" ht="15.75" thickBot="1" x14ac:dyDescent="0.3"/>
    <row r="7" spans="2:25" x14ac:dyDescent="0.25">
      <c r="B7" s="78" t="s">
        <v>118</v>
      </c>
      <c r="C7" s="79"/>
      <c r="D7" s="93"/>
      <c r="E7" s="93"/>
      <c r="F7" s="93"/>
    </row>
    <row r="9" spans="2:25" x14ac:dyDescent="0.25">
      <c r="B9" s="765" t="str">
        <f>"Grupo Barraqueiro: "&amp;'Folha de Rosto'!C6&amp;" "&amp;'Folha de Rosto'!I6&amp;" - Emissões de GEE de Âmbito 3"</f>
        <v>Grupo Barraqueiro: PEGADA DE CARBONO 2022 - Emissões de GEE de Âmbito 3</v>
      </c>
      <c r="C9" s="765"/>
      <c r="D9" s="765"/>
      <c r="E9" s="765"/>
      <c r="F9" s="765"/>
      <c r="G9" s="765"/>
      <c r="H9" s="765"/>
      <c r="I9" s="765"/>
      <c r="J9" s="765"/>
      <c r="K9" s="765"/>
      <c r="L9" s="765"/>
      <c r="M9" s="765"/>
      <c r="N9" s="765"/>
      <c r="O9" s="765"/>
      <c r="P9" s="765"/>
      <c r="Q9" s="765"/>
      <c r="R9" s="765"/>
      <c r="S9" s="765"/>
      <c r="T9" s="765"/>
      <c r="U9" s="765"/>
      <c r="V9" s="765"/>
      <c r="W9" s="765"/>
      <c r="X9" s="765"/>
      <c r="Y9" s="765"/>
    </row>
    <row r="10" spans="2:25" ht="15.75" thickBot="1" x14ac:dyDescent="0.3"/>
    <row r="11" spans="2:25" ht="33.6" customHeight="1" thickBot="1" x14ac:dyDescent="0.3">
      <c r="B11" s="761" t="s">
        <v>119</v>
      </c>
      <c r="C11" s="761"/>
      <c r="D11" s="802" t="s">
        <v>522</v>
      </c>
      <c r="E11" s="803"/>
      <c r="F11" s="803"/>
      <c r="G11" s="803"/>
      <c r="H11" s="767"/>
    </row>
    <row r="12" spans="2:25" ht="60.95" customHeight="1" thickBot="1" x14ac:dyDescent="0.3">
      <c r="B12" s="761" t="s">
        <v>120</v>
      </c>
      <c r="C12" s="761"/>
      <c r="D12" s="805" t="s">
        <v>454</v>
      </c>
      <c r="E12" s="806"/>
      <c r="F12" s="806"/>
      <c r="G12" s="806"/>
      <c r="H12" s="770"/>
    </row>
    <row r="13" spans="2:25" ht="60.95" customHeight="1" thickBot="1" x14ac:dyDescent="0.3">
      <c r="B13" s="761" t="s">
        <v>121</v>
      </c>
      <c r="C13" s="761"/>
      <c r="D13" s="798" t="s">
        <v>1529</v>
      </c>
      <c r="E13" s="799"/>
      <c r="F13" s="799"/>
      <c r="G13" s="799"/>
      <c r="H13" s="762"/>
    </row>
    <row r="14" spans="2:25" ht="60.95" customHeight="1" thickBot="1" x14ac:dyDescent="0.3">
      <c r="B14" s="761" t="s">
        <v>122</v>
      </c>
      <c r="C14" s="761"/>
      <c r="D14" s="798" t="s">
        <v>123</v>
      </c>
      <c r="E14" s="799"/>
      <c r="F14" s="799"/>
      <c r="G14" s="799"/>
      <c r="H14" s="762"/>
    </row>
    <row r="15" spans="2:25" ht="60" customHeight="1" thickBot="1" x14ac:dyDescent="0.3">
      <c r="B15" s="761" t="s">
        <v>128</v>
      </c>
      <c r="C15" s="761"/>
      <c r="D15" s="798" t="s">
        <v>129</v>
      </c>
      <c r="E15" s="799"/>
      <c r="F15" s="799"/>
      <c r="G15" s="799"/>
      <c r="H15" s="762"/>
    </row>
    <row r="17" spans="2:27" x14ac:dyDescent="0.25">
      <c r="B17" s="765" t="s">
        <v>1816</v>
      </c>
      <c r="C17" s="765"/>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row>
    <row r="18" spans="2:27" x14ac:dyDescent="0.25">
      <c r="B18" t="s">
        <v>130</v>
      </c>
    </row>
    <row r="20" spans="2:27" x14ac:dyDescent="0.25">
      <c r="B20" s="81" t="s">
        <v>135</v>
      </c>
    </row>
    <row r="21" spans="2:27" x14ac:dyDescent="0.25">
      <c r="B21" s="766" t="s">
        <v>1846</v>
      </c>
      <c r="C21" s="766"/>
      <c r="D21" s="766"/>
      <c r="E21" s="766"/>
      <c r="F21" s="766"/>
      <c r="G21" s="766"/>
      <c r="H21" s="766"/>
      <c r="I21" s="766"/>
      <c r="J21" s="766"/>
      <c r="K21" s="766"/>
      <c r="L21" s="766"/>
      <c r="M21" s="766"/>
      <c r="N21" s="766"/>
      <c r="O21" s="766"/>
      <c r="P21" s="766"/>
      <c r="Q21" s="766"/>
      <c r="R21" s="766"/>
      <c r="S21" s="766"/>
      <c r="T21" s="766"/>
      <c r="U21" s="766"/>
      <c r="V21" s="766"/>
      <c r="W21" s="766"/>
      <c r="X21" s="766"/>
      <c r="Y21" s="766"/>
    </row>
    <row r="22" spans="2:27" x14ac:dyDescent="0.25">
      <c r="B22" s="766"/>
      <c r="C22" s="766"/>
      <c r="D22" s="766"/>
      <c r="E22" s="766"/>
      <c r="F22" s="766"/>
      <c r="G22" s="766"/>
      <c r="H22" s="766"/>
      <c r="I22" s="766"/>
      <c r="J22" s="766"/>
      <c r="K22" s="766"/>
      <c r="L22" s="766"/>
      <c r="M22" s="766"/>
      <c r="N22" s="766"/>
      <c r="O22" s="766"/>
      <c r="P22" s="766"/>
      <c r="Q22" s="766"/>
      <c r="R22" s="766"/>
      <c r="S22" s="766"/>
      <c r="T22" s="766"/>
      <c r="U22" s="766"/>
      <c r="V22" s="766"/>
      <c r="W22" s="766"/>
      <c r="X22" s="766"/>
      <c r="Y22" s="766"/>
    </row>
    <row r="24" spans="2:27" ht="15" customHeight="1" x14ac:dyDescent="0.25">
      <c r="B24" s="81" t="s">
        <v>136</v>
      </c>
    </row>
    <row r="25" spans="2:27" x14ac:dyDescent="0.25">
      <c r="B25" s="766"/>
      <c r="C25" s="766"/>
      <c r="D25" s="766"/>
      <c r="E25" s="766"/>
      <c r="F25" s="766"/>
      <c r="G25" s="766"/>
      <c r="H25" s="766"/>
      <c r="I25" s="766"/>
      <c r="J25" s="766"/>
      <c r="K25" s="766"/>
      <c r="L25" s="766"/>
      <c r="M25" s="766"/>
      <c r="N25" s="766"/>
      <c r="O25" s="766"/>
      <c r="P25" s="766"/>
      <c r="Q25" s="766"/>
      <c r="R25" s="766"/>
      <c r="S25" s="766"/>
      <c r="T25" s="766"/>
      <c r="U25" s="766"/>
      <c r="V25" s="766"/>
      <c r="W25" s="766"/>
      <c r="X25" s="766"/>
      <c r="Y25" s="766"/>
    </row>
    <row r="26" spans="2:27" x14ac:dyDescent="0.25">
      <c r="B26" s="766"/>
      <c r="C26" s="766"/>
      <c r="D26" s="766"/>
      <c r="E26" s="766"/>
      <c r="F26" s="766"/>
      <c r="G26" s="766"/>
      <c r="H26" s="766"/>
      <c r="I26" s="766"/>
      <c r="J26" s="766"/>
      <c r="K26" s="766"/>
      <c r="L26" s="766"/>
      <c r="M26" s="766"/>
      <c r="N26" s="766"/>
      <c r="O26" s="766"/>
      <c r="P26" s="766"/>
      <c r="Q26" s="766"/>
      <c r="R26" s="766"/>
      <c r="S26" s="766"/>
      <c r="T26" s="766"/>
      <c r="U26" s="766"/>
      <c r="V26" s="766"/>
      <c r="W26" s="766"/>
      <c r="X26" s="766"/>
      <c r="Y26" s="766"/>
    </row>
    <row r="27" spans="2:27" ht="15.75" thickBot="1" x14ac:dyDescent="0.3"/>
    <row r="28" spans="2:27" s="94" customFormat="1" ht="15.75" customHeight="1" thickBot="1" x14ac:dyDescent="0.3">
      <c r="B28" s="757" t="s">
        <v>131</v>
      </c>
      <c r="C28" s="757" t="s">
        <v>459</v>
      </c>
      <c r="D28" s="757" t="s">
        <v>460</v>
      </c>
      <c r="E28" s="757" t="s">
        <v>461</v>
      </c>
      <c r="F28" s="757" t="s">
        <v>462</v>
      </c>
      <c r="G28" s="759" t="s">
        <v>445</v>
      </c>
      <c r="H28" s="757" t="s">
        <v>449</v>
      </c>
      <c r="I28" s="759" t="s">
        <v>446</v>
      </c>
      <c r="J28" s="759" t="s">
        <v>141</v>
      </c>
      <c r="K28" s="757" t="s">
        <v>456</v>
      </c>
      <c r="L28" s="757" t="s">
        <v>457</v>
      </c>
      <c r="M28" s="759" t="s">
        <v>448</v>
      </c>
      <c r="N28" s="759" t="s">
        <v>134</v>
      </c>
      <c r="O28" s="759" t="s">
        <v>6235</v>
      </c>
    </row>
    <row r="29" spans="2:27" s="94" customFormat="1" ht="15" customHeight="1" thickBot="1" x14ac:dyDescent="0.3">
      <c r="B29" s="758"/>
      <c r="C29" s="758"/>
      <c r="D29" s="758"/>
      <c r="E29" s="758"/>
      <c r="F29" s="758"/>
      <c r="G29" s="757"/>
      <c r="H29" s="809"/>
      <c r="I29" s="757"/>
      <c r="J29" s="757"/>
      <c r="K29" s="809"/>
      <c r="L29" s="809"/>
      <c r="M29" s="757"/>
      <c r="N29" s="759"/>
      <c r="O29" s="759"/>
    </row>
    <row r="30" spans="2:27" ht="15.75" thickBot="1" x14ac:dyDescent="0.3">
      <c r="B30" s="82" t="s">
        <v>1910</v>
      </c>
      <c r="C30" s="424" t="s">
        <v>3129</v>
      </c>
      <c r="D30" s="425" t="s">
        <v>3001</v>
      </c>
      <c r="E30" s="425" t="s">
        <v>6232</v>
      </c>
      <c r="F30" s="425" t="s">
        <v>34</v>
      </c>
      <c r="G30" s="425" t="s">
        <v>1745</v>
      </c>
      <c r="H30" s="425" t="s">
        <v>1746</v>
      </c>
      <c r="I30" s="425">
        <v>5</v>
      </c>
      <c r="J30" s="427" t="s">
        <v>586</v>
      </c>
      <c r="K30" s="425" t="s">
        <v>6233</v>
      </c>
      <c r="L30" s="425" t="s">
        <v>1748</v>
      </c>
      <c r="M30" s="425">
        <v>17</v>
      </c>
      <c r="N30" s="83">
        <f>+I30*M30</f>
        <v>85</v>
      </c>
      <c r="O30" s="287" t="s">
        <v>3105</v>
      </c>
    </row>
    <row r="31" spans="2:27" ht="15.75" thickBot="1" x14ac:dyDescent="0.3">
      <c r="B31" s="82" t="s">
        <v>1910</v>
      </c>
      <c r="C31" s="424" t="s">
        <v>3129</v>
      </c>
      <c r="D31" s="425" t="s">
        <v>3002</v>
      </c>
      <c r="E31" s="425" t="s">
        <v>6232</v>
      </c>
      <c r="F31" s="425" t="s">
        <v>34</v>
      </c>
      <c r="G31" s="425" t="s">
        <v>1745</v>
      </c>
      <c r="H31" s="425" t="s">
        <v>1746</v>
      </c>
      <c r="I31" s="425">
        <v>2</v>
      </c>
      <c r="J31" s="427" t="s">
        <v>586</v>
      </c>
      <c r="K31" s="425" t="s">
        <v>6233</v>
      </c>
      <c r="L31" s="425" t="s">
        <v>1748</v>
      </c>
      <c r="M31" s="425">
        <v>17</v>
      </c>
      <c r="N31" s="425">
        <f>+I31*M31</f>
        <v>34</v>
      </c>
      <c r="O31" s="287" t="s">
        <v>3105</v>
      </c>
    </row>
    <row r="32" spans="2:27" ht="15.75" thickBot="1" x14ac:dyDescent="0.3">
      <c r="B32" s="82" t="s">
        <v>1910</v>
      </c>
      <c r="C32" s="424" t="s">
        <v>3129</v>
      </c>
      <c r="D32" s="425" t="s">
        <v>3003</v>
      </c>
      <c r="E32" s="425" t="s">
        <v>6232</v>
      </c>
      <c r="F32" s="425" t="s">
        <v>34</v>
      </c>
      <c r="G32" s="425" t="s">
        <v>1745</v>
      </c>
      <c r="H32" s="425" t="s">
        <v>1746</v>
      </c>
      <c r="I32" s="425">
        <v>2</v>
      </c>
      <c r="J32" s="427" t="s">
        <v>586</v>
      </c>
      <c r="K32" s="425" t="s">
        <v>6233</v>
      </c>
      <c r="L32" s="425" t="s">
        <v>1748</v>
      </c>
      <c r="M32" s="425">
        <v>17</v>
      </c>
      <c r="N32" s="425">
        <f>+I32*M32</f>
        <v>34</v>
      </c>
      <c r="O32" s="287" t="s">
        <v>3105</v>
      </c>
    </row>
    <row r="33" spans="2:15" ht="15.75" thickBot="1" x14ac:dyDescent="0.3">
      <c r="B33" s="82" t="s">
        <v>1910</v>
      </c>
      <c r="C33" s="424" t="s">
        <v>3129</v>
      </c>
      <c r="D33" s="425" t="s">
        <v>3005</v>
      </c>
      <c r="E33" s="425" t="s">
        <v>6232</v>
      </c>
      <c r="F33" s="425" t="s">
        <v>34</v>
      </c>
      <c r="G33" s="425" t="s">
        <v>1745</v>
      </c>
      <c r="H33" s="425" t="s">
        <v>1746</v>
      </c>
      <c r="I33" s="425">
        <v>5</v>
      </c>
      <c r="J33" s="427" t="s">
        <v>586</v>
      </c>
      <c r="K33" s="425" t="s">
        <v>6233</v>
      </c>
      <c r="L33" s="425" t="s">
        <v>1748</v>
      </c>
      <c r="M33" s="425">
        <v>17</v>
      </c>
      <c r="N33" s="425">
        <f>+I33*M33</f>
        <v>85</v>
      </c>
      <c r="O33" s="287" t="s">
        <v>3105</v>
      </c>
    </row>
    <row r="34" spans="2:15" ht="15.75" thickBot="1" x14ac:dyDescent="0.3">
      <c r="B34" s="82" t="s">
        <v>1910</v>
      </c>
      <c r="C34" s="424" t="s">
        <v>3129</v>
      </c>
      <c r="D34" s="425" t="s">
        <v>6007</v>
      </c>
      <c r="E34" s="425" t="s">
        <v>6232</v>
      </c>
      <c r="F34" s="425" t="s">
        <v>34</v>
      </c>
      <c r="G34" s="425" t="s">
        <v>1745</v>
      </c>
      <c r="H34" s="425" t="s">
        <v>1746</v>
      </c>
      <c r="I34" s="425">
        <v>3</v>
      </c>
      <c r="J34" s="427" t="s">
        <v>586</v>
      </c>
      <c r="K34" s="425" t="s">
        <v>6233</v>
      </c>
      <c r="L34" s="425" t="s">
        <v>1748</v>
      </c>
      <c r="M34" s="425">
        <v>17</v>
      </c>
      <c r="N34" s="425">
        <f>+I34*M34</f>
        <v>51</v>
      </c>
      <c r="O34" s="287" t="s">
        <v>3105</v>
      </c>
    </row>
    <row r="35" spans="2:15" ht="15.75" thickBot="1" x14ac:dyDescent="0.3">
      <c r="B35" s="424" t="s">
        <v>1910</v>
      </c>
      <c r="C35" s="424" t="s">
        <v>3129</v>
      </c>
      <c r="D35" s="425" t="s">
        <v>6008</v>
      </c>
      <c r="E35" s="425" t="s">
        <v>6232</v>
      </c>
      <c r="F35" s="425" t="s">
        <v>34</v>
      </c>
      <c r="G35" s="425" t="s">
        <v>1745</v>
      </c>
      <c r="H35" s="425" t="s">
        <v>1746</v>
      </c>
      <c r="I35" s="425">
        <v>1364</v>
      </c>
      <c r="J35" s="427" t="s">
        <v>586</v>
      </c>
      <c r="K35" s="425" t="s">
        <v>6233</v>
      </c>
      <c r="L35" s="425" t="s">
        <v>1748</v>
      </c>
      <c r="M35" s="425">
        <v>17</v>
      </c>
      <c r="N35" s="83">
        <v>17</v>
      </c>
      <c r="O35" s="287" t="s">
        <v>3105</v>
      </c>
    </row>
    <row r="36" spans="2:15" ht="15.75" thickBot="1" x14ac:dyDescent="0.3">
      <c r="B36" s="424" t="s">
        <v>1910</v>
      </c>
      <c r="C36" s="424" t="s">
        <v>3129</v>
      </c>
      <c r="D36" s="425" t="s">
        <v>6009</v>
      </c>
      <c r="E36" s="425" t="s">
        <v>6041</v>
      </c>
      <c r="F36" s="425" t="s">
        <v>42</v>
      </c>
      <c r="G36" s="425" t="s">
        <v>1745</v>
      </c>
      <c r="H36" s="425" t="s">
        <v>6236</v>
      </c>
      <c r="I36" s="425">
        <v>53</v>
      </c>
      <c r="J36" s="427" t="s">
        <v>586</v>
      </c>
      <c r="K36" s="425" t="s">
        <v>6233</v>
      </c>
      <c r="L36" s="425" t="s">
        <v>1748</v>
      </c>
      <c r="M36" s="425">
        <v>17</v>
      </c>
      <c r="N36" s="83">
        <f>M36*I36*19.5</f>
        <v>17569.5</v>
      </c>
      <c r="O36" s="287" t="s">
        <v>6234</v>
      </c>
    </row>
    <row r="37" spans="2:15" ht="15.75" thickBot="1" x14ac:dyDescent="0.3">
      <c r="B37" s="82" t="s">
        <v>45</v>
      </c>
      <c r="C37" s="82" t="s">
        <v>585</v>
      </c>
      <c r="D37" s="83" t="s">
        <v>604</v>
      </c>
      <c r="E37" s="83"/>
      <c r="F37" s="425" t="s">
        <v>42</v>
      </c>
      <c r="G37" s="425" t="s">
        <v>1745</v>
      </c>
      <c r="H37" s="425" t="s">
        <v>6236</v>
      </c>
      <c r="I37" s="83">
        <v>2</v>
      </c>
      <c r="J37" s="427" t="s">
        <v>586</v>
      </c>
      <c r="K37" s="425" t="s">
        <v>6233</v>
      </c>
      <c r="L37" s="83" t="s">
        <v>6237</v>
      </c>
      <c r="M37" s="83">
        <v>2000</v>
      </c>
      <c r="N37" s="83">
        <f>+M37*I37*93/1000</f>
        <v>372</v>
      </c>
      <c r="O37" s="287" t="s">
        <v>6234</v>
      </c>
    </row>
    <row r="38" spans="2:15" ht="15.75" thickBot="1" x14ac:dyDescent="0.3">
      <c r="B38" s="82" t="s">
        <v>45</v>
      </c>
      <c r="C38" s="82" t="s">
        <v>585</v>
      </c>
      <c r="D38" s="83" t="s">
        <v>614</v>
      </c>
      <c r="E38" s="83"/>
      <c r="F38" s="425" t="s">
        <v>42</v>
      </c>
      <c r="G38" s="425" t="s">
        <v>1745</v>
      </c>
      <c r="H38" s="425" t="s">
        <v>6236</v>
      </c>
      <c r="I38" s="83">
        <v>82</v>
      </c>
      <c r="J38" s="427" t="s">
        <v>586</v>
      </c>
      <c r="K38" s="425" t="s">
        <v>6233</v>
      </c>
      <c r="L38" s="83" t="s">
        <v>6238</v>
      </c>
      <c r="M38" s="83">
        <v>3500</v>
      </c>
      <c r="N38" s="83">
        <f>+I38*44/1000*3500</f>
        <v>12628</v>
      </c>
      <c r="O38" s="287" t="s">
        <v>6234</v>
      </c>
    </row>
    <row r="39" spans="2:15" ht="15.75" thickBot="1" x14ac:dyDescent="0.3">
      <c r="B39" s="82" t="s">
        <v>45</v>
      </c>
      <c r="C39" s="82" t="s">
        <v>585</v>
      </c>
      <c r="D39" s="83" t="s">
        <v>603</v>
      </c>
      <c r="E39" s="83"/>
      <c r="F39" s="425" t="s">
        <v>42</v>
      </c>
      <c r="G39" s="425" t="s">
        <v>1745</v>
      </c>
      <c r="H39" s="425" t="s">
        <v>6236</v>
      </c>
      <c r="I39" s="83">
        <v>44</v>
      </c>
      <c r="J39" s="427" t="s">
        <v>586</v>
      </c>
      <c r="K39" s="425" t="s">
        <v>6233</v>
      </c>
      <c r="L39" s="425" t="s">
        <v>6237</v>
      </c>
      <c r="M39" s="83">
        <v>2000</v>
      </c>
      <c r="N39" s="83">
        <f>+I39*121/1000*2000</f>
        <v>10648</v>
      </c>
      <c r="O39" s="287" t="s">
        <v>6234</v>
      </c>
    </row>
    <row r="40" spans="2:15" ht="15.75" thickBot="1" x14ac:dyDescent="0.3">
      <c r="B40" s="82" t="s">
        <v>45</v>
      </c>
      <c r="C40" s="82" t="s">
        <v>585</v>
      </c>
      <c r="D40" s="83" t="s">
        <v>6036</v>
      </c>
      <c r="E40" s="83"/>
      <c r="F40" s="425" t="s">
        <v>42</v>
      </c>
      <c r="G40" s="425" t="s">
        <v>1745</v>
      </c>
      <c r="H40" s="425" t="s">
        <v>6236</v>
      </c>
      <c r="I40" s="83">
        <v>9</v>
      </c>
      <c r="J40" s="427" t="s">
        <v>586</v>
      </c>
      <c r="K40" s="425" t="s">
        <v>6233</v>
      </c>
      <c r="L40" s="425" t="s">
        <v>6237</v>
      </c>
      <c r="M40" s="83">
        <v>3500</v>
      </c>
      <c r="N40" s="83">
        <f>+I40*167/1000*2000</f>
        <v>3006</v>
      </c>
      <c r="O40" s="425"/>
    </row>
    <row r="41" spans="2:15" ht="15.75" thickBot="1" x14ac:dyDescent="0.3">
      <c r="B41" s="82"/>
      <c r="C41" s="82"/>
      <c r="D41" s="83"/>
      <c r="E41" s="83"/>
      <c r="F41" s="83"/>
      <c r="G41" s="83"/>
      <c r="H41" s="83"/>
      <c r="I41" s="83"/>
      <c r="J41" s="85"/>
      <c r="K41" s="83"/>
      <c r="L41" s="83"/>
      <c r="M41" s="83"/>
      <c r="N41" s="83"/>
      <c r="O41" s="425"/>
    </row>
    <row r="42" spans="2:15" ht="15.75" thickBot="1" x14ac:dyDescent="0.3">
      <c r="B42" s="82"/>
      <c r="C42" s="82"/>
      <c r="D42" s="83"/>
      <c r="E42" s="83"/>
      <c r="F42" s="83"/>
      <c r="G42" s="83"/>
      <c r="H42" s="83"/>
      <c r="I42" s="83"/>
      <c r="J42" s="85"/>
      <c r="K42" s="83"/>
      <c r="L42" s="83"/>
      <c r="M42" s="83"/>
      <c r="N42" s="83"/>
      <c r="O42" s="425"/>
    </row>
    <row r="46" spans="2:15" x14ac:dyDescent="0.25">
      <c r="I46" s="92"/>
    </row>
  </sheetData>
  <mergeCells count="28">
    <mergeCell ref="D13:H13"/>
    <mergeCell ref="J28:J29"/>
    <mergeCell ref="K28:K29"/>
    <mergeCell ref="L28:L29"/>
    <mergeCell ref="M28:M29"/>
    <mergeCell ref="B17:AA17"/>
    <mergeCell ref="B21:Y22"/>
    <mergeCell ref="N28:N29"/>
    <mergeCell ref="D28:D29"/>
    <mergeCell ref="E28:E29"/>
    <mergeCell ref="F28:F29"/>
    <mergeCell ref="O28:O29"/>
    <mergeCell ref="B9:Y9"/>
    <mergeCell ref="B11:C11"/>
    <mergeCell ref="B12:C12"/>
    <mergeCell ref="B13:C13"/>
    <mergeCell ref="B28:B29"/>
    <mergeCell ref="C28:C29"/>
    <mergeCell ref="G28:G29"/>
    <mergeCell ref="H28:H29"/>
    <mergeCell ref="I28:I29"/>
    <mergeCell ref="D11:H11"/>
    <mergeCell ref="D14:H14"/>
    <mergeCell ref="D15:H15"/>
    <mergeCell ref="B25:Y26"/>
    <mergeCell ref="B14:C14"/>
    <mergeCell ref="B15:C15"/>
    <mergeCell ref="D12:H12"/>
  </mergeCells>
  <dataValidations disablePrompts="1" count="5">
    <dataValidation type="list" allowBlank="1" showInputMessage="1" showErrorMessage="1" sqref="J30:J42">
      <formula1>"unidades, paletes, contentores, kWh, l (litros), kg (quilos), ton (toneladas), Nm3 (metros cubicos norm.), Outro/NA"</formula1>
    </dataValidation>
    <dataValidation type="list" allowBlank="1" showInputMessage="1" showErrorMessage="1" sqref="G30:G42">
      <formula1>"Rodoviário, Ferroviário, Aéreo, Marítimo, Outro"</formula1>
    </dataValidation>
    <dataValidation type="list" allowBlank="1" showInputMessage="1" showErrorMessage="1" sqref="C30:C42">
      <formula1>"Combustíveis, Óleos e Aditivos, Equipamentos de AC, Gases Refrigerantes, Outro"</formula1>
    </dataValidation>
    <dataValidation type="list" allowBlank="1" showInputMessage="1" showErrorMessage="1" sqref="F30:F42">
      <formula1>"Sim, Não"</formula1>
    </dataValidation>
    <dataValidation type="list" allowBlank="1" showInputMessage="1" showErrorMessage="1" sqref="H30:H42">
      <formula1>"Meios Próprios Cliente, LCV/Van, HDV Rigid, HDV Articulated, HDV Avg, HDV refrigerated, Freight Flights, Rail, Sea Tanker (products), Sea Tanker (chem. Tanker), Cargo Ship (bulk), Cargo Ship (general), Cargo Ship (container ship), Outro"</formula1>
    </dataValidation>
  </dataValidations>
  <pageMargins left="0.7" right="0.7" top="0.75" bottom="0.75" header="0.3" footer="0.3"/>
  <customProperties>
    <customPr name="GUID" r:id="rId1"/>
  </customPropertie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8"/>
  <dimension ref="B6:X26"/>
  <sheetViews>
    <sheetView topLeftCell="A16" workbookViewId="0"/>
  </sheetViews>
  <sheetFormatPr defaultRowHeight="15" x14ac:dyDescent="0.25"/>
  <cols>
    <col min="2" max="2" width="28.5703125" customWidth="1"/>
    <col min="3" max="3" width="21.42578125" customWidth="1"/>
  </cols>
  <sheetData>
    <row r="6" spans="2:22" ht="15.75" thickBot="1" x14ac:dyDescent="0.3"/>
    <row r="7" spans="2:22" x14ac:dyDescent="0.25">
      <c r="B7" s="78" t="s">
        <v>118</v>
      </c>
      <c r="C7" s="79"/>
    </row>
    <row r="9" spans="2:22" x14ac:dyDescent="0.25">
      <c r="B9" s="765" t="str">
        <f>"Grupo Barraqueiro: "&amp;'Folha de Rosto'!C6&amp;" "&amp;'Folha de Rosto'!I6&amp;" - Emissões de GEE de Âmbito 3"</f>
        <v>Grupo Barraqueiro: PEGADA DE CARBONO 2022 - Emissões de GEE de Âmbito 3</v>
      </c>
      <c r="C9" s="765"/>
      <c r="D9" s="765"/>
      <c r="E9" s="765"/>
      <c r="F9" s="765"/>
      <c r="G9" s="765"/>
      <c r="H9" s="765"/>
      <c r="I9" s="765"/>
      <c r="J9" s="765"/>
      <c r="K9" s="765"/>
      <c r="L9" s="765"/>
      <c r="M9" s="765"/>
      <c r="N9" s="765"/>
      <c r="O9" s="765"/>
      <c r="P9" s="765"/>
      <c r="Q9" s="765"/>
      <c r="R9" s="765"/>
      <c r="S9" s="765"/>
      <c r="T9" s="765"/>
      <c r="U9" s="765"/>
      <c r="V9" s="765"/>
    </row>
    <row r="10" spans="2:22" ht="15.75" thickBot="1" x14ac:dyDescent="0.3"/>
    <row r="11" spans="2:22" ht="33.6" customHeight="1" thickBot="1" x14ac:dyDescent="0.3">
      <c r="B11" s="761" t="s">
        <v>119</v>
      </c>
      <c r="C11" s="761"/>
      <c r="D11" s="767" t="s">
        <v>522</v>
      </c>
      <c r="E11" s="767"/>
      <c r="F11" s="767"/>
      <c r="G11" s="767"/>
      <c r="H11" s="768"/>
      <c r="I11" s="768"/>
      <c r="J11" s="768"/>
      <c r="K11" s="768"/>
      <c r="L11" s="768"/>
      <c r="M11" s="768"/>
      <c r="N11" s="768"/>
      <c r="O11" s="768"/>
      <c r="P11" s="768"/>
      <c r="Q11" s="769"/>
    </row>
    <row r="12" spans="2:22" ht="60.95" customHeight="1" thickBot="1" x14ac:dyDescent="0.3">
      <c r="B12" s="761" t="s">
        <v>120</v>
      </c>
      <c r="C12" s="761"/>
      <c r="D12" s="770" t="s">
        <v>455</v>
      </c>
      <c r="E12" s="770"/>
      <c r="F12" s="770"/>
      <c r="G12" s="770"/>
      <c r="H12" s="771"/>
      <c r="I12" s="771"/>
      <c r="J12" s="771"/>
      <c r="K12" s="771"/>
      <c r="L12" s="771"/>
      <c r="M12" s="771"/>
      <c r="N12" s="771"/>
      <c r="O12" s="771"/>
      <c r="P12" s="771"/>
      <c r="Q12" s="772"/>
    </row>
    <row r="13" spans="2:22" ht="60.95" customHeight="1" thickBot="1" x14ac:dyDescent="0.3">
      <c r="B13" s="761" t="s">
        <v>121</v>
      </c>
      <c r="C13" s="761"/>
      <c r="D13" s="815" t="s">
        <v>76</v>
      </c>
      <c r="E13" s="815"/>
      <c r="F13" s="815"/>
      <c r="G13" s="815"/>
      <c r="H13" s="816"/>
      <c r="I13" s="816"/>
      <c r="J13" s="816"/>
      <c r="K13" s="816"/>
      <c r="L13" s="816"/>
      <c r="M13" s="816"/>
      <c r="N13" s="816"/>
      <c r="O13" s="816"/>
      <c r="P13" s="816"/>
      <c r="Q13" s="817"/>
    </row>
    <row r="14" spans="2:22" ht="60.95" customHeight="1" thickBot="1" x14ac:dyDescent="0.3">
      <c r="B14" s="761" t="s">
        <v>122</v>
      </c>
      <c r="C14" s="761"/>
      <c r="D14" s="815" t="s">
        <v>76</v>
      </c>
      <c r="E14" s="815"/>
      <c r="F14" s="815"/>
      <c r="G14" s="815"/>
      <c r="H14" s="816"/>
      <c r="I14" s="816"/>
      <c r="J14" s="816"/>
      <c r="K14" s="816"/>
      <c r="L14" s="816"/>
      <c r="M14" s="816"/>
      <c r="N14" s="816"/>
      <c r="O14" s="816"/>
      <c r="P14" s="816"/>
      <c r="Q14" s="817"/>
    </row>
    <row r="15" spans="2:22" ht="60" customHeight="1" thickBot="1" x14ac:dyDescent="0.3">
      <c r="B15" s="761" t="s">
        <v>128</v>
      </c>
      <c r="C15" s="761"/>
      <c r="D15" s="818" t="s">
        <v>76</v>
      </c>
      <c r="E15" s="819"/>
      <c r="F15" s="819"/>
      <c r="G15" s="819"/>
      <c r="H15" s="819"/>
      <c r="I15" s="819"/>
      <c r="J15" s="819"/>
      <c r="K15" s="819"/>
      <c r="L15" s="819"/>
      <c r="M15" s="819"/>
      <c r="N15" s="819"/>
      <c r="O15" s="819"/>
      <c r="P15" s="819"/>
      <c r="Q15" s="815"/>
    </row>
    <row r="17" spans="2:24" x14ac:dyDescent="0.25">
      <c r="B17" s="765" t="s">
        <v>1815</v>
      </c>
      <c r="C17" s="765"/>
      <c r="D17" s="765"/>
      <c r="E17" s="765"/>
      <c r="F17" s="765"/>
      <c r="G17" s="765"/>
      <c r="H17" s="765"/>
      <c r="I17" s="765"/>
      <c r="J17" s="765"/>
      <c r="K17" s="765"/>
      <c r="L17" s="765"/>
      <c r="M17" s="765"/>
      <c r="N17" s="765"/>
      <c r="O17" s="765"/>
      <c r="P17" s="765"/>
      <c r="Q17" s="765"/>
      <c r="R17" s="765"/>
      <c r="S17" s="765"/>
      <c r="T17" s="765"/>
      <c r="U17" s="765"/>
      <c r="V17" s="765"/>
      <c r="W17" s="765"/>
      <c r="X17" s="765"/>
    </row>
    <row r="18" spans="2:24" x14ac:dyDescent="0.25">
      <c r="B18" t="s">
        <v>130</v>
      </c>
    </row>
    <row r="20" spans="2:24" x14ac:dyDescent="0.25">
      <c r="B20" s="81" t="s">
        <v>135</v>
      </c>
    </row>
    <row r="21" spans="2:24" x14ac:dyDescent="0.25">
      <c r="B21" s="766"/>
      <c r="C21" s="766"/>
      <c r="D21" s="766"/>
      <c r="E21" s="766"/>
      <c r="F21" s="766"/>
      <c r="G21" s="766"/>
      <c r="H21" s="766"/>
      <c r="I21" s="766"/>
      <c r="J21" s="766"/>
      <c r="K21" s="766"/>
      <c r="L21" s="766"/>
      <c r="M21" s="766"/>
      <c r="N21" s="766"/>
      <c r="O21" s="766"/>
      <c r="P21" s="766"/>
      <c r="Q21" s="766"/>
      <c r="R21" s="766"/>
      <c r="S21" s="766"/>
      <c r="T21" s="766"/>
      <c r="U21" s="766"/>
      <c r="V21" s="766"/>
    </row>
    <row r="22" spans="2:24" x14ac:dyDescent="0.25">
      <c r="B22" s="766"/>
      <c r="C22" s="766"/>
      <c r="D22" s="766"/>
      <c r="E22" s="766"/>
      <c r="F22" s="766"/>
      <c r="G22" s="766"/>
      <c r="H22" s="766"/>
      <c r="I22" s="766"/>
      <c r="J22" s="766"/>
      <c r="K22" s="766"/>
      <c r="L22" s="766"/>
      <c r="M22" s="766"/>
      <c r="N22" s="766"/>
      <c r="O22" s="766"/>
      <c r="P22" s="766"/>
      <c r="Q22" s="766"/>
      <c r="R22" s="766"/>
      <c r="S22" s="766"/>
      <c r="T22" s="766"/>
      <c r="U22" s="766"/>
      <c r="V22" s="766"/>
    </row>
    <row r="24" spans="2:24" ht="15" customHeight="1" x14ac:dyDescent="0.25">
      <c r="B24" s="81" t="s">
        <v>136</v>
      </c>
    </row>
    <row r="25" spans="2:24" x14ac:dyDescent="0.25">
      <c r="B25" s="766"/>
      <c r="C25" s="766"/>
      <c r="D25" s="766"/>
      <c r="E25" s="766"/>
      <c r="F25" s="766"/>
      <c r="G25" s="766"/>
      <c r="H25" s="766"/>
      <c r="I25" s="766"/>
      <c r="J25" s="766"/>
      <c r="K25" s="766"/>
      <c r="L25" s="766"/>
      <c r="M25" s="766"/>
      <c r="N25" s="766"/>
      <c r="O25" s="766"/>
      <c r="P25" s="766"/>
      <c r="Q25" s="766"/>
      <c r="R25" s="766"/>
      <c r="S25" s="766"/>
      <c r="T25" s="766"/>
      <c r="U25" s="766"/>
      <c r="V25" s="766"/>
    </row>
    <row r="26" spans="2:24" x14ac:dyDescent="0.25">
      <c r="B26" s="766"/>
      <c r="C26" s="766"/>
      <c r="D26" s="766"/>
      <c r="E26" s="766"/>
      <c r="F26" s="766"/>
      <c r="G26" s="766"/>
      <c r="H26" s="766"/>
      <c r="I26" s="766"/>
      <c r="J26" s="766"/>
      <c r="K26" s="766"/>
      <c r="L26" s="766"/>
      <c r="M26" s="766"/>
      <c r="N26" s="766"/>
      <c r="O26" s="766"/>
      <c r="P26" s="766"/>
      <c r="Q26" s="766"/>
      <c r="R26" s="766"/>
      <c r="S26" s="766"/>
      <c r="T26" s="766"/>
      <c r="U26" s="766"/>
      <c r="V26" s="766"/>
    </row>
  </sheetData>
  <mergeCells count="14">
    <mergeCell ref="B25:V26"/>
    <mergeCell ref="B14:C14"/>
    <mergeCell ref="D14:Q14"/>
    <mergeCell ref="B15:C15"/>
    <mergeCell ref="D15:Q15"/>
    <mergeCell ref="B17:X17"/>
    <mergeCell ref="B21:V22"/>
    <mergeCell ref="B13:C13"/>
    <mergeCell ref="D13:Q13"/>
    <mergeCell ref="B9:V9"/>
    <mergeCell ref="B11:C11"/>
    <mergeCell ref="D11:Q11"/>
    <mergeCell ref="B12:C12"/>
    <mergeCell ref="D12:Q12"/>
  </mergeCells>
  <pageMargins left="0.7" right="0.7" top="0.75" bottom="0.75" header="0.3" footer="0.3"/>
  <customProperties>
    <customPr name="GUID" r:id="rId1"/>
  </customPropertie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49"/>
  <dimension ref="B6:X26"/>
  <sheetViews>
    <sheetView workbookViewId="0"/>
  </sheetViews>
  <sheetFormatPr defaultRowHeight="15" x14ac:dyDescent="0.25"/>
  <cols>
    <col min="2" max="2" width="28.5703125" customWidth="1"/>
    <col min="3" max="3" width="21.42578125" customWidth="1"/>
  </cols>
  <sheetData>
    <row r="6" spans="2:22" ht="15.75" thickBot="1" x14ac:dyDescent="0.3"/>
    <row r="7" spans="2:22" x14ac:dyDescent="0.25">
      <c r="B7" s="78" t="s">
        <v>118</v>
      </c>
      <c r="C7" s="79"/>
    </row>
    <row r="9" spans="2:22" x14ac:dyDescent="0.25">
      <c r="B9" s="765" t="str">
        <f>"Grupo Barraqueiro: "&amp;'Folha de Rosto'!C6&amp;" "&amp;'Folha de Rosto'!I6&amp;" - Emissões de GEE de Âmbito 3"</f>
        <v>Grupo Barraqueiro: PEGADA DE CARBONO 2022 - Emissões de GEE de Âmbito 3</v>
      </c>
      <c r="C9" s="765"/>
      <c r="D9" s="765"/>
      <c r="E9" s="765"/>
      <c r="F9" s="765"/>
      <c r="G9" s="765"/>
      <c r="H9" s="765"/>
      <c r="I9" s="765"/>
      <c r="J9" s="765"/>
      <c r="K9" s="765"/>
      <c r="L9" s="765"/>
      <c r="M9" s="765"/>
      <c r="N9" s="765"/>
      <c r="O9" s="765"/>
      <c r="P9" s="765"/>
      <c r="Q9" s="765"/>
      <c r="R9" s="765"/>
      <c r="S9" s="765"/>
      <c r="T9" s="765"/>
      <c r="U9" s="765"/>
      <c r="V9" s="765"/>
    </row>
    <row r="10" spans="2:22" ht="15.75" thickBot="1" x14ac:dyDescent="0.3"/>
    <row r="11" spans="2:22" ht="33.6" customHeight="1" thickBot="1" x14ac:dyDescent="0.3">
      <c r="B11" s="761" t="s">
        <v>119</v>
      </c>
      <c r="C11" s="761"/>
      <c r="D11" s="767" t="s">
        <v>522</v>
      </c>
      <c r="E11" s="767"/>
      <c r="F11" s="767"/>
      <c r="G11" s="767"/>
      <c r="H11" s="768"/>
      <c r="I11" s="768"/>
      <c r="J11" s="768"/>
      <c r="K11" s="768"/>
      <c r="L11" s="768"/>
      <c r="M11" s="768"/>
      <c r="N11" s="768"/>
      <c r="O11" s="768"/>
      <c r="P11" s="768"/>
      <c r="Q11" s="769"/>
    </row>
    <row r="12" spans="2:22" ht="60.95" customHeight="1" thickBot="1" x14ac:dyDescent="0.3">
      <c r="B12" s="761" t="s">
        <v>120</v>
      </c>
      <c r="C12" s="761"/>
      <c r="D12" s="770" t="s">
        <v>453</v>
      </c>
      <c r="E12" s="770"/>
      <c r="F12" s="770"/>
      <c r="G12" s="770"/>
      <c r="H12" s="771"/>
      <c r="I12" s="771"/>
      <c r="J12" s="771"/>
      <c r="K12" s="771"/>
      <c r="L12" s="771"/>
      <c r="M12" s="771"/>
      <c r="N12" s="771"/>
      <c r="O12" s="771"/>
      <c r="P12" s="771"/>
      <c r="Q12" s="772"/>
    </row>
    <row r="13" spans="2:22" ht="60.95" customHeight="1" thickBot="1" x14ac:dyDescent="0.3">
      <c r="B13" s="761" t="s">
        <v>121</v>
      </c>
      <c r="C13" s="761"/>
      <c r="D13" s="815" t="s">
        <v>76</v>
      </c>
      <c r="E13" s="815"/>
      <c r="F13" s="815"/>
      <c r="G13" s="815"/>
      <c r="H13" s="816"/>
      <c r="I13" s="816"/>
      <c r="J13" s="816"/>
      <c r="K13" s="816"/>
      <c r="L13" s="816"/>
      <c r="M13" s="816"/>
      <c r="N13" s="816"/>
      <c r="O13" s="816"/>
      <c r="P13" s="816"/>
      <c r="Q13" s="817"/>
    </row>
    <row r="14" spans="2:22" ht="60.95" customHeight="1" thickBot="1" x14ac:dyDescent="0.3">
      <c r="B14" s="761" t="s">
        <v>122</v>
      </c>
      <c r="C14" s="761"/>
      <c r="D14" s="815" t="s">
        <v>76</v>
      </c>
      <c r="E14" s="815"/>
      <c r="F14" s="815"/>
      <c r="G14" s="815"/>
      <c r="H14" s="816"/>
      <c r="I14" s="816"/>
      <c r="J14" s="816"/>
      <c r="K14" s="816"/>
      <c r="L14" s="816"/>
      <c r="M14" s="816"/>
      <c r="N14" s="816"/>
      <c r="O14" s="816"/>
      <c r="P14" s="816"/>
      <c r="Q14" s="817"/>
    </row>
    <row r="15" spans="2:22" ht="60" customHeight="1" thickBot="1" x14ac:dyDescent="0.3">
      <c r="B15" s="761" t="s">
        <v>128</v>
      </c>
      <c r="C15" s="761"/>
      <c r="D15" s="818" t="s">
        <v>76</v>
      </c>
      <c r="E15" s="819"/>
      <c r="F15" s="819"/>
      <c r="G15" s="819"/>
      <c r="H15" s="819"/>
      <c r="I15" s="819"/>
      <c r="J15" s="819"/>
      <c r="K15" s="819"/>
      <c r="L15" s="819"/>
      <c r="M15" s="819"/>
      <c r="N15" s="819"/>
      <c r="O15" s="819"/>
      <c r="P15" s="819"/>
      <c r="Q15" s="815"/>
    </row>
    <row r="17" spans="2:24" x14ac:dyDescent="0.25">
      <c r="B17" s="765" t="s">
        <v>11</v>
      </c>
      <c r="C17" s="765"/>
      <c r="D17" s="765"/>
      <c r="E17" s="765"/>
      <c r="F17" s="765"/>
      <c r="G17" s="765"/>
      <c r="H17" s="765"/>
      <c r="I17" s="765"/>
      <c r="J17" s="765"/>
      <c r="K17" s="765"/>
      <c r="L17" s="765"/>
      <c r="M17" s="765"/>
      <c r="N17" s="765"/>
      <c r="O17" s="765"/>
      <c r="P17" s="765"/>
      <c r="Q17" s="765"/>
      <c r="R17" s="765"/>
      <c r="S17" s="765"/>
      <c r="T17" s="765"/>
      <c r="U17" s="765"/>
      <c r="V17" s="765"/>
      <c r="W17" s="765"/>
      <c r="X17" s="765"/>
    </row>
    <row r="18" spans="2:24" x14ac:dyDescent="0.25">
      <c r="B18" t="s">
        <v>130</v>
      </c>
    </row>
    <row r="20" spans="2:24" x14ac:dyDescent="0.25">
      <c r="B20" s="81" t="s">
        <v>135</v>
      </c>
    </row>
    <row r="21" spans="2:24" x14ac:dyDescent="0.25">
      <c r="B21" s="766"/>
      <c r="C21" s="766"/>
      <c r="D21" s="766"/>
      <c r="E21" s="766"/>
      <c r="F21" s="766"/>
      <c r="G21" s="766"/>
      <c r="H21" s="766"/>
      <c r="I21" s="766"/>
      <c r="J21" s="766"/>
      <c r="K21" s="766"/>
      <c r="L21" s="766"/>
      <c r="M21" s="766"/>
      <c r="N21" s="766"/>
      <c r="O21" s="766"/>
      <c r="P21" s="766"/>
      <c r="Q21" s="766"/>
      <c r="R21" s="766"/>
      <c r="S21" s="766"/>
      <c r="T21" s="766"/>
      <c r="U21" s="766"/>
      <c r="V21" s="766"/>
    </row>
    <row r="22" spans="2:24" x14ac:dyDescent="0.25">
      <c r="B22" s="766"/>
      <c r="C22" s="766"/>
      <c r="D22" s="766"/>
      <c r="E22" s="766"/>
      <c r="F22" s="766"/>
      <c r="G22" s="766"/>
      <c r="H22" s="766"/>
      <c r="I22" s="766"/>
      <c r="J22" s="766"/>
      <c r="K22" s="766"/>
      <c r="L22" s="766"/>
      <c r="M22" s="766"/>
      <c r="N22" s="766"/>
      <c r="O22" s="766"/>
      <c r="P22" s="766"/>
      <c r="Q22" s="766"/>
      <c r="R22" s="766"/>
      <c r="S22" s="766"/>
      <c r="T22" s="766"/>
      <c r="U22" s="766"/>
      <c r="V22" s="766"/>
    </row>
    <row r="24" spans="2:24" ht="15" customHeight="1" x14ac:dyDescent="0.25">
      <c r="B24" s="81" t="s">
        <v>136</v>
      </c>
    </row>
    <row r="25" spans="2:24" x14ac:dyDescent="0.25">
      <c r="B25" s="766"/>
      <c r="C25" s="766"/>
      <c r="D25" s="766"/>
      <c r="E25" s="766"/>
      <c r="F25" s="766"/>
      <c r="G25" s="766"/>
      <c r="H25" s="766"/>
      <c r="I25" s="766"/>
      <c r="J25" s="766"/>
      <c r="K25" s="766"/>
      <c r="L25" s="766"/>
      <c r="M25" s="766"/>
      <c r="N25" s="766"/>
      <c r="O25" s="766"/>
      <c r="P25" s="766"/>
      <c r="Q25" s="766"/>
      <c r="R25" s="766"/>
      <c r="S25" s="766"/>
      <c r="T25" s="766"/>
      <c r="U25" s="766"/>
      <c r="V25" s="766"/>
    </row>
    <row r="26" spans="2:24" x14ac:dyDescent="0.25">
      <c r="B26" s="766"/>
      <c r="C26" s="766"/>
      <c r="D26" s="766"/>
      <c r="E26" s="766"/>
      <c r="F26" s="766"/>
      <c r="G26" s="766"/>
      <c r="H26" s="766"/>
      <c r="I26" s="766"/>
      <c r="J26" s="766"/>
      <c r="K26" s="766"/>
      <c r="L26" s="766"/>
      <c r="M26" s="766"/>
      <c r="N26" s="766"/>
      <c r="O26" s="766"/>
      <c r="P26" s="766"/>
      <c r="Q26" s="766"/>
      <c r="R26" s="766"/>
      <c r="S26" s="766"/>
      <c r="T26" s="766"/>
      <c r="U26" s="766"/>
      <c r="V26" s="766"/>
    </row>
  </sheetData>
  <mergeCells count="14">
    <mergeCell ref="B25:V26"/>
    <mergeCell ref="B14:C14"/>
    <mergeCell ref="D14:Q14"/>
    <mergeCell ref="B15:C15"/>
    <mergeCell ref="D15:Q15"/>
    <mergeCell ref="B17:X17"/>
    <mergeCell ref="B21:V22"/>
    <mergeCell ref="B13:C13"/>
    <mergeCell ref="D13:Q13"/>
    <mergeCell ref="B9:V9"/>
    <mergeCell ref="B11:C11"/>
    <mergeCell ref="D11:Q11"/>
    <mergeCell ref="B12:C12"/>
    <mergeCell ref="D12:Q12"/>
  </mergeCells>
  <pageMargins left="0.7" right="0.7" top="0.75" bottom="0.75" header="0.3" footer="0.3"/>
  <customProperties>
    <customPr name="GUID" r:id="rId1"/>
  </customPropertie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50"/>
  <dimension ref="B6:X81"/>
  <sheetViews>
    <sheetView workbookViewId="0"/>
  </sheetViews>
  <sheetFormatPr defaultRowHeight="15" x14ac:dyDescent="0.25"/>
  <cols>
    <col min="2" max="2" width="28.5703125" customWidth="1"/>
    <col min="3" max="3" width="26.5703125" customWidth="1"/>
    <col min="4" max="4" width="40.140625" bestFit="1" customWidth="1"/>
    <col min="5" max="5" width="17.85546875" bestFit="1" customWidth="1"/>
    <col min="6" max="6" width="30" bestFit="1" customWidth="1"/>
    <col min="7" max="7" width="9" bestFit="1" customWidth="1"/>
    <col min="8" max="8" width="14.42578125" bestFit="1" customWidth="1"/>
    <col min="9" max="9" width="24.140625" bestFit="1" customWidth="1"/>
    <col min="10" max="10" width="21.140625" bestFit="1" customWidth="1"/>
    <col min="11" max="11" width="14.85546875" bestFit="1" customWidth="1"/>
    <col min="12" max="12" width="10.28515625" bestFit="1" customWidth="1"/>
  </cols>
  <sheetData>
    <row r="6" spans="2:22" ht="15.75" thickBot="1" x14ac:dyDescent="0.3"/>
    <row r="7" spans="2:22" x14ac:dyDescent="0.25">
      <c r="B7" s="78" t="s">
        <v>118</v>
      </c>
      <c r="C7" s="79"/>
    </row>
    <row r="9" spans="2:22" x14ac:dyDescent="0.25">
      <c r="B9" s="765" t="str">
        <f>"Grupo Barraqueiro: "&amp;'Folha de Rosto'!C6&amp;" "&amp;'Folha de Rosto'!I6&amp;" - Emissões de GEE de Âmbito 3"</f>
        <v>Grupo Barraqueiro: PEGADA DE CARBONO 2022 - Emissões de GEE de Âmbito 3</v>
      </c>
      <c r="C9" s="765"/>
      <c r="D9" s="765"/>
      <c r="E9" s="765"/>
      <c r="F9" s="765"/>
      <c r="G9" s="765"/>
      <c r="H9" s="765"/>
      <c r="I9" s="765"/>
      <c r="J9" s="765"/>
      <c r="K9" s="765"/>
      <c r="L9" s="765"/>
      <c r="M9" s="765"/>
      <c r="N9" s="765"/>
      <c r="O9" s="765"/>
      <c r="P9" s="765"/>
      <c r="Q9" s="765"/>
      <c r="R9" s="765"/>
      <c r="S9" s="765"/>
      <c r="T9" s="765"/>
      <c r="U9" s="765"/>
      <c r="V9" s="765"/>
    </row>
    <row r="10" spans="2:22" ht="15.75" thickBot="1" x14ac:dyDescent="0.3"/>
    <row r="11" spans="2:22" ht="33.6" customHeight="1" thickBot="1" x14ac:dyDescent="0.3">
      <c r="B11" s="761" t="s">
        <v>119</v>
      </c>
      <c r="C11" s="761"/>
      <c r="D11" s="767" t="s">
        <v>522</v>
      </c>
      <c r="E11" s="767"/>
      <c r="F11" s="767"/>
      <c r="G11" s="767"/>
      <c r="H11" s="768"/>
      <c r="I11" s="768"/>
      <c r="J11" s="768"/>
      <c r="K11" s="768"/>
      <c r="L11" s="768"/>
      <c r="M11" s="768"/>
      <c r="N11" s="768"/>
      <c r="O11" s="768"/>
      <c r="P11" s="768"/>
      <c r="Q11" s="769"/>
    </row>
    <row r="12" spans="2:22" ht="60.95" customHeight="1" thickBot="1" x14ac:dyDescent="0.3">
      <c r="B12" s="761" t="s">
        <v>120</v>
      </c>
      <c r="C12" s="761"/>
      <c r="D12" s="770" t="s">
        <v>452</v>
      </c>
      <c r="E12" s="770"/>
      <c r="F12" s="770"/>
      <c r="G12" s="770"/>
      <c r="H12" s="771"/>
      <c r="I12" s="771"/>
      <c r="J12" s="771"/>
      <c r="K12" s="771"/>
      <c r="L12" s="771"/>
      <c r="M12" s="771"/>
      <c r="N12" s="771"/>
      <c r="O12" s="771"/>
      <c r="P12" s="771"/>
      <c r="Q12" s="772"/>
    </row>
    <row r="13" spans="2:22" ht="60.95" customHeight="1" thickBot="1" x14ac:dyDescent="0.3">
      <c r="B13" s="761" t="s">
        <v>121</v>
      </c>
      <c r="C13" s="761"/>
      <c r="D13" s="815" t="s">
        <v>76</v>
      </c>
      <c r="E13" s="815"/>
      <c r="F13" s="815"/>
      <c r="G13" s="815"/>
      <c r="H13" s="816"/>
      <c r="I13" s="816"/>
      <c r="J13" s="816"/>
      <c r="K13" s="816"/>
      <c r="L13" s="816"/>
      <c r="M13" s="816"/>
      <c r="N13" s="816"/>
      <c r="O13" s="816"/>
      <c r="P13" s="816"/>
      <c r="Q13" s="817"/>
    </row>
    <row r="14" spans="2:22" ht="60.95" customHeight="1" thickBot="1" x14ac:dyDescent="0.3">
      <c r="B14" s="761" t="s">
        <v>122</v>
      </c>
      <c r="C14" s="761"/>
      <c r="D14" s="815" t="s">
        <v>76</v>
      </c>
      <c r="E14" s="815"/>
      <c r="F14" s="815"/>
      <c r="G14" s="815"/>
      <c r="H14" s="816"/>
      <c r="I14" s="816"/>
      <c r="J14" s="816"/>
      <c r="K14" s="816"/>
      <c r="L14" s="816"/>
      <c r="M14" s="816"/>
      <c r="N14" s="816"/>
      <c r="O14" s="816"/>
      <c r="P14" s="816"/>
      <c r="Q14" s="817"/>
    </row>
    <row r="15" spans="2:22" ht="60" customHeight="1" thickBot="1" x14ac:dyDescent="0.3">
      <c r="B15" s="761" t="s">
        <v>128</v>
      </c>
      <c r="C15" s="761"/>
      <c r="D15" s="818" t="s">
        <v>76</v>
      </c>
      <c r="E15" s="819"/>
      <c r="F15" s="819"/>
      <c r="G15" s="819"/>
      <c r="H15" s="819"/>
      <c r="I15" s="819"/>
      <c r="J15" s="819"/>
      <c r="K15" s="819"/>
      <c r="L15" s="819"/>
      <c r="M15" s="819"/>
      <c r="N15" s="819"/>
      <c r="O15" s="819"/>
      <c r="P15" s="819"/>
      <c r="Q15" s="815"/>
    </row>
    <row r="17" spans="2:24" x14ac:dyDescent="0.25">
      <c r="B17" s="765" t="s">
        <v>12</v>
      </c>
      <c r="C17" s="765"/>
      <c r="D17" s="765"/>
      <c r="E17" s="765"/>
      <c r="F17" s="765"/>
      <c r="G17" s="765"/>
      <c r="H17" s="765"/>
      <c r="I17" s="765"/>
      <c r="J17" s="765"/>
      <c r="K17" s="765"/>
      <c r="L17" s="765"/>
      <c r="M17" s="765"/>
      <c r="N17" s="765"/>
      <c r="O17" s="765"/>
      <c r="P17" s="765"/>
      <c r="Q17" s="765"/>
      <c r="R17" s="765"/>
      <c r="S17" s="765"/>
      <c r="T17" s="765"/>
      <c r="U17" s="765"/>
      <c r="V17" s="765"/>
      <c r="W17" s="765"/>
      <c r="X17" s="765"/>
    </row>
    <row r="18" spans="2:24" x14ac:dyDescent="0.25">
      <c r="B18" t="s">
        <v>130</v>
      </c>
    </row>
    <row r="20" spans="2:24" x14ac:dyDescent="0.25">
      <c r="B20" s="81" t="s">
        <v>135</v>
      </c>
    </row>
    <row r="21" spans="2:24" x14ac:dyDescent="0.25">
      <c r="B21" s="766" t="s">
        <v>6231</v>
      </c>
      <c r="C21" s="766"/>
      <c r="D21" s="766"/>
      <c r="E21" s="766"/>
      <c r="F21" s="766"/>
      <c r="G21" s="766"/>
      <c r="H21" s="766"/>
      <c r="I21" s="766"/>
      <c r="J21" s="766"/>
      <c r="K21" s="766"/>
      <c r="L21" s="766"/>
      <c r="M21" s="766"/>
      <c r="N21" s="766"/>
      <c r="O21" s="766"/>
      <c r="P21" s="766"/>
      <c r="Q21" s="766"/>
      <c r="R21" s="766"/>
      <c r="S21" s="766"/>
      <c r="T21" s="766"/>
      <c r="U21" s="766"/>
      <c r="V21" s="766"/>
    </row>
    <row r="22" spans="2:24" x14ac:dyDescent="0.25">
      <c r="B22" s="766"/>
      <c r="C22" s="766"/>
      <c r="D22" s="766"/>
      <c r="E22" s="766"/>
      <c r="F22" s="766"/>
      <c r="G22" s="766"/>
      <c r="H22" s="766"/>
      <c r="I22" s="766"/>
      <c r="J22" s="766"/>
      <c r="K22" s="766"/>
      <c r="L22" s="766"/>
      <c r="M22" s="766"/>
      <c r="N22" s="766"/>
      <c r="O22" s="766"/>
      <c r="P22" s="766"/>
      <c r="Q22" s="766"/>
      <c r="R22" s="766"/>
      <c r="S22" s="766"/>
      <c r="T22" s="766"/>
      <c r="U22" s="766"/>
      <c r="V22" s="766"/>
    </row>
    <row r="24" spans="2:24" ht="15" customHeight="1" x14ac:dyDescent="0.25">
      <c r="B24" s="81" t="s">
        <v>136</v>
      </c>
    </row>
    <row r="25" spans="2:24" x14ac:dyDescent="0.25">
      <c r="B25" s="766"/>
      <c r="C25" s="766"/>
      <c r="D25" s="766"/>
      <c r="E25" s="766"/>
      <c r="F25" s="766"/>
      <c r="G25" s="766"/>
      <c r="H25" s="766"/>
      <c r="I25" s="766"/>
      <c r="J25" s="766"/>
      <c r="K25" s="766"/>
      <c r="L25" s="766"/>
      <c r="M25" s="766"/>
      <c r="N25" s="766"/>
      <c r="O25" s="766"/>
      <c r="P25" s="766"/>
      <c r="Q25" s="766"/>
      <c r="R25" s="766"/>
      <c r="S25" s="766"/>
      <c r="T25" s="766"/>
      <c r="U25" s="766"/>
      <c r="V25" s="766"/>
    </row>
    <row r="26" spans="2:24" x14ac:dyDescent="0.25">
      <c r="B26" s="766"/>
      <c r="C26" s="766"/>
      <c r="D26" s="766"/>
      <c r="E26" s="766"/>
      <c r="F26" s="766"/>
      <c r="G26" s="766"/>
      <c r="H26" s="766"/>
      <c r="I26" s="766"/>
      <c r="J26" s="766"/>
      <c r="K26" s="766"/>
      <c r="L26" s="766"/>
      <c r="M26" s="766"/>
      <c r="N26" s="766"/>
      <c r="O26" s="766"/>
      <c r="P26" s="766"/>
      <c r="Q26" s="766"/>
      <c r="R26" s="766"/>
      <c r="S26" s="766"/>
      <c r="T26" s="766"/>
      <c r="U26" s="766"/>
      <c r="V26" s="766"/>
    </row>
    <row r="27" spans="2:24" ht="15.75" thickBot="1" x14ac:dyDescent="0.3"/>
    <row r="28" spans="2:24" ht="15.75" thickBot="1" x14ac:dyDescent="0.3">
      <c r="B28" s="757" t="s">
        <v>131</v>
      </c>
      <c r="C28" s="757" t="s">
        <v>459</v>
      </c>
      <c r="D28" s="757" t="s">
        <v>460</v>
      </c>
      <c r="E28" s="759" t="s">
        <v>445</v>
      </c>
      <c r="F28" s="757" t="s">
        <v>449</v>
      </c>
      <c r="G28" s="835" t="s">
        <v>434</v>
      </c>
      <c r="H28" s="757" t="s">
        <v>447</v>
      </c>
      <c r="I28" s="757" t="s">
        <v>458</v>
      </c>
      <c r="J28" s="759" t="s">
        <v>448</v>
      </c>
      <c r="K28" s="759" t="s">
        <v>134</v>
      </c>
      <c r="L28" s="759" t="s">
        <v>1880</v>
      </c>
    </row>
    <row r="29" spans="2:24" ht="15.75" thickBot="1" x14ac:dyDescent="0.3">
      <c r="B29" s="758"/>
      <c r="C29" s="758"/>
      <c r="D29" s="758"/>
      <c r="E29" s="757"/>
      <c r="F29" s="809"/>
      <c r="G29" s="836"/>
      <c r="H29" s="809"/>
      <c r="I29" s="809"/>
      <c r="J29" s="757"/>
      <c r="K29" s="759"/>
      <c r="L29" s="759"/>
    </row>
    <row r="30" spans="2:24" ht="15.75" thickBot="1" x14ac:dyDescent="0.3">
      <c r="B30" s="424" t="s">
        <v>4668</v>
      </c>
      <c r="C30" s="424" t="s">
        <v>3129</v>
      </c>
      <c r="D30" s="424" t="s">
        <v>6163</v>
      </c>
      <c r="E30" s="425" t="s">
        <v>1745</v>
      </c>
      <c r="F30" s="425" t="s">
        <v>6164</v>
      </c>
      <c r="G30" s="488">
        <v>287.39999999999998</v>
      </c>
      <c r="H30" s="425" t="s">
        <v>1747</v>
      </c>
      <c r="I30" s="425" t="s">
        <v>6165</v>
      </c>
      <c r="J30" s="425">
        <v>251</v>
      </c>
      <c r="K30" s="425" t="s">
        <v>6166</v>
      </c>
      <c r="L30">
        <v>2023</v>
      </c>
    </row>
    <row r="31" spans="2:24" ht="15.75" thickBot="1" x14ac:dyDescent="0.3">
      <c r="B31" s="424" t="s">
        <v>4668</v>
      </c>
      <c r="C31" s="424" t="s">
        <v>3129</v>
      </c>
      <c r="D31" s="424" t="s">
        <v>6163</v>
      </c>
      <c r="E31" s="425" t="s">
        <v>1745</v>
      </c>
      <c r="F31" s="424" t="s">
        <v>6167</v>
      </c>
      <c r="G31" s="488">
        <v>143.69999999999999</v>
      </c>
      <c r="H31" s="425" t="s">
        <v>6168</v>
      </c>
      <c r="I31" s="425" t="s">
        <v>6165</v>
      </c>
      <c r="J31" s="425">
        <v>251</v>
      </c>
      <c r="K31" s="425" t="s">
        <v>6166</v>
      </c>
      <c r="L31" s="422">
        <v>2023</v>
      </c>
    </row>
    <row r="32" spans="2:24" ht="15.75" thickBot="1" x14ac:dyDescent="0.3">
      <c r="B32" s="424" t="s">
        <v>4668</v>
      </c>
      <c r="C32" s="424" t="s">
        <v>3129</v>
      </c>
      <c r="D32" s="424" t="s">
        <v>6169</v>
      </c>
      <c r="E32" s="425" t="s">
        <v>1745</v>
      </c>
      <c r="F32" s="424" t="s">
        <v>6167</v>
      </c>
      <c r="G32" s="488">
        <v>675.96</v>
      </c>
      <c r="H32" s="425" t="s">
        <v>1747</v>
      </c>
      <c r="I32" s="425" t="s">
        <v>6170</v>
      </c>
      <c r="J32" s="425">
        <v>10.8</v>
      </c>
      <c r="K32" s="425" t="s">
        <v>6171</v>
      </c>
      <c r="L32" s="422">
        <v>2023</v>
      </c>
    </row>
    <row r="33" spans="2:12" ht="15.75" thickBot="1" x14ac:dyDescent="0.3">
      <c r="B33" s="424" t="s">
        <v>4668</v>
      </c>
      <c r="C33" s="424" t="s">
        <v>3129</v>
      </c>
      <c r="D33" s="424" t="s">
        <v>6172</v>
      </c>
      <c r="E33" s="425" t="s">
        <v>1745</v>
      </c>
      <c r="F33" s="424" t="s">
        <v>6167</v>
      </c>
      <c r="G33" s="488">
        <v>523.96</v>
      </c>
      <c r="H33" s="425" t="s">
        <v>1747</v>
      </c>
      <c r="I33" s="425" t="s">
        <v>6170</v>
      </c>
      <c r="J33" s="425">
        <v>10.8</v>
      </c>
      <c r="K33" s="425" t="s">
        <v>6171</v>
      </c>
      <c r="L33" s="422">
        <v>2023</v>
      </c>
    </row>
    <row r="34" spans="2:12" ht="15.75" thickBot="1" x14ac:dyDescent="0.3">
      <c r="B34" s="424" t="s">
        <v>4668</v>
      </c>
      <c r="C34" s="424" t="s">
        <v>585</v>
      </c>
      <c r="D34" s="424" t="s">
        <v>6173</v>
      </c>
      <c r="E34" s="425" t="s">
        <v>1745</v>
      </c>
      <c r="F34" s="424" t="s">
        <v>6167</v>
      </c>
      <c r="G34" s="488">
        <v>1450</v>
      </c>
      <c r="H34" s="425" t="s">
        <v>1747</v>
      </c>
      <c r="I34" s="425" t="s">
        <v>6174</v>
      </c>
      <c r="J34" s="425">
        <v>3.4</v>
      </c>
      <c r="K34" s="425" t="s">
        <v>6175</v>
      </c>
      <c r="L34" s="422">
        <v>2023</v>
      </c>
    </row>
    <row r="35" spans="2:12" ht="15.75" thickBot="1" x14ac:dyDescent="0.3">
      <c r="B35" s="424" t="s">
        <v>4668</v>
      </c>
      <c r="C35" s="424" t="s">
        <v>3129</v>
      </c>
      <c r="D35" s="425" t="s">
        <v>6176</v>
      </c>
      <c r="E35" s="425" t="s">
        <v>1745</v>
      </c>
      <c r="F35" s="424" t="s">
        <v>6167</v>
      </c>
      <c r="G35" s="488">
        <v>1056.8599999999999</v>
      </c>
      <c r="H35" s="425" t="s">
        <v>1747</v>
      </c>
      <c r="I35" s="425" t="s">
        <v>1748</v>
      </c>
      <c r="J35" s="425">
        <v>14.6</v>
      </c>
      <c r="K35" s="425" t="s">
        <v>6177</v>
      </c>
      <c r="L35" s="422">
        <v>2023</v>
      </c>
    </row>
    <row r="36" spans="2:12" ht="15.75" thickBot="1" x14ac:dyDescent="0.3">
      <c r="B36" s="424" t="s">
        <v>4668</v>
      </c>
      <c r="C36" s="424" t="s">
        <v>3129</v>
      </c>
      <c r="D36" s="425" t="s">
        <v>6178</v>
      </c>
      <c r="E36" s="425" t="s">
        <v>1745</v>
      </c>
      <c r="F36" s="424" t="s">
        <v>6167</v>
      </c>
      <c r="G36" s="488">
        <v>1056.8599999999999</v>
      </c>
      <c r="H36" s="425" t="s">
        <v>1747</v>
      </c>
      <c r="I36" s="425" t="s">
        <v>1748</v>
      </c>
      <c r="J36" s="425">
        <v>14.6</v>
      </c>
      <c r="K36" s="425" t="s">
        <v>6177</v>
      </c>
      <c r="L36" s="422">
        <v>2023</v>
      </c>
    </row>
    <row r="37" spans="2:12" ht="15.75" thickBot="1" x14ac:dyDescent="0.3">
      <c r="B37" s="424" t="s">
        <v>4668</v>
      </c>
      <c r="C37" s="424" t="s">
        <v>3129</v>
      </c>
      <c r="D37" s="425" t="s">
        <v>6179</v>
      </c>
      <c r="E37" s="425" t="s">
        <v>1745</v>
      </c>
      <c r="F37" s="424" t="s">
        <v>6167</v>
      </c>
      <c r="G37" s="488">
        <v>1056.8599999999999</v>
      </c>
      <c r="H37" s="425" t="s">
        <v>1747</v>
      </c>
      <c r="I37" s="425" t="s">
        <v>1748</v>
      </c>
      <c r="J37" s="425">
        <v>14.6</v>
      </c>
      <c r="K37" s="425" t="s">
        <v>6177</v>
      </c>
      <c r="L37" s="422">
        <v>2023</v>
      </c>
    </row>
    <row r="38" spans="2:12" ht="15.75" thickBot="1" x14ac:dyDescent="0.3">
      <c r="B38" s="424" t="s">
        <v>4668</v>
      </c>
      <c r="C38" s="424" t="s">
        <v>3129</v>
      </c>
      <c r="D38" s="425" t="s">
        <v>6180</v>
      </c>
      <c r="E38" s="425" t="s">
        <v>1745</v>
      </c>
      <c r="F38" s="424" t="s">
        <v>6167</v>
      </c>
      <c r="G38" s="488">
        <v>1056.8599999999999</v>
      </c>
      <c r="H38" s="425" t="s">
        <v>1747</v>
      </c>
      <c r="I38" s="425" t="s">
        <v>1748</v>
      </c>
      <c r="J38" s="425">
        <v>14.6</v>
      </c>
      <c r="K38" s="425" t="s">
        <v>6177</v>
      </c>
      <c r="L38" s="422">
        <v>2023</v>
      </c>
    </row>
    <row r="39" spans="2:12" ht="15.75" thickBot="1" x14ac:dyDescent="0.3">
      <c r="B39" s="424" t="s">
        <v>4668</v>
      </c>
      <c r="C39" s="424" t="s">
        <v>3129</v>
      </c>
      <c r="D39" s="425" t="s">
        <v>6181</v>
      </c>
      <c r="E39" s="425" t="s">
        <v>1745</v>
      </c>
      <c r="F39" s="424" t="s">
        <v>6167</v>
      </c>
      <c r="G39" s="488">
        <v>1056.8599999999999</v>
      </c>
      <c r="H39" s="425" t="s">
        <v>1747</v>
      </c>
      <c r="I39" s="425" t="s">
        <v>1748</v>
      </c>
      <c r="J39" s="425">
        <v>14.6</v>
      </c>
      <c r="K39" s="425" t="s">
        <v>6177</v>
      </c>
      <c r="L39" s="422">
        <v>2023</v>
      </c>
    </row>
    <row r="40" spans="2:12" ht="15.75" thickBot="1" x14ac:dyDescent="0.3">
      <c r="B40" s="424" t="s">
        <v>4668</v>
      </c>
      <c r="C40" s="424" t="s">
        <v>3129</v>
      </c>
      <c r="D40" s="425" t="s">
        <v>6182</v>
      </c>
      <c r="E40" s="425" t="s">
        <v>1745</v>
      </c>
      <c r="F40" s="424" t="s">
        <v>6167</v>
      </c>
      <c r="G40" s="488">
        <v>1056.8499999999999</v>
      </c>
      <c r="H40" s="425" t="s">
        <v>1747</v>
      </c>
      <c r="I40" s="425" t="s">
        <v>1748</v>
      </c>
      <c r="J40" s="425">
        <v>14.6</v>
      </c>
      <c r="K40" s="425" t="s">
        <v>6177</v>
      </c>
      <c r="L40" s="422">
        <v>2023</v>
      </c>
    </row>
    <row r="41" spans="2:12" ht="15.75" thickBot="1" x14ac:dyDescent="0.3">
      <c r="B41" s="424" t="s">
        <v>4668</v>
      </c>
      <c r="C41" s="424" t="s">
        <v>3129</v>
      </c>
      <c r="D41" s="425" t="s">
        <v>6183</v>
      </c>
      <c r="E41" s="425" t="s">
        <v>1745</v>
      </c>
      <c r="F41" s="424" t="s">
        <v>6167</v>
      </c>
      <c r="G41" s="488">
        <v>1056.8499999999999</v>
      </c>
      <c r="H41" s="425" t="s">
        <v>1747</v>
      </c>
      <c r="I41" s="425" t="s">
        <v>1748</v>
      </c>
      <c r="J41" s="425">
        <v>14.6</v>
      </c>
      <c r="K41" s="425" t="s">
        <v>6177</v>
      </c>
      <c r="L41" s="422">
        <v>2023</v>
      </c>
    </row>
    <row r="42" spans="2:12" ht="15.75" thickBot="1" x14ac:dyDescent="0.3">
      <c r="B42" s="424" t="s">
        <v>4668</v>
      </c>
      <c r="C42" s="424" t="s">
        <v>3129</v>
      </c>
      <c r="D42" s="425" t="s">
        <v>6176</v>
      </c>
      <c r="E42" s="425" t="s">
        <v>1745</v>
      </c>
      <c r="F42" s="424" t="s">
        <v>6167</v>
      </c>
      <c r="G42" s="488">
        <v>379.93</v>
      </c>
      <c r="H42" s="425" t="s">
        <v>1747</v>
      </c>
      <c r="I42" s="425" t="s">
        <v>1748</v>
      </c>
      <c r="J42" s="425">
        <v>14.6</v>
      </c>
      <c r="K42" s="425" t="s">
        <v>6177</v>
      </c>
      <c r="L42" s="422">
        <v>2023</v>
      </c>
    </row>
    <row r="43" spans="2:12" ht="15.75" thickBot="1" x14ac:dyDescent="0.3">
      <c r="B43" s="424" t="s">
        <v>4668</v>
      </c>
      <c r="C43" s="424" t="s">
        <v>3129</v>
      </c>
      <c r="D43" s="425" t="s">
        <v>6178</v>
      </c>
      <c r="E43" s="425" t="s">
        <v>1745</v>
      </c>
      <c r="F43" s="424" t="s">
        <v>6167</v>
      </c>
      <c r="G43" s="488">
        <v>379.93</v>
      </c>
      <c r="H43" s="425" t="s">
        <v>1747</v>
      </c>
      <c r="I43" s="425" t="s">
        <v>1748</v>
      </c>
      <c r="J43" s="425">
        <v>14.6</v>
      </c>
      <c r="K43" s="425" t="s">
        <v>6177</v>
      </c>
      <c r="L43" s="422">
        <v>2023</v>
      </c>
    </row>
    <row r="44" spans="2:12" ht="15.75" thickBot="1" x14ac:dyDescent="0.3">
      <c r="B44" s="424" t="s">
        <v>4668</v>
      </c>
      <c r="C44" s="424" t="s">
        <v>3129</v>
      </c>
      <c r="D44" s="425" t="s">
        <v>6179</v>
      </c>
      <c r="E44" s="425" t="s">
        <v>1745</v>
      </c>
      <c r="F44" s="424" t="s">
        <v>6167</v>
      </c>
      <c r="G44" s="488">
        <v>379.93</v>
      </c>
      <c r="H44" s="425" t="s">
        <v>1747</v>
      </c>
      <c r="I44" s="425" t="s">
        <v>1748</v>
      </c>
      <c r="J44" s="425">
        <v>14.6</v>
      </c>
      <c r="K44" s="425" t="s">
        <v>6177</v>
      </c>
      <c r="L44" s="422">
        <v>2023</v>
      </c>
    </row>
    <row r="45" spans="2:12" ht="15.75" thickBot="1" x14ac:dyDescent="0.3">
      <c r="B45" s="424" t="s">
        <v>4668</v>
      </c>
      <c r="C45" s="424" t="s">
        <v>3129</v>
      </c>
      <c r="D45" s="425" t="s">
        <v>6180</v>
      </c>
      <c r="E45" s="425" t="s">
        <v>1745</v>
      </c>
      <c r="F45" s="424" t="s">
        <v>6167</v>
      </c>
      <c r="G45" s="488">
        <v>379.93</v>
      </c>
      <c r="H45" s="425" t="s">
        <v>1747</v>
      </c>
      <c r="I45" s="425" t="s">
        <v>1748</v>
      </c>
      <c r="J45" s="425">
        <v>14.6</v>
      </c>
      <c r="K45" s="425" t="s">
        <v>6177</v>
      </c>
      <c r="L45" s="422">
        <v>2023</v>
      </c>
    </row>
    <row r="46" spans="2:12" ht="15.75" thickBot="1" x14ac:dyDescent="0.3">
      <c r="B46" s="424" t="s">
        <v>4668</v>
      </c>
      <c r="C46" s="424" t="s">
        <v>3129</v>
      </c>
      <c r="D46" s="425" t="s">
        <v>6181</v>
      </c>
      <c r="E46" s="425" t="s">
        <v>1745</v>
      </c>
      <c r="F46" s="424" t="s">
        <v>6167</v>
      </c>
      <c r="G46" s="488">
        <v>379.93</v>
      </c>
      <c r="H46" s="425" t="s">
        <v>1747</v>
      </c>
      <c r="I46" s="425" t="s">
        <v>1748</v>
      </c>
      <c r="J46" s="425">
        <v>14.6</v>
      </c>
      <c r="K46" s="425" t="s">
        <v>6177</v>
      </c>
      <c r="L46" s="422">
        <v>2023</v>
      </c>
    </row>
    <row r="47" spans="2:12" ht="15.75" thickBot="1" x14ac:dyDescent="0.3">
      <c r="B47" s="424" t="s">
        <v>4668</v>
      </c>
      <c r="C47" s="424" t="s">
        <v>3129</v>
      </c>
      <c r="D47" s="425" t="s">
        <v>6182</v>
      </c>
      <c r="E47" s="425" t="s">
        <v>1745</v>
      </c>
      <c r="F47" s="424" t="s">
        <v>6167</v>
      </c>
      <c r="G47" s="488">
        <v>379.93</v>
      </c>
      <c r="H47" s="425" t="s">
        <v>1747</v>
      </c>
      <c r="I47" s="425" t="s">
        <v>1748</v>
      </c>
      <c r="J47" s="425">
        <v>14.6</v>
      </c>
      <c r="K47" s="425" t="s">
        <v>6177</v>
      </c>
      <c r="L47" s="422">
        <v>2023</v>
      </c>
    </row>
    <row r="48" spans="2:12" ht="15.75" thickBot="1" x14ac:dyDescent="0.3">
      <c r="B48" s="424" t="s">
        <v>4668</v>
      </c>
      <c r="C48" s="424" t="s">
        <v>3129</v>
      </c>
      <c r="D48" s="425" t="s">
        <v>6183</v>
      </c>
      <c r="E48" s="425" t="s">
        <v>1745</v>
      </c>
      <c r="F48" s="424" t="s">
        <v>6167</v>
      </c>
      <c r="G48" s="488">
        <v>379.92</v>
      </c>
      <c r="H48" s="425" t="s">
        <v>1747</v>
      </c>
      <c r="I48" s="425" t="s">
        <v>1748</v>
      </c>
      <c r="J48" s="425">
        <v>14.6</v>
      </c>
      <c r="K48" s="425" t="s">
        <v>6177</v>
      </c>
      <c r="L48" s="422">
        <v>2023</v>
      </c>
    </row>
    <row r="49" spans="2:12" ht="15.75" thickBot="1" x14ac:dyDescent="0.3">
      <c r="B49" s="424" t="s">
        <v>4668</v>
      </c>
      <c r="C49" s="424" t="s">
        <v>585</v>
      </c>
      <c r="D49" s="424" t="s">
        <v>6184</v>
      </c>
      <c r="E49" s="425" t="s">
        <v>1745</v>
      </c>
      <c r="F49" s="424" t="s">
        <v>6167</v>
      </c>
      <c r="G49" s="488">
        <v>992.18</v>
      </c>
      <c r="H49" s="425" t="s">
        <v>1747</v>
      </c>
      <c r="I49" s="425" t="s">
        <v>6185</v>
      </c>
      <c r="J49" s="425">
        <v>23.9</v>
      </c>
      <c r="K49" s="425" t="s">
        <v>6186</v>
      </c>
      <c r="L49" s="422">
        <v>2023</v>
      </c>
    </row>
    <row r="50" spans="2:12" ht="15.75" thickBot="1" x14ac:dyDescent="0.3">
      <c r="B50" s="424" t="s">
        <v>4668</v>
      </c>
      <c r="C50" s="424" t="s">
        <v>3129</v>
      </c>
      <c r="D50" s="424" t="s">
        <v>6187</v>
      </c>
      <c r="E50" s="425" t="s">
        <v>1745</v>
      </c>
      <c r="F50" s="424" t="s">
        <v>6167</v>
      </c>
      <c r="G50" s="488">
        <v>212.17</v>
      </c>
      <c r="H50" s="425" t="s">
        <v>1747</v>
      </c>
      <c r="I50" s="425" t="s">
        <v>6185</v>
      </c>
      <c r="J50" s="425">
        <v>23.9</v>
      </c>
      <c r="K50" s="425" t="s">
        <v>6186</v>
      </c>
      <c r="L50" s="422">
        <v>2023</v>
      </c>
    </row>
    <row r="51" spans="2:12" ht="15.75" thickBot="1" x14ac:dyDescent="0.3">
      <c r="B51" s="424" t="s">
        <v>4668</v>
      </c>
      <c r="C51" s="424" t="s">
        <v>3129</v>
      </c>
      <c r="D51" s="424" t="s">
        <v>6188</v>
      </c>
      <c r="E51" s="425" t="s">
        <v>1745</v>
      </c>
      <c r="F51" s="424" t="s">
        <v>6167</v>
      </c>
      <c r="G51" s="488">
        <v>125.87</v>
      </c>
      <c r="H51" s="425" t="s">
        <v>1747</v>
      </c>
      <c r="I51" s="425" t="s">
        <v>6185</v>
      </c>
      <c r="J51" s="425">
        <v>23.9</v>
      </c>
      <c r="K51" s="425" t="s">
        <v>6186</v>
      </c>
      <c r="L51" s="422">
        <v>2023</v>
      </c>
    </row>
    <row r="52" spans="2:12" ht="15.75" thickBot="1" x14ac:dyDescent="0.3">
      <c r="B52" s="424" t="s">
        <v>4668</v>
      </c>
      <c r="C52" s="424" t="s">
        <v>3129</v>
      </c>
      <c r="D52" s="424" t="s">
        <v>6189</v>
      </c>
      <c r="E52" s="425" t="s">
        <v>1745</v>
      </c>
      <c r="F52" s="424" t="s">
        <v>6167</v>
      </c>
      <c r="G52" s="488">
        <v>1976</v>
      </c>
      <c r="H52" s="425" t="s">
        <v>1747</v>
      </c>
      <c r="I52" s="425" t="s">
        <v>6190</v>
      </c>
      <c r="J52" s="425">
        <v>5.7</v>
      </c>
      <c r="K52" s="425" t="s">
        <v>6191</v>
      </c>
      <c r="L52" s="422">
        <v>2023</v>
      </c>
    </row>
    <row r="53" spans="2:12" ht="15.75" thickBot="1" x14ac:dyDescent="0.3">
      <c r="B53" s="424" t="s">
        <v>4668</v>
      </c>
      <c r="C53" s="424" t="s">
        <v>3129</v>
      </c>
      <c r="D53" s="424" t="s">
        <v>6189</v>
      </c>
      <c r="E53" s="425" t="s">
        <v>1745</v>
      </c>
      <c r="F53" s="424" t="s">
        <v>6167</v>
      </c>
      <c r="G53" s="488">
        <v>1976</v>
      </c>
      <c r="H53" s="425" t="s">
        <v>1747</v>
      </c>
      <c r="I53" s="425" t="s">
        <v>6190</v>
      </c>
      <c r="J53" s="425">
        <v>5.7</v>
      </c>
      <c r="K53" s="425" t="s">
        <v>6191</v>
      </c>
      <c r="L53" s="422">
        <v>2023</v>
      </c>
    </row>
    <row r="54" spans="2:12" ht="15.75" thickBot="1" x14ac:dyDescent="0.3">
      <c r="B54" s="424" t="s">
        <v>4668</v>
      </c>
      <c r="C54" s="424" t="s">
        <v>3129</v>
      </c>
      <c r="D54" s="424" t="s">
        <v>6189</v>
      </c>
      <c r="E54" s="425" t="s">
        <v>1745</v>
      </c>
      <c r="F54" s="424" t="s">
        <v>6167</v>
      </c>
      <c r="G54" s="488">
        <v>1976</v>
      </c>
      <c r="H54" s="425" t="s">
        <v>1747</v>
      </c>
      <c r="I54" s="425" t="s">
        <v>6190</v>
      </c>
      <c r="J54" s="425">
        <v>5.7</v>
      </c>
      <c r="K54" s="425" t="s">
        <v>6191</v>
      </c>
      <c r="L54" s="422">
        <v>2023</v>
      </c>
    </row>
    <row r="55" spans="2:12" ht="30.75" thickBot="1" x14ac:dyDescent="0.3">
      <c r="B55" s="424" t="s">
        <v>4668</v>
      </c>
      <c r="C55" s="424" t="s">
        <v>3129</v>
      </c>
      <c r="D55" s="424" t="s">
        <v>6192</v>
      </c>
      <c r="E55" s="425" t="s">
        <v>1745</v>
      </c>
      <c r="F55" s="424" t="s">
        <v>6167</v>
      </c>
      <c r="G55" s="488">
        <v>1510</v>
      </c>
      <c r="H55" s="425" t="s">
        <v>1747</v>
      </c>
      <c r="I55" s="425" t="s">
        <v>6193</v>
      </c>
      <c r="J55" s="425">
        <v>373</v>
      </c>
      <c r="K55" s="425" t="s">
        <v>6194</v>
      </c>
      <c r="L55" s="422">
        <v>2023</v>
      </c>
    </row>
    <row r="56" spans="2:12" ht="30.75" thickBot="1" x14ac:dyDescent="0.3">
      <c r="B56" s="276" t="s">
        <v>4668</v>
      </c>
      <c r="C56" s="276" t="s">
        <v>3129</v>
      </c>
      <c r="D56" s="276" t="s">
        <v>6195</v>
      </c>
      <c r="E56" s="263" t="s">
        <v>1745</v>
      </c>
      <c r="F56" s="276" t="s">
        <v>6167</v>
      </c>
      <c r="G56" s="489">
        <v>17869.97</v>
      </c>
      <c r="H56" s="263" t="s">
        <v>1747</v>
      </c>
      <c r="I56" s="263" t="s">
        <v>6196</v>
      </c>
      <c r="J56" s="263">
        <v>4.9000000000000004</v>
      </c>
      <c r="K56" s="263" t="s">
        <v>6197</v>
      </c>
      <c r="L56" s="283">
        <v>2023</v>
      </c>
    </row>
    <row r="57" spans="2:12" ht="30.75" thickBot="1" x14ac:dyDescent="0.3">
      <c r="B57" s="276" t="s">
        <v>4668</v>
      </c>
      <c r="C57" s="276" t="s">
        <v>3129</v>
      </c>
      <c r="D57" s="276" t="s">
        <v>6198</v>
      </c>
      <c r="E57" s="263" t="s">
        <v>1745</v>
      </c>
      <c r="F57" s="276" t="s">
        <v>6167</v>
      </c>
      <c r="G57" s="489">
        <v>17713.97</v>
      </c>
      <c r="H57" s="263" t="s">
        <v>1747</v>
      </c>
      <c r="I57" s="263" t="s">
        <v>6196</v>
      </c>
      <c r="J57" s="263">
        <v>4.9000000000000004</v>
      </c>
      <c r="K57" s="263" t="s">
        <v>6197</v>
      </c>
      <c r="L57" s="283">
        <v>2023</v>
      </c>
    </row>
    <row r="58" spans="2:12" ht="15.75" thickBot="1" x14ac:dyDescent="0.3">
      <c r="B58" s="424" t="s">
        <v>4668</v>
      </c>
      <c r="C58" s="424" t="s">
        <v>3129</v>
      </c>
      <c r="D58" s="424" t="s">
        <v>6199</v>
      </c>
      <c r="E58" s="425" t="s">
        <v>1745</v>
      </c>
      <c r="F58" s="424" t="s">
        <v>6167</v>
      </c>
      <c r="G58" s="488">
        <v>145</v>
      </c>
      <c r="H58" s="425" t="s">
        <v>1747</v>
      </c>
      <c r="I58" s="425" t="s">
        <v>6196</v>
      </c>
      <c r="J58" s="425">
        <v>35.9</v>
      </c>
      <c r="K58" s="425" t="s">
        <v>6200</v>
      </c>
      <c r="L58" s="422">
        <v>2023</v>
      </c>
    </row>
    <row r="59" spans="2:12" ht="15.75" thickBot="1" x14ac:dyDescent="0.3">
      <c r="B59" s="424" t="s">
        <v>4668</v>
      </c>
      <c r="C59" s="424" t="s">
        <v>3129</v>
      </c>
      <c r="D59" s="424" t="s">
        <v>6199</v>
      </c>
      <c r="E59" s="425" t="s">
        <v>1745</v>
      </c>
      <c r="F59" s="424" t="s">
        <v>6167</v>
      </c>
      <c r="G59" s="488">
        <v>145</v>
      </c>
      <c r="H59" s="425" t="s">
        <v>1747</v>
      </c>
      <c r="I59" s="425" t="s">
        <v>6196</v>
      </c>
      <c r="J59" s="425">
        <v>35.9</v>
      </c>
      <c r="K59" s="425" t="s">
        <v>6200</v>
      </c>
      <c r="L59" s="422">
        <v>2023</v>
      </c>
    </row>
    <row r="60" spans="2:12" ht="15.75" thickBot="1" x14ac:dyDescent="0.3">
      <c r="B60" s="424" t="s">
        <v>4668</v>
      </c>
      <c r="C60" s="424" t="s">
        <v>3129</v>
      </c>
      <c r="D60" s="424" t="s">
        <v>6199</v>
      </c>
      <c r="E60" s="425" t="s">
        <v>1745</v>
      </c>
      <c r="F60" s="424" t="s">
        <v>6167</v>
      </c>
      <c r="G60" s="488">
        <v>290</v>
      </c>
      <c r="H60" s="425" t="s">
        <v>1747</v>
      </c>
      <c r="I60" s="425" t="s">
        <v>6196</v>
      </c>
      <c r="J60" s="425">
        <v>35.9</v>
      </c>
      <c r="K60" s="425" t="s">
        <v>6200</v>
      </c>
      <c r="L60" s="422">
        <v>2023</v>
      </c>
    </row>
    <row r="61" spans="2:12" ht="30.75" thickBot="1" x14ac:dyDescent="0.3">
      <c r="B61" s="424" t="s">
        <v>4668</v>
      </c>
      <c r="C61" s="424" t="s">
        <v>585</v>
      </c>
      <c r="D61" s="424" t="s">
        <v>6201</v>
      </c>
      <c r="E61" s="425" t="s">
        <v>1745</v>
      </c>
      <c r="F61" s="424" t="s">
        <v>6167</v>
      </c>
      <c r="G61" s="488">
        <v>1100</v>
      </c>
      <c r="H61" s="425" t="s">
        <v>1747</v>
      </c>
      <c r="I61" s="425" t="s">
        <v>6174</v>
      </c>
      <c r="J61" s="425">
        <v>3.4</v>
      </c>
      <c r="K61" s="425" t="s">
        <v>6175</v>
      </c>
      <c r="L61" s="422">
        <v>2023</v>
      </c>
    </row>
    <row r="62" spans="2:12" ht="15.75" thickBot="1" x14ac:dyDescent="0.3">
      <c r="B62" s="424" t="s">
        <v>4668</v>
      </c>
      <c r="C62" s="424" t="s">
        <v>3129</v>
      </c>
      <c r="D62" s="424" t="s">
        <v>6202</v>
      </c>
      <c r="E62" s="425" t="s">
        <v>1745</v>
      </c>
      <c r="F62" s="424" t="s">
        <v>6167</v>
      </c>
      <c r="G62" s="488">
        <v>68245</v>
      </c>
      <c r="H62" s="425" t="s">
        <v>1747</v>
      </c>
      <c r="I62" s="425" t="s">
        <v>6203</v>
      </c>
      <c r="J62" s="425">
        <v>371</v>
      </c>
      <c r="K62" s="425" t="s">
        <v>6204</v>
      </c>
      <c r="L62" s="422">
        <v>2023</v>
      </c>
    </row>
    <row r="63" spans="2:12" ht="15.75" thickBot="1" x14ac:dyDescent="0.3">
      <c r="B63" s="424" t="s">
        <v>4668</v>
      </c>
      <c r="C63" s="424" t="s">
        <v>3129</v>
      </c>
      <c r="D63" s="424" t="s">
        <v>6205</v>
      </c>
      <c r="E63" s="425" t="s">
        <v>1745</v>
      </c>
      <c r="F63" s="424" t="s">
        <v>6167</v>
      </c>
      <c r="G63" s="488">
        <v>7800</v>
      </c>
      <c r="H63" s="425" t="s">
        <v>1747</v>
      </c>
      <c r="I63" s="425" t="s">
        <v>6206</v>
      </c>
      <c r="J63" s="425">
        <v>46.5</v>
      </c>
      <c r="K63" s="425" t="s">
        <v>6207</v>
      </c>
      <c r="L63" s="422">
        <v>2023</v>
      </c>
    </row>
    <row r="64" spans="2:12" ht="15.75" thickBot="1" x14ac:dyDescent="0.3">
      <c r="B64" s="276" t="s">
        <v>4668</v>
      </c>
      <c r="C64" s="276" t="s">
        <v>3129</v>
      </c>
      <c r="D64" s="276" t="s">
        <v>6208</v>
      </c>
      <c r="E64" s="263" t="s">
        <v>1745</v>
      </c>
      <c r="F64" s="276" t="s">
        <v>6167</v>
      </c>
      <c r="G64" s="489">
        <v>30081.3</v>
      </c>
      <c r="H64" s="263" t="s">
        <v>1747</v>
      </c>
      <c r="I64" s="263" t="s">
        <v>6209</v>
      </c>
      <c r="J64" s="263">
        <v>231</v>
      </c>
      <c r="K64" s="263" t="s">
        <v>6210</v>
      </c>
      <c r="L64" s="283">
        <v>2023</v>
      </c>
    </row>
    <row r="65" spans="2:12" ht="15.75" thickBot="1" x14ac:dyDescent="0.3">
      <c r="B65" s="424" t="s">
        <v>4668</v>
      </c>
      <c r="C65" s="424" t="s">
        <v>3129</v>
      </c>
      <c r="D65" s="424" t="s">
        <v>6211</v>
      </c>
      <c r="E65" s="425" t="s">
        <v>1745</v>
      </c>
      <c r="F65" s="424" t="s">
        <v>6167</v>
      </c>
      <c r="G65" s="488">
        <v>11425</v>
      </c>
      <c r="H65" s="425" t="s">
        <v>1747</v>
      </c>
      <c r="I65" s="425" t="s">
        <v>6196</v>
      </c>
      <c r="J65" s="425">
        <v>39.6</v>
      </c>
      <c r="K65" s="425" t="s">
        <v>6212</v>
      </c>
      <c r="L65" s="422">
        <v>2023</v>
      </c>
    </row>
    <row r="66" spans="2:12" ht="15.75" thickBot="1" x14ac:dyDescent="0.3">
      <c r="B66" s="424" t="s">
        <v>4668</v>
      </c>
      <c r="C66" s="424" t="s">
        <v>3129</v>
      </c>
      <c r="D66" s="424" t="s">
        <v>6211</v>
      </c>
      <c r="E66" s="425" t="s">
        <v>1745</v>
      </c>
      <c r="F66" s="424" t="s">
        <v>6167</v>
      </c>
      <c r="G66" s="488">
        <v>11425</v>
      </c>
      <c r="H66" s="425" t="s">
        <v>1747</v>
      </c>
      <c r="I66" s="425" t="s">
        <v>6196</v>
      </c>
      <c r="J66" s="425">
        <v>39.6</v>
      </c>
      <c r="K66" s="425" t="s">
        <v>6212</v>
      </c>
      <c r="L66" s="422">
        <v>2023</v>
      </c>
    </row>
    <row r="67" spans="2:12" ht="15.75" thickBot="1" x14ac:dyDescent="0.3">
      <c r="B67" s="424" t="s">
        <v>4668</v>
      </c>
      <c r="C67" s="424" t="s">
        <v>3129</v>
      </c>
      <c r="D67" s="424" t="s">
        <v>6211</v>
      </c>
      <c r="E67" s="425" t="s">
        <v>1745</v>
      </c>
      <c r="F67" s="424" t="s">
        <v>6167</v>
      </c>
      <c r="G67" s="488">
        <v>11425</v>
      </c>
      <c r="H67" s="425" t="s">
        <v>1747</v>
      </c>
      <c r="I67" s="425" t="s">
        <v>6196</v>
      </c>
      <c r="J67" s="425">
        <v>39.6</v>
      </c>
      <c r="K67" s="425" t="s">
        <v>6212</v>
      </c>
      <c r="L67" s="422">
        <v>2023</v>
      </c>
    </row>
    <row r="68" spans="2:12" ht="15.75" thickBot="1" x14ac:dyDescent="0.3">
      <c r="B68" s="424" t="s">
        <v>4668</v>
      </c>
      <c r="C68" s="424" t="s">
        <v>3129</v>
      </c>
      <c r="D68" s="424" t="s">
        <v>6211</v>
      </c>
      <c r="E68" s="425" t="s">
        <v>1745</v>
      </c>
      <c r="F68" s="424" t="s">
        <v>6167</v>
      </c>
      <c r="G68" s="488">
        <v>11425</v>
      </c>
      <c r="H68" s="425" t="s">
        <v>1747</v>
      </c>
      <c r="I68" s="425" t="s">
        <v>6196</v>
      </c>
      <c r="J68" s="425">
        <v>39.6</v>
      </c>
      <c r="K68" s="425" t="s">
        <v>6212</v>
      </c>
      <c r="L68" s="422">
        <v>2023</v>
      </c>
    </row>
    <row r="69" spans="2:12" ht="30.75" thickBot="1" x14ac:dyDescent="0.3">
      <c r="B69" s="424" t="s">
        <v>4668</v>
      </c>
      <c r="C69" s="424" t="s">
        <v>585</v>
      </c>
      <c r="D69" s="424" t="s">
        <v>6213</v>
      </c>
      <c r="E69" s="425" t="s">
        <v>1745</v>
      </c>
      <c r="F69" s="424" t="s">
        <v>6167</v>
      </c>
      <c r="G69" s="488">
        <v>750</v>
      </c>
      <c r="H69" s="425" t="s">
        <v>1747</v>
      </c>
      <c r="I69" s="425" t="s">
        <v>6174</v>
      </c>
      <c r="J69" s="425">
        <v>3.4</v>
      </c>
      <c r="K69" s="425" t="s">
        <v>6175</v>
      </c>
      <c r="L69" s="422">
        <v>2023</v>
      </c>
    </row>
    <row r="70" spans="2:12" ht="15.75" thickBot="1" x14ac:dyDescent="0.3">
      <c r="B70" s="424" t="s">
        <v>4668</v>
      </c>
      <c r="C70" s="424" t="s">
        <v>585</v>
      </c>
      <c r="D70" s="424" t="s">
        <v>6214</v>
      </c>
      <c r="E70" s="425" t="s">
        <v>1745</v>
      </c>
      <c r="F70" s="424" t="s">
        <v>6215</v>
      </c>
      <c r="G70" s="488">
        <v>1980</v>
      </c>
      <c r="H70" s="425" t="s">
        <v>1747</v>
      </c>
      <c r="I70" s="425" t="s">
        <v>6174</v>
      </c>
      <c r="J70" s="425">
        <v>3.4</v>
      </c>
      <c r="K70" s="425" t="s">
        <v>6175</v>
      </c>
      <c r="L70" s="422">
        <v>2023</v>
      </c>
    </row>
    <row r="71" spans="2:12" ht="15.75" thickBot="1" x14ac:dyDescent="0.3">
      <c r="B71" s="276" t="s">
        <v>4668</v>
      </c>
      <c r="C71" s="276" t="s">
        <v>3129</v>
      </c>
      <c r="D71" s="276" t="s">
        <v>6216</v>
      </c>
      <c r="E71" s="263" t="s">
        <v>1745</v>
      </c>
      <c r="F71" s="276" t="s">
        <v>6167</v>
      </c>
      <c r="G71" s="489">
        <v>30081.3</v>
      </c>
      <c r="H71" s="263" t="s">
        <v>1747</v>
      </c>
      <c r="I71" s="263" t="s">
        <v>6209</v>
      </c>
      <c r="J71" s="263">
        <v>231</v>
      </c>
      <c r="K71" s="263" t="s">
        <v>6210</v>
      </c>
      <c r="L71" s="283">
        <v>2023</v>
      </c>
    </row>
    <row r="72" spans="2:12" ht="30.75" thickBot="1" x14ac:dyDescent="0.3">
      <c r="B72" s="424" t="s">
        <v>4668</v>
      </c>
      <c r="C72" s="424" t="s">
        <v>3129</v>
      </c>
      <c r="D72" s="424" t="s">
        <v>6217</v>
      </c>
      <c r="E72" s="425" t="s">
        <v>1745</v>
      </c>
      <c r="F72" s="424" t="s">
        <v>6167</v>
      </c>
      <c r="G72" s="488">
        <v>1099.46</v>
      </c>
      <c r="H72" s="425"/>
      <c r="I72" s="425" t="s">
        <v>1748</v>
      </c>
      <c r="J72" s="425">
        <v>13.8</v>
      </c>
      <c r="K72" s="425" t="s">
        <v>6218</v>
      </c>
      <c r="L72" s="422">
        <v>2023</v>
      </c>
    </row>
    <row r="73" spans="2:12" ht="15.75" thickBot="1" x14ac:dyDescent="0.3">
      <c r="B73" s="424" t="s">
        <v>4668</v>
      </c>
      <c r="C73" s="424" t="s">
        <v>3129</v>
      </c>
      <c r="D73" s="424" t="s">
        <v>6219</v>
      </c>
      <c r="E73" s="425" t="s">
        <v>1745</v>
      </c>
      <c r="F73" s="424" t="s">
        <v>6167</v>
      </c>
      <c r="G73" s="488">
        <v>1294.8599999999999</v>
      </c>
      <c r="H73" s="425"/>
      <c r="I73" s="425" t="s">
        <v>1748</v>
      </c>
      <c r="J73" s="425">
        <v>12.8</v>
      </c>
      <c r="K73" s="425" t="s">
        <v>6220</v>
      </c>
      <c r="L73" s="422">
        <v>2023</v>
      </c>
    </row>
    <row r="74" spans="2:12" ht="15.75" thickBot="1" x14ac:dyDescent="0.3">
      <c r="B74" s="424" t="s">
        <v>4668</v>
      </c>
      <c r="C74" s="424" t="s">
        <v>3129</v>
      </c>
      <c r="D74" s="424" t="s">
        <v>6221</v>
      </c>
      <c r="E74" s="425" t="s">
        <v>1745</v>
      </c>
      <c r="F74" s="424" t="s">
        <v>6167</v>
      </c>
      <c r="G74" s="488">
        <v>769.89</v>
      </c>
      <c r="H74" s="425"/>
      <c r="I74" s="425" t="s">
        <v>1748</v>
      </c>
      <c r="J74" s="425">
        <v>12.8</v>
      </c>
      <c r="K74" s="425" t="s">
        <v>6220</v>
      </c>
      <c r="L74" s="422">
        <v>2023</v>
      </c>
    </row>
    <row r="75" spans="2:12" ht="15.75" thickBot="1" x14ac:dyDescent="0.3">
      <c r="B75" s="424" t="s">
        <v>4668</v>
      </c>
      <c r="C75" s="424" t="s">
        <v>3129</v>
      </c>
      <c r="D75" s="424" t="s">
        <v>6222</v>
      </c>
      <c r="E75" s="425" t="s">
        <v>1745</v>
      </c>
      <c r="F75" s="424" t="s">
        <v>6167</v>
      </c>
      <c r="G75" s="488">
        <v>8370.25</v>
      </c>
      <c r="H75" s="425"/>
      <c r="I75" s="425" t="s">
        <v>6190</v>
      </c>
      <c r="J75" s="425">
        <v>6.2</v>
      </c>
      <c r="K75" s="425" t="s">
        <v>6223</v>
      </c>
      <c r="L75" s="422">
        <v>2023</v>
      </c>
    </row>
    <row r="76" spans="2:12" ht="15.75" thickBot="1" x14ac:dyDescent="0.3">
      <c r="B76" s="424" t="s">
        <v>4668</v>
      </c>
      <c r="C76" s="424" t="s">
        <v>3129</v>
      </c>
      <c r="D76" s="424" t="s">
        <v>6224</v>
      </c>
      <c r="E76" s="425" t="s">
        <v>1745</v>
      </c>
      <c r="F76" s="424" t="s">
        <v>6167</v>
      </c>
      <c r="G76" s="488">
        <v>8370.25</v>
      </c>
      <c r="H76" s="425"/>
      <c r="I76" s="425" t="s">
        <v>6190</v>
      </c>
      <c r="J76" s="425">
        <v>6.2</v>
      </c>
      <c r="K76" s="425" t="s">
        <v>6223</v>
      </c>
      <c r="L76" s="422">
        <v>2023</v>
      </c>
    </row>
    <row r="77" spans="2:12" ht="15.75" thickBot="1" x14ac:dyDescent="0.3">
      <c r="B77" s="424" t="s">
        <v>4668</v>
      </c>
      <c r="C77" s="424" t="s">
        <v>3129</v>
      </c>
      <c r="D77" s="424" t="s">
        <v>6225</v>
      </c>
      <c r="E77" s="425" t="s">
        <v>1745</v>
      </c>
      <c r="F77" s="424" t="s">
        <v>6167</v>
      </c>
      <c r="G77" s="488">
        <v>1114.55</v>
      </c>
      <c r="H77" s="425"/>
      <c r="I77" s="425" t="s">
        <v>6226</v>
      </c>
      <c r="J77" s="425">
        <v>3.3</v>
      </c>
      <c r="K77" s="425" t="s">
        <v>6227</v>
      </c>
      <c r="L77" s="422">
        <v>2023</v>
      </c>
    </row>
    <row r="78" spans="2:12" ht="15.75" thickBot="1" x14ac:dyDescent="0.3">
      <c r="B78" s="424" t="s">
        <v>4668</v>
      </c>
      <c r="C78" s="424" t="s">
        <v>3129</v>
      </c>
      <c r="D78" s="424" t="s">
        <v>6225</v>
      </c>
      <c r="E78" s="425" t="s">
        <v>1745</v>
      </c>
      <c r="F78" s="424" t="s">
        <v>6167</v>
      </c>
      <c r="G78" s="488">
        <v>1114.55</v>
      </c>
      <c r="H78" s="425"/>
      <c r="I78" s="425" t="s">
        <v>6226</v>
      </c>
      <c r="J78" s="425">
        <v>3.3</v>
      </c>
      <c r="K78" s="425" t="s">
        <v>6227</v>
      </c>
      <c r="L78" s="422">
        <v>2023</v>
      </c>
    </row>
    <row r="79" spans="2:12" ht="30.75" thickBot="1" x14ac:dyDescent="0.3">
      <c r="B79" s="424" t="s">
        <v>4668</v>
      </c>
      <c r="C79" s="424" t="s">
        <v>3129</v>
      </c>
      <c r="D79" s="424" t="s">
        <v>6228</v>
      </c>
      <c r="E79" s="425" t="s">
        <v>1745</v>
      </c>
      <c r="F79" s="424" t="s">
        <v>6167</v>
      </c>
      <c r="G79" s="488">
        <v>750</v>
      </c>
      <c r="H79" s="425"/>
      <c r="I79" s="425" t="s">
        <v>6206</v>
      </c>
      <c r="J79" s="425">
        <v>46.5</v>
      </c>
      <c r="K79" s="425" t="s">
        <v>6207</v>
      </c>
      <c r="L79" s="422">
        <v>2023</v>
      </c>
    </row>
    <row r="80" spans="2:12" ht="30.75" thickBot="1" x14ac:dyDescent="0.3">
      <c r="B80" s="424" t="s">
        <v>4668</v>
      </c>
      <c r="C80" s="424" t="s">
        <v>3129</v>
      </c>
      <c r="D80" s="424" t="s">
        <v>6229</v>
      </c>
      <c r="E80" s="425" t="s">
        <v>1745</v>
      </c>
      <c r="F80" s="424" t="s">
        <v>6167</v>
      </c>
      <c r="G80" s="488">
        <v>750</v>
      </c>
      <c r="H80" s="425"/>
      <c r="I80" s="425" t="s">
        <v>6206</v>
      </c>
      <c r="J80" s="425">
        <v>46.5</v>
      </c>
      <c r="K80" s="425" t="s">
        <v>6207</v>
      </c>
      <c r="L80" s="422">
        <v>2023</v>
      </c>
    </row>
    <row r="81" spans="2:12" ht="30.75" thickBot="1" x14ac:dyDescent="0.3">
      <c r="B81" s="424" t="s">
        <v>4668</v>
      </c>
      <c r="C81" s="424" t="s">
        <v>3129</v>
      </c>
      <c r="D81" s="424" t="s">
        <v>6230</v>
      </c>
      <c r="E81" s="425" t="s">
        <v>1745</v>
      </c>
      <c r="F81" s="424" t="s">
        <v>6167</v>
      </c>
      <c r="G81" s="488">
        <v>750</v>
      </c>
      <c r="H81" s="425"/>
      <c r="I81" s="425" t="s">
        <v>6206</v>
      </c>
      <c r="J81" s="425">
        <v>46.5</v>
      </c>
      <c r="K81" s="425" t="s">
        <v>6207</v>
      </c>
      <c r="L81" s="422">
        <v>2023</v>
      </c>
    </row>
  </sheetData>
  <mergeCells count="25">
    <mergeCell ref="L28:L29"/>
    <mergeCell ref="G28:G29"/>
    <mergeCell ref="H28:H29"/>
    <mergeCell ref="I28:I29"/>
    <mergeCell ref="J28:J29"/>
    <mergeCell ref="K28:K29"/>
    <mergeCell ref="B28:B29"/>
    <mergeCell ref="C28:C29"/>
    <mergeCell ref="D28:D29"/>
    <mergeCell ref="E28:E29"/>
    <mergeCell ref="F28:F29"/>
    <mergeCell ref="B25:V26"/>
    <mergeCell ref="B14:C14"/>
    <mergeCell ref="D14:Q14"/>
    <mergeCell ref="B15:C15"/>
    <mergeCell ref="D15:Q15"/>
    <mergeCell ref="B17:X17"/>
    <mergeCell ref="B21:V22"/>
    <mergeCell ref="B13:C13"/>
    <mergeCell ref="D13:Q13"/>
    <mergeCell ref="B9:V9"/>
    <mergeCell ref="B11:C11"/>
    <mergeCell ref="D11:Q11"/>
    <mergeCell ref="B12:C12"/>
    <mergeCell ref="D12:Q12"/>
  </mergeCells>
  <dataValidations count="3">
    <dataValidation type="list" allowBlank="1" showInputMessage="1" showErrorMessage="1" sqref="E30:E81">
      <formula1>"Rodoviário, Ferroviário, Aéreo, Marítimo, Outro"</formula1>
    </dataValidation>
    <dataValidation type="list" allowBlank="1" showInputMessage="1" showErrorMessage="1" sqref="C30:D30 D31:D34 D49:D71 C31:C81">
      <formula1>"Combustíveis, Óleos e Aditivos, Equipamentos de AC, Gases Refrigerantes, Outro"</formula1>
    </dataValidation>
    <dataValidation type="list" allowBlank="1" showInputMessage="1" showErrorMessage="1" sqref="F31:F81">
      <formula1>"Meios Própios Empresa, LCV/Van, HDV Rigid, HDV Articulated, HDV Avg, HDV refrigerated, Freight Flights, Rail, Sea Tanker (products), Sea Tanker (chem. Tanker), Cargo Ship (bulk), Cargo Ship (general), Cargo Ship (container ship), Outro"</formula1>
    </dataValidation>
  </dataValidations>
  <pageMargins left="0.7" right="0.7" top="0.75" bottom="0.75" header="0.3" footer="0.3"/>
  <customProperties>
    <customPr name="GUID" r:id="rId1"/>
  </customPropertie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zoomScale="85" zoomScaleNormal="85" workbookViewId="0">
      <selection activeCell="E30" sqref="E30:I31"/>
    </sheetView>
  </sheetViews>
  <sheetFormatPr defaultRowHeight="15" x14ac:dyDescent="0.25"/>
  <cols>
    <col min="1" max="1" width="54.5703125" style="93" bestFit="1" customWidth="1"/>
    <col min="2" max="2" width="51.42578125" style="93" bestFit="1" customWidth="1"/>
    <col min="3" max="3" width="44.28515625" style="93" bestFit="1" customWidth="1"/>
    <col min="4" max="4" width="45.140625" style="93" bestFit="1" customWidth="1"/>
    <col min="5" max="8" width="36" style="93" customWidth="1"/>
    <col min="9" max="9" width="50.85546875" style="93" bestFit="1" customWidth="1"/>
    <col min="10" max="10" width="13.85546875" style="93" customWidth="1"/>
    <col min="11" max="11" width="56.5703125" style="93" bestFit="1" customWidth="1"/>
    <col min="12" max="12" width="10.42578125" style="93" customWidth="1"/>
    <col min="13" max="13" width="13.85546875" style="93" customWidth="1"/>
    <col min="14" max="14" width="46.28515625" style="93" customWidth="1"/>
    <col min="15" max="15" width="36" style="93" customWidth="1"/>
    <col min="16" max="16" width="32" style="93" customWidth="1"/>
    <col min="17" max="17" width="9.140625" style="93"/>
    <col min="18" max="18" width="32.28515625" style="93" bestFit="1" customWidth="1"/>
    <col min="19" max="16384" width="9.140625" style="93"/>
  </cols>
  <sheetData>
    <row r="1" spans="1:18" s="599" customFormat="1" ht="42.75" customHeight="1" x14ac:dyDescent="0.2">
      <c r="A1" s="597" t="s">
        <v>29</v>
      </c>
      <c r="B1" s="598" t="s">
        <v>46</v>
      </c>
      <c r="C1" s="598" t="s">
        <v>6531</v>
      </c>
      <c r="D1" s="598" t="s">
        <v>90</v>
      </c>
      <c r="E1" s="597" t="s">
        <v>1802</v>
      </c>
      <c r="F1" s="597" t="s">
        <v>1801</v>
      </c>
      <c r="G1" s="597" t="s">
        <v>6517</v>
      </c>
      <c r="H1" s="597" t="s">
        <v>1803</v>
      </c>
      <c r="I1" s="597" t="s">
        <v>6518</v>
      </c>
      <c r="J1" s="597" t="s">
        <v>6528</v>
      </c>
      <c r="K1" s="597" t="s">
        <v>1805</v>
      </c>
      <c r="L1" s="597" t="s">
        <v>6523</v>
      </c>
      <c r="M1" s="597" t="s">
        <v>6529</v>
      </c>
      <c r="N1" s="597" t="s">
        <v>1808</v>
      </c>
      <c r="O1" s="597" t="s">
        <v>1809</v>
      </c>
      <c r="P1" s="597" t="s">
        <v>1810</v>
      </c>
      <c r="Q1" s="597" t="s">
        <v>6550</v>
      </c>
      <c r="R1" s="599" t="s">
        <v>6519</v>
      </c>
    </row>
    <row r="2" spans="1:18" x14ac:dyDescent="0.25">
      <c r="A2" s="594" t="s">
        <v>3124</v>
      </c>
      <c r="B2" s="594" t="s">
        <v>1927</v>
      </c>
      <c r="C2" s="594" t="s">
        <v>6555</v>
      </c>
      <c r="D2" s="595" t="s">
        <v>6516</v>
      </c>
      <c r="E2" s="93">
        <v>130</v>
      </c>
      <c r="G2" s="93">
        <v>13</v>
      </c>
      <c r="H2" s="93">
        <v>159</v>
      </c>
      <c r="I2" s="603">
        <v>14340007</v>
      </c>
      <c r="J2" s="603">
        <f>I2/H2</f>
        <v>90188.723270440256</v>
      </c>
      <c r="K2" s="596">
        <v>9520680</v>
      </c>
      <c r="L2" s="604">
        <f>I2/K2</f>
        <v>1.5061956708974569</v>
      </c>
      <c r="M2" s="600">
        <f>K2/E2</f>
        <v>73236</v>
      </c>
      <c r="N2" s="602"/>
      <c r="O2" s="607"/>
      <c r="P2" s="607"/>
    </row>
    <row r="3" spans="1:18" x14ac:dyDescent="0.25">
      <c r="A3" s="594" t="s">
        <v>3029</v>
      </c>
      <c r="B3" s="594" t="s">
        <v>47</v>
      </c>
      <c r="C3" s="594" t="s">
        <v>6536</v>
      </c>
      <c r="E3" s="93">
        <v>160</v>
      </c>
      <c r="H3" s="93">
        <v>241</v>
      </c>
      <c r="I3" s="603">
        <v>21454957</v>
      </c>
      <c r="J3" s="603">
        <f t="shared" ref="J3:J31" si="0">I3/H3</f>
        <v>89024.717842323647</v>
      </c>
      <c r="K3" s="596">
        <v>14081215</v>
      </c>
      <c r="L3" s="604">
        <f t="shared" ref="L3:L15" si="1">I3/K3</f>
        <v>1.5236580792211467</v>
      </c>
      <c r="M3" s="600">
        <f t="shared" ref="M3:M15" si="2">K3/E3</f>
        <v>88007.59375</v>
      </c>
      <c r="N3" s="601">
        <v>1494471</v>
      </c>
      <c r="O3" s="607"/>
      <c r="P3" s="607"/>
      <c r="R3" s="360">
        <v>1494471</v>
      </c>
    </row>
    <row r="4" spans="1:18" x14ac:dyDescent="0.25">
      <c r="A4" s="594" t="s">
        <v>6522</v>
      </c>
      <c r="B4" s="594" t="s">
        <v>47</v>
      </c>
      <c r="C4" s="594" t="s">
        <v>6532</v>
      </c>
      <c r="E4" s="93">
        <v>54</v>
      </c>
      <c r="H4" s="93">
        <v>53</v>
      </c>
      <c r="I4" s="603">
        <v>2544593</v>
      </c>
      <c r="J4" s="603">
        <f t="shared" si="0"/>
        <v>48011.188679245286</v>
      </c>
      <c r="K4" s="596">
        <v>2176729</v>
      </c>
      <c r="L4" s="604">
        <f t="shared" si="1"/>
        <v>1.1689985294448688</v>
      </c>
      <c r="M4" s="600">
        <f t="shared" si="2"/>
        <v>40309.796296296299</v>
      </c>
      <c r="N4" s="601">
        <v>684813</v>
      </c>
      <c r="O4" s="607"/>
      <c r="P4" s="607"/>
      <c r="R4" s="360">
        <v>684813</v>
      </c>
    </row>
    <row r="5" spans="1:18" x14ac:dyDescent="0.25">
      <c r="A5" s="594" t="s">
        <v>6521</v>
      </c>
      <c r="B5" s="594" t="s">
        <v>47</v>
      </c>
      <c r="C5" s="594" t="s">
        <v>6532</v>
      </c>
      <c r="E5" s="313">
        <v>42</v>
      </c>
      <c r="H5" s="93">
        <v>43</v>
      </c>
      <c r="I5" s="603">
        <v>470101</v>
      </c>
      <c r="J5" s="603">
        <f t="shared" si="0"/>
        <v>10932.581395348838</v>
      </c>
      <c r="K5" s="596">
        <v>418017</v>
      </c>
      <c r="L5" s="604">
        <f t="shared" si="1"/>
        <v>1.1245978034386162</v>
      </c>
      <c r="M5" s="600">
        <f t="shared" si="2"/>
        <v>9952.7857142857138</v>
      </c>
      <c r="N5" s="601">
        <v>103743</v>
      </c>
      <c r="O5" s="607"/>
      <c r="P5" s="607"/>
      <c r="R5" s="360">
        <v>103743</v>
      </c>
    </row>
    <row r="6" spans="1:18" x14ac:dyDescent="0.25">
      <c r="A6" s="594" t="s">
        <v>6520</v>
      </c>
      <c r="B6" s="594" t="s">
        <v>47</v>
      </c>
      <c r="C6" s="594" t="s">
        <v>6532</v>
      </c>
      <c r="E6" s="313">
        <v>59</v>
      </c>
      <c r="H6" s="93">
        <v>60</v>
      </c>
      <c r="I6" s="603">
        <v>925100</v>
      </c>
      <c r="J6" s="603">
        <f t="shared" si="0"/>
        <v>15418.333333333334</v>
      </c>
      <c r="K6" s="596">
        <v>908320</v>
      </c>
      <c r="L6" s="604">
        <f t="shared" si="1"/>
        <v>1.018473665668487</v>
      </c>
      <c r="M6" s="600">
        <f t="shared" si="2"/>
        <v>15395.254237288136</v>
      </c>
      <c r="N6" s="601">
        <v>260091</v>
      </c>
      <c r="O6" s="607"/>
      <c r="P6" s="607"/>
      <c r="R6" s="360">
        <v>260091</v>
      </c>
    </row>
    <row r="7" spans="1:18" x14ac:dyDescent="0.25">
      <c r="A7" s="594" t="s">
        <v>6524</v>
      </c>
      <c r="B7" s="594" t="s">
        <v>47</v>
      </c>
      <c r="C7" s="594" t="s">
        <v>6532</v>
      </c>
      <c r="E7" s="313">
        <v>20</v>
      </c>
      <c r="H7" s="93">
        <v>33</v>
      </c>
      <c r="I7" s="603">
        <v>1017570</v>
      </c>
      <c r="J7" s="603">
        <f t="shared" si="0"/>
        <v>30835.454545454544</v>
      </c>
      <c r="K7" s="596">
        <v>842405</v>
      </c>
      <c r="L7" s="604">
        <f t="shared" si="1"/>
        <v>1.2079344258403024</v>
      </c>
      <c r="M7" s="600">
        <f t="shared" si="2"/>
        <v>42120.25</v>
      </c>
      <c r="N7" s="601">
        <v>602312</v>
      </c>
      <c r="O7" s="607"/>
      <c r="P7" s="607"/>
      <c r="R7" s="360">
        <v>602312</v>
      </c>
    </row>
    <row r="8" spans="1:18" x14ac:dyDescent="0.25">
      <c r="A8" s="594" t="s">
        <v>6525</v>
      </c>
      <c r="B8" s="594" t="s">
        <v>6526</v>
      </c>
      <c r="C8" s="594" t="s">
        <v>5824</v>
      </c>
      <c r="E8" s="313">
        <v>4</v>
      </c>
      <c r="G8" s="313">
        <v>1</v>
      </c>
      <c r="H8" s="93">
        <v>16</v>
      </c>
      <c r="I8" s="603">
        <v>1355653.63</v>
      </c>
      <c r="J8" s="603">
        <f t="shared" si="0"/>
        <v>84728.351874999993</v>
      </c>
      <c r="K8" s="596"/>
      <c r="L8" s="604"/>
      <c r="M8" s="600">
        <f t="shared" si="2"/>
        <v>0</v>
      </c>
      <c r="N8" s="596"/>
      <c r="O8" s="607"/>
      <c r="P8" s="607"/>
    </row>
    <row r="9" spans="1:18" x14ac:dyDescent="0.25">
      <c r="A9" s="594" t="s">
        <v>1912</v>
      </c>
      <c r="B9" s="594" t="s">
        <v>47</v>
      </c>
      <c r="C9" s="594" t="s">
        <v>6536</v>
      </c>
      <c r="D9" s="93" t="s">
        <v>6527</v>
      </c>
      <c r="E9" s="93">
        <v>80</v>
      </c>
      <c r="F9" s="93">
        <v>2</v>
      </c>
      <c r="G9" s="93">
        <v>3</v>
      </c>
      <c r="H9" s="313">
        <v>75</v>
      </c>
      <c r="I9" s="603">
        <v>6596187</v>
      </c>
      <c r="J9" s="603">
        <f t="shared" si="0"/>
        <v>87949.16</v>
      </c>
      <c r="K9" s="596">
        <v>3892180</v>
      </c>
      <c r="L9" s="604">
        <f t="shared" si="1"/>
        <v>1.6947281472079914</v>
      </c>
      <c r="M9" s="600">
        <f t="shared" si="2"/>
        <v>48652.25</v>
      </c>
      <c r="N9" s="596"/>
      <c r="O9" s="607"/>
      <c r="P9" s="607"/>
    </row>
    <row r="10" spans="1:18" x14ac:dyDescent="0.25">
      <c r="A10" s="594" t="s">
        <v>6530</v>
      </c>
      <c r="B10" s="594" t="s">
        <v>47</v>
      </c>
      <c r="C10" s="594" t="s">
        <v>6532</v>
      </c>
      <c r="I10" s="603">
        <v>7616322.3700000001</v>
      </c>
      <c r="J10" s="603" t="e">
        <f t="shared" si="0"/>
        <v>#DIV/0!</v>
      </c>
      <c r="K10" s="596"/>
      <c r="L10" s="604"/>
      <c r="M10" s="600"/>
      <c r="N10" s="596"/>
      <c r="O10" s="607"/>
      <c r="P10" s="607"/>
    </row>
    <row r="11" spans="1:18" x14ac:dyDescent="0.25">
      <c r="A11" s="594" t="s">
        <v>6533</v>
      </c>
      <c r="B11" s="594" t="s">
        <v>47</v>
      </c>
      <c r="C11" s="594" t="s">
        <v>6532</v>
      </c>
      <c r="D11" s="93" t="s">
        <v>6534</v>
      </c>
      <c r="E11" s="93">
        <v>25</v>
      </c>
      <c r="H11" s="313">
        <v>31</v>
      </c>
      <c r="I11" s="603">
        <v>999491.95</v>
      </c>
      <c r="J11" s="603">
        <f t="shared" si="0"/>
        <v>32241.675806451611</v>
      </c>
      <c r="K11" s="601">
        <v>44441.440000000002</v>
      </c>
      <c r="L11" s="608">
        <f t="shared" si="1"/>
        <v>22.490089205030259</v>
      </c>
      <c r="M11" s="600">
        <f t="shared" si="2"/>
        <v>1777.6576</v>
      </c>
      <c r="N11" s="596">
        <v>44481.351158881</v>
      </c>
      <c r="O11" s="607"/>
      <c r="P11" s="607"/>
    </row>
    <row r="12" spans="1:18" x14ac:dyDescent="0.25">
      <c r="A12" s="594" t="s">
        <v>6535</v>
      </c>
      <c r="B12" s="594" t="s">
        <v>47</v>
      </c>
      <c r="C12" s="594" t="s">
        <v>6537</v>
      </c>
      <c r="D12" s="93" t="s">
        <v>6538</v>
      </c>
      <c r="E12" s="313">
        <v>0</v>
      </c>
      <c r="F12" s="93">
        <v>7</v>
      </c>
      <c r="G12" s="93">
        <v>0</v>
      </c>
      <c r="H12" s="313">
        <v>91</v>
      </c>
      <c r="I12" s="603">
        <v>112918481</v>
      </c>
      <c r="J12" s="603">
        <f t="shared" si="0"/>
        <v>1240862.4285714286</v>
      </c>
      <c r="K12" s="596">
        <v>80758896</v>
      </c>
      <c r="L12" s="604">
        <f t="shared" si="1"/>
        <v>1.3982172440792158</v>
      </c>
      <c r="M12" s="600" t="e">
        <f t="shared" si="2"/>
        <v>#DIV/0!</v>
      </c>
      <c r="N12" s="596">
        <v>10965239</v>
      </c>
      <c r="O12" s="607"/>
      <c r="P12" s="607"/>
    </row>
    <row r="13" spans="1:18" x14ac:dyDescent="0.25">
      <c r="A13" s="594" t="s">
        <v>6539</v>
      </c>
      <c r="B13" s="594" t="s">
        <v>47</v>
      </c>
      <c r="C13" s="594" t="s">
        <v>6536</v>
      </c>
      <c r="E13" s="313">
        <v>431</v>
      </c>
      <c r="F13" s="93">
        <v>25</v>
      </c>
      <c r="G13" s="313">
        <v>18</v>
      </c>
      <c r="H13" s="313">
        <v>621</v>
      </c>
      <c r="I13" s="603">
        <v>67109938.719999999</v>
      </c>
      <c r="J13" s="603">
        <f t="shared" si="0"/>
        <v>108067.53417069242</v>
      </c>
      <c r="K13" s="616">
        <v>29762552</v>
      </c>
      <c r="L13" s="605">
        <f t="shared" si="1"/>
        <v>2.2548449044288943</v>
      </c>
      <c r="M13" s="606">
        <f t="shared" si="2"/>
        <v>69054.645011600922</v>
      </c>
      <c r="N13" s="596">
        <v>3287804</v>
      </c>
      <c r="O13" s="607"/>
      <c r="P13" s="607"/>
    </row>
    <row r="14" spans="1:18" x14ac:dyDescent="0.25">
      <c r="A14" s="594" t="s">
        <v>6540</v>
      </c>
      <c r="B14" s="594" t="s">
        <v>6541</v>
      </c>
      <c r="C14" s="594" t="s">
        <v>5824</v>
      </c>
      <c r="E14" s="313"/>
      <c r="F14" s="313"/>
      <c r="G14" s="313"/>
      <c r="H14" s="313">
        <v>15</v>
      </c>
      <c r="I14" s="603">
        <v>786014</v>
      </c>
      <c r="J14" s="603">
        <f t="shared" si="0"/>
        <v>52400.933333333334</v>
      </c>
      <c r="K14" s="596"/>
      <c r="N14" s="596"/>
      <c r="O14" s="607"/>
      <c r="P14" s="607"/>
    </row>
    <row r="15" spans="1:18" x14ac:dyDescent="0.25">
      <c r="A15" s="594" t="s">
        <v>4644</v>
      </c>
      <c r="B15" s="594" t="s">
        <v>47</v>
      </c>
      <c r="C15" s="594" t="s">
        <v>6536</v>
      </c>
      <c r="D15" s="93" t="s">
        <v>6542</v>
      </c>
      <c r="E15" s="313">
        <v>56</v>
      </c>
      <c r="F15" s="93">
        <v>2</v>
      </c>
      <c r="H15" s="313">
        <v>79</v>
      </c>
      <c r="I15" s="603">
        <v>6283000</v>
      </c>
      <c r="J15" s="603">
        <f t="shared" si="0"/>
        <v>79531.645569620247</v>
      </c>
      <c r="K15" s="596">
        <v>3240000</v>
      </c>
      <c r="L15" s="605">
        <f t="shared" si="1"/>
        <v>1.9391975308641975</v>
      </c>
      <c r="M15" s="606">
        <f t="shared" si="2"/>
        <v>57857.142857142855</v>
      </c>
      <c r="N15" s="596"/>
      <c r="O15" s="607"/>
      <c r="P15" s="607"/>
    </row>
    <row r="16" spans="1:18" x14ac:dyDescent="0.25">
      <c r="A16" s="594" t="s">
        <v>2868</v>
      </c>
      <c r="B16" s="594" t="s">
        <v>47</v>
      </c>
      <c r="C16" s="594" t="s">
        <v>6536</v>
      </c>
      <c r="E16" s="313">
        <v>712</v>
      </c>
      <c r="G16" s="93">
        <v>31</v>
      </c>
      <c r="H16" s="313">
        <v>643</v>
      </c>
      <c r="I16" s="603">
        <v>45573818.030000001</v>
      </c>
      <c r="J16" s="603">
        <f t="shared" si="0"/>
        <v>70876.855412130637</v>
      </c>
      <c r="K16" s="596">
        <v>30803041</v>
      </c>
      <c r="L16" s="605">
        <f t="shared" ref="L16" si="3">I16/K16</f>
        <v>1.4795233376470849</v>
      </c>
      <c r="M16" s="606">
        <f t="shared" ref="M16" si="4">K16/E16</f>
        <v>43262.698033707864</v>
      </c>
      <c r="N16" s="596">
        <v>13810843</v>
      </c>
      <c r="O16" s="607"/>
      <c r="P16" s="607">
        <f>10.43*N16</f>
        <v>144047092.49000001</v>
      </c>
      <c r="Q16" s="93">
        <f>I16/P16</f>
        <v>0.31638138085406903</v>
      </c>
    </row>
    <row r="17" spans="1:18" x14ac:dyDescent="0.25">
      <c r="A17" s="594" t="s">
        <v>1910</v>
      </c>
      <c r="B17" s="594" t="s">
        <v>47</v>
      </c>
      <c r="C17" s="594" t="s">
        <v>6532</v>
      </c>
      <c r="D17" s="93" t="s">
        <v>6543</v>
      </c>
      <c r="E17" s="313">
        <v>424</v>
      </c>
      <c r="F17" s="313">
        <v>3</v>
      </c>
      <c r="G17" s="313">
        <v>17</v>
      </c>
      <c r="H17" s="313">
        <v>940</v>
      </c>
      <c r="I17" s="603">
        <v>53225864.979999997</v>
      </c>
      <c r="J17" s="603">
        <f t="shared" si="0"/>
        <v>56623.260617021275</v>
      </c>
      <c r="K17" s="596">
        <v>21759950</v>
      </c>
      <c r="L17" s="605">
        <f t="shared" ref="L17" si="5">I17/K17</f>
        <v>2.4460472096673014</v>
      </c>
      <c r="M17" s="606">
        <f t="shared" ref="M17" si="6">K17/E17</f>
        <v>51320.636792452831</v>
      </c>
      <c r="N17" s="596">
        <v>42879749</v>
      </c>
      <c r="O17" s="607">
        <v>1908026343</v>
      </c>
      <c r="P17" s="607">
        <v>248702554</v>
      </c>
      <c r="Q17" s="93">
        <f>I17/P17</f>
        <v>0.21401414711647873</v>
      </c>
      <c r="R17" s="610">
        <f>P17/O17</f>
        <v>0.1303454508961148</v>
      </c>
    </row>
    <row r="18" spans="1:18" x14ac:dyDescent="0.25">
      <c r="A18" s="594" t="s">
        <v>6544</v>
      </c>
      <c r="B18" s="594" t="s">
        <v>47</v>
      </c>
      <c r="C18" s="594" t="s">
        <v>6536</v>
      </c>
      <c r="D18" s="93" t="s">
        <v>6545</v>
      </c>
      <c r="E18" s="313">
        <v>162</v>
      </c>
      <c r="F18" s="313">
        <v>2</v>
      </c>
      <c r="G18" s="313">
        <v>3</v>
      </c>
      <c r="H18" s="313">
        <v>191</v>
      </c>
      <c r="I18" s="603">
        <v>19335485</v>
      </c>
      <c r="J18" s="603">
        <f t="shared" si="0"/>
        <v>101232.9057591623</v>
      </c>
      <c r="K18" s="596">
        <v>10220642</v>
      </c>
      <c r="L18" s="605">
        <f t="shared" ref="L18:L27" si="7">I18/K18</f>
        <v>1.8918072856871417</v>
      </c>
      <c r="M18" s="606">
        <f t="shared" ref="M18:M21" si="8">K18/E18</f>
        <v>63090.382716049382</v>
      </c>
      <c r="N18" s="596"/>
      <c r="R18" s="93" t="s">
        <v>6562</v>
      </c>
    </row>
    <row r="19" spans="1:18" x14ac:dyDescent="0.25">
      <c r="A19" s="594" t="s">
        <v>4668</v>
      </c>
      <c r="B19" s="594" t="s">
        <v>47</v>
      </c>
      <c r="C19" s="594" t="s">
        <v>6532</v>
      </c>
      <c r="D19" s="93" t="s">
        <v>6546</v>
      </c>
      <c r="E19" s="313">
        <v>485</v>
      </c>
      <c r="F19" s="313">
        <v>3</v>
      </c>
      <c r="G19" s="313">
        <v>24</v>
      </c>
      <c r="H19" s="313">
        <v>839</v>
      </c>
      <c r="I19" s="603">
        <v>64117671.850000001</v>
      </c>
      <c r="J19" s="603">
        <f t="shared" si="0"/>
        <v>76421.539749702031</v>
      </c>
      <c r="K19" s="601">
        <v>10534245</v>
      </c>
      <c r="L19" s="608">
        <f t="shared" si="7"/>
        <v>6.086593946694804</v>
      </c>
      <c r="M19" s="606">
        <f t="shared" si="8"/>
        <v>21720.092783505155</v>
      </c>
      <c r="N19" s="596">
        <v>46015939</v>
      </c>
      <c r="R19" s="93" t="s">
        <v>6561</v>
      </c>
    </row>
    <row r="20" spans="1:18" x14ac:dyDescent="0.25">
      <c r="A20" s="594" t="s">
        <v>6547</v>
      </c>
      <c r="B20" s="594" t="s">
        <v>6548</v>
      </c>
      <c r="C20" s="594" t="s">
        <v>6532</v>
      </c>
      <c r="D20" s="93" t="s">
        <v>6534</v>
      </c>
      <c r="E20" s="361">
        <v>102</v>
      </c>
      <c r="F20" s="313">
        <v>6</v>
      </c>
      <c r="G20" s="313">
        <v>13</v>
      </c>
      <c r="H20" s="313">
        <v>339</v>
      </c>
      <c r="I20" s="603">
        <v>45586866.189999998</v>
      </c>
      <c r="J20" s="603">
        <f t="shared" si="0"/>
        <v>134474.53153392329</v>
      </c>
      <c r="K20" s="596">
        <v>8955001</v>
      </c>
      <c r="L20" s="605">
        <f t="shared" si="7"/>
        <v>5.0906600892618545</v>
      </c>
      <c r="M20" s="606">
        <f t="shared" si="8"/>
        <v>87794.127450980392</v>
      </c>
      <c r="N20" s="596">
        <v>80012529</v>
      </c>
      <c r="O20" s="609">
        <v>1903638246</v>
      </c>
      <c r="P20" s="607">
        <v>425144301</v>
      </c>
      <c r="Q20" s="93">
        <f>I20/P20</f>
        <v>0.10722680765747815</v>
      </c>
      <c r="R20" s="610">
        <f>P20/O20</f>
        <v>0.22333250652708309</v>
      </c>
    </row>
    <row r="21" spans="1:18" x14ac:dyDescent="0.25">
      <c r="A21" s="594" t="s">
        <v>6549</v>
      </c>
      <c r="B21" s="594" t="s">
        <v>47</v>
      </c>
      <c r="C21" s="594" t="s">
        <v>6532</v>
      </c>
      <c r="E21" s="313">
        <v>203</v>
      </c>
      <c r="I21" s="603"/>
      <c r="J21" s="603"/>
      <c r="K21" s="596">
        <v>12864661</v>
      </c>
      <c r="L21" s="605"/>
      <c r="M21" s="606">
        <f t="shared" si="8"/>
        <v>63372.714285714283</v>
      </c>
      <c r="N21" s="596">
        <v>22183655.84</v>
      </c>
      <c r="P21" s="607">
        <v>155784100</v>
      </c>
      <c r="Q21" s="93">
        <f>I21/P21</f>
        <v>0</v>
      </c>
    </row>
    <row r="22" spans="1:18" x14ac:dyDescent="0.25">
      <c r="A22" s="594" t="s">
        <v>6551</v>
      </c>
      <c r="B22" s="594" t="s">
        <v>47</v>
      </c>
      <c r="C22" s="594" t="s">
        <v>5824</v>
      </c>
      <c r="E22" s="313">
        <v>56</v>
      </c>
      <c r="F22" s="313">
        <v>6</v>
      </c>
      <c r="G22" s="313">
        <v>3</v>
      </c>
      <c r="H22" s="313">
        <v>114</v>
      </c>
      <c r="I22" s="603"/>
      <c r="J22" s="603"/>
      <c r="K22" s="596"/>
      <c r="L22" s="605"/>
      <c r="N22" s="596"/>
    </row>
    <row r="23" spans="1:18" x14ac:dyDescent="0.25">
      <c r="A23" s="594" t="s">
        <v>6552</v>
      </c>
      <c r="B23" s="594" t="s">
        <v>47</v>
      </c>
      <c r="C23" s="594" t="s">
        <v>6532</v>
      </c>
      <c r="E23" s="313">
        <v>202</v>
      </c>
      <c r="I23" s="603"/>
      <c r="J23" s="603"/>
      <c r="K23" s="596">
        <v>13461796.099999998</v>
      </c>
      <c r="L23" s="605"/>
      <c r="N23" s="596">
        <v>17866449</v>
      </c>
    </row>
    <row r="24" spans="1:18" x14ac:dyDescent="0.25">
      <c r="A24" s="594" t="s">
        <v>6553</v>
      </c>
      <c r="B24" s="594" t="s">
        <v>47</v>
      </c>
      <c r="C24" s="594" t="s">
        <v>5824</v>
      </c>
      <c r="E24" s="313">
        <v>13</v>
      </c>
      <c r="G24" s="313">
        <v>4</v>
      </c>
      <c r="I24" s="603"/>
      <c r="J24" s="603"/>
      <c r="K24" s="596"/>
      <c r="L24" s="605"/>
      <c r="N24" s="596"/>
    </row>
    <row r="25" spans="1:18" x14ac:dyDescent="0.25">
      <c r="A25" s="594" t="s">
        <v>3804</v>
      </c>
      <c r="B25" s="594" t="s">
        <v>6548</v>
      </c>
      <c r="C25" s="594" t="s">
        <v>6532</v>
      </c>
      <c r="D25" s="93" t="s">
        <v>6554</v>
      </c>
      <c r="E25" s="313">
        <v>18</v>
      </c>
      <c r="H25" s="93">
        <v>174</v>
      </c>
      <c r="I25" s="603"/>
      <c r="J25" s="603"/>
      <c r="K25" s="596"/>
      <c r="L25" s="605"/>
    </row>
    <row r="26" spans="1:18" x14ac:dyDescent="0.25">
      <c r="A26" s="594" t="s">
        <v>4600</v>
      </c>
      <c r="B26" s="594" t="s">
        <v>6548</v>
      </c>
      <c r="C26" s="594" t="s">
        <v>6532</v>
      </c>
      <c r="D26" s="93" t="s">
        <v>6554</v>
      </c>
      <c r="E26" s="313">
        <v>24</v>
      </c>
      <c r="H26" s="93">
        <v>139</v>
      </c>
      <c r="I26" s="603"/>
      <c r="J26" s="603"/>
      <c r="K26" s="596"/>
      <c r="L26" s="605"/>
    </row>
    <row r="27" spans="1:18" x14ac:dyDescent="0.25">
      <c r="A27" s="594" t="s">
        <v>1913</v>
      </c>
      <c r="B27" s="594" t="s">
        <v>1927</v>
      </c>
      <c r="C27" s="594" t="s">
        <v>6556</v>
      </c>
      <c r="D27" s="93" t="s">
        <v>6557</v>
      </c>
      <c r="E27" s="313">
        <v>215</v>
      </c>
      <c r="F27" s="93">
        <v>20</v>
      </c>
      <c r="H27" s="93">
        <v>273</v>
      </c>
      <c r="I27" s="603">
        <v>40729370</v>
      </c>
      <c r="J27" s="603">
        <f t="shared" si="0"/>
        <v>149191.8315018315</v>
      </c>
      <c r="K27" s="596">
        <v>18120389</v>
      </c>
      <c r="L27" s="605">
        <f t="shared" si="7"/>
        <v>2.247709472462208</v>
      </c>
      <c r="M27" s="606">
        <f t="shared" ref="M27" si="9">K27/E27</f>
        <v>84280.879069767441</v>
      </c>
    </row>
    <row r="28" spans="1:18" x14ac:dyDescent="0.25">
      <c r="A28" s="594" t="s">
        <v>3158</v>
      </c>
      <c r="B28" s="594" t="s">
        <v>47</v>
      </c>
      <c r="C28" s="594" t="s">
        <v>6536</v>
      </c>
      <c r="D28" s="93" t="s">
        <v>6559</v>
      </c>
      <c r="E28" s="313">
        <v>693</v>
      </c>
      <c r="F28" s="93">
        <v>18</v>
      </c>
      <c r="G28" s="93">
        <v>5</v>
      </c>
      <c r="H28" s="93">
        <v>997</v>
      </c>
      <c r="I28" s="603">
        <v>98150502.890000001</v>
      </c>
      <c r="J28" s="603">
        <f t="shared" si="0"/>
        <v>98445.840411233701</v>
      </c>
      <c r="K28" s="596">
        <v>44476966</v>
      </c>
      <c r="L28" s="605">
        <f t="shared" ref="L28" si="10">I28/K28</f>
        <v>2.2067715430499462</v>
      </c>
      <c r="M28" s="606">
        <f t="shared" ref="M28" si="11">K28/E28</f>
        <v>64180.32611832612</v>
      </c>
      <c r="N28" s="4" t="s">
        <v>6558</v>
      </c>
    </row>
    <row r="29" spans="1:18" x14ac:dyDescent="0.25">
      <c r="A29" s="594" t="s">
        <v>535</v>
      </c>
      <c r="B29" s="594" t="s">
        <v>47</v>
      </c>
      <c r="C29" s="594" t="s">
        <v>6560</v>
      </c>
      <c r="D29" s="93" t="s">
        <v>6559</v>
      </c>
      <c r="E29" s="313">
        <v>69</v>
      </c>
      <c r="G29" s="93">
        <v>1</v>
      </c>
      <c r="H29" s="93">
        <v>69</v>
      </c>
      <c r="I29" s="603">
        <v>4006619.72</v>
      </c>
      <c r="J29" s="603">
        <f t="shared" si="0"/>
        <v>58066.952463768117</v>
      </c>
      <c r="K29" s="596">
        <v>2226716</v>
      </c>
      <c r="L29" s="605">
        <f t="shared" ref="L29" si="12">I29/K29</f>
        <v>1.7993402481501908</v>
      </c>
      <c r="M29" s="606">
        <f t="shared" ref="M29" si="13">K29/E29</f>
        <v>32271.246376811596</v>
      </c>
    </row>
    <row r="30" spans="1:18" x14ac:dyDescent="0.25">
      <c r="A30" s="594" t="s">
        <v>6578</v>
      </c>
      <c r="B30" s="594" t="s">
        <v>47</v>
      </c>
      <c r="C30" s="594" t="s">
        <v>6560</v>
      </c>
      <c r="D30" s="594" t="s">
        <v>6579</v>
      </c>
      <c r="E30" s="313">
        <v>58</v>
      </c>
      <c r="H30" s="683">
        <v>97</v>
      </c>
      <c r="I30" s="679">
        <v>7329080</v>
      </c>
      <c r="J30" s="603">
        <f t="shared" si="0"/>
        <v>75557.52577319587</v>
      </c>
      <c r="K30" s="596"/>
    </row>
    <row r="31" spans="1:18" x14ac:dyDescent="0.25">
      <c r="A31" s="594" t="s">
        <v>4619</v>
      </c>
      <c r="B31" s="594" t="s">
        <v>47</v>
      </c>
      <c r="C31" s="594" t="s">
        <v>5824</v>
      </c>
      <c r="D31" s="594" t="s">
        <v>6579</v>
      </c>
      <c r="E31" s="313">
        <v>20</v>
      </c>
      <c r="H31" s="683">
        <v>37</v>
      </c>
      <c r="I31" s="679">
        <v>7354050</v>
      </c>
      <c r="J31" s="679">
        <f t="shared" si="0"/>
        <v>198758.10810810811</v>
      </c>
    </row>
    <row r="39" ht="10.5" customHeight="1" x14ac:dyDescent="0.25"/>
  </sheetData>
  <pageMargins left="0.7" right="0.7" top="0.75" bottom="0.75" header="0.3" footer="0.3"/>
  <pageSetup paperSize="9" orientation="portrait" horizontalDpi="300" verticalDpi="300" r:id="rId1"/>
  <customProperties>
    <customPr name="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dimension ref="B1:I44"/>
  <sheetViews>
    <sheetView workbookViewId="0"/>
  </sheetViews>
  <sheetFormatPr defaultRowHeight="15" x14ac:dyDescent="0.25"/>
  <cols>
    <col min="1" max="1" width="2.42578125" style="2" customWidth="1"/>
    <col min="2" max="2" width="44.42578125" style="1" customWidth="1"/>
    <col min="3" max="3" width="32" style="1" customWidth="1"/>
    <col min="4" max="4" width="88.7109375" style="1" customWidth="1"/>
    <col min="5" max="5" width="45.42578125" style="1" customWidth="1"/>
    <col min="6" max="6" width="47.5703125" style="1" customWidth="1"/>
    <col min="7" max="7" width="52.42578125" style="1" customWidth="1"/>
    <col min="8" max="8" width="39.7109375" style="1" customWidth="1"/>
    <col min="9" max="9" width="103.5703125" style="1" customWidth="1"/>
    <col min="10" max="16384" width="9.140625" style="2"/>
  </cols>
  <sheetData>
    <row r="1" spans="2:9" ht="15.75" thickBot="1" x14ac:dyDescent="0.3">
      <c r="I1" s="5"/>
    </row>
    <row r="2" spans="2:9" ht="21.75" customHeight="1" thickTop="1" x14ac:dyDescent="0.25">
      <c r="B2" s="741" t="s">
        <v>32</v>
      </c>
      <c r="C2" s="742"/>
      <c r="D2" s="743"/>
      <c r="E2" s="747" t="s">
        <v>29</v>
      </c>
      <c r="F2" s="748"/>
      <c r="G2" s="773" t="s">
        <v>45</v>
      </c>
      <c r="H2" s="23"/>
      <c r="I2" s="724"/>
    </row>
    <row r="3" spans="2:9" ht="21.75" customHeight="1" x14ac:dyDescent="0.25">
      <c r="B3" s="744"/>
      <c r="C3" s="745"/>
      <c r="D3" s="746"/>
      <c r="E3" s="749"/>
      <c r="F3" s="711"/>
      <c r="G3" s="774"/>
      <c r="H3" s="4"/>
      <c r="I3" s="725"/>
    </row>
    <row r="4" spans="2:9" ht="30" customHeight="1" x14ac:dyDescent="0.25">
      <c r="B4" s="744"/>
      <c r="C4" s="745"/>
      <c r="D4" s="746"/>
      <c r="E4" s="727" t="s">
        <v>46</v>
      </c>
      <c r="F4" s="721"/>
      <c r="G4" s="13" t="s">
        <v>47</v>
      </c>
      <c r="H4" s="4"/>
      <c r="I4" s="725"/>
    </row>
    <row r="5" spans="2:9" ht="30" customHeight="1" thickBot="1" x14ac:dyDescent="0.3">
      <c r="B5" s="728" t="s">
        <v>91</v>
      </c>
      <c r="C5" s="729"/>
      <c r="D5" s="12" t="s">
        <v>28</v>
      </c>
      <c r="E5" s="730" t="s">
        <v>90</v>
      </c>
      <c r="F5" s="723"/>
      <c r="G5" s="9" t="s">
        <v>89</v>
      </c>
      <c r="H5" s="24"/>
      <c r="I5" s="726"/>
    </row>
    <row r="6" spans="2:9" ht="33" customHeight="1" x14ac:dyDescent="0.25">
      <c r="B6" s="7" t="s">
        <v>1</v>
      </c>
      <c r="C6" s="8" t="s">
        <v>23</v>
      </c>
      <c r="D6" s="8" t="s">
        <v>0</v>
      </c>
      <c r="E6" s="10" t="s">
        <v>88</v>
      </c>
      <c r="F6" s="25" t="s">
        <v>54</v>
      </c>
      <c r="G6" s="11" t="s">
        <v>44</v>
      </c>
      <c r="H6" s="57" t="s">
        <v>87</v>
      </c>
      <c r="I6" s="6" t="s">
        <v>2</v>
      </c>
    </row>
    <row r="7" spans="2:9" ht="67.5" customHeight="1" x14ac:dyDescent="0.25">
      <c r="B7" s="731" t="s">
        <v>13</v>
      </c>
      <c r="C7" s="734" t="s">
        <v>24</v>
      </c>
      <c r="D7" s="58" t="s">
        <v>15</v>
      </c>
      <c r="E7" s="15" t="s">
        <v>34</v>
      </c>
      <c r="F7" s="33" t="s">
        <v>72</v>
      </c>
      <c r="G7" s="34" t="s">
        <v>73</v>
      </c>
      <c r="H7" s="26" t="s">
        <v>55</v>
      </c>
      <c r="I7" s="19" t="s">
        <v>18</v>
      </c>
    </row>
    <row r="8" spans="2:9" ht="67.5" customHeight="1" x14ac:dyDescent="0.25">
      <c r="B8" s="732"/>
      <c r="C8" s="735"/>
      <c r="D8" s="59" t="s">
        <v>16</v>
      </c>
      <c r="E8" s="16" t="s">
        <v>34</v>
      </c>
      <c r="F8" s="33" t="s">
        <v>72</v>
      </c>
      <c r="G8" s="34" t="s">
        <v>73</v>
      </c>
      <c r="H8" s="27" t="s">
        <v>55</v>
      </c>
      <c r="I8" s="20" t="s">
        <v>19</v>
      </c>
    </row>
    <row r="9" spans="2:9" ht="67.5" customHeight="1" x14ac:dyDescent="0.25">
      <c r="B9" s="732"/>
      <c r="C9" s="735"/>
      <c r="D9" s="59" t="s">
        <v>14</v>
      </c>
      <c r="E9" s="16" t="s">
        <v>34</v>
      </c>
      <c r="F9" s="33" t="s">
        <v>72</v>
      </c>
      <c r="G9" s="34" t="s">
        <v>73</v>
      </c>
      <c r="H9" s="29" t="s">
        <v>56</v>
      </c>
      <c r="I9" s="20" t="s">
        <v>61</v>
      </c>
    </row>
    <row r="10" spans="2:9" ht="66.75" customHeight="1" thickBot="1" x14ac:dyDescent="0.3">
      <c r="B10" s="733"/>
      <c r="C10" s="736"/>
      <c r="D10" s="60" t="s">
        <v>17</v>
      </c>
      <c r="E10" s="17" t="s">
        <v>34</v>
      </c>
      <c r="F10" s="56" t="s">
        <v>85</v>
      </c>
      <c r="G10" s="32" t="s">
        <v>71</v>
      </c>
      <c r="H10" s="28" t="s">
        <v>55</v>
      </c>
      <c r="I10" s="21" t="s">
        <v>20</v>
      </c>
    </row>
    <row r="11" spans="2:9" ht="60" customHeight="1" thickBot="1" x14ac:dyDescent="0.3">
      <c r="B11" s="63" t="s">
        <v>22</v>
      </c>
      <c r="C11" s="14" t="s">
        <v>25</v>
      </c>
      <c r="D11" s="61" t="s">
        <v>21</v>
      </c>
      <c r="E11" s="18" t="s">
        <v>34</v>
      </c>
      <c r="F11" s="30" t="s">
        <v>69</v>
      </c>
      <c r="G11" s="31" t="s">
        <v>70</v>
      </c>
      <c r="H11" s="30" t="s">
        <v>57</v>
      </c>
      <c r="I11" s="22" t="s">
        <v>62</v>
      </c>
    </row>
    <row r="12" spans="2:9" ht="60" customHeight="1" x14ac:dyDescent="0.25">
      <c r="B12" s="737" t="s">
        <v>26</v>
      </c>
      <c r="C12" s="35" t="s">
        <v>25</v>
      </c>
      <c r="D12" s="36" t="s">
        <v>30</v>
      </c>
      <c r="E12" s="37" t="s">
        <v>34</v>
      </c>
      <c r="F12" s="38" t="s">
        <v>69</v>
      </c>
      <c r="G12" s="39" t="s">
        <v>70</v>
      </c>
      <c r="H12" s="38" t="s">
        <v>58</v>
      </c>
      <c r="I12" s="40" t="s">
        <v>48</v>
      </c>
    </row>
    <row r="13" spans="2:9" ht="60" customHeight="1" x14ac:dyDescent="0.25">
      <c r="B13" s="738"/>
      <c r="C13" s="41" t="s">
        <v>25</v>
      </c>
      <c r="D13" s="42" t="s">
        <v>4</v>
      </c>
      <c r="E13" s="43" t="s">
        <v>34</v>
      </c>
      <c r="F13" s="44" t="s">
        <v>68</v>
      </c>
      <c r="G13" s="45" t="s">
        <v>67</v>
      </c>
      <c r="H13" s="44" t="s">
        <v>59</v>
      </c>
      <c r="I13" s="49" t="s">
        <v>60</v>
      </c>
    </row>
    <row r="14" spans="2:9" ht="37.5" customHeight="1" x14ac:dyDescent="0.25">
      <c r="B14" s="738"/>
      <c r="C14" s="41" t="s">
        <v>25</v>
      </c>
      <c r="D14" s="42" t="s">
        <v>8</v>
      </c>
      <c r="E14" s="43" t="s">
        <v>34</v>
      </c>
      <c r="F14" s="47" t="s">
        <v>75</v>
      </c>
      <c r="G14" s="48" t="s">
        <v>81</v>
      </c>
      <c r="H14" s="44" t="s">
        <v>56</v>
      </c>
      <c r="I14" s="49" t="s">
        <v>63</v>
      </c>
    </row>
    <row r="15" spans="2:9" ht="60.75" customHeight="1" x14ac:dyDescent="0.25">
      <c r="B15" s="738"/>
      <c r="C15" s="41" t="s">
        <v>25</v>
      </c>
      <c r="D15" s="42" t="s">
        <v>5</v>
      </c>
      <c r="E15" s="43" t="s">
        <v>41</v>
      </c>
      <c r="F15" s="44" t="s">
        <v>83</v>
      </c>
      <c r="G15" s="45" t="s">
        <v>82</v>
      </c>
      <c r="H15" s="44" t="s">
        <v>56</v>
      </c>
      <c r="I15" s="49" t="s">
        <v>6</v>
      </c>
    </row>
    <row r="16" spans="2:9" ht="60" customHeight="1" x14ac:dyDescent="0.25">
      <c r="B16" s="738"/>
      <c r="C16" s="41" t="s">
        <v>25</v>
      </c>
      <c r="D16" s="42" t="s">
        <v>3</v>
      </c>
      <c r="E16" s="43" t="s">
        <v>41</v>
      </c>
      <c r="F16" s="44" t="s">
        <v>83</v>
      </c>
      <c r="G16" s="45" t="s">
        <v>82</v>
      </c>
      <c r="H16" s="44" t="s">
        <v>84</v>
      </c>
      <c r="I16" s="49" t="s">
        <v>53</v>
      </c>
    </row>
    <row r="17" spans="2:9" ht="37.5" customHeight="1" x14ac:dyDescent="0.25">
      <c r="B17" s="738"/>
      <c r="C17" s="41" t="s">
        <v>25</v>
      </c>
      <c r="D17" s="42" t="s">
        <v>9</v>
      </c>
      <c r="E17" s="43" t="s">
        <v>42</v>
      </c>
      <c r="F17" s="47" t="s">
        <v>76</v>
      </c>
      <c r="G17" s="48" t="s">
        <v>76</v>
      </c>
      <c r="H17" s="47" t="s">
        <v>76</v>
      </c>
      <c r="I17" s="49" t="s">
        <v>64</v>
      </c>
    </row>
    <row r="18" spans="2:9" ht="37.5" customHeight="1" x14ac:dyDescent="0.25">
      <c r="B18" s="738"/>
      <c r="C18" s="41" t="s">
        <v>31</v>
      </c>
      <c r="D18" s="42" t="s">
        <v>39</v>
      </c>
      <c r="E18" s="43" t="s">
        <v>42</v>
      </c>
      <c r="F18" s="47" t="s">
        <v>76</v>
      </c>
      <c r="G18" s="48" t="s">
        <v>76</v>
      </c>
      <c r="H18" s="47" t="s">
        <v>76</v>
      </c>
      <c r="I18" s="49" t="s">
        <v>52</v>
      </c>
    </row>
    <row r="19" spans="2:9" ht="37.5" customHeight="1" x14ac:dyDescent="0.25">
      <c r="B19" s="738"/>
      <c r="C19" s="41" t="s">
        <v>31</v>
      </c>
      <c r="D19" s="42" t="s">
        <v>40</v>
      </c>
      <c r="E19" s="43" t="s">
        <v>42</v>
      </c>
      <c r="F19" s="47" t="s">
        <v>76</v>
      </c>
      <c r="G19" s="48" t="s">
        <v>76</v>
      </c>
      <c r="H19" s="47" t="s">
        <v>76</v>
      </c>
      <c r="I19" s="49" t="s">
        <v>52</v>
      </c>
    </row>
    <row r="20" spans="2:9" ht="75.75" customHeight="1" x14ac:dyDescent="0.25">
      <c r="B20" s="738"/>
      <c r="C20" s="41" t="s">
        <v>31</v>
      </c>
      <c r="D20" s="42" t="s">
        <v>35</v>
      </c>
      <c r="E20" s="43" t="s">
        <v>34</v>
      </c>
      <c r="F20" s="44" t="s">
        <v>78</v>
      </c>
      <c r="G20" s="45" t="s">
        <v>77</v>
      </c>
      <c r="H20" s="44" t="s">
        <v>56</v>
      </c>
      <c r="I20" s="49" t="s">
        <v>51</v>
      </c>
    </row>
    <row r="21" spans="2:9" ht="75.75" customHeight="1" x14ac:dyDescent="0.25">
      <c r="B21" s="738"/>
      <c r="C21" s="41" t="s">
        <v>31</v>
      </c>
      <c r="D21" s="42" t="s">
        <v>36</v>
      </c>
      <c r="E21" s="43" t="s">
        <v>34</v>
      </c>
      <c r="F21" s="44" t="s">
        <v>78</v>
      </c>
      <c r="G21" s="45" t="s">
        <v>77</v>
      </c>
      <c r="H21" s="44" t="s">
        <v>56</v>
      </c>
      <c r="I21" s="49" t="s">
        <v>51</v>
      </c>
    </row>
    <row r="22" spans="2:9" ht="75.75" customHeight="1" x14ac:dyDescent="0.25">
      <c r="B22" s="738"/>
      <c r="C22" s="41" t="s">
        <v>31</v>
      </c>
      <c r="D22" s="42" t="s">
        <v>37</v>
      </c>
      <c r="E22" s="43" t="s">
        <v>34</v>
      </c>
      <c r="F22" s="44" t="s">
        <v>78</v>
      </c>
      <c r="G22" s="45" t="s">
        <v>77</v>
      </c>
      <c r="H22" s="44" t="s">
        <v>55</v>
      </c>
      <c r="I22" s="49" t="s">
        <v>50</v>
      </c>
    </row>
    <row r="23" spans="2:9" ht="75.75" customHeight="1" x14ac:dyDescent="0.25">
      <c r="B23" s="738"/>
      <c r="C23" s="41" t="s">
        <v>31</v>
      </c>
      <c r="D23" s="42" t="s">
        <v>38</v>
      </c>
      <c r="E23" s="43" t="s">
        <v>34</v>
      </c>
      <c r="F23" s="44" t="s">
        <v>78</v>
      </c>
      <c r="G23" s="45" t="s">
        <v>77</v>
      </c>
      <c r="H23" s="44" t="s">
        <v>55</v>
      </c>
      <c r="I23" s="49" t="s">
        <v>50</v>
      </c>
    </row>
    <row r="24" spans="2:9" ht="60" customHeight="1" x14ac:dyDescent="0.25">
      <c r="B24" s="738"/>
      <c r="C24" s="41" t="s">
        <v>31</v>
      </c>
      <c r="D24" s="42" t="s">
        <v>43</v>
      </c>
      <c r="E24" s="43" t="s">
        <v>34</v>
      </c>
      <c r="F24" s="44" t="s">
        <v>86</v>
      </c>
      <c r="G24" s="45" t="s">
        <v>79</v>
      </c>
      <c r="H24" s="44" t="s">
        <v>56</v>
      </c>
      <c r="I24" s="64"/>
    </row>
    <row r="25" spans="2:9" ht="45" customHeight="1" x14ac:dyDescent="0.25">
      <c r="B25" s="738"/>
      <c r="C25" s="41" t="s">
        <v>31</v>
      </c>
      <c r="D25" s="42" t="s">
        <v>7</v>
      </c>
      <c r="E25" s="43" t="s">
        <v>34</v>
      </c>
      <c r="F25" s="44" t="s">
        <v>74</v>
      </c>
      <c r="G25" s="45" t="s">
        <v>80</v>
      </c>
      <c r="H25" s="44" t="s">
        <v>56</v>
      </c>
      <c r="I25" s="49" t="s">
        <v>66</v>
      </c>
    </row>
    <row r="26" spans="2:9" ht="72.75" customHeight="1" x14ac:dyDescent="0.25">
      <c r="B26" s="738"/>
      <c r="C26" s="41" t="s">
        <v>31</v>
      </c>
      <c r="D26" s="42" t="s">
        <v>10</v>
      </c>
      <c r="E26" s="43" t="s">
        <v>41</v>
      </c>
      <c r="F26" s="44" t="s">
        <v>78</v>
      </c>
      <c r="G26" s="45" t="s">
        <v>77</v>
      </c>
      <c r="H26" s="44" t="s">
        <v>56</v>
      </c>
      <c r="I26" s="49" t="s">
        <v>65</v>
      </c>
    </row>
    <row r="27" spans="2:9" ht="37.5" customHeight="1" x14ac:dyDescent="0.25">
      <c r="B27" s="738"/>
      <c r="C27" s="41" t="s">
        <v>31</v>
      </c>
      <c r="D27" s="42" t="s">
        <v>33</v>
      </c>
      <c r="E27" s="43" t="s">
        <v>42</v>
      </c>
      <c r="F27" s="47" t="s">
        <v>76</v>
      </c>
      <c r="G27" s="48" t="s">
        <v>76</v>
      </c>
      <c r="H27" s="47" t="s">
        <v>76</v>
      </c>
      <c r="I27" s="49" t="s">
        <v>49</v>
      </c>
    </row>
    <row r="28" spans="2:9" ht="37.5" customHeight="1" x14ac:dyDescent="0.25">
      <c r="B28" s="738"/>
      <c r="C28" s="41" t="s">
        <v>31</v>
      </c>
      <c r="D28" s="42" t="s">
        <v>11</v>
      </c>
      <c r="E28" s="43" t="s">
        <v>42</v>
      </c>
      <c r="F28" s="47" t="s">
        <v>76</v>
      </c>
      <c r="G28" s="48" t="s">
        <v>76</v>
      </c>
      <c r="H28" s="47" t="s">
        <v>76</v>
      </c>
      <c r="I28" s="49" t="s">
        <v>49</v>
      </c>
    </row>
    <row r="29" spans="2:9" ht="37.5" customHeight="1" thickBot="1" x14ac:dyDescent="0.3">
      <c r="B29" s="739"/>
      <c r="C29" s="51" t="s">
        <v>31</v>
      </c>
      <c r="D29" s="62" t="s">
        <v>12</v>
      </c>
      <c r="E29" s="52" t="s">
        <v>42</v>
      </c>
      <c r="F29" s="53" t="s">
        <v>76</v>
      </c>
      <c r="G29" s="54" t="s">
        <v>76</v>
      </c>
      <c r="H29" s="53" t="s">
        <v>76</v>
      </c>
      <c r="I29" s="65" t="s">
        <v>49</v>
      </c>
    </row>
    <row r="30" spans="2:9" ht="15.75" thickTop="1" x14ac:dyDescent="0.25">
      <c r="C30" s="3"/>
      <c r="D30" s="2"/>
    </row>
    <row r="31" spans="2:9" x14ac:dyDescent="0.25">
      <c r="D31" s="2"/>
    </row>
    <row r="32" spans="2:9" x14ac:dyDescent="0.25">
      <c r="D32" s="2"/>
    </row>
    <row r="33" spans="4:4" x14ac:dyDescent="0.25">
      <c r="D33" s="2"/>
    </row>
    <row r="34" spans="4:4" x14ac:dyDescent="0.25">
      <c r="D34" s="2"/>
    </row>
    <row r="35" spans="4:4" x14ac:dyDescent="0.25">
      <c r="D35" s="2"/>
    </row>
    <row r="36" spans="4:4" x14ac:dyDescent="0.25">
      <c r="D36" s="2"/>
    </row>
    <row r="37" spans="4:4" x14ac:dyDescent="0.25">
      <c r="D37" s="2"/>
    </row>
    <row r="38" spans="4:4" x14ac:dyDescent="0.25">
      <c r="D38" s="2"/>
    </row>
    <row r="39" spans="4:4" x14ac:dyDescent="0.25">
      <c r="D39" s="2"/>
    </row>
    <row r="40" spans="4:4" x14ac:dyDescent="0.25">
      <c r="D40" s="2"/>
    </row>
    <row r="41" spans="4:4" x14ac:dyDescent="0.25">
      <c r="D41" s="2"/>
    </row>
    <row r="42" spans="4:4" x14ac:dyDescent="0.25">
      <c r="D42" s="2"/>
    </row>
    <row r="43" spans="4:4" x14ac:dyDescent="0.25">
      <c r="D43" s="2"/>
    </row>
    <row r="44" spans="4:4" x14ac:dyDescent="0.25">
      <c r="D44" s="2"/>
    </row>
  </sheetData>
  <mergeCells count="10">
    <mergeCell ref="I2:I5"/>
    <mergeCell ref="B5:C5"/>
    <mergeCell ref="B7:B10"/>
    <mergeCell ref="C7:C10"/>
    <mergeCell ref="B12:B29"/>
    <mergeCell ref="G2:G3"/>
    <mergeCell ref="E4:F4"/>
    <mergeCell ref="E5:F5"/>
    <mergeCell ref="E2:F3"/>
    <mergeCell ref="B2:D4"/>
  </mergeCells>
  <dataValidations count="1">
    <dataValidation type="list" allowBlank="1" showInputMessage="1" showErrorMessage="1" sqref="E7:E29">
      <formula1>"Sim, Não, A avaliar/validar"</formula1>
    </dataValidation>
  </dataValidations>
  <pageMargins left="0.7" right="0.7" top="0.75" bottom="0.75" header="0.3" footer="0.3"/>
  <pageSetup paperSize="9" orientation="portrait" r:id="rId1"/>
  <customProperties>
    <customPr name="GUID" r:id="rId2"/>
  </customProperties>
  <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2"/>
  <dimension ref="A1:X140"/>
  <sheetViews>
    <sheetView topLeftCell="H10" zoomScale="85" zoomScaleNormal="85" workbookViewId="0">
      <selection activeCell="U64" sqref="U64"/>
    </sheetView>
  </sheetViews>
  <sheetFormatPr defaultRowHeight="15" x14ac:dyDescent="0.25"/>
  <cols>
    <col min="1" max="1" width="9.140625" style="1"/>
    <col min="2" max="2" width="57.42578125" style="1" customWidth="1"/>
    <col min="3" max="3" width="41.7109375" style="1" bestFit="1" customWidth="1"/>
    <col min="4" max="5" width="41.7109375" style="1" customWidth="1"/>
    <col min="6" max="6" width="33.7109375" style="1" customWidth="1"/>
    <col min="7" max="7" width="41.28515625" style="1" bestFit="1" customWidth="1"/>
    <col min="8" max="9" width="41.28515625" style="1" customWidth="1"/>
    <col min="10" max="10" width="21.85546875" style="1" bestFit="1" customWidth="1"/>
    <col min="11" max="11" width="64.28515625" style="1" customWidth="1"/>
    <col min="12" max="12" width="46.42578125" style="1" bestFit="1" customWidth="1"/>
    <col min="13" max="13" width="98" style="1" customWidth="1"/>
    <col min="14" max="14" width="14.7109375" style="1" customWidth="1"/>
    <col min="15" max="15" width="45" style="1" customWidth="1"/>
    <col min="16" max="16" width="10.85546875" style="1" customWidth="1"/>
    <col min="17" max="17" width="47" style="1" customWidth="1"/>
    <col min="18" max="18" width="10.85546875" style="1" customWidth="1"/>
    <col min="19" max="19" width="14.85546875" style="1" customWidth="1"/>
    <col min="20" max="20" width="14.28515625" style="1" customWidth="1"/>
    <col min="21" max="21" width="15.85546875" style="1" customWidth="1"/>
    <col min="22" max="22" width="15" style="1" customWidth="1"/>
    <col min="23" max="23" width="12" style="1" customWidth="1"/>
    <col min="24" max="24" width="16.42578125" style="1" customWidth="1"/>
    <col min="25" max="16384" width="9.140625" style="1"/>
  </cols>
  <sheetData>
    <row r="1" spans="1:24" s="169" customFormat="1" ht="30" x14ac:dyDescent="0.25">
      <c r="A1" s="336" t="s">
        <v>4651</v>
      </c>
      <c r="B1" s="336" t="s">
        <v>3610</v>
      </c>
      <c r="C1" s="336" t="s">
        <v>3619</v>
      </c>
      <c r="D1" s="336" t="s">
        <v>6531</v>
      </c>
      <c r="E1" s="336" t="s">
        <v>90</v>
      </c>
      <c r="F1" s="336" t="s">
        <v>1802</v>
      </c>
      <c r="G1" s="336" t="s">
        <v>3612</v>
      </c>
      <c r="H1" s="336" t="s">
        <v>1801</v>
      </c>
      <c r="I1" s="336" t="s">
        <v>6517</v>
      </c>
      <c r="J1" s="336" t="s">
        <v>1803</v>
      </c>
      <c r="K1" s="336" t="s">
        <v>3618</v>
      </c>
      <c r="L1" s="336" t="s">
        <v>3611</v>
      </c>
      <c r="M1" s="336" t="s">
        <v>1808</v>
      </c>
      <c r="N1" s="336" t="s">
        <v>141</v>
      </c>
      <c r="O1" s="336" t="s">
        <v>1809</v>
      </c>
      <c r="P1" s="336" t="s">
        <v>141</v>
      </c>
      <c r="Q1" s="336" t="s">
        <v>1810</v>
      </c>
      <c r="R1" s="336" t="s">
        <v>141</v>
      </c>
      <c r="S1" s="336" t="s">
        <v>3615</v>
      </c>
      <c r="T1" s="336" t="s">
        <v>3616</v>
      </c>
      <c r="U1" s="336" t="s">
        <v>6566</v>
      </c>
      <c r="V1" s="336" t="s">
        <v>3625</v>
      </c>
      <c r="W1" s="336" t="s">
        <v>3637</v>
      </c>
      <c r="X1" s="628" t="s">
        <v>6519</v>
      </c>
    </row>
    <row r="2" spans="1:24" s="4" customFormat="1" x14ac:dyDescent="0.25">
      <c r="A2" s="4">
        <v>2022</v>
      </c>
      <c r="B2" s="594" t="s">
        <v>45</v>
      </c>
      <c r="C2" s="594" t="s">
        <v>47</v>
      </c>
      <c r="D2" s="594" t="s">
        <v>6536</v>
      </c>
      <c r="E2" s="594"/>
      <c r="F2" s="347">
        <v>652</v>
      </c>
      <c r="G2" s="4">
        <v>17</v>
      </c>
      <c r="J2" s="4">
        <v>868</v>
      </c>
      <c r="K2" s="603">
        <f>61097.956+3143.7</f>
        <v>64241.655999999995</v>
      </c>
      <c r="L2" s="351">
        <v>37006</v>
      </c>
      <c r="O2" s="352" t="s">
        <v>3624</v>
      </c>
      <c r="P2" s="348" t="s">
        <v>3614</v>
      </c>
      <c r="T2" s="619">
        <f>K2/L2</f>
        <v>1.7359794627898177</v>
      </c>
      <c r="U2" s="624">
        <f>K2/J2*1000</f>
        <v>74011.12442396312</v>
      </c>
      <c r="V2" s="353">
        <f>K2/F2</f>
        <v>98.530147239263798</v>
      </c>
      <c r="W2" s="363">
        <f t="shared" ref="W2:W24" si="0">L2/F2*1000</f>
        <v>56757.668711656443</v>
      </c>
    </row>
    <row r="3" spans="1:24" s="348" customFormat="1" x14ac:dyDescent="0.25">
      <c r="A3" s="4">
        <v>2022</v>
      </c>
      <c r="B3" s="594" t="s">
        <v>4580</v>
      </c>
      <c r="C3" s="594" t="s">
        <v>47</v>
      </c>
      <c r="D3" s="594"/>
      <c r="E3" s="594"/>
      <c r="F3" s="347">
        <v>61</v>
      </c>
      <c r="G3" s="4">
        <v>0</v>
      </c>
      <c r="H3" s="4"/>
      <c r="I3" s="4"/>
      <c r="J3" s="4">
        <v>63</v>
      </c>
      <c r="K3" s="603">
        <f>3597.714+272.79</f>
        <v>3870.5039999999999</v>
      </c>
      <c r="L3" s="351">
        <v>2170</v>
      </c>
      <c r="O3" s="352" t="s">
        <v>3624</v>
      </c>
      <c r="P3" s="348" t="s">
        <v>3614</v>
      </c>
      <c r="T3" s="619">
        <f t="shared" ref="T3:T14" si="1">K3/L3</f>
        <v>1.7836423963133641</v>
      </c>
      <c r="U3" s="624">
        <f t="shared" ref="U3:U24" si="2">K3/J3*1000</f>
        <v>61436.571428571428</v>
      </c>
      <c r="V3" s="353">
        <f>K3/F3</f>
        <v>63.450885245901638</v>
      </c>
      <c r="W3" s="363">
        <f t="shared" si="0"/>
        <v>35573.770491803283</v>
      </c>
    </row>
    <row r="4" spans="1:24" s="348" customFormat="1" x14ac:dyDescent="0.25">
      <c r="A4" s="4">
        <v>2022</v>
      </c>
      <c r="B4" s="594" t="s">
        <v>4581</v>
      </c>
      <c r="C4" s="594" t="s">
        <v>47</v>
      </c>
      <c r="D4" s="594"/>
      <c r="E4" s="594"/>
      <c r="F4" s="347">
        <v>45</v>
      </c>
      <c r="G4" s="4">
        <v>10</v>
      </c>
      <c r="H4" s="4"/>
      <c r="I4" s="4"/>
      <c r="J4" s="4">
        <v>96</v>
      </c>
      <c r="K4" s="603">
        <f>8132.654+311.985</f>
        <v>8444.639000000001</v>
      </c>
      <c r="L4" s="351">
        <v>1200</v>
      </c>
      <c r="O4" s="352" t="s">
        <v>3624</v>
      </c>
      <c r="P4" s="348" t="s">
        <v>3614</v>
      </c>
      <c r="T4" s="619">
        <f t="shared" si="1"/>
        <v>7.0371991666666673</v>
      </c>
      <c r="U4" s="624">
        <f t="shared" si="2"/>
        <v>87964.989583333343</v>
      </c>
      <c r="V4" s="353">
        <f>K4/F4</f>
        <v>187.65864444444446</v>
      </c>
      <c r="W4" s="363">
        <f t="shared" si="0"/>
        <v>26666.666666666668</v>
      </c>
    </row>
    <row r="5" spans="1:24" s="348" customFormat="1" x14ac:dyDescent="0.25">
      <c r="A5" s="4">
        <v>2022</v>
      </c>
      <c r="B5" s="594" t="s">
        <v>4582</v>
      </c>
      <c r="C5" s="594" t="s">
        <v>47</v>
      </c>
      <c r="D5" s="594"/>
      <c r="E5" s="594"/>
      <c r="F5" s="347">
        <v>36</v>
      </c>
      <c r="G5" s="4">
        <v>6</v>
      </c>
      <c r="H5" s="4"/>
      <c r="I5" s="4"/>
      <c r="J5" s="4">
        <v>42</v>
      </c>
      <c r="K5" s="603">
        <f>3243.002+155.319</f>
        <v>3398.3209999999999</v>
      </c>
      <c r="L5" s="351">
        <v>857</v>
      </c>
      <c r="O5" s="352" t="s">
        <v>3624</v>
      </c>
      <c r="P5" s="348" t="s">
        <v>3614</v>
      </c>
      <c r="T5" s="619">
        <f t="shared" si="1"/>
        <v>3.9653687281213537</v>
      </c>
      <c r="U5" s="624">
        <f t="shared" si="2"/>
        <v>80912.404761904749</v>
      </c>
      <c r="V5" s="353">
        <f>K5/F5</f>
        <v>94.39780555555555</v>
      </c>
      <c r="W5" s="363">
        <f t="shared" si="0"/>
        <v>23805.555555555558</v>
      </c>
    </row>
    <row r="6" spans="1:24" s="348" customFormat="1" x14ac:dyDescent="0.25">
      <c r="A6" s="4">
        <v>2022</v>
      </c>
      <c r="B6" s="594" t="s">
        <v>1910</v>
      </c>
      <c r="C6" s="594" t="s">
        <v>47</v>
      </c>
      <c r="D6" s="594" t="s">
        <v>6532</v>
      </c>
      <c r="E6" s="594"/>
      <c r="F6" s="4">
        <v>320</v>
      </c>
      <c r="G6" s="4">
        <v>24</v>
      </c>
      <c r="H6" s="4"/>
      <c r="I6" s="4"/>
      <c r="J6" s="4">
        <v>730</v>
      </c>
      <c r="K6" s="603">
        <f>34953.942+1925.854</f>
        <v>36879.796000000002</v>
      </c>
      <c r="L6" s="351">
        <v>16163.981</v>
      </c>
      <c r="M6" s="350">
        <v>37528990</v>
      </c>
      <c r="N6" s="348" t="s">
        <v>3617</v>
      </c>
      <c r="O6" s="350">
        <v>1341432098.2846</v>
      </c>
      <c r="P6" s="348" t="s">
        <v>3614</v>
      </c>
      <c r="Q6" s="350">
        <v>206034155</v>
      </c>
      <c r="R6" s="348" t="s">
        <v>3613</v>
      </c>
      <c r="S6" s="349">
        <f>Q6/O6</f>
        <v>0.15359268297178283</v>
      </c>
      <c r="T6" s="619">
        <f t="shared" si="1"/>
        <v>2.2816035232904568</v>
      </c>
      <c r="U6" s="624">
        <f t="shared" si="2"/>
        <v>50520.268493150688</v>
      </c>
      <c r="V6" s="353">
        <f>K6/F6</f>
        <v>115.2493625</v>
      </c>
      <c r="W6" s="363">
        <f t="shared" si="0"/>
        <v>50512.440624999996</v>
      </c>
    </row>
    <row r="7" spans="1:24" s="348" customFormat="1" x14ac:dyDescent="0.25">
      <c r="A7" s="4">
        <v>2022</v>
      </c>
      <c r="B7" s="594" t="s">
        <v>3626</v>
      </c>
      <c r="C7" s="594" t="s">
        <v>47</v>
      </c>
      <c r="D7" s="594" t="s">
        <v>6536</v>
      </c>
      <c r="E7" s="594"/>
      <c r="F7" s="4"/>
      <c r="G7" s="4"/>
      <c r="H7" s="4"/>
      <c r="I7" s="4"/>
      <c r="J7" s="4"/>
      <c r="K7" s="603">
        <f>3014.69+127.275</f>
        <v>3141.9650000000001</v>
      </c>
      <c r="L7" s="351"/>
      <c r="M7" s="350"/>
      <c r="O7" s="350"/>
      <c r="Q7" s="350"/>
      <c r="S7" s="349"/>
      <c r="T7" s="619"/>
      <c r="U7" s="624"/>
      <c r="V7" s="353"/>
      <c r="W7" s="363" t="e">
        <f t="shared" si="0"/>
        <v>#DIV/0!</v>
      </c>
    </row>
    <row r="8" spans="1:24" s="348" customFormat="1" x14ac:dyDescent="0.25">
      <c r="A8" s="4">
        <v>2022</v>
      </c>
      <c r="B8" s="594" t="s">
        <v>3620</v>
      </c>
      <c r="C8" s="594" t="s">
        <v>47</v>
      </c>
      <c r="D8" s="594" t="s">
        <v>6536</v>
      </c>
      <c r="E8" s="594"/>
      <c r="F8" s="4">
        <v>180</v>
      </c>
      <c r="G8" s="352" t="s">
        <v>3624</v>
      </c>
      <c r="H8" s="352"/>
      <c r="I8" s="352"/>
      <c r="J8" s="352" t="s">
        <v>3624</v>
      </c>
      <c r="K8" s="603">
        <f>9483.855+2645.539</f>
        <v>12129.394</v>
      </c>
      <c r="L8" s="351">
        <v>7996.7250000000004</v>
      </c>
      <c r="M8" s="350">
        <v>3951237</v>
      </c>
      <c r="N8" s="348" t="s">
        <v>3617</v>
      </c>
      <c r="O8" s="352" t="s">
        <v>3624</v>
      </c>
      <c r="P8" s="348" t="s">
        <v>3614</v>
      </c>
      <c r="T8" s="619">
        <f t="shared" si="1"/>
        <v>1.5167951880300998</v>
      </c>
      <c r="U8" s="624"/>
      <c r="V8" s="353">
        <f>K8/F8</f>
        <v>67.385522222222221</v>
      </c>
      <c r="W8" s="363">
        <f t="shared" si="0"/>
        <v>44426.25</v>
      </c>
    </row>
    <row r="9" spans="1:24" s="348" customFormat="1" x14ac:dyDescent="0.25">
      <c r="A9" s="4">
        <v>2022</v>
      </c>
      <c r="B9" s="594" t="s">
        <v>3621</v>
      </c>
      <c r="C9" s="594" t="s">
        <v>47</v>
      </c>
      <c r="D9" s="594" t="s">
        <v>6536</v>
      </c>
      <c r="E9" s="594"/>
      <c r="F9" s="4">
        <v>161</v>
      </c>
      <c r="G9" s="352" t="s">
        <v>3624</v>
      </c>
      <c r="H9" s="352"/>
      <c r="I9" s="352"/>
      <c r="J9" s="352" t="s">
        <v>3624</v>
      </c>
      <c r="K9" s="603">
        <f>10105.489+3586.527</f>
        <v>13692.016</v>
      </c>
      <c r="L9" s="351">
        <v>8379.3960000000006</v>
      </c>
      <c r="M9" s="350">
        <v>4374402</v>
      </c>
      <c r="N9" s="348" t="s">
        <v>3617</v>
      </c>
      <c r="O9" s="352" t="s">
        <v>3624</v>
      </c>
      <c r="P9" s="348" t="s">
        <v>3614</v>
      </c>
      <c r="T9" s="619">
        <f t="shared" si="1"/>
        <v>1.6340098976107584</v>
      </c>
      <c r="U9" s="624"/>
      <c r="V9" s="353">
        <f>K9/F9</f>
        <v>85.043577639751547</v>
      </c>
      <c r="W9" s="363">
        <f t="shared" si="0"/>
        <v>52045.937888198765</v>
      </c>
    </row>
    <row r="10" spans="1:24" s="348" customFormat="1" x14ac:dyDescent="0.25">
      <c r="A10" s="4">
        <v>2022</v>
      </c>
      <c r="B10" s="594" t="s">
        <v>3622</v>
      </c>
      <c r="C10" s="594" t="s">
        <v>47</v>
      </c>
      <c r="D10" s="594" t="s">
        <v>6536</v>
      </c>
      <c r="E10" s="594"/>
      <c r="F10" s="4">
        <v>118</v>
      </c>
      <c r="G10" s="352" t="s">
        <v>3624</v>
      </c>
      <c r="H10" s="352"/>
      <c r="I10" s="352"/>
      <c r="J10" s="352" t="s">
        <v>3624</v>
      </c>
      <c r="K10" s="603">
        <f>6611.07 +2853.087</f>
        <v>9464.1569999999992</v>
      </c>
      <c r="L10" s="351">
        <v>5925.5820000000003</v>
      </c>
      <c r="M10" s="350">
        <v>2102309</v>
      </c>
      <c r="N10" s="348" t="s">
        <v>3617</v>
      </c>
      <c r="O10" s="352" t="s">
        <v>3624</v>
      </c>
      <c r="P10" s="348" t="s">
        <v>3614</v>
      </c>
      <c r="T10" s="619">
        <f t="shared" si="1"/>
        <v>1.5971691894568329</v>
      </c>
      <c r="U10" s="624"/>
      <c r="V10" s="353">
        <f>K10/F10</f>
        <v>80.204720338983051</v>
      </c>
      <c r="W10" s="363">
        <f t="shared" si="0"/>
        <v>50216.796610169498</v>
      </c>
    </row>
    <row r="11" spans="1:24" s="348" customFormat="1" x14ac:dyDescent="0.25">
      <c r="A11" s="4">
        <v>2022</v>
      </c>
      <c r="B11" s="594" t="s">
        <v>3623</v>
      </c>
      <c r="C11" s="594" t="s">
        <v>47</v>
      </c>
      <c r="D11" s="594" t="s">
        <v>6536</v>
      </c>
      <c r="E11" s="594"/>
      <c r="F11" s="4">
        <v>107</v>
      </c>
      <c r="G11" s="352" t="s">
        <v>3624</v>
      </c>
      <c r="H11" s="352"/>
      <c r="I11" s="352"/>
      <c r="J11" s="352" t="s">
        <v>3624</v>
      </c>
      <c r="K11" s="603">
        <f>6003.144+1949.592</f>
        <v>7952.7360000000008</v>
      </c>
      <c r="L11" s="351">
        <v>5441.2610000000004</v>
      </c>
      <c r="M11" s="350">
        <v>2870539</v>
      </c>
      <c r="N11" s="348" t="s">
        <v>3617</v>
      </c>
      <c r="O11" s="352" t="s">
        <v>3624</v>
      </c>
      <c r="P11" s="348" t="s">
        <v>3614</v>
      </c>
      <c r="T11" s="619">
        <f t="shared" si="1"/>
        <v>1.4615612079626397</v>
      </c>
      <c r="U11" s="624"/>
      <c r="V11" s="353">
        <f>K11/F11</f>
        <v>74.324635514018695</v>
      </c>
      <c r="W11" s="363">
        <f t="shared" si="0"/>
        <v>50852.906542056073</v>
      </c>
    </row>
    <row r="12" spans="1:24" s="348" customFormat="1" x14ac:dyDescent="0.25">
      <c r="A12" s="4">
        <v>2022</v>
      </c>
      <c r="B12" s="594" t="s">
        <v>2817</v>
      </c>
      <c r="C12" s="594" t="s">
        <v>47</v>
      </c>
      <c r="D12" s="594"/>
      <c r="E12" s="594"/>
      <c r="F12" s="4">
        <v>72</v>
      </c>
      <c r="G12" s="4">
        <v>15</v>
      </c>
      <c r="H12" s="4"/>
      <c r="I12" s="4"/>
      <c r="J12" s="352" t="s">
        <v>3624</v>
      </c>
      <c r="K12" s="603">
        <f>4884.72+254.703</f>
        <v>5139.4230000000007</v>
      </c>
      <c r="L12" s="351">
        <v>2991</v>
      </c>
      <c r="M12" s="350"/>
      <c r="N12" s="4"/>
      <c r="O12" s="352" t="s">
        <v>3624</v>
      </c>
      <c r="P12" s="348" t="s">
        <v>3614</v>
      </c>
      <c r="T12" s="619">
        <f t="shared" si="1"/>
        <v>1.7182958876629892</v>
      </c>
      <c r="U12" s="624"/>
      <c r="V12" s="353">
        <f>K12/F12</f>
        <v>71.380875000000003</v>
      </c>
      <c r="W12" s="363">
        <f t="shared" si="0"/>
        <v>41541.666666666664</v>
      </c>
    </row>
    <row r="13" spans="1:24" s="4" customFormat="1" x14ac:dyDescent="0.25">
      <c r="A13" s="4">
        <v>2022</v>
      </c>
      <c r="B13" s="594" t="s">
        <v>4606</v>
      </c>
      <c r="C13" s="594" t="s">
        <v>1659</v>
      </c>
      <c r="D13" s="594" t="s">
        <v>5824</v>
      </c>
      <c r="E13" s="594"/>
      <c r="F13" s="4" t="s">
        <v>76</v>
      </c>
      <c r="G13" s="4" t="s">
        <v>76</v>
      </c>
      <c r="J13" s="4">
        <v>13</v>
      </c>
      <c r="K13" s="603">
        <v>527.83000000000004</v>
      </c>
      <c r="L13" s="351" t="s">
        <v>76</v>
      </c>
      <c r="M13" s="350" t="s">
        <v>76</v>
      </c>
      <c r="O13" s="4" t="s">
        <v>76</v>
      </c>
      <c r="Q13" s="4" t="s">
        <v>76</v>
      </c>
      <c r="T13" s="619" t="s">
        <v>76</v>
      </c>
      <c r="U13" s="624">
        <f t="shared" si="2"/>
        <v>40602.307692307695</v>
      </c>
      <c r="V13" s="353" t="s">
        <v>76</v>
      </c>
      <c r="W13" s="363" t="e">
        <f t="shared" si="0"/>
        <v>#VALUE!</v>
      </c>
    </row>
    <row r="14" spans="1:24" s="4" customFormat="1" x14ac:dyDescent="0.25">
      <c r="A14" s="4">
        <v>2022</v>
      </c>
      <c r="B14" s="594" t="s">
        <v>3132</v>
      </c>
      <c r="C14" s="594" t="s">
        <v>47</v>
      </c>
      <c r="D14" s="594" t="s">
        <v>6532</v>
      </c>
      <c r="E14" s="594"/>
      <c r="F14" s="4">
        <v>288</v>
      </c>
      <c r="G14" s="4">
        <v>15</v>
      </c>
      <c r="J14" s="4">
        <v>504</v>
      </c>
      <c r="K14" s="603">
        <v>28195.84576</v>
      </c>
      <c r="L14" s="351">
        <v>12768.138999999999</v>
      </c>
      <c r="M14" s="350">
        <v>31544.217000000001</v>
      </c>
      <c r="N14" s="348" t="s">
        <v>3617</v>
      </c>
      <c r="O14" s="354">
        <v>1030053000</v>
      </c>
      <c r="P14" s="348" t="s">
        <v>3614</v>
      </c>
      <c r="Q14" s="354">
        <v>133583000</v>
      </c>
      <c r="R14" s="348" t="s">
        <v>3613</v>
      </c>
      <c r="S14" s="349">
        <f>Q14/O14</f>
        <v>0.12968555986924946</v>
      </c>
      <c r="T14" s="619">
        <f t="shared" si="1"/>
        <v>2.2082972123032185</v>
      </c>
      <c r="U14" s="624">
        <f t="shared" si="2"/>
        <v>55944.138412698412</v>
      </c>
      <c r="V14" s="353">
        <f t="shared" ref="V14:V24" si="3">K14/F14</f>
        <v>97.902242222222227</v>
      </c>
      <c r="W14" s="363">
        <f t="shared" si="0"/>
        <v>44333.815972222219</v>
      </c>
    </row>
    <row r="15" spans="1:24" s="4" customFormat="1" x14ac:dyDescent="0.25">
      <c r="A15" s="4">
        <v>2022</v>
      </c>
      <c r="B15" s="611" t="s">
        <v>3214</v>
      </c>
      <c r="C15" s="594" t="s">
        <v>47</v>
      </c>
      <c r="D15" s="594" t="s">
        <v>6536</v>
      </c>
      <c r="E15" s="594"/>
      <c r="F15" s="4">
        <v>412</v>
      </c>
      <c r="G15" s="4">
        <v>25</v>
      </c>
      <c r="J15" s="4">
        <v>607</v>
      </c>
      <c r="K15" s="603">
        <v>43992.993000000002</v>
      </c>
      <c r="L15" s="355">
        <v>27483.982</v>
      </c>
      <c r="M15" s="350"/>
      <c r="T15" s="619">
        <f t="shared" ref="T15:T24" si="4">K15/L15</f>
        <v>1.6006775510186262</v>
      </c>
      <c r="U15" s="624">
        <f t="shared" si="2"/>
        <v>72476.10049423395</v>
      </c>
      <c r="V15" s="353">
        <f t="shared" si="3"/>
        <v>106.77910922330098</v>
      </c>
      <c r="W15" s="363">
        <f t="shared" si="0"/>
        <v>66708.694174757286</v>
      </c>
    </row>
    <row r="16" spans="1:24" s="4" customFormat="1" x14ac:dyDescent="0.25">
      <c r="A16" s="4">
        <v>2022</v>
      </c>
      <c r="B16" s="594" t="s">
        <v>1916</v>
      </c>
      <c r="C16" s="594" t="s">
        <v>47</v>
      </c>
      <c r="D16" s="594" t="s">
        <v>6532</v>
      </c>
      <c r="E16" s="594"/>
      <c r="F16" s="4">
        <v>160</v>
      </c>
      <c r="G16" s="352" t="s">
        <v>3624</v>
      </c>
      <c r="H16" s="352"/>
      <c r="I16" s="352"/>
      <c r="J16" s="352" t="s">
        <v>3624</v>
      </c>
      <c r="K16" s="603">
        <f>16832.56+4435.274</f>
        <v>21267.834000000003</v>
      </c>
      <c r="L16" s="351">
        <v>14081.215</v>
      </c>
      <c r="M16" s="350">
        <v>1494.471</v>
      </c>
      <c r="N16" s="348" t="s">
        <v>3617</v>
      </c>
      <c r="O16" s="352" t="s">
        <v>3624</v>
      </c>
      <c r="T16" s="619">
        <f t="shared" si="4"/>
        <v>1.5103692401543476</v>
      </c>
      <c r="U16" s="624"/>
      <c r="V16" s="353">
        <f t="shared" si="3"/>
        <v>132.92396250000002</v>
      </c>
      <c r="W16" s="363">
        <f t="shared" si="0"/>
        <v>88007.59375</v>
      </c>
    </row>
    <row r="17" spans="1:24" s="4" customFormat="1" x14ac:dyDescent="0.25">
      <c r="A17" s="4">
        <v>2022</v>
      </c>
      <c r="B17" s="594" t="s">
        <v>2943</v>
      </c>
      <c r="C17" s="594" t="s">
        <v>47</v>
      </c>
      <c r="D17" s="594" t="s">
        <v>6532</v>
      </c>
      <c r="E17" s="594"/>
      <c r="F17" s="4">
        <v>54</v>
      </c>
      <c r="G17" s="352" t="s">
        <v>3624</v>
      </c>
      <c r="H17" s="352"/>
      <c r="I17" s="352"/>
      <c r="J17" s="352" t="s">
        <v>3624</v>
      </c>
      <c r="K17" s="603">
        <f>2435.433+109.16</f>
        <v>2544.5929999999998</v>
      </c>
      <c r="L17" s="351">
        <v>2176.7289999999998</v>
      </c>
      <c r="M17" s="350">
        <v>684.81299999999999</v>
      </c>
      <c r="N17" s="348" t="s">
        <v>3617</v>
      </c>
      <c r="O17" s="352" t="s">
        <v>3624</v>
      </c>
      <c r="T17" s="619">
        <f t="shared" si="4"/>
        <v>1.1689985294448688</v>
      </c>
      <c r="U17" s="624"/>
      <c r="V17" s="353">
        <f t="shared" si="3"/>
        <v>47.122092592592587</v>
      </c>
      <c r="W17" s="363">
        <f t="shared" si="0"/>
        <v>40309.796296296292</v>
      </c>
    </row>
    <row r="18" spans="1:24" s="4" customFormat="1" x14ac:dyDescent="0.25">
      <c r="A18" s="4">
        <v>2022</v>
      </c>
      <c r="B18" s="594" t="s">
        <v>2944</v>
      </c>
      <c r="C18" s="594" t="s">
        <v>47</v>
      </c>
      <c r="D18" s="594" t="s">
        <v>6532</v>
      </c>
      <c r="E18" s="594"/>
      <c r="F18" s="4">
        <v>42</v>
      </c>
      <c r="G18" s="352" t="s">
        <v>3624</v>
      </c>
      <c r="H18" s="352"/>
      <c r="I18" s="352"/>
      <c r="J18" s="352" t="s">
        <v>3624</v>
      </c>
      <c r="K18" s="603">
        <v>470.101</v>
      </c>
      <c r="L18" s="351">
        <v>418.017</v>
      </c>
      <c r="M18" s="350">
        <v>103.74299999999999</v>
      </c>
      <c r="N18" s="348" t="s">
        <v>3617</v>
      </c>
      <c r="O18" s="352" t="s">
        <v>3624</v>
      </c>
      <c r="T18" s="619">
        <f t="shared" si="4"/>
        <v>1.1245978034386162</v>
      </c>
      <c r="U18" s="624"/>
      <c r="V18" s="353">
        <f t="shared" si="3"/>
        <v>11.192880952380952</v>
      </c>
      <c r="W18" s="363">
        <f t="shared" si="0"/>
        <v>9952.7857142857138</v>
      </c>
    </row>
    <row r="19" spans="1:24" s="4" customFormat="1" x14ac:dyDescent="0.25">
      <c r="A19" s="4">
        <v>2022</v>
      </c>
      <c r="B19" s="594" t="s">
        <v>2945</v>
      </c>
      <c r="C19" s="594" t="s">
        <v>47</v>
      </c>
      <c r="D19" s="594" t="s">
        <v>6532</v>
      </c>
      <c r="E19" s="594"/>
      <c r="F19" s="4">
        <v>59</v>
      </c>
      <c r="G19" s="352" t="s">
        <v>3624</v>
      </c>
      <c r="H19" s="352"/>
      <c r="I19" s="352"/>
      <c r="J19" s="352" t="s">
        <v>3624</v>
      </c>
      <c r="K19" s="603">
        <v>925.1</v>
      </c>
      <c r="L19" s="351">
        <v>908.32</v>
      </c>
      <c r="M19" s="350">
        <v>260.09100000000001</v>
      </c>
      <c r="N19" s="348" t="s">
        <v>3617</v>
      </c>
      <c r="O19" s="352" t="s">
        <v>3624</v>
      </c>
      <c r="T19" s="619">
        <f t="shared" si="4"/>
        <v>1.0184736656684867</v>
      </c>
      <c r="U19" s="624"/>
      <c r="V19" s="353">
        <f t="shared" si="3"/>
        <v>15.679661016949153</v>
      </c>
      <c r="W19" s="363">
        <f t="shared" si="0"/>
        <v>15395.254237288138</v>
      </c>
    </row>
    <row r="20" spans="1:24" x14ac:dyDescent="0.25">
      <c r="A20" s="4">
        <v>2022</v>
      </c>
      <c r="B20" s="594" t="s">
        <v>2946</v>
      </c>
      <c r="C20" s="594" t="s">
        <v>47</v>
      </c>
      <c r="D20" s="594" t="s">
        <v>6532</v>
      </c>
      <c r="E20" s="594"/>
      <c r="F20" s="1">
        <v>20</v>
      </c>
      <c r="G20" s="352" t="s">
        <v>3624</v>
      </c>
      <c r="H20" s="352"/>
      <c r="I20" s="352"/>
      <c r="J20" s="352" t="s">
        <v>3624</v>
      </c>
      <c r="K20" s="603">
        <f>476.716+898.316</f>
        <v>1375.0320000000002</v>
      </c>
      <c r="L20" s="351">
        <v>842.40499999999997</v>
      </c>
      <c r="M20" s="350">
        <v>602.31200000000001</v>
      </c>
      <c r="N20" s="348" t="s">
        <v>3617</v>
      </c>
      <c r="O20" s="352" t="s">
        <v>3624</v>
      </c>
      <c r="T20" s="619">
        <f t="shared" si="4"/>
        <v>1.632269514069836</v>
      </c>
      <c r="U20" s="624"/>
      <c r="V20" s="353">
        <f t="shared" si="3"/>
        <v>68.75160000000001</v>
      </c>
      <c r="W20" s="363">
        <f t="shared" si="0"/>
        <v>42120.25</v>
      </c>
    </row>
    <row r="21" spans="1:24" x14ac:dyDescent="0.25">
      <c r="A21" s="4">
        <v>2022</v>
      </c>
      <c r="B21" s="594" t="s">
        <v>1915</v>
      </c>
      <c r="C21" s="594" t="s">
        <v>47</v>
      </c>
      <c r="D21" s="594" t="s">
        <v>6556</v>
      </c>
      <c r="E21" s="594"/>
      <c r="F21" s="1">
        <v>215</v>
      </c>
      <c r="G21" s="1">
        <v>20</v>
      </c>
      <c r="J21" s="1">
        <v>273</v>
      </c>
      <c r="K21" s="614" t="s">
        <v>3627</v>
      </c>
      <c r="L21" s="351">
        <v>18120.388999999999</v>
      </c>
      <c r="M21" s="350"/>
      <c r="T21" s="619" t="e">
        <f t="shared" si="4"/>
        <v>#VALUE!</v>
      </c>
      <c r="U21" s="624"/>
      <c r="V21" s="353" t="e">
        <f t="shared" si="3"/>
        <v>#VALUE!</v>
      </c>
      <c r="W21" s="363">
        <f t="shared" si="0"/>
        <v>84280.879069767441</v>
      </c>
    </row>
    <row r="22" spans="1:24" x14ac:dyDescent="0.25">
      <c r="A22" s="4">
        <v>2022</v>
      </c>
      <c r="B22" s="594" t="s">
        <v>1912</v>
      </c>
      <c r="C22" s="594" t="s">
        <v>47</v>
      </c>
      <c r="D22" s="594" t="s">
        <v>6536</v>
      </c>
      <c r="E22" s="594"/>
      <c r="F22" s="1">
        <v>68</v>
      </c>
      <c r="G22" s="1">
        <v>4</v>
      </c>
      <c r="J22" s="352" t="s">
        <v>3624</v>
      </c>
      <c r="K22" s="603">
        <f>5215.172+347.405</f>
        <v>5562.5769999999993</v>
      </c>
      <c r="L22" s="351">
        <v>3250.9070000000002</v>
      </c>
      <c r="M22" s="350"/>
      <c r="T22" s="619">
        <f t="shared" si="4"/>
        <v>1.711084629612597</v>
      </c>
      <c r="U22" s="624"/>
      <c r="V22" s="353">
        <f t="shared" si="3"/>
        <v>81.80260294117646</v>
      </c>
      <c r="W22" s="363">
        <f t="shared" si="0"/>
        <v>47807.455882352937</v>
      </c>
    </row>
    <row r="23" spans="1:24" x14ac:dyDescent="0.25">
      <c r="A23" s="4">
        <v>2022</v>
      </c>
      <c r="B23" s="594" t="s">
        <v>4602</v>
      </c>
      <c r="C23" s="594" t="s">
        <v>6548</v>
      </c>
      <c r="D23" s="594" t="s">
        <v>6532</v>
      </c>
      <c r="E23" s="594"/>
      <c r="F23" s="1">
        <v>102</v>
      </c>
      <c r="G23" s="1">
        <v>19</v>
      </c>
      <c r="J23" s="1">
        <v>341</v>
      </c>
      <c r="K23" s="603">
        <f>39864.40105+13.208</f>
        <v>39877.609049999999</v>
      </c>
      <c r="L23" s="351">
        <v>8692.2019999999993</v>
      </c>
      <c r="M23" s="350">
        <v>65862.466</v>
      </c>
      <c r="N23" s="348" t="s">
        <v>3617</v>
      </c>
      <c r="O23" s="356">
        <v>1844442160</v>
      </c>
      <c r="P23" s="348" t="s">
        <v>3614</v>
      </c>
      <c r="Q23" s="1">
        <v>352682151</v>
      </c>
      <c r="R23" s="348" t="s">
        <v>3613</v>
      </c>
      <c r="S23" s="349">
        <f>Q23/O23</f>
        <v>0.19121345122581671</v>
      </c>
      <c r="T23" s="619">
        <f t="shared" si="4"/>
        <v>4.5877453204607992</v>
      </c>
      <c r="U23" s="624">
        <f t="shared" si="2"/>
        <v>116943.13504398827</v>
      </c>
      <c r="V23" s="353">
        <f t="shared" si="3"/>
        <v>390.95695147058825</v>
      </c>
      <c r="W23" s="363">
        <f t="shared" si="0"/>
        <v>85217.666666666657</v>
      </c>
    </row>
    <row r="24" spans="1:24" x14ac:dyDescent="0.25">
      <c r="A24" s="4">
        <v>2022</v>
      </c>
      <c r="B24" s="594" t="s">
        <v>3636</v>
      </c>
      <c r="C24" s="594" t="s">
        <v>47</v>
      </c>
      <c r="D24" s="594" t="s">
        <v>6536</v>
      </c>
      <c r="E24" s="594"/>
      <c r="F24" s="1">
        <v>156</v>
      </c>
      <c r="G24" s="1">
        <v>3</v>
      </c>
      <c r="J24" s="1">
        <v>118</v>
      </c>
      <c r="K24" s="603">
        <v>6068.451</v>
      </c>
      <c r="L24" s="351">
        <v>8086.1890000000003</v>
      </c>
      <c r="O24" s="356">
        <v>140241465.69999999</v>
      </c>
      <c r="P24" s="348" t="s">
        <v>3614</v>
      </c>
      <c r="T24" s="619">
        <f t="shared" si="4"/>
        <v>0.75047108099996174</v>
      </c>
      <c r="U24" s="624">
        <f t="shared" si="2"/>
        <v>51427.550847457627</v>
      </c>
      <c r="V24" s="353">
        <f t="shared" si="3"/>
        <v>38.900326923076925</v>
      </c>
      <c r="W24" s="363">
        <f t="shared" si="0"/>
        <v>51834.544871794875</v>
      </c>
    </row>
    <row r="25" spans="1:24" x14ac:dyDescent="0.25">
      <c r="A25" s="4">
        <v>2022</v>
      </c>
      <c r="B25" s="594" t="s">
        <v>4601</v>
      </c>
      <c r="C25" s="594" t="s">
        <v>6548</v>
      </c>
      <c r="D25" s="594" t="s">
        <v>6532</v>
      </c>
      <c r="E25" s="594"/>
      <c r="F25" s="1">
        <v>18</v>
      </c>
      <c r="J25" s="1">
        <v>170</v>
      </c>
      <c r="K25" s="603"/>
      <c r="T25" s="619"/>
      <c r="U25" s="624"/>
      <c r="V25" s="353"/>
    </row>
    <row r="26" spans="1:24" x14ac:dyDescent="0.25">
      <c r="A26" s="4">
        <v>2022</v>
      </c>
      <c r="B26" s="594" t="s">
        <v>3848</v>
      </c>
      <c r="C26" s="594" t="s">
        <v>6548</v>
      </c>
      <c r="D26" s="594" t="s">
        <v>6532</v>
      </c>
      <c r="E26" s="594"/>
      <c r="F26" s="1">
        <v>24</v>
      </c>
      <c r="J26" s="1">
        <v>131</v>
      </c>
      <c r="K26" s="603"/>
      <c r="T26" s="619"/>
      <c r="U26" s="624"/>
      <c r="V26" s="353"/>
    </row>
    <row r="27" spans="1:24" x14ac:dyDescent="0.25">
      <c r="A27" s="4">
        <v>2022</v>
      </c>
      <c r="B27" s="594" t="s">
        <v>4615</v>
      </c>
      <c r="C27" s="594" t="s">
        <v>47</v>
      </c>
      <c r="D27" s="594"/>
      <c r="E27" s="594"/>
      <c r="F27" s="1">
        <v>0</v>
      </c>
      <c r="G27" s="1">
        <v>7</v>
      </c>
      <c r="J27" s="1">
        <v>83</v>
      </c>
      <c r="K27" s="603"/>
      <c r="T27" s="620"/>
      <c r="U27" s="625"/>
    </row>
    <row r="28" spans="1:24" s="612" customFormat="1" x14ac:dyDescent="0.25">
      <c r="A28" s="612">
        <v>2023</v>
      </c>
      <c r="B28" s="613" t="s">
        <v>3124</v>
      </c>
      <c r="C28" s="613" t="s">
        <v>1927</v>
      </c>
      <c r="D28" s="613" t="s">
        <v>6555</v>
      </c>
      <c r="E28" s="613" t="s">
        <v>6516</v>
      </c>
      <c r="F28" s="612">
        <v>130</v>
      </c>
      <c r="G28" s="612">
        <f>+H28+I28</f>
        <v>13</v>
      </c>
      <c r="I28" s="612">
        <v>13</v>
      </c>
      <c r="J28" s="612">
        <v>159</v>
      </c>
      <c r="K28" s="615">
        <v>14340.007</v>
      </c>
      <c r="L28" s="616">
        <v>9520.68</v>
      </c>
      <c r="O28" s="627"/>
      <c r="Q28" s="627"/>
      <c r="T28" s="617">
        <f t="shared" ref="T28:T55" si="5">K28/L28</f>
        <v>1.5061956708974569</v>
      </c>
      <c r="U28" s="626">
        <f>K28/J28*1000</f>
        <v>90188.723270440256</v>
      </c>
      <c r="V28" s="629">
        <f t="shared" ref="V28:V55" si="6">K28/F28</f>
        <v>110.30774615384615</v>
      </c>
      <c r="W28" s="622">
        <f>L28/F28*1000</f>
        <v>73236</v>
      </c>
    </row>
    <row r="29" spans="1:24" x14ac:dyDescent="0.25">
      <c r="A29" s="1">
        <v>2023</v>
      </c>
      <c r="B29" s="594" t="s">
        <v>1916</v>
      </c>
      <c r="C29" s="594" t="s">
        <v>47</v>
      </c>
      <c r="D29" s="594" t="s">
        <v>6536</v>
      </c>
      <c r="E29" s="594"/>
      <c r="F29" s="1">
        <v>160</v>
      </c>
      <c r="J29" s="1">
        <v>241</v>
      </c>
      <c r="K29" s="603">
        <v>21454.956999999999</v>
      </c>
      <c r="L29" s="596">
        <v>14081.215</v>
      </c>
      <c r="M29" s="4">
        <v>1494471</v>
      </c>
      <c r="N29" s="348" t="s">
        <v>3617</v>
      </c>
      <c r="O29" s="356"/>
      <c r="Q29" s="356"/>
      <c r="T29" s="618">
        <f t="shared" si="5"/>
        <v>1.5236580792211467</v>
      </c>
      <c r="U29" s="625">
        <f>K29/J29*1000</f>
        <v>89024.717842323633</v>
      </c>
      <c r="V29" s="630">
        <f t="shared" si="6"/>
        <v>134.09348125</v>
      </c>
      <c r="W29" s="623">
        <f>L29/F29*1000</f>
        <v>88007.59375</v>
      </c>
      <c r="X29" s="1">
        <v>1494471</v>
      </c>
    </row>
    <row r="30" spans="1:24" x14ac:dyDescent="0.25">
      <c r="A30" s="1">
        <v>2023</v>
      </c>
      <c r="B30" s="594" t="s">
        <v>2943</v>
      </c>
      <c r="C30" s="594" t="s">
        <v>47</v>
      </c>
      <c r="D30" s="594" t="s">
        <v>6532</v>
      </c>
      <c r="E30" s="594"/>
      <c r="F30" s="1">
        <v>54</v>
      </c>
      <c r="J30" s="1">
        <v>53</v>
      </c>
      <c r="K30" s="603">
        <v>2544.5929999999998</v>
      </c>
      <c r="L30" s="596">
        <v>2176.7289999999998</v>
      </c>
      <c r="M30" s="1">
        <v>684813</v>
      </c>
      <c r="N30" s="348" t="s">
        <v>3617</v>
      </c>
      <c r="O30" s="356"/>
      <c r="Q30" s="356"/>
      <c r="T30" s="618">
        <f t="shared" si="5"/>
        <v>1.1689985294448688</v>
      </c>
      <c r="U30" s="625">
        <f t="shared" ref="U30:U55" si="7">K30/J30*1000</f>
        <v>48011.188679245279</v>
      </c>
      <c r="V30" s="630">
        <f t="shared" si="6"/>
        <v>47.122092592592587</v>
      </c>
      <c r="W30" s="623">
        <f t="shared" ref="W30:W55" si="8">L30/F30*1000</f>
        <v>40309.796296296292</v>
      </c>
      <c r="X30" s="1">
        <v>684813</v>
      </c>
    </row>
    <row r="31" spans="1:24" x14ac:dyDescent="0.25">
      <c r="A31" s="1">
        <v>2023</v>
      </c>
      <c r="B31" s="594" t="s">
        <v>2944</v>
      </c>
      <c r="C31" s="594" t="s">
        <v>47</v>
      </c>
      <c r="D31" s="594" t="s">
        <v>6532</v>
      </c>
      <c r="E31" s="594"/>
      <c r="F31" s="1">
        <v>42</v>
      </c>
      <c r="J31" s="1">
        <v>43</v>
      </c>
      <c r="K31" s="603">
        <v>470.101</v>
      </c>
      <c r="L31" s="596">
        <v>418.017</v>
      </c>
      <c r="M31" s="1">
        <v>103743</v>
      </c>
      <c r="N31" s="348" t="s">
        <v>3617</v>
      </c>
      <c r="O31" s="356"/>
      <c r="Q31" s="356"/>
      <c r="T31" s="618">
        <f t="shared" si="5"/>
        <v>1.1245978034386162</v>
      </c>
      <c r="U31" s="625">
        <f t="shared" si="7"/>
        <v>10932.581395348838</v>
      </c>
      <c r="V31" s="630">
        <f t="shared" si="6"/>
        <v>11.192880952380952</v>
      </c>
      <c r="W31" s="623">
        <f t="shared" si="8"/>
        <v>9952.7857142857138</v>
      </c>
      <c r="X31" s="1">
        <v>103743</v>
      </c>
    </row>
    <row r="32" spans="1:24" x14ac:dyDescent="0.25">
      <c r="A32" s="1">
        <v>2023</v>
      </c>
      <c r="B32" s="594" t="s">
        <v>2945</v>
      </c>
      <c r="C32" s="594" t="s">
        <v>47</v>
      </c>
      <c r="D32" s="594" t="s">
        <v>6532</v>
      </c>
      <c r="E32" s="594"/>
      <c r="F32" s="1">
        <v>59</v>
      </c>
      <c r="J32" s="1">
        <v>60</v>
      </c>
      <c r="K32" s="603">
        <v>925.1</v>
      </c>
      <c r="L32" s="596">
        <v>908.32</v>
      </c>
      <c r="M32" s="1">
        <v>260091</v>
      </c>
      <c r="N32" s="348" t="s">
        <v>3617</v>
      </c>
      <c r="O32" s="356"/>
      <c r="Q32" s="356"/>
      <c r="T32" s="618">
        <f t="shared" si="5"/>
        <v>1.0184736656684867</v>
      </c>
      <c r="U32" s="625">
        <f t="shared" si="7"/>
        <v>15418.333333333332</v>
      </c>
      <c r="V32" s="630">
        <f t="shared" si="6"/>
        <v>15.679661016949153</v>
      </c>
      <c r="W32" s="623">
        <f t="shared" si="8"/>
        <v>15395.254237288138</v>
      </c>
      <c r="X32" s="1">
        <v>260091</v>
      </c>
    </row>
    <row r="33" spans="1:24" x14ac:dyDescent="0.25">
      <c r="A33" s="1">
        <v>2023</v>
      </c>
      <c r="B33" s="594" t="s">
        <v>4661</v>
      </c>
      <c r="C33" s="594" t="s">
        <v>47</v>
      </c>
      <c r="D33" s="594" t="s">
        <v>6532</v>
      </c>
      <c r="E33" s="594"/>
      <c r="F33" s="1">
        <v>20</v>
      </c>
      <c r="J33" s="1">
        <v>33</v>
      </c>
      <c r="K33" s="603">
        <v>1017.57</v>
      </c>
      <c r="L33" s="596">
        <v>842.40499999999997</v>
      </c>
      <c r="M33" s="1">
        <v>602312</v>
      </c>
      <c r="N33" s="348" t="s">
        <v>3617</v>
      </c>
      <c r="O33" s="356"/>
      <c r="Q33" s="356"/>
      <c r="T33" s="618">
        <f t="shared" si="5"/>
        <v>1.2079344258403026</v>
      </c>
      <c r="U33" s="625">
        <f t="shared" si="7"/>
        <v>30835.454545454544</v>
      </c>
      <c r="V33" s="630">
        <f t="shared" si="6"/>
        <v>50.878500000000003</v>
      </c>
      <c r="W33" s="623">
        <f t="shared" si="8"/>
        <v>42120.25</v>
      </c>
      <c r="X33" s="1">
        <v>602312</v>
      </c>
    </row>
    <row r="34" spans="1:24" x14ac:dyDescent="0.25">
      <c r="A34" s="1">
        <v>2023</v>
      </c>
      <c r="B34" s="594" t="s">
        <v>4589</v>
      </c>
      <c r="C34" s="594" t="s">
        <v>6526</v>
      </c>
      <c r="D34" s="594" t="s">
        <v>5824</v>
      </c>
      <c r="E34" s="594"/>
      <c r="F34" s="1">
        <v>4</v>
      </c>
      <c r="G34" s="1">
        <f t="shared" ref="G34:G55" si="9">+H34+I34</f>
        <v>1</v>
      </c>
      <c r="I34" s="1">
        <v>1</v>
      </c>
      <c r="J34" s="1">
        <v>16</v>
      </c>
      <c r="K34" s="603">
        <v>1355.6536299999998</v>
      </c>
      <c r="L34" s="596">
        <v>0</v>
      </c>
      <c r="N34" s="348"/>
      <c r="O34" s="356"/>
      <c r="Q34" s="356"/>
      <c r="T34" s="618"/>
      <c r="U34" s="625">
        <f t="shared" si="7"/>
        <v>84728.351874999993</v>
      </c>
      <c r="V34" s="630">
        <f t="shared" si="6"/>
        <v>338.91340749999995</v>
      </c>
      <c r="W34" s="623"/>
    </row>
    <row r="35" spans="1:24" x14ac:dyDescent="0.25">
      <c r="A35" s="1">
        <v>2023</v>
      </c>
      <c r="B35" s="594" t="s">
        <v>1912</v>
      </c>
      <c r="C35" s="594" t="s">
        <v>47</v>
      </c>
      <c r="D35" s="594" t="s">
        <v>6536</v>
      </c>
      <c r="E35" s="594" t="s">
        <v>6527</v>
      </c>
      <c r="F35" s="1">
        <v>80</v>
      </c>
      <c r="G35" s="1">
        <f t="shared" si="9"/>
        <v>5</v>
      </c>
      <c r="H35" s="1">
        <v>2</v>
      </c>
      <c r="I35" s="1">
        <v>3</v>
      </c>
      <c r="J35" s="1">
        <v>75</v>
      </c>
      <c r="K35" s="603">
        <v>6596.1869999999999</v>
      </c>
      <c r="L35" s="596">
        <v>3892.18</v>
      </c>
      <c r="N35" s="348"/>
      <c r="O35" s="356"/>
      <c r="Q35" s="356"/>
      <c r="T35" s="618">
        <f t="shared" si="5"/>
        <v>1.6947281472079914</v>
      </c>
      <c r="U35" s="625">
        <f t="shared" si="7"/>
        <v>87949.159999999989</v>
      </c>
      <c r="V35" s="630">
        <f t="shared" si="6"/>
        <v>82.452337499999999</v>
      </c>
      <c r="W35" s="623">
        <f t="shared" si="8"/>
        <v>48652.249999999993</v>
      </c>
    </row>
    <row r="36" spans="1:24" x14ac:dyDescent="0.25">
      <c r="A36" s="1">
        <v>2023</v>
      </c>
      <c r="B36" s="594" t="s">
        <v>6565</v>
      </c>
      <c r="C36" s="594" t="s">
        <v>47</v>
      </c>
      <c r="D36" s="594" t="s">
        <v>6532</v>
      </c>
      <c r="E36" s="594"/>
      <c r="K36" s="603">
        <v>7616.3223699999999</v>
      </c>
      <c r="L36" s="596">
        <v>0</v>
      </c>
      <c r="N36" s="348"/>
      <c r="O36" s="356"/>
      <c r="Q36" s="356"/>
      <c r="T36" s="618"/>
      <c r="U36" s="625"/>
      <c r="V36" s="630"/>
      <c r="W36" s="623"/>
    </row>
    <row r="37" spans="1:24" x14ac:dyDescent="0.25">
      <c r="A37" s="1">
        <v>2023</v>
      </c>
      <c r="B37" s="594" t="s">
        <v>4599</v>
      </c>
      <c r="C37" s="594" t="s">
        <v>47</v>
      </c>
      <c r="D37" s="594" t="s">
        <v>6532</v>
      </c>
      <c r="E37" s="594" t="s">
        <v>6534</v>
      </c>
      <c r="F37" s="1">
        <v>25</v>
      </c>
      <c r="J37" s="1">
        <v>31</v>
      </c>
      <c r="K37" s="603">
        <v>999.49194999999997</v>
      </c>
      <c r="L37" s="596">
        <v>44.44144</v>
      </c>
      <c r="M37" s="1">
        <v>44481.351158881</v>
      </c>
      <c r="N37" s="348" t="s">
        <v>3617</v>
      </c>
      <c r="O37" s="356"/>
      <c r="Q37" s="356"/>
      <c r="T37" s="621">
        <f t="shared" si="5"/>
        <v>22.490089205030259</v>
      </c>
      <c r="U37" s="625">
        <f t="shared" si="7"/>
        <v>32241.675806451611</v>
      </c>
      <c r="V37" s="630">
        <f t="shared" si="6"/>
        <v>39.979678</v>
      </c>
      <c r="W37" s="623">
        <f t="shared" si="8"/>
        <v>1777.6576</v>
      </c>
    </row>
    <row r="38" spans="1:24" x14ac:dyDescent="0.25">
      <c r="A38" s="1">
        <v>2023</v>
      </c>
      <c r="B38" s="594" t="s">
        <v>4615</v>
      </c>
      <c r="C38" s="594" t="s">
        <v>47</v>
      </c>
      <c r="D38" s="594" t="s">
        <v>6537</v>
      </c>
      <c r="E38" s="594" t="s">
        <v>6538</v>
      </c>
      <c r="F38" s="1">
        <v>0</v>
      </c>
      <c r="G38" s="1">
        <f t="shared" si="9"/>
        <v>7</v>
      </c>
      <c r="H38" s="1">
        <v>7</v>
      </c>
      <c r="I38" s="1">
        <v>0</v>
      </c>
      <c r="J38" s="1">
        <v>91</v>
      </c>
      <c r="K38" s="603">
        <v>112918.481</v>
      </c>
      <c r="L38" s="596">
        <v>80758.895999999993</v>
      </c>
      <c r="M38" s="1">
        <v>10965239</v>
      </c>
      <c r="N38" s="348" t="s">
        <v>3617</v>
      </c>
      <c r="O38" s="356"/>
      <c r="Q38" s="356"/>
      <c r="T38" s="618">
        <f t="shared" si="5"/>
        <v>1.3982172440792158</v>
      </c>
      <c r="U38" s="625">
        <f t="shared" si="7"/>
        <v>1240862.4285714286</v>
      </c>
      <c r="V38" s="630"/>
      <c r="W38" s="623"/>
    </row>
    <row r="39" spans="1:24" x14ac:dyDescent="0.25">
      <c r="A39" s="1">
        <v>2023</v>
      </c>
      <c r="B39" s="594" t="s">
        <v>6564</v>
      </c>
      <c r="C39" s="594" t="s">
        <v>47</v>
      </c>
      <c r="D39" s="594" t="s">
        <v>6536</v>
      </c>
      <c r="E39" s="594"/>
      <c r="F39" s="1">
        <v>431</v>
      </c>
      <c r="G39" s="1">
        <f t="shared" si="9"/>
        <v>43</v>
      </c>
      <c r="H39" s="1">
        <v>25</v>
      </c>
      <c r="I39" s="1">
        <v>18</v>
      </c>
      <c r="J39" s="1">
        <v>621</v>
      </c>
      <c r="K39" s="603">
        <v>67109.938720000006</v>
      </c>
      <c r="L39" s="596">
        <v>29762.552</v>
      </c>
      <c r="M39" s="1">
        <v>3287804</v>
      </c>
      <c r="N39" s="348" t="s">
        <v>3617</v>
      </c>
      <c r="O39" s="356"/>
      <c r="Q39" s="356"/>
      <c r="T39" s="618">
        <f t="shared" si="5"/>
        <v>2.2548449044288947</v>
      </c>
      <c r="U39" s="625">
        <f t="shared" si="7"/>
        <v>108067.53417069244</v>
      </c>
      <c r="V39" s="630">
        <f t="shared" si="6"/>
        <v>155.70751443155453</v>
      </c>
      <c r="W39" s="623">
        <f t="shared" si="8"/>
        <v>69054.645011600922</v>
      </c>
    </row>
    <row r="40" spans="1:24" x14ac:dyDescent="0.25">
      <c r="A40" s="1">
        <v>2023</v>
      </c>
      <c r="B40" s="594" t="s">
        <v>4606</v>
      </c>
      <c r="C40" s="594" t="s">
        <v>1659</v>
      </c>
      <c r="D40" s="594" t="s">
        <v>5824</v>
      </c>
      <c r="E40" s="594"/>
      <c r="J40" s="1">
        <v>15</v>
      </c>
      <c r="K40" s="603">
        <v>786.01400000000001</v>
      </c>
      <c r="L40" s="596">
        <v>0</v>
      </c>
      <c r="N40" s="348"/>
      <c r="O40" s="356"/>
      <c r="Q40" s="356"/>
      <c r="T40" s="618"/>
      <c r="U40" s="625">
        <f t="shared" si="7"/>
        <v>52400.933333333334</v>
      </c>
      <c r="V40" s="630"/>
      <c r="W40" s="623"/>
    </row>
    <row r="41" spans="1:24" x14ac:dyDescent="0.25">
      <c r="A41" s="1">
        <v>2023</v>
      </c>
      <c r="B41" s="594" t="s">
        <v>2817</v>
      </c>
      <c r="C41" s="594" t="s">
        <v>47</v>
      </c>
      <c r="D41" s="594" t="s">
        <v>6536</v>
      </c>
      <c r="E41" s="594" t="s">
        <v>6542</v>
      </c>
      <c r="F41" s="1">
        <v>56</v>
      </c>
      <c r="G41" s="1">
        <f t="shared" si="9"/>
        <v>2</v>
      </c>
      <c r="H41" s="1">
        <v>2</v>
      </c>
      <c r="J41" s="1">
        <v>79</v>
      </c>
      <c r="K41" s="603">
        <v>6283</v>
      </c>
      <c r="L41" s="596">
        <v>3240</v>
      </c>
      <c r="N41" s="348"/>
      <c r="O41" s="356"/>
      <c r="Q41" s="356"/>
      <c r="T41" s="618">
        <f t="shared" si="5"/>
        <v>1.9391975308641975</v>
      </c>
      <c r="U41" s="625">
        <f t="shared" si="7"/>
        <v>79531.645569620247</v>
      </c>
      <c r="V41" s="630">
        <f t="shared" si="6"/>
        <v>112.19642857142857</v>
      </c>
      <c r="W41" s="623">
        <f t="shared" si="8"/>
        <v>57857.142857142855</v>
      </c>
    </row>
    <row r="42" spans="1:24" x14ac:dyDescent="0.25">
      <c r="A42" s="1">
        <v>2023</v>
      </c>
      <c r="B42" s="594" t="s">
        <v>3626</v>
      </c>
      <c r="C42" s="594" t="s">
        <v>47</v>
      </c>
      <c r="D42" s="594" t="s">
        <v>6536</v>
      </c>
      <c r="E42" s="594"/>
      <c r="F42" s="1">
        <v>712</v>
      </c>
      <c r="G42" s="1">
        <f t="shared" si="9"/>
        <v>31</v>
      </c>
      <c r="I42" s="1">
        <v>31</v>
      </c>
      <c r="J42" s="1">
        <v>643</v>
      </c>
      <c r="K42" s="603">
        <v>45573.818030000002</v>
      </c>
      <c r="L42" s="596">
        <v>30803.041000000001</v>
      </c>
      <c r="M42" s="1">
        <v>13810843</v>
      </c>
      <c r="N42" s="348" t="s">
        <v>3617</v>
      </c>
      <c r="O42" s="356"/>
      <c r="Q42" s="356">
        <v>144047092.49000001</v>
      </c>
      <c r="R42" s="348" t="s">
        <v>3613</v>
      </c>
      <c r="T42" s="618">
        <f t="shared" si="5"/>
        <v>1.4795233376470849</v>
      </c>
      <c r="U42" s="625">
        <f t="shared" si="7"/>
        <v>70876.855412130637</v>
      </c>
      <c r="V42" s="630">
        <f t="shared" si="6"/>
        <v>64.008171390449448</v>
      </c>
      <c r="W42" s="623">
        <f t="shared" si="8"/>
        <v>43262.698033707864</v>
      </c>
    </row>
    <row r="43" spans="1:24" x14ac:dyDescent="0.25">
      <c r="A43" s="1">
        <v>2023</v>
      </c>
      <c r="B43" s="594" t="s">
        <v>1910</v>
      </c>
      <c r="C43" s="594" t="s">
        <v>47</v>
      </c>
      <c r="D43" s="594" t="s">
        <v>6532</v>
      </c>
      <c r="E43" s="594" t="s">
        <v>6543</v>
      </c>
      <c r="F43" s="1">
        <v>424</v>
      </c>
      <c r="G43" s="1">
        <f t="shared" si="9"/>
        <v>20</v>
      </c>
      <c r="H43" s="1">
        <v>3</v>
      </c>
      <c r="I43" s="1">
        <v>17</v>
      </c>
      <c r="J43" s="1">
        <v>940</v>
      </c>
      <c r="K43" s="603">
        <v>53225.864979999998</v>
      </c>
      <c r="L43" s="596">
        <v>21759.95</v>
      </c>
      <c r="M43" s="1">
        <v>42879749</v>
      </c>
      <c r="N43" s="348" t="s">
        <v>3617</v>
      </c>
      <c r="O43" s="356">
        <v>1908026343</v>
      </c>
      <c r="P43" s="348" t="s">
        <v>3614</v>
      </c>
      <c r="Q43" s="356">
        <v>248702554</v>
      </c>
      <c r="R43" s="348" t="s">
        <v>3613</v>
      </c>
      <c r="T43" s="618">
        <f t="shared" si="5"/>
        <v>2.4460472096673014</v>
      </c>
      <c r="U43" s="625">
        <f t="shared" si="7"/>
        <v>56623.260617021275</v>
      </c>
      <c r="V43" s="630">
        <f t="shared" si="6"/>
        <v>125.5327004245283</v>
      </c>
      <c r="W43" s="623">
        <f t="shared" si="8"/>
        <v>51320.636792452831</v>
      </c>
      <c r="X43" s="1">
        <v>0.1303454508961148</v>
      </c>
    </row>
    <row r="44" spans="1:24" x14ac:dyDescent="0.25">
      <c r="A44" s="1">
        <v>2023</v>
      </c>
      <c r="B44" s="594" t="s">
        <v>6563</v>
      </c>
      <c r="C44" s="594" t="s">
        <v>47</v>
      </c>
      <c r="D44" s="594" t="s">
        <v>6536</v>
      </c>
      <c r="E44" s="594" t="s">
        <v>6545</v>
      </c>
      <c r="F44" s="1">
        <v>162</v>
      </c>
      <c r="G44" s="1">
        <f t="shared" si="9"/>
        <v>5</v>
      </c>
      <c r="H44" s="1">
        <v>2</v>
      </c>
      <c r="I44" s="1">
        <v>3</v>
      </c>
      <c r="J44" s="1">
        <v>191</v>
      </c>
      <c r="K44" s="603">
        <v>19335.485000000001</v>
      </c>
      <c r="L44" s="596">
        <v>10220.642</v>
      </c>
      <c r="N44" s="348"/>
      <c r="O44" s="356"/>
      <c r="Q44" s="356"/>
      <c r="T44" s="618">
        <f t="shared" si="5"/>
        <v>1.891807285687142</v>
      </c>
      <c r="U44" s="625">
        <f t="shared" si="7"/>
        <v>101232.90575916231</v>
      </c>
      <c r="V44" s="630">
        <f t="shared" si="6"/>
        <v>119.35484567901234</v>
      </c>
      <c r="W44" s="623">
        <f t="shared" si="8"/>
        <v>63090.382716049382</v>
      </c>
      <c r="X44" s="1" t="s">
        <v>6562</v>
      </c>
    </row>
    <row r="45" spans="1:24" x14ac:dyDescent="0.25">
      <c r="A45" s="1">
        <v>2023</v>
      </c>
      <c r="B45" s="594" t="s">
        <v>4668</v>
      </c>
      <c r="C45" s="594" t="s">
        <v>47</v>
      </c>
      <c r="D45" s="594" t="s">
        <v>6532</v>
      </c>
      <c r="E45" s="594" t="s">
        <v>6546</v>
      </c>
      <c r="F45" s="1">
        <v>485</v>
      </c>
      <c r="G45" s="1">
        <f t="shared" si="9"/>
        <v>27</v>
      </c>
      <c r="H45" s="1">
        <v>3</v>
      </c>
      <c r="I45" s="1">
        <v>24</v>
      </c>
      <c r="J45" s="1">
        <v>839</v>
      </c>
      <c r="K45" s="603">
        <v>64117.671849999999</v>
      </c>
      <c r="L45" s="596">
        <v>10534.245000000001</v>
      </c>
      <c r="M45" s="1">
        <v>46015939</v>
      </c>
      <c r="N45" s="348" t="s">
        <v>3617</v>
      </c>
      <c r="O45" s="356"/>
      <c r="Q45" s="356"/>
      <c r="T45" s="621">
        <f t="shared" si="5"/>
        <v>6.0865939466948031</v>
      </c>
      <c r="U45" s="625">
        <f t="shared" si="7"/>
        <v>76421.539749702017</v>
      </c>
      <c r="V45" s="630">
        <f t="shared" si="6"/>
        <v>132.20138525773194</v>
      </c>
      <c r="W45" s="623">
        <f t="shared" si="8"/>
        <v>21720.092783505155</v>
      </c>
      <c r="X45" s="1" t="s">
        <v>6561</v>
      </c>
    </row>
    <row r="46" spans="1:24" x14ac:dyDescent="0.25">
      <c r="A46" s="1">
        <v>2023</v>
      </c>
      <c r="B46" s="594" t="s">
        <v>4602</v>
      </c>
      <c r="C46" s="594" t="s">
        <v>6548</v>
      </c>
      <c r="D46" s="594" t="s">
        <v>6532</v>
      </c>
      <c r="E46" s="594" t="s">
        <v>6534</v>
      </c>
      <c r="F46" s="1">
        <v>102</v>
      </c>
      <c r="G46" s="1">
        <f t="shared" si="9"/>
        <v>19</v>
      </c>
      <c r="H46" s="1">
        <v>6</v>
      </c>
      <c r="I46" s="1">
        <v>13</v>
      </c>
      <c r="J46" s="1">
        <v>339</v>
      </c>
      <c r="K46" s="603">
        <v>45586.866190000001</v>
      </c>
      <c r="L46" s="596">
        <v>8955.0010000000002</v>
      </c>
      <c r="M46" s="1">
        <v>80012529</v>
      </c>
      <c r="N46" s="348" t="s">
        <v>3617</v>
      </c>
      <c r="O46" s="356">
        <v>1903638246</v>
      </c>
      <c r="P46" s="348" t="s">
        <v>3614</v>
      </c>
      <c r="Q46" s="356">
        <v>425144301</v>
      </c>
      <c r="R46" s="348" t="s">
        <v>3613</v>
      </c>
      <c r="T46" s="618">
        <f t="shared" si="5"/>
        <v>5.0906600892618545</v>
      </c>
      <c r="U46" s="625">
        <f t="shared" si="7"/>
        <v>134474.53153392332</v>
      </c>
      <c r="V46" s="630">
        <f t="shared" si="6"/>
        <v>446.93006068627454</v>
      </c>
      <c r="W46" s="623">
        <f t="shared" si="8"/>
        <v>87794.127450980392</v>
      </c>
      <c r="X46" s="1">
        <v>0.22333250652708309</v>
      </c>
    </row>
    <row r="47" spans="1:24" x14ac:dyDescent="0.25">
      <c r="A47" s="1">
        <v>2023</v>
      </c>
      <c r="B47" s="594" t="s">
        <v>4669</v>
      </c>
      <c r="C47" s="594" t="s">
        <v>47</v>
      </c>
      <c r="D47" s="594" t="s">
        <v>6532</v>
      </c>
      <c r="E47" s="594"/>
      <c r="F47" s="1">
        <v>203</v>
      </c>
      <c r="K47" s="603">
        <v>0</v>
      </c>
      <c r="L47" s="596">
        <v>12864.661</v>
      </c>
      <c r="M47" s="1">
        <v>22183655.84</v>
      </c>
      <c r="N47" s="348" t="s">
        <v>3617</v>
      </c>
      <c r="O47" s="356"/>
      <c r="Q47" s="356">
        <v>155784100</v>
      </c>
      <c r="R47" s="348" t="s">
        <v>3613</v>
      </c>
      <c r="T47" s="618"/>
      <c r="U47" s="625"/>
      <c r="V47" s="630"/>
      <c r="W47" s="623">
        <f t="shared" si="8"/>
        <v>63372.71428571429</v>
      </c>
    </row>
    <row r="48" spans="1:24" x14ac:dyDescent="0.25">
      <c r="A48" s="1">
        <v>2023</v>
      </c>
      <c r="B48" s="594" t="s">
        <v>4581</v>
      </c>
      <c r="C48" s="594" t="s">
        <v>47</v>
      </c>
      <c r="D48" s="594" t="s">
        <v>5824</v>
      </c>
      <c r="E48" s="594"/>
      <c r="F48" s="1">
        <v>56</v>
      </c>
      <c r="G48" s="1">
        <f t="shared" si="9"/>
        <v>9</v>
      </c>
      <c r="H48" s="1">
        <v>6</v>
      </c>
      <c r="I48" s="1">
        <v>3</v>
      </c>
      <c r="J48" s="1">
        <v>114</v>
      </c>
      <c r="K48" s="603">
        <v>0</v>
      </c>
      <c r="L48" s="596">
        <v>0</v>
      </c>
      <c r="N48" s="348"/>
      <c r="O48" s="356"/>
      <c r="Q48" s="356"/>
      <c r="T48" s="618"/>
      <c r="U48" s="625"/>
      <c r="V48" s="630"/>
      <c r="W48" s="623"/>
    </row>
    <row r="49" spans="1:23" x14ac:dyDescent="0.25">
      <c r="A49" s="1">
        <v>2023</v>
      </c>
      <c r="B49" s="594" t="s">
        <v>4672</v>
      </c>
      <c r="C49" s="594" t="s">
        <v>47</v>
      </c>
      <c r="D49" s="594" t="s">
        <v>6532</v>
      </c>
      <c r="E49" s="594"/>
      <c r="F49" s="1">
        <v>202</v>
      </c>
      <c r="K49" s="603">
        <v>0</v>
      </c>
      <c r="L49" s="596">
        <v>13461.796099999998</v>
      </c>
      <c r="M49" s="1">
        <v>17866449</v>
      </c>
      <c r="N49" s="348" t="s">
        <v>3617</v>
      </c>
      <c r="O49" s="356"/>
      <c r="Q49" s="356"/>
      <c r="T49" s="618"/>
      <c r="U49" s="625"/>
      <c r="V49" s="630"/>
      <c r="W49" s="623">
        <f t="shared" si="8"/>
        <v>66642.554950495047</v>
      </c>
    </row>
    <row r="50" spans="1:23" x14ac:dyDescent="0.25">
      <c r="A50" s="1">
        <v>2023</v>
      </c>
      <c r="B50" s="594" t="s">
        <v>4673</v>
      </c>
      <c r="C50" s="594" t="s">
        <v>47</v>
      </c>
      <c r="D50" s="594" t="s">
        <v>5824</v>
      </c>
      <c r="E50" s="594"/>
      <c r="F50" s="1">
        <v>13</v>
      </c>
      <c r="G50" s="1">
        <f t="shared" si="9"/>
        <v>4</v>
      </c>
      <c r="I50" s="1">
        <v>4</v>
      </c>
      <c r="K50" s="603">
        <v>0</v>
      </c>
      <c r="L50" s="596">
        <v>0</v>
      </c>
      <c r="N50" s="348"/>
      <c r="O50" s="356"/>
      <c r="T50" s="618"/>
      <c r="U50" s="625"/>
      <c r="V50" s="630"/>
      <c r="W50" s="623"/>
    </row>
    <row r="51" spans="1:23" x14ac:dyDescent="0.25">
      <c r="A51" s="1">
        <v>2023</v>
      </c>
      <c r="B51" s="594" t="s">
        <v>3804</v>
      </c>
      <c r="C51" s="594" t="s">
        <v>6548</v>
      </c>
      <c r="D51" s="594" t="s">
        <v>6532</v>
      </c>
      <c r="E51" s="594" t="s">
        <v>6554</v>
      </c>
      <c r="F51" s="1">
        <v>18</v>
      </c>
      <c r="J51" s="1">
        <v>174</v>
      </c>
      <c r="K51" s="603">
        <v>0</v>
      </c>
      <c r="L51" s="596">
        <v>0</v>
      </c>
      <c r="N51" s="348"/>
      <c r="O51" s="356"/>
      <c r="T51" s="618"/>
      <c r="U51" s="625"/>
      <c r="V51" s="630"/>
      <c r="W51" s="623"/>
    </row>
    <row r="52" spans="1:23" x14ac:dyDescent="0.25">
      <c r="A52" s="1">
        <v>2023</v>
      </c>
      <c r="B52" s="594" t="s">
        <v>4600</v>
      </c>
      <c r="C52" s="594" t="s">
        <v>6548</v>
      </c>
      <c r="D52" s="594" t="s">
        <v>6532</v>
      </c>
      <c r="E52" s="594" t="s">
        <v>6554</v>
      </c>
      <c r="F52" s="1">
        <v>24</v>
      </c>
      <c r="J52" s="1">
        <v>139</v>
      </c>
      <c r="K52" s="603">
        <v>0</v>
      </c>
      <c r="L52" s="596">
        <v>0</v>
      </c>
      <c r="N52" s="348"/>
      <c r="O52" s="356"/>
      <c r="T52" s="618"/>
      <c r="U52" s="625"/>
      <c r="V52" s="630"/>
      <c r="W52" s="623"/>
    </row>
    <row r="53" spans="1:23" x14ac:dyDescent="0.25">
      <c r="A53" s="1">
        <v>2023</v>
      </c>
      <c r="B53" s="594" t="s">
        <v>1915</v>
      </c>
      <c r="C53" s="594" t="s">
        <v>1927</v>
      </c>
      <c r="D53" s="594" t="s">
        <v>6556</v>
      </c>
      <c r="E53" s="594" t="s">
        <v>6557</v>
      </c>
      <c r="F53" s="1">
        <v>215</v>
      </c>
      <c r="G53" s="1">
        <f t="shared" si="9"/>
        <v>20</v>
      </c>
      <c r="H53" s="1">
        <v>20</v>
      </c>
      <c r="J53" s="1">
        <v>273</v>
      </c>
      <c r="K53" s="603">
        <v>40729.370000000003</v>
      </c>
      <c r="L53" s="596">
        <v>18120.388999999999</v>
      </c>
      <c r="N53" s="348"/>
      <c r="O53" s="356"/>
      <c r="T53" s="618">
        <f t="shared" si="5"/>
        <v>2.2477094724622084</v>
      </c>
      <c r="U53" s="625">
        <f t="shared" si="7"/>
        <v>149191.8315018315</v>
      </c>
      <c r="V53" s="630">
        <f t="shared" si="6"/>
        <v>189.43893023255816</v>
      </c>
      <c r="W53" s="623">
        <f t="shared" si="8"/>
        <v>84280.879069767441</v>
      </c>
    </row>
    <row r="54" spans="1:23" x14ac:dyDescent="0.25">
      <c r="A54" s="1">
        <v>2023</v>
      </c>
      <c r="B54" s="594" t="s">
        <v>45</v>
      </c>
      <c r="C54" s="594" t="s">
        <v>47</v>
      </c>
      <c r="D54" s="594" t="s">
        <v>6536</v>
      </c>
      <c r="E54" s="594" t="s">
        <v>6559</v>
      </c>
      <c r="F54" s="1">
        <v>693</v>
      </c>
      <c r="G54" s="1">
        <f t="shared" si="9"/>
        <v>23</v>
      </c>
      <c r="H54" s="1">
        <v>18</v>
      </c>
      <c r="I54" s="1">
        <v>5</v>
      </c>
      <c r="J54" s="1">
        <v>997</v>
      </c>
      <c r="K54" s="603">
        <v>98150.502890000003</v>
      </c>
      <c r="L54" s="596">
        <v>44476.966</v>
      </c>
      <c r="M54" s="1" t="s">
        <v>6558</v>
      </c>
      <c r="N54" s="348" t="s">
        <v>3617</v>
      </c>
      <c r="O54" s="356"/>
      <c r="T54" s="618">
        <f t="shared" si="5"/>
        <v>2.2067715430499466</v>
      </c>
      <c r="U54" s="483">
        <f t="shared" si="7"/>
        <v>98445.840411233701</v>
      </c>
      <c r="V54" s="630">
        <f t="shared" si="6"/>
        <v>141.6313173015873</v>
      </c>
      <c r="W54" s="623">
        <f t="shared" si="8"/>
        <v>64180.32611832612</v>
      </c>
    </row>
    <row r="55" spans="1:23" x14ac:dyDescent="0.25">
      <c r="A55" s="1">
        <v>2023</v>
      </c>
      <c r="B55" s="594" t="s">
        <v>4580</v>
      </c>
      <c r="C55" s="594" t="s">
        <v>47</v>
      </c>
      <c r="D55" s="594" t="s">
        <v>6560</v>
      </c>
      <c r="E55" s="594" t="s">
        <v>6559</v>
      </c>
      <c r="F55" s="1">
        <v>69</v>
      </c>
      <c r="G55" s="1">
        <f t="shared" si="9"/>
        <v>1</v>
      </c>
      <c r="I55" s="1">
        <v>1</v>
      </c>
      <c r="J55" s="1">
        <v>69</v>
      </c>
      <c r="K55" s="603">
        <v>4006.6197200000001</v>
      </c>
      <c r="L55" s="596">
        <v>2226.7159999999999</v>
      </c>
      <c r="T55" s="618">
        <f t="shared" si="5"/>
        <v>1.7993402481501908</v>
      </c>
      <c r="U55" s="483">
        <f t="shared" si="7"/>
        <v>58066.952463768117</v>
      </c>
      <c r="V55" s="630">
        <f t="shared" si="6"/>
        <v>58.066952463768118</v>
      </c>
      <c r="W55" s="623">
        <f t="shared" si="8"/>
        <v>32271.246376811589</v>
      </c>
    </row>
    <row r="56" spans="1:23" x14ac:dyDescent="0.25">
      <c r="A56" s="1">
        <v>2023</v>
      </c>
      <c r="B56" s="594" t="s">
        <v>6578</v>
      </c>
      <c r="C56" s="594" t="s">
        <v>47</v>
      </c>
      <c r="D56" s="594" t="s">
        <v>6560</v>
      </c>
      <c r="E56" s="594" t="s">
        <v>6579</v>
      </c>
      <c r="F56" s="312">
        <v>58</v>
      </c>
      <c r="G56" s="4">
        <v>2</v>
      </c>
      <c r="H56" s="93"/>
      <c r="I56" s="1">
        <v>2</v>
      </c>
      <c r="J56" s="683">
        <v>97</v>
      </c>
      <c r="K56" s="679">
        <v>7329.08</v>
      </c>
      <c r="L56" s="596">
        <v>3468.7269029589802</v>
      </c>
      <c r="T56" s="618">
        <f t="shared" ref="T56:T57" si="10">K56/L56</f>
        <v>2.1129019969107294</v>
      </c>
      <c r="U56" s="625">
        <f t="shared" ref="U56:U57" si="11">K56/J56*1000</f>
        <v>75557.52577319587</v>
      </c>
      <c r="V56" s="630">
        <f t="shared" ref="V56:V57" si="12">K56/F56</f>
        <v>126.36344827586207</v>
      </c>
      <c r="W56" s="623">
        <f t="shared" ref="W56:W57" si="13">L56/F56*1000</f>
        <v>59805.636257913451</v>
      </c>
    </row>
    <row r="57" spans="1:23" x14ac:dyDescent="0.25">
      <c r="A57" s="1">
        <v>2023</v>
      </c>
      <c r="B57" s="594" t="s">
        <v>4619</v>
      </c>
      <c r="C57" s="594" t="s">
        <v>47</v>
      </c>
      <c r="D57" s="594" t="s">
        <v>5824</v>
      </c>
      <c r="E57" s="594" t="s">
        <v>6579</v>
      </c>
      <c r="F57" s="312">
        <v>20</v>
      </c>
      <c r="G57" s="93"/>
      <c r="H57" s="93"/>
      <c r="J57" s="683">
        <v>37</v>
      </c>
      <c r="K57" s="679">
        <v>7354.05</v>
      </c>
      <c r="L57" s="596">
        <v>973.42981999999995</v>
      </c>
      <c r="T57" s="618">
        <f t="shared" si="10"/>
        <v>7.5547819153516382</v>
      </c>
      <c r="U57" s="625">
        <f t="shared" si="11"/>
        <v>198758.10810810811</v>
      </c>
      <c r="V57" s="630">
        <f t="shared" si="12"/>
        <v>367.70249999999999</v>
      </c>
      <c r="W57" s="623">
        <f t="shared" si="13"/>
        <v>48671.490999999995</v>
      </c>
    </row>
    <row r="58" spans="1:23" x14ac:dyDescent="0.25">
      <c r="K58" s="631"/>
    </row>
    <row r="59" spans="1:23" x14ac:dyDescent="0.25">
      <c r="K59" s="631"/>
    </row>
    <row r="60" spans="1:23" x14ac:dyDescent="0.25">
      <c r="K60" s="631"/>
    </row>
    <row r="61" spans="1:23" x14ac:dyDescent="0.25">
      <c r="K61" s="631"/>
    </row>
    <row r="62" spans="1:23" x14ac:dyDescent="0.25">
      <c r="K62" s="631"/>
    </row>
    <row r="63" spans="1:23" x14ac:dyDescent="0.25">
      <c r="K63" s="631"/>
    </row>
    <row r="64" spans="1:23" x14ac:dyDescent="0.25">
      <c r="K64" s="631"/>
    </row>
    <row r="65" spans="11:11" x14ac:dyDescent="0.25">
      <c r="K65" s="631"/>
    </row>
    <row r="66" spans="11:11" x14ac:dyDescent="0.25">
      <c r="K66" s="631"/>
    </row>
    <row r="67" spans="11:11" x14ac:dyDescent="0.25">
      <c r="K67" s="631"/>
    </row>
    <row r="68" spans="11:11" x14ac:dyDescent="0.25">
      <c r="K68" s="631"/>
    </row>
    <row r="69" spans="11:11" x14ac:dyDescent="0.25">
      <c r="K69" s="631"/>
    </row>
    <row r="70" spans="11:11" x14ac:dyDescent="0.25">
      <c r="K70" s="631"/>
    </row>
    <row r="71" spans="11:11" x14ac:dyDescent="0.25">
      <c r="K71" s="631"/>
    </row>
    <row r="72" spans="11:11" x14ac:dyDescent="0.25">
      <c r="K72" s="631"/>
    </row>
    <row r="73" spans="11:11" x14ac:dyDescent="0.25">
      <c r="K73" s="631"/>
    </row>
    <row r="74" spans="11:11" x14ac:dyDescent="0.25">
      <c r="K74" s="631"/>
    </row>
    <row r="75" spans="11:11" x14ac:dyDescent="0.25">
      <c r="K75" s="631"/>
    </row>
    <row r="76" spans="11:11" x14ac:dyDescent="0.25">
      <c r="K76" s="631"/>
    </row>
    <row r="77" spans="11:11" x14ac:dyDescent="0.25">
      <c r="K77" s="631"/>
    </row>
    <row r="78" spans="11:11" x14ac:dyDescent="0.25">
      <c r="K78" s="631"/>
    </row>
    <row r="79" spans="11:11" x14ac:dyDescent="0.25">
      <c r="K79" s="631"/>
    </row>
    <row r="80" spans="11:11" x14ac:dyDescent="0.25">
      <c r="K80" s="631"/>
    </row>
    <row r="81" spans="11:11" x14ac:dyDescent="0.25">
      <c r="K81" s="631"/>
    </row>
    <row r="82" spans="11:11" x14ac:dyDescent="0.25">
      <c r="K82" s="631"/>
    </row>
    <row r="83" spans="11:11" x14ac:dyDescent="0.25">
      <c r="K83" s="631"/>
    </row>
    <row r="84" spans="11:11" x14ac:dyDescent="0.25">
      <c r="K84" s="631"/>
    </row>
    <row r="85" spans="11:11" x14ac:dyDescent="0.25">
      <c r="K85" s="631"/>
    </row>
    <row r="86" spans="11:11" x14ac:dyDescent="0.25">
      <c r="K86" s="631"/>
    </row>
    <row r="87" spans="11:11" x14ac:dyDescent="0.25">
      <c r="K87" s="631"/>
    </row>
    <row r="88" spans="11:11" x14ac:dyDescent="0.25">
      <c r="K88" s="631"/>
    </row>
    <row r="89" spans="11:11" x14ac:dyDescent="0.25">
      <c r="K89" s="631"/>
    </row>
    <row r="90" spans="11:11" x14ac:dyDescent="0.25">
      <c r="K90" s="631"/>
    </row>
    <row r="91" spans="11:11" x14ac:dyDescent="0.25">
      <c r="K91" s="631"/>
    </row>
    <row r="92" spans="11:11" x14ac:dyDescent="0.25">
      <c r="K92" s="631"/>
    </row>
    <row r="93" spans="11:11" x14ac:dyDescent="0.25">
      <c r="K93" s="631"/>
    </row>
    <row r="94" spans="11:11" x14ac:dyDescent="0.25">
      <c r="K94" s="631"/>
    </row>
    <row r="95" spans="11:11" x14ac:dyDescent="0.25">
      <c r="K95" s="631"/>
    </row>
    <row r="96" spans="11:11" x14ac:dyDescent="0.25">
      <c r="K96" s="631"/>
    </row>
    <row r="97" spans="11:11" x14ac:dyDescent="0.25">
      <c r="K97" s="631"/>
    </row>
    <row r="98" spans="11:11" x14ac:dyDescent="0.25">
      <c r="K98" s="631"/>
    </row>
    <row r="99" spans="11:11" x14ac:dyDescent="0.25">
      <c r="K99" s="631"/>
    </row>
    <row r="100" spans="11:11" x14ac:dyDescent="0.25">
      <c r="K100" s="631"/>
    </row>
    <row r="101" spans="11:11" x14ac:dyDescent="0.25">
      <c r="K101" s="631"/>
    </row>
    <row r="102" spans="11:11" x14ac:dyDescent="0.25">
      <c r="K102" s="631"/>
    </row>
    <row r="103" spans="11:11" x14ac:dyDescent="0.25">
      <c r="K103" s="631"/>
    </row>
    <row r="104" spans="11:11" x14ac:dyDescent="0.25">
      <c r="K104" s="631"/>
    </row>
    <row r="105" spans="11:11" x14ac:dyDescent="0.25">
      <c r="K105" s="631"/>
    </row>
    <row r="106" spans="11:11" x14ac:dyDescent="0.25">
      <c r="K106" s="631"/>
    </row>
    <row r="107" spans="11:11" x14ac:dyDescent="0.25">
      <c r="K107" s="631"/>
    </row>
    <row r="108" spans="11:11" x14ac:dyDescent="0.25">
      <c r="K108" s="631"/>
    </row>
    <row r="109" spans="11:11" x14ac:dyDescent="0.25">
      <c r="K109" s="631"/>
    </row>
    <row r="110" spans="11:11" x14ac:dyDescent="0.25">
      <c r="K110" s="631"/>
    </row>
    <row r="111" spans="11:11" x14ac:dyDescent="0.25">
      <c r="K111" s="631"/>
    </row>
    <row r="112" spans="11:11" x14ac:dyDescent="0.25">
      <c r="K112" s="631"/>
    </row>
    <row r="113" spans="11:11" x14ac:dyDescent="0.25">
      <c r="K113" s="631"/>
    </row>
    <row r="114" spans="11:11" x14ac:dyDescent="0.25">
      <c r="K114" s="631"/>
    </row>
    <row r="115" spans="11:11" x14ac:dyDescent="0.25">
      <c r="K115" s="631"/>
    </row>
    <row r="116" spans="11:11" x14ac:dyDescent="0.25">
      <c r="K116" s="631"/>
    </row>
    <row r="117" spans="11:11" x14ac:dyDescent="0.25">
      <c r="K117" s="631"/>
    </row>
    <row r="118" spans="11:11" x14ac:dyDescent="0.25">
      <c r="K118" s="631"/>
    </row>
    <row r="119" spans="11:11" x14ac:dyDescent="0.25">
      <c r="K119" s="631"/>
    </row>
    <row r="120" spans="11:11" x14ac:dyDescent="0.25">
      <c r="K120" s="631"/>
    </row>
    <row r="121" spans="11:11" x14ac:dyDescent="0.25">
      <c r="K121" s="631"/>
    </row>
    <row r="122" spans="11:11" x14ac:dyDescent="0.25">
      <c r="K122" s="631"/>
    </row>
    <row r="123" spans="11:11" x14ac:dyDescent="0.25">
      <c r="K123" s="631"/>
    </row>
    <row r="124" spans="11:11" x14ac:dyDescent="0.25">
      <c r="K124" s="631"/>
    </row>
    <row r="125" spans="11:11" x14ac:dyDescent="0.25">
      <c r="K125" s="631"/>
    </row>
    <row r="126" spans="11:11" x14ac:dyDescent="0.25">
      <c r="K126" s="631"/>
    </row>
    <row r="127" spans="11:11" x14ac:dyDescent="0.25">
      <c r="K127" s="631"/>
    </row>
    <row r="128" spans="11:11" x14ac:dyDescent="0.25">
      <c r="K128" s="631"/>
    </row>
    <row r="129" spans="11:11" x14ac:dyDescent="0.25">
      <c r="K129" s="631"/>
    </row>
    <row r="130" spans="11:11" x14ac:dyDescent="0.25">
      <c r="K130" s="631"/>
    </row>
    <row r="131" spans="11:11" x14ac:dyDescent="0.25">
      <c r="K131" s="631"/>
    </row>
    <row r="132" spans="11:11" x14ac:dyDescent="0.25">
      <c r="K132" s="631"/>
    </row>
    <row r="133" spans="11:11" x14ac:dyDescent="0.25">
      <c r="K133" s="631"/>
    </row>
    <row r="134" spans="11:11" x14ac:dyDescent="0.25">
      <c r="K134" s="631"/>
    </row>
    <row r="135" spans="11:11" x14ac:dyDescent="0.25">
      <c r="K135" s="631"/>
    </row>
    <row r="136" spans="11:11" x14ac:dyDescent="0.25">
      <c r="K136" s="631"/>
    </row>
    <row r="137" spans="11:11" x14ac:dyDescent="0.25">
      <c r="K137" s="631"/>
    </row>
    <row r="138" spans="11:11" x14ac:dyDescent="0.25">
      <c r="K138" s="631"/>
    </row>
    <row r="139" spans="11:11" x14ac:dyDescent="0.25">
      <c r="K139" s="631"/>
    </row>
    <row r="140" spans="11:11" x14ac:dyDescent="0.25">
      <c r="K140" s="631"/>
    </row>
  </sheetData>
  <pageMargins left="0.7" right="0.7" top="0.75" bottom="0.75" header="0.3" footer="0.3"/>
  <pageSetup paperSize="9" orientation="portrait" r:id="rId1"/>
  <customProperties>
    <customPr name="GUID" r:id="rId2"/>
  </customPropertie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dimension ref="A1:G22"/>
  <sheetViews>
    <sheetView zoomScale="40" zoomScaleNormal="40" workbookViewId="0"/>
  </sheetViews>
  <sheetFormatPr defaultRowHeight="15" x14ac:dyDescent="0.25"/>
  <cols>
    <col min="1" max="1" width="7.5703125" style="1" customWidth="1"/>
    <col min="2" max="2" width="8.85546875" style="1" customWidth="1"/>
    <col min="3" max="3" width="12.7109375" style="1" customWidth="1"/>
    <col min="4" max="4" width="139.140625" style="2" customWidth="1"/>
    <col min="5" max="5" width="169.5703125" style="2" customWidth="1"/>
    <col min="6" max="6" width="162" style="2" bestFit="1" customWidth="1"/>
    <col min="7" max="7" width="144.28515625" style="2" customWidth="1"/>
    <col min="8" max="16384" width="9.140625" style="2"/>
  </cols>
  <sheetData>
    <row r="1" spans="1:7" ht="42" customHeight="1" x14ac:dyDescent="0.25">
      <c r="A1" s="319" t="s">
        <v>2812</v>
      </c>
      <c r="B1" s="319" t="s">
        <v>3580</v>
      </c>
      <c r="C1" s="331" t="s">
        <v>3581</v>
      </c>
      <c r="D1" s="320" t="s">
        <v>3282</v>
      </c>
      <c r="E1" s="320" t="s">
        <v>3279</v>
      </c>
      <c r="F1" s="320" t="s">
        <v>3280</v>
      </c>
      <c r="G1" s="320" t="s">
        <v>3281</v>
      </c>
    </row>
    <row r="2" spans="1:7" ht="45" customHeight="1" x14ac:dyDescent="0.25">
      <c r="A2" s="326" t="s">
        <v>1953</v>
      </c>
      <c r="B2" s="322" t="s">
        <v>2813</v>
      </c>
      <c r="C2" s="322" t="s">
        <v>2813</v>
      </c>
      <c r="D2" s="2" t="s">
        <v>3287</v>
      </c>
      <c r="E2" s="303" t="s">
        <v>3283</v>
      </c>
      <c r="G2" s="2" t="s">
        <v>3289</v>
      </c>
    </row>
    <row r="3" spans="1:7" ht="38.25" customHeight="1" x14ac:dyDescent="0.25">
      <c r="A3" s="326" t="s">
        <v>1953</v>
      </c>
      <c r="B3" s="322" t="s">
        <v>3285</v>
      </c>
      <c r="C3" s="322" t="s">
        <v>3285</v>
      </c>
      <c r="D3" s="2" t="s">
        <v>3286</v>
      </c>
      <c r="E3" s="303" t="s">
        <v>3284</v>
      </c>
      <c r="G3" s="303" t="s">
        <v>3462</v>
      </c>
    </row>
    <row r="4" spans="1:7" ht="27" customHeight="1" x14ac:dyDescent="0.25">
      <c r="A4" s="326" t="s">
        <v>1953</v>
      </c>
      <c r="B4" s="325" t="s">
        <v>2814</v>
      </c>
      <c r="C4" s="325" t="s">
        <v>2814</v>
      </c>
      <c r="D4" s="303" t="s">
        <v>3464</v>
      </c>
      <c r="F4" s="2" t="s">
        <v>3288</v>
      </c>
      <c r="G4" s="2" t="s">
        <v>3289</v>
      </c>
    </row>
    <row r="5" spans="1:7" ht="93" customHeight="1" x14ac:dyDescent="0.25">
      <c r="A5" s="326" t="s">
        <v>1953</v>
      </c>
      <c r="B5" s="323" t="s">
        <v>2815</v>
      </c>
      <c r="C5" s="323" t="s">
        <v>2815</v>
      </c>
      <c r="D5" s="303" t="s">
        <v>3463</v>
      </c>
      <c r="E5" s="303" t="s">
        <v>3520</v>
      </c>
      <c r="F5" s="303" t="s">
        <v>3521</v>
      </c>
      <c r="G5" s="303" t="s">
        <v>3461</v>
      </c>
    </row>
    <row r="6" spans="1:7" ht="118.5" customHeight="1" x14ac:dyDescent="0.25">
      <c r="A6" s="326" t="s">
        <v>1953</v>
      </c>
      <c r="B6" s="324" t="s">
        <v>2816</v>
      </c>
      <c r="C6" s="324" t="s">
        <v>2816</v>
      </c>
      <c r="D6" s="2" t="s">
        <v>3468</v>
      </c>
      <c r="E6" s="303" t="s">
        <v>3518</v>
      </c>
      <c r="F6" s="2" t="s">
        <v>3519</v>
      </c>
      <c r="G6" s="303" t="s">
        <v>3469</v>
      </c>
    </row>
    <row r="7" spans="1:7" ht="94.5" customHeight="1" x14ac:dyDescent="0.25">
      <c r="A7" s="327" t="s">
        <v>3489</v>
      </c>
      <c r="B7" s="329" t="s">
        <v>3489</v>
      </c>
      <c r="C7" s="329" t="s">
        <v>3489</v>
      </c>
      <c r="D7" s="2" t="s">
        <v>3497</v>
      </c>
      <c r="E7" s="303" t="s">
        <v>3516</v>
      </c>
      <c r="F7" s="303" t="s">
        <v>3517</v>
      </c>
      <c r="G7" s="303" t="s">
        <v>3498</v>
      </c>
    </row>
    <row r="8" spans="1:7" ht="71.25" customHeight="1" x14ac:dyDescent="0.25">
      <c r="A8" s="328" t="s">
        <v>3499</v>
      </c>
      <c r="B8" s="321" t="s">
        <v>3500</v>
      </c>
      <c r="C8" s="321"/>
      <c r="D8" s="303" t="s">
        <v>3514</v>
      </c>
      <c r="E8" s="2" t="s">
        <v>3513</v>
      </c>
      <c r="F8" s="2" t="s">
        <v>3513</v>
      </c>
      <c r="G8" s="2" t="s">
        <v>3513</v>
      </c>
    </row>
    <row r="9" spans="1:7" ht="69" customHeight="1" x14ac:dyDescent="0.25">
      <c r="A9" s="328" t="s">
        <v>3499</v>
      </c>
      <c r="B9" s="321" t="s">
        <v>3501</v>
      </c>
      <c r="C9" s="321"/>
      <c r="D9" s="303" t="s">
        <v>3564</v>
      </c>
      <c r="E9" s="303" t="s">
        <v>3523</v>
      </c>
      <c r="F9" s="2" t="s">
        <v>3515</v>
      </c>
    </row>
    <row r="10" spans="1:7" ht="45" x14ac:dyDescent="0.25">
      <c r="A10" s="328" t="s">
        <v>3499</v>
      </c>
      <c r="B10" s="321" t="s">
        <v>3502</v>
      </c>
      <c r="C10" s="321"/>
      <c r="D10" s="303" t="s">
        <v>3818</v>
      </c>
      <c r="F10" s="2" t="s">
        <v>3574</v>
      </c>
      <c r="G10" s="303" t="s">
        <v>3522</v>
      </c>
    </row>
    <row r="11" spans="1:7" ht="47.25" customHeight="1" x14ac:dyDescent="0.25">
      <c r="A11" s="328" t="s">
        <v>3499</v>
      </c>
      <c r="B11" s="321" t="s">
        <v>3503</v>
      </c>
      <c r="C11" s="321"/>
      <c r="D11" s="303" t="s">
        <v>3561</v>
      </c>
      <c r="G11" s="303" t="s">
        <v>3557</v>
      </c>
    </row>
    <row r="12" spans="1:7" ht="84.75" customHeight="1" x14ac:dyDescent="0.25">
      <c r="A12" s="328" t="s">
        <v>3499</v>
      </c>
      <c r="B12" s="321" t="s">
        <v>3504</v>
      </c>
      <c r="C12" s="321"/>
      <c r="D12" s="2" t="s">
        <v>3562</v>
      </c>
      <c r="G12" s="303" t="s">
        <v>3575</v>
      </c>
    </row>
    <row r="13" spans="1:7" ht="84.75" customHeight="1" x14ac:dyDescent="0.25">
      <c r="A13" s="328" t="s">
        <v>3499</v>
      </c>
      <c r="B13" s="321" t="s">
        <v>3505</v>
      </c>
      <c r="C13" s="321"/>
      <c r="D13" s="2" t="s">
        <v>3558</v>
      </c>
    </row>
    <row r="14" spans="1:7" ht="60" customHeight="1" x14ac:dyDescent="0.25">
      <c r="A14" s="328" t="s">
        <v>3499</v>
      </c>
      <c r="B14" s="321" t="s">
        <v>3506</v>
      </c>
      <c r="C14" s="321"/>
      <c r="D14" s="303" t="s">
        <v>3563</v>
      </c>
      <c r="E14" s="303" t="s">
        <v>3583</v>
      </c>
      <c r="G14" s="2" t="s">
        <v>3559</v>
      </c>
    </row>
    <row r="15" spans="1:7" ht="53.25" customHeight="1" x14ac:dyDescent="0.25">
      <c r="A15" s="328" t="s">
        <v>3499</v>
      </c>
      <c r="B15" s="321" t="s">
        <v>3507</v>
      </c>
      <c r="C15" s="321"/>
      <c r="D15" s="2" t="s">
        <v>3560</v>
      </c>
      <c r="F15" s="2" t="s">
        <v>3585</v>
      </c>
      <c r="G15" s="303" t="s">
        <v>3584</v>
      </c>
    </row>
    <row r="16" spans="1:7" ht="41.25" customHeight="1" x14ac:dyDescent="0.25">
      <c r="A16" s="328" t="s">
        <v>3499</v>
      </c>
      <c r="B16" s="321" t="s">
        <v>3508</v>
      </c>
      <c r="C16" s="321"/>
      <c r="D16" s="2" t="s">
        <v>3565</v>
      </c>
      <c r="E16" s="2" t="s">
        <v>3586</v>
      </c>
      <c r="F16" s="2" t="s">
        <v>3586</v>
      </c>
      <c r="G16" s="2" t="s">
        <v>3586</v>
      </c>
    </row>
    <row r="17" spans="1:7" ht="89.25" customHeight="1" x14ac:dyDescent="0.25">
      <c r="A17" s="328" t="s">
        <v>3499</v>
      </c>
      <c r="B17" s="321" t="s">
        <v>3566</v>
      </c>
      <c r="C17" s="321"/>
      <c r="D17" s="2" t="s">
        <v>3568</v>
      </c>
      <c r="E17" s="303"/>
      <c r="F17" s="303" t="s">
        <v>3576</v>
      </c>
      <c r="G17" s="303" t="s">
        <v>3587</v>
      </c>
    </row>
    <row r="18" spans="1:7" ht="72" customHeight="1" x14ac:dyDescent="0.25">
      <c r="A18" s="328" t="s">
        <v>3499</v>
      </c>
      <c r="B18" s="321" t="s">
        <v>3567</v>
      </c>
      <c r="C18" s="321"/>
      <c r="D18" s="2" t="s">
        <v>3569</v>
      </c>
      <c r="E18" s="2" t="s">
        <v>3577</v>
      </c>
      <c r="F18" s="303" t="s">
        <v>3578</v>
      </c>
      <c r="G18" s="303" t="s">
        <v>3607</v>
      </c>
    </row>
    <row r="19" spans="1:7" ht="41.25" customHeight="1" x14ac:dyDescent="0.25">
      <c r="A19" s="328" t="s">
        <v>3499</v>
      </c>
      <c r="B19" s="321" t="s">
        <v>3509</v>
      </c>
      <c r="C19" s="321"/>
      <c r="D19" s="2" t="s">
        <v>3570</v>
      </c>
      <c r="F19" s="2" t="s">
        <v>3579</v>
      </c>
    </row>
    <row r="20" spans="1:7" ht="41.25" customHeight="1" x14ac:dyDescent="0.25">
      <c r="A20" s="328" t="s">
        <v>3499</v>
      </c>
      <c r="B20" s="321" t="s">
        <v>3510</v>
      </c>
      <c r="C20" s="321"/>
      <c r="D20" s="2" t="s">
        <v>3571</v>
      </c>
    </row>
    <row r="21" spans="1:7" ht="41.25" customHeight="1" x14ac:dyDescent="0.25">
      <c r="A21" s="328" t="s">
        <v>3499</v>
      </c>
      <c r="B21" s="321" t="s">
        <v>3511</v>
      </c>
      <c r="C21" s="321"/>
      <c r="D21" s="2" t="s">
        <v>3572</v>
      </c>
    </row>
    <row r="22" spans="1:7" ht="41.25" customHeight="1" x14ac:dyDescent="0.25">
      <c r="A22" s="328" t="s">
        <v>3499</v>
      </c>
      <c r="B22" s="321" t="s">
        <v>3512</v>
      </c>
      <c r="C22" s="321"/>
      <c r="D22" s="2" t="s">
        <v>3573</v>
      </c>
    </row>
  </sheetData>
  <pageMargins left="0.7" right="0.7" top="0.75" bottom="0.75" header="0.3" footer="0.3"/>
  <customProperties>
    <customPr name="GU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filterMode="1"/>
  <dimension ref="A1:V221"/>
  <sheetViews>
    <sheetView zoomScale="70" zoomScaleNormal="70" workbookViewId="0">
      <pane ySplit="2" topLeftCell="A187" activePane="bottomLeft" state="frozen"/>
      <selection pane="bottomLeft" activeCell="O218" sqref="O218:O220"/>
    </sheetView>
  </sheetViews>
  <sheetFormatPr defaultRowHeight="15" x14ac:dyDescent="0.25"/>
  <cols>
    <col min="1" max="1" width="90.42578125" customWidth="1"/>
    <col min="2" max="2" width="57.140625" customWidth="1"/>
    <col min="3" max="4" width="50.5703125" customWidth="1"/>
    <col min="5" max="5" width="62.5703125" customWidth="1"/>
    <col min="6" max="6" width="15.28515625" customWidth="1"/>
    <col min="7" max="7" width="21" customWidth="1"/>
    <col min="8" max="10" width="18.140625" customWidth="1"/>
    <col min="11" max="11" width="37.140625" customWidth="1"/>
    <col min="12" max="12" width="21.5703125" style="89" customWidth="1"/>
    <col min="13" max="13" width="21.5703125" customWidth="1"/>
    <col min="14" max="14" width="27.140625" bestFit="1" customWidth="1"/>
    <col min="15" max="15" width="28.28515625" customWidth="1"/>
    <col min="16" max="16" width="28.28515625" style="247" customWidth="1"/>
    <col min="17" max="17" width="28.28515625" customWidth="1"/>
    <col min="18" max="18" width="40" customWidth="1"/>
    <col min="19" max="19" width="40" style="422" customWidth="1"/>
    <col min="20" max="20" width="37.85546875" bestFit="1" customWidth="1"/>
    <col min="22" max="22" width="11" customWidth="1"/>
  </cols>
  <sheetData>
    <row r="1" spans="1:22" ht="15.75" thickBot="1" x14ac:dyDescent="0.3">
      <c r="A1" s="757" t="s">
        <v>1851</v>
      </c>
      <c r="B1" s="757" t="s">
        <v>131</v>
      </c>
      <c r="C1" s="757" t="s">
        <v>1852</v>
      </c>
      <c r="D1" s="219" t="s">
        <v>1856</v>
      </c>
      <c r="E1" s="221" t="s">
        <v>119</v>
      </c>
      <c r="F1" s="221" t="s">
        <v>1946</v>
      </c>
      <c r="G1" s="777" t="s">
        <v>1868</v>
      </c>
      <c r="H1" s="777" t="s">
        <v>1870</v>
      </c>
      <c r="I1" s="778" t="s">
        <v>1952</v>
      </c>
      <c r="J1" s="777" t="s">
        <v>3588</v>
      </c>
      <c r="K1" s="759" t="s">
        <v>1854</v>
      </c>
      <c r="L1" s="778" t="s">
        <v>139</v>
      </c>
      <c r="M1" s="759" t="s">
        <v>140</v>
      </c>
      <c r="N1" s="757" t="s">
        <v>141</v>
      </c>
      <c r="O1" s="757" t="s">
        <v>146</v>
      </c>
      <c r="P1" s="775" t="s">
        <v>144</v>
      </c>
      <c r="Q1" s="757" t="s">
        <v>1493</v>
      </c>
      <c r="R1" s="759" t="s">
        <v>134</v>
      </c>
      <c r="S1" s="442" t="s">
        <v>4697</v>
      </c>
      <c r="T1" s="780" t="s">
        <v>142</v>
      </c>
      <c r="U1" s="777" t="s">
        <v>2812</v>
      </c>
      <c r="V1" s="777" t="s">
        <v>3588</v>
      </c>
    </row>
    <row r="2" spans="1:22" ht="15.75" hidden="1" thickBot="1" x14ac:dyDescent="0.3">
      <c r="A2" s="758"/>
      <c r="B2" s="758"/>
      <c r="C2" s="758"/>
      <c r="D2" s="220"/>
      <c r="E2" s="222"/>
      <c r="F2" s="222"/>
      <c r="G2" s="777"/>
      <c r="H2" s="777"/>
      <c r="I2" s="779"/>
      <c r="J2" s="777"/>
      <c r="K2" s="759"/>
      <c r="L2" s="779"/>
      <c r="M2" s="759"/>
      <c r="N2" s="758"/>
      <c r="O2" s="758"/>
      <c r="P2" s="776"/>
      <c r="Q2" s="758"/>
      <c r="R2" s="759"/>
      <c r="S2" s="442"/>
      <c r="T2" s="780"/>
      <c r="U2" s="777"/>
      <c r="V2" s="777"/>
    </row>
    <row r="3" spans="1:22" ht="15.75" thickBot="1" x14ac:dyDescent="0.3">
      <c r="A3" s="330" t="s">
        <v>2943</v>
      </c>
      <c r="B3" s="330" t="s">
        <v>2943</v>
      </c>
      <c r="C3" s="137" t="str">
        <f>IF(A3=B3,"X",RIGHT(A3,LEN(A3)-LEN(B3)-3))</f>
        <v>X</v>
      </c>
      <c r="D3" s="137">
        <v>2022</v>
      </c>
      <c r="E3" s="228" t="str">
        <f t="shared" ref="E3:E34" si="0">K3&amp;": "&amp;"Geral : "&amp;L3&amp;" : Geral"</f>
        <v>Pesado de Passageiros M3: Geral : Gasóleo : Geral</v>
      </c>
      <c r="F3" s="244">
        <v>1</v>
      </c>
      <c r="G3" s="239" t="s">
        <v>1869</v>
      </c>
      <c r="H3" s="239" t="s">
        <v>1861</v>
      </c>
      <c r="I3" s="214" t="s">
        <v>1953</v>
      </c>
      <c r="J3" s="227" t="s">
        <v>2813</v>
      </c>
      <c r="K3" s="83" t="s">
        <v>629</v>
      </c>
      <c r="L3" s="426" t="s">
        <v>620</v>
      </c>
      <c r="M3" s="127">
        <v>683924</v>
      </c>
      <c r="N3" s="85" t="s">
        <v>630</v>
      </c>
      <c r="O3" s="128">
        <v>2176729</v>
      </c>
      <c r="P3" s="133">
        <v>63.371980676328505</v>
      </c>
      <c r="Q3" s="434"/>
      <c r="R3" s="91" t="s">
        <v>1930</v>
      </c>
      <c r="S3" s="429"/>
      <c r="T3" s="85" t="s">
        <v>47</v>
      </c>
      <c r="U3" t="s">
        <v>1953</v>
      </c>
      <c r="V3" t="s">
        <v>2813</v>
      </c>
    </row>
    <row r="4" spans="1:22" ht="15.75" thickBot="1" x14ac:dyDescent="0.3">
      <c r="A4" s="137" t="s">
        <v>4591</v>
      </c>
      <c r="B4" s="137" t="s">
        <v>4591</v>
      </c>
      <c r="C4" s="137" t="s">
        <v>1950</v>
      </c>
      <c r="D4" s="137">
        <v>2022</v>
      </c>
      <c r="E4" s="228" t="str">
        <f t="shared" si="0"/>
        <v>Pesado de Mercadorias N3: Geral : Gasóleo : Geral</v>
      </c>
      <c r="F4" s="244">
        <v>1</v>
      </c>
      <c r="G4" s="239" t="s">
        <v>1869</v>
      </c>
      <c r="H4" s="239" t="s">
        <v>1861</v>
      </c>
      <c r="I4" s="214" t="s">
        <v>1953</v>
      </c>
      <c r="J4" s="227" t="s">
        <v>2813</v>
      </c>
      <c r="K4" s="83" t="s">
        <v>1920</v>
      </c>
      <c r="L4" s="426" t="s">
        <v>620</v>
      </c>
      <c r="M4" s="434">
        <v>3299337.7099999995</v>
      </c>
      <c r="N4" s="85" t="s">
        <v>630</v>
      </c>
      <c r="O4" s="128">
        <v>9092438</v>
      </c>
      <c r="P4" s="133"/>
      <c r="Q4" s="85" t="s">
        <v>1934</v>
      </c>
      <c r="R4" s="85" t="s">
        <v>1935</v>
      </c>
      <c r="S4" s="427"/>
      <c r="T4" s="85" t="s">
        <v>1927</v>
      </c>
      <c r="U4" t="s">
        <v>1953</v>
      </c>
      <c r="V4" t="s">
        <v>2813</v>
      </c>
    </row>
    <row r="5" spans="1:22" ht="15.75" thickBot="1" x14ac:dyDescent="0.3">
      <c r="A5" s="527" t="s">
        <v>4591</v>
      </c>
      <c r="B5" s="527" t="s">
        <v>4591</v>
      </c>
      <c r="C5" s="527" t="s">
        <v>1950</v>
      </c>
      <c r="D5" s="365">
        <v>2023</v>
      </c>
      <c r="E5" s="365" t="str">
        <f t="shared" si="0"/>
        <v>Pesado de Mercadorias N3: Geral : Gasóleo : Geral</v>
      </c>
      <c r="F5" s="366">
        <v>1</v>
      </c>
      <c r="G5" s="367" t="s">
        <v>1869</v>
      </c>
      <c r="H5" s="367" t="s">
        <v>1861</v>
      </c>
      <c r="I5" s="367" t="s">
        <v>1953</v>
      </c>
      <c r="J5" s="367" t="s">
        <v>2813</v>
      </c>
      <c r="K5" s="527" t="s">
        <v>1920</v>
      </c>
      <c r="L5" s="534" t="s">
        <v>620</v>
      </c>
      <c r="M5" s="540">
        <v>3434187.9299999983</v>
      </c>
      <c r="N5" s="540" t="s">
        <v>630</v>
      </c>
      <c r="O5" s="540">
        <v>9520680</v>
      </c>
      <c r="P5" s="645"/>
      <c r="Q5" s="540"/>
      <c r="R5" s="540" t="s">
        <v>5907</v>
      </c>
      <c r="S5" s="540" t="s">
        <v>1927</v>
      </c>
      <c r="T5" s="85" t="s">
        <v>1927</v>
      </c>
      <c r="U5" t="s">
        <v>1953</v>
      </c>
      <c r="V5" t="s">
        <v>2813</v>
      </c>
    </row>
    <row r="6" spans="1:22" ht="15.75" thickBot="1" x14ac:dyDescent="0.3">
      <c r="A6" s="527" t="s">
        <v>4669</v>
      </c>
      <c r="B6" s="527" t="s">
        <v>4669</v>
      </c>
      <c r="C6" s="527" t="str">
        <f t="shared" ref="C6:C37" si="1">IF(A6=B6,"X",RIGHT(A6,LEN(A6)-LEN(B6)-3))</f>
        <v>X</v>
      </c>
      <c r="D6" s="365">
        <v>2023</v>
      </c>
      <c r="E6" s="365" t="str">
        <f t="shared" si="0"/>
        <v>Pesado de Passageiros M3: Geral : Gasóleo : Geral</v>
      </c>
      <c r="F6" s="366">
        <v>1</v>
      </c>
      <c r="G6" s="367" t="s">
        <v>1869</v>
      </c>
      <c r="H6" s="367" t="s">
        <v>1861</v>
      </c>
      <c r="I6" s="367" t="s">
        <v>1953</v>
      </c>
      <c r="J6" s="367" t="s">
        <v>2813</v>
      </c>
      <c r="K6" s="527" t="s">
        <v>629</v>
      </c>
      <c r="L6" s="534" t="s">
        <v>620</v>
      </c>
      <c r="M6" s="540">
        <v>4400925</v>
      </c>
      <c r="N6" s="540" t="s">
        <v>630</v>
      </c>
      <c r="O6" s="540">
        <v>12864661</v>
      </c>
      <c r="P6" s="645" t="s">
        <v>4707</v>
      </c>
      <c r="Q6" s="540" t="s">
        <v>4707</v>
      </c>
      <c r="R6" s="429" t="s">
        <v>5920</v>
      </c>
      <c r="S6" s="427" t="s">
        <v>4823</v>
      </c>
      <c r="T6" s="85" t="s">
        <v>47</v>
      </c>
      <c r="U6" t="s">
        <v>1953</v>
      </c>
      <c r="V6" t="s">
        <v>2813</v>
      </c>
    </row>
    <row r="7" spans="1:22" ht="15.75" hidden="1" thickBot="1" x14ac:dyDescent="0.3">
      <c r="A7" s="228" t="s">
        <v>45</v>
      </c>
      <c r="B7" s="228" t="s">
        <v>45</v>
      </c>
      <c r="C7" s="228" t="str">
        <f t="shared" si="1"/>
        <v>X</v>
      </c>
      <c r="D7" s="228">
        <v>2022</v>
      </c>
      <c r="E7" s="228" t="str">
        <f t="shared" si="0"/>
        <v>: Geral : Gasóleo : Geral</v>
      </c>
      <c r="F7" s="244">
        <v>2</v>
      </c>
      <c r="G7" s="214" t="s">
        <v>1872</v>
      </c>
      <c r="H7" s="214" t="s">
        <v>1871</v>
      </c>
      <c r="I7" s="214" t="s">
        <v>1953</v>
      </c>
      <c r="J7" s="227" t="s">
        <v>2813</v>
      </c>
      <c r="K7" s="83"/>
      <c r="L7" s="124" t="s">
        <v>620</v>
      </c>
      <c r="M7" s="127">
        <v>17997458.539999999</v>
      </c>
      <c r="N7" s="85" t="s">
        <v>621</v>
      </c>
      <c r="O7" s="128">
        <v>37006000</v>
      </c>
      <c r="P7" s="133"/>
      <c r="Q7" s="427" t="s">
        <v>616</v>
      </c>
      <c r="R7" s="429" t="s">
        <v>627</v>
      </c>
      <c r="S7" s="429"/>
      <c r="T7" s="85" t="s">
        <v>47</v>
      </c>
      <c r="U7" t="s">
        <v>1953</v>
      </c>
      <c r="V7" t="s">
        <v>2813</v>
      </c>
    </row>
    <row r="8" spans="1:22" ht="15.75" hidden="1" thickBot="1" x14ac:dyDescent="0.3">
      <c r="A8" s="228" t="s">
        <v>45</v>
      </c>
      <c r="B8" s="228" t="s">
        <v>45</v>
      </c>
      <c r="C8" s="228" t="str">
        <f t="shared" si="1"/>
        <v>X</v>
      </c>
      <c r="D8" s="228">
        <v>2022</v>
      </c>
      <c r="E8" s="228" t="str">
        <f t="shared" si="0"/>
        <v>Pesado de Passageiros M3: Geral : Gasóleo : Geral</v>
      </c>
      <c r="F8" s="244">
        <v>2</v>
      </c>
      <c r="G8" s="214" t="s">
        <v>1872</v>
      </c>
      <c r="H8" s="214" t="s">
        <v>1871</v>
      </c>
      <c r="I8" s="214" t="s">
        <v>1953</v>
      </c>
      <c r="J8" s="227" t="s">
        <v>2813</v>
      </c>
      <c r="K8" s="83" t="s">
        <v>629</v>
      </c>
      <c r="L8" s="124" t="s">
        <v>620</v>
      </c>
      <c r="M8" s="127">
        <f>SUM(M12:M17)</f>
        <v>14963794.181</v>
      </c>
      <c r="N8" s="85" t="s">
        <v>630</v>
      </c>
      <c r="O8" s="128">
        <f>SUM(O12:O17)</f>
        <v>47441715</v>
      </c>
      <c r="P8" s="133">
        <f t="shared" ref="P8:P14" si="2">IFERROR(Q8/O8,0)</f>
        <v>0</v>
      </c>
      <c r="Q8" s="128">
        <f>SUM(Q12:Q17)</f>
        <v>0</v>
      </c>
      <c r="R8" s="85" t="s">
        <v>1491</v>
      </c>
      <c r="S8" s="427"/>
      <c r="T8" s="85" t="s">
        <v>47</v>
      </c>
      <c r="U8" t="s">
        <v>1953</v>
      </c>
      <c r="V8" t="s">
        <v>2813</v>
      </c>
    </row>
    <row r="9" spans="1:22" s="283" customFormat="1" ht="15.75" thickBot="1" x14ac:dyDescent="0.3">
      <c r="A9" s="228" t="s">
        <v>3470</v>
      </c>
      <c r="B9" s="228" t="str">
        <f t="shared" ref="B9:B14" si="3">LEFT(A9,IFERROR(FIND(" - ",A9)-1,LEN(A9)))</f>
        <v>Barraqueiro Transportes, S.A.</v>
      </c>
      <c r="C9" s="228" t="str">
        <f t="shared" si="1"/>
        <v>Mafrense</v>
      </c>
      <c r="D9" s="228">
        <v>2022</v>
      </c>
      <c r="E9" s="228" t="str">
        <f t="shared" si="0"/>
        <v>Pesado de Passageiros M3: Geral : Gasóleo : Geral</v>
      </c>
      <c r="F9" s="244">
        <v>1</v>
      </c>
      <c r="G9" s="214" t="s">
        <v>1869</v>
      </c>
      <c r="H9" s="214" t="s">
        <v>1861</v>
      </c>
      <c r="I9" s="214" t="s">
        <v>1953</v>
      </c>
      <c r="J9" s="227" t="s">
        <v>2813</v>
      </c>
      <c r="K9" s="425" t="s">
        <v>629</v>
      </c>
      <c r="L9" s="432" t="s">
        <v>620</v>
      </c>
      <c r="M9" s="127">
        <f t="array" ref="M9">SUMPRODUCT(IF('A1.1.1'!C$30:C$916='A1.1 copy'!K12,1,0),IF('A1.1.1'!D$30:D$916='A1.1 copy'!L12,1,0),IF('A1.1.1'!B$30:B$916='A1.1 copy'!B12,1,0),'A1.1.1'!H$30:H$916)</f>
        <v>0</v>
      </c>
      <c r="N9" s="427" t="s">
        <v>630</v>
      </c>
      <c r="O9" s="434">
        <f t="array" ref="O9">SUMPRODUCT(IF('A1.1.1'!C$30:C$916='A1.1 copy'!K12,1,0),IF('A1.1.1'!D$30:D$916='A1.1 copy'!L12,1,0),IF('A1.1.1'!B$30:B$916='A1.1 copy'!B12,1,0),'A1.1.1'!J$30:J$916)</f>
        <v>0</v>
      </c>
      <c r="P9" s="437">
        <f t="shared" si="2"/>
        <v>0</v>
      </c>
      <c r="Q9" s="434">
        <f t="array" ref="Q9">SUMPRODUCT(IF('A1.1.1'!C$30:C$916='A1.1 copy'!K12,1,0),IF('A1.1.1'!D$30:D$916='A1.1 copy'!L12,1,0),IF('A1.1.1'!B$30:B$916='A1.1 copy'!B12,1,0),'A1.1.1'!K$30:K$916)</f>
        <v>0</v>
      </c>
      <c r="R9" s="427" t="s">
        <v>1491</v>
      </c>
      <c r="S9" s="427"/>
      <c r="T9" s="427" t="s">
        <v>47</v>
      </c>
      <c r="U9" s="422" t="s">
        <v>1953</v>
      </c>
      <c r="V9" s="422" t="s">
        <v>2813</v>
      </c>
    </row>
    <row r="10" spans="1:22" s="283" customFormat="1" ht="15.75" thickBot="1" x14ac:dyDescent="0.3">
      <c r="A10" s="228" t="s">
        <v>3278</v>
      </c>
      <c r="B10" s="228" t="str">
        <f t="shared" si="3"/>
        <v>Barraqueiro Transportes, S.A.</v>
      </c>
      <c r="C10" s="228" t="str">
        <f t="shared" si="1"/>
        <v>Barraqueiro Alugueres</v>
      </c>
      <c r="D10" s="228">
        <v>2022</v>
      </c>
      <c r="E10" s="228" t="str">
        <f t="shared" si="0"/>
        <v>Pesado de Passageiros M3: Geral : Gasóleo : Geral</v>
      </c>
      <c r="F10" s="244">
        <v>1</v>
      </c>
      <c r="G10" s="214" t="s">
        <v>1869</v>
      </c>
      <c r="H10" s="214" t="s">
        <v>1861</v>
      </c>
      <c r="I10" s="214" t="s">
        <v>1953</v>
      </c>
      <c r="J10" s="227" t="s">
        <v>2813</v>
      </c>
      <c r="K10" s="425" t="s">
        <v>629</v>
      </c>
      <c r="L10" s="432" t="s">
        <v>620</v>
      </c>
      <c r="M10" s="127">
        <f t="array" ref="M10">SUMPRODUCT(IF('A1.1.1'!C$30:C$916='A1.1 copy'!K13,1,0),IF('A1.1.1'!D$30:D$916='A1.1 copy'!L13,1,0),IF('A1.1.1'!B$30:B$916='A1.1 copy'!B13,1,0),'A1.1.1'!H$30:H$916)</f>
        <v>0</v>
      </c>
      <c r="N10" s="427" t="s">
        <v>630</v>
      </c>
      <c r="O10" s="434">
        <f t="array" ref="O10">SUMPRODUCT(IF('A1.1.1'!C$30:C$916='A1.1 copy'!K13,1,0),IF('A1.1.1'!D$30:D$916='A1.1 copy'!L13,1,0),IF('A1.1.1'!B$30:B$916='A1.1 copy'!B13,1,0),'A1.1.1'!J$30:J$916)</f>
        <v>0</v>
      </c>
      <c r="P10" s="437">
        <f t="shared" si="2"/>
        <v>0</v>
      </c>
      <c r="Q10" s="434">
        <f t="array" ref="Q10">SUMPRODUCT(IF('A1.1.1'!C$30:C$916='A1.1 copy'!K13,1,0),IF('A1.1.1'!D$30:D$916='A1.1 copy'!L13,1,0),IF('A1.1.1'!B$30:B$916='A1.1 copy'!B13,1,0),'A1.1.1'!K$30:K$916)</f>
        <v>0</v>
      </c>
      <c r="R10" s="427" t="s">
        <v>1491</v>
      </c>
      <c r="S10" s="427"/>
      <c r="T10" s="427" t="s">
        <v>47</v>
      </c>
      <c r="U10" s="422" t="s">
        <v>1953</v>
      </c>
      <c r="V10" s="422" t="s">
        <v>2813</v>
      </c>
    </row>
    <row r="11" spans="1:22" s="283" customFormat="1" ht="15.75" thickBot="1" x14ac:dyDescent="0.3">
      <c r="A11" s="228" t="s">
        <v>3471</v>
      </c>
      <c r="B11" s="228" t="str">
        <f t="shared" si="3"/>
        <v>Barraqueiro Transportes, S.A.</v>
      </c>
      <c r="C11" s="228" t="str">
        <f t="shared" si="1"/>
        <v>Estremadura</v>
      </c>
      <c r="D11" s="228">
        <v>2022</v>
      </c>
      <c r="E11" s="228" t="str">
        <f t="shared" si="0"/>
        <v>Pesado de Passageiros M3: Geral : Gasóleo : Geral</v>
      </c>
      <c r="F11" s="244">
        <v>1</v>
      </c>
      <c r="G11" s="214" t="s">
        <v>1869</v>
      </c>
      <c r="H11" s="214" t="s">
        <v>1861</v>
      </c>
      <c r="I11" s="214" t="s">
        <v>1953</v>
      </c>
      <c r="J11" s="227" t="s">
        <v>2813</v>
      </c>
      <c r="K11" s="425" t="s">
        <v>629</v>
      </c>
      <c r="L11" s="432" t="s">
        <v>620</v>
      </c>
      <c r="M11" s="127">
        <f t="array" ref="M11">SUMPRODUCT(IF('A1.1.1'!C$30:C$916='A1.1 copy'!K14,1,0),IF('A1.1.1'!D$30:D$916='A1.1 copy'!L14,1,0),IF('A1.1.1'!B$30:B$916='A1.1 copy'!B14,1,0),'A1.1.1'!H$30:H$916)</f>
        <v>0</v>
      </c>
      <c r="N11" s="427" t="s">
        <v>630</v>
      </c>
      <c r="O11" s="434">
        <f t="array" ref="O11">SUMPRODUCT(IF('A1.1.1'!C$30:C$916='A1.1 copy'!K14,1,0),IF('A1.1.1'!D$30:D$916='A1.1 copy'!L14,1,0),IF('A1.1.1'!B$30:B$916='A1.1 copy'!B14,1,0),'A1.1.1'!J$30:J$916)</f>
        <v>0</v>
      </c>
      <c r="P11" s="437">
        <f t="shared" si="2"/>
        <v>0</v>
      </c>
      <c r="Q11" s="434">
        <f t="array" ref="Q11">SUMPRODUCT(IF('A1.1.1'!C$30:C$916='A1.1 copy'!K14,1,0),IF('A1.1.1'!D$30:D$916='A1.1 copy'!L14,1,0),IF('A1.1.1'!B$30:B$916='A1.1 copy'!B14,1,0),'A1.1.1'!K$30:K$916)</f>
        <v>0</v>
      </c>
      <c r="R11" s="427" t="s">
        <v>1491</v>
      </c>
      <c r="S11" s="427"/>
      <c r="T11" s="427" t="s">
        <v>47</v>
      </c>
      <c r="U11" s="422" t="s">
        <v>1953</v>
      </c>
      <c r="V11" s="422" t="s">
        <v>2813</v>
      </c>
    </row>
    <row r="12" spans="1:22" ht="15.75" thickBot="1" x14ac:dyDescent="0.3">
      <c r="A12" s="228" t="s">
        <v>3472</v>
      </c>
      <c r="B12" s="228" t="str">
        <f t="shared" si="3"/>
        <v>Barraqueiro Transportes, S.A.</v>
      </c>
      <c r="C12" s="228" t="str">
        <f t="shared" si="1"/>
        <v>Frota Azul</v>
      </c>
      <c r="D12" s="228">
        <v>2022</v>
      </c>
      <c r="E12" s="228" t="str">
        <f t="shared" si="0"/>
        <v>Pesado de Passageiros M3: Geral : Gasóleo : Geral</v>
      </c>
      <c r="F12" s="244">
        <v>1</v>
      </c>
      <c r="G12" s="214" t="s">
        <v>1869</v>
      </c>
      <c r="H12" s="214" t="s">
        <v>1861</v>
      </c>
      <c r="I12" s="214" t="s">
        <v>1953</v>
      </c>
      <c r="J12" s="227" t="s">
        <v>2813</v>
      </c>
      <c r="K12" s="83" t="s">
        <v>629</v>
      </c>
      <c r="L12" s="124" t="s">
        <v>620</v>
      </c>
      <c r="M12" s="127">
        <f t="array" ref="M12">SUMPRODUCT(IF('A1.1.1'!C$30:C$916='A1.1 copy'!K15,1,0),IF('A1.1.1'!D$30:D$916='A1.1 copy'!L15,1,0),IF('A1.1.1'!B$30:B$916='A1.1 copy'!B15,1,0),'A1.1.1'!H$30:H$916)</f>
        <v>0</v>
      </c>
      <c r="N12" s="85" t="s">
        <v>630</v>
      </c>
      <c r="O12" s="128">
        <f t="array" ref="O12">SUMPRODUCT(IF('A1.1.1'!C$30:C$916='A1.1 copy'!K15,1,0),IF('A1.1.1'!D$30:D$916='A1.1 copy'!L15,1,0),IF('A1.1.1'!B$30:B$916='A1.1 copy'!B15,1,0),'A1.1.1'!J$30:J$916)</f>
        <v>0</v>
      </c>
      <c r="P12" s="133">
        <f t="shared" si="2"/>
        <v>0</v>
      </c>
      <c r="Q12" s="128">
        <f t="array" ref="Q12">SUMPRODUCT(IF('A1.1.1'!C$30:C$916='A1.1 copy'!K15,1,0),IF('A1.1.1'!D$30:D$916='A1.1 copy'!L15,1,0),IF('A1.1.1'!B$30:B$916='A1.1 copy'!B15,1,0),'A1.1.1'!K$30:K$916)</f>
        <v>0</v>
      </c>
      <c r="R12" s="85" t="s">
        <v>1491</v>
      </c>
      <c r="S12" s="427"/>
      <c r="T12" s="85" t="s">
        <v>47</v>
      </c>
      <c r="U12" t="s">
        <v>1953</v>
      </c>
      <c r="V12" t="s">
        <v>2813</v>
      </c>
    </row>
    <row r="13" spans="1:22" ht="15.75" thickBot="1" x14ac:dyDescent="0.3">
      <c r="A13" s="228" t="s">
        <v>3473</v>
      </c>
      <c r="B13" s="228" t="str">
        <f t="shared" si="3"/>
        <v>Barraqueiro Transportes, S.A.</v>
      </c>
      <c r="C13" s="228" t="str">
        <f t="shared" si="1"/>
        <v>Barraqueiro Oeste</v>
      </c>
      <c r="D13" s="228">
        <v>2022</v>
      </c>
      <c r="E13" s="228" t="str">
        <f t="shared" si="0"/>
        <v>Pesado de Passageiros M3: Geral : Gasóleo : Geral</v>
      </c>
      <c r="F13" s="244">
        <v>1</v>
      </c>
      <c r="G13" s="214" t="s">
        <v>1869</v>
      </c>
      <c r="H13" s="214" t="s">
        <v>1861</v>
      </c>
      <c r="I13" s="214" t="s">
        <v>1953</v>
      </c>
      <c r="J13" s="227" t="s">
        <v>2813</v>
      </c>
      <c r="K13" s="83" t="s">
        <v>629</v>
      </c>
      <c r="L13" s="124" t="s">
        <v>620</v>
      </c>
      <c r="M13" s="127">
        <f t="array" ref="M13">SUMPRODUCT(IF('A1.1.1'!C$30:C$916='A1.1 copy'!K16,1,0),IF('A1.1.1'!D$30:D$916='A1.1 copy'!L16,1,0),IF('A1.1.1'!B$30:B$916='A1.1 copy'!B16,1,0),'A1.1.1'!H$30:H$916)</f>
        <v>0</v>
      </c>
      <c r="N13" s="85" t="s">
        <v>630</v>
      </c>
      <c r="O13" s="128">
        <f t="array" ref="O13">SUMPRODUCT(IF('A1.1.1'!C$30:C$916='A1.1 copy'!K16,1,0),IF('A1.1.1'!D$30:D$916='A1.1 copy'!L16,1,0),IF('A1.1.1'!B$30:B$916='A1.1 copy'!B16,1,0),'A1.1.1'!J$30:J$916)</f>
        <v>0</v>
      </c>
      <c r="P13" s="133">
        <f t="shared" si="2"/>
        <v>0</v>
      </c>
      <c r="Q13" s="128">
        <f t="array" ref="Q13">SUMPRODUCT(IF('A1.1.1'!C$30:C$916='A1.1 copy'!K16,1,0),IF('A1.1.1'!D$30:D$916='A1.1 copy'!L16,1,0),IF('A1.1.1'!B$30:B$916='A1.1 copy'!B16,1,0),'A1.1.1'!K$30:K$916)</f>
        <v>0</v>
      </c>
      <c r="R13" s="85" t="s">
        <v>1491</v>
      </c>
      <c r="S13" s="427"/>
      <c r="T13" s="85" t="s">
        <v>47</v>
      </c>
      <c r="U13" t="s">
        <v>1953</v>
      </c>
      <c r="V13" t="s">
        <v>2813</v>
      </c>
    </row>
    <row r="14" spans="1:22" ht="15.75" thickBot="1" x14ac:dyDescent="0.3">
      <c r="A14" s="228" t="s">
        <v>3474</v>
      </c>
      <c r="B14" s="228" t="str">
        <f t="shared" si="3"/>
        <v>Barraqueiro Transportes, S.A.</v>
      </c>
      <c r="C14" s="228" t="str">
        <f t="shared" si="1"/>
        <v>Boa Viagem</v>
      </c>
      <c r="D14" s="228">
        <v>2022</v>
      </c>
      <c r="E14" s="228" t="str">
        <f t="shared" si="0"/>
        <v>Pesado de Passageiros M3: Geral : Gasóleo : Geral</v>
      </c>
      <c r="F14" s="244">
        <v>1</v>
      </c>
      <c r="G14" s="214" t="s">
        <v>1869</v>
      </c>
      <c r="H14" s="214" t="s">
        <v>1861</v>
      </c>
      <c r="I14" s="214" t="s">
        <v>1953</v>
      </c>
      <c r="J14" s="227" t="s">
        <v>2813</v>
      </c>
      <c r="K14" s="83" t="s">
        <v>629</v>
      </c>
      <c r="L14" s="124" t="s">
        <v>620</v>
      </c>
      <c r="M14" s="127">
        <f t="array" ref="M14">SUMPRODUCT(IF('A1.1.1'!C$30:C$916='A1.1 copy'!K17,1,0),IF('A1.1.1'!D$30:D$916='A1.1 copy'!L17,1,0),IF('A1.1.1'!B$30:B$916='A1.1 copy'!B17,1,0),'A1.1.1'!H$30:H$916)</f>
        <v>0</v>
      </c>
      <c r="N14" s="85" t="s">
        <v>630</v>
      </c>
      <c r="O14" s="128">
        <f t="array" ref="O14">SUMPRODUCT(IF('A1.1.1'!C$30:C$916='A1.1 copy'!K17,1,0),IF('A1.1.1'!D$30:D$916='A1.1 copy'!L17,1,0),IF('A1.1.1'!B$30:B$916='A1.1 copy'!B17,1,0),'A1.1.1'!J$30:J$916)</f>
        <v>0</v>
      </c>
      <c r="P14" s="133">
        <f t="shared" si="2"/>
        <v>0</v>
      </c>
      <c r="Q14" s="128">
        <f t="array" ref="Q14">SUMPRODUCT(IF('A1.1.1'!C$30:C$916='A1.1 copy'!K17,1,0),IF('A1.1.1'!D$30:D$916='A1.1 copy'!L17,1,0),IF('A1.1.1'!B$30:B$916='A1.1 copy'!B17,1,0),'A1.1.1'!K$30:K$916)</f>
        <v>0</v>
      </c>
      <c r="R14" s="85" t="s">
        <v>1491</v>
      </c>
      <c r="S14" s="427"/>
      <c r="T14" s="85" t="s">
        <v>47</v>
      </c>
      <c r="U14" t="s">
        <v>1953</v>
      </c>
      <c r="V14" t="s">
        <v>2813</v>
      </c>
    </row>
    <row r="15" spans="1:22" ht="15.75" thickBot="1" x14ac:dyDescent="0.3">
      <c r="A15" s="228" t="s">
        <v>45</v>
      </c>
      <c r="B15" s="228" t="s">
        <v>45</v>
      </c>
      <c r="C15" s="228" t="str">
        <f t="shared" si="1"/>
        <v>X</v>
      </c>
      <c r="D15" s="228">
        <v>2022</v>
      </c>
      <c r="E15" s="228" t="str">
        <f t="shared" si="0"/>
        <v>Pesado de Passageiros M3: Geral : Gasóleo : Geral</v>
      </c>
      <c r="F15" s="244">
        <v>1</v>
      </c>
      <c r="G15" s="214" t="s">
        <v>1869</v>
      </c>
      <c r="H15" s="214" t="s">
        <v>1861</v>
      </c>
      <c r="I15" s="214" t="s">
        <v>1953</v>
      </c>
      <c r="J15" s="227" t="s">
        <v>2813</v>
      </c>
      <c r="K15" s="83" t="s">
        <v>629</v>
      </c>
      <c r="L15" s="124" t="s">
        <v>620</v>
      </c>
      <c r="M15" s="127">
        <f>SUM(M16:M21)</f>
        <v>11534281.83</v>
      </c>
      <c r="N15" s="85" t="s">
        <v>630</v>
      </c>
      <c r="O15" s="128">
        <f>SUM(O16:O21)</f>
        <v>37101716</v>
      </c>
      <c r="P15" s="133"/>
      <c r="Q15" s="128" t="s">
        <v>1512</v>
      </c>
      <c r="R15" s="85" t="s">
        <v>1492</v>
      </c>
      <c r="S15" s="427"/>
      <c r="T15" s="85" t="s">
        <v>47</v>
      </c>
      <c r="U15" t="s">
        <v>1953</v>
      </c>
      <c r="V15" t="s">
        <v>2813</v>
      </c>
    </row>
    <row r="16" spans="1:22" ht="15.75" thickBot="1" x14ac:dyDescent="0.3">
      <c r="A16" s="228" t="s">
        <v>3470</v>
      </c>
      <c r="B16" s="228" t="str">
        <f t="shared" ref="B16:B21" si="4">LEFT(A16,IFERROR(FIND(" - ",A16)-1,LEN(A16)))</f>
        <v>Barraqueiro Transportes, S.A.</v>
      </c>
      <c r="C16" s="228" t="str">
        <f t="shared" si="1"/>
        <v>Mafrense</v>
      </c>
      <c r="D16" s="228">
        <v>2022</v>
      </c>
      <c r="E16" s="228" t="str">
        <f t="shared" si="0"/>
        <v>Pesado de Passageiros M3: Geral : Gasóleo : Geral</v>
      </c>
      <c r="F16" s="244">
        <v>1</v>
      </c>
      <c r="G16" s="214" t="s">
        <v>1869</v>
      </c>
      <c r="H16" s="214" t="s">
        <v>1861</v>
      </c>
      <c r="I16" s="214" t="s">
        <v>1953</v>
      </c>
      <c r="J16" s="227" t="s">
        <v>2813</v>
      </c>
      <c r="K16" s="83" t="s">
        <v>629</v>
      </c>
      <c r="L16" s="124" t="s">
        <v>620</v>
      </c>
      <c r="M16" s="127">
        <v>1542617.7390000003</v>
      </c>
      <c r="N16" s="85" t="s">
        <v>630</v>
      </c>
      <c r="O16" s="128">
        <v>4130726</v>
      </c>
      <c r="P16" s="133"/>
      <c r="Q16" s="128" t="s">
        <v>1513</v>
      </c>
      <c r="R16" s="85" t="s">
        <v>1492</v>
      </c>
      <c r="S16" s="427"/>
      <c r="T16" s="85" t="s">
        <v>47</v>
      </c>
      <c r="U16" t="s">
        <v>1953</v>
      </c>
      <c r="V16" t="s">
        <v>2813</v>
      </c>
    </row>
    <row r="17" spans="1:22" ht="15.75" thickBot="1" x14ac:dyDescent="0.3">
      <c r="A17" s="228" t="s">
        <v>3278</v>
      </c>
      <c r="B17" s="228" t="str">
        <f t="shared" si="4"/>
        <v>Barraqueiro Transportes, S.A.</v>
      </c>
      <c r="C17" s="228" t="str">
        <f t="shared" si="1"/>
        <v>Barraqueiro Alugueres</v>
      </c>
      <c r="D17" s="228">
        <v>2022</v>
      </c>
      <c r="E17" s="228" t="str">
        <f t="shared" si="0"/>
        <v>Pesado de Passageiros M3: Geral : Gasóleo : Geral</v>
      </c>
      <c r="F17" s="244">
        <v>1</v>
      </c>
      <c r="G17" s="214" t="s">
        <v>1869</v>
      </c>
      <c r="H17" s="214" t="s">
        <v>1861</v>
      </c>
      <c r="I17" s="214" t="s">
        <v>1953</v>
      </c>
      <c r="J17" s="227" t="s">
        <v>2813</v>
      </c>
      <c r="K17" s="83" t="s">
        <v>629</v>
      </c>
      <c r="L17" s="124" t="s">
        <v>620</v>
      </c>
      <c r="M17" s="127">
        <v>1886894.6120000004</v>
      </c>
      <c r="N17" s="85" t="s">
        <v>630</v>
      </c>
      <c r="O17" s="128">
        <v>6209273</v>
      </c>
      <c r="P17" s="133"/>
      <c r="Q17" s="128" t="s">
        <v>1514</v>
      </c>
      <c r="R17" s="85" t="s">
        <v>1492</v>
      </c>
      <c r="S17" s="427"/>
      <c r="T17" s="85" t="s">
        <v>47</v>
      </c>
      <c r="U17" t="s">
        <v>1953</v>
      </c>
      <c r="V17" t="s">
        <v>2813</v>
      </c>
    </row>
    <row r="18" spans="1:22" ht="15.75" thickBot="1" x14ac:dyDescent="0.3">
      <c r="A18" s="228" t="s">
        <v>3471</v>
      </c>
      <c r="B18" s="228" t="str">
        <f t="shared" si="4"/>
        <v>Barraqueiro Transportes, S.A.</v>
      </c>
      <c r="C18" s="228" t="str">
        <f t="shared" si="1"/>
        <v>Estremadura</v>
      </c>
      <c r="D18" s="228">
        <v>2022</v>
      </c>
      <c r="E18" s="228" t="str">
        <f t="shared" si="0"/>
        <v>Pesado de Passageiros M3: Geral : Gasóleo : Geral</v>
      </c>
      <c r="F18" s="244">
        <v>1</v>
      </c>
      <c r="G18" s="214" t="s">
        <v>1869</v>
      </c>
      <c r="H18" s="214" t="s">
        <v>1861</v>
      </c>
      <c r="I18" s="214" t="s">
        <v>1953</v>
      </c>
      <c r="J18" s="227" t="s">
        <v>2813</v>
      </c>
      <c r="K18" s="83" t="s">
        <v>629</v>
      </c>
      <c r="L18" s="124" t="s">
        <v>620</v>
      </c>
      <c r="M18" s="127">
        <v>3338755.4070000011</v>
      </c>
      <c r="N18" s="85" t="s">
        <v>630</v>
      </c>
      <c r="O18" s="128">
        <v>12525675</v>
      </c>
      <c r="P18" s="133"/>
      <c r="Q18" s="128" t="s">
        <v>1496</v>
      </c>
      <c r="R18" s="85" t="s">
        <v>1492</v>
      </c>
      <c r="S18" s="427"/>
      <c r="T18" s="85" t="s">
        <v>47</v>
      </c>
      <c r="U18" t="s">
        <v>1953</v>
      </c>
      <c r="V18" t="s">
        <v>2813</v>
      </c>
    </row>
    <row r="19" spans="1:22" s="283" customFormat="1" ht="15.75" thickBot="1" x14ac:dyDescent="0.3">
      <c r="A19" s="228" t="s">
        <v>3472</v>
      </c>
      <c r="B19" s="228" t="str">
        <f t="shared" si="4"/>
        <v>Barraqueiro Transportes, S.A.</v>
      </c>
      <c r="C19" s="228" t="str">
        <f t="shared" si="1"/>
        <v>Frota Azul</v>
      </c>
      <c r="D19" s="228">
        <v>2022</v>
      </c>
      <c r="E19" s="228" t="str">
        <f t="shared" si="0"/>
        <v>Pesado de Passageiros M3: Geral : Gasóleo : Geral</v>
      </c>
      <c r="F19" s="244">
        <v>1</v>
      </c>
      <c r="G19" s="214" t="s">
        <v>1869</v>
      </c>
      <c r="H19" s="214" t="s">
        <v>1861</v>
      </c>
      <c r="I19" s="214" t="s">
        <v>1953</v>
      </c>
      <c r="J19" s="227" t="s">
        <v>2813</v>
      </c>
      <c r="K19" s="425" t="s">
        <v>629</v>
      </c>
      <c r="L19" s="432" t="s">
        <v>620</v>
      </c>
      <c r="M19" s="127">
        <v>1083221.8660000002</v>
      </c>
      <c r="N19" s="427" t="s">
        <v>630</v>
      </c>
      <c r="O19" s="434">
        <v>4191185</v>
      </c>
      <c r="P19" s="437"/>
      <c r="Q19" s="434" t="s">
        <v>1497</v>
      </c>
      <c r="R19" s="427" t="s">
        <v>1492</v>
      </c>
      <c r="S19" s="427"/>
      <c r="T19" s="427" t="s">
        <v>47</v>
      </c>
      <c r="U19" s="422" t="s">
        <v>1953</v>
      </c>
      <c r="V19" s="422" t="s">
        <v>2813</v>
      </c>
    </row>
    <row r="20" spans="1:22" s="283" customFormat="1" ht="15.75" thickBot="1" x14ac:dyDescent="0.3">
      <c r="A20" s="228" t="s">
        <v>3473</v>
      </c>
      <c r="B20" s="228" t="str">
        <f t="shared" si="4"/>
        <v>Barraqueiro Transportes, S.A.</v>
      </c>
      <c r="C20" s="228" t="str">
        <f t="shared" si="1"/>
        <v>Barraqueiro Oeste</v>
      </c>
      <c r="D20" s="228">
        <v>2022</v>
      </c>
      <c r="E20" s="228" t="str">
        <f t="shared" si="0"/>
        <v>Pesado de Passageiros M3: Geral : Gasóleo : Geral</v>
      </c>
      <c r="F20" s="244">
        <v>1</v>
      </c>
      <c r="G20" s="214" t="s">
        <v>1869</v>
      </c>
      <c r="H20" s="214" t="s">
        <v>1861</v>
      </c>
      <c r="I20" s="214" t="s">
        <v>1953</v>
      </c>
      <c r="J20" s="227" t="s">
        <v>2813</v>
      </c>
      <c r="K20" s="425" t="s">
        <v>629</v>
      </c>
      <c r="L20" s="432" t="s">
        <v>620</v>
      </c>
      <c r="M20" s="127">
        <v>1862247.6619999986</v>
      </c>
      <c r="N20" s="427" t="s">
        <v>630</v>
      </c>
      <c r="O20" s="434">
        <v>5106985</v>
      </c>
      <c r="P20" s="437"/>
      <c r="Q20" s="434" t="s">
        <v>1498</v>
      </c>
      <c r="R20" s="427" t="s">
        <v>1492</v>
      </c>
      <c r="S20" s="427"/>
      <c r="T20" s="427" t="s">
        <v>47</v>
      </c>
      <c r="U20" s="422" t="s">
        <v>1953</v>
      </c>
      <c r="V20" s="422" t="s">
        <v>2813</v>
      </c>
    </row>
    <row r="21" spans="1:22" s="283" customFormat="1" ht="15.75" thickBot="1" x14ac:dyDescent="0.3">
      <c r="A21" s="228" t="s">
        <v>3474</v>
      </c>
      <c r="B21" s="228" t="str">
        <f t="shared" si="4"/>
        <v>Barraqueiro Transportes, S.A.</v>
      </c>
      <c r="C21" s="228" t="str">
        <f t="shared" si="1"/>
        <v>Boa Viagem</v>
      </c>
      <c r="D21" s="228">
        <v>2022</v>
      </c>
      <c r="E21" s="228" t="str">
        <f t="shared" si="0"/>
        <v>Pesado de Passageiros M3: Geral : Gasóleo : Geral</v>
      </c>
      <c r="F21" s="244">
        <v>1</v>
      </c>
      <c r="G21" s="214" t="s">
        <v>1869</v>
      </c>
      <c r="H21" s="214" t="s">
        <v>1861</v>
      </c>
      <c r="I21" s="214" t="s">
        <v>1953</v>
      </c>
      <c r="J21" s="227" t="s">
        <v>2813</v>
      </c>
      <c r="K21" s="425" t="s">
        <v>629</v>
      </c>
      <c r="L21" s="432" t="s">
        <v>620</v>
      </c>
      <c r="M21" s="127">
        <v>1820544.5440000002</v>
      </c>
      <c r="N21" s="427" t="s">
        <v>630</v>
      </c>
      <c r="O21" s="434">
        <v>4937872</v>
      </c>
      <c r="P21" s="437"/>
      <c r="Q21" s="434" t="s">
        <v>1511</v>
      </c>
      <c r="R21" s="427" t="s">
        <v>1492</v>
      </c>
      <c r="S21" s="427"/>
      <c r="T21" s="427" t="s">
        <v>47</v>
      </c>
      <c r="U21" s="422" t="s">
        <v>1953</v>
      </c>
      <c r="V21" s="422" t="s">
        <v>2813</v>
      </c>
    </row>
    <row r="22" spans="1:22" ht="15.75" thickBot="1" x14ac:dyDescent="0.3">
      <c r="A22" s="228" t="s">
        <v>45</v>
      </c>
      <c r="B22" s="228" t="s">
        <v>45</v>
      </c>
      <c r="C22" s="228" t="str">
        <f t="shared" si="1"/>
        <v>X</v>
      </c>
      <c r="D22" s="228">
        <v>2022</v>
      </c>
      <c r="E22" s="228" t="str">
        <f t="shared" si="0"/>
        <v>Ligeiro de Passageiros M1: Geral : Gasóleo : Geral</v>
      </c>
      <c r="F22" s="244">
        <v>1</v>
      </c>
      <c r="G22" s="214" t="s">
        <v>1869</v>
      </c>
      <c r="H22" s="214" t="s">
        <v>1861</v>
      </c>
      <c r="I22" s="214" t="s">
        <v>1953</v>
      </c>
      <c r="J22" s="227" t="s">
        <v>2813</v>
      </c>
      <c r="K22" s="83" t="s">
        <v>623</v>
      </c>
      <c r="L22" s="124" t="s">
        <v>620</v>
      </c>
      <c r="M22" s="127">
        <f>SUM(M23:M28)</f>
        <v>33864.712</v>
      </c>
      <c r="N22" s="85" t="s">
        <v>630</v>
      </c>
      <c r="O22" s="128">
        <f>SUM(O23:O28)</f>
        <v>465560</v>
      </c>
      <c r="P22" s="133"/>
      <c r="Q22" s="128" t="s">
        <v>1499</v>
      </c>
      <c r="R22" s="85" t="s">
        <v>1492</v>
      </c>
      <c r="S22" s="427"/>
      <c r="T22" s="85" t="s">
        <v>47</v>
      </c>
      <c r="U22" t="s">
        <v>1953</v>
      </c>
      <c r="V22" t="s">
        <v>2813</v>
      </c>
    </row>
    <row r="23" spans="1:22" ht="15.75" thickBot="1" x14ac:dyDescent="0.3">
      <c r="A23" s="228" t="s">
        <v>3470</v>
      </c>
      <c r="B23" s="228" t="str">
        <f t="shared" ref="B23:B28" si="5">LEFT(A23,IFERROR(FIND(" - ",A23)-1,LEN(A23)))</f>
        <v>Barraqueiro Transportes, S.A.</v>
      </c>
      <c r="C23" s="228" t="str">
        <f t="shared" si="1"/>
        <v>Mafrense</v>
      </c>
      <c r="D23" s="228">
        <v>2022</v>
      </c>
      <c r="E23" s="228" t="str">
        <f t="shared" si="0"/>
        <v>Ligeiro de Passageiros M1: Geral : Gasóleo : Geral</v>
      </c>
      <c r="F23" s="244">
        <v>1</v>
      </c>
      <c r="G23" s="214" t="s">
        <v>1869</v>
      </c>
      <c r="H23" s="214" t="s">
        <v>1861</v>
      </c>
      <c r="I23" s="214" t="s">
        <v>1953</v>
      </c>
      <c r="J23" s="227" t="s">
        <v>2813</v>
      </c>
      <c r="K23" s="83" t="s">
        <v>623</v>
      </c>
      <c r="L23" s="124" t="s">
        <v>620</v>
      </c>
      <c r="M23" s="127">
        <v>1438.64</v>
      </c>
      <c r="N23" s="85" t="s">
        <v>630</v>
      </c>
      <c r="O23" s="128">
        <v>18222</v>
      </c>
      <c r="P23" s="133"/>
      <c r="Q23" s="128" t="s">
        <v>1500</v>
      </c>
      <c r="R23" s="85" t="s">
        <v>1492</v>
      </c>
      <c r="S23" s="427"/>
      <c r="T23" s="85" t="s">
        <v>47</v>
      </c>
      <c r="U23" t="s">
        <v>1953</v>
      </c>
      <c r="V23" t="s">
        <v>2813</v>
      </c>
    </row>
    <row r="24" spans="1:22" ht="15.75" thickBot="1" x14ac:dyDescent="0.3">
      <c r="A24" s="228" t="s">
        <v>3278</v>
      </c>
      <c r="B24" s="228" t="str">
        <f t="shared" si="5"/>
        <v>Barraqueiro Transportes, S.A.</v>
      </c>
      <c r="C24" s="228" t="str">
        <f t="shared" si="1"/>
        <v>Barraqueiro Alugueres</v>
      </c>
      <c r="D24" s="228">
        <v>2022</v>
      </c>
      <c r="E24" s="228" t="str">
        <f t="shared" si="0"/>
        <v>Ligeiro de Passageiros M1: Geral : Gasóleo : Geral</v>
      </c>
      <c r="F24" s="244">
        <v>1</v>
      </c>
      <c r="G24" s="214" t="s">
        <v>1869</v>
      </c>
      <c r="H24" s="214" t="s">
        <v>1861</v>
      </c>
      <c r="I24" s="214" t="s">
        <v>1953</v>
      </c>
      <c r="J24" s="227" t="s">
        <v>2813</v>
      </c>
      <c r="K24" s="83" t="s">
        <v>623</v>
      </c>
      <c r="L24" s="124" t="s">
        <v>620</v>
      </c>
      <c r="M24" s="127">
        <v>18150.851999999999</v>
      </c>
      <c r="N24" s="85" t="s">
        <v>630</v>
      </c>
      <c r="O24" s="128">
        <v>258386</v>
      </c>
      <c r="P24" s="133"/>
      <c r="Q24" s="128" t="s">
        <v>1501</v>
      </c>
      <c r="R24" s="85" t="s">
        <v>1492</v>
      </c>
      <c r="S24" s="427"/>
      <c r="T24" s="85" t="s">
        <v>47</v>
      </c>
      <c r="U24" t="s">
        <v>1953</v>
      </c>
      <c r="V24" t="s">
        <v>2813</v>
      </c>
    </row>
    <row r="25" spans="1:22" ht="15.75" thickBot="1" x14ac:dyDescent="0.3">
      <c r="A25" s="228" t="s">
        <v>3471</v>
      </c>
      <c r="B25" s="228" t="str">
        <f t="shared" si="5"/>
        <v>Barraqueiro Transportes, S.A.</v>
      </c>
      <c r="C25" s="228" t="str">
        <f t="shared" si="1"/>
        <v>Estremadura</v>
      </c>
      <c r="D25" s="228">
        <v>2022</v>
      </c>
      <c r="E25" s="228" t="str">
        <f t="shared" si="0"/>
        <v>Ligeiro de Passageiros M1: Geral : Gasóleo : Geral</v>
      </c>
      <c r="F25" s="244">
        <v>1</v>
      </c>
      <c r="G25" s="214" t="s">
        <v>1869</v>
      </c>
      <c r="H25" s="214" t="s">
        <v>1861</v>
      </c>
      <c r="I25" s="214" t="s">
        <v>1953</v>
      </c>
      <c r="J25" s="227" t="s">
        <v>2813</v>
      </c>
      <c r="K25" s="83" t="s">
        <v>623</v>
      </c>
      <c r="L25" s="124" t="s">
        <v>620</v>
      </c>
      <c r="M25" s="127">
        <v>7443.12</v>
      </c>
      <c r="N25" s="85" t="s">
        <v>630</v>
      </c>
      <c r="O25" s="128">
        <v>100186</v>
      </c>
      <c r="P25" s="133"/>
      <c r="Q25" s="128" t="s">
        <v>1502</v>
      </c>
      <c r="R25" s="85" t="s">
        <v>1492</v>
      </c>
      <c r="S25" s="427"/>
      <c r="T25" s="85" t="s">
        <v>47</v>
      </c>
      <c r="U25" t="s">
        <v>1953</v>
      </c>
      <c r="V25" t="s">
        <v>2813</v>
      </c>
    </row>
    <row r="26" spans="1:22" ht="15.75" thickBot="1" x14ac:dyDescent="0.3">
      <c r="A26" s="228" t="s">
        <v>3472</v>
      </c>
      <c r="B26" s="228" t="str">
        <f t="shared" si="5"/>
        <v>Barraqueiro Transportes, S.A.</v>
      </c>
      <c r="C26" s="228" t="str">
        <f t="shared" si="1"/>
        <v>Frota Azul</v>
      </c>
      <c r="D26" s="228">
        <v>2022</v>
      </c>
      <c r="E26" s="228" t="str">
        <f t="shared" si="0"/>
        <v>Ligeiro de Passageiros M1: Geral : Gasóleo : Geral</v>
      </c>
      <c r="F26" s="244">
        <v>1</v>
      </c>
      <c r="G26" s="214" t="s">
        <v>1869</v>
      </c>
      <c r="H26" s="214" t="s">
        <v>1861</v>
      </c>
      <c r="I26" s="214" t="s">
        <v>1953</v>
      </c>
      <c r="J26" s="227" t="s">
        <v>2813</v>
      </c>
      <c r="K26" s="83" t="s">
        <v>623</v>
      </c>
      <c r="L26" s="124" t="s">
        <v>620</v>
      </c>
      <c r="M26" s="127">
        <v>5764.59</v>
      </c>
      <c r="N26" s="85" t="s">
        <v>630</v>
      </c>
      <c r="O26" s="128">
        <v>75446</v>
      </c>
      <c r="P26" s="133"/>
      <c r="Q26" s="128" t="s">
        <v>1503</v>
      </c>
      <c r="R26" s="85" t="s">
        <v>1492</v>
      </c>
      <c r="S26" s="427"/>
      <c r="T26" s="85" t="s">
        <v>47</v>
      </c>
      <c r="U26" t="s">
        <v>1953</v>
      </c>
      <c r="V26" t="s">
        <v>2813</v>
      </c>
    </row>
    <row r="27" spans="1:22" ht="15.75" thickBot="1" x14ac:dyDescent="0.3">
      <c r="A27" s="228" t="s">
        <v>3473</v>
      </c>
      <c r="B27" s="228" t="str">
        <f t="shared" si="5"/>
        <v>Barraqueiro Transportes, S.A.</v>
      </c>
      <c r="C27" s="228" t="str">
        <f t="shared" si="1"/>
        <v>Barraqueiro Oeste</v>
      </c>
      <c r="D27" s="228">
        <v>2022</v>
      </c>
      <c r="E27" s="228" t="str">
        <f t="shared" si="0"/>
        <v>Ligeiro de Passageiros M1: Geral : Gasóleo : Geral</v>
      </c>
      <c r="F27" s="244">
        <v>1</v>
      </c>
      <c r="G27" s="214" t="s">
        <v>1869</v>
      </c>
      <c r="H27" s="214" t="s">
        <v>1861</v>
      </c>
      <c r="I27" s="214" t="s">
        <v>1953</v>
      </c>
      <c r="J27" s="227" t="s">
        <v>2813</v>
      </c>
      <c r="K27" s="83" t="s">
        <v>623</v>
      </c>
      <c r="L27" s="124" t="s">
        <v>620</v>
      </c>
      <c r="M27" s="127">
        <v>0</v>
      </c>
      <c r="N27" s="85" t="s">
        <v>630</v>
      </c>
      <c r="O27" s="128">
        <v>0</v>
      </c>
      <c r="P27" s="133"/>
      <c r="Q27" s="128">
        <v>0</v>
      </c>
      <c r="R27" s="85" t="s">
        <v>1492</v>
      </c>
      <c r="S27" s="427"/>
      <c r="T27" s="85" t="s">
        <v>47</v>
      </c>
      <c r="U27" t="s">
        <v>1953</v>
      </c>
      <c r="V27" t="s">
        <v>2813</v>
      </c>
    </row>
    <row r="28" spans="1:22" ht="15.75" thickBot="1" x14ac:dyDescent="0.3">
      <c r="A28" s="228" t="s">
        <v>3474</v>
      </c>
      <c r="B28" s="228" t="str">
        <f t="shared" si="5"/>
        <v>Barraqueiro Transportes, S.A.</v>
      </c>
      <c r="C28" s="228" t="str">
        <f t="shared" si="1"/>
        <v>Boa Viagem</v>
      </c>
      <c r="D28" s="228">
        <v>2022</v>
      </c>
      <c r="E28" s="228" t="str">
        <f t="shared" si="0"/>
        <v>Ligeiro de Passageiros M1: Geral : Gasóleo : Geral</v>
      </c>
      <c r="F28" s="244">
        <v>1</v>
      </c>
      <c r="G28" s="214" t="s">
        <v>1869</v>
      </c>
      <c r="H28" s="214" t="s">
        <v>1861</v>
      </c>
      <c r="I28" s="214" t="s">
        <v>1953</v>
      </c>
      <c r="J28" s="227" t="s">
        <v>2813</v>
      </c>
      <c r="K28" s="83" t="s">
        <v>623</v>
      </c>
      <c r="L28" s="124" t="s">
        <v>620</v>
      </c>
      <c r="M28" s="127">
        <v>1067.51</v>
      </c>
      <c r="N28" s="85" t="s">
        <v>630</v>
      </c>
      <c r="O28" s="128">
        <v>13320</v>
      </c>
      <c r="P28" s="133"/>
      <c r="Q28" s="128" t="s">
        <v>1500</v>
      </c>
      <c r="R28" s="85" t="s">
        <v>1492</v>
      </c>
      <c r="S28" s="427"/>
      <c r="T28" s="85" t="s">
        <v>47</v>
      </c>
      <c r="U28" t="s">
        <v>1953</v>
      </c>
      <c r="V28" t="s">
        <v>2813</v>
      </c>
    </row>
    <row r="29" spans="1:22" ht="15.75" thickBot="1" x14ac:dyDescent="0.3">
      <c r="A29" s="527" t="s">
        <v>3471</v>
      </c>
      <c r="B29" s="527" t="s">
        <v>45</v>
      </c>
      <c r="C29" s="527" t="str">
        <f t="shared" si="1"/>
        <v>Estremadura</v>
      </c>
      <c r="D29" s="365">
        <v>2023</v>
      </c>
      <c r="E29" s="365" t="str">
        <f t="shared" si="0"/>
        <v>Pesado de Passageiros M3: Geral : Gasóleo : Geral</v>
      </c>
      <c r="F29" s="366">
        <v>1</v>
      </c>
      <c r="G29" s="367" t="s">
        <v>1869</v>
      </c>
      <c r="H29" s="367" t="s">
        <v>1861</v>
      </c>
      <c r="I29" s="367" t="s">
        <v>1953</v>
      </c>
      <c r="J29" s="367" t="s">
        <v>2813</v>
      </c>
      <c r="K29" s="527" t="s">
        <v>629</v>
      </c>
      <c r="L29" s="534" t="s">
        <v>620</v>
      </c>
      <c r="M29" s="540">
        <v>3430214.3189999992</v>
      </c>
      <c r="N29" s="540" t="s">
        <v>630</v>
      </c>
      <c r="O29" s="540">
        <v>13201775</v>
      </c>
      <c r="P29" s="645">
        <v>52.21360885184</v>
      </c>
      <c r="Q29" s="540">
        <v>689312316</v>
      </c>
      <c r="R29" s="540">
        <v>25.982978190432721</v>
      </c>
      <c r="S29" s="540" t="s">
        <v>4823</v>
      </c>
      <c r="T29" s="540" t="s">
        <v>47</v>
      </c>
      <c r="U29" t="s">
        <v>1953</v>
      </c>
      <c r="V29" t="s">
        <v>2813</v>
      </c>
    </row>
    <row r="30" spans="1:22" ht="15.75" thickBot="1" x14ac:dyDescent="0.3">
      <c r="A30" s="527" t="s">
        <v>3473</v>
      </c>
      <c r="B30" s="527" t="s">
        <v>45</v>
      </c>
      <c r="C30" s="527" t="str">
        <f t="shared" si="1"/>
        <v>Barraqueiro Oeste</v>
      </c>
      <c r="D30" s="365">
        <v>2023</v>
      </c>
      <c r="E30" s="365" t="str">
        <f t="shared" si="0"/>
        <v>Pesado de Passageiros M3: Geral : Gasóleo : Geral</v>
      </c>
      <c r="F30" s="366">
        <v>1</v>
      </c>
      <c r="G30" s="367" t="s">
        <v>1869</v>
      </c>
      <c r="H30" s="367" t="s">
        <v>1861</v>
      </c>
      <c r="I30" s="367" t="s">
        <v>1953</v>
      </c>
      <c r="J30" s="367" t="s">
        <v>2813</v>
      </c>
      <c r="K30" s="527" t="s">
        <v>629</v>
      </c>
      <c r="L30" s="534" t="s">
        <v>620</v>
      </c>
      <c r="M30" s="540">
        <v>2030531.3869999996</v>
      </c>
      <c r="N30" s="540" t="s">
        <v>630</v>
      </c>
      <c r="O30" s="540">
        <v>5554498</v>
      </c>
      <c r="P30" s="645">
        <v>61.074925582833949</v>
      </c>
      <c r="Q30" s="540">
        <v>339240552</v>
      </c>
      <c r="R30" s="540">
        <v>36.556523865883101</v>
      </c>
      <c r="S30" s="540" t="s">
        <v>4823</v>
      </c>
      <c r="T30" s="540" t="s">
        <v>47</v>
      </c>
      <c r="U30" t="s">
        <v>1953</v>
      </c>
      <c r="V30" t="s">
        <v>2813</v>
      </c>
    </row>
    <row r="31" spans="1:22" ht="15.75" thickBot="1" x14ac:dyDescent="0.3">
      <c r="A31" s="527" t="s">
        <v>3474</v>
      </c>
      <c r="B31" s="527" t="s">
        <v>45</v>
      </c>
      <c r="C31" s="527" t="str">
        <f t="shared" si="1"/>
        <v>Boa Viagem</v>
      </c>
      <c r="D31" s="365">
        <v>2023</v>
      </c>
      <c r="E31" s="365" t="str">
        <f t="shared" si="0"/>
        <v>Pesado de Passageiros M3: Geral : Gasóleo : Geral</v>
      </c>
      <c r="F31" s="366">
        <v>1</v>
      </c>
      <c r="G31" s="367" t="s">
        <v>1869</v>
      </c>
      <c r="H31" s="367" t="s">
        <v>1861</v>
      </c>
      <c r="I31" s="367" t="s">
        <v>1953</v>
      </c>
      <c r="J31" s="367" t="s">
        <v>2813</v>
      </c>
      <c r="K31" s="527" t="s">
        <v>629</v>
      </c>
      <c r="L31" s="534" t="s">
        <v>620</v>
      </c>
      <c r="M31" s="540">
        <v>1543239.5680000002</v>
      </c>
      <c r="N31" s="540" t="s">
        <v>630</v>
      </c>
      <c r="O31" s="540">
        <v>4187984</v>
      </c>
      <c r="P31" s="645">
        <v>60.526909128592656</v>
      </c>
      <c r="Q31" s="540">
        <v>253485727</v>
      </c>
      <c r="R31" s="540">
        <v>36.849223110690019</v>
      </c>
      <c r="S31" s="540" t="s">
        <v>4823</v>
      </c>
      <c r="T31" s="540" t="s">
        <v>47</v>
      </c>
      <c r="U31" t="s">
        <v>1953</v>
      </c>
      <c r="V31" t="s">
        <v>2813</v>
      </c>
    </row>
    <row r="32" spans="1:22" ht="15.75" thickBot="1" x14ac:dyDescent="0.3">
      <c r="A32" s="527" t="s">
        <v>3470</v>
      </c>
      <c r="B32" s="527" t="s">
        <v>45</v>
      </c>
      <c r="C32" s="527" t="str">
        <f t="shared" si="1"/>
        <v>Mafrense</v>
      </c>
      <c r="D32" s="365">
        <v>2023</v>
      </c>
      <c r="E32" s="365" t="str">
        <f t="shared" si="0"/>
        <v>Pesado de Passageiros M3: Geral : Gasóleo : Geral</v>
      </c>
      <c r="F32" s="366">
        <v>1</v>
      </c>
      <c r="G32" s="367" t="s">
        <v>1869</v>
      </c>
      <c r="H32" s="367" t="s">
        <v>1861</v>
      </c>
      <c r="I32" s="367" t="s">
        <v>1953</v>
      </c>
      <c r="J32" s="367" t="s">
        <v>2813</v>
      </c>
      <c r="K32" s="527" t="s">
        <v>629</v>
      </c>
      <c r="L32" s="534" t="s">
        <v>620</v>
      </c>
      <c r="M32" s="540">
        <v>2448102.3220000011</v>
      </c>
      <c r="N32" s="540" t="s">
        <v>630</v>
      </c>
      <c r="O32" s="540">
        <v>7315569</v>
      </c>
      <c r="P32" s="645">
        <v>77.684705181510836</v>
      </c>
      <c r="Q32" s="540">
        <v>568307821</v>
      </c>
      <c r="R32" s="540">
        <v>33.46427765222365</v>
      </c>
      <c r="S32" s="540" t="s">
        <v>4823</v>
      </c>
      <c r="T32" s="540" t="s">
        <v>47</v>
      </c>
      <c r="U32" t="s">
        <v>1953</v>
      </c>
      <c r="V32" t="s">
        <v>2813</v>
      </c>
    </row>
    <row r="33" spans="1:22" ht="15.75" thickBot="1" x14ac:dyDescent="0.3">
      <c r="A33" s="527" t="s">
        <v>3472</v>
      </c>
      <c r="B33" s="527" t="s">
        <v>45</v>
      </c>
      <c r="C33" s="527" t="str">
        <f t="shared" si="1"/>
        <v>Frota Azul</v>
      </c>
      <c r="D33" s="365">
        <v>2023</v>
      </c>
      <c r="E33" s="365" t="str">
        <f t="shared" si="0"/>
        <v>Pesado de Passageiros M3: Geral : Gasóleo : Geral</v>
      </c>
      <c r="F33" s="366">
        <v>1</v>
      </c>
      <c r="G33" s="367" t="s">
        <v>1869</v>
      </c>
      <c r="H33" s="367" t="s">
        <v>1861</v>
      </c>
      <c r="I33" s="367" t="s">
        <v>1953</v>
      </c>
      <c r="J33" s="367" t="s">
        <v>2813</v>
      </c>
      <c r="K33" s="527" t="s">
        <v>629</v>
      </c>
      <c r="L33" s="534" t="s">
        <v>620</v>
      </c>
      <c r="M33" s="540">
        <v>1821055.5829999992</v>
      </c>
      <c r="N33" s="540" t="s">
        <v>630</v>
      </c>
      <c r="O33" s="540">
        <v>7083049</v>
      </c>
      <c r="P33" s="645">
        <v>52.775001697715204</v>
      </c>
      <c r="Q33" s="540">
        <v>373807923</v>
      </c>
      <c r="R33" s="540">
        <v>25.71005202702959</v>
      </c>
      <c r="S33" s="540" t="s">
        <v>4823</v>
      </c>
      <c r="T33" s="540" t="s">
        <v>47</v>
      </c>
      <c r="U33" t="s">
        <v>1953</v>
      </c>
      <c r="V33" t="s">
        <v>2813</v>
      </c>
    </row>
    <row r="34" spans="1:22" ht="15.75" thickBot="1" x14ac:dyDescent="0.3">
      <c r="A34" s="527" t="s">
        <v>3278</v>
      </c>
      <c r="B34" s="527" t="s">
        <v>45</v>
      </c>
      <c r="C34" s="527" t="str">
        <f t="shared" si="1"/>
        <v>Barraqueiro Alugueres</v>
      </c>
      <c r="D34" s="365">
        <v>2023</v>
      </c>
      <c r="E34" s="365" t="str">
        <f t="shared" si="0"/>
        <v>Pesado de Passageiros M3: Geral : Gasóleo : Geral</v>
      </c>
      <c r="F34" s="366">
        <v>1</v>
      </c>
      <c r="G34" s="367" t="s">
        <v>1869</v>
      </c>
      <c r="H34" s="367" t="s">
        <v>1861</v>
      </c>
      <c r="I34" s="367" t="s">
        <v>1953</v>
      </c>
      <c r="J34" s="367" t="s">
        <v>2813</v>
      </c>
      <c r="K34" s="527" t="s">
        <v>629</v>
      </c>
      <c r="L34" s="534" t="s">
        <v>620</v>
      </c>
      <c r="M34" s="540">
        <v>2139304.8019999997</v>
      </c>
      <c r="N34" s="540" t="s">
        <v>630</v>
      </c>
      <c r="O34" s="540">
        <v>7130625</v>
      </c>
      <c r="P34" s="645">
        <v>52.899354544657726</v>
      </c>
      <c r="Q34" s="540">
        <v>377205460</v>
      </c>
      <c r="R34" s="540">
        <v>30.001645045139796</v>
      </c>
      <c r="S34" s="540" t="s">
        <v>4823</v>
      </c>
      <c r="T34" s="540" t="s">
        <v>47</v>
      </c>
      <c r="U34" t="s">
        <v>1953</v>
      </c>
      <c r="V34" t="s">
        <v>2813</v>
      </c>
    </row>
    <row r="35" spans="1:22" s="283" customFormat="1" ht="15.75" thickBot="1" x14ac:dyDescent="0.3">
      <c r="A35" s="527" t="s">
        <v>45</v>
      </c>
      <c r="B35" s="527" t="s">
        <v>45</v>
      </c>
      <c r="C35" s="527" t="str">
        <f t="shared" si="1"/>
        <v>X</v>
      </c>
      <c r="D35" s="365">
        <v>2023</v>
      </c>
      <c r="E35" s="365" t="str">
        <f t="shared" ref="E35:E66" si="6">K35&amp;": "&amp;"Geral : "&amp;L35&amp;" : Geral"</f>
        <v>Pesado de Passageiros M3: Geral : Gasóleo : Geral</v>
      </c>
      <c r="F35" s="366">
        <v>1</v>
      </c>
      <c r="G35" s="367" t="s">
        <v>1869</v>
      </c>
      <c r="H35" s="367" t="s">
        <v>1861</v>
      </c>
      <c r="I35" s="367" t="s">
        <v>1953</v>
      </c>
      <c r="J35" s="367" t="s">
        <v>2813</v>
      </c>
      <c r="K35" s="527" t="s">
        <v>629</v>
      </c>
      <c r="L35" s="534" t="s">
        <v>620</v>
      </c>
      <c r="M35" s="540">
        <v>13412447.981000027</v>
      </c>
      <c r="N35" s="540" t="s">
        <v>630</v>
      </c>
      <c r="O35" s="540">
        <v>44473500</v>
      </c>
      <c r="P35" s="645">
        <v>58.492356099699819</v>
      </c>
      <c r="Q35" s="540">
        <v>2601359799</v>
      </c>
      <c r="R35" s="540">
        <v>30.158291973872142</v>
      </c>
      <c r="S35" s="540" t="s">
        <v>4823</v>
      </c>
      <c r="T35" s="540" t="s">
        <v>47</v>
      </c>
      <c r="U35" s="422" t="s">
        <v>1953</v>
      </c>
      <c r="V35" s="422" t="s">
        <v>2813</v>
      </c>
    </row>
    <row r="36" spans="1:22" ht="15.75" hidden="1" thickBot="1" x14ac:dyDescent="0.3">
      <c r="A36" s="228" t="s">
        <v>45</v>
      </c>
      <c r="B36" s="228" t="s">
        <v>45</v>
      </c>
      <c r="C36" s="228" t="str">
        <f t="shared" si="1"/>
        <v>X</v>
      </c>
      <c r="D36" s="228">
        <v>2022</v>
      </c>
      <c r="E36" s="228" t="str">
        <f t="shared" si="6"/>
        <v>: Geral : Gasóleo : Geral</v>
      </c>
      <c r="F36" s="244">
        <v>2</v>
      </c>
      <c r="G36" s="214" t="s">
        <v>1872</v>
      </c>
      <c r="H36" s="214" t="s">
        <v>1871</v>
      </c>
      <c r="I36" s="214" t="s">
        <v>1953</v>
      </c>
      <c r="J36" s="227" t="s">
        <v>2813</v>
      </c>
      <c r="K36" s="83"/>
      <c r="L36" s="124" t="s">
        <v>620</v>
      </c>
      <c r="M36" s="127">
        <f>SUM(M39:M44)</f>
        <v>12506851</v>
      </c>
      <c r="N36" s="85" t="s">
        <v>621</v>
      </c>
      <c r="O36" s="128"/>
      <c r="P36" s="133"/>
      <c r="Q36" s="85"/>
      <c r="R36" s="85" t="s">
        <v>1517</v>
      </c>
      <c r="S36" s="427"/>
      <c r="T36" s="85" t="s">
        <v>47</v>
      </c>
      <c r="U36" t="s">
        <v>1953</v>
      </c>
      <c r="V36" t="s">
        <v>2813</v>
      </c>
    </row>
    <row r="37" spans="1:22" ht="15.75" hidden="1" thickBot="1" x14ac:dyDescent="0.3">
      <c r="A37" s="228" t="s">
        <v>535</v>
      </c>
      <c r="B37" s="228" t="str">
        <f t="shared" ref="B37:B44" si="7">LEFT(A37,IFERROR(FIND(" - ",A37)-1,LEN(A37)))</f>
        <v>Ribatejana Verde</v>
      </c>
      <c r="C37" s="228" t="str">
        <f t="shared" si="1"/>
        <v>X</v>
      </c>
      <c r="D37" s="228">
        <v>2022</v>
      </c>
      <c r="E37" s="228" t="str">
        <f t="shared" si="6"/>
        <v>: Geral : Gasóleo : Geral</v>
      </c>
      <c r="F37" s="244">
        <v>2</v>
      </c>
      <c r="G37" s="214" t="s">
        <v>1872</v>
      </c>
      <c r="H37" s="214" t="s">
        <v>1871</v>
      </c>
      <c r="I37" s="214" t="s">
        <v>1953</v>
      </c>
      <c r="J37" s="227" t="s">
        <v>2813</v>
      </c>
      <c r="K37" s="83"/>
      <c r="L37" s="124" t="s">
        <v>620</v>
      </c>
      <c r="M37" s="127">
        <v>601367</v>
      </c>
      <c r="N37" s="85" t="s">
        <v>621</v>
      </c>
      <c r="O37" s="128"/>
      <c r="P37" s="133"/>
      <c r="Q37" s="85"/>
      <c r="R37" s="85" t="s">
        <v>1518</v>
      </c>
      <c r="S37" s="427"/>
      <c r="T37" s="85" t="s">
        <v>47</v>
      </c>
      <c r="U37" t="s">
        <v>1953</v>
      </c>
      <c r="V37" t="s">
        <v>2813</v>
      </c>
    </row>
    <row r="38" spans="1:22" ht="15.75" hidden="1" thickBot="1" x14ac:dyDescent="0.3">
      <c r="A38" s="228" t="s">
        <v>601</v>
      </c>
      <c r="B38" s="228" t="str">
        <f t="shared" si="7"/>
        <v>Cityrama</v>
      </c>
      <c r="C38" s="228" t="str">
        <f t="shared" ref="C38:C57" si="8">IF(A38=B38,"X",RIGHT(A38,LEN(A38)-LEN(B38)-3))</f>
        <v>X</v>
      </c>
      <c r="D38" s="228">
        <v>2022</v>
      </c>
      <c r="E38" s="228" t="str">
        <f t="shared" si="6"/>
        <v>: Geral : Gasóleo : Geral</v>
      </c>
      <c r="F38" s="244">
        <v>2</v>
      </c>
      <c r="G38" s="214" t="s">
        <v>1872</v>
      </c>
      <c r="H38" s="214" t="s">
        <v>1871</v>
      </c>
      <c r="I38" s="214" t="s">
        <v>1953</v>
      </c>
      <c r="J38" s="227" t="s">
        <v>2813</v>
      </c>
      <c r="K38" s="83"/>
      <c r="L38" s="124" t="s">
        <v>620</v>
      </c>
      <c r="M38" s="127">
        <v>641566</v>
      </c>
      <c r="N38" s="85" t="s">
        <v>621</v>
      </c>
      <c r="O38" s="128"/>
      <c r="P38" s="133"/>
      <c r="Q38" s="91"/>
      <c r="R38" s="85" t="s">
        <v>1519</v>
      </c>
      <c r="S38" s="427"/>
      <c r="T38" s="85" t="s">
        <v>47</v>
      </c>
      <c r="U38" t="s">
        <v>1953</v>
      </c>
      <c r="V38" t="s">
        <v>2813</v>
      </c>
    </row>
    <row r="39" spans="1:22" ht="15.75" hidden="1" thickBot="1" x14ac:dyDescent="0.3">
      <c r="A39" s="228" t="s">
        <v>3471</v>
      </c>
      <c r="B39" s="228" t="str">
        <f t="shared" si="7"/>
        <v>Barraqueiro Transportes, S.A.</v>
      </c>
      <c r="C39" s="228" t="str">
        <f t="shared" si="8"/>
        <v>Estremadura</v>
      </c>
      <c r="D39" s="228">
        <v>2022</v>
      </c>
      <c r="E39" s="228" t="str">
        <f t="shared" si="6"/>
        <v>: Geral : Gasóleo : Geral</v>
      </c>
      <c r="F39" s="244">
        <v>2</v>
      </c>
      <c r="G39" s="214" t="s">
        <v>1872</v>
      </c>
      <c r="H39" s="214" t="s">
        <v>1871</v>
      </c>
      <c r="I39" s="214" t="s">
        <v>1953</v>
      </c>
      <c r="J39" s="227" t="s">
        <v>2813</v>
      </c>
      <c r="K39" s="83"/>
      <c r="L39" s="124" t="s">
        <v>620</v>
      </c>
      <c r="M39" s="127">
        <v>3400455</v>
      </c>
      <c r="N39" s="127" t="s">
        <v>621</v>
      </c>
      <c r="O39" s="85"/>
      <c r="P39" s="245"/>
      <c r="Q39" s="85"/>
      <c r="R39" s="91" t="s">
        <v>1520</v>
      </c>
      <c r="S39" s="429"/>
      <c r="T39" s="85" t="s">
        <v>47</v>
      </c>
      <c r="U39" t="s">
        <v>1953</v>
      </c>
      <c r="V39" t="s">
        <v>2813</v>
      </c>
    </row>
    <row r="40" spans="1:22" ht="15.75" hidden="1" thickBot="1" x14ac:dyDescent="0.3">
      <c r="A40" s="228" t="s">
        <v>3473</v>
      </c>
      <c r="B40" s="228" t="str">
        <f t="shared" si="7"/>
        <v>Barraqueiro Transportes, S.A.</v>
      </c>
      <c r="C40" s="228" t="str">
        <f t="shared" si="8"/>
        <v>Barraqueiro Oeste</v>
      </c>
      <c r="D40" s="228">
        <v>2022</v>
      </c>
      <c r="E40" s="228" t="str">
        <f t="shared" si="6"/>
        <v>: Geral : Gasóleo : Geral</v>
      </c>
      <c r="F40" s="244">
        <v>2</v>
      </c>
      <c r="G40" s="214" t="s">
        <v>1872</v>
      </c>
      <c r="H40" s="214" t="s">
        <v>1871</v>
      </c>
      <c r="I40" s="214" t="s">
        <v>1953</v>
      </c>
      <c r="J40" s="227" t="s">
        <v>2813</v>
      </c>
      <c r="K40" s="83"/>
      <c r="L40" s="124" t="s">
        <v>620</v>
      </c>
      <c r="M40" s="127">
        <v>1590211</v>
      </c>
      <c r="N40" s="127" t="s">
        <v>621</v>
      </c>
      <c r="O40" s="85"/>
      <c r="P40" s="245"/>
      <c r="Q40" s="85"/>
      <c r="R40" s="91" t="s">
        <v>1521</v>
      </c>
      <c r="S40" s="429"/>
      <c r="T40" s="85" t="s">
        <v>47</v>
      </c>
      <c r="U40" t="s">
        <v>1953</v>
      </c>
      <c r="V40" t="s">
        <v>2813</v>
      </c>
    </row>
    <row r="41" spans="1:22" ht="15.75" hidden="1" thickBot="1" x14ac:dyDescent="0.3">
      <c r="A41" s="228" t="s">
        <v>3474</v>
      </c>
      <c r="B41" s="228" t="str">
        <f t="shared" si="7"/>
        <v>Barraqueiro Transportes, S.A.</v>
      </c>
      <c r="C41" s="228" t="str">
        <f t="shared" si="8"/>
        <v>Boa Viagem</v>
      </c>
      <c r="D41" s="228">
        <v>2022</v>
      </c>
      <c r="E41" s="228" t="str">
        <f t="shared" si="6"/>
        <v>: Geral : Gasóleo : Geral</v>
      </c>
      <c r="F41" s="244">
        <v>2</v>
      </c>
      <c r="G41" s="214" t="s">
        <v>1872</v>
      </c>
      <c r="H41" s="214" t="s">
        <v>1871</v>
      </c>
      <c r="I41" s="214" t="s">
        <v>1953</v>
      </c>
      <c r="J41" s="227" t="s">
        <v>2813</v>
      </c>
      <c r="K41" s="83"/>
      <c r="L41" s="124" t="s">
        <v>620</v>
      </c>
      <c r="M41" s="127">
        <v>1870238</v>
      </c>
      <c r="N41" s="127" t="s">
        <v>621</v>
      </c>
      <c r="O41" s="85"/>
      <c r="P41" s="245"/>
      <c r="Q41" s="85"/>
      <c r="R41" s="91" t="s">
        <v>1522</v>
      </c>
      <c r="S41" s="429"/>
      <c r="T41" s="85" t="s">
        <v>47</v>
      </c>
      <c r="U41" t="s">
        <v>1953</v>
      </c>
      <c r="V41" t="s">
        <v>2813</v>
      </c>
    </row>
    <row r="42" spans="1:22" ht="15.75" hidden="1" thickBot="1" x14ac:dyDescent="0.3">
      <c r="A42" s="228" t="s">
        <v>3470</v>
      </c>
      <c r="B42" s="228" t="str">
        <f t="shared" si="7"/>
        <v>Barraqueiro Transportes, S.A.</v>
      </c>
      <c r="C42" s="228" t="str">
        <f t="shared" si="8"/>
        <v>Mafrense</v>
      </c>
      <c r="D42" s="228">
        <v>2022</v>
      </c>
      <c r="E42" s="228" t="str">
        <f t="shared" si="6"/>
        <v>: Geral : Gasóleo : Geral</v>
      </c>
      <c r="F42" s="244">
        <v>2</v>
      </c>
      <c r="G42" s="214" t="s">
        <v>1872</v>
      </c>
      <c r="H42" s="214" t="s">
        <v>1871</v>
      </c>
      <c r="I42" s="214" t="s">
        <v>1953</v>
      </c>
      <c r="J42" s="227" t="s">
        <v>2813</v>
      </c>
      <c r="K42" s="83"/>
      <c r="L42" s="124" t="s">
        <v>620</v>
      </c>
      <c r="M42" s="127">
        <v>1070235</v>
      </c>
      <c r="N42" s="127" t="s">
        <v>621</v>
      </c>
      <c r="O42" s="85"/>
      <c r="P42" s="245"/>
      <c r="Q42" s="85"/>
      <c r="R42" s="91" t="s">
        <v>1523</v>
      </c>
      <c r="S42" s="429"/>
      <c r="T42" s="85" t="s">
        <v>47</v>
      </c>
      <c r="U42" t="s">
        <v>1953</v>
      </c>
      <c r="V42" t="s">
        <v>2813</v>
      </c>
    </row>
    <row r="43" spans="1:22" ht="15.75" hidden="1" thickBot="1" x14ac:dyDescent="0.3">
      <c r="A43" s="228" t="s">
        <v>3278</v>
      </c>
      <c r="B43" s="228" t="str">
        <f t="shared" si="7"/>
        <v>Barraqueiro Transportes, S.A.</v>
      </c>
      <c r="C43" s="228" t="str">
        <f t="shared" si="8"/>
        <v>Barraqueiro Alugueres</v>
      </c>
      <c r="D43" s="228">
        <v>2022</v>
      </c>
      <c r="E43" s="228" t="str">
        <f t="shared" si="6"/>
        <v>: Geral : Gasóleo : Geral</v>
      </c>
      <c r="F43" s="244">
        <v>2</v>
      </c>
      <c r="G43" s="214" t="s">
        <v>1872</v>
      </c>
      <c r="H43" s="214" t="s">
        <v>1871</v>
      </c>
      <c r="I43" s="214" t="s">
        <v>1953</v>
      </c>
      <c r="J43" s="227" t="s">
        <v>2813</v>
      </c>
      <c r="K43" s="83"/>
      <c r="L43" s="124" t="s">
        <v>620</v>
      </c>
      <c r="M43" s="127">
        <v>3792755</v>
      </c>
      <c r="N43" s="127" t="s">
        <v>621</v>
      </c>
      <c r="O43" s="83"/>
      <c r="P43" s="246"/>
      <c r="Q43" s="83"/>
      <c r="R43" s="91" t="s">
        <v>1524</v>
      </c>
      <c r="S43" s="429"/>
      <c r="T43" s="85" t="s">
        <v>47</v>
      </c>
      <c r="U43" t="s">
        <v>1953</v>
      </c>
      <c r="V43" t="s">
        <v>2813</v>
      </c>
    </row>
    <row r="44" spans="1:22" ht="15.75" hidden="1" thickBot="1" x14ac:dyDescent="0.3">
      <c r="A44" s="228" t="s">
        <v>3472</v>
      </c>
      <c r="B44" s="228" t="str">
        <f t="shared" si="7"/>
        <v>Barraqueiro Transportes, S.A.</v>
      </c>
      <c r="C44" s="228" t="str">
        <f t="shared" si="8"/>
        <v>Frota Azul</v>
      </c>
      <c r="D44" s="228">
        <v>2022</v>
      </c>
      <c r="E44" s="228" t="str">
        <f t="shared" si="6"/>
        <v>: Geral : Gasóleo : Geral</v>
      </c>
      <c r="F44" s="244">
        <v>2</v>
      </c>
      <c r="G44" s="214" t="s">
        <v>1872</v>
      </c>
      <c r="H44" s="214" t="s">
        <v>1871</v>
      </c>
      <c r="I44" s="214" t="s">
        <v>1953</v>
      </c>
      <c r="J44" s="227" t="s">
        <v>2813</v>
      </c>
      <c r="K44" s="83"/>
      <c r="L44" s="124" t="s">
        <v>620</v>
      </c>
      <c r="M44" s="127">
        <v>782957</v>
      </c>
      <c r="N44" s="127" t="s">
        <v>621</v>
      </c>
      <c r="O44" s="83"/>
      <c r="P44" s="246"/>
      <c r="Q44" s="83"/>
      <c r="R44" s="91" t="s">
        <v>1525</v>
      </c>
      <c r="S44" s="429"/>
      <c r="T44" s="85" t="s">
        <v>47</v>
      </c>
      <c r="U44" t="s">
        <v>1953</v>
      </c>
      <c r="V44" t="s">
        <v>2813</v>
      </c>
    </row>
    <row r="45" spans="1:22" ht="15.75" hidden="1" thickBot="1" x14ac:dyDescent="0.3">
      <c r="A45" s="228" t="s">
        <v>45</v>
      </c>
      <c r="B45" s="228" t="s">
        <v>45</v>
      </c>
      <c r="C45" s="228" t="str">
        <f t="shared" si="8"/>
        <v>X</v>
      </c>
      <c r="D45" s="228">
        <v>2022</v>
      </c>
      <c r="E45" s="228" t="str">
        <f t="shared" si="6"/>
        <v>: Geral : Gasóleo : Geral</v>
      </c>
      <c r="F45" s="244">
        <v>2</v>
      </c>
      <c r="G45" s="214" t="s">
        <v>1872</v>
      </c>
      <c r="H45" s="214" t="s">
        <v>1871</v>
      </c>
      <c r="I45" s="214" t="s">
        <v>1953</v>
      </c>
      <c r="J45" s="227" t="s">
        <v>2813</v>
      </c>
      <c r="K45" s="83"/>
      <c r="L45" s="124" t="s">
        <v>620</v>
      </c>
      <c r="M45" s="127">
        <v>16042340.550000001</v>
      </c>
      <c r="N45" s="127" t="s">
        <v>621</v>
      </c>
      <c r="O45" s="83"/>
      <c r="P45" s="246"/>
      <c r="Q45" s="83"/>
      <c r="R45" s="91" t="s">
        <v>627</v>
      </c>
      <c r="S45" s="429"/>
      <c r="T45" s="85" t="s">
        <v>47</v>
      </c>
      <c r="U45" t="s">
        <v>1953</v>
      </c>
      <c r="V45" t="s">
        <v>2813</v>
      </c>
    </row>
    <row r="46" spans="1:22" ht="15.75" hidden="1" thickBot="1" x14ac:dyDescent="0.3">
      <c r="A46" s="228" t="s">
        <v>535</v>
      </c>
      <c r="B46" s="228" t="str">
        <f>LEFT(A46,IFERROR(FIND(" - ",A46)-1,LEN(A46)))</f>
        <v>Ribatejana Verde</v>
      </c>
      <c r="C46" s="228" t="str">
        <f t="shared" si="8"/>
        <v>X</v>
      </c>
      <c r="D46" s="228">
        <v>2022</v>
      </c>
      <c r="E46" s="228" t="str">
        <f t="shared" si="6"/>
        <v>: Geral : Gasóleo : Geral</v>
      </c>
      <c r="F46" s="244">
        <v>2</v>
      </c>
      <c r="G46" s="214" t="s">
        <v>1872</v>
      </c>
      <c r="H46" s="214" t="s">
        <v>1871</v>
      </c>
      <c r="I46" s="214" t="s">
        <v>1953</v>
      </c>
      <c r="J46" s="227" t="s">
        <v>2813</v>
      </c>
      <c r="K46" s="83"/>
      <c r="L46" s="124" t="s">
        <v>620</v>
      </c>
      <c r="M46" s="127">
        <v>1028791.97</v>
      </c>
      <c r="N46" s="127" t="s">
        <v>621</v>
      </c>
      <c r="O46" s="83"/>
      <c r="P46" s="246"/>
      <c r="Q46" s="83"/>
      <c r="R46" s="91" t="s">
        <v>627</v>
      </c>
      <c r="S46" s="429"/>
      <c r="T46" s="85" t="s">
        <v>47</v>
      </c>
      <c r="U46" t="s">
        <v>1953</v>
      </c>
      <c r="V46" t="s">
        <v>2813</v>
      </c>
    </row>
    <row r="47" spans="1:22" ht="15.75" hidden="1" thickBot="1" x14ac:dyDescent="0.3">
      <c r="A47" s="228" t="s">
        <v>601</v>
      </c>
      <c r="B47" s="228" t="str">
        <f>LEFT(A47,IFERROR(FIND(" - ",A47)-1,LEN(A47)))</f>
        <v>Cityrama</v>
      </c>
      <c r="C47" s="228" t="str">
        <f t="shared" si="8"/>
        <v>X</v>
      </c>
      <c r="D47" s="228">
        <v>2022</v>
      </c>
      <c r="E47" s="228" t="str">
        <f t="shared" si="6"/>
        <v>: Geral : Gasóleo : Geral</v>
      </c>
      <c r="F47" s="244">
        <v>2</v>
      </c>
      <c r="G47" s="214" t="s">
        <v>1872</v>
      </c>
      <c r="H47" s="214" t="s">
        <v>1871</v>
      </c>
      <c r="I47" s="214" t="s">
        <v>1953</v>
      </c>
      <c r="J47" s="227" t="s">
        <v>2813</v>
      </c>
      <c r="K47" s="83"/>
      <c r="L47" s="124" t="s">
        <v>620</v>
      </c>
      <c r="M47" s="127">
        <v>463400.92000000004</v>
      </c>
      <c r="N47" s="127" t="s">
        <v>621</v>
      </c>
      <c r="O47" s="83"/>
      <c r="P47" s="246"/>
      <c r="Q47" s="83"/>
      <c r="R47" s="91" t="s">
        <v>627</v>
      </c>
      <c r="S47" s="429"/>
      <c r="T47" s="85" t="s">
        <v>47</v>
      </c>
      <c r="U47" t="s">
        <v>1953</v>
      </c>
      <c r="V47" t="s">
        <v>2813</v>
      </c>
    </row>
    <row r="48" spans="1:22" ht="15.75" hidden="1" thickBot="1" x14ac:dyDescent="0.3">
      <c r="A48" s="228" t="s">
        <v>602</v>
      </c>
      <c r="B48" s="228" t="str">
        <f>LEFT(A48,IFERROR(FIND(" - ",A48)-1,LEN(A48)))</f>
        <v>Diana Tours / Prime Bus</v>
      </c>
      <c r="C48" s="228" t="str">
        <f t="shared" si="8"/>
        <v>X</v>
      </c>
      <c r="D48" s="228">
        <v>2022</v>
      </c>
      <c r="E48" s="228" t="str">
        <f t="shared" si="6"/>
        <v>: Geral : Gasóleo : Geral</v>
      </c>
      <c r="F48" s="244">
        <v>2</v>
      </c>
      <c r="G48" s="214" t="s">
        <v>1872</v>
      </c>
      <c r="H48" s="214" t="s">
        <v>1871</v>
      </c>
      <c r="I48" s="214" t="s">
        <v>1953</v>
      </c>
      <c r="J48" s="227" t="s">
        <v>2813</v>
      </c>
      <c r="K48" s="83"/>
      <c r="L48" s="124" t="s">
        <v>620</v>
      </c>
      <c r="M48" s="127">
        <v>384964.88999999996</v>
      </c>
      <c r="N48" s="127" t="s">
        <v>621</v>
      </c>
      <c r="O48" s="83"/>
      <c r="P48" s="246"/>
      <c r="Q48" s="83"/>
      <c r="R48" s="91" t="s">
        <v>627</v>
      </c>
      <c r="S48" s="429"/>
      <c r="T48" s="85" t="s">
        <v>47</v>
      </c>
      <c r="U48" t="s">
        <v>1953</v>
      </c>
      <c r="V48" t="s">
        <v>2813</v>
      </c>
    </row>
    <row r="49" spans="1:22" ht="15.75" hidden="1" thickBot="1" x14ac:dyDescent="0.3">
      <c r="A49" s="137" t="s">
        <v>1910</v>
      </c>
      <c r="B49" s="137" t="str">
        <f>LEFT(A49,IFERROR(FIND(" - ",A49)-1,LEN(A49)))</f>
        <v>Rodoviária de Lisboa, S.A.</v>
      </c>
      <c r="C49" s="137" t="str">
        <f t="shared" si="8"/>
        <v>X</v>
      </c>
      <c r="D49" s="137">
        <v>2022</v>
      </c>
      <c r="E49" s="228" t="str">
        <f t="shared" si="6"/>
        <v>Pesado de Passageiros M3: Geral : Gasóleo : Geral</v>
      </c>
      <c r="F49" s="244">
        <v>2</v>
      </c>
      <c r="G49" s="239" t="s">
        <v>1872</v>
      </c>
      <c r="H49" s="239" t="s">
        <v>1871</v>
      </c>
      <c r="I49" s="214" t="s">
        <v>1953</v>
      </c>
      <c r="J49" s="227" t="s">
        <v>2813</v>
      </c>
      <c r="K49" s="83" t="s">
        <v>629</v>
      </c>
      <c r="L49" s="84" t="s">
        <v>620</v>
      </c>
      <c r="M49" s="128">
        <v>10376738.789999999</v>
      </c>
      <c r="N49" s="85" t="s">
        <v>621</v>
      </c>
      <c r="O49" s="128">
        <v>16128203.23</v>
      </c>
      <c r="P49" s="133">
        <v>83.02</v>
      </c>
      <c r="Q49" s="85" t="s">
        <v>1921</v>
      </c>
      <c r="R49" s="91" t="s">
        <v>1922</v>
      </c>
      <c r="S49" s="429"/>
      <c r="T49" s="85" t="s">
        <v>47</v>
      </c>
      <c r="U49" t="s">
        <v>1953</v>
      </c>
      <c r="V49" t="s">
        <v>2813</v>
      </c>
    </row>
    <row r="50" spans="1:22" ht="15.75" hidden="1" thickBot="1" x14ac:dyDescent="0.3">
      <c r="A50" s="137" t="s">
        <v>1910</v>
      </c>
      <c r="B50" s="137" t="str">
        <f>LEFT(A50,IFERROR(FIND(" - ",A50)-1,LEN(A50)))</f>
        <v>Rodoviária de Lisboa, S.A.</v>
      </c>
      <c r="C50" s="137" t="str">
        <f t="shared" si="8"/>
        <v>X</v>
      </c>
      <c r="D50" s="137">
        <v>2022</v>
      </c>
      <c r="E50" s="228" t="str">
        <f t="shared" si="6"/>
        <v>Pesado de Passageiros M3: Geral : GNC : Geral</v>
      </c>
      <c r="F50" s="244">
        <v>2</v>
      </c>
      <c r="G50" s="239" t="s">
        <v>1872</v>
      </c>
      <c r="H50" s="239" t="s">
        <v>1871</v>
      </c>
      <c r="I50" s="214" t="s">
        <v>1953</v>
      </c>
      <c r="J50" s="227" t="s">
        <v>2813</v>
      </c>
      <c r="K50" s="83" t="s">
        <v>629</v>
      </c>
      <c r="L50" s="84" t="s">
        <v>1944</v>
      </c>
      <c r="M50" s="128">
        <v>35270.85</v>
      </c>
      <c r="N50" s="85" t="s">
        <v>621</v>
      </c>
      <c r="O50" s="128">
        <v>35777.770000000004</v>
      </c>
      <c r="P50" s="133">
        <v>69</v>
      </c>
      <c r="Q50" s="128" t="s">
        <v>1923</v>
      </c>
      <c r="R50" s="91" t="s">
        <v>1922</v>
      </c>
      <c r="S50" s="429"/>
      <c r="T50" s="85" t="s">
        <v>47</v>
      </c>
      <c r="U50" t="s">
        <v>1953</v>
      </c>
      <c r="V50" t="s">
        <v>2813</v>
      </c>
    </row>
    <row r="51" spans="1:22" ht="15.75" thickBot="1" x14ac:dyDescent="0.3">
      <c r="A51" s="527" t="s">
        <v>3471</v>
      </c>
      <c r="B51" s="527" t="s">
        <v>45</v>
      </c>
      <c r="C51" s="527" t="str">
        <f t="shared" si="8"/>
        <v>Estremadura</v>
      </c>
      <c r="D51" s="365">
        <v>2023</v>
      </c>
      <c r="E51" s="365" t="str">
        <f t="shared" si="6"/>
        <v>Ligeiro de Passageiros M1: Geral : Gasóleo : Geral</v>
      </c>
      <c r="F51" s="366">
        <v>1</v>
      </c>
      <c r="G51" s="367" t="s">
        <v>1869</v>
      </c>
      <c r="H51" s="367" t="s">
        <v>1861</v>
      </c>
      <c r="I51" s="367" t="s">
        <v>1953</v>
      </c>
      <c r="J51" s="367" t="s">
        <v>2813</v>
      </c>
      <c r="K51" s="527" t="s">
        <v>623</v>
      </c>
      <c r="L51" s="534" t="s">
        <v>620</v>
      </c>
      <c r="M51" s="540">
        <v>7523.4699999999993</v>
      </c>
      <c r="N51" s="540" t="s">
        <v>630</v>
      </c>
      <c r="O51" s="540">
        <v>97437</v>
      </c>
      <c r="P51" s="645">
        <v>8</v>
      </c>
      <c r="Q51" s="540">
        <v>779496</v>
      </c>
      <c r="R51" s="540">
        <v>7.7213686792491547</v>
      </c>
      <c r="S51" s="540" t="s">
        <v>4823</v>
      </c>
      <c r="T51" s="540" t="s">
        <v>47</v>
      </c>
      <c r="U51" t="s">
        <v>1953</v>
      </c>
      <c r="V51" t="s">
        <v>2813</v>
      </c>
    </row>
    <row r="52" spans="1:22" ht="15.75" thickBot="1" x14ac:dyDescent="0.3">
      <c r="A52" s="527" t="s">
        <v>3474</v>
      </c>
      <c r="B52" s="527" t="s">
        <v>45</v>
      </c>
      <c r="C52" s="527" t="str">
        <f t="shared" si="8"/>
        <v>Boa Viagem</v>
      </c>
      <c r="D52" s="365">
        <v>2023</v>
      </c>
      <c r="E52" s="365" t="str">
        <f t="shared" si="6"/>
        <v>Ligeiro de Passageiros M1: Geral : Gasóleo : Geral</v>
      </c>
      <c r="F52" s="366">
        <v>1</v>
      </c>
      <c r="G52" s="367" t="s">
        <v>1869</v>
      </c>
      <c r="H52" s="367" t="s">
        <v>1861</v>
      </c>
      <c r="I52" s="367" t="s">
        <v>1953</v>
      </c>
      <c r="J52" s="367" t="s">
        <v>2813</v>
      </c>
      <c r="K52" s="527" t="s">
        <v>623</v>
      </c>
      <c r="L52" s="534" t="s">
        <v>620</v>
      </c>
      <c r="M52" s="540">
        <v>2595.42</v>
      </c>
      <c r="N52" s="540" t="s">
        <v>630</v>
      </c>
      <c r="O52" s="540">
        <v>28627</v>
      </c>
      <c r="P52" s="645">
        <v>8</v>
      </c>
      <c r="Q52" s="540">
        <v>229016</v>
      </c>
      <c r="R52" s="540">
        <v>9.0663359765256573</v>
      </c>
      <c r="S52" s="540" t="s">
        <v>4823</v>
      </c>
      <c r="T52" s="540" t="s">
        <v>47</v>
      </c>
      <c r="U52" t="s">
        <v>1953</v>
      </c>
      <c r="V52" t="s">
        <v>2813</v>
      </c>
    </row>
    <row r="53" spans="1:22" ht="15.75" hidden="1" thickBot="1" x14ac:dyDescent="0.3">
      <c r="A53" s="137" t="s">
        <v>1912</v>
      </c>
      <c r="B53" s="137" t="str">
        <f>LEFT(A53,IFERROR(FIND(" - ",A53)-1,LEN(A53)))</f>
        <v>Marques, Lda.</v>
      </c>
      <c r="C53" s="137" t="str">
        <f t="shared" si="8"/>
        <v>X</v>
      </c>
      <c r="D53" s="137">
        <v>2022</v>
      </c>
      <c r="E53" s="228" t="str">
        <f t="shared" si="6"/>
        <v>Pesado de Passageiros M3: Geral : Gasóleo : Geral</v>
      </c>
      <c r="F53" s="244">
        <v>2</v>
      </c>
      <c r="G53" s="239" t="s">
        <v>1872</v>
      </c>
      <c r="H53" s="239" t="s">
        <v>1871</v>
      </c>
      <c r="I53" s="214" t="s">
        <v>1953</v>
      </c>
      <c r="J53" s="227" t="s">
        <v>2813</v>
      </c>
      <c r="K53" s="83" t="s">
        <v>629</v>
      </c>
      <c r="L53" s="84" t="s">
        <v>620</v>
      </c>
      <c r="M53" s="127">
        <v>1449757</v>
      </c>
      <c r="N53" s="85" t="s">
        <v>621</v>
      </c>
      <c r="O53" s="128">
        <v>3350907</v>
      </c>
      <c r="P53" s="133">
        <v>56.25</v>
      </c>
      <c r="Q53" s="91"/>
      <c r="R53" s="91"/>
      <c r="S53" s="429"/>
      <c r="T53" s="85" t="s">
        <v>47</v>
      </c>
      <c r="U53" t="s">
        <v>1953</v>
      </c>
      <c r="V53" t="s">
        <v>2813</v>
      </c>
    </row>
    <row r="54" spans="1:22" ht="15.75" thickBot="1" x14ac:dyDescent="0.3">
      <c r="A54" s="527" t="s">
        <v>3470</v>
      </c>
      <c r="B54" s="527" t="s">
        <v>45</v>
      </c>
      <c r="C54" s="527" t="str">
        <f t="shared" si="8"/>
        <v>Mafrense</v>
      </c>
      <c r="D54" s="365">
        <v>2023</v>
      </c>
      <c r="E54" s="365" t="str">
        <f t="shared" si="6"/>
        <v>Ligeiro de Passageiros M1: Geral : Gasóleo : Geral</v>
      </c>
      <c r="F54" s="366">
        <v>1</v>
      </c>
      <c r="G54" s="367" t="s">
        <v>1869</v>
      </c>
      <c r="H54" s="367" t="s">
        <v>1861</v>
      </c>
      <c r="I54" s="367" t="s">
        <v>1953</v>
      </c>
      <c r="J54" s="367" t="s">
        <v>2813</v>
      </c>
      <c r="K54" s="527" t="s">
        <v>623</v>
      </c>
      <c r="L54" s="534" t="s">
        <v>620</v>
      </c>
      <c r="M54" s="540">
        <v>1451.58</v>
      </c>
      <c r="N54" s="540" t="s">
        <v>630</v>
      </c>
      <c r="O54" s="540">
        <v>14484</v>
      </c>
      <c r="P54" s="645">
        <v>8</v>
      </c>
      <c r="Q54" s="540">
        <v>115872</v>
      </c>
      <c r="R54" s="540">
        <v>10.021955260977631</v>
      </c>
      <c r="S54" s="540" t="s">
        <v>4823</v>
      </c>
      <c r="T54" s="540" t="s">
        <v>47</v>
      </c>
      <c r="U54" t="s">
        <v>1953</v>
      </c>
      <c r="V54" t="s">
        <v>2813</v>
      </c>
    </row>
    <row r="55" spans="1:22" ht="15.75" thickBot="1" x14ac:dyDescent="0.3">
      <c r="A55" s="527" t="s">
        <v>3472</v>
      </c>
      <c r="B55" s="527" t="s">
        <v>45</v>
      </c>
      <c r="C55" s="527" t="str">
        <f t="shared" si="8"/>
        <v>Frota Azul</v>
      </c>
      <c r="D55" s="365">
        <v>2023</v>
      </c>
      <c r="E55" s="365" t="str">
        <f t="shared" si="6"/>
        <v>Ligeiro de Passageiros M1: Geral : Gasóleo : Geral</v>
      </c>
      <c r="F55" s="366">
        <v>1</v>
      </c>
      <c r="G55" s="367" t="s">
        <v>1869</v>
      </c>
      <c r="H55" s="367" t="s">
        <v>1861</v>
      </c>
      <c r="I55" s="367" t="s">
        <v>1953</v>
      </c>
      <c r="J55" s="367" t="s">
        <v>2813</v>
      </c>
      <c r="K55" s="527" t="s">
        <v>623</v>
      </c>
      <c r="L55" s="534" t="s">
        <v>620</v>
      </c>
      <c r="M55" s="540">
        <v>15378.85</v>
      </c>
      <c r="N55" s="540" t="s">
        <v>630</v>
      </c>
      <c r="O55" s="540">
        <v>141047</v>
      </c>
      <c r="P55" s="645">
        <v>6.5259381624564865</v>
      </c>
      <c r="Q55" s="540">
        <v>920464</v>
      </c>
      <c r="R55" s="540">
        <v>10.903351365147788</v>
      </c>
      <c r="S55" s="540" t="s">
        <v>4823</v>
      </c>
      <c r="T55" s="540" t="s">
        <v>47</v>
      </c>
      <c r="U55" t="s">
        <v>1953</v>
      </c>
      <c r="V55" t="s">
        <v>2813</v>
      </c>
    </row>
    <row r="56" spans="1:22" ht="15.75" thickBot="1" x14ac:dyDescent="0.3">
      <c r="A56" s="527" t="s">
        <v>3278</v>
      </c>
      <c r="B56" s="527" t="s">
        <v>45</v>
      </c>
      <c r="C56" s="527" t="str">
        <f t="shared" si="8"/>
        <v>Barraqueiro Alugueres</v>
      </c>
      <c r="D56" s="365">
        <v>2023</v>
      </c>
      <c r="E56" s="365" t="str">
        <f t="shared" si="6"/>
        <v>Ligeiro de Passageiros M1: Geral : Gasóleo : Geral</v>
      </c>
      <c r="F56" s="366">
        <v>1</v>
      </c>
      <c r="G56" s="367" t="s">
        <v>1869</v>
      </c>
      <c r="H56" s="367" t="s">
        <v>1861</v>
      </c>
      <c r="I56" s="367" t="s">
        <v>1953</v>
      </c>
      <c r="J56" s="367" t="s">
        <v>2813</v>
      </c>
      <c r="K56" s="527" t="s">
        <v>623</v>
      </c>
      <c r="L56" s="534" t="s">
        <v>620</v>
      </c>
      <c r="M56" s="540">
        <v>13645.01</v>
      </c>
      <c r="N56" s="540" t="s">
        <v>630</v>
      </c>
      <c r="O56" s="540">
        <v>159467</v>
      </c>
      <c r="P56" s="645">
        <v>6.099443772065694</v>
      </c>
      <c r="Q56" s="540">
        <v>972660</v>
      </c>
      <c r="R56" s="540">
        <v>8.5566355421497864</v>
      </c>
      <c r="S56" s="540" t="s">
        <v>4823</v>
      </c>
      <c r="T56" s="540" t="s">
        <v>47</v>
      </c>
      <c r="U56" t="s">
        <v>1953</v>
      </c>
      <c r="V56" t="s">
        <v>2813</v>
      </c>
    </row>
    <row r="57" spans="1:22" ht="15.75" thickBot="1" x14ac:dyDescent="0.3">
      <c r="A57" s="527" t="s">
        <v>45</v>
      </c>
      <c r="B57" s="527" t="s">
        <v>45</v>
      </c>
      <c r="C57" s="527" t="str">
        <f t="shared" si="8"/>
        <v>X</v>
      </c>
      <c r="D57" s="365">
        <v>2023</v>
      </c>
      <c r="E57" s="365" t="str">
        <f t="shared" si="6"/>
        <v>Ligeiro de Passageiros M1: Geral : Gasóleo : Geral</v>
      </c>
      <c r="F57" s="366">
        <v>1</v>
      </c>
      <c r="G57" s="367" t="s">
        <v>1869</v>
      </c>
      <c r="H57" s="367" t="s">
        <v>1861</v>
      </c>
      <c r="I57" s="367" t="s">
        <v>1953</v>
      </c>
      <c r="J57" s="367" t="s">
        <v>2813</v>
      </c>
      <c r="K57" s="527" t="s">
        <v>623</v>
      </c>
      <c r="L57" s="534" t="s">
        <v>620</v>
      </c>
      <c r="M57" s="540">
        <v>40594.33</v>
      </c>
      <c r="N57" s="540" t="s">
        <v>630</v>
      </c>
      <c r="O57" s="540">
        <v>441062</v>
      </c>
      <c r="P57" s="645">
        <v>6.8414599308033788</v>
      </c>
      <c r="Q57" s="540">
        <v>3017508</v>
      </c>
      <c r="R57" s="540">
        <v>9.2037695380694782</v>
      </c>
      <c r="S57" s="540" t="s">
        <v>4823</v>
      </c>
      <c r="T57" s="540" t="s">
        <v>47</v>
      </c>
      <c r="U57" t="s">
        <v>1953</v>
      </c>
      <c r="V57" t="s">
        <v>2813</v>
      </c>
    </row>
    <row r="58" spans="1:22" ht="15.75" thickBot="1" x14ac:dyDescent="0.3">
      <c r="A58" s="574" t="s">
        <v>4643</v>
      </c>
      <c r="B58" s="527" t="s">
        <v>4643</v>
      </c>
      <c r="C58" s="527" t="s">
        <v>1950</v>
      </c>
      <c r="D58" s="365">
        <v>2022</v>
      </c>
      <c r="E58" s="365" t="str">
        <f t="shared" si="6"/>
        <v>Ligeiro de Passageiros M1: Geral : Gasóleo : Geral</v>
      </c>
      <c r="F58" s="366">
        <v>1</v>
      </c>
      <c r="G58" s="367" t="s">
        <v>1869</v>
      </c>
      <c r="H58" s="367" t="s">
        <v>1861</v>
      </c>
      <c r="I58" s="367" t="s">
        <v>1953</v>
      </c>
      <c r="J58" s="367" t="s">
        <v>2813</v>
      </c>
      <c r="K58" s="527" t="s">
        <v>623</v>
      </c>
      <c r="L58" s="534" t="s">
        <v>620</v>
      </c>
      <c r="M58" s="127">
        <v>203460.12000000002</v>
      </c>
      <c r="N58" s="85" t="s">
        <v>630</v>
      </c>
      <c r="O58" s="128">
        <v>2536422</v>
      </c>
      <c r="P58" s="433">
        <v>8</v>
      </c>
      <c r="Q58" s="440">
        <v>20291376</v>
      </c>
      <c r="R58" s="652" t="s">
        <v>3638</v>
      </c>
      <c r="S58" s="652"/>
      <c r="T58" s="85" t="s">
        <v>47</v>
      </c>
      <c r="U58" t="s">
        <v>1953</v>
      </c>
      <c r="V58" t="s">
        <v>2813</v>
      </c>
    </row>
    <row r="59" spans="1:22" ht="15.75" thickBot="1" x14ac:dyDescent="0.3">
      <c r="A59" s="527" t="s">
        <v>4643</v>
      </c>
      <c r="B59" s="527" t="s">
        <v>4643</v>
      </c>
      <c r="C59" s="527" t="str">
        <f t="shared" ref="C59:C77" si="9">IF(A59=B59,"X",RIGHT(A59,LEN(A59)-LEN(B59)-3))</f>
        <v>X</v>
      </c>
      <c r="D59" s="365">
        <v>2023</v>
      </c>
      <c r="E59" s="365" t="str">
        <f t="shared" si="6"/>
        <v>Ligeiro de Passageiros M1: Geral : Gasóleo : Geral</v>
      </c>
      <c r="F59" s="366">
        <v>1</v>
      </c>
      <c r="G59" s="367" t="s">
        <v>1869</v>
      </c>
      <c r="H59" s="367" t="s">
        <v>1861</v>
      </c>
      <c r="I59" s="367" t="s">
        <v>1953</v>
      </c>
      <c r="J59" s="367" t="s">
        <v>2813</v>
      </c>
      <c r="K59" s="527" t="s">
        <v>623</v>
      </c>
      <c r="L59" s="534" t="s">
        <v>620</v>
      </c>
      <c r="M59" s="540">
        <v>283917.75</v>
      </c>
      <c r="N59" s="540" t="s">
        <v>630</v>
      </c>
      <c r="O59" s="540">
        <v>3521495</v>
      </c>
      <c r="P59" s="645">
        <v>8</v>
      </c>
      <c r="Q59" s="540"/>
      <c r="R59" s="540"/>
      <c r="S59" s="540" t="s">
        <v>4824</v>
      </c>
      <c r="T59" s="85" t="s">
        <v>47</v>
      </c>
      <c r="U59" t="s">
        <v>1953</v>
      </c>
      <c r="V59" t="s">
        <v>2813</v>
      </c>
    </row>
    <row r="60" spans="1:22" ht="15.75" thickBot="1" x14ac:dyDescent="0.3">
      <c r="A60" s="583" t="s">
        <v>4581</v>
      </c>
      <c r="B60" s="583" t="s">
        <v>4581</v>
      </c>
      <c r="C60" s="276" t="str">
        <f t="shared" si="9"/>
        <v>X</v>
      </c>
      <c r="D60" s="276">
        <v>2022</v>
      </c>
      <c r="E60" s="276" t="str">
        <f t="shared" si="6"/>
        <v>Pesado de Passageiros M3: Geral : Gasóleo : Geral</v>
      </c>
      <c r="F60" s="387">
        <v>1</v>
      </c>
      <c r="G60" s="283" t="s">
        <v>1869</v>
      </c>
      <c r="H60" s="283" t="s">
        <v>1861</v>
      </c>
      <c r="I60" s="283" t="s">
        <v>1953</v>
      </c>
      <c r="J60" s="283" t="s">
        <v>2813</v>
      </c>
      <c r="K60" s="263" t="s">
        <v>629</v>
      </c>
      <c r="L60" s="388" t="s">
        <v>620</v>
      </c>
      <c r="M60" s="241">
        <v>320773.27999999997</v>
      </c>
      <c r="N60" s="242" t="s">
        <v>630</v>
      </c>
      <c r="O60" s="243">
        <v>1016213</v>
      </c>
      <c r="P60" s="299">
        <f>IFERROR(Q60/O60,0)</f>
        <v>50.2639909152904</v>
      </c>
      <c r="Q60" s="243">
        <v>51078921</v>
      </c>
      <c r="R60" s="242" t="s">
        <v>1491</v>
      </c>
      <c r="S60" s="242"/>
      <c r="T60" s="242" t="s">
        <v>47</v>
      </c>
      <c r="U60" s="283" t="s">
        <v>1953</v>
      </c>
      <c r="V60" s="283" t="s">
        <v>2813</v>
      </c>
    </row>
    <row r="61" spans="1:22" ht="15.75" thickBot="1" x14ac:dyDescent="0.3">
      <c r="A61" s="632" t="s">
        <v>4581</v>
      </c>
      <c r="B61" s="632" t="s">
        <v>4581</v>
      </c>
      <c r="C61" s="527" t="str">
        <f t="shared" si="9"/>
        <v>X</v>
      </c>
      <c r="D61" s="365">
        <v>2023</v>
      </c>
      <c r="E61" s="365" t="str">
        <f t="shared" si="6"/>
        <v>Pesado de Passageiros M3: Geral : Gasóleo : Geral</v>
      </c>
      <c r="F61" s="366">
        <v>1</v>
      </c>
      <c r="G61" s="367" t="s">
        <v>1869</v>
      </c>
      <c r="H61" s="367" t="s">
        <v>1861</v>
      </c>
      <c r="I61" s="367" t="s">
        <v>1953</v>
      </c>
      <c r="J61" s="367" t="s">
        <v>2813</v>
      </c>
      <c r="K61" s="527" t="s">
        <v>629</v>
      </c>
      <c r="L61" s="534" t="s">
        <v>620</v>
      </c>
      <c r="M61" s="540">
        <v>411549.61</v>
      </c>
      <c r="N61" s="540" t="s">
        <v>630</v>
      </c>
      <c r="O61" s="540">
        <v>349979.33000000007</v>
      </c>
      <c r="P61" s="645">
        <v>56.670303329056587</v>
      </c>
      <c r="Q61" s="540">
        <v>19833434.789999999</v>
      </c>
      <c r="R61" s="540" t="s">
        <v>5921</v>
      </c>
      <c r="S61" s="427" t="s">
        <v>4824</v>
      </c>
      <c r="T61" s="85" t="s">
        <v>47</v>
      </c>
      <c r="U61" t="s">
        <v>1953</v>
      </c>
      <c r="V61" t="s">
        <v>2813</v>
      </c>
    </row>
    <row r="62" spans="1:22" ht="15.75" thickBot="1" x14ac:dyDescent="0.3">
      <c r="A62" s="632" t="s">
        <v>4581</v>
      </c>
      <c r="B62" s="632" t="s">
        <v>4581</v>
      </c>
      <c r="C62" s="527" t="str">
        <f t="shared" si="9"/>
        <v>X</v>
      </c>
      <c r="D62" s="365">
        <v>2023</v>
      </c>
      <c r="E62" s="365" t="str">
        <f t="shared" si="6"/>
        <v>Ligeiro de Passageiros M1: Geral : Gasóleo : Geral</v>
      </c>
      <c r="F62" s="366">
        <v>1</v>
      </c>
      <c r="G62" s="367" t="s">
        <v>1869</v>
      </c>
      <c r="H62" s="367" t="s">
        <v>1861</v>
      </c>
      <c r="I62" s="367" t="s">
        <v>1953</v>
      </c>
      <c r="J62" s="367" t="s">
        <v>2813</v>
      </c>
      <c r="K62" s="527" t="s">
        <v>623</v>
      </c>
      <c r="L62" s="534" t="s">
        <v>620</v>
      </c>
      <c r="M62" s="540">
        <v>30692.86</v>
      </c>
      <c r="N62" s="540" t="s">
        <v>630</v>
      </c>
      <c r="O62" s="540">
        <v>25837.249999999996</v>
      </c>
      <c r="P62" s="645">
        <v>7.2805793960270551</v>
      </c>
      <c r="Q62" s="540">
        <v>188110.15</v>
      </c>
      <c r="R62" s="540" t="s">
        <v>5922</v>
      </c>
      <c r="S62" s="427" t="s">
        <v>4824</v>
      </c>
      <c r="T62" s="85" t="s">
        <v>47</v>
      </c>
      <c r="U62" t="s">
        <v>1953</v>
      </c>
      <c r="V62" t="s">
        <v>2813</v>
      </c>
    </row>
    <row r="63" spans="1:22" ht="15.75" thickBot="1" x14ac:dyDescent="0.3">
      <c r="A63" s="632" t="s">
        <v>4581</v>
      </c>
      <c r="B63" s="632" t="s">
        <v>4581</v>
      </c>
      <c r="C63" s="527" t="str">
        <f t="shared" si="9"/>
        <v>X</v>
      </c>
      <c r="D63" s="365">
        <v>2023</v>
      </c>
      <c r="E63" s="365" t="str">
        <f t="shared" si="6"/>
        <v>Ligeiro de Mercadorias N1: Geral : Gasóleo : Geral</v>
      </c>
      <c r="F63" s="366">
        <v>1</v>
      </c>
      <c r="G63" s="367" t="s">
        <v>1869</v>
      </c>
      <c r="H63" s="367" t="s">
        <v>1861</v>
      </c>
      <c r="I63" s="367" t="s">
        <v>1953</v>
      </c>
      <c r="J63" s="367" t="s">
        <v>2813</v>
      </c>
      <c r="K63" s="527" t="s">
        <v>624</v>
      </c>
      <c r="L63" s="534" t="s">
        <v>620</v>
      </c>
      <c r="M63" s="540">
        <v>2463.1000000000004</v>
      </c>
      <c r="N63" s="540" t="s">
        <v>630</v>
      </c>
      <c r="O63" s="540">
        <v>2071.88</v>
      </c>
      <c r="P63" s="645">
        <v>2</v>
      </c>
      <c r="Q63" s="540">
        <v>4143.76</v>
      </c>
      <c r="R63" s="540" t="s">
        <v>5923</v>
      </c>
      <c r="S63" s="427" t="s">
        <v>4824</v>
      </c>
      <c r="T63" s="85" t="s">
        <v>47</v>
      </c>
      <c r="U63" t="s">
        <v>1953</v>
      </c>
      <c r="V63" t="s">
        <v>2813</v>
      </c>
    </row>
    <row r="64" spans="1:22" ht="15.75" thickBot="1" x14ac:dyDescent="0.3">
      <c r="A64" s="527" t="s">
        <v>4581</v>
      </c>
      <c r="B64" s="527" t="s">
        <v>4581</v>
      </c>
      <c r="C64" s="527" t="str">
        <f t="shared" si="9"/>
        <v>X</v>
      </c>
      <c r="D64" s="365">
        <v>2023</v>
      </c>
      <c r="E64" s="365" t="str">
        <f t="shared" si="6"/>
        <v>Pesado de Passageiros M2: Geral : Gasóleo : Geral</v>
      </c>
      <c r="F64" s="366">
        <v>1</v>
      </c>
      <c r="G64" s="367" t="s">
        <v>1869</v>
      </c>
      <c r="H64" s="367" t="s">
        <v>1861</v>
      </c>
      <c r="I64" s="367" t="s">
        <v>1953</v>
      </c>
      <c r="J64" s="367" t="s">
        <v>2813</v>
      </c>
      <c r="K64" s="527" t="s">
        <v>1919</v>
      </c>
      <c r="L64" s="534" t="s">
        <v>620</v>
      </c>
      <c r="M64" s="540">
        <v>77618.430000000008</v>
      </c>
      <c r="N64" s="540" t="s">
        <v>630</v>
      </c>
      <c r="O64" s="540">
        <v>65654.26999999999</v>
      </c>
      <c r="P64" s="645">
        <v>20.313116724928939</v>
      </c>
      <c r="Q64" s="540">
        <v>1333642.8500000001</v>
      </c>
      <c r="R64" s="540" t="s">
        <v>5924</v>
      </c>
      <c r="S64" s="427" t="s">
        <v>4824</v>
      </c>
      <c r="T64" s="85" t="s">
        <v>47</v>
      </c>
      <c r="U64" t="s">
        <v>1953</v>
      </c>
      <c r="V64" t="s">
        <v>2813</v>
      </c>
    </row>
    <row r="65" spans="1:22" ht="15.75" hidden="1" thickBot="1" x14ac:dyDescent="0.3">
      <c r="A65" s="228" t="s">
        <v>601</v>
      </c>
      <c r="B65" s="228" t="str">
        <f>LEFT(A65,IFERROR(FIND(" - ",A65)-1,LEN(A65)))</f>
        <v>Cityrama</v>
      </c>
      <c r="C65" s="228" t="str">
        <f t="shared" si="9"/>
        <v>X</v>
      </c>
      <c r="D65" s="228">
        <v>2022</v>
      </c>
      <c r="E65" s="228" t="str">
        <f t="shared" si="6"/>
        <v>: Geral : Gasóleo : Geral</v>
      </c>
      <c r="F65" s="244">
        <v>2</v>
      </c>
      <c r="G65" s="214" t="s">
        <v>1872</v>
      </c>
      <c r="H65" s="214" t="s">
        <v>1871</v>
      </c>
      <c r="I65" s="214" t="s">
        <v>1953</v>
      </c>
      <c r="J65" s="227" t="s">
        <v>2813</v>
      </c>
      <c r="K65" s="83"/>
      <c r="L65" s="432" t="s">
        <v>620</v>
      </c>
      <c r="M65" s="127">
        <v>470233.37</v>
      </c>
      <c r="N65" s="85" t="s">
        <v>621</v>
      </c>
      <c r="O65" s="128">
        <v>1200000</v>
      </c>
      <c r="P65" s="133"/>
      <c r="Q65" s="91" t="s">
        <v>618</v>
      </c>
      <c r="R65" s="427" t="s">
        <v>627</v>
      </c>
      <c r="S65" s="427"/>
      <c r="T65" s="85" t="s">
        <v>47</v>
      </c>
      <c r="U65" t="s">
        <v>1953</v>
      </c>
      <c r="V65" t="s">
        <v>2813</v>
      </c>
    </row>
    <row r="66" spans="1:22" ht="15.75" hidden="1" thickBot="1" x14ac:dyDescent="0.3">
      <c r="A66" s="228" t="s">
        <v>602</v>
      </c>
      <c r="B66" s="228" t="str">
        <f>LEFT(A66,IFERROR(FIND(" - ",A66)-1,LEN(A66)))</f>
        <v>Diana Tours / Prime Bus</v>
      </c>
      <c r="C66" s="228" t="str">
        <f t="shared" si="9"/>
        <v>X</v>
      </c>
      <c r="D66" s="228">
        <v>2022</v>
      </c>
      <c r="E66" s="228" t="str">
        <f t="shared" si="6"/>
        <v>: Geral : Gasóleo : Geral</v>
      </c>
      <c r="F66" s="244">
        <v>2</v>
      </c>
      <c r="G66" s="214" t="s">
        <v>1872</v>
      </c>
      <c r="H66" s="214" t="s">
        <v>1871</v>
      </c>
      <c r="I66" s="214" t="s">
        <v>1953</v>
      </c>
      <c r="J66" s="227" t="s">
        <v>2813</v>
      </c>
      <c r="K66" s="83"/>
      <c r="L66" s="432" t="s">
        <v>620</v>
      </c>
      <c r="M66" s="127">
        <v>384964.8</v>
      </c>
      <c r="N66" s="85" t="s">
        <v>621</v>
      </c>
      <c r="O66" s="128">
        <v>857000</v>
      </c>
      <c r="P66" s="133"/>
      <c r="Q66" s="429" t="s">
        <v>619</v>
      </c>
      <c r="R66" s="427" t="s">
        <v>627</v>
      </c>
      <c r="S66" s="427"/>
      <c r="T66" s="85" t="s">
        <v>47</v>
      </c>
      <c r="U66" t="s">
        <v>1953</v>
      </c>
      <c r="V66" t="s">
        <v>2813</v>
      </c>
    </row>
    <row r="67" spans="1:22" ht="15.75" hidden="1" thickBot="1" x14ac:dyDescent="0.3">
      <c r="A67" s="137" t="s">
        <v>1916</v>
      </c>
      <c r="B67" s="137" t="str">
        <f>LEFT(A67,IFERROR(FIND(" - ",A67)-1,LEN(A67)))</f>
        <v>Rodoviária do Alentejo, S.A.</v>
      </c>
      <c r="C67" s="137" t="str">
        <f t="shared" si="9"/>
        <v>X</v>
      </c>
      <c r="D67" s="137">
        <v>2022</v>
      </c>
      <c r="E67" s="228" t="str">
        <f t="shared" ref="E67:E101" si="10">K67&amp;": "&amp;"Geral : "&amp;L67&amp;" : Geral"</f>
        <v>Pesado de Passageiros M3: Geral : Gasóleo : Geral</v>
      </c>
      <c r="F67" s="244">
        <v>2</v>
      </c>
      <c r="G67" s="239" t="s">
        <v>1872</v>
      </c>
      <c r="H67" s="239" t="s">
        <v>1871</v>
      </c>
      <c r="I67" s="214" t="s">
        <v>1953</v>
      </c>
      <c r="J67" s="227" t="s">
        <v>2813</v>
      </c>
      <c r="K67" s="83" t="s">
        <v>629</v>
      </c>
      <c r="L67" s="84" t="s">
        <v>620</v>
      </c>
      <c r="M67" s="127">
        <v>5733475.8300000001</v>
      </c>
      <c r="N67" s="85" t="s">
        <v>621</v>
      </c>
      <c r="O67" s="128"/>
      <c r="P67" s="133"/>
      <c r="Q67" s="128"/>
      <c r="R67" s="85"/>
      <c r="S67" s="427"/>
      <c r="T67" s="85" t="s">
        <v>47</v>
      </c>
      <c r="U67" t="s">
        <v>1953</v>
      </c>
      <c r="V67" t="s">
        <v>2813</v>
      </c>
    </row>
    <row r="68" spans="1:22" ht="15.75" hidden="1" thickBot="1" x14ac:dyDescent="0.3">
      <c r="A68" s="346" t="s">
        <v>2945</v>
      </c>
      <c r="B68" s="346" t="s">
        <v>2945</v>
      </c>
      <c r="C68" s="137" t="str">
        <f t="shared" si="9"/>
        <v>X</v>
      </c>
      <c r="D68" s="137">
        <v>2022</v>
      </c>
      <c r="E68" s="228" t="str">
        <f t="shared" si="10"/>
        <v>Pesado de Passageiros M3: Geral : Gasóleo : Geral</v>
      </c>
      <c r="F68" s="244">
        <v>2</v>
      </c>
      <c r="G68" s="239" t="s">
        <v>1872</v>
      </c>
      <c r="H68" s="239" t="s">
        <v>1871</v>
      </c>
      <c r="I68" s="214" t="s">
        <v>1953</v>
      </c>
      <c r="J68" s="227" t="s">
        <v>2813</v>
      </c>
      <c r="K68" s="83" t="s">
        <v>629</v>
      </c>
      <c r="L68" s="84" t="s">
        <v>620</v>
      </c>
      <c r="M68" s="127">
        <v>348865.39</v>
      </c>
      <c r="N68" s="85" t="s">
        <v>621</v>
      </c>
      <c r="O68" s="128"/>
      <c r="P68" s="133"/>
      <c r="Q68" s="128"/>
      <c r="R68" s="85"/>
      <c r="S68" s="427"/>
      <c r="T68" s="85" t="s">
        <v>47</v>
      </c>
      <c r="U68" t="s">
        <v>1953</v>
      </c>
      <c r="V68" t="s">
        <v>2813</v>
      </c>
    </row>
    <row r="69" spans="1:22" ht="15.75" hidden="1" thickBot="1" x14ac:dyDescent="0.3">
      <c r="A69" s="346" t="s">
        <v>2943</v>
      </c>
      <c r="B69" s="346" t="s">
        <v>2943</v>
      </c>
      <c r="C69" s="137" t="str">
        <f t="shared" si="9"/>
        <v>X</v>
      </c>
      <c r="D69" s="137">
        <v>2022</v>
      </c>
      <c r="E69" s="228" t="str">
        <f t="shared" si="10"/>
        <v>Pesado de Passageiros M3: Geral : Gasóleo : Geral</v>
      </c>
      <c r="F69" s="244">
        <v>2</v>
      </c>
      <c r="G69" s="239" t="s">
        <v>1872</v>
      </c>
      <c r="H69" s="239" t="s">
        <v>1871</v>
      </c>
      <c r="I69" s="214" t="s">
        <v>1953</v>
      </c>
      <c r="J69" s="227" t="s">
        <v>2813</v>
      </c>
      <c r="K69" s="83" t="s">
        <v>629</v>
      </c>
      <c r="L69" s="84" t="s">
        <v>620</v>
      </c>
      <c r="M69" s="127">
        <v>963712.13</v>
      </c>
      <c r="N69" s="85" t="s">
        <v>621</v>
      </c>
      <c r="O69" s="128"/>
      <c r="P69" s="133"/>
      <c r="Q69" s="128"/>
      <c r="R69" s="85"/>
      <c r="S69" s="427"/>
      <c r="T69" s="85" t="s">
        <v>47</v>
      </c>
      <c r="U69" t="s">
        <v>1953</v>
      </c>
      <c r="V69" t="s">
        <v>2813</v>
      </c>
    </row>
    <row r="70" spans="1:22" ht="15.75" hidden="1" thickBot="1" x14ac:dyDescent="0.3">
      <c r="A70" s="346" t="s">
        <v>2944</v>
      </c>
      <c r="B70" s="346" t="s">
        <v>2944</v>
      </c>
      <c r="C70" s="137" t="str">
        <f t="shared" si="9"/>
        <v>X</v>
      </c>
      <c r="D70" s="137">
        <v>2022</v>
      </c>
      <c r="E70" s="228" t="str">
        <f t="shared" si="10"/>
        <v>Pesado de Passageiros M3: Geral : Gasóleo : Geral</v>
      </c>
      <c r="F70" s="244">
        <v>2</v>
      </c>
      <c r="G70" s="239" t="s">
        <v>1872</v>
      </c>
      <c r="H70" s="239" t="s">
        <v>1871</v>
      </c>
      <c r="I70" s="214" t="s">
        <v>1953</v>
      </c>
      <c r="J70" s="227" t="s">
        <v>2813</v>
      </c>
      <c r="K70" s="83" t="s">
        <v>629</v>
      </c>
      <c r="L70" s="84" t="s">
        <v>620</v>
      </c>
      <c r="M70" s="127">
        <v>247908.26</v>
      </c>
      <c r="N70" s="85" t="s">
        <v>621</v>
      </c>
      <c r="O70" s="128"/>
      <c r="P70" s="133"/>
      <c r="Q70" s="128"/>
      <c r="R70" s="85"/>
      <c r="S70" s="427"/>
      <c r="T70" s="85" t="s">
        <v>47</v>
      </c>
      <c r="U70" t="s">
        <v>1953</v>
      </c>
      <c r="V70" t="s">
        <v>2813</v>
      </c>
    </row>
    <row r="71" spans="1:22" ht="15.75" hidden="1" thickBot="1" x14ac:dyDescent="0.3">
      <c r="A71" s="346" t="s">
        <v>2946</v>
      </c>
      <c r="B71" s="346" t="s">
        <v>2946</v>
      </c>
      <c r="C71" s="137" t="str">
        <f t="shared" si="9"/>
        <v>X</v>
      </c>
      <c r="D71" s="137">
        <v>2022</v>
      </c>
      <c r="E71" s="228" t="str">
        <f t="shared" si="10"/>
        <v>Pesado de Passageiros M3: Geral : Gasóleo : Geral</v>
      </c>
      <c r="F71" s="244">
        <v>2</v>
      </c>
      <c r="G71" s="239" t="s">
        <v>1872</v>
      </c>
      <c r="H71" s="239" t="s">
        <v>1871</v>
      </c>
      <c r="I71" s="214" t="s">
        <v>1953</v>
      </c>
      <c r="J71" s="227" t="s">
        <v>2813</v>
      </c>
      <c r="K71" s="83" t="s">
        <v>629</v>
      </c>
      <c r="L71" s="84" t="s">
        <v>620</v>
      </c>
      <c r="M71" s="127">
        <v>379736.51</v>
      </c>
      <c r="N71" s="85" t="s">
        <v>621</v>
      </c>
      <c r="O71" s="128"/>
      <c r="P71" s="133"/>
      <c r="Q71" s="128"/>
      <c r="R71" s="85"/>
      <c r="S71" s="427"/>
      <c r="T71" s="85" t="s">
        <v>47</v>
      </c>
      <c r="U71" t="s">
        <v>1953</v>
      </c>
      <c r="V71" t="s">
        <v>2813</v>
      </c>
    </row>
    <row r="72" spans="1:22" ht="15.75" hidden="1" thickBot="1" x14ac:dyDescent="0.3">
      <c r="A72" s="137" t="s">
        <v>1916</v>
      </c>
      <c r="B72" s="137" t="str">
        <f>LEFT(A72,IFERROR(FIND(" - ",A72)-1,LEN(A72)))</f>
        <v>Rodoviária do Alentejo, S.A.</v>
      </c>
      <c r="C72" s="137" t="str">
        <f t="shared" si="9"/>
        <v>X</v>
      </c>
      <c r="D72" s="137">
        <v>2022</v>
      </c>
      <c r="E72" s="228" t="str">
        <f t="shared" si="10"/>
        <v>Ligeiro de Passageiros M1: Geral : Gasóleo : Geral</v>
      </c>
      <c r="F72" s="244">
        <v>2</v>
      </c>
      <c r="G72" s="239" t="s">
        <v>1872</v>
      </c>
      <c r="H72" s="239" t="s">
        <v>1871</v>
      </c>
      <c r="I72" s="214" t="s">
        <v>1953</v>
      </c>
      <c r="J72" s="227" t="s">
        <v>2813</v>
      </c>
      <c r="K72" s="83" t="s">
        <v>623</v>
      </c>
      <c r="L72" s="84" t="s">
        <v>620</v>
      </c>
      <c r="M72" s="127">
        <v>35434.066294158409</v>
      </c>
      <c r="N72" s="85" t="s">
        <v>621</v>
      </c>
      <c r="O72" s="128"/>
      <c r="P72" s="133"/>
      <c r="Q72" s="128"/>
      <c r="R72" s="85"/>
      <c r="S72" s="427"/>
      <c r="T72" s="85" t="s">
        <v>47</v>
      </c>
      <c r="U72" t="s">
        <v>1953</v>
      </c>
      <c r="V72" t="s">
        <v>2813</v>
      </c>
    </row>
    <row r="73" spans="1:22" ht="15.75" hidden="1" thickBot="1" x14ac:dyDescent="0.3">
      <c r="A73" s="137" t="s">
        <v>1916</v>
      </c>
      <c r="B73" s="137" t="str">
        <f>LEFT(A73,IFERROR(FIND(" - ",A73)-1,LEN(A73)))</f>
        <v>Rodoviária do Alentejo, S.A.</v>
      </c>
      <c r="C73" s="137" t="str">
        <f t="shared" si="9"/>
        <v>X</v>
      </c>
      <c r="D73" s="137">
        <v>2022</v>
      </c>
      <c r="E73" s="228" t="str">
        <f t="shared" si="10"/>
        <v>Ligeiro de Mercadorias N1: Geral : Gasóleo : Geral</v>
      </c>
      <c r="F73" s="244">
        <v>2</v>
      </c>
      <c r="G73" s="239" t="s">
        <v>1872</v>
      </c>
      <c r="H73" s="239" t="s">
        <v>1871</v>
      </c>
      <c r="I73" s="214" t="s">
        <v>1953</v>
      </c>
      <c r="J73" s="227" t="s">
        <v>2813</v>
      </c>
      <c r="K73" s="83" t="s">
        <v>624</v>
      </c>
      <c r="L73" s="84" t="s">
        <v>620</v>
      </c>
      <c r="M73" s="127">
        <v>24585.763705841582</v>
      </c>
      <c r="N73" s="85" t="s">
        <v>621</v>
      </c>
      <c r="O73" s="128"/>
      <c r="P73" s="133"/>
      <c r="Q73" s="128"/>
      <c r="R73" s="85"/>
      <c r="S73" s="427"/>
      <c r="T73" s="85" t="s">
        <v>47</v>
      </c>
      <c r="U73" t="s">
        <v>1953</v>
      </c>
      <c r="V73" t="s">
        <v>2813</v>
      </c>
    </row>
    <row r="74" spans="1:22" ht="15.75" hidden="1" thickBot="1" x14ac:dyDescent="0.3">
      <c r="A74" s="137" t="s">
        <v>1916</v>
      </c>
      <c r="B74" s="137" t="str">
        <f>LEFT(A74,IFERROR(FIND(" - ",A74)-1,LEN(A74)))</f>
        <v>Rodoviária do Alentejo, S.A.</v>
      </c>
      <c r="C74" s="137" t="str">
        <f t="shared" si="9"/>
        <v>X</v>
      </c>
      <c r="D74" s="137">
        <v>2022</v>
      </c>
      <c r="E74" s="228" t="str">
        <f t="shared" si="10"/>
        <v>Ligeiro de Passageiros M1: Geral : Gasolina : Geral</v>
      </c>
      <c r="F74" s="244">
        <v>2</v>
      </c>
      <c r="G74" s="239" t="s">
        <v>1872</v>
      </c>
      <c r="H74" s="239" t="s">
        <v>1871</v>
      </c>
      <c r="I74" s="214" t="s">
        <v>1953</v>
      </c>
      <c r="J74" s="227" t="s">
        <v>2813</v>
      </c>
      <c r="K74" s="83" t="s">
        <v>623</v>
      </c>
      <c r="L74" s="84" t="s">
        <v>1933</v>
      </c>
      <c r="M74" s="127">
        <v>7160.8</v>
      </c>
      <c r="N74" s="85" t="s">
        <v>621</v>
      </c>
      <c r="O74" s="128"/>
      <c r="P74" s="133"/>
      <c r="Q74" s="128"/>
      <c r="R74" s="85"/>
      <c r="S74" s="427"/>
      <c r="T74" s="85" t="s">
        <v>47</v>
      </c>
      <c r="U74" t="s">
        <v>1953</v>
      </c>
      <c r="V74" t="s">
        <v>2813</v>
      </c>
    </row>
    <row r="75" spans="1:22" ht="15.75" thickBot="1" x14ac:dyDescent="0.3">
      <c r="A75" s="276" t="s">
        <v>4582</v>
      </c>
      <c r="B75" s="276" t="s">
        <v>4582</v>
      </c>
      <c r="C75" s="276" t="str">
        <f t="shared" si="9"/>
        <v>X</v>
      </c>
      <c r="D75" s="276">
        <v>2022</v>
      </c>
      <c r="E75" s="276" t="str">
        <f t="shared" si="10"/>
        <v>Pesado de Passageiros M3: Geral : Gasóleo : Geral</v>
      </c>
      <c r="F75" s="387">
        <v>3</v>
      </c>
      <c r="G75" s="283" t="s">
        <v>1869</v>
      </c>
      <c r="H75" s="283" t="s">
        <v>1861</v>
      </c>
      <c r="I75" s="283" t="s">
        <v>1953</v>
      </c>
      <c r="J75" s="283" t="s">
        <v>2813</v>
      </c>
      <c r="K75" s="263" t="s">
        <v>629</v>
      </c>
      <c r="L75" s="388" t="s">
        <v>620</v>
      </c>
      <c r="M75" s="241">
        <f>0*251983.457</f>
        <v>0</v>
      </c>
      <c r="N75" s="242" t="s">
        <v>630</v>
      </c>
      <c r="O75" s="243">
        <f>0*882367</f>
        <v>0</v>
      </c>
      <c r="P75" s="299">
        <f>IFERROR(Q75/O75,0)</f>
        <v>0</v>
      </c>
      <c r="Q75" s="243">
        <v>41917677</v>
      </c>
      <c r="R75" s="242" t="s">
        <v>1491</v>
      </c>
      <c r="S75" s="242"/>
      <c r="T75" s="242" t="s">
        <v>47</v>
      </c>
      <c r="U75" s="283" t="s">
        <v>1953</v>
      </c>
      <c r="V75" s="283" t="s">
        <v>2813</v>
      </c>
    </row>
    <row r="76" spans="1:22" ht="15.75" thickBot="1" x14ac:dyDescent="0.3">
      <c r="A76" s="276" t="s">
        <v>4582</v>
      </c>
      <c r="B76" s="276" t="s">
        <v>4582</v>
      </c>
      <c r="C76" s="276" t="str">
        <f t="shared" si="9"/>
        <v>X</v>
      </c>
      <c r="D76" s="276">
        <v>2022</v>
      </c>
      <c r="E76" s="276" t="str">
        <f t="shared" si="10"/>
        <v>Pesado de Passageiros M3: Geral : Gasóleo : Geral</v>
      </c>
      <c r="F76" s="387">
        <v>3</v>
      </c>
      <c r="G76" s="283" t="s">
        <v>1869</v>
      </c>
      <c r="H76" s="283" t="s">
        <v>1861</v>
      </c>
      <c r="I76" s="283" t="s">
        <v>1953</v>
      </c>
      <c r="J76" s="283" t="s">
        <v>2813</v>
      </c>
      <c r="K76" s="263" t="s">
        <v>629</v>
      </c>
      <c r="L76" s="388" t="s">
        <v>620</v>
      </c>
      <c r="M76" s="241">
        <f>0*320773.28</f>
        <v>0</v>
      </c>
      <c r="N76" s="242" t="s">
        <v>630</v>
      </c>
      <c r="O76" s="243">
        <f>0*1016213</f>
        <v>0</v>
      </c>
      <c r="P76" s="299"/>
      <c r="Q76" s="243" t="s">
        <v>1494</v>
      </c>
      <c r="R76" s="242" t="s">
        <v>1492</v>
      </c>
      <c r="S76" s="242"/>
      <c r="T76" s="242" t="s">
        <v>47</v>
      </c>
      <c r="U76" s="283" t="s">
        <v>1953</v>
      </c>
      <c r="V76" s="283" t="s">
        <v>2813</v>
      </c>
    </row>
    <row r="77" spans="1:22" ht="15.75" thickBot="1" x14ac:dyDescent="0.3">
      <c r="A77" s="276" t="s">
        <v>4582</v>
      </c>
      <c r="B77" s="276" t="s">
        <v>4582</v>
      </c>
      <c r="C77" s="276" t="str">
        <f t="shared" si="9"/>
        <v>X</v>
      </c>
      <c r="D77" s="276">
        <v>2022</v>
      </c>
      <c r="E77" s="276" t="str">
        <f t="shared" si="10"/>
        <v>Pesado de Passageiros M3: Geral : Gasóleo : Geral</v>
      </c>
      <c r="F77" s="387">
        <v>1</v>
      </c>
      <c r="G77" s="283" t="s">
        <v>1869</v>
      </c>
      <c r="H77" s="283" t="s">
        <v>1861</v>
      </c>
      <c r="I77" s="283" t="s">
        <v>1953</v>
      </c>
      <c r="J77" s="283" t="s">
        <v>2813</v>
      </c>
      <c r="K77" s="263" t="s">
        <v>629</v>
      </c>
      <c r="L77" s="388" t="s">
        <v>620</v>
      </c>
      <c r="M77" s="241">
        <v>252206.01700000002</v>
      </c>
      <c r="N77" s="242" t="s">
        <v>630</v>
      </c>
      <c r="O77" s="243">
        <v>883108</v>
      </c>
      <c r="P77" s="299"/>
      <c r="Q77" s="243" t="s">
        <v>1495</v>
      </c>
      <c r="R77" s="242" t="s">
        <v>1492</v>
      </c>
      <c r="S77" s="242"/>
      <c r="T77" s="242" t="s">
        <v>47</v>
      </c>
      <c r="U77" s="283" t="s">
        <v>1953</v>
      </c>
      <c r="V77" s="283" t="s">
        <v>2813</v>
      </c>
    </row>
    <row r="78" spans="1:22" ht="15.75" thickBot="1" x14ac:dyDescent="0.3">
      <c r="A78" s="527" t="s">
        <v>4661</v>
      </c>
      <c r="B78" s="527" t="s">
        <v>4661</v>
      </c>
      <c r="C78" s="527" t="s">
        <v>1950</v>
      </c>
      <c r="D78" s="365">
        <v>2023</v>
      </c>
      <c r="E78" s="365" t="str">
        <f t="shared" si="10"/>
        <v>Pesado de Passageiros M3: Geral : Eletrico  Baterias : Geral</v>
      </c>
      <c r="F78" s="366">
        <v>1</v>
      </c>
      <c r="G78" s="367" t="s">
        <v>1869</v>
      </c>
      <c r="H78" s="367" t="s">
        <v>1861</v>
      </c>
      <c r="I78" s="367" t="s">
        <v>1953</v>
      </c>
      <c r="J78" s="367" t="s">
        <v>2813</v>
      </c>
      <c r="K78" s="527" t="s">
        <v>629</v>
      </c>
      <c r="L78" s="534" t="s">
        <v>5906</v>
      </c>
      <c r="M78" s="540"/>
      <c r="N78" s="540"/>
      <c r="O78" s="540">
        <v>279935</v>
      </c>
      <c r="P78" s="645">
        <v>51.869565217391305</v>
      </c>
      <c r="Q78" s="540"/>
      <c r="R78" s="540" t="s">
        <v>5911</v>
      </c>
      <c r="S78" s="540" t="s">
        <v>4825</v>
      </c>
      <c r="T78" s="85" t="s">
        <v>47</v>
      </c>
      <c r="U78" t="s">
        <v>1953</v>
      </c>
      <c r="V78" t="s">
        <v>2813</v>
      </c>
    </row>
    <row r="79" spans="1:22" ht="15.75" thickBot="1" x14ac:dyDescent="0.3">
      <c r="A79" s="137" t="s">
        <v>4583</v>
      </c>
      <c r="B79" s="137" t="s">
        <v>4583</v>
      </c>
      <c r="C79" s="137" t="str">
        <f>IF(A79=B79,"X",RIGHT(A79,LEN(A79)-LEN(B79)-3))</f>
        <v>X</v>
      </c>
      <c r="D79" s="137">
        <v>2022</v>
      </c>
      <c r="E79" s="228" t="str">
        <f t="shared" si="10"/>
        <v>Ligeiro de Passageiros M1: Geral : Gasóleo : Geral</v>
      </c>
      <c r="F79" s="244">
        <v>1</v>
      </c>
      <c r="G79" s="239" t="s">
        <v>1869</v>
      </c>
      <c r="H79" s="239" t="s">
        <v>1861</v>
      </c>
      <c r="I79" s="214" t="s">
        <v>1953</v>
      </c>
      <c r="J79" s="227" t="s">
        <v>2813</v>
      </c>
      <c r="K79" s="83" t="s">
        <v>623</v>
      </c>
      <c r="L79" s="84" t="s">
        <v>620</v>
      </c>
      <c r="M79" s="127">
        <v>10140.060000000001</v>
      </c>
      <c r="N79" s="85" t="s">
        <v>630</v>
      </c>
      <c r="O79" s="128">
        <v>127800.25</v>
      </c>
      <c r="P79" s="133">
        <v>8</v>
      </c>
      <c r="Q79" s="233">
        <v>1022402</v>
      </c>
      <c r="R79" s="429"/>
      <c r="S79" s="429"/>
      <c r="T79" s="85" t="s">
        <v>47</v>
      </c>
      <c r="U79" t="s">
        <v>1953</v>
      </c>
      <c r="V79" t="s">
        <v>2813</v>
      </c>
    </row>
    <row r="80" spans="1:22" ht="15.75" thickBot="1" x14ac:dyDescent="0.3">
      <c r="A80" s="137" t="s">
        <v>4583</v>
      </c>
      <c r="B80" s="137" t="s">
        <v>4583</v>
      </c>
      <c r="C80" s="137" t="str">
        <f>IF(A80=B80,"X",RIGHT(A80,LEN(A80)-LEN(B80)-3))</f>
        <v>X</v>
      </c>
      <c r="D80" s="137">
        <v>2022</v>
      </c>
      <c r="E80" s="228" t="str">
        <f t="shared" si="10"/>
        <v>Pesado de Passageiros M3: Geral : Gasóleo : Geral</v>
      </c>
      <c r="F80" s="244">
        <v>1</v>
      </c>
      <c r="G80" s="239" t="s">
        <v>1869</v>
      </c>
      <c r="H80" s="239" t="s">
        <v>1861</v>
      </c>
      <c r="I80" s="214" t="s">
        <v>1953</v>
      </c>
      <c r="J80" s="227" t="s">
        <v>2813</v>
      </c>
      <c r="K80" s="83" t="s">
        <v>629</v>
      </c>
      <c r="L80" s="84" t="s">
        <v>620</v>
      </c>
      <c r="M80" s="127">
        <v>3509435.673</v>
      </c>
      <c r="N80" s="85" t="s">
        <v>630</v>
      </c>
      <c r="O80" s="128">
        <v>12788441</v>
      </c>
      <c r="P80" s="133">
        <v>52.496240601503757</v>
      </c>
      <c r="Q80" s="233">
        <v>679251286</v>
      </c>
      <c r="R80" s="85"/>
      <c r="S80" s="427"/>
      <c r="T80" s="85" t="s">
        <v>47</v>
      </c>
      <c r="U80" t="s">
        <v>1953</v>
      </c>
      <c r="V80" t="s">
        <v>2813</v>
      </c>
    </row>
    <row r="81" spans="1:22" ht="15.75" thickBot="1" x14ac:dyDescent="0.3">
      <c r="A81" s="527" t="s">
        <v>4583</v>
      </c>
      <c r="B81" s="527" t="s">
        <v>4583</v>
      </c>
      <c r="C81" s="527" t="str">
        <f>IF(A81=B81,"X",RIGHT(A81,LEN(A81)-LEN(B81)-3))</f>
        <v>X</v>
      </c>
      <c r="D81" s="365">
        <v>2023</v>
      </c>
      <c r="E81" s="365" t="str">
        <f t="shared" si="10"/>
        <v>Ligeiro de Passageiros M1: Geral : Gasóleo : Geral</v>
      </c>
      <c r="F81" s="366">
        <v>1</v>
      </c>
      <c r="G81" s="367" t="s">
        <v>1869</v>
      </c>
      <c r="H81" s="367" t="s">
        <v>1861</v>
      </c>
      <c r="I81" s="367" t="s">
        <v>1953</v>
      </c>
      <c r="J81" s="367" t="s">
        <v>2813</v>
      </c>
      <c r="K81" s="83" t="s">
        <v>623</v>
      </c>
      <c r="L81" s="84" t="s">
        <v>620</v>
      </c>
      <c r="M81" s="540">
        <v>7019.87</v>
      </c>
      <c r="N81" s="540" t="s">
        <v>630</v>
      </c>
      <c r="O81" s="540">
        <v>86238</v>
      </c>
      <c r="P81" s="645">
        <v>9</v>
      </c>
      <c r="Q81" s="540">
        <v>776142</v>
      </c>
      <c r="R81" s="540"/>
      <c r="S81" s="540"/>
      <c r="T81" s="85" t="s">
        <v>47</v>
      </c>
      <c r="U81" t="s">
        <v>1953</v>
      </c>
      <c r="V81" t="s">
        <v>2813</v>
      </c>
    </row>
    <row r="82" spans="1:22" ht="15.75" thickBot="1" x14ac:dyDescent="0.3">
      <c r="A82" s="527" t="s">
        <v>4583</v>
      </c>
      <c r="B82" s="527" t="s">
        <v>4583</v>
      </c>
      <c r="C82" s="527" t="str">
        <f>IF(A82=B82,"X",RIGHT(A82,LEN(A82)-LEN(B82)-3))</f>
        <v>X</v>
      </c>
      <c r="D82" s="365">
        <v>2023</v>
      </c>
      <c r="E82" s="365" t="str">
        <f t="shared" si="10"/>
        <v>Pesado de Passageiros M3: Geral : Gasóleo : Geral</v>
      </c>
      <c r="F82" s="366">
        <v>1</v>
      </c>
      <c r="G82" s="367" t="s">
        <v>1869</v>
      </c>
      <c r="H82" s="367" t="s">
        <v>1861</v>
      </c>
      <c r="I82" s="367" t="s">
        <v>1953</v>
      </c>
      <c r="J82" s="367" t="s">
        <v>2813</v>
      </c>
      <c r="K82" s="83" t="s">
        <v>629</v>
      </c>
      <c r="L82" s="84" t="s">
        <v>620</v>
      </c>
      <c r="M82" s="540">
        <v>3738350.006541911</v>
      </c>
      <c r="N82" s="540" t="s">
        <v>630</v>
      </c>
      <c r="O82" s="540">
        <v>13631473</v>
      </c>
      <c r="P82" s="645">
        <v>54.440298507462686</v>
      </c>
      <c r="Q82" s="540">
        <v>742101459.21641791</v>
      </c>
      <c r="R82" s="540"/>
      <c r="S82" s="540"/>
      <c r="T82" s="85" t="s">
        <v>47</v>
      </c>
      <c r="U82" t="s">
        <v>1953</v>
      </c>
      <c r="V82" t="s">
        <v>2813</v>
      </c>
    </row>
    <row r="83" spans="1:22" ht="15.75" thickBot="1" x14ac:dyDescent="0.3">
      <c r="A83" s="574" t="s">
        <v>4642</v>
      </c>
      <c r="B83" s="527" t="s">
        <v>4642</v>
      </c>
      <c r="C83" s="527" t="s">
        <v>1950</v>
      </c>
      <c r="D83" s="365">
        <v>2022</v>
      </c>
      <c r="E83" s="365" t="str">
        <f t="shared" si="10"/>
        <v>Pesado de Passageiros M3: Geral : Gasóleo : Geral</v>
      </c>
      <c r="F83" s="366">
        <v>1</v>
      </c>
      <c r="G83" s="367" t="s">
        <v>1869</v>
      </c>
      <c r="H83" s="367" t="s">
        <v>1861</v>
      </c>
      <c r="I83" s="367" t="s">
        <v>1953</v>
      </c>
      <c r="J83" s="367" t="s">
        <v>2813</v>
      </c>
      <c r="K83" s="527" t="s">
        <v>629</v>
      </c>
      <c r="L83" s="534" t="s">
        <v>620</v>
      </c>
      <c r="M83" s="127">
        <v>113961.02</v>
      </c>
      <c r="N83" s="85" t="s">
        <v>630</v>
      </c>
      <c r="O83" s="128">
        <v>648813.81999999995</v>
      </c>
      <c r="P83" s="433">
        <v>55</v>
      </c>
      <c r="Q83" s="258">
        <v>35684760.099999994</v>
      </c>
      <c r="R83" s="652" t="s">
        <v>3639</v>
      </c>
      <c r="S83" s="652"/>
      <c r="T83" s="85" t="s">
        <v>47</v>
      </c>
      <c r="U83" t="s">
        <v>1953</v>
      </c>
      <c r="V83" t="s">
        <v>2813</v>
      </c>
    </row>
    <row r="84" spans="1:22" ht="15.75" thickBot="1" x14ac:dyDescent="0.3">
      <c r="A84" s="574" t="s">
        <v>4642</v>
      </c>
      <c r="B84" s="527" t="s">
        <v>4642</v>
      </c>
      <c r="C84" s="527" t="s">
        <v>1950</v>
      </c>
      <c r="D84" s="365">
        <v>2022</v>
      </c>
      <c r="E84" s="365" t="str">
        <f t="shared" si="10"/>
        <v>Ligeiro de Passageiros M1: Geral : Gasóleo : Geral</v>
      </c>
      <c r="F84" s="366">
        <v>1</v>
      </c>
      <c r="G84" s="367" t="s">
        <v>1869</v>
      </c>
      <c r="H84" s="367" t="s">
        <v>1861</v>
      </c>
      <c r="I84" s="367" t="s">
        <v>1953</v>
      </c>
      <c r="J84" s="367" t="s">
        <v>2813</v>
      </c>
      <c r="K84" s="527" t="s">
        <v>623</v>
      </c>
      <c r="L84" s="534" t="s">
        <v>620</v>
      </c>
      <c r="M84" s="127">
        <v>37769.33</v>
      </c>
      <c r="N84" s="85" t="s">
        <v>630</v>
      </c>
      <c r="O84" s="128">
        <v>196449.45</v>
      </c>
      <c r="P84" s="433">
        <v>8</v>
      </c>
      <c r="Q84" s="368">
        <v>1571595.6</v>
      </c>
      <c r="R84" s="652" t="s">
        <v>3639</v>
      </c>
      <c r="S84" s="652"/>
      <c r="T84" s="85" t="s">
        <v>47</v>
      </c>
      <c r="U84" t="s">
        <v>1953</v>
      </c>
      <c r="V84" t="s">
        <v>2813</v>
      </c>
    </row>
    <row r="85" spans="1:22" ht="15.75" thickBot="1" x14ac:dyDescent="0.3">
      <c r="A85" s="527" t="s">
        <v>4642</v>
      </c>
      <c r="B85" s="527" t="s">
        <v>4642</v>
      </c>
      <c r="C85" s="527" t="str">
        <f t="shared" ref="C85:C101" si="11">IF(A85=B85,"X",RIGHT(A85,LEN(A85)-LEN(B85)-3))</f>
        <v>X</v>
      </c>
      <c r="D85" s="365">
        <v>2023</v>
      </c>
      <c r="E85" s="365" t="str">
        <f t="shared" si="10"/>
        <v>Pesado de Passageiros M3: Geral : Gasóleo : Geral</v>
      </c>
      <c r="F85" s="366">
        <v>1</v>
      </c>
      <c r="G85" s="367" t="s">
        <v>1869</v>
      </c>
      <c r="H85" s="367" t="s">
        <v>1861</v>
      </c>
      <c r="I85" s="367" t="s">
        <v>1953</v>
      </c>
      <c r="J85" s="367" t="s">
        <v>2813</v>
      </c>
      <c r="K85" s="527" t="s">
        <v>629</v>
      </c>
      <c r="L85" s="534" t="s">
        <v>620</v>
      </c>
      <c r="M85" s="540">
        <v>114647.4</v>
      </c>
      <c r="N85" s="540" t="s">
        <v>630</v>
      </c>
      <c r="O85" s="540">
        <v>360763</v>
      </c>
      <c r="P85" s="645">
        <v>55</v>
      </c>
      <c r="Q85" s="540"/>
      <c r="R85" s="540"/>
      <c r="S85" s="540" t="s">
        <v>4824</v>
      </c>
      <c r="T85" s="85" t="s">
        <v>47</v>
      </c>
      <c r="U85" t="s">
        <v>1953</v>
      </c>
      <c r="V85" t="s">
        <v>2813</v>
      </c>
    </row>
    <row r="86" spans="1:22" ht="15.75" hidden="1" thickBot="1" x14ac:dyDescent="0.3">
      <c r="A86" s="137" t="s">
        <v>2817</v>
      </c>
      <c r="B86" s="137" t="str">
        <f>LEFT(A86,IFERROR(FIND(" - ",A86)-1,LEN(A86)))</f>
        <v>Isidoro Duarte, S.A.</v>
      </c>
      <c r="C86" s="137" t="str">
        <f t="shared" si="11"/>
        <v>X</v>
      </c>
      <c r="D86" s="137">
        <v>2022</v>
      </c>
      <c r="E86" s="228" t="str">
        <f t="shared" si="10"/>
        <v>Pesado de Passageiros M3: Geral : Gasóleo : Geral</v>
      </c>
      <c r="F86" s="244">
        <v>2</v>
      </c>
      <c r="G86" s="239" t="s">
        <v>1872</v>
      </c>
      <c r="H86" s="239" t="s">
        <v>1871</v>
      </c>
      <c r="I86" s="214" t="s">
        <v>1953</v>
      </c>
      <c r="J86" s="227" t="s">
        <v>2813</v>
      </c>
      <c r="K86" s="83" t="s">
        <v>629</v>
      </c>
      <c r="L86" s="84" t="s">
        <v>620</v>
      </c>
      <c r="M86" s="127">
        <v>1312179</v>
      </c>
      <c r="N86" s="85" t="s">
        <v>621</v>
      </c>
      <c r="O86" s="127">
        <v>2991498</v>
      </c>
      <c r="P86" s="133">
        <v>53</v>
      </c>
      <c r="Q86" s="235">
        <v>56443.358490566039</v>
      </c>
      <c r="R86" s="91" t="s">
        <v>1936</v>
      </c>
      <c r="S86" s="429"/>
      <c r="T86" s="85" t="s">
        <v>47</v>
      </c>
      <c r="U86" t="s">
        <v>1953</v>
      </c>
      <c r="V86" t="s">
        <v>2813</v>
      </c>
    </row>
    <row r="87" spans="1:22" ht="15.75" thickBot="1" x14ac:dyDescent="0.3">
      <c r="A87" s="527" t="s">
        <v>4642</v>
      </c>
      <c r="B87" s="527" t="s">
        <v>4642</v>
      </c>
      <c r="C87" s="527" t="str">
        <f t="shared" si="11"/>
        <v>X</v>
      </c>
      <c r="D87" s="365">
        <v>2023</v>
      </c>
      <c r="E87" s="365" t="str">
        <f t="shared" si="10"/>
        <v>Ligeiro de Passageiros M1: Geral : Gasóleo : Geral</v>
      </c>
      <c r="F87" s="366">
        <v>1</v>
      </c>
      <c r="G87" s="367" t="s">
        <v>1869</v>
      </c>
      <c r="H87" s="367" t="s">
        <v>1861</v>
      </c>
      <c r="I87" s="367" t="s">
        <v>1953</v>
      </c>
      <c r="J87" s="367" t="s">
        <v>2813</v>
      </c>
      <c r="K87" s="527" t="s">
        <v>623</v>
      </c>
      <c r="L87" s="534" t="s">
        <v>620</v>
      </c>
      <c r="M87" s="540">
        <v>19686.8</v>
      </c>
      <c r="N87" s="540" t="s">
        <v>630</v>
      </c>
      <c r="O87" s="540">
        <v>248181</v>
      </c>
      <c r="P87" s="645">
        <v>8</v>
      </c>
      <c r="Q87" s="540"/>
      <c r="R87" s="540"/>
      <c r="S87" s="540" t="s">
        <v>4824</v>
      </c>
      <c r="T87" s="85" t="s">
        <v>47</v>
      </c>
      <c r="U87" t="s">
        <v>1953</v>
      </c>
      <c r="V87" t="s">
        <v>2813</v>
      </c>
    </row>
    <row r="88" spans="1:22" ht="15.75" thickBot="1" x14ac:dyDescent="0.3">
      <c r="A88" s="137" t="s">
        <v>4584</v>
      </c>
      <c r="B88" s="137" t="s">
        <v>4584</v>
      </c>
      <c r="C88" s="137" t="str">
        <f t="shared" si="11"/>
        <v>X</v>
      </c>
      <c r="D88" s="137">
        <v>2022</v>
      </c>
      <c r="E88" s="228" t="str">
        <f t="shared" si="10"/>
        <v>Ligeiro de Passageiros M1: Geral : Gasóleo : Geral</v>
      </c>
      <c r="F88" s="244">
        <v>1</v>
      </c>
      <c r="G88" s="239" t="s">
        <v>1869</v>
      </c>
      <c r="H88" s="239" t="s">
        <v>1861</v>
      </c>
      <c r="I88" s="214" t="s">
        <v>1953</v>
      </c>
      <c r="J88" s="227" t="s">
        <v>2813</v>
      </c>
      <c r="K88" s="425" t="s">
        <v>623</v>
      </c>
      <c r="L88" s="84" t="s">
        <v>620</v>
      </c>
      <c r="M88" s="127">
        <v>127246.59999999999</v>
      </c>
      <c r="N88" s="85" t="s">
        <v>630</v>
      </c>
      <c r="O88" s="434">
        <v>1494418</v>
      </c>
      <c r="P88" s="133">
        <v>8</v>
      </c>
      <c r="Q88" s="233">
        <v>11955344</v>
      </c>
      <c r="R88" s="85"/>
      <c r="S88" s="580"/>
      <c r="T88" s="427" t="s">
        <v>47</v>
      </c>
      <c r="U88" t="s">
        <v>1953</v>
      </c>
      <c r="V88" t="s">
        <v>2813</v>
      </c>
    </row>
    <row r="89" spans="1:22" ht="15.75" thickBot="1" x14ac:dyDescent="0.3">
      <c r="A89" s="137" t="s">
        <v>4584</v>
      </c>
      <c r="B89" s="137" t="s">
        <v>4584</v>
      </c>
      <c r="C89" s="137" t="str">
        <f t="shared" si="11"/>
        <v>X</v>
      </c>
      <c r="D89" s="137">
        <v>2022</v>
      </c>
      <c r="E89" s="228" t="str">
        <f t="shared" si="10"/>
        <v>Pesado de Passageiros M3: Geral : Gasóleo : Geral</v>
      </c>
      <c r="F89" s="244">
        <v>1</v>
      </c>
      <c r="G89" s="239" t="s">
        <v>1869</v>
      </c>
      <c r="H89" s="239" t="s">
        <v>1861</v>
      </c>
      <c r="I89" s="214" t="s">
        <v>1953</v>
      </c>
      <c r="J89" s="227" t="s">
        <v>2813</v>
      </c>
      <c r="K89" s="425" t="s">
        <v>629</v>
      </c>
      <c r="L89" s="84" t="s">
        <v>620</v>
      </c>
      <c r="M89" s="127">
        <v>864199.41</v>
      </c>
      <c r="N89" s="85" t="s">
        <v>630</v>
      </c>
      <c r="O89" s="434">
        <v>3155108</v>
      </c>
      <c r="P89" s="133">
        <v>48.068965517241381</v>
      </c>
      <c r="Q89" s="233">
        <v>160188195</v>
      </c>
      <c r="R89" s="85"/>
      <c r="S89" s="580"/>
      <c r="T89" s="427" t="s">
        <v>47</v>
      </c>
      <c r="U89" t="s">
        <v>1953</v>
      </c>
      <c r="V89" t="s">
        <v>2813</v>
      </c>
    </row>
    <row r="90" spans="1:22" ht="15.75" thickBot="1" x14ac:dyDescent="0.3">
      <c r="A90" s="527" t="s">
        <v>4584</v>
      </c>
      <c r="B90" s="527" t="s">
        <v>4584</v>
      </c>
      <c r="C90" s="527" t="str">
        <f t="shared" si="11"/>
        <v>X</v>
      </c>
      <c r="D90" s="365">
        <v>2023</v>
      </c>
      <c r="E90" s="365" t="str">
        <f t="shared" si="10"/>
        <v>Ligeiro de Passageiros M1: Geral : Gasóleo : Geral</v>
      </c>
      <c r="F90" s="366">
        <v>1</v>
      </c>
      <c r="G90" s="367" t="s">
        <v>1869</v>
      </c>
      <c r="H90" s="367" t="s">
        <v>1861</v>
      </c>
      <c r="I90" s="367" t="s">
        <v>1953</v>
      </c>
      <c r="J90" s="367" t="s">
        <v>2813</v>
      </c>
      <c r="K90" s="425" t="s">
        <v>623</v>
      </c>
      <c r="L90" s="84" t="s">
        <v>620</v>
      </c>
      <c r="M90" s="540">
        <v>128512.54000000001</v>
      </c>
      <c r="N90" s="540" t="s">
        <v>630</v>
      </c>
      <c r="O90" s="540">
        <v>1380128</v>
      </c>
      <c r="P90" s="645">
        <v>9</v>
      </c>
      <c r="Q90" s="540">
        <v>12421152</v>
      </c>
      <c r="R90" s="540"/>
      <c r="S90" s="527"/>
      <c r="T90" s="427" t="s">
        <v>47</v>
      </c>
      <c r="U90" t="s">
        <v>1953</v>
      </c>
      <c r="V90" t="s">
        <v>2813</v>
      </c>
    </row>
    <row r="91" spans="1:22" ht="15.75" thickBot="1" x14ac:dyDescent="0.3">
      <c r="A91" s="527" t="s">
        <v>4584</v>
      </c>
      <c r="B91" s="527" t="s">
        <v>4584</v>
      </c>
      <c r="C91" s="527" t="str">
        <f t="shared" si="11"/>
        <v>X</v>
      </c>
      <c r="D91" s="365">
        <v>2023</v>
      </c>
      <c r="E91" s="365" t="str">
        <f t="shared" si="10"/>
        <v>Pesado de Passageiros M3: Geral : Gasóleo : Geral</v>
      </c>
      <c r="F91" s="366">
        <v>1</v>
      </c>
      <c r="G91" s="367" t="s">
        <v>1869</v>
      </c>
      <c r="H91" s="367" t="s">
        <v>1861</v>
      </c>
      <c r="I91" s="367" t="s">
        <v>1953</v>
      </c>
      <c r="J91" s="367" t="s">
        <v>2813</v>
      </c>
      <c r="K91" s="83" t="s">
        <v>629</v>
      </c>
      <c r="L91" s="84" t="s">
        <v>620</v>
      </c>
      <c r="M91" s="540">
        <v>1195690.4700000007</v>
      </c>
      <c r="N91" s="540" t="s">
        <v>630</v>
      </c>
      <c r="O91" s="540">
        <v>4184241.1</v>
      </c>
      <c r="P91" s="645">
        <v>48.927272727272729</v>
      </c>
      <c r="Q91" s="540">
        <v>204723505.45636365</v>
      </c>
      <c r="R91" s="540"/>
      <c r="S91" s="540"/>
      <c r="T91" s="85" t="s">
        <v>47</v>
      </c>
      <c r="U91" t="s">
        <v>1953</v>
      </c>
      <c r="V91" t="s">
        <v>2813</v>
      </c>
    </row>
    <row r="92" spans="1:22" ht="15.75" hidden="1" thickBot="1" x14ac:dyDescent="0.3">
      <c r="A92" s="228" t="s">
        <v>3608</v>
      </c>
      <c r="B92" s="228" t="str">
        <f>LEFT(A92,IFERROR(FIND(" - ",A92)-1,LEN(A92)))</f>
        <v>Henrique Leonardo Mota</v>
      </c>
      <c r="C92" s="228" t="str">
        <f t="shared" si="11"/>
        <v>X</v>
      </c>
      <c r="D92" s="228">
        <v>2022</v>
      </c>
      <c r="E92" s="228" t="str">
        <f t="shared" si="10"/>
        <v>: Geral : Gasóleo : Geral</v>
      </c>
      <c r="F92" s="244">
        <v>-1</v>
      </c>
      <c r="G92" s="214" t="s">
        <v>1872</v>
      </c>
      <c r="H92" s="214" t="s">
        <v>1871</v>
      </c>
      <c r="I92" s="214" t="s">
        <v>1953</v>
      </c>
      <c r="J92" s="227" t="s">
        <v>2813</v>
      </c>
      <c r="K92" s="83"/>
      <c r="L92" s="432" t="s">
        <v>620</v>
      </c>
      <c r="M92" s="127">
        <v>796615.82000000007</v>
      </c>
      <c r="N92" s="85" t="s">
        <v>621</v>
      </c>
      <c r="O92" s="434">
        <v>0</v>
      </c>
      <c r="P92" s="133"/>
      <c r="Q92" s="434">
        <v>0</v>
      </c>
      <c r="R92" s="85" t="s">
        <v>627</v>
      </c>
      <c r="S92" s="427"/>
      <c r="T92" s="85" t="s">
        <v>47</v>
      </c>
      <c r="U92" t="s">
        <v>1953</v>
      </c>
      <c r="V92" t="s">
        <v>2813</v>
      </c>
    </row>
    <row r="93" spans="1:22" ht="15.75" thickBot="1" x14ac:dyDescent="0.3">
      <c r="A93" s="137" t="s">
        <v>2817</v>
      </c>
      <c r="B93" s="137" t="str">
        <f>LEFT(A93,IFERROR(FIND(" - ",A93)-1,LEN(A93)))</f>
        <v>Isidoro Duarte, S.A.</v>
      </c>
      <c r="C93" s="137" t="str">
        <f t="shared" si="11"/>
        <v>X</v>
      </c>
      <c r="D93" s="137">
        <v>2022</v>
      </c>
      <c r="E93" s="228" t="str">
        <f t="shared" si="10"/>
        <v>Pesado de Passageiros M3: Geral : Gasóleo : Geral</v>
      </c>
      <c r="F93" s="244">
        <v>1</v>
      </c>
      <c r="G93" s="239" t="s">
        <v>1869</v>
      </c>
      <c r="H93" s="239" t="s">
        <v>1861</v>
      </c>
      <c r="I93" s="214" t="s">
        <v>1953</v>
      </c>
      <c r="J93" s="227" t="s">
        <v>2813</v>
      </c>
      <c r="K93" s="83" t="s">
        <v>629</v>
      </c>
      <c r="L93" s="84" t="s">
        <v>620</v>
      </c>
      <c r="M93" s="127">
        <v>950961</v>
      </c>
      <c r="N93" s="85" t="s">
        <v>630</v>
      </c>
      <c r="O93" s="127">
        <v>2991498</v>
      </c>
      <c r="P93" s="133">
        <v>53</v>
      </c>
      <c r="Q93" s="235">
        <v>56443.358490566039</v>
      </c>
      <c r="R93" s="85" t="s">
        <v>1936</v>
      </c>
      <c r="S93" s="427"/>
      <c r="T93" s="85" t="s">
        <v>47</v>
      </c>
      <c r="U93" t="s">
        <v>1953</v>
      </c>
      <c r="V93" t="s">
        <v>2813</v>
      </c>
    </row>
    <row r="94" spans="1:22" ht="15.75" thickBot="1" x14ac:dyDescent="0.3">
      <c r="A94" s="527" t="s">
        <v>2817</v>
      </c>
      <c r="B94" s="527" t="s">
        <v>2817</v>
      </c>
      <c r="C94" s="527" t="str">
        <f t="shared" si="11"/>
        <v>X</v>
      </c>
      <c r="D94" s="365">
        <v>2023</v>
      </c>
      <c r="E94" s="365" t="str">
        <f t="shared" si="10"/>
        <v>Pesado de Passageiros M3: Geral : Gasóleo : Geral</v>
      </c>
      <c r="F94" s="366">
        <v>1</v>
      </c>
      <c r="G94" s="367" t="s">
        <v>1869</v>
      </c>
      <c r="H94" s="367" t="s">
        <v>1861</v>
      </c>
      <c r="I94" s="367" t="s">
        <v>1953</v>
      </c>
      <c r="J94" s="367" t="s">
        <v>2813</v>
      </c>
      <c r="K94" s="527" t="s">
        <v>629</v>
      </c>
      <c r="L94" s="534" t="s">
        <v>620</v>
      </c>
      <c r="M94" s="540">
        <v>1053000</v>
      </c>
      <c r="N94" s="540" t="s">
        <v>630</v>
      </c>
      <c r="O94" s="540">
        <v>3240000</v>
      </c>
      <c r="P94" s="645">
        <v>53</v>
      </c>
      <c r="Q94" s="540">
        <v>61132.07547169811</v>
      </c>
      <c r="R94" s="540"/>
      <c r="S94" s="540" t="s">
        <v>5914</v>
      </c>
      <c r="T94" s="85" t="s">
        <v>47</v>
      </c>
      <c r="U94" t="s">
        <v>1953</v>
      </c>
      <c r="V94" t="s">
        <v>2813</v>
      </c>
    </row>
    <row r="95" spans="1:22" ht="15.75" thickBot="1" x14ac:dyDescent="0.3">
      <c r="A95" s="137" t="s">
        <v>4589</v>
      </c>
      <c r="B95" s="137" t="s">
        <v>4589</v>
      </c>
      <c r="C95" s="137" t="str">
        <f t="shared" si="11"/>
        <v>X</v>
      </c>
      <c r="D95" s="137">
        <v>2022</v>
      </c>
      <c r="E95" s="228" t="str">
        <f t="shared" si="10"/>
        <v>Pesado de Passageiros M3: Geral : Gasóleo : Geral</v>
      </c>
      <c r="F95" s="244">
        <v>1</v>
      </c>
      <c r="G95" s="239" t="s">
        <v>1869</v>
      </c>
      <c r="H95" s="239" t="s">
        <v>1861</v>
      </c>
      <c r="I95" s="214" t="s">
        <v>1953</v>
      </c>
      <c r="J95" s="227" t="s">
        <v>2813</v>
      </c>
      <c r="K95" s="83" t="s">
        <v>629</v>
      </c>
      <c r="L95" s="84" t="s">
        <v>620</v>
      </c>
      <c r="M95" s="236">
        <v>9230</v>
      </c>
      <c r="N95" s="85" t="s">
        <v>630</v>
      </c>
      <c r="O95" s="427"/>
      <c r="P95" s="133">
        <v>44</v>
      </c>
      <c r="Q95" s="427"/>
      <c r="R95" s="85" t="s">
        <v>1937</v>
      </c>
      <c r="S95" s="653" t="s">
        <v>1938</v>
      </c>
      <c r="T95" s="85" t="s">
        <v>4830</v>
      </c>
      <c r="U95" t="s">
        <v>1953</v>
      </c>
      <c r="V95" t="s">
        <v>2813</v>
      </c>
    </row>
    <row r="96" spans="1:22" ht="15.75" thickBot="1" x14ac:dyDescent="0.3">
      <c r="A96" s="137" t="s">
        <v>4589</v>
      </c>
      <c r="B96" s="137" t="s">
        <v>4589</v>
      </c>
      <c r="C96" s="137" t="str">
        <f t="shared" si="11"/>
        <v>X</v>
      </c>
      <c r="D96" s="137">
        <v>2022</v>
      </c>
      <c r="E96" s="228" t="str">
        <f t="shared" si="10"/>
        <v>Pesado de Passageiros M3: Geral : Gasóleo : Geral</v>
      </c>
      <c r="F96" s="244">
        <v>1</v>
      </c>
      <c r="G96" s="239" t="s">
        <v>1869</v>
      </c>
      <c r="H96" s="239" t="s">
        <v>1861</v>
      </c>
      <c r="I96" s="214" t="s">
        <v>1953</v>
      </c>
      <c r="J96" s="227" t="s">
        <v>2813</v>
      </c>
      <c r="K96" s="83" t="s">
        <v>629</v>
      </c>
      <c r="L96" s="84" t="s">
        <v>620</v>
      </c>
      <c r="M96" s="236">
        <v>36643</v>
      </c>
      <c r="N96" s="85" t="s">
        <v>630</v>
      </c>
      <c r="O96" s="427"/>
      <c r="P96" s="133">
        <v>54</v>
      </c>
      <c r="Q96" s="427"/>
      <c r="R96" s="85" t="s">
        <v>1937</v>
      </c>
      <c r="S96" s="653" t="s">
        <v>1939</v>
      </c>
      <c r="T96" s="85" t="s">
        <v>4830</v>
      </c>
      <c r="U96" t="s">
        <v>1953</v>
      </c>
      <c r="V96" t="s">
        <v>2813</v>
      </c>
    </row>
    <row r="97" spans="1:22" ht="15.75" thickBot="1" x14ac:dyDescent="0.3">
      <c r="A97" s="137" t="s">
        <v>4589</v>
      </c>
      <c r="B97" s="137" t="s">
        <v>4589</v>
      </c>
      <c r="C97" s="137" t="str">
        <f t="shared" si="11"/>
        <v>X</v>
      </c>
      <c r="D97" s="137">
        <v>2022</v>
      </c>
      <c r="E97" s="228" t="str">
        <f t="shared" si="10"/>
        <v>Pesado de Passageiros M3: Geral : Gasóleo : Geral</v>
      </c>
      <c r="F97" s="244">
        <v>1</v>
      </c>
      <c r="G97" s="239" t="s">
        <v>1869</v>
      </c>
      <c r="H97" s="239" t="s">
        <v>1861</v>
      </c>
      <c r="I97" s="214" t="s">
        <v>1953</v>
      </c>
      <c r="J97" s="227" t="s">
        <v>2813</v>
      </c>
      <c r="K97" s="425" t="s">
        <v>629</v>
      </c>
      <c r="L97" s="84" t="s">
        <v>620</v>
      </c>
      <c r="M97" s="236">
        <v>41552</v>
      </c>
      <c r="N97" s="85" t="s">
        <v>630</v>
      </c>
      <c r="O97" s="427"/>
      <c r="P97" s="133">
        <v>54</v>
      </c>
      <c r="Q97" s="427"/>
      <c r="R97" s="85" t="s">
        <v>1937</v>
      </c>
      <c r="S97" s="653" t="s">
        <v>1940</v>
      </c>
      <c r="T97" s="85" t="s">
        <v>4830</v>
      </c>
      <c r="U97" t="s">
        <v>1953</v>
      </c>
      <c r="V97" t="s">
        <v>2813</v>
      </c>
    </row>
    <row r="98" spans="1:22" ht="15.75" thickBot="1" x14ac:dyDescent="0.3">
      <c r="A98" s="137" t="s">
        <v>4589</v>
      </c>
      <c r="B98" s="137" t="s">
        <v>4589</v>
      </c>
      <c r="C98" s="137" t="str">
        <f t="shared" si="11"/>
        <v>X</v>
      </c>
      <c r="D98" s="137">
        <v>2023</v>
      </c>
      <c r="E98" s="228" t="str">
        <f t="shared" si="10"/>
        <v>Pesado de Passageiros M3: Geral : Gasóleo : Geral</v>
      </c>
      <c r="F98" s="366">
        <v>1</v>
      </c>
      <c r="G98" s="367" t="s">
        <v>1869</v>
      </c>
      <c r="H98" s="367" t="s">
        <v>1861</v>
      </c>
      <c r="I98" s="367" t="s">
        <v>1953</v>
      </c>
      <c r="J98" s="367" t="s">
        <v>2813</v>
      </c>
      <c r="K98" s="263" t="s">
        <v>629</v>
      </c>
      <c r="L98" s="84" t="s">
        <v>620</v>
      </c>
      <c r="M98" s="540">
        <v>110996</v>
      </c>
      <c r="N98" s="540" t="s">
        <v>630</v>
      </c>
      <c r="O98" s="540"/>
      <c r="P98" s="645"/>
      <c r="Q98" s="540"/>
      <c r="R98" s="540" t="s">
        <v>5910</v>
      </c>
      <c r="S98" s="540" t="s">
        <v>5913</v>
      </c>
      <c r="T98" s="85" t="s">
        <v>4830</v>
      </c>
      <c r="U98" t="s">
        <v>1953</v>
      </c>
      <c r="V98" t="s">
        <v>2813</v>
      </c>
    </row>
    <row r="99" spans="1:22" ht="15.75" thickBot="1" x14ac:dyDescent="0.3">
      <c r="A99" s="137" t="s">
        <v>1912</v>
      </c>
      <c r="B99" s="137" t="str">
        <f>LEFT(A99,IFERROR(FIND(" - ",A99)-1,LEN(A99)))</f>
        <v>Marques, Lda.</v>
      </c>
      <c r="C99" s="137" t="str">
        <f t="shared" si="11"/>
        <v>X</v>
      </c>
      <c r="D99" s="137">
        <v>2022</v>
      </c>
      <c r="E99" s="228" t="str">
        <f t="shared" si="10"/>
        <v>Pesado de Passageiros M3: Geral : Gasóleo : Geral</v>
      </c>
      <c r="F99" s="244">
        <v>1</v>
      </c>
      <c r="G99" s="239" t="s">
        <v>1869</v>
      </c>
      <c r="H99" s="239" t="s">
        <v>1861</v>
      </c>
      <c r="I99" s="214" t="s">
        <v>1953</v>
      </c>
      <c r="J99" s="227" t="s">
        <v>2813</v>
      </c>
      <c r="K99" s="83" t="s">
        <v>629</v>
      </c>
      <c r="L99" s="84" t="s">
        <v>620</v>
      </c>
      <c r="M99" s="127">
        <v>1040182.05</v>
      </c>
      <c r="N99" s="427" t="s">
        <v>630</v>
      </c>
      <c r="O99" s="434">
        <v>3193504</v>
      </c>
      <c r="P99" s="133">
        <v>56.25</v>
      </c>
      <c r="Q99" s="429" t="s">
        <v>1925</v>
      </c>
      <c r="R99" s="427"/>
      <c r="S99" s="427"/>
      <c r="T99" s="427" t="s">
        <v>47</v>
      </c>
      <c r="U99" t="s">
        <v>1953</v>
      </c>
      <c r="V99" t="s">
        <v>2813</v>
      </c>
    </row>
    <row r="100" spans="1:22" ht="15.75" thickBot="1" x14ac:dyDescent="0.3">
      <c r="A100" s="137" t="s">
        <v>1912</v>
      </c>
      <c r="B100" s="137" t="str">
        <f>LEFT(A100,IFERROR(FIND(" - ",A100)-1,LEN(A100)))</f>
        <v>Marques, Lda.</v>
      </c>
      <c r="C100" s="137" t="str">
        <f t="shared" si="11"/>
        <v>X</v>
      </c>
      <c r="D100" s="137">
        <v>2022</v>
      </c>
      <c r="E100" s="228" t="str">
        <f t="shared" si="10"/>
        <v>Pesado de Passageiros M2: Geral : Gasóleo : Geral</v>
      </c>
      <c r="F100" s="244">
        <v>1</v>
      </c>
      <c r="G100" s="239" t="s">
        <v>1869</v>
      </c>
      <c r="H100" s="239" t="s">
        <v>1861</v>
      </c>
      <c r="I100" s="214" t="s">
        <v>1953</v>
      </c>
      <c r="J100" s="227" t="s">
        <v>2813</v>
      </c>
      <c r="K100" s="83" t="s">
        <v>1919</v>
      </c>
      <c r="L100" s="84" t="s">
        <v>620</v>
      </c>
      <c r="M100" s="127">
        <v>3171.51</v>
      </c>
      <c r="N100" s="427" t="s">
        <v>630</v>
      </c>
      <c r="O100" s="434">
        <v>19708</v>
      </c>
      <c r="P100" s="133">
        <v>19.5</v>
      </c>
      <c r="Q100" s="429" t="s">
        <v>1503</v>
      </c>
      <c r="R100" s="85"/>
      <c r="S100" s="427"/>
      <c r="T100" s="85" t="s">
        <v>47</v>
      </c>
      <c r="U100" t="s">
        <v>1953</v>
      </c>
      <c r="V100" t="s">
        <v>2813</v>
      </c>
    </row>
    <row r="101" spans="1:22" ht="15.75" thickBot="1" x14ac:dyDescent="0.3">
      <c r="A101" s="137" t="s">
        <v>1912</v>
      </c>
      <c r="B101" s="137" t="str">
        <f>LEFT(A101,IFERROR(FIND(" - ",A101)-1,LEN(A101)))</f>
        <v>Marques, Lda.</v>
      </c>
      <c r="C101" s="137" t="str">
        <f t="shared" si="11"/>
        <v>X</v>
      </c>
      <c r="D101" s="137">
        <v>2022</v>
      </c>
      <c r="E101" s="228" t="str">
        <f t="shared" si="10"/>
        <v>Ligeiro de Passageiros M1: Geral : Gasóleo : Geral</v>
      </c>
      <c r="F101" s="244">
        <v>1</v>
      </c>
      <c r="G101" s="239" t="s">
        <v>1869</v>
      </c>
      <c r="H101" s="239" t="s">
        <v>1861</v>
      </c>
      <c r="I101" s="214" t="s">
        <v>1953</v>
      </c>
      <c r="J101" s="227" t="s">
        <v>2813</v>
      </c>
      <c r="K101" s="83" t="s">
        <v>623</v>
      </c>
      <c r="L101" s="84" t="s">
        <v>620</v>
      </c>
      <c r="M101" s="127">
        <v>4832.05</v>
      </c>
      <c r="N101" s="427" t="s">
        <v>630</v>
      </c>
      <c r="O101" s="434">
        <v>89977</v>
      </c>
      <c r="P101" s="133"/>
      <c r="Q101" s="91" t="s">
        <v>1508</v>
      </c>
      <c r="R101" s="85"/>
      <c r="S101" s="427"/>
      <c r="T101" s="85" t="s">
        <v>47</v>
      </c>
      <c r="U101" t="s">
        <v>1953</v>
      </c>
      <c r="V101" t="s">
        <v>2813</v>
      </c>
    </row>
    <row r="102" spans="1:22" ht="15.75" hidden="1" thickBot="1" x14ac:dyDescent="0.3">
      <c r="L102"/>
      <c r="U102" t="s">
        <v>1953</v>
      </c>
      <c r="V102" t="s">
        <v>2813</v>
      </c>
    </row>
    <row r="103" spans="1:22" ht="15.75" hidden="1" thickBot="1" x14ac:dyDescent="0.3">
      <c r="L103"/>
      <c r="U103" t="s">
        <v>1953</v>
      </c>
      <c r="V103" t="s">
        <v>2813</v>
      </c>
    </row>
    <row r="104" spans="1:22" ht="15.75" hidden="1" thickBot="1" x14ac:dyDescent="0.3">
      <c r="L104"/>
      <c r="U104" t="s">
        <v>1953</v>
      </c>
      <c r="V104" t="s">
        <v>2813</v>
      </c>
    </row>
    <row r="105" spans="1:22" ht="15.75" hidden="1" thickBot="1" x14ac:dyDescent="0.3">
      <c r="L105"/>
      <c r="U105" t="s">
        <v>1953</v>
      </c>
      <c r="V105" t="s">
        <v>2813</v>
      </c>
    </row>
    <row r="106" spans="1:22" ht="15.75" hidden="1" thickBot="1" x14ac:dyDescent="0.3">
      <c r="L106"/>
      <c r="U106" t="s">
        <v>1953</v>
      </c>
      <c r="V106" t="s">
        <v>2813</v>
      </c>
    </row>
    <row r="107" spans="1:22" ht="15.75" hidden="1" thickBot="1" x14ac:dyDescent="0.3">
      <c r="L107"/>
      <c r="U107" t="s">
        <v>1953</v>
      </c>
      <c r="V107" t="s">
        <v>2813</v>
      </c>
    </row>
    <row r="108" spans="1:22" ht="15.75" hidden="1" thickBot="1" x14ac:dyDescent="0.3">
      <c r="L108"/>
      <c r="U108" t="s">
        <v>1953</v>
      </c>
      <c r="V108" t="s">
        <v>2813</v>
      </c>
    </row>
    <row r="109" spans="1:22" ht="15.75" hidden="1" thickBot="1" x14ac:dyDescent="0.3">
      <c r="L109"/>
      <c r="U109" t="s">
        <v>1953</v>
      </c>
      <c r="V109" t="s">
        <v>2813</v>
      </c>
    </row>
    <row r="110" spans="1:22" ht="15.75" hidden="1" thickBot="1" x14ac:dyDescent="0.3">
      <c r="L110"/>
      <c r="U110" t="s">
        <v>1953</v>
      </c>
      <c r="V110" t="s">
        <v>2813</v>
      </c>
    </row>
    <row r="111" spans="1:22" ht="15.75" hidden="1" thickBot="1" x14ac:dyDescent="0.3">
      <c r="L111"/>
      <c r="U111" t="s">
        <v>1953</v>
      </c>
      <c r="V111" t="s">
        <v>2813</v>
      </c>
    </row>
    <row r="112" spans="1:22" ht="15.75" hidden="1" thickBot="1" x14ac:dyDescent="0.3">
      <c r="L112"/>
      <c r="U112" t="s">
        <v>1953</v>
      </c>
      <c r="V112" t="s">
        <v>2813</v>
      </c>
    </row>
    <row r="113" spans="12:22" ht="15.75" hidden="1" thickBot="1" x14ac:dyDescent="0.3">
      <c r="L113"/>
      <c r="U113" t="s">
        <v>1953</v>
      </c>
      <c r="V113" t="s">
        <v>2813</v>
      </c>
    </row>
    <row r="114" spans="12:22" ht="15.75" hidden="1" thickBot="1" x14ac:dyDescent="0.3">
      <c r="L114"/>
      <c r="U114" t="s">
        <v>1953</v>
      </c>
      <c r="V114" t="s">
        <v>2813</v>
      </c>
    </row>
    <row r="115" spans="12:22" ht="15.75" hidden="1" thickBot="1" x14ac:dyDescent="0.3">
      <c r="L115"/>
      <c r="U115" t="s">
        <v>1953</v>
      </c>
      <c r="V115" t="s">
        <v>2813</v>
      </c>
    </row>
    <row r="116" spans="12:22" ht="15.75" hidden="1" thickBot="1" x14ac:dyDescent="0.3">
      <c r="L116"/>
      <c r="U116" t="s">
        <v>1953</v>
      </c>
      <c r="V116" t="s">
        <v>2813</v>
      </c>
    </row>
    <row r="117" spans="12:22" ht="15.75" hidden="1" thickBot="1" x14ac:dyDescent="0.3">
      <c r="L117"/>
      <c r="U117" t="s">
        <v>1953</v>
      </c>
      <c r="V117" t="s">
        <v>2813</v>
      </c>
    </row>
    <row r="118" spans="12:22" ht="15.75" hidden="1" thickBot="1" x14ac:dyDescent="0.3">
      <c r="L118"/>
      <c r="U118" t="s">
        <v>1953</v>
      </c>
      <c r="V118" t="s">
        <v>2813</v>
      </c>
    </row>
    <row r="119" spans="12:22" ht="15.75" hidden="1" thickBot="1" x14ac:dyDescent="0.3">
      <c r="L119"/>
      <c r="U119" t="s">
        <v>1953</v>
      </c>
      <c r="V119" t="s">
        <v>2813</v>
      </c>
    </row>
    <row r="120" spans="12:22" ht="15.75" hidden="1" thickBot="1" x14ac:dyDescent="0.3">
      <c r="L120"/>
      <c r="U120" t="s">
        <v>1953</v>
      </c>
      <c r="V120" t="s">
        <v>2813</v>
      </c>
    </row>
    <row r="121" spans="12:22" ht="15.75" hidden="1" thickBot="1" x14ac:dyDescent="0.3">
      <c r="L121"/>
      <c r="U121" t="s">
        <v>1953</v>
      </c>
      <c r="V121" t="s">
        <v>2813</v>
      </c>
    </row>
    <row r="122" spans="12:22" ht="15.75" hidden="1" thickBot="1" x14ac:dyDescent="0.3">
      <c r="L122"/>
      <c r="U122" t="s">
        <v>1953</v>
      </c>
      <c r="V122" t="s">
        <v>2813</v>
      </c>
    </row>
    <row r="123" spans="12:22" ht="15.75" hidden="1" thickBot="1" x14ac:dyDescent="0.3">
      <c r="L123"/>
      <c r="U123" t="s">
        <v>1953</v>
      </c>
      <c r="V123" t="s">
        <v>2813</v>
      </c>
    </row>
    <row r="124" spans="12:22" ht="15.75" hidden="1" thickBot="1" x14ac:dyDescent="0.3">
      <c r="L124"/>
      <c r="U124" t="s">
        <v>1953</v>
      </c>
      <c r="V124" t="s">
        <v>2813</v>
      </c>
    </row>
    <row r="125" spans="12:22" ht="15.75" hidden="1" thickBot="1" x14ac:dyDescent="0.3">
      <c r="L125"/>
      <c r="U125" t="s">
        <v>1953</v>
      </c>
      <c r="V125" t="s">
        <v>2813</v>
      </c>
    </row>
    <row r="126" spans="12:22" ht="15.75" hidden="1" thickBot="1" x14ac:dyDescent="0.3">
      <c r="L126"/>
      <c r="U126" t="s">
        <v>1953</v>
      </c>
      <c r="V126" t="s">
        <v>2813</v>
      </c>
    </row>
    <row r="127" spans="12:22" ht="15.75" hidden="1" thickBot="1" x14ac:dyDescent="0.3">
      <c r="L127"/>
      <c r="U127" t="s">
        <v>1953</v>
      </c>
      <c r="V127" t="s">
        <v>2813</v>
      </c>
    </row>
    <row r="128" spans="12:22" ht="15.75" hidden="1" thickBot="1" x14ac:dyDescent="0.3">
      <c r="L128"/>
      <c r="U128" t="s">
        <v>1953</v>
      </c>
      <c r="V128" t="s">
        <v>2813</v>
      </c>
    </row>
    <row r="129" spans="12:22" ht="15.75" hidden="1" thickBot="1" x14ac:dyDescent="0.3">
      <c r="L129"/>
      <c r="U129" t="s">
        <v>1953</v>
      </c>
      <c r="V129" t="s">
        <v>2813</v>
      </c>
    </row>
    <row r="130" spans="12:22" ht="15.75" hidden="1" thickBot="1" x14ac:dyDescent="0.3">
      <c r="L130"/>
      <c r="U130" t="s">
        <v>1953</v>
      </c>
      <c r="V130" t="s">
        <v>2813</v>
      </c>
    </row>
    <row r="131" spans="12:22" ht="15.75" hidden="1" thickBot="1" x14ac:dyDescent="0.3">
      <c r="L131"/>
      <c r="U131" t="s">
        <v>1953</v>
      </c>
      <c r="V131" t="s">
        <v>2813</v>
      </c>
    </row>
    <row r="132" spans="12:22" ht="15.75" hidden="1" thickBot="1" x14ac:dyDescent="0.3">
      <c r="L132"/>
      <c r="U132" t="s">
        <v>1953</v>
      </c>
      <c r="V132" t="s">
        <v>2813</v>
      </c>
    </row>
    <row r="133" spans="12:22" ht="15.75" hidden="1" thickBot="1" x14ac:dyDescent="0.3">
      <c r="L133"/>
      <c r="U133" t="s">
        <v>1953</v>
      </c>
      <c r="V133" t="s">
        <v>2813</v>
      </c>
    </row>
    <row r="134" spans="12:22" ht="15.75" hidden="1" thickBot="1" x14ac:dyDescent="0.3">
      <c r="L134"/>
      <c r="U134" t="s">
        <v>1953</v>
      </c>
      <c r="V134" t="s">
        <v>2813</v>
      </c>
    </row>
    <row r="135" spans="12:22" ht="15.75" hidden="1" thickBot="1" x14ac:dyDescent="0.3">
      <c r="L135"/>
      <c r="U135" t="s">
        <v>1953</v>
      </c>
      <c r="V135" t="s">
        <v>2813</v>
      </c>
    </row>
    <row r="136" spans="12:22" ht="15.75" hidden="1" thickBot="1" x14ac:dyDescent="0.3">
      <c r="L136"/>
      <c r="U136" t="s">
        <v>1953</v>
      </c>
      <c r="V136" t="s">
        <v>2813</v>
      </c>
    </row>
    <row r="137" spans="12:22" ht="15.75" hidden="1" thickBot="1" x14ac:dyDescent="0.3">
      <c r="L137"/>
      <c r="U137" t="s">
        <v>1953</v>
      </c>
      <c r="V137" t="s">
        <v>2813</v>
      </c>
    </row>
    <row r="138" spans="12:22" ht="15.75" hidden="1" thickBot="1" x14ac:dyDescent="0.3">
      <c r="L138"/>
      <c r="U138" t="s">
        <v>1953</v>
      </c>
      <c r="V138" t="s">
        <v>2813</v>
      </c>
    </row>
    <row r="139" spans="12:22" ht="15.75" hidden="1" thickBot="1" x14ac:dyDescent="0.3">
      <c r="L139"/>
      <c r="U139" t="s">
        <v>1953</v>
      </c>
      <c r="V139" t="s">
        <v>2813</v>
      </c>
    </row>
    <row r="140" spans="12:22" ht="15.75" hidden="1" thickBot="1" x14ac:dyDescent="0.3">
      <c r="L140"/>
      <c r="U140" t="s">
        <v>1953</v>
      </c>
      <c r="V140" t="s">
        <v>2813</v>
      </c>
    </row>
    <row r="141" spans="12:22" ht="15.75" hidden="1" thickBot="1" x14ac:dyDescent="0.3">
      <c r="L141"/>
      <c r="U141" t="s">
        <v>1953</v>
      </c>
      <c r="V141" t="s">
        <v>2813</v>
      </c>
    </row>
    <row r="142" spans="12:22" ht="15.75" hidden="1" thickBot="1" x14ac:dyDescent="0.3">
      <c r="L142"/>
      <c r="U142" t="s">
        <v>1953</v>
      </c>
      <c r="V142" t="s">
        <v>2813</v>
      </c>
    </row>
    <row r="143" spans="12:22" ht="15.75" hidden="1" thickBot="1" x14ac:dyDescent="0.3">
      <c r="L143"/>
      <c r="U143" t="s">
        <v>1953</v>
      </c>
      <c r="V143" t="s">
        <v>2813</v>
      </c>
    </row>
    <row r="144" spans="12:22" ht="15.75" hidden="1" thickBot="1" x14ac:dyDescent="0.3">
      <c r="L144"/>
      <c r="U144" t="s">
        <v>1953</v>
      </c>
      <c r="V144" t="s">
        <v>2813</v>
      </c>
    </row>
    <row r="145" spans="1:22" ht="15.75" hidden="1" thickBot="1" x14ac:dyDescent="0.3">
      <c r="L145"/>
      <c r="U145" t="s">
        <v>1953</v>
      </c>
      <c r="V145" t="s">
        <v>2813</v>
      </c>
    </row>
    <row r="146" spans="1:22" ht="15.75" hidden="1" thickBot="1" x14ac:dyDescent="0.3">
      <c r="L146"/>
      <c r="U146" t="s">
        <v>1953</v>
      </c>
      <c r="V146" t="s">
        <v>2813</v>
      </c>
    </row>
    <row r="147" spans="1:22" ht="15.75" hidden="1" thickBot="1" x14ac:dyDescent="0.3">
      <c r="L147"/>
      <c r="U147" t="s">
        <v>1953</v>
      </c>
      <c r="V147" t="s">
        <v>2813</v>
      </c>
    </row>
    <row r="148" spans="1:22" ht="15.75" thickBot="1" x14ac:dyDescent="0.3">
      <c r="A148" s="634" t="s">
        <v>1912</v>
      </c>
      <c r="B148" s="634" t="str">
        <f>LEFT(A148,IFERROR(FIND(" - ",A148)-1,LEN(A148)))</f>
        <v>Marques, Lda.</v>
      </c>
      <c r="C148" s="634" t="str">
        <f>IF(A148=B148,"X",RIGHT(A148,LEN(A148)-LEN(B148)-3))</f>
        <v>X</v>
      </c>
      <c r="D148" s="635">
        <v>2022</v>
      </c>
      <c r="E148" s="228" t="str">
        <f t="shared" ref="E148:E174" si="12">K148&amp;": "&amp;"Geral : "&amp;L148&amp;" : Geral"</f>
        <v>Ligeiro de Mercadorias N1: Geral : Gasóleo : Geral</v>
      </c>
      <c r="F148" s="244">
        <v>1</v>
      </c>
      <c r="G148" s="239" t="s">
        <v>1869</v>
      </c>
      <c r="H148" s="239" t="s">
        <v>1861</v>
      </c>
      <c r="I148" s="214" t="s">
        <v>1953</v>
      </c>
      <c r="J148" s="227" t="s">
        <v>2813</v>
      </c>
      <c r="K148" s="425" t="s">
        <v>624</v>
      </c>
      <c r="L148" s="426" t="s">
        <v>620</v>
      </c>
      <c r="M148" s="127">
        <v>5234.7</v>
      </c>
      <c r="N148" s="85" t="s">
        <v>630</v>
      </c>
      <c r="O148" s="128">
        <v>47718</v>
      </c>
      <c r="P148" s="437"/>
      <c r="Q148" s="429" t="s">
        <v>1503</v>
      </c>
      <c r="R148" s="570"/>
      <c r="S148" s="570"/>
      <c r="T148" s="429" t="s">
        <v>626</v>
      </c>
      <c r="U148" t="s">
        <v>1953</v>
      </c>
      <c r="V148" t="s">
        <v>2813</v>
      </c>
    </row>
    <row r="149" spans="1:22" ht="15.75" thickBot="1" x14ac:dyDescent="0.3">
      <c r="A149" t="s">
        <v>1912</v>
      </c>
      <c r="B149" t="s">
        <v>1912</v>
      </c>
      <c r="C149" t="s">
        <v>1950</v>
      </c>
      <c r="D149" s="364">
        <v>2023</v>
      </c>
      <c r="E149" s="365" t="str">
        <f t="shared" si="12"/>
        <v>Pesado de Passageiros M3: Geral : Gasóleo : Geral</v>
      </c>
      <c r="F149" s="366">
        <v>1</v>
      </c>
      <c r="G149" s="367" t="s">
        <v>1869</v>
      </c>
      <c r="H149" s="367" t="s">
        <v>1861</v>
      </c>
      <c r="I149" s="367" t="s">
        <v>1953</v>
      </c>
      <c r="J149" s="367" t="s">
        <v>2813</v>
      </c>
      <c r="K149" t="s">
        <v>629</v>
      </c>
      <c r="L149" s="444" t="s">
        <v>620</v>
      </c>
      <c r="M149" s="540">
        <v>1223669.1299999999</v>
      </c>
      <c r="N149" s="540" t="s">
        <v>630</v>
      </c>
      <c r="O149" s="540">
        <v>3829431</v>
      </c>
      <c r="P149" s="645">
        <v>57.9</v>
      </c>
      <c r="Q149" s="540"/>
      <c r="R149" t="s">
        <v>5912</v>
      </c>
      <c r="S149" s="422" t="s">
        <v>4823</v>
      </c>
      <c r="T149" s="85" t="s">
        <v>47</v>
      </c>
      <c r="U149" t="s">
        <v>1953</v>
      </c>
      <c r="V149" t="s">
        <v>2813</v>
      </c>
    </row>
    <row r="150" spans="1:22" ht="15.75" thickBot="1" x14ac:dyDescent="0.3">
      <c r="A150" s="422" t="s">
        <v>1912</v>
      </c>
      <c r="B150" t="s">
        <v>1912</v>
      </c>
      <c r="C150" t="str">
        <f>IF(A150=B150,"X",RIGHT(A150,LEN(A150)-LEN(B150)-3))</f>
        <v>X</v>
      </c>
      <c r="D150" s="364">
        <v>2023</v>
      </c>
      <c r="E150" s="365" t="str">
        <f t="shared" si="12"/>
        <v>Pesado de Passageiros M2: Geral : Gasóleo : Geral</v>
      </c>
      <c r="F150" s="366">
        <v>1</v>
      </c>
      <c r="G150" s="367" t="s">
        <v>1869</v>
      </c>
      <c r="H150" s="367" t="s">
        <v>1861</v>
      </c>
      <c r="I150" s="367" t="s">
        <v>1953</v>
      </c>
      <c r="J150" s="367" t="s">
        <v>2813</v>
      </c>
      <c r="K150" s="458" t="s">
        <v>1919</v>
      </c>
      <c r="L150" s="444" t="s">
        <v>620</v>
      </c>
      <c r="M150" s="540">
        <v>6061.63</v>
      </c>
      <c r="N150" s="540" t="s">
        <v>630</v>
      </c>
      <c r="O150" s="540">
        <v>36607</v>
      </c>
      <c r="P150" s="645">
        <v>19</v>
      </c>
      <c r="Q150" s="540"/>
      <c r="R150" s="422" t="s">
        <v>1502</v>
      </c>
      <c r="S150" s="422" t="s">
        <v>4823</v>
      </c>
      <c r="T150" s="85" t="s">
        <v>47</v>
      </c>
      <c r="U150" t="s">
        <v>1953</v>
      </c>
      <c r="V150" t="s">
        <v>2813</v>
      </c>
    </row>
    <row r="151" spans="1:22" ht="15.75" thickBot="1" x14ac:dyDescent="0.3">
      <c r="A151" s="422" t="s">
        <v>1912</v>
      </c>
      <c r="B151" t="s">
        <v>1912</v>
      </c>
      <c r="C151" t="str">
        <f>IF(A151=B151,"X",RIGHT(A151,LEN(A151)-LEN(B151)-3))</f>
        <v>X</v>
      </c>
      <c r="D151" s="364">
        <v>2023</v>
      </c>
      <c r="E151" s="365" t="str">
        <f t="shared" si="12"/>
        <v>Ligeiro de Passageiros M1: Geral : Gasóleo : Geral</v>
      </c>
      <c r="F151" s="366">
        <v>1</v>
      </c>
      <c r="G151" s="367" t="s">
        <v>1869</v>
      </c>
      <c r="H151" s="367" t="s">
        <v>1861</v>
      </c>
      <c r="I151" s="367" t="s">
        <v>1953</v>
      </c>
      <c r="J151" s="367" t="s">
        <v>2813</v>
      </c>
      <c r="K151" t="s">
        <v>623</v>
      </c>
      <c r="L151" s="444" t="s">
        <v>620</v>
      </c>
      <c r="M151" s="540">
        <v>2236.5300000000002</v>
      </c>
      <c r="N151" s="540" t="s">
        <v>630</v>
      </c>
      <c r="O151" s="540">
        <v>26142</v>
      </c>
      <c r="P151" s="645">
        <v>8</v>
      </c>
      <c r="Q151" s="540"/>
      <c r="R151" s="422" t="s">
        <v>1923</v>
      </c>
      <c r="S151" s="422" t="s">
        <v>4823</v>
      </c>
      <c r="T151" s="85" t="s">
        <v>47</v>
      </c>
      <c r="U151" t="s">
        <v>1953</v>
      </c>
      <c r="V151" t="s">
        <v>2813</v>
      </c>
    </row>
    <row r="152" spans="1:22" ht="15.75" thickBot="1" x14ac:dyDescent="0.3">
      <c r="A152" s="634" t="s">
        <v>4588</v>
      </c>
      <c r="B152" s="634" t="s">
        <v>4588</v>
      </c>
      <c r="C152" s="634" t="str">
        <f>IF(A152=B152,"X",RIGHT(A152,LEN(A152)-LEN(B152)-3))</f>
        <v>X</v>
      </c>
      <c r="D152" s="635">
        <v>2022</v>
      </c>
      <c r="E152" s="228" t="str">
        <f t="shared" si="12"/>
        <v>Pesado de Passageiros M3: Geral : Gasóleo : Geral</v>
      </c>
      <c r="F152" s="244">
        <v>1</v>
      </c>
      <c r="G152" s="239" t="s">
        <v>1869</v>
      </c>
      <c r="H152" s="239" t="s">
        <v>1861</v>
      </c>
      <c r="I152" s="214" t="s">
        <v>1953</v>
      </c>
      <c r="J152" s="227" t="s">
        <v>2813</v>
      </c>
      <c r="K152" s="458" t="s">
        <v>629</v>
      </c>
      <c r="L152" s="444" t="s">
        <v>620</v>
      </c>
      <c r="M152" s="127">
        <v>3544.9</v>
      </c>
      <c r="N152" s="85" t="s">
        <v>630</v>
      </c>
      <c r="O152" s="128">
        <v>9296</v>
      </c>
      <c r="P152" s="437">
        <v>56</v>
      </c>
      <c r="Q152" s="434">
        <v>520576</v>
      </c>
      <c r="R152" s="570"/>
      <c r="S152" s="570"/>
      <c r="T152" s="85" t="s">
        <v>47</v>
      </c>
      <c r="U152" t="s">
        <v>1953</v>
      </c>
      <c r="V152" t="s">
        <v>2813</v>
      </c>
    </row>
    <row r="153" spans="1:22" ht="15.75" thickBot="1" x14ac:dyDescent="0.3">
      <c r="A153" s="634" t="s">
        <v>3475</v>
      </c>
      <c r="B153" s="634" t="s">
        <v>3475</v>
      </c>
      <c r="C153" s="634" t="s">
        <v>1950</v>
      </c>
      <c r="D153" s="635">
        <v>2022</v>
      </c>
      <c r="E153" s="228" t="str">
        <f t="shared" si="12"/>
        <v>Pesado de Passageiros M3: Geral : Gasóleo : Geral</v>
      </c>
      <c r="F153" s="244">
        <v>1</v>
      </c>
      <c r="G153" s="239" t="s">
        <v>1869</v>
      </c>
      <c r="H153" s="239" t="s">
        <v>1861</v>
      </c>
      <c r="I153" s="214" t="s">
        <v>1953</v>
      </c>
      <c r="J153" s="227" t="s">
        <v>2813</v>
      </c>
      <c r="K153" s="458" t="s">
        <v>629</v>
      </c>
      <c r="L153" s="444" t="s">
        <v>620</v>
      </c>
      <c r="M153" s="639">
        <v>344822.06</v>
      </c>
      <c r="N153" s="570" t="s">
        <v>630</v>
      </c>
      <c r="O153" s="641">
        <v>1119207</v>
      </c>
      <c r="P153" s="646">
        <v>58.75</v>
      </c>
      <c r="Q153" s="648">
        <v>65937563</v>
      </c>
      <c r="R153" s="570"/>
      <c r="S153" s="570"/>
      <c r="T153" s="427" t="s">
        <v>47</v>
      </c>
      <c r="U153" s="422" t="s">
        <v>1953</v>
      </c>
      <c r="V153" s="422" t="s">
        <v>2813</v>
      </c>
    </row>
    <row r="154" spans="1:22" ht="15.75" thickBot="1" x14ac:dyDescent="0.3">
      <c r="A154" t="s">
        <v>3475</v>
      </c>
      <c r="B154" t="s">
        <v>3475</v>
      </c>
      <c r="C154" s="422" t="str">
        <f t="shared" ref="C154:C185" si="13">IF(A154=B154,"X",RIGHT(A154,LEN(A154)-LEN(B154)-3))</f>
        <v>X</v>
      </c>
      <c r="D154" s="364">
        <v>2023</v>
      </c>
      <c r="E154" s="365" t="str">
        <f t="shared" si="12"/>
        <v>Pesado de Passageiros M3: Geral : Gasóleo : Geral</v>
      </c>
      <c r="F154" s="366">
        <v>1</v>
      </c>
      <c r="G154" s="367" t="s">
        <v>1869</v>
      </c>
      <c r="H154" s="367" t="s">
        <v>1861</v>
      </c>
      <c r="I154" s="367" t="s">
        <v>1953</v>
      </c>
      <c r="J154" s="367" t="s">
        <v>2813</v>
      </c>
      <c r="K154" s="458" t="s">
        <v>629</v>
      </c>
      <c r="L154" s="444" t="s">
        <v>620</v>
      </c>
      <c r="M154">
        <v>434896.74000000005</v>
      </c>
      <c r="N154" t="s">
        <v>630</v>
      </c>
      <c r="O154">
        <v>1138402.3257461744</v>
      </c>
      <c r="P154" s="247">
        <v>62.29032258064516</v>
      </c>
      <c r="Q154">
        <v>70911448.097285897</v>
      </c>
      <c r="T154" s="427" t="s">
        <v>47</v>
      </c>
      <c r="U154" s="422" t="s">
        <v>1953</v>
      </c>
      <c r="V154" s="422" t="s">
        <v>2813</v>
      </c>
    </row>
    <row r="155" spans="1:22" ht="15.75" thickBot="1" x14ac:dyDescent="0.3">
      <c r="A155" s="634" t="s">
        <v>4593</v>
      </c>
      <c r="B155" s="634" t="s">
        <v>4593</v>
      </c>
      <c r="C155" s="634" t="str">
        <f t="shared" si="13"/>
        <v>X</v>
      </c>
      <c r="D155" s="635">
        <v>2022</v>
      </c>
      <c r="E155" s="228" t="str">
        <f t="shared" si="12"/>
        <v>Pesado de Passageiros M3: Geral : Gasóleo : Geral</v>
      </c>
      <c r="F155" s="244">
        <v>1</v>
      </c>
      <c r="G155" s="239" t="s">
        <v>1869</v>
      </c>
      <c r="H155" s="239" t="s">
        <v>1861</v>
      </c>
      <c r="I155" s="214" t="s">
        <v>1953</v>
      </c>
      <c r="J155" s="227" t="s">
        <v>2813</v>
      </c>
      <c r="K155" s="458" t="s">
        <v>629</v>
      </c>
      <c r="L155" s="444" t="s">
        <v>620</v>
      </c>
      <c r="M155" s="639">
        <v>2375337.25</v>
      </c>
      <c r="N155" s="570" t="s">
        <v>630</v>
      </c>
      <c r="O155" s="643">
        <v>7507414</v>
      </c>
      <c r="P155" s="646">
        <v>67.069999999999993</v>
      </c>
      <c r="Q155" s="535">
        <v>2719472.02</v>
      </c>
      <c r="R155" s="570"/>
      <c r="S155" s="570"/>
      <c r="T155" s="427" t="s">
        <v>47</v>
      </c>
      <c r="U155" s="422" t="s">
        <v>1953</v>
      </c>
      <c r="V155" s="422" t="s">
        <v>2813</v>
      </c>
    </row>
    <row r="156" spans="1:22" ht="15.75" thickBot="1" x14ac:dyDescent="0.3">
      <c r="A156" s="634" t="s">
        <v>4593</v>
      </c>
      <c r="B156" s="634" t="s">
        <v>4593</v>
      </c>
      <c r="C156" s="634" t="str">
        <f t="shared" si="13"/>
        <v>X</v>
      </c>
      <c r="D156" s="635">
        <v>2022</v>
      </c>
      <c r="E156" s="228" t="str">
        <f t="shared" si="12"/>
        <v>Pesado de Passageiros M2: Geral : Gasóleo : Geral</v>
      </c>
      <c r="F156" s="244">
        <v>1</v>
      </c>
      <c r="G156" s="239" t="s">
        <v>1869</v>
      </c>
      <c r="H156" s="239" t="s">
        <v>1861</v>
      </c>
      <c r="I156" s="214" t="s">
        <v>1953</v>
      </c>
      <c r="J156" s="227" t="s">
        <v>2813</v>
      </c>
      <c r="K156" s="458" t="s">
        <v>1919</v>
      </c>
      <c r="L156" s="444" t="s">
        <v>620</v>
      </c>
      <c r="M156" s="639">
        <v>26725.65</v>
      </c>
      <c r="N156" s="570" t="s">
        <v>630</v>
      </c>
      <c r="O156" s="641">
        <v>160883</v>
      </c>
      <c r="P156" s="646">
        <v>19.600000000000001</v>
      </c>
      <c r="Q156" s="535">
        <v>645274</v>
      </c>
      <c r="R156" s="570"/>
      <c r="S156" s="570"/>
      <c r="T156" s="427" t="s">
        <v>47</v>
      </c>
      <c r="U156" s="422" t="s">
        <v>1953</v>
      </c>
      <c r="V156" s="422" t="s">
        <v>2813</v>
      </c>
    </row>
    <row r="157" spans="1:22" ht="15.75" thickBot="1" x14ac:dyDescent="0.3">
      <c r="A157" s="527" t="s">
        <v>4593</v>
      </c>
      <c r="B157" s="527" t="s">
        <v>4593</v>
      </c>
      <c r="C157" s="527" t="str">
        <f t="shared" si="13"/>
        <v>X</v>
      </c>
      <c r="D157" s="365">
        <v>2023</v>
      </c>
      <c r="E157" s="365" t="str">
        <f t="shared" si="12"/>
        <v>Pesado de Passageiros M3: Geral : Gasóleo : Geral</v>
      </c>
      <c r="F157" s="366">
        <v>1</v>
      </c>
      <c r="G157" s="367" t="s">
        <v>1869</v>
      </c>
      <c r="H157" s="367" t="s">
        <v>1861</v>
      </c>
      <c r="I157" s="367" t="s">
        <v>1953</v>
      </c>
      <c r="J157" s="367" t="s">
        <v>2813</v>
      </c>
      <c r="K157" s="527" t="s">
        <v>629</v>
      </c>
      <c r="L157" s="534" t="s">
        <v>620</v>
      </c>
      <c r="M157">
        <v>1398503</v>
      </c>
      <c r="N157" s="422" t="s">
        <v>630</v>
      </c>
      <c r="O157">
        <v>4102081</v>
      </c>
      <c r="P157" s="247">
        <v>66.3</v>
      </c>
      <c r="Q157">
        <v>271967970.30000001</v>
      </c>
      <c r="T157" s="427" t="s">
        <v>47</v>
      </c>
      <c r="U157" s="422" t="s">
        <v>1953</v>
      </c>
      <c r="V157" s="422" t="s">
        <v>2813</v>
      </c>
    </row>
    <row r="158" spans="1:22" ht="15.75" thickBot="1" x14ac:dyDescent="0.3">
      <c r="A158" s="634" t="s">
        <v>4592</v>
      </c>
      <c r="B158" s="634" t="s">
        <v>4592</v>
      </c>
      <c r="C158" s="634" t="str">
        <f t="shared" si="13"/>
        <v>X</v>
      </c>
      <c r="D158" s="635">
        <v>2022</v>
      </c>
      <c r="E158" s="228" t="str">
        <f t="shared" si="12"/>
        <v>Pesado de Passageiros M3: Geral : Gasóleo : Geral</v>
      </c>
      <c r="F158" s="244">
        <v>1</v>
      </c>
      <c r="G158" s="239" t="s">
        <v>1869</v>
      </c>
      <c r="H158" s="239" t="s">
        <v>1861</v>
      </c>
      <c r="I158" s="214" t="s">
        <v>1953</v>
      </c>
      <c r="J158" s="227" t="s">
        <v>2813</v>
      </c>
      <c r="K158" s="458" t="s">
        <v>629</v>
      </c>
      <c r="L158" s="426" t="s">
        <v>620</v>
      </c>
      <c r="M158" s="639">
        <v>2804395.32</v>
      </c>
      <c r="N158" s="570" t="s">
        <v>630</v>
      </c>
      <c r="O158" s="643">
        <v>8251716</v>
      </c>
      <c r="P158" s="646">
        <v>62.29</v>
      </c>
      <c r="Q158" s="535">
        <v>3099026.8</v>
      </c>
      <c r="R158" s="570"/>
      <c r="S158" s="570"/>
      <c r="T158" s="427" t="s">
        <v>47</v>
      </c>
      <c r="U158" s="422" t="s">
        <v>1953</v>
      </c>
      <c r="V158" s="422" t="s">
        <v>2813</v>
      </c>
    </row>
    <row r="159" spans="1:22" ht="15.75" thickBot="1" x14ac:dyDescent="0.3">
      <c r="A159" s="634" t="s">
        <v>4592</v>
      </c>
      <c r="B159" s="634" t="s">
        <v>4592</v>
      </c>
      <c r="C159" s="634" t="str">
        <f t="shared" si="13"/>
        <v>X</v>
      </c>
      <c r="D159" s="635">
        <v>2022</v>
      </c>
      <c r="E159" s="228" t="str">
        <f t="shared" si="12"/>
        <v>Pesado de Passageiros M2: Geral : Gasóleo : Geral</v>
      </c>
      <c r="F159" s="244">
        <v>1</v>
      </c>
      <c r="G159" s="239" t="s">
        <v>1869</v>
      </c>
      <c r="H159" s="239" t="s">
        <v>1861</v>
      </c>
      <c r="I159" s="214" t="s">
        <v>1953</v>
      </c>
      <c r="J159" s="227" t="s">
        <v>2813</v>
      </c>
      <c r="K159" s="83" t="s">
        <v>1919</v>
      </c>
      <c r="L159" s="426" t="s">
        <v>620</v>
      </c>
      <c r="M159" s="639">
        <v>4650.58</v>
      </c>
      <c r="N159" s="570" t="s">
        <v>630</v>
      </c>
      <c r="O159" s="641">
        <v>24397</v>
      </c>
      <c r="P159" s="646">
        <v>19</v>
      </c>
      <c r="Q159" s="535">
        <v>246146</v>
      </c>
      <c r="R159" s="570"/>
      <c r="S159" s="570"/>
      <c r="T159" s="427" t="s">
        <v>47</v>
      </c>
      <c r="U159" s="422" t="s">
        <v>1953</v>
      </c>
      <c r="V159" s="422" t="s">
        <v>2813</v>
      </c>
    </row>
    <row r="160" spans="1:22" ht="15.75" thickBot="1" x14ac:dyDescent="0.3">
      <c r="A160" s="422" t="s">
        <v>4592</v>
      </c>
      <c r="B160" s="422" t="s">
        <v>4592</v>
      </c>
      <c r="C160" t="str">
        <f t="shared" si="13"/>
        <v>X</v>
      </c>
      <c r="D160" s="364">
        <v>2023</v>
      </c>
      <c r="E160" s="365" t="str">
        <f t="shared" si="12"/>
        <v>Pesado de Passageiros M3: Geral : Gasóleo : Geral</v>
      </c>
      <c r="F160" s="366">
        <v>1</v>
      </c>
      <c r="G160" s="367" t="s">
        <v>1869</v>
      </c>
      <c r="H160" s="367" t="s">
        <v>1861</v>
      </c>
      <c r="I160" s="367" t="s">
        <v>1953</v>
      </c>
      <c r="J160" s="367" t="s">
        <v>2813</v>
      </c>
      <c r="K160" s="422" t="s">
        <v>629</v>
      </c>
      <c r="L160" s="534" t="s">
        <v>620</v>
      </c>
      <c r="M160">
        <v>4351785</v>
      </c>
      <c r="N160" t="s">
        <v>630</v>
      </c>
      <c r="O160">
        <v>7745939</v>
      </c>
      <c r="P160" s="247">
        <v>62.26</v>
      </c>
      <c r="Q160">
        <v>482262162.13999999</v>
      </c>
      <c r="T160" s="427" t="s">
        <v>47</v>
      </c>
      <c r="U160" s="422" t="s">
        <v>1953</v>
      </c>
      <c r="V160" s="422" t="s">
        <v>2813</v>
      </c>
    </row>
    <row r="161" spans="1:22" ht="15.75" thickBot="1" x14ac:dyDescent="0.3">
      <c r="A161" t="s">
        <v>4592</v>
      </c>
      <c r="B161" t="s">
        <v>4592</v>
      </c>
      <c r="C161" s="422" t="str">
        <f t="shared" si="13"/>
        <v>X</v>
      </c>
      <c r="D161" s="364">
        <v>2023</v>
      </c>
      <c r="E161" s="365" t="str">
        <f t="shared" si="12"/>
        <v>Pesado de Passageiros M2: Geral : Gasóleo : Geral</v>
      </c>
      <c r="F161" s="366">
        <v>1</v>
      </c>
      <c r="G161" s="367" t="s">
        <v>1869</v>
      </c>
      <c r="H161" s="367" t="s">
        <v>1861</v>
      </c>
      <c r="I161" s="367" t="s">
        <v>1953</v>
      </c>
      <c r="J161" s="367" t="s">
        <v>2813</v>
      </c>
      <c r="K161" s="527" t="s">
        <v>1919</v>
      </c>
      <c r="L161" s="534" t="s">
        <v>620</v>
      </c>
      <c r="M161">
        <v>10551</v>
      </c>
      <c r="N161" t="s">
        <v>630</v>
      </c>
      <c r="O161">
        <v>34048</v>
      </c>
      <c r="P161" s="247">
        <v>20.5</v>
      </c>
      <c r="Q161">
        <v>697984</v>
      </c>
      <c r="T161" s="427" t="s">
        <v>47</v>
      </c>
      <c r="U161" s="422" t="s">
        <v>1953</v>
      </c>
      <c r="V161" s="422" t="s">
        <v>2813</v>
      </c>
    </row>
    <row r="162" spans="1:22" ht="15.75" hidden="1" thickBot="1" x14ac:dyDescent="0.3">
      <c r="A162" s="244" t="s">
        <v>535</v>
      </c>
      <c r="B162" s="244" t="str">
        <f>LEFT(A162,IFERROR(FIND(" - ",A162)-1,LEN(A162)))</f>
        <v>Ribatejana Verde</v>
      </c>
      <c r="C162" s="244" t="str">
        <f t="shared" si="13"/>
        <v>X</v>
      </c>
      <c r="D162" s="637">
        <v>2022</v>
      </c>
      <c r="E162" s="228" t="str">
        <f t="shared" si="12"/>
        <v>: Geral : Gasóleo : Geral</v>
      </c>
      <c r="F162" s="244">
        <v>2</v>
      </c>
      <c r="G162" s="214" t="s">
        <v>1872</v>
      </c>
      <c r="H162" s="214" t="s">
        <v>1871</v>
      </c>
      <c r="I162" s="214" t="s">
        <v>1953</v>
      </c>
      <c r="J162" s="227" t="s">
        <v>2813</v>
      </c>
      <c r="K162" s="425"/>
      <c r="L162" s="432" t="s">
        <v>620</v>
      </c>
      <c r="M162" s="639">
        <v>1028791.97</v>
      </c>
      <c r="N162" s="570" t="s">
        <v>621</v>
      </c>
      <c r="O162" s="641">
        <v>2170000</v>
      </c>
      <c r="P162" s="646"/>
      <c r="Q162" s="570" t="s">
        <v>617</v>
      </c>
      <c r="R162" s="570" t="s">
        <v>627</v>
      </c>
      <c r="S162" s="570"/>
      <c r="T162" s="427" t="s">
        <v>47</v>
      </c>
      <c r="U162" s="422" t="s">
        <v>1953</v>
      </c>
      <c r="V162" s="422" t="s">
        <v>2813</v>
      </c>
    </row>
    <row r="163" spans="1:22" ht="30.75" thickBot="1" x14ac:dyDescent="0.3">
      <c r="A163" s="387" t="s">
        <v>4580</v>
      </c>
      <c r="B163" s="387" t="s">
        <v>4580</v>
      </c>
      <c r="C163" s="387" t="str">
        <f t="shared" si="13"/>
        <v>X</v>
      </c>
      <c r="D163" s="636">
        <v>2022</v>
      </c>
      <c r="E163" s="276" t="str">
        <f t="shared" si="12"/>
        <v>Pesado de Passageiros M3: Geral : Gasóleo : Geral</v>
      </c>
      <c r="F163" s="387">
        <v>1</v>
      </c>
      <c r="G163" s="283" t="s">
        <v>1869</v>
      </c>
      <c r="H163" s="283" t="s">
        <v>1861</v>
      </c>
      <c r="I163" s="283" t="s">
        <v>1953</v>
      </c>
      <c r="J163" s="283" t="s">
        <v>2813</v>
      </c>
      <c r="K163" s="263" t="s">
        <v>629</v>
      </c>
      <c r="L163" s="388" t="s">
        <v>620</v>
      </c>
      <c r="M163" s="640">
        <v>764882.6239999996</v>
      </c>
      <c r="N163" s="642" t="s">
        <v>630</v>
      </c>
      <c r="O163" s="644">
        <v>2169754</v>
      </c>
      <c r="P163" s="647">
        <f>IFERROR(Q163/O163,0)</f>
        <v>62.980566921411366</v>
      </c>
      <c r="Q163" s="644">
        <v>136652337</v>
      </c>
      <c r="R163" s="642" t="s">
        <v>1491</v>
      </c>
      <c r="S163" s="642"/>
      <c r="T163" s="242" t="s">
        <v>47</v>
      </c>
      <c r="U163" s="283" t="s">
        <v>1953</v>
      </c>
      <c r="V163" s="283" t="s">
        <v>2813</v>
      </c>
    </row>
    <row r="164" spans="1:22" ht="30.75" thickBot="1" x14ac:dyDescent="0.3">
      <c r="A164" s="387" t="s">
        <v>4580</v>
      </c>
      <c r="B164" s="387" t="s">
        <v>4580</v>
      </c>
      <c r="C164" s="387" t="str">
        <f t="shared" si="13"/>
        <v>X</v>
      </c>
      <c r="D164" s="636">
        <v>2022</v>
      </c>
      <c r="E164" s="276" t="str">
        <f t="shared" si="12"/>
        <v>Pesado de Passageiros M3: Geral : Gasóleo : Geral</v>
      </c>
      <c r="F164" s="387">
        <v>3</v>
      </c>
      <c r="G164" s="283" t="s">
        <v>1869</v>
      </c>
      <c r="H164" s="283" t="s">
        <v>1861</v>
      </c>
      <c r="I164" s="283" t="s">
        <v>1953</v>
      </c>
      <c r="J164" s="283" t="s">
        <v>2813</v>
      </c>
      <c r="K164" s="263" t="s">
        <v>629</v>
      </c>
      <c r="L164" s="388" t="s">
        <v>620</v>
      </c>
      <c r="M164" s="640">
        <v>695728.14299999957</v>
      </c>
      <c r="N164" s="642" t="s">
        <v>630</v>
      </c>
      <c r="O164" s="644">
        <v>1993144</v>
      </c>
      <c r="P164" s="647"/>
      <c r="Q164" s="644" t="s">
        <v>1510</v>
      </c>
      <c r="R164" s="642" t="s">
        <v>1492</v>
      </c>
      <c r="S164" s="642"/>
      <c r="T164" s="242" t="s">
        <v>47</v>
      </c>
      <c r="U164" s="283" t="s">
        <v>1953</v>
      </c>
      <c r="V164" s="283" t="s">
        <v>2813</v>
      </c>
    </row>
    <row r="165" spans="1:22" ht="30.75" thickBot="1" x14ac:dyDescent="0.3">
      <c r="A165" s="387" t="s">
        <v>4580</v>
      </c>
      <c r="B165" s="387" t="s">
        <v>4580</v>
      </c>
      <c r="C165" s="387" t="str">
        <f t="shared" si="13"/>
        <v>X</v>
      </c>
      <c r="D165" s="636">
        <v>2022</v>
      </c>
      <c r="E165" s="276" t="str">
        <f t="shared" si="12"/>
        <v>Ligeiro de Passageiros M1: Geral : Gasóleo : Geral</v>
      </c>
      <c r="F165" s="387">
        <v>1</v>
      </c>
      <c r="G165" s="283" t="s">
        <v>1869</v>
      </c>
      <c r="H165" s="283" t="s">
        <v>1861</v>
      </c>
      <c r="I165" s="283" t="s">
        <v>1953</v>
      </c>
      <c r="J165" s="283" t="s">
        <v>2813</v>
      </c>
      <c r="K165" s="263" t="s">
        <v>623</v>
      </c>
      <c r="L165" s="388" t="s">
        <v>620</v>
      </c>
      <c r="M165" s="640">
        <v>1623.58</v>
      </c>
      <c r="N165" s="642" t="s">
        <v>630</v>
      </c>
      <c r="O165" s="644">
        <v>19968</v>
      </c>
      <c r="P165" s="647"/>
      <c r="Q165" s="644" t="s">
        <v>1500</v>
      </c>
      <c r="R165" s="642" t="s">
        <v>1492</v>
      </c>
      <c r="S165" s="642"/>
      <c r="T165" s="242" t="s">
        <v>47</v>
      </c>
      <c r="U165" s="283" t="s">
        <v>1953</v>
      </c>
      <c r="V165" s="283" t="s">
        <v>2813</v>
      </c>
    </row>
    <row r="166" spans="1:22" ht="15.75" thickBot="1" x14ac:dyDescent="0.3">
      <c r="A166" t="s">
        <v>4580</v>
      </c>
      <c r="B166" t="s">
        <v>4580</v>
      </c>
      <c r="C166" s="422" t="str">
        <f t="shared" si="13"/>
        <v>X</v>
      </c>
      <c r="D166" s="364">
        <v>2023</v>
      </c>
      <c r="E166" s="365" t="str">
        <f t="shared" si="12"/>
        <v>Pesado de Passageiros M3: Geral : Gasóleo : Geral</v>
      </c>
      <c r="F166" s="366">
        <v>1</v>
      </c>
      <c r="G166" s="367" t="s">
        <v>1869</v>
      </c>
      <c r="H166" s="367" t="s">
        <v>1861</v>
      </c>
      <c r="I166" s="367" t="s">
        <v>1953</v>
      </c>
      <c r="J166" s="367" t="s">
        <v>2813</v>
      </c>
      <c r="K166" s="527" t="s">
        <v>629</v>
      </c>
      <c r="L166" s="534" t="s">
        <v>620</v>
      </c>
      <c r="M166">
        <v>799326.27600000007</v>
      </c>
      <c r="N166" t="s">
        <v>630</v>
      </c>
      <c r="O166">
        <v>2226716</v>
      </c>
      <c r="P166" s="247">
        <v>65.975157137237076</v>
      </c>
      <c r="Q166">
        <v>146907938</v>
      </c>
      <c r="R166">
        <v>35.897091321928798</v>
      </c>
      <c r="S166" s="422" t="s">
        <v>4823</v>
      </c>
      <c r="T166" s="540" t="s">
        <v>47</v>
      </c>
      <c r="U166" s="422" t="s">
        <v>1953</v>
      </c>
      <c r="V166" s="422" t="s">
        <v>2813</v>
      </c>
    </row>
    <row r="167" spans="1:22" ht="15.75" thickBot="1" x14ac:dyDescent="0.3">
      <c r="A167" t="s">
        <v>4580</v>
      </c>
      <c r="B167" t="s">
        <v>4580</v>
      </c>
      <c r="C167" s="422" t="str">
        <f t="shared" si="13"/>
        <v>X</v>
      </c>
      <c r="D167" s="364">
        <v>2023</v>
      </c>
      <c r="E167" s="365" t="str">
        <f t="shared" si="12"/>
        <v>Ligeiro de Passageiros M1: Geral : Gasóleo : Geral</v>
      </c>
      <c r="F167" s="366">
        <v>1</v>
      </c>
      <c r="G167" s="367" t="s">
        <v>1869</v>
      </c>
      <c r="H167" s="367" t="s">
        <v>1861</v>
      </c>
      <c r="I167" s="367" t="s">
        <v>1953</v>
      </c>
      <c r="J167" s="367" t="s">
        <v>2813</v>
      </c>
      <c r="K167" s="527" t="s">
        <v>623</v>
      </c>
      <c r="L167" s="534" t="s">
        <v>620</v>
      </c>
      <c r="M167">
        <v>1693.0409999999999</v>
      </c>
      <c r="N167" t="s">
        <v>630</v>
      </c>
      <c r="O167">
        <v>20230</v>
      </c>
      <c r="P167" s="247">
        <v>8</v>
      </c>
      <c r="Q167">
        <v>161840</v>
      </c>
      <c r="R167">
        <v>8.3689619377162625</v>
      </c>
      <c r="S167" s="422" t="s">
        <v>4823</v>
      </c>
      <c r="T167" s="540" t="s">
        <v>47</v>
      </c>
      <c r="U167" s="422" t="s">
        <v>1953</v>
      </c>
      <c r="V167" s="422" t="s">
        <v>2813</v>
      </c>
    </row>
    <row r="168" spans="1:22" ht="30.75" thickBot="1" x14ac:dyDescent="0.3">
      <c r="A168" s="634" t="s">
        <v>4595</v>
      </c>
      <c r="B168" s="634" t="s">
        <v>4595</v>
      </c>
      <c r="C168" s="634" t="str">
        <f t="shared" si="13"/>
        <v>X</v>
      </c>
      <c r="D168" s="635">
        <v>2022</v>
      </c>
      <c r="E168" s="228" t="str">
        <f t="shared" si="12"/>
        <v>Pesado de Passageiros M3: Geral : Gasóleo : Geral</v>
      </c>
      <c r="F168" s="244">
        <v>1</v>
      </c>
      <c r="G168" s="239" t="s">
        <v>1869</v>
      </c>
      <c r="H168" s="239" t="s">
        <v>1861</v>
      </c>
      <c r="I168" s="214" t="s">
        <v>1953</v>
      </c>
      <c r="J168" s="227" t="s">
        <v>2813</v>
      </c>
      <c r="K168" s="425" t="s">
        <v>629</v>
      </c>
      <c r="L168" s="426" t="s">
        <v>620</v>
      </c>
      <c r="M168" s="639">
        <v>1773792.12</v>
      </c>
      <c r="N168" s="570" t="s">
        <v>630</v>
      </c>
      <c r="O168" s="643">
        <v>5597687</v>
      </c>
      <c r="P168" s="646">
        <v>66.17</v>
      </c>
      <c r="Q168" s="535">
        <v>2560987.23</v>
      </c>
      <c r="R168" s="570"/>
      <c r="S168" s="570"/>
      <c r="T168" s="427" t="s">
        <v>47</v>
      </c>
      <c r="U168" s="422" t="s">
        <v>1953</v>
      </c>
      <c r="V168" s="422" t="s">
        <v>2813</v>
      </c>
    </row>
    <row r="169" spans="1:22" ht="30.75" thickBot="1" x14ac:dyDescent="0.3">
      <c r="A169" s="634" t="s">
        <v>4595</v>
      </c>
      <c r="B169" s="634" t="s">
        <v>4595</v>
      </c>
      <c r="C169" s="634" t="str">
        <f t="shared" si="13"/>
        <v>X</v>
      </c>
      <c r="D169" s="635">
        <v>2022</v>
      </c>
      <c r="E169" s="228" t="str">
        <f t="shared" si="12"/>
        <v>Pesado de Passageiros M2: Geral : Gasóleo : Geral</v>
      </c>
      <c r="F169" s="244">
        <v>1</v>
      </c>
      <c r="G169" s="239" t="s">
        <v>1869</v>
      </c>
      <c r="H169" s="239" t="s">
        <v>1861</v>
      </c>
      <c r="I169" s="214" t="s">
        <v>1953</v>
      </c>
      <c r="J169" s="227" t="s">
        <v>2813</v>
      </c>
      <c r="K169" s="425" t="s">
        <v>1919</v>
      </c>
      <c r="L169" s="426" t="s">
        <v>620</v>
      </c>
      <c r="M169" s="639">
        <v>8194.08</v>
      </c>
      <c r="N169" s="570" t="s">
        <v>630</v>
      </c>
      <c r="O169" s="641">
        <v>41216</v>
      </c>
      <c r="P169" s="646">
        <v>17</v>
      </c>
      <c r="Q169" s="650">
        <v>350336</v>
      </c>
      <c r="R169" s="570"/>
      <c r="S169" s="570"/>
      <c r="T169" s="427" t="s">
        <v>47</v>
      </c>
      <c r="U169" s="422" t="s">
        <v>1953</v>
      </c>
      <c r="V169" s="422" t="s">
        <v>2813</v>
      </c>
    </row>
    <row r="170" spans="1:22" ht="15.75" thickBot="1" x14ac:dyDescent="0.3">
      <c r="A170" t="s">
        <v>4670</v>
      </c>
      <c r="B170" t="s">
        <v>4670</v>
      </c>
      <c r="C170" s="422" t="str">
        <f t="shared" si="13"/>
        <v>X</v>
      </c>
      <c r="D170" s="364">
        <v>2023</v>
      </c>
      <c r="E170" s="365" t="str">
        <f t="shared" si="12"/>
        <v>Pesado de Passageiros M3: Geral : Gasóleo : Geral</v>
      </c>
      <c r="F170" s="366">
        <v>1</v>
      </c>
      <c r="G170" s="367" t="s">
        <v>1869</v>
      </c>
      <c r="H170" s="367" t="s">
        <v>1861</v>
      </c>
      <c r="I170" s="367" t="s">
        <v>1953</v>
      </c>
      <c r="J170" s="367" t="s">
        <v>2813</v>
      </c>
      <c r="K170" t="s">
        <v>629</v>
      </c>
      <c r="L170" s="89" t="s">
        <v>620</v>
      </c>
      <c r="M170">
        <v>1513725</v>
      </c>
      <c r="N170" t="s">
        <v>630</v>
      </c>
      <c r="O170">
        <v>4555783</v>
      </c>
      <c r="P170" s="247">
        <v>71.599999999999994</v>
      </c>
      <c r="Q170">
        <v>326194062.79999995</v>
      </c>
      <c r="T170" s="427" t="s">
        <v>47</v>
      </c>
      <c r="U170" s="422" t="s">
        <v>1953</v>
      </c>
      <c r="V170" s="422" t="s">
        <v>2813</v>
      </c>
    </row>
    <row r="171" spans="1:22" ht="15.75" thickBot="1" x14ac:dyDescent="0.3">
      <c r="A171" t="s">
        <v>4670</v>
      </c>
      <c r="B171" t="s">
        <v>4670</v>
      </c>
      <c r="C171" s="422" t="str">
        <f t="shared" si="13"/>
        <v>X</v>
      </c>
      <c r="D171" s="364">
        <v>2023</v>
      </c>
      <c r="E171" s="365" t="str">
        <f t="shared" si="12"/>
        <v>Pesado de Passageiros M2: Geral : Gasóleo : Geral</v>
      </c>
      <c r="F171" s="366">
        <v>1</v>
      </c>
      <c r="G171" s="367" t="s">
        <v>1869</v>
      </c>
      <c r="H171" s="367" t="s">
        <v>1861</v>
      </c>
      <c r="I171" s="367" t="s">
        <v>1953</v>
      </c>
      <c r="J171" s="367" t="s">
        <v>2813</v>
      </c>
      <c r="K171" t="s">
        <v>1919</v>
      </c>
      <c r="L171" s="89" t="s">
        <v>620</v>
      </c>
      <c r="M171">
        <v>2867</v>
      </c>
      <c r="N171" t="s">
        <v>630</v>
      </c>
      <c r="O171">
        <v>22851</v>
      </c>
      <c r="P171" s="247">
        <v>16</v>
      </c>
      <c r="Q171">
        <v>365616</v>
      </c>
      <c r="T171" s="427" t="s">
        <v>47</v>
      </c>
      <c r="U171" s="422" t="s">
        <v>1953</v>
      </c>
      <c r="V171" s="422" t="s">
        <v>2813</v>
      </c>
    </row>
    <row r="172" spans="1:22" ht="15.75" thickBot="1" x14ac:dyDescent="0.3">
      <c r="A172" s="634" t="s">
        <v>1915</v>
      </c>
      <c r="B172" s="634" t="str">
        <f>LEFT(A172,IFERROR(FIND(" - ",A172)-1,LEN(A172)))</f>
        <v>Rodo Cargo, S.A.</v>
      </c>
      <c r="C172" s="634" t="str">
        <f t="shared" si="13"/>
        <v>X</v>
      </c>
      <c r="D172" s="635">
        <v>2022</v>
      </c>
      <c r="E172" s="228" t="str">
        <f t="shared" si="12"/>
        <v>Pesado de Mercadorias N3: Geral : Gasóleo : Geral</v>
      </c>
      <c r="F172" s="244">
        <v>1</v>
      </c>
      <c r="G172" s="239" t="s">
        <v>1869</v>
      </c>
      <c r="H172" s="239" t="s">
        <v>1861</v>
      </c>
      <c r="I172" s="214" t="s">
        <v>1953</v>
      </c>
      <c r="J172" s="227" t="s">
        <v>2813</v>
      </c>
      <c r="K172" s="458" t="s">
        <v>1920</v>
      </c>
      <c r="L172" s="444" t="s">
        <v>620</v>
      </c>
      <c r="M172" s="639">
        <v>6748135</v>
      </c>
      <c r="N172" s="570" t="s">
        <v>630</v>
      </c>
      <c r="O172" s="641">
        <v>18120389</v>
      </c>
      <c r="P172" s="646"/>
      <c r="Q172" s="570">
        <v>215</v>
      </c>
      <c r="R172" s="458" t="s">
        <v>1926</v>
      </c>
      <c r="S172" s="458"/>
      <c r="T172" s="427" t="s">
        <v>1927</v>
      </c>
      <c r="U172" s="422" t="s">
        <v>1953</v>
      </c>
      <c r="V172" s="422" t="s">
        <v>2813</v>
      </c>
    </row>
    <row r="173" spans="1:22" ht="15.75" thickBot="1" x14ac:dyDescent="0.3">
      <c r="A173" t="s">
        <v>1915</v>
      </c>
      <c r="B173" t="s">
        <v>1915</v>
      </c>
      <c r="C173" s="422" t="str">
        <f t="shared" si="13"/>
        <v>X</v>
      </c>
      <c r="D173" s="364">
        <v>2023</v>
      </c>
      <c r="E173" s="365" t="str">
        <f t="shared" si="12"/>
        <v>Pesado de Mercadorias N3: Geral : Gasóleo : Geral</v>
      </c>
      <c r="F173" s="366">
        <v>1</v>
      </c>
      <c r="G173" s="367" t="s">
        <v>1869</v>
      </c>
      <c r="H173" s="367" t="s">
        <v>1861</v>
      </c>
      <c r="I173" s="367" t="s">
        <v>1953</v>
      </c>
      <c r="J173" s="367" t="s">
        <v>2813</v>
      </c>
      <c r="K173" t="s">
        <v>1920</v>
      </c>
      <c r="L173" s="89" t="s">
        <v>620</v>
      </c>
      <c r="M173">
        <v>6748135</v>
      </c>
      <c r="N173" t="s">
        <v>630</v>
      </c>
      <c r="O173">
        <v>18120389</v>
      </c>
      <c r="R173">
        <v>215</v>
      </c>
      <c r="T173" s="427" t="s">
        <v>1927</v>
      </c>
      <c r="U173" s="422" t="s">
        <v>1953</v>
      </c>
      <c r="V173" s="422" t="s">
        <v>2813</v>
      </c>
    </row>
    <row r="174" spans="1:22" ht="30.75" thickBot="1" x14ac:dyDescent="0.3">
      <c r="A174" s="634" t="s">
        <v>4594</v>
      </c>
      <c r="B174" s="634" t="s">
        <v>4594</v>
      </c>
      <c r="C174" s="634" t="str">
        <f t="shared" si="13"/>
        <v>X</v>
      </c>
      <c r="D174" s="635">
        <v>2022</v>
      </c>
      <c r="E174" s="228" t="str">
        <f t="shared" si="12"/>
        <v>Pesado de Passageiros M3: Geral : Gasóleo : Geral</v>
      </c>
      <c r="F174" s="244">
        <v>1</v>
      </c>
      <c r="G174" s="239" t="s">
        <v>1869</v>
      </c>
      <c r="H174" s="239" t="s">
        <v>1861</v>
      </c>
      <c r="I174" s="214" t="s">
        <v>1953</v>
      </c>
      <c r="J174" s="227" t="s">
        <v>2813</v>
      </c>
      <c r="K174" s="458" t="s">
        <v>629</v>
      </c>
      <c r="L174" s="444" t="s">
        <v>620</v>
      </c>
      <c r="M174" s="639">
        <v>1548303.28</v>
      </c>
      <c r="N174" s="570" t="s">
        <v>630</v>
      </c>
      <c r="O174" s="643">
        <v>4887293</v>
      </c>
      <c r="P174" s="646">
        <v>66.81</v>
      </c>
      <c r="Q174" s="535">
        <v>2930255.48</v>
      </c>
      <c r="R174" s="570"/>
      <c r="S174" s="570"/>
      <c r="T174" s="427" t="s">
        <v>47</v>
      </c>
      <c r="U174" s="422" t="s">
        <v>1953</v>
      </c>
      <c r="V174" s="422" t="s">
        <v>2813</v>
      </c>
    </row>
    <row r="175" spans="1:22" ht="30.75" thickBot="1" x14ac:dyDescent="0.3">
      <c r="A175" s="634" t="s">
        <v>4594</v>
      </c>
      <c r="B175" s="634" t="s">
        <v>4594</v>
      </c>
      <c r="C175" s="634" t="str">
        <f t="shared" si="13"/>
        <v>X</v>
      </c>
      <c r="D175" s="635">
        <v>2022</v>
      </c>
      <c r="E175" s="228" t="str">
        <f>K238&amp;": "&amp;"Geral : "&amp;L175&amp;" : Geral"</f>
        <v>: Geral : Gasóleo : Geral</v>
      </c>
      <c r="F175" s="244">
        <v>1</v>
      </c>
      <c r="G175" s="239" t="s">
        <v>1869</v>
      </c>
      <c r="H175" s="239" t="s">
        <v>1861</v>
      </c>
      <c r="I175" s="214" t="s">
        <v>1953</v>
      </c>
      <c r="J175" s="227" t="s">
        <v>2813</v>
      </c>
      <c r="K175" s="458" t="s">
        <v>1919</v>
      </c>
      <c r="L175" s="444" t="s">
        <v>620</v>
      </c>
      <c r="M175" s="639">
        <v>15740.29</v>
      </c>
      <c r="N175" s="570" t="s">
        <v>630</v>
      </c>
      <c r="O175" s="641">
        <v>96449</v>
      </c>
      <c r="P175" s="646">
        <v>19.329999999999998</v>
      </c>
      <c r="Q175" s="535">
        <v>624921.32999999996</v>
      </c>
      <c r="R175" s="570"/>
      <c r="S175" s="570"/>
      <c r="T175" s="427" t="s">
        <v>47</v>
      </c>
      <c r="U175" s="422" t="s">
        <v>1953</v>
      </c>
      <c r="V175" s="422" t="s">
        <v>2813</v>
      </c>
    </row>
    <row r="176" spans="1:22" ht="15.75" thickBot="1" x14ac:dyDescent="0.3">
      <c r="A176" t="s">
        <v>4594</v>
      </c>
      <c r="B176" t="s">
        <v>4594</v>
      </c>
      <c r="C176" s="422" t="str">
        <f t="shared" si="13"/>
        <v>X</v>
      </c>
      <c r="D176" s="364">
        <v>2023</v>
      </c>
      <c r="E176" s="365" t="str">
        <f t="shared" ref="E176:E219" si="14">K176&amp;": "&amp;"Geral : "&amp;L176&amp;" : Geral"</f>
        <v>Pesado de Passageiros M3: Geral : Gasóleo : Geral</v>
      </c>
      <c r="F176" s="366">
        <v>1</v>
      </c>
      <c r="G176" s="367" t="s">
        <v>1869</v>
      </c>
      <c r="H176" s="367" t="s">
        <v>1861</v>
      </c>
      <c r="I176" s="367" t="s">
        <v>1953</v>
      </c>
      <c r="J176" s="367" t="s">
        <v>2813</v>
      </c>
      <c r="K176" t="s">
        <v>629</v>
      </c>
      <c r="L176" s="89" t="s">
        <v>620</v>
      </c>
      <c r="M176">
        <v>2162412</v>
      </c>
      <c r="N176" t="s">
        <v>630</v>
      </c>
      <c r="O176">
        <v>4038751</v>
      </c>
      <c r="P176" s="247">
        <v>68</v>
      </c>
      <c r="Q176">
        <v>274635068</v>
      </c>
      <c r="T176" s="427" t="s">
        <v>47</v>
      </c>
      <c r="U176" s="422" t="s">
        <v>1953</v>
      </c>
      <c r="V176" s="422" t="s">
        <v>2813</v>
      </c>
    </row>
    <row r="177" spans="1:22" ht="15.75" thickBot="1" x14ac:dyDescent="0.3">
      <c r="A177" t="s">
        <v>4594</v>
      </c>
      <c r="B177" t="s">
        <v>4594</v>
      </c>
      <c r="C177" s="422" t="str">
        <f t="shared" si="13"/>
        <v>X</v>
      </c>
      <c r="D177" s="364">
        <v>2023</v>
      </c>
      <c r="E177" s="365" t="str">
        <f t="shared" si="14"/>
        <v>Pesado de Passageiros M2: Geral : Gasóleo : Geral</v>
      </c>
      <c r="F177" s="366">
        <v>1</v>
      </c>
      <c r="G177" s="367" t="s">
        <v>1869</v>
      </c>
      <c r="H177" s="367" t="s">
        <v>1861</v>
      </c>
      <c r="I177" s="367" t="s">
        <v>1953</v>
      </c>
      <c r="J177" s="367" t="s">
        <v>2813</v>
      </c>
      <c r="K177" t="s">
        <v>1919</v>
      </c>
      <c r="L177" s="89" t="s">
        <v>620</v>
      </c>
      <c r="M177">
        <v>20870</v>
      </c>
      <c r="N177" t="s">
        <v>630</v>
      </c>
      <c r="O177">
        <v>79555</v>
      </c>
      <c r="P177" s="247">
        <v>19.3</v>
      </c>
      <c r="Q177">
        <v>1535411.5</v>
      </c>
      <c r="T177" s="427" t="s">
        <v>47</v>
      </c>
      <c r="U177" s="422" t="s">
        <v>1953</v>
      </c>
      <c r="V177" s="422" t="s">
        <v>2813</v>
      </c>
    </row>
    <row r="178" spans="1:22" ht="15.75" thickBot="1" x14ac:dyDescent="0.3">
      <c r="A178" s="634" t="s">
        <v>1910</v>
      </c>
      <c r="B178" s="634" t="str">
        <f>LEFT(A178,IFERROR(FIND(" - ",A178)-1,LEN(A178)))</f>
        <v>Rodoviária de Lisboa, S.A.</v>
      </c>
      <c r="C178" s="634" t="str">
        <f t="shared" si="13"/>
        <v>X</v>
      </c>
      <c r="D178" s="635">
        <v>2022</v>
      </c>
      <c r="E178" s="228" t="str">
        <f t="shared" si="14"/>
        <v>Pesado de Passageiros M3: Geral : Gasóleo : Geral</v>
      </c>
      <c r="F178" s="244">
        <v>1</v>
      </c>
      <c r="G178" s="239" t="s">
        <v>1869</v>
      </c>
      <c r="H178" s="239" t="s">
        <v>1861</v>
      </c>
      <c r="I178" s="214" t="s">
        <v>1953</v>
      </c>
      <c r="J178" s="227" t="s">
        <v>2813</v>
      </c>
      <c r="K178" s="458" t="s">
        <v>629</v>
      </c>
      <c r="L178" s="444" t="s">
        <v>620</v>
      </c>
      <c r="M178" s="641">
        <v>7614235.6999999993</v>
      </c>
      <c r="N178" s="570" t="s">
        <v>630</v>
      </c>
      <c r="O178" s="641">
        <v>16128203.23</v>
      </c>
      <c r="P178" s="646">
        <v>83.02</v>
      </c>
      <c r="Q178" s="570" t="s">
        <v>1921</v>
      </c>
      <c r="R178" s="458" t="s">
        <v>1922</v>
      </c>
      <c r="S178" s="458"/>
      <c r="T178" s="427" t="s">
        <v>47</v>
      </c>
      <c r="U178" s="422" t="s">
        <v>1953</v>
      </c>
      <c r="V178" s="422" t="s">
        <v>2813</v>
      </c>
    </row>
    <row r="179" spans="1:22" ht="15.75" thickBot="1" x14ac:dyDescent="0.3">
      <c r="A179" s="634" t="s">
        <v>1910</v>
      </c>
      <c r="B179" s="634" t="str">
        <f>LEFT(A179,IFERROR(FIND(" - ",A179)-1,LEN(A179)))</f>
        <v>Rodoviária de Lisboa, S.A.</v>
      </c>
      <c r="C179" s="634" t="str">
        <f t="shared" si="13"/>
        <v>X</v>
      </c>
      <c r="D179" s="635">
        <v>2022</v>
      </c>
      <c r="E179" s="228" t="str">
        <f t="shared" si="14"/>
        <v>Pesado de Passageiros M3: Geral : GNC : Geral</v>
      </c>
      <c r="F179" s="244">
        <v>1</v>
      </c>
      <c r="G179" s="239" t="s">
        <v>1869</v>
      </c>
      <c r="H179" s="239" t="s">
        <v>1945</v>
      </c>
      <c r="I179" s="214" t="s">
        <v>1953</v>
      </c>
      <c r="J179" s="227" t="s">
        <v>2813</v>
      </c>
      <c r="K179" s="458" t="s">
        <v>629</v>
      </c>
      <c r="L179" s="444" t="s">
        <v>1944</v>
      </c>
      <c r="M179" s="641">
        <v>60588</v>
      </c>
      <c r="N179" s="570" t="s">
        <v>1924</v>
      </c>
      <c r="O179" s="641">
        <v>35777.770000000004</v>
      </c>
      <c r="P179" s="646">
        <v>69</v>
      </c>
      <c r="Q179" s="641" t="s">
        <v>1923</v>
      </c>
      <c r="R179" s="458" t="s">
        <v>1922</v>
      </c>
      <c r="S179" s="458"/>
      <c r="T179" s="427" t="s">
        <v>47</v>
      </c>
      <c r="U179" s="422" t="s">
        <v>1953</v>
      </c>
      <c r="V179" s="422" t="s">
        <v>2813</v>
      </c>
    </row>
    <row r="180" spans="1:22" ht="15.75" thickBot="1" x14ac:dyDescent="0.3">
      <c r="A180" t="s">
        <v>1910</v>
      </c>
      <c r="B180" t="s">
        <v>1910</v>
      </c>
      <c r="C180" s="422" t="str">
        <f t="shared" si="13"/>
        <v>X</v>
      </c>
      <c r="D180" s="364">
        <v>2023</v>
      </c>
      <c r="E180" s="365" t="str">
        <f t="shared" si="14"/>
        <v>Pesado de Passageiros M3: Geral : Gasóleo : Geral</v>
      </c>
      <c r="F180" s="366">
        <v>1</v>
      </c>
      <c r="G180" s="367" t="s">
        <v>1869</v>
      </c>
      <c r="H180" s="367" t="s">
        <v>1861</v>
      </c>
      <c r="I180" s="367" t="s">
        <v>1953</v>
      </c>
      <c r="J180" s="367" t="s">
        <v>2813</v>
      </c>
      <c r="K180" t="s">
        <v>629</v>
      </c>
      <c r="L180" s="89" t="s">
        <v>620</v>
      </c>
      <c r="M180">
        <v>8547573.8000000045</v>
      </c>
      <c r="N180" t="s">
        <v>630</v>
      </c>
      <c r="O180">
        <v>21283900</v>
      </c>
      <c r="P180" s="247">
        <v>89.19496855345912</v>
      </c>
      <c r="Q180">
        <v>1898416791.1949685</v>
      </c>
      <c r="S180" s="422" t="s">
        <v>4825</v>
      </c>
      <c r="T180" s="427" t="s">
        <v>47</v>
      </c>
      <c r="U180" s="422" t="s">
        <v>1953</v>
      </c>
      <c r="V180" s="422" t="s">
        <v>2813</v>
      </c>
    </row>
    <row r="181" spans="1:22" ht="15.75" thickBot="1" x14ac:dyDescent="0.3">
      <c r="A181" t="s">
        <v>1910</v>
      </c>
      <c r="B181" t="s">
        <v>1910</v>
      </c>
      <c r="C181" s="422" t="str">
        <f t="shared" si="13"/>
        <v>X</v>
      </c>
      <c r="D181" s="364">
        <v>2023</v>
      </c>
      <c r="E181" s="365" t="str">
        <f t="shared" si="14"/>
        <v>Pesado de Passageiros M3: Geral : GNC : Geral</v>
      </c>
      <c r="F181" s="366">
        <v>1</v>
      </c>
      <c r="G181" s="367" t="s">
        <v>1869</v>
      </c>
      <c r="H181" s="367" t="s">
        <v>1861</v>
      </c>
      <c r="I181" s="367" t="s">
        <v>1953</v>
      </c>
      <c r="J181" s="367" t="s">
        <v>2813</v>
      </c>
      <c r="K181" t="s">
        <v>629</v>
      </c>
      <c r="L181" s="89" t="s">
        <v>1944</v>
      </c>
      <c r="M181">
        <v>78654.899999999994</v>
      </c>
      <c r="N181" t="s">
        <v>1924</v>
      </c>
      <c r="O181">
        <v>200199</v>
      </c>
      <c r="P181" s="247">
        <v>48</v>
      </c>
      <c r="Q181">
        <v>9609552</v>
      </c>
      <c r="S181" s="422" t="s">
        <v>4825</v>
      </c>
      <c r="T181" s="427" t="s">
        <v>47</v>
      </c>
      <c r="U181" s="422" t="s">
        <v>1953</v>
      </c>
      <c r="V181" s="422" t="s">
        <v>2813</v>
      </c>
    </row>
    <row r="182" spans="1:22" ht="15.75" thickBot="1" x14ac:dyDescent="0.3">
      <c r="A182" s="634" t="s">
        <v>1916</v>
      </c>
      <c r="B182" s="634" t="str">
        <f>LEFT(A182,IFERROR(FIND(" - ",A182)-1,LEN(A182)))</f>
        <v>Rodoviária do Alentejo, S.A.</v>
      </c>
      <c r="C182" s="634" t="str">
        <f t="shared" si="13"/>
        <v>X</v>
      </c>
      <c r="D182" s="635">
        <v>2022</v>
      </c>
      <c r="E182" s="228" t="str">
        <f t="shared" si="14"/>
        <v>Pesado de Passageiros M3: Geral : Gasóleo : Geral</v>
      </c>
      <c r="F182" s="244">
        <v>1</v>
      </c>
      <c r="G182" s="239" t="s">
        <v>1869</v>
      </c>
      <c r="H182" s="239" t="s">
        <v>1861</v>
      </c>
      <c r="I182" s="214" t="s">
        <v>1953</v>
      </c>
      <c r="J182" s="227" t="s">
        <v>2813</v>
      </c>
      <c r="K182" s="458" t="s">
        <v>629</v>
      </c>
      <c r="L182" s="444" t="s">
        <v>620</v>
      </c>
      <c r="M182" s="639">
        <v>4098474.6</v>
      </c>
      <c r="N182" s="570" t="s">
        <v>630</v>
      </c>
      <c r="O182" s="641">
        <v>14051547</v>
      </c>
      <c r="P182" s="646">
        <v>63.371980676328505</v>
      </c>
      <c r="Q182" s="641"/>
      <c r="R182" s="458" t="s">
        <v>1928</v>
      </c>
      <c r="S182" s="458"/>
      <c r="T182" s="427" t="s">
        <v>47</v>
      </c>
      <c r="U182" s="422" t="s">
        <v>1953</v>
      </c>
      <c r="V182" s="422" t="s">
        <v>2813</v>
      </c>
    </row>
    <row r="183" spans="1:22" ht="15.75" thickBot="1" x14ac:dyDescent="0.3">
      <c r="A183" s="634" t="s">
        <v>1916</v>
      </c>
      <c r="B183" s="634" t="str">
        <f>LEFT(A183,IFERROR(FIND(" - ",A183)-1,LEN(A183)))</f>
        <v>Rodoviária do Alentejo, S.A.</v>
      </c>
      <c r="C183" s="634" t="str">
        <f t="shared" si="13"/>
        <v>X</v>
      </c>
      <c r="D183" s="635">
        <v>2022</v>
      </c>
      <c r="E183" s="228" t="str">
        <f t="shared" si="14"/>
        <v>Ligeiro de Passageiros M1: Geral : Gasóleo : Geral</v>
      </c>
      <c r="F183" s="244">
        <v>1</v>
      </c>
      <c r="G183" s="239" t="s">
        <v>1869</v>
      </c>
      <c r="H183" s="239" t="s">
        <v>1861</v>
      </c>
      <c r="I183" s="214" t="s">
        <v>1953</v>
      </c>
      <c r="J183" s="227" t="s">
        <v>2813</v>
      </c>
      <c r="K183" s="458" t="s">
        <v>623</v>
      </c>
      <c r="L183" s="444" t="s">
        <v>620</v>
      </c>
      <c r="M183" s="639">
        <v>43517.98</v>
      </c>
      <c r="N183" s="570" t="s">
        <v>630</v>
      </c>
      <c r="O183" s="641">
        <v>762505</v>
      </c>
      <c r="P183" s="646">
        <v>6.28</v>
      </c>
      <c r="Q183" s="458"/>
      <c r="R183" s="458" t="s">
        <v>1932</v>
      </c>
      <c r="S183" s="458"/>
      <c r="T183" s="427" t="s">
        <v>47</v>
      </c>
      <c r="U183" s="422" t="s">
        <v>1953</v>
      </c>
      <c r="V183" s="422" t="s">
        <v>2813</v>
      </c>
    </row>
    <row r="184" spans="1:22" ht="15.75" thickBot="1" x14ac:dyDescent="0.3">
      <c r="A184" s="634" t="s">
        <v>1916</v>
      </c>
      <c r="B184" s="634" t="str">
        <f>LEFT(A184,IFERROR(FIND(" - ",A184)-1,LEN(A184)))</f>
        <v>Rodoviária do Alentejo, S.A.</v>
      </c>
      <c r="C184" s="634" t="str">
        <f t="shared" si="13"/>
        <v>X</v>
      </c>
      <c r="D184" s="635">
        <v>2022</v>
      </c>
      <c r="E184" s="228" t="str">
        <f t="shared" si="14"/>
        <v>Ligeiro de Mercadorias N1: Geral : Gasóleo : Geral</v>
      </c>
      <c r="F184" s="244">
        <v>1</v>
      </c>
      <c r="G184" s="239" t="s">
        <v>1869</v>
      </c>
      <c r="H184" s="239" t="s">
        <v>1861</v>
      </c>
      <c r="I184" s="214" t="s">
        <v>1953</v>
      </c>
      <c r="J184" s="227" t="s">
        <v>2813</v>
      </c>
      <c r="K184" s="458" t="s">
        <v>624</v>
      </c>
      <c r="L184" s="444" t="s">
        <v>620</v>
      </c>
      <c r="M184" s="639">
        <v>30194.750000000007</v>
      </c>
      <c r="N184" s="570" t="s">
        <v>630</v>
      </c>
      <c r="O184" s="641">
        <v>530604</v>
      </c>
      <c r="P184" s="646">
        <v>2.75</v>
      </c>
      <c r="Q184" s="458"/>
      <c r="R184" s="458" t="s">
        <v>1499</v>
      </c>
      <c r="S184" s="458"/>
      <c r="T184" s="427" t="s">
        <v>47</v>
      </c>
      <c r="U184" s="422" t="s">
        <v>1953</v>
      </c>
      <c r="V184" s="422" t="s">
        <v>2813</v>
      </c>
    </row>
    <row r="185" spans="1:22" ht="15.75" thickBot="1" x14ac:dyDescent="0.3">
      <c r="A185" s="634" t="s">
        <v>1916</v>
      </c>
      <c r="B185" s="634" t="str">
        <f>LEFT(A185,IFERROR(FIND(" - ",A185)-1,LEN(A185)))</f>
        <v>Rodoviária do Alentejo, S.A.</v>
      </c>
      <c r="C185" s="634" t="str">
        <f t="shared" si="13"/>
        <v>X</v>
      </c>
      <c r="D185" s="635">
        <v>2022</v>
      </c>
      <c r="E185" s="228" t="str">
        <f t="shared" si="14"/>
        <v>Ligeiro de Passageiros M1: Geral : Gasolina : Geral</v>
      </c>
      <c r="F185" s="244">
        <v>1</v>
      </c>
      <c r="G185" s="239" t="s">
        <v>1869</v>
      </c>
      <c r="H185" s="239" t="s">
        <v>1861</v>
      </c>
      <c r="I185" s="214" t="s">
        <v>1953</v>
      </c>
      <c r="J185" s="227" t="s">
        <v>2813</v>
      </c>
      <c r="K185" s="458" t="s">
        <v>623</v>
      </c>
      <c r="L185" s="444" t="s">
        <v>1933</v>
      </c>
      <c r="M185" s="639">
        <v>3879.17</v>
      </c>
      <c r="N185" s="570" t="s">
        <v>630</v>
      </c>
      <c r="O185" s="641">
        <v>48635</v>
      </c>
      <c r="P185" s="646">
        <v>5</v>
      </c>
      <c r="Q185" s="641"/>
      <c r="R185" s="458" t="s">
        <v>1923</v>
      </c>
      <c r="S185" s="458"/>
      <c r="T185" s="427" t="s">
        <v>47</v>
      </c>
      <c r="U185" s="422" t="s">
        <v>1953</v>
      </c>
      <c r="V185" s="422" t="s">
        <v>2813</v>
      </c>
    </row>
    <row r="186" spans="1:22" ht="15.75" thickBot="1" x14ac:dyDescent="0.3">
      <c r="A186" t="s">
        <v>1916</v>
      </c>
      <c r="B186" t="s">
        <v>1916</v>
      </c>
      <c r="C186" s="422" t="s">
        <v>1950</v>
      </c>
      <c r="D186" s="364">
        <v>2023</v>
      </c>
      <c r="E186" s="365" t="str">
        <f t="shared" si="14"/>
        <v>Pesado de Passageiros M3: Geral : Gasóleo : Geral</v>
      </c>
      <c r="F186" s="366">
        <v>1</v>
      </c>
      <c r="G186" s="367" t="s">
        <v>1869</v>
      </c>
      <c r="H186" s="367" t="s">
        <v>1861</v>
      </c>
      <c r="I186" s="367" t="s">
        <v>1953</v>
      </c>
      <c r="J186" s="367" t="s">
        <v>2813</v>
      </c>
      <c r="K186" t="s">
        <v>629</v>
      </c>
      <c r="L186" s="89" t="s">
        <v>620</v>
      </c>
      <c r="M186">
        <v>5442648.4799999977</v>
      </c>
      <c r="N186" t="s">
        <v>630</v>
      </c>
      <c r="O186">
        <v>18283537</v>
      </c>
      <c r="P186" s="247">
        <v>64.288343558282207</v>
      </c>
      <c r="R186" t="s">
        <v>5908</v>
      </c>
      <c r="S186" s="422" t="s">
        <v>4823</v>
      </c>
      <c r="T186" s="427" t="s">
        <v>47</v>
      </c>
      <c r="U186" s="422" t="s">
        <v>1953</v>
      </c>
      <c r="V186" s="422" t="s">
        <v>2813</v>
      </c>
    </row>
    <row r="187" spans="1:22" ht="15.75" thickBot="1" x14ac:dyDescent="0.3">
      <c r="A187" t="s">
        <v>2868</v>
      </c>
      <c r="B187" t="s">
        <v>2868</v>
      </c>
      <c r="C187" s="422" t="str">
        <f t="shared" ref="C187:C193" si="15">IF(A187=B187,"X",RIGHT(A187,LEN(A187)-LEN(B187)-3))</f>
        <v>X</v>
      </c>
      <c r="D187" s="364">
        <v>2023</v>
      </c>
      <c r="E187" s="365" t="str">
        <f t="shared" si="14"/>
        <v>Pesado de Passageiros M3: Geral : Gasóleo : Geral</v>
      </c>
      <c r="F187" s="366">
        <v>1</v>
      </c>
      <c r="G187" s="367" t="s">
        <v>1869</v>
      </c>
      <c r="H187" s="367" t="s">
        <v>1861</v>
      </c>
      <c r="I187" s="367" t="s">
        <v>1953</v>
      </c>
      <c r="J187" s="367" t="s">
        <v>2813</v>
      </c>
      <c r="K187" t="s">
        <v>629</v>
      </c>
      <c r="L187" s="428" t="s">
        <v>620</v>
      </c>
      <c r="M187">
        <v>2880973.9</v>
      </c>
      <c r="N187" t="s">
        <v>630</v>
      </c>
      <c r="O187">
        <v>10462665</v>
      </c>
      <c r="P187" s="247">
        <v>5057</v>
      </c>
      <c r="Q187">
        <v>52909696905</v>
      </c>
      <c r="S187" s="540"/>
      <c r="T187" s="427" t="s">
        <v>47</v>
      </c>
      <c r="U187" s="422" t="s">
        <v>1953</v>
      </c>
      <c r="V187" s="422" t="s">
        <v>2813</v>
      </c>
    </row>
    <row r="188" spans="1:22" ht="15.75" thickBot="1" x14ac:dyDescent="0.3">
      <c r="A188" t="s">
        <v>2868</v>
      </c>
      <c r="B188" t="s">
        <v>2868</v>
      </c>
      <c r="C188" s="422" t="str">
        <f t="shared" si="15"/>
        <v>X</v>
      </c>
      <c r="D188" s="364">
        <v>2023</v>
      </c>
      <c r="E188" s="365" t="str">
        <f t="shared" si="14"/>
        <v>Pesado de Passageiros M2: Geral : Gasóleo : Geral</v>
      </c>
      <c r="F188" s="366">
        <v>1</v>
      </c>
      <c r="G188" s="367" t="s">
        <v>1869</v>
      </c>
      <c r="H188" s="367" t="s">
        <v>1861</v>
      </c>
      <c r="I188" s="367" t="s">
        <v>1953</v>
      </c>
      <c r="J188" s="367" t="s">
        <v>2813</v>
      </c>
      <c r="K188" t="s">
        <v>1919</v>
      </c>
      <c r="L188" s="428" t="s">
        <v>620</v>
      </c>
      <c r="M188">
        <v>26086.35</v>
      </c>
      <c r="N188" t="s">
        <v>630</v>
      </c>
      <c r="O188">
        <v>134957</v>
      </c>
      <c r="P188" s="247">
        <v>19</v>
      </c>
      <c r="Q188">
        <v>2564183</v>
      </c>
      <c r="T188" s="427" t="s">
        <v>47</v>
      </c>
      <c r="U188" s="422" t="s">
        <v>1953</v>
      </c>
      <c r="V188" s="422" t="s">
        <v>2813</v>
      </c>
    </row>
    <row r="189" spans="1:22" ht="15.75" thickBot="1" x14ac:dyDescent="0.3">
      <c r="A189" t="s">
        <v>4673</v>
      </c>
      <c r="B189" t="s">
        <v>4673</v>
      </c>
      <c r="C189" s="422" t="str">
        <f t="shared" si="15"/>
        <v>X</v>
      </c>
      <c r="D189" s="364">
        <v>2023</v>
      </c>
      <c r="E189" s="365" t="str">
        <f t="shared" si="14"/>
        <v>Pesado de Passageiros M3: Geral : Gasóleo : Geral</v>
      </c>
      <c r="F189" s="366">
        <v>1</v>
      </c>
      <c r="G189" s="367" t="s">
        <v>1869</v>
      </c>
      <c r="H189" s="367" t="s">
        <v>1861</v>
      </c>
      <c r="I189" s="367" t="s">
        <v>1953</v>
      </c>
      <c r="J189" s="367" t="s">
        <v>2813</v>
      </c>
      <c r="K189" t="s">
        <v>629</v>
      </c>
      <c r="L189" s="428" t="s">
        <v>620</v>
      </c>
      <c r="M189">
        <v>121095.21999999999</v>
      </c>
      <c r="N189" t="s">
        <v>630</v>
      </c>
      <c r="O189">
        <v>247494</v>
      </c>
      <c r="S189" s="570" t="s">
        <v>4824</v>
      </c>
      <c r="T189" s="427" t="s">
        <v>47</v>
      </c>
      <c r="U189" s="422" t="s">
        <v>1953</v>
      </c>
      <c r="V189" s="422" t="s">
        <v>2813</v>
      </c>
    </row>
    <row r="190" spans="1:22" ht="15.75" thickBot="1" x14ac:dyDescent="0.3">
      <c r="A190" t="s">
        <v>4673</v>
      </c>
      <c r="B190" t="s">
        <v>4673</v>
      </c>
      <c r="C190" s="422" t="str">
        <f t="shared" si="15"/>
        <v>X</v>
      </c>
      <c r="D190" s="364">
        <v>2023</v>
      </c>
      <c r="E190" s="365" t="str">
        <f t="shared" si="14"/>
        <v>Ligeiro de Passageiros M1: Geral : Gasóleo : Geral</v>
      </c>
      <c r="F190" s="366">
        <v>1</v>
      </c>
      <c r="G190" s="367" t="s">
        <v>1869</v>
      </c>
      <c r="H190" s="367" t="s">
        <v>1861</v>
      </c>
      <c r="I190" s="367" t="s">
        <v>1953</v>
      </c>
      <c r="J190" s="367" t="s">
        <v>2813</v>
      </c>
      <c r="K190" t="s">
        <v>623</v>
      </c>
      <c r="L190" s="428" t="s">
        <v>620</v>
      </c>
      <c r="M190">
        <v>3454.89</v>
      </c>
      <c r="N190" t="s">
        <v>630</v>
      </c>
      <c r="O190">
        <v>41385</v>
      </c>
      <c r="R190" s="540"/>
      <c r="S190" s="427" t="s">
        <v>4824</v>
      </c>
      <c r="T190" s="427" t="s">
        <v>47</v>
      </c>
      <c r="U190" s="422" t="s">
        <v>1953</v>
      </c>
      <c r="V190" s="422" t="s">
        <v>2813</v>
      </c>
    </row>
    <row r="191" spans="1:22" ht="15.75" thickBot="1" x14ac:dyDescent="0.3">
      <c r="A191" t="s">
        <v>4673</v>
      </c>
      <c r="B191" t="s">
        <v>4673</v>
      </c>
      <c r="C191" s="422" t="str">
        <f t="shared" si="15"/>
        <v>X</v>
      </c>
      <c r="D191" s="364">
        <v>2023</v>
      </c>
      <c r="E191" s="365" t="str">
        <f t="shared" si="14"/>
        <v>Ligeiro de Mercadorias N1: Geral : Gasóleo : Geral</v>
      </c>
      <c r="F191" s="366">
        <v>1</v>
      </c>
      <c r="G191" s="367" t="s">
        <v>1869</v>
      </c>
      <c r="H191" s="367" t="s">
        <v>1861</v>
      </c>
      <c r="I191" s="367" t="s">
        <v>1953</v>
      </c>
      <c r="J191" s="367" t="s">
        <v>2813</v>
      </c>
      <c r="K191" t="s">
        <v>624</v>
      </c>
      <c r="L191" s="428" t="s">
        <v>620</v>
      </c>
      <c r="M191">
        <v>743.67</v>
      </c>
      <c r="N191" t="s">
        <v>630</v>
      </c>
      <c r="O191">
        <v>11481</v>
      </c>
      <c r="R191" s="540"/>
      <c r="S191" s="427" t="s">
        <v>4824</v>
      </c>
      <c r="T191" s="427" t="s">
        <v>47</v>
      </c>
      <c r="U191" s="422" t="s">
        <v>1953</v>
      </c>
      <c r="V191" s="422" t="s">
        <v>2813</v>
      </c>
    </row>
    <row r="192" spans="1:22" ht="15.75" thickBot="1" x14ac:dyDescent="0.3">
      <c r="A192" s="634" t="s">
        <v>4585</v>
      </c>
      <c r="B192" s="634" t="s">
        <v>4585</v>
      </c>
      <c r="C192" s="634" t="str">
        <f t="shared" si="15"/>
        <v>X</v>
      </c>
      <c r="D192" s="635">
        <v>2022</v>
      </c>
      <c r="E192" s="228" t="str">
        <f t="shared" si="14"/>
        <v>Pesado de Passageiros M3: Geral : Gasóleo : Geral</v>
      </c>
      <c r="F192" s="244">
        <v>1</v>
      </c>
      <c r="G192" s="239" t="s">
        <v>1869</v>
      </c>
      <c r="H192" s="239" t="s">
        <v>1861</v>
      </c>
      <c r="I192" s="214" t="s">
        <v>1953</v>
      </c>
      <c r="J192" s="227" t="s">
        <v>2813</v>
      </c>
      <c r="K192" s="458" t="s">
        <v>629</v>
      </c>
      <c r="L192" s="444" t="s">
        <v>620</v>
      </c>
      <c r="M192" s="639">
        <v>182961.86</v>
      </c>
      <c r="N192" s="570" t="s">
        <v>630</v>
      </c>
      <c r="O192" s="641">
        <v>899763</v>
      </c>
      <c r="P192" s="646">
        <v>27.45</v>
      </c>
      <c r="Q192" s="648">
        <v>25314190</v>
      </c>
      <c r="R192" s="427"/>
      <c r="S192" s="427"/>
      <c r="T192" s="427" t="s">
        <v>47</v>
      </c>
      <c r="U192" s="422" t="s">
        <v>1953</v>
      </c>
      <c r="V192" s="422" t="s">
        <v>2813</v>
      </c>
    </row>
    <row r="193" spans="1:22" ht="15.75" thickBot="1" x14ac:dyDescent="0.3">
      <c r="A193" s="527" t="s">
        <v>4585</v>
      </c>
      <c r="B193" t="s">
        <v>4585</v>
      </c>
      <c r="C193" s="422" t="str">
        <f t="shared" si="15"/>
        <v>X</v>
      </c>
      <c r="D193" s="364">
        <v>2023</v>
      </c>
      <c r="E193" s="365" t="str">
        <f t="shared" si="14"/>
        <v>Pesado de Passageiros M3: Geral : Gasóleo : Geral</v>
      </c>
      <c r="F193" s="366">
        <v>1</v>
      </c>
      <c r="G193" s="367" t="s">
        <v>1869</v>
      </c>
      <c r="H193" s="367" t="s">
        <v>1861</v>
      </c>
      <c r="I193" s="367" t="s">
        <v>1953</v>
      </c>
      <c r="J193" s="367" t="s">
        <v>2813</v>
      </c>
      <c r="K193" s="458" t="s">
        <v>629</v>
      </c>
      <c r="L193" s="444" t="s">
        <v>620</v>
      </c>
      <c r="M193">
        <v>98355.43</v>
      </c>
      <c r="N193" t="s">
        <v>630</v>
      </c>
      <c r="O193">
        <v>1181072.49774</v>
      </c>
      <c r="P193" s="247">
        <v>32.914285714285711</v>
      </c>
      <c r="Q193">
        <v>38874157.639899425</v>
      </c>
      <c r="T193" s="427" t="s">
        <v>47</v>
      </c>
      <c r="U193" s="422" t="s">
        <v>1953</v>
      </c>
      <c r="V193" s="422" t="s">
        <v>2813</v>
      </c>
    </row>
    <row r="194" spans="1:22" ht="15.75" thickBot="1" x14ac:dyDescent="0.3">
      <c r="A194" s="634" t="s">
        <v>4597</v>
      </c>
      <c r="B194" s="634" t="s">
        <v>4597</v>
      </c>
      <c r="C194" s="634" t="s">
        <v>1950</v>
      </c>
      <c r="D194" s="635">
        <v>2022</v>
      </c>
      <c r="E194" s="228" t="str">
        <f t="shared" si="14"/>
        <v>Pesado de Mercadorias N3: Geral : Gasóleo : Geral</v>
      </c>
      <c r="F194" s="244">
        <v>1</v>
      </c>
      <c r="G194" s="239" t="s">
        <v>1869</v>
      </c>
      <c r="H194" s="239" t="s">
        <v>1861</v>
      </c>
      <c r="I194" s="214" t="s">
        <v>1953</v>
      </c>
      <c r="J194" s="227" t="s">
        <v>2813</v>
      </c>
      <c r="K194" s="458" t="s">
        <v>1920</v>
      </c>
      <c r="L194" s="444" t="s">
        <v>620</v>
      </c>
      <c r="M194" s="640"/>
      <c r="N194" s="642"/>
      <c r="O194" s="644"/>
      <c r="P194" s="646"/>
      <c r="Q194" s="570"/>
      <c r="R194" s="570" t="s">
        <v>1942</v>
      </c>
      <c r="S194" s="570" t="s">
        <v>1948</v>
      </c>
      <c r="T194" s="427" t="s">
        <v>1948</v>
      </c>
      <c r="U194" s="422" t="s">
        <v>1953</v>
      </c>
      <c r="V194" s="422" t="s">
        <v>2813</v>
      </c>
    </row>
    <row r="195" spans="1:22" ht="15.75" thickBot="1" x14ac:dyDescent="0.3">
      <c r="A195" s="634" t="s">
        <v>4597</v>
      </c>
      <c r="B195" s="634" t="s">
        <v>4597</v>
      </c>
      <c r="C195" s="634" t="s">
        <v>1950</v>
      </c>
      <c r="D195" s="635">
        <v>2022</v>
      </c>
      <c r="E195" s="228" t="str">
        <f t="shared" si="14"/>
        <v>Pesado de Mercadorias N3: Geral : Gasóleo : Geral</v>
      </c>
      <c r="F195" s="244">
        <v>1</v>
      </c>
      <c r="G195" s="239" t="s">
        <v>1869</v>
      </c>
      <c r="H195" s="239" t="s">
        <v>1861</v>
      </c>
      <c r="I195" s="214" t="s">
        <v>1953</v>
      </c>
      <c r="J195" s="227" t="s">
        <v>2813</v>
      </c>
      <c r="K195" s="458" t="s">
        <v>1920</v>
      </c>
      <c r="L195" s="444" t="s">
        <v>620</v>
      </c>
      <c r="M195" s="640"/>
      <c r="N195" s="642"/>
      <c r="O195" s="644"/>
      <c r="P195" s="646"/>
      <c r="Q195" s="458"/>
      <c r="R195" s="570" t="s">
        <v>1943</v>
      </c>
      <c r="S195" s="427" t="s">
        <v>1949</v>
      </c>
      <c r="T195" s="427" t="s">
        <v>1949</v>
      </c>
      <c r="U195" s="422" t="s">
        <v>1953</v>
      </c>
      <c r="V195" s="422" t="s">
        <v>2813</v>
      </c>
    </row>
    <row r="196" spans="1:22" ht="15.75" thickBot="1" x14ac:dyDescent="0.3">
      <c r="A196" s="422" t="s">
        <v>4597</v>
      </c>
      <c r="B196" t="s">
        <v>4597</v>
      </c>
      <c r="C196" s="422" t="str">
        <f t="shared" ref="C196:C201" si="16">IF(A196=B196,"X",RIGHT(A196,LEN(A196)-LEN(B196)-3))</f>
        <v>X</v>
      </c>
      <c r="D196" s="364">
        <v>2023</v>
      </c>
      <c r="E196" s="365" t="str">
        <f t="shared" si="14"/>
        <v>Pesado de Mercadorias N3: Geral : Gasóleo : Geral</v>
      </c>
      <c r="F196" s="366">
        <v>1</v>
      </c>
      <c r="G196" s="367" t="s">
        <v>1869</v>
      </c>
      <c r="H196" s="367" t="s">
        <v>1861</v>
      </c>
      <c r="I196" s="367" t="s">
        <v>1953</v>
      </c>
      <c r="J196" s="367" t="s">
        <v>2813</v>
      </c>
      <c r="K196" s="422" t="s">
        <v>1920</v>
      </c>
      <c r="L196" s="428" t="s">
        <v>620</v>
      </c>
      <c r="N196" s="422"/>
      <c r="R196" t="s">
        <v>1508</v>
      </c>
      <c r="S196" s="540"/>
      <c r="T196" s="427" t="s">
        <v>1927</v>
      </c>
      <c r="U196" s="422" t="s">
        <v>1953</v>
      </c>
      <c r="V196" s="422" t="s">
        <v>2813</v>
      </c>
    </row>
    <row r="197" spans="1:22" ht="15.75" thickBot="1" x14ac:dyDescent="0.3">
      <c r="A197" s="422" t="s">
        <v>4597</v>
      </c>
      <c r="B197" t="s">
        <v>4597</v>
      </c>
      <c r="C197" s="422" t="str">
        <f t="shared" si="16"/>
        <v>X</v>
      </c>
      <c r="D197" s="364">
        <v>2023</v>
      </c>
      <c r="E197" s="365" t="str">
        <f t="shared" si="14"/>
        <v>Pesado de Mercadorias N3: Geral : Gasóleo : Geral</v>
      </c>
      <c r="F197" s="366">
        <v>1</v>
      </c>
      <c r="G197" s="367" t="s">
        <v>1869</v>
      </c>
      <c r="H197" s="367" t="s">
        <v>1861</v>
      </c>
      <c r="I197" s="367" t="s">
        <v>1953</v>
      </c>
      <c r="J197" s="367" t="s">
        <v>2813</v>
      </c>
      <c r="K197" s="422" t="s">
        <v>1920</v>
      </c>
      <c r="L197" s="428" t="s">
        <v>620</v>
      </c>
      <c r="N197" s="422"/>
      <c r="R197" t="s">
        <v>5917</v>
      </c>
      <c r="S197" s="540"/>
      <c r="T197" s="427" t="s">
        <v>1927</v>
      </c>
      <c r="U197" s="422" t="s">
        <v>1953</v>
      </c>
      <c r="V197" s="422" t="s">
        <v>2813</v>
      </c>
    </row>
    <row r="198" spans="1:22" ht="15.75" thickBot="1" x14ac:dyDescent="0.3">
      <c r="A198" s="633" t="s">
        <v>2944</v>
      </c>
      <c r="B198" s="633" t="s">
        <v>2944</v>
      </c>
      <c r="C198" s="634" t="str">
        <f t="shared" si="16"/>
        <v>X</v>
      </c>
      <c r="D198" s="635">
        <v>2022</v>
      </c>
      <c r="E198" s="228" t="str">
        <f t="shared" si="14"/>
        <v>Pesado de Passageiros M3: Geral : Gasóleo : Geral</v>
      </c>
      <c r="F198" s="244">
        <v>1</v>
      </c>
      <c r="G198" s="239" t="s">
        <v>1869</v>
      </c>
      <c r="H198" s="239" t="s">
        <v>1861</v>
      </c>
      <c r="I198" s="214" t="s">
        <v>1953</v>
      </c>
      <c r="J198" s="227" t="s">
        <v>2813</v>
      </c>
      <c r="K198" s="458" t="s">
        <v>629</v>
      </c>
      <c r="L198" s="444" t="s">
        <v>620</v>
      </c>
      <c r="M198" s="639">
        <v>182410</v>
      </c>
      <c r="N198" s="570" t="s">
        <v>630</v>
      </c>
      <c r="O198" s="641">
        <v>418017</v>
      </c>
      <c r="P198" s="646">
        <v>63.371980676328505</v>
      </c>
      <c r="Q198" s="641"/>
      <c r="R198" s="458" t="s">
        <v>1494</v>
      </c>
      <c r="S198" s="429"/>
      <c r="T198" s="427" t="s">
        <v>47</v>
      </c>
      <c r="U198" s="422" t="s">
        <v>1953</v>
      </c>
      <c r="V198" s="422" t="s">
        <v>2813</v>
      </c>
    </row>
    <row r="199" spans="1:22" ht="15.75" thickBot="1" x14ac:dyDescent="0.3">
      <c r="A199" s="633" t="s">
        <v>2945</v>
      </c>
      <c r="B199" s="633" t="s">
        <v>2945</v>
      </c>
      <c r="C199" s="634" t="str">
        <f t="shared" si="16"/>
        <v>X</v>
      </c>
      <c r="D199" s="635">
        <v>2022</v>
      </c>
      <c r="E199" s="228" t="str">
        <f t="shared" si="14"/>
        <v>Pesado de Passageiros M3: Geral : Gasóleo : Geral</v>
      </c>
      <c r="F199" s="244">
        <v>1</v>
      </c>
      <c r="G199" s="239" t="s">
        <v>1869</v>
      </c>
      <c r="H199" s="239" t="s">
        <v>1861</v>
      </c>
      <c r="I199" s="214" t="s">
        <v>1953</v>
      </c>
      <c r="J199" s="227" t="s">
        <v>2813</v>
      </c>
      <c r="K199" s="458" t="s">
        <v>629</v>
      </c>
      <c r="L199" s="444" t="s">
        <v>620</v>
      </c>
      <c r="M199" s="639">
        <v>257212</v>
      </c>
      <c r="N199" s="570" t="s">
        <v>630</v>
      </c>
      <c r="O199" s="641">
        <v>908320</v>
      </c>
      <c r="P199" s="646">
        <v>63.371980676328505</v>
      </c>
      <c r="Q199" s="641"/>
      <c r="R199" s="458" t="s">
        <v>1929</v>
      </c>
      <c r="S199" s="429"/>
      <c r="T199" s="427" t="s">
        <v>47</v>
      </c>
      <c r="U199" s="422" t="s">
        <v>1953</v>
      </c>
      <c r="V199" s="422" t="s">
        <v>2813</v>
      </c>
    </row>
    <row r="200" spans="1:22" ht="15.75" thickBot="1" x14ac:dyDescent="0.3">
      <c r="A200" s="634" t="s">
        <v>4586</v>
      </c>
      <c r="B200" s="634" t="s">
        <v>4586</v>
      </c>
      <c r="C200" s="634" t="str">
        <f t="shared" si="16"/>
        <v>X</v>
      </c>
      <c r="D200" s="635">
        <v>2022</v>
      </c>
      <c r="E200" s="228" t="str">
        <f t="shared" si="14"/>
        <v>Pesado de Passageiros M3: Geral : Gasóleo : Geral</v>
      </c>
      <c r="F200" s="244">
        <v>1</v>
      </c>
      <c r="G200" s="239" t="s">
        <v>1869</v>
      </c>
      <c r="H200" s="239" t="s">
        <v>1861</v>
      </c>
      <c r="I200" s="214" t="s">
        <v>1953</v>
      </c>
      <c r="J200" s="227" t="s">
        <v>2813</v>
      </c>
      <c r="K200" s="458" t="s">
        <v>629</v>
      </c>
      <c r="L200" s="444" t="s">
        <v>620</v>
      </c>
      <c r="M200" s="639">
        <v>205680.44999999995</v>
      </c>
      <c r="N200" s="570" t="s">
        <v>630</v>
      </c>
      <c r="O200" s="641">
        <v>802049</v>
      </c>
      <c r="P200" s="646">
        <v>24.578947368421051</v>
      </c>
      <c r="Q200" s="648">
        <v>18734707</v>
      </c>
      <c r="R200" s="570"/>
      <c r="S200" s="427"/>
      <c r="T200" s="427" t="s">
        <v>47</v>
      </c>
      <c r="U200" s="422" t="s">
        <v>1953</v>
      </c>
      <c r="V200" s="422" t="s">
        <v>2813</v>
      </c>
    </row>
    <row r="201" spans="1:22" ht="15.75" thickBot="1" x14ac:dyDescent="0.3">
      <c r="A201" t="s">
        <v>4586</v>
      </c>
      <c r="B201" s="422" t="s">
        <v>4586</v>
      </c>
      <c r="C201" s="422" t="str">
        <f t="shared" si="16"/>
        <v>X</v>
      </c>
      <c r="D201" s="364">
        <v>2023</v>
      </c>
      <c r="E201" s="365" t="str">
        <f t="shared" si="14"/>
        <v>Pesado de Passageiros M3: Geral : Gasóleo : Geral</v>
      </c>
      <c r="F201" s="366">
        <v>1</v>
      </c>
      <c r="G201" s="367" t="s">
        <v>1869</v>
      </c>
      <c r="H201" s="367" t="s">
        <v>1861</v>
      </c>
      <c r="I201" s="367" t="s">
        <v>1953</v>
      </c>
      <c r="J201" s="367" t="s">
        <v>2813</v>
      </c>
      <c r="K201" s="458" t="s">
        <v>629</v>
      </c>
      <c r="L201" s="444" t="s">
        <v>620</v>
      </c>
      <c r="M201">
        <v>427987</v>
      </c>
      <c r="N201" s="422" t="s">
        <v>630</v>
      </c>
      <c r="O201">
        <v>2308436</v>
      </c>
      <c r="P201" s="247">
        <v>42.99</v>
      </c>
      <c r="Q201">
        <v>99239663.640000001</v>
      </c>
      <c r="S201" s="540"/>
      <c r="T201" s="427" t="s">
        <v>47</v>
      </c>
      <c r="U201" s="422" t="s">
        <v>1953</v>
      </c>
      <c r="V201" s="422" t="s">
        <v>2813</v>
      </c>
    </row>
    <row r="202" spans="1:22" ht="15.75" thickBot="1" x14ac:dyDescent="0.3">
      <c r="A202" s="422" t="s">
        <v>4598</v>
      </c>
      <c r="B202" s="422" t="s">
        <v>4598</v>
      </c>
      <c r="C202" s="422" t="s">
        <v>1950</v>
      </c>
      <c r="D202" s="364">
        <v>2022</v>
      </c>
      <c r="E202" s="365" t="str">
        <f t="shared" si="14"/>
        <v>Pesado de Passageiros M3: Geral : Gasóleo : Geral</v>
      </c>
      <c r="F202" s="366">
        <v>1</v>
      </c>
      <c r="G202" s="367" t="s">
        <v>1869</v>
      </c>
      <c r="H202" s="367" t="s">
        <v>1861</v>
      </c>
      <c r="I202" s="367" t="s">
        <v>1953</v>
      </c>
      <c r="J202" s="367" t="s">
        <v>2813</v>
      </c>
      <c r="K202" s="475" t="s">
        <v>629</v>
      </c>
      <c r="L202" s="638" t="s">
        <v>620</v>
      </c>
      <c r="M202" s="639">
        <v>1030130.347</v>
      </c>
      <c r="N202" s="570" t="s">
        <v>630</v>
      </c>
      <c r="O202" s="641">
        <v>3518775</v>
      </c>
      <c r="P202" s="535">
        <v>46</v>
      </c>
      <c r="Q202" s="649">
        <v>28150200</v>
      </c>
      <c r="T202" s="570" t="s">
        <v>47</v>
      </c>
      <c r="U202" s="422" t="s">
        <v>1953</v>
      </c>
      <c r="V202" s="422" t="s">
        <v>2813</v>
      </c>
    </row>
    <row r="203" spans="1:22" ht="15.75" thickBot="1" x14ac:dyDescent="0.3">
      <c r="A203" s="422" t="s">
        <v>4598</v>
      </c>
      <c r="B203" s="422" t="s">
        <v>4598</v>
      </c>
      <c r="C203" s="422" t="s">
        <v>1950</v>
      </c>
      <c r="D203" s="364">
        <v>2022</v>
      </c>
      <c r="E203" s="365" t="str">
        <f t="shared" si="14"/>
        <v>Ligeiro de Passageiros M1: Geral : Gasóleo : Geral</v>
      </c>
      <c r="F203" s="366">
        <v>1</v>
      </c>
      <c r="G203" s="367" t="s">
        <v>1869</v>
      </c>
      <c r="H203" s="367" t="s">
        <v>1861</v>
      </c>
      <c r="I203" s="367" t="s">
        <v>1953</v>
      </c>
      <c r="J203" s="367" t="s">
        <v>2813</v>
      </c>
      <c r="K203" t="s">
        <v>623</v>
      </c>
      <c r="L203" s="428" t="s">
        <v>620</v>
      </c>
      <c r="M203" s="639">
        <v>94409.29</v>
      </c>
      <c r="N203" s="570" t="s">
        <v>630</v>
      </c>
      <c r="O203" s="641">
        <v>1185729</v>
      </c>
      <c r="P203" s="535">
        <v>8</v>
      </c>
      <c r="Q203" s="649">
        <v>54543534</v>
      </c>
      <c r="T203" s="570" t="s">
        <v>47</v>
      </c>
      <c r="U203" s="422" t="s">
        <v>1953</v>
      </c>
      <c r="V203" s="422" t="s">
        <v>2813</v>
      </c>
    </row>
    <row r="204" spans="1:22" ht="15.75" thickBot="1" x14ac:dyDescent="0.3">
      <c r="A204" t="s">
        <v>4598</v>
      </c>
      <c r="B204" t="s">
        <v>4598</v>
      </c>
      <c r="C204" s="422" t="str">
        <f t="shared" ref="C204:C215" si="17">IF(A204=B204,"X",RIGHT(A204,LEN(A204)-LEN(B204)-3))</f>
        <v>X</v>
      </c>
      <c r="D204" s="364">
        <v>2023</v>
      </c>
      <c r="E204" s="365" t="str">
        <f t="shared" si="14"/>
        <v>Pesado de Passageiros M3: Geral : Gasóleo : Geral</v>
      </c>
      <c r="F204" s="366">
        <v>1</v>
      </c>
      <c r="G204" s="367" t="s">
        <v>1869</v>
      </c>
      <c r="H204" s="367" t="s">
        <v>1861</v>
      </c>
      <c r="I204" s="367" t="s">
        <v>1953</v>
      </c>
      <c r="J204" s="367" t="s">
        <v>2813</v>
      </c>
      <c r="K204" t="s">
        <v>629</v>
      </c>
      <c r="L204" s="89" t="s">
        <v>620</v>
      </c>
      <c r="M204">
        <v>1183228.67</v>
      </c>
      <c r="N204" t="s">
        <v>630</v>
      </c>
      <c r="O204">
        <v>4032006</v>
      </c>
      <c r="P204" s="247">
        <v>47</v>
      </c>
      <c r="S204" s="422" t="s">
        <v>4823</v>
      </c>
      <c r="T204" s="570" t="s">
        <v>47</v>
      </c>
      <c r="U204" s="422" t="s">
        <v>1953</v>
      </c>
      <c r="V204" s="422" t="s">
        <v>2813</v>
      </c>
    </row>
    <row r="205" spans="1:22" ht="15.75" thickBot="1" x14ac:dyDescent="0.3">
      <c r="A205" t="s">
        <v>4598</v>
      </c>
      <c r="B205" t="s">
        <v>4598</v>
      </c>
      <c r="C205" s="422" t="str">
        <f t="shared" si="17"/>
        <v>X</v>
      </c>
      <c r="D205" s="364">
        <v>2023</v>
      </c>
      <c r="E205" s="365" t="str">
        <f t="shared" si="14"/>
        <v>Ligeiro de Passageiros M1: Geral : Gasóleo : Geral</v>
      </c>
      <c r="F205" s="366">
        <v>1</v>
      </c>
      <c r="G205" s="367" t="s">
        <v>1869</v>
      </c>
      <c r="H205" s="367" t="s">
        <v>1861</v>
      </c>
      <c r="I205" s="367" t="s">
        <v>1953</v>
      </c>
      <c r="J205" s="367" t="s">
        <v>2813</v>
      </c>
      <c r="K205" t="s">
        <v>623</v>
      </c>
      <c r="L205" s="89" t="s">
        <v>620</v>
      </c>
      <c r="M205">
        <v>101103.75</v>
      </c>
      <c r="N205" t="s">
        <v>630</v>
      </c>
      <c r="O205">
        <v>1374208</v>
      </c>
      <c r="P205" s="247">
        <v>8</v>
      </c>
      <c r="S205" s="422" t="s">
        <v>4823</v>
      </c>
      <c r="T205" s="570" t="s">
        <v>47</v>
      </c>
      <c r="U205" s="422" t="s">
        <v>1953</v>
      </c>
      <c r="V205" s="422" t="s">
        <v>2813</v>
      </c>
    </row>
    <row r="206" spans="1:22" ht="15.75" thickBot="1" x14ac:dyDescent="0.3">
      <c r="A206" s="634" t="s">
        <v>4596</v>
      </c>
      <c r="B206" s="634" t="s">
        <v>4596</v>
      </c>
      <c r="C206" s="634" t="str">
        <f t="shared" si="17"/>
        <v>X</v>
      </c>
      <c r="D206" s="635">
        <v>2022</v>
      </c>
      <c r="E206" s="228" t="str">
        <f t="shared" si="14"/>
        <v>Pesado de Mercadorias N3: Geral : Gasóleo : Geral</v>
      </c>
      <c r="F206" s="244">
        <v>1</v>
      </c>
      <c r="G206" s="239" t="s">
        <v>1869</v>
      </c>
      <c r="H206" s="239" t="s">
        <v>1861</v>
      </c>
      <c r="I206" s="214" t="s">
        <v>1953</v>
      </c>
      <c r="J206" s="227" t="s">
        <v>2813</v>
      </c>
      <c r="K206" s="458" t="s">
        <v>1920</v>
      </c>
      <c r="L206" s="444" t="s">
        <v>620</v>
      </c>
      <c r="M206" s="640"/>
      <c r="N206" s="642"/>
      <c r="O206" s="644"/>
      <c r="P206" s="646"/>
      <c r="Q206" s="570"/>
      <c r="R206" s="458"/>
      <c r="S206" s="570" t="s">
        <v>1947</v>
      </c>
      <c r="T206" s="570" t="s">
        <v>1927</v>
      </c>
      <c r="U206" s="422" t="s">
        <v>1953</v>
      </c>
      <c r="V206" s="422" t="s">
        <v>2813</v>
      </c>
    </row>
    <row r="207" spans="1:22" ht="15.75" thickBot="1" x14ac:dyDescent="0.3">
      <c r="A207" t="s">
        <v>4596</v>
      </c>
      <c r="B207" t="s">
        <v>4596</v>
      </c>
      <c r="C207" s="422" t="str">
        <f t="shared" si="17"/>
        <v>X</v>
      </c>
      <c r="D207" s="364">
        <v>2023</v>
      </c>
      <c r="E207" s="365" t="str">
        <f t="shared" si="14"/>
        <v>Pesado de Mercadorias N3: Geral : Gasóleo : Geral</v>
      </c>
      <c r="F207" s="366">
        <v>1</v>
      </c>
      <c r="G207" s="367" t="s">
        <v>1869</v>
      </c>
      <c r="H207" s="367" t="s">
        <v>1861</v>
      </c>
      <c r="I207" s="367" t="s">
        <v>1953</v>
      </c>
      <c r="J207" s="367" t="s">
        <v>2813</v>
      </c>
      <c r="K207" t="s">
        <v>1920</v>
      </c>
      <c r="L207" s="89" t="s">
        <v>620</v>
      </c>
      <c r="R207" t="s">
        <v>1502</v>
      </c>
      <c r="S207" s="570" t="s">
        <v>1941</v>
      </c>
      <c r="T207" s="570" t="s">
        <v>1927</v>
      </c>
      <c r="U207" s="422" t="s">
        <v>1953</v>
      </c>
      <c r="V207" s="422" t="s">
        <v>2813</v>
      </c>
    </row>
    <row r="208" spans="1:22" ht="15.75" thickBot="1" x14ac:dyDescent="0.3">
      <c r="A208" s="633" t="s">
        <v>2946</v>
      </c>
      <c r="B208" s="633" t="s">
        <v>2946</v>
      </c>
      <c r="C208" s="634" t="str">
        <f t="shared" si="17"/>
        <v>X</v>
      </c>
      <c r="D208" s="635">
        <v>2022</v>
      </c>
      <c r="E208" s="228" t="str">
        <f t="shared" si="14"/>
        <v>Pesado de Passageiros M3: Geral : Gasóleo : Geral</v>
      </c>
      <c r="F208" s="244">
        <v>1</v>
      </c>
      <c r="G208" s="239" t="s">
        <v>1869</v>
      </c>
      <c r="H208" s="239" t="s">
        <v>1861</v>
      </c>
      <c r="I208" s="214" t="s">
        <v>1953</v>
      </c>
      <c r="J208" s="227" t="s">
        <v>2813</v>
      </c>
      <c r="K208" s="458" t="s">
        <v>629</v>
      </c>
      <c r="L208" s="444" t="s">
        <v>620</v>
      </c>
      <c r="M208" s="639">
        <v>272369.5</v>
      </c>
      <c r="N208" s="570" t="s">
        <v>630</v>
      </c>
      <c r="O208" s="641">
        <v>872073</v>
      </c>
      <c r="P208" s="646">
        <v>42.32</v>
      </c>
      <c r="Q208" s="570"/>
      <c r="R208" s="458" t="s">
        <v>1931</v>
      </c>
      <c r="S208" s="458"/>
      <c r="T208" s="570" t="s">
        <v>47</v>
      </c>
      <c r="U208" s="422" t="s">
        <v>1953</v>
      </c>
      <c r="V208" s="422" t="s">
        <v>2813</v>
      </c>
    </row>
    <row r="209" spans="1:22" ht="15.75" thickBot="1" x14ac:dyDescent="0.3">
      <c r="A209" t="s">
        <v>2946</v>
      </c>
      <c r="B209" t="s">
        <v>2946</v>
      </c>
      <c r="C209" s="422" t="str">
        <f t="shared" si="17"/>
        <v>X</v>
      </c>
      <c r="D209" s="364">
        <v>2023</v>
      </c>
      <c r="E209" s="365" t="str">
        <f t="shared" si="14"/>
        <v>Pesado de Passageiros M3: Geral : Gasóleo : Geral</v>
      </c>
      <c r="F209" s="366">
        <v>1</v>
      </c>
      <c r="G209" s="367" t="s">
        <v>1869</v>
      </c>
      <c r="H209" s="367" t="s">
        <v>1861</v>
      </c>
      <c r="I209" s="367" t="s">
        <v>1953</v>
      </c>
      <c r="J209" s="367" t="s">
        <v>2813</v>
      </c>
      <c r="K209" t="s">
        <v>629</v>
      </c>
      <c r="L209" s="89" t="s">
        <v>620</v>
      </c>
      <c r="M209">
        <v>180285.43000000002</v>
      </c>
      <c r="N209" t="s">
        <v>630</v>
      </c>
      <c r="O209">
        <v>533916</v>
      </c>
      <c r="P209" s="247">
        <v>42.875</v>
      </c>
      <c r="R209" t="s">
        <v>5909</v>
      </c>
      <c r="S209" s="422" t="s">
        <v>4825</v>
      </c>
      <c r="T209" s="570" t="s">
        <v>47</v>
      </c>
      <c r="U209" s="422" t="s">
        <v>1953</v>
      </c>
      <c r="V209" s="422" t="s">
        <v>2813</v>
      </c>
    </row>
    <row r="210" spans="1:22" ht="15.75" thickBot="1" x14ac:dyDescent="0.3">
      <c r="A210" s="529" t="s">
        <v>4672</v>
      </c>
      <c r="B210" t="s">
        <v>4672</v>
      </c>
      <c r="C210" s="422" t="str">
        <f t="shared" si="17"/>
        <v>X</v>
      </c>
      <c r="D210" s="364">
        <v>2023</v>
      </c>
      <c r="E210" s="365" t="str">
        <f t="shared" si="14"/>
        <v>Pesado de Passageiros M3: Geral : Gasóleo : Geral</v>
      </c>
      <c r="F210" s="366">
        <v>1</v>
      </c>
      <c r="G210" s="367" t="s">
        <v>1869</v>
      </c>
      <c r="H210" s="367" t="s">
        <v>1861</v>
      </c>
      <c r="I210" s="367" t="s">
        <v>1953</v>
      </c>
      <c r="J210" s="367" t="s">
        <v>2813</v>
      </c>
      <c r="K210" t="s">
        <v>629</v>
      </c>
      <c r="L210" s="89" t="s">
        <v>620</v>
      </c>
      <c r="M210">
        <v>4989316.2</v>
      </c>
      <c r="N210" t="s">
        <v>630</v>
      </c>
      <c r="O210">
        <v>13461796.099999998</v>
      </c>
      <c r="R210">
        <v>221</v>
      </c>
      <c r="S210" s="422" t="s">
        <v>4825</v>
      </c>
      <c r="T210" s="570" t="s">
        <v>47</v>
      </c>
      <c r="U210" s="422" t="s">
        <v>1953</v>
      </c>
      <c r="V210" s="422" t="s">
        <v>2813</v>
      </c>
    </row>
    <row r="211" spans="1:22" ht="15.75" thickBot="1" x14ac:dyDescent="0.3">
      <c r="A211" t="s">
        <v>5915</v>
      </c>
      <c r="B211" t="s">
        <v>4668</v>
      </c>
      <c r="C211" s="422" t="str">
        <f t="shared" si="17"/>
        <v xml:space="preserve">Queluz de Baixo </v>
      </c>
      <c r="D211" s="364">
        <v>2023</v>
      </c>
      <c r="E211" s="365" t="str">
        <f t="shared" si="14"/>
        <v>Pesado de Passageiros M3: Geral : Gasóleo : Geral</v>
      </c>
      <c r="F211" s="366">
        <v>1</v>
      </c>
      <c r="G211" s="367" t="s">
        <v>1869</v>
      </c>
      <c r="H211" s="367" t="s">
        <v>1861</v>
      </c>
      <c r="I211" s="367" t="s">
        <v>1953</v>
      </c>
      <c r="J211" s="367" t="s">
        <v>2813</v>
      </c>
      <c r="K211" t="s">
        <v>629</v>
      </c>
      <c r="L211" s="89" t="s">
        <v>620</v>
      </c>
      <c r="M211">
        <v>7067354</v>
      </c>
      <c r="N211" t="s">
        <v>630</v>
      </c>
      <c r="O211">
        <v>17777015</v>
      </c>
      <c r="P211" s="247">
        <v>96</v>
      </c>
      <c r="Q211">
        <v>732081392</v>
      </c>
      <c r="R211" s="458" t="s">
        <v>5918</v>
      </c>
      <c r="S211" s="570" t="s">
        <v>4825</v>
      </c>
      <c r="T211" s="570" t="s">
        <v>47</v>
      </c>
      <c r="U211" s="422" t="s">
        <v>1953</v>
      </c>
      <c r="V211" s="422" t="s">
        <v>2813</v>
      </c>
    </row>
    <row r="212" spans="1:22" ht="15.75" thickBot="1" x14ac:dyDescent="0.3">
      <c r="A212" t="s">
        <v>5916</v>
      </c>
      <c r="B212" t="s">
        <v>4668</v>
      </c>
      <c r="C212" s="422" t="str">
        <f t="shared" si="17"/>
        <v>Adroana</v>
      </c>
      <c r="D212" s="364">
        <v>2023</v>
      </c>
      <c r="E212" s="365" t="str">
        <f t="shared" si="14"/>
        <v>Pesado de Passageiros M3: Geral : Gasóleo : Geral</v>
      </c>
      <c r="F212" s="366">
        <v>1</v>
      </c>
      <c r="G212" s="367" t="s">
        <v>1869</v>
      </c>
      <c r="H212" s="367" t="s">
        <v>1861</v>
      </c>
      <c r="I212" s="367" t="s">
        <v>1953</v>
      </c>
      <c r="J212" s="367" t="s">
        <v>2813</v>
      </c>
      <c r="K212" t="s">
        <v>629</v>
      </c>
      <c r="L212" s="89" t="s">
        <v>620</v>
      </c>
      <c r="M212">
        <v>3574475</v>
      </c>
      <c r="N212" t="s">
        <v>630</v>
      </c>
      <c r="O212">
        <v>10623396</v>
      </c>
      <c r="P212" s="247">
        <v>90</v>
      </c>
      <c r="Q212">
        <v>333247890</v>
      </c>
      <c r="R212" s="458" t="s">
        <v>5919</v>
      </c>
      <c r="S212" s="570" t="s">
        <v>4825</v>
      </c>
      <c r="T212" s="570" t="s">
        <v>47</v>
      </c>
      <c r="U212" s="422" t="s">
        <v>1953</v>
      </c>
      <c r="V212" s="422" t="s">
        <v>2813</v>
      </c>
    </row>
    <row r="213" spans="1:22" s="422" customFormat="1" ht="15.75" thickBot="1" x14ac:dyDescent="0.3">
      <c r="A213" s="422" t="s">
        <v>4668</v>
      </c>
      <c r="B213" s="422" t="s">
        <v>4668</v>
      </c>
      <c r="C213" s="422" t="str">
        <f t="shared" si="17"/>
        <v>X</v>
      </c>
      <c r="D213" s="364">
        <v>2023</v>
      </c>
      <c r="E213" s="365" t="str">
        <f t="shared" si="14"/>
        <v>Pesado de Passageiros M3: Geral : Gasóleo : Geral</v>
      </c>
      <c r="F213" s="366">
        <v>1</v>
      </c>
      <c r="G213" s="367" t="s">
        <v>1869</v>
      </c>
      <c r="H213" s="367" t="s">
        <v>1861</v>
      </c>
      <c r="I213" s="367" t="s">
        <v>1953</v>
      </c>
      <c r="J213" s="367" t="s">
        <v>2813</v>
      </c>
      <c r="K213" s="422" t="s">
        <v>629</v>
      </c>
      <c r="L213" s="428" t="s">
        <v>620</v>
      </c>
      <c r="M213" s="422">
        <f>M212+M211</f>
        <v>10641829</v>
      </c>
      <c r="N213" s="422" t="s">
        <v>630</v>
      </c>
      <c r="O213" s="422">
        <f>O212+O211</f>
        <v>28400411</v>
      </c>
      <c r="P213" s="247">
        <f>(P211*O211+P212*O212)/O213</f>
        <v>93.755653043190108</v>
      </c>
      <c r="Q213" s="422">
        <f>Q212+Q211</f>
        <v>1065329282</v>
      </c>
      <c r="R213" s="458" t="s">
        <v>6568</v>
      </c>
      <c r="S213" s="570" t="s">
        <v>4825</v>
      </c>
      <c r="T213" s="570" t="s">
        <v>47</v>
      </c>
      <c r="U213" s="422" t="s">
        <v>1953</v>
      </c>
      <c r="V213" s="422" t="s">
        <v>2813</v>
      </c>
    </row>
    <row r="214" spans="1:22" ht="15.75" thickBot="1" x14ac:dyDescent="0.3">
      <c r="A214" t="s">
        <v>4599</v>
      </c>
      <c r="B214" t="s">
        <v>4599</v>
      </c>
      <c r="C214" s="422" t="str">
        <f t="shared" si="17"/>
        <v>X</v>
      </c>
      <c r="D214" s="364">
        <v>2023</v>
      </c>
      <c r="E214" s="365" t="str">
        <f t="shared" si="14"/>
        <v>Pesado de Passageiros M3: Geral : Gasóleo : Geral</v>
      </c>
      <c r="F214" s="366">
        <v>1</v>
      </c>
      <c r="G214" s="367" t="s">
        <v>1869</v>
      </c>
      <c r="H214" s="367" t="s">
        <v>1861</v>
      </c>
      <c r="I214" s="367" t="s">
        <v>1953</v>
      </c>
      <c r="J214" s="367" t="s">
        <v>2813</v>
      </c>
      <c r="K214" s="458" t="s">
        <v>629</v>
      </c>
      <c r="L214" s="444" t="s">
        <v>620</v>
      </c>
      <c r="M214">
        <v>19535.71</v>
      </c>
      <c r="N214" t="s">
        <v>630</v>
      </c>
      <c r="O214">
        <v>44441.440000000002</v>
      </c>
      <c r="P214" s="247">
        <v>90</v>
      </c>
      <c r="R214" t="s">
        <v>1931</v>
      </c>
      <c r="T214" s="570" t="s">
        <v>47</v>
      </c>
      <c r="U214" s="422" t="s">
        <v>1953</v>
      </c>
      <c r="V214" s="422" t="s">
        <v>2813</v>
      </c>
    </row>
    <row r="215" spans="1:22" ht="15.75" thickBot="1" x14ac:dyDescent="0.3">
      <c r="A215" s="634" t="s">
        <v>4590</v>
      </c>
      <c r="B215" s="634" t="s">
        <v>4590</v>
      </c>
      <c r="C215" s="634" t="str">
        <f t="shared" si="17"/>
        <v>X</v>
      </c>
      <c r="D215" s="635">
        <v>2022</v>
      </c>
      <c r="E215" s="228" t="str">
        <f t="shared" si="14"/>
        <v>Pesado de Passageiros M3: Geral : Gasóleo : Geral</v>
      </c>
      <c r="F215" s="244">
        <v>1</v>
      </c>
      <c r="G215" s="239" t="s">
        <v>1869</v>
      </c>
      <c r="H215" s="239" t="s">
        <v>1861</v>
      </c>
      <c r="I215" s="214" t="s">
        <v>1953</v>
      </c>
      <c r="J215" s="227" t="s">
        <v>2813</v>
      </c>
      <c r="K215" s="458" t="s">
        <v>629</v>
      </c>
      <c r="L215" s="444" t="s">
        <v>620</v>
      </c>
      <c r="M215" s="639">
        <v>5417773.4609999964</v>
      </c>
      <c r="N215" s="570" t="s">
        <v>630</v>
      </c>
      <c r="O215" s="641">
        <v>12768138.555562012</v>
      </c>
      <c r="P215" s="646">
        <v>87.003472222222229</v>
      </c>
      <c r="Q215" s="651">
        <v>1102820705.6716104</v>
      </c>
      <c r="R215" s="458"/>
      <c r="S215" s="458"/>
      <c r="T215" s="570" t="s">
        <v>47</v>
      </c>
      <c r="U215" s="422" t="s">
        <v>1953</v>
      </c>
      <c r="V215" s="422" t="s">
        <v>2813</v>
      </c>
    </row>
    <row r="216" spans="1:22" ht="15.75" thickBot="1" x14ac:dyDescent="0.3">
      <c r="A216" s="634" t="s">
        <v>4587</v>
      </c>
      <c r="B216" s="634" t="s">
        <v>4587</v>
      </c>
      <c r="C216" s="634" t="s">
        <v>1950</v>
      </c>
      <c r="D216" s="635">
        <v>2022</v>
      </c>
      <c r="E216" s="228" t="str">
        <f t="shared" si="14"/>
        <v>Pesado de Passageiros M3: Geral : Gasóleo : Geral</v>
      </c>
      <c r="F216" s="244">
        <v>1</v>
      </c>
      <c r="G216" s="239" t="s">
        <v>1869</v>
      </c>
      <c r="H216" s="239" t="s">
        <v>1861</v>
      </c>
      <c r="I216" s="214" t="s">
        <v>1953</v>
      </c>
      <c r="J216" s="227" t="s">
        <v>2813</v>
      </c>
      <c r="K216" s="458" t="s">
        <v>629</v>
      </c>
      <c r="L216" s="444" t="s">
        <v>620</v>
      </c>
      <c r="M216" s="639">
        <v>1931610.9300000009</v>
      </c>
      <c r="N216" s="570" t="s">
        <v>630</v>
      </c>
      <c r="O216" s="641">
        <v>5834989</v>
      </c>
      <c r="P216" s="646">
        <v>74.113043478260863</v>
      </c>
      <c r="Q216" s="648">
        <v>441406241</v>
      </c>
      <c r="R216" s="570"/>
      <c r="S216" s="570"/>
      <c r="T216" s="570" t="s">
        <v>47</v>
      </c>
      <c r="U216" s="422" t="s">
        <v>1953</v>
      </c>
      <c r="V216" s="422" t="s">
        <v>2813</v>
      </c>
    </row>
    <row r="217" spans="1:22" ht="15.75" thickBot="1" x14ac:dyDescent="0.3">
      <c r="A217" t="s">
        <v>4587</v>
      </c>
      <c r="B217" t="s">
        <v>4587</v>
      </c>
      <c r="C217" s="422" t="str">
        <f>IF(A217=B217,"X",RIGHT(A217,LEN(A217)-LEN(B217)-3))</f>
        <v>X</v>
      </c>
      <c r="D217" s="364">
        <v>2023</v>
      </c>
      <c r="E217" s="365" t="str">
        <f t="shared" si="14"/>
        <v>Pesado de Passageiros M3: Geral : Gasóleo : Geral</v>
      </c>
      <c r="F217" s="366">
        <v>1</v>
      </c>
      <c r="G217" s="367" t="s">
        <v>1869</v>
      </c>
      <c r="H217" s="367" t="s">
        <v>1861</v>
      </c>
      <c r="I217" s="367" t="s">
        <v>1953</v>
      </c>
      <c r="J217" s="367" t="s">
        <v>2813</v>
      </c>
      <c r="K217" s="458" t="s">
        <v>629</v>
      </c>
      <c r="L217" s="444" t="s">
        <v>620</v>
      </c>
      <c r="M217">
        <v>2025074</v>
      </c>
      <c r="N217" t="s">
        <v>630</v>
      </c>
      <c r="O217">
        <v>5819731</v>
      </c>
      <c r="P217" s="247">
        <v>74.669421487603302</v>
      </c>
      <c r="Q217">
        <v>434555946.98347104</v>
      </c>
      <c r="T217" s="570" t="s">
        <v>47</v>
      </c>
      <c r="U217" s="422" t="s">
        <v>1953</v>
      </c>
      <c r="V217" s="422" t="s">
        <v>2813</v>
      </c>
    </row>
    <row r="218" spans="1:22" ht="15.75" thickBot="1" x14ac:dyDescent="0.3">
      <c r="A218" t="s">
        <v>6582</v>
      </c>
      <c r="B218" s="422" t="s">
        <v>6582</v>
      </c>
      <c r="C218" t="s">
        <v>1950</v>
      </c>
      <c r="D218" s="364">
        <v>2023</v>
      </c>
      <c r="E218" s="365" t="str">
        <f t="shared" si="14"/>
        <v>Pesado de Passageiros M3: Geral : Gasóleo : Geral</v>
      </c>
      <c r="F218" s="366">
        <v>1</v>
      </c>
      <c r="G218" s="367" t="s">
        <v>1869</v>
      </c>
      <c r="H218" s="367" t="s">
        <v>1861</v>
      </c>
      <c r="I218" s="367" t="s">
        <v>1953</v>
      </c>
      <c r="J218" s="367" t="s">
        <v>2813</v>
      </c>
      <c r="K218" s="458" t="s">
        <v>629</v>
      </c>
      <c r="L218" s="444" t="s">
        <v>620</v>
      </c>
      <c r="M218" s="422">
        <v>1207451.6800000004</v>
      </c>
      <c r="N218" s="422" t="s">
        <v>630</v>
      </c>
      <c r="O218" s="422">
        <v>3468726.9029589826</v>
      </c>
      <c r="P218" s="247">
        <f>Q218/O218</f>
        <v>60.956805247324176</v>
      </c>
      <c r="Q218" s="247">
        <v>211442510.27982464</v>
      </c>
      <c r="S218" s="570" t="s">
        <v>4825</v>
      </c>
      <c r="T218" s="570" t="s">
        <v>47</v>
      </c>
      <c r="U218" s="422" t="s">
        <v>1953</v>
      </c>
      <c r="V218" s="422" t="s">
        <v>2813</v>
      </c>
    </row>
    <row r="219" spans="1:22" ht="15.75" thickBot="1" x14ac:dyDescent="0.3">
      <c r="A219" s="422" t="s">
        <v>6582</v>
      </c>
      <c r="B219" s="422" t="s">
        <v>6582</v>
      </c>
      <c r="C219" s="422" t="s">
        <v>1950</v>
      </c>
      <c r="D219" s="364">
        <v>2023</v>
      </c>
      <c r="E219" s="365" t="str">
        <f t="shared" si="14"/>
        <v>Ligeiro de Passageiros M1: Geral : Gasóleo : Geral</v>
      </c>
      <c r="F219" s="366">
        <v>1</v>
      </c>
      <c r="G219" s="367" t="s">
        <v>1869</v>
      </c>
      <c r="H219" s="367" t="s">
        <v>1861</v>
      </c>
      <c r="I219" s="367" t="s">
        <v>1953</v>
      </c>
      <c r="J219" s="367" t="s">
        <v>2813</v>
      </c>
      <c r="K219" s="422" t="s">
        <v>623</v>
      </c>
      <c r="L219" s="444" t="s">
        <v>620</v>
      </c>
      <c r="M219" s="422">
        <v>8957.0000000000018</v>
      </c>
      <c r="N219" s="422" t="s">
        <v>630</v>
      </c>
      <c r="O219" s="422">
        <v>85515.200000000012</v>
      </c>
      <c r="P219" s="247">
        <v>8</v>
      </c>
      <c r="Q219">
        <v>684121.60000000009</v>
      </c>
      <c r="S219" s="570" t="s">
        <v>4825</v>
      </c>
      <c r="T219" s="570" t="s">
        <v>47</v>
      </c>
      <c r="U219" s="422" t="s">
        <v>1953</v>
      </c>
      <c r="V219" s="422" t="s">
        <v>2813</v>
      </c>
    </row>
    <row r="220" spans="1:22" ht="15.75" thickBot="1" x14ac:dyDescent="0.3">
      <c r="A220" s="422" t="s">
        <v>6583</v>
      </c>
      <c r="B220" s="422" t="s">
        <v>6583</v>
      </c>
      <c r="C220" s="422" t="s">
        <v>1950</v>
      </c>
      <c r="D220" s="364">
        <v>2023</v>
      </c>
      <c r="E220" s="365" t="str">
        <f t="shared" ref="E220:E221" si="18">K220&amp;": "&amp;"Geral : "&amp;L220&amp;" : Geral"</f>
        <v>Pesado de Passageiros M3: Geral : Gasóleo : Geral</v>
      </c>
      <c r="F220" s="366">
        <v>1</v>
      </c>
      <c r="G220" s="367" t="s">
        <v>1869</v>
      </c>
      <c r="H220" s="367" t="s">
        <v>1861</v>
      </c>
      <c r="I220" s="367" t="s">
        <v>1953</v>
      </c>
      <c r="J220" s="367" t="s">
        <v>2813</v>
      </c>
      <c r="K220" s="458" t="s">
        <v>629</v>
      </c>
      <c r="L220" s="444" t="s">
        <v>620</v>
      </c>
      <c r="M220" s="422">
        <v>280235.69999999995</v>
      </c>
      <c r="N220" s="422" t="s">
        <v>630</v>
      </c>
      <c r="O220" s="422">
        <v>973429.82000000018</v>
      </c>
      <c r="P220" s="247">
        <f>Q220/O220</f>
        <v>55.589938502192169</v>
      </c>
      <c r="Q220" s="247">
        <v>54112903.830000006</v>
      </c>
      <c r="S220" s="427" t="s">
        <v>4824</v>
      </c>
      <c r="T220" s="570" t="s">
        <v>47</v>
      </c>
      <c r="U220" s="422" t="s">
        <v>1953</v>
      </c>
      <c r="V220" s="422" t="s">
        <v>2813</v>
      </c>
    </row>
    <row r="221" spans="1:22" ht="15.75" thickBot="1" x14ac:dyDescent="0.3">
      <c r="A221" s="422" t="s">
        <v>6583</v>
      </c>
      <c r="B221" s="422" t="s">
        <v>6583</v>
      </c>
      <c r="C221" s="422" t="s">
        <v>1950</v>
      </c>
      <c r="D221" s="364">
        <v>2023</v>
      </c>
      <c r="E221" s="365" t="str">
        <f t="shared" si="18"/>
        <v>Ligeiro de Passageiros M1: Geral : Gasóleo : Geral</v>
      </c>
      <c r="F221" s="366">
        <v>1</v>
      </c>
      <c r="G221" s="367" t="s">
        <v>1869</v>
      </c>
      <c r="H221" s="367" t="s">
        <v>1861</v>
      </c>
      <c r="I221" s="367" t="s">
        <v>1953</v>
      </c>
      <c r="J221" s="367" t="s">
        <v>2813</v>
      </c>
      <c r="K221" s="422" t="s">
        <v>623</v>
      </c>
      <c r="L221" s="444" t="s">
        <v>620</v>
      </c>
      <c r="M221" s="422">
        <v>2657.9300000000003</v>
      </c>
      <c r="N221" s="422" t="s">
        <v>630</v>
      </c>
      <c r="O221" s="422">
        <v>31709.479999999981</v>
      </c>
      <c r="P221" s="247">
        <v>8</v>
      </c>
      <c r="Q221" s="422">
        <v>253675.83999999985</v>
      </c>
      <c r="S221" s="427" t="s">
        <v>4824</v>
      </c>
      <c r="T221" s="570" t="s">
        <v>47</v>
      </c>
      <c r="U221" s="422" t="s">
        <v>1953</v>
      </c>
      <c r="V221" s="422" t="s">
        <v>2813</v>
      </c>
    </row>
  </sheetData>
  <autoFilter ref="A1:V217">
    <filterColumn colId="6">
      <filters>
        <filter val="Qtd."/>
      </filters>
    </filterColumn>
    <sortState ref="A4:V216">
      <sortCondition ref="B1:B152"/>
    </sortState>
  </autoFilter>
  <mergeCells count="18">
    <mergeCell ref="Q1:Q2"/>
    <mergeCell ref="R1:R2"/>
    <mergeCell ref="U1:U2"/>
    <mergeCell ref="V1:V2"/>
    <mergeCell ref="T1:T2"/>
    <mergeCell ref="A1:A2"/>
    <mergeCell ref="C1:C2"/>
    <mergeCell ref="G1:G2"/>
    <mergeCell ref="H1:H2"/>
    <mergeCell ref="I1:I2"/>
    <mergeCell ref="N1:N2"/>
    <mergeCell ref="O1:O2"/>
    <mergeCell ref="P1:P2"/>
    <mergeCell ref="J1:J2"/>
    <mergeCell ref="B1:B2"/>
    <mergeCell ref="K1:K2"/>
    <mergeCell ref="L1:L2"/>
    <mergeCell ref="M1:M2"/>
  </mergeCells>
  <dataValidations disablePrompts="1" count="4">
    <dataValidation type="list" allowBlank="1" showInputMessage="1" showErrorMessage="1" sqref="O88:Q90 M43 O43:Q48 K148 K157 K159 K3:K101 K161:K169">
      <formula1>"Pesado de Passageiros M3, Pesado de Passageiros M2, Ligeiro de Passageiros M1, Pesado de Mercadorias N3, Pesado de Mercadorias N2, Ligeiro de Mercadorias N1, Misto"</formula1>
    </dataValidation>
    <dataValidation type="list" allowBlank="1" showInputMessage="1" showErrorMessage="1" sqref="L3:L101 L148 L157:L169">
      <formula1>"Gasóleo, Gasolina, GPL, GNC, GNV, Butano, Propano, H2"</formula1>
    </dataValidation>
    <dataValidation type="list" allowBlank="1" showInputMessage="1" showErrorMessage="1" sqref="N3:N101 N148:N152">
      <formula1>"l (litros), kg (quilos), Nm3 (metros cubicos norm.), € (euros)"</formula1>
    </dataValidation>
    <dataValidation type="list" allowBlank="1" showInputMessage="1" showErrorMessage="1" sqref="S195:S201">
      <formula1>"SPTP Exclusivo, Serviço Comercial Exclusivo, Serviço misto, Expressos Exclusivo, Carga"</formula1>
    </dataValidation>
  </dataValidations>
  <pageMargins left="0.7" right="0.7" top="0.75" bottom="0.75" header="0.3" footer="0.3"/>
  <customProperties>
    <customPr name="GUID" r:id="rId1"/>
  </customPropertie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9"/>
  <dimension ref="B6:V916"/>
  <sheetViews>
    <sheetView workbookViewId="0"/>
  </sheetViews>
  <sheetFormatPr defaultRowHeight="15" x14ac:dyDescent="0.25"/>
  <cols>
    <col min="2" max="2" width="49.5703125" customWidth="1"/>
    <col min="3" max="3" width="36" customWidth="1"/>
    <col min="4" max="7" width="21.5703125" customWidth="1"/>
    <col min="8" max="9" width="28.28515625" customWidth="1"/>
    <col min="10" max="10" width="31.5703125" style="131" customWidth="1"/>
    <col min="11" max="11" width="28.28515625" customWidth="1"/>
    <col min="12" max="12" width="28.28515625" style="89" customWidth="1"/>
    <col min="13" max="13" width="39.42578125" bestFit="1" customWidth="1"/>
    <col min="14" max="14" width="22.85546875" customWidth="1"/>
  </cols>
  <sheetData>
    <row r="6" spans="2:22" ht="15.75" thickBot="1" x14ac:dyDescent="0.3"/>
    <row r="7" spans="2:22" x14ac:dyDescent="0.25">
      <c r="B7" s="78" t="s">
        <v>118</v>
      </c>
      <c r="C7" s="80"/>
    </row>
    <row r="9" spans="2:22" x14ac:dyDescent="0.25">
      <c r="B9" s="765" t="str">
        <f>"Grupo Barraqueiro: "&amp;'Folha de Rosto'!C6&amp;" "&amp;'Folha de Rosto'!I6&amp;" - Emissões de GEE de Âmbito 1"</f>
        <v>Grupo Barraqueiro: PEGADA DE CARBONO 2022 - Emissões de GEE de Âmbito 1</v>
      </c>
      <c r="C9" s="765"/>
      <c r="D9" s="765"/>
      <c r="E9" s="765"/>
      <c r="F9" s="765"/>
      <c r="G9" s="765"/>
      <c r="H9" s="765"/>
      <c r="I9" s="765"/>
      <c r="J9" s="765"/>
      <c r="K9" s="765"/>
      <c r="L9" s="765"/>
      <c r="M9" s="765"/>
      <c r="N9" s="765"/>
      <c r="O9" s="765"/>
      <c r="P9" s="765"/>
      <c r="Q9" s="765"/>
      <c r="R9" s="765"/>
      <c r="S9" s="765"/>
      <c r="T9" s="765"/>
      <c r="U9" s="765"/>
      <c r="V9" s="765"/>
    </row>
    <row r="10" spans="2:22" ht="15.75" thickBot="1" x14ac:dyDescent="0.3"/>
    <row r="11" spans="2:22" ht="33.75" customHeight="1" thickBot="1" x14ac:dyDescent="0.3">
      <c r="B11" s="761" t="s">
        <v>119</v>
      </c>
      <c r="C11" s="761"/>
      <c r="D11" s="767" t="s">
        <v>127</v>
      </c>
      <c r="E11" s="767"/>
      <c r="F11" s="768"/>
      <c r="G11" s="768"/>
      <c r="H11" s="768"/>
      <c r="I11" s="768"/>
      <c r="J11" s="768"/>
      <c r="K11" s="768"/>
      <c r="L11" s="768"/>
      <c r="M11" s="768"/>
      <c r="N11" s="768"/>
      <c r="O11" s="768"/>
      <c r="P11" s="768"/>
      <c r="Q11" s="769"/>
    </row>
    <row r="12" spans="2:22" ht="67.5" customHeight="1" thickBot="1" x14ac:dyDescent="0.3">
      <c r="B12" s="761" t="s">
        <v>120</v>
      </c>
      <c r="C12" s="761"/>
      <c r="D12" s="770" t="s">
        <v>150</v>
      </c>
      <c r="E12" s="770"/>
      <c r="F12" s="771"/>
      <c r="G12" s="771"/>
      <c r="H12" s="771"/>
      <c r="I12" s="771"/>
      <c r="J12" s="771"/>
      <c r="K12" s="771"/>
      <c r="L12" s="771"/>
      <c r="M12" s="771"/>
      <c r="N12" s="771"/>
      <c r="O12" s="771"/>
      <c r="P12" s="771"/>
      <c r="Q12" s="772"/>
    </row>
    <row r="13" spans="2:22" ht="60" customHeight="1" thickBot="1" x14ac:dyDescent="0.3">
      <c r="B13" s="761" t="s">
        <v>121</v>
      </c>
      <c r="C13" s="761"/>
      <c r="D13" s="784" t="str">
        <f>'A1.1'!D13</f>
        <v>Metodologia a descrever pelo responsável local pela recolha de dados</v>
      </c>
      <c r="E13" s="784"/>
      <c r="F13" s="785"/>
      <c r="G13" s="785"/>
      <c r="H13" s="785"/>
      <c r="I13" s="785"/>
      <c r="J13" s="785"/>
      <c r="K13" s="785"/>
      <c r="L13" s="785"/>
      <c r="M13" s="785"/>
      <c r="N13" s="785"/>
      <c r="O13" s="785"/>
      <c r="P13" s="785"/>
      <c r="Q13" s="786"/>
    </row>
    <row r="14" spans="2:22" ht="60" customHeight="1" thickBot="1" x14ac:dyDescent="0.3">
      <c r="B14" s="761" t="s">
        <v>122</v>
      </c>
      <c r="C14" s="761"/>
      <c r="D14" s="784" t="str">
        <f>'A1.1'!D14</f>
        <v>Identificação do responsável local pela recolha de dados</v>
      </c>
      <c r="E14" s="784"/>
      <c r="F14" s="785"/>
      <c r="G14" s="785"/>
      <c r="H14" s="785"/>
      <c r="I14" s="785"/>
      <c r="J14" s="785"/>
      <c r="K14" s="785"/>
      <c r="L14" s="785"/>
      <c r="M14" s="785"/>
      <c r="N14" s="785"/>
      <c r="O14" s="785"/>
      <c r="P14" s="785"/>
      <c r="Q14" s="786"/>
    </row>
    <row r="15" spans="2:22" ht="60" customHeight="1" thickBot="1" x14ac:dyDescent="0.3">
      <c r="B15" s="761" t="s">
        <v>128</v>
      </c>
      <c r="C15" s="761"/>
      <c r="D15" s="784" t="str">
        <f>'A1.1'!D15</f>
        <v>Identificação das fontes de dados pelo responsável local pela recolha de dados</v>
      </c>
      <c r="E15" s="784"/>
      <c r="F15" s="785"/>
      <c r="G15" s="785"/>
      <c r="H15" s="785"/>
      <c r="I15" s="785"/>
      <c r="J15" s="785"/>
      <c r="K15" s="785"/>
      <c r="L15" s="785"/>
      <c r="M15" s="785"/>
      <c r="N15" s="785"/>
      <c r="O15" s="785"/>
      <c r="P15" s="785"/>
      <c r="Q15" s="786"/>
    </row>
    <row r="17" spans="2:22" x14ac:dyDescent="0.25">
      <c r="B17" s="765" t="s">
        <v>145</v>
      </c>
      <c r="C17" s="765"/>
      <c r="D17" s="765"/>
      <c r="E17" s="765"/>
      <c r="F17" s="765"/>
      <c r="G17" s="765"/>
      <c r="H17" s="765"/>
      <c r="I17" s="765"/>
      <c r="J17" s="765"/>
      <c r="K17" s="765"/>
      <c r="L17" s="765"/>
      <c r="M17" s="765"/>
      <c r="N17" s="765"/>
      <c r="O17" s="765"/>
      <c r="P17" s="765"/>
      <c r="Q17" s="765"/>
      <c r="R17" s="765"/>
      <c r="S17" s="765"/>
      <c r="T17" s="765"/>
      <c r="U17" s="765"/>
      <c r="V17" s="765"/>
    </row>
    <row r="18" spans="2:22" x14ac:dyDescent="0.25">
      <c r="B18" t="s">
        <v>130</v>
      </c>
    </row>
    <row r="20" spans="2:22" x14ac:dyDescent="0.25">
      <c r="B20" s="81" t="s">
        <v>135</v>
      </c>
    </row>
    <row r="21" spans="2:22" x14ac:dyDescent="0.25">
      <c r="B21" s="766" t="s">
        <v>730</v>
      </c>
      <c r="C21" s="766"/>
      <c r="D21" s="766"/>
      <c r="E21" s="766"/>
      <c r="F21" s="766"/>
      <c r="G21" s="766"/>
      <c r="H21" s="766"/>
      <c r="I21" s="766"/>
      <c r="J21" s="766"/>
      <c r="K21" s="766"/>
      <c r="L21" s="766"/>
      <c r="M21" s="766"/>
      <c r="N21" s="766"/>
      <c r="O21" s="766"/>
      <c r="P21" s="766"/>
      <c r="Q21" s="766"/>
      <c r="R21" s="766"/>
      <c r="S21" s="766"/>
      <c r="T21" s="766"/>
    </row>
    <row r="22" spans="2:22" x14ac:dyDescent="0.25">
      <c r="B22" s="766"/>
      <c r="C22" s="766"/>
      <c r="D22" s="766"/>
      <c r="E22" s="766"/>
      <c r="F22" s="766"/>
      <c r="G22" s="766"/>
      <c r="H22" s="766"/>
      <c r="I22" s="766"/>
      <c r="J22" s="766"/>
      <c r="K22" s="766"/>
      <c r="L22" s="766"/>
      <c r="M22" s="766"/>
      <c r="N22" s="766"/>
      <c r="O22" s="766"/>
      <c r="P22" s="766"/>
      <c r="Q22" s="766"/>
      <c r="R22" s="766"/>
      <c r="S22" s="766"/>
      <c r="T22" s="766"/>
    </row>
    <row r="24" spans="2:22" x14ac:dyDescent="0.25">
      <c r="B24" s="81" t="s">
        <v>136</v>
      </c>
    </row>
    <row r="25" spans="2:22" x14ac:dyDescent="0.25">
      <c r="B25" s="766"/>
      <c r="C25" s="766"/>
      <c r="D25" s="766"/>
      <c r="E25" s="766"/>
      <c r="F25" s="766"/>
      <c r="G25" s="766"/>
      <c r="H25" s="766"/>
      <c r="I25" s="766"/>
      <c r="J25" s="766"/>
      <c r="K25" s="766"/>
      <c r="L25" s="766"/>
      <c r="M25" s="766"/>
      <c r="N25" s="766"/>
      <c r="O25" s="766"/>
      <c r="P25" s="766"/>
      <c r="Q25" s="766"/>
      <c r="R25" s="766"/>
      <c r="S25" s="766"/>
      <c r="T25" s="766"/>
    </row>
    <row r="26" spans="2:22" x14ac:dyDescent="0.25">
      <c r="B26" s="766"/>
      <c r="C26" s="766"/>
      <c r="D26" s="766"/>
      <c r="E26" s="766"/>
      <c r="F26" s="766"/>
      <c r="G26" s="766"/>
      <c r="H26" s="766"/>
      <c r="I26" s="766"/>
      <c r="J26" s="766"/>
      <c r="K26" s="766"/>
      <c r="L26" s="766"/>
      <c r="M26" s="766"/>
      <c r="N26" s="766"/>
      <c r="O26" s="766"/>
      <c r="P26" s="766"/>
      <c r="Q26" s="766"/>
      <c r="R26" s="766"/>
      <c r="S26" s="766"/>
      <c r="T26" s="766"/>
    </row>
    <row r="27" spans="2:22" ht="15.75" thickBot="1" x14ac:dyDescent="0.3"/>
    <row r="28" spans="2:22" ht="15.75" thickBot="1" x14ac:dyDescent="0.3">
      <c r="B28" s="757" t="s">
        <v>131</v>
      </c>
      <c r="C28" s="759" t="s">
        <v>138</v>
      </c>
      <c r="D28" s="778" t="s">
        <v>139</v>
      </c>
      <c r="E28" s="778" t="s">
        <v>148</v>
      </c>
      <c r="F28" s="777" t="s">
        <v>149</v>
      </c>
      <c r="G28" s="778" t="s">
        <v>147</v>
      </c>
      <c r="H28" s="759" t="s">
        <v>140</v>
      </c>
      <c r="I28" s="757" t="s">
        <v>141</v>
      </c>
      <c r="J28" s="782" t="s">
        <v>146</v>
      </c>
      <c r="K28" s="759" t="s">
        <v>155</v>
      </c>
      <c r="L28" s="777" t="s">
        <v>134</v>
      </c>
      <c r="M28" s="781" t="s">
        <v>142</v>
      </c>
      <c r="N28" s="777" t="s">
        <v>1515</v>
      </c>
    </row>
    <row r="29" spans="2:22" ht="15.75" thickBot="1" x14ac:dyDescent="0.3">
      <c r="B29" s="758"/>
      <c r="C29" s="759"/>
      <c r="D29" s="779"/>
      <c r="E29" s="779"/>
      <c r="F29" s="777"/>
      <c r="G29" s="779"/>
      <c r="H29" s="759"/>
      <c r="I29" s="758"/>
      <c r="J29" s="783"/>
      <c r="K29" s="759"/>
      <c r="L29" s="777"/>
      <c r="M29" s="781"/>
      <c r="N29" s="777"/>
    </row>
    <row r="30" spans="2:22" ht="15.75" thickBot="1" x14ac:dyDescent="0.3">
      <c r="B30" s="82" t="s">
        <v>542</v>
      </c>
      <c r="C30" s="83" t="s">
        <v>629</v>
      </c>
      <c r="D30" s="124" t="s">
        <v>620</v>
      </c>
      <c r="E30" s="130">
        <v>2008</v>
      </c>
      <c r="F30" s="125" t="s">
        <v>731</v>
      </c>
      <c r="G30" s="125">
        <v>66</v>
      </c>
      <c r="H30" s="85">
        <v>9625.42</v>
      </c>
      <c r="I30" s="85" t="s">
        <v>630</v>
      </c>
      <c r="J30" s="128">
        <v>26964</v>
      </c>
      <c r="K30" s="128">
        <f>J30*G30</f>
        <v>1779624</v>
      </c>
      <c r="L30" s="125" t="s">
        <v>631</v>
      </c>
      <c r="M30" s="85" t="s">
        <v>47</v>
      </c>
      <c r="N30" s="85" t="s">
        <v>1491</v>
      </c>
    </row>
    <row r="31" spans="2:22" ht="15.75" thickBot="1" x14ac:dyDescent="0.3">
      <c r="B31" s="82" t="s">
        <v>542</v>
      </c>
      <c r="C31" s="83" t="s">
        <v>629</v>
      </c>
      <c r="D31" s="124" t="s">
        <v>620</v>
      </c>
      <c r="E31" s="130">
        <v>2008</v>
      </c>
      <c r="F31" s="125" t="s">
        <v>731</v>
      </c>
      <c r="G31" s="125">
        <v>55</v>
      </c>
      <c r="H31" s="85">
        <v>19256.560000000001</v>
      </c>
      <c r="I31" s="85" t="s">
        <v>630</v>
      </c>
      <c r="J31" s="128">
        <v>49640</v>
      </c>
      <c r="K31" s="128">
        <f t="shared" ref="K31:K94" si="0">J31*G31</f>
        <v>2730200</v>
      </c>
      <c r="L31" s="125" t="s">
        <v>632</v>
      </c>
      <c r="M31" s="85" t="s">
        <v>47</v>
      </c>
      <c r="N31" s="85" t="s">
        <v>1491</v>
      </c>
    </row>
    <row r="32" spans="2:22" ht="15.75" thickBot="1" x14ac:dyDescent="0.3">
      <c r="B32" s="82" t="s">
        <v>542</v>
      </c>
      <c r="C32" s="83" t="s">
        <v>629</v>
      </c>
      <c r="D32" s="124" t="s">
        <v>620</v>
      </c>
      <c r="E32" s="130">
        <v>2008</v>
      </c>
      <c r="F32" s="125" t="s">
        <v>731</v>
      </c>
      <c r="G32" s="125">
        <v>55</v>
      </c>
      <c r="H32" s="85">
        <v>34730.512999999999</v>
      </c>
      <c r="I32" s="85" t="s">
        <v>630</v>
      </c>
      <c r="J32" s="128">
        <v>99820</v>
      </c>
      <c r="K32" s="128">
        <f t="shared" si="0"/>
        <v>5490100</v>
      </c>
      <c r="L32" s="125" t="s">
        <v>633</v>
      </c>
      <c r="M32" s="85" t="s">
        <v>47</v>
      </c>
      <c r="N32" s="85" t="s">
        <v>1491</v>
      </c>
    </row>
    <row r="33" spans="2:14" ht="15.75" thickBot="1" x14ac:dyDescent="0.3">
      <c r="B33" s="82" t="s">
        <v>542</v>
      </c>
      <c r="C33" s="83" t="s">
        <v>629</v>
      </c>
      <c r="D33" s="124" t="s">
        <v>620</v>
      </c>
      <c r="E33" s="130">
        <v>2006</v>
      </c>
      <c r="F33" s="125" t="s">
        <v>731</v>
      </c>
      <c r="G33" s="125">
        <v>55</v>
      </c>
      <c r="H33" s="85">
        <v>26781.210000000003</v>
      </c>
      <c r="I33" s="85" t="s">
        <v>630</v>
      </c>
      <c r="J33" s="128">
        <v>66968</v>
      </c>
      <c r="K33" s="128">
        <f t="shared" si="0"/>
        <v>3683240</v>
      </c>
      <c r="L33" s="125" t="s">
        <v>634</v>
      </c>
      <c r="M33" s="85" t="s">
        <v>47</v>
      </c>
      <c r="N33" s="85" t="s">
        <v>1491</v>
      </c>
    </row>
    <row r="34" spans="2:14" ht="15.75" thickBot="1" x14ac:dyDescent="0.3">
      <c r="B34" s="82" t="s">
        <v>542</v>
      </c>
      <c r="C34" s="83" t="s">
        <v>629</v>
      </c>
      <c r="D34" s="124" t="s">
        <v>620</v>
      </c>
      <c r="E34" s="130">
        <v>2006</v>
      </c>
      <c r="F34" s="125" t="s">
        <v>731</v>
      </c>
      <c r="G34" s="125">
        <v>55</v>
      </c>
      <c r="H34" s="85">
        <v>26268.710000000003</v>
      </c>
      <c r="I34" s="85" t="s">
        <v>630</v>
      </c>
      <c r="J34" s="128">
        <v>68436</v>
      </c>
      <c r="K34" s="128">
        <f t="shared" si="0"/>
        <v>3763980</v>
      </c>
      <c r="L34" s="125" t="s">
        <v>635</v>
      </c>
      <c r="M34" s="85" t="s">
        <v>47</v>
      </c>
      <c r="N34" s="85" t="s">
        <v>1491</v>
      </c>
    </row>
    <row r="35" spans="2:14" ht="15.75" thickBot="1" x14ac:dyDescent="0.3">
      <c r="B35" s="82" t="s">
        <v>542</v>
      </c>
      <c r="C35" s="83" t="s">
        <v>629</v>
      </c>
      <c r="D35" s="124" t="s">
        <v>620</v>
      </c>
      <c r="E35" s="130">
        <v>2006</v>
      </c>
      <c r="F35" s="125" t="s">
        <v>731</v>
      </c>
      <c r="G35" s="125">
        <v>59</v>
      </c>
      <c r="H35" s="85">
        <v>23030.049999999996</v>
      </c>
      <c r="I35" s="85" t="s">
        <v>630</v>
      </c>
      <c r="J35" s="128">
        <v>58849</v>
      </c>
      <c r="K35" s="128">
        <f t="shared" si="0"/>
        <v>3472091</v>
      </c>
      <c r="L35" s="125" t="s">
        <v>636</v>
      </c>
      <c r="M35" s="85" t="s">
        <v>47</v>
      </c>
      <c r="N35" s="85" t="s">
        <v>1491</v>
      </c>
    </row>
    <row r="36" spans="2:14" ht="15.75" thickBot="1" x14ac:dyDescent="0.3">
      <c r="B36" s="82" t="s">
        <v>542</v>
      </c>
      <c r="C36" s="83" t="s">
        <v>629</v>
      </c>
      <c r="D36" s="124" t="s">
        <v>620</v>
      </c>
      <c r="E36" s="130">
        <v>2006</v>
      </c>
      <c r="F36" s="125" t="s">
        <v>731</v>
      </c>
      <c r="G36" s="125">
        <v>59</v>
      </c>
      <c r="H36" s="85">
        <v>17493.850000000002</v>
      </c>
      <c r="I36" s="85" t="s">
        <v>630</v>
      </c>
      <c r="J36" s="128">
        <v>40591</v>
      </c>
      <c r="K36" s="128">
        <f t="shared" si="0"/>
        <v>2394869</v>
      </c>
      <c r="L36" s="125" t="s">
        <v>637</v>
      </c>
      <c r="M36" s="85" t="s">
        <v>47</v>
      </c>
      <c r="N36" s="85" t="s">
        <v>1491</v>
      </c>
    </row>
    <row r="37" spans="2:14" ht="15.75" thickBot="1" x14ac:dyDescent="0.3">
      <c r="B37" s="82" t="s">
        <v>542</v>
      </c>
      <c r="C37" s="83" t="s">
        <v>629</v>
      </c>
      <c r="D37" s="124" t="s">
        <v>620</v>
      </c>
      <c r="E37" s="130">
        <v>2006</v>
      </c>
      <c r="F37" s="125" t="s">
        <v>731</v>
      </c>
      <c r="G37" s="125">
        <v>59</v>
      </c>
      <c r="H37" s="85">
        <v>27454.615000000002</v>
      </c>
      <c r="I37" s="85" t="s">
        <v>630</v>
      </c>
      <c r="J37" s="128">
        <v>70159</v>
      </c>
      <c r="K37" s="128">
        <f t="shared" si="0"/>
        <v>4139381</v>
      </c>
      <c r="L37" s="125" t="s">
        <v>638</v>
      </c>
      <c r="M37" s="85" t="s">
        <v>47</v>
      </c>
      <c r="N37" s="85" t="s">
        <v>1491</v>
      </c>
    </row>
    <row r="38" spans="2:14" ht="15.75" thickBot="1" x14ac:dyDescent="0.3">
      <c r="B38" s="82" t="s">
        <v>542</v>
      </c>
      <c r="C38" s="83" t="s">
        <v>629</v>
      </c>
      <c r="D38" s="124" t="s">
        <v>620</v>
      </c>
      <c r="E38" s="130">
        <v>2003</v>
      </c>
      <c r="F38" s="125" t="s">
        <v>732</v>
      </c>
      <c r="G38" s="125">
        <v>57</v>
      </c>
      <c r="H38" s="85">
        <v>12050.740000000002</v>
      </c>
      <c r="I38" s="85" t="s">
        <v>630</v>
      </c>
      <c r="J38" s="128">
        <v>26373</v>
      </c>
      <c r="K38" s="128">
        <f t="shared" si="0"/>
        <v>1503261</v>
      </c>
      <c r="L38" s="125" t="s">
        <v>639</v>
      </c>
      <c r="M38" s="85" t="s">
        <v>47</v>
      </c>
      <c r="N38" s="85" t="s">
        <v>1491</v>
      </c>
    </row>
    <row r="39" spans="2:14" ht="15.75" thickBot="1" x14ac:dyDescent="0.3">
      <c r="B39" s="82" t="s">
        <v>542</v>
      </c>
      <c r="C39" s="83" t="s">
        <v>629</v>
      </c>
      <c r="D39" s="124" t="s">
        <v>620</v>
      </c>
      <c r="E39" s="130">
        <v>2001</v>
      </c>
      <c r="F39" s="125" t="s">
        <v>732</v>
      </c>
      <c r="G39" s="125">
        <v>70</v>
      </c>
      <c r="H39" s="85">
        <v>190</v>
      </c>
      <c r="I39" s="85" t="s">
        <v>630</v>
      </c>
      <c r="J39" s="128">
        <v>452</v>
      </c>
      <c r="K39" s="128">
        <f t="shared" si="0"/>
        <v>31640</v>
      </c>
      <c r="L39" s="125" t="s">
        <v>640</v>
      </c>
      <c r="M39" s="85" t="s">
        <v>47</v>
      </c>
      <c r="N39" s="85" t="s">
        <v>1491</v>
      </c>
    </row>
    <row r="40" spans="2:14" ht="15.75" thickBot="1" x14ac:dyDescent="0.3">
      <c r="B40" s="82" t="s">
        <v>542</v>
      </c>
      <c r="C40" s="83" t="s">
        <v>629</v>
      </c>
      <c r="D40" s="124" t="s">
        <v>620</v>
      </c>
      <c r="E40" s="130">
        <v>2007</v>
      </c>
      <c r="F40" s="125" t="s">
        <v>731</v>
      </c>
      <c r="G40" s="125">
        <v>59</v>
      </c>
      <c r="H40" s="85">
        <v>18874.940000000002</v>
      </c>
      <c r="I40" s="85" t="s">
        <v>630</v>
      </c>
      <c r="J40" s="128">
        <v>48490</v>
      </c>
      <c r="K40" s="128">
        <f t="shared" si="0"/>
        <v>2860910</v>
      </c>
      <c r="L40" s="125" t="s">
        <v>641</v>
      </c>
      <c r="M40" s="85" t="s">
        <v>47</v>
      </c>
      <c r="N40" s="85" t="s">
        <v>1491</v>
      </c>
    </row>
    <row r="41" spans="2:14" ht="15.75" thickBot="1" x14ac:dyDescent="0.3">
      <c r="B41" s="82" t="s">
        <v>542</v>
      </c>
      <c r="C41" s="83" t="s">
        <v>629</v>
      </c>
      <c r="D41" s="124" t="s">
        <v>620</v>
      </c>
      <c r="E41" s="130">
        <v>2008</v>
      </c>
      <c r="F41" s="125" t="s">
        <v>731</v>
      </c>
      <c r="G41" s="125">
        <v>25</v>
      </c>
      <c r="H41" s="85">
        <v>138.02000000000001</v>
      </c>
      <c r="I41" s="85" t="s">
        <v>630</v>
      </c>
      <c r="J41" s="128">
        <v>811</v>
      </c>
      <c r="K41" s="128">
        <f t="shared" si="0"/>
        <v>20275</v>
      </c>
      <c r="L41" s="125" t="s">
        <v>642</v>
      </c>
      <c r="M41" s="85" t="s">
        <v>47</v>
      </c>
      <c r="N41" s="85" t="s">
        <v>1491</v>
      </c>
    </row>
    <row r="42" spans="2:14" ht="15.75" thickBot="1" x14ac:dyDescent="0.3">
      <c r="B42" s="82" t="s">
        <v>542</v>
      </c>
      <c r="C42" s="83" t="s">
        <v>629</v>
      </c>
      <c r="D42" s="124" t="s">
        <v>620</v>
      </c>
      <c r="E42" s="130">
        <v>2008</v>
      </c>
      <c r="F42" s="125" t="s">
        <v>731</v>
      </c>
      <c r="G42" s="125">
        <v>27</v>
      </c>
      <c r="H42" s="85">
        <v>0</v>
      </c>
      <c r="I42" s="85" t="s">
        <v>630</v>
      </c>
      <c r="J42" s="128">
        <v>0</v>
      </c>
      <c r="K42" s="128">
        <f t="shared" si="0"/>
        <v>0</v>
      </c>
      <c r="L42" s="125" t="s">
        <v>643</v>
      </c>
      <c r="M42" s="85" t="s">
        <v>47</v>
      </c>
      <c r="N42" s="85" t="s">
        <v>1491</v>
      </c>
    </row>
    <row r="43" spans="2:14" ht="15.75" thickBot="1" x14ac:dyDescent="0.3">
      <c r="B43" s="82" t="s">
        <v>542</v>
      </c>
      <c r="C43" s="83" t="s">
        <v>629</v>
      </c>
      <c r="D43" s="124" t="s">
        <v>620</v>
      </c>
      <c r="E43" s="130">
        <v>2008</v>
      </c>
      <c r="F43" s="125" t="s">
        <v>731</v>
      </c>
      <c r="G43" s="125">
        <v>54</v>
      </c>
      <c r="H43" s="85">
        <v>13394.8</v>
      </c>
      <c r="I43" s="85" t="s">
        <v>630</v>
      </c>
      <c r="J43" s="128">
        <v>30598</v>
      </c>
      <c r="K43" s="128">
        <f t="shared" si="0"/>
        <v>1652292</v>
      </c>
      <c r="L43" s="125" t="s">
        <v>644</v>
      </c>
      <c r="M43" s="85" t="s">
        <v>47</v>
      </c>
      <c r="N43" s="85" t="s">
        <v>1491</v>
      </c>
    </row>
    <row r="44" spans="2:14" ht="15.75" thickBot="1" x14ac:dyDescent="0.3">
      <c r="B44" s="82" t="s">
        <v>542</v>
      </c>
      <c r="C44" s="83" t="s">
        <v>629</v>
      </c>
      <c r="D44" s="124" t="s">
        <v>620</v>
      </c>
      <c r="E44" s="130">
        <v>2018</v>
      </c>
      <c r="F44" s="125" t="s">
        <v>733</v>
      </c>
      <c r="G44" s="125">
        <v>26</v>
      </c>
      <c r="H44" s="85">
        <v>7323.3899999999994</v>
      </c>
      <c r="I44" s="85" t="s">
        <v>630</v>
      </c>
      <c r="J44" s="128">
        <v>38217</v>
      </c>
      <c r="K44" s="128">
        <f t="shared" si="0"/>
        <v>993642</v>
      </c>
      <c r="L44" s="125" t="s">
        <v>645</v>
      </c>
      <c r="M44" s="85" t="s">
        <v>47</v>
      </c>
      <c r="N44" s="85" t="s">
        <v>1491</v>
      </c>
    </row>
    <row r="45" spans="2:14" ht="15.75" thickBot="1" x14ac:dyDescent="0.3">
      <c r="B45" s="82" t="s">
        <v>542</v>
      </c>
      <c r="C45" s="83" t="s">
        <v>629</v>
      </c>
      <c r="D45" s="124" t="s">
        <v>620</v>
      </c>
      <c r="E45" s="130">
        <v>2018</v>
      </c>
      <c r="F45" s="125" t="s">
        <v>733</v>
      </c>
      <c r="G45" s="125">
        <v>26</v>
      </c>
      <c r="H45" s="85">
        <v>9914.67</v>
      </c>
      <c r="I45" s="85" t="s">
        <v>630</v>
      </c>
      <c r="J45" s="128">
        <v>51234</v>
      </c>
      <c r="K45" s="128">
        <f t="shared" si="0"/>
        <v>1332084</v>
      </c>
      <c r="L45" s="125" t="s">
        <v>646</v>
      </c>
      <c r="M45" s="85" t="s">
        <v>47</v>
      </c>
      <c r="N45" s="85" t="s">
        <v>1491</v>
      </c>
    </row>
    <row r="46" spans="2:14" ht="15.75" thickBot="1" x14ac:dyDescent="0.3">
      <c r="B46" s="82" t="s">
        <v>542</v>
      </c>
      <c r="C46" s="83" t="s">
        <v>629</v>
      </c>
      <c r="D46" s="124" t="s">
        <v>620</v>
      </c>
      <c r="E46" s="130">
        <v>2001</v>
      </c>
      <c r="F46" s="125" t="s">
        <v>732</v>
      </c>
      <c r="G46" s="125">
        <v>62</v>
      </c>
      <c r="H46" s="85">
        <v>14506.039999999999</v>
      </c>
      <c r="I46" s="85" t="s">
        <v>630</v>
      </c>
      <c r="J46" s="128">
        <v>38167</v>
      </c>
      <c r="K46" s="128">
        <f t="shared" si="0"/>
        <v>2366354</v>
      </c>
      <c r="L46" s="125" t="s">
        <v>647</v>
      </c>
      <c r="M46" s="85" t="s">
        <v>47</v>
      </c>
      <c r="N46" s="85" t="s">
        <v>1491</v>
      </c>
    </row>
    <row r="47" spans="2:14" ht="15.75" thickBot="1" x14ac:dyDescent="0.3">
      <c r="B47" s="82" t="s">
        <v>542</v>
      </c>
      <c r="C47" s="83" t="s">
        <v>629</v>
      </c>
      <c r="D47" s="124" t="s">
        <v>620</v>
      </c>
      <c r="E47" s="130">
        <v>2008</v>
      </c>
      <c r="F47" s="125" t="s">
        <v>731</v>
      </c>
      <c r="G47" s="125">
        <v>82</v>
      </c>
      <c r="H47" s="85">
        <v>21522.447999999997</v>
      </c>
      <c r="I47" s="85" t="s">
        <v>630</v>
      </c>
      <c r="J47" s="128">
        <v>51611</v>
      </c>
      <c r="K47" s="128">
        <f t="shared" si="0"/>
        <v>4232102</v>
      </c>
      <c r="L47" s="125" t="s">
        <v>648</v>
      </c>
      <c r="M47" s="85" t="s">
        <v>47</v>
      </c>
      <c r="N47" s="85" t="s">
        <v>1491</v>
      </c>
    </row>
    <row r="48" spans="2:14" ht="15.75" thickBot="1" x14ac:dyDescent="0.3">
      <c r="B48" s="82" t="s">
        <v>542</v>
      </c>
      <c r="C48" s="83" t="s">
        <v>629</v>
      </c>
      <c r="D48" s="124" t="s">
        <v>620</v>
      </c>
      <c r="E48" s="130">
        <v>2008</v>
      </c>
      <c r="F48" s="125" t="s">
        <v>731</v>
      </c>
      <c r="G48" s="125">
        <v>82</v>
      </c>
      <c r="H48" s="85">
        <v>22592.527000000002</v>
      </c>
      <c r="I48" s="85" t="s">
        <v>630</v>
      </c>
      <c r="J48" s="128">
        <v>54336</v>
      </c>
      <c r="K48" s="128">
        <f t="shared" si="0"/>
        <v>4455552</v>
      </c>
      <c r="L48" s="125" t="s">
        <v>649</v>
      </c>
      <c r="M48" s="85" t="s">
        <v>47</v>
      </c>
      <c r="N48" s="85" t="s">
        <v>1491</v>
      </c>
    </row>
    <row r="49" spans="2:14" ht="15.75" thickBot="1" x14ac:dyDescent="0.3">
      <c r="B49" s="82" t="s">
        <v>542</v>
      </c>
      <c r="C49" s="83" t="s">
        <v>629</v>
      </c>
      <c r="D49" s="124" t="s">
        <v>620</v>
      </c>
      <c r="E49" s="130">
        <v>2007</v>
      </c>
      <c r="F49" s="125" t="s">
        <v>731</v>
      </c>
      <c r="G49" s="125">
        <v>88</v>
      </c>
      <c r="H49" s="85">
        <v>22676.016</v>
      </c>
      <c r="I49" s="85" t="s">
        <v>630</v>
      </c>
      <c r="J49" s="128">
        <v>58759</v>
      </c>
      <c r="K49" s="128">
        <f t="shared" si="0"/>
        <v>5170792</v>
      </c>
      <c r="L49" s="125" t="s">
        <v>650</v>
      </c>
      <c r="M49" s="85" t="s">
        <v>47</v>
      </c>
      <c r="N49" s="85" t="s">
        <v>1491</v>
      </c>
    </row>
    <row r="50" spans="2:14" ht="15.75" thickBot="1" x14ac:dyDescent="0.3">
      <c r="B50" s="82" t="s">
        <v>542</v>
      </c>
      <c r="C50" s="83" t="s">
        <v>629</v>
      </c>
      <c r="D50" s="124" t="s">
        <v>620</v>
      </c>
      <c r="E50" s="130">
        <v>2008</v>
      </c>
      <c r="F50" s="125" t="s">
        <v>731</v>
      </c>
      <c r="G50" s="125">
        <v>77</v>
      </c>
      <c r="H50" s="85">
        <v>13486.71</v>
      </c>
      <c r="I50" s="85" t="s">
        <v>630</v>
      </c>
      <c r="J50" s="128">
        <v>34910</v>
      </c>
      <c r="K50" s="128">
        <f t="shared" si="0"/>
        <v>2688070</v>
      </c>
      <c r="L50" s="125" t="s">
        <v>651</v>
      </c>
      <c r="M50" s="85" t="s">
        <v>47</v>
      </c>
      <c r="N50" s="85" t="s">
        <v>1491</v>
      </c>
    </row>
    <row r="51" spans="2:14" ht="15.75" thickBot="1" x14ac:dyDescent="0.3">
      <c r="B51" s="82" t="s">
        <v>542</v>
      </c>
      <c r="C51" s="83" t="s">
        <v>629</v>
      </c>
      <c r="D51" s="124" t="s">
        <v>620</v>
      </c>
      <c r="E51" s="130">
        <v>2009</v>
      </c>
      <c r="F51" s="125" t="s">
        <v>734</v>
      </c>
      <c r="G51" s="125">
        <v>59</v>
      </c>
      <c r="H51" s="85">
        <v>26596.225999999999</v>
      </c>
      <c r="I51" s="85" t="s">
        <v>630</v>
      </c>
      <c r="J51" s="128">
        <v>68159</v>
      </c>
      <c r="K51" s="128">
        <f t="shared" si="0"/>
        <v>4021381</v>
      </c>
      <c r="L51" s="125" t="s">
        <v>652</v>
      </c>
      <c r="M51" s="85" t="s">
        <v>47</v>
      </c>
      <c r="N51" s="85" t="s">
        <v>1491</v>
      </c>
    </row>
    <row r="52" spans="2:14" ht="15.75" thickBot="1" x14ac:dyDescent="0.3">
      <c r="B52" s="82" t="s">
        <v>542</v>
      </c>
      <c r="C52" s="83" t="s">
        <v>629</v>
      </c>
      <c r="D52" s="124" t="s">
        <v>620</v>
      </c>
      <c r="E52" s="130">
        <v>2010</v>
      </c>
      <c r="F52" s="125" t="s">
        <v>734</v>
      </c>
      <c r="G52" s="125">
        <v>53</v>
      </c>
      <c r="H52" s="85">
        <v>30124.499999999996</v>
      </c>
      <c r="I52" s="85" t="s">
        <v>630</v>
      </c>
      <c r="J52" s="128">
        <v>93047</v>
      </c>
      <c r="K52" s="128">
        <f t="shared" si="0"/>
        <v>4931491</v>
      </c>
      <c r="L52" s="125" t="s">
        <v>653</v>
      </c>
      <c r="M52" s="85" t="s">
        <v>47</v>
      </c>
      <c r="N52" s="85" t="s">
        <v>1491</v>
      </c>
    </row>
    <row r="53" spans="2:14" ht="15.75" thickBot="1" x14ac:dyDescent="0.3">
      <c r="B53" s="82" t="s">
        <v>542</v>
      </c>
      <c r="C53" s="83" t="s">
        <v>629</v>
      </c>
      <c r="D53" s="124" t="s">
        <v>620</v>
      </c>
      <c r="E53" s="130">
        <v>2006</v>
      </c>
      <c r="F53" s="125" t="s">
        <v>731</v>
      </c>
      <c r="G53" s="125">
        <v>36</v>
      </c>
      <c r="H53" s="85">
        <v>25144.18</v>
      </c>
      <c r="I53" s="85" t="s">
        <v>630</v>
      </c>
      <c r="J53" s="128">
        <v>61281</v>
      </c>
      <c r="K53" s="128">
        <f t="shared" si="0"/>
        <v>2206116</v>
      </c>
      <c r="L53" s="125" t="s">
        <v>654</v>
      </c>
      <c r="M53" s="85" t="s">
        <v>47</v>
      </c>
      <c r="N53" s="85" t="s">
        <v>1491</v>
      </c>
    </row>
    <row r="54" spans="2:14" ht="15.75" thickBot="1" x14ac:dyDescent="0.3">
      <c r="B54" s="82" t="s">
        <v>542</v>
      </c>
      <c r="C54" s="83" t="s">
        <v>629</v>
      </c>
      <c r="D54" s="124" t="s">
        <v>620</v>
      </c>
      <c r="E54" s="130">
        <v>2008</v>
      </c>
      <c r="F54" s="125" t="s">
        <v>731</v>
      </c>
      <c r="G54" s="125">
        <v>71</v>
      </c>
      <c r="H54" s="85">
        <v>15217.31</v>
      </c>
      <c r="I54" s="85" t="s">
        <v>630</v>
      </c>
      <c r="J54" s="128">
        <v>42293</v>
      </c>
      <c r="K54" s="128">
        <f t="shared" si="0"/>
        <v>3002803</v>
      </c>
      <c r="L54" s="125" t="s">
        <v>655</v>
      </c>
      <c r="M54" s="85" t="s">
        <v>47</v>
      </c>
      <c r="N54" s="85" t="s">
        <v>1491</v>
      </c>
    </row>
    <row r="55" spans="2:14" ht="15.75" thickBot="1" x14ac:dyDescent="0.3">
      <c r="B55" s="82" t="s">
        <v>542</v>
      </c>
      <c r="C55" s="83" t="s">
        <v>629</v>
      </c>
      <c r="D55" s="124" t="s">
        <v>620</v>
      </c>
      <c r="E55" s="130">
        <v>2004</v>
      </c>
      <c r="F55" s="125" t="s">
        <v>732</v>
      </c>
      <c r="G55" s="125">
        <v>69</v>
      </c>
      <c r="H55" s="85">
        <v>13422.85</v>
      </c>
      <c r="I55" s="85" t="s">
        <v>630</v>
      </c>
      <c r="J55" s="128">
        <v>27835</v>
      </c>
      <c r="K55" s="128">
        <f t="shared" si="0"/>
        <v>1920615</v>
      </c>
      <c r="L55" s="125" t="s">
        <v>656</v>
      </c>
      <c r="M55" s="85" t="s">
        <v>47</v>
      </c>
      <c r="N55" s="85" t="s">
        <v>1491</v>
      </c>
    </row>
    <row r="56" spans="2:14" ht="15.75" thickBot="1" x14ac:dyDescent="0.3">
      <c r="B56" s="82" t="s">
        <v>542</v>
      </c>
      <c r="C56" s="83" t="s">
        <v>629</v>
      </c>
      <c r="D56" s="124" t="s">
        <v>620</v>
      </c>
      <c r="E56" s="130">
        <v>2004</v>
      </c>
      <c r="F56" s="125" t="s">
        <v>732</v>
      </c>
      <c r="G56" s="125">
        <v>69</v>
      </c>
      <c r="H56" s="85">
        <v>14888.759999999998</v>
      </c>
      <c r="I56" s="85" t="s">
        <v>630</v>
      </c>
      <c r="J56" s="128">
        <v>29831</v>
      </c>
      <c r="K56" s="128">
        <f t="shared" si="0"/>
        <v>2058339</v>
      </c>
      <c r="L56" s="125" t="s">
        <v>657</v>
      </c>
      <c r="M56" s="85" t="s">
        <v>47</v>
      </c>
      <c r="N56" s="85" t="s">
        <v>1491</v>
      </c>
    </row>
    <row r="57" spans="2:14" ht="15.75" thickBot="1" x14ac:dyDescent="0.3">
      <c r="B57" s="82" t="s">
        <v>542</v>
      </c>
      <c r="C57" s="83" t="s">
        <v>629</v>
      </c>
      <c r="D57" s="124" t="s">
        <v>620</v>
      </c>
      <c r="E57" s="130">
        <v>2010</v>
      </c>
      <c r="F57" s="125" t="s">
        <v>734</v>
      </c>
      <c r="G57" s="125">
        <v>71</v>
      </c>
      <c r="H57" s="85">
        <v>12834.589999999998</v>
      </c>
      <c r="I57" s="85" t="s">
        <v>630</v>
      </c>
      <c r="J57" s="128">
        <v>30290</v>
      </c>
      <c r="K57" s="128">
        <f t="shared" si="0"/>
        <v>2150590</v>
      </c>
      <c r="L57" s="125" t="s">
        <v>658</v>
      </c>
      <c r="M57" s="85" t="s">
        <v>47</v>
      </c>
      <c r="N57" s="85" t="s">
        <v>1491</v>
      </c>
    </row>
    <row r="58" spans="2:14" ht="15.75" thickBot="1" x14ac:dyDescent="0.3">
      <c r="B58" s="82" t="s">
        <v>542</v>
      </c>
      <c r="C58" s="83" t="s">
        <v>629</v>
      </c>
      <c r="D58" s="124" t="s">
        <v>620</v>
      </c>
      <c r="E58" s="130">
        <v>2004</v>
      </c>
      <c r="F58" s="125" t="s">
        <v>732</v>
      </c>
      <c r="G58" s="125">
        <v>85</v>
      </c>
      <c r="H58" s="85">
        <v>15010.650000000001</v>
      </c>
      <c r="I58" s="85" t="s">
        <v>630</v>
      </c>
      <c r="J58" s="128">
        <v>40333</v>
      </c>
      <c r="K58" s="128">
        <f t="shared" si="0"/>
        <v>3428305</v>
      </c>
      <c r="L58" s="125" t="s">
        <v>659</v>
      </c>
      <c r="M58" s="85" t="s">
        <v>47</v>
      </c>
      <c r="N58" s="85" t="s">
        <v>1491</v>
      </c>
    </row>
    <row r="59" spans="2:14" ht="15.75" thickBot="1" x14ac:dyDescent="0.3">
      <c r="B59" s="82" t="s">
        <v>542</v>
      </c>
      <c r="C59" s="83" t="s">
        <v>629</v>
      </c>
      <c r="D59" s="124" t="s">
        <v>620</v>
      </c>
      <c r="E59" s="130">
        <v>2018</v>
      </c>
      <c r="F59" s="125" t="s">
        <v>733</v>
      </c>
      <c r="G59" s="125">
        <v>70</v>
      </c>
      <c r="H59" s="85">
        <v>6317.67</v>
      </c>
      <c r="I59" s="85" t="s">
        <v>630</v>
      </c>
      <c r="J59" s="128">
        <v>23290</v>
      </c>
      <c r="K59" s="128">
        <f t="shared" si="0"/>
        <v>1630300</v>
      </c>
      <c r="L59" s="125" t="s">
        <v>660</v>
      </c>
      <c r="M59" s="85" t="s">
        <v>47</v>
      </c>
      <c r="N59" s="85" t="s">
        <v>1491</v>
      </c>
    </row>
    <row r="60" spans="2:14" ht="15.75" thickBot="1" x14ac:dyDescent="0.3">
      <c r="B60" s="82" t="s">
        <v>542</v>
      </c>
      <c r="C60" s="83" t="s">
        <v>629</v>
      </c>
      <c r="D60" s="124" t="s">
        <v>620</v>
      </c>
      <c r="E60" s="130">
        <v>2018</v>
      </c>
      <c r="F60" s="125" t="s">
        <v>733</v>
      </c>
      <c r="G60" s="125">
        <v>70</v>
      </c>
      <c r="H60" s="85">
        <v>12570.37</v>
      </c>
      <c r="I60" s="85" t="s">
        <v>630</v>
      </c>
      <c r="J60" s="128">
        <v>49161</v>
      </c>
      <c r="K60" s="128">
        <f t="shared" si="0"/>
        <v>3441270</v>
      </c>
      <c r="L60" s="125" t="s">
        <v>661</v>
      </c>
      <c r="M60" s="85" t="s">
        <v>47</v>
      </c>
      <c r="N60" s="85" t="s">
        <v>1491</v>
      </c>
    </row>
    <row r="61" spans="2:14" ht="15.75" thickBot="1" x14ac:dyDescent="0.3">
      <c r="B61" s="82" t="s">
        <v>542</v>
      </c>
      <c r="C61" s="83" t="s">
        <v>629</v>
      </c>
      <c r="D61" s="124" t="s">
        <v>620</v>
      </c>
      <c r="E61" s="130">
        <v>2002</v>
      </c>
      <c r="F61" s="125" t="s">
        <v>732</v>
      </c>
      <c r="G61" s="125">
        <v>61</v>
      </c>
      <c r="H61" s="85">
        <v>24733.044000000002</v>
      </c>
      <c r="I61" s="85" t="s">
        <v>630</v>
      </c>
      <c r="J61" s="128">
        <v>64698</v>
      </c>
      <c r="K61" s="128">
        <f t="shared" si="0"/>
        <v>3946578</v>
      </c>
      <c r="L61" s="125" t="s">
        <v>662</v>
      </c>
      <c r="M61" s="85" t="s">
        <v>47</v>
      </c>
      <c r="N61" s="85" t="s">
        <v>1491</v>
      </c>
    </row>
    <row r="62" spans="2:14" ht="15.75" thickBot="1" x14ac:dyDescent="0.3">
      <c r="B62" s="82" t="s">
        <v>542</v>
      </c>
      <c r="C62" s="83" t="s">
        <v>629</v>
      </c>
      <c r="D62" s="124" t="s">
        <v>620</v>
      </c>
      <c r="E62" s="130">
        <v>2002</v>
      </c>
      <c r="F62" s="125" t="s">
        <v>732</v>
      </c>
      <c r="G62" s="125">
        <v>97</v>
      </c>
      <c r="H62" s="85">
        <v>17422.689999999999</v>
      </c>
      <c r="I62" s="85" t="s">
        <v>630</v>
      </c>
      <c r="J62" s="128">
        <v>42590</v>
      </c>
      <c r="K62" s="128">
        <f t="shared" si="0"/>
        <v>4131230</v>
      </c>
      <c r="L62" s="125" t="s">
        <v>663</v>
      </c>
      <c r="M62" s="85" t="s">
        <v>47</v>
      </c>
      <c r="N62" s="85" t="s">
        <v>1491</v>
      </c>
    </row>
    <row r="63" spans="2:14" ht="15.75" thickBot="1" x14ac:dyDescent="0.3">
      <c r="B63" s="82" t="s">
        <v>542</v>
      </c>
      <c r="C63" s="83" t="s">
        <v>629</v>
      </c>
      <c r="D63" s="124" t="s">
        <v>620</v>
      </c>
      <c r="E63" s="130">
        <v>2003</v>
      </c>
      <c r="F63" s="125" t="s">
        <v>732</v>
      </c>
      <c r="G63" s="125">
        <v>61</v>
      </c>
      <c r="H63" s="85">
        <v>18439.486999999997</v>
      </c>
      <c r="I63" s="85" t="s">
        <v>630</v>
      </c>
      <c r="J63" s="128">
        <v>46822</v>
      </c>
      <c r="K63" s="128">
        <f t="shared" si="0"/>
        <v>2856142</v>
      </c>
      <c r="L63" s="125" t="s">
        <v>664</v>
      </c>
      <c r="M63" s="85" t="s">
        <v>47</v>
      </c>
      <c r="N63" s="85" t="s">
        <v>1491</v>
      </c>
    </row>
    <row r="64" spans="2:14" ht="15.75" thickBot="1" x14ac:dyDescent="0.3">
      <c r="B64" s="82" t="s">
        <v>542</v>
      </c>
      <c r="C64" s="83" t="s">
        <v>629</v>
      </c>
      <c r="D64" s="124" t="s">
        <v>620</v>
      </c>
      <c r="E64" s="130">
        <v>2001</v>
      </c>
      <c r="F64" s="125" t="s">
        <v>732</v>
      </c>
      <c r="G64" s="125">
        <v>55</v>
      </c>
      <c r="H64" s="85">
        <v>19433.650000000001</v>
      </c>
      <c r="I64" s="85" t="s">
        <v>630</v>
      </c>
      <c r="J64" s="128">
        <v>50928</v>
      </c>
      <c r="K64" s="128">
        <f t="shared" si="0"/>
        <v>2801040</v>
      </c>
      <c r="L64" s="125" t="s">
        <v>665</v>
      </c>
      <c r="M64" s="85" t="s">
        <v>47</v>
      </c>
      <c r="N64" s="85" t="s">
        <v>1491</v>
      </c>
    </row>
    <row r="65" spans="2:14" ht="15.75" thickBot="1" x14ac:dyDescent="0.3">
      <c r="B65" s="82" t="s">
        <v>542</v>
      </c>
      <c r="C65" s="83" t="s">
        <v>629</v>
      </c>
      <c r="D65" s="124" t="s">
        <v>620</v>
      </c>
      <c r="E65" s="130">
        <v>2001</v>
      </c>
      <c r="F65" s="125" t="s">
        <v>732</v>
      </c>
      <c r="G65" s="125">
        <v>55</v>
      </c>
      <c r="H65" s="85">
        <v>17230.740000000002</v>
      </c>
      <c r="I65" s="85" t="s">
        <v>630</v>
      </c>
      <c r="J65" s="128">
        <v>49094</v>
      </c>
      <c r="K65" s="128">
        <f t="shared" si="0"/>
        <v>2700170</v>
      </c>
      <c r="L65" s="125" t="s">
        <v>666</v>
      </c>
      <c r="M65" s="85" t="s">
        <v>47</v>
      </c>
      <c r="N65" s="85" t="s">
        <v>1491</v>
      </c>
    </row>
    <row r="66" spans="2:14" ht="15.75" thickBot="1" x14ac:dyDescent="0.3">
      <c r="B66" s="82" t="s">
        <v>542</v>
      </c>
      <c r="C66" s="83" t="s">
        <v>629</v>
      </c>
      <c r="D66" s="124" t="s">
        <v>620</v>
      </c>
      <c r="E66" s="130">
        <v>2001</v>
      </c>
      <c r="F66" s="125" t="s">
        <v>732</v>
      </c>
      <c r="G66" s="125">
        <v>55</v>
      </c>
      <c r="H66" s="85">
        <v>19127.960000000003</v>
      </c>
      <c r="I66" s="85" t="s">
        <v>630</v>
      </c>
      <c r="J66" s="128">
        <v>50001</v>
      </c>
      <c r="K66" s="128">
        <f t="shared" si="0"/>
        <v>2750055</v>
      </c>
      <c r="L66" s="125" t="s">
        <v>667</v>
      </c>
      <c r="M66" s="85" t="s">
        <v>47</v>
      </c>
      <c r="N66" s="85" t="s">
        <v>1491</v>
      </c>
    </row>
    <row r="67" spans="2:14" ht="15.75" thickBot="1" x14ac:dyDescent="0.3">
      <c r="B67" s="82" t="s">
        <v>542</v>
      </c>
      <c r="C67" s="83" t="s">
        <v>629</v>
      </c>
      <c r="D67" s="124" t="s">
        <v>620</v>
      </c>
      <c r="E67" s="130">
        <v>2004</v>
      </c>
      <c r="F67" s="125" t="s">
        <v>732</v>
      </c>
      <c r="G67" s="125">
        <v>51</v>
      </c>
      <c r="H67" s="85">
        <v>17495.109999999997</v>
      </c>
      <c r="I67" s="85" t="s">
        <v>630</v>
      </c>
      <c r="J67" s="128">
        <v>45470</v>
      </c>
      <c r="K67" s="128">
        <f t="shared" si="0"/>
        <v>2318970</v>
      </c>
      <c r="L67" s="125" t="s">
        <v>668</v>
      </c>
      <c r="M67" s="85" t="s">
        <v>47</v>
      </c>
      <c r="N67" s="85" t="s">
        <v>1491</v>
      </c>
    </row>
    <row r="68" spans="2:14" ht="15.75" thickBot="1" x14ac:dyDescent="0.3">
      <c r="B68" s="82" t="s">
        <v>542</v>
      </c>
      <c r="C68" s="83" t="s">
        <v>629</v>
      </c>
      <c r="D68" s="124" t="s">
        <v>620</v>
      </c>
      <c r="E68" s="130">
        <v>2001</v>
      </c>
      <c r="F68" s="125" t="s">
        <v>732</v>
      </c>
      <c r="G68" s="125">
        <v>70</v>
      </c>
      <c r="H68" s="85">
        <v>10261.650000000001</v>
      </c>
      <c r="I68" s="85" t="s">
        <v>630</v>
      </c>
      <c r="J68" s="128">
        <v>23865</v>
      </c>
      <c r="K68" s="128">
        <f t="shared" si="0"/>
        <v>1670550</v>
      </c>
      <c r="L68" s="125" t="s">
        <v>669</v>
      </c>
      <c r="M68" s="85" t="s">
        <v>47</v>
      </c>
      <c r="N68" s="85" t="s">
        <v>1491</v>
      </c>
    </row>
    <row r="69" spans="2:14" ht="15.75" thickBot="1" x14ac:dyDescent="0.3">
      <c r="B69" s="82" t="s">
        <v>542</v>
      </c>
      <c r="C69" s="83" t="s">
        <v>629</v>
      </c>
      <c r="D69" s="124" t="s">
        <v>620</v>
      </c>
      <c r="E69" s="130">
        <v>2002</v>
      </c>
      <c r="F69" s="125" t="s">
        <v>732</v>
      </c>
      <c r="G69" s="125">
        <v>68</v>
      </c>
      <c r="H69" s="85">
        <v>13492.449999999999</v>
      </c>
      <c r="I69" s="85" t="s">
        <v>630</v>
      </c>
      <c r="J69" s="128">
        <v>38002</v>
      </c>
      <c r="K69" s="128">
        <f t="shared" si="0"/>
        <v>2584136</v>
      </c>
      <c r="L69" s="125" t="s">
        <v>670</v>
      </c>
      <c r="M69" s="85" t="s">
        <v>47</v>
      </c>
      <c r="N69" s="85" t="s">
        <v>1491</v>
      </c>
    </row>
    <row r="70" spans="2:14" ht="15.75" thickBot="1" x14ac:dyDescent="0.3">
      <c r="B70" s="82" t="s">
        <v>542</v>
      </c>
      <c r="C70" s="83" t="s">
        <v>629</v>
      </c>
      <c r="D70" s="124" t="s">
        <v>620</v>
      </c>
      <c r="E70" s="130">
        <v>2002</v>
      </c>
      <c r="F70" s="125" t="s">
        <v>732</v>
      </c>
      <c r="G70" s="125">
        <v>68</v>
      </c>
      <c r="H70" s="85">
        <v>9886.1200000000008</v>
      </c>
      <c r="I70" s="85" t="s">
        <v>630</v>
      </c>
      <c r="J70" s="128">
        <v>28692</v>
      </c>
      <c r="K70" s="128">
        <f t="shared" si="0"/>
        <v>1951056</v>
      </c>
      <c r="L70" s="125" t="s">
        <v>671</v>
      </c>
      <c r="M70" s="85" t="s">
        <v>47</v>
      </c>
      <c r="N70" s="85" t="s">
        <v>1491</v>
      </c>
    </row>
    <row r="71" spans="2:14" ht="15.75" thickBot="1" x14ac:dyDescent="0.3">
      <c r="B71" s="82" t="s">
        <v>542</v>
      </c>
      <c r="C71" s="83" t="s">
        <v>629</v>
      </c>
      <c r="D71" s="124" t="s">
        <v>620</v>
      </c>
      <c r="E71" s="130">
        <v>2003</v>
      </c>
      <c r="F71" s="125" t="s">
        <v>732</v>
      </c>
      <c r="G71" s="125">
        <v>61</v>
      </c>
      <c r="H71" s="85">
        <v>29268.473999999998</v>
      </c>
      <c r="I71" s="85" t="s">
        <v>630</v>
      </c>
      <c r="J71" s="128">
        <v>76932</v>
      </c>
      <c r="K71" s="128">
        <f t="shared" si="0"/>
        <v>4692852</v>
      </c>
      <c r="L71" s="125" t="s">
        <v>672</v>
      </c>
      <c r="M71" s="85" t="s">
        <v>47</v>
      </c>
      <c r="N71" s="85" t="s">
        <v>1491</v>
      </c>
    </row>
    <row r="72" spans="2:14" ht="15.75" thickBot="1" x14ac:dyDescent="0.3">
      <c r="B72" s="82" t="s">
        <v>542</v>
      </c>
      <c r="C72" s="83" t="s">
        <v>629</v>
      </c>
      <c r="D72" s="124" t="s">
        <v>620</v>
      </c>
      <c r="E72" s="130">
        <v>2003</v>
      </c>
      <c r="F72" s="125" t="s">
        <v>732</v>
      </c>
      <c r="G72" s="125">
        <v>59</v>
      </c>
      <c r="H72" s="85">
        <v>34753.99</v>
      </c>
      <c r="I72" s="85" t="s">
        <v>630</v>
      </c>
      <c r="J72" s="128">
        <v>83462</v>
      </c>
      <c r="K72" s="128">
        <f t="shared" si="0"/>
        <v>4924258</v>
      </c>
      <c r="L72" s="125" t="s">
        <v>673</v>
      </c>
      <c r="M72" s="85" t="s">
        <v>47</v>
      </c>
      <c r="N72" s="85" t="s">
        <v>1491</v>
      </c>
    </row>
    <row r="73" spans="2:14" ht="15.75" thickBot="1" x14ac:dyDescent="0.3">
      <c r="B73" s="82" t="s">
        <v>542</v>
      </c>
      <c r="C73" s="83" t="s">
        <v>629</v>
      </c>
      <c r="D73" s="124" t="s">
        <v>620</v>
      </c>
      <c r="E73" s="130">
        <v>2007</v>
      </c>
      <c r="F73" s="125" t="s">
        <v>731</v>
      </c>
      <c r="G73" s="125">
        <v>68</v>
      </c>
      <c r="H73" s="85">
        <v>15447.38</v>
      </c>
      <c r="I73" s="85" t="s">
        <v>630</v>
      </c>
      <c r="J73" s="128">
        <v>41960</v>
      </c>
      <c r="K73" s="128">
        <f t="shared" si="0"/>
        <v>2853280</v>
      </c>
      <c r="L73" s="125" t="s">
        <v>674</v>
      </c>
      <c r="M73" s="85" t="s">
        <v>47</v>
      </c>
      <c r="N73" s="85" t="s">
        <v>1491</v>
      </c>
    </row>
    <row r="74" spans="2:14" ht="15.75" thickBot="1" x14ac:dyDescent="0.3">
      <c r="B74" s="82" t="s">
        <v>542</v>
      </c>
      <c r="C74" s="83" t="s">
        <v>629</v>
      </c>
      <c r="D74" s="124" t="s">
        <v>620</v>
      </c>
      <c r="E74" s="130">
        <v>2015</v>
      </c>
      <c r="F74" s="125" t="s">
        <v>733</v>
      </c>
      <c r="G74" s="125">
        <v>25</v>
      </c>
      <c r="H74" s="85">
        <v>9614.17</v>
      </c>
      <c r="I74" s="85" t="s">
        <v>630</v>
      </c>
      <c r="J74" s="128">
        <v>44015</v>
      </c>
      <c r="K74" s="128">
        <f t="shared" si="0"/>
        <v>1100375</v>
      </c>
      <c r="L74" s="125" t="s">
        <v>675</v>
      </c>
      <c r="M74" s="85" t="s">
        <v>47</v>
      </c>
      <c r="N74" s="85" t="s">
        <v>1491</v>
      </c>
    </row>
    <row r="75" spans="2:14" ht="15.75" thickBot="1" x14ac:dyDescent="0.3">
      <c r="B75" s="82" t="s">
        <v>542</v>
      </c>
      <c r="C75" s="83" t="s">
        <v>629</v>
      </c>
      <c r="D75" s="124" t="s">
        <v>620</v>
      </c>
      <c r="E75" s="130">
        <v>2015</v>
      </c>
      <c r="F75" s="125" t="s">
        <v>733</v>
      </c>
      <c r="G75" s="125">
        <v>25</v>
      </c>
      <c r="H75" s="85">
        <v>6422.7999999999984</v>
      </c>
      <c r="I75" s="85" t="s">
        <v>630</v>
      </c>
      <c r="J75" s="128">
        <v>29625</v>
      </c>
      <c r="K75" s="128">
        <f t="shared" si="0"/>
        <v>740625</v>
      </c>
      <c r="L75" s="125" t="s">
        <v>676</v>
      </c>
      <c r="M75" s="85" t="s">
        <v>47</v>
      </c>
      <c r="N75" s="85" t="s">
        <v>1491</v>
      </c>
    </row>
    <row r="76" spans="2:14" ht="15.75" thickBot="1" x14ac:dyDescent="0.3">
      <c r="B76" s="82" t="s">
        <v>542</v>
      </c>
      <c r="C76" s="83" t="s">
        <v>629</v>
      </c>
      <c r="D76" s="124" t="s">
        <v>620</v>
      </c>
      <c r="E76" s="130">
        <v>2005</v>
      </c>
      <c r="F76" s="125" t="s">
        <v>732</v>
      </c>
      <c r="G76" s="125">
        <v>66</v>
      </c>
      <c r="H76" s="85">
        <v>28432.09</v>
      </c>
      <c r="I76" s="85" t="s">
        <v>630</v>
      </c>
      <c r="J76" s="128">
        <v>78695</v>
      </c>
      <c r="K76" s="128">
        <f t="shared" si="0"/>
        <v>5193870</v>
      </c>
      <c r="L76" s="125" t="s">
        <v>677</v>
      </c>
      <c r="M76" s="85" t="s">
        <v>47</v>
      </c>
      <c r="N76" s="85" t="s">
        <v>1491</v>
      </c>
    </row>
    <row r="77" spans="2:14" ht="15.75" thickBot="1" x14ac:dyDescent="0.3">
      <c r="B77" s="82" t="s">
        <v>542</v>
      </c>
      <c r="C77" s="83" t="s">
        <v>629</v>
      </c>
      <c r="D77" s="124" t="s">
        <v>620</v>
      </c>
      <c r="E77" s="130">
        <v>2003</v>
      </c>
      <c r="F77" s="125" t="s">
        <v>732</v>
      </c>
      <c r="G77" s="125">
        <v>97</v>
      </c>
      <c r="H77" s="85">
        <v>15215.309999999998</v>
      </c>
      <c r="I77" s="85" t="s">
        <v>630</v>
      </c>
      <c r="J77" s="128">
        <v>41422</v>
      </c>
      <c r="K77" s="128">
        <f t="shared" si="0"/>
        <v>4017934</v>
      </c>
      <c r="L77" s="125" t="s">
        <v>678</v>
      </c>
      <c r="M77" s="85" t="s">
        <v>47</v>
      </c>
      <c r="N77" s="85" t="s">
        <v>1491</v>
      </c>
    </row>
    <row r="78" spans="2:14" ht="15.75" thickBot="1" x14ac:dyDescent="0.3">
      <c r="B78" s="82" t="s">
        <v>542</v>
      </c>
      <c r="C78" s="83" t="s">
        <v>629</v>
      </c>
      <c r="D78" s="124" t="s">
        <v>620</v>
      </c>
      <c r="E78" s="130">
        <v>2003</v>
      </c>
      <c r="F78" s="125" t="s">
        <v>732</v>
      </c>
      <c r="G78" s="125">
        <v>63</v>
      </c>
      <c r="H78" s="85">
        <v>15494.14</v>
      </c>
      <c r="I78" s="85" t="s">
        <v>630</v>
      </c>
      <c r="J78" s="128">
        <v>39510</v>
      </c>
      <c r="K78" s="128">
        <f t="shared" si="0"/>
        <v>2489130</v>
      </c>
      <c r="L78" s="125" t="s">
        <v>679</v>
      </c>
      <c r="M78" s="85" t="s">
        <v>47</v>
      </c>
      <c r="N78" s="85" t="s">
        <v>1491</v>
      </c>
    </row>
    <row r="79" spans="2:14" ht="15.75" thickBot="1" x14ac:dyDescent="0.3">
      <c r="B79" s="82" t="s">
        <v>542</v>
      </c>
      <c r="C79" s="83" t="s">
        <v>629</v>
      </c>
      <c r="D79" s="124" t="s">
        <v>620</v>
      </c>
      <c r="E79" s="130">
        <v>2003</v>
      </c>
      <c r="F79" s="125" t="s">
        <v>732</v>
      </c>
      <c r="G79" s="125">
        <v>63</v>
      </c>
      <c r="H79" s="85">
        <v>14141.160000000002</v>
      </c>
      <c r="I79" s="85" t="s">
        <v>630</v>
      </c>
      <c r="J79" s="128">
        <v>35956</v>
      </c>
      <c r="K79" s="128">
        <f t="shared" si="0"/>
        <v>2265228</v>
      </c>
      <c r="L79" s="125" t="s">
        <v>680</v>
      </c>
      <c r="M79" s="85" t="s">
        <v>47</v>
      </c>
      <c r="N79" s="85" t="s">
        <v>1491</v>
      </c>
    </row>
    <row r="80" spans="2:14" ht="15.75" thickBot="1" x14ac:dyDescent="0.3">
      <c r="B80" s="82" t="s">
        <v>542</v>
      </c>
      <c r="C80" s="83" t="s">
        <v>629</v>
      </c>
      <c r="D80" s="124" t="s">
        <v>620</v>
      </c>
      <c r="E80" s="130">
        <v>2000</v>
      </c>
      <c r="F80" s="125" t="s">
        <v>735</v>
      </c>
      <c r="G80" s="125">
        <v>75</v>
      </c>
      <c r="H80" s="85">
        <v>12649.509999999998</v>
      </c>
      <c r="I80" s="85" t="s">
        <v>630</v>
      </c>
      <c r="J80" s="128">
        <v>35442</v>
      </c>
      <c r="K80" s="128">
        <f t="shared" si="0"/>
        <v>2658150</v>
      </c>
      <c r="L80" s="125" t="s">
        <v>681</v>
      </c>
      <c r="M80" s="85" t="s">
        <v>47</v>
      </c>
      <c r="N80" s="85" t="s">
        <v>1491</v>
      </c>
    </row>
    <row r="81" spans="2:14" ht="15.75" thickBot="1" x14ac:dyDescent="0.3">
      <c r="B81" s="82" t="s">
        <v>542</v>
      </c>
      <c r="C81" s="83" t="s">
        <v>629</v>
      </c>
      <c r="D81" s="124" t="s">
        <v>620</v>
      </c>
      <c r="E81" s="130">
        <v>1999</v>
      </c>
      <c r="F81" s="125" t="s">
        <v>736</v>
      </c>
      <c r="G81" s="125">
        <v>51</v>
      </c>
      <c r="H81" s="85">
        <v>12549.099999999999</v>
      </c>
      <c r="I81" s="85" t="s">
        <v>630</v>
      </c>
      <c r="J81" s="128">
        <v>33665</v>
      </c>
      <c r="K81" s="128">
        <f t="shared" si="0"/>
        <v>1716915</v>
      </c>
      <c r="L81" s="125" t="s">
        <v>682</v>
      </c>
      <c r="M81" s="85" t="s">
        <v>47</v>
      </c>
      <c r="N81" s="85" t="s">
        <v>1491</v>
      </c>
    </row>
    <row r="82" spans="2:14" ht="15.75" thickBot="1" x14ac:dyDescent="0.3">
      <c r="B82" s="82" t="s">
        <v>542</v>
      </c>
      <c r="C82" s="83" t="s">
        <v>629</v>
      </c>
      <c r="D82" s="124" t="s">
        <v>620</v>
      </c>
      <c r="E82" s="130">
        <v>2003</v>
      </c>
      <c r="F82" s="125" t="s">
        <v>732</v>
      </c>
      <c r="G82" s="125">
        <v>63</v>
      </c>
      <c r="H82" s="85">
        <v>14179.469999999998</v>
      </c>
      <c r="I82" s="85" t="s">
        <v>630</v>
      </c>
      <c r="J82" s="128">
        <v>35031</v>
      </c>
      <c r="K82" s="128">
        <f t="shared" si="0"/>
        <v>2206953</v>
      </c>
      <c r="L82" s="125" t="s">
        <v>683</v>
      </c>
      <c r="M82" s="85" t="s">
        <v>47</v>
      </c>
      <c r="N82" s="85" t="s">
        <v>1491</v>
      </c>
    </row>
    <row r="83" spans="2:14" ht="15.75" thickBot="1" x14ac:dyDescent="0.3">
      <c r="B83" s="82" t="s">
        <v>542</v>
      </c>
      <c r="C83" s="83" t="s">
        <v>629</v>
      </c>
      <c r="D83" s="124" t="s">
        <v>620</v>
      </c>
      <c r="E83" s="130">
        <v>2003</v>
      </c>
      <c r="F83" s="125" t="s">
        <v>732</v>
      </c>
      <c r="G83" s="125">
        <v>63</v>
      </c>
      <c r="H83" s="85">
        <v>13415.009999999998</v>
      </c>
      <c r="I83" s="85" t="s">
        <v>630</v>
      </c>
      <c r="J83" s="128">
        <v>35198</v>
      </c>
      <c r="K83" s="128">
        <f t="shared" si="0"/>
        <v>2217474</v>
      </c>
      <c r="L83" s="125" t="s">
        <v>684</v>
      </c>
      <c r="M83" s="85" t="s">
        <v>47</v>
      </c>
      <c r="N83" s="85" t="s">
        <v>1491</v>
      </c>
    </row>
    <row r="84" spans="2:14" ht="15.75" thickBot="1" x14ac:dyDescent="0.3">
      <c r="B84" s="82" t="s">
        <v>542</v>
      </c>
      <c r="C84" s="83" t="s">
        <v>629</v>
      </c>
      <c r="D84" s="124" t="s">
        <v>620</v>
      </c>
      <c r="E84" s="130">
        <v>2003</v>
      </c>
      <c r="F84" s="125" t="s">
        <v>732</v>
      </c>
      <c r="G84" s="125">
        <v>63</v>
      </c>
      <c r="H84" s="85">
        <v>20117.580000000002</v>
      </c>
      <c r="I84" s="85" t="s">
        <v>630</v>
      </c>
      <c r="J84" s="128">
        <v>50006</v>
      </c>
      <c r="K84" s="128">
        <f t="shared" si="0"/>
        <v>3150378</v>
      </c>
      <c r="L84" s="125" t="s">
        <v>685</v>
      </c>
      <c r="M84" s="85" t="s">
        <v>47</v>
      </c>
      <c r="N84" s="85" t="s">
        <v>1491</v>
      </c>
    </row>
    <row r="85" spans="2:14" ht="15.75" thickBot="1" x14ac:dyDescent="0.3">
      <c r="B85" s="82" t="s">
        <v>542</v>
      </c>
      <c r="C85" s="83" t="s">
        <v>629</v>
      </c>
      <c r="D85" s="124" t="s">
        <v>620</v>
      </c>
      <c r="E85" s="130">
        <v>2010</v>
      </c>
      <c r="F85" s="125" t="s">
        <v>734</v>
      </c>
      <c r="G85" s="125">
        <v>70</v>
      </c>
      <c r="H85" s="85">
        <v>23099.971000000001</v>
      </c>
      <c r="I85" s="85" t="s">
        <v>630</v>
      </c>
      <c r="J85" s="128">
        <v>58544</v>
      </c>
      <c r="K85" s="128">
        <f t="shared" si="0"/>
        <v>4098080</v>
      </c>
      <c r="L85" s="125" t="s">
        <v>686</v>
      </c>
      <c r="M85" s="85" t="s">
        <v>47</v>
      </c>
      <c r="N85" s="85" t="s">
        <v>1491</v>
      </c>
    </row>
    <row r="86" spans="2:14" ht="15.75" thickBot="1" x14ac:dyDescent="0.3">
      <c r="B86" s="82" t="s">
        <v>542</v>
      </c>
      <c r="C86" s="83" t="s">
        <v>629</v>
      </c>
      <c r="D86" s="124" t="s">
        <v>620</v>
      </c>
      <c r="E86" s="130">
        <v>2009</v>
      </c>
      <c r="F86" s="125" t="s">
        <v>734</v>
      </c>
      <c r="G86" s="125">
        <v>83</v>
      </c>
      <c r="H86" s="85">
        <v>41325.509999999995</v>
      </c>
      <c r="I86" s="85" t="s">
        <v>630</v>
      </c>
      <c r="J86" s="128">
        <v>104817</v>
      </c>
      <c r="K86" s="128">
        <f t="shared" si="0"/>
        <v>8699811</v>
      </c>
      <c r="L86" s="125" t="s">
        <v>687</v>
      </c>
      <c r="M86" s="85" t="s">
        <v>47</v>
      </c>
      <c r="N86" s="85" t="s">
        <v>1491</v>
      </c>
    </row>
    <row r="87" spans="2:14" ht="15.75" thickBot="1" x14ac:dyDescent="0.3">
      <c r="B87" s="82" t="s">
        <v>542</v>
      </c>
      <c r="C87" s="83" t="s">
        <v>629</v>
      </c>
      <c r="D87" s="124" t="s">
        <v>620</v>
      </c>
      <c r="E87" s="130">
        <v>2008</v>
      </c>
      <c r="F87" s="125" t="s">
        <v>731</v>
      </c>
      <c r="G87" s="125">
        <v>59</v>
      </c>
      <c r="H87" s="85">
        <v>30694.179999999997</v>
      </c>
      <c r="I87" s="85" t="s">
        <v>630</v>
      </c>
      <c r="J87" s="128">
        <v>82517</v>
      </c>
      <c r="K87" s="128">
        <f t="shared" si="0"/>
        <v>4868503</v>
      </c>
      <c r="L87" s="125" t="s">
        <v>688</v>
      </c>
      <c r="M87" s="85" t="s">
        <v>47</v>
      </c>
      <c r="N87" s="85" t="s">
        <v>1491</v>
      </c>
    </row>
    <row r="88" spans="2:14" ht="15.75" thickBot="1" x14ac:dyDescent="0.3">
      <c r="B88" s="82" t="s">
        <v>542</v>
      </c>
      <c r="C88" s="83" t="s">
        <v>629</v>
      </c>
      <c r="D88" s="124" t="s">
        <v>620</v>
      </c>
      <c r="E88" s="130">
        <v>2000</v>
      </c>
      <c r="F88" s="125" t="s">
        <v>735</v>
      </c>
      <c r="G88" s="125">
        <v>53</v>
      </c>
      <c r="H88" s="85">
        <v>12375.380000000001</v>
      </c>
      <c r="I88" s="85" t="s">
        <v>630</v>
      </c>
      <c r="J88" s="128">
        <v>36193</v>
      </c>
      <c r="K88" s="128">
        <f t="shared" si="0"/>
        <v>1918229</v>
      </c>
      <c r="L88" s="125" t="s">
        <v>689</v>
      </c>
      <c r="M88" s="85" t="s">
        <v>47</v>
      </c>
      <c r="N88" s="85" t="s">
        <v>1491</v>
      </c>
    </row>
    <row r="89" spans="2:14" ht="15.75" thickBot="1" x14ac:dyDescent="0.3">
      <c r="B89" s="82" t="s">
        <v>542</v>
      </c>
      <c r="C89" s="83" t="s">
        <v>629</v>
      </c>
      <c r="D89" s="124" t="s">
        <v>620</v>
      </c>
      <c r="E89" s="130">
        <v>1997</v>
      </c>
      <c r="F89" s="125" t="s">
        <v>736</v>
      </c>
      <c r="G89" s="125">
        <v>83</v>
      </c>
      <c r="H89" s="85">
        <v>9186.77</v>
      </c>
      <c r="I89" s="85" t="s">
        <v>630</v>
      </c>
      <c r="J89" s="128">
        <v>24182</v>
      </c>
      <c r="K89" s="128">
        <f t="shared" si="0"/>
        <v>2007106</v>
      </c>
      <c r="L89" s="125" t="s">
        <v>690</v>
      </c>
      <c r="M89" s="85" t="s">
        <v>47</v>
      </c>
      <c r="N89" s="85" t="s">
        <v>1491</v>
      </c>
    </row>
    <row r="90" spans="2:14" ht="15.75" thickBot="1" x14ac:dyDescent="0.3">
      <c r="B90" s="82" t="s">
        <v>542</v>
      </c>
      <c r="C90" s="83" t="s">
        <v>629</v>
      </c>
      <c r="D90" s="124" t="s">
        <v>620</v>
      </c>
      <c r="E90" s="130">
        <v>1998</v>
      </c>
      <c r="F90" s="125" t="s">
        <v>736</v>
      </c>
      <c r="G90" s="125">
        <v>66</v>
      </c>
      <c r="H90" s="85">
        <v>4298.08</v>
      </c>
      <c r="I90" s="85" t="s">
        <v>630</v>
      </c>
      <c r="J90" s="128">
        <v>12250</v>
      </c>
      <c r="K90" s="128">
        <f t="shared" si="0"/>
        <v>808500</v>
      </c>
      <c r="L90" s="125" t="s">
        <v>691</v>
      </c>
      <c r="M90" s="85" t="s">
        <v>47</v>
      </c>
      <c r="N90" s="85" t="s">
        <v>1491</v>
      </c>
    </row>
    <row r="91" spans="2:14" ht="15.75" thickBot="1" x14ac:dyDescent="0.3">
      <c r="B91" s="82" t="s">
        <v>542</v>
      </c>
      <c r="C91" s="83" t="s">
        <v>629</v>
      </c>
      <c r="D91" s="124" t="s">
        <v>620</v>
      </c>
      <c r="E91" s="130">
        <v>2003</v>
      </c>
      <c r="F91" s="125" t="s">
        <v>732</v>
      </c>
      <c r="G91" s="125">
        <v>63</v>
      </c>
      <c r="H91" s="85">
        <v>19873.660000000003</v>
      </c>
      <c r="I91" s="85" t="s">
        <v>630</v>
      </c>
      <c r="J91" s="128">
        <v>50662</v>
      </c>
      <c r="K91" s="128">
        <f t="shared" si="0"/>
        <v>3191706</v>
      </c>
      <c r="L91" s="125" t="s">
        <v>692</v>
      </c>
      <c r="M91" s="85" t="s">
        <v>47</v>
      </c>
      <c r="N91" s="85" t="s">
        <v>1491</v>
      </c>
    </row>
    <row r="92" spans="2:14" ht="15.75" thickBot="1" x14ac:dyDescent="0.3">
      <c r="B92" s="82" t="s">
        <v>542</v>
      </c>
      <c r="C92" s="83" t="s">
        <v>629</v>
      </c>
      <c r="D92" s="124" t="s">
        <v>620</v>
      </c>
      <c r="E92" s="130">
        <v>1999</v>
      </c>
      <c r="F92" s="125" t="s">
        <v>736</v>
      </c>
      <c r="G92" s="125">
        <v>83</v>
      </c>
      <c r="H92" s="85">
        <v>11561.64</v>
      </c>
      <c r="I92" s="85" t="s">
        <v>630</v>
      </c>
      <c r="J92" s="128">
        <v>33758</v>
      </c>
      <c r="K92" s="128">
        <f t="shared" si="0"/>
        <v>2801914</v>
      </c>
      <c r="L92" s="125" t="s">
        <v>693</v>
      </c>
      <c r="M92" s="85" t="s">
        <v>47</v>
      </c>
      <c r="N92" s="85" t="s">
        <v>1491</v>
      </c>
    </row>
    <row r="93" spans="2:14" ht="15.75" thickBot="1" x14ac:dyDescent="0.3">
      <c r="B93" s="82" t="s">
        <v>542</v>
      </c>
      <c r="C93" s="83" t="s">
        <v>629</v>
      </c>
      <c r="D93" s="124" t="s">
        <v>620</v>
      </c>
      <c r="E93" s="130">
        <v>2009</v>
      </c>
      <c r="F93" s="125" t="s">
        <v>734</v>
      </c>
      <c r="G93" s="125">
        <v>98</v>
      </c>
      <c r="H93" s="85">
        <v>39825.485000000001</v>
      </c>
      <c r="I93" s="85" t="s">
        <v>630</v>
      </c>
      <c r="J93" s="128">
        <v>100862</v>
      </c>
      <c r="K93" s="128">
        <f t="shared" si="0"/>
        <v>9884476</v>
      </c>
      <c r="L93" s="125" t="s">
        <v>694</v>
      </c>
      <c r="M93" s="85" t="s">
        <v>47</v>
      </c>
      <c r="N93" s="85" t="s">
        <v>1491</v>
      </c>
    </row>
    <row r="94" spans="2:14" ht="15.75" thickBot="1" x14ac:dyDescent="0.3">
      <c r="B94" s="82" t="s">
        <v>542</v>
      </c>
      <c r="C94" s="83" t="s">
        <v>629</v>
      </c>
      <c r="D94" s="124" t="s">
        <v>620</v>
      </c>
      <c r="E94" s="130">
        <v>2008</v>
      </c>
      <c r="F94" s="125" t="s">
        <v>731</v>
      </c>
      <c r="G94" s="125">
        <v>82</v>
      </c>
      <c r="H94" s="85">
        <v>12057.630000000001</v>
      </c>
      <c r="I94" s="85" t="s">
        <v>630</v>
      </c>
      <c r="J94" s="128">
        <v>36208</v>
      </c>
      <c r="K94" s="128">
        <f t="shared" si="0"/>
        <v>2969056</v>
      </c>
      <c r="L94" s="125" t="s">
        <v>695</v>
      </c>
      <c r="M94" s="85" t="s">
        <v>47</v>
      </c>
      <c r="N94" s="85" t="s">
        <v>1491</v>
      </c>
    </row>
    <row r="95" spans="2:14" ht="15.75" thickBot="1" x14ac:dyDescent="0.3">
      <c r="B95" s="82" t="s">
        <v>542</v>
      </c>
      <c r="C95" s="83" t="s">
        <v>629</v>
      </c>
      <c r="D95" s="124" t="s">
        <v>620</v>
      </c>
      <c r="E95" s="130">
        <v>2008</v>
      </c>
      <c r="F95" s="125" t="s">
        <v>731</v>
      </c>
      <c r="G95" s="125">
        <v>95</v>
      </c>
      <c r="H95" s="85">
        <v>45243.237999999998</v>
      </c>
      <c r="I95" s="85" t="s">
        <v>630</v>
      </c>
      <c r="J95" s="128">
        <v>110221</v>
      </c>
      <c r="K95" s="128">
        <f t="shared" ref="K95:K158" si="1">J95*G95</f>
        <v>10470995</v>
      </c>
      <c r="L95" s="125" t="s">
        <v>696</v>
      </c>
      <c r="M95" s="85" t="s">
        <v>47</v>
      </c>
      <c r="N95" s="85" t="s">
        <v>1491</v>
      </c>
    </row>
    <row r="96" spans="2:14" ht="15.75" thickBot="1" x14ac:dyDescent="0.3">
      <c r="B96" s="82" t="s">
        <v>542</v>
      </c>
      <c r="C96" s="83" t="s">
        <v>629</v>
      </c>
      <c r="D96" s="124" t="s">
        <v>620</v>
      </c>
      <c r="E96" s="130">
        <v>2002</v>
      </c>
      <c r="F96" s="125" t="s">
        <v>732</v>
      </c>
      <c r="G96" s="125">
        <v>97</v>
      </c>
      <c r="H96" s="85">
        <v>8912.1600000000017</v>
      </c>
      <c r="I96" s="85" t="s">
        <v>630</v>
      </c>
      <c r="J96" s="128">
        <v>20961</v>
      </c>
      <c r="K96" s="128">
        <f t="shared" si="1"/>
        <v>2033217</v>
      </c>
      <c r="L96" s="125" t="s">
        <v>697</v>
      </c>
      <c r="M96" s="85" t="s">
        <v>47</v>
      </c>
      <c r="N96" s="85" t="s">
        <v>1491</v>
      </c>
    </row>
    <row r="97" spans="2:14" ht="15.75" thickBot="1" x14ac:dyDescent="0.3">
      <c r="B97" s="82" t="s">
        <v>542</v>
      </c>
      <c r="C97" s="83" t="s">
        <v>629</v>
      </c>
      <c r="D97" s="124" t="s">
        <v>620</v>
      </c>
      <c r="E97" s="130">
        <v>2004</v>
      </c>
      <c r="F97" s="125" t="s">
        <v>732</v>
      </c>
      <c r="G97" s="125">
        <v>76</v>
      </c>
      <c r="H97" s="85">
        <v>17252.909999999996</v>
      </c>
      <c r="I97" s="85" t="s">
        <v>630</v>
      </c>
      <c r="J97" s="128">
        <v>43976</v>
      </c>
      <c r="K97" s="128">
        <f t="shared" si="1"/>
        <v>3342176</v>
      </c>
      <c r="L97" s="125" t="s">
        <v>698</v>
      </c>
      <c r="M97" s="85" t="s">
        <v>47</v>
      </c>
      <c r="N97" s="85" t="s">
        <v>1491</v>
      </c>
    </row>
    <row r="98" spans="2:14" ht="15.75" thickBot="1" x14ac:dyDescent="0.3">
      <c r="B98" s="82" t="s">
        <v>542</v>
      </c>
      <c r="C98" s="83" t="s">
        <v>629</v>
      </c>
      <c r="D98" s="124" t="s">
        <v>620</v>
      </c>
      <c r="E98" s="130">
        <v>2004</v>
      </c>
      <c r="F98" s="125" t="s">
        <v>732</v>
      </c>
      <c r="G98" s="125">
        <v>76</v>
      </c>
      <c r="H98" s="85">
        <v>19092.59</v>
      </c>
      <c r="I98" s="85" t="s">
        <v>630</v>
      </c>
      <c r="J98" s="128">
        <v>50578</v>
      </c>
      <c r="K98" s="128">
        <f t="shared" si="1"/>
        <v>3843928</v>
      </c>
      <c r="L98" s="125" t="s">
        <v>699</v>
      </c>
      <c r="M98" s="85" t="s">
        <v>47</v>
      </c>
      <c r="N98" s="85" t="s">
        <v>1491</v>
      </c>
    </row>
    <row r="99" spans="2:14" ht="15.75" thickBot="1" x14ac:dyDescent="0.3">
      <c r="B99" s="82" t="s">
        <v>542</v>
      </c>
      <c r="C99" s="83" t="s">
        <v>629</v>
      </c>
      <c r="D99" s="124" t="s">
        <v>620</v>
      </c>
      <c r="E99" s="130">
        <v>2005</v>
      </c>
      <c r="F99" s="125" t="s">
        <v>732</v>
      </c>
      <c r="G99" s="125">
        <v>36</v>
      </c>
      <c r="H99" s="85">
        <v>14070.639999999998</v>
      </c>
      <c r="I99" s="85" t="s">
        <v>630</v>
      </c>
      <c r="J99" s="128">
        <v>45959</v>
      </c>
      <c r="K99" s="128">
        <f t="shared" si="1"/>
        <v>1654524</v>
      </c>
      <c r="L99" s="125" t="s">
        <v>700</v>
      </c>
      <c r="M99" s="85" t="s">
        <v>47</v>
      </c>
      <c r="N99" s="85" t="s">
        <v>1491</v>
      </c>
    </row>
    <row r="100" spans="2:14" ht="15.75" thickBot="1" x14ac:dyDescent="0.3">
      <c r="B100" s="82" t="s">
        <v>542</v>
      </c>
      <c r="C100" s="83" t="s">
        <v>629</v>
      </c>
      <c r="D100" s="124" t="s">
        <v>620</v>
      </c>
      <c r="E100" s="130">
        <v>2005</v>
      </c>
      <c r="F100" s="125" t="s">
        <v>732</v>
      </c>
      <c r="G100" s="125">
        <v>36</v>
      </c>
      <c r="H100" s="85">
        <v>13223.41</v>
      </c>
      <c r="I100" s="85" t="s">
        <v>630</v>
      </c>
      <c r="J100" s="128">
        <v>38621</v>
      </c>
      <c r="K100" s="128">
        <f t="shared" si="1"/>
        <v>1390356</v>
      </c>
      <c r="L100" s="125" t="s">
        <v>701</v>
      </c>
      <c r="M100" s="85" t="s">
        <v>47</v>
      </c>
      <c r="N100" s="85" t="s">
        <v>1491</v>
      </c>
    </row>
    <row r="101" spans="2:14" ht="15.75" thickBot="1" x14ac:dyDescent="0.3">
      <c r="B101" s="82" t="s">
        <v>542</v>
      </c>
      <c r="C101" s="83" t="s">
        <v>629</v>
      </c>
      <c r="D101" s="124" t="s">
        <v>620</v>
      </c>
      <c r="E101" s="130">
        <v>2005</v>
      </c>
      <c r="F101" s="125" t="s">
        <v>732</v>
      </c>
      <c r="G101" s="125">
        <v>36</v>
      </c>
      <c r="H101" s="85">
        <v>12660.159999999998</v>
      </c>
      <c r="I101" s="85" t="s">
        <v>630</v>
      </c>
      <c r="J101" s="128">
        <v>38186</v>
      </c>
      <c r="K101" s="128">
        <f t="shared" si="1"/>
        <v>1374696</v>
      </c>
      <c r="L101" s="125" t="s">
        <v>702</v>
      </c>
      <c r="M101" s="85" t="s">
        <v>47</v>
      </c>
      <c r="N101" s="85" t="s">
        <v>1491</v>
      </c>
    </row>
    <row r="102" spans="2:14" ht="15.75" thickBot="1" x14ac:dyDescent="0.3">
      <c r="B102" s="82" t="s">
        <v>542</v>
      </c>
      <c r="C102" s="83" t="s">
        <v>629</v>
      </c>
      <c r="D102" s="124" t="s">
        <v>620</v>
      </c>
      <c r="E102" s="130">
        <v>2001</v>
      </c>
      <c r="F102" s="125" t="s">
        <v>732</v>
      </c>
      <c r="G102" s="125">
        <v>55</v>
      </c>
      <c r="H102" s="85">
        <v>6800.5700000000006</v>
      </c>
      <c r="I102" s="85" t="s">
        <v>630</v>
      </c>
      <c r="J102" s="128">
        <v>16564</v>
      </c>
      <c r="K102" s="128">
        <f t="shared" si="1"/>
        <v>911020</v>
      </c>
      <c r="L102" s="125" t="s">
        <v>703</v>
      </c>
      <c r="M102" s="85" t="s">
        <v>47</v>
      </c>
      <c r="N102" s="85" t="s">
        <v>1491</v>
      </c>
    </row>
    <row r="103" spans="2:14" ht="15.75" thickBot="1" x14ac:dyDescent="0.3">
      <c r="B103" s="82" t="s">
        <v>542</v>
      </c>
      <c r="C103" s="83" t="s">
        <v>629</v>
      </c>
      <c r="D103" s="124" t="s">
        <v>620</v>
      </c>
      <c r="E103" s="130">
        <v>2001</v>
      </c>
      <c r="F103" s="125" t="s">
        <v>732</v>
      </c>
      <c r="G103" s="125">
        <v>49</v>
      </c>
      <c r="H103" s="85">
        <v>0</v>
      </c>
      <c r="I103" s="85" t="s">
        <v>630</v>
      </c>
      <c r="J103" s="128">
        <v>0</v>
      </c>
      <c r="K103" s="128">
        <f t="shared" si="1"/>
        <v>0</v>
      </c>
      <c r="L103" s="125" t="s">
        <v>704</v>
      </c>
      <c r="M103" s="85" t="s">
        <v>47</v>
      </c>
      <c r="N103" s="85" t="s">
        <v>1491</v>
      </c>
    </row>
    <row r="104" spans="2:14" ht="15.75" thickBot="1" x14ac:dyDescent="0.3">
      <c r="B104" s="82" t="s">
        <v>542</v>
      </c>
      <c r="C104" s="83" t="s">
        <v>629</v>
      </c>
      <c r="D104" s="124" t="s">
        <v>620</v>
      </c>
      <c r="E104" s="130">
        <v>2004</v>
      </c>
      <c r="F104" s="125" t="s">
        <v>732</v>
      </c>
      <c r="G104" s="125">
        <v>49</v>
      </c>
      <c r="H104" s="85">
        <v>28835.781999999999</v>
      </c>
      <c r="I104" s="85" t="s">
        <v>630</v>
      </c>
      <c r="J104" s="128">
        <v>79217</v>
      </c>
      <c r="K104" s="128">
        <f t="shared" si="1"/>
        <v>3881633</v>
      </c>
      <c r="L104" s="125" t="s">
        <v>705</v>
      </c>
      <c r="M104" s="85" t="s">
        <v>47</v>
      </c>
      <c r="N104" s="85" t="s">
        <v>1491</v>
      </c>
    </row>
    <row r="105" spans="2:14" ht="15.75" thickBot="1" x14ac:dyDescent="0.3">
      <c r="B105" s="82" t="s">
        <v>542</v>
      </c>
      <c r="C105" s="83" t="s">
        <v>629</v>
      </c>
      <c r="D105" s="124" t="s">
        <v>620</v>
      </c>
      <c r="E105" s="130">
        <v>2004</v>
      </c>
      <c r="F105" s="125" t="s">
        <v>732</v>
      </c>
      <c r="G105" s="125">
        <v>49</v>
      </c>
      <c r="H105" s="85">
        <v>23734.95</v>
      </c>
      <c r="I105" s="85" t="s">
        <v>630</v>
      </c>
      <c r="J105" s="128">
        <v>62619</v>
      </c>
      <c r="K105" s="128">
        <f t="shared" si="1"/>
        <v>3068331</v>
      </c>
      <c r="L105" s="125" t="s">
        <v>706</v>
      </c>
      <c r="M105" s="85" t="s">
        <v>47</v>
      </c>
      <c r="N105" s="85" t="s">
        <v>1491</v>
      </c>
    </row>
    <row r="106" spans="2:14" ht="15.75" thickBot="1" x14ac:dyDescent="0.3">
      <c r="B106" s="82" t="s">
        <v>542</v>
      </c>
      <c r="C106" s="83" t="s">
        <v>629</v>
      </c>
      <c r="D106" s="124" t="s">
        <v>620</v>
      </c>
      <c r="E106" s="130">
        <v>2004</v>
      </c>
      <c r="F106" s="125" t="s">
        <v>732</v>
      </c>
      <c r="G106" s="125">
        <v>55</v>
      </c>
      <c r="H106" s="85">
        <v>396.44000000000005</v>
      </c>
      <c r="I106" s="85" t="s">
        <v>630</v>
      </c>
      <c r="J106" s="128">
        <v>1015</v>
      </c>
      <c r="K106" s="128">
        <f t="shared" si="1"/>
        <v>55825</v>
      </c>
      <c r="L106" s="125" t="s">
        <v>707</v>
      </c>
      <c r="M106" s="85" t="s">
        <v>47</v>
      </c>
      <c r="N106" s="85" t="s">
        <v>1491</v>
      </c>
    </row>
    <row r="107" spans="2:14" ht="15.75" thickBot="1" x14ac:dyDescent="0.3">
      <c r="B107" s="82" t="s">
        <v>542</v>
      </c>
      <c r="C107" s="83" t="s">
        <v>629</v>
      </c>
      <c r="D107" s="124" t="s">
        <v>620</v>
      </c>
      <c r="E107" s="130">
        <v>2004</v>
      </c>
      <c r="F107" s="125" t="s">
        <v>732</v>
      </c>
      <c r="G107" s="125">
        <v>55</v>
      </c>
      <c r="H107" s="85">
        <v>18331.68</v>
      </c>
      <c r="I107" s="85" t="s">
        <v>630</v>
      </c>
      <c r="J107" s="128">
        <v>43101</v>
      </c>
      <c r="K107" s="128">
        <f t="shared" si="1"/>
        <v>2370555</v>
      </c>
      <c r="L107" s="125" t="s">
        <v>708</v>
      </c>
      <c r="M107" s="85" t="s">
        <v>47</v>
      </c>
      <c r="N107" s="85" t="s">
        <v>1491</v>
      </c>
    </row>
    <row r="108" spans="2:14" ht="15.75" thickBot="1" x14ac:dyDescent="0.3">
      <c r="B108" s="82" t="s">
        <v>542</v>
      </c>
      <c r="C108" s="83" t="s">
        <v>629</v>
      </c>
      <c r="D108" s="124" t="s">
        <v>620</v>
      </c>
      <c r="E108" s="130">
        <v>2004</v>
      </c>
      <c r="F108" s="125" t="s">
        <v>732</v>
      </c>
      <c r="G108" s="125">
        <v>55</v>
      </c>
      <c r="H108" s="85">
        <v>13682.288000000002</v>
      </c>
      <c r="I108" s="85" t="s">
        <v>630</v>
      </c>
      <c r="J108" s="128">
        <v>32065</v>
      </c>
      <c r="K108" s="128">
        <f t="shared" si="1"/>
        <v>1763575</v>
      </c>
      <c r="L108" s="125" t="s">
        <v>709</v>
      </c>
      <c r="M108" s="85" t="s">
        <v>47</v>
      </c>
      <c r="N108" s="85" t="s">
        <v>1491</v>
      </c>
    </row>
    <row r="109" spans="2:14" ht="15.75" thickBot="1" x14ac:dyDescent="0.3">
      <c r="B109" s="82" t="s">
        <v>542</v>
      </c>
      <c r="C109" s="83" t="s">
        <v>629</v>
      </c>
      <c r="D109" s="124" t="s">
        <v>620</v>
      </c>
      <c r="E109" s="130">
        <v>2005</v>
      </c>
      <c r="F109" s="125" t="s">
        <v>732</v>
      </c>
      <c r="G109" s="125">
        <v>66</v>
      </c>
      <c r="H109" s="85">
        <v>29475.360000000001</v>
      </c>
      <c r="I109" s="85" t="s">
        <v>630</v>
      </c>
      <c r="J109" s="128">
        <v>84990</v>
      </c>
      <c r="K109" s="128">
        <f t="shared" si="1"/>
        <v>5609340</v>
      </c>
      <c r="L109" s="125" t="s">
        <v>710</v>
      </c>
      <c r="M109" s="85" t="s">
        <v>47</v>
      </c>
      <c r="N109" s="85" t="s">
        <v>1491</v>
      </c>
    </row>
    <row r="110" spans="2:14" ht="15.75" thickBot="1" x14ac:dyDescent="0.3">
      <c r="B110" s="82" t="s">
        <v>542</v>
      </c>
      <c r="C110" s="83" t="s">
        <v>629</v>
      </c>
      <c r="D110" s="124" t="s">
        <v>620</v>
      </c>
      <c r="E110" s="130">
        <v>2005</v>
      </c>
      <c r="F110" s="125" t="s">
        <v>732</v>
      </c>
      <c r="G110" s="125">
        <v>66</v>
      </c>
      <c r="H110" s="85">
        <v>30447.382000000001</v>
      </c>
      <c r="I110" s="85" t="s">
        <v>630</v>
      </c>
      <c r="J110" s="128">
        <v>89443</v>
      </c>
      <c r="K110" s="128">
        <f t="shared" si="1"/>
        <v>5903238</v>
      </c>
      <c r="L110" s="125" t="s">
        <v>711</v>
      </c>
      <c r="M110" s="85" t="s">
        <v>47</v>
      </c>
      <c r="N110" s="85" t="s">
        <v>1491</v>
      </c>
    </row>
    <row r="111" spans="2:14" ht="15.75" thickBot="1" x14ac:dyDescent="0.3">
      <c r="B111" s="82" t="s">
        <v>542</v>
      </c>
      <c r="C111" s="83" t="s">
        <v>629</v>
      </c>
      <c r="D111" s="124" t="s">
        <v>620</v>
      </c>
      <c r="E111" s="130">
        <v>2005</v>
      </c>
      <c r="F111" s="125" t="s">
        <v>732</v>
      </c>
      <c r="G111" s="125">
        <v>37</v>
      </c>
      <c r="H111" s="85">
        <v>26339.739999999998</v>
      </c>
      <c r="I111" s="85" t="s">
        <v>630</v>
      </c>
      <c r="J111" s="128">
        <v>74032</v>
      </c>
      <c r="K111" s="128">
        <f t="shared" si="1"/>
        <v>2739184</v>
      </c>
      <c r="L111" s="125" t="s">
        <v>712</v>
      </c>
      <c r="M111" s="85" t="s">
        <v>47</v>
      </c>
      <c r="N111" s="85" t="s">
        <v>1491</v>
      </c>
    </row>
    <row r="112" spans="2:14" ht="15.75" thickBot="1" x14ac:dyDescent="0.3">
      <c r="B112" s="82" t="s">
        <v>542</v>
      </c>
      <c r="C112" s="83" t="s">
        <v>629</v>
      </c>
      <c r="D112" s="124" t="s">
        <v>620</v>
      </c>
      <c r="E112" s="130">
        <v>2005</v>
      </c>
      <c r="F112" s="125" t="s">
        <v>732</v>
      </c>
      <c r="G112" s="125">
        <v>37</v>
      </c>
      <c r="H112" s="85">
        <v>21581.800000000003</v>
      </c>
      <c r="I112" s="85" t="s">
        <v>630</v>
      </c>
      <c r="J112" s="128">
        <v>61792</v>
      </c>
      <c r="K112" s="128">
        <f t="shared" si="1"/>
        <v>2286304</v>
      </c>
      <c r="L112" s="125" t="s">
        <v>713</v>
      </c>
      <c r="M112" s="85" t="s">
        <v>47</v>
      </c>
      <c r="N112" s="85" t="s">
        <v>1491</v>
      </c>
    </row>
    <row r="113" spans="2:14" ht="15.75" thickBot="1" x14ac:dyDescent="0.3">
      <c r="B113" s="82" t="s">
        <v>542</v>
      </c>
      <c r="C113" s="83" t="s">
        <v>629</v>
      </c>
      <c r="D113" s="124" t="s">
        <v>620</v>
      </c>
      <c r="E113" s="130">
        <v>2005</v>
      </c>
      <c r="F113" s="125" t="s">
        <v>732</v>
      </c>
      <c r="G113" s="125">
        <v>37</v>
      </c>
      <c r="H113" s="85">
        <v>26180.250000000004</v>
      </c>
      <c r="I113" s="85" t="s">
        <v>630</v>
      </c>
      <c r="J113" s="128">
        <v>73022</v>
      </c>
      <c r="K113" s="128">
        <f t="shared" si="1"/>
        <v>2701814</v>
      </c>
      <c r="L113" s="125" t="s">
        <v>714</v>
      </c>
      <c r="M113" s="85" t="s">
        <v>47</v>
      </c>
      <c r="N113" s="85" t="s">
        <v>1491</v>
      </c>
    </row>
    <row r="114" spans="2:14" ht="15.75" thickBot="1" x14ac:dyDescent="0.3">
      <c r="B114" s="82" t="s">
        <v>542</v>
      </c>
      <c r="C114" s="83" t="s">
        <v>629</v>
      </c>
      <c r="D114" s="124" t="s">
        <v>620</v>
      </c>
      <c r="E114" s="130">
        <v>2005</v>
      </c>
      <c r="F114" s="125" t="s">
        <v>732</v>
      </c>
      <c r="G114" s="125">
        <v>37</v>
      </c>
      <c r="H114" s="85">
        <v>24396.719999999998</v>
      </c>
      <c r="I114" s="85" t="s">
        <v>630</v>
      </c>
      <c r="J114" s="128">
        <v>69096</v>
      </c>
      <c r="K114" s="128">
        <f t="shared" si="1"/>
        <v>2556552</v>
      </c>
      <c r="L114" s="125" t="s">
        <v>715</v>
      </c>
      <c r="M114" s="85" t="s">
        <v>47</v>
      </c>
      <c r="N114" s="85" t="s">
        <v>1491</v>
      </c>
    </row>
    <row r="115" spans="2:14" ht="15.75" thickBot="1" x14ac:dyDescent="0.3">
      <c r="B115" s="82" t="s">
        <v>542</v>
      </c>
      <c r="C115" s="83" t="s">
        <v>629</v>
      </c>
      <c r="D115" s="124" t="s">
        <v>620</v>
      </c>
      <c r="E115" s="130">
        <v>2007</v>
      </c>
      <c r="F115" s="125" t="s">
        <v>731</v>
      </c>
      <c r="G115" s="125">
        <v>55</v>
      </c>
      <c r="H115" s="85">
        <v>32162.57</v>
      </c>
      <c r="I115" s="85" t="s">
        <v>630</v>
      </c>
      <c r="J115" s="128">
        <v>94218</v>
      </c>
      <c r="K115" s="128">
        <f t="shared" si="1"/>
        <v>5181990</v>
      </c>
      <c r="L115" s="125" t="s">
        <v>716</v>
      </c>
      <c r="M115" s="85" t="s">
        <v>47</v>
      </c>
      <c r="N115" s="85" t="s">
        <v>1491</v>
      </c>
    </row>
    <row r="116" spans="2:14" ht="15.75" thickBot="1" x14ac:dyDescent="0.3">
      <c r="B116" s="82" t="s">
        <v>542</v>
      </c>
      <c r="C116" s="83" t="s">
        <v>629</v>
      </c>
      <c r="D116" s="124" t="s">
        <v>620</v>
      </c>
      <c r="E116" s="130">
        <v>2007</v>
      </c>
      <c r="F116" s="125" t="s">
        <v>731</v>
      </c>
      <c r="G116" s="125">
        <v>55</v>
      </c>
      <c r="H116" s="85">
        <v>167.89</v>
      </c>
      <c r="I116" s="85" t="s">
        <v>630</v>
      </c>
      <c r="J116" s="128">
        <v>493</v>
      </c>
      <c r="K116" s="128">
        <f t="shared" si="1"/>
        <v>27115</v>
      </c>
      <c r="L116" s="125" t="s">
        <v>717</v>
      </c>
      <c r="M116" s="85" t="s">
        <v>47</v>
      </c>
      <c r="N116" s="85" t="s">
        <v>1491</v>
      </c>
    </row>
    <row r="117" spans="2:14" ht="15.75" thickBot="1" x14ac:dyDescent="0.3">
      <c r="B117" s="82" t="s">
        <v>542</v>
      </c>
      <c r="C117" s="83" t="s">
        <v>629</v>
      </c>
      <c r="D117" s="124" t="s">
        <v>620</v>
      </c>
      <c r="E117" s="130">
        <v>2007</v>
      </c>
      <c r="F117" s="125" t="s">
        <v>731</v>
      </c>
      <c r="G117" s="125">
        <v>55</v>
      </c>
      <c r="H117" s="85">
        <v>13114.44</v>
      </c>
      <c r="I117" s="85" t="s">
        <v>630</v>
      </c>
      <c r="J117" s="128">
        <v>34761</v>
      </c>
      <c r="K117" s="128">
        <f t="shared" si="1"/>
        <v>1911855</v>
      </c>
      <c r="L117" s="125" t="s">
        <v>718</v>
      </c>
      <c r="M117" s="85" t="s">
        <v>47</v>
      </c>
      <c r="N117" s="85" t="s">
        <v>1491</v>
      </c>
    </row>
    <row r="118" spans="2:14" ht="15.75" thickBot="1" x14ac:dyDescent="0.3">
      <c r="B118" s="82" t="s">
        <v>542</v>
      </c>
      <c r="C118" s="83" t="s">
        <v>629</v>
      </c>
      <c r="D118" s="124" t="s">
        <v>620</v>
      </c>
      <c r="E118" s="130">
        <v>2008</v>
      </c>
      <c r="F118" s="125" t="s">
        <v>731</v>
      </c>
      <c r="G118" s="125">
        <v>53</v>
      </c>
      <c r="H118" s="85">
        <v>23804.739999999994</v>
      </c>
      <c r="I118" s="85" t="s">
        <v>630</v>
      </c>
      <c r="J118" s="128">
        <v>66781</v>
      </c>
      <c r="K118" s="128">
        <f t="shared" si="1"/>
        <v>3539393</v>
      </c>
      <c r="L118" s="125" t="s">
        <v>719</v>
      </c>
      <c r="M118" s="85" t="s">
        <v>47</v>
      </c>
      <c r="N118" s="85" t="s">
        <v>1491</v>
      </c>
    </row>
    <row r="119" spans="2:14" ht="15.75" thickBot="1" x14ac:dyDescent="0.3">
      <c r="B119" s="82" t="s">
        <v>542</v>
      </c>
      <c r="C119" s="83" t="s">
        <v>629</v>
      </c>
      <c r="D119" s="124" t="s">
        <v>620</v>
      </c>
      <c r="E119" s="130">
        <v>2008</v>
      </c>
      <c r="F119" s="125" t="s">
        <v>731</v>
      </c>
      <c r="G119" s="125">
        <v>53</v>
      </c>
      <c r="H119" s="85">
        <v>30463.319</v>
      </c>
      <c r="I119" s="85" t="s">
        <v>630</v>
      </c>
      <c r="J119" s="128">
        <v>87059</v>
      </c>
      <c r="K119" s="128">
        <f t="shared" si="1"/>
        <v>4614127</v>
      </c>
      <c r="L119" s="125" t="s">
        <v>720</v>
      </c>
      <c r="M119" s="85" t="s">
        <v>47</v>
      </c>
      <c r="N119" s="85" t="s">
        <v>1491</v>
      </c>
    </row>
    <row r="120" spans="2:14" ht="15.75" thickBot="1" x14ac:dyDescent="0.3">
      <c r="B120" s="82" t="s">
        <v>542</v>
      </c>
      <c r="C120" s="83" t="s">
        <v>629</v>
      </c>
      <c r="D120" s="124" t="s">
        <v>620</v>
      </c>
      <c r="E120" s="130">
        <v>2008</v>
      </c>
      <c r="F120" s="125" t="s">
        <v>731</v>
      </c>
      <c r="G120" s="125">
        <v>53</v>
      </c>
      <c r="H120" s="85">
        <v>22606.762000000002</v>
      </c>
      <c r="I120" s="85" t="s">
        <v>630</v>
      </c>
      <c r="J120" s="128">
        <v>61165</v>
      </c>
      <c r="K120" s="128">
        <f t="shared" si="1"/>
        <v>3241745</v>
      </c>
      <c r="L120" s="125" t="s">
        <v>721</v>
      </c>
      <c r="M120" s="85" t="s">
        <v>47</v>
      </c>
      <c r="N120" s="85" t="s">
        <v>1491</v>
      </c>
    </row>
    <row r="121" spans="2:14" ht="15.75" thickBot="1" x14ac:dyDescent="0.3">
      <c r="B121" s="82" t="s">
        <v>542</v>
      </c>
      <c r="C121" s="83" t="s">
        <v>629</v>
      </c>
      <c r="D121" s="124" t="s">
        <v>620</v>
      </c>
      <c r="E121" s="130">
        <v>2011</v>
      </c>
      <c r="F121" s="125" t="s">
        <v>734</v>
      </c>
      <c r="G121" s="125">
        <v>53</v>
      </c>
      <c r="H121" s="85">
        <v>28818.769</v>
      </c>
      <c r="I121" s="85" t="s">
        <v>630</v>
      </c>
      <c r="J121" s="128">
        <v>85004</v>
      </c>
      <c r="K121" s="128">
        <f t="shared" si="1"/>
        <v>4505212</v>
      </c>
      <c r="L121" s="125" t="s">
        <v>722</v>
      </c>
      <c r="M121" s="85" t="s">
        <v>47</v>
      </c>
      <c r="N121" s="85" t="s">
        <v>1491</v>
      </c>
    </row>
    <row r="122" spans="2:14" ht="15.75" thickBot="1" x14ac:dyDescent="0.3">
      <c r="B122" s="82" t="s">
        <v>542</v>
      </c>
      <c r="C122" s="83" t="s">
        <v>629</v>
      </c>
      <c r="D122" s="124" t="s">
        <v>620</v>
      </c>
      <c r="E122" s="130">
        <v>2012</v>
      </c>
      <c r="F122" s="125" t="s">
        <v>734</v>
      </c>
      <c r="G122" s="125">
        <v>53</v>
      </c>
      <c r="H122" s="85">
        <v>35979.361000000004</v>
      </c>
      <c r="I122" s="85" t="s">
        <v>630</v>
      </c>
      <c r="J122" s="128">
        <v>114644</v>
      </c>
      <c r="K122" s="128">
        <f t="shared" si="1"/>
        <v>6076132</v>
      </c>
      <c r="L122" s="125" t="s">
        <v>723</v>
      </c>
      <c r="M122" s="85" t="s">
        <v>47</v>
      </c>
      <c r="N122" s="85" t="s">
        <v>1491</v>
      </c>
    </row>
    <row r="123" spans="2:14" ht="15.75" thickBot="1" x14ac:dyDescent="0.3">
      <c r="B123" s="82" t="s">
        <v>542</v>
      </c>
      <c r="C123" s="83" t="s">
        <v>629</v>
      </c>
      <c r="D123" s="124" t="s">
        <v>620</v>
      </c>
      <c r="E123" s="130">
        <v>2012</v>
      </c>
      <c r="F123" s="125" t="s">
        <v>734</v>
      </c>
      <c r="G123" s="125">
        <v>53</v>
      </c>
      <c r="H123" s="85">
        <v>32929.273000000001</v>
      </c>
      <c r="I123" s="85" t="s">
        <v>630</v>
      </c>
      <c r="J123" s="128">
        <v>102431</v>
      </c>
      <c r="K123" s="128">
        <f t="shared" si="1"/>
        <v>5428843</v>
      </c>
      <c r="L123" s="125" t="s">
        <v>724</v>
      </c>
      <c r="M123" s="85" t="s">
        <v>47</v>
      </c>
      <c r="N123" s="85" t="s">
        <v>1491</v>
      </c>
    </row>
    <row r="124" spans="2:14" ht="15.75" thickBot="1" x14ac:dyDescent="0.3">
      <c r="B124" s="82" t="s">
        <v>542</v>
      </c>
      <c r="C124" s="83" t="s">
        <v>629</v>
      </c>
      <c r="D124" s="124" t="s">
        <v>620</v>
      </c>
      <c r="E124" s="130">
        <v>2013</v>
      </c>
      <c r="F124" s="125" t="s">
        <v>733</v>
      </c>
      <c r="G124" s="125">
        <v>53</v>
      </c>
      <c r="H124" s="85">
        <v>21326.17</v>
      </c>
      <c r="I124" s="85" t="s">
        <v>630</v>
      </c>
      <c r="J124" s="128">
        <v>62763</v>
      </c>
      <c r="K124" s="128">
        <f t="shared" si="1"/>
        <v>3326439</v>
      </c>
      <c r="L124" s="125" t="s">
        <v>725</v>
      </c>
      <c r="M124" s="85" t="s">
        <v>47</v>
      </c>
      <c r="N124" s="85" t="s">
        <v>1491</v>
      </c>
    </row>
    <row r="125" spans="2:14" ht="15.75" thickBot="1" x14ac:dyDescent="0.3">
      <c r="B125" s="82" t="s">
        <v>542</v>
      </c>
      <c r="C125" s="83" t="s">
        <v>629</v>
      </c>
      <c r="D125" s="124" t="s">
        <v>620</v>
      </c>
      <c r="E125" s="130">
        <v>2013</v>
      </c>
      <c r="F125" s="125" t="s">
        <v>733</v>
      </c>
      <c r="G125" s="125">
        <v>53</v>
      </c>
      <c r="H125" s="85">
        <v>24436.764999999999</v>
      </c>
      <c r="I125" s="85" t="s">
        <v>630</v>
      </c>
      <c r="J125" s="128">
        <v>72319</v>
      </c>
      <c r="K125" s="128">
        <f t="shared" si="1"/>
        <v>3832907</v>
      </c>
      <c r="L125" s="125" t="s">
        <v>726</v>
      </c>
      <c r="M125" s="85" t="s">
        <v>47</v>
      </c>
      <c r="N125" s="85" t="s">
        <v>1491</v>
      </c>
    </row>
    <row r="126" spans="2:14" ht="15.75" thickBot="1" x14ac:dyDescent="0.3">
      <c r="B126" s="82" t="s">
        <v>542</v>
      </c>
      <c r="C126" s="83" t="s">
        <v>629</v>
      </c>
      <c r="D126" s="124" t="s">
        <v>620</v>
      </c>
      <c r="E126" s="130">
        <v>2013</v>
      </c>
      <c r="F126" s="125" t="s">
        <v>733</v>
      </c>
      <c r="G126" s="125">
        <v>53</v>
      </c>
      <c r="H126" s="85">
        <v>34362.79</v>
      </c>
      <c r="I126" s="85" t="s">
        <v>630</v>
      </c>
      <c r="J126" s="128">
        <v>104421</v>
      </c>
      <c r="K126" s="128">
        <f t="shared" si="1"/>
        <v>5534313</v>
      </c>
      <c r="L126" s="125" t="s">
        <v>727</v>
      </c>
      <c r="M126" s="85" t="s">
        <v>47</v>
      </c>
      <c r="N126" s="85" t="s">
        <v>1491</v>
      </c>
    </row>
    <row r="127" spans="2:14" ht="15.75" thickBot="1" x14ac:dyDescent="0.3">
      <c r="B127" s="82" t="s">
        <v>542</v>
      </c>
      <c r="C127" s="83" t="s">
        <v>629</v>
      </c>
      <c r="D127" s="124" t="s">
        <v>620</v>
      </c>
      <c r="E127" s="130">
        <v>2013</v>
      </c>
      <c r="F127" s="125" t="s">
        <v>733</v>
      </c>
      <c r="G127" s="125">
        <v>53</v>
      </c>
      <c r="H127" s="85">
        <v>31002.146999999997</v>
      </c>
      <c r="I127" s="85" t="s">
        <v>630</v>
      </c>
      <c r="J127" s="128">
        <v>95463</v>
      </c>
      <c r="K127" s="128">
        <f t="shared" si="1"/>
        <v>5059539</v>
      </c>
      <c r="L127" s="125" t="s">
        <v>728</v>
      </c>
      <c r="M127" s="85" t="s">
        <v>47</v>
      </c>
      <c r="N127" s="85" t="s">
        <v>1491</v>
      </c>
    </row>
    <row r="128" spans="2:14" ht="15.75" thickBot="1" x14ac:dyDescent="0.3">
      <c r="B128" s="82" t="s">
        <v>542</v>
      </c>
      <c r="C128" s="83" t="s">
        <v>629</v>
      </c>
      <c r="D128" s="124" t="s">
        <v>620</v>
      </c>
      <c r="E128" s="130">
        <v>2013</v>
      </c>
      <c r="F128" s="125" t="s">
        <v>733</v>
      </c>
      <c r="G128" s="125">
        <v>53</v>
      </c>
      <c r="H128" s="85">
        <v>22341.880000000005</v>
      </c>
      <c r="I128" s="85" t="s">
        <v>630</v>
      </c>
      <c r="J128" s="128">
        <v>65301</v>
      </c>
      <c r="K128" s="128">
        <f t="shared" si="1"/>
        <v>3460953</v>
      </c>
      <c r="L128" s="125" t="s">
        <v>729</v>
      </c>
      <c r="M128" s="85" t="s">
        <v>47</v>
      </c>
      <c r="N128" s="85" t="s">
        <v>1491</v>
      </c>
    </row>
    <row r="129" spans="2:14" ht="15.75" thickBot="1" x14ac:dyDescent="0.3">
      <c r="B129" s="82" t="s">
        <v>543</v>
      </c>
      <c r="C129" s="83" t="s">
        <v>629</v>
      </c>
      <c r="D129" s="124" t="s">
        <v>620</v>
      </c>
      <c r="E129" s="130">
        <v>1994</v>
      </c>
      <c r="F129" s="125" t="s">
        <v>736</v>
      </c>
      <c r="G129" s="125">
        <v>48</v>
      </c>
      <c r="H129" s="85">
        <v>15217.359999999997</v>
      </c>
      <c r="I129" s="85" t="s">
        <v>630</v>
      </c>
      <c r="J129" s="128">
        <v>41034</v>
      </c>
      <c r="K129" s="128">
        <f t="shared" si="1"/>
        <v>1969632</v>
      </c>
      <c r="L129" s="125" t="s">
        <v>737</v>
      </c>
      <c r="M129" s="85" t="s">
        <v>47</v>
      </c>
      <c r="N129" s="85" t="s">
        <v>1491</v>
      </c>
    </row>
    <row r="130" spans="2:14" ht="15.75" thickBot="1" x14ac:dyDescent="0.3">
      <c r="B130" s="82" t="s">
        <v>543</v>
      </c>
      <c r="C130" s="83" t="s">
        <v>629</v>
      </c>
      <c r="D130" s="124" t="s">
        <v>620</v>
      </c>
      <c r="E130" s="130">
        <v>2003</v>
      </c>
      <c r="F130" s="125" t="s">
        <v>732</v>
      </c>
      <c r="G130" s="125">
        <v>35</v>
      </c>
      <c r="H130" s="85">
        <v>5331.37</v>
      </c>
      <c r="I130" s="85" t="s">
        <v>630</v>
      </c>
      <c r="J130" s="128">
        <v>15857</v>
      </c>
      <c r="K130" s="128">
        <f t="shared" si="1"/>
        <v>554995</v>
      </c>
      <c r="L130" s="125" t="s">
        <v>738</v>
      </c>
      <c r="M130" s="85" t="s">
        <v>47</v>
      </c>
      <c r="N130" s="85" t="s">
        <v>1491</v>
      </c>
    </row>
    <row r="131" spans="2:14" ht="15.75" thickBot="1" x14ac:dyDescent="0.3">
      <c r="B131" s="82" t="s">
        <v>543</v>
      </c>
      <c r="C131" s="83" t="s">
        <v>629</v>
      </c>
      <c r="D131" s="124" t="s">
        <v>620</v>
      </c>
      <c r="E131" s="130">
        <v>1993</v>
      </c>
      <c r="F131" s="125" t="s">
        <v>736</v>
      </c>
      <c r="G131" s="125">
        <v>69</v>
      </c>
      <c r="H131" s="85">
        <v>6935.09</v>
      </c>
      <c r="I131" s="85" t="s">
        <v>630</v>
      </c>
      <c r="J131" s="128">
        <v>19052</v>
      </c>
      <c r="K131" s="128">
        <f t="shared" si="1"/>
        <v>1314588</v>
      </c>
      <c r="L131" s="125" t="s">
        <v>739</v>
      </c>
      <c r="M131" s="85" t="s">
        <v>47</v>
      </c>
      <c r="N131" s="85" t="s">
        <v>1491</v>
      </c>
    </row>
    <row r="132" spans="2:14" ht="15.75" thickBot="1" x14ac:dyDescent="0.3">
      <c r="B132" s="82" t="s">
        <v>543</v>
      </c>
      <c r="C132" s="83" t="s">
        <v>629</v>
      </c>
      <c r="D132" s="124" t="s">
        <v>620</v>
      </c>
      <c r="E132" s="130">
        <v>1993</v>
      </c>
      <c r="F132" s="125" t="s">
        <v>736</v>
      </c>
      <c r="G132" s="125">
        <v>69</v>
      </c>
      <c r="H132" s="85">
        <v>2863.24</v>
      </c>
      <c r="I132" s="85" t="s">
        <v>630</v>
      </c>
      <c r="J132" s="128">
        <v>8153</v>
      </c>
      <c r="K132" s="128">
        <f t="shared" si="1"/>
        <v>562557</v>
      </c>
      <c r="L132" s="125" t="s">
        <v>740</v>
      </c>
      <c r="M132" s="85" t="s">
        <v>47</v>
      </c>
      <c r="N132" s="85" t="s">
        <v>1491</v>
      </c>
    </row>
    <row r="133" spans="2:14" ht="15.75" thickBot="1" x14ac:dyDescent="0.3">
      <c r="B133" s="82" t="s">
        <v>543</v>
      </c>
      <c r="C133" s="83" t="s">
        <v>629</v>
      </c>
      <c r="D133" s="124" t="s">
        <v>620</v>
      </c>
      <c r="E133" s="130">
        <v>2006</v>
      </c>
      <c r="F133" s="125" t="s">
        <v>731</v>
      </c>
      <c r="G133" s="125">
        <v>59</v>
      </c>
      <c r="H133" s="85">
        <v>4313.29</v>
      </c>
      <c r="I133" s="85" t="s">
        <v>630</v>
      </c>
      <c r="J133" s="128">
        <v>11224</v>
      </c>
      <c r="K133" s="128">
        <f t="shared" si="1"/>
        <v>662216</v>
      </c>
      <c r="L133" s="125" t="s">
        <v>741</v>
      </c>
      <c r="M133" s="85" t="s">
        <v>47</v>
      </c>
      <c r="N133" s="85" t="s">
        <v>1491</v>
      </c>
    </row>
    <row r="134" spans="2:14" ht="15.75" thickBot="1" x14ac:dyDescent="0.3">
      <c r="B134" s="82" t="s">
        <v>543</v>
      </c>
      <c r="C134" s="83" t="s">
        <v>629</v>
      </c>
      <c r="D134" s="124" t="s">
        <v>620</v>
      </c>
      <c r="E134" s="130">
        <v>2007</v>
      </c>
      <c r="F134" s="125" t="s">
        <v>731</v>
      </c>
      <c r="G134" s="125">
        <v>55</v>
      </c>
      <c r="H134" s="85">
        <v>19414.569999999996</v>
      </c>
      <c r="I134" s="85" t="s">
        <v>630</v>
      </c>
      <c r="J134" s="128">
        <v>55186</v>
      </c>
      <c r="K134" s="128">
        <f t="shared" si="1"/>
        <v>3035230</v>
      </c>
      <c r="L134" s="125" t="s">
        <v>742</v>
      </c>
      <c r="M134" s="85" t="s">
        <v>47</v>
      </c>
      <c r="N134" s="85" t="s">
        <v>1491</v>
      </c>
    </row>
    <row r="135" spans="2:14" ht="15.75" thickBot="1" x14ac:dyDescent="0.3">
      <c r="B135" s="82" t="s">
        <v>543</v>
      </c>
      <c r="C135" s="83" t="s">
        <v>629</v>
      </c>
      <c r="D135" s="124" t="s">
        <v>620</v>
      </c>
      <c r="E135" s="130">
        <v>2007</v>
      </c>
      <c r="F135" s="125" t="s">
        <v>731</v>
      </c>
      <c r="G135" s="125">
        <v>53</v>
      </c>
      <c r="H135" s="85">
        <v>19718.091</v>
      </c>
      <c r="I135" s="85" t="s">
        <v>630</v>
      </c>
      <c r="J135" s="128">
        <v>56685</v>
      </c>
      <c r="K135" s="128">
        <f t="shared" si="1"/>
        <v>3004305</v>
      </c>
      <c r="L135" s="125" t="s">
        <v>743</v>
      </c>
      <c r="M135" s="85" t="s">
        <v>47</v>
      </c>
      <c r="N135" s="85" t="s">
        <v>1491</v>
      </c>
    </row>
    <row r="136" spans="2:14" ht="15.75" thickBot="1" x14ac:dyDescent="0.3">
      <c r="B136" s="82" t="s">
        <v>543</v>
      </c>
      <c r="C136" s="83" t="s">
        <v>629</v>
      </c>
      <c r="D136" s="124" t="s">
        <v>620</v>
      </c>
      <c r="E136" s="130">
        <v>1999</v>
      </c>
      <c r="F136" s="125" t="s">
        <v>736</v>
      </c>
      <c r="G136" s="125">
        <v>68</v>
      </c>
      <c r="H136" s="85">
        <v>14937.45</v>
      </c>
      <c r="I136" s="85" t="s">
        <v>630</v>
      </c>
      <c r="J136" s="128">
        <v>29936</v>
      </c>
      <c r="K136" s="128">
        <f t="shared" si="1"/>
        <v>2035648</v>
      </c>
      <c r="L136" s="125" t="s">
        <v>744</v>
      </c>
      <c r="M136" s="85" t="s">
        <v>47</v>
      </c>
      <c r="N136" s="85" t="s">
        <v>1491</v>
      </c>
    </row>
    <row r="137" spans="2:14" ht="15.75" thickBot="1" x14ac:dyDescent="0.3">
      <c r="B137" s="82" t="s">
        <v>543</v>
      </c>
      <c r="C137" s="83" t="s">
        <v>629</v>
      </c>
      <c r="D137" s="124" t="s">
        <v>620</v>
      </c>
      <c r="E137" s="130">
        <v>2007</v>
      </c>
      <c r="F137" s="125" t="s">
        <v>731</v>
      </c>
      <c r="G137" s="125">
        <v>78</v>
      </c>
      <c r="H137" s="85">
        <v>17943.759999999998</v>
      </c>
      <c r="I137" s="85" t="s">
        <v>630</v>
      </c>
      <c r="J137" s="128">
        <v>46214</v>
      </c>
      <c r="K137" s="128">
        <f t="shared" si="1"/>
        <v>3604692</v>
      </c>
      <c r="L137" s="125" t="s">
        <v>745</v>
      </c>
      <c r="M137" s="85" t="s">
        <v>47</v>
      </c>
      <c r="N137" s="85" t="s">
        <v>1491</v>
      </c>
    </row>
    <row r="138" spans="2:14" ht="15.75" thickBot="1" x14ac:dyDescent="0.3">
      <c r="B138" s="82" t="s">
        <v>543</v>
      </c>
      <c r="C138" s="83" t="s">
        <v>629</v>
      </c>
      <c r="D138" s="124" t="s">
        <v>620</v>
      </c>
      <c r="E138" s="130">
        <v>2007</v>
      </c>
      <c r="F138" s="125" t="s">
        <v>731</v>
      </c>
      <c r="G138" s="125">
        <v>78</v>
      </c>
      <c r="H138" s="85">
        <v>19397.279999999995</v>
      </c>
      <c r="I138" s="85" t="s">
        <v>630</v>
      </c>
      <c r="J138" s="128">
        <v>50390</v>
      </c>
      <c r="K138" s="128">
        <f t="shared" si="1"/>
        <v>3930420</v>
      </c>
      <c r="L138" s="125" t="s">
        <v>746</v>
      </c>
      <c r="M138" s="85" t="s">
        <v>47</v>
      </c>
      <c r="N138" s="85" t="s">
        <v>1491</v>
      </c>
    </row>
    <row r="139" spans="2:14" ht="15.75" thickBot="1" x14ac:dyDescent="0.3">
      <c r="B139" s="82" t="s">
        <v>543</v>
      </c>
      <c r="C139" s="83" t="s">
        <v>629</v>
      </c>
      <c r="D139" s="124" t="s">
        <v>620</v>
      </c>
      <c r="E139" s="130">
        <v>2007</v>
      </c>
      <c r="F139" s="125" t="s">
        <v>731</v>
      </c>
      <c r="G139" s="125">
        <v>56</v>
      </c>
      <c r="H139" s="85">
        <v>9318.4199999999983</v>
      </c>
      <c r="I139" s="85" t="s">
        <v>630</v>
      </c>
      <c r="J139" s="128">
        <v>24160</v>
      </c>
      <c r="K139" s="128">
        <f t="shared" si="1"/>
        <v>1352960</v>
      </c>
      <c r="L139" s="125" t="s">
        <v>747</v>
      </c>
      <c r="M139" s="85" t="s">
        <v>47</v>
      </c>
      <c r="N139" s="85" t="s">
        <v>1491</v>
      </c>
    </row>
    <row r="140" spans="2:14" ht="15.75" thickBot="1" x14ac:dyDescent="0.3">
      <c r="B140" s="82" t="s">
        <v>543</v>
      </c>
      <c r="C140" s="83" t="s">
        <v>629</v>
      </c>
      <c r="D140" s="124" t="s">
        <v>620</v>
      </c>
      <c r="E140" s="130">
        <v>1996</v>
      </c>
      <c r="F140" s="125" t="s">
        <v>736</v>
      </c>
      <c r="G140" s="125">
        <v>84</v>
      </c>
      <c r="H140" s="85">
        <v>16175.02</v>
      </c>
      <c r="I140" s="85" t="s">
        <v>630</v>
      </c>
      <c r="J140" s="128">
        <v>43688</v>
      </c>
      <c r="K140" s="128">
        <f t="shared" si="1"/>
        <v>3669792</v>
      </c>
      <c r="L140" s="125" t="s">
        <v>748</v>
      </c>
      <c r="M140" s="85" t="s">
        <v>47</v>
      </c>
      <c r="N140" s="85" t="s">
        <v>1491</v>
      </c>
    </row>
    <row r="141" spans="2:14" ht="15.75" thickBot="1" x14ac:dyDescent="0.3">
      <c r="B141" s="82" t="s">
        <v>543</v>
      </c>
      <c r="C141" s="83" t="s">
        <v>629</v>
      </c>
      <c r="D141" s="124" t="s">
        <v>620</v>
      </c>
      <c r="E141" s="130">
        <v>2008</v>
      </c>
      <c r="F141" s="125" t="s">
        <v>731</v>
      </c>
      <c r="G141" s="125">
        <v>53</v>
      </c>
      <c r="H141" s="85">
        <v>14779.58</v>
      </c>
      <c r="I141" s="85" t="s">
        <v>630</v>
      </c>
      <c r="J141" s="128">
        <v>39694</v>
      </c>
      <c r="K141" s="128">
        <f t="shared" si="1"/>
        <v>2103782</v>
      </c>
      <c r="L141" s="125" t="s">
        <v>749</v>
      </c>
      <c r="M141" s="85" t="s">
        <v>47</v>
      </c>
      <c r="N141" s="85" t="s">
        <v>1491</v>
      </c>
    </row>
    <row r="142" spans="2:14" ht="15.75" thickBot="1" x14ac:dyDescent="0.3">
      <c r="B142" s="82" t="s">
        <v>543</v>
      </c>
      <c r="C142" s="83" t="s">
        <v>629</v>
      </c>
      <c r="D142" s="124" t="s">
        <v>620</v>
      </c>
      <c r="E142" s="130">
        <v>2008</v>
      </c>
      <c r="F142" s="125" t="s">
        <v>731</v>
      </c>
      <c r="G142" s="125">
        <v>55</v>
      </c>
      <c r="H142" s="85">
        <v>23696.313999999998</v>
      </c>
      <c r="I142" s="85" t="s">
        <v>630</v>
      </c>
      <c r="J142" s="128">
        <v>67212</v>
      </c>
      <c r="K142" s="128">
        <f t="shared" si="1"/>
        <v>3696660</v>
      </c>
      <c r="L142" s="125" t="s">
        <v>750</v>
      </c>
      <c r="M142" s="85" t="s">
        <v>47</v>
      </c>
      <c r="N142" s="85" t="s">
        <v>1491</v>
      </c>
    </row>
    <row r="143" spans="2:14" ht="15.75" thickBot="1" x14ac:dyDescent="0.3">
      <c r="B143" s="82" t="s">
        <v>543</v>
      </c>
      <c r="C143" s="83" t="s">
        <v>629</v>
      </c>
      <c r="D143" s="124" t="s">
        <v>620</v>
      </c>
      <c r="E143" s="130">
        <v>2008</v>
      </c>
      <c r="F143" s="125" t="s">
        <v>731</v>
      </c>
      <c r="G143" s="125">
        <v>53</v>
      </c>
      <c r="H143" s="85">
        <v>20554.689999999999</v>
      </c>
      <c r="I143" s="85" t="s">
        <v>630</v>
      </c>
      <c r="J143" s="128">
        <v>50784</v>
      </c>
      <c r="K143" s="128">
        <f t="shared" si="1"/>
        <v>2691552</v>
      </c>
      <c r="L143" s="125" t="s">
        <v>751</v>
      </c>
      <c r="M143" s="85" t="s">
        <v>47</v>
      </c>
      <c r="N143" s="85" t="s">
        <v>1491</v>
      </c>
    </row>
    <row r="144" spans="2:14" ht="15.75" thickBot="1" x14ac:dyDescent="0.3">
      <c r="B144" s="82" t="s">
        <v>543</v>
      </c>
      <c r="C144" s="83" t="s">
        <v>629</v>
      </c>
      <c r="D144" s="124" t="s">
        <v>620</v>
      </c>
      <c r="E144" s="130">
        <v>2009</v>
      </c>
      <c r="F144" s="125" t="s">
        <v>734</v>
      </c>
      <c r="G144" s="125">
        <v>52</v>
      </c>
      <c r="H144" s="85">
        <v>24282.400000000001</v>
      </c>
      <c r="I144" s="85" t="s">
        <v>630</v>
      </c>
      <c r="J144" s="128">
        <v>55788</v>
      </c>
      <c r="K144" s="128">
        <f t="shared" si="1"/>
        <v>2900976</v>
      </c>
      <c r="L144" s="125" t="s">
        <v>752</v>
      </c>
      <c r="M144" s="85" t="s">
        <v>47</v>
      </c>
      <c r="N144" s="85" t="s">
        <v>1491</v>
      </c>
    </row>
    <row r="145" spans="2:14" ht="15.75" thickBot="1" x14ac:dyDescent="0.3">
      <c r="B145" s="82" t="s">
        <v>543</v>
      </c>
      <c r="C145" s="83" t="s">
        <v>629</v>
      </c>
      <c r="D145" s="124" t="s">
        <v>620</v>
      </c>
      <c r="E145" s="130">
        <v>2001</v>
      </c>
      <c r="F145" s="125" t="s">
        <v>732</v>
      </c>
      <c r="G145" s="125">
        <v>55</v>
      </c>
      <c r="H145" s="85">
        <v>15284.740000000002</v>
      </c>
      <c r="I145" s="85" t="s">
        <v>630</v>
      </c>
      <c r="J145" s="128">
        <v>39535</v>
      </c>
      <c r="K145" s="128">
        <f t="shared" si="1"/>
        <v>2174425</v>
      </c>
      <c r="L145" s="125" t="s">
        <v>753</v>
      </c>
      <c r="M145" s="85" t="s">
        <v>47</v>
      </c>
      <c r="N145" s="85" t="s">
        <v>1491</v>
      </c>
    </row>
    <row r="146" spans="2:14" ht="15.75" thickBot="1" x14ac:dyDescent="0.3">
      <c r="B146" s="82" t="s">
        <v>543</v>
      </c>
      <c r="C146" s="83" t="s">
        <v>629</v>
      </c>
      <c r="D146" s="124" t="s">
        <v>620</v>
      </c>
      <c r="E146" s="130">
        <v>2001</v>
      </c>
      <c r="F146" s="125" t="s">
        <v>732</v>
      </c>
      <c r="G146" s="125">
        <v>55</v>
      </c>
      <c r="H146" s="85">
        <v>12484.79</v>
      </c>
      <c r="I146" s="85" t="s">
        <v>630</v>
      </c>
      <c r="J146" s="128">
        <v>32406</v>
      </c>
      <c r="K146" s="128">
        <f t="shared" si="1"/>
        <v>1782330</v>
      </c>
      <c r="L146" s="125" t="s">
        <v>754</v>
      </c>
      <c r="M146" s="85" t="s">
        <v>47</v>
      </c>
      <c r="N146" s="85" t="s">
        <v>1491</v>
      </c>
    </row>
    <row r="147" spans="2:14" ht="15.75" thickBot="1" x14ac:dyDescent="0.3">
      <c r="B147" s="82" t="s">
        <v>543</v>
      </c>
      <c r="C147" s="83" t="s">
        <v>629</v>
      </c>
      <c r="D147" s="124" t="s">
        <v>620</v>
      </c>
      <c r="E147" s="130">
        <v>2001</v>
      </c>
      <c r="F147" s="125" t="s">
        <v>732</v>
      </c>
      <c r="G147" s="125">
        <v>55</v>
      </c>
      <c r="H147" s="85">
        <v>17140.52</v>
      </c>
      <c r="I147" s="85" t="s">
        <v>630</v>
      </c>
      <c r="J147" s="128">
        <v>43652</v>
      </c>
      <c r="K147" s="128">
        <f t="shared" si="1"/>
        <v>2400860</v>
      </c>
      <c r="L147" s="125" t="s">
        <v>755</v>
      </c>
      <c r="M147" s="85" t="s">
        <v>47</v>
      </c>
      <c r="N147" s="85" t="s">
        <v>1491</v>
      </c>
    </row>
    <row r="148" spans="2:14" ht="15.75" thickBot="1" x14ac:dyDescent="0.3">
      <c r="B148" s="82" t="s">
        <v>543</v>
      </c>
      <c r="C148" s="83" t="s">
        <v>629</v>
      </c>
      <c r="D148" s="124" t="s">
        <v>620</v>
      </c>
      <c r="E148" s="130">
        <v>1993</v>
      </c>
      <c r="F148" s="125" t="s">
        <v>736</v>
      </c>
      <c r="G148" s="125">
        <v>56</v>
      </c>
      <c r="H148" s="85">
        <v>32.96</v>
      </c>
      <c r="I148" s="85" t="s">
        <v>630</v>
      </c>
      <c r="J148" s="128">
        <v>96</v>
      </c>
      <c r="K148" s="128">
        <f t="shared" si="1"/>
        <v>5376</v>
      </c>
      <c r="L148" s="125" t="s">
        <v>756</v>
      </c>
      <c r="M148" s="85" t="s">
        <v>47</v>
      </c>
      <c r="N148" s="85" t="s">
        <v>1491</v>
      </c>
    </row>
    <row r="149" spans="2:14" ht="15.75" thickBot="1" x14ac:dyDescent="0.3">
      <c r="B149" s="82" t="s">
        <v>543</v>
      </c>
      <c r="C149" s="83" t="s">
        <v>629</v>
      </c>
      <c r="D149" s="124" t="s">
        <v>620</v>
      </c>
      <c r="E149" s="130">
        <v>2001</v>
      </c>
      <c r="F149" s="125" t="s">
        <v>732</v>
      </c>
      <c r="G149" s="125">
        <v>81</v>
      </c>
      <c r="H149" s="85">
        <v>16385.36</v>
      </c>
      <c r="I149" s="85" t="s">
        <v>630</v>
      </c>
      <c r="J149" s="128">
        <v>46054</v>
      </c>
      <c r="K149" s="128">
        <f t="shared" si="1"/>
        <v>3730374</v>
      </c>
      <c r="L149" s="125" t="s">
        <v>757</v>
      </c>
      <c r="M149" s="85" t="s">
        <v>47</v>
      </c>
      <c r="N149" s="85" t="s">
        <v>1491</v>
      </c>
    </row>
    <row r="150" spans="2:14" ht="15.75" thickBot="1" x14ac:dyDescent="0.3">
      <c r="B150" s="82" t="s">
        <v>543</v>
      </c>
      <c r="C150" s="83" t="s">
        <v>629</v>
      </c>
      <c r="D150" s="124" t="s">
        <v>620</v>
      </c>
      <c r="E150" s="130">
        <v>1994</v>
      </c>
      <c r="F150" s="125" t="s">
        <v>736</v>
      </c>
      <c r="G150" s="125">
        <v>48</v>
      </c>
      <c r="H150" s="85">
        <v>15811.140000000001</v>
      </c>
      <c r="I150" s="85" t="s">
        <v>630</v>
      </c>
      <c r="J150" s="128">
        <v>40547</v>
      </c>
      <c r="K150" s="128">
        <f t="shared" si="1"/>
        <v>1946256</v>
      </c>
      <c r="L150" s="125" t="s">
        <v>758</v>
      </c>
      <c r="M150" s="85" t="s">
        <v>47</v>
      </c>
      <c r="N150" s="85" t="s">
        <v>1491</v>
      </c>
    </row>
    <row r="151" spans="2:14" ht="15.75" thickBot="1" x14ac:dyDescent="0.3">
      <c r="B151" s="82" t="s">
        <v>543</v>
      </c>
      <c r="C151" s="83" t="s">
        <v>629</v>
      </c>
      <c r="D151" s="124" t="s">
        <v>620</v>
      </c>
      <c r="E151" s="130">
        <v>1996</v>
      </c>
      <c r="F151" s="125" t="s">
        <v>736</v>
      </c>
      <c r="G151" s="125">
        <v>18</v>
      </c>
      <c r="H151" s="85">
        <v>10594.76</v>
      </c>
      <c r="I151" s="85" t="s">
        <v>630</v>
      </c>
      <c r="J151" s="128">
        <v>27565</v>
      </c>
      <c r="K151" s="128">
        <f t="shared" si="1"/>
        <v>496170</v>
      </c>
      <c r="L151" s="125" t="s">
        <v>759</v>
      </c>
      <c r="M151" s="85" t="s">
        <v>47</v>
      </c>
      <c r="N151" s="85" t="s">
        <v>1491</v>
      </c>
    </row>
    <row r="152" spans="2:14" ht="15.75" thickBot="1" x14ac:dyDescent="0.3">
      <c r="B152" s="82" t="s">
        <v>543</v>
      </c>
      <c r="C152" s="83" t="s">
        <v>629</v>
      </c>
      <c r="D152" s="124" t="s">
        <v>620</v>
      </c>
      <c r="E152" s="130">
        <v>2009</v>
      </c>
      <c r="F152" s="125" t="s">
        <v>734</v>
      </c>
      <c r="G152" s="125">
        <v>84</v>
      </c>
      <c r="H152" s="85">
        <v>26598.429999999997</v>
      </c>
      <c r="I152" s="85" t="s">
        <v>630</v>
      </c>
      <c r="J152" s="128">
        <v>71280</v>
      </c>
      <c r="K152" s="128">
        <f t="shared" si="1"/>
        <v>5987520</v>
      </c>
      <c r="L152" s="125" t="s">
        <v>760</v>
      </c>
      <c r="M152" s="85" t="s">
        <v>47</v>
      </c>
      <c r="N152" s="85" t="s">
        <v>1491</v>
      </c>
    </row>
    <row r="153" spans="2:14" ht="15.75" thickBot="1" x14ac:dyDescent="0.3">
      <c r="B153" s="82" t="s">
        <v>543</v>
      </c>
      <c r="C153" s="83" t="s">
        <v>629</v>
      </c>
      <c r="D153" s="124" t="s">
        <v>620</v>
      </c>
      <c r="E153" s="130">
        <v>1996</v>
      </c>
      <c r="F153" s="125" t="s">
        <v>736</v>
      </c>
      <c r="G153" s="125">
        <v>56</v>
      </c>
      <c r="H153" s="85">
        <v>12614.150000000001</v>
      </c>
      <c r="I153" s="85" t="s">
        <v>630</v>
      </c>
      <c r="J153" s="128">
        <v>33211</v>
      </c>
      <c r="K153" s="128">
        <f t="shared" si="1"/>
        <v>1859816</v>
      </c>
      <c r="L153" s="125" t="s">
        <v>761</v>
      </c>
      <c r="M153" s="85" t="s">
        <v>47</v>
      </c>
      <c r="N153" s="85" t="s">
        <v>1491</v>
      </c>
    </row>
    <row r="154" spans="2:14" ht="15.75" thickBot="1" x14ac:dyDescent="0.3">
      <c r="B154" s="82" t="s">
        <v>543</v>
      </c>
      <c r="C154" s="83" t="s">
        <v>629</v>
      </c>
      <c r="D154" s="124" t="s">
        <v>620</v>
      </c>
      <c r="E154" s="130">
        <v>2005</v>
      </c>
      <c r="F154" s="125" t="s">
        <v>732</v>
      </c>
      <c r="G154" s="125">
        <v>82</v>
      </c>
      <c r="H154" s="85">
        <v>18486.034999999996</v>
      </c>
      <c r="I154" s="85" t="s">
        <v>630</v>
      </c>
      <c r="J154" s="128">
        <v>47387</v>
      </c>
      <c r="K154" s="128">
        <f t="shared" si="1"/>
        <v>3885734</v>
      </c>
      <c r="L154" s="125" t="s">
        <v>762</v>
      </c>
      <c r="M154" s="85" t="s">
        <v>47</v>
      </c>
      <c r="N154" s="85" t="s">
        <v>1491</v>
      </c>
    </row>
    <row r="155" spans="2:14" ht="15.75" thickBot="1" x14ac:dyDescent="0.3">
      <c r="B155" s="82" t="s">
        <v>543</v>
      </c>
      <c r="C155" s="83" t="s">
        <v>629</v>
      </c>
      <c r="D155" s="124" t="s">
        <v>620</v>
      </c>
      <c r="E155" s="130">
        <v>2008</v>
      </c>
      <c r="F155" s="125" t="s">
        <v>731</v>
      </c>
      <c r="G155" s="125">
        <v>53</v>
      </c>
      <c r="H155" s="85">
        <v>25072.320000000003</v>
      </c>
      <c r="I155" s="85" t="s">
        <v>630</v>
      </c>
      <c r="J155" s="128">
        <v>72208</v>
      </c>
      <c r="K155" s="128">
        <f t="shared" si="1"/>
        <v>3827024</v>
      </c>
      <c r="L155" s="125" t="s">
        <v>763</v>
      </c>
      <c r="M155" s="85" t="s">
        <v>47</v>
      </c>
      <c r="N155" s="85" t="s">
        <v>1491</v>
      </c>
    </row>
    <row r="156" spans="2:14" ht="15.75" thickBot="1" x14ac:dyDescent="0.3">
      <c r="B156" s="82" t="s">
        <v>543</v>
      </c>
      <c r="C156" s="83" t="s">
        <v>629</v>
      </c>
      <c r="D156" s="124" t="s">
        <v>620</v>
      </c>
      <c r="E156" s="130">
        <v>2003</v>
      </c>
      <c r="F156" s="125" t="s">
        <v>732</v>
      </c>
      <c r="G156" s="125">
        <v>98</v>
      </c>
      <c r="H156" s="85">
        <v>11939.890000000001</v>
      </c>
      <c r="I156" s="85" t="s">
        <v>630</v>
      </c>
      <c r="J156" s="128">
        <v>25497</v>
      </c>
      <c r="K156" s="128">
        <f t="shared" si="1"/>
        <v>2498706</v>
      </c>
      <c r="L156" s="125" t="s">
        <v>764</v>
      </c>
      <c r="M156" s="85" t="s">
        <v>47</v>
      </c>
      <c r="N156" s="85" t="s">
        <v>1491</v>
      </c>
    </row>
    <row r="157" spans="2:14" ht="15.75" thickBot="1" x14ac:dyDescent="0.3">
      <c r="B157" s="82" t="s">
        <v>543</v>
      </c>
      <c r="C157" s="83" t="s">
        <v>629</v>
      </c>
      <c r="D157" s="124" t="s">
        <v>620</v>
      </c>
      <c r="E157" s="130">
        <v>2005</v>
      </c>
      <c r="F157" s="125" t="s">
        <v>732</v>
      </c>
      <c r="G157" s="125">
        <v>57</v>
      </c>
      <c r="H157" s="85">
        <v>26606.32</v>
      </c>
      <c r="I157" s="85" t="s">
        <v>630</v>
      </c>
      <c r="J157" s="128">
        <v>74341</v>
      </c>
      <c r="K157" s="128">
        <f t="shared" si="1"/>
        <v>4237437</v>
      </c>
      <c r="L157" s="125" t="s">
        <v>765</v>
      </c>
      <c r="M157" s="85" t="s">
        <v>47</v>
      </c>
      <c r="N157" s="85" t="s">
        <v>1491</v>
      </c>
    </row>
    <row r="158" spans="2:14" ht="15.75" thickBot="1" x14ac:dyDescent="0.3">
      <c r="B158" s="82" t="s">
        <v>543</v>
      </c>
      <c r="C158" s="83" t="s">
        <v>629</v>
      </c>
      <c r="D158" s="124" t="s">
        <v>620</v>
      </c>
      <c r="E158" s="130">
        <v>2009</v>
      </c>
      <c r="F158" s="125" t="s">
        <v>734</v>
      </c>
      <c r="G158" s="125">
        <v>53</v>
      </c>
      <c r="H158" s="85">
        <v>24024.37</v>
      </c>
      <c r="I158" s="85" t="s">
        <v>630</v>
      </c>
      <c r="J158" s="128">
        <v>62556</v>
      </c>
      <c r="K158" s="128">
        <f t="shared" si="1"/>
        <v>3315468</v>
      </c>
      <c r="L158" s="125" t="s">
        <v>766</v>
      </c>
      <c r="M158" s="85" t="s">
        <v>47</v>
      </c>
      <c r="N158" s="85" t="s">
        <v>1491</v>
      </c>
    </row>
    <row r="159" spans="2:14" ht="15.75" thickBot="1" x14ac:dyDescent="0.3">
      <c r="B159" s="82" t="s">
        <v>543</v>
      </c>
      <c r="C159" s="83" t="s">
        <v>629</v>
      </c>
      <c r="D159" s="124" t="s">
        <v>620</v>
      </c>
      <c r="E159" s="130">
        <v>2009</v>
      </c>
      <c r="F159" s="125" t="s">
        <v>734</v>
      </c>
      <c r="G159" s="125">
        <v>53</v>
      </c>
      <c r="H159" s="85">
        <v>7939.06</v>
      </c>
      <c r="I159" s="85" t="s">
        <v>630</v>
      </c>
      <c r="J159" s="128">
        <v>20649</v>
      </c>
      <c r="K159" s="128">
        <f t="shared" ref="K159:K222" si="2">J159*G159</f>
        <v>1094397</v>
      </c>
      <c r="L159" s="125" t="s">
        <v>767</v>
      </c>
      <c r="M159" s="85" t="s">
        <v>47</v>
      </c>
      <c r="N159" s="85" t="s">
        <v>1491</v>
      </c>
    </row>
    <row r="160" spans="2:14" ht="15.75" thickBot="1" x14ac:dyDescent="0.3">
      <c r="B160" s="82" t="s">
        <v>543</v>
      </c>
      <c r="C160" s="83" t="s">
        <v>629</v>
      </c>
      <c r="D160" s="124" t="s">
        <v>620</v>
      </c>
      <c r="E160" s="130">
        <v>2009</v>
      </c>
      <c r="F160" s="125" t="s">
        <v>734</v>
      </c>
      <c r="G160" s="125">
        <v>37</v>
      </c>
      <c r="H160" s="85">
        <v>13018.130000000001</v>
      </c>
      <c r="I160" s="85" t="s">
        <v>630</v>
      </c>
      <c r="J160" s="128">
        <v>38665</v>
      </c>
      <c r="K160" s="128">
        <f t="shared" si="2"/>
        <v>1430605</v>
      </c>
      <c r="L160" s="125" t="s">
        <v>768</v>
      </c>
      <c r="M160" s="85" t="s">
        <v>47</v>
      </c>
      <c r="N160" s="85" t="s">
        <v>1491</v>
      </c>
    </row>
    <row r="161" spans="2:14" ht="15.75" thickBot="1" x14ac:dyDescent="0.3">
      <c r="B161" s="82" t="s">
        <v>543</v>
      </c>
      <c r="C161" s="83" t="s">
        <v>629</v>
      </c>
      <c r="D161" s="124" t="s">
        <v>620</v>
      </c>
      <c r="E161" s="130">
        <v>2009</v>
      </c>
      <c r="F161" s="125" t="s">
        <v>734</v>
      </c>
      <c r="G161" s="125">
        <v>27</v>
      </c>
      <c r="H161" s="85">
        <v>6340.0999999999995</v>
      </c>
      <c r="I161" s="85" t="s">
        <v>630</v>
      </c>
      <c r="J161" s="128">
        <v>32243</v>
      </c>
      <c r="K161" s="128">
        <f t="shared" si="2"/>
        <v>870561</v>
      </c>
      <c r="L161" s="125" t="s">
        <v>769</v>
      </c>
      <c r="M161" s="85" t="s">
        <v>47</v>
      </c>
      <c r="N161" s="85" t="s">
        <v>1491</v>
      </c>
    </row>
    <row r="162" spans="2:14" ht="15.75" thickBot="1" x14ac:dyDescent="0.3">
      <c r="B162" s="82" t="s">
        <v>543</v>
      </c>
      <c r="C162" s="83" t="s">
        <v>629</v>
      </c>
      <c r="D162" s="124" t="s">
        <v>620</v>
      </c>
      <c r="E162" s="130">
        <v>2009</v>
      </c>
      <c r="F162" s="125" t="s">
        <v>734</v>
      </c>
      <c r="G162" s="125">
        <v>27</v>
      </c>
      <c r="H162" s="85">
        <v>5658.94</v>
      </c>
      <c r="I162" s="85" t="s">
        <v>630</v>
      </c>
      <c r="J162" s="128">
        <v>28827</v>
      </c>
      <c r="K162" s="128">
        <f t="shared" si="2"/>
        <v>778329</v>
      </c>
      <c r="L162" s="125" t="s">
        <v>770</v>
      </c>
      <c r="M162" s="85" t="s">
        <v>47</v>
      </c>
      <c r="N162" s="85" t="s">
        <v>1491</v>
      </c>
    </row>
    <row r="163" spans="2:14" ht="15.75" thickBot="1" x14ac:dyDescent="0.3">
      <c r="B163" s="82" t="s">
        <v>543</v>
      </c>
      <c r="C163" s="83" t="s">
        <v>629</v>
      </c>
      <c r="D163" s="124" t="s">
        <v>620</v>
      </c>
      <c r="E163" s="130">
        <v>2009</v>
      </c>
      <c r="F163" s="125" t="s">
        <v>734</v>
      </c>
      <c r="G163" s="125">
        <v>27</v>
      </c>
      <c r="H163" s="85">
        <v>3639.6500000000005</v>
      </c>
      <c r="I163" s="85" t="s">
        <v>630</v>
      </c>
      <c r="J163" s="128">
        <v>17017</v>
      </c>
      <c r="K163" s="128">
        <f t="shared" si="2"/>
        <v>459459</v>
      </c>
      <c r="L163" s="125" t="s">
        <v>771</v>
      </c>
      <c r="M163" s="85" t="s">
        <v>47</v>
      </c>
      <c r="N163" s="85" t="s">
        <v>1491</v>
      </c>
    </row>
    <row r="164" spans="2:14" ht="15.75" thickBot="1" x14ac:dyDescent="0.3">
      <c r="B164" s="82" t="s">
        <v>543</v>
      </c>
      <c r="C164" s="83" t="s">
        <v>629</v>
      </c>
      <c r="D164" s="124" t="s">
        <v>620</v>
      </c>
      <c r="E164" s="130">
        <v>2005</v>
      </c>
      <c r="F164" s="125" t="s">
        <v>732</v>
      </c>
      <c r="G164" s="125">
        <v>57</v>
      </c>
      <c r="H164" s="85">
        <v>16992.020000000004</v>
      </c>
      <c r="I164" s="85" t="s">
        <v>630</v>
      </c>
      <c r="J164" s="128">
        <v>46065</v>
      </c>
      <c r="K164" s="128">
        <f t="shared" si="2"/>
        <v>2625705</v>
      </c>
      <c r="L164" s="125" t="s">
        <v>772</v>
      </c>
      <c r="M164" s="85" t="s">
        <v>47</v>
      </c>
      <c r="N164" s="85" t="s">
        <v>1491</v>
      </c>
    </row>
    <row r="165" spans="2:14" ht="15.75" thickBot="1" x14ac:dyDescent="0.3">
      <c r="B165" s="82" t="s">
        <v>543</v>
      </c>
      <c r="C165" s="83" t="s">
        <v>629</v>
      </c>
      <c r="D165" s="124" t="s">
        <v>620</v>
      </c>
      <c r="E165" s="130">
        <v>2005</v>
      </c>
      <c r="F165" s="125" t="s">
        <v>732</v>
      </c>
      <c r="G165" s="125">
        <v>76</v>
      </c>
      <c r="H165" s="85">
        <v>21523.93</v>
      </c>
      <c r="I165" s="85" t="s">
        <v>630</v>
      </c>
      <c r="J165" s="128">
        <v>53341</v>
      </c>
      <c r="K165" s="128">
        <f t="shared" si="2"/>
        <v>4053916</v>
      </c>
      <c r="L165" s="125" t="s">
        <v>773</v>
      </c>
      <c r="M165" s="85" t="s">
        <v>47</v>
      </c>
      <c r="N165" s="85" t="s">
        <v>1491</v>
      </c>
    </row>
    <row r="166" spans="2:14" ht="15.75" thickBot="1" x14ac:dyDescent="0.3">
      <c r="B166" s="82" t="s">
        <v>543</v>
      </c>
      <c r="C166" s="83" t="s">
        <v>629</v>
      </c>
      <c r="D166" s="124" t="s">
        <v>620</v>
      </c>
      <c r="E166" s="130">
        <v>2009</v>
      </c>
      <c r="F166" s="125" t="s">
        <v>734</v>
      </c>
      <c r="G166" s="125">
        <v>55</v>
      </c>
      <c r="H166" s="85">
        <v>23755.930000000004</v>
      </c>
      <c r="I166" s="85" t="s">
        <v>630</v>
      </c>
      <c r="J166" s="128">
        <v>59889</v>
      </c>
      <c r="K166" s="128">
        <f t="shared" si="2"/>
        <v>3293895</v>
      </c>
      <c r="L166" s="125" t="s">
        <v>774</v>
      </c>
      <c r="M166" s="85" t="s">
        <v>47</v>
      </c>
      <c r="N166" s="85" t="s">
        <v>1491</v>
      </c>
    </row>
    <row r="167" spans="2:14" ht="15.75" thickBot="1" x14ac:dyDescent="0.3">
      <c r="B167" s="82" t="s">
        <v>543</v>
      </c>
      <c r="C167" s="83" t="s">
        <v>629</v>
      </c>
      <c r="D167" s="124" t="s">
        <v>620</v>
      </c>
      <c r="E167" s="130">
        <v>2009</v>
      </c>
      <c r="F167" s="125" t="s">
        <v>734</v>
      </c>
      <c r="G167" s="125">
        <v>55</v>
      </c>
      <c r="H167" s="85">
        <v>22723.639999999996</v>
      </c>
      <c r="I167" s="85" t="s">
        <v>630</v>
      </c>
      <c r="J167" s="128">
        <v>56282</v>
      </c>
      <c r="K167" s="128">
        <f t="shared" si="2"/>
        <v>3095510</v>
      </c>
      <c r="L167" s="125" t="s">
        <v>775</v>
      </c>
      <c r="M167" s="85" t="s">
        <v>47</v>
      </c>
      <c r="N167" s="85" t="s">
        <v>1491</v>
      </c>
    </row>
    <row r="168" spans="2:14" ht="15.75" thickBot="1" x14ac:dyDescent="0.3">
      <c r="B168" s="82" t="s">
        <v>543</v>
      </c>
      <c r="C168" s="83" t="s">
        <v>629</v>
      </c>
      <c r="D168" s="124" t="s">
        <v>620</v>
      </c>
      <c r="E168" s="130">
        <v>2007</v>
      </c>
      <c r="F168" s="125" t="s">
        <v>731</v>
      </c>
      <c r="G168" s="125">
        <v>21</v>
      </c>
      <c r="H168" s="85">
        <v>6796.4900000000007</v>
      </c>
      <c r="I168" s="85" t="s">
        <v>630</v>
      </c>
      <c r="J168" s="128">
        <v>32897</v>
      </c>
      <c r="K168" s="128">
        <f t="shared" si="2"/>
        <v>690837</v>
      </c>
      <c r="L168" s="125" t="s">
        <v>776</v>
      </c>
      <c r="M168" s="85" t="s">
        <v>47</v>
      </c>
      <c r="N168" s="85" t="s">
        <v>1491</v>
      </c>
    </row>
    <row r="169" spans="2:14" ht="15.75" thickBot="1" x14ac:dyDescent="0.3">
      <c r="B169" s="82" t="s">
        <v>543</v>
      </c>
      <c r="C169" s="83" t="s">
        <v>629</v>
      </c>
      <c r="D169" s="124" t="s">
        <v>620</v>
      </c>
      <c r="E169" s="130">
        <v>2009</v>
      </c>
      <c r="F169" s="125" t="s">
        <v>734</v>
      </c>
      <c r="G169" s="125">
        <v>71</v>
      </c>
      <c r="H169" s="85">
        <v>1698.72</v>
      </c>
      <c r="I169" s="85" t="s">
        <v>630</v>
      </c>
      <c r="J169" s="128">
        <v>3765</v>
      </c>
      <c r="K169" s="128">
        <f t="shared" si="2"/>
        <v>267315</v>
      </c>
      <c r="L169" s="125" t="s">
        <v>777</v>
      </c>
      <c r="M169" s="85" t="s">
        <v>47</v>
      </c>
      <c r="N169" s="85" t="s">
        <v>1491</v>
      </c>
    </row>
    <row r="170" spans="2:14" ht="15.75" thickBot="1" x14ac:dyDescent="0.3">
      <c r="B170" s="82" t="s">
        <v>543</v>
      </c>
      <c r="C170" s="83" t="s">
        <v>629</v>
      </c>
      <c r="D170" s="124" t="s">
        <v>620</v>
      </c>
      <c r="E170" s="130">
        <v>2009</v>
      </c>
      <c r="F170" s="125" t="s">
        <v>734</v>
      </c>
      <c r="G170" s="125">
        <v>71</v>
      </c>
      <c r="H170" s="85">
        <v>29439.13</v>
      </c>
      <c r="I170" s="85" t="s">
        <v>630</v>
      </c>
      <c r="J170" s="128">
        <v>68467</v>
      </c>
      <c r="K170" s="128">
        <f t="shared" si="2"/>
        <v>4861157</v>
      </c>
      <c r="L170" s="125" t="s">
        <v>778</v>
      </c>
      <c r="M170" s="85" t="s">
        <v>47</v>
      </c>
      <c r="N170" s="85" t="s">
        <v>1491</v>
      </c>
    </row>
    <row r="171" spans="2:14" ht="15.75" thickBot="1" x14ac:dyDescent="0.3">
      <c r="B171" s="82" t="s">
        <v>543</v>
      </c>
      <c r="C171" s="83" t="s">
        <v>629</v>
      </c>
      <c r="D171" s="124" t="s">
        <v>620</v>
      </c>
      <c r="E171" s="130">
        <v>2016</v>
      </c>
      <c r="F171" s="125" t="s">
        <v>733</v>
      </c>
      <c r="G171" s="125">
        <v>64</v>
      </c>
      <c r="H171" s="85">
        <v>15232.62</v>
      </c>
      <c r="I171" s="85" t="s">
        <v>630</v>
      </c>
      <c r="J171" s="128">
        <v>43910</v>
      </c>
      <c r="K171" s="128">
        <f t="shared" si="2"/>
        <v>2810240</v>
      </c>
      <c r="L171" s="125" t="s">
        <v>779</v>
      </c>
      <c r="M171" s="85" t="s">
        <v>47</v>
      </c>
      <c r="N171" s="85" t="s">
        <v>1491</v>
      </c>
    </row>
    <row r="172" spans="2:14" ht="15.75" thickBot="1" x14ac:dyDescent="0.3">
      <c r="B172" s="82" t="s">
        <v>543</v>
      </c>
      <c r="C172" s="83" t="s">
        <v>629</v>
      </c>
      <c r="D172" s="124" t="s">
        <v>620</v>
      </c>
      <c r="E172" s="130">
        <v>1999</v>
      </c>
      <c r="F172" s="125" t="s">
        <v>736</v>
      </c>
      <c r="G172" s="125">
        <v>51</v>
      </c>
      <c r="H172" s="85">
        <v>833</v>
      </c>
      <c r="I172" s="85" t="s">
        <v>630</v>
      </c>
      <c r="J172" s="128">
        <v>1974</v>
      </c>
      <c r="K172" s="128">
        <f t="shared" si="2"/>
        <v>100674</v>
      </c>
      <c r="L172" s="125" t="s">
        <v>780</v>
      </c>
      <c r="M172" s="85" t="s">
        <v>47</v>
      </c>
      <c r="N172" s="85" t="s">
        <v>1491</v>
      </c>
    </row>
    <row r="173" spans="2:14" ht="15.75" thickBot="1" x14ac:dyDescent="0.3">
      <c r="B173" s="82" t="s">
        <v>543</v>
      </c>
      <c r="C173" s="83" t="s">
        <v>629</v>
      </c>
      <c r="D173" s="124" t="s">
        <v>620</v>
      </c>
      <c r="E173" s="130">
        <v>2001</v>
      </c>
      <c r="F173" s="125" t="s">
        <v>732</v>
      </c>
      <c r="G173" s="125">
        <v>55</v>
      </c>
      <c r="H173" s="85">
        <v>11210.88</v>
      </c>
      <c r="I173" s="85" t="s">
        <v>630</v>
      </c>
      <c r="J173" s="128">
        <v>30054</v>
      </c>
      <c r="K173" s="128">
        <f t="shared" si="2"/>
        <v>1652970</v>
      </c>
      <c r="L173" s="125" t="s">
        <v>781</v>
      </c>
      <c r="M173" s="85" t="s">
        <v>47</v>
      </c>
      <c r="N173" s="85" t="s">
        <v>1491</v>
      </c>
    </row>
    <row r="174" spans="2:14" ht="15.75" thickBot="1" x14ac:dyDescent="0.3">
      <c r="B174" s="82" t="s">
        <v>543</v>
      </c>
      <c r="C174" s="83" t="s">
        <v>629</v>
      </c>
      <c r="D174" s="124" t="s">
        <v>620</v>
      </c>
      <c r="E174" s="130">
        <v>1996</v>
      </c>
      <c r="F174" s="125" t="s">
        <v>736</v>
      </c>
      <c r="G174" s="125">
        <v>53</v>
      </c>
      <c r="H174" s="85">
        <v>3204.88</v>
      </c>
      <c r="I174" s="85" t="s">
        <v>630</v>
      </c>
      <c r="J174" s="128">
        <v>8703</v>
      </c>
      <c r="K174" s="128">
        <f t="shared" si="2"/>
        <v>461259</v>
      </c>
      <c r="L174" s="125" t="s">
        <v>782</v>
      </c>
      <c r="M174" s="85" t="s">
        <v>47</v>
      </c>
      <c r="N174" s="85" t="s">
        <v>1491</v>
      </c>
    </row>
    <row r="175" spans="2:14" ht="15.75" thickBot="1" x14ac:dyDescent="0.3">
      <c r="B175" s="82" t="s">
        <v>543</v>
      </c>
      <c r="C175" s="83" t="s">
        <v>629</v>
      </c>
      <c r="D175" s="124" t="s">
        <v>620</v>
      </c>
      <c r="E175" s="130">
        <v>2002</v>
      </c>
      <c r="F175" s="125" t="s">
        <v>732</v>
      </c>
      <c r="G175" s="125">
        <v>57</v>
      </c>
      <c r="H175" s="85">
        <v>20607.59</v>
      </c>
      <c r="I175" s="85" t="s">
        <v>630</v>
      </c>
      <c r="J175" s="128">
        <v>50574</v>
      </c>
      <c r="K175" s="128">
        <f t="shared" si="2"/>
        <v>2882718</v>
      </c>
      <c r="L175" s="125" t="s">
        <v>783</v>
      </c>
      <c r="M175" s="85" t="s">
        <v>47</v>
      </c>
      <c r="N175" s="85" t="s">
        <v>1491</v>
      </c>
    </row>
    <row r="176" spans="2:14" ht="15.75" thickBot="1" x14ac:dyDescent="0.3">
      <c r="B176" s="82" t="s">
        <v>543</v>
      </c>
      <c r="C176" s="83" t="s">
        <v>629</v>
      </c>
      <c r="D176" s="124" t="s">
        <v>620</v>
      </c>
      <c r="E176" s="130">
        <v>2002</v>
      </c>
      <c r="F176" s="125" t="s">
        <v>732</v>
      </c>
      <c r="G176" s="125">
        <v>89</v>
      </c>
      <c r="H176" s="85">
        <v>14017.890000000001</v>
      </c>
      <c r="I176" s="85" t="s">
        <v>630</v>
      </c>
      <c r="J176" s="128">
        <v>36778</v>
      </c>
      <c r="K176" s="128">
        <f t="shared" si="2"/>
        <v>3273242</v>
      </c>
      <c r="L176" s="125" t="s">
        <v>784</v>
      </c>
      <c r="M176" s="85" t="s">
        <v>47</v>
      </c>
      <c r="N176" s="85" t="s">
        <v>1491</v>
      </c>
    </row>
    <row r="177" spans="2:14" ht="15.75" thickBot="1" x14ac:dyDescent="0.3">
      <c r="B177" s="82" t="s">
        <v>543</v>
      </c>
      <c r="C177" s="83" t="s">
        <v>629</v>
      </c>
      <c r="D177" s="124" t="s">
        <v>620</v>
      </c>
      <c r="E177" s="130">
        <v>2002</v>
      </c>
      <c r="F177" s="125" t="s">
        <v>732</v>
      </c>
      <c r="G177" s="125">
        <v>89</v>
      </c>
      <c r="H177" s="85">
        <v>15036.06</v>
      </c>
      <c r="I177" s="85" t="s">
        <v>630</v>
      </c>
      <c r="J177" s="128">
        <v>37609</v>
      </c>
      <c r="K177" s="128">
        <f t="shared" si="2"/>
        <v>3347201</v>
      </c>
      <c r="L177" s="125" t="s">
        <v>785</v>
      </c>
      <c r="M177" s="85" t="s">
        <v>47</v>
      </c>
      <c r="N177" s="85" t="s">
        <v>1491</v>
      </c>
    </row>
    <row r="178" spans="2:14" ht="15.75" thickBot="1" x14ac:dyDescent="0.3">
      <c r="B178" s="82" t="s">
        <v>543</v>
      </c>
      <c r="C178" s="83" t="s">
        <v>629</v>
      </c>
      <c r="D178" s="124" t="s">
        <v>620</v>
      </c>
      <c r="E178" s="130">
        <v>2000</v>
      </c>
      <c r="F178" s="125" t="s">
        <v>735</v>
      </c>
      <c r="G178" s="125">
        <v>83</v>
      </c>
      <c r="H178" s="85">
        <v>9550.3200000000015</v>
      </c>
      <c r="I178" s="85" t="s">
        <v>630</v>
      </c>
      <c r="J178" s="128">
        <v>22566</v>
      </c>
      <c r="K178" s="128">
        <f t="shared" si="2"/>
        <v>1872978</v>
      </c>
      <c r="L178" s="125" t="s">
        <v>786</v>
      </c>
      <c r="M178" s="85" t="s">
        <v>47</v>
      </c>
      <c r="N178" s="85" t="s">
        <v>1491</v>
      </c>
    </row>
    <row r="179" spans="2:14" ht="15.75" thickBot="1" x14ac:dyDescent="0.3">
      <c r="B179" s="82" t="s">
        <v>543</v>
      </c>
      <c r="C179" s="83" t="s">
        <v>629</v>
      </c>
      <c r="D179" s="124" t="s">
        <v>620</v>
      </c>
      <c r="E179" s="130">
        <v>2004</v>
      </c>
      <c r="F179" s="125" t="s">
        <v>732</v>
      </c>
      <c r="G179" s="125">
        <v>85</v>
      </c>
      <c r="H179" s="85">
        <v>6120.52</v>
      </c>
      <c r="I179" s="85" t="s">
        <v>630</v>
      </c>
      <c r="J179" s="128">
        <v>15790</v>
      </c>
      <c r="K179" s="128">
        <f t="shared" si="2"/>
        <v>1342150</v>
      </c>
      <c r="L179" s="125" t="s">
        <v>787</v>
      </c>
      <c r="M179" s="85" t="s">
        <v>47</v>
      </c>
      <c r="N179" s="85" t="s">
        <v>1491</v>
      </c>
    </row>
    <row r="180" spans="2:14" ht="15.75" thickBot="1" x14ac:dyDescent="0.3">
      <c r="B180" s="82" t="s">
        <v>543</v>
      </c>
      <c r="C180" s="83" t="s">
        <v>629</v>
      </c>
      <c r="D180" s="124" t="s">
        <v>620</v>
      </c>
      <c r="E180" s="130">
        <v>2004</v>
      </c>
      <c r="F180" s="125" t="s">
        <v>732</v>
      </c>
      <c r="G180" s="125">
        <v>85</v>
      </c>
      <c r="H180" s="85">
        <v>17161.03</v>
      </c>
      <c r="I180" s="85" t="s">
        <v>630</v>
      </c>
      <c r="J180" s="128">
        <v>44715</v>
      </c>
      <c r="K180" s="128">
        <f t="shared" si="2"/>
        <v>3800775</v>
      </c>
      <c r="L180" s="125" t="s">
        <v>788</v>
      </c>
      <c r="M180" s="85" t="s">
        <v>47</v>
      </c>
      <c r="N180" s="85" t="s">
        <v>1491</v>
      </c>
    </row>
    <row r="181" spans="2:14" ht="15.75" thickBot="1" x14ac:dyDescent="0.3">
      <c r="B181" s="82" t="s">
        <v>543</v>
      </c>
      <c r="C181" s="83" t="s">
        <v>629</v>
      </c>
      <c r="D181" s="124" t="s">
        <v>620</v>
      </c>
      <c r="E181" s="130">
        <v>2021</v>
      </c>
      <c r="F181" s="125" t="s">
        <v>733</v>
      </c>
      <c r="G181" s="125">
        <v>76</v>
      </c>
      <c r="H181" s="85">
        <v>4568.6200000000008</v>
      </c>
      <c r="I181" s="85" t="s">
        <v>630</v>
      </c>
      <c r="J181" s="128">
        <v>11534</v>
      </c>
      <c r="K181" s="128">
        <f t="shared" si="2"/>
        <v>876584</v>
      </c>
      <c r="L181" s="125" t="s">
        <v>789</v>
      </c>
      <c r="M181" s="85" t="s">
        <v>47</v>
      </c>
      <c r="N181" s="85" t="s">
        <v>1491</v>
      </c>
    </row>
    <row r="182" spans="2:14" ht="15.75" thickBot="1" x14ac:dyDescent="0.3">
      <c r="B182" s="82" t="s">
        <v>543</v>
      </c>
      <c r="C182" s="83" t="s">
        <v>629</v>
      </c>
      <c r="D182" s="124" t="s">
        <v>620</v>
      </c>
      <c r="E182" s="130">
        <v>2021</v>
      </c>
      <c r="F182" s="125" t="s">
        <v>733</v>
      </c>
      <c r="G182" s="125">
        <v>76</v>
      </c>
      <c r="H182" s="85">
        <v>5768.28</v>
      </c>
      <c r="I182" s="85" t="s">
        <v>630</v>
      </c>
      <c r="J182" s="128">
        <v>13536</v>
      </c>
      <c r="K182" s="128">
        <f t="shared" si="2"/>
        <v>1028736</v>
      </c>
      <c r="L182" s="125" t="s">
        <v>790</v>
      </c>
      <c r="M182" s="85" t="s">
        <v>47</v>
      </c>
      <c r="N182" s="85" t="s">
        <v>1491</v>
      </c>
    </row>
    <row r="183" spans="2:14" ht="15.75" thickBot="1" x14ac:dyDescent="0.3">
      <c r="B183" s="82" t="s">
        <v>543</v>
      </c>
      <c r="C183" s="83" t="s">
        <v>629</v>
      </c>
      <c r="D183" s="124" t="s">
        <v>620</v>
      </c>
      <c r="E183" s="130">
        <v>2003</v>
      </c>
      <c r="F183" s="125" t="s">
        <v>732</v>
      </c>
      <c r="G183" s="125">
        <v>74</v>
      </c>
      <c r="H183" s="85">
        <v>15031.73</v>
      </c>
      <c r="I183" s="85" t="s">
        <v>630</v>
      </c>
      <c r="J183" s="128">
        <v>34761</v>
      </c>
      <c r="K183" s="128">
        <f t="shared" si="2"/>
        <v>2572314</v>
      </c>
      <c r="L183" s="125" t="s">
        <v>791</v>
      </c>
      <c r="M183" s="85" t="s">
        <v>47</v>
      </c>
      <c r="N183" s="85" t="s">
        <v>1491</v>
      </c>
    </row>
    <row r="184" spans="2:14" ht="15.75" thickBot="1" x14ac:dyDescent="0.3">
      <c r="B184" s="82" t="s">
        <v>543</v>
      </c>
      <c r="C184" s="83" t="s">
        <v>629</v>
      </c>
      <c r="D184" s="124" t="s">
        <v>620</v>
      </c>
      <c r="E184" s="130">
        <v>2005</v>
      </c>
      <c r="F184" s="125" t="s">
        <v>732</v>
      </c>
      <c r="G184" s="125">
        <v>75</v>
      </c>
      <c r="H184" s="85">
        <v>22102.880000000001</v>
      </c>
      <c r="I184" s="85" t="s">
        <v>630</v>
      </c>
      <c r="J184" s="128">
        <v>59072</v>
      </c>
      <c r="K184" s="128">
        <f t="shared" si="2"/>
        <v>4430400</v>
      </c>
      <c r="L184" s="125" t="s">
        <v>792</v>
      </c>
      <c r="M184" s="85" t="s">
        <v>47</v>
      </c>
      <c r="N184" s="85" t="s">
        <v>1491</v>
      </c>
    </row>
    <row r="185" spans="2:14" ht="15.75" thickBot="1" x14ac:dyDescent="0.3">
      <c r="B185" s="82" t="s">
        <v>543</v>
      </c>
      <c r="C185" s="83" t="s">
        <v>629</v>
      </c>
      <c r="D185" s="124" t="s">
        <v>620</v>
      </c>
      <c r="E185" s="130">
        <v>2005</v>
      </c>
      <c r="F185" s="125" t="s">
        <v>732</v>
      </c>
      <c r="G185" s="125">
        <v>75</v>
      </c>
      <c r="H185" s="85">
        <v>16921.710000000003</v>
      </c>
      <c r="I185" s="85" t="s">
        <v>630</v>
      </c>
      <c r="J185" s="128">
        <v>44470</v>
      </c>
      <c r="K185" s="128">
        <f t="shared" si="2"/>
        <v>3335250</v>
      </c>
      <c r="L185" s="125" t="s">
        <v>793</v>
      </c>
      <c r="M185" s="85" t="s">
        <v>47</v>
      </c>
      <c r="N185" s="85" t="s">
        <v>1491</v>
      </c>
    </row>
    <row r="186" spans="2:14" ht="15.75" thickBot="1" x14ac:dyDescent="0.3">
      <c r="B186" s="82" t="s">
        <v>543</v>
      </c>
      <c r="C186" s="83" t="s">
        <v>629</v>
      </c>
      <c r="D186" s="124" t="s">
        <v>620</v>
      </c>
      <c r="E186" s="130">
        <v>2001</v>
      </c>
      <c r="F186" s="125" t="s">
        <v>732</v>
      </c>
      <c r="G186" s="125">
        <v>55</v>
      </c>
      <c r="H186" s="85">
        <v>15980.650000000001</v>
      </c>
      <c r="I186" s="85" t="s">
        <v>630</v>
      </c>
      <c r="J186" s="128">
        <v>41973</v>
      </c>
      <c r="K186" s="128">
        <f t="shared" si="2"/>
        <v>2308515</v>
      </c>
      <c r="L186" s="125" t="s">
        <v>794</v>
      </c>
      <c r="M186" s="85" t="s">
        <v>47</v>
      </c>
      <c r="N186" s="85" t="s">
        <v>1491</v>
      </c>
    </row>
    <row r="187" spans="2:14" ht="15.75" thickBot="1" x14ac:dyDescent="0.3">
      <c r="B187" s="82" t="s">
        <v>543</v>
      </c>
      <c r="C187" s="83" t="s">
        <v>629</v>
      </c>
      <c r="D187" s="124" t="s">
        <v>620</v>
      </c>
      <c r="E187" s="130">
        <v>2000</v>
      </c>
      <c r="F187" s="125" t="s">
        <v>735</v>
      </c>
      <c r="G187" s="125">
        <v>60</v>
      </c>
      <c r="H187" s="85">
        <v>10924.94</v>
      </c>
      <c r="I187" s="85" t="s">
        <v>630</v>
      </c>
      <c r="J187" s="128">
        <v>29903</v>
      </c>
      <c r="K187" s="128">
        <f t="shared" si="2"/>
        <v>1794180</v>
      </c>
      <c r="L187" s="125" t="s">
        <v>795</v>
      </c>
      <c r="M187" s="85" t="s">
        <v>47</v>
      </c>
      <c r="N187" s="85" t="s">
        <v>1491</v>
      </c>
    </row>
    <row r="188" spans="2:14" ht="15.75" thickBot="1" x14ac:dyDescent="0.3">
      <c r="B188" s="82" t="s">
        <v>543</v>
      </c>
      <c r="C188" s="83" t="s">
        <v>629</v>
      </c>
      <c r="D188" s="124" t="s">
        <v>620</v>
      </c>
      <c r="E188" s="130">
        <v>2004</v>
      </c>
      <c r="F188" s="125" t="s">
        <v>732</v>
      </c>
      <c r="G188" s="125">
        <v>51</v>
      </c>
      <c r="H188" s="85">
        <v>6790.3499999999995</v>
      </c>
      <c r="I188" s="85" t="s">
        <v>630</v>
      </c>
      <c r="J188" s="128">
        <v>17843</v>
      </c>
      <c r="K188" s="128">
        <f t="shared" si="2"/>
        <v>909993</v>
      </c>
      <c r="L188" s="125" t="s">
        <v>796</v>
      </c>
      <c r="M188" s="85" t="s">
        <v>47</v>
      </c>
      <c r="N188" s="85" t="s">
        <v>1491</v>
      </c>
    </row>
    <row r="189" spans="2:14" ht="15.75" thickBot="1" x14ac:dyDescent="0.3">
      <c r="B189" s="82" t="s">
        <v>543</v>
      </c>
      <c r="C189" s="83" t="s">
        <v>629</v>
      </c>
      <c r="D189" s="124" t="s">
        <v>620</v>
      </c>
      <c r="E189" s="130">
        <v>2004</v>
      </c>
      <c r="F189" s="125" t="s">
        <v>732</v>
      </c>
      <c r="G189" s="125">
        <v>51</v>
      </c>
      <c r="H189" s="85">
        <v>16397.030000000002</v>
      </c>
      <c r="I189" s="85" t="s">
        <v>630</v>
      </c>
      <c r="J189" s="128">
        <v>48533</v>
      </c>
      <c r="K189" s="128">
        <f t="shared" si="2"/>
        <v>2475183</v>
      </c>
      <c r="L189" s="125" t="s">
        <v>797</v>
      </c>
      <c r="M189" s="85" t="s">
        <v>47</v>
      </c>
      <c r="N189" s="85" t="s">
        <v>1491</v>
      </c>
    </row>
    <row r="190" spans="2:14" ht="15.75" thickBot="1" x14ac:dyDescent="0.3">
      <c r="B190" s="82" t="s">
        <v>543</v>
      </c>
      <c r="C190" s="83" t="s">
        <v>629</v>
      </c>
      <c r="D190" s="124" t="s">
        <v>620</v>
      </c>
      <c r="E190" s="130">
        <v>2004</v>
      </c>
      <c r="F190" s="125" t="s">
        <v>732</v>
      </c>
      <c r="G190" s="125">
        <v>51</v>
      </c>
      <c r="H190" s="85">
        <v>18613.21</v>
      </c>
      <c r="I190" s="85" t="s">
        <v>630</v>
      </c>
      <c r="J190" s="128">
        <v>49382</v>
      </c>
      <c r="K190" s="128">
        <f t="shared" si="2"/>
        <v>2518482</v>
      </c>
      <c r="L190" s="125" t="s">
        <v>798</v>
      </c>
      <c r="M190" s="85" t="s">
        <v>47</v>
      </c>
      <c r="N190" s="85" t="s">
        <v>1491</v>
      </c>
    </row>
    <row r="191" spans="2:14" ht="15.75" thickBot="1" x14ac:dyDescent="0.3">
      <c r="B191" s="82" t="s">
        <v>543</v>
      </c>
      <c r="C191" s="83" t="s">
        <v>629</v>
      </c>
      <c r="D191" s="124" t="s">
        <v>620</v>
      </c>
      <c r="E191" s="130">
        <v>2002</v>
      </c>
      <c r="F191" s="125" t="s">
        <v>732</v>
      </c>
      <c r="G191" s="125">
        <v>75</v>
      </c>
      <c r="H191" s="85">
        <v>16955.809999999998</v>
      </c>
      <c r="I191" s="85" t="s">
        <v>630</v>
      </c>
      <c r="J191" s="128">
        <v>40702</v>
      </c>
      <c r="K191" s="128">
        <f t="shared" si="2"/>
        <v>3052650</v>
      </c>
      <c r="L191" s="125" t="s">
        <v>799</v>
      </c>
      <c r="M191" s="85" t="s">
        <v>47</v>
      </c>
      <c r="N191" s="85" t="s">
        <v>1491</v>
      </c>
    </row>
    <row r="192" spans="2:14" ht="15.75" thickBot="1" x14ac:dyDescent="0.3">
      <c r="B192" s="82" t="s">
        <v>543</v>
      </c>
      <c r="C192" s="83" t="s">
        <v>629</v>
      </c>
      <c r="D192" s="124" t="s">
        <v>620</v>
      </c>
      <c r="E192" s="130">
        <v>2004</v>
      </c>
      <c r="F192" s="125" t="s">
        <v>732</v>
      </c>
      <c r="G192" s="125">
        <v>82</v>
      </c>
      <c r="H192" s="85">
        <v>17559.130000000005</v>
      </c>
      <c r="I192" s="85" t="s">
        <v>630</v>
      </c>
      <c r="J192" s="128">
        <v>49251</v>
      </c>
      <c r="K192" s="128">
        <f t="shared" si="2"/>
        <v>4038582</v>
      </c>
      <c r="L192" s="125" t="s">
        <v>800</v>
      </c>
      <c r="M192" s="85" t="s">
        <v>47</v>
      </c>
      <c r="N192" s="85" t="s">
        <v>1491</v>
      </c>
    </row>
    <row r="193" spans="2:14" ht="15.75" thickBot="1" x14ac:dyDescent="0.3">
      <c r="B193" s="82" t="s">
        <v>543</v>
      </c>
      <c r="C193" s="83" t="s">
        <v>629</v>
      </c>
      <c r="D193" s="124" t="s">
        <v>620</v>
      </c>
      <c r="E193" s="130">
        <v>2015</v>
      </c>
      <c r="F193" s="125" t="s">
        <v>733</v>
      </c>
      <c r="G193" s="125">
        <v>25</v>
      </c>
      <c r="H193" s="85">
        <v>3647.0099999999993</v>
      </c>
      <c r="I193" s="85" t="s">
        <v>630</v>
      </c>
      <c r="J193" s="128">
        <v>18563</v>
      </c>
      <c r="K193" s="128">
        <f t="shared" si="2"/>
        <v>464075</v>
      </c>
      <c r="L193" s="125" t="s">
        <v>801</v>
      </c>
      <c r="M193" s="85" t="s">
        <v>47</v>
      </c>
      <c r="N193" s="85" t="s">
        <v>1491</v>
      </c>
    </row>
    <row r="194" spans="2:14" ht="15.75" thickBot="1" x14ac:dyDescent="0.3">
      <c r="B194" s="82" t="s">
        <v>543</v>
      </c>
      <c r="C194" s="83" t="s">
        <v>629</v>
      </c>
      <c r="D194" s="124" t="s">
        <v>620</v>
      </c>
      <c r="E194" s="130">
        <v>2015</v>
      </c>
      <c r="F194" s="125" t="s">
        <v>733</v>
      </c>
      <c r="G194" s="125">
        <v>25</v>
      </c>
      <c r="H194" s="85">
        <v>4364.3999999999987</v>
      </c>
      <c r="I194" s="85" t="s">
        <v>630</v>
      </c>
      <c r="J194" s="128">
        <v>20920</v>
      </c>
      <c r="K194" s="128">
        <f t="shared" si="2"/>
        <v>523000</v>
      </c>
      <c r="L194" s="125" t="s">
        <v>802</v>
      </c>
      <c r="M194" s="85" t="s">
        <v>47</v>
      </c>
      <c r="N194" s="85" t="s">
        <v>1491</v>
      </c>
    </row>
    <row r="195" spans="2:14" ht="15.75" thickBot="1" x14ac:dyDescent="0.3">
      <c r="B195" s="82" t="s">
        <v>543</v>
      </c>
      <c r="C195" s="83" t="s">
        <v>629</v>
      </c>
      <c r="D195" s="124" t="s">
        <v>620</v>
      </c>
      <c r="E195" s="130">
        <v>2011</v>
      </c>
      <c r="F195" s="125" t="s">
        <v>734</v>
      </c>
      <c r="G195" s="125">
        <v>51</v>
      </c>
      <c r="H195" s="85">
        <v>16369.689999999999</v>
      </c>
      <c r="I195" s="85" t="s">
        <v>630</v>
      </c>
      <c r="J195" s="128">
        <v>45075</v>
      </c>
      <c r="K195" s="128">
        <f t="shared" si="2"/>
        <v>2298825</v>
      </c>
      <c r="L195" s="125" t="s">
        <v>803</v>
      </c>
      <c r="M195" s="85" t="s">
        <v>47</v>
      </c>
      <c r="N195" s="85" t="s">
        <v>1491</v>
      </c>
    </row>
    <row r="196" spans="2:14" ht="15.75" thickBot="1" x14ac:dyDescent="0.3">
      <c r="B196" s="82" t="s">
        <v>543</v>
      </c>
      <c r="C196" s="83" t="s">
        <v>629</v>
      </c>
      <c r="D196" s="124" t="s">
        <v>620</v>
      </c>
      <c r="E196" s="130">
        <v>2007</v>
      </c>
      <c r="F196" s="125" t="s">
        <v>731</v>
      </c>
      <c r="G196" s="125">
        <v>21</v>
      </c>
      <c r="H196" s="85">
        <v>6271.43</v>
      </c>
      <c r="I196" s="85" t="s">
        <v>630</v>
      </c>
      <c r="J196" s="128">
        <v>28985</v>
      </c>
      <c r="K196" s="128">
        <f t="shared" si="2"/>
        <v>608685</v>
      </c>
      <c r="L196" s="125" t="s">
        <v>804</v>
      </c>
      <c r="M196" s="85" t="s">
        <v>47</v>
      </c>
      <c r="N196" s="85" t="s">
        <v>1491</v>
      </c>
    </row>
    <row r="197" spans="2:14" ht="15.75" thickBot="1" x14ac:dyDescent="0.3">
      <c r="B197" s="82" t="s">
        <v>543</v>
      </c>
      <c r="C197" s="83" t="s">
        <v>629</v>
      </c>
      <c r="D197" s="124" t="s">
        <v>620</v>
      </c>
      <c r="E197" s="130">
        <v>2008</v>
      </c>
      <c r="F197" s="125" t="s">
        <v>731</v>
      </c>
      <c r="G197" s="125">
        <v>82</v>
      </c>
      <c r="H197" s="85">
        <v>4457.9400000000005</v>
      </c>
      <c r="I197" s="85" t="s">
        <v>630</v>
      </c>
      <c r="J197" s="128">
        <v>10395</v>
      </c>
      <c r="K197" s="128">
        <f t="shared" si="2"/>
        <v>852390</v>
      </c>
      <c r="L197" s="125" t="s">
        <v>805</v>
      </c>
      <c r="M197" s="85" t="s">
        <v>47</v>
      </c>
      <c r="N197" s="85" t="s">
        <v>1491</v>
      </c>
    </row>
    <row r="198" spans="2:14" ht="15.75" thickBot="1" x14ac:dyDescent="0.3">
      <c r="B198" s="82" t="s">
        <v>543</v>
      </c>
      <c r="C198" s="83" t="s">
        <v>629</v>
      </c>
      <c r="D198" s="124" t="s">
        <v>620</v>
      </c>
      <c r="E198" s="130">
        <v>2008</v>
      </c>
      <c r="F198" s="125" t="s">
        <v>731</v>
      </c>
      <c r="G198" s="125">
        <v>34</v>
      </c>
      <c r="H198" s="85">
        <v>10875.630000000001</v>
      </c>
      <c r="I198" s="85" t="s">
        <v>630</v>
      </c>
      <c r="J198" s="128">
        <v>32986</v>
      </c>
      <c r="K198" s="128">
        <f t="shared" si="2"/>
        <v>1121524</v>
      </c>
      <c r="L198" s="125" t="s">
        <v>806</v>
      </c>
      <c r="M198" s="85" t="s">
        <v>47</v>
      </c>
      <c r="N198" s="85" t="s">
        <v>1491</v>
      </c>
    </row>
    <row r="199" spans="2:14" ht="15.75" thickBot="1" x14ac:dyDescent="0.3">
      <c r="B199" s="82" t="s">
        <v>543</v>
      </c>
      <c r="C199" s="83" t="s">
        <v>629</v>
      </c>
      <c r="D199" s="124" t="s">
        <v>620</v>
      </c>
      <c r="E199" s="130">
        <v>2008</v>
      </c>
      <c r="F199" s="125" t="s">
        <v>731</v>
      </c>
      <c r="G199" s="125">
        <v>83</v>
      </c>
      <c r="H199" s="85">
        <v>15205.82</v>
      </c>
      <c r="I199" s="85" t="s">
        <v>630</v>
      </c>
      <c r="J199" s="128">
        <v>33898</v>
      </c>
      <c r="K199" s="128">
        <f t="shared" si="2"/>
        <v>2813534</v>
      </c>
      <c r="L199" s="125" t="s">
        <v>807</v>
      </c>
      <c r="M199" s="85" t="s">
        <v>47</v>
      </c>
      <c r="N199" s="85" t="s">
        <v>1491</v>
      </c>
    </row>
    <row r="200" spans="2:14" ht="15.75" thickBot="1" x14ac:dyDescent="0.3">
      <c r="B200" s="82" t="s">
        <v>543</v>
      </c>
      <c r="C200" s="83" t="s">
        <v>629</v>
      </c>
      <c r="D200" s="124" t="s">
        <v>620</v>
      </c>
      <c r="E200" s="130">
        <v>2003</v>
      </c>
      <c r="F200" s="125" t="s">
        <v>732</v>
      </c>
      <c r="G200" s="125">
        <v>81</v>
      </c>
      <c r="H200" s="85">
        <v>16232.279000000002</v>
      </c>
      <c r="I200" s="85" t="s">
        <v>630</v>
      </c>
      <c r="J200" s="128">
        <v>35032</v>
      </c>
      <c r="K200" s="128">
        <f t="shared" si="2"/>
        <v>2837592</v>
      </c>
      <c r="L200" s="125" t="s">
        <v>808</v>
      </c>
      <c r="M200" s="85" t="s">
        <v>47</v>
      </c>
      <c r="N200" s="85" t="s">
        <v>1491</v>
      </c>
    </row>
    <row r="201" spans="2:14" ht="15.75" thickBot="1" x14ac:dyDescent="0.3">
      <c r="B201" s="82" t="s">
        <v>543</v>
      </c>
      <c r="C201" s="83" t="s">
        <v>629</v>
      </c>
      <c r="D201" s="124" t="s">
        <v>620</v>
      </c>
      <c r="E201" s="130">
        <v>2000</v>
      </c>
      <c r="F201" s="125" t="s">
        <v>735</v>
      </c>
      <c r="G201" s="125">
        <v>50</v>
      </c>
      <c r="H201" s="85">
        <v>17187.219999999998</v>
      </c>
      <c r="I201" s="85" t="s">
        <v>630</v>
      </c>
      <c r="J201" s="128">
        <v>46726</v>
      </c>
      <c r="K201" s="128">
        <f t="shared" si="2"/>
        <v>2336300</v>
      </c>
      <c r="L201" s="125" t="s">
        <v>809</v>
      </c>
      <c r="M201" s="85" t="s">
        <v>47</v>
      </c>
      <c r="N201" s="85" t="s">
        <v>1491</v>
      </c>
    </row>
    <row r="202" spans="2:14" ht="15.75" thickBot="1" x14ac:dyDescent="0.3">
      <c r="B202" s="82" t="s">
        <v>543</v>
      </c>
      <c r="C202" s="83" t="s">
        <v>629</v>
      </c>
      <c r="D202" s="124" t="s">
        <v>620</v>
      </c>
      <c r="E202" s="130">
        <v>2002</v>
      </c>
      <c r="F202" s="125" t="s">
        <v>732</v>
      </c>
      <c r="G202" s="125">
        <v>62</v>
      </c>
      <c r="H202" s="85">
        <v>11878.68</v>
      </c>
      <c r="I202" s="85" t="s">
        <v>630</v>
      </c>
      <c r="J202" s="128">
        <v>33881</v>
      </c>
      <c r="K202" s="128">
        <f t="shared" si="2"/>
        <v>2100622</v>
      </c>
      <c r="L202" s="125" t="s">
        <v>810</v>
      </c>
      <c r="M202" s="85" t="s">
        <v>47</v>
      </c>
      <c r="N202" s="85" t="s">
        <v>1491</v>
      </c>
    </row>
    <row r="203" spans="2:14" ht="15.75" thickBot="1" x14ac:dyDescent="0.3">
      <c r="B203" s="82" t="s">
        <v>543</v>
      </c>
      <c r="C203" s="83" t="s">
        <v>629</v>
      </c>
      <c r="D203" s="124" t="s">
        <v>620</v>
      </c>
      <c r="E203" s="130">
        <v>2000</v>
      </c>
      <c r="F203" s="125" t="s">
        <v>735</v>
      </c>
      <c r="G203" s="125">
        <v>71</v>
      </c>
      <c r="H203" s="85">
        <v>13530.810000000001</v>
      </c>
      <c r="I203" s="85" t="s">
        <v>630</v>
      </c>
      <c r="J203" s="128">
        <v>37957</v>
      </c>
      <c r="K203" s="128">
        <f t="shared" si="2"/>
        <v>2694947</v>
      </c>
      <c r="L203" s="125" t="s">
        <v>811</v>
      </c>
      <c r="M203" s="85" t="s">
        <v>47</v>
      </c>
      <c r="N203" s="85" t="s">
        <v>1491</v>
      </c>
    </row>
    <row r="204" spans="2:14" ht="15.75" thickBot="1" x14ac:dyDescent="0.3">
      <c r="B204" s="82" t="s">
        <v>543</v>
      </c>
      <c r="C204" s="83" t="s">
        <v>629</v>
      </c>
      <c r="D204" s="124" t="s">
        <v>620</v>
      </c>
      <c r="E204" s="130">
        <v>2001</v>
      </c>
      <c r="F204" s="125" t="s">
        <v>732</v>
      </c>
      <c r="G204" s="125">
        <v>62</v>
      </c>
      <c r="H204" s="85">
        <v>12341.089999999998</v>
      </c>
      <c r="I204" s="85" t="s">
        <v>630</v>
      </c>
      <c r="J204" s="128">
        <v>34742</v>
      </c>
      <c r="K204" s="128">
        <f t="shared" si="2"/>
        <v>2154004</v>
      </c>
      <c r="L204" s="125" t="s">
        <v>812</v>
      </c>
      <c r="M204" s="85" t="s">
        <v>47</v>
      </c>
      <c r="N204" s="85" t="s">
        <v>1491</v>
      </c>
    </row>
    <row r="205" spans="2:14" ht="15.75" thickBot="1" x14ac:dyDescent="0.3">
      <c r="B205" s="82" t="s">
        <v>543</v>
      </c>
      <c r="C205" s="83" t="s">
        <v>629</v>
      </c>
      <c r="D205" s="124" t="s">
        <v>620</v>
      </c>
      <c r="E205" s="130">
        <v>2000</v>
      </c>
      <c r="F205" s="125" t="s">
        <v>735</v>
      </c>
      <c r="G205" s="125">
        <v>83</v>
      </c>
      <c r="H205" s="85">
        <v>19746</v>
      </c>
      <c r="I205" s="85" t="s">
        <v>630</v>
      </c>
      <c r="J205" s="128">
        <v>51293</v>
      </c>
      <c r="K205" s="128">
        <f t="shared" si="2"/>
        <v>4257319</v>
      </c>
      <c r="L205" s="125" t="s">
        <v>813</v>
      </c>
      <c r="M205" s="85" t="s">
        <v>47</v>
      </c>
      <c r="N205" s="85" t="s">
        <v>1491</v>
      </c>
    </row>
    <row r="206" spans="2:14" ht="15.75" thickBot="1" x14ac:dyDescent="0.3">
      <c r="B206" s="82" t="s">
        <v>543</v>
      </c>
      <c r="C206" s="83" t="s">
        <v>629</v>
      </c>
      <c r="D206" s="124" t="s">
        <v>620</v>
      </c>
      <c r="E206" s="130">
        <v>2018</v>
      </c>
      <c r="F206" s="125" t="s">
        <v>733</v>
      </c>
      <c r="G206" s="125">
        <v>29</v>
      </c>
      <c r="H206" s="85">
        <v>8218.2100000000009</v>
      </c>
      <c r="I206" s="85" t="s">
        <v>630</v>
      </c>
      <c r="J206" s="128">
        <v>39017</v>
      </c>
      <c r="K206" s="128">
        <f t="shared" si="2"/>
        <v>1131493</v>
      </c>
      <c r="L206" s="125" t="s">
        <v>814</v>
      </c>
      <c r="M206" s="85" t="s">
        <v>47</v>
      </c>
      <c r="N206" s="85" t="s">
        <v>1491</v>
      </c>
    </row>
    <row r="207" spans="2:14" ht="15.75" thickBot="1" x14ac:dyDescent="0.3">
      <c r="B207" s="82" t="s">
        <v>543</v>
      </c>
      <c r="C207" s="83" t="s">
        <v>629</v>
      </c>
      <c r="D207" s="124" t="s">
        <v>620</v>
      </c>
      <c r="E207" s="130">
        <v>2008</v>
      </c>
      <c r="F207" s="125" t="s">
        <v>731</v>
      </c>
      <c r="G207" s="125">
        <v>59</v>
      </c>
      <c r="H207" s="85">
        <v>21671.4</v>
      </c>
      <c r="I207" s="85" t="s">
        <v>630</v>
      </c>
      <c r="J207" s="128">
        <v>54571</v>
      </c>
      <c r="K207" s="128">
        <f t="shared" si="2"/>
        <v>3219689</v>
      </c>
      <c r="L207" s="125" t="s">
        <v>815</v>
      </c>
      <c r="M207" s="85" t="s">
        <v>47</v>
      </c>
      <c r="N207" s="85" t="s">
        <v>1491</v>
      </c>
    </row>
    <row r="208" spans="2:14" ht="15.75" thickBot="1" x14ac:dyDescent="0.3">
      <c r="B208" s="82" t="s">
        <v>543</v>
      </c>
      <c r="C208" s="83" t="s">
        <v>629</v>
      </c>
      <c r="D208" s="124" t="s">
        <v>620</v>
      </c>
      <c r="E208" s="130">
        <v>1997</v>
      </c>
      <c r="F208" s="125" t="s">
        <v>736</v>
      </c>
      <c r="G208" s="125">
        <v>70</v>
      </c>
      <c r="H208" s="85">
        <v>15683.56</v>
      </c>
      <c r="I208" s="85" t="s">
        <v>630</v>
      </c>
      <c r="J208" s="128">
        <v>42015</v>
      </c>
      <c r="K208" s="128">
        <f t="shared" si="2"/>
        <v>2941050</v>
      </c>
      <c r="L208" s="125" t="s">
        <v>816</v>
      </c>
      <c r="M208" s="85" t="s">
        <v>47</v>
      </c>
      <c r="N208" s="85" t="s">
        <v>1491</v>
      </c>
    </row>
    <row r="209" spans="2:14" ht="15.75" thickBot="1" x14ac:dyDescent="0.3">
      <c r="B209" s="82" t="s">
        <v>543</v>
      </c>
      <c r="C209" s="83" t="s">
        <v>629</v>
      </c>
      <c r="D209" s="124" t="s">
        <v>620</v>
      </c>
      <c r="E209" s="130">
        <v>2000</v>
      </c>
      <c r="F209" s="125" t="s">
        <v>735</v>
      </c>
      <c r="G209" s="125">
        <v>43</v>
      </c>
      <c r="H209" s="85">
        <v>17141.269999999997</v>
      </c>
      <c r="I209" s="85" t="s">
        <v>630</v>
      </c>
      <c r="J209" s="128">
        <v>39925</v>
      </c>
      <c r="K209" s="128">
        <f t="shared" si="2"/>
        <v>1716775</v>
      </c>
      <c r="L209" s="125" t="s">
        <v>817</v>
      </c>
      <c r="M209" s="85" t="s">
        <v>47</v>
      </c>
      <c r="N209" s="85" t="s">
        <v>1491</v>
      </c>
    </row>
    <row r="210" spans="2:14" ht="15.75" thickBot="1" x14ac:dyDescent="0.3">
      <c r="B210" s="82" t="s">
        <v>543</v>
      </c>
      <c r="C210" s="83" t="s">
        <v>629</v>
      </c>
      <c r="D210" s="124" t="s">
        <v>620</v>
      </c>
      <c r="E210" s="130">
        <v>1998</v>
      </c>
      <c r="F210" s="125" t="s">
        <v>736</v>
      </c>
      <c r="G210" s="125">
        <v>70</v>
      </c>
      <c r="H210" s="85">
        <v>10045.560000000001</v>
      </c>
      <c r="I210" s="85" t="s">
        <v>630</v>
      </c>
      <c r="J210" s="128">
        <v>25602</v>
      </c>
      <c r="K210" s="128">
        <f t="shared" si="2"/>
        <v>1792140</v>
      </c>
      <c r="L210" s="125" t="s">
        <v>818</v>
      </c>
      <c r="M210" s="85" t="s">
        <v>47</v>
      </c>
      <c r="N210" s="85" t="s">
        <v>1491</v>
      </c>
    </row>
    <row r="211" spans="2:14" ht="15.75" thickBot="1" x14ac:dyDescent="0.3">
      <c r="B211" s="82" t="s">
        <v>543</v>
      </c>
      <c r="C211" s="83" t="s">
        <v>629</v>
      </c>
      <c r="D211" s="124" t="s">
        <v>620</v>
      </c>
      <c r="E211" s="130">
        <v>1998</v>
      </c>
      <c r="F211" s="125" t="s">
        <v>736</v>
      </c>
      <c r="G211" s="125">
        <v>70</v>
      </c>
      <c r="H211" s="85">
        <v>17734.580000000002</v>
      </c>
      <c r="I211" s="85" t="s">
        <v>630</v>
      </c>
      <c r="J211" s="128">
        <v>43788</v>
      </c>
      <c r="K211" s="128">
        <f t="shared" si="2"/>
        <v>3065160</v>
      </c>
      <c r="L211" s="125" t="s">
        <v>819</v>
      </c>
      <c r="M211" s="85" t="s">
        <v>47</v>
      </c>
      <c r="N211" s="85" t="s">
        <v>1491</v>
      </c>
    </row>
    <row r="212" spans="2:14" ht="15.75" thickBot="1" x14ac:dyDescent="0.3">
      <c r="B212" s="82" t="s">
        <v>543</v>
      </c>
      <c r="C212" s="83" t="s">
        <v>629</v>
      </c>
      <c r="D212" s="124" t="s">
        <v>620</v>
      </c>
      <c r="E212" s="130">
        <v>2011</v>
      </c>
      <c r="F212" s="125" t="s">
        <v>734</v>
      </c>
      <c r="G212" s="125">
        <v>53</v>
      </c>
      <c r="H212" s="85">
        <v>15795.645</v>
      </c>
      <c r="I212" s="85" t="s">
        <v>630</v>
      </c>
      <c r="J212" s="128">
        <v>51911</v>
      </c>
      <c r="K212" s="128">
        <f t="shared" si="2"/>
        <v>2751283</v>
      </c>
      <c r="L212" s="125" t="s">
        <v>820</v>
      </c>
      <c r="M212" s="85" t="s">
        <v>47</v>
      </c>
      <c r="N212" s="85" t="s">
        <v>1491</v>
      </c>
    </row>
    <row r="213" spans="2:14" ht="15.75" thickBot="1" x14ac:dyDescent="0.3">
      <c r="B213" s="82" t="s">
        <v>543</v>
      </c>
      <c r="C213" s="83" t="s">
        <v>629</v>
      </c>
      <c r="D213" s="124" t="s">
        <v>620</v>
      </c>
      <c r="E213" s="130">
        <v>2011</v>
      </c>
      <c r="F213" s="125" t="s">
        <v>734</v>
      </c>
      <c r="G213" s="125">
        <v>53</v>
      </c>
      <c r="H213" s="85">
        <v>20868.808000000001</v>
      </c>
      <c r="I213" s="85" t="s">
        <v>630</v>
      </c>
      <c r="J213" s="128">
        <v>65820</v>
      </c>
      <c r="K213" s="128">
        <f t="shared" si="2"/>
        <v>3488460</v>
      </c>
      <c r="L213" s="125" t="s">
        <v>821</v>
      </c>
      <c r="M213" s="85" t="s">
        <v>47</v>
      </c>
      <c r="N213" s="85" t="s">
        <v>1491</v>
      </c>
    </row>
    <row r="214" spans="2:14" ht="15.75" thickBot="1" x14ac:dyDescent="0.3">
      <c r="B214" s="82" t="s">
        <v>543</v>
      </c>
      <c r="C214" s="83" t="s">
        <v>629</v>
      </c>
      <c r="D214" s="124" t="s">
        <v>620</v>
      </c>
      <c r="E214" s="130">
        <v>1996</v>
      </c>
      <c r="F214" s="125" t="s">
        <v>736</v>
      </c>
      <c r="G214" s="125">
        <v>80</v>
      </c>
      <c r="H214" s="85">
        <v>11521.949999999999</v>
      </c>
      <c r="I214" s="85" t="s">
        <v>630</v>
      </c>
      <c r="J214" s="128">
        <v>32252</v>
      </c>
      <c r="K214" s="128">
        <f t="shared" si="2"/>
        <v>2580160</v>
      </c>
      <c r="L214" s="125" t="s">
        <v>822</v>
      </c>
      <c r="M214" s="85" t="s">
        <v>47</v>
      </c>
      <c r="N214" s="85" t="s">
        <v>1491</v>
      </c>
    </row>
    <row r="215" spans="2:14" ht="15.75" thickBot="1" x14ac:dyDescent="0.3">
      <c r="B215" s="82" t="s">
        <v>543</v>
      </c>
      <c r="C215" s="83" t="s">
        <v>629</v>
      </c>
      <c r="D215" s="124" t="s">
        <v>620</v>
      </c>
      <c r="E215" s="130">
        <v>1997</v>
      </c>
      <c r="F215" s="125" t="s">
        <v>736</v>
      </c>
      <c r="G215" s="125">
        <v>70</v>
      </c>
      <c r="H215" s="85">
        <v>5502.49</v>
      </c>
      <c r="I215" s="85" t="s">
        <v>630</v>
      </c>
      <c r="J215" s="128">
        <v>16574</v>
      </c>
      <c r="K215" s="128">
        <f t="shared" si="2"/>
        <v>1160180</v>
      </c>
      <c r="L215" s="125" t="s">
        <v>823</v>
      </c>
      <c r="M215" s="85" t="s">
        <v>47</v>
      </c>
      <c r="N215" s="85" t="s">
        <v>1491</v>
      </c>
    </row>
    <row r="216" spans="2:14" ht="15.75" thickBot="1" x14ac:dyDescent="0.3">
      <c r="B216" s="82" t="s">
        <v>543</v>
      </c>
      <c r="C216" s="83" t="s">
        <v>629</v>
      </c>
      <c r="D216" s="124" t="s">
        <v>620</v>
      </c>
      <c r="E216" s="130">
        <v>2007</v>
      </c>
      <c r="F216" s="125" t="s">
        <v>731</v>
      </c>
      <c r="G216" s="125">
        <v>74</v>
      </c>
      <c r="H216" s="85">
        <v>18436.290000000005</v>
      </c>
      <c r="I216" s="85" t="s">
        <v>630</v>
      </c>
      <c r="J216" s="128">
        <v>48829</v>
      </c>
      <c r="K216" s="128">
        <f t="shared" si="2"/>
        <v>3613346</v>
      </c>
      <c r="L216" s="125" t="s">
        <v>824</v>
      </c>
      <c r="M216" s="85" t="s">
        <v>47</v>
      </c>
      <c r="N216" s="85" t="s">
        <v>1491</v>
      </c>
    </row>
    <row r="217" spans="2:14" ht="15.75" thickBot="1" x14ac:dyDescent="0.3">
      <c r="B217" s="82" t="s">
        <v>543</v>
      </c>
      <c r="C217" s="83" t="s">
        <v>629</v>
      </c>
      <c r="D217" s="124" t="s">
        <v>620</v>
      </c>
      <c r="E217" s="130">
        <v>2008</v>
      </c>
      <c r="F217" s="125" t="s">
        <v>731</v>
      </c>
      <c r="G217" s="125">
        <v>82</v>
      </c>
      <c r="H217" s="85">
        <v>17479</v>
      </c>
      <c r="I217" s="85" t="s">
        <v>630</v>
      </c>
      <c r="J217" s="128">
        <v>49414</v>
      </c>
      <c r="K217" s="128">
        <f t="shared" si="2"/>
        <v>4051948</v>
      </c>
      <c r="L217" s="125" t="s">
        <v>825</v>
      </c>
      <c r="M217" s="85" t="s">
        <v>47</v>
      </c>
      <c r="N217" s="85" t="s">
        <v>1491</v>
      </c>
    </row>
    <row r="218" spans="2:14" ht="15.75" thickBot="1" x14ac:dyDescent="0.3">
      <c r="B218" s="82" t="s">
        <v>543</v>
      </c>
      <c r="C218" s="83" t="s">
        <v>629</v>
      </c>
      <c r="D218" s="124" t="s">
        <v>620</v>
      </c>
      <c r="E218" s="130">
        <v>2008</v>
      </c>
      <c r="F218" s="125" t="s">
        <v>731</v>
      </c>
      <c r="G218" s="125">
        <v>82</v>
      </c>
      <c r="H218" s="85">
        <v>26773.24</v>
      </c>
      <c r="I218" s="85" t="s">
        <v>630</v>
      </c>
      <c r="J218" s="128">
        <v>73424</v>
      </c>
      <c r="K218" s="128">
        <f t="shared" si="2"/>
        <v>6020768</v>
      </c>
      <c r="L218" s="125" t="s">
        <v>826</v>
      </c>
      <c r="M218" s="85" t="s">
        <v>47</v>
      </c>
      <c r="N218" s="85" t="s">
        <v>1491</v>
      </c>
    </row>
    <row r="219" spans="2:14" ht="15.75" thickBot="1" x14ac:dyDescent="0.3">
      <c r="B219" s="82" t="s">
        <v>543</v>
      </c>
      <c r="C219" s="83" t="s">
        <v>629</v>
      </c>
      <c r="D219" s="124" t="s">
        <v>620</v>
      </c>
      <c r="E219" s="130">
        <v>2008</v>
      </c>
      <c r="F219" s="125" t="s">
        <v>731</v>
      </c>
      <c r="G219" s="125">
        <v>82</v>
      </c>
      <c r="H219" s="85">
        <v>18546.07</v>
      </c>
      <c r="I219" s="85" t="s">
        <v>630</v>
      </c>
      <c r="J219" s="128">
        <v>50334</v>
      </c>
      <c r="K219" s="128">
        <f t="shared" si="2"/>
        <v>4127388</v>
      </c>
      <c r="L219" s="125" t="s">
        <v>827</v>
      </c>
      <c r="M219" s="85" t="s">
        <v>47</v>
      </c>
      <c r="N219" s="85" t="s">
        <v>1491</v>
      </c>
    </row>
    <row r="220" spans="2:14" ht="15.75" thickBot="1" x14ac:dyDescent="0.3">
      <c r="B220" s="82" t="s">
        <v>543</v>
      </c>
      <c r="C220" s="83" t="s">
        <v>629</v>
      </c>
      <c r="D220" s="124" t="s">
        <v>620</v>
      </c>
      <c r="E220" s="130">
        <v>2004</v>
      </c>
      <c r="F220" s="125" t="s">
        <v>732</v>
      </c>
      <c r="G220" s="125">
        <v>55</v>
      </c>
      <c r="H220" s="85">
        <v>16524.219999999998</v>
      </c>
      <c r="I220" s="85" t="s">
        <v>630</v>
      </c>
      <c r="J220" s="128">
        <v>42097</v>
      </c>
      <c r="K220" s="128">
        <f t="shared" si="2"/>
        <v>2315335</v>
      </c>
      <c r="L220" s="125" t="s">
        <v>828</v>
      </c>
      <c r="M220" s="85" t="s">
        <v>47</v>
      </c>
      <c r="N220" s="85" t="s">
        <v>1491</v>
      </c>
    </row>
    <row r="221" spans="2:14" ht="15.75" thickBot="1" x14ac:dyDescent="0.3">
      <c r="B221" s="82" t="s">
        <v>543</v>
      </c>
      <c r="C221" s="83" t="s">
        <v>629</v>
      </c>
      <c r="D221" s="124" t="s">
        <v>620</v>
      </c>
      <c r="E221" s="130">
        <v>2004</v>
      </c>
      <c r="F221" s="125" t="s">
        <v>732</v>
      </c>
      <c r="G221" s="125">
        <v>76</v>
      </c>
      <c r="H221" s="85">
        <v>4267.2699999999995</v>
      </c>
      <c r="I221" s="85" t="s">
        <v>630</v>
      </c>
      <c r="J221" s="128">
        <v>10782</v>
      </c>
      <c r="K221" s="128">
        <f t="shared" si="2"/>
        <v>819432</v>
      </c>
      <c r="L221" s="125" t="s">
        <v>829</v>
      </c>
      <c r="M221" s="85" t="s">
        <v>47</v>
      </c>
      <c r="N221" s="85" t="s">
        <v>1491</v>
      </c>
    </row>
    <row r="222" spans="2:14" ht="15.75" thickBot="1" x14ac:dyDescent="0.3">
      <c r="B222" s="82" t="s">
        <v>543</v>
      </c>
      <c r="C222" s="83" t="s">
        <v>629</v>
      </c>
      <c r="D222" s="124" t="s">
        <v>620</v>
      </c>
      <c r="E222" s="130">
        <v>2005</v>
      </c>
      <c r="F222" s="125" t="s">
        <v>732</v>
      </c>
      <c r="G222" s="125">
        <v>86</v>
      </c>
      <c r="H222" s="85">
        <v>19362.620000000003</v>
      </c>
      <c r="I222" s="85" t="s">
        <v>630</v>
      </c>
      <c r="J222" s="128">
        <v>48172</v>
      </c>
      <c r="K222" s="128">
        <f t="shared" si="2"/>
        <v>4142792</v>
      </c>
      <c r="L222" s="125" t="s">
        <v>830</v>
      </c>
      <c r="M222" s="85" t="s">
        <v>47</v>
      </c>
      <c r="N222" s="85" t="s">
        <v>1491</v>
      </c>
    </row>
    <row r="223" spans="2:14" ht="15.75" thickBot="1" x14ac:dyDescent="0.3">
      <c r="B223" s="82" t="s">
        <v>543</v>
      </c>
      <c r="C223" s="83" t="s">
        <v>629</v>
      </c>
      <c r="D223" s="124" t="s">
        <v>620</v>
      </c>
      <c r="E223" s="130">
        <v>2005</v>
      </c>
      <c r="F223" s="125" t="s">
        <v>732</v>
      </c>
      <c r="G223" s="125">
        <v>86</v>
      </c>
      <c r="H223" s="85">
        <v>16083.529999999999</v>
      </c>
      <c r="I223" s="85" t="s">
        <v>630</v>
      </c>
      <c r="J223" s="128">
        <v>41213</v>
      </c>
      <c r="K223" s="128">
        <f t="shared" ref="K223:K286" si="3">J223*G223</f>
        <v>3544318</v>
      </c>
      <c r="L223" s="125" t="s">
        <v>831</v>
      </c>
      <c r="M223" s="85" t="s">
        <v>47</v>
      </c>
      <c r="N223" s="85" t="s">
        <v>1491</v>
      </c>
    </row>
    <row r="224" spans="2:14" ht="15.75" thickBot="1" x14ac:dyDescent="0.3">
      <c r="B224" s="82" t="s">
        <v>543</v>
      </c>
      <c r="C224" s="83" t="s">
        <v>629</v>
      </c>
      <c r="D224" s="124" t="s">
        <v>620</v>
      </c>
      <c r="E224" s="130">
        <v>1995</v>
      </c>
      <c r="F224" s="125" t="s">
        <v>736</v>
      </c>
      <c r="G224" s="125">
        <v>70</v>
      </c>
      <c r="H224" s="85">
        <v>9468.7799999999988</v>
      </c>
      <c r="I224" s="85" t="s">
        <v>630</v>
      </c>
      <c r="J224" s="128">
        <v>26497</v>
      </c>
      <c r="K224" s="128">
        <f t="shared" si="3"/>
        <v>1854790</v>
      </c>
      <c r="L224" s="125" t="s">
        <v>832</v>
      </c>
      <c r="M224" s="85" t="s">
        <v>47</v>
      </c>
      <c r="N224" s="85" t="s">
        <v>1491</v>
      </c>
    </row>
    <row r="225" spans="2:14" ht="15.75" thickBot="1" x14ac:dyDescent="0.3">
      <c r="B225" s="82" t="s">
        <v>543</v>
      </c>
      <c r="C225" s="83" t="s">
        <v>629</v>
      </c>
      <c r="D225" s="124" t="s">
        <v>620</v>
      </c>
      <c r="E225" s="130">
        <v>2006</v>
      </c>
      <c r="F225" s="125" t="s">
        <v>731</v>
      </c>
      <c r="G225" s="125">
        <v>55</v>
      </c>
      <c r="H225" s="85">
        <v>6109</v>
      </c>
      <c r="I225" s="85" t="s">
        <v>630</v>
      </c>
      <c r="J225" s="128">
        <v>15581</v>
      </c>
      <c r="K225" s="128">
        <f t="shared" si="3"/>
        <v>856955</v>
      </c>
      <c r="L225" s="125" t="s">
        <v>833</v>
      </c>
      <c r="M225" s="85" t="s">
        <v>47</v>
      </c>
      <c r="N225" s="85" t="s">
        <v>1491</v>
      </c>
    </row>
    <row r="226" spans="2:14" ht="15.75" thickBot="1" x14ac:dyDescent="0.3">
      <c r="B226" s="82" t="s">
        <v>543</v>
      </c>
      <c r="C226" s="83" t="s">
        <v>629</v>
      </c>
      <c r="D226" s="124" t="s">
        <v>620</v>
      </c>
      <c r="E226" s="130">
        <v>2008</v>
      </c>
      <c r="F226" s="125" t="s">
        <v>731</v>
      </c>
      <c r="G226" s="125">
        <v>35</v>
      </c>
      <c r="H226" s="85">
        <v>5870.3099999999995</v>
      </c>
      <c r="I226" s="85" t="s">
        <v>630</v>
      </c>
      <c r="J226" s="128">
        <v>18513</v>
      </c>
      <c r="K226" s="128">
        <f t="shared" si="3"/>
        <v>647955</v>
      </c>
      <c r="L226" s="125" t="s">
        <v>834</v>
      </c>
      <c r="M226" s="85" t="s">
        <v>47</v>
      </c>
      <c r="N226" s="85" t="s">
        <v>1491</v>
      </c>
    </row>
    <row r="227" spans="2:14" ht="15.75" thickBot="1" x14ac:dyDescent="0.3">
      <c r="B227" s="82" t="s">
        <v>543</v>
      </c>
      <c r="C227" s="83" t="s">
        <v>629</v>
      </c>
      <c r="D227" s="124" t="s">
        <v>620</v>
      </c>
      <c r="E227" s="130">
        <v>2010</v>
      </c>
      <c r="F227" s="125" t="s">
        <v>734</v>
      </c>
      <c r="G227" s="125">
        <v>35</v>
      </c>
      <c r="H227" s="85">
        <v>13188.7</v>
      </c>
      <c r="I227" s="85" t="s">
        <v>630</v>
      </c>
      <c r="J227" s="128">
        <v>42253</v>
      </c>
      <c r="K227" s="128">
        <f t="shared" si="3"/>
        <v>1478855</v>
      </c>
      <c r="L227" s="125" t="s">
        <v>835</v>
      </c>
      <c r="M227" s="85" t="s">
        <v>47</v>
      </c>
      <c r="N227" s="85" t="s">
        <v>1491</v>
      </c>
    </row>
    <row r="228" spans="2:14" ht="15.75" thickBot="1" x14ac:dyDescent="0.3">
      <c r="B228" s="82" t="s">
        <v>543</v>
      </c>
      <c r="C228" s="83" t="s">
        <v>629</v>
      </c>
      <c r="D228" s="124" t="s">
        <v>620</v>
      </c>
      <c r="E228" s="130">
        <v>2010</v>
      </c>
      <c r="F228" s="125" t="s">
        <v>734</v>
      </c>
      <c r="G228" s="125">
        <v>35</v>
      </c>
      <c r="H228" s="85">
        <v>4673.18</v>
      </c>
      <c r="I228" s="85" t="s">
        <v>630</v>
      </c>
      <c r="J228" s="128">
        <v>14624</v>
      </c>
      <c r="K228" s="128">
        <f t="shared" si="3"/>
        <v>511840</v>
      </c>
      <c r="L228" s="125" t="s">
        <v>836</v>
      </c>
      <c r="M228" s="85" t="s">
        <v>47</v>
      </c>
      <c r="N228" s="85" t="s">
        <v>1491</v>
      </c>
    </row>
    <row r="229" spans="2:14" ht="15.75" thickBot="1" x14ac:dyDescent="0.3">
      <c r="B229" s="82" t="s">
        <v>543</v>
      </c>
      <c r="C229" s="83" t="s">
        <v>629</v>
      </c>
      <c r="D229" s="124" t="s">
        <v>620</v>
      </c>
      <c r="E229" s="130">
        <v>2001</v>
      </c>
      <c r="F229" s="125" t="s">
        <v>732</v>
      </c>
      <c r="G229" s="125">
        <v>55</v>
      </c>
      <c r="H229" s="85">
        <v>14951.09</v>
      </c>
      <c r="I229" s="85" t="s">
        <v>630</v>
      </c>
      <c r="J229" s="128">
        <v>39500</v>
      </c>
      <c r="K229" s="128">
        <f t="shared" si="3"/>
        <v>2172500</v>
      </c>
      <c r="L229" s="125" t="s">
        <v>837</v>
      </c>
      <c r="M229" s="85" t="s">
        <v>47</v>
      </c>
      <c r="N229" s="85" t="s">
        <v>1491</v>
      </c>
    </row>
    <row r="230" spans="2:14" ht="15.75" thickBot="1" x14ac:dyDescent="0.3">
      <c r="B230" s="82" t="s">
        <v>543</v>
      </c>
      <c r="C230" s="83" t="s">
        <v>629</v>
      </c>
      <c r="D230" s="124" t="s">
        <v>620</v>
      </c>
      <c r="E230" s="130">
        <v>2001</v>
      </c>
      <c r="F230" s="125" t="s">
        <v>732</v>
      </c>
      <c r="G230" s="125">
        <v>55</v>
      </c>
      <c r="H230" s="85">
        <v>4591.04</v>
      </c>
      <c r="I230" s="85" t="s">
        <v>630</v>
      </c>
      <c r="J230" s="128">
        <v>11894</v>
      </c>
      <c r="K230" s="128">
        <f t="shared" si="3"/>
        <v>654170</v>
      </c>
      <c r="L230" s="125" t="s">
        <v>838</v>
      </c>
      <c r="M230" s="85" t="s">
        <v>47</v>
      </c>
      <c r="N230" s="85" t="s">
        <v>1491</v>
      </c>
    </row>
    <row r="231" spans="2:14" ht="15.75" thickBot="1" x14ac:dyDescent="0.3">
      <c r="B231" s="82" t="s">
        <v>543</v>
      </c>
      <c r="C231" s="83" t="s">
        <v>629</v>
      </c>
      <c r="D231" s="124" t="s">
        <v>620</v>
      </c>
      <c r="E231" s="130">
        <v>2001</v>
      </c>
      <c r="F231" s="125" t="s">
        <v>732</v>
      </c>
      <c r="G231" s="125">
        <v>55</v>
      </c>
      <c r="H231" s="85">
        <v>11715.32</v>
      </c>
      <c r="I231" s="85" t="s">
        <v>630</v>
      </c>
      <c r="J231" s="128">
        <v>29899</v>
      </c>
      <c r="K231" s="128">
        <f t="shared" si="3"/>
        <v>1644445</v>
      </c>
      <c r="L231" s="125" t="s">
        <v>839</v>
      </c>
      <c r="M231" s="85" t="s">
        <v>47</v>
      </c>
      <c r="N231" s="85" t="s">
        <v>1491</v>
      </c>
    </row>
    <row r="232" spans="2:14" ht="15.75" thickBot="1" x14ac:dyDescent="0.3">
      <c r="B232" s="82" t="s">
        <v>543</v>
      </c>
      <c r="C232" s="83" t="s">
        <v>629</v>
      </c>
      <c r="D232" s="124" t="s">
        <v>620</v>
      </c>
      <c r="E232" s="130">
        <v>2000</v>
      </c>
      <c r="F232" s="125" t="s">
        <v>735</v>
      </c>
      <c r="G232" s="125">
        <v>51</v>
      </c>
      <c r="H232" s="85">
        <v>13542.309999999998</v>
      </c>
      <c r="I232" s="85" t="s">
        <v>630</v>
      </c>
      <c r="J232" s="128">
        <v>36835</v>
      </c>
      <c r="K232" s="128">
        <f t="shared" si="3"/>
        <v>1878585</v>
      </c>
      <c r="L232" s="125" t="s">
        <v>840</v>
      </c>
      <c r="M232" s="85" t="s">
        <v>47</v>
      </c>
      <c r="N232" s="85" t="s">
        <v>1491</v>
      </c>
    </row>
    <row r="233" spans="2:14" ht="15.75" thickBot="1" x14ac:dyDescent="0.3">
      <c r="B233" s="82" t="s">
        <v>543</v>
      </c>
      <c r="C233" s="83" t="s">
        <v>629</v>
      </c>
      <c r="D233" s="124" t="s">
        <v>620</v>
      </c>
      <c r="E233" s="130">
        <v>2005</v>
      </c>
      <c r="F233" s="125" t="s">
        <v>732</v>
      </c>
      <c r="G233" s="125">
        <v>66</v>
      </c>
      <c r="H233" s="85">
        <v>15823.76</v>
      </c>
      <c r="I233" s="85" t="s">
        <v>630</v>
      </c>
      <c r="J233" s="128">
        <v>42623</v>
      </c>
      <c r="K233" s="128">
        <f t="shared" si="3"/>
        <v>2813118</v>
      </c>
      <c r="L233" s="125" t="s">
        <v>841</v>
      </c>
      <c r="M233" s="85" t="s">
        <v>47</v>
      </c>
      <c r="N233" s="85" t="s">
        <v>1491</v>
      </c>
    </row>
    <row r="234" spans="2:14" ht="15.75" thickBot="1" x14ac:dyDescent="0.3">
      <c r="B234" s="82" t="s">
        <v>543</v>
      </c>
      <c r="C234" s="83" t="s">
        <v>629</v>
      </c>
      <c r="D234" s="124" t="s">
        <v>620</v>
      </c>
      <c r="E234" s="130">
        <v>2004</v>
      </c>
      <c r="F234" s="125" t="s">
        <v>732</v>
      </c>
      <c r="G234" s="125">
        <v>53</v>
      </c>
      <c r="H234" s="85">
        <v>13774.29</v>
      </c>
      <c r="I234" s="85" t="s">
        <v>630</v>
      </c>
      <c r="J234" s="128">
        <v>38614</v>
      </c>
      <c r="K234" s="128">
        <f t="shared" si="3"/>
        <v>2046542</v>
      </c>
      <c r="L234" s="125" t="s">
        <v>842</v>
      </c>
      <c r="M234" s="85" t="s">
        <v>47</v>
      </c>
      <c r="N234" s="85" t="s">
        <v>1491</v>
      </c>
    </row>
    <row r="235" spans="2:14" ht="15.75" thickBot="1" x14ac:dyDescent="0.3">
      <c r="B235" s="82" t="s">
        <v>543</v>
      </c>
      <c r="C235" s="83" t="s">
        <v>629</v>
      </c>
      <c r="D235" s="124" t="s">
        <v>620</v>
      </c>
      <c r="E235" s="130">
        <v>2004</v>
      </c>
      <c r="F235" s="125" t="s">
        <v>732</v>
      </c>
      <c r="G235" s="125">
        <v>49</v>
      </c>
      <c r="H235" s="85">
        <v>11512.480000000001</v>
      </c>
      <c r="I235" s="85" t="s">
        <v>630</v>
      </c>
      <c r="J235" s="128">
        <v>29365</v>
      </c>
      <c r="K235" s="128">
        <f t="shared" si="3"/>
        <v>1438885</v>
      </c>
      <c r="L235" s="125" t="s">
        <v>843</v>
      </c>
      <c r="M235" s="85" t="s">
        <v>47</v>
      </c>
      <c r="N235" s="85" t="s">
        <v>1491</v>
      </c>
    </row>
    <row r="236" spans="2:14" ht="15.75" thickBot="1" x14ac:dyDescent="0.3">
      <c r="B236" s="82" t="s">
        <v>543</v>
      </c>
      <c r="C236" s="83" t="s">
        <v>629</v>
      </c>
      <c r="D236" s="124" t="s">
        <v>620</v>
      </c>
      <c r="E236" s="130">
        <v>2004</v>
      </c>
      <c r="F236" s="125" t="s">
        <v>732</v>
      </c>
      <c r="G236" s="125">
        <v>55</v>
      </c>
      <c r="H236" s="85">
        <v>15196.119999999999</v>
      </c>
      <c r="I236" s="85" t="s">
        <v>630</v>
      </c>
      <c r="J236" s="128">
        <v>37619</v>
      </c>
      <c r="K236" s="128">
        <f t="shared" si="3"/>
        <v>2069045</v>
      </c>
      <c r="L236" s="125" t="s">
        <v>844</v>
      </c>
      <c r="M236" s="85" t="s">
        <v>47</v>
      </c>
      <c r="N236" s="85" t="s">
        <v>1491</v>
      </c>
    </row>
    <row r="237" spans="2:14" ht="15.75" thickBot="1" x14ac:dyDescent="0.3">
      <c r="B237" s="82" t="s">
        <v>543</v>
      </c>
      <c r="C237" s="83" t="s">
        <v>629</v>
      </c>
      <c r="D237" s="124" t="s">
        <v>620</v>
      </c>
      <c r="E237" s="130">
        <v>2004</v>
      </c>
      <c r="F237" s="125" t="s">
        <v>732</v>
      </c>
      <c r="G237" s="125">
        <v>55</v>
      </c>
      <c r="H237" s="85">
        <v>12880.480000000001</v>
      </c>
      <c r="I237" s="85" t="s">
        <v>630</v>
      </c>
      <c r="J237" s="128">
        <v>32223</v>
      </c>
      <c r="K237" s="128">
        <f t="shared" si="3"/>
        <v>1772265</v>
      </c>
      <c r="L237" s="125" t="s">
        <v>845</v>
      </c>
      <c r="M237" s="85" t="s">
        <v>47</v>
      </c>
      <c r="N237" s="85" t="s">
        <v>1491</v>
      </c>
    </row>
    <row r="238" spans="2:14" ht="15.75" thickBot="1" x14ac:dyDescent="0.3">
      <c r="B238" s="82" t="s">
        <v>543</v>
      </c>
      <c r="C238" s="83" t="s">
        <v>629</v>
      </c>
      <c r="D238" s="124" t="s">
        <v>620</v>
      </c>
      <c r="E238" s="130">
        <v>2005</v>
      </c>
      <c r="F238" s="125" t="s">
        <v>732</v>
      </c>
      <c r="G238" s="125">
        <v>66</v>
      </c>
      <c r="H238" s="85">
        <v>8322.39</v>
      </c>
      <c r="I238" s="85" t="s">
        <v>630</v>
      </c>
      <c r="J238" s="128">
        <v>23301</v>
      </c>
      <c r="K238" s="128">
        <f t="shared" si="3"/>
        <v>1537866</v>
      </c>
      <c r="L238" s="125" t="s">
        <v>846</v>
      </c>
      <c r="M238" s="85" t="s">
        <v>47</v>
      </c>
      <c r="N238" s="85" t="s">
        <v>1491</v>
      </c>
    </row>
    <row r="239" spans="2:14" ht="15.75" thickBot="1" x14ac:dyDescent="0.3">
      <c r="B239" s="82" t="s">
        <v>543</v>
      </c>
      <c r="C239" s="83" t="s">
        <v>629</v>
      </c>
      <c r="D239" s="124" t="s">
        <v>620</v>
      </c>
      <c r="E239" s="130">
        <v>2005</v>
      </c>
      <c r="F239" s="125" t="s">
        <v>732</v>
      </c>
      <c r="G239" s="125">
        <v>37</v>
      </c>
      <c r="H239" s="85">
        <v>19124.299999999996</v>
      </c>
      <c r="I239" s="85" t="s">
        <v>630</v>
      </c>
      <c r="J239" s="128">
        <v>51903</v>
      </c>
      <c r="K239" s="128">
        <f t="shared" si="3"/>
        <v>1920411</v>
      </c>
      <c r="L239" s="125" t="s">
        <v>847</v>
      </c>
      <c r="M239" s="85" t="s">
        <v>47</v>
      </c>
      <c r="N239" s="85" t="s">
        <v>1491</v>
      </c>
    </row>
    <row r="240" spans="2:14" ht="15.75" thickBot="1" x14ac:dyDescent="0.3">
      <c r="B240" s="82" t="s">
        <v>543</v>
      </c>
      <c r="C240" s="83" t="s">
        <v>629</v>
      </c>
      <c r="D240" s="124" t="s">
        <v>620</v>
      </c>
      <c r="E240" s="130">
        <v>2005</v>
      </c>
      <c r="F240" s="125" t="s">
        <v>732</v>
      </c>
      <c r="G240" s="125">
        <v>37</v>
      </c>
      <c r="H240" s="85">
        <v>14291.93</v>
      </c>
      <c r="I240" s="85" t="s">
        <v>630</v>
      </c>
      <c r="J240" s="128">
        <v>43254</v>
      </c>
      <c r="K240" s="128">
        <f t="shared" si="3"/>
        <v>1600398</v>
      </c>
      <c r="L240" s="125" t="s">
        <v>848</v>
      </c>
      <c r="M240" s="85" t="s">
        <v>47</v>
      </c>
      <c r="N240" s="85" t="s">
        <v>1491</v>
      </c>
    </row>
    <row r="241" spans="2:14" ht="15.75" thickBot="1" x14ac:dyDescent="0.3">
      <c r="B241" s="82" t="s">
        <v>543</v>
      </c>
      <c r="C241" s="83" t="s">
        <v>629</v>
      </c>
      <c r="D241" s="124" t="s">
        <v>620</v>
      </c>
      <c r="E241" s="130">
        <v>2005</v>
      </c>
      <c r="F241" s="125" t="s">
        <v>732</v>
      </c>
      <c r="G241" s="125">
        <v>37</v>
      </c>
      <c r="H241" s="85">
        <v>16712.95</v>
      </c>
      <c r="I241" s="85" t="s">
        <v>630</v>
      </c>
      <c r="J241" s="128">
        <v>48427</v>
      </c>
      <c r="K241" s="128">
        <f t="shared" si="3"/>
        <v>1791799</v>
      </c>
      <c r="L241" s="125" t="s">
        <v>849</v>
      </c>
      <c r="M241" s="85" t="s">
        <v>47</v>
      </c>
      <c r="N241" s="85" t="s">
        <v>1491</v>
      </c>
    </row>
    <row r="242" spans="2:14" ht="15.75" thickBot="1" x14ac:dyDescent="0.3">
      <c r="B242" s="82" t="s">
        <v>543</v>
      </c>
      <c r="C242" s="83" t="s">
        <v>629</v>
      </c>
      <c r="D242" s="124" t="s">
        <v>620</v>
      </c>
      <c r="E242" s="130">
        <v>2005</v>
      </c>
      <c r="F242" s="125" t="s">
        <v>732</v>
      </c>
      <c r="G242" s="125">
        <v>37</v>
      </c>
      <c r="H242" s="85">
        <v>13225.6</v>
      </c>
      <c r="I242" s="85" t="s">
        <v>630</v>
      </c>
      <c r="J242" s="128">
        <v>39219</v>
      </c>
      <c r="K242" s="128">
        <f t="shared" si="3"/>
        <v>1451103</v>
      </c>
      <c r="L242" s="125" t="s">
        <v>850</v>
      </c>
      <c r="M242" s="85" t="s">
        <v>47</v>
      </c>
      <c r="N242" s="85" t="s">
        <v>1491</v>
      </c>
    </row>
    <row r="243" spans="2:14" ht="15.75" thickBot="1" x14ac:dyDescent="0.3">
      <c r="B243" s="82" t="s">
        <v>543</v>
      </c>
      <c r="C243" s="83" t="s">
        <v>629</v>
      </c>
      <c r="D243" s="124" t="s">
        <v>620</v>
      </c>
      <c r="E243" s="130">
        <v>2005</v>
      </c>
      <c r="F243" s="125" t="s">
        <v>732</v>
      </c>
      <c r="G243" s="125">
        <v>37</v>
      </c>
      <c r="H243" s="85">
        <v>19825.165000000001</v>
      </c>
      <c r="I243" s="85" t="s">
        <v>630</v>
      </c>
      <c r="J243" s="128">
        <v>54312</v>
      </c>
      <c r="K243" s="128">
        <f t="shared" si="3"/>
        <v>2009544</v>
      </c>
      <c r="L243" s="125" t="s">
        <v>851</v>
      </c>
      <c r="M243" s="85" t="s">
        <v>47</v>
      </c>
      <c r="N243" s="85" t="s">
        <v>1491</v>
      </c>
    </row>
    <row r="244" spans="2:14" ht="15.75" thickBot="1" x14ac:dyDescent="0.3">
      <c r="B244" s="82" t="s">
        <v>543</v>
      </c>
      <c r="C244" s="83" t="s">
        <v>629</v>
      </c>
      <c r="D244" s="124" t="s">
        <v>620</v>
      </c>
      <c r="E244" s="130">
        <v>2005</v>
      </c>
      <c r="F244" s="125" t="s">
        <v>732</v>
      </c>
      <c r="G244" s="125">
        <v>37</v>
      </c>
      <c r="H244" s="85">
        <v>7526.4000000000005</v>
      </c>
      <c r="I244" s="85" t="s">
        <v>630</v>
      </c>
      <c r="J244" s="128">
        <v>20746</v>
      </c>
      <c r="K244" s="128">
        <f t="shared" si="3"/>
        <v>767602</v>
      </c>
      <c r="L244" s="125" t="s">
        <v>852</v>
      </c>
      <c r="M244" s="85" t="s">
        <v>47</v>
      </c>
      <c r="N244" s="85" t="s">
        <v>1491</v>
      </c>
    </row>
    <row r="245" spans="2:14" ht="15.75" thickBot="1" x14ac:dyDescent="0.3">
      <c r="B245" s="82" t="s">
        <v>543</v>
      </c>
      <c r="C245" s="83" t="s">
        <v>629</v>
      </c>
      <c r="D245" s="124" t="s">
        <v>620</v>
      </c>
      <c r="E245" s="130">
        <v>2005</v>
      </c>
      <c r="F245" s="125" t="s">
        <v>732</v>
      </c>
      <c r="G245" s="125">
        <v>37</v>
      </c>
      <c r="H245" s="85">
        <v>20046.690000000002</v>
      </c>
      <c r="I245" s="85" t="s">
        <v>630</v>
      </c>
      <c r="J245" s="128">
        <v>54544</v>
      </c>
      <c r="K245" s="128">
        <f t="shared" si="3"/>
        <v>2018128</v>
      </c>
      <c r="L245" s="125" t="s">
        <v>853</v>
      </c>
      <c r="M245" s="85" t="s">
        <v>47</v>
      </c>
      <c r="N245" s="85" t="s">
        <v>1491</v>
      </c>
    </row>
    <row r="246" spans="2:14" ht="15.75" thickBot="1" x14ac:dyDescent="0.3">
      <c r="B246" s="82" t="s">
        <v>543</v>
      </c>
      <c r="C246" s="83" t="s">
        <v>629</v>
      </c>
      <c r="D246" s="124" t="s">
        <v>620</v>
      </c>
      <c r="E246" s="130">
        <v>2005</v>
      </c>
      <c r="F246" s="125" t="s">
        <v>732</v>
      </c>
      <c r="G246" s="125">
        <v>37</v>
      </c>
      <c r="H246" s="85">
        <v>5491.9</v>
      </c>
      <c r="I246" s="85" t="s">
        <v>630</v>
      </c>
      <c r="J246" s="128">
        <v>16060</v>
      </c>
      <c r="K246" s="128">
        <f t="shared" si="3"/>
        <v>594220</v>
      </c>
      <c r="L246" s="125" t="s">
        <v>854</v>
      </c>
      <c r="M246" s="85" t="s">
        <v>47</v>
      </c>
      <c r="N246" s="85" t="s">
        <v>1491</v>
      </c>
    </row>
    <row r="247" spans="2:14" ht="15.75" thickBot="1" x14ac:dyDescent="0.3">
      <c r="B247" s="82" t="s">
        <v>543</v>
      </c>
      <c r="C247" s="83" t="s">
        <v>629</v>
      </c>
      <c r="D247" s="124" t="s">
        <v>620</v>
      </c>
      <c r="E247" s="130">
        <v>2005</v>
      </c>
      <c r="F247" s="125" t="s">
        <v>732</v>
      </c>
      <c r="G247" s="125">
        <v>37</v>
      </c>
      <c r="H247" s="85">
        <v>21956.990999999998</v>
      </c>
      <c r="I247" s="85" t="s">
        <v>630</v>
      </c>
      <c r="J247" s="128">
        <v>60348</v>
      </c>
      <c r="K247" s="128">
        <f t="shared" si="3"/>
        <v>2232876</v>
      </c>
      <c r="L247" s="125" t="s">
        <v>855</v>
      </c>
      <c r="M247" s="85" t="s">
        <v>47</v>
      </c>
      <c r="N247" s="85" t="s">
        <v>1491</v>
      </c>
    </row>
    <row r="248" spans="2:14" ht="15.75" thickBot="1" x14ac:dyDescent="0.3">
      <c r="B248" s="82" t="s">
        <v>543</v>
      </c>
      <c r="C248" s="83" t="s">
        <v>629</v>
      </c>
      <c r="D248" s="124" t="s">
        <v>620</v>
      </c>
      <c r="E248" s="130">
        <v>2007</v>
      </c>
      <c r="F248" s="125" t="s">
        <v>731</v>
      </c>
      <c r="G248" s="125">
        <v>55</v>
      </c>
      <c r="H248" s="85">
        <v>22187.574000000001</v>
      </c>
      <c r="I248" s="85" t="s">
        <v>630</v>
      </c>
      <c r="J248" s="128">
        <v>60977</v>
      </c>
      <c r="K248" s="128">
        <f t="shared" si="3"/>
        <v>3353735</v>
      </c>
      <c r="L248" s="125" t="s">
        <v>856</v>
      </c>
      <c r="M248" s="85" t="s">
        <v>47</v>
      </c>
      <c r="N248" s="85" t="s">
        <v>1491</v>
      </c>
    </row>
    <row r="249" spans="2:14" ht="15.75" thickBot="1" x14ac:dyDescent="0.3">
      <c r="B249" s="82" t="s">
        <v>543</v>
      </c>
      <c r="C249" s="83" t="s">
        <v>629</v>
      </c>
      <c r="D249" s="124" t="s">
        <v>620</v>
      </c>
      <c r="E249" s="130">
        <v>2013</v>
      </c>
      <c r="F249" s="125" t="s">
        <v>733</v>
      </c>
      <c r="G249" s="125">
        <v>53</v>
      </c>
      <c r="H249" s="85">
        <v>21644.26</v>
      </c>
      <c r="I249" s="85" t="s">
        <v>630</v>
      </c>
      <c r="J249" s="128">
        <v>62042</v>
      </c>
      <c r="K249" s="128">
        <f t="shared" si="3"/>
        <v>3288226</v>
      </c>
      <c r="L249" s="125" t="s">
        <v>857</v>
      </c>
      <c r="M249" s="85" t="s">
        <v>47</v>
      </c>
      <c r="N249" s="85" t="s">
        <v>1491</v>
      </c>
    </row>
    <row r="250" spans="2:14" ht="15.75" thickBot="1" x14ac:dyDescent="0.3">
      <c r="B250" s="82" t="s">
        <v>543</v>
      </c>
      <c r="C250" s="83" t="s">
        <v>629</v>
      </c>
      <c r="D250" s="124" t="s">
        <v>620</v>
      </c>
      <c r="E250" s="130">
        <v>2013</v>
      </c>
      <c r="F250" s="125" t="s">
        <v>733</v>
      </c>
      <c r="G250" s="125">
        <v>53</v>
      </c>
      <c r="H250" s="85">
        <v>16702.331999999999</v>
      </c>
      <c r="I250" s="85" t="s">
        <v>630</v>
      </c>
      <c r="J250" s="128">
        <v>50843</v>
      </c>
      <c r="K250" s="128">
        <f t="shared" si="3"/>
        <v>2694679</v>
      </c>
      <c r="L250" s="125" t="s">
        <v>858</v>
      </c>
      <c r="M250" s="85" t="s">
        <v>47</v>
      </c>
      <c r="N250" s="85" t="s">
        <v>1491</v>
      </c>
    </row>
    <row r="251" spans="2:14" ht="15.75" thickBot="1" x14ac:dyDescent="0.3">
      <c r="B251" s="82" t="s">
        <v>545</v>
      </c>
      <c r="C251" s="83" t="s">
        <v>629</v>
      </c>
      <c r="D251" s="124" t="s">
        <v>620</v>
      </c>
      <c r="E251" s="130">
        <v>2019</v>
      </c>
      <c r="F251" s="125" t="s">
        <v>733</v>
      </c>
      <c r="G251" s="125">
        <v>53</v>
      </c>
      <c r="H251" s="85">
        <v>30721.37</v>
      </c>
      <c r="I251" s="85" t="s">
        <v>630</v>
      </c>
      <c r="J251" s="128">
        <v>125345</v>
      </c>
      <c r="K251" s="128">
        <f t="shared" si="3"/>
        <v>6643285</v>
      </c>
      <c r="L251" s="125" t="s">
        <v>859</v>
      </c>
      <c r="M251" s="85" t="s">
        <v>47</v>
      </c>
      <c r="N251" s="85" t="s">
        <v>1491</v>
      </c>
    </row>
    <row r="252" spans="2:14" ht="15.75" thickBot="1" x14ac:dyDescent="0.3">
      <c r="B252" s="82" t="s">
        <v>545</v>
      </c>
      <c r="C252" s="83" t="s">
        <v>629</v>
      </c>
      <c r="D252" s="124" t="s">
        <v>620</v>
      </c>
      <c r="E252" s="130">
        <v>2019</v>
      </c>
      <c r="F252" s="125" t="s">
        <v>733</v>
      </c>
      <c r="G252" s="125">
        <v>53</v>
      </c>
      <c r="H252" s="85">
        <v>21905.25</v>
      </c>
      <c r="I252" s="85" t="s">
        <v>630</v>
      </c>
      <c r="J252" s="128">
        <v>88805</v>
      </c>
      <c r="K252" s="128">
        <f t="shared" si="3"/>
        <v>4706665</v>
      </c>
      <c r="L252" s="125" t="s">
        <v>860</v>
      </c>
      <c r="M252" s="85" t="s">
        <v>47</v>
      </c>
      <c r="N252" s="85" t="s">
        <v>1491</v>
      </c>
    </row>
    <row r="253" spans="2:14" ht="15.75" thickBot="1" x14ac:dyDescent="0.3">
      <c r="B253" s="82" t="s">
        <v>545</v>
      </c>
      <c r="C253" s="83" t="s">
        <v>629</v>
      </c>
      <c r="D253" s="124" t="s">
        <v>620</v>
      </c>
      <c r="E253" s="130">
        <v>2019</v>
      </c>
      <c r="F253" s="125" t="s">
        <v>733</v>
      </c>
      <c r="G253" s="125">
        <v>53</v>
      </c>
      <c r="H253" s="85">
        <v>22278.77</v>
      </c>
      <c r="I253" s="85" t="s">
        <v>630</v>
      </c>
      <c r="J253" s="128">
        <v>88546</v>
      </c>
      <c r="K253" s="128">
        <f t="shared" si="3"/>
        <v>4692938</v>
      </c>
      <c r="L253" s="125" t="s">
        <v>861</v>
      </c>
      <c r="M253" s="85" t="s">
        <v>47</v>
      </c>
      <c r="N253" s="85" t="s">
        <v>1491</v>
      </c>
    </row>
    <row r="254" spans="2:14" ht="15.75" thickBot="1" x14ac:dyDescent="0.3">
      <c r="B254" s="82" t="s">
        <v>545</v>
      </c>
      <c r="C254" s="83" t="s">
        <v>629</v>
      </c>
      <c r="D254" s="124" t="s">
        <v>620</v>
      </c>
      <c r="E254" s="130">
        <v>2019</v>
      </c>
      <c r="F254" s="125" t="s">
        <v>733</v>
      </c>
      <c r="G254" s="125">
        <v>53</v>
      </c>
      <c r="H254" s="85">
        <v>22057.75</v>
      </c>
      <c r="I254" s="85" t="s">
        <v>630</v>
      </c>
      <c r="J254" s="128">
        <v>91538</v>
      </c>
      <c r="K254" s="128">
        <f t="shared" si="3"/>
        <v>4851514</v>
      </c>
      <c r="L254" s="125" t="s">
        <v>862</v>
      </c>
      <c r="M254" s="85" t="s">
        <v>47</v>
      </c>
      <c r="N254" s="85" t="s">
        <v>1491</v>
      </c>
    </row>
    <row r="255" spans="2:14" ht="15.75" thickBot="1" x14ac:dyDescent="0.3">
      <c r="B255" s="82" t="s">
        <v>545</v>
      </c>
      <c r="C255" s="83" t="s">
        <v>629</v>
      </c>
      <c r="D255" s="124" t="s">
        <v>620</v>
      </c>
      <c r="E255" s="130">
        <v>2019</v>
      </c>
      <c r="F255" s="125" t="s">
        <v>733</v>
      </c>
      <c r="G255" s="125">
        <v>53</v>
      </c>
      <c r="H255" s="85">
        <v>34800.58</v>
      </c>
      <c r="I255" s="85" t="s">
        <v>630</v>
      </c>
      <c r="J255" s="128">
        <v>141959</v>
      </c>
      <c r="K255" s="128">
        <f t="shared" si="3"/>
        <v>7523827</v>
      </c>
      <c r="L255" s="125" t="s">
        <v>863</v>
      </c>
      <c r="M255" s="85" t="s">
        <v>47</v>
      </c>
      <c r="N255" s="85" t="s">
        <v>1491</v>
      </c>
    </row>
    <row r="256" spans="2:14" ht="15.75" thickBot="1" x14ac:dyDescent="0.3">
      <c r="B256" s="82" t="s">
        <v>545</v>
      </c>
      <c r="C256" s="83" t="s">
        <v>629</v>
      </c>
      <c r="D256" s="124" t="s">
        <v>620</v>
      </c>
      <c r="E256" s="130">
        <v>2019</v>
      </c>
      <c r="F256" s="125" t="s">
        <v>733</v>
      </c>
      <c r="G256" s="125">
        <v>53</v>
      </c>
      <c r="H256" s="85">
        <v>28332.68</v>
      </c>
      <c r="I256" s="85" t="s">
        <v>630</v>
      </c>
      <c r="J256" s="128">
        <v>111639</v>
      </c>
      <c r="K256" s="128">
        <f t="shared" si="3"/>
        <v>5916867</v>
      </c>
      <c r="L256" s="125" t="s">
        <v>864</v>
      </c>
      <c r="M256" s="85" t="s">
        <v>47</v>
      </c>
      <c r="N256" s="85" t="s">
        <v>1491</v>
      </c>
    </row>
    <row r="257" spans="2:14" ht="15.75" thickBot="1" x14ac:dyDescent="0.3">
      <c r="B257" s="82" t="s">
        <v>545</v>
      </c>
      <c r="C257" s="83" t="s">
        <v>629</v>
      </c>
      <c r="D257" s="124" t="s">
        <v>620</v>
      </c>
      <c r="E257" s="130">
        <v>2019</v>
      </c>
      <c r="F257" s="125" t="s">
        <v>733</v>
      </c>
      <c r="G257" s="125">
        <v>39</v>
      </c>
      <c r="H257" s="85">
        <v>14209.59</v>
      </c>
      <c r="I257" s="85" t="s">
        <v>630</v>
      </c>
      <c r="J257" s="128">
        <v>50385</v>
      </c>
      <c r="K257" s="128">
        <f t="shared" si="3"/>
        <v>1965015</v>
      </c>
      <c r="L257" s="125" t="s">
        <v>865</v>
      </c>
      <c r="M257" s="85" t="s">
        <v>47</v>
      </c>
      <c r="N257" s="85" t="s">
        <v>1491</v>
      </c>
    </row>
    <row r="258" spans="2:14" ht="15.75" thickBot="1" x14ac:dyDescent="0.3">
      <c r="B258" s="82" t="s">
        <v>545</v>
      </c>
      <c r="C258" s="83" t="s">
        <v>629</v>
      </c>
      <c r="D258" s="124" t="s">
        <v>620</v>
      </c>
      <c r="E258" s="130">
        <v>2019</v>
      </c>
      <c r="F258" s="125" t="s">
        <v>733</v>
      </c>
      <c r="G258" s="125">
        <v>39</v>
      </c>
      <c r="H258" s="85">
        <v>14914.73</v>
      </c>
      <c r="I258" s="85" t="s">
        <v>630</v>
      </c>
      <c r="J258" s="128">
        <v>54595</v>
      </c>
      <c r="K258" s="128">
        <f t="shared" si="3"/>
        <v>2129205</v>
      </c>
      <c r="L258" s="125" t="s">
        <v>866</v>
      </c>
      <c r="M258" s="85" t="s">
        <v>47</v>
      </c>
      <c r="N258" s="85" t="s">
        <v>1491</v>
      </c>
    </row>
    <row r="259" spans="2:14" ht="15.75" thickBot="1" x14ac:dyDescent="0.3">
      <c r="B259" s="82" t="s">
        <v>545</v>
      </c>
      <c r="C259" s="83" t="s">
        <v>629</v>
      </c>
      <c r="D259" s="124" t="s">
        <v>620</v>
      </c>
      <c r="E259" s="130">
        <v>2019</v>
      </c>
      <c r="F259" s="125" t="s">
        <v>733</v>
      </c>
      <c r="G259" s="125">
        <v>63</v>
      </c>
      <c r="H259" s="85">
        <v>58340.22</v>
      </c>
      <c r="I259" s="85" t="s">
        <v>630</v>
      </c>
      <c r="J259" s="128">
        <v>193964</v>
      </c>
      <c r="K259" s="128">
        <f t="shared" si="3"/>
        <v>12219732</v>
      </c>
      <c r="L259" s="125" t="s">
        <v>867</v>
      </c>
      <c r="M259" s="85" t="s">
        <v>47</v>
      </c>
      <c r="N259" s="85" t="s">
        <v>1491</v>
      </c>
    </row>
    <row r="260" spans="2:14" ht="15.75" thickBot="1" x14ac:dyDescent="0.3">
      <c r="B260" s="82" t="s">
        <v>545</v>
      </c>
      <c r="C260" s="83" t="s">
        <v>629</v>
      </c>
      <c r="D260" s="124" t="s">
        <v>620</v>
      </c>
      <c r="E260" s="130">
        <v>2019</v>
      </c>
      <c r="F260" s="125" t="s">
        <v>733</v>
      </c>
      <c r="G260" s="125">
        <v>19</v>
      </c>
      <c r="H260" s="85">
        <v>4640.3600000000006</v>
      </c>
      <c r="I260" s="85" t="s">
        <v>630</v>
      </c>
      <c r="J260" s="128">
        <v>25605</v>
      </c>
      <c r="K260" s="128">
        <f t="shared" si="3"/>
        <v>486495</v>
      </c>
      <c r="L260" s="125" t="s">
        <v>868</v>
      </c>
      <c r="M260" s="85" t="s">
        <v>47</v>
      </c>
      <c r="N260" s="85" t="s">
        <v>1491</v>
      </c>
    </row>
    <row r="261" spans="2:14" ht="15.75" thickBot="1" x14ac:dyDescent="0.3">
      <c r="B261" s="82" t="s">
        <v>545</v>
      </c>
      <c r="C261" s="83" t="s">
        <v>629</v>
      </c>
      <c r="D261" s="124" t="s">
        <v>620</v>
      </c>
      <c r="E261" s="130">
        <v>2019</v>
      </c>
      <c r="F261" s="125" t="s">
        <v>733</v>
      </c>
      <c r="G261" s="125">
        <v>39</v>
      </c>
      <c r="H261" s="85">
        <v>14279.4</v>
      </c>
      <c r="I261" s="85" t="s">
        <v>630</v>
      </c>
      <c r="J261" s="128">
        <v>52981</v>
      </c>
      <c r="K261" s="128">
        <f t="shared" si="3"/>
        <v>2066259</v>
      </c>
      <c r="L261" s="125" t="s">
        <v>869</v>
      </c>
      <c r="M261" s="85" t="s">
        <v>47</v>
      </c>
      <c r="N261" s="85" t="s">
        <v>1491</v>
      </c>
    </row>
    <row r="262" spans="2:14" ht="15.75" thickBot="1" x14ac:dyDescent="0.3">
      <c r="B262" s="82" t="s">
        <v>545</v>
      </c>
      <c r="C262" s="83" t="s">
        <v>629</v>
      </c>
      <c r="D262" s="124" t="s">
        <v>620</v>
      </c>
      <c r="E262" s="130">
        <v>2019</v>
      </c>
      <c r="F262" s="125" t="s">
        <v>733</v>
      </c>
      <c r="G262" s="125">
        <v>53</v>
      </c>
      <c r="H262" s="85">
        <v>27826.34</v>
      </c>
      <c r="I262" s="85" t="s">
        <v>630</v>
      </c>
      <c r="J262" s="128">
        <v>110366</v>
      </c>
      <c r="K262" s="128">
        <f t="shared" si="3"/>
        <v>5849398</v>
      </c>
      <c r="L262" s="125" t="s">
        <v>870</v>
      </c>
      <c r="M262" s="85" t="s">
        <v>47</v>
      </c>
      <c r="N262" s="85" t="s">
        <v>1491</v>
      </c>
    </row>
    <row r="263" spans="2:14" ht="15.75" thickBot="1" x14ac:dyDescent="0.3">
      <c r="B263" s="82" t="s">
        <v>545</v>
      </c>
      <c r="C263" s="83" t="s">
        <v>629</v>
      </c>
      <c r="D263" s="124" t="s">
        <v>620</v>
      </c>
      <c r="E263" s="130">
        <v>2019</v>
      </c>
      <c r="F263" s="125" t="s">
        <v>733</v>
      </c>
      <c r="G263" s="125">
        <v>29</v>
      </c>
      <c r="H263" s="85">
        <v>3666.77</v>
      </c>
      <c r="I263" s="85" t="s">
        <v>630</v>
      </c>
      <c r="J263" s="128">
        <v>16135</v>
      </c>
      <c r="K263" s="128">
        <f t="shared" si="3"/>
        <v>467915</v>
      </c>
      <c r="L263" s="125" t="s">
        <v>871</v>
      </c>
      <c r="M263" s="85" t="s">
        <v>47</v>
      </c>
      <c r="N263" s="85" t="s">
        <v>1491</v>
      </c>
    </row>
    <row r="264" spans="2:14" ht="15.75" thickBot="1" x14ac:dyDescent="0.3">
      <c r="B264" s="82" t="s">
        <v>545</v>
      </c>
      <c r="C264" s="83" t="s">
        <v>629</v>
      </c>
      <c r="D264" s="124" t="s">
        <v>620</v>
      </c>
      <c r="E264" s="130">
        <v>2019</v>
      </c>
      <c r="F264" s="125" t="s">
        <v>733</v>
      </c>
      <c r="G264" s="125">
        <v>29</v>
      </c>
      <c r="H264" s="85">
        <v>3279.96</v>
      </c>
      <c r="I264" s="85" t="s">
        <v>630</v>
      </c>
      <c r="J264" s="128">
        <v>14522</v>
      </c>
      <c r="K264" s="128">
        <f t="shared" si="3"/>
        <v>421138</v>
      </c>
      <c r="L264" s="125" t="s">
        <v>872</v>
      </c>
      <c r="M264" s="85" t="s">
        <v>47</v>
      </c>
      <c r="N264" s="85" t="s">
        <v>1491</v>
      </c>
    </row>
    <row r="265" spans="2:14" ht="15.75" thickBot="1" x14ac:dyDescent="0.3">
      <c r="B265" s="82" t="s">
        <v>545</v>
      </c>
      <c r="C265" s="83" t="s">
        <v>629</v>
      </c>
      <c r="D265" s="124" t="s">
        <v>620</v>
      </c>
      <c r="E265" s="130">
        <v>2019</v>
      </c>
      <c r="F265" s="125" t="s">
        <v>733</v>
      </c>
      <c r="G265" s="125">
        <v>29</v>
      </c>
      <c r="H265" s="85">
        <v>3921.12</v>
      </c>
      <c r="I265" s="85" t="s">
        <v>630</v>
      </c>
      <c r="J265" s="128">
        <v>17984</v>
      </c>
      <c r="K265" s="128">
        <f t="shared" si="3"/>
        <v>521536</v>
      </c>
      <c r="L265" s="125" t="s">
        <v>873</v>
      </c>
      <c r="M265" s="85" t="s">
        <v>47</v>
      </c>
      <c r="N265" s="85" t="s">
        <v>1491</v>
      </c>
    </row>
    <row r="266" spans="2:14" ht="15.75" thickBot="1" x14ac:dyDescent="0.3">
      <c r="B266" s="82" t="s">
        <v>545</v>
      </c>
      <c r="C266" s="83" t="s">
        <v>629</v>
      </c>
      <c r="D266" s="124" t="s">
        <v>620</v>
      </c>
      <c r="E266" s="130">
        <v>2012</v>
      </c>
      <c r="F266" s="125" t="s">
        <v>734</v>
      </c>
      <c r="G266" s="125">
        <v>57</v>
      </c>
      <c r="H266" s="85">
        <v>21205.773000000001</v>
      </c>
      <c r="I266" s="85" t="s">
        <v>630</v>
      </c>
      <c r="J266" s="128">
        <v>68017</v>
      </c>
      <c r="K266" s="128">
        <f t="shared" si="3"/>
        <v>3876969</v>
      </c>
      <c r="L266" s="125" t="s">
        <v>874</v>
      </c>
      <c r="M266" s="85" t="s">
        <v>47</v>
      </c>
      <c r="N266" s="85" t="s">
        <v>1491</v>
      </c>
    </row>
    <row r="267" spans="2:14" ht="15.75" thickBot="1" x14ac:dyDescent="0.3">
      <c r="B267" s="82" t="s">
        <v>545</v>
      </c>
      <c r="C267" s="83" t="s">
        <v>629</v>
      </c>
      <c r="D267" s="124" t="s">
        <v>620</v>
      </c>
      <c r="E267" s="130">
        <v>2019</v>
      </c>
      <c r="F267" s="125" t="s">
        <v>733</v>
      </c>
      <c r="G267" s="125">
        <v>25</v>
      </c>
      <c r="H267" s="85">
        <v>15966.19</v>
      </c>
      <c r="I267" s="85" t="s">
        <v>630</v>
      </c>
      <c r="J267" s="128">
        <v>86875</v>
      </c>
      <c r="K267" s="128">
        <f t="shared" si="3"/>
        <v>2171875</v>
      </c>
      <c r="L267" s="125" t="s">
        <v>875</v>
      </c>
      <c r="M267" s="85" t="s">
        <v>47</v>
      </c>
      <c r="N267" s="85" t="s">
        <v>1491</v>
      </c>
    </row>
    <row r="268" spans="2:14" ht="15.75" thickBot="1" x14ac:dyDescent="0.3">
      <c r="B268" s="82" t="s">
        <v>545</v>
      </c>
      <c r="C268" s="83" t="s">
        <v>629</v>
      </c>
      <c r="D268" s="124" t="s">
        <v>620</v>
      </c>
      <c r="E268" s="130">
        <v>2015</v>
      </c>
      <c r="F268" s="125" t="s">
        <v>733</v>
      </c>
      <c r="G268" s="125">
        <v>25</v>
      </c>
      <c r="H268" s="85">
        <v>1456.77</v>
      </c>
      <c r="I268" s="85" t="s">
        <v>630</v>
      </c>
      <c r="J268" s="128">
        <v>7253</v>
      </c>
      <c r="K268" s="128">
        <f t="shared" si="3"/>
        <v>181325</v>
      </c>
      <c r="L268" s="125" t="s">
        <v>876</v>
      </c>
      <c r="M268" s="85" t="s">
        <v>47</v>
      </c>
      <c r="N268" s="85" t="s">
        <v>1491</v>
      </c>
    </row>
    <row r="269" spans="2:14" ht="15.75" thickBot="1" x14ac:dyDescent="0.3">
      <c r="B269" s="82" t="s">
        <v>545</v>
      </c>
      <c r="C269" s="83" t="s">
        <v>629</v>
      </c>
      <c r="D269" s="124" t="s">
        <v>620</v>
      </c>
      <c r="E269" s="130">
        <v>2019</v>
      </c>
      <c r="F269" s="125" t="s">
        <v>733</v>
      </c>
      <c r="G269" s="125">
        <v>25</v>
      </c>
      <c r="H269" s="85">
        <v>6130.18</v>
      </c>
      <c r="I269" s="85" t="s">
        <v>630</v>
      </c>
      <c r="J269" s="128">
        <v>35935</v>
      </c>
      <c r="K269" s="128">
        <f t="shared" si="3"/>
        <v>898375</v>
      </c>
      <c r="L269" s="125" t="s">
        <v>877</v>
      </c>
      <c r="M269" s="85" t="s">
        <v>47</v>
      </c>
      <c r="N269" s="85" t="s">
        <v>1491</v>
      </c>
    </row>
    <row r="270" spans="2:14" ht="15.75" thickBot="1" x14ac:dyDescent="0.3">
      <c r="B270" s="82" t="s">
        <v>545</v>
      </c>
      <c r="C270" s="83" t="s">
        <v>629</v>
      </c>
      <c r="D270" s="124" t="s">
        <v>620</v>
      </c>
      <c r="E270" s="130">
        <v>2020</v>
      </c>
      <c r="F270" s="125" t="s">
        <v>733</v>
      </c>
      <c r="G270" s="125">
        <v>53</v>
      </c>
      <c r="H270" s="85">
        <v>26206.86</v>
      </c>
      <c r="I270" s="85" t="s">
        <v>630</v>
      </c>
      <c r="J270" s="128">
        <v>105882</v>
      </c>
      <c r="K270" s="128">
        <f t="shared" si="3"/>
        <v>5611746</v>
      </c>
      <c r="L270" s="125" t="s">
        <v>878</v>
      </c>
      <c r="M270" s="85" t="s">
        <v>47</v>
      </c>
      <c r="N270" s="85" t="s">
        <v>1491</v>
      </c>
    </row>
    <row r="271" spans="2:14" ht="15.75" thickBot="1" x14ac:dyDescent="0.3">
      <c r="B271" s="82" t="s">
        <v>545</v>
      </c>
      <c r="C271" s="83" t="s">
        <v>629</v>
      </c>
      <c r="D271" s="124" t="s">
        <v>620</v>
      </c>
      <c r="E271" s="130">
        <v>2020</v>
      </c>
      <c r="F271" s="125" t="s">
        <v>733</v>
      </c>
      <c r="G271" s="125">
        <v>53</v>
      </c>
      <c r="H271" s="85">
        <v>26831.059999999998</v>
      </c>
      <c r="I271" s="85" t="s">
        <v>630</v>
      </c>
      <c r="J271" s="128">
        <v>104124</v>
      </c>
      <c r="K271" s="128">
        <f t="shared" si="3"/>
        <v>5518572</v>
      </c>
      <c r="L271" s="125" t="s">
        <v>879</v>
      </c>
      <c r="M271" s="85" t="s">
        <v>47</v>
      </c>
      <c r="N271" s="85" t="s">
        <v>1491</v>
      </c>
    </row>
    <row r="272" spans="2:14" ht="15.75" thickBot="1" x14ac:dyDescent="0.3">
      <c r="B272" s="82" t="s">
        <v>545</v>
      </c>
      <c r="C272" s="83" t="s">
        <v>629</v>
      </c>
      <c r="D272" s="124" t="s">
        <v>620</v>
      </c>
      <c r="E272" s="130">
        <v>2020</v>
      </c>
      <c r="F272" s="125" t="s">
        <v>733</v>
      </c>
      <c r="G272" s="125">
        <v>53</v>
      </c>
      <c r="H272" s="85">
        <v>28882.090000000004</v>
      </c>
      <c r="I272" s="85" t="s">
        <v>630</v>
      </c>
      <c r="J272" s="128">
        <v>116828</v>
      </c>
      <c r="K272" s="128">
        <f t="shared" si="3"/>
        <v>6191884</v>
      </c>
      <c r="L272" s="125" t="s">
        <v>880</v>
      </c>
      <c r="M272" s="85" t="s">
        <v>47</v>
      </c>
      <c r="N272" s="85" t="s">
        <v>1491</v>
      </c>
    </row>
    <row r="273" spans="2:14" ht="15.75" thickBot="1" x14ac:dyDescent="0.3">
      <c r="B273" s="82" t="s">
        <v>545</v>
      </c>
      <c r="C273" s="83" t="s">
        <v>629</v>
      </c>
      <c r="D273" s="124" t="s">
        <v>620</v>
      </c>
      <c r="E273" s="130">
        <v>2020</v>
      </c>
      <c r="F273" s="125" t="s">
        <v>733</v>
      </c>
      <c r="G273" s="125">
        <v>53</v>
      </c>
      <c r="H273" s="85">
        <v>32375.040000000001</v>
      </c>
      <c r="I273" s="85" t="s">
        <v>630</v>
      </c>
      <c r="J273" s="128">
        <v>132282</v>
      </c>
      <c r="K273" s="128">
        <f t="shared" si="3"/>
        <v>7010946</v>
      </c>
      <c r="L273" s="125" t="s">
        <v>881</v>
      </c>
      <c r="M273" s="85" t="s">
        <v>47</v>
      </c>
      <c r="N273" s="85" t="s">
        <v>1491</v>
      </c>
    </row>
    <row r="274" spans="2:14" ht="15.75" thickBot="1" x14ac:dyDescent="0.3">
      <c r="B274" s="82" t="s">
        <v>545</v>
      </c>
      <c r="C274" s="83" t="s">
        <v>629</v>
      </c>
      <c r="D274" s="124" t="s">
        <v>620</v>
      </c>
      <c r="E274" s="130">
        <v>2020</v>
      </c>
      <c r="F274" s="125" t="s">
        <v>733</v>
      </c>
      <c r="G274" s="125">
        <v>63</v>
      </c>
      <c r="H274" s="85">
        <v>71262.09</v>
      </c>
      <c r="I274" s="85" t="s">
        <v>630</v>
      </c>
      <c r="J274" s="128">
        <v>246632</v>
      </c>
      <c r="K274" s="128">
        <f t="shared" si="3"/>
        <v>15537816</v>
      </c>
      <c r="L274" s="125" t="s">
        <v>882</v>
      </c>
      <c r="M274" s="85" t="s">
        <v>47</v>
      </c>
      <c r="N274" s="85" t="s">
        <v>1491</v>
      </c>
    </row>
    <row r="275" spans="2:14" ht="15.75" thickBot="1" x14ac:dyDescent="0.3">
      <c r="B275" s="82" t="s">
        <v>545</v>
      </c>
      <c r="C275" s="83" t="s">
        <v>629</v>
      </c>
      <c r="D275" s="124" t="s">
        <v>620</v>
      </c>
      <c r="E275" s="130">
        <v>2020</v>
      </c>
      <c r="F275" s="125" t="s">
        <v>733</v>
      </c>
      <c r="G275" s="125">
        <v>29</v>
      </c>
      <c r="H275" s="85">
        <v>3506.84</v>
      </c>
      <c r="I275" s="85" t="s">
        <v>630</v>
      </c>
      <c r="J275" s="128">
        <v>18896</v>
      </c>
      <c r="K275" s="128">
        <f t="shared" si="3"/>
        <v>547984</v>
      </c>
      <c r="L275" s="125" t="s">
        <v>883</v>
      </c>
      <c r="M275" s="85" t="s">
        <v>47</v>
      </c>
      <c r="N275" s="85" t="s">
        <v>1491</v>
      </c>
    </row>
    <row r="276" spans="2:14" ht="15.75" thickBot="1" x14ac:dyDescent="0.3">
      <c r="B276" s="82" t="s">
        <v>545</v>
      </c>
      <c r="C276" s="83" t="s">
        <v>629</v>
      </c>
      <c r="D276" s="124" t="s">
        <v>620</v>
      </c>
      <c r="E276" s="130">
        <v>2020</v>
      </c>
      <c r="F276" s="125" t="s">
        <v>733</v>
      </c>
      <c r="G276" s="125">
        <v>29</v>
      </c>
      <c r="H276" s="85">
        <v>2928.9499999999994</v>
      </c>
      <c r="I276" s="85" t="s">
        <v>630</v>
      </c>
      <c r="J276" s="128">
        <v>13405</v>
      </c>
      <c r="K276" s="128">
        <f t="shared" si="3"/>
        <v>388745</v>
      </c>
      <c r="L276" s="125" t="s">
        <v>884</v>
      </c>
      <c r="M276" s="85" t="s">
        <v>47</v>
      </c>
      <c r="N276" s="85" t="s">
        <v>1491</v>
      </c>
    </row>
    <row r="277" spans="2:14" ht="15.75" thickBot="1" x14ac:dyDescent="0.3">
      <c r="B277" s="82" t="s">
        <v>545</v>
      </c>
      <c r="C277" s="83" t="s">
        <v>629</v>
      </c>
      <c r="D277" s="124" t="s">
        <v>620</v>
      </c>
      <c r="E277" s="130">
        <v>2020</v>
      </c>
      <c r="F277" s="125" t="s">
        <v>733</v>
      </c>
      <c r="G277" s="125">
        <v>29</v>
      </c>
      <c r="H277" s="85">
        <v>2184.25</v>
      </c>
      <c r="I277" s="85" t="s">
        <v>630</v>
      </c>
      <c r="J277" s="128">
        <v>10445</v>
      </c>
      <c r="K277" s="128">
        <f t="shared" si="3"/>
        <v>302905</v>
      </c>
      <c r="L277" s="125" t="s">
        <v>885</v>
      </c>
      <c r="M277" s="85" t="s">
        <v>47</v>
      </c>
      <c r="N277" s="85" t="s">
        <v>1491</v>
      </c>
    </row>
    <row r="278" spans="2:14" ht="15.75" thickBot="1" x14ac:dyDescent="0.3">
      <c r="B278" s="82" t="s">
        <v>545</v>
      </c>
      <c r="C278" s="83" t="s">
        <v>629</v>
      </c>
      <c r="D278" s="124" t="s">
        <v>620</v>
      </c>
      <c r="E278" s="130">
        <v>2020</v>
      </c>
      <c r="F278" s="125" t="s">
        <v>733</v>
      </c>
      <c r="G278" s="125">
        <v>29</v>
      </c>
      <c r="H278" s="85">
        <v>2619.5500000000002</v>
      </c>
      <c r="I278" s="85" t="s">
        <v>630</v>
      </c>
      <c r="J278" s="128">
        <v>12291</v>
      </c>
      <c r="K278" s="128">
        <f t="shared" si="3"/>
        <v>356439</v>
      </c>
      <c r="L278" s="125" t="s">
        <v>886</v>
      </c>
      <c r="M278" s="85" t="s">
        <v>47</v>
      </c>
      <c r="N278" s="85" t="s">
        <v>1491</v>
      </c>
    </row>
    <row r="279" spans="2:14" ht="15.75" thickBot="1" x14ac:dyDescent="0.3">
      <c r="B279" s="82" t="s">
        <v>545</v>
      </c>
      <c r="C279" s="83" t="s">
        <v>629</v>
      </c>
      <c r="D279" s="124" t="s">
        <v>620</v>
      </c>
      <c r="E279" s="130">
        <v>2007</v>
      </c>
      <c r="F279" s="125" t="s">
        <v>731</v>
      </c>
      <c r="G279" s="125">
        <v>53</v>
      </c>
      <c r="H279" s="85">
        <v>14582.240000000002</v>
      </c>
      <c r="I279" s="85" t="s">
        <v>630</v>
      </c>
      <c r="J279" s="128">
        <v>46318</v>
      </c>
      <c r="K279" s="128">
        <f t="shared" si="3"/>
        <v>2454854</v>
      </c>
      <c r="L279" s="125" t="s">
        <v>887</v>
      </c>
      <c r="M279" s="85" t="s">
        <v>47</v>
      </c>
      <c r="N279" s="85" t="s">
        <v>1491</v>
      </c>
    </row>
    <row r="280" spans="2:14" ht="15.75" thickBot="1" x14ac:dyDescent="0.3">
      <c r="B280" s="82" t="s">
        <v>545</v>
      </c>
      <c r="C280" s="83" t="s">
        <v>629</v>
      </c>
      <c r="D280" s="124" t="s">
        <v>620</v>
      </c>
      <c r="E280" s="130">
        <v>2015</v>
      </c>
      <c r="F280" s="125" t="s">
        <v>733</v>
      </c>
      <c r="G280" s="125">
        <v>39</v>
      </c>
      <c r="H280" s="85">
        <v>14058.049999999997</v>
      </c>
      <c r="I280" s="85" t="s">
        <v>630</v>
      </c>
      <c r="J280" s="128">
        <v>48166</v>
      </c>
      <c r="K280" s="128">
        <f t="shared" si="3"/>
        <v>1878474</v>
      </c>
      <c r="L280" s="125" t="s">
        <v>888</v>
      </c>
      <c r="M280" s="85" t="s">
        <v>47</v>
      </c>
      <c r="N280" s="85" t="s">
        <v>1491</v>
      </c>
    </row>
    <row r="281" spans="2:14" ht="15.75" thickBot="1" x14ac:dyDescent="0.3">
      <c r="B281" s="82" t="s">
        <v>545</v>
      </c>
      <c r="C281" s="83" t="s">
        <v>629</v>
      </c>
      <c r="D281" s="124" t="s">
        <v>620</v>
      </c>
      <c r="E281" s="130">
        <v>2009</v>
      </c>
      <c r="F281" s="125" t="s">
        <v>734</v>
      </c>
      <c r="G281" s="125">
        <v>53</v>
      </c>
      <c r="H281" s="85">
        <v>21001.829999999998</v>
      </c>
      <c r="I281" s="85" t="s">
        <v>630</v>
      </c>
      <c r="J281" s="128">
        <v>71395</v>
      </c>
      <c r="K281" s="128">
        <f t="shared" si="3"/>
        <v>3783935</v>
      </c>
      <c r="L281" s="125" t="s">
        <v>889</v>
      </c>
      <c r="M281" s="85" t="s">
        <v>47</v>
      </c>
      <c r="N281" s="85" t="s">
        <v>1491</v>
      </c>
    </row>
    <row r="282" spans="2:14" ht="15.75" thickBot="1" x14ac:dyDescent="0.3">
      <c r="B282" s="82" t="s">
        <v>545</v>
      </c>
      <c r="C282" s="83" t="s">
        <v>629</v>
      </c>
      <c r="D282" s="124" t="s">
        <v>620</v>
      </c>
      <c r="E282" s="130">
        <v>2009</v>
      </c>
      <c r="F282" s="125" t="s">
        <v>734</v>
      </c>
      <c r="G282" s="125">
        <v>53</v>
      </c>
      <c r="H282" s="85">
        <v>12231.150000000001</v>
      </c>
      <c r="I282" s="85" t="s">
        <v>630</v>
      </c>
      <c r="J282" s="128">
        <v>41243</v>
      </c>
      <c r="K282" s="128">
        <f t="shared" si="3"/>
        <v>2185879</v>
      </c>
      <c r="L282" s="125" t="s">
        <v>890</v>
      </c>
      <c r="M282" s="85" t="s">
        <v>47</v>
      </c>
      <c r="N282" s="85" t="s">
        <v>1491</v>
      </c>
    </row>
    <row r="283" spans="2:14" ht="15.75" thickBot="1" x14ac:dyDescent="0.3">
      <c r="B283" s="82" t="s">
        <v>545</v>
      </c>
      <c r="C283" s="83" t="s">
        <v>629</v>
      </c>
      <c r="D283" s="124" t="s">
        <v>620</v>
      </c>
      <c r="E283" s="130">
        <v>2009</v>
      </c>
      <c r="F283" s="125" t="s">
        <v>734</v>
      </c>
      <c r="G283" s="125">
        <v>53</v>
      </c>
      <c r="H283" s="85">
        <v>27746.19</v>
      </c>
      <c r="I283" s="85" t="s">
        <v>630</v>
      </c>
      <c r="J283" s="128">
        <v>95053</v>
      </c>
      <c r="K283" s="128">
        <f t="shared" si="3"/>
        <v>5037809</v>
      </c>
      <c r="L283" s="125" t="s">
        <v>891</v>
      </c>
      <c r="M283" s="85" t="s">
        <v>47</v>
      </c>
      <c r="N283" s="85" t="s">
        <v>1491</v>
      </c>
    </row>
    <row r="284" spans="2:14" ht="15.75" thickBot="1" x14ac:dyDescent="0.3">
      <c r="B284" s="82" t="s">
        <v>545</v>
      </c>
      <c r="C284" s="83" t="s">
        <v>629</v>
      </c>
      <c r="D284" s="124" t="s">
        <v>620</v>
      </c>
      <c r="E284" s="130">
        <v>2009</v>
      </c>
      <c r="F284" s="125" t="s">
        <v>734</v>
      </c>
      <c r="G284" s="125">
        <v>53</v>
      </c>
      <c r="H284" s="85">
        <v>715.03</v>
      </c>
      <c r="I284" s="85" t="s">
        <v>630</v>
      </c>
      <c r="J284" s="128">
        <v>2334</v>
      </c>
      <c r="K284" s="128">
        <f t="shared" si="3"/>
        <v>123702</v>
      </c>
      <c r="L284" s="125" t="s">
        <v>892</v>
      </c>
      <c r="M284" s="85" t="s">
        <v>47</v>
      </c>
      <c r="N284" s="85" t="s">
        <v>1491</v>
      </c>
    </row>
    <row r="285" spans="2:14" ht="15.75" thickBot="1" x14ac:dyDescent="0.3">
      <c r="B285" s="82" t="s">
        <v>545</v>
      </c>
      <c r="C285" s="83" t="s">
        <v>629</v>
      </c>
      <c r="D285" s="124" t="s">
        <v>620</v>
      </c>
      <c r="E285" s="130">
        <v>2009</v>
      </c>
      <c r="F285" s="125" t="s">
        <v>734</v>
      </c>
      <c r="G285" s="125">
        <v>53</v>
      </c>
      <c r="H285" s="85">
        <v>18801.990000000005</v>
      </c>
      <c r="I285" s="85" t="s">
        <v>630</v>
      </c>
      <c r="J285" s="128">
        <v>57080</v>
      </c>
      <c r="K285" s="128">
        <f t="shared" si="3"/>
        <v>3025240</v>
      </c>
      <c r="L285" s="125" t="s">
        <v>893</v>
      </c>
      <c r="M285" s="85" t="s">
        <v>47</v>
      </c>
      <c r="N285" s="85" t="s">
        <v>1491</v>
      </c>
    </row>
    <row r="286" spans="2:14" ht="15.75" thickBot="1" x14ac:dyDescent="0.3">
      <c r="B286" s="82" t="s">
        <v>545</v>
      </c>
      <c r="C286" s="83" t="s">
        <v>629</v>
      </c>
      <c r="D286" s="124" t="s">
        <v>620</v>
      </c>
      <c r="E286" s="130">
        <v>2009</v>
      </c>
      <c r="F286" s="125" t="s">
        <v>734</v>
      </c>
      <c r="G286" s="125">
        <v>53</v>
      </c>
      <c r="H286" s="85">
        <v>26092.83</v>
      </c>
      <c r="I286" s="85" t="s">
        <v>630</v>
      </c>
      <c r="J286" s="128">
        <v>80002</v>
      </c>
      <c r="K286" s="128">
        <f t="shared" si="3"/>
        <v>4240106</v>
      </c>
      <c r="L286" s="125" t="s">
        <v>894</v>
      </c>
      <c r="M286" s="85" t="s">
        <v>47</v>
      </c>
      <c r="N286" s="85" t="s">
        <v>1491</v>
      </c>
    </row>
    <row r="287" spans="2:14" ht="15.75" thickBot="1" x14ac:dyDescent="0.3">
      <c r="B287" s="82" t="s">
        <v>545</v>
      </c>
      <c r="C287" s="83" t="s">
        <v>629</v>
      </c>
      <c r="D287" s="124" t="s">
        <v>620</v>
      </c>
      <c r="E287" s="130">
        <v>2009</v>
      </c>
      <c r="F287" s="125" t="s">
        <v>734</v>
      </c>
      <c r="G287" s="125">
        <v>53</v>
      </c>
      <c r="H287" s="85">
        <v>21195.390000000003</v>
      </c>
      <c r="I287" s="85" t="s">
        <v>630</v>
      </c>
      <c r="J287" s="128">
        <v>65608</v>
      </c>
      <c r="K287" s="128">
        <f t="shared" ref="K287:K350" si="4">J287*G287</f>
        <v>3477224</v>
      </c>
      <c r="L287" s="125" t="s">
        <v>895</v>
      </c>
      <c r="M287" s="85" t="s">
        <v>47</v>
      </c>
      <c r="N287" s="85" t="s">
        <v>1491</v>
      </c>
    </row>
    <row r="288" spans="2:14" ht="15.75" thickBot="1" x14ac:dyDescent="0.3">
      <c r="B288" s="82" t="s">
        <v>545</v>
      </c>
      <c r="C288" s="83" t="s">
        <v>629</v>
      </c>
      <c r="D288" s="124" t="s">
        <v>620</v>
      </c>
      <c r="E288" s="130">
        <v>2009</v>
      </c>
      <c r="F288" s="125" t="s">
        <v>734</v>
      </c>
      <c r="G288" s="125">
        <v>53</v>
      </c>
      <c r="H288" s="85">
        <v>18345.189999999999</v>
      </c>
      <c r="I288" s="85" t="s">
        <v>630</v>
      </c>
      <c r="J288" s="128">
        <v>56274</v>
      </c>
      <c r="K288" s="128">
        <f t="shared" si="4"/>
        <v>2982522</v>
      </c>
      <c r="L288" s="125" t="s">
        <v>896</v>
      </c>
      <c r="M288" s="85" t="s">
        <v>47</v>
      </c>
      <c r="N288" s="85" t="s">
        <v>1491</v>
      </c>
    </row>
    <row r="289" spans="2:14" ht="15.75" thickBot="1" x14ac:dyDescent="0.3">
      <c r="B289" s="82" t="s">
        <v>545</v>
      </c>
      <c r="C289" s="83" t="s">
        <v>629</v>
      </c>
      <c r="D289" s="124" t="s">
        <v>620</v>
      </c>
      <c r="E289" s="130">
        <v>2009</v>
      </c>
      <c r="F289" s="125" t="s">
        <v>734</v>
      </c>
      <c r="G289" s="125">
        <v>25</v>
      </c>
      <c r="H289" s="85">
        <v>0</v>
      </c>
      <c r="I289" s="85" t="s">
        <v>630</v>
      </c>
      <c r="J289" s="128">
        <v>0</v>
      </c>
      <c r="K289" s="128">
        <f t="shared" si="4"/>
        <v>0</v>
      </c>
      <c r="L289" s="125" t="s">
        <v>897</v>
      </c>
      <c r="M289" s="85" t="s">
        <v>47</v>
      </c>
      <c r="N289" s="85" t="s">
        <v>1491</v>
      </c>
    </row>
    <row r="290" spans="2:14" ht="15.75" thickBot="1" x14ac:dyDescent="0.3">
      <c r="B290" s="82" t="s">
        <v>545</v>
      </c>
      <c r="C290" s="83" t="s">
        <v>629</v>
      </c>
      <c r="D290" s="124" t="s">
        <v>620</v>
      </c>
      <c r="E290" s="130">
        <v>2010</v>
      </c>
      <c r="F290" s="125" t="s">
        <v>734</v>
      </c>
      <c r="G290" s="125">
        <v>53</v>
      </c>
      <c r="H290" s="85">
        <v>29419.870000000003</v>
      </c>
      <c r="I290" s="85" t="s">
        <v>630</v>
      </c>
      <c r="J290" s="128">
        <v>99900</v>
      </c>
      <c r="K290" s="128">
        <f t="shared" si="4"/>
        <v>5294700</v>
      </c>
      <c r="L290" s="125" t="s">
        <v>898</v>
      </c>
      <c r="M290" s="85" t="s">
        <v>47</v>
      </c>
      <c r="N290" s="85" t="s">
        <v>1491</v>
      </c>
    </row>
    <row r="291" spans="2:14" ht="15.75" thickBot="1" x14ac:dyDescent="0.3">
      <c r="B291" s="82" t="s">
        <v>545</v>
      </c>
      <c r="C291" s="83" t="s">
        <v>629</v>
      </c>
      <c r="D291" s="124" t="s">
        <v>620</v>
      </c>
      <c r="E291" s="130">
        <v>2016</v>
      </c>
      <c r="F291" s="125" t="s">
        <v>733</v>
      </c>
      <c r="G291" s="125">
        <v>53</v>
      </c>
      <c r="H291" s="85">
        <v>27604.68</v>
      </c>
      <c r="I291" s="85" t="s">
        <v>630</v>
      </c>
      <c r="J291" s="128">
        <v>100322</v>
      </c>
      <c r="K291" s="128">
        <f t="shared" si="4"/>
        <v>5317066</v>
      </c>
      <c r="L291" s="125" t="s">
        <v>899</v>
      </c>
      <c r="M291" s="85" t="s">
        <v>47</v>
      </c>
      <c r="N291" s="85" t="s">
        <v>1491</v>
      </c>
    </row>
    <row r="292" spans="2:14" ht="15.75" thickBot="1" x14ac:dyDescent="0.3">
      <c r="B292" s="82" t="s">
        <v>545</v>
      </c>
      <c r="C292" s="83" t="s">
        <v>629</v>
      </c>
      <c r="D292" s="124" t="s">
        <v>620</v>
      </c>
      <c r="E292" s="130">
        <v>2016</v>
      </c>
      <c r="F292" s="125" t="s">
        <v>733</v>
      </c>
      <c r="G292" s="125">
        <v>53</v>
      </c>
      <c r="H292" s="85">
        <v>35040.909999999996</v>
      </c>
      <c r="I292" s="85" t="s">
        <v>630</v>
      </c>
      <c r="J292" s="128">
        <v>123555</v>
      </c>
      <c r="K292" s="128">
        <f t="shared" si="4"/>
        <v>6548415</v>
      </c>
      <c r="L292" s="125" t="s">
        <v>900</v>
      </c>
      <c r="M292" s="85" t="s">
        <v>47</v>
      </c>
      <c r="N292" s="85" t="s">
        <v>1491</v>
      </c>
    </row>
    <row r="293" spans="2:14" ht="15.75" thickBot="1" x14ac:dyDescent="0.3">
      <c r="B293" s="82" t="s">
        <v>545</v>
      </c>
      <c r="C293" s="83" t="s">
        <v>629</v>
      </c>
      <c r="D293" s="124" t="s">
        <v>620</v>
      </c>
      <c r="E293" s="130">
        <v>2016</v>
      </c>
      <c r="F293" s="125" t="s">
        <v>733</v>
      </c>
      <c r="G293" s="125">
        <v>53</v>
      </c>
      <c r="H293" s="85">
        <v>34558.770000000004</v>
      </c>
      <c r="I293" s="85" t="s">
        <v>630</v>
      </c>
      <c r="J293" s="128">
        <v>126205</v>
      </c>
      <c r="K293" s="128">
        <f t="shared" si="4"/>
        <v>6688865</v>
      </c>
      <c r="L293" s="125" t="s">
        <v>901</v>
      </c>
      <c r="M293" s="85" t="s">
        <v>47</v>
      </c>
      <c r="N293" s="85" t="s">
        <v>1491</v>
      </c>
    </row>
    <row r="294" spans="2:14" ht="15.75" thickBot="1" x14ac:dyDescent="0.3">
      <c r="B294" s="82" t="s">
        <v>545</v>
      </c>
      <c r="C294" s="83" t="s">
        <v>629</v>
      </c>
      <c r="D294" s="124" t="s">
        <v>620</v>
      </c>
      <c r="E294" s="130">
        <v>2016</v>
      </c>
      <c r="F294" s="125" t="s">
        <v>733</v>
      </c>
      <c r="G294" s="125">
        <v>53</v>
      </c>
      <c r="H294" s="85">
        <v>35617.640000000007</v>
      </c>
      <c r="I294" s="85" t="s">
        <v>630</v>
      </c>
      <c r="J294" s="128">
        <v>130238</v>
      </c>
      <c r="K294" s="128">
        <f t="shared" si="4"/>
        <v>6902614</v>
      </c>
      <c r="L294" s="125" t="s">
        <v>902</v>
      </c>
      <c r="M294" s="85" t="s">
        <v>47</v>
      </c>
      <c r="N294" s="85" t="s">
        <v>1491</v>
      </c>
    </row>
    <row r="295" spans="2:14" ht="15.75" thickBot="1" x14ac:dyDescent="0.3">
      <c r="B295" s="82" t="s">
        <v>545</v>
      </c>
      <c r="C295" s="83" t="s">
        <v>629</v>
      </c>
      <c r="D295" s="124" t="s">
        <v>620</v>
      </c>
      <c r="E295" s="130">
        <v>2016</v>
      </c>
      <c r="F295" s="125" t="s">
        <v>733</v>
      </c>
      <c r="G295" s="125">
        <v>63</v>
      </c>
      <c r="H295" s="85">
        <v>59307.360000000008</v>
      </c>
      <c r="I295" s="85" t="s">
        <v>630</v>
      </c>
      <c r="J295" s="128">
        <v>206306</v>
      </c>
      <c r="K295" s="128">
        <f t="shared" si="4"/>
        <v>12997278</v>
      </c>
      <c r="L295" s="125" t="s">
        <v>903</v>
      </c>
      <c r="M295" s="85" t="s">
        <v>47</v>
      </c>
      <c r="N295" s="85" t="s">
        <v>1491</v>
      </c>
    </row>
    <row r="296" spans="2:14" ht="15.75" thickBot="1" x14ac:dyDescent="0.3">
      <c r="B296" s="82" t="s">
        <v>545</v>
      </c>
      <c r="C296" s="83" t="s">
        <v>629</v>
      </c>
      <c r="D296" s="124" t="s">
        <v>620</v>
      </c>
      <c r="E296" s="130">
        <v>2016</v>
      </c>
      <c r="F296" s="125" t="s">
        <v>733</v>
      </c>
      <c r="G296" s="125">
        <v>63</v>
      </c>
      <c r="H296" s="85">
        <v>69130.320000000007</v>
      </c>
      <c r="I296" s="85" t="s">
        <v>630</v>
      </c>
      <c r="J296" s="128">
        <v>228726</v>
      </c>
      <c r="K296" s="128">
        <f t="shared" si="4"/>
        <v>14409738</v>
      </c>
      <c r="L296" s="125" t="s">
        <v>904</v>
      </c>
      <c r="M296" s="85" t="s">
        <v>47</v>
      </c>
      <c r="N296" s="85" t="s">
        <v>1491</v>
      </c>
    </row>
    <row r="297" spans="2:14" ht="15.75" thickBot="1" x14ac:dyDescent="0.3">
      <c r="B297" s="82" t="s">
        <v>545</v>
      </c>
      <c r="C297" s="83" t="s">
        <v>629</v>
      </c>
      <c r="D297" s="124" t="s">
        <v>620</v>
      </c>
      <c r="E297" s="130">
        <v>2016</v>
      </c>
      <c r="F297" s="125" t="s">
        <v>733</v>
      </c>
      <c r="G297" s="125">
        <v>19</v>
      </c>
      <c r="H297" s="85">
        <v>3892.47</v>
      </c>
      <c r="I297" s="85" t="s">
        <v>630</v>
      </c>
      <c r="J297" s="128">
        <v>21125</v>
      </c>
      <c r="K297" s="128">
        <f t="shared" si="4"/>
        <v>401375</v>
      </c>
      <c r="L297" s="125" t="s">
        <v>905</v>
      </c>
      <c r="M297" s="85" t="s">
        <v>47</v>
      </c>
      <c r="N297" s="85" t="s">
        <v>1491</v>
      </c>
    </row>
    <row r="298" spans="2:14" ht="15.75" thickBot="1" x14ac:dyDescent="0.3">
      <c r="B298" s="82" t="s">
        <v>545</v>
      </c>
      <c r="C298" s="83" t="s">
        <v>629</v>
      </c>
      <c r="D298" s="124" t="s">
        <v>620</v>
      </c>
      <c r="E298" s="130">
        <v>2016</v>
      </c>
      <c r="F298" s="125" t="s">
        <v>733</v>
      </c>
      <c r="G298" s="125">
        <v>40</v>
      </c>
      <c r="H298" s="85">
        <v>6581.4</v>
      </c>
      <c r="I298" s="85" t="s">
        <v>630</v>
      </c>
      <c r="J298" s="128">
        <v>21075</v>
      </c>
      <c r="K298" s="128">
        <f t="shared" si="4"/>
        <v>843000</v>
      </c>
      <c r="L298" s="125" t="s">
        <v>906</v>
      </c>
      <c r="M298" s="85" t="s">
        <v>47</v>
      </c>
      <c r="N298" s="85" t="s">
        <v>1491</v>
      </c>
    </row>
    <row r="299" spans="2:14" ht="15.75" thickBot="1" x14ac:dyDescent="0.3">
      <c r="B299" s="82" t="s">
        <v>545</v>
      </c>
      <c r="C299" s="83" t="s">
        <v>629</v>
      </c>
      <c r="D299" s="124" t="s">
        <v>620</v>
      </c>
      <c r="E299" s="130">
        <v>2016</v>
      </c>
      <c r="F299" s="125" t="s">
        <v>733</v>
      </c>
      <c r="G299" s="125">
        <v>40</v>
      </c>
      <c r="H299" s="85">
        <v>5522.1900000000005</v>
      </c>
      <c r="I299" s="85" t="s">
        <v>630</v>
      </c>
      <c r="J299" s="128">
        <v>17307</v>
      </c>
      <c r="K299" s="128">
        <f t="shared" si="4"/>
        <v>692280</v>
      </c>
      <c r="L299" s="125" t="s">
        <v>907</v>
      </c>
      <c r="M299" s="85" t="s">
        <v>47</v>
      </c>
      <c r="N299" s="85" t="s">
        <v>1491</v>
      </c>
    </row>
    <row r="300" spans="2:14" ht="15.75" thickBot="1" x14ac:dyDescent="0.3">
      <c r="B300" s="82" t="s">
        <v>545</v>
      </c>
      <c r="C300" s="83" t="s">
        <v>629</v>
      </c>
      <c r="D300" s="124" t="s">
        <v>620</v>
      </c>
      <c r="E300" s="130">
        <v>2016</v>
      </c>
      <c r="F300" s="125" t="s">
        <v>733</v>
      </c>
      <c r="G300" s="125">
        <v>31</v>
      </c>
      <c r="H300" s="85">
        <v>2913.13</v>
      </c>
      <c r="I300" s="85" t="s">
        <v>630</v>
      </c>
      <c r="J300" s="128">
        <v>9172</v>
      </c>
      <c r="K300" s="128">
        <f t="shared" si="4"/>
        <v>284332</v>
      </c>
      <c r="L300" s="125" t="s">
        <v>908</v>
      </c>
      <c r="M300" s="85" t="s">
        <v>47</v>
      </c>
      <c r="N300" s="85" t="s">
        <v>1491</v>
      </c>
    </row>
    <row r="301" spans="2:14" ht="15.75" thickBot="1" x14ac:dyDescent="0.3">
      <c r="B301" s="82" t="s">
        <v>545</v>
      </c>
      <c r="C301" s="83" t="s">
        <v>629</v>
      </c>
      <c r="D301" s="124" t="s">
        <v>620</v>
      </c>
      <c r="E301" s="130">
        <v>2016</v>
      </c>
      <c r="F301" s="125" t="s">
        <v>733</v>
      </c>
      <c r="G301" s="125">
        <v>31</v>
      </c>
      <c r="H301" s="85">
        <v>2328.1</v>
      </c>
      <c r="I301" s="85" t="s">
        <v>630</v>
      </c>
      <c r="J301" s="128">
        <v>7383</v>
      </c>
      <c r="K301" s="128">
        <f t="shared" si="4"/>
        <v>228873</v>
      </c>
      <c r="L301" s="125" t="s">
        <v>909</v>
      </c>
      <c r="M301" s="85" t="s">
        <v>47</v>
      </c>
      <c r="N301" s="85" t="s">
        <v>1491</v>
      </c>
    </row>
    <row r="302" spans="2:14" ht="15.75" thickBot="1" x14ac:dyDescent="0.3">
      <c r="B302" s="82" t="s">
        <v>545</v>
      </c>
      <c r="C302" s="83" t="s">
        <v>629</v>
      </c>
      <c r="D302" s="124" t="s">
        <v>620</v>
      </c>
      <c r="E302" s="130">
        <v>2012</v>
      </c>
      <c r="F302" s="125" t="s">
        <v>734</v>
      </c>
      <c r="G302" s="125">
        <v>63</v>
      </c>
      <c r="H302" s="85">
        <v>42370.46</v>
      </c>
      <c r="I302" s="85" t="s">
        <v>630</v>
      </c>
      <c r="J302" s="128">
        <v>138955</v>
      </c>
      <c r="K302" s="128">
        <f t="shared" si="4"/>
        <v>8754165</v>
      </c>
      <c r="L302" s="125" t="s">
        <v>910</v>
      </c>
      <c r="M302" s="85" t="s">
        <v>47</v>
      </c>
      <c r="N302" s="85" t="s">
        <v>1491</v>
      </c>
    </row>
    <row r="303" spans="2:14" ht="15.75" thickBot="1" x14ac:dyDescent="0.3">
      <c r="B303" s="82" t="s">
        <v>545</v>
      </c>
      <c r="C303" s="83" t="s">
        <v>629</v>
      </c>
      <c r="D303" s="124" t="s">
        <v>620</v>
      </c>
      <c r="E303" s="130">
        <v>2012</v>
      </c>
      <c r="F303" s="125" t="s">
        <v>734</v>
      </c>
      <c r="G303" s="125">
        <v>34</v>
      </c>
      <c r="H303" s="85">
        <v>7237.6859999999997</v>
      </c>
      <c r="I303" s="85" t="s">
        <v>630</v>
      </c>
      <c r="J303" s="128">
        <v>24977</v>
      </c>
      <c r="K303" s="128">
        <f t="shared" si="4"/>
        <v>849218</v>
      </c>
      <c r="L303" s="125" t="s">
        <v>911</v>
      </c>
      <c r="M303" s="85" t="s">
        <v>47</v>
      </c>
      <c r="N303" s="85" t="s">
        <v>1491</v>
      </c>
    </row>
    <row r="304" spans="2:14" ht="15.75" thickBot="1" x14ac:dyDescent="0.3">
      <c r="B304" s="82" t="s">
        <v>545</v>
      </c>
      <c r="C304" s="83" t="s">
        <v>629</v>
      </c>
      <c r="D304" s="124" t="s">
        <v>620</v>
      </c>
      <c r="E304" s="130">
        <v>2012</v>
      </c>
      <c r="F304" s="125" t="s">
        <v>734</v>
      </c>
      <c r="G304" s="125">
        <v>27</v>
      </c>
      <c r="H304" s="85">
        <v>2541.8700000000003</v>
      </c>
      <c r="I304" s="85" t="s">
        <v>630</v>
      </c>
      <c r="J304" s="128">
        <v>11979</v>
      </c>
      <c r="K304" s="128">
        <f t="shared" si="4"/>
        <v>323433</v>
      </c>
      <c r="L304" s="125" t="s">
        <v>912</v>
      </c>
      <c r="M304" s="85" t="s">
        <v>47</v>
      </c>
      <c r="N304" s="85" t="s">
        <v>1491</v>
      </c>
    </row>
    <row r="305" spans="2:14" ht="15.75" thickBot="1" x14ac:dyDescent="0.3">
      <c r="B305" s="82" t="s">
        <v>545</v>
      </c>
      <c r="C305" s="83" t="s">
        <v>629</v>
      </c>
      <c r="D305" s="124" t="s">
        <v>620</v>
      </c>
      <c r="E305" s="130">
        <v>2012</v>
      </c>
      <c r="F305" s="125" t="s">
        <v>734</v>
      </c>
      <c r="G305" s="125">
        <v>27</v>
      </c>
      <c r="H305" s="85">
        <v>2300.4899999999998</v>
      </c>
      <c r="I305" s="85" t="s">
        <v>630</v>
      </c>
      <c r="J305" s="128">
        <v>9754</v>
      </c>
      <c r="K305" s="128">
        <f t="shared" si="4"/>
        <v>263358</v>
      </c>
      <c r="L305" s="125" t="s">
        <v>913</v>
      </c>
      <c r="M305" s="85" t="s">
        <v>47</v>
      </c>
      <c r="N305" s="85" t="s">
        <v>1491</v>
      </c>
    </row>
    <row r="306" spans="2:14" ht="15.75" thickBot="1" x14ac:dyDescent="0.3">
      <c r="B306" s="82" t="s">
        <v>545</v>
      </c>
      <c r="C306" s="83" t="s">
        <v>629</v>
      </c>
      <c r="D306" s="124" t="s">
        <v>620</v>
      </c>
      <c r="E306" s="130">
        <v>2012</v>
      </c>
      <c r="F306" s="125" t="s">
        <v>734</v>
      </c>
      <c r="G306" s="125">
        <v>27</v>
      </c>
      <c r="H306" s="85">
        <v>1207.96</v>
      </c>
      <c r="I306" s="85" t="s">
        <v>630</v>
      </c>
      <c r="J306" s="128">
        <v>5427</v>
      </c>
      <c r="K306" s="128">
        <f t="shared" si="4"/>
        <v>146529</v>
      </c>
      <c r="L306" s="125" t="s">
        <v>914</v>
      </c>
      <c r="M306" s="85" t="s">
        <v>47</v>
      </c>
      <c r="N306" s="85" t="s">
        <v>1491</v>
      </c>
    </row>
    <row r="307" spans="2:14" ht="15.75" thickBot="1" x14ac:dyDescent="0.3">
      <c r="B307" s="82" t="s">
        <v>545</v>
      </c>
      <c r="C307" s="83" t="s">
        <v>629</v>
      </c>
      <c r="D307" s="124" t="s">
        <v>620</v>
      </c>
      <c r="E307" s="130">
        <v>2012</v>
      </c>
      <c r="F307" s="125" t="s">
        <v>734</v>
      </c>
      <c r="G307" s="125">
        <v>27</v>
      </c>
      <c r="H307" s="85">
        <v>1263.76</v>
      </c>
      <c r="I307" s="85" t="s">
        <v>630</v>
      </c>
      <c r="J307" s="128">
        <v>5948</v>
      </c>
      <c r="K307" s="128">
        <f t="shared" si="4"/>
        <v>160596</v>
      </c>
      <c r="L307" s="125" t="s">
        <v>915</v>
      </c>
      <c r="M307" s="85" t="s">
        <v>47</v>
      </c>
      <c r="N307" s="85" t="s">
        <v>1491</v>
      </c>
    </row>
    <row r="308" spans="2:14" ht="15.75" thickBot="1" x14ac:dyDescent="0.3">
      <c r="B308" s="82" t="s">
        <v>545</v>
      </c>
      <c r="C308" s="83" t="s">
        <v>629</v>
      </c>
      <c r="D308" s="124" t="s">
        <v>620</v>
      </c>
      <c r="E308" s="130">
        <v>2012</v>
      </c>
      <c r="F308" s="125" t="s">
        <v>734</v>
      </c>
      <c r="G308" s="125">
        <v>27</v>
      </c>
      <c r="H308" s="85">
        <v>1410.2800000000002</v>
      </c>
      <c r="I308" s="85" t="s">
        <v>630</v>
      </c>
      <c r="J308" s="128">
        <v>6316</v>
      </c>
      <c r="K308" s="128">
        <f t="shared" si="4"/>
        <v>170532</v>
      </c>
      <c r="L308" s="125" t="s">
        <v>916</v>
      </c>
      <c r="M308" s="85" t="s">
        <v>47</v>
      </c>
      <c r="N308" s="85" t="s">
        <v>1491</v>
      </c>
    </row>
    <row r="309" spans="2:14" ht="15.75" thickBot="1" x14ac:dyDescent="0.3">
      <c r="B309" s="82" t="s">
        <v>545</v>
      </c>
      <c r="C309" s="83" t="s">
        <v>629</v>
      </c>
      <c r="D309" s="124" t="s">
        <v>620</v>
      </c>
      <c r="E309" s="130">
        <v>2012</v>
      </c>
      <c r="F309" s="125" t="s">
        <v>734</v>
      </c>
      <c r="G309" s="125">
        <v>27</v>
      </c>
      <c r="H309" s="85">
        <v>2459.2599999999998</v>
      </c>
      <c r="I309" s="85" t="s">
        <v>630</v>
      </c>
      <c r="J309" s="128">
        <v>11500</v>
      </c>
      <c r="K309" s="128">
        <f t="shared" si="4"/>
        <v>310500</v>
      </c>
      <c r="L309" s="125" t="s">
        <v>917</v>
      </c>
      <c r="M309" s="85" t="s">
        <v>47</v>
      </c>
      <c r="N309" s="85" t="s">
        <v>1491</v>
      </c>
    </row>
    <row r="310" spans="2:14" ht="15.75" thickBot="1" x14ac:dyDescent="0.3">
      <c r="B310" s="82" t="s">
        <v>545</v>
      </c>
      <c r="C310" s="83" t="s">
        <v>629</v>
      </c>
      <c r="D310" s="124" t="s">
        <v>620</v>
      </c>
      <c r="E310" s="130">
        <v>2012</v>
      </c>
      <c r="F310" s="125" t="s">
        <v>734</v>
      </c>
      <c r="G310" s="125">
        <v>27</v>
      </c>
      <c r="H310" s="85">
        <v>1576.0700000000002</v>
      </c>
      <c r="I310" s="85" t="s">
        <v>630</v>
      </c>
      <c r="J310" s="128">
        <v>7205</v>
      </c>
      <c r="K310" s="128">
        <f t="shared" si="4"/>
        <v>194535</v>
      </c>
      <c r="L310" s="125" t="s">
        <v>918</v>
      </c>
      <c r="M310" s="85" t="s">
        <v>47</v>
      </c>
      <c r="N310" s="85" t="s">
        <v>1491</v>
      </c>
    </row>
    <row r="311" spans="2:14" ht="15.75" thickBot="1" x14ac:dyDescent="0.3">
      <c r="B311" s="82" t="s">
        <v>545</v>
      </c>
      <c r="C311" s="83" t="s">
        <v>629</v>
      </c>
      <c r="D311" s="124" t="s">
        <v>620</v>
      </c>
      <c r="E311" s="130">
        <v>2012</v>
      </c>
      <c r="F311" s="125" t="s">
        <v>734</v>
      </c>
      <c r="G311" s="125">
        <v>27</v>
      </c>
      <c r="H311" s="85">
        <v>1174.24</v>
      </c>
      <c r="I311" s="85" t="s">
        <v>630</v>
      </c>
      <c r="J311" s="128">
        <v>5349</v>
      </c>
      <c r="K311" s="128">
        <f t="shared" si="4"/>
        <v>144423</v>
      </c>
      <c r="L311" s="125" t="s">
        <v>919</v>
      </c>
      <c r="M311" s="85" t="s">
        <v>47</v>
      </c>
      <c r="N311" s="85" t="s">
        <v>1491</v>
      </c>
    </row>
    <row r="312" spans="2:14" ht="15.75" thickBot="1" x14ac:dyDescent="0.3">
      <c r="B312" s="82" t="s">
        <v>545</v>
      </c>
      <c r="C312" s="83" t="s">
        <v>629</v>
      </c>
      <c r="D312" s="124" t="s">
        <v>620</v>
      </c>
      <c r="E312" s="130">
        <v>2013</v>
      </c>
      <c r="F312" s="125" t="s">
        <v>733</v>
      </c>
      <c r="G312" s="125">
        <v>34</v>
      </c>
      <c r="H312" s="85">
        <v>12232.41</v>
      </c>
      <c r="I312" s="85" t="s">
        <v>630</v>
      </c>
      <c r="J312" s="128">
        <v>39665</v>
      </c>
      <c r="K312" s="128">
        <f t="shared" si="4"/>
        <v>1348610</v>
      </c>
      <c r="L312" s="125" t="s">
        <v>920</v>
      </c>
      <c r="M312" s="85" t="s">
        <v>47</v>
      </c>
      <c r="N312" s="85" t="s">
        <v>1491</v>
      </c>
    </row>
    <row r="313" spans="2:14" ht="15.75" thickBot="1" x14ac:dyDescent="0.3">
      <c r="B313" s="82" t="s">
        <v>545</v>
      </c>
      <c r="C313" s="83" t="s">
        <v>629</v>
      </c>
      <c r="D313" s="124" t="s">
        <v>620</v>
      </c>
      <c r="E313" s="130">
        <v>2013</v>
      </c>
      <c r="F313" s="125" t="s">
        <v>733</v>
      </c>
      <c r="G313" s="125">
        <v>34</v>
      </c>
      <c r="H313" s="85">
        <v>6851.369999999999</v>
      </c>
      <c r="I313" s="85" t="s">
        <v>630</v>
      </c>
      <c r="J313" s="128">
        <v>23512</v>
      </c>
      <c r="K313" s="128">
        <f t="shared" si="4"/>
        <v>799408</v>
      </c>
      <c r="L313" s="125" t="s">
        <v>921</v>
      </c>
      <c r="M313" s="85" t="s">
        <v>47</v>
      </c>
      <c r="N313" s="85" t="s">
        <v>1491</v>
      </c>
    </row>
    <row r="314" spans="2:14" ht="15.75" thickBot="1" x14ac:dyDescent="0.3">
      <c r="B314" s="82" t="s">
        <v>545</v>
      </c>
      <c r="C314" s="83" t="s">
        <v>629</v>
      </c>
      <c r="D314" s="124" t="s">
        <v>620</v>
      </c>
      <c r="E314" s="130">
        <v>2014</v>
      </c>
      <c r="F314" s="125" t="s">
        <v>733</v>
      </c>
      <c r="G314" s="125">
        <v>34</v>
      </c>
      <c r="H314" s="85">
        <v>14258.029999999999</v>
      </c>
      <c r="I314" s="85" t="s">
        <v>630</v>
      </c>
      <c r="J314" s="128">
        <v>50660</v>
      </c>
      <c r="K314" s="128">
        <f t="shared" si="4"/>
        <v>1722440</v>
      </c>
      <c r="L314" s="125" t="s">
        <v>922</v>
      </c>
      <c r="M314" s="85" t="s">
        <v>47</v>
      </c>
      <c r="N314" s="85" t="s">
        <v>1491</v>
      </c>
    </row>
    <row r="315" spans="2:14" ht="15.75" thickBot="1" x14ac:dyDescent="0.3">
      <c r="B315" s="82" t="s">
        <v>545</v>
      </c>
      <c r="C315" s="83" t="s">
        <v>629</v>
      </c>
      <c r="D315" s="124" t="s">
        <v>620</v>
      </c>
      <c r="E315" s="130">
        <v>2014</v>
      </c>
      <c r="F315" s="125" t="s">
        <v>733</v>
      </c>
      <c r="G315" s="125">
        <v>34</v>
      </c>
      <c r="H315" s="85">
        <v>12065.869999999999</v>
      </c>
      <c r="I315" s="85" t="s">
        <v>630</v>
      </c>
      <c r="J315" s="128">
        <v>42539</v>
      </c>
      <c r="K315" s="128">
        <f t="shared" si="4"/>
        <v>1446326</v>
      </c>
      <c r="L315" s="125" t="s">
        <v>923</v>
      </c>
      <c r="M315" s="85" t="s">
        <v>47</v>
      </c>
      <c r="N315" s="85" t="s">
        <v>1491</v>
      </c>
    </row>
    <row r="316" spans="2:14" ht="15.75" thickBot="1" x14ac:dyDescent="0.3">
      <c r="B316" s="82" t="s">
        <v>545</v>
      </c>
      <c r="C316" s="83" t="s">
        <v>629</v>
      </c>
      <c r="D316" s="124" t="s">
        <v>620</v>
      </c>
      <c r="E316" s="130">
        <v>2014</v>
      </c>
      <c r="F316" s="125" t="s">
        <v>733</v>
      </c>
      <c r="G316" s="125">
        <v>63</v>
      </c>
      <c r="H316" s="85">
        <v>17082.13</v>
      </c>
      <c r="I316" s="85" t="s">
        <v>630</v>
      </c>
      <c r="J316" s="128">
        <v>58494</v>
      </c>
      <c r="K316" s="128">
        <f t="shared" si="4"/>
        <v>3685122</v>
      </c>
      <c r="L316" s="125" t="s">
        <v>924</v>
      </c>
      <c r="M316" s="85" t="s">
        <v>47</v>
      </c>
      <c r="N316" s="85" t="s">
        <v>1491</v>
      </c>
    </row>
    <row r="317" spans="2:14" ht="15.75" thickBot="1" x14ac:dyDescent="0.3">
      <c r="B317" s="82" t="s">
        <v>545</v>
      </c>
      <c r="C317" s="83" t="s">
        <v>629</v>
      </c>
      <c r="D317" s="124" t="s">
        <v>620</v>
      </c>
      <c r="E317" s="130">
        <v>2014</v>
      </c>
      <c r="F317" s="125" t="s">
        <v>733</v>
      </c>
      <c r="G317" s="125">
        <v>53</v>
      </c>
      <c r="H317" s="85">
        <v>12172.220000000001</v>
      </c>
      <c r="I317" s="85" t="s">
        <v>630</v>
      </c>
      <c r="J317" s="128">
        <v>43699</v>
      </c>
      <c r="K317" s="128">
        <f t="shared" si="4"/>
        <v>2316047</v>
      </c>
      <c r="L317" s="125" t="s">
        <v>925</v>
      </c>
      <c r="M317" s="85" t="s">
        <v>47</v>
      </c>
      <c r="N317" s="85" t="s">
        <v>1491</v>
      </c>
    </row>
    <row r="318" spans="2:14" ht="15.75" thickBot="1" x14ac:dyDescent="0.3">
      <c r="B318" s="82" t="s">
        <v>545</v>
      </c>
      <c r="C318" s="83" t="s">
        <v>629</v>
      </c>
      <c r="D318" s="124" t="s">
        <v>620</v>
      </c>
      <c r="E318" s="130">
        <v>2014</v>
      </c>
      <c r="F318" s="125" t="s">
        <v>733</v>
      </c>
      <c r="G318" s="125">
        <v>53</v>
      </c>
      <c r="H318" s="85">
        <v>31099.68</v>
      </c>
      <c r="I318" s="85" t="s">
        <v>630</v>
      </c>
      <c r="J318" s="128">
        <v>111508</v>
      </c>
      <c r="K318" s="128">
        <f t="shared" si="4"/>
        <v>5909924</v>
      </c>
      <c r="L318" s="125" t="s">
        <v>926</v>
      </c>
      <c r="M318" s="85" t="s">
        <v>47</v>
      </c>
      <c r="N318" s="85" t="s">
        <v>1491</v>
      </c>
    </row>
    <row r="319" spans="2:14" ht="15.75" thickBot="1" x14ac:dyDescent="0.3">
      <c r="B319" s="82" t="s">
        <v>545</v>
      </c>
      <c r="C319" s="83" t="s">
        <v>629</v>
      </c>
      <c r="D319" s="124" t="s">
        <v>620</v>
      </c>
      <c r="E319" s="130">
        <v>2014</v>
      </c>
      <c r="F319" s="125" t="s">
        <v>733</v>
      </c>
      <c r="G319" s="125">
        <v>53</v>
      </c>
      <c r="H319" s="85">
        <v>25963.49</v>
      </c>
      <c r="I319" s="85" t="s">
        <v>630</v>
      </c>
      <c r="J319" s="128">
        <v>91271</v>
      </c>
      <c r="K319" s="128">
        <f t="shared" si="4"/>
        <v>4837363</v>
      </c>
      <c r="L319" s="125" t="s">
        <v>927</v>
      </c>
      <c r="M319" s="85" t="s">
        <v>47</v>
      </c>
      <c r="N319" s="85" t="s">
        <v>1491</v>
      </c>
    </row>
    <row r="320" spans="2:14" ht="15.75" thickBot="1" x14ac:dyDescent="0.3">
      <c r="B320" s="82" t="s">
        <v>545</v>
      </c>
      <c r="C320" s="83" t="s">
        <v>629</v>
      </c>
      <c r="D320" s="124" t="s">
        <v>620</v>
      </c>
      <c r="E320" s="130">
        <v>2017</v>
      </c>
      <c r="F320" s="125" t="s">
        <v>733</v>
      </c>
      <c r="G320" s="125">
        <v>53</v>
      </c>
      <c r="H320" s="85">
        <v>32299.860000000004</v>
      </c>
      <c r="I320" s="85" t="s">
        <v>630</v>
      </c>
      <c r="J320" s="128">
        <v>122547</v>
      </c>
      <c r="K320" s="128">
        <f t="shared" si="4"/>
        <v>6494991</v>
      </c>
      <c r="L320" s="125" t="s">
        <v>928</v>
      </c>
      <c r="M320" s="85" t="s">
        <v>47</v>
      </c>
      <c r="N320" s="85" t="s">
        <v>1491</v>
      </c>
    </row>
    <row r="321" spans="2:14" ht="15.75" thickBot="1" x14ac:dyDescent="0.3">
      <c r="B321" s="82" t="s">
        <v>545</v>
      </c>
      <c r="C321" s="83" t="s">
        <v>629</v>
      </c>
      <c r="D321" s="124" t="s">
        <v>620</v>
      </c>
      <c r="E321" s="130">
        <v>2017</v>
      </c>
      <c r="F321" s="125" t="s">
        <v>733</v>
      </c>
      <c r="G321" s="125">
        <v>53</v>
      </c>
      <c r="H321" s="85">
        <v>42730.66</v>
      </c>
      <c r="I321" s="85" t="s">
        <v>630</v>
      </c>
      <c r="J321" s="128">
        <v>156487</v>
      </c>
      <c r="K321" s="128">
        <f t="shared" si="4"/>
        <v>8293811</v>
      </c>
      <c r="L321" s="125" t="s">
        <v>929</v>
      </c>
      <c r="M321" s="85" t="s">
        <v>47</v>
      </c>
      <c r="N321" s="85" t="s">
        <v>1491</v>
      </c>
    </row>
    <row r="322" spans="2:14" ht="15.75" thickBot="1" x14ac:dyDescent="0.3">
      <c r="B322" s="82" t="s">
        <v>545</v>
      </c>
      <c r="C322" s="83" t="s">
        <v>629</v>
      </c>
      <c r="D322" s="124" t="s">
        <v>620</v>
      </c>
      <c r="E322" s="130">
        <v>2017</v>
      </c>
      <c r="F322" s="125" t="s">
        <v>733</v>
      </c>
      <c r="G322" s="125">
        <v>53</v>
      </c>
      <c r="H322" s="85">
        <v>33489.65</v>
      </c>
      <c r="I322" s="85" t="s">
        <v>630</v>
      </c>
      <c r="J322" s="128">
        <v>124692</v>
      </c>
      <c r="K322" s="128">
        <f t="shared" si="4"/>
        <v>6608676</v>
      </c>
      <c r="L322" s="125" t="s">
        <v>930</v>
      </c>
      <c r="M322" s="85" t="s">
        <v>47</v>
      </c>
      <c r="N322" s="85" t="s">
        <v>1491</v>
      </c>
    </row>
    <row r="323" spans="2:14" ht="15.75" thickBot="1" x14ac:dyDescent="0.3">
      <c r="B323" s="82" t="s">
        <v>545</v>
      </c>
      <c r="C323" s="83" t="s">
        <v>629</v>
      </c>
      <c r="D323" s="124" t="s">
        <v>620</v>
      </c>
      <c r="E323" s="130">
        <v>2017</v>
      </c>
      <c r="F323" s="125" t="s">
        <v>733</v>
      </c>
      <c r="G323" s="125">
        <v>63</v>
      </c>
      <c r="H323" s="85">
        <v>67064.59</v>
      </c>
      <c r="I323" s="85" t="s">
        <v>630</v>
      </c>
      <c r="J323" s="128">
        <v>215326</v>
      </c>
      <c r="K323" s="128">
        <f t="shared" si="4"/>
        <v>13565538</v>
      </c>
      <c r="L323" s="125" t="s">
        <v>931</v>
      </c>
      <c r="M323" s="85" t="s">
        <v>47</v>
      </c>
      <c r="N323" s="85" t="s">
        <v>1491</v>
      </c>
    </row>
    <row r="324" spans="2:14" ht="15.75" thickBot="1" x14ac:dyDescent="0.3">
      <c r="B324" s="82" t="s">
        <v>545</v>
      </c>
      <c r="C324" s="83" t="s">
        <v>629</v>
      </c>
      <c r="D324" s="124" t="s">
        <v>620</v>
      </c>
      <c r="E324" s="130">
        <v>2015</v>
      </c>
      <c r="F324" s="125" t="s">
        <v>733</v>
      </c>
      <c r="G324" s="125">
        <v>53</v>
      </c>
      <c r="H324" s="85">
        <v>38470.28</v>
      </c>
      <c r="I324" s="85" t="s">
        <v>630</v>
      </c>
      <c r="J324" s="128">
        <v>142442</v>
      </c>
      <c r="K324" s="128">
        <f t="shared" si="4"/>
        <v>7549426</v>
      </c>
      <c r="L324" s="125" t="s">
        <v>932</v>
      </c>
      <c r="M324" s="85" t="s">
        <v>47</v>
      </c>
      <c r="N324" s="85" t="s">
        <v>1491</v>
      </c>
    </row>
    <row r="325" spans="2:14" ht="15.75" thickBot="1" x14ac:dyDescent="0.3">
      <c r="B325" s="82" t="s">
        <v>545</v>
      </c>
      <c r="C325" s="83" t="s">
        <v>629</v>
      </c>
      <c r="D325" s="124" t="s">
        <v>620</v>
      </c>
      <c r="E325" s="130">
        <v>2015</v>
      </c>
      <c r="F325" s="125" t="s">
        <v>733</v>
      </c>
      <c r="G325" s="125">
        <v>53</v>
      </c>
      <c r="H325" s="85">
        <v>32867.699999999997</v>
      </c>
      <c r="I325" s="85" t="s">
        <v>630</v>
      </c>
      <c r="J325" s="128">
        <v>118345</v>
      </c>
      <c r="K325" s="128">
        <f t="shared" si="4"/>
        <v>6272285</v>
      </c>
      <c r="L325" s="125" t="s">
        <v>933</v>
      </c>
      <c r="M325" s="85" t="s">
        <v>47</v>
      </c>
      <c r="N325" s="85" t="s">
        <v>1491</v>
      </c>
    </row>
    <row r="326" spans="2:14" ht="15.75" thickBot="1" x14ac:dyDescent="0.3">
      <c r="B326" s="82" t="s">
        <v>545</v>
      </c>
      <c r="C326" s="83" t="s">
        <v>629</v>
      </c>
      <c r="D326" s="124" t="s">
        <v>620</v>
      </c>
      <c r="E326" s="130">
        <v>2017</v>
      </c>
      <c r="F326" s="125" t="s">
        <v>733</v>
      </c>
      <c r="G326" s="125">
        <v>19</v>
      </c>
      <c r="H326" s="85">
        <v>3839.3000000000006</v>
      </c>
      <c r="I326" s="85" t="s">
        <v>630</v>
      </c>
      <c r="J326" s="128">
        <v>24185</v>
      </c>
      <c r="K326" s="128">
        <f t="shared" si="4"/>
        <v>459515</v>
      </c>
      <c r="L326" s="125" t="s">
        <v>934</v>
      </c>
      <c r="M326" s="85" t="s">
        <v>47</v>
      </c>
      <c r="N326" s="85" t="s">
        <v>1491</v>
      </c>
    </row>
    <row r="327" spans="2:14" ht="15.75" thickBot="1" x14ac:dyDescent="0.3">
      <c r="B327" s="82" t="s">
        <v>545</v>
      </c>
      <c r="C327" s="83" t="s">
        <v>629</v>
      </c>
      <c r="D327" s="124" t="s">
        <v>620</v>
      </c>
      <c r="E327" s="130">
        <v>2017</v>
      </c>
      <c r="F327" s="125" t="s">
        <v>733</v>
      </c>
      <c r="G327" s="125">
        <v>19</v>
      </c>
      <c r="H327" s="85">
        <v>4408.57</v>
      </c>
      <c r="I327" s="85" t="s">
        <v>630</v>
      </c>
      <c r="J327" s="128">
        <v>25708</v>
      </c>
      <c r="K327" s="128">
        <f t="shared" si="4"/>
        <v>488452</v>
      </c>
      <c r="L327" s="125" t="s">
        <v>935</v>
      </c>
      <c r="M327" s="85" t="s">
        <v>47</v>
      </c>
      <c r="N327" s="85" t="s">
        <v>1491</v>
      </c>
    </row>
    <row r="328" spans="2:14" ht="15.75" thickBot="1" x14ac:dyDescent="0.3">
      <c r="B328" s="82" t="s">
        <v>545</v>
      </c>
      <c r="C328" s="83" t="s">
        <v>629</v>
      </c>
      <c r="D328" s="124" t="s">
        <v>620</v>
      </c>
      <c r="E328" s="130">
        <v>2017</v>
      </c>
      <c r="F328" s="125" t="s">
        <v>733</v>
      </c>
      <c r="G328" s="125">
        <v>53</v>
      </c>
      <c r="H328" s="85">
        <v>36875.950000000004</v>
      </c>
      <c r="I328" s="85" t="s">
        <v>630</v>
      </c>
      <c r="J328" s="128">
        <v>123524</v>
      </c>
      <c r="K328" s="128">
        <f t="shared" si="4"/>
        <v>6546772</v>
      </c>
      <c r="L328" s="125" t="s">
        <v>936</v>
      </c>
      <c r="M328" s="85" t="s">
        <v>47</v>
      </c>
      <c r="N328" s="85" t="s">
        <v>1491</v>
      </c>
    </row>
    <row r="329" spans="2:14" ht="15.75" thickBot="1" x14ac:dyDescent="0.3">
      <c r="B329" s="82" t="s">
        <v>545</v>
      </c>
      <c r="C329" s="83" t="s">
        <v>629</v>
      </c>
      <c r="D329" s="124" t="s">
        <v>620</v>
      </c>
      <c r="E329" s="130">
        <v>2017</v>
      </c>
      <c r="F329" s="125" t="s">
        <v>733</v>
      </c>
      <c r="G329" s="125">
        <v>39</v>
      </c>
      <c r="H329" s="85">
        <v>9808.9499999999989</v>
      </c>
      <c r="I329" s="85" t="s">
        <v>630</v>
      </c>
      <c r="J329" s="128">
        <v>36999</v>
      </c>
      <c r="K329" s="128">
        <f t="shared" si="4"/>
        <v>1442961</v>
      </c>
      <c r="L329" s="125" t="s">
        <v>937</v>
      </c>
      <c r="M329" s="85" t="s">
        <v>47</v>
      </c>
      <c r="N329" s="85" t="s">
        <v>1491</v>
      </c>
    </row>
    <row r="330" spans="2:14" ht="15.75" thickBot="1" x14ac:dyDescent="0.3">
      <c r="B330" s="82" t="s">
        <v>545</v>
      </c>
      <c r="C330" s="83" t="s">
        <v>629</v>
      </c>
      <c r="D330" s="124" t="s">
        <v>620</v>
      </c>
      <c r="E330" s="130">
        <v>2011</v>
      </c>
      <c r="F330" s="125" t="s">
        <v>734</v>
      </c>
      <c r="G330" s="125">
        <v>24</v>
      </c>
      <c r="H330" s="85">
        <v>307.83000000000004</v>
      </c>
      <c r="I330" s="85" t="s">
        <v>630</v>
      </c>
      <c r="J330" s="128">
        <v>1619</v>
      </c>
      <c r="K330" s="128">
        <f t="shared" si="4"/>
        <v>38856</v>
      </c>
      <c r="L330" s="125" t="s">
        <v>938</v>
      </c>
      <c r="M330" s="85" t="s">
        <v>47</v>
      </c>
      <c r="N330" s="85" t="s">
        <v>1491</v>
      </c>
    </row>
    <row r="331" spans="2:14" ht="15.75" thickBot="1" x14ac:dyDescent="0.3">
      <c r="B331" s="82" t="s">
        <v>545</v>
      </c>
      <c r="C331" s="83" t="s">
        <v>629</v>
      </c>
      <c r="D331" s="124" t="s">
        <v>620</v>
      </c>
      <c r="E331" s="130">
        <v>2011</v>
      </c>
      <c r="F331" s="125" t="s">
        <v>734</v>
      </c>
      <c r="G331" s="125">
        <v>24</v>
      </c>
      <c r="H331" s="85">
        <v>160</v>
      </c>
      <c r="I331" s="85" t="s">
        <v>630</v>
      </c>
      <c r="J331" s="128">
        <v>842</v>
      </c>
      <c r="K331" s="128">
        <f t="shared" si="4"/>
        <v>20208</v>
      </c>
      <c r="L331" s="125" t="s">
        <v>939</v>
      </c>
      <c r="M331" s="85" t="s">
        <v>47</v>
      </c>
      <c r="N331" s="85" t="s">
        <v>1491</v>
      </c>
    </row>
    <row r="332" spans="2:14" ht="15.75" thickBot="1" x14ac:dyDescent="0.3">
      <c r="B332" s="82" t="s">
        <v>545</v>
      </c>
      <c r="C332" s="83" t="s">
        <v>629</v>
      </c>
      <c r="D332" s="124" t="s">
        <v>620</v>
      </c>
      <c r="E332" s="130">
        <v>2011</v>
      </c>
      <c r="F332" s="125" t="s">
        <v>734</v>
      </c>
      <c r="G332" s="125">
        <v>53</v>
      </c>
      <c r="H332" s="85">
        <v>31241.179999999997</v>
      </c>
      <c r="I332" s="85" t="s">
        <v>630</v>
      </c>
      <c r="J332" s="128">
        <v>100710</v>
      </c>
      <c r="K332" s="128">
        <f t="shared" si="4"/>
        <v>5337630</v>
      </c>
      <c r="L332" s="125" t="s">
        <v>940</v>
      </c>
      <c r="M332" s="85" t="s">
        <v>47</v>
      </c>
      <c r="N332" s="85" t="s">
        <v>1491</v>
      </c>
    </row>
    <row r="333" spans="2:14" ht="15.75" thickBot="1" x14ac:dyDescent="0.3">
      <c r="B333" s="82" t="s">
        <v>545</v>
      </c>
      <c r="C333" s="83" t="s">
        <v>629</v>
      </c>
      <c r="D333" s="124" t="s">
        <v>620</v>
      </c>
      <c r="E333" s="130">
        <v>2011</v>
      </c>
      <c r="F333" s="125" t="s">
        <v>734</v>
      </c>
      <c r="G333" s="125">
        <v>53</v>
      </c>
      <c r="H333" s="85">
        <v>27251.46</v>
      </c>
      <c r="I333" s="85" t="s">
        <v>630</v>
      </c>
      <c r="J333" s="128">
        <v>87781</v>
      </c>
      <c r="K333" s="128">
        <f t="shared" si="4"/>
        <v>4652393</v>
      </c>
      <c r="L333" s="125" t="s">
        <v>941</v>
      </c>
      <c r="M333" s="85" t="s">
        <v>47</v>
      </c>
      <c r="N333" s="85" t="s">
        <v>1491</v>
      </c>
    </row>
    <row r="334" spans="2:14" ht="15.75" thickBot="1" x14ac:dyDescent="0.3">
      <c r="B334" s="82" t="s">
        <v>545</v>
      </c>
      <c r="C334" s="83" t="s">
        <v>629</v>
      </c>
      <c r="D334" s="124" t="s">
        <v>620</v>
      </c>
      <c r="E334" s="130">
        <v>2011</v>
      </c>
      <c r="F334" s="125" t="s">
        <v>734</v>
      </c>
      <c r="G334" s="125">
        <v>53</v>
      </c>
      <c r="H334" s="85">
        <v>33718.769999999997</v>
      </c>
      <c r="I334" s="85" t="s">
        <v>630</v>
      </c>
      <c r="J334" s="128">
        <v>108505</v>
      </c>
      <c r="K334" s="128">
        <f t="shared" si="4"/>
        <v>5750765</v>
      </c>
      <c r="L334" s="125" t="s">
        <v>942</v>
      </c>
      <c r="M334" s="85" t="s">
        <v>47</v>
      </c>
      <c r="N334" s="85" t="s">
        <v>1491</v>
      </c>
    </row>
    <row r="335" spans="2:14" ht="15.75" thickBot="1" x14ac:dyDescent="0.3">
      <c r="B335" s="82" t="s">
        <v>545</v>
      </c>
      <c r="C335" s="83" t="s">
        <v>629</v>
      </c>
      <c r="D335" s="124" t="s">
        <v>620</v>
      </c>
      <c r="E335" s="130">
        <v>2011</v>
      </c>
      <c r="F335" s="125" t="s">
        <v>734</v>
      </c>
      <c r="G335" s="125">
        <v>53</v>
      </c>
      <c r="H335" s="85">
        <v>29433.68</v>
      </c>
      <c r="I335" s="85" t="s">
        <v>630</v>
      </c>
      <c r="J335" s="128">
        <v>96489</v>
      </c>
      <c r="K335" s="128">
        <f t="shared" si="4"/>
        <v>5113917</v>
      </c>
      <c r="L335" s="125" t="s">
        <v>943</v>
      </c>
      <c r="M335" s="85" t="s">
        <v>47</v>
      </c>
      <c r="N335" s="85" t="s">
        <v>1491</v>
      </c>
    </row>
    <row r="336" spans="2:14" ht="15.75" thickBot="1" x14ac:dyDescent="0.3">
      <c r="B336" s="82" t="s">
        <v>545</v>
      </c>
      <c r="C336" s="83" t="s">
        <v>629</v>
      </c>
      <c r="D336" s="124" t="s">
        <v>620</v>
      </c>
      <c r="E336" s="130">
        <v>2018</v>
      </c>
      <c r="F336" s="125" t="s">
        <v>733</v>
      </c>
      <c r="G336" s="125">
        <v>39</v>
      </c>
      <c r="H336" s="85">
        <v>12347.79</v>
      </c>
      <c r="I336" s="85" t="s">
        <v>630</v>
      </c>
      <c r="J336" s="128">
        <v>47329</v>
      </c>
      <c r="K336" s="128">
        <f t="shared" si="4"/>
        <v>1845831</v>
      </c>
      <c r="L336" s="125" t="s">
        <v>944</v>
      </c>
      <c r="M336" s="85" t="s">
        <v>47</v>
      </c>
      <c r="N336" s="85" t="s">
        <v>1491</v>
      </c>
    </row>
    <row r="337" spans="2:14" ht="15.75" thickBot="1" x14ac:dyDescent="0.3">
      <c r="B337" s="82" t="s">
        <v>545</v>
      </c>
      <c r="C337" s="83" t="s">
        <v>629</v>
      </c>
      <c r="D337" s="124" t="s">
        <v>620</v>
      </c>
      <c r="E337" s="130">
        <v>2018</v>
      </c>
      <c r="F337" s="125" t="s">
        <v>733</v>
      </c>
      <c r="G337" s="125">
        <v>39</v>
      </c>
      <c r="H337" s="85">
        <v>13429.99</v>
      </c>
      <c r="I337" s="85" t="s">
        <v>630</v>
      </c>
      <c r="J337" s="128">
        <v>49071</v>
      </c>
      <c r="K337" s="128">
        <f t="shared" si="4"/>
        <v>1913769</v>
      </c>
      <c r="L337" s="125" t="s">
        <v>945</v>
      </c>
      <c r="M337" s="85" t="s">
        <v>47</v>
      </c>
      <c r="N337" s="85" t="s">
        <v>1491</v>
      </c>
    </row>
    <row r="338" spans="2:14" ht="15.75" thickBot="1" x14ac:dyDescent="0.3">
      <c r="B338" s="82" t="s">
        <v>545</v>
      </c>
      <c r="C338" s="83" t="s">
        <v>629</v>
      </c>
      <c r="D338" s="124" t="s">
        <v>620</v>
      </c>
      <c r="E338" s="130">
        <v>2018</v>
      </c>
      <c r="F338" s="125" t="s">
        <v>733</v>
      </c>
      <c r="G338" s="125">
        <v>63</v>
      </c>
      <c r="H338" s="85">
        <v>65543.069999999992</v>
      </c>
      <c r="I338" s="85" t="s">
        <v>630</v>
      </c>
      <c r="J338" s="128">
        <v>220250</v>
      </c>
      <c r="K338" s="128">
        <f t="shared" si="4"/>
        <v>13875750</v>
      </c>
      <c r="L338" s="125" t="s">
        <v>946</v>
      </c>
      <c r="M338" s="85" t="s">
        <v>47</v>
      </c>
      <c r="N338" s="85" t="s">
        <v>1491</v>
      </c>
    </row>
    <row r="339" spans="2:14" ht="15.75" thickBot="1" x14ac:dyDescent="0.3">
      <c r="B339" s="82" t="s">
        <v>545</v>
      </c>
      <c r="C339" s="83" t="s">
        <v>629</v>
      </c>
      <c r="D339" s="124" t="s">
        <v>620</v>
      </c>
      <c r="E339" s="130">
        <v>2018</v>
      </c>
      <c r="F339" s="125" t="s">
        <v>733</v>
      </c>
      <c r="G339" s="125">
        <v>53</v>
      </c>
      <c r="H339" s="85">
        <v>30511.730000000003</v>
      </c>
      <c r="I339" s="85" t="s">
        <v>630</v>
      </c>
      <c r="J339" s="128">
        <v>116248</v>
      </c>
      <c r="K339" s="128">
        <f t="shared" si="4"/>
        <v>6161144</v>
      </c>
      <c r="L339" s="125" t="s">
        <v>947</v>
      </c>
      <c r="M339" s="85" t="s">
        <v>47</v>
      </c>
      <c r="N339" s="85" t="s">
        <v>1491</v>
      </c>
    </row>
    <row r="340" spans="2:14" ht="15.75" thickBot="1" x14ac:dyDescent="0.3">
      <c r="B340" s="82" t="s">
        <v>545</v>
      </c>
      <c r="C340" s="83" t="s">
        <v>629</v>
      </c>
      <c r="D340" s="124" t="s">
        <v>620</v>
      </c>
      <c r="E340" s="130">
        <v>2018</v>
      </c>
      <c r="F340" s="125" t="s">
        <v>733</v>
      </c>
      <c r="G340" s="125">
        <v>53</v>
      </c>
      <c r="H340" s="85">
        <v>31745.849000000002</v>
      </c>
      <c r="I340" s="85" t="s">
        <v>630</v>
      </c>
      <c r="J340" s="128">
        <v>121767</v>
      </c>
      <c r="K340" s="128">
        <f t="shared" si="4"/>
        <v>6453651</v>
      </c>
      <c r="L340" s="125" t="s">
        <v>948</v>
      </c>
      <c r="M340" s="85" t="s">
        <v>47</v>
      </c>
      <c r="N340" s="85" t="s">
        <v>1491</v>
      </c>
    </row>
    <row r="341" spans="2:14" ht="15.75" thickBot="1" x14ac:dyDescent="0.3">
      <c r="B341" s="82" t="s">
        <v>545</v>
      </c>
      <c r="C341" s="83" t="s">
        <v>629</v>
      </c>
      <c r="D341" s="124" t="s">
        <v>620</v>
      </c>
      <c r="E341" s="130">
        <v>2018</v>
      </c>
      <c r="F341" s="125" t="s">
        <v>733</v>
      </c>
      <c r="G341" s="125">
        <v>53</v>
      </c>
      <c r="H341" s="85">
        <v>27923.670000000006</v>
      </c>
      <c r="I341" s="85" t="s">
        <v>630</v>
      </c>
      <c r="J341" s="128">
        <v>107728</v>
      </c>
      <c r="K341" s="128">
        <f t="shared" si="4"/>
        <v>5709584</v>
      </c>
      <c r="L341" s="125" t="s">
        <v>949</v>
      </c>
      <c r="M341" s="85" t="s">
        <v>47</v>
      </c>
      <c r="N341" s="85" t="s">
        <v>1491</v>
      </c>
    </row>
    <row r="342" spans="2:14" ht="15.75" thickBot="1" x14ac:dyDescent="0.3">
      <c r="B342" s="82" t="s">
        <v>545</v>
      </c>
      <c r="C342" s="83" t="s">
        <v>629</v>
      </c>
      <c r="D342" s="124" t="s">
        <v>620</v>
      </c>
      <c r="E342" s="130">
        <v>2018</v>
      </c>
      <c r="F342" s="125" t="s">
        <v>733</v>
      </c>
      <c r="G342" s="125">
        <v>53</v>
      </c>
      <c r="H342" s="85">
        <v>30285.879999999997</v>
      </c>
      <c r="I342" s="85" t="s">
        <v>630</v>
      </c>
      <c r="J342" s="128">
        <v>114741</v>
      </c>
      <c r="K342" s="128">
        <f t="shared" si="4"/>
        <v>6081273</v>
      </c>
      <c r="L342" s="125" t="s">
        <v>950</v>
      </c>
      <c r="M342" s="85" t="s">
        <v>47</v>
      </c>
      <c r="N342" s="85" t="s">
        <v>1491</v>
      </c>
    </row>
    <row r="343" spans="2:14" ht="15.75" thickBot="1" x14ac:dyDescent="0.3">
      <c r="B343" s="82" t="s">
        <v>545</v>
      </c>
      <c r="C343" s="83" t="s">
        <v>629</v>
      </c>
      <c r="D343" s="124" t="s">
        <v>620</v>
      </c>
      <c r="E343" s="130">
        <v>2018</v>
      </c>
      <c r="F343" s="125" t="s">
        <v>733</v>
      </c>
      <c r="G343" s="125">
        <v>35</v>
      </c>
      <c r="H343" s="85">
        <v>17200.559999999998</v>
      </c>
      <c r="I343" s="85" t="s">
        <v>630</v>
      </c>
      <c r="J343" s="128">
        <v>70297</v>
      </c>
      <c r="K343" s="128">
        <f t="shared" si="4"/>
        <v>2460395</v>
      </c>
      <c r="L343" s="125" t="s">
        <v>951</v>
      </c>
      <c r="M343" s="85" t="s">
        <v>47</v>
      </c>
      <c r="N343" s="85" t="s">
        <v>1491</v>
      </c>
    </row>
    <row r="344" spans="2:14" ht="15.75" thickBot="1" x14ac:dyDescent="0.3">
      <c r="B344" s="82" t="s">
        <v>545</v>
      </c>
      <c r="C344" s="83" t="s">
        <v>629</v>
      </c>
      <c r="D344" s="124" t="s">
        <v>620</v>
      </c>
      <c r="E344" s="130">
        <v>2018</v>
      </c>
      <c r="F344" s="125" t="s">
        <v>733</v>
      </c>
      <c r="G344" s="125">
        <v>52</v>
      </c>
      <c r="H344" s="85">
        <v>5967.85</v>
      </c>
      <c r="I344" s="85" t="s">
        <v>630</v>
      </c>
      <c r="J344" s="128">
        <v>19216</v>
      </c>
      <c r="K344" s="128">
        <f t="shared" si="4"/>
        <v>999232</v>
      </c>
      <c r="L344" s="125" t="s">
        <v>952</v>
      </c>
      <c r="M344" s="85" t="s">
        <v>47</v>
      </c>
      <c r="N344" s="85" t="s">
        <v>1491</v>
      </c>
    </row>
    <row r="345" spans="2:14" ht="15.75" thickBot="1" x14ac:dyDescent="0.3">
      <c r="B345" s="82" t="s">
        <v>545</v>
      </c>
      <c r="C345" s="83" t="s">
        <v>629</v>
      </c>
      <c r="D345" s="124" t="s">
        <v>620</v>
      </c>
      <c r="E345" s="130">
        <v>2018</v>
      </c>
      <c r="F345" s="125" t="s">
        <v>733</v>
      </c>
      <c r="G345" s="125">
        <v>19</v>
      </c>
      <c r="H345" s="85">
        <v>6139.4399999999987</v>
      </c>
      <c r="I345" s="85" t="s">
        <v>630</v>
      </c>
      <c r="J345" s="128">
        <v>43176</v>
      </c>
      <c r="K345" s="128">
        <f t="shared" si="4"/>
        <v>820344</v>
      </c>
      <c r="L345" s="125" t="s">
        <v>953</v>
      </c>
      <c r="M345" s="85" t="s">
        <v>47</v>
      </c>
      <c r="N345" s="85" t="s">
        <v>1491</v>
      </c>
    </row>
    <row r="346" spans="2:14" ht="15.75" thickBot="1" x14ac:dyDescent="0.3">
      <c r="B346" s="82" t="s">
        <v>545</v>
      </c>
      <c r="C346" s="83" t="s">
        <v>629</v>
      </c>
      <c r="D346" s="124" t="s">
        <v>620</v>
      </c>
      <c r="E346" s="130">
        <v>2018</v>
      </c>
      <c r="F346" s="125" t="s">
        <v>733</v>
      </c>
      <c r="G346" s="125">
        <v>19</v>
      </c>
      <c r="H346" s="85">
        <v>5828.0300000000016</v>
      </c>
      <c r="I346" s="85" t="s">
        <v>630</v>
      </c>
      <c r="J346" s="128">
        <v>38619</v>
      </c>
      <c r="K346" s="128">
        <f t="shared" si="4"/>
        <v>733761</v>
      </c>
      <c r="L346" s="125" t="s">
        <v>954</v>
      </c>
      <c r="M346" s="85" t="s">
        <v>47</v>
      </c>
      <c r="N346" s="85" t="s">
        <v>1491</v>
      </c>
    </row>
    <row r="347" spans="2:14" ht="15.75" thickBot="1" x14ac:dyDescent="0.3">
      <c r="B347" s="82" t="s">
        <v>545</v>
      </c>
      <c r="C347" s="83" t="s">
        <v>629</v>
      </c>
      <c r="D347" s="124" t="s">
        <v>620</v>
      </c>
      <c r="E347" s="130">
        <v>2018</v>
      </c>
      <c r="F347" s="125" t="s">
        <v>733</v>
      </c>
      <c r="G347" s="125">
        <v>19</v>
      </c>
      <c r="H347" s="85">
        <v>6817.1799999999994</v>
      </c>
      <c r="I347" s="85" t="s">
        <v>630</v>
      </c>
      <c r="J347" s="128">
        <v>46838</v>
      </c>
      <c r="K347" s="128">
        <f t="shared" si="4"/>
        <v>889922</v>
      </c>
      <c r="L347" s="125" t="s">
        <v>955</v>
      </c>
      <c r="M347" s="85" t="s">
        <v>47</v>
      </c>
      <c r="N347" s="85" t="s">
        <v>1491</v>
      </c>
    </row>
    <row r="348" spans="2:14" ht="15.75" thickBot="1" x14ac:dyDescent="0.3">
      <c r="B348" s="82" t="s">
        <v>545</v>
      </c>
      <c r="C348" s="83" t="s">
        <v>629</v>
      </c>
      <c r="D348" s="124" t="s">
        <v>620</v>
      </c>
      <c r="E348" s="130">
        <v>2005</v>
      </c>
      <c r="F348" s="125" t="s">
        <v>732</v>
      </c>
      <c r="G348" s="125">
        <v>36</v>
      </c>
      <c r="H348" s="85">
        <v>7451.99</v>
      </c>
      <c r="I348" s="85" t="s">
        <v>630</v>
      </c>
      <c r="J348" s="128">
        <v>23261</v>
      </c>
      <c r="K348" s="128">
        <f t="shared" si="4"/>
        <v>837396</v>
      </c>
      <c r="L348" s="125" t="s">
        <v>956</v>
      </c>
      <c r="M348" s="85" t="s">
        <v>47</v>
      </c>
      <c r="N348" s="85" t="s">
        <v>1491</v>
      </c>
    </row>
    <row r="349" spans="2:14" ht="15.75" thickBot="1" x14ac:dyDescent="0.3">
      <c r="B349" s="82" t="s">
        <v>545</v>
      </c>
      <c r="C349" s="83" t="s">
        <v>629</v>
      </c>
      <c r="D349" s="124" t="s">
        <v>620</v>
      </c>
      <c r="E349" s="130">
        <v>2011</v>
      </c>
      <c r="F349" s="125" t="s">
        <v>734</v>
      </c>
      <c r="G349" s="125">
        <v>34</v>
      </c>
      <c r="H349" s="85">
        <v>27550.990000000005</v>
      </c>
      <c r="I349" s="85" t="s">
        <v>630</v>
      </c>
      <c r="J349" s="128">
        <v>86247</v>
      </c>
      <c r="K349" s="128">
        <f t="shared" si="4"/>
        <v>2932398</v>
      </c>
      <c r="L349" s="125" t="s">
        <v>957</v>
      </c>
      <c r="M349" s="85" t="s">
        <v>47</v>
      </c>
      <c r="N349" s="85" t="s">
        <v>1491</v>
      </c>
    </row>
    <row r="350" spans="2:14" ht="15.75" thickBot="1" x14ac:dyDescent="0.3">
      <c r="B350" s="82" t="s">
        <v>545</v>
      </c>
      <c r="C350" s="83" t="s">
        <v>629</v>
      </c>
      <c r="D350" s="124" t="s">
        <v>620</v>
      </c>
      <c r="E350" s="130">
        <v>2012</v>
      </c>
      <c r="F350" s="125" t="s">
        <v>734</v>
      </c>
      <c r="G350" s="125">
        <v>53</v>
      </c>
      <c r="H350" s="85">
        <v>34377.899999999994</v>
      </c>
      <c r="I350" s="85" t="s">
        <v>630</v>
      </c>
      <c r="J350" s="128">
        <v>114509</v>
      </c>
      <c r="K350" s="128">
        <f t="shared" si="4"/>
        <v>6068977</v>
      </c>
      <c r="L350" s="125" t="s">
        <v>958</v>
      </c>
      <c r="M350" s="85" t="s">
        <v>47</v>
      </c>
      <c r="N350" s="85" t="s">
        <v>1491</v>
      </c>
    </row>
    <row r="351" spans="2:14" ht="15.75" thickBot="1" x14ac:dyDescent="0.3">
      <c r="B351" s="82" t="s">
        <v>545</v>
      </c>
      <c r="C351" s="83" t="s">
        <v>629</v>
      </c>
      <c r="D351" s="124" t="s">
        <v>620</v>
      </c>
      <c r="E351" s="130">
        <v>2013</v>
      </c>
      <c r="F351" s="125" t="s">
        <v>733</v>
      </c>
      <c r="G351" s="125">
        <v>53</v>
      </c>
      <c r="H351" s="85">
        <v>23980.310000000005</v>
      </c>
      <c r="I351" s="85" t="s">
        <v>630</v>
      </c>
      <c r="J351" s="128">
        <v>79554</v>
      </c>
      <c r="K351" s="128">
        <f t="shared" ref="K351:K414" si="5">J351*G351</f>
        <v>4216362</v>
      </c>
      <c r="L351" s="125" t="s">
        <v>959</v>
      </c>
      <c r="M351" s="85" t="s">
        <v>47</v>
      </c>
      <c r="N351" s="85" t="s">
        <v>1491</v>
      </c>
    </row>
    <row r="352" spans="2:14" ht="15.75" thickBot="1" x14ac:dyDescent="0.3">
      <c r="B352" s="82" t="s">
        <v>545</v>
      </c>
      <c r="C352" s="83" t="s">
        <v>629</v>
      </c>
      <c r="D352" s="124" t="s">
        <v>620</v>
      </c>
      <c r="E352" s="130">
        <v>2013</v>
      </c>
      <c r="F352" s="125" t="s">
        <v>733</v>
      </c>
      <c r="G352" s="125">
        <v>53</v>
      </c>
      <c r="H352" s="85">
        <v>0</v>
      </c>
      <c r="I352" s="85" t="s">
        <v>630</v>
      </c>
      <c r="J352" s="128">
        <v>0</v>
      </c>
      <c r="K352" s="128">
        <f t="shared" si="5"/>
        <v>0</v>
      </c>
      <c r="L352" s="125" t="s">
        <v>960</v>
      </c>
      <c r="M352" s="85" t="s">
        <v>47</v>
      </c>
      <c r="N352" s="85" t="s">
        <v>1491</v>
      </c>
    </row>
    <row r="353" spans="2:14" ht="15.75" thickBot="1" x14ac:dyDescent="0.3">
      <c r="B353" s="82" t="s">
        <v>545</v>
      </c>
      <c r="C353" s="83" t="s">
        <v>629</v>
      </c>
      <c r="D353" s="124" t="s">
        <v>620</v>
      </c>
      <c r="E353" s="130">
        <v>2013</v>
      </c>
      <c r="F353" s="125" t="s">
        <v>733</v>
      </c>
      <c r="G353" s="125">
        <v>55</v>
      </c>
      <c r="H353" s="85">
        <v>31687.210000000003</v>
      </c>
      <c r="I353" s="85" t="s">
        <v>630</v>
      </c>
      <c r="J353" s="128">
        <v>101173</v>
      </c>
      <c r="K353" s="128">
        <f t="shared" si="5"/>
        <v>5564515</v>
      </c>
      <c r="L353" s="125" t="s">
        <v>961</v>
      </c>
      <c r="M353" s="85" t="s">
        <v>47</v>
      </c>
      <c r="N353" s="85" t="s">
        <v>1491</v>
      </c>
    </row>
    <row r="354" spans="2:14" ht="15.75" thickBot="1" x14ac:dyDescent="0.3">
      <c r="B354" s="82" t="s">
        <v>545</v>
      </c>
      <c r="C354" s="83" t="s">
        <v>629</v>
      </c>
      <c r="D354" s="124" t="s">
        <v>620</v>
      </c>
      <c r="E354" s="130">
        <v>2014</v>
      </c>
      <c r="F354" s="125" t="s">
        <v>733</v>
      </c>
      <c r="G354" s="125">
        <v>53</v>
      </c>
      <c r="H354" s="85">
        <v>23223.269999999997</v>
      </c>
      <c r="I354" s="85" t="s">
        <v>630</v>
      </c>
      <c r="J354" s="128">
        <v>83307</v>
      </c>
      <c r="K354" s="128">
        <f t="shared" si="5"/>
        <v>4415271</v>
      </c>
      <c r="L354" s="125" t="s">
        <v>962</v>
      </c>
      <c r="M354" s="85" t="s">
        <v>47</v>
      </c>
      <c r="N354" s="85" t="s">
        <v>1491</v>
      </c>
    </row>
    <row r="355" spans="2:14" ht="15.75" thickBot="1" x14ac:dyDescent="0.3">
      <c r="B355" s="82" t="s">
        <v>545</v>
      </c>
      <c r="C355" s="83" t="s">
        <v>629</v>
      </c>
      <c r="D355" s="124" t="s">
        <v>620</v>
      </c>
      <c r="E355" s="130">
        <v>2014</v>
      </c>
      <c r="F355" s="125" t="s">
        <v>733</v>
      </c>
      <c r="G355" s="125">
        <v>53</v>
      </c>
      <c r="H355" s="85">
        <v>59276.82</v>
      </c>
      <c r="I355" s="85" t="s">
        <v>630</v>
      </c>
      <c r="J355" s="128">
        <v>207498</v>
      </c>
      <c r="K355" s="128">
        <f t="shared" si="5"/>
        <v>10997394</v>
      </c>
      <c r="L355" s="125" t="s">
        <v>963</v>
      </c>
      <c r="M355" s="85" t="s">
        <v>47</v>
      </c>
      <c r="N355" s="85" t="s">
        <v>1491</v>
      </c>
    </row>
    <row r="356" spans="2:14" ht="15.75" thickBot="1" x14ac:dyDescent="0.3">
      <c r="B356" s="82" t="s">
        <v>545</v>
      </c>
      <c r="C356" s="83" t="s">
        <v>629</v>
      </c>
      <c r="D356" s="124" t="s">
        <v>620</v>
      </c>
      <c r="E356" s="130">
        <v>2015</v>
      </c>
      <c r="F356" s="125" t="s">
        <v>733</v>
      </c>
      <c r="G356" s="125">
        <v>53</v>
      </c>
      <c r="H356" s="85">
        <v>48636.920000000006</v>
      </c>
      <c r="I356" s="85" t="s">
        <v>630</v>
      </c>
      <c r="J356" s="128">
        <v>181139</v>
      </c>
      <c r="K356" s="128">
        <f t="shared" si="5"/>
        <v>9600367</v>
      </c>
      <c r="L356" s="125" t="s">
        <v>964</v>
      </c>
      <c r="M356" s="85" t="s">
        <v>47</v>
      </c>
      <c r="N356" s="85" t="s">
        <v>1491</v>
      </c>
    </row>
    <row r="357" spans="2:14" ht="15.75" thickBot="1" x14ac:dyDescent="0.3">
      <c r="B357" s="82" t="s">
        <v>545</v>
      </c>
      <c r="C357" s="83" t="s">
        <v>629</v>
      </c>
      <c r="D357" s="124" t="s">
        <v>620</v>
      </c>
      <c r="E357" s="130">
        <v>2015</v>
      </c>
      <c r="F357" s="125" t="s">
        <v>733</v>
      </c>
      <c r="G357" s="125">
        <v>53</v>
      </c>
      <c r="H357" s="85">
        <v>51869.200000000004</v>
      </c>
      <c r="I357" s="85" t="s">
        <v>630</v>
      </c>
      <c r="J357" s="128">
        <v>189893</v>
      </c>
      <c r="K357" s="128">
        <f t="shared" si="5"/>
        <v>10064329</v>
      </c>
      <c r="L357" s="125" t="s">
        <v>965</v>
      </c>
      <c r="M357" s="85" t="s">
        <v>47</v>
      </c>
      <c r="N357" s="85" t="s">
        <v>1491</v>
      </c>
    </row>
    <row r="358" spans="2:14" ht="15.75" thickBot="1" x14ac:dyDescent="0.3">
      <c r="B358" s="82" t="s">
        <v>545</v>
      </c>
      <c r="C358" s="83" t="s">
        <v>629</v>
      </c>
      <c r="D358" s="124" t="s">
        <v>620</v>
      </c>
      <c r="E358" s="130">
        <v>2015</v>
      </c>
      <c r="F358" s="125" t="s">
        <v>733</v>
      </c>
      <c r="G358" s="125">
        <v>53</v>
      </c>
      <c r="H358" s="85">
        <v>59826.15</v>
      </c>
      <c r="I358" s="85" t="s">
        <v>630</v>
      </c>
      <c r="J358" s="128">
        <v>218929</v>
      </c>
      <c r="K358" s="128">
        <f t="shared" si="5"/>
        <v>11603237</v>
      </c>
      <c r="L358" s="125" t="s">
        <v>966</v>
      </c>
      <c r="M358" s="85" t="s">
        <v>47</v>
      </c>
      <c r="N358" s="85" t="s">
        <v>1491</v>
      </c>
    </row>
    <row r="359" spans="2:14" ht="15.75" thickBot="1" x14ac:dyDescent="0.3">
      <c r="B359" s="82" t="s">
        <v>545</v>
      </c>
      <c r="C359" s="83" t="s">
        <v>629</v>
      </c>
      <c r="D359" s="124" t="s">
        <v>620</v>
      </c>
      <c r="E359" s="130">
        <v>2015</v>
      </c>
      <c r="F359" s="125" t="s">
        <v>733</v>
      </c>
      <c r="G359" s="125">
        <v>53</v>
      </c>
      <c r="H359" s="85">
        <v>54196.82</v>
      </c>
      <c r="I359" s="85" t="s">
        <v>630</v>
      </c>
      <c r="J359" s="128">
        <v>203272</v>
      </c>
      <c r="K359" s="128">
        <f t="shared" si="5"/>
        <v>10773416</v>
      </c>
      <c r="L359" s="125" t="s">
        <v>967</v>
      </c>
      <c r="M359" s="85" t="s">
        <v>47</v>
      </c>
      <c r="N359" s="85" t="s">
        <v>1491</v>
      </c>
    </row>
    <row r="360" spans="2:14" ht="15.75" thickBot="1" x14ac:dyDescent="0.3">
      <c r="B360" s="82" t="s">
        <v>545</v>
      </c>
      <c r="C360" s="83" t="s">
        <v>629</v>
      </c>
      <c r="D360" s="124" t="s">
        <v>620</v>
      </c>
      <c r="E360" s="130">
        <v>2015</v>
      </c>
      <c r="F360" s="125" t="s">
        <v>733</v>
      </c>
      <c r="G360" s="125">
        <v>53</v>
      </c>
      <c r="H360" s="85">
        <v>53057.89</v>
      </c>
      <c r="I360" s="85" t="s">
        <v>630</v>
      </c>
      <c r="J360" s="128">
        <v>195890</v>
      </c>
      <c r="K360" s="128">
        <f t="shared" si="5"/>
        <v>10382170</v>
      </c>
      <c r="L360" s="125" t="s">
        <v>968</v>
      </c>
      <c r="M360" s="85" t="s">
        <v>47</v>
      </c>
      <c r="N360" s="85" t="s">
        <v>1491</v>
      </c>
    </row>
    <row r="361" spans="2:14" ht="15.75" thickBot="1" x14ac:dyDescent="0.3">
      <c r="B361" s="82" t="s">
        <v>545</v>
      </c>
      <c r="C361" s="83" t="s">
        <v>629</v>
      </c>
      <c r="D361" s="124" t="s">
        <v>620</v>
      </c>
      <c r="E361" s="130">
        <v>2016</v>
      </c>
      <c r="F361" s="125" t="s">
        <v>733</v>
      </c>
      <c r="G361" s="125">
        <v>53</v>
      </c>
      <c r="H361" s="85">
        <v>56407.200000000004</v>
      </c>
      <c r="I361" s="85" t="s">
        <v>630</v>
      </c>
      <c r="J361" s="128">
        <v>217394</v>
      </c>
      <c r="K361" s="128">
        <f t="shared" si="5"/>
        <v>11521882</v>
      </c>
      <c r="L361" s="125" t="s">
        <v>969</v>
      </c>
      <c r="M361" s="85" t="s">
        <v>47</v>
      </c>
      <c r="N361" s="85" t="s">
        <v>1491</v>
      </c>
    </row>
    <row r="362" spans="2:14" ht="15.75" thickBot="1" x14ac:dyDescent="0.3">
      <c r="B362" s="82" t="s">
        <v>545</v>
      </c>
      <c r="C362" s="83" t="s">
        <v>629</v>
      </c>
      <c r="D362" s="124" t="s">
        <v>620</v>
      </c>
      <c r="E362" s="130">
        <v>2016</v>
      </c>
      <c r="F362" s="125" t="s">
        <v>733</v>
      </c>
      <c r="G362" s="125">
        <v>53</v>
      </c>
      <c r="H362" s="85">
        <v>34811.760000000002</v>
      </c>
      <c r="I362" s="85" t="s">
        <v>630</v>
      </c>
      <c r="J362" s="128">
        <v>132746</v>
      </c>
      <c r="K362" s="128">
        <f t="shared" si="5"/>
        <v>7035538</v>
      </c>
      <c r="L362" s="125" t="s">
        <v>970</v>
      </c>
      <c r="M362" s="85" t="s">
        <v>47</v>
      </c>
      <c r="N362" s="85" t="s">
        <v>1491</v>
      </c>
    </row>
    <row r="363" spans="2:14" ht="15.75" thickBot="1" x14ac:dyDescent="0.3">
      <c r="B363" s="82" t="s">
        <v>545</v>
      </c>
      <c r="C363" s="83" t="s">
        <v>629</v>
      </c>
      <c r="D363" s="124" t="s">
        <v>620</v>
      </c>
      <c r="E363" s="130">
        <v>2016</v>
      </c>
      <c r="F363" s="125" t="s">
        <v>733</v>
      </c>
      <c r="G363" s="125">
        <v>53</v>
      </c>
      <c r="H363" s="85">
        <v>58695.99</v>
      </c>
      <c r="I363" s="85" t="s">
        <v>630</v>
      </c>
      <c r="J363" s="128">
        <v>223317</v>
      </c>
      <c r="K363" s="128">
        <f t="shared" si="5"/>
        <v>11835801</v>
      </c>
      <c r="L363" s="125" t="s">
        <v>971</v>
      </c>
      <c r="M363" s="85" t="s">
        <v>47</v>
      </c>
      <c r="N363" s="85" t="s">
        <v>1491</v>
      </c>
    </row>
    <row r="364" spans="2:14" ht="15.75" thickBot="1" x14ac:dyDescent="0.3">
      <c r="B364" s="82" t="s">
        <v>545</v>
      </c>
      <c r="C364" s="83" t="s">
        <v>629</v>
      </c>
      <c r="D364" s="124" t="s">
        <v>620</v>
      </c>
      <c r="E364" s="130">
        <v>2016</v>
      </c>
      <c r="F364" s="125" t="s">
        <v>733</v>
      </c>
      <c r="G364" s="125">
        <v>53</v>
      </c>
      <c r="H364" s="85">
        <v>51030.930000000008</v>
      </c>
      <c r="I364" s="85" t="s">
        <v>630</v>
      </c>
      <c r="J364" s="128">
        <v>200913</v>
      </c>
      <c r="K364" s="128">
        <f t="shared" si="5"/>
        <v>10648389</v>
      </c>
      <c r="L364" s="125" t="s">
        <v>972</v>
      </c>
      <c r="M364" s="85" t="s">
        <v>47</v>
      </c>
      <c r="N364" s="85" t="s">
        <v>1491</v>
      </c>
    </row>
    <row r="365" spans="2:14" ht="15.75" thickBot="1" x14ac:dyDescent="0.3">
      <c r="B365" s="82" t="s">
        <v>545</v>
      </c>
      <c r="C365" s="83" t="s">
        <v>629</v>
      </c>
      <c r="D365" s="124" t="s">
        <v>620</v>
      </c>
      <c r="E365" s="130">
        <v>2017</v>
      </c>
      <c r="F365" s="125" t="s">
        <v>733</v>
      </c>
      <c r="G365" s="125">
        <v>53</v>
      </c>
      <c r="H365" s="85">
        <v>69388.289999999994</v>
      </c>
      <c r="I365" s="85" t="s">
        <v>630</v>
      </c>
      <c r="J365" s="128">
        <v>282856</v>
      </c>
      <c r="K365" s="128">
        <f t="shared" si="5"/>
        <v>14991368</v>
      </c>
      <c r="L365" s="125" t="s">
        <v>973</v>
      </c>
      <c r="M365" s="85" t="s">
        <v>47</v>
      </c>
      <c r="N365" s="85" t="s">
        <v>1491</v>
      </c>
    </row>
    <row r="366" spans="2:14" ht="15.75" thickBot="1" x14ac:dyDescent="0.3">
      <c r="B366" s="82" t="s">
        <v>545</v>
      </c>
      <c r="C366" s="83" t="s">
        <v>629</v>
      </c>
      <c r="D366" s="124" t="s">
        <v>620</v>
      </c>
      <c r="E366" s="130">
        <v>2017</v>
      </c>
      <c r="F366" s="125" t="s">
        <v>733</v>
      </c>
      <c r="G366" s="125">
        <v>53</v>
      </c>
      <c r="H366" s="85">
        <v>65553.099999999991</v>
      </c>
      <c r="I366" s="85" t="s">
        <v>630</v>
      </c>
      <c r="J366" s="128">
        <v>260949</v>
      </c>
      <c r="K366" s="128">
        <f t="shared" si="5"/>
        <v>13830297</v>
      </c>
      <c r="L366" s="125" t="s">
        <v>974</v>
      </c>
      <c r="M366" s="85" t="s">
        <v>47</v>
      </c>
      <c r="N366" s="85" t="s">
        <v>1491</v>
      </c>
    </row>
    <row r="367" spans="2:14" ht="15.75" thickBot="1" x14ac:dyDescent="0.3">
      <c r="B367" s="82" t="s">
        <v>545</v>
      </c>
      <c r="C367" s="83" t="s">
        <v>629</v>
      </c>
      <c r="D367" s="124" t="s">
        <v>620</v>
      </c>
      <c r="E367" s="130">
        <v>2017</v>
      </c>
      <c r="F367" s="125" t="s">
        <v>733</v>
      </c>
      <c r="G367" s="125">
        <v>53</v>
      </c>
      <c r="H367" s="85">
        <v>68009.34</v>
      </c>
      <c r="I367" s="85" t="s">
        <v>630</v>
      </c>
      <c r="J367" s="128">
        <v>269747</v>
      </c>
      <c r="K367" s="128">
        <f t="shared" si="5"/>
        <v>14296591</v>
      </c>
      <c r="L367" s="125" t="s">
        <v>975</v>
      </c>
      <c r="M367" s="85" t="s">
        <v>47</v>
      </c>
      <c r="N367" s="85" t="s">
        <v>1491</v>
      </c>
    </row>
    <row r="368" spans="2:14" ht="15.75" thickBot="1" x14ac:dyDescent="0.3">
      <c r="B368" s="82" t="s">
        <v>545</v>
      </c>
      <c r="C368" s="83" t="s">
        <v>629</v>
      </c>
      <c r="D368" s="124" t="s">
        <v>620</v>
      </c>
      <c r="E368" s="130">
        <v>2017</v>
      </c>
      <c r="F368" s="125" t="s">
        <v>733</v>
      </c>
      <c r="G368" s="125">
        <v>53</v>
      </c>
      <c r="H368" s="85">
        <v>70619.38</v>
      </c>
      <c r="I368" s="85" t="s">
        <v>630</v>
      </c>
      <c r="J368" s="128">
        <v>289326</v>
      </c>
      <c r="K368" s="128">
        <f t="shared" si="5"/>
        <v>15334278</v>
      </c>
      <c r="L368" s="125" t="s">
        <v>976</v>
      </c>
      <c r="M368" s="85" t="s">
        <v>47</v>
      </c>
      <c r="N368" s="85" t="s">
        <v>1491</v>
      </c>
    </row>
    <row r="369" spans="2:14" ht="15.75" thickBot="1" x14ac:dyDescent="0.3">
      <c r="B369" s="82" t="s">
        <v>545</v>
      </c>
      <c r="C369" s="83" t="s">
        <v>629</v>
      </c>
      <c r="D369" s="124" t="s">
        <v>620</v>
      </c>
      <c r="E369" s="130">
        <v>2017</v>
      </c>
      <c r="F369" s="125" t="s">
        <v>733</v>
      </c>
      <c r="G369" s="125">
        <v>53</v>
      </c>
      <c r="H369" s="85">
        <v>61384.38</v>
      </c>
      <c r="I369" s="85" t="s">
        <v>630</v>
      </c>
      <c r="J369" s="128">
        <v>244318</v>
      </c>
      <c r="K369" s="128">
        <f t="shared" si="5"/>
        <v>12948854</v>
      </c>
      <c r="L369" s="125" t="s">
        <v>977</v>
      </c>
      <c r="M369" s="85" t="s">
        <v>47</v>
      </c>
      <c r="N369" s="85" t="s">
        <v>1491</v>
      </c>
    </row>
    <row r="370" spans="2:14" ht="15.75" thickBot="1" x14ac:dyDescent="0.3">
      <c r="B370" s="82" t="s">
        <v>545</v>
      </c>
      <c r="C370" s="83" t="s">
        <v>629</v>
      </c>
      <c r="D370" s="124" t="s">
        <v>620</v>
      </c>
      <c r="E370" s="130">
        <v>2017</v>
      </c>
      <c r="F370" s="125" t="s">
        <v>733</v>
      </c>
      <c r="G370" s="125">
        <v>53</v>
      </c>
      <c r="H370" s="85">
        <v>67336.189999999988</v>
      </c>
      <c r="I370" s="85" t="s">
        <v>630</v>
      </c>
      <c r="J370" s="128">
        <v>289003</v>
      </c>
      <c r="K370" s="128">
        <f t="shared" si="5"/>
        <v>15317159</v>
      </c>
      <c r="L370" s="125" t="s">
        <v>978</v>
      </c>
      <c r="M370" s="85" t="s">
        <v>47</v>
      </c>
      <c r="N370" s="85" t="s">
        <v>1491</v>
      </c>
    </row>
    <row r="371" spans="2:14" ht="15.75" thickBot="1" x14ac:dyDescent="0.3">
      <c r="B371" s="82" t="s">
        <v>545</v>
      </c>
      <c r="C371" s="83" t="s">
        <v>629</v>
      </c>
      <c r="D371" s="124" t="s">
        <v>620</v>
      </c>
      <c r="E371" s="130">
        <v>2017</v>
      </c>
      <c r="F371" s="125" t="s">
        <v>733</v>
      </c>
      <c r="G371" s="125">
        <v>53</v>
      </c>
      <c r="H371" s="85">
        <v>66525.02</v>
      </c>
      <c r="I371" s="85" t="s">
        <v>630</v>
      </c>
      <c r="J371" s="128">
        <v>283440</v>
      </c>
      <c r="K371" s="128">
        <f t="shared" si="5"/>
        <v>15022320</v>
      </c>
      <c r="L371" s="125" t="s">
        <v>979</v>
      </c>
      <c r="M371" s="85" t="s">
        <v>47</v>
      </c>
      <c r="N371" s="85" t="s">
        <v>1491</v>
      </c>
    </row>
    <row r="372" spans="2:14" ht="15.75" thickBot="1" x14ac:dyDescent="0.3">
      <c r="B372" s="82" t="s">
        <v>545</v>
      </c>
      <c r="C372" s="83" t="s">
        <v>629</v>
      </c>
      <c r="D372" s="124" t="s">
        <v>620</v>
      </c>
      <c r="E372" s="130">
        <v>2018</v>
      </c>
      <c r="F372" s="125" t="s">
        <v>733</v>
      </c>
      <c r="G372" s="125">
        <v>53</v>
      </c>
      <c r="H372" s="85">
        <v>66300.69</v>
      </c>
      <c r="I372" s="85" t="s">
        <v>630</v>
      </c>
      <c r="J372" s="128">
        <v>283859</v>
      </c>
      <c r="K372" s="128">
        <f t="shared" si="5"/>
        <v>15044527</v>
      </c>
      <c r="L372" s="125" t="s">
        <v>980</v>
      </c>
      <c r="M372" s="85" t="s">
        <v>47</v>
      </c>
      <c r="N372" s="85" t="s">
        <v>1491</v>
      </c>
    </row>
    <row r="373" spans="2:14" ht="15.75" thickBot="1" x14ac:dyDescent="0.3">
      <c r="B373" s="82" t="s">
        <v>545</v>
      </c>
      <c r="C373" s="83" t="s">
        <v>629</v>
      </c>
      <c r="D373" s="124" t="s">
        <v>620</v>
      </c>
      <c r="E373" s="130">
        <v>2018</v>
      </c>
      <c r="F373" s="125" t="s">
        <v>733</v>
      </c>
      <c r="G373" s="125">
        <v>53</v>
      </c>
      <c r="H373" s="85">
        <v>71297.759999999995</v>
      </c>
      <c r="I373" s="85" t="s">
        <v>630</v>
      </c>
      <c r="J373" s="128">
        <v>285753</v>
      </c>
      <c r="K373" s="128">
        <f t="shared" si="5"/>
        <v>15144909</v>
      </c>
      <c r="L373" s="125" t="s">
        <v>981</v>
      </c>
      <c r="M373" s="85" t="s">
        <v>47</v>
      </c>
      <c r="N373" s="85" t="s">
        <v>1491</v>
      </c>
    </row>
    <row r="374" spans="2:14" ht="15.75" thickBot="1" x14ac:dyDescent="0.3">
      <c r="B374" s="82" t="s">
        <v>545</v>
      </c>
      <c r="C374" s="83" t="s">
        <v>629</v>
      </c>
      <c r="D374" s="124" t="s">
        <v>620</v>
      </c>
      <c r="E374" s="130">
        <v>2018</v>
      </c>
      <c r="F374" s="125" t="s">
        <v>733</v>
      </c>
      <c r="G374" s="125">
        <v>53</v>
      </c>
      <c r="H374" s="85">
        <v>61019.81</v>
      </c>
      <c r="I374" s="85" t="s">
        <v>630</v>
      </c>
      <c r="J374" s="128">
        <v>249349</v>
      </c>
      <c r="K374" s="128">
        <f t="shared" si="5"/>
        <v>13215497</v>
      </c>
      <c r="L374" s="125" t="s">
        <v>982</v>
      </c>
      <c r="M374" s="85" t="s">
        <v>47</v>
      </c>
      <c r="N374" s="85" t="s">
        <v>1491</v>
      </c>
    </row>
    <row r="375" spans="2:14" ht="15.75" thickBot="1" x14ac:dyDescent="0.3">
      <c r="B375" s="82" t="s">
        <v>545</v>
      </c>
      <c r="C375" s="83" t="s">
        <v>629</v>
      </c>
      <c r="D375" s="124" t="s">
        <v>620</v>
      </c>
      <c r="E375" s="130">
        <v>2018</v>
      </c>
      <c r="F375" s="125" t="s">
        <v>733</v>
      </c>
      <c r="G375" s="125">
        <v>53</v>
      </c>
      <c r="H375" s="85">
        <v>1051.43</v>
      </c>
      <c r="I375" s="85" t="s">
        <v>630</v>
      </c>
      <c r="J375" s="128">
        <v>4487</v>
      </c>
      <c r="K375" s="128">
        <f t="shared" si="5"/>
        <v>237811</v>
      </c>
      <c r="L375" s="125" t="s">
        <v>983</v>
      </c>
      <c r="M375" s="85" t="s">
        <v>47</v>
      </c>
      <c r="N375" s="85" t="s">
        <v>1491</v>
      </c>
    </row>
    <row r="376" spans="2:14" ht="15.75" thickBot="1" x14ac:dyDescent="0.3">
      <c r="B376" s="82" t="s">
        <v>545</v>
      </c>
      <c r="C376" s="83" t="s">
        <v>629</v>
      </c>
      <c r="D376" s="124" t="s">
        <v>620</v>
      </c>
      <c r="E376" s="130">
        <v>2018</v>
      </c>
      <c r="F376" s="125" t="s">
        <v>733</v>
      </c>
      <c r="G376" s="125">
        <v>53</v>
      </c>
      <c r="H376" s="85">
        <v>2170.09</v>
      </c>
      <c r="I376" s="85" t="s">
        <v>630</v>
      </c>
      <c r="J376" s="128">
        <v>9016</v>
      </c>
      <c r="K376" s="128">
        <f t="shared" si="5"/>
        <v>477848</v>
      </c>
      <c r="L376" s="125" t="s">
        <v>984</v>
      </c>
      <c r="M376" s="85" t="s">
        <v>47</v>
      </c>
      <c r="N376" s="85" t="s">
        <v>1491</v>
      </c>
    </row>
    <row r="377" spans="2:14" ht="15.75" thickBot="1" x14ac:dyDescent="0.3">
      <c r="B377" s="82" t="s">
        <v>545</v>
      </c>
      <c r="C377" s="83" t="s">
        <v>629</v>
      </c>
      <c r="D377" s="124" t="s">
        <v>620</v>
      </c>
      <c r="E377" s="130">
        <v>2019</v>
      </c>
      <c r="F377" s="125" t="s">
        <v>733</v>
      </c>
      <c r="G377" s="125">
        <v>53</v>
      </c>
      <c r="H377" s="85">
        <v>651.51</v>
      </c>
      <c r="I377" s="85" t="s">
        <v>630</v>
      </c>
      <c r="J377" s="128">
        <v>2769</v>
      </c>
      <c r="K377" s="128">
        <f t="shared" si="5"/>
        <v>146757</v>
      </c>
      <c r="L377" s="125" t="s">
        <v>985</v>
      </c>
      <c r="M377" s="85" t="s">
        <v>47</v>
      </c>
      <c r="N377" s="85" t="s">
        <v>1491</v>
      </c>
    </row>
    <row r="378" spans="2:14" ht="15.75" thickBot="1" x14ac:dyDescent="0.3">
      <c r="B378" s="82" t="s">
        <v>545</v>
      </c>
      <c r="C378" s="83" t="s">
        <v>629</v>
      </c>
      <c r="D378" s="124" t="s">
        <v>620</v>
      </c>
      <c r="E378" s="130">
        <v>2019</v>
      </c>
      <c r="F378" s="125" t="s">
        <v>733</v>
      </c>
      <c r="G378" s="125">
        <v>53</v>
      </c>
      <c r="H378" s="85">
        <v>973.94</v>
      </c>
      <c r="I378" s="85" t="s">
        <v>630</v>
      </c>
      <c r="J378" s="128">
        <v>3882</v>
      </c>
      <c r="K378" s="128">
        <f t="shared" si="5"/>
        <v>205746</v>
      </c>
      <c r="L378" s="125" t="s">
        <v>986</v>
      </c>
      <c r="M378" s="85" t="s">
        <v>47</v>
      </c>
      <c r="N378" s="85" t="s">
        <v>1491</v>
      </c>
    </row>
    <row r="379" spans="2:14" ht="15.75" thickBot="1" x14ac:dyDescent="0.3">
      <c r="B379" s="82" t="s">
        <v>545</v>
      </c>
      <c r="C379" s="83" t="s">
        <v>629</v>
      </c>
      <c r="D379" s="124" t="s">
        <v>620</v>
      </c>
      <c r="E379" s="130">
        <v>2019</v>
      </c>
      <c r="F379" s="125" t="s">
        <v>733</v>
      </c>
      <c r="G379" s="125">
        <v>53</v>
      </c>
      <c r="H379" s="85">
        <v>1500.87</v>
      </c>
      <c r="I379" s="85" t="s">
        <v>630</v>
      </c>
      <c r="J379" s="128">
        <v>6827</v>
      </c>
      <c r="K379" s="128">
        <f t="shared" si="5"/>
        <v>361831</v>
      </c>
      <c r="L379" s="125" t="s">
        <v>987</v>
      </c>
      <c r="M379" s="85" t="s">
        <v>47</v>
      </c>
      <c r="N379" s="85" t="s">
        <v>1491</v>
      </c>
    </row>
    <row r="380" spans="2:14" ht="15.75" thickBot="1" x14ac:dyDescent="0.3">
      <c r="B380" s="82" t="s">
        <v>545</v>
      </c>
      <c r="C380" s="83" t="s">
        <v>629</v>
      </c>
      <c r="D380" s="124" t="s">
        <v>620</v>
      </c>
      <c r="E380" s="130">
        <v>2019</v>
      </c>
      <c r="F380" s="125" t="s">
        <v>733</v>
      </c>
      <c r="G380" s="125">
        <v>53</v>
      </c>
      <c r="H380" s="85">
        <v>1065.32</v>
      </c>
      <c r="I380" s="85" t="s">
        <v>630</v>
      </c>
      <c r="J380" s="128">
        <v>4475</v>
      </c>
      <c r="K380" s="128">
        <f t="shared" si="5"/>
        <v>237175</v>
      </c>
      <c r="L380" s="125" t="s">
        <v>988</v>
      </c>
      <c r="M380" s="85" t="s">
        <v>47</v>
      </c>
      <c r="N380" s="85" t="s">
        <v>1491</v>
      </c>
    </row>
    <row r="381" spans="2:14" ht="15.75" thickBot="1" x14ac:dyDescent="0.3">
      <c r="B381" s="82" t="s">
        <v>545</v>
      </c>
      <c r="C381" s="83" t="s">
        <v>629</v>
      </c>
      <c r="D381" s="124" t="s">
        <v>620</v>
      </c>
      <c r="E381" s="130">
        <v>2019</v>
      </c>
      <c r="F381" s="125" t="s">
        <v>733</v>
      </c>
      <c r="G381" s="125">
        <v>53</v>
      </c>
      <c r="H381" s="85">
        <v>1763.31</v>
      </c>
      <c r="I381" s="85" t="s">
        <v>630</v>
      </c>
      <c r="J381" s="128">
        <v>7238</v>
      </c>
      <c r="K381" s="128">
        <f t="shared" si="5"/>
        <v>383614</v>
      </c>
      <c r="L381" s="125" t="s">
        <v>989</v>
      </c>
      <c r="M381" s="85" t="s">
        <v>47</v>
      </c>
      <c r="N381" s="85" t="s">
        <v>1491</v>
      </c>
    </row>
    <row r="382" spans="2:14" ht="15.75" thickBot="1" x14ac:dyDescent="0.3">
      <c r="B382" s="82" t="s">
        <v>1072</v>
      </c>
      <c r="C382" s="83" t="s">
        <v>629</v>
      </c>
      <c r="D382" s="124" t="s">
        <v>620</v>
      </c>
      <c r="E382" s="130">
        <v>2015</v>
      </c>
      <c r="F382" s="125" t="s">
        <v>733</v>
      </c>
      <c r="G382" s="125">
        <v>19</v>
      </c>
      <c r="H382" s="85">
        <v>4139.5500000000011</v>
      </c>
      <c r="I382" s="85" t="s">
        <v>630</v>
      </c>
      <c r="J382" s="128">
        <v>25658</v>
      </c>
      <c r="K382" s="128">
        <f t="shared" si="5"/>
        <v>487502</v>
      </c>
      <c r="L382" s="125" t="s">
        <v>990</v>
      </c>
      <c r="M382" s="85" t="s">
        <v>47</v>
      </c>
      <c r="N382" s="85" t="s">
        <v>1491</v>
      </c>
    </row>
    <row r="383" spans="2:14" ht="15.75" thickBot="1" x14ac:dyDescent="0.3">
      <c r="B383" s="82" t="s">
        <v>1072</v>
      </c>
      <c r="C383" s="83" t="s">
        <v>629</v>
      </c>
      <c r="D383" s="124" t="s">
        <v>620</v>
      </c>
      <c r="E383" s="130">
        <v>2015</v>
      </c>
      <c r="F383" s="125" t="s">
        <v>733</v>
      </c>
      <c r="G383" s="125">
        <v>16</v>
      </c>
      <c r="H383" s="85">
        <v>544.30999999999995</v>
      </c>
      <c r="I383" s="85" t="s">
        <v>630</v>
      </c>
      <c r="J383" s="128">
        <v>3858</v>
      </c>
      <c r="K383" s="128">
        <f t="shared" si="5"/>
        <v>61728</v>
      </c>
      <c r="L383" s="125" t="s">
        <v>991</v>
      </c>
      <c r="M383" s="85" t="s">
        <v>47</v>
      </c>
      <c r="N383" s="85" t="s">
        <v>1491</v>
      </c>
    </row>
    <row r="384" spans="2:14" ht="15.75" thickBot="1" x14ac:dyDescent="0.3">
      <c r="B384" s="82" t="s">
        <v>1072</v>
      </c>
      <c r="C384" s="83" t="s">
        <v>629</v>
      </c>
      <c r="D384" s="124" t="s">
        <v>620</v>
      </c>
      <c r="E384" s="130">
        <v>2015</v>
      </c>
      <c r="F384" s="125" t="s">
        <v>733</v>
      </c>
      <c r="G384" s="125">
        <v>16</v>
      </c>
      <c r="H384" s="85">
        <v>752.56999999999994</v>
      </c>
      <c r="I384" s="85" t="s">
        <v>630</v>
      </c>
      <c r="J384" s="128">
        <v>5667</v>
      </c>
      <c r="K384" s="128">
        <f t="shared" si="5"/>
        <v>90672</v>
      </c>
      <c r="L384" s="125" t="s">
        <v>992</v>
      </c>
      <c r="M384" s="85" t="s">
        <v>47</v>
      </c>
      <c r="N384" s="85" t="s">
        <v>1491</v>
      </c>
    </row>
    <row r="385" spans="2:14" ht="15.75" thickBot="1" x14ac:dyDescent="0.3">
      <c r="B385" s="82" t="s">
        <v>1072</v>
      </c>
      <c r="C385" s="83" t="s">
        <v>629</v>
      </c>
      <c r="D385" s="124" t="s">
        <v>620</v>
      </c>
      <c r="E385" s="130">
        <v>2016</v>
      </c>
      <c r="F385" s="125" t="s">
        <v>733</v>
      </c>
      <c r="G385" s="125">
        <v>19</v>
      </c>
      <c r="H385" s="85">
        <v>979.27</v>
      </c>
      <c r="I385" s="85" t="s">
        <v>630</v>
      </c>
      <c r="J385" s="128">
        <v>5802</v>
      </c>
      <c r="K385" s="128">
        <f t="shared" si="5"/>
        <v>110238</v>
      </c>
      <c r="L385" s="125" t="s">
        <v>993</v>
      </c>
      <c r="M385" s="85" t="s">
        <v>47</v>
      </c>
      <c r="N385" s="85" t="s">
        <v>1491</v>
      </c>
    </row>
    <row r="386" spans="2:14" ht="15.75" thickBot="1" x14ac:dyDescent="0.3">
      <c r="B386" s="82" t="s">
        <v>1072</v>
      </c>
      <c r="C386" s="83" t="s">
        <v>629</v>
      </c>
      <c r="D386" s="124" t="s">
        <v>620</v>
      </c>
      <c r="E386" s="130">
        <v>2017</v>
      </c>
      <c r="F386" s="125" t="s">
        <v>733</v>
      </c>
      <c r="G386" s="125">
        <v>19</v>
      </c>
      <c r="H386" s="85">
        <v>4376.3900000000003</v>
      </c>
      <c r="I386" s="85" t="s">
        <v>630</v>
      </c>
      <c r="J386" s="128">
        <v>28795</v>
      </c>
      <c r="K386" s="128">
        <f t="shared" si="5"/>
        <v>547105</v>
      </c>
      <c r="L386" s="125" t="s">
        <v>994</v>
      </c>
      <c r="M386" s="85" t="s">
        <v>47</v>
      </c>
      <c r="N386" s="85" t="s">
        <v>1491</v>
      </c>
    </row>
    <row r="387" spans="2:14" ht="15.75" thickBot="1" x14ac:dyDescent="0.3">
      <c r="B387" s="82" t="s">
        <v>1072</v>
      </c>
      <c r="C387" s="83" t="s">
        <v>629</v>
      </c>
      <c r="D387" s="124" t="s">
        <v>620</v>
      </c>
      <c r="E387" s="130">
        <v>2019</v>
      </c>
      <c r="F387" s="125" t="s">
        <v>733</v>
      </c>
      <c r="G387" s="125">
        <v>39</v>
      </c>
      <c r="H387" s="85">
        <v>7226.95</v>
      </c>
      <c r="I387" s="85" t="s">
        <v>630</v>
      </c>
      <c r="J387" s="128">
        <v>25225</v>
      </c>
      <c r="K387" s="128">
        <f t="shared" si="5"/>
        <v>983775</v>
      </c>
      <c r="L387" s="125" t="s">
        <v>995</v>
      </c>
      <c r="M387" s="85" t="s">
        <v>47</v>
      </c>
      <c r="N387" s="85" t="s">
        <v>1491</v>
      </c>
    </row>
    <row r="388" spans="2:14" ht="15.75" thickBot="1" x14ac:dyDescent="0.3">
      <c r="B388" s="82" t="s">
        <v>1072</v>
      </c>
      <c r="C388" s="83" t="s">
        <v>629</v>
      </c>
      <c r="D388" s="124" t="s">
        <v>620</v>
      </c>
      <c r="E388" s="130">
        <v>2019</v>
      </c>
      <c r="F388" s="125" t="s">
        <v>733</v>
      </c>
      <c r="G388" s="125">
        <v>39</v>
      </c>
      <c r="H388" s="85">
        <v>7658.3600000000006</v>
      </c>
      <c r="I388" s="85" t="s">
        <v>630</v>
      </c>
      <c r="J388" s="128">
        <v>26936</v>
      </c>
      <c r="K388" s="128">
        <f t="shared" si="5"/>
        <v>1050504</v>
      </c>
      <c r="L388" s="125" t="s">
        <v>996</v>
      </c>
      <c r="M388" s="85" t="s">
        <v>47</v>
      </c>
      <c r="N388" s="85" t="s">
        <v>1491</v>
      </c>
    </row>
    <row r="389" spans="2:14" ht="15.75" thickBot="1" x14ac:dyDescent="0.3">
      <c r="B389" s="82" t="s">
        <v>1072</v>
      </c>
      <c r="C389" s="83" t="s">
        <v>629</v>
      </c>
      <c r="D389" s="124" t="s">
        <v>620</v>
      </c>
      <c r="E389" s="130">
        <v>2019</v>
      </c>
      <c r="F389" s="125" t="s">
        <v>733</v>
      </c>
      <c r="G389" s="125">
        <v>39</v>
      </c>
      <c r="H389" s="85">
        <v>8309.58</v>
      </c>
      <c r="I389" s="85" t="s">
        <v>630</v>
      </c>
      <c r="J389" s="128">
        <v>29782</v>
      </c>
      <c r="K389" s="128">
        <f t="shared" si="5"/>
        <v>1161498</v>
      </c>
      <c r="L389" s="125" t="s">
        <v>997</v>
      </c>
      <c r="M389" s="85" t="s">
        <v>47</v>
      </c>
      <c r="N389" s="85" t="s">
        <v>1491</v>
      </c>
    </row>
    <row r="390" spans="2:14" ht="15.75" thickBot="1" x14ac:dyDescent="0.3">
      <c r="B390" s="82" t="s">
        <v>1072</v>
      </c>
      <c r="C390" s="83" t="s">
        <v>629</v>
      </c>
      <c r="D390" s="124" t="s">
        <v>620</v>
      </c>
      <c r="E390" s="130">
        <v>2011</v>
      </c>
      <c r="F390" s="125" t="s">
        <v>734</v>
      </c>
      <c r="G390" s="125">
        <v>34</v>
      </c>
      <c r="H390" s="85">
        <v>246.87</v>
      </c>
      <c r="I390" s="85" t="s">
        <v>630</v>
      </c>
      <c r="J390" s="128">
        <v>726</v>
      </c>
      <c r="K390" s="128">
        <f t="shared" si="5"/>
        <v>24684</v>
      </c>
      <c r="L390" s="125" t="s">
        <v>998</v>
      </c>
      <c r="M390" s="85" t="s">
        <v>47</v>
      </c>
      <c r="N390" s="85" t="s">
        <v>1491</v>
      </c>
    </row>
    <row r="391" spans="2:14" ht="15.75" thickBot="1" x14ac:dyDescent="0.3">
      <c r="B391" s="82" t="s">
        <v>1072</v>
      </c>
      <c r="C391" s="83" t="s">
        <v>629</v>
      </c>
      <c r="D391" s="124" t="s">
        <v>620</v>
      </c>
      <c r="E391" s="130">
        <v>2012</v>
      </c>
      <c r="F391" s="125" t="s">
        <v>734</v>
      </c>
      <c r="G391" s="125">
        <v>34</v>
      </c>
      <c r="H391" s="85">
        <v>7925.7699999999995</v>
      </c>
      <c r="I391" s="85" t="s">
        <v>630</v>
      </c>
      <c r="J391" s="128">
        <v>25047</v>
      </c>
      <c r="K391" s="128">
        <f t="shared" si="5"/>
        <v>851598</v>
      </c>
      <c r="L391" s="125" t="s">
        <v>999</v>
      </c>
      <c r="M391" s="85" t="s">
        <v>47</v>
      </c>
      <c r="N391" s="85" t="s">
        <v>1491</v>
      </c>
    </row>
    <row r="392" spans="2:14" ht="15.75" thickBot="1" x14ac:dyDescent="0.3">
      <c r="B392" s="82" t="s">
        <v>1072</v>
      </c>
      <c r="C392" s="83" t="s">
        <v>629</v>
      </c>
      <c r="D392" s="124" t="s">
        <v>620</v>
      </c>
      <c r="E392" s="130">
        <v>2016</v>
      </c>
      <c r="F392" s="125" t="s">
        <v>733</v>
      </c>
      <c r="G392" s="125">
        <v>53</v>
      </c>
      <c r="H392" s="85">
        <v>7178.1799999999994</v>
      </c>
      <c r="I392" s="85" t="s">
        <v>630</v>
      </c>
      <c r="J392" s="128">
        <v>26925</v>
      </c>
      <c r="K392" s="128">
        <f t="shared" si="5"/>
        <v>1427025</v>
      </c>
      <c r="L392" s="125" t="s">
        <v>1000</v>
      </c>
      <c r="M392" s="85" t="s">
        <v>47</v>
      </c>
      <c r="N392" s="85" t="s">
        <v>1491</v>
      </c>
    </row>
    <row r="393" spans="2:14" ht="15.75" thickBot="1" x14ac:dyDescent="0.3">
      <c r="B393" s="82" t="s">
        <v>1072</v>
      </c>
      <c r="C393" s="83" t="s">
        <v>629</v>
      </c>
      <c r="D393" s="124" t="s">
        <v>620</v>
      </c>
      <c r="E393" s="130">
        <v>2016</v>
      </c>
      <c r="F393" s="125" t="s">
        <v>733</v>
      </c>
      <c r="G393" s="125">
        <v>59</v>
      </c>
      <c r="H393" s="85">
        <v>18486.580000000002</v>
      </c>
      <c r="I393" s="85" t="s">
        <v>630</v>
      </c>
      <c r="J393" s="128">
        <v>63081</v>
      </c>
      <c r="K393" s="128">
        <f t="shared" si="5"/>
        <v>3721779</v>
      </c>
      <c r="L393" s="125" t="s">
        <v>1001</v>
      </c>
      <c r="M393" s="85" t="s">
        <v>47</v>
      </c>
      <c r="N393" s="85" t="s">
        <v>1491</v>
      </c>
    </row>
    <row r="394" spans="2:14" ht="15.75" thickBot="1" x14ac:dyDescent="0.3">
      <c r="B394" s="82" t="s">
        <v>1072</v>
      </c>
      <c r="C394" s="83" t="s">
        <v>629</v>
      </c>
      <c r="D394" s="124" t="s">
        <v>620</v>
      </c>
      <c r="E394" s="130">
        <v>2016</v>
      </c>
      <c r="F394" s="125" t="s">
        <v>733</v>
      </c>
      <c r="G394" s="125">
        <v>59</v>
      </c>
      <c r="H394" s="85">
        <v>10952.270000000002</v>
      </c>
      <c r="I394" s="85" t="s">
        <v>630</v>
      </c>
      <c r="J394" s="128">
        <v>34911</v>
      </c>
      <c r="K394" s="128">
        <f t="shared" si="5"/>
        <v>2059749</v>
      </c>
      <c r="L394" s="125" t="s">
        <v>1002</v>
      </c>
      <c r="M394" s="85" t="s">
        <v>47</v>
      </c>
      <c r="N394" s="85" t="s">
        <v>1491</v>
      </c>
    </row>
    <row r="395" spans="2:14" ht="15.75" thickBot="1" x14ac:dyDescent="0.3">
      <c r="B395" s="82" t="s">
        <v>1072</v>
      </c>
      <c r="C395" s="83" t="s">
        <v>629</v>
      </c>
      <c r="D395" s="124" t="s">
        <v>620</v>
      </c>
      <c r="E395" s="130">
        <v>2016</v>
      </c>
      <c r="F395" s="125" t="s">
        <v>733</v>
      </c>
      <c r="G395" s="125">
        <v>59</v>
      </c>
      <c r="H395" s="85">
        <v>10485.450000000001</v>
      </c>
      <c r="I395" s="85" t="s">
        <v>630</v>
      </c>
      <c r="J395" s="128">
        <v>32927</v>
      </c>
      <c r="K395" s="128">
        <f t="shared" si="5"/>
        <v>1942693</v>
      </c>
      <c r="L395" s="125" t="s">
        <v>1003</v>
      </c>
      <c r="M395" s="85" t="s">
        <v>47</v>
      </c>
      <c r="N395" s="85" t="s">
        <v>1491</v>
      </c>
    </row>
    <row r="396" spans="2:14" ht="15.75" thickBot="1" x14ac:dyDescent="0.3">
      <c r="B396" s="82" t="s">
        <v>1072</v>
      </c>
      <c r="C396" s="83" t="s">
        <v>629</v>
      </c>
      <c r="D396" s="124" t="s">
        <v>620</v>
      </c>
      <c r="E396" s="130">
        <v>2016</v>
      </c>
      <c r="F396" s="125" t="s">
        <v>733</v>
      </c>
      <c r="G396" s="125">
        <v>59</v>
      </c>
      <c r="H396" s="85">
        <v>15267.969999999998</v>
      </c>
      <c r="I396" s="85" t="s">
        <v>630</v>
      </c>
      <c r="J396" s="128">
        <v>49610</v>
      </c>
      <c r="K396" s="128">
        <f t="shared" si="5"/>
        <v>2926990</v>
      </c>
      <c r="L396" s="125" t="s">
        <v>1004</v>
      </c>
      <c r="M396" s="85" t="s">
        <v>47</v>
      </c>
      <c r="N396" s="85" t="s">
        <v>1491</v>
      </c>
    </row>
    <row r="397" spans="2:14" ht="15.75" thickBot="1" x14ac:dyDescent="0.3">
      <c r="B397" s="82" t="s">
        <v>1072</v>
      </c>
      <c r="C397" s="83" t="s">
        <v>629</v>
      </c>
      <c r="D397" s="124" t="s">
        <v>620</v>
      </c>
      <c r="E397" s="130">
        <v>2016</v>
      </c>
      <c r="F397" s="125" t="s">
        <v>733</v>
      </c>
      <c r="G397" s="125">
        <v>59</v>
      </c>
      <c r="H397" s="85">
        <v>11377.73</v>
      </c>
      <c r="I397" s="85" t="s">
        <v>630</v>
      </c>
      <c r="J397" s="128">
        <v>37013</v>
      </c>
      <c r="K397" s="128">
        <f t="shared" si="5"/>
        <v>2183767</v>
      </c>
      <c r="L397" s="125" t="s">
        <v>1005</v>
      </c>
      <c r="M397" s="85" t="s">
        <v>47</v>
      </c>
      <c r="N397" s="85" t="s">
        <v>1491</v>
      </c>
    </row>
    <row r="398" spans="2:14" ht="15.75" thickBot="1" x14ac:dyDescent="0.3">
      <c r="B398" s="82" t="s">
        <v>1072</v>
      </c>
      <c r="C398" s="83" t="s">
        <v>629</v>
      </c>
      <c r="D398" s="124" t="s">
        <v>620</v>
      </c>
      <c r="E398" s="130">
        <v>2016</v>
      </c>
      <c r="F398" s="125" t="s">
        <v>733</v>
      </c>
      <c r="G398" s="125">
        <v>59</v>
      </c>
      <c r="H398" s="85">
        <v>4297.21</v>
      </c>
      <c r="I398" s="85" t="s">
        <v>630</v>
      </c>
      <c r="J398" s="128">
        <v>13997</v>
      </c>
      <c r="K398" s="128">
        <f t="shared" si="5"/>
        <v>825823</v>
      </c>
      <c r="L398" s="125" t="s">
        <v>1006</v>
      </c>
      <c r="M398" s="85" t="s">
        <v>47</v>
      </c>
      <c r="N398" s="85" t="s">
        <v>1491</v>
      </c>
    </row>
    <row r="399" spans="2:14" ht="15.75" thickBot="1" x14ac:dyDescent="0.3">
      <c r="B399" s="82" t="s">
        <v>1072</v>
      </c>
      <c r="C399" s="83" t="s">
        <v>629</v>
      </c>
      <c r="D399" s="124" t="s">
        <v>620</v>
      </c>
      <c r="E399" s="130">
        <v>2016</v>
      </c>
      <c r="F399" s="125" t="s">
        <v>733</v>
      </c>
      <c r="G399" s="125">
        <v>59</v>
      </c>
      <c r="H399" s="85">
        <v>6263.82</v>
      </c>
      <c r="I399" s="85" t="s">
        <v>630</v>
      </c>
      <c r="J399" s="128">
        <v>21077</v>
      </c>
      <c r="K399" s="128">
        <f t="shared" si="5"/>
        <v>1243543</v>
      </c>
      <c r="L399" s="125" t="s">
        <v>1007</v>
      </c>
      <c r="M399" s="85" t="s">
        <v>47</v>
      </c>
      <c r="N399" s="85" t="s">
        <v>1491</v>
      </c>
    </row>
    <row r="400" spans="2:14" ht="15.75" thickBot="1" x14ac:dyDescent="0.3">
      <c r="B400" s="82" t="s">
        <v>1072</v>
      </c>
      <c r="C400" s="83" t="s">
        <v>629</v>
      </c>
      <c r="D400" s="124" t="s">
        <v>620</v>
      </c>
      <c r="E400" s="130">
        <v>2016</v>
      </c>
      <c r="F400" s="125" t="s">
        <v>733</v>
      </c>
      <c r="G400" s="125">
        <v>59</v>
      </c>
      <c r="H400" s="85">
        <v>3168.91</v>
      </c>
      <c r="I400" s="85" t="s">
        <v>630</v>
      </c>
      <c r="J400" s="128">
        <v>11035</v>
      </c>
      <c r="K400" s="128">
        <f t="shared" si="5"/>
        <v>651065</v>
      </c>
      <c r="L400" s="125" t="s">
        <v>1008</v>
      </c>
      <c r="M400" s="85" t="s">
        <v>47</v>
      </c>
      <c r="N400" s="85" t="s">
        <v>1491</v>
      </c>
    </row>
    <row r="401" spans="2:14" ht="15.75" thickBot="1" x14ac:dyDescent="0.3">
      <c r="B401" s="82" t="s">
        <v>1072</v>
      </c>
      <c r="C401" s="83" t="s">
        <v>629</v>
      </c>
      <c r="D401" s="124" t="s">
        <v>620</v>
      </c>
      <c r="E401" s="130">
        <v>2016</v>
      </c>
      <c r="F401" s="125" t="s">
        <v>733</v>
      </c>
      <c r="G401" s="125">
        <v>53</v>
      </c>
      <c r="H401" s="85">
        <v>6255.06</v>
      </c>
      <c r="I401" s="85" t="s">
        <v>630</v>
      </c>
      <c r="J401" s="128">
        <v>21385</v>
      </c>
      <c r="K401" s="128">
        <f t="shared" si="5"/>
        <v>1133405</v>
      </c>
      <c r="L401" s="125" t="s">
        <v>1009</v>
      </c>
      <c r="M401" s="85" t="s">
        <v>47</v>
      </c>
      <c r="N401" s="85" t="s">
        <v>1491</v>
      </c>
    </row>
    <row r="402" spans="2:14" ht="15.75" thickBot="1" x14ac:dyDescent="0.3">
      <c r="B402" s="82" t="s">
        <v>1072</v>
      </c>
      <c r="C402" s="83" t="s">
        <v>629</v>
      </c>
      <c r="D402" s="124" t="s">
        <v>620</v>
      </c>
      <c r="E402" s="130">
        <v>2016</v>
      </c>
      <c r="F402" s="125" t="s">
        <v>733</v>
      </c>
      <c r="G402" s="125">
        <v>53</v>
      </c>
      <c r="H402" s="85">
        <v>8209.42</v>
      </c>
      <c r="I402" s="85" t="s">
        <v>630</v>
      </c>
      <c r="J402" s="128">
        <v>29000</v>
      </c>
      <c r="K402" s="128">
        <f t="shared" si="5"/>
        <v>1537000</v>
      </c>
      <c r="L402" s="125" t="s">
        <v>1010</v>
      </c>
      <c r="M402" s="85" t="s">
        <v>47</v>
      </c>
      <c r="N402" s="85" t="s">
        <v>1491</v>
      </c>
    </row>
    <row r="403" spans="2:14" ht="15.75" thickBot="1" x14ac:dyDescent="0.3">
      <c r="B403" s="82" t="s">
        <v>1072</v>
      </c>
      <c r="C403" s="83" t="s">
        <v>629</v>
      </c>
      <c r="D403" s="124" t="s">
        <v>620</v>
      </c>
      <c r="E403" s="130">
        <v>2016</v>
      </c>
      <c r="F403" s="125" t="s">
        <v>733</v>
      </c>
      <c r="G403" s="125">
        <v>53</v>
      </c>
      <c r="H403" s="85">
        <v>272.05</v>
      </c>
      <c r="I403" s="85" t="s">
        <v>630</v>
      </c>
      <c r="J403" s="128">
        <v>824</v>
      </c>
      <c r="K403" s="128">
        <f t="shared" si="5"/>
        <v>43672</v>
      </c>
      <c r="L403" s="125" t="s">
        <v>1011</v>
      </c>
      <c r="M403" s="85" t="s">
        <v>47</v>
      </c>
      <c r="N403" s="85" t="s">
        <v>1491</v>
      </c>
    </row>
    <row r="404" spans="2:14" ht="15.75" thickBot="1" x14ac:dyDescent="0.3">
      <c r="B404" s="82" t="s">
        <v>1072</v>
      </c>
      <c r="C404" s="83" t="s">
        <v>629</v>
      </c>
      <c r="D404" s="124" t="s">
        <v>620</v>
      </c>
      <c r="E404" s="130">
        <v>2016</v>
      </c>
      <c r="F404" s="125" t="s">
        <v>733</v>
      </c>
      <c r="G404" s="125">
        <v>53</v>
      </c>
      <c r="H404" s="85">
        <v>313.42</v>
      </c>
      <c r="I404" s="85" t="s">
        <v>630</v>
      </c>
      <c r="J404" s="128">
        <v>1160</v>
      </c>
      <c r="K404" s="128">
        <f t="shared" si="5"/>
        <v>61480</v>
      </c>
      <c r="L404" s="125" t="s">
        <v>1012</v>
      </c>
      <c r="M404" s="85" t="s">
        <v>47</v>
      </c>
      <c r="N404" s="85" t="s">
        <v>1491</v>
      </c>
    </row>
    <row r="405" spans="2:14" ht="15.75" thickBot="1" x14ac:dyDescent="0.3">
      <c r="B405" s="82" t="s">
        <v>1072</v>
      </c>
      <c r="C405" s="83" t="s">
        <v>629</v>
      </c>
      <c r="D405" s="124" t="s">
        <v>620</v>
      </c>
      <c r="E405" s="130">
        <v>2017</v>
      </c>
      <c r="F405" s="125" t="s">
        <v>733</v>
      </c>
      <c r="G405" s="125">
        <v>53</v>
      </c>
      <c r="H405" s="85">
        <v>10716.420000000002</v>
      </c>
      <c r="I405" s="85" t="s">
        <v>630</v>
      </c>
      <c r="J405" s="128">
        <v>40535</v>
      </c>
      <c r="K405" s="128">
        <f t="shared" si="5"/>
        <v>2148355</v>
      </c>
      <c r="L405" s="125" t="s">
        <v>1013</v>
      </c>
      <c r="M405" s="85" t="s">
        <v>47</v>
      </c>
      <c r="N405" s="85" t="s">
        <v>1491</v>
      </c>
    </row>
    <row r="406" spans="2:14" ht="15.75" thickBot="1" x14ac:dyDescent="0.3">
      <c r="B406" s="82" t="s">
        <v>1072</v>
      </c>
      <c r="C406" s="83" t="s">
        <v>629</v>
      </c>
      <c r="D406" s="124" t="s">
        <v>620</v>
      </c>
      <c r="E406" s="130">
        <v>2017</v>
      </c>
      <c r="F406" s="125" t="s">
        <v>733</v>
      </c>
      <c r="G406" s="125">
        <v>53</v>
      </c>
      <c r="H406" s="85">
        <v>12318.090000000002</v>
      </c>
      <c r="I406" s="85" t="s">
        <v>630</v>
      </c>
      <c r="J406" s="128">
        <v>46429</v>
      </c>
      <c r="K406" s="128">
        <f t="shared" si="5"/>
        <v>2460737</v>
      </c>
      <c r="L406" s="125" t="s">
        <v>1014</v>
      </c>
      <c r="M406" s="85" t="s">
        <v>47</v>
      </c>
      <c r="N406" s="85" t="s">
        <v>1491</v>
      </c>
    </row>
    <row r="407" spans="2:14" ht="15.75" thickBot="1" x14ac:dyDescent="0.3">
      <c r="B407" s="82" t="s">
        <v>1072</v>
      </c>
      <c r="C407" s="83" t="s">
        <v>629</v>
      </c>
      <c r="D407" s="124" t="s">
        <v>620</v>
      </c>
      <c r="E407" s="130">
        <v>2018</v>
      </c>
      <c r="F407" s="125" t="s">
        <v>733</v>
      </c>
      <c r="G407" s="125">
        <v>53</v>
      </c>
      <c r="H407" s="85">
        <v>11878.399999999998</v>
      </c>
      <c r="I407" s="85" t="s">
        <v>630</v>
      </c>
      <c r="J407" s="128">
        <v>43470</v>
      </c>
      <c r="K407" s="128">
        <f t="shared" si="5"/>
        <v>2303910</v>
      </c>
      <c r="L407" s="125" t="s">
        <v>1015</v>
      </c>
      <c r="M407" s="85" t="s">
        <v>47</v>
      </c>
      <c r="N407" s="85" t="s">
        <v>1491</v>
      </c>
    </row>
    <row r="408" spans="2:14" ht="15.75" thickBot="1" x14ac:dyDescent="0.3">
      <c r="B408" s="82" t="s">
        <v>1072</v>
      </c>
      <c r="C408" s="83" t="s">
        <v>629</v>
      </c>
      <c r="D408" s="124" t="s">
        <v>620</v>
      </c>
      <c r="E408" s="130">
        <v>2018</v>
      </c>
      <c r="F408" s="125" t="s">
        <v>733</v>
      </c>
      <c r="G408" s="125">
        <v>53</v>
      </c>
      <c r="H408" s="85">
        <v>10631.9</v>
      </c>
      <c r="I408" s="85" t="s">
        <v>630</v>
      </c>
      <c r="J408" s="128">
        <v>39963</v>
      </c>
      <c r="K408" s="128">
        <f t="shared" si="5"/>
        <v>2118039</v>
      </c>
      <c r="L408" s="125" t="s">
        <v>1016</v>
      </c>
      <c r="M408" s="85" t="s">
        <v>47</v>
      </c>
      <c r="N408" s="85" t="s">
        <v>1491</v>
      </c>
    </row>
    <row r="409" spans="2:14" ht="15.75" thickBot="1" x14ac:dyDescent="0.3">
      <c r="B409" s="82" t="s">
        <v>1072</v>
      </c>
      <c r="C409" s="83" t="s">
        <v>629</v>
      </c>
      <c r="D409" s="124" t="s">
        <v>620</v>
      </c>
      <c r="E409" s="130">
        <v>2018</v>
      </c>
      <c r="F409" s="125" t="s">
        <v>733</v>
      </c>
      <c r="G409" s="125">
        <v>53</v>
      </c>
      <c r="H409" s="85">
        <v>11356.649999999998</v>
      </c>
      <c r="I409" s="85" t="s">
        <v>630</v>
      </c>
      <c r="J409" s="128">
        <v>41794</v>
      </c>
      <c r="K409" s="128">
        <f t="shared" si="5"/>
        <v>2215082</v>
      </c>
      <c r="L409" s="125" t="s">
        <v>1017</v>
      </c>
      <c r="M409" s="85" t="s">
        <v>47</v>
      </c>
      <c r="N409" s="85" t="s">
        <v>1491</v>
      </c>
    </row>
    <row r="410" spans="2:14" ht="15.75" thickBot="1" x14ac:dyDescent="0.3">
      <c r="B410" s="82" t="s">
        <v>1072</v>
      </c>
      <c r="C410" s="83" t="s">
        <v>629</v>
      </c>
      <c r="D410" s="124" t="s">
        <v>620</v>
      </c>
      <c r="E410" s="130">
        <v>2018</v>
      </c>
      <c r="F410" s="125" t="s">
        <v>733</v>
      </c>
      <c r="G410" s="125">
        <v>53</v>
      </c>
      <c r="H410" s="85">
        <v>14387.7</v>
      </c>
      <c r="I410" s="85" t="s">
        <v>630</v>
      </c>
      <c r="J410" s="128">
        <v>54390</v>
      </c>
      <c r="K410" s="128">
        <f t="shared" si="5"/>
        <v>2882670</v>
      </c>
      <c r="L410" s="125" t="s">
        <v>1018</v>
      </c>
      <c r="M410" s="85" t="s">
        <v>47</v>
      </c>
      <c r="N410" s="85" t="s">
        <v>1491</v>
      </c>
    </row>
    <row r="411" spans="2:14" ht="15.75" thickBot="1" x14ac:dyDescent="0.3">
      <c r="B411" s="82" t="s">
        <v>1072</v>
      </c>
      <c r="C411" s="83" t="s">
        <v>629</v>
      </c>
      <c r="D411" s="124" t="s">
        <v>620</v>
      </c>
      <c r="E411" s="130">
        <v>2018</v>
      </c>
      <c r="F411" s="125" t="s">
        <v>733</v>
      </c>
      <c r="G411" s="125">
        <v>35</v>
      </c>
      <c r="H411" s="85">
        <v>10044.860000000002</v>
      </c>
      <c r="I411" s="85" t="s">
        <v>630</v>
      </c>
      <c r="J411" s="128">
        <v>42344</v>
      </c>
      <c r="K411" s="128">
        <f t="shared" si="5"/>
        <v>1482040</v>
      </c>
      <c r="L411" s="125" t="s">
        <v>1019</v>
      </c>
      <c r="M411" s="85" t="s">
        <v>47</v>
      </c>
      <c r="N411" s="85" t="s">
        <v>1491</v>
      </c>
    </row>
    <row r="412" spans="2:14" ht="15.75" thickBot="1" x14ac:dyDescent="0.3">
      <c r="B412" s="82" t="s">
        <v>1072</v>
      </c>
      <c r="C412" s="83" t="s">
        <v>629</v>
      </c>
      <c r="D412" s="124" t="s">
        <v>620</v>
      </c>
      <c r="E412" s="130">
        <v>2018</v>
      </c>
      <c r="F412" s="125" t="s">
        <v>733</v>
      </c>
      <c r="G412" s="125">
        <v>53</v>
      </c>
      <c r="H412" s="85">
        <v>13849.27</v>
      </c>
      <c r="I412" s="85" t="s">
        <v>630</v>
      </c>
      <c r="J412" s="128">
        <v>57954</v>
      </c>
      <c r="K412" s="128">
        <f t="shared" si="5"/>
        <v>3071562</v>
      </c>
      <c r="L412" s="125" t="s">
        <v>1020</v>
      </c>
      <c r="M412" s="85" t="s">
        <v>47</v>
      </c>
      <c r="N412" s="85" t="s">
        <v>1491</v>
      </c>
    </row>
    <row r="413" spans="2:14" ht="15.75" thickBot="1" x14ac:dyDescent="0.3">
      <c r="B413" s="82" t="s">
        <v>1072</v>
      </c>
      <c r="C413" s="83" t="s">
        <v>629</v>
      </c>
      <c r="D413" s="124" t="s">
        <v>620</v>
      </c>
      <c r="E413" s="130">
        <v>2018</v>
      </c>
      <c r="F413" s="125" t="s">
        <v>733</v>
      </c>
      <c r="G413" s="125">
        <v>53</v>
      </c>
      <c r="H413" s="85">
        <v>14687.83</v>
      </c>
      <c r="I413" s="85" t="s">
        <v>630</v>
      </c>
      <c r="J413" s="128">
        <v>60301</v>
      </c>
      <c r="K413" s="128">
        <f t="shared" si="5"/>
        <v>3195953</v>
      </c>
      <c r="L413" s="125" t="s">
        <v>1021</v>
      </c>
      <c r="M413" s="85" t="s">
        <v>47</v>
      </c>
      <c r="N413" s="85" t="s">
        <v>1491</v>
      </c>
    </row>
    <row r="414" spans="2:14" ht="15.75" thickBot="1" x14ac:dyDescent="0.3">
      <c r="B414" s="82" t="s">
        <v>1072</v>
      </c>
      <c r="C414" s="83" t="s">
        <v>629</v>
      </c>
      <c r="D414" s="124" t="s">
        <v>620</v>
      </c>
      <c r="E414" s="130">
        <v>2018</v>
      </c>
      <c r="F414" s="125" t="s">
        <v>733</v>
      </c>
      <c r="G414" s="125">
        <v>53</v>
      </c>
      <c r="H414" s="85">
        <v>12601.2</v>
      </c>
      <c r="I414" s="85" t="s">
        <v>630</v>
      </c>
      <c r="J414" s="128">
        <v>49298</v>
      </c>
      <c r="K414" s="128">
        <f t="shared" si="5"/>
        <v>2612794</v>
      </c>
      <c r="L414" s="125" t="s">
        <v>1022</v>
      </c>
      <c r="M414" s="85" t="s">
        <v>47</v>
      </c>
      <c r="N414" s="85" t="s">
        <v>1491</v>
      </c>
    </row>
    <row r="415" spans="2:14" ht="15.75" thickBot="1" x14ac:dyDescent="0.3">
      <c r="B415" s="82" t="s">
        <v>1072</v>
      </c>
      <c r="C415" s="83" t="s">
        <v>629</v>
      </c>
      <c r="D415" s="124" t="s">
        <v>620</v>
      </c>
      <c r="E415" s="130">
        <v>2018</v>
      </c>
      <c r="F415" s="125" t="s">
        <v>733</v>
      </c>
      <c r="G415" s="125">
        <v>53</v>
      </c>
      <c r="H415" s="85">
        <v>10844.6</v>
      </c>
      <c r="I415" s="85" t="s">
        <v>630</v>
      </c>
      <c r="J415" s="128">
        <v>43030</v>
      </c>
      <c r="K415" s="128">
        <f t="shared" ref="K415:K478" si="6">J415*G415</f>
        <v>2280590</v>
      </c>
      <c r="L415" s="125" t="s">
        <v>983</v>
      </c>
      <c r="M415" s="85" t="s">
        <v>47</v>
      </c>
      <c r="N415" s="85" t="s">
        <v>1491</v>
      </c>
    </row>
    <row r="416" spans="2:14" ht="15.75" thickBot="1" x14ac:dyDescent="0.3">
      <c r="B416" s="82" t="s">
        <v>1072</v>
      </c>
      <c r="C416" s="83" t="s">
        <v>629</v>
      </c>
      <c r="D416" s="124" t="s">
        <v>620</v>
      </c>
      <c r="E416" s="130">
        <v>2018</v>
      </c>
      <c r="F416" s="125" t="s">
        <v>733</v>
      </c>
      <c r="G416" s="125">
        <v>53</v>
      </c>
      <c r="H416" s="85">
        <v>11751.259999999998</v>
      </c>
      <c r="I416" s="85" t="s">
        <v>630</v>
      </c>
      <c r="J416" s="128">
        <v>47053</v>
      </c>
      <c r="K416" s="128">
        <f t="shared" si="6"/>
        <v>2493809</v>
      </c>
      <c r="L416" s="125" t="s">
        <v>984</v>
      </c>
      <c r="M416" s="85" t="s">
        <v>47</v>
      </c>
      <c r="N416" s="85" t="s">
        <v>1491</v>
      </c>
    </row>
    <row r="417" spans="2:14" ht="15.75" thickBot="1" x14ac:dyDescent="0.3">
      <c r="B417" s="82" t="s">
        <v>1072</v>
      </c>
      <c r="C417" s="83" t="s">
        <v>629</v>
      </c>
      <c r="D417" s="124" t="s">
        <v>620</v>
      </c>
      <c r="E417" s="130">
        <v>2019</v>
      </c>
      <c r="F417" s="125" t="s">
        <v>733</v>
      </c>
      <c r="G417" s="125">
        <v>53</v>
      </c>
      <c r="H417" s="85">
        <v>15283.91</v>
      </c>
      <c r="I417" s="85" t="s">
        <v>630</v>
      </c>
      <c r="J417" s="128">
        <v>59505</v>
      </c>
      <c r="K417" s="128">
        <f t="shared" si="6"/>
        <v>3153765</v>
      </c>
      <c r="L417" s="125" t="s">
        <v>1023</v>
      </c>
      <c r="M417" s="85" t="s">
        <v>47</v>
      </c>
      <c r="N417" s="85" t="s">
        <v>1491</v>
      </c>
    </row>
    <row r="418" spans="2:14" ht="15.75" thickBot="1" x14ac:dyDescent="0.3">
      <c r="B418" s="82" t="s">
        <v>1072</v>
      </c>
      <c r="C418" s="83" t="s">
        <v>629</v>
      </c>
      <c r="D418" s="124" t="s">
        <v>620</v>
      </c>
      <c r="E418" s="130">
        <v>2019</v>
      </c>
      <c r="F418" s="125" t="s">
        <v>733</v>
      </c>
      <c r="G418" s="125">
        <v>53</v>
      </c>
      <c r="H418" s="85">
        <v>13929.659999999998</v>
      </c>
      <c r="I418" s="85" t="s">
        <v>630</v>
      </c>
      <c r="J418" s="128">
        <v>55906</v>
      </c>
      <c r="K418" s="128">
        <f t="shared" si="6"/>
        <v>2963018</v>
      </c>
      <c r="L418" s="125" t="s">
        <v>1024</v>
      </c>
      <c r="M418" s="85" t="s">
        <v>47</v>
      </c>
      <c r="N418" s="85" t="s">
        <v>1491</v>
      </c>
    </row>
    <row r="419" spans="2:14" ht="15.75" thickBot="1" x14ac:dyDescent="0.3">
      <c r="B419" s="82" t="s">
        <v>1072</v>
      </c>
      <c r="C419" s="83" t="s">
        <v>629</v>
      </c>
      <c r="D419" s="124" t="s">
        <v>620</v>
      </c>
      <c r="E419" s="130">
        <v>2019</v>
      </c>
      <c r="F419" s="125" t="s">
        <v>733</v>
      </c>
      <c r="G419" s="125">
        <v>53</v>
      </c>
      <c r="H419" s="85">
        <v>11905.73</v>
      </c>
      <c r="I419" s="85" t="s">
        <v>630</v>
      </c>
      <c r="J419" s="128">
        <v>43750</v>
      </c>
      <c r="K419" s="128">
        <f t="shared" si="6"/>
        <v>2318750</v>
      </c>
      <c r="L419" s="125" t="s">
        <v>1025</v>
      </c>
      <c r="M419" s="85" t="s">
        <v>47</v>
      </c>
      <c r="N419" s="85" t="s">
        <v>1491</v>
      </c>
    </row>
    <row r="420" spans="2:14" ht="15.75" thickBot="1" x14ac:dyDescent="0.3">
      <c r="B420" s="82" t="s">
        <v>1072</v>
      </c>
      <c r="C420" s="83" t="s">
        <v>629</v>
      </c>
      <c r="D420" s="124" t="s">
        <v>620</v>
      </c>
      <c r="E420" s="130">
        <v>2019</v>
      </c>
      <c r="F420" s="125" t="s">
        <v>733</v>
      </c>
      <c r="G420" s="125">
        <v>53</v>
      </c>
      <c r="H420" s="85">
        <v>14767.039999999999</v>
      </c>
      <c r="I420" s="85" t="s">
        <v>630</v>
      </c>
      <c r="J420" s="128">
        <v>56164</v>
      </c>
      <c r="K420" s="128">
        <f t="shared" si="6"/>
        <v>2976692</v>
      </c>
      <c r="L420" s="125" t="s">
        <v>1026</v>
      </c>
      <c r="M420" s="85" t="s">
        <v>47</v>
      </c>
      <c r="N420" s="85" t="s">
        <v>1491</v>
      </c>
    </row>
    <row r="421" spans="2:14" ht="15.75" thickBot="1" x14ac:dyDescent="0.3">
      <c r="B421" s="82" t="s">
        <v>1072</v>
      </c>
      <c r="C421" s="83" t="s">
        <v>629</v>
      </c>
      <c r="D421" s="124" t="s">
        <v>620</v>
      </c>
      <c r="E421" s="130">
        <v>2019</v>
      </c>
      <c r="F421" s="125" t="s">
        <v>733</v>
      </c>
      <c r="G421" s="125">
        <v>53</v>
      </c>
      <c r="H421" s="85">
        <v>15187.18</v>
      </c>
      <c r="I421" s="85" t="s">
        <v>630</v>
      </c>
      <c r="J421" s="128">
        <v>58216</v>
      </c>
      <c r="K421" s="128">
        <f t="shared" si="6"/>
        <v>3085448</v>
      </c>
      <c r="L421" s="125" t="s">
        <v>1027</v>
      </c>
      <c r="M421" s="85" t="s">
        <v>47</v>
      </c>
      <c r="N421" s="85" t="s">
        <v>1491</v>
      </c>
    </row>
    <row r="422" spans="2:14" ht="15.75" thickBot="1" x14ac:dyDescent="0.3">
      <c r="B422" s="82" t="s">
        <v>1072</v>
      </c>
      <c r="C422" s="83" t="s">
        <v>629</v>
      </c>
      <c r="D422" s="124" t="s">
        <v>620</v>
      </c>
      <c r="E422" s="130">
        <v>2019</v>
      </c>
      <c r="F422" s="125" t="s">
        <v>733</v>
      </c>
      <c r="G422" s="125">
        <v>53</v>
      </c>
      <c r="H422" s="85">
        <v>15202.699999999999</v>
      </c>
      <c r="I422" s="85" t="s">
        <v>630</v>
      </c>
      <c r="J422" s="128">
        <v>60484</v>
      </c>
      <c r="K422" s="128">
        <f t="shared" si="6"/>
        <v>3205652</v>
      </c>
      <c r="L422" s="125" t="s">
        <v>1028</v>
      </c>
      <c r="M422" s="85" t="s">
        <v>47</v>
      </c>
      <c r="N422" s="85" t="s">
        <v>1491</v>
      </c>
    </row>
    <row r="423" spans="2:14" ht="15.75" thickBot="1" x14ac:dyDescent="0.3">
      <c r="B423" s="82" t="s">
        <v>1072</v>
      </c>
      <c r="C423" s="83" t="s">
        <v>629</v>
      </c>
      <c r="D423" s="124" t="s">
        <v>620</v>
      </c>
      <c r="E423" s="130">
        <v>2019</v>
      </c>
      <c r="F423" s="125" t="s">
        <v>733</v>
      </c>
      <c r="G423" s="125">
        <v>53</v>
      </c>
      <c r="H423" s="85">
        <v>15523.510000000002</v>
      </c>
      <c r="I423" s="85" t="s">
        <v>630</v>
      </c>
      <c r="J423" s="128">
        <v>59976</v>
      </c>
      <c r="K423" s="128">
        <f t="shared" si="6"/>
        <v>3178728</v>
      </c>
      <c r="L423" s="125" t="s">
        <v>1029</v>
      </c>
      <c r="M423" s="85" t="s">
        <v>47</v>
      </c>
      <c r="N423" s="85" t="s">
        <v>1491</v>
      </c>
    </row>
    <row r="424" spans="2:14" ht="15.75" thickBot="1" x14ac:dyDescent="0.3">
      <c r="B424" s="82" t="s">
        <v>1072</v>
      </c>
      <c r="C424" s="83" t="s">
        <v>629</v>
      </c>
      <c r="D424" s="124" t="s">
        <v>620</v>
      </c>
      <c r="E424" s="130">
        <v>2019</v>
      </c>
      <c r="F424" s="125" t="s">
        <v>733</v>
      </c>
      <c r="G424" s="125">
        <v>53</v>
      </c>
      <c r="H424" s="85">
        <v>19234.71</v>
      </c>
      <c r="I424" s="85" t="s">
        <v>630</v>
      </c>
      <c r="J424" s="128">
        <v>71789</v>
      </c>
      <c r="K424" s="128">
        <f t="shared" si="6"/>
        <v>3804817</v>
      </c>
      <c r="L424" s="125" t="s">
        <v>1030</v>
      </c>
      <c r="M424" s="85" t="s">
        <v>47</v>
      </c>
      <c r="N424" s="85" t="s">
        <v>1491</v>
      </c>
    </row>
    <row r="425" spans="2:14" ht="15.75" thickBot="1" x14ac:dyDescent="0.3">
      <c r="B425" s="82" t="s">
        <v>1072</v>
      </c>
      <c r="C425" s="83" t="s">
        <v>629</v>
      </c>
      <c r="D425" s="124" t="s">
        <v>620</v>
      </c>
      <c r="E425" s="130">
        <v>2019</v>
      </c>
      <c r="F425" s="125" t="s">
        <v>733</v>
      </c>
      <c r="G425" s="125">
        <v>53</v>
      </c>
      <c r="H425" s="85">
        <v>15929.42</v>
      </c>
      <c r="I425" s="85" t="s">
        <v>630</v>
      </c>
      <c r="J425" s="128">
        <v>62583</v>
      </c>
      <c r="K425" s="128">
        <f t="shared" si="6"/>
        <v>3316899</v>
      </c>
      <c r="L425" s="125" t="s">
        <v>1031</v>
      </c>
      <c r="M425" s="85" t="s">
        <v>47</v>
      </c>
      <c r="N425" s="85" t="s">
        <v>1491</v>
      </c>
    </row>
    <row r="426" spans="2:14" ht="15.75" thickBot="1" x14ac:dyDescent="0.3">
      <c r="B426" s="82" t="s">
        <v>1072</v>
      </c>
      <c r="C426" s="83" t="s">
        <v>629</v>
      </c>
      <c r="D426" s="124" t="s">
        <v>620</v>
      </c>
      <c r="E426" s="130">
        <v>2019</v>
      </c>
      <c r="F426" s="125" t="s">
        <v>733</v>
      </c>
      <c r="G426" s="125">
        <v>53</v>
      </c>
      <c r="H426" s="85">
        <v>16712.350000000002</v>
      </c>
      <c r="I426" s="85" t="s">
        <v>630</v>
      </c>
      <c r="J426" s="128">
        <v>66279</v>
      </c>
      <c r="K426" s="128">
        <f t="shared" si="6"/>
        <v>3512787</v>
      </c>
      <c r="L426" s="125" t="s">
        <v>1032</v>
      </c>
      <c r="M426" s="85" t="s">
        <v>47</v>
      </c>
      <c r="N426" s="85" t="s">
        <v>1491</v>
      </c>
    </row>
    <row r="427" spans="2:14" ht="15.75" thickBot="1" x14ac:dyDescent="0.3">
      <c r="B427" s="82" t="s">
        <v>1072</v>
      </c>
      <c r="C427" s="83" t="s">
        <v>629</v>
      </c>
      <c r="D427" s="124" t="s">
        <v>620</v>
      </c>
      <c r="E427" s="130">
        <v>2019</v>
      </c>
      <c r="F427" s="125" t="s">
        <v>733</v>
      </c>
      <c r="G427" s="125">
        <v>53</v>
      </c>
      <c r="H427" s="85">
        <v>16871.800000000003</v>
      </c>
      <c r="I427" s="85" t="s">
        <v>630</v>
      </c>
      <c r="J427" s="128">
        <v>65622</v>
      </c>
      <c r="K427" s="128">
        <f t="shared" si="6"/>
        <v>3477966</v>
      </c>
      <c r="L427" s="125" t="s">
        <v>1033</v>
      </c>
      <c r="M427" s="85" t="s">
        <v>47</v>
      </c>
      <c r="N427" s="85" t="s">
        <v>1491</v>
      </c>
    </row>
    <row r="428" spans="2:14" ht="15.75" thickBot="1" x14ac:dyDescent="0.3">
      <c r="B428" s="82" t="s">
        <v>1072</v>
      </c>
      <c r="C428" s="83" t="s">
        <v>629</v>
      </c>
      <c r="D428" s="124" t="s">
        <v>620</v>
      </c>
      <c r="E428" s="130">
        <v>2019</v>
      </c>
      <c r="F428" s="125" t="s">
        <v>733</v>
      </c>
      <c r="G428" s="125">
        <v>53</v>
      </c>
      <c r="H428" s="85">
        <v>15353.83</v>
      </c>
      <c r="I428" s="85" t="s">
        <v>630</v>
      </c>
      <c r="J428" s="128">
        <v>57874</v>
      </c>
      <c r="K428" s="128">
        <f t="shared" si="6"/>
        <v>3067322</v>
      </c>
      <c r="L428" s="125" t="s">
        <v>1034</v>
      </c>
      <c r="M428" s="85" t="s">
        <v>47</v>
      </c>
      <c r="N428" s="85" t="s">
        <v>1491</v>
      </c>
    </row>
    <row r="429" spans="2:14" ht="15.75" thickBot="1" x14ac:dyDescent="0.3">
      <c r="B429" s="82" t="s">
        <v>1072</v>
      </c>
      <c r="C429" s="83" t="s">
        <v>629</v>
      </c>
      <c r="D429" s="124" t="s">
        <v>620</v>
      </c>
      <c r="E429" s="130">
        <v>2019</v>
      </c>
      <c r="F429" s="125" t="s">
        <v>733</v>
      </c>
      <c r="G429" s="125">
        <v>53</v>
      </c>
      <c r="H429" s="85">
        <v>18094.776000000002</v>
      </c>
      <c r="I429" s="85" t="s">
        <v>630</v>
      </c>
      <c r="J429" s="128">
        <v>69945</v>
      </c>
      <c r="K429" s="128">
        <f t="shared" si="6"/>
        <v>3707085</v>
      </c>
      <c r="L429" s="125" t="s">
        <v>1035</v>
      </c>
      <c r="M429" s="85" t="s">
        <v>47</v>
      </c>
      <c r="N429" s="85" t="s">
        <v>1491</v>
      </c>
    </row>
    <row r="430" spans="2:14" ht="15.75" thickBot="1" x14ac:dyDescent="0.3">
      <c r="B430" s="82" t="s">
        <v>1072</v>
      </c>
      <c r="C430" s="83" t="s">
        <v>629</v>
      </c>
      <c r="D430" s="124" t="s">
        <v>620</v>
      </c>
      <c r="E430" s="130">
        <v>2019</v>
      </c>
      <c r="F430" s="125" t="s">
        <v>733</v>
      </c>
      <c r="G430" s="125">
        <v>53</v>
      </c>
      <c r="H430" s="85">
        <v>15780.01</v>
      </c>
      <c r="I430" s="85" t="s">
        <v>630</v>
      </c>
      <c r="J430" s="128">
        <v>61976</v>
      </c>
      <c r="K430" s="128">
        <f t="shared" si="6"/>
        <v>3284728</v>
      </c>
      <c r="L430" s="125" t="s">
        <v>1036</v>
      </c>
      <c r="M430" s="85" t="s">
        <v>47</v>
      </c>
      <c r="N430" s="85" t="s">
        <v>1491</v>
      </c>
    </row>
    <row r="431" spans="2:14" ht="15.75" thickBot="1" x14ac:dyDescent="0.3">
      <c r="B431" s="82" t="s">
        <v>1072</v>
      </c>
      <c r="C431" s="83" t="s">
        <v>629</v>
      </c>
      <c r="D431" s="124" t="s">
        <v>620</v>
      </c>
      <c r="E431" s="130">
        <v>2019</v>
      </c>
      <c r="F431" s="125" t="s">
        <v>733</v>
      </c>
      <c r="G431" s="125">
        <v>63</v>
      </c>
      <c r="H431" s="85">
        <v>3400.36</v>
      </c>
      <c r="I431" s="85" t="s">
        <v>630</v>
      </c>
      <c r="J431" s="128">
        <v>12294</v>
      </c>
      <c r="K431" s="128">
        <f t="shared" si="6"/>
        <v>774522</v>
      </c>
      <c r="L431" s="125" t="s">
        <v>1037</v>
      </c>
      <c r="M431" s="85" t="s">
        <v>47</v>
      </c>
      <c r="N431" s="85" t="s">
        <v>1491</v>
      </c>
    </row>
    <row r="432" spans="2:14" ht="15.75" thickBot="1" x14ac:dyDescent="0.3">
      <c r="B432" s="82" t="s">
        <v>1072</v>
      </c>
      <c r="C432" s="83" t="s">
        <v>629</v>
      </c>
      <c r="D432" s="124" t="s">
        <v>620</v>
      </c>
      <c r="E432" s="130">
        <v>2019</v>
      </c>
      <c r="F432" s="125" t="s">
        <v>733</v>
      </c>
      <c r="G432" s="125">
        <v>63</v>
      </c>
      <c r="H432" s="85">
        <v>33946.44</v>
      </c>
      <c r="I432" s="85" t="s">
        <v>630</v>
      </c>
      <c r="J432" s="128">
        <v>116354</v>
      </c>
      <c r="K432" s="128">
        <f t="shared" si="6"/>
        <v>7330302</v>
      </c>
      <c r="L432" s="125" t="s">
        <v>1038</v>
      </c>
      <c r="M432" s="85" t="s">
        <v>47</v>
      </c>
      <c r="N432" s="85" t="s">
        <v>1491</v>
      </c>
    </row>
    <row r="433" spans="2:14" ht="15.75" thickBot="1" x14ac:dyDescent="0.3">
      <c r="B433" s="82" t="s">
        <v>1072</v>
      </c>
      <c r="C433" s="83" t="s">
        <v>629</v>
      </c>
      <c r="D433" s="124" t="s">
        <v>620</v>
      </c>
      <c r="E433" s="130">
        <v>2019</v>
      </c>
      <c r="F433" s="125" t="s">
        <v>733</v>
      </c>
      <c r="G433" s="125">
        <v>53</v>
      </c>
      <c r="H433" s="85">
        <v>10457.48</v>
      </c>
      <c r="I433" s="85" t="s">
        <v>630</v>
      </c>
      <c r="J433" s="128">
        <v>41163</v>
      </c>
      <c r="K433" s="128">
        <f t="shared" si="6"/>
        <v>2181639</v>
      </c>
      <c r="L433" s="125" t="s">
        <v>985</v>
      </c>
      <c r="M433" s="85" t="s">
        <v>47</v>
      </c>
      <c r="N433" s="85" t="s">
        <v>1491</v>
      </c>
    </row>
    <row r="434" spans="2:14" ht="15.75" thickBot="1" x14ac:dyDescent="0.3">
      <c r="B434" s="82" t="s">
        <v>1072</v>
      </c>
      <c r="C434" s="83" t="s">
        <v>629</v>
      </c>
      <c r="D434" s="124" t="s">
        <v>620</v>
      </c>
      <c r="E434" s="130">
        <v>2019</v>
      </c>
      <c r="F434" s="125" t="s">
        <v>733</v>
      </c>
      <c r="G434" s="125">
        <v>53</v>
      </c>
      <c r="H434" s="85">
        <v>10440.58</v>
      </c>
      <c r="I434" s="85" t="s">
        <v>630</v>
      </c>
      <c r="J434" s="128">
        <v>42154</v>
      </c>
      <c r="K434" s="128">
        <f t="shared" si="6"/>
        <v>2234162</v>
      </c>
      <c r="L434" s="125" t="s">
        <v>986</v>
      </c>
      <c r="M434" s="85" t="s">
        <v>47</v>
      </c>
      <c r="N434" s="85" t="s">
        <v>1491</v>
      </c>
    </row>
    <row r="435" spans="2:14" ht="15.75" thickBot="1" x14ac:dyDescent="0.3">
      <c r="B435" s="82" t="s">
        <v>1072</v>
      </c>
      <c r="C435" s="83" t="s">
        <v>629</v>
      </c>
      <c r="D435" s="124" t="s">
        <v>620</v>
      </c>
      <c r="E435" s="130">
        <v>2019</v>
      </c>
      <c r="F435" s="125" t="s">
        <v>733</v>
      </c>
      <c r="G435" s="125">
        <v>53</v>
      </c>
      <c r="H435" s="85">
        <v>14231.21</v>
      </c>
      <c r="I435" s="85" t="s">
        <v>630</v>
      </c>
      <c r="J435" s="128">
        <v>57497</v>
      </c>
      <c r="K435" s="128">
        <f t="shared" si="6"/>
        <v>3047341</v>
      </c>
      <c r="L435" s="125" t="s">
        <v>987</v>
      </c>
      <c r="M435" s="85" t="s">
        <v>47</v>
      </c>
      <c r="N435" s="85" t="s">
        <v>1491</v>
      </c>
    </row>
    <row r="436" spans="2:14" ht="15.75" thickBot="1" x14ac:dyDescent="0.3">
      <c r="B436" s="82" t="s">
        <v>1072</v>
      </c>
      <c r="C436" s="83" t="s">
        <v>629</v>
      </c>
      <c r="D436" s="124" t="s">
        <v>620</v>
      </c>
      <c r="E436" s="130">
        <v>2019</v>
      </c>
      <c r="F436" s="125" t="s">
        <v>733</v>
      </c>
      <c r="G436" s="125">
        <v>53</v>
      </c>
      <c r="H436" s="85">
        <v>13581.148999999999</v>
      </c>
      <c r="I436" s="85" t="s">
        <v>630</v>
      </c>
      <c r="J436" s="128">
        <v>53865</v>
      </c>
      <c r="K436" s="128">
        <f t="shared" si="6"/>
        <v>2854845</v>
      </c>
      <c r="L436" s="125" t="s">
        <v>988</v>
      </c>
      <c r="M436" s="85" t="s">
        <v>47</v>
      </c>
      <c r="N436" s="85" t="s">
        <v>1491</v>
      </c>
    </row>
    <row r="437" spans="2:14" ht="15.75" thickBot="1" x14ac:dyDescent="0.3">
      <c r="B437" s="82" t="s">
        <v>1072</v>
      </c>
      <c r="C437" s="83" t="s">
        <v>629</v>
      </c>
      <c r="D437" s="124" t="s">
        <v>620</v>
      </c>
      <c r="E437" s="130">
        <v>2019</v>
      </c>
      <c r="F437" s="125" t="s">
        <v>733</v>
      </c>
      <c r="G437" s="125">
        <v>53</v>
      </c>
      <c r="H437" s="85">
        <v>14819.33</v>
      </c>
      <c r="I437" s="85" t="s">
        <v>630</v>
      </c>
      <c r="J437" s="128">
        <v>58413</v>
      </c>
      <c r="K437" s="128">
        <f t="shared" si="6"/>
        <v>3095889</v>
      </c>
      <c r="L437" s="125" t="s">
        <v>989</v>
      </c>
      <c r="M437" s="85" t="s">
        <v>47</v>
      </c>
      <c r="N437" s="85" t="s">
        <v>1491</v>
      </c>
    </row>
    <row r="438" spans="2:14" ht="15.75" thickBot="1" x14ac:dyDescent="0.3">
      <c r="B438" s="82" t="s">
        <v>1072</v>
      </c>
      <c r="C438" s="83" t="s">
        <v>629</v>
      </c>
      <c r="D438" s="124" t="s">
        <v>620</v>
      </c>
      <c r="E438" s="130">
        <v>2020</v>
      </c>
      <c r="F438" s="125" t="s">
        <v>733</v>
      </c>
      <c r="G438" s="125">
        <v>53</v>
      </c>
      <c r="H438" s="85">
        <v>14247.31</v>
      </c>
      <c r="I438" s="85" t="s">
        <v>630</v>
      </c>
      <c r="J438" s="128">
        <v>59709</v>
      </c>
      <c r="K438" s="128">
        <f t="shared" si="6"/>
        <v>3164577</v>
      </c>
      <c r="L438" s="125" t="s">
        <v>1039</v>
      </c>
      <c r="M438" s="85" t="s">
        <v>47</v>
      </c>
      <c r="N438" s="85" t="s">
        <v>1491</v>
      </c>
    </row>
    <row r="439" spans="2:14" ht="15.75" thickBot="1" x14ac:dyDescent="0.3">
      <c r="B439" s="82" t="s">
        <v>1072</v>
      </c>
      <c r="C439" s="83" t="s">
        <v>629</v>
      </c>
      <c r="D439" s="124" t="s">
        <v>620</v>
      </c>
      <c r="E439" s="130">
        <v>2020</v>
      </c>
      <c r="F439" s="125" t="s">
        <v>733</v>
      </c>
      <c r="G439" s="125">
        <v>53</v>
      </c>
      <c r="H439" s="85">
        <v>17400.64</v>
      </c>
      <c r="I439" s="85" t="s">
        <v>630</v>
      </c>
      <c r="J439" s="128">
        <v>68498</v>
      </c>
      <c r="K439" s="128">
        <f t="shared" si="6"/>
        <v>3630394</v>
      </c>
      <c r="L439" s="125" t="s">
        <v>1040</v>
      </c>
      <c r="M439" s="85" t="s">
        <v>47</v>
      </c>
      <c r="N439" s="85" t="s">
        <v>1491</v>
      </c>
    </row>
    <row r="440" spans="2:14" ht="15.75" thickBot="1" x14ac:dyDescent="0.3">
      <c r="B440" s="82" t="s">
        <v>1072</v>
      </c>
      <c r="C440" s="83" t="s">
        <v>629</v>
      </c>
      <c r="D440" s="124" t="s">
        <v>620</v>
      </c>
      <c r="E440" s="130">
        <v>2020</v>
      </c>
      <c r="F440" s="125" t="s">
        <v>733</v>
      </c>
      <c r="G440" s="125">
        <v>53</v>
      </c>
      <c r="H440" s="85">
        <v>17871.560000000001</v>
      </c>
      <c r="I440" s="85" t="s">
        <v>630</v>
      </c>
      <c r="J440" s="128">
        <v>74179</v>
      </c>
      <c r="K440" s="128">
        <f t="shared" si="6"/>
        <v>3931487</v>
      </c>
      <c r="L440" s="125" t="s">
        <v>1041</v>
      </c>
      <c r="M440" s="85" t="s">
        <v>47</v>
      </c>
      <c r="N440" s="85" t="s">
        <v>1491</v>
      </c>
    </row>
    <row r="441" spans="2:14" ht="15.75" thickBot="1" x14ac:dyDescent="0.3">
      <c r="B441" s="82" t="s">
        <v>1072</v>
      </c>
      <c r="C441" s="83" t="s">
        <v>629</v>
      </c>
      <c r="D441" s="124" t="s">
        <v>620</v>
      </c>
      <c r="E441" s="130">
        <v>2020</v>
      </c>
      <c r="F441" s="125" t="s">
        <v>733</v>
      </c>
      <c r="G441" s="125">
        <v>53</v>
      </c>
      <c r="H441" s="85">
        <v>16188.31</v>
      </c>
      <c r="I441" s="85" t="s">
        <v>630</v>
      </c>
      <c r="J441" s="128">
        <v>61880</v>
      </c>
      <c r="K441" s="128">
        <f t="shared" si="6"/>
        <v>3279640</v>
      </c>
      <c r="L441" s="125" t="s">
        <v>1042</v>
      </c>
      <c r="M441" s="85" t="s">
        <v>47</v>
      </c>
      <c r="N441" s="85" t="s">
        <v>1491</v>
      </c>
    </row>
    <row r="442" spans="2:14" ht="15.75" thickBot="1" x14ac:dyDescent="0.3">
      <c r="B442" s="82" t="s">
        <v>1072</v>
      </c>
      <c r="C442" s="83" t="s">
        <v>629</v>
      </c>
      <c r="D442" s="124" t="s">
        <v>620</v>
      </c>
      <c r="E442" s="130">
        <v>2020</v>
      </c>
      <c r="F442" s="125" t="s">
        <v>733</v>
      </c>
      <c r="G442" s="125">
        <v>53</v>
      </c>
      <c r="H442" s="85">
        <v>15087.91</v>
      </c>
      <c r="I442" s="85" t="s">
        <v>630</v>
      </c>
      <c r="J442" s="128">
        <v>59690</v>
      </c>
      <c r="K442" s="128">
        <f t="shared" si="6"/>
        <v>3163570</v>
      </c>
      <c r="L442" s="125" t="s">
        <v>1043</v>
      </c>
      <c r="M442" s="85" t="s">
        <v>47</v>
      </c>
      <c r="N442" s="85" t="s">
        <v>1491</v>
      </c>
    </row>
    <row r="443" spans="2:14" ht="15.75" thickBot="1" x14ac:dyDescent="0.3">
      <c r="B443" s="82" t="s">
        <v>1072</v>
      </c>
      <c r="C443" s="83" t="s">
        <v>629</v>
      </c>
      <c r="D443" s="124" t="s">
        <v>620</v>
      </c>
      <c r="E443" s="130">
        <v>2020</v>
      </c>
      <c r="F443" s="125" t="s">
        <v>733</v>
      </c>
      <c r="G443" s="125">
        <v>53</v>
      </c>
      <c r="H443" s="85">
        <v>16682.13</v>
      </c>
      <c r="I443" s="85" t="s">
        <v>630</v>
      </c>
      <c r="J443" s="128">
        <v>62517</v>
      </c>
      <c r="K443" s="128">
        <f t="shared" si="6"/>
        <v>3313401</v>
      </c>
      <c r="L443" s="125" t="s">
        <v>1044</v>
      </c>
      <c r="M443" s="85" t="s">
        <v>47</v>
      </c>
      <c r="N443" s="85" t="s">
        <v>1491</v>
      </c>
    </row>
    <row r="444" spans="2:14" ht="15.75" thickBot="1" x14ac:dyDescent="0.3">
      <c r="B444" s="82" t="s">
        <v>1072</v>
      </c>
      <c r="C444" s="83" t="s">
        <v>629</v>
      </c>
      <c r="D444" s="124" t="s">
        <v>620</v>
      </c>
      <c r="E444" s="130">
        <v>2020</v>
      </c>
      <c r="F444" s="125" t="s">
        <v>733</v>
      </c>
      <c r="G444" s="125">
        <v>53</v>
      </c>
      <c r="H444" s="85">
        <v>16403.079999999998</v>
      </c>
      <c r="I444" s="85" t="s">
        <v>630</v>
      </c>
      <c r="J444" s="128">
        <v>64038</v>
      </c>
      <c r="K444" s="128">
        <f t="shared" si="6"/>
        <v>3394014</v>
      </c>
      <c r="L444" s="125" t="s">
        <v>1045</v>
      </c>
      <c r="M444" s="85" t="s">
        <v>47</v>
      </c>
      <c r="N444" s="85" t="s">
        <v>1491</v>
      </c>
    </row>
    <row r="445" spans="2:14" ht="15.75" thickBot="1" x14ac:dyDescent="0.3">
      <c r="B445" s="82" t="s">
        <v>1072</v>
      </c>
      <c r="C445" s="83" t="s">
        <v>629</v>
      </c>
      <c r="D445" s="124" t="s">
        <v>620</v>
      </c>
      <c r="E445" s="130">
        <v>2020</v>
      </c>
      <c r="F445" s="125" t="s">
        <v>733</v>
      </c>
      <c r="G445" s="125">
        <v>53</v>
      </c>
      <c r="H445" s="85">
        <v>18758.18</v>
      </c>
      <c r="I445" s="85" t="s">
        <v>630</v>
      </c>
      <c r="J445" s="128">
        <v>75698</v>
      </c>
      <c r="K445" s="128">
        <f t="shared" si="6"/>
        <v>4011994</v>
      </c>
      <c r="L445" s="125" t="s">
        <v>1046</v>
      </c>
      <c r="M445" s="85" t="s">
        <v>47</v>
      </c>
      <c r="N445" s="85" t="s">
        <v>1491</v>
      </c>
    </row>
    <row r="446" spans="2:14" ht="15.75" thickBot="1" x14ac:dyDescent="0.3">
      <c r="B446" s="82" t="s">
        <v>1072</v>
      </c>
      <c r="C446" s="83" t="s">
        <v>629</v>
      </c>
      <c r="D446" s="124" t="s">
        <v>620</v>
      </c>
      <c r="E446" s="130">
        <v>2020</v>
      </c>
      <c r="F446" s="125" t="s">
        <v>733</v>
      </c>
      <c r="G446" s="125">
        <v>53</v>
      </c>
      <c r="H446" s="85">
        <v>15282.57</v>
      </c>
      <c r="I446" s="85" t="s">
        <v>630</v>
      </c>
      <c r="J446" s="128">
        <v>58816</v>
      </c>
      <c r="K446" s="128">
        <f t="shared" si="6"/>
        <v>3117248</v>
      </c>
      <c r="L446" s="125" t="s">
        <v>1047</v>
      </c>
      <c r="M446" s="85" t="s">
        <v>47</v>
      </c>
      <c r="N446" s="85" t="s">
        <v>1491</v>
      </c>
    </row>
    <row r="447" spans="2:14" ht="15.75" thickBot="1" x14ac:dyDescent="0.3">
      <c r="B447" s="82" t="s">
        <v>1072</v>
      </c>
      <c r="C447" s="83" t="s">
        <v>629</v>
      </c>
      <c r="D447" s="124" t="s">
        <v>620</v>
      </c>
      <c r="E447" s="130">
        <v>2020</v>
      </c>
      <c r="F447" s="125" t="s">
        <v>733</v>
      </c>
      <c r="G447" s="125">
        <v>53</v>
      </c>
      <c r="H447" s="85">
        <v>14809.520000000002</v>
      </c>
      <c r="I447" s="85" t="s">
        <v>630</v>
      </c>
      <c r="J447" s="128">
        <v>60824</v>
      </c>
      <c r="K447" s="128">
        <f t="shared" si="6"/>
        <v>3223672</v>
      </c>
      <c r="L447" s="125" t="s">
        <v>1048</v>
      </c>
      <c r="M447" s="85" t="s">
        <v>47</v>
      </c>
      <c r="N447" s="85" t="s">
        <v>1491</v>
      </c>
    </row>
    <row r="448" spans="2:14" ht="15.75" thickBot="1" x14ac:dyDescent="0.3">
      <c r="B448" s="82" t="s">
        <v>1072</v>
      </c>
      <c r="C448" s="83" t="s">
        <v>629</v>
      </c>
      <c r="D448" s="124" t="s">
        <v>620</v>
      </c>
      <c r="E448" s="130">
        <v>2020</v>
      </c>
      <c r="F448" s="125" t="s">
        <v>733</v>
      </c>
      <c r="G448" s="125">
        <v>53</v>
      </c>
      <c r="H448" s="85">
        <v>20664.990000000005</v>
      </c>
      <c r="I448" s="85" t="s">
        <v>630</v>
      </c>
      <c r="J448" s="128">
        <v>84613</v>
      </c>
      <c r="K448" s="128">
        <f t="shared" si="6"/>
        <v>4484489</v>
      </c>
      <c r="L448" s="125" t="s">
        <v>1049</v>
      </c>
      <c r="M448" s="85" t="s">
        <v>47</v>
      </c>
      <c r="N448" s="85" t="s">
        <v>1491</v>
      </c>
    </row>
    <row r="449" spans="2:14" ht="15.75" thickBot="1" x14ac:dyDescent="0.3">
      <c r="B449" s="82" t="s">
        <v>1072</v>
      </c>
      <c r="C449" s="83" t="s">
        <v>629</v>
      </c>
      <c r="D449" s="124" t="s">
        <v>620</v>
      </c>
      <c r="E449" s="130">
        <v>2020</v>
      </c>
      <c r="F449" s="125" t="s">
        <v>733</v>
      </c>
      <c r="G449" s="125">
        <v>53</v>
      </c>
      <c r="H449" s="85">
        <v>15335.05</v>
      </c>
      <c r="I449" s="85" t="s">
        <v>630</v>
      </c>
      <c r="J449" s="128">
        <v>61843</v>
      </c>
      <c r="K449" s="128">
        <f t="shared" si="6"/>
        <v>3277679</v>
      </c>
      <c r="L449" s="125" t="s">
        <v>1050</v>
      </c>
      <c r="M449" s="85" t="s">
        <v>47</v>
      </c>
      <c r="N449" s="85" t="s">
        <v>1491</v>
      </c>
    </row>
    <row r="450" spans="2:14" ht="15.75" thickBot="1" x14ac:dyDescent="0.3">
      <c r="B450" s="82" t="s">
        <v>1072</v>
      </c>
      <c r="C450" s="83" t="s">
        <v>629</v>
      </c>
      <c r="D450" s="124" t="s">
        <v>620</v>
      </c>
      <c r="E450" s="130">
        <v>2020</v>
      </c>
      <c r="F450" s="125" t="s">
        <v>733</v>
      </c>
      <c r="G450" s="125">
        <v>53</v>
      </c>
      <c r="H450" s="85">
        <v>12270.2</v>
      </c>
      <c r="I450" s="85" t="s">
        <v>630</v>
      </c>
      <c r="J450" s="128">
        <v>47127</v>
      </c>
      <c r="K450" s="128">
        <f t="shared" si="6"/>
        <v>2497731</v>
      </c>
      <c r="L450" s="125" t="s">
        <v>1051</v>
      </c>
      <c r="M450" s="85" t="s">
        <v>47</v>
      </c>
      <c r="N450" s="85" t="s">
        <v>1491</v>
      </c>
    </row>
    <row r="451" spans="2:14" ht="15.75" thickBot="1" x14ac:dyDescent="0.3">
      <c r="B451" s="82" t="s">
        <v>1072</v>
      </c>
      <c r="C451" s="83" t="s">
        <v>629</v>
      </c>
      <c r="D451" s="124" t="s">
        <v>620</v>
      </c>
      <c r="E451" s="130">
        <v>2020</v>
      </c>
      <c r="F451" s="125" t="s">
        <v>733</v>
      </c>
      <c r="G451" s="125">
        <v>53</v>
      </c>
      <c r="H451" s="85">
        <v>13970.84</v>
      </c>
      <c r="I451" s="85" t="s">
        <v>630</v>
      </c>
      <c r="J451" s="128">
        <v>56358</v>
      </c>
      <c r="K451" s="128">
        <f t="shared" si="6"/>
        <v>2986974</v>
      </c>
      <c r="L451" s="125" t="s">
        <v>1052</v>
      </c>
      <c r="M451" s="85" t="s">
        <v>47</v>
      </c>
      <c r="N451" s="85" t="s">
        <v>1491</v>
      </c>
    </row>
    <row r="452" spans="2:14" ht="15.75" thickBot="1" x14ac:dyDescent="0.3">
      <c r="B452" s="82" t="s">
        <v>1072</v>
      </c>
      <c r="C452" s="83" t="s">
        <v>629</v>
      </c>
      <c r="D452" s="124" t="s">
        <v>620</v>
      </c>
      <c r="E452" s="130">
        <v>2020</v>
      </c>
      <c r="F452" s="125" t="s">
        <v>733</v>
      </c>
      <c r="G452" s="125">
        <v>53</v>
      </c>
      <c r="H452" s="85">
        <v>17513.62</v>
      </c>
      <c r="I452" s="85" t="s">
        <v>630</v>
      </c>
      <c r="J452" s="128">
        <v>64313</v>
      </c>
      <c r="K452" s="128">
        <f t="shared" si="6"/>
        <v>3408589</v>
      </c>
      <c r="L452" s="125" t="s">
        <v>1053</v>
      </c>
      <c r="M452" s="85" t="s">
        <v>47</v>
      </c>
      <c r="N452" s="85" t="s">
        <v>1491</v>
      </c>
    </row>
    <row r="453" spans="2:14" ht="15.75" thickBot="1" x14ac:dyDescent="0.3">
      <c r="B453" s="82" t="s">
        <v>1072</v>
      </c>
      <c r="C453" s="83" t="s">
        <v>629</v>
      </c>
      <c r="D453" s="124" t="s">
        <v>620</v>
      </c>
      <c r="E453" s="130">
        <v>2020</v>
      </c>
      <c r="F453" s="125" t="s">
        <v>733</v>
      </c>
      <c r="G453" s="125">
        <v>53</v>
      </c>
      <c r="H453" s="85">
        <v>18603.95</v>
      </c>
      <c r="I453" s="85" t="s">
        <v>630</v>
      </c>
      <c r="J453" s="128">
        <v>75469</v>
      </c>
      <c r="K453" s="128">
        <f t="shared" si="6"/>
        <v>3999857</v>
      </c>
      <c r="L453" s="125" t="s">
        <v>1054</v>
      </c>
      <c r="M453" s="85" t="s">
        <v>47</v>
      </c>
      <c r="N453" s="85" t="s">
        <v>1491</v>
      </c>
    </row>
    <row r="454" spans="2:14" ht="15.75" thickBot="1" x14ac:dyDescent="0.3">
      <c r="B454" s="82" t="s">
        <v>1072</v>
      </c>
      <c r="C454" s="83" t="s">
        <v>629</v>
      </c>
      <c r="D454" s="124" t="s">
        <v>620</v>
      </c>
      <c r="E454" s="130">
        <v>2020</v>
      </c>
      <c r="F454" s="125" t="s">
        <v>733</v>
      </c>
      <c r="G454" s="125">
        <v>53</v>
      </c>
      <c r="H454" s="85">
        <v>18041.84</v>
      </c>
      <c r="I454" s="85" t="s">
        <v>630</v>
      </c>
      <c r="J454" s="128">
        <v>79380</v>
      </c>
      <c r="K454" s="128">
        <f t="shared" si="6"/>
        <v>4207140</v>
      </c>
      <c r="L454" s="125" t="s">
        <v>1055</v>
      </c>
      <c r="M454" s="85" t="s">
        <v>47</v>
      </c>
      <c r="N454" s="85" t="s">
        <v>1491</v>
      </c>
    </row>
    <row r="455" spans="2:14" ht="15.75" thickBot="1" x14ac:dyDescent="0.3">
      <c r="B455" s="82" t="s">
        <v>1072</v>
      </c>
      <c r="C455" s="83" t="s">
        <v>629</v>
      </c>
      <c r="D455" s="124" t="s">
        <v>620</v>
      </c>
      <c r="E455" s="130">
        <v>2020</v>
      </c>
      <c r="F455" s="125" t="s">
        <v>733</v>
      </c>
      <c r="G455" s="125">
        <v>53</v>
      </c>
      <c r="H455" s="85">
        <v>17436.509999999998</v>
      </c>
      <c r="I455" s="85" t="s">
        <v>630</v>
      </c>
      <c r="J455" s="128">
        <v>67745</v>
      </c>
      <c r="K455" s="128">
        <f t="shared" si="6"/>
        <v>3590485</v>
      </c>
      <c r="L455" s="125" t="s">
        <v>1056</v>
      </c>
      <c r="M455" s="85" t="s">
        <v>47</v>
      </c>
      <c r="N455" s="85" t="s">
        <v>1491</v>
      </c>
    </row>
    <row r="456" spans="2:14" ht="15.75" thickBot="1" x14ac:dyDescent="0.3">
      <c r="B456" s="82" t="s">
        <v>1072</v>
      </c>
      <c r="C456" s="83" t="s">
        <v>629</v>
      </c>
      <c r="D456" s="124" t="s">
        <v>620</v>
      </c>
      <c r="E456" s="130">
        <v>2020</v>
      </c>
      <c r="F456" s="125" t="s">
        <v>733</v>
      </c>
      <c r="G456" s="125">
        <v>53</v>
      </c>
      <c r="H456" s="85">
        <v>15889.82</v>
      </c>
      <c r="I456" s="85" t="s">
        <v>630</v>
      </c>
      <c r="J456" s="128">
        <v>61845</v>
      </c>
      <c r="K456" s="128">
        <f t="shared" si="6"/>
        <v>3277785</v>
      </c>
      <c r="L456" s="125" t="s">
        <v>1057</v>
      </c>
      <c r="M456" s="85" t="s">
        <v>47</v>
      </c>
      <c r="N456" s="85" t="s">
        <v>1491</v>
      </c>
    </row>
    <row r="457" spans="2:14" ht="15.75" thickBot="1" x14ac:dyDescent="0.3">
      <c r="B457" s="82" t="s">
        <v>1072</v>
      </c>
      <c r="C457" s="83" t="s">
        <v>629</v>
      </c>
      <c r="D457" s="124" t="s">
        <v>620</v>
      </c>
      <c r="E457" s="130">
        <v>2020</v>
      </c>
      <c r="F457" s="125" t="s">
        <v>733</v>
      </c>
      <c r="G457" s="125">
        <v>53</v>
      </c>
      <c r="H457" s="85">
        <v>15146.12</v>
      </c>
      <c r="I457" s="85" t="s">
        <v>630</v>
      </c>
      <c r="J457" s="128">
        <v>55668</v>
      </c>
      <c r="K457" s="128">
        <f t="shared" si="6"/>
        <v>2950404</v>
      </c>
      <c r="L457" s="125" t="s">
        <v>1058</v>
      </c>
      <c r="M457" s="85" t="s">
        <v>47</v>
      </c>
      <c r="N457" s="85" t="s">
        <v>1491</v>
      </c>
    </row>
    <row r="458" spans="2:14" ht="15.75" thickBot="1" x14ac:dyDescent="0.3">
      <c r="B458" s="82" t="s">
        <v>1072</v>
      </c>
      <c r="C458" s="83" t="s">
        <v>629</v>
      </c>
      <c r="D458" s="124" t="s">
        <v>620</v>
      </c>
      <c r="E458" s="130">
        <v>2020</v>
      </c>
      <c r="F458" s="125" t="s">
        <v>733</v>
      </c>
      <c r="G458" s="125">
        <v>53</v>
      </c>
      <c r="H458" s="85">
        <v>13429.23</v>
      </c>
      <c r="I458" s="85" t="s">
        <v>630</v>
      </c>
      <c r="J458" s="128">
        <v>54206</v>
      </c>
      <c r="K458" s="128">
        <f t="shared" si="6"/>
        <v>2872918</v>
      </c>
      <c r="L458" s="125" t="s">
        <v>1059</v>
      </c>
      <c r="M458" s="85" t="s">
        <v>47</v>
      </c>
      <c r="N458" s="85" t="s">
        <v>1491</v>
      </c>
    </row>
    <row r="459" spans="2:14" ht="15.75" thickBot="1" x14ac:dyDescent="0.3">
      <c r="B459" s="82" t="s">
        <v>1072</v>
      </c>
      <c r="C459" s="83" t="s">
        <v>629</v>
      </c>
      <c r="D459" s="124" t="s">
        <v>620</v>
      </c>
      <c r="E459" s="130">
        <v>2020</v>
      </c>
      <c r="F459" s="125" t="s">
        <v>733</v>
      </c>
      <c r="G459" s="125">
        <v>53</v>
      </c>
      <c r="H459" s="85">
        <v>17761.75</v>
      </c>
      <c r="I459" s="85" t="s">
        <v>630</v>
      </c>
      <c r="J459" s="128">
        <v>78733</v>
      </c>
      <c r="K459" s="128">
        <f t="shared" si="6"/>
        <v>4172849</v>
      </c>
      <c r="L459" s="125" t="s">
        <v>1060</v>
      </c>
      <c r="M459" s="85" t="s">
        <v>47</v>
      </c>
      <c r="N459" s="85" t="s">
        <v>1491</v>
      </c>
    </row>
    <row r="460" spans="2:14" ht="15.75" thickBot="1" x14ac:dyDescent="0.3">
      <c r="B460" s="82" t="s">
        <v>1072</v>
      </c>
      <c r="C460" s="83" t="s">
        <v>629</v>
      </c>
      <c r="D460" s="124" t="s">
        <v>620</v>
      </c>
      <c r="E460" s="130">
        <v>2020</v>
      </c>
      <c r="F460" s="125" t="s">
        <v>733</v>
      </c>
      <c r="G460" s="125">
        <v>53</v>
      </c>
      <c r="H460" s="85">
        <v>17230.18</v>
      </c>
      <c r="I460" s="85" t="s">
        <v>630</v>
      </c>
      <c r="J460" s="128">
        <v>69600</v>
      </c>
      <c r="K460" s="128">
        <f t="shared" si="6"/>
        <v>3688800</v>
      </c>
      <c r="L460" s="125" t="s">
        <v>1061</v>
      </c>
      <c r="M460" s="85" t="s">
        <v>47</v>
      </c>
      <c r="N460" s="85" t="s">
        <v>1491</v>
      </c>
    </row>
    <row r="461" spans="2:14" ht="15.75" thickBot="1" x14ac:dyDescent="0.3">
      <c r="B461" s="82" t="s">
        <v>1072</v>
      </c>
      <c r="C461" s="83" t="s">
        <v>629</v>
      </c>
      <c r="D461" s="124" t="s">
        <v>620</v>
      </c>
      <c r="E461" s="130">
        <v>2020</v>
      </c>
      <c r="F461" s="125" t="s">
        <v>733</v>
      </c>
      <c r="G461" s="125">
        <v>53</v>
      </c>
      <c r="H461" s="85">
        <v>17960.440000000002</v>
      </c>
      <c r="I461" s="85" t="s">
        <v>630</v>
      </c>
      <c r="J461" s="128">
        <v>68784</v>
      </c>
      <c r="K461" s="128">
        <f t="shared" si="6"/>
        <v>3645552</v>
      </c>
      <c r="L461" s="125" t="s">
        <v>1062</v>
      </c>
      <c r="M461" s="85" t="s">
        <v>47</v>
      </c>
      <c r="N461" s="85" t="s">
        <v>1491</v>
      </c>
    </row>
    <row r="462" spans="2:14" ht="15.75" thickBot="1" x14ac:dyDescent="0.3">
      <c r="B462" s="82" t="s">
        <v>1072</v>
      </c>
      <c r="C462" s="83" t="s">
        <v>629</v>
      </c>
      <c r="D462" s="124" t="s">
        <v>620</v>
      </c>
      <c r="E462" s="130">
        <v>2020</v>
      </c>
      <c r="F462" s="125" t="s">
        <v>733</v>
      </c>
      <c r="G462" s="125">
        <v>53</v>
      </c>
      <c r="H462" s="85">
        <v>18347.638000000003</v>
      </c>
      <c r="I462" s="85" t="s">
        <v>630</v>
      </c>
      <c r="J462" s="128">
        <v>73065</v>
      </c>
      <c r="K462" s="128">
        <f t="shared" si="6"/>
        <v>3872445</v>
      </c>
      <c r="L462" s="125" t="s">
        <v>1063</v>
      </c>
      <c r="M462" s="85" t="s">
        <v>47</v>
      </c>
      <c r="N462" s="85" t="s">
        <v>1491</v>
      </c>
    </row>
    <row r="463" spans="2:14" ht="15.75" thickBot="1" x14ac:dyDescent="0.3">
      <c r="B463" s="82" t="s">
        <v>1072</v>
      </c>
      <c r="C463" s="83" t="s">
        <v>629</v>
      </c>
      <c r="D463" s="124" t="s">
        <v>620</v>
      </c>
      <c r="E463" s="130">
        <v>2020</v>
      </c>
      <c r="F463" s="125" t="s">
        <v>733</v>
      </c>
      <c r="G463" s="125">
        <v>53</v>
      </c>
      <c r="H463" s="85">
        <v>18665.34</v>
      </c>
      <c r="I463" s="85" t="s">
        <v>630</v>
      </c>
      <c r="J463" s="128">
        <v>74032</v>
      </c>
      <c r="K463" s="128">
        <f t="shared" si="6"/>
        <v>3923696</v>
      </c>
      <c r="L463" s="125" t="s">
        <v>1064</v>
      </c>
      <c r="M463" s="85" t="s">
        <v>47</v>
      </c>
      <c r="N463" s="85" t="s">
        <v>1491</v>
      </c>
    </row>
    <row r="464" spans="2:14" ht="15.75" thickBot="1" x14ac:dyDescent="0.3">
      <c r="B464" s="82" t="s">
        <v>1072</v>
      </c>
      <c r="C464" s="83" t="s">
        <v>629</v>
      </c>
      <c r="D464" s="124" t="s">
        <v>620</v>
      </c>
      <c r="E464" s="130">
        <v>2020</v>
      </c>
      <c r="F464" s="125" t="s">
        <v>733</v>
      </c>
      <c r="G464" s="125">
        <v>53</v>
      </c>
      <c r="H464" s="85">
        <v>19066.93</v>
      </c>
      <c r="I464" s="85" t="s">
        <v>630</v>
      </c>
      <c r="J464" s="128">
        <v>77521</v>
      </c>
      <c r="K464" s="128">
        <f t="shared" si="6"/>
        <v>4108613</v>
      </c>
      <c r="L464" s="125" t="s">
        <v>1065</v>
      </c>
      <c r="M464" s="85" t="s">
        <v>47</v>
      </c>
      <c r="N464" s="85" t="s">
        <v>1491</v>
      </c>
    </row>
    <row r="465" spans="2:14" ht="15.75" thickBot="1" x14ac:dyDescent="0.3">
      <c r="B465" s="82" t="s">
        <v>1072</v>
      </c>
      <c r="C465" s="83" t="s">
        <v>629</v>
      </c>
      <c r="D465" s="124" t="s">
        <v>620</v>
      </c>
      <c r="E465" s="130">
        <v>2020</v>
      </c>
      <c r="F465" s="125" t="s">
        <v>733</v>
      </c>
      <c r="G465" s="125">
        <v>53</v>
      </c>
      <c r="H465" s="85">
        <v>18015.920000000002</v>
      </c>
      <c r="I465" s="85" t="s">
        <v>630</v>
      </c>
      <c r="J465" s="128">
        <v>71564</v>
      </c>
      <c r="K465" s="128">
        <f t="shared" si="6"/>
        <v>3792892</v>
      </c>
      <c r="L465" s="125" t="s">
        <v>1066</v>
      </c>
      <c r="M465" s="85" t="s">
        <v>47</v>
      </c>
      <c r="N465" s="85" t="s">
        <v>1491</v>
      </c>
    </row>
    <row r="466" spans="2:14" ht="15.75" thickBot="1" x14ac:dyDescent="0.3">
      <c r="B466" s="82" t="s">
        <v>1072</v>
      </c>
      <c r="C466" s="83" t="s">
        <v>629</v>
      </c>
      <c r="D466" s="124" t="s">
        <v>620</v>
      </c>
      <c r="E466" s="130">
        <v>2020</v>
      </c>
      <c r="F466" s="125" t="s">
        <v>733</v>
      </c>
      <c r="G466" s="125">
        <v>53</v>
      </c>
      <c r="H466" s="85">
        <v>20321.989999999998</v>
      </c>
      <c r="I466" s="85" t="s">
        <v>630</v>
      </c>
      <c r="J466" s="128">
        <v>78685</v>
      </c>
      <c r="K466" s="128">
        <f t="shared" si="6"/>
        <v>4170305</v>
      </c>
      <c r="L466" s="125" t="s">
        <v>1067</v>
      </c>
      <c r="M466" s="85" t="s">
        <v>47</v>
      </c>
      <c r="N466" s="85" t="s">
        <v>1491</v>
      </c>
    </row>
    <row r="467" spans="2:14" ht="15.75" thickBot="1" x14ac:dyDescent="0.3">
      <c r="B467" s="82" t="s">
        <v>1072</v>
      </c>
      <c r="C467" s="83" t="s">
        <v>629</v>
      </c>
      <c r="D467" s="124" t="s">
        <v>620</v>
      </c>
      <c r="E467" s="130">
        <v>2020</v>
      </c>
      <c r="F467" s="125" t="s">
        <v>733</v>
      </c>
      <c r="G467" s="125">
        <v>53</v>
      </c>
      <c r="H467" s="85">
        <v>16479.09</v>
      </c>
      <c r="I467" s="85" t="s">
        <v>630</v>
      </c>
      <c r="J467" s="128">
        <v>63844</v>
      </c>
      <c r="K467" s="128">
        <f t="shared" si="6"/>
        <v>3383732</v>
      </c>
      <c r="L467" s="125" t="s">
        <v>1068</v>
      </c>
      <c r="M467" s="85" t="s">
        <v>47</v>
      </c>
      <c r="N467" s="85" t="s">
        <v>1491</v>
      </c>
    </row>
    <row r="468" spans="2:14" ht="15.75" thickBot="1" x14ac:dyDescent="0.3">
      <c r="B468" s="82" t="s">
        <v>1072</v>
      </c>
      <c r="C468" s="83" t="s">
        <v>629</v>
      </c>
      <c r="D468" s="124" t="s">
        <v>620</v>
      </c>
      <c r="E468" s="130">
        <v>2020</v>
      </c>
      <c r="F468" s="125" t="s">
        <v>733</v>
      </c>
      <c r="G468" s="125">
        <v>53</v>
      </c>
      <c r="H468" s="85">
        <v>13606.670000000002</v>
      </c>
      <c r="I468" s="85" t="s">
        <v>630</v>
      </c>
      <c r="J468" s="128">
        <v>55026</v>
      </c>
      <c r="K468" s="128">
        <f t="shared" si="6"/>
        <v>2916378</v>
      </c>
      <c r="L468" s="125" t="s">
        <v>1069</v>
      </c>
      <c r="M468" s="85" t="s">
        <v>47</v>
      </c>
      <c r="N468" s="85" t="s">
        <v>1491</v>
      </c>
    </row>
    <row r="469" spans="2:14" ht="15.75" thickBot="1" x14ac:dyDescent="0.3">
      <c r="B469" s="82" t="s">
        <v>1072</v>
      </c>
      <c r="C469" s="83" t="s">
        <v>629</v>
      </c>
      <c r="D469" s="124" t="s">
        <v>620</v>
      </c>
      <c r="E469" s="130">
        <v>2020</v>
      </c>
      <c r="F469" s="125" t="s">
        <v>733</v>
      </c>
      <c r="G469" s="125">
        <v>53</v>
      </c>
      <c r="H469" s="85">
        <v>16157.441999999999</v>
      </c>
      <c r="I469" s="85" t="s">
        <v>630</v>
      </c>
      <c r="J469" s="128">
        <v>61812</v>
      </c>
      <c r="K469" s="128">
        <f t="shared" si="6"/>
        <v>3276036</v>
      </c>
      <c r="L469" s="125" t="s">
        <v>1070</v>
      </c>
      <c r="M469" s="85" t="s">
        <v>47</v>
      </c>
      <c r="N469" s="85" t="s">
        <v>1491</v>
      </c>
    </row>
    <row r="470" spans="2:14" ht="15.75" thickBot="1" x14ac:dyDescent="0.3">
      <c r="B470" s="82" t="s">
        <v>1072</v>
      </c>
      <c r="C470" s="83" t="s">
        <v>629</v>
      </c>
      <c r="D470" s="124" t="s">
        <v>620</v>
      </c>
      <c r="E470" s="130">
        <v>2020</v>
      </c>
      <c r="F470" s="125" t="s">
        <v>733</v>
      </c>
      <c r="G470" s="125">
        <v>53</v>
      </c>
      <c r="H470" s="85">
        <v>16946.89</v>
      </c>
      <c r="I470" s="85" t="s">
        <v>630</v>
      </c>
      <c r="J470" s="128">
        <v>65733</v>
      </c>
      <c r="K470" s="128">
        <f t="shared" si="6"/>
        <v>3483849</v>
      </c>
      <c r="L470" s="125" t="s">
        <v>1071</v>
      </c>
      <c r="M470" s="85" t="s">
        <v>47</v>
      </c>
      <c r="N470" s="85" t="s">
        <v>1491</v>
      </c>
    </row>
    <row r="471" spans="2:14" ht="15.75" thickBot="1" x14ac:dyDescent="0.3">
      <c r="B471" s="82" t="s">
        <v>544</v>
      </c>
      <c r="C471" s="83" t="s">
        <v>629</v>
      </c>
      <c r="D471" s="124" t="s">
        <v>620</v>
      </c>
      <c r="E471" s="130">
        <v>2008</v>
      </c>
      <c r="F471" s="125" t="s">
        <v>731</v>
      </c>
      <c r="G471" s="125">
        <v>55</v>
      </c>
      <c r="H471" s="85">
        <v>7663.8710000000001</v>
      </c>
      <c r="I471" s="85" t="s">
        <v>630</v>
      </c>
      <c r="J471" s="128">
        <v>19308</v>
      </c>
      <c r="K471" s="128">
        <f t="shared" si="6"/>
        <v>1061940</v>
      </c>
      <c r="L471" s="125" t="s">
        <v>1073</v>
      </c>
      <c r="M471" s="85" t="s">
        <v>47</v>
      </c>
      <c r="N471" s="85" t="s">
        <v>1491</v>
      </c>
    </row>
    <row r="472" spans="2:14" ht="15.75" thickBot="1" x14ac:dyDescent="0.3">
      <c r="B472" s="82" t="s">
        <v>544</v>
      </c>
      <c r="C472" s="83" t="s">
        <v>629</v>
      </c>
      <c r="D472" s="124" t="s">
        <v>620</v>
      </c>
      <c r="E472" s="130">
        <v>2008</v>
      </c>
      <c r="F472" s="125" t="s">
        <v>731</v>
      </c>
      <c r="G472" s="125">
        <v>55</v>
      </c>
      <c r="H472" s="85">
        <v>11827.54</v>
      </c>
      <c r="I472" s="85" t="s">
        <v>630</v>
      </c>
      <c r="J472" s="128">
        <v>29645</v>
      </c>
      <c r="K472" s="128">
        <f t="shared" si="6"/>
        <v>1630475</v>
      </c>
      <c r="L472" s="125" t="s">
        <v>1074</v>
      </c>
      <c r="M472" s="85" t="s">
        <v>47</v>
      </c>
      <c r="N472" s="85" t="s">
        <v>1491</v>
      </c>
    </row>
    <row r="473" spans="2:14" ht="15.75" thickBot="1" x14ac:dyDescent="0.3">
      <c r="B473" s="82" t="s">
        <v>544</v>
      </c>
      <c r="C473" s="83" t="s">
        <v>629</v>
      </c>
      <c r="D473" s="124" t="s">
        <v>620</v>
      </c>
      <c r="E473" s="130">
        <v>2008</v>
      </c>
      <c r="F473" s="125" t="s">
        <v>731</v>
      </c>
      <c r="G473" s="125">
        <v>55</v>
      </c>
      <c r="H473" s="85">
        <v>9738.6369999999988</v>
      </c>
      <c r="I473" s="85" t="s">
        <v>630</v>
      </c>
      <c r="J473" s="128">
        <v>23679</v>
      </c>
      <c r="K473" s="128">
        <f t="shared" si="6"/>
        <v>1302345</v>
      </c>
      <c r="L473" s="125" t="s">
        <v>1075</v>
      </c>
      <c r="M473" s="85" t="s">
        <v>47</v>
      </c>
      <c r="N473" s="85" t="s">
        <v>1491</v>
      </c>
    </row>
    <row r="474" spans="2:14" ht="15.75" thickBot="1" x14ac:dyDescent="0.3">
      <c r="B474" s="82" t="s">
        <v>544</v>
      </c>
      <c r="C474" s="83" t="s">
        <v>629</v>
      </c>
      <c r="D474" s="124" t="s">
        <v>620</v>
      </c>
      <c r="E474" s="130">
        <v>2008</v>
      </c>
      <c r="F474" s="125" t="s">
        <v>731</v>
      </c>
      <c r="G474" s="125">
        <v>55</v>
      </c>
      <c r="H474" s="85">
        <v>9195.0460000000003</v>
      </c>
      <c r="I474" s="85" t="s">
        <v>630</v>
      </c>
      <c r="J474" s="128">
        <v>24790</v>
      </c>
      <c r="K474" s="128">
        <f t="shared" si="6"/>
        <v>1363450</v>
      </c>
      <c r="L474" s="125" t="s">
        <v>1076</v>
      </c>
      <c r="M474" s="85" t="s">
        <v>47</v>
      </c>
      <c r="N474" s="85" t="s">
        <v>1491</v>
      </c>
    </row>
    <row r="475" spans="2:14" ht="15.75" thickBot="1" x14ac:dyDescent="0.3">
      <c r="B475" s="82" t="s">
        <v>544</v>
      </c>
      <c r="C475" s="83" t="s">
        <v>629</v>
      </c>
      <c r="D475" s="124" t="s">
        <v>620</v>
      </c>
      <c r="E475" s="130">
        <v>2006</v>
      </c>
      <c r="F475" s="125" t="s">
        <v>731</v>
      </c>
      <c r="G475" s="125">
        <v>59</v>
      </c>
      <c r="H475" s="85">
        <v>18374.928999999996</v>
      </c>
      <c r="I475" s="85" t="s">
        <v>630</v>
      </c>
      <c r="J475" s="128">
        <v>43275</v>
      </c>
      <c r="K475" s="128">
        <f t="shared" si="6"/>
        <v>2553225</v>
      </c>
      <c r="L475" s="125" t="s">
        <v>1077</v>
      </c>
      <c r="M475" s="85" t="s">
        <v>47</v>
      </c>
      <c r="N475" s="85" t="s">
        <v>1491</v>
      </c>
    </row>
    <row r="476" spans="2:14" ht="15.75" thickBot="1" x14ac:dyDescent="0.3">
      <c r="B476" s="82" t="s">
        <v>544</v>
      </c>
      <c r="C476" s="83" t="s">
        <v>629</v>
      </c>
      <c r="D476" s="124" t="s">
        <v>620</v>
      </c>
      <c r="E476" s="130">
        <v>2006</v>
      </c>
      <c r="F476" s="125" t="s">
        <v>731</v>
      </c>
      <c r="G476" s="125">
        <v>59</v>
      </c>
      <c r="H476" s="85">
        <v>14303.306999999999</v>
      </c>
      <c r="I476" s="85" t="s">
        <v>630</v>
      </c>
      <c r="J476" s="128">
        <v>33191</v>
      </c>
      <c r="K476" s="128">
        <f t="shared" si="6"/>
        <v>1958269</v>
      </c>
      <c r="L476" s="125" t="s">
        <v>741</v>
      </c>
      <c r="M476" s="85" t="s">
        <v>47</v>
      </c>
      <c r="N476" s="85" t="s">
        <v>1491</v>
      </c>
    </row>
    <row r="477" spans="2:14" ht="15.75" thickBot="1" x14ac:dyDescent="0.3">
      <c r="B477" s="82" t="s">
        <v>544</v>
      </c>
      <c r="C477" s="83" t="s">
        <v>629</v>
      </c>
      <c r="D477" s="124" t="s">
        <v>620</v>
      </c>
      <c r="E477" s="130">
        <v>2006</v>
      </c>
      <c r="F477" s="125" t="s">
        <v>731</v>
      </c>
      <c r="G477" s="125">
        <v>15</v>
      </c>
      <c r="H477" s="85">
        <v>4312.7699999999995</v>
      </c>
      <c r="I477" s="85" t="s">
        <v>630</v>
      </c>
      <c r="J477" s="128">
        <v>33614</v>
      </c>
      <c r="K477" s="128">
        <f t="shared" si="6"/>
        <v>504210</v>
      </c>
      <c r="L477" s="125" t="s">
        <v>1078</v>
      </c>
      <c r="M477" s="85" t="s">
        <v>47</v>
      </c>
      <c r="N477" s="85" t="s">
        <v>1491</v>
      </c>
    </row>
    <row r="478" spans="2:14" ht="15.75" thickBot="1" x14ac:dyDescent="0.3">
      <c r="B478" s="82" t="s">
        <v>544</v>
      </c>
      <c r="C478" s="83" t="s">
        <v>629</v>
      </c>
      <c r="D478" s="124" t="s">
        <v>620</v>
      </c>
      <c r="E478" s="130">
        <v>2006</v>
      </c>
      <c r="F478" s="125" t="s">
        <v>731</v>
      </c>
      <c r="G478" s="125">
        <v>27</v>
      </c>
      <c r="H478" s="85">
        <v>4908.1000000000004</v>
      </c>
      <c r="I478" s="85" t="s">
        <v>630</v>
      </c>
      <c r="J478" s="128">
        <v>26776</v>
      </c>
      <c r="K478" s="128">
        <f t="shared" si="6"/>
        <v>722952</v>
      </c>
      <c r="L478" s="125" t="s">
        <v>1079</v>
      </c>
      <c r="M478" s="85" t="s">
        <v>47</v>
      </c>
      <c r="N478" s="85" t="s">
        <v>1491</v>
      </c>
    </row>
    <row r="479" spans="2:14" ht="15.75" thickBot="1" x14ac:dyDescent="0.3">
      <c r="B479" s="82" t="s">
        <v>544</v>
      </c>
      <c r="C479" s="83" t="s">
        <v>629</v>
      </c>
      <c r="D479" s="124" t="s">
        <v>620</v>
      </c>
      <c r="E479" s="130">
        <v>2007</v>
      </c>
      <c r="F479" s="125" t="s">
        <v>731</v>
      </c>
      <c r="G479" s="125">
        <v>53</v>
      </c>
      <c r="H479" s="85">
        <v>15328.579999999998</v>
      </c>
      <c r="I479" s="85" t="s">
        <v>630</v>
      </c>
      <c r="J479" s="128">
        <v>38192</v>
      </c>
      <c r="K479" s="128">
        <f t="shared" ref="K479:K542" si="7">J479*G479</f>
        <v>2024176</v>
      </c>
      <c r="L479" s="125" t="s">
        <v>1080</v>
      </c>
      <c r="M479" s="85" t="s">
        <v>47</v>
      </c>
      <c r="N479" s="85" t="s">
        <v>1491</v>
      </c>
    </row>
    <row r="480" spans="2:14" ht="15.75" thickBot="1" x14ac:dyDescent="0.3">
      <c r="B480" s="82" t="s">
        <v>544</v>
      </c>
      <c r="C480" s="83" t="s">
        <v>629</v>
      </c>
      <c r="D480" s="124" t="s">
        <v>620</v>
      </c>
      <c r="E480" s="130">
        <v>2007</v>
      </c>
      <c r="F480" s="125" t="s">
        <v>731</v>
      </c>
      <c r="G480" s="125">
        <v>53</v>
      </c>
      <c r="H480" s="85">
        <v>12068.099999999999</v>
      </c>
      <c r="I480" s="85" t="s">
        <v>630</v>
      </c>
      <c r="J480" s="128">
        <v>31875</v>
      </c>
      <c r="K480" s="128">
        <f t="shared" si="7"/>
        <v>1689375</v>
      </c>
      <c r="L480" s="125" t="s">
        <v>1081</v>
      </c>
      <c r="M480" s="85" t="s">
        <v>47</v>
      </c>
      <c r="N480" s="85" t="s">
        <v>1491</v>
      </c>
    </row>
    <row r="481" spans="2:14" ht="15.75" thickBot="1" x14ac:dyDescent="0.3">
      <c r="B481" s="82" t="s">
        <v>544</v>
      </c>
      <c r="C481" s="83" t="s">
        <v>629</v>
      </c>
      <c r="D481" s="124" t="s">
        <v>620</v>
      </c>
      <c r="E481" s="130">
        <v>2007</v>
      </c>
      <c r="F481" s="125" t="s">
        <v>731</v>
      </c>
      <c r="G481" s="125">
        <v>55</v>
      </c>
      <c r="H481" s="85">
        <v>14938.543000000001</v>
      </c>
      <c r="I481" s="85" t="s">
        <v>630</v>
      </c>
      <c r="J481" s="128">
        <v>43346</v>
      </c>
      <c r="K481" s="128">
        <f t="shared" si="7"/>
        <v>2384030</v>
      </c>
      <c r="L481" s="125" t="s">
        <v>1082</v>
      </c>
      <c r="M481" s="85" t="s">
        <v>47</v>
      </c>
      <c r="N481" s="85" t="s">
        <v>1491</v>
      </c>
    </row>
    <row r="482" spans="2:14" ht="15.75" thickBot="1" x14ac:dyDescent="0.3">
      <c r="B482" s="82" t="s">
        <v>544</v>
      </c>
      <c r="C482" s="83" t="s">
        <v>629</v>
      </c>
      <c r="D482" s="124" t="s">
        <v>620</v>
      </c>
      <c r="E482" s="130">
        <v>2008</v>
      </c>
      <c r="F482" s="125" t="s">
        <v>731</v>
      </c>
      <c r="G482" s="125">
        <v>77</v>
      </c>
      <c r="H482" s="85">
        <v>13937.773999999999</v>
      </c>
      <c r="I482" s="85" t="s">
        <v>630</v>
      </c>
      <c r="J482" s="128">
        <v>35333</v>
      </c>
      <c r="K482" s="128">
        <f t="shared" si="7"/>
        <v>2720641</v>
      </c>
      <c r="L482" s="125" t="s">
        <v>1083</v>
      </c>
      <c r="M482" s="85" t="s">
        <v>47</v>
      </c>
      <c r="N482" s="85" t="s">
        <v>1491</v>
      </c>
    </row>
    <row r="483" spans="2:14" ht="15.75" thickBot="1" x14ac:dyDescent="0.3">
      <c r="B483" s="82" t="s">
        <v>544</v>
      </c>
      <c r="C483" s="83" t="s">
        <v>629</v>
      </c>
      <c r="D483" s="124" t="s">
        <v>620</v>
      </c>
      <c r="E483" s="130">
        <v>1997</v>
      </c>
      <c r="F483" s="125" t="s">
        <v>736</v>
      </c>
      <c r="G483" s="125">
        <v>96</v>
      </c>
      <c r="H483" s="85">
        <v>10585.036999999998</v>
      </c>
      <c r="I483" s="85" t="s">
        <v>630</v>
      </c>
      <c r="J483" s="128">
        <v>23911</v>
      </c>
      <c r="K483" s="128">
        <f t="shared" si="7"/>
        <v>2295456</v>
      </c>
      <c r="L483" s="125" t="s">
        <v>1084</v>
      </c>
      <c r="M483" s="85" t="s">
        <v>47</v>
      </c>
      <c r="N483" s="85" t="s">
        <v>1491</v>
      </c>
    </row>
    <row r="484" spans="2:14" ht="15.75" thickBot="1" x14ac:dyDescent="0.3">
      <c r="B484" s="82" t="s">
        <v>544</v>
      </c>
      <c r="C484" s="83" t="s">
        <v>629</v>
      </c>
      <c r="D484" s="124" t="s">
        <v>620</v>
      </c>
      <c r="E484" s="130">
        <v>2008</v>
      </c>
      <c r="F484" s="125" t="s">
        <v>731</v>
      </c>
      <c r="G484" s="125">
        <v>53</v>
      </c>
      <c r="H484" s="85">
        <v>13098.329999999998</v>
      </c>
      <c r="I484" s="85" t="s">
        <v>630</v>
      </c>
      <c r="J484" s="128">
        <v>36781</v>
      </c>
      <c r="K484" s="128">
        <f t="shared" si="7"/>
        <v>1949393</v>
      </c>
      <c r="L484" s="125" t="s">
        <v>1085</v>
      </c>
      <c r="M484" s="85" t="s">
        <v>47</v>
      </c>
      <c r="N484" s="85" t="s">
        <v>1491</v>
      </c>
    </row>
    <row r="485" spans="2:14" ht="15.75" thickBot="1" x14ac:dyDescent="0.3">
      <c r="B485" s="82" t="s">
        <v>544</v>
      </c>
      <c r="C485" s="83" t="s">
        <v>629</v>
      </c>
      <c r="D485" s="124" t="s">
        <v>620</v>
      </c>
      <c r="E485" s="130">
        <v>2008</v>
      </c>
      <c r="F485" s="125" t="s">
        <v>731</v>
      </c>
      <c r="G485" s="125">
        <v>53</v>
      </c>
      <c r="H485" s="85">
        <v>18233.2</v>
      </c>
      <c r="I485" s="85" t="s">
        <v>630</v>
      </c>
      <c r="J485" s="128">
        <v>52364</v>
      </c>
      <c r="K485" s="128">
        <f t="shared" si="7"/>
        <v>2775292</v>
      </c>
      <c r="L485" s="125" t="s">
        <v>1086</v>
      </c>
      <c r="M485" s="85" t="s">
        <v>47</v>
      </c>
      <c r="N485" s="85" t="s">
        <v>1491</v>
      </c>
    </row>
    <row r="486" spans="2:14" ht="15.75" thickBot="1" x14ac:dyDescent="0.3">
      <c r="B486" s="82" t="s">
        <v>544</v>
      </c>
      <c r="C486" s="83" t="s">
        <v>629</v>
      </c>
      <c r="D486" s="124" t="s">
        <v>620</v>
      </c>
      <c r="E486" s="130">
        <v>2008</v>
      </c>
      <c r="F486" s="125" t="s">
        <v>731</v>
      </c>
      <c r="G486" s="125">
        <v>25</v>
      </c>
      <c r="H486" s="85">
        <v>5022.1499999999996</v>
      </c>
      <c r="I486" s="85" t="s">
        <v>630</v>
      </c>
      <c r="J486" s="128">
        <v>28936</v>
      </c>
      <c r="K486" s="128">
        <f t="shared" si="7"/>
        <v>723400</v>
      </c>
      <c r="L486" s="125" t="s">
        <v>1087</v>
      </c>
      <c r="M486" s="85" t="s">
        <v>47</v>
      </c>
      <c r="N486" s="85" t="s">
        <v>1491</v>
      </c>
    </row>
    <row r="487" spans="2:14" ht="15.75" thickBot="1" x14ac:dyDescent="0.3">
      <c r="B487" s="82" t="s">
        <v>544</v>
      </c>
      <c r="C487" s="83" t="s">
        <v>629</v>
      </c>
      <c r="D487" s="124" t="s">
        <v>620</v>
      </c>
      <c r="E487" s="130">
        <v>2008</v>
      </c>
      <c r="F487" s="125" t="s">
        <v>731</v>
      </c>
      <c r="G487" s="125">
        <v>20</v>
      </c>
      <c r="H487" s="85">
        <v>4144.66</v>
      </c>
      <c r="I487" s="85" t="s">
        <v>630</v>
      </c>
      <c r="J487" s="128">
        <v>21137</v>
      </c>
      <c r="K487" s="128">
        <f t="shared" si="7"/>
        <v>422740</v>
      </c>
      <c r="L487" s="125" t="s">
        <v>1088</v>
      </c>
      <c r="M487" s="85" t="s">
        <v>47</v>
      </c>
      <c r="N487" s="85" t="s">
        <v>1491</v>
      </c>
    </row>
    <row r="488" spans="2:14" ht="15.75" thickBot="1" x14ac:dyDescent="0.3">
      <c r="B488" s="82" t="s">
        <v>544</v>
      </c>
      <c r="C488" s="83" t="s">
        <v>629</v>
      </c>
      <c r="D488" s="124" t="s">
        <v>620</v>
      </c>
      <c r="E488" s="130">
        <v>2009</v>
      </c>
      <c r="F488" s="125" t="s">
        <v>734</v>
      </c>
      <c r="G488" s="125">
        <v>66</v>
      </c>
      <c r="H488" s="85">
        <v>11625.89</v>
      </c>
      <c r="I488" s="85" t="s">
        <v>630</v>
      </c>
      <c r="J488" s="128">
        <v>29641</v>
      </c>
      <c r="K488" s="128">
        <f t="shared" si="7"/>
        <v>1956306</v>
      </c>
      <c r="L488" s="125" t="s">
        <v>1089</v>
      </c>
      <c r="M488" s="85" t="s">
        <v>47</v>
      </c>
      <c r="N488" s="85" t="s">
        <v>1491</v>
      </c>
    </row>
    <row r="489" spans="2:14" ht="15.75" thickBot="1" x14ac:dyDescent="0.3">
      <c r="B489" s="82" t="s">
        <v>544</v>
      </c>
      <c r="C489" s="83" t="s">
        <v>629</v>
      </c>
      <c r="D489" s="124" t="s">
        <v>620</v>
      </c>
      <c r="E489" s="130">
        <v>2009</v>
      </c>
      <c r="F489" s="125" t="s">
        <v>734</v>
      </c>
      <c r="G489" s="125">
        <v>83</v>
      </c>
      <c r="H489" s="85">
        <v>28833.219000000005</v>
      </c>
      <c r="I489" s="85" t="s">
        <v>630</v>
      </c>
      <c r="J489" s="128">
        <v>70873</v>
      </c>
      <c r="K489" s="128">
        <f t="shared" si="7"/>
        <v>5882459</v>
      </c>
      <c r="L489" s="125" t="s">
        <v>1090</v>
      </c>
      <c r="M489" s="85" t="s">
        <v>47</v>
      </c>
      <c r="N489" s="85" t="s">
        <v>1491</v>
      </c>
    </row>
    <row r="490" spans="2:14" ht="15.75" thickBot="1" x14ac:dyDescent="0.3">
      <c r="B490" s="82" t="s">
        <v>544</v>
      </c>
      <c r="C490" s="83" t="s">
        <v>629</v>
      </c>
      <c r="D490" s="124" t="s">
        <v>620</v>
      </c>
      <c r="E490" s="130">
        <v>2009</v>
      </c>
      <c r="F490" s="125" t="s">
        <v>734</v>
      </c>
      <c r="G490" s="125">
        <v>83</v>
      </c>
      <c r="H490" s="85">
        <v>23512.665000000005</v>
      </c>
      <c r="I490" s="85" t="s">
        <v>630</v>
      </c>
      <c r="J490" s="128">
        <v>54794</v>
      </c>
      <c r="K490" s="128">
        <f t="shared" si="7"/>
        <v>4547902</v>
      </c>
      <c r="L490" s="125" t="s">
        <v>1091</v>
      </c>
      <c r="M490" s="85" t="s">
        <v>47</v>
      </c>
      <c r="N490" s="85" t="s">
        <v>1491</v>
      </c>
    </row>
    <row r="491" spans="2:14" ht="15.75" thickBot="1" x14ac:dyDescent="0.3">
      <c r="B491" s="82" t="s">
        <v>544</v>
      </c>
      <c r="C491" s="83" t="s">
        <v>629</v>
      </c>
      <c r="D491" s="124" t="s">
        <v>620</v>
      </c>
      <c r="E491" s="130">
        <v>2009</v>
      </c>
      <c r="F491" s="125" t="s">
        <v>734</v>
      </c>
      <c r="G491" s="125">
        <v>53</v>
      </c>
      <c r="H491" s="85">
        <v>20903.398000000001</v>
      </c>
      <c r="I491" s="85" t="s">
        <v>630</v>
      </c>
      <c r="J491" s="128">
        <v>53384</v>
      </c>
      <c r="K491" s="128">
        <f t="shared" si="7"/>
        <v>2829352</v>
      </c>
      <c r="L491" s="125" t="s">
        <v>1092</v>
      </c>
      <c r="M491" s="85" t="s">
        <v>47</v>
      </c>
      <c r="N491" s="85" t="s">
        <v>1491</v>
      </c>
    </row>
    <row r="492" spans="2:14" ht="15.75" thickBot="1" x14ac:dyDescent="0.3">
      <c r="B492" s="82" t="s">
        <v>544</v>
      </c>
      <c r="C492" s="83" t="s">
        <v>629</v>
      </c>
      <c r="D492" s="124" t="s">
        <v>620</v>
      </c>
      <c r="E492" s="130">
        <v>2009</v>
      </c>
      <c r="F492" s="125" t="s">
        <v>734</v>
      </c>
      <c r="G492" s="125">
        <v>60</v>
      </c>
      <c r="H492" s="85">
        <v>3128.5899999999997</v>
      </c>
      <c r="I492" s="85" t="s">
        <v>630</v>
      </c>
      <c r="J492" s="128">
        <v>8559</v>
      </c>
      <c r="K492" s="128">
        <f t="shared" si="7"/>
        <v>513540</v>
      </c>
      <c r="L492" s="125" t="s">
        <v>1093</v>
      </c>
      <c r="M492" s="85" t="s">
        <v>47</v>
      </c>
      <c r="N492" s="85" t="s">
        <v>1491</v>
      </c>
    </row>
    <row r="493" spans="2:14" ht="15.75" thickBot="1" x14ac:dyDescent="0.3">
      <c r="B493" s="82" t="s">
        <v>544</v>
      </c>
      <c r="C493" s="83" t="s">
        <v>629</v>
      </c>
      <c r="D493" s="124" t="s">
        <v>620</v>
      </c>
      <c r="E493" s="130">
        <v>2008</v>
      </c>
      <c r="F493" s="125" t="s">
        <v>731</v>
      </c>
      <c r="G493" s="125">
        <v>95</v>
      </c>
      <c r="H493" s="85">
        <v>33190.101000000002</v>
      </c>
      <c r="I493" s="85" t="s">
        <v>630</v>
      </c>
      <c r="J493" s="128">
        <v>75551</v>
      </c>
      <c r="K493" s="128">
        <f t="shared" si="7"/>
        <v>7177345</v>
      </c>
      <c r="L493" s="125" t="s">
        <v>1094</v>
      </c>
      <c r="M493" s="85" t="s">
        <v>47</v>
      </c>
      <c r="N493" s="85" t="s">
        <v>1491</v>
      </c>
    </row>
    <row r="494" spans="2:14" ht="15.75" thickBot="1" x14ac:dyDescent="0.3">
      <c r="B494" s="82" t="s">
        <v>544</v>
      </c>
      <c r="C494" s="83" t="s">
        <v>629</v>
      </c>
      <c r="D494" s="124" t="s">
        <v>620</v>
      </c>
      <c r="E494" s="130">
        <v>2010</v>
      </c>
      <c r="F494" s="125" t="s">
        <v>734</v>
      </c>
      <c r="G494" s="125">
        <v>59</v>
      </c>
      <c r="H494" s="85">
        <v>10350.083999999999</v>
      </c>
      <c r="I494" s="85" t="s">
        <v>630</v>
      </c>
      <c r="J494" s="128">
        <v>23961</v>
      </c>
      <c r="K494" s="128">
        <f t="shared" si="7"/>
        <v>1413699</v>
      </c>
      <c r="L494" s="125" t="s">
        <v>1095</v>
      </c>
      <c r="M494" s="85" t="s">
        <v>47</v>
      </c>
      <c r="N494" s="85" t="s">
        <v>1491</v>
      </c>
    </row>
    <row r="495" spans="2:14" ht="15.75" thickBot="1" x14ac:dyDescent="0.3">
      <c r="B495" s="82" t="s">
        <v>544</v>
      </c>
      <c r="C495" s="83" t="s">
        <v>629</v>
      </c>
      <c r="D495" s="124" t="s">
        <v>620</v>
      </c>
      <c r="E495" s="130">
        <v>2007</v>
      </c>
      <c r="F495" s="125" t="s">
        <v>731</v>
      </c>
      <c r="G495" s="125">
        <v>57</v>
      </c>
      <c r="H495" s="85">
        <v>21755.670000000002</v>
      </c>
      <c r="I495" s="85" t="s">
        <v>630</v>
      </c>
      <c r="J495" s="128">
        <v>56393</v>
      </c>
      <c r="K495" s="128">
        <f t="shared" si="7"/>
        <v>3214401</v>
      </c>
      <c r="L495" s="125" t="s">
        <v>1096</v>
      </c>
      <c r="M495" s="85" t="s">
        <v>47</v>
      </c>
      <c r="N495" s="85" t="s">
        <v>1491</v>
      </c>
    </row>
    <row r="496" spans="2:14" ht="15.75" thickBot="1" x14ac:dyDescent="0.3">
      <c r="B496" s="82" t="s">
        <v>544</v>
      </c>
      <c r="C496" s="83" t="s">
        <v>629</v>
      </c>
      <c r="D496" s="124" t="s">
        <v>620</v>
      </c>
      <c r="E496" s="130">
        <v>2009</v>
      </c>
      <c r="F496" s="125" t="s">
        <v>734</v>
      </c>
      <c r="G496" s="125">
        <v>71</v>
      </c>
      <c r="H496" s="85">
        <v>17752.546000000002</v>
      </c>
      <c r="I496" s="85" t="s">
        <v>630</v>
      </c>
      <c r="J496" s="128">
        <v>39841</v>
      </c>
      <c r="K496" s="128">
        <f t="shared" si="7"/>
        <v>2828711</v>
      </c>
      <c r="L496" s="125" t="s">
        <v>1097</v>
      </c>
      <c r="M496" s="85" t="s">
        <v>47</v>
      </c>
      <c r="N496" s="85" t="s">
        <v>1491</v>
      </c>
    </row>
    <row r="497" spans="2:14" ht="15.75" thickBot="1" x14ac:dyDescent="0.3">
      <c r="B497" s="82" t="s">
        <v>544</v>
      </c>
      <c r="C497" s="83" t="s">
        <v>629</v>
      </c>
      <c r="D497" s="124" t="s">
        <v>620</v>
      </c>
      <c r="E497" s="130">
        <v>2009</v>
      </c>
      <c r="F497" s="125" t="s">
        <v>734</v>
      </c>
      <c r="G497" s="125">
        <v>71</v>
      </c>
      <c r="H497" s="85">
        <v>10776.28</v>
      </c>
      <c r="I497" s="85" t="s">
        <v>630</v>
      </c>
      <c r="J497" s="128">
        <v>24725</v>
      </c>
      <c r="K497" s="128">
        <f t="shared" si="7"/>
        <v>1755475</v>
      </c>
      <c r="L497" s="125" t="s">
        <v>1098</v>
      </c>
      <c r="M497" s="85" t="s">
        <v>47</v>
      </c>
      <c r="N497" s="85" t="s">
        <v>1491</v>
      </c>
    </row>
    <row r="498" spans="2:14" ht="15.75" thickBot="1" x14ac:dyDescent="0.3">
      <c r="B498" s="82" t="s">
        <v>544</v>
      </c>
      <c r="C498" s="83" t="s">
        <v>629</v>
      </c>
      <c r="D498" s="124" t="s">
        <v>620</v>
      </c>
      <c r="E498" s="130">
        <v>2001</v>
      </c>
      <c r="F498" s="125" t="s">
        <v>732</v>
      </c>
      <c r="G498" s="125">
        <v>55</v>
      </c>
      <c r="H498" s="85">
        <v>11819.01</v>
      </c>
      <c r="I498" s="85" t="s">
        <v>630</v>
      </c>
      <c r="J498" s="128">
        <v>31831</v>
      </c>
      <c r="K498" s="128">
        <f t="shared" si="7"/>
        <v>1750705</v>
      </c>
      <c r="L498" s="125" t="s">
        <v>1099</v>
      </c>
      <c r="M498" s="85" t="s">
        <v>47</v>
      </c>
      <c r="N498" s="85" t="s">
        <v>1491</v>
      </c>
    </row>
    <row r="499" spans="2:14" ht="15.75" thickBot="1" x14ac:dyDescent="0.3">
      <c r="B499" s="82" t="s">
        <v>544</v>
      </c>
      <c r="C499" s="83" t="s">
        <v>629</v>
      </c>
      <c r="D499" s="124" t="s">
        <v>620</v>
      </c>
      <c r="E499" s="130">
        <v>2001</v>
      </c>
      <c r="F499" s="125" t="s">
        <v>732</v>
      </c>
      <c r="G499" s="125">
        <v>55</v>
      </c>
      <c r="H499" s="85">
        <v>10915.310000000003</v>
      </c>
      <c r="I499" s="85" t="s">
        <v>630</v>
      </c>
      <c r="J499" s="128">
        <v>28022</v>
      </c>
      <c r="K499" s="128">
        <f t="shared" si="7"/>
        <v>1541210</v>
      </c>
      <c r="L499" s="125" t="s">
        <v>1100</v>
      </c>
      <c r="M499" s="85" t="s">
        <v>47</v>
      </c>
      <c r="N499" s="85" t="s">
        <v>1491</v>
      </c>
    </row>
    <row r="500" spans="2:14" ht="15.75" thickBot="1" x14ac:dyDescent="0.3">
      <c r="B500" s="82" t="s">
        <v>544</v>
      </c>
      <c r="C500" s="83" t="s">
        <v>629</v>
      </c>
      <c r="D500" s="124" t="s">
        <v>620</v>
      </c>
      <c r="E500" s="130">
        <v>2001</v>
      </c>
      <c r="F500" s="125" t="s">
        <v>732</v>
      </c>
      <c r="G500" s="125">
        <v>55</v>
      </c>
      <c r="H500" s="85">
        <v>10524.800000000001</v>
      </c>
      <c r="I500" s="85" t="s">
        <v>630</v>
      </c>
      <c r="J500" s="128">
        <v>27814</v>
      </c>
      <c r="K500" s="128">
        <f t="shared" si="7"/>
        <v>1529770</v>
      </c>
      <c r="L500" s="125" t="s">
        <v>1101</v>
      </c>
      <c r="M500" s="85" t="s">
        <v>47</v>
      </c>
      <c r="N500" s="85" t="s">
        <v>1491</v>
      </c>
    </row>
    <row r="501" spans="2:14" ht="15.75" thickBot="1" x14ac:dyDescent="0.3">
      <c r="B501" s="82" t="s">
        <v>544</v>
      </c>
      <c r="C501" s="83" t="s">
        <v>629</v>
      </c>
      <c r="D501" s="124" t="s">
        <v>620</v>
      </c>
      <c r="E501" s="130">
        <v>2001</v>
      </c>
      <c r="F501" s="125" t="s">
        <v>732</v>
      </c>
      <c r="G501" s="125">
        <v>55</v>
      </c>
      <c r="H501" s="85">
        <v>12080.310000000001</v>
      </c>
      <c r="I501" s="85" t="s">
        <v>630</v>
      </c>
      <c r="J501" s="128">
        <v>30827</v>
      </c>
      <c r="K501" s="128">
        <f t="shared" si="7"/>
        <v>1695485</v>
      </c>
      <c r="L501" s="125" t="s">
        <v>1102</v>
      </c>
      <c r="M501" s="85" t="s">
        <v>47</v>
      </c>
      <c r="N501" s="85" t="s">
        <v>1491</v>
      </c>
    </row>
    <row r="502" spans="2:14" ht="15.75" thickBot="1" x14ac:dyDescent="0.3">
      <c r="B502" s="82" t="s">
        <v>544</v>
      </c>
      <c r="C502" s="83" t="s">
        <v>629</v>
      </c>
      <c r="D502" s="124" t="s">
        <v>620</v>
      </c>
      <c r="E502" s="130">
        <v>1996</v>
      </c>
      <c r="F502" s="125" t="s">
        <v>736</v>
      </c>
      <c r="G502" s="125">
        <v>53</v>
      </c>
      <c r="H502" s="85">
        <v>8044.18</v>
      </c>
      <c r="I502" s="85" t="s">
        <v>630</v>
      </c>
      <c r="J502" s="128">
        <v>23421</v>
      </c>
      <c r="K502" s="128">
        <f t="shared" si="7"/>
        <v>1241313</v>
      </c>
      <c r="L502" s="125" t="s">
        <v>782</v>
      </c>
      <c r="M502" s="85" t="s">
        <v>47</v>
      </c>
      <c r="N502" s="85" t="s">
        <v>1491</v>
      </c>
    </row>
    <row r="503" spans="2:14" ht="15.75" thickBot="1" x14ac:dyDescent="0.3">
      <c r="B503" s="82" t="s">
        <v>544</v>
      </c>
      <c r="C503" s="83" t="s">
        <v>629</v>
      </c>
      <c r="D503" s="124" t="s">
        <v>620</v>
      </c>
      <c r="E503" s="130">
        <v>1996</v>
      </c>
      <c r="F503" s="125" t="s">
        <v>736</v>
      </c>
      <c r="G503" s="125">
        <v>53</v>
      </c>
      <c r="H503" s="85">
        <v>6795.07</v>
      </c>
      <c r="I503" s="85" t="s">
        <v>630</v>
      </c>
      <c r="J503" s="128">
        <v>19597</v>
      </c>
      <c r="K503" s="128">
        <f t="shared" si="7"/>
        <v>1038641</v>
      </c>
      <c r="L503" s="125" t="s">
        <v>1103</v>
      </c>
      <c r="M503" s="85" t="s">
        <v>47</v>
      </c>
      <c r="N503" s="85" t="s">
        <v>1491</v>
      </c>
    </row>
    <row r="504" spans="2:14" ht="15.75" thickBot="1" x14ac:dyDescent="0.3">
      <c r="B504" s="82" t="s">
        <v>544</v>
      </c>
      <c r="C504" s="83" t="s">
        <v>629</v>
      </c>
      <c r="D504" s="124" t="s">
        <v>620</v>
      </c>
      <c r="E504" s="130">
        <v>1998</v>
      </c>
      <c r="F504" s="125" t="s">
        <v>736</v>
      </c>
      <c r="G504" s="125">
        <v>98</v>
      </c>
      <c r="H504" s="85">
        <v>6549.9800000000005</v>
      </c>
      <c r="I504" s="85" t="s">
        <v>630</v>
      </c>
      <c r="J504" s="128">
        <v>11996</v>
      </c>
      <c r="K504" s="128">
        <f t="shared" si="7"/>
        <v>1175608</v>
      </c>
      <c r="L504" s="125" t="s">
        <v>1104</v>
      </c>
      <c r="M504" s="85" t="s">
        <v>47</v>
      </c>
      <c r="N504" s="85" t="s">
        <v>1491</v>
      </c>
    </row>
    <row r="505" spans="2:14" ht="15.75" thickBot="1" x14ac:dyDescent="0.3">
      <c r="B505" s="82" t="s">
        <v>544</v>
      </c>
      <c r="C505" s="83" t="s">
        <v>629</v>
      </c>
      <c r="D505" s="124" t="s">
        <v>620</v>
      </c>
      <c r="E505" s="130">
        <v>1998</v>
      </c>
      <c r="F505" s="125" t="s">
        <v>736</v>
      </c>
      <c r="G505" s="125">
        <v>98</v>
      </c>
      <c r="H505" s="85">
        <v>1362.46</v>
      </c>
      <c r="I505" s="85" t="s">
        <v>630</v>
      </c>
      <c r="J505" s="128">
        <v>2627</v>
      </c>
      <c r="K505" s="128">
        <f t="shared" si="7"/>
        <v>257446</v>
      </c>
      <c r="L505" s="125" t="s">
        <v>1105</v>
      </c>
      <c r="M505" s="85" t="s">
        <v>47</v>
      </c>
      <c r="N505" s="85" t="s">
        <v>1491</v>
      </c>
    </row>
    <row r="506" spans="2:14" ht="15.75" thickBot="1" x14ac:dyDescent="0.3">
      <c r="B506" s="82" t="s">
        <v>544</v>
      </c>
      <c r="C506" s="83" t="s">
        <v>629</v>
      </c>
      <c r="D506" s="124" t="s">
        <v>620</v>
      </c>
      <c r="E506" s="130">
        <v>2000</v>
      </c>
      <c r="F506" s="125" t="s">
        <v>735</v>
      </c>
      <c r="G506" s="125">
        <v>71</v>
      </c>
      <c r="H506" s="85">
        <v>16080.009999999998</v>
      </c>
      <c r="I506" s="85" t="s">
        <v>630</v>
      </c>
      <c r="J506" s="128">
        <v>48644</v>
      </c>
      <c r="K506" s="128">
        <f t="shared" si="7"/>
        <v>3453724</v>
      </c>
      <c r="L506" s="125" t="s">
        <v>1106</v>
      </c>
      <c r="M506" s="85" t="s">
        <v>47</v>
      </c>
      <c r="N506" s="85" t="s">
        <v>1491</v>
      </c>
    </row>
    <row r="507" spans="2:14" ht="15.75" thickBot="1" x14ac:dyDescent="0.3">
      <c r="B507" s="82" t="s">
        <v>544</v>
      </c>
      <c r="C507" s="83" t="s">
        <v>629</v>
      </c>
      <c r="D507" s="124" t="s">
        <v>620</v>
      </c>
      <c r="E507" s="130">
        <v>2012</v>
      </c>
      <c r="F507" s="125" t="s">
        <v>734</v>
      </c>
      <c r="G507" s="125">
        <v>53</v>
      </c>
      <c r="H507" s="85">
        <v>22902.079999999998</v>
      </c>
      <c r="I507" s="85" t="s">
        <v>630</v>
      </c>
      <c r="J507" s="128">
        <v>67058</v>
      </c>
      <c r="K507" s="128">
        <f t="shared" si="7"/>
        <v>3554074</v>
      </c>
      <c r="L507" s="125" t="s">
        <v>1107</v>
      </c>
      <c r="M507" s="85" t="s">
        <v>47</v>
      </c>
      <c r="N507" s="85" t="s">
        <v>1491</v>
      </c>
    </row>
    <row r="508" spans="2:14" ht="15.75" thickBot="1" x14ac:dyDescent="0.3">
      <c r="B508" s="82" t="s">
        <v>544</v>
      </c>
      <c r="C508" s="83" t="s">
        <v>629</v>
      </c>
      <c r="D508" s="124" t="s">
        <v>620</v>
      </c>
      <c r="E508" s="130">
        <v>2004</v>
      </c>
      <c r="F508" s="125" t="s">
        <v>732</v>
      </c>
      <c r="G508" s="125">
        <v>85</v>
      </c>
      <c r="H508" s="85">
        <v>11413.87</v>
      </c>
      <c r="I508" s="85" t="s">
        <v>630</v>
      </c>
      <c r="J508" s="128">
        <v>28996</v>
      </c>
      <c r="K508" s="128">
        <f t="shared" si="7"/>
        <v>2464660</v>
      </c>
      <c r="L508" s="125" t="s">
        <v>787</v>
      </c>
      <c r="M508" s="85" t="s">
        <v>47</v>
      </c>
      <c r="N508" s="85" t="s">
        <v>1491</v>
      </c>
    </row>
    <row r="509" spans="2:14" ht="15.75" thickBot="1" x14ac:dyDescent="0.3">
      <c r="B509" s="82" t="s">
        <v>544</v>
      </c>
      <c r="C509" s="83" t="s">
        <v>629</v>
      </c>
      <c r="D509" s="124" t="s">
        <v>620</v>
      </c>
      <c r="E509" s="130">
        <v>1999</v>
      </c>
      <c r="F509" s="125" t="s">
        <v>736</v>
      </c>
      <c r="G509" s="125">
        <v>76</v>
      </c>
      <c r="H509" s="85">
        <v>12473.980000000001</v>
      </c>
      <c r="I509" s="85" t="s">
        <v>630</v>
      </c>
      <c r="J509" s="128">
        <v>31972</v>
      </c>
      <c r="K509" s="128">
        <f t="shared" si="7"/>
        <v>2429872</v>
      </c>
      <c r="L509" s="125" t="s">
        <v>1108</v>
      </c>
      <c r="M509" s="85" t="s">
        <v>47</v>
      </c>
      <c r="N509" s="85" t="s">
        <v>1491</v>
      </c>
    </row>
    <row r="510" spans="2:14" ht="15.75" thickBot="1" x14ac:dyDescent="0.3">
      <c r="B510" s="82" t="s">
        <v>544</v>
      </c>
      <c r="C510" s="83" t="s">
        <v>629</v>
      </c>
      <c r="D510" s="124" t="s">
        <v>620</v>
      </c>
      <c r="E510" s="130">
        <v>1999</v>
      </c>
      <c r="F510" s="125" t="s">
        <v>736</v>
      </c>
      <c r="G510" s="125">
        <v>76</v>
      </c>
      <c r="H510" s="85">
        <v>3786.9400000000005</v>
      </c>
      <c r="I510" s="85" t="s">
        <v>630</v>
      </c>
      <c r="J510" s="128">
        <v>9821</v>
      </c>
      <c r="K510" s="128">
        <f t="shared" si="7"/>
        <v>746396</v>
      </c>
      <c r="L510" s="125" t="s">
        <v>1109</v>
      </c>
      <c r="M510" s="85" t="s">
        <v>47</v>
      </c>
      <c r="N510" s="85" t="s">
        <v>1491</v>
      </c>
    </row>
    <row r="511" spans="2:14" ht="15.75" thickBot="1" x14ac:dyDescent="0.3">
      <c r="B511" s="82" t="s">
        <v>544</v>
      </c>
      <c r="C511" s="83" t="s">
        <v>629</v>
      </c>
      <c r="D511" s="124" t="s">
        <v>620</v>
      </c>
      <c r="E511" s="130">
        <v>1999</v>
      </c>
      <c r="F511" s="125" t="s">
        <v>736</v>
      </c>
      <c r="G511" s="125">
        <v>76</v>
      </c>
      <c r="H511" s="85">
        <v>15933.84</v>
      </c>
      <c r="I511" s="85" t="s">
        <v>630</v>
      </c>
      <c r="J511" s="128">
        <v>42473</v>
      </c>
      <c r="K511" s="128">
        <f t="shared" si="7"/>
        <v>3227948</v>
      </c>
      <c r="L511" s="125" t="s">
        <v>1110</v>
      </c>
      <c r="M511" s="85" t="s">
        <v>47</v>
      </c>
      <c r="N511" s="85" t="s">
        <v>1491</v>
      </c>
    </row>
    <row r="512" spans="2:14" ht="15.75" thickBot="1" x14ac:dyDescent="0.3">
      <c r="B512" s="82" t="s">
        <v>544</v>
      </c>
      <c r="C512" s="83" t="s">
        <v>629</v>
      </c>
      <c r="D512" s="124" t="s">
        <v>620</v>
      </c>
      <c r="E512" s="130">
        <v>1998</v>
      </c>
      <c r="F512" s="125" t="s">
        <v>736</v>
      </c>
      <c r="G512" s="125">
        <v>66</v>
      </c>
      <c r="H512" s="85">
        <v>15794.55</v>
      </c>
      <c r="I512" s="85" t="s">
        <v>630</v>
      </c>
      <c r="J512" s="128">
        <v>39988</v>
      </c>
      <c r="K512" s="128">
        <f t="shared" si="7"/>
        <v>2639208</v>
      </c>
      <c r="L512" s="125" t="s">
        <v>1111</v>
      </c>
      <c r="M512" s="85" t="s">
        <v>47</v>
      </c>
      <c r="N512" s="85" t="s">
        <v>1491</v>
      </c>
    </row>
    <row r="513" spans="2:14" ht="15.75" thickBot="1" x14ac:dyDescent="0.3">
      <c r="B513" s="82" t="s">
        <v>544</v>
      </c>
      <c r="C513" s="83" t="s">
        <v>629</v>
      </c>
      <c r="D513" s="124" t="s">
        <v>620</v>
      </c>
      <c r="E513" s="130">
        <v>1999</v>
      </c>
      <c r="F513" s="125" t="s">
        <v>736</v>
      </c>
      <c r="G513" s="125">
        <v>76</v>
      </c>
      <c r="H513" s="85">
        <v>14924.28</v>
      </c>
      <c r="I513" s="85" t="s">
        <v>630</v>
      </c>
      <c r="J513" s="128">
        <v>41080</v>
      </c>
      <c r="K513" s="128">
        <f t="shared" si="7"/>
        <v>3122080</v>
      </c>
      <c r="L513" s="125" t="s">
        <v>1112</v>
      </c>
      <c r="M513" s="85" t="s">
        <v>47</v>
      </c>
      <c r="N513" s="85" t="s">
        <v>1491</v>
      </c>
    </row>
    <row r="514" spans="2:14" ht="15.75" thickBot="1" x14ac:dyDescent="0.3">
      <c r="B514" s="82" t="s">
        <v>544</v>
      </c>
      <c r="C514" s="83" t="s">
        <v>629</v>
      </c>
      <c r="D514" s="124" t="s">
        <v>620</v>
      </c>
      <c r="E514" s="130">
        <v>2003</v>
      </c>
      <c r="F514" s="125" t="s">
        <v>732</v>
      </c>
      <c r="G514" s="125">
        <v>61</v>
      </c>
      <c r="H514" s="85">
        <v>26690.162</v>
      </c>
      <c r="I514" s="85" t="s">
        <v>630</v>
      </c>
      <c r="J514" s="128">
        <v>61030</v>
      </c>
      <c r="K514" s="128">
        <f t="shared" si="7"/>
        <v>3722830</v>
      </c>
      <c r="L514" s="125" t="s">
        <v>1113</v>
      </c>
      <c r="M514" s="85" t="s">
        <v>47</v>
      </c>
      <c r="N514" s="85" t="s">
        <v>1491</v>
      </c>
    </row>
    <row r="515" spans="2:14" ht="15.75" thickBot="1" x14ac:dyDescent="0.3">
      <c r="B515" s="82" t="s">
        <v>544</v>
      </c>
      <c r="C515" s="83" t="s">
        <v>629</v>
      </c>
      <c r="D515" s="124" t="s">
        <v>620</v>
      </c>
      <c r="E515" s="130">
        <v>2008</v>
      </c>
      <c r="F515" s="125" t="s">
        <v>731</v>
      </c>
      <c r="G515" s="125">
        <v>59</v>
      </c>
      <c r="H515" s="85">
        <v>26158.875000000004</v>
      </c>
      <c r="I515" s="85" t="s">
        <v>630</v>
      </c>
      <c r="J515" s="128">
        <v>60230</v>
      </c>
      <c r="K515" s="128">
        <f t="shared" si="7"/>
        <v>3553570</v>
      </c>
      <c r="L515" s="125" t="s">
        <v>1114</v>
      </c>
      <c r="M515" s="85" t="s">
        <v>47</v>
      </c>
      <c r="N515" s="85" t="s">
        <v>1491</v>
      </c>
    </row>
    <row r="516" spans="2:14" ht="15.75" thickBot="1" x14ac:dyDescent="0.3">
      <c r="B516" s="82" t="s">
        <v>544</v>
      </c>
      <c r="C516" s="83" t="s">
        <v>629</v>
      </c>
      <c r="D516" s="124" t="s">
        <v>620</v>
      </c>
      <c r="E516" s="130">
        <v>2004</v>
      </c>
      <c r="F516" s="125" t="s">
        <v>732</v>
      </c>
      <c r="G516" s="125">
        <v>60</v>
      </c>
      <c r="H516" s="85">
        <v>3896.6</v>
      </c>
      <c r="I516" s="85" t="s">
        <v>630</v>
      </c>
      <c r="J516" s="128">
        <v>10443</v>
      </c>
      <c r="K516" s="128">
        <f t="shared" si="7"/>
        <v>626580</v>
      </c>
      <c r="L516" s="125" t="s">
        <v>1115</v>
      </c>
      <c r="M516" s="85" t="s">
        <v>47</v>
      </c>
      <c r="N516" s="85" t="s">
        <v>1491</v>
      </c>
    </row>
    <row r="517" spans="2:14" ht="15.75" thickBot="1" x14ac:dyDescent="0.3">
      <c r="B517" s="82" t="s">
        <v>544</v>
      </c>
      <c r="C517" s="83" t="s">
        <v>629</v>
      </c>
      <c r="D517" s="124" t="s">
        <v>620</v>
      </c>
      <c r="E517" s="130">
        <v>2005</v>
      </c>
      <c r="F517" s="125" t="s">
        <v>732</v>
      </c>
      <c r="G517" s="125">
        <v>69</v>
      </c>
      <c r="H517" s="85">
        <v>8141.9699999999993</v>
      </c>
      <c r="I517" s="85" t="s">
        <v>630</v>
      </c>
      <c r="J517" s="128">
        <v>17065</v>
      </c>
      <c r="K517" s="128">
        <f t="shared" si="7"/>
        <v>1177485</v>
      </c>
      <c r="L517" s="125" t="s">
        <v>1116</v>
      </c>
      <c r="M517" s="85" t="s">
        <v>47</v>
      </c>
      <c r="N517" s="85" t="s">
        <v>1491</v>
      </c>
    </row>
    <row r="518" spans="2:14" ht="15.75" thickBot="1" x14ac:dyDescent="0.3">
      <c r="B518" s="82" t="s">
        <v>544</v>
      </c>
      <c r="C518" s="83" t="s">
        <v>629</v>
      </c>
      <c r="D518" s="124" t="s">
        <v>620</v>
      </c>
      <c r="E518" s="130">
        <v>2005</v>
      </c>
      <c r="F518" s="125" t="s">
        <v>732</v>
      </c>
      <c r="G518" s="125">
        <v>69</v>
      </c>
      <c r="H518" s="85">
        <v>22616.781000000003</v>
      </c>
      <c r="I518" s="85" t="s">
        <v>630</v>
      </c>
      <c r="J518" s="128">
        <v>45220</v>
      </c>
      <c r="K518" s="128">
        <f t="shared" si="7"/>
        <v>3120180</v>
      </c>
      <c r="L518" s="125" t="s">
        <v>1117</v>
      </c>
      <c r="M518" s="85" t="s">
        <v>47</v>
      </c>
      <c r="N518" s="85" t="s">
        <v>1491</v>
      </c>
    </row>
    <row r="519" spans="2:14" ht="15.75" thickBot="1" x14ac:dyDescent="0.3">
      <c r="B519" s="82" t="s">
        <v>544</v>
      </c>
      <c r="C519" s="83" t="s">
        <v>629</v>
      </c>
      <c r="D519" s="124" t="s">
        <v>620</v>
      </c>
      <c r="E519" s="130">
        <v>2005</v>
      </c>
      <c r="F519" s="125" t="s">
        <v>732</v>
      </c>
      <c r="G519" s="125">
        <v>69</v>
      </c>
      <c r="H519" s="85">
        <v>19932.920000000002</v>
      </c>
      <c r="I519" s="85" t="s">
        <v>630</v>
      </c>
      <c r="J519" s="128">
        <v>39655</v>
      </c>
      <c r="K519" s="128">
        <f t="shared" si="7"/>
        <v>2736195</v>
      </c>
      <c r="L519" s="125" t="s">
        <v>1118</v>
      </c>
      <c r="M519" s="85" t="s">
        <v>47</v>
      </c>
      <c r="N519" s="85" t="s">
        <v>1491</v>
      </c>
    </row>
    <row r="520" spans="2:14" ht="15.75" thickBot="1" x14ac:dyDescent="0.3">
      <c r="B520" s="82" t="s">
        <v>544</v>
      </c>
      <c r="C520" s="83" t="s">
        <v>629</v>
      </c>
      <c r="D520" s="124" t="s">
        <v>620</v>
      </c>
      <c r="E520" s="130">
        <v>2002</v>
      </c>
      <c r="F520" s="125" t="s">
        <v>732</v>
      </c>
      <c r="G520" s="125">
        <v>69</v>
      </c>
      <c r="H520" s="85">
        <v>25661.140000000003</v>
      </c>
      <c r="I520" s="85" t="s">
        <v>630</v>
      </c>
      <c r="J520" s="128">
        <v>55336</v>
      </c>
      <c r="K520" s="128">
        <f t="shared" si="7"/>
        <v>3818184</v>
      </c>
      <c r="L520" s="125" t="s">
        <v>1119</v>
      </c>
      <c r="M520" s="85" t="s">
        <v>47</v>
      </c>
      <c r="N520" s="85" t="s">
        <v>1491</v>
      </c>
    </row>
    <row r="521" spans="2:14" ht="15.75" thickBot="1" x14ac:dyDescent="0.3">
      <c r="B521" s="82" t="s">
        <v>544</v>
      </c>
      <c r="C521" s="83" t="s">
        <v>629</v>
      </c>
      <c r="D521" s="124" t="s">
        <v>620</v>
      </c>
      <c r="E521" s="130">
        <v>2003</v>
      </c>
      <c r="F521" s="125" t="s">
        <v>732</v>
      </c>
      <c r="G521" s="125">
        <v>61</v>
      </c>
      <c r="H521" s="85">
        <v>28464.027000000002</v>
      </c>
      <c r="I521" s="85" t="s">
        <v>630</v>
      </c>
      <c r="J521" s="128">
        <v>66119</v>
      </c>
      <c r="K521" s="128">
        <f t="shared" si="7"/>
        <v>4033259</v>
      </c>
      <c r="L521" s="125" t="s">
        <v>1120</v>
      </c>
      <c r="M521" s="85" t="s">
        <v>47</v>
      </c>
      <c r="N521" s="85" t="s">
        <v>1491</v>
      </c>
    </row>
    <row r="522" spans="2:14" ht="15.75" thickBot="1" x14ac:dyDescent="0.3">
      <c r="B522" s="82" t="s">
        <v>544</v>
      </c>
      <c r="C522" s="83" t="s">
        <v>629</v>
      </c>
      <c r="D522" s="124" t="s">
        <v>620</v>
      </c>
      <c r="E522" s="130">
        <v>2009</v>
      </c>
      <c r="F522" s="125" t="s">
        <v>734</v>
      </c>
      <c r="G522" s="125">
        <v>84</v>
      </c>
      <c r="H522" s="85">
        <v>10715.5</v>
      </c>
      <c r="I522" s="85" t="s">
        <v>630</v>
      </c>
      <c r="J522" s="128">
        <v>25429</v>
      </c>
      <c r="K522" s="128">
        <f t="shared" si="7"/>
        <v>2136036</v>
      </c>
      <c r="L522" s="125" t="s">
        <v>1121</v>
      </c>
      <c r="M522" s="85" t="s">
        <v>47</v>
      </c>
      <c r="N522" s="85" t="s">
        <v>1491</v>
      </c>
    </row>
    <row r="523" spans="2:14" ht="15.75" thickBot="1" x14ac:dyDescent="0.3">
      <c r="B523" s="82" t="s">
        <v>544</v>
      </c>
      <c r="C523" s="83" t="s">
        <v>629</v>
      </c>
      <c r="D523" s="124" t="s">
        <v>620</v>
      </c>
      <c r="E523" s="130">
        <v>2007</v>
      </c>
      <c r="F523" s="125" t="s">
        <v>731</v>
      </c>
      <c r="G523" s="125">
        <v>89</v>
      </c>
      <c r="H523" s="85">
        <v>26153.42</v>
      </c>
      <c r="I523" s="85" t="s">
        <v>630</v>
      </c>
      <c r="J523" s="128">
        <v>64940</v>
      </c>
      <c r="K523" s="128">
        <f t="shared" si="7"/>
        <v>5779660</v>
      </c>
      <c r="L523" s="125" t="s">
        <v>1122</v>
      </c>
      <c r="M523" s="85" t="s">
        <v>47</v>
      </c>
      <c r="N523" s="85" t="s">
        <v>1491</v>
      </c>
    </row>
    <row r="524" spans="2:14" ht="15.75" thickBot="1" x14ac:dyDescent="0.3">
      <c r="B524" s="82" t="s">
        <v>544</v>
      </c>
      <c r="C524" s="83" t="s">
        <v>629</v>
      </c>
      <c r="D524" s="124" t="s">
        <v>620</v>
      </c>
      <c r="E524" s="130">
        <v>2008</v>
      </c>
      <c r="F524" s="125" t="s">
        <v>731</v>
      </c>
      <c r="G524" s="125">
        <v>82</v>
      </c>
      <c r="H524" s="85">
        <v>11918.106</v>
      </c>
      <c r="I524" s="85" t="s">
        <v>630</v>
      </c>
      <c r="J524" s="128">
        <v>27448</v>
      </c>
      <c r="K524" s="128">
        <f t="shared" si="7"/>
        <v>2250736</v>
      </c>
      <c r="L524" s="125" t="s">
        <v>805</v>
      </c>
      <c r="M524" s="85" t="s">
        <v>47</v>
      </c>
      <c r="N524" s="85" t="s">
        <v>1491</v>
      </c>
    </row>
    <row r="525" spans="2:14" ht="15.75" thickBot="1" x14ac:dyDescent="0.3">
      <c r="B525" s="82" t="s">
        <v>544</v>
      </c>
      <c r="C525" s="83" t="s">
        <v>629</v>
      </c>
      <c r="D525" s="124" t="s">
        <v>620</v>
      </c>
      <c r="E525" s="130">
        <v>2008</v>
      </c>
      <c r="F525" s="125" t="s">
        <v>731</v>
      </c>
      <c r="G525" s="125">
        <v>55</v>
      </c>
      <c r="H525" s="85">
        <v>11081.905000000001</v>
      </c>
      <c r="I525" s="85" t="s">
        <v>630</v>
      </c>
      <c r="J525" s="128">
        <v>26517</v>
      </c>
      <c r="K525" s="128">
        <f t="shared" si="7"/>
        <v>1458435</v>
      </c>
      <c r="L525" s="125" t="s">
        <v>1123</v>
      </c>
      <c r="M525" s="85" t="s">
        <v>47</v>
      </c>
      <c r="N525" s="85" t="s">
        <v>1491</v>
      </c>
    </row>
    <row r="526" spans="2:14" ht="15.75" thickBot="1" x14ac:dyDescent="0.3">
      <c r="B526" s="82" t="s">
        <v>544</v>
      </c>
      <c r="C526" s="83" t="s">
        <v>629</v>
      </c>
      <c r="D526" s="124" t="s">
        <v>620</v>
      </c>
      <c r="E526" s="130">
        <v>2007</v>
      </c>
      <c r="F526" s="125" t="s">
        <v>731</v>
      </c>
      <c r="G526" s="125">
        <v>74</v>
      </c>
      <c r="H526" s="85">
        <v>16116.549000000001</v>
      </c>
      <c r="I526" s="85" t="s">
        <v>630</v>
      </c>
      <c r="J526" s="128">
        <v>38508</v>
      </c>
      <c r="K526" s="128">
        <f t="shared" si="7"/>
        <v>2849592</v>
      </c>
      <c r="L526" s="125" t="s">
        <v>1124</v>
      </c>
      <c r="M526" s="85" t="s">
        <v>47</v>
      </c>
      <c r="N526" s="85" t="s">
        <v>1491</v>
      </c>
    </row>
    <row r="527" spans="2:14" ht="15.75" thickBot="1" x14ac:dyDescent="0.3">
      <c r="B527" s="82" t="s">
        <v>544</v>
      </c>
      <c r="C527" s="83" t="s">
        <v>629</v>
      </c>
      <c r="D527" s="124" t="s">
        <v>620</v>
      </c>
      <c r="E527" s="130">
        <v>2008</v>
      </c>
      <c r="F527" s="125" t="s">
        <v>731</v>
      </c>
      <c r="G527" s="125">
        <v>59</v>
      </c>
      <c r="H527" s="85">
        <v>25603.966</v>
      </c>
      <c r="I527" s="85" t="s">
        <v>630</v>
      </c>
      <c r="J527" s="128">
        <v>67073</v>
      </c>
      <c r="K527" s="128">
        <f t="shared" si="7"/>
        <v>3957307</v>
      </c>
      <c r="L527" s="125" t="s">
        <v>1125</v>
      </c>
      <c r="M527" s="85" t="s">
        <v>47</v>
      </c>
      <c r="N527" s="85" t="s">
        <v>1491</v>
      </c>
    </row>
    <row r="528" spans="2:14" ht="15.75" thickBot="1" x14ac:dyDescent="0.3">
      <c r="B528" s="82" t="s">
        <v>544</v>
      </c>
      <c r="C528" s="83" t="s">
        <v>629</v>
      </c>
      <c r="D528" s="124" t="s">
        <v>620</v>
      </c>
      <c r="E528" s="130">
        <v>2000</v>
      </c>
      <c r="F528" s="125" t="s">
        <v>735</v>
      </c>
      <c r="G528" s="125">
        <v>71</v>
      </c>
      <c r="H528" s="85">
        <v>5002.26</v>
      </c>
      <c r="I528" s="85" t="s">
        <v>630</v>
      </c>
      <c r="J528" s="128">
        <v>13458</v>
      </c>
      <c r="K528" s="128">
        <f t="shared" si="7"/>
        <v>955518</v>
      </c>
      <c r="L528" s="125" t="s">
        <v>1126</v>
      </c>
      <c r="M528" s="85" t="s">
        <v>47</v>
      </c>
      <c r="N528" s="85" t="s">
        <v>1491</v>
      </c>
    </row>
    <row r="529" spans="2:14" ht="15.75" thickBot="1" x14ac:dyDescent="0.3">
      <c r="B529" s="82" t="s">
        <v>544</v>
      </c>
      <c r="C529" s="83" t="s">
        <v>629</v>
      </c>
      <c r="D529" s="124" t="s">
        <v>620</v>
      </c>
      <c r="E529" s="130">
        <v>2003</v>
      </c>
      <c r="F529" s="125" t="s">
        <v>732</v>
      </c>
      <c r="G529" s="125">
        <v>63</v>
      </c>
      <c r="H529" s="85">
        <v>11774.140000000001</v>
      </c>
      <c r="I529" s="85" t="s">
        <v>630</v>
      </c>
      <c r="J529" s="128">
        <v>30296</v>
      </c>
      <c r="K529" s="128">
        <f t="shared" si="7"/>
        <v>1908648</v>
      </c>
      <c r="L529" s="125" t="s">
        <v>1127</v>
      </c>
      <c r="M529" s="85" t="s">
        <v>47</v>
      </c>
      <c r="N529" s="85" t="s">
        <v>1491</v>
      </c>
    </row>
    <row r="530" spans="2:14" ht="15.75" thickBot="1" x14ac:dyDescent="0.3">
      <c r="B530" s="82" t="s">
        <v>544</v>
      </c>
      <c r="C530" s="83" t="s">
        <v>629</v>
      </c>
      <c r="D530" s="124" t="s">
        <v>620</v>
      </c>
      <c r="E530" s="130">
        <v>2003</v>
      </c>
      <c r="F530" s="125" t="s">
        <v>732</v>
      </c>
      <c r="G530" s="125">
        <v>63</v>
      </c>
      <c r="H530" s="85">
        <v>11377.96</v>
      </c>
      <c r="I530" s="85" t="s">
        <v>630</v>
      </c>
      <c r="J530" s="128">
        <v>29646</v>
      </c>
      <c r="K530" s="128">
        <f t="shared" si="7"/>
        <v>1867698</v>
      </c>
      <c r="L530" s="125" t="s">
        <v>1128</v>
      </c>
      <c r="M530" s="85" t="s">
        <v>47</v>
      </c>
      <c r="N530" s="85" t="s">
        <v>1491</v>
      </c>
    </row>
    <row r="531" spans="2:14" ht="15.75" thickBot="1" x14ac:dyDescent="0.3">
      <c r="B531" s="82" t="s">
        <v>544</v>
      </c>
      <c r="C531" s="83" t="s">
        <v>629</v>
      </c>
      <c r="D531" s="124" t="s">
        <v>620</v>
      </c>
      <c r="E531" s="130">
        <v>1998</v>
      </c>
      <c r="F531" s="125" t="s">
        <v>736</v>
      </c>
      <c r="G531" s="125">
        <v>83</v>
      </c>
      <c r="H531" s="85">
        <v>15010.710000000001</v>
      </c>
      <c r="I531" s="85" t="s">
        <v>630</v>
      </c>
      <c r="J531" s="128">
        <v>42413</v>
      </c>
      <c r="K531" s="128">
        <f t="shared" si="7"/>
        <v>3520279</v>
      </c>
      <c r="L531" s="125" t="s">
        <v>1129</v>
      </c>
      <c r="M531" s="85" t="s">
        <v>47</v>
      </c>
      <c r="N531" s="85" t="s">
        <v>1491</v>
      </c>
    </row>
    <row r="532" spans="2:14" ht="15.75" thickBot="1" x14ac:dyDescent="0.3">
      <c r="B532" s="82" t="s">
        <v>544</v>
      </c>
      <c r="C532" s="83" t="s">
        <v>629</v>
      </c>
      <c r="D532" s="124" t="s">
        <v>620</v>
      </c>
      <c r="E532" s="130">
        <v>1998</v>
      </c>
      <c r="F532" s="125" t="s">
        <v>736</v>
      </c>
      <c r="G532" s="125">
        <v>83</v>
      </c>
      <c r="H532" s="85">
        <v>13083.739999999998</v>
      </c>
      <c r="I532" s="85" t="s">
        <v>630</v>
      </c>
      <c r="J532" s="128">
        <v>38851</v>
      </c>
      <c r="K532" s="128">
        <f t="shared" si="7"/>
        <v>3224633</v>
      </c>
      <c r="L532" s="125" t="s">
        <v>1130</v>
      </c>
      <c r="M532" s="85" t="s">
        <v>47</v>
      </c>
      <c r="N532" s="85" t="s">
        <v>1491</v>
      </c>
    </row>
    <row r="533" spans="2:14" ht="15.75" thickBot="1" x14ac:dyDescent="0.3">
      <c r="B533" s="82" t="s">
        <v>544</v>
      </c>
      <c r="C533" s="83" t="s">
        <v>629</v>
      </c>
      <c r="D533" s="124" t="s">
        <v>620</v>
      </c>
      <c r="E533" s="130">
        <v>1997</v>
      </c>
      <c r="F533" s="125" t="s">
        <v>736</v>
      </c>
      <c r="G533" s="125">
        <v>80</v>
      </c>
      <c r="H533" s="85">
        <v>6883.74</v>
      </c>
      <c r="I533" s="85" t="s">
        <v>630</v>
      </c>
      <c r="J533" s="128">
        <v>18496</v>
      </c>
      <c r="K533" s="128">
        <f t="shared" si="7"/>
        <v>1479680</v>
      </c>
      <c r="L533" s="125" t="s">
        <v>1131</v>
      </c>
      <c r="M533" s="85" t="s">
        <v>47</v>
      </c>
      <c r="N533" s="85" t="s">
        <v>1491</v>
      </c>
    </row>
    <row r="534" spans="2:14" ht="15.75" thickBot="1" x14ac:dyDescent="0.3">
      <c r="B534" s="82" t="s">
        <v>544</v>
      </c>
      <c r="C534" s="83" t="s">
        <v>629</v>
      </c>
      <c r="D534" s="124" t="s">
        <v>620</v>
      </c>
      <c r="E534" s="130">
        <v>1997</v>
      </c>
      <c r="F534" s="125" t="s">
        <v>736</v>
      </c>
      <c r="G534" s="125">
        <v>80</v>
      </c>
      <c r="H534" s="85">
        <v>5929.1500000000005</v>
      </c>
      <c r="I534" s="85" t="s">
        <v>630</v>
      </c>
      <c r="J534" s="128">
        <v>16766</v>
      </c>
      <c r="K534" s="128">
        <f t="shared" si="7"/>
        <v>1341280</v>
      </c>
      <c r="L534" s="125" t="s">
        <v>1132</v>
      </c>
      <c r="M534" s="85" t="s">
        <v>47</v>
      </c>
      <c r="N534" s="85" t="s">
        <v>1491</v>
      </c>
    </row>
    <row r="535" spans="2:14" ht="15.75" thickBot="1" x14ac:dyDescent="0.3">
      <c r="B535" s="82" t="s">
        <v>544</v>
      </c>
      <c r="C535" s="83" t="s">
        <v>629</v>
      </c>
      <c r="D535" s="124" t="s">
        <v>620</v>
      </c>
      <c r="E535" s="130">
        <v>2007</v>
      </c>
      <c r="F535" s="125" t="s">
        <v>731</v>
      </c>
      <c r="G535" s="125">
        <v>78</v>
      </c>
      <c r="H535" s="85">
        <v>14054.169999999998</v>
      </c>
      <c r="I535" s="85" t="s">
        <v>630</v>
      </c>
      <c r="J535" s="128">
        <v>30710</v>
      </c>
      <c r="K535" s="128">
        <f t="shared" si="7"/>
        <v>2395380</v>
      </c>
      <c r="L535" s="125" t="s">
        <v>1133</v>
      </c>
      <c r="M535" s="85" t="s">
        <v>47</v>
      </c>
      <c r="N535" s="85" t="s">
        <v>1491</v>
      </c>
    </row>
    <row r="536" spans="2:14" ht="15.75" thickBot="1" x14ac:dyDescent="0.3">
      <c r="B536" s="82" t="s">
        <v>544</v>
      </c>
      <c r="C536" s="83" t="s">
        <v>629</v>
      </c>
      <c r="D536" s="124" t="s">
        <v>620</v>
      </c>
      <c r="E536" s="130">
        <v>2008</v>
      </c>
      <c r="F536" s="125" t="s">
        <v>731</v>
      </c>
      <c r="G536" s="125">
        <v>95</v>
      </c>
      <c r="H536" s="85">
        <v>18160.309999999998</v>
      </c>
      <c r="I536" s="85" t="s">
        <v>630</v>
      </c>
      <c r="J536" s="128">
        <v>41503</v>
      </c>
      <c r="K536" s="128">
        <f t="shared" si="7"/>
        <v>3942785</v>
      </c>
      <c r="L536" s="125" t="s">
        <v>1134</v>
      </c>
      <c r="M536" s="85" t="s">
        <v>47</v>
      </c>
      <c r="N536" s="85" t="s">
        <v>1491</v>
      </c>
    </row>
    <row r="537" spans="2:14" ht="15.75" thickBot="1" x14ac:dyDescent="0.3">
      <c r="B537" s="82" t="s">
        <v>544</v>
      </c>
      <c r="C537" s="83" t="s">
        <v>629</v>
      </c>
      <c r="D537" s="124" t="s">
        <v>620</v>
      </c>
      <c r="E537" s="130">
        <v>2009</v>
      </c>
      <c r="F537" s="125" t="s">
        <v>734</v>
      </c>
      <c r="G537" s="125">
        <v>74</v>
      </c>
      <c r="H537" s="85">
        <v>21313.564999999999</v>
      </c>
      <c r="I537" s="85" t="s">
        <v>630</v>
      </c>
      <c r="J537" s="128">
        <v>56691</v>
      </c>
      <c r="K537" s="128">
        <f t="shared" si="7"/>
        <v>4195134</v>
      </c>
      <c r="L537" s="125" t="s">
        <v>1135</v>
      </c>
      <c r="M537" s="85" t="s">
        <v>47</v>
      </c>
      <c r="N537" s="85" t="s">
        <v>1491</v>
      </c>
    </row>
    <row r="538" spans="2:14" ht="15.75" thickBot="1" x14ac:dyDescent="0.3">
      <c r="B538" s="82" t="s">
        <v>544</v>
      </c>
      <c r="C538" s="83" t="s">
        <v>629</v>
      </c>
      <c r="D538" s="124" t="s">
        <v>620</v>
      </c>
      <c r="E538" s="130">
        <v>1998</v>
      </c>
      <c r="F538" s="125" t="s">
        <v>736</v>
      </c>
      <c r="G538" s="125">
        <v>98</v>
      </c>
      <c r="H538" s="85">
        <v>1166.52</v>
      </c>
      <c r="I538" s="85" t="s">
        <v>630</v>
      </c>
      <c r="J538" s="128">
        <v>2297</v>
      </c>
      <c r="K538" s="128">
        <f t="shared" si="7"/>
        <v>225106</v>
      </c>
      <c r="L538" s="125" t="s">
        <v>1136</v>
      </c>
      <c r="M538" s="85" t="s">
        <v>47</v>
      </c>
      <c r="N538" s="85" t="s">
        <v>1491</v>
      </c>
    </row>
    <row r="539" spans="2:14" ht="15.75" thickBot="1" x14ac:dyDescent="0.3">
      <c r="B539" s="82" t="s">
        <v>544</v>
      </c>
      <c r="C539" s="83" t="s">
        <v>629</v>
      </c>
      <c r="D539" s="124" t="s">
        <v>620</v>
      </c>
      <c r="E539" s="130">
        <v>2003</v>
      </c>
      <c r="F539" s="125" t="s">
        <v>732</v>
      </c>
      <c r="G539" s="125">
        <v>33</v>
      </c>
      <c r="H539" s="85">
        <v>150.18</v>
      </c>
      <c r="I539" s="85" t="s">
        <v>630</v>
      </c>
      <c r="J539" s="128">
        <v>750</v>
      </c>
      <c r="K539" s="128">
        <f t="shared" si="7"/>
        <v>24750</v>
      </c>
      <c r="L539" s="125" t="s">
        <v>1137</v>
      </c>
      <c r="M539" s="85" t="s">
        <v>47</v>
      </c>
      <c r="N539" s="85" t="s">
        <v>1491</v>
      </c>
    </row>
    <row r="540" spans="2:14" ht="15.75" thickBot="1" x14ac:dyDescent="0.3">
      <c r="B540" s="82" t="s">
        <v>544</v>
      </c>
      <c r="C540" s="83" t="s">
        <v>629</v>
      </c>
      <c r="D540" s="124" t="s">
        <v>620</v>
      </c>
      <c r="E540" s="130">
        <v>2004</v>
      </c>
      <c r="F540" s="125" t="s">
        <v>732</v>
      </c>
      <c r="G540" s="125">
        <v>55</v>
      </c>
      <c r="H540" s="85">
        <v>9059.0400000000009</v>
      </c>
      <c r="I540" s="85" t="s">
        <v>630</v>
      </c>
      <c r="J540" s="128">
        <v>21856</v>
      </c>
      <c r="K540" s="128">
        <f t="shared" si="7"/>
        <v>1202080</v>
      </c>
      <c r="L540" s="125" t="s">
        <v>1138</v>
      </c>
      <c r="M540" s="85" t="s">
        <v>47</v>
      </c>
      <c r="N540" s="85" t="s">
        <v>1491</v>
      </c>
    </row>
    <row r="541" spans="2:14" ht="15.75" thickBot="1" x14ac:dyDescent="0.3">
      <c r="B541" s="82" t="s">
        <v>544</v>
      </c>
      <c r="C541" s="83" t="s">
        <v>629</v>
      </c>
      <c r="D541" s="124" t="s">
        <v>620</v>
      </c>
      <c r="E541" s="130">
        <v>2004</v>
      </c>
      <c r="F541" s="125" t="s">
        <v>732</v>
      </c>
      <c r="G541" s="125">
        <v>76</v>
      </c>
      <c r="H541" s="85">
        <v>10399.16</v>
      </c>
      <c r="I541" s="85" t="s">
        <v>630</v>
      </c>
      <c r="J541" s="128">
        <v>25598</v>
      </c>
      <c r="K541" s="128">
        <f t="shared" si="7"/>
        <v>1945448</v>
      </c>
      <c r="L541" s="125" t="s">
        <v>829</v>
      </c>
      <c r="M541" s="85" t="s">
        <v>47</v>
      </c>
      <c r="N541" s="85" t="s">
        <v>1491</v>
      </c>
    </row>
    <row r="542" spans="2:14" ht="15.75" thickBot="1" x14ac:dyDescent="0.3">
      <c r="B542" s="82" t="s">
        <v>544</v>
      </c>
      <c r="C542" s="83" t="s">
        <v>629</v>
      </c>
      <c r="D542" s="124" t="s">
        <v>620</v>
      </c>
      <c r="E542" s="130">
        <v>2004</v>
      </c>
      <c r="F542" s="125" t="s">
        <v>732</v>
      </c>
      <c r="G542" s="125">
        <v>76</v>
      </c>
      <c r="H542" s="85">
        <v>11431.134</v>
      </c>
      <c r="I542" s="85" t="s">
        <v>630</v>
      </c>
      <c r="J542" s="128">
        <v>29024</v>
      </c>
      <c r="K542" s="128">
        <f t="shared" si="7"/>
        <v>2205824</v>
      </c>
      <c r="L542" s="125" t="s">
        <v>1139</v>
      </c>
      <c r="M542" s="85" t="s">
        <v>47</v>
      </c>
      <c r="N542" s="85" t="s">
        <v>1491</v>
      </c>
    </row>
    <row r="543" spans="2:14" ht="15.75" thickBot="1" x14ac:dyDescent="0.3">
      <c r="B543" s="82" t="s">
        <v>544</v>
      </c>
      <c r="C543" s="83" t="s">
        <v>629</v>
      </c>
      <c r="D543" s="124" t="s">
        <v>620</v>
      </c>
      <c r="E543" s="130">
        <v>2004</v>
      </c>
      <c r="F543" s="125" t="s">
        <v>732</v>
      </c>
      <c r="G543" s="125">
        <v>76</v>
      </c>
      <c r="H543" s="85">
        <v>10479.68</v>
      </c>
      <c r="I543" s="85" t="s">
        <v>630</v>
      </c>
      <c r="J543" s="128">
        <v>26454</v>
      </c>
      <c r="K543" s="128">
        <f t="shared" ref="K543:K606" si="8">J543*G543</f>
        <v>2010504</v>
      </c>
      <c r="L543" s="125" t="s">
        <v>1140</v>
      </c>
      <c r="M543" s="85" t="s">
        <v>47</v>
      </c>
      <c r="N543" s="85" t="s">
        <v>1491</v>
      </c>
    </row>
    <row r="544" spans="2:14" ht="15.75" thickBot="1" x14ac:dyDescent="0.3">
      <c r="B544" s="82" t="s">
        <v>544</v>
      </c>
      <c r="C544" s="83" t="s">
        <v>629</v>
      </c>
      <c r="D544" s="124" t="s">
        <v>620</v>
      </c>
      <c r="E544" s="130">
        <v>2005</v>
      </c>
      <c r="F544" s="125" t="s">
        <v>732</v>
      </c>
      <c r="G544" s="125">
        <v>34</v>
      </c>
      <c r="H544" s="85">
        <v>2954.92</v>
      </c>
      <c r="I544" s="85" t="s">
        <v>630</v>
      </c>
      <c r="J544" s="128">
        <v>9192</v>
      </c>
      <c r="K544" s="128">
        <f t="shared" si="8"/>
        <v>312528</v>
      </c>
      <c r="L544" s="125" t="s">
        <v>1141</v>
      </c>
      <c r="M544" s="85" t="s">
        <v>47</v>
      </c>
      <c r="N544" s="85" t="s">
        <v>1491</v>
      </c>
    </row>
    <row r="545" spans="2:14" ht="15.75" thickBot="1" x14ac:dyDescent="0.3">
      <c r="B545" s="82" t="s">
        <v>544</v>
      </c>
      <c r="C545" s="83" t="s">
        <v>629</v>
      </c>
      <c r="D545" s="124" t="s">
        <v>620</v>
      </c>
      <c r="E545" s="130">
        <v>2005</v>
      </c>
      <c r="F545" s="125" t="s">
        <v>732</v>
      </c>
      <c r="G545" s="125">
        <v>36</v>
      </c>
      <c r="H545" s="85">
        <v>12029.44</v>
      </c>
      <c r="I545" s="85" t="s">
        <v>630</v>
      </c>
      <c r="J545" s="128">
        <v>36955</v>
      </c>
      <c r="K545" s="128">
        <f t="shared" si="8"/>
        <v>1330380</v>
      </c>
      <c r="L545" s="125" t="s">
        <v>1142</v>
      </c>
      <c r="M545" s="85" t="s">
        <v>47</v>
      </c>
      <c r="N545" s="85" t="s">
        <v>1491</v>
      </c>
    </row>
    <row r="546" spans="2:14" ht="15.75" thickBot="1" x14ac:dyDescent="0.3">
      <c r="B546" s="82" t="s">
        <v>544</v>
      </c>
      <c r="C546" s="83" t="s">
        <v>629</v>
      </c>
      <c r="D546" s="124" t="s">
        <v>620</v>
      </c>
      <c r="E546" s="130">
        <v>2006</v>
      </c>
      <c r="F546" s="125" t="s">
        <v>731</v>
      </c>
      <c r="G546" s="125">
        <v>55</v>
      </c>
      <c r="H546" s="85">
        <v>7235.7160000000013</v>
      </c>
      <c r="I546" s="85" t="s">
        <v>630</v>
      </c>
      <c r="J546" s="128">
        <v>18625</v>
      </c>
      <c r="K546" s="128">
        <f t="shared" si="8"/>
        <v>1024375</v>
      </c>
      <c r="L546" s="125" t="s">
        <v>833</v>
      </c>
      <c r="M546" s="85" t="s">
        <v>47</v>
      </c>
      <c r="N546" s="85" t="s">
        <v>1491</v>
      </c>
    </row>
    <row r="547" spans="2:14" ht="15.75" thickBot="1" x14ac:dyDescent="0.3">
      <c r="B547" s="82" t="s">
        <v>544</v>
      </c>
      <c r="C547" s="83" t="s">
        <v>629</v>
      </c>
      <c r="D547" s="124" t="s">
        <v>620</v>
      </c>
      <c r="E547" s="130">
        <v>2021</v>
      </c>
      <c r="F547" s="125" t="s">
        <v>733</v>
      </c>
      <c r="G547" s="125">
        <v>80</v>
      </c>
      <c r="H547" s="85">
        <v>12320.2</v>
      </c>
      <c r="I547" s="85" t="s">
        <v>630</v>
      </c>
      <c r="J547" s="128">
        <v>35467</v>
      </c>
      <c r="K547" s="128">
        <f t="shared" si="8"/>
        <v>2837360</v>
      </c>
      <c r="L547" s="125" t="s">
        <v>1143</v>
      </c>
      <c r="M547" s="85" t="s">
        <v>47</v>
      </c>
      <c r="N547" s="85" t="s">
        <v>1491</v>
      </c>
    </row>
    <row r="548" spans="2:14" ht="15.75" thickBot="1" x14ac:dyDescent="0.3">
      <c r="B548" s="82" t="s">
        <v>544</v>
      </c>
      <c r="C548" s="83" t="s">
        <v>629</v>
      </c>
      <c r="D548" s="124" t="s">
        <v>620</v>
      </c>
      <c r="E548" s="130">
        <v>2021</v>
      </c>
      <c r="F548" s="125" t="s">
        <v>733</v>
      </c>
      <c r="G548" s="125">
        <v>80</v>
      </c>
      <c r="H548" s="85">
        <v>9962.66</v>
      </c>
      <c r="I548" s="85" t="s">
        <v>630</v>
      </c>
      <c r="J548" s="128">
        <v>29941</v>
      </c>
      <c r="K548" s="128">
        <f t="shared" si="8"/>
        <v>2395280</v>
      </c>
      <c r="L548" s="125" t="s">
        <v>1144</v>
      </c>
      <c r="M548" s="85" t="s">
        <v>47</v>
      </c>
      <c r="N548" s="85" t="s">
        <v>1491</v>
      </c>
    </row>
    <row r="549" spans="2:14" ht="15.75" thickBot="1" x14ac:dyDescent="0.3">
      <c r="B549" s="82" t="s">
        <v>544</v>
      </c>
      <c r="C549" s="83" t="s">
        <v>629</v>
      </c>
      <c r="D549" s="124" t="s">
        <v>620</v>
      </c>
      <c r="E549" s="130">
        <v>2021</v>
      </c>
      <c r="F549" s="125" t="s">
        <v>733</v>
      </c>
      <c r="G549" s="125">
        <v>80</v>
      </c>
      <c r="H549" s="85">
        <v>11277.6</v>
      </c>
      <c r="I549" s="85" t="s">
        <v>630</v>
      </c>
      <c r="J549" s="128">
        <v>30512</v>
      </c>
      <c r="K549" s="128">
        <f t="shared" si="8"/>
        <v>2440960</v>
      </c>
      <c r="L549" s="125" t="s">
        <v>1145</v>
      </c>
      <c r="M549" s="85" t="s">
        <v>47</v>
      </c>
      <c r="N549" s="85" t="s">
        <v>1491</v>
      </c>
    </row>
    <row r="550" spans="2:14" ht="15.75" thickBot="1" x14ac:dyDescent="0.3">
      <c r="B550" s="82" t="s">
        <v>544</v>
      </c>
      <c r="C550" s="83" t="s">
        <v>629</v>
      </c>
      <c r="D550" s="124" t="s">
        <v>620</v>
      </c>
      <c r="E550" s="130">
        <v>2021</v>
      </c>
      <c r="F550" s="125" t="s">
        <v>733</v>
      </c>
      <c r="G550" s="125">
        <v>80</v>
      </c>
      <c r="H550" s="85">
        <v>16292.01</v>
      </c>
      <c r="I550" s="85" t="s">
        <v>630</v>
      </c>
      <c r="J550" s="128">
        <v>42814</v>
      </c>
      <c r="K550" s="128">
        <f t="shared" si="8"/>
        <v>3425120</v>
      </c>
      <c r="L550" s="125" t="s">
        <v>1146</v>
      </c>
      <c r="M550" s="85" t="s">
        <v>47</v>
      </c>
      <c r="N550" s="85" t="s">
        <v>1491</v>
      </c>
    </row>
    <row r="551" spans="2:14" ht="15.75" thickBot="1" x14ac:dyDescent="0.3">
      <c r="B551" s="82" t="s">
        <v>544</v>
      </c>
      <c r="C551" s="83" t="s">
        <v>629</v>
      </c>
      <c r="D551" s="124" t="s">
        <v>620</v>
      </c>
      <c r="E551" s="130">
        <v>2021</v>
      </c>
      <c r="F551" s="125" t="s">
        <v>733</v>
      </c>
      <c r="G551" s="125">
        <v>80</v>
      </c>
      <c r="H551" s="85">
        <v>9118.17</v>
      </c>
      <c r="I551" s="85" t="s">
        <v>630</v>
      </c>
      <c r="J551" s="128">
        <v>24957</v>
      </c>
      <c r="K551" s="128">
        <f t="shared" si="8"/>
        <v>1996560</v>
      </c>
      <c r="L551" s="125" t="s">
        <v>1147</v>
      </c>
      <c r="M551" s="85" t="s">
        <v>47</v>
      </c>
      <c r="N551" s="85" t="s">
        <v>1491</v>
      </c>
    </row>
    <row r="552" spans="2:14" ht="15.75" thickBot="1" x14ac:dyDescent="0.3">
      <c r="B552" s="82" t="s">
        <v>544</v>
      </c>
      <c r="C552" s="83" t="s">
        <v>629</v>
      </c>
      <c r="D552" s="124" t="s">
        <v>620</v>
      </c>
      <c r="E552" s="130">
        <v>2021</v>
      </c>
      <c r="F552" s="125" t="s">
        <v>733</v>
      </c>
      <c r="G552" s="125">
        <v>80</v>
      </c>
      <c r="H552" s="85">
        <v>9465.84</v>
      </c>
      <c r="I552" s="85" t="s">
        <v>630</v>
      </c>
      <c r="J552" s="128">
        <v>26194</v>
      </c>
      <c r="K552" s="128">
        <f t="shared" si="8"/>
        <v>2095520</v>
      </c>
      <c r="L552" s="125" t="s">
        <v>1148</v>
      </c>
      <c r="M552" s="85" t="s">
        <v>47</v>
      </c>
      <c r="N552" s="85" t="s">
        <v>1491</v>
      </c>
    </row>
    <row r="553" spans="2:14" ht="15.75" thickBot="1" x14ac:dyDescent="0.3">
      <c r="B553" s="82" t="s">
        <v>544</v>
      </c>
      <c r="C553" s="83" t="s">
        <v>629</v>
      </c>
      <c r="D553" s="124" t="s">
        <v>620</v>
      </c>
      <c r="E553" s="130">
        <v>2021</v>
      </c>
      <c r="F553" s="125" t="s">
        <v>733</v>
      </c>
      <c r="G553" s="125">
        <v>80</v>
      </c>
      <c r="H553" s="85">
        <v>6809.2000000000007</v>
      </c>
      <c r="I553" s="85" t="s">
        <v>630</v>
      </c>
      <c r="J553" s="128">
        <v>19305</v>
      </c>
      <c r="K553" s="128">
        <f t="shared" si="8"/>
        <v>1544400</v>
      </c>
      <c r="L553" s="125" t="s">
        <v>1149</v>
      </c>
      <c r="M553" s="85" t="s">
        <v>47</v>
      </c>
      <c r="N553" s="85" t="s">
        <v>1491</v>
      </c>
    </row>
    <row r="554" spans="2:14" ht="15.75" thickBot="1" x14ac:dyDescent="0.3">
      <c r="B554" s="82" t="s">
        <v>544</v>
      </c>
      <c r="C554" s="83" t="s">
        <v>629</v>
      </c>
      <c r="D554" s="124" t="s">
        <v>620</v>
      </c>
      <c r="E554" s="130">
        <v>2021</v>
      </c>
      <c r="F554" s="125" t="s">
        <v>733</v>
      </c>
      <c r="G554" s="125">
        <v>80</v>
      </c>
      <c r="H554" s="85">
        <v>5708.3899999999994</v>
      </c>
      <c r="I554" s="85" t="s">
        <v>630</v>
      </c>
      <c r="J554" s="128">
        <v>16590</v>
      </c>
      <c r="K554" s="128">
        <f t="shared" si="8"/>
        <v>1327200</v>
      </c>
      <c r="L554" s="125" t="s">
        <v>1150</v>
      </c>
      <c r="M554" s="85" t="s">
        <v>47</v>
      </c>
      <c r="N554" s="85" t="s">
        <v>1491</v>
      </c>
    </row>
    <row r="555" spans="2:14" ht="15.75" thickBot="1" x14ac:dyDescent="0.3">
      <c r="B555" s="82" t="s">
        <v>544</v>
      </c>
      <c r="C555" s="83" t="s">
        <v>629</v>
      </c>
      <c r="D555" s="124" t="s">
        <v>620</v>
      </c>
      <c r="E555" s="130">
        <v>2021</v>
      </c>
      <c r="F555" s="125" t="s">
        <v>733</v>
      </c>
      <c r="G555" s="125">
        <v>80</v>
      </c>
      <c r="H555" s="85">
        <v>6772.8099999999995</v>
      </c>
      <c r="I555" s="85" t="s">
        <v>630</v>
      </c>
      <c r="J555" s="128">
        <v>19272</v>
      </c>
      <c r="K555" s="128">
        <f t="shared" si="8"/>
        <v>1541760</v>
      </c>
      <c r="L555" s="125" t="s">
        <v>1151</v>
      </c>
      <c r="M555" s="85" t="s">
        <v>47</v>
      </c>
      <c r="N555" s="85" t="s">
        <v>1491</v>
      </c>
    </row>
    <row r="556" spans="2:14" ht="15.75" thickBot="1" x14ac:dyDescent="0.3">
      <c r="B556" s="82" t="s">
        <v>544</v>
      </c>
      <c r="C556" s="83" t="s">
        <v>629</v>
      </c>
      <c r="D556" s="124" t="s">
        <v>620</v>
      </c>
      <c r="E556" s="130">
        <v>2021</v>
      </c>
      <c r="F556" s="125" t="s">
        <v>733</v>
      </c>
      <c r="G556" s="125">
        <v>80</v>
      </c>
      <c r="H556" s="85">
        <v>7356.59</v>
      </c>
      <c r="I556" s="85" t="s">
        <v>630</v>
      </c>
      <c r="J556" s="128">
        <v>19948</v>
      </c>
      <c r="K556" s="128">
        <f t="shared" si="8"/>
        <v>1595840</v>
      </c>
      <c r="L556" s="125" t="s">
        <v>1152</v>
      </c>
      <c r="M556" s="85" t="s">
        <v>47</v>
      </c>
      <c r="N556" s="85" t="s">
        <v>1491</v>
      </c>
    </row>
    <row r="557" spans="2:14" ht="15.75" thickBot="1" x14ac:dyDescent="0.3">
      <c r="B557" s="82" t="s">
        <v>544</v>
      </c>
      <c r="C557" s="83" t="s">
        <v>629</v>
      </c>
      <c r="D557" s="124" t="s">
        <v>620</v>
      </c>
      <c r="E557" s="130">
        <v>2021</v>
      </c>
      <c r="F557" s="125" t="s">
        <v>733</v>
      </c>
      <c r="G557" s="125">
        <v>85</v>
      </c>
      <c r="H557" s="85">
        <v>12472.089999999998</v>
      </c>
      <c r="I557" s="85" t="s">
        <v>630</v>
      </c>
      <c r="J557" s="128">
        <v>36369</v>
      </c>
      <c r="K557" s="128">
        <f t="shared" si="8"/>
        <v>3091365</v>
      </c>
      <c r="L557" s="125" t="s">
        <v>1153</v>
      </c>
      <c r="M557" s="85" t="s">
        <v>47</v>
      </c>
      <c r="N557" s="85" t="s">
        <v>1491</v>
      </c>
    </row>
    <row r="558" spans="2:14" ht="15.75" thickBot="1" x14ac:dyDescent="0.3">
      <c r="B558" s="82" t="s">
        <v>544</v>
      </c>
      <c r="C558" s="83" t="s">
        <v>629</v>
      </c>
      <c r="D558" s="124" t="s">
        <v>620</v>
      </c>
      <c r="E558" s="130">
        <v>2021</v>
      </c>
      <c r="F558" s="125" t="s">
        <v>733</v>
      </c>
      <c r="G558" s="125">
        <v>85</v>
      </c>
      <c r="H558" s="85">
        <v>14114.98</v>
      </c>
      <c r="I558" s="85" t="s">
        <v>630</v>
      </c>
      <c r="J558" s="128">
        <v>40179</v>
      </c>
      <c r="K558" s="128">
        <f t="shared" si="8"/>
        <v>3415215</v>
      </c>
      <c r="L558" s="125" t="s">
        <v>1154</v>
      </c>
      <c r="M558" s="85" t="s">
        <v>47</v>
      </c>
      <c r="N558" s="85" t="s">
        <v>1491</v>
      </c>
    </row>
    <row r="559" spans="2:14" ht="15.75" thickBot="1" x14ac:dyDescent="0.3">
      <c r="B559" s="82" t="s">
        <v>544</v>
      </c>
      <c r="C559" s="83" t="s">
        <v>629</v>
      </c>
      <c r="D559" s="124" t="s">
        <v>620</v>
      </c>
      <c r="E559" s="130">
        <v>2021</v>
      </c>
      <c r="F559" s="125" t="s">
        <v>733</v>
      </c>
      <c r="G559" s="125">
        <v>85</v>
      </c>
      <c r="H559" s="85">
        <v>7022.05</v>
      </c>
      <c r="I559" s="85" t="s">
        <v>630</v>
      </c>
      <c r="J559" s="128">
        <v>19774</v>
      </c>
      <c r="K559" s="128">
        <f t="shared" si="8"/>
        <v>1680790</v>
      </c>
      <c r="L559" s="125" t="s">
        <v>1155</v>
      </c>
      <c r="M559" s="85" t="s">
        <v>47</v>
      </c>
      <c r="N559" s="85" t="s">
        <v>1491</v>
      </c>
    </row>
    <row r="560" spans="2:14" ht="15.75" thickBot="1" x14ac:dyDescent="0.3">
      <c r="B560" s="82" t="s">
        <v>544</v>
      </c>
      <c r="C560" s="83" t="s">
        <v>629</v>
      </c>
      <c r="D560" s="124" t="s">
        <v>620</v>
      </c>
      <c r="E560" s="130">
        <v>2021</v>
      </c>
      <c r="F560" s="125" t="s">
        <v>733</v>
      </c>
      <c r="G560" s="125">
        <v>85</v>
      </c>
      <c r="H560" s="85">
        <v>9226.15</v>
      </c>
      <c r="I560" s="85" t="s">
        <v>630</v>
      </c>
      <c r="J560" s="128">
        <v>24865</v>
      </c>
      <c r="K560" s="128">
        <f t="shared" si="8"/>
        <v>2113525</v>
      </c>
      <c r="L560" s="125" t="s">
        <v>1156</v>
      </c>
      <c r="M560" s="85" t="s">
        <v>47</v>
      </c>
      <c r="N560" s="85" t="s">
        <v>1491</v>
      </c>
    </row>
    <row r="561" spans="2:14" ht="15.75" thickBot="1" x14ac:dyDescent="0.3">
      <c r="B561" s="82" t="s">
        <v>544</v>
      </c>
      <c r="C561" s="83" t="s">
        <v>629</v>
      </c>
      <c r="D561" s="124" t="s">
        <v>620</v>
      </c>
      <c r="E561" s="130">
        <v>2021</v>
      </c>
      <c r="F561" s="125" t="s">
        <v>733</v>
      </c>
      <c r="G561" s="125">
        <v>85</v>
      </c>
      <c r="H561" s="85">
        <v>13301.090000000002</v>
      </c>
      <c r="I561" s="85" t="s">
        <v>630</v>
      </c>
      <c r="J561" s="128">
        <v>36931</v>
      </c>
      <c r="K561" s="128">
        <f t="shared" si="8"/>
        <v>3139135</v>
      </c>
      <c r="L561" s="125" t="s">
        <v>1157</v>
      </c>
      <c r="M561" s="85" t="s">
        <v>47</v>
      </c>
      <c r="N561" s="85" t="s">
        <v>1491</v>
      </c>
    </row>
    <row r="562" spans="2:14" ht="15.75" thickBot="1" x14ac:dyDescent="0.3">
      <c r="B562" s="82" t="s">
        <v>544</v>
      </c>
      <c r="C562" s="83" t="s">
        <v>629</v>
      </c>
      <c r="D562" s="124" t="s">
        <v>620</v>
      </c>
      <c r="E562" s="130">
        <v>2021</v>
      </c>
      <c r="F562" s="125" t="s">
        <v>733</v>
      </c>
      <c r="G562" s="125">
        <v>85</v>
      </c>
      <c r="H562" s="85">
        <v>12387.04</v>
      </c>
      <c r="I562" s="85" t="s">
        <v>630</v>
      </c>
      <c r="J562" s="128">
        <v>37442</v>
      </c>
      <c r="K562" s="128">
        <f t="shared" si="8"/>
        <v>3182570</v>
      </c>
      <c r="L562" s="125" t="s">
        <v>1158</v>
      </c>
      <c r="M562" s="85" t="s">
        <v>47</v>
      </c>
      <c r="N562" s="85" t="s">
        <v>1491</v>
      </c>
    </row>
    <row r="563" spans="2:14" ht="15.75" thickBot="1" x14ac:dyDescent="0.3">
      <c r="B563" s="82" t="s">
        <v>544</v>
      </c>
      <c r="C563" s="83" t="s">
        <v>629</v>
      </c>
      <c r="D563" s="124" t="s">
        <v>620</v>
      </c>
      <c r="E563" s="130">
        <v>2021</v>
      </c>
      <c r="F563" s="125" t="s">
        <v>733</v>
      </c>
      <c r="G563" s="125">
        <v>85</v>
      </c>
      <c r="H563" s="85">
        <v>17421.61</v>
      </c>
      <c r="I563" s="85" t="s">
        <v>630</v>
      </c>
      <c r="J563" s="128">
        <v>48863</v>
      </c>
      <c r="K563" s="128">
        <f t="shared" si="8"/>
        <v>4153355</v>
      </c>
      <c r="L563" s="125" t="s">
        <v>1159</v>
      </c>
      <c r="M563" s="85" t="s">
        <v>47</v>
      </c>
      <c r="N563" s="85" t="s">
        <v>1491</v>
      </c>
    </row>
    <row r="564" spans="2:14" ht="15.75" thickBot="1" x14ac:dyDescent="0.3">
      <c r="B564" s="82" t="s">
        <v>544</v>
      </c>
      <c r="C564" s="83" t="s">
        <v>629</v>
      </c>
      <c r="D564" s="124" t="s">
        <v>620</v>
      </c>
      <c r="E564" s="130">
        <v>2021</v>
      </c>
      <c r="F564" s="125" t="s">
        <v>733</v>
      </c>
      <c r="G564" s="125">
        <v>85</v>
      </c>
      <c r="H564" s="85">
        <v>11131.779999999999</v>
      </c>
      <c r="I564" s="85" t="s">
        <v>630</v>
      </c>
      <c r="J564" s="128">
        <v>31187</v>
      </c>
      <c r="K564" s="128">
        <f t="shared" si="8"/>
        <v>2650895</v>
      </c>
      <c r="L564" s="125" t="s">
        <v>1160</v>
      </c>
      <c r="M564" s="85" t="s">
        <v>47</v>
      </c>
      <c r="N564" s="85" t="s">
        <v>1491</v>
      </c>
    </row>
    <row r="565" spans="2:14" ht="15.75" thickBot="1" x14ac:dyDescent="0.3">
      <c r="B565" s="82" t="s">
        <v>544</v>
      </c>
      <c r="C565" s="83" t="s">
        <v>629</v>
      </c>
      <c r="D565" s="124" t="s">
        <v>620</v>
      </c>
      <c r="E565" s="130">
        <v>2021</v>
      </c>
      <c r="F565" s="125" t="s">
        <v>733</v>
      </c>
      <c r="G565" s="125">
        <v>85</v>
      </c>
      <c r="H565" s="85">
        <v>8075.99</v>
      </c>
      <c r="I565" s="85" t="s">
        <v>630</v>
      </c>
      <c r="J565" s="128">
        <v>24603</v>
      </c>
      <c r="K565" s="128">
        <f t="shared" si="8"/>
        <v>2091255</v>
      </c>
      <c r="L565" s="125" t="s">
        <v>1161</v>
      </c>
      <c r="M565" s="85" t="s">
        <v>47</v>
      </c>
      <c r="N565" s="85" t="s">
        <v>1491</v>
      </c>
    </row>
    <row r="566" spans="2:14" ht="15.75" thickBot="1" x14ac:dyDescent="0.3">
      <c r="B566" s="82" t="s">
        <v>544</v>
      </c>
      <c r="C566" s="83" t="s">
        <v>629</v>
      </c>
      <c r="D566" s="124" t="s">
        <v>620</v>
      </c>
      <c r="E566" s="130">
        <v>2021</v>
      </c>
      <c r="F566" s="125" t="s">
        <v>733</v>
      </c>
      <c r="G566" s="125">
        <v>85</v>
      </c>
      <c r="H566" s="85">
        <v>10642.93</v>
      </c>
      <c r="I566" s="85" t="s">
        <v>630</v>
      </c>
      <c r="J566" s="128">
        <v>30507</v>
      </c>
      <c r="K566" s="128">
        <f t="shared" si="8"/>
        <v>2593095</v>
      </c>
      <c r="L566" s="125" t="s">
        <v>1162</v>
      </c>
      <c r="M566" s="85" t="s">
        <v>47</v>
      </c>
      <c r="N566" s="85" t="s">
        <v>1491</v>
      </c>
    </row>
    <row r="567" spans="2:14" ht="15.75" thickBot="1" x14ac:dyDescent="0.3">
      <c r="B567" s="82" t="s">
        <v>544</v>
      </c>
      <c r="C567" s="83" t="s">
        <v>629</v>
      </c>
      <c r="D567" s="124" t="s">
        <v>620</v>
      </c>
      <c r="E567" s="130">
        <v>2021</v>
      </c>
      <c r="F567" s="125" t="s">
        <v>733</v>
      </c>
      <c r="G567" s="125">
        <v>85</v>
      </c>
      <c r="H567" s="85">
        <v>10622.78</v>
      </c>
      <c r="I567" s="85" t="s">
        <v>630</v>
      </c>
      <c r="J567" s="128">
        <v>30150</v>
      </c>
      <c r="K567" s="128">
        <f t="shared" si="8"/>
        <v>2562750</v>
      </c>
      <c r="L567" s="125" t="s">
        <v>1163</v>
      </c>
      <c r="M567" s="85" t="s">
        <v>47</v>
      </c>
      <c r="N567" s="85" t="s">
        <v>1491</v>
      </c>
    </row>
    <row r="568" spans="2:14" ht="15.75" thickBot="1" x14ac:dyDescent="0.3">
      <c r="B568" s="82" t="s">
        <v>544</v>
      </c>
      <c r="C568" s="83" t="s">
        <v>629</v>
      </c>
      <c r="D568" s="124" t="s">
        <v>620</v>
      </c>
      <c r="E568" s="130">
        <v>2021</v>
      </c>
      <c r="F568" s="125" t="s">
        <v>733</v>
      </c>
      <c r="G568" s="125">
        <v>85</v>
      </c>
      <c r="H568" s="85">
        <v>8533.26</v>
      </c>
      <c r="I568" s="85" t="s">
        <v>630</v>
      </c>
      <c r="J568" s="128">
        <v>24121</v>
      </c>
      <c r="K568" s="128">
        <f t="shared" si="8"/>
        <v>2050285</v>
      </c>
      <c r="L568" s="125" t="s">
        <v>1164</v>
      </c>
      <c r="M568" s="85" t="s">
        <v>47</v>
      </c>
      <c r="N568" s="85" t="s">
        <v>1491</v>
      </c>
    </row>
    <row r="569" spans="2:14" ht="15.75" thickBot="1" x14ac:dyDescent="0.3">
      <c r="B569" s="82" t="s">
        <v>544</v>
      </c>
      <c r="C569" s="83" t="s">
        <v>629</v>
      </c>
      <c r="D569" s="124" t="s">
        <v>620</v>
      </c>
      <c r="E569" s="130">
        <v>2021</v>
      </c>
      <c r="F569" s="125" t="s">
        <v>733</v>
      </c>
      <c r="G569" s="125">
        <v>85</v>
      </c>
      <c r="H569" s="85">
        <v>9661.8299999999981</v>
      </c>
      <c r="I569" s="85" t="s">
        <v>630</v>
      </c>
      <c r="J569" s="128">
        <v>27722</v>
      </c>
      <c r="K569" s="128">
        <f t="shared" si="8"/>
        <v>2356370</v>
      </c>
      <c r="L569" s="125" t="s">
        <v>1165</v>
      </c>
      <c r="M569" s="85" t="s">
        <v>47</v>
      </c>
      <c r="N569" s="85" t="s">
        <v>1491</v>
      </c>
    </row>
    <row r="570" spans="2:14" ht="15.75" thickBot="1" x14ac:dyDescent="0.3">
      <c r="B570" s="82" t="s">
        <v>544</v>
      </c>
      <c r="C570" s="83" t="s">
        <v>629</v>
      </c>
      <c r="D570" s="124" t="s">
        <v>620</v>
      </c>
      <c r="E570" s="130">
        <v>2021</v>
      </c>
      <c r="F570" s="125" t="s">
        <v>733</v>
      </c>
      <c r="G570" s="125">
        <v>85</v>
      </c>
      <c r="H570" s="85">
        <v>9484.0399999999991</v>
      </c>
      <c r="I570" s="85" t="s">
        <v>630</v>
      </c>
      <c r="J570" s="128">
        <v>26101</v>
      </c>
      <c r="K570" s="128">
        <f t="shared" si="8"/>
        <v>2218585</v>
      </c>
      <c r="L570" s="125" t="s">
        <v>1166</v>
      </c>
      <c r="M570" s="85" t="s">
        <v>47</v>
      </c>
      <c r="N570" s="85" t="s">
        <v>1491</v>
      </c>
    </row>
    <row r="571" spans="2:14" ht="15.75" thickBot="1" x14ac:dyDescent="0.3">
      <c r="B571" s="82" t="s">
        <v>544</v>
      </c>
      <c r="C571" s="83" t="s">
        <v>629</v>
      </c>
      <c r="D571" s="124" t="s">
        <v>620</v>
      </c>
      <c r="E571" s="130">
        <v>2021</v>
      </c>
      <c r="F571" s="125" t="s">
        <v>733</v>
      </c>
      <c r="G571" s="125">
        <v>85</v>
      </c>
      <c r="H571" s="85">
        <v>7059.22</v>
      </c>
      <c r="I571" s="85" t="s">
        <v>630</v>
      </c>
      <c r="J571" s="128">
        <v>19616</v>
      </c>
      <c r="K571" s="128">
        <f t="shared" si="8"/>
        <v>1667360</v>
      </c>
      <c r="L571" s="125" t="s">
        <v>1167</v>
      </c>
      <c r="M571" s="85" t="s">
        <v>47</v>
      </c>
      <c r="N571" s="85" t="s">
        <v>1491</v>
      </c>
    </row>
    <row r="572" spans="2:14" ht="15.75" thickBot="1" x14ac:dyDescent="0.3">
      <c r="B572" s="82" t="s">
        <v>544</v>
      </c>
      <c r="C572" s="83" t="s">
        <v>629</v>
      </c>
      <c r="D572" s="124" t="s">
        <v>620</v>
      </c>
      <c r="E572" s="130">
        <v>2021</v>
      </c>
      <c r="F572" s="125" t="s">
        <v>733</v>
      </c>
      <c r="G572" s="125">
        <v>85</v>
      </c>
      <c r="H572" s="85">
        <v>7974.3899999999994</v>
      </c>
      <c r="I572" s="85" t="s">
        <v>630</v>
      </c>
      <c r="J572" s="128">
        <v>23091</v>
      </c>
      <c r="K572" s="128">
        <f t="shared" si="8"/>
        <v>1962735</v>
      </c>
      <c r="L572" s="125" t="s">
        <v>1168</v>
      </c>
      <c r="M572" s="85" t="s">
        <v>47</v>
      </c>
      <c r="N572" s="85" t="s">
        <v>1491</v>
      </c>
    </row>
    <row r="573" spans="2:14" ht="15.75" thickBot="1" x14ac:dyDescent="0.3">
      <c r="B573" s="82" t="s">
        <v>544</v>
      </c>
      <c r="C573" s="83" t="s">
        <v>629</v>
      </c>
      <c r="D573" s="124" t="s">
        <v>620</v>
      </c>
      <c r="E573" s="130">
        <v>2021</v>
      </c>
      <c r="F573" s="125" t="s">
        <v>733</v>
      </c>
      <c r="G573" s="125">
        <v>85</v>
      </c>
      <c r="H573" s="85">
        <v>12584.779999999999</v>
      </c>
      <c r="I573" s="85" t="s">
        <v>630</v>
      </c>
      <c r="J573" s="128">
        <v>34426</v>
      </c>
      <c r="K573" s="128">
        <f t="shared" si="8"/>
        <v>2926210</v>
      </c>
      <c r="L573" s="125" t="s">
        <v>1169</v>
      </c>
      <c r="M573" s="85" t="s">
        <v>47</v>
      </c>
      <c r="N573" s="85" t="s">
        <v>1491</v>
      </c>
    </row>
    <row r="574" spans="2:14" ht="15.75" thickBot="1" x14ac:dyDescent="0.3">
      <c r="B574" s="82" t="s">
        <v>544</v>
      </c>
      <c r="C574" s="83" t="s">
        <v>629</v>
      </c>
      <c r="D574" s="124" t="s">
        <v>620</v>
      </c>
      <c r="E574" s="130">
        <v>2021</v>
      </c>
      <c r="F574" s="125" t="s">
        <v>733</v>
      </c>
      <c r="G574" s="125">
        <v>85</v>
      </c>
      <c r="H574" s="85">
        <v>7620.85</v>
      </c>
      <c r="I574" s="85" t="s">
        <v>630</v>
      </c>
      <c r="J574" s="128">
        <v>21548</v>
      </c>
      <c r="K574" s="128">
        <f t="shared" si="8"/>
        <v>1831580</v>
      </c>
      <c r="L574" s="125" t="s">
        <v>1170</v>
      </c>
      <c r="M574" s="85" t="s">
        <v>47</v>
      </c>
      <c r="N574" s="85" t="s">
        <v>1491</v>
      </c>
    </row>
    <row r="575" spans="2:14" ht="15.75" thickBot="1" x14ac:dyDescent="0.3">
      <c r="B575" s="82" t="s">
        <v>544</v>
      </c>
      <c r="C575" s="83" t="s">
        <v>629</v>
      </c>
      <c r="D575" s="124" t="s">
        <v>620</v>
      </c>
      <c r="E575" s="130">
        <v>2021</v>
      </c>
      <c r="F575" s="125" t="s">
        <v>733</v>
      </c>
      <c r="G575" s="125">
        <v>85</v>
      </c>
      <c r="H575" s="85">
        <v>10720.279999999999</v>
      </c>
      <c r="I575" s="85" t="s">
        <v>630</v>
      </c>
      <c r="J575" s="128">
        <v>28765</v>
      </c>
      <c r="K575" s="128">
        <f t="shared" si="8"/>
        <v>2445025</v>
      </c>
      <c r="L575" s="125" t="s">
        <v>1171</v>
      </c>
      <c r="M575" s="85" t="s">
        <v>47</v>
      </c>
      <c r="N575" s="85" t="s">
        <v>1491</v>
      </c>
    </row>
    <row r="576" spans="2:14" ht="15.75" thickBot="1" x14ac:dyDescent="0.3">
      <c r="B576" s="82" t="s">
        <v>544</v>
      </c>
      <c r="C576" s="83" t="s">
        <v>629</v>
      </c>
      <c r="D576" s="124" t="s">
        <v>620</v>
      </c>
      <c r="E576" s="130">
        <v>2021</v>
      </c>
      <c r="F576" s="125" t="s">
        <v>733</v>
      </c>
      <c r="G576" s="125">
        <v>85</v>
      </c>
      <c r="H576" s="85">
        <v>14572.87</v>
      </c>
      <c r="I576" s="85" t="s">
        <v>630</v>
      </c>
      <c r="J576" s="128">
        <v>38935</v>
      </c>
      <c r="K576" s="128">
        <f t="shared" si="8"/>
        <v>3309475</v>
      </c>
      <c r="L576" s="125" t="s">
        <v>1172</v>
      </c>
      <c r="M576" s="85" t="s">
        <v>47</v>
      </c>
      <c r="N576" s="85" t="s">
        <v>1491</v>
      </c>
    </row>
    <row r="577" spans="2:14" ht="15.75" thickBot="1" x14ac:dyDescent="0.3">
      <c r="B577" s="82" t="s">
        <v>544</v>
      </c>
      <c r="C577" s="83" t="s">
        <v>629</v>
      </c>
      <c r="D577" s="124" t="s">
        <v>620</v>
      </c>
      <c r="E577" s="130">
        <v>2021</v>
      </c>
      <c r="F577" s="125" t="s">
        <v>733</v>
      </c>
      <c r="G577" s="125">
        <v>85</v>
      </c>
      <c r="H577" s="85">
        <v>9173.75</v>
      </c>
      <c r="I577" s="85" t="s">
        <v>630</v>
      </c>
      <c r="J577" s="128">
        <v>26532</v>
      </c>
      <c r="K577" s="128">
        <f t="shared" si="8"/>
        <v>2255220</v>
      </c>
      <c r="L577" s="125" t="s">
        <v>1173</v>
      </c>
      <c r="M577" s="85" t="s">
        <v>47</v>
      </c>
      <c r="N577" s="85" t="s">
        <v>1491</v>
      </c>
    </row>
    <row r="578" spans="2:14" ht="15.75" thickBot="1" x14ac:dyDescent="0.3">
      <c r="B578" s="82" t="s">
        <v>544</v>
      </c>
      <c r="C578" s="83" t="s">
        <v>629</v>
      </c>
      <c r="D578" s="124" t="s">
        <v>620</v>
      </c>
      <c r="E578" s="130">
        <v>2021</v>
      </c>
      <c r="F578" s="125" t="s">
        <v>733</v>
      </c>
      <c r="G578" s="125">
        <v>85</v>
      </c>
      <c r="H578" s="85">
        <v>11408.109999999999</v>
      </c>
      <c r="I578" s="85" t="s">
        <v>630</v>
      </c>
      <c r="J578" s="128">
        <v>32014</v>
      </c>
      <c r="K578" s="128">
        <f t="shared" si="8"/>
        <v>2721190</v>
      </c>
      <c r="L578" s="125" t="s">
        <v>1174</v>
      </c>
      <c r="M578" s="85" t="s">
        <v>47</v>
      </c>
      <c r="N578" s="85" t="s">
        <v>1491</v>
      </c>
    </row>
    <row r="579" spans="2:14" ht="15.75" thickBot="1" x14ac:dyDescent="0.3">
      <c r="B579" s="82" t="s">
        <v>544</v>
      </c>
      <c r="C579" s="83" t="s">
        <v>629</v>
      </c>
      <c r="D579" s="124" t="s">
        <v>620</v>
      </c>
      <c r="E579" s="130">
        <v>2021</v>
      </c>
      <c r="F579" s="125" t="s">
        <v>733</v>
      </c>
      <c r="G579" s="125">
        <v>85</v>
      </c>
      <c r="H579" s="85">
        <v>7831.4900000000007</v>
      </c>
      <c r="I579" s="85" t="s">
        <v>630</v>
      </c>
      <c r="J579" s="128">
        <v>24279</v>
      </c>
      <c r="K579" s="128">
        <f t="shared" si="8"/>
        <v>2063715</v>
      </c>
      <c r="L579" s="125" t="s">
        <v>1175</v>
      </c>
      <c r="M579" s="85" t="s">
        <v>47</v>
      </c>
      <c r="N579" s="85" t="s">
        <v>1491</v>
      </c>
    </row>
    <row r="580" spans="2:14" ht="15.75" thickBot="1" x14ac:dyDescent="0.3">
      <c r="B580" s="82" t="s">
        <v>544</v>
      </c>
      <c r="C580" s="83" t="s">
        <v>629</v>
      </c>
      <c r="D580" s="124" t="s">
        <v>620</v>
      </c>
      <c r="E580" s="130">
        <v>2021</v>
      </c>
      <c r="F580" s="125" t="s">
        <v>733</v>
      </c>
      <c r="G580" s="125">
        <v>85</v>
      </c>
      <c r="H580" s="85">
        <v>8675.02</v>
      </c>
      <c r="I580" s="85" t="s">
        <v>630</v>
      </c>
      <c r="J580" s="128">
        <v>24459</v>
      </c>
      <c r="K580" s="128">
        <f t="shared" si="8"/>
        <v>2079015</v>
      </c>
      <c r="L580" s="125" t="s">
        <v>1176</v>
      </c>
      <c r="M580" s="85" t="s">
        <v>47</v>
      </c>
      <c r="N580" s="85" t="s">
        <v>1491</v>
      </c>
    </row>
    <row r="581" spans="2:14" ht="15.75" thickBot="1" x14ac:dyDescent="0.3">
      <c r="B581" s="82" t="s">
        <v>544</v>
      </c>
      <c r="C581" s="83" t="s">
        <v>629</v>
      </c>
      <c r="D581" s="124" t="s">
        <v>620</v>
      </c>
      <c r="E581" s="130">
        <v>2021</v>
      </c>
      <c r="F581" s="125" t="s">
        <v>733</v>
      </c>
      <c r="G581" s="125">
        <v>85</v>
      </c>
      <c r="H581" s="85">
        <v>7056.05</v>
      </c>
      <c r="I581" s="85" t="s">
        <v>630</v>
      </c>
      <c r="J581" s="128">
        <v>21050</v>
      </c>
      <c r="K581" s="128">
        <f t="shared" si="8"/>
        <v>1789250</v>
      </c>
      <c r="L581" s="125" t="s">
        <v>1177</v>
      </c>
      <c r="M581" s="85" t="s">
        <v>47</v>
      </c>
      <c r="N581" s="85" t="s">
        <v>1491</v>
      </c>
    </row>
    <row r="582" spans="2:14" ht="15.75" thickBot="1" x14ac:dyDescent="0.3">
      <c r="B582" s="82" t="s">
        <v>544</v>
      </c>
      <c r="C582" s="83" t="s">
        <v>629</v>
      </c>
      <c r="D582" s="124" t="s">
        <v>620</v>
      </c>
      <c r="E582" s="130">
        <v>2021</v>
      </c>
      <c r="F582" s="125" t="s">
        <v>733</v>
      </c>
      <c r="G582" s="125">
        <v>85</v>
      </c>
      <c r="H582" s="85">
        <v>7274.76</v>
      </c>
      <c r="I582" s="85" t="s">
        <v>630</v>
      </c>
      <c r="J582" s="128">
        <v>22545</v>
      </c>
      <c r="K582" s="128">
        <f t="shared" si="8"/>
        <v>1916325</v>
      </c>
      <c r="L582" s="125" t="s">
        <v>1178</v>
      </c>
      <c r="M582" s="85" t="s">
        <v>47</v>
      </c>
      <c r="N582" s="85" t="s">
        <v>1491</v>
      </c>
    </row>
    <row r="583" spans="2:14" ht="15.75" thickBot="1" x14ac:dyDescent="0.3">
      <c r="B583" s="82" t="s">
        <v>544</v>
      </c>
      <c r="C583" s="83" t="s">
        <v>629</v>
      </c>
      <c r="D583" s="124" t="s">
        <v>620</v>
      </c>
      <c r="E583" s="130">
        <v>2021</v>
      </c>
      <c r="F583" s="125" t="s">
        <v>733</v>
      </c>
      <c r="G583" s="125">
        <v>85</v>
      </c>
      <c r="H583" s="85">
        <v>6361.1</v>
      </c>
      <c r="I583" s="85" t="s">
        <v>630</v>
      </c>
      <c r="J583" s="128">
        <v>18383</v>
      </c>
      <c r="K583" s="128">
        <f t="shared" si="8"/>
        <v>1562555</v>
      </c>
      <c r="L583" s="125" t="s">
        <v>1179</v>
      </c>
      <c r="M583" s="85" t="s">
        <v>47</v>
      </c>
      <c r="N583" s="85" t="s">
        <v>1491</v>
      </c>
    </row>
    <row r="584" spans="2:14" ht="15.75" thickBot="1" x14ac:dyDescent="0.3">
      <c r="B584" s="82" t="s">
        <v>544</v>
      </c>
      <c r="C584" s="83" t="s">
        <v>629</v>
      </c>
      <c r="D584" s="124" t="s">
        <v>620</v>
      </c>
      <c r="E584" s="130">
        <v>2021</v>
      </c>
      <c r="F584" s="125" t="s">
        <v>733</v>
      </c>
      <c r="G584" s="125">
        <v>85</v>
      </c>
      <c r="H584" s="85">
        <v>7589.14</v>
      </c>
      <c r="I584" s="85" t="s">
        <v>630</v>
      </c>
      <c r="J584" s="128">
        <v>22124</v>
      </c>
      <c r="K584" s="128">
        <f t="shared" si="8"/>
        <v>1880540</v>
      </c>
      <c r="L584" s="125" t="s">
        <v>1180</v>
      </c>
      <c r="M584" s="85" t="s">
        <v>47</v>
      </c>
      <c r="N584" s="85" t="s">
        <v>1491</v>
      </c>
    </row>
    <row r="585" spans="2:14" ht="15.75" thickBot="1" x14ac:dyDescent="0.3">
      <c r="B585" s="82" t="s">
        <v>544</v>
      </c>
      <c r="C585" s="83" t="s">
        <v>629</v>
      </c>
      <c r="D585" s="124" t="s">
        <v>620</v>
      </c>
      <c r="E585" s="130">
        <v>2021</v>
      </c>
      <c r="F585" s="125" t="s">
        <v>733</v>
      </c>
      <c r="G585" s="125">
        <v>85</v>
      </c>
      <c r="H585" s="85">
        <v>10213.23</v>
      </c>
      <c r="I585" s="85" t="s">
        <v>630</v>
      </c>
      <c r="J585" s="128">
        <v>29396</v>
      </c>
      <c r="K585" s="128">
        <f t="shared" si="8"/>
        <v>2498660</v>
      </c>
      <c r="L585" s="125" t="s">
        <v>1181</v>
      </c>
      <c r="M585" s="85" t="s">
        <v>47</v>
      </c>
      <c r="N585" s="85" t="s">
        <v>1491</v>
      </c>
    </row>
    <row r="586" spans="2:14" ht="15.75" thickBot="1" x14ac:dyDescent="0.3">
      <c r="B586" s="82" t="s">
        <v>544</v>
      </c>
      <c r="C586" s="83" t="s">
        <v>629</v>
      </c>
      <c r="D586" s="124" t="s">
        <v>620</v>
      </c>
      <c r="E586" s="130">
        <v>2021</v>
      </c>
      <c r="F586" s="125" t="s">
        <v>733</v>
      </c>
      <c r="G586" s="125">
        <v>85</v>
      </c>
      <c r="H586" s="85">
        <v>11983.33</v>
      </c>
      <c r="I586" s="85" t="s">
        <v>630</v>
      </c>
      <c r="J586" s="128">
        <v>33444</v>
      </c>
      <c r="K586" s="128">
        <f t="shared" si="8"/>
        <v>2842740</v>
      </c>
      <c r="L586" s="125" t="s">
        <v>1182</v>
      </c>
      <c r="M586" s="85" t="s">
        <v>47</v>
      </c>
      <c r="N586" s="85" t="s">
        <v>1491</v>
      </c>
    </row>
    <row r="587" spans="2:14" ht="15.75" thickBot="1" x14ac:dyDescent="0.3">
      <c r="B587" s="82" t="s">
        <v>544</v>
      </c>
      <c r="C587" s="83" t="s">
        <v>629</v>
      </c>
      <c r="D587" s="124" t="s">
        <v>620</v>
      </c>
      <c r="E587" s="130">
        <v>2022</v>
      </c>
      <c r="F587" s="125" t="s">
        <v>733</v>
      </c>
      <c r="G587" s="125">
        <v>83</v>
      </c>
      <c r="H587" s="85">
        <v>4631.28</v>
      </c>
      <c r="I587" s="85" t="s">
        <v>630</v>
      </c>
      <c r="J587" s="128">
        <v>14319</v>
      </c>
      <c r="K587" s="128">
        <f t="shared" si="8"/>
        <v>1188477</v>
      </c>
      <c r="L587" s="125" t="s">
        <v>1183</v>
      </c>
      <c r="M587" s="85" t="s">
        <v>47</v>
      </c>
      <c r="N587" s="85" t="s">
        <v>1491</v>
      </c>
    </row>
    <row r="588" spans="2:14" ht="15.75" thickBot="1" x14ac:dyDescent="0.3">
      <c r="B588" s="82" t="s">
        <v>544</v>
      </c>
      <c r="C588" s="83" t="s">
        <v>629</v>
      </c>
      <c r="D588" s="124" t="s">
        <v>620</v>
      </c>
      <c r="E588" s="130">
        <v>2022</v>
      </c>
      <c r="F588" s="125" t="s">
        <v>733</v>
      </c>
      <c r="G588" s="125">
        <v>83</v>
      </c>
      <c r="H588" s="85">
        <v>70</v>
      </c>
      <c r="I588" s="85" t="s">
        <v>630</v>
      </c>
      <c r="J588" s="128">
        <v>233</v>
      </c>
      <c r="K588" s="128">
        <f t="shared" si="8"/>
        <v>19339</v>
      </c>
      <c r="L588" s="125" t="s">
        <v>1184</v>
      </c>
      <c r="M588" s="85" t="s">
        <v>47</v>
      </c>
      <c r="N588" s="85" t="s">
        <v>1491</v>
      </c>
    </row>
    <row r="589" spans="2:14" ht="15.75" thickBot="1" x14ac:dyDescent="0.3">
      <c r="B589" s="82" t="s">
        <v>544</v>
      </c>
      <c r="C589" s="83" t="s">
        <v>629</v>
      </c>
      <c r="D589" s="124" t="s">
        <v>620</v>
      </c>
      <c r="E589" s="130">
        <v>2022</v>
      </c>
      <c r="F589" s="125" t="s">
        <v>733</v>
      </c>
      <c r="G589" s="125">
        <v>83</v>
      </c>
      <c r="H589" s="85">
        <v>50</v>
      </c>
      <c r="I589" s="85" t="s">
        <v>630</v>
      </c>
      <c r="J589" s="128">
        <v>166</v>
      </c>
      <c r="K589" s="128">
        <f t="shared" si="8"/>
        <v>13778</v>
      </c>
      <c r="L589" s="125" t="s">
        <v>1185</v>
      </c>
      <c r="M589" s="85" t="s">
        <v>47</v>
      </c>
      <c r="N589" s="85" t="s">
        <v>1491</v>
      </c>
    </row>
    <row r="590" spans="2:14" ht="15.75" thickBot="1" x14ac:dyDescent="0.3">
      <c r="B590" s="82" t="s">
        <v>544</v>
      </c>
      <c r="C590" s="83" t="s">
        <v>629</v>
      </c>
      <c r="D590" s="124" t="s">
        <v>620</v>
      </c>
      <c r="E590" s="130">
        <v>2022</v>
      </c>
      <c r="F590" s="125" t="s">
        <v>733</v>
      </c>
      <c r="G590" s="125">
        <v>83</v>
      </c>
      <c r="H590" s="85">
        <v>2064.62</v>
      </c>
      <c r="I590" s="85" t="s">
        <v>630</v>
      </c>
      <c r="J590" s="128">
        <v>5648</v>
      </c>
      <c r="K590" s="128">
        <f t="shared" si="8"/>
        <v>468784</v>
      </c>
      <c r="L590" s="125" t="s">
        <v>1186</v>
      </c>
      <c r="M590" s="85" t="s">
        <v>47</v>
      </c>
      <c r="N590" s="85" t="s">
        <v>1491</v>
      </c>
    </row>
    <row r="591" spans="2:14" ht="15.75" thickBot="1" x14ac:dyDescent="0.3">
      <c r="B591" s="82" t="s">
        <v>544</v>
      </c>
      <c r="C591" s="83" t="s">
        <v>629</v>
      </c>
      <c r="D591" s="124" t="s">
        <v>620</v>
      </c>
      <c r="E591" s="130">
        <v>2022</v>
      </c>
      <c r="F591" s="125" t="s">
        <v>733</v>
      </c>
      <c r="G591" s="125">
        <v>83</v>
      </c>
      <c r="H591" s="85">
        <v>3582.8500000000004</v>
      </c>
      <c r="I591" s="85" t="s">
        <v>630</v>
      </c>
      <c r="J591" s="128">
        <v>9450</v>
      </c>
      <c r="K591" s="128">
        <f t="shared" si="8"/>
        <v>784350</v>
      </c>
      <c r="L591" s="125" t="s">
        <v>1187</v>
      </c>
      <c r="M591" s="85" t="s">
        <v>47</v>
      </c>
      <c r="N591" s="85" t="s">
        <v>1491</v>
      </c>
    </row>
    <row r="592" spans="2:14" ht="15.75" thickBot="1" x14ac:dyDescent="0.3">
      <c r="B592" s="82" t="s">
        <v>544</v>
      </c>
      <c r="C592" s="83" t="s">
        <v>629</v>
      </c>
      <c r="D592" s="124" t="s">
        <v>620</v>
      </c>
      <c r="E592" s="130">
        <v>2022</v>
      </c>
      <c r="F592" s="125" t="s">
        <v>733</v>
      </c>
      <c r="G592" s="125">
        <v>83</v>
      </c>
      <c r="H592" s="85">
        <v>60</v>
      </c>
      <c r="I592" s="85" t="s">
        <v>630</v>
      </c>
      <c r="J592" s="128">
        <v>200</v>
      </c>
      <c r="K592" s="128">
        <f t="shared" si="8"/>
        <v>16600</v>
      </c>
      <c r="L592" s="125" t="s">
        <v>1188</v>
      </c>
      <c r="M592" s="85" t="s">
        <v>47</v>
      </c>
      <c r="N592" s="85" t="s">
        <v>1491</v>
      </c>
    </row>
    <row r="593" spans="2:14" ht="15.75" thickBot="1" x14ac:dyDescent="0.3">
      <c r="B593" s="82" t="s">
        <v>544</v>
      </c>
      <c r="C593" s="83" t="s">
        <v>629</v>
      </c>
      <c r="D593" s="124" t="s">
        <v>620</v>
      </c>
      <c r="E593" s="130">
        <v>2022</v>
      </c>
      <c r="F593" s="125" t="s">
        <v>733</v>
      </c>
      <c r="G593" s="125">
        <v>83</v>
      </c>
      <c r="H593" s="85">
        <v>60</v>
      </c>
      <c r="I593" s="85" t="s">
        <v>630</v>
      </c>
      <c r="J593" s="128">
        <v>200</v>
      </c>
      <c r="K593" s="128">
        <f t="shared" si="8"/>
        <v>16600</v>
      </c>
      <c r="L593" s="125" t="s">
        <v>1189</v>
      </c>
      <c r="M593" s="85" t="s">
        <v>47</v>
      </c>
      <c r="N593" s="85" t="s">
        <v>1491</v>
      </c>
    </row>
    <row r="594" spans="2:14" ht="15.75" thickBot="1" x14ac:dyDescent="0.3">
      <c r="B594" s="82" t="s">
        <v>544</v>
      </c>
      <c r="C594" s="83" t="s">
        <v>629</v>
      </c>
      <c r="D594" s="124" t="s">
        <v>620</v>
      </c>
      <c r="E594" s="130">
        <v>2022</v>
      </c>
      <c r="F594" s="125" t="s">
        <v>733</v>
      </c>
      <c r="G594" s="125">
        <v>83</v>
      </c>
      <c r="H594" s="85">
        <v>4620.53</v>
      </c>
      <c r="I594" s="85" t="s">
        <v>630</v>
      </c>
      <c r="J594" s="128">
        <v>13694</v>
      </c>
      <c r="K594" s="128">
        <f t="shared" si="8"/>
        <v>1136602</v>
      </c>
      <c r="L594" s="125" t="s">
        <v>1190</v>
      </c>
      <c r="M594" s="85" t="s">
        <v>47</v>
      </c>
      <c r="N594" s="85" t="s">
        <v>1491</v>
      </c>
    </row>
    <row r="595" spans="2:14" ht="15.75" thickBot="1" x14ac:dyDescent="0.3">
      <c r="B595" s="82" t="s">
        <v>544</v>
      </c>
      <c r="C595" s="83" t="s">
        <v>629</v>
      </c>
      <c r="D595" s="124" t="s">
        <v>620</v>
      </c>
      <c r="E595" s="130">
        <v>2022</v>
      </c>
      <c r="F595" s="125" t="s">
        <v>733</v>
      </c>
      <c r="G595" s="125">
        <v>83</v>
      </c>
      <c r="H595" s="85">
        <v>50</v>
      </c>
      <c r="I595" s="85" t="s">
        <v>630</v>
      </c>
      <c r="J595" s="128">
        <v>166</v>
      </c>
      <c r="K595" s="128">
        <f t="shared" si="8"/>
        <v>13778</v>
      </c>
      <c r="L595" s="125" t="s">
        <v>1191</v>
      </c>
      <c r="M595" s="85" t="s">
        <v>47</v>
      </c>
      <c r="N595" s="85" t="s">
        <v>1491</v>
      </c>
    </row>
    <row r="596" spans="2:14" ht="15.75" thickBot="1" x14ac:dyDescent="0.3">
      <c r="B596" s="82" t="s">
        <v>544</v>
      </c>
      <c r="C596" s="83" t="s">
        <v>629</v>
      </c>
      <c r="D596" s="124" t="s">
        <v>620</v>
      </c>
      <c r="E596" s="130">
        <v>2022</v>
      </c>
      <c r="F596" s="125" t="s">
        <v>733</v>
      </c>
      <c r="G596" s="125">
        <v>83</v>
      </c>
      <c r="H596" s="85">
        <v>2340.9700000000003</v>
      </c>
      <c r="I596" s="85" t="s">
        <v>630</v>
      </c>
      <c r="J596" s="128">
        <v>7081</v>
      </c>
      <c r="K596" s="128">
        <f t="shared" si="8"/>
        <v>587723</v>
      </c>
      <c r="L596" s="125" t="s">
        <v>1192</v>
      </c>
      <c r="M596" s="85" t="s">
        <v>47</v>
      </c>
      <c r="N596" s="85" t="s">
        <v>1491</v>
      </c>
    </row>
    <row r="597" spans="2:14" ht="15.75" thickBot="1" x14ac:dyDescent="0.3">
      <c r="B597" s="82" t="s">
        <v>544</v>
      </c>
      <c r="C597" s="83" t="s">
        <v>629</v>
      </c>
      <c r="D597" s="124" t="s">
        <v>620</v>
      </c>
      <c r="E597" s="130">
        <v>2022</v>
      </c>
      <c r="F597" s="125" t="s">
        <v>733</v>
      </c>
      <c r="G597" s="125">
        <v>83</v>
      </c>
      <c r="H597" s="85">
        <v>50</v>
      </c>
      <c r="I597" s="85" t="s">
        <v>630</v>
      </c>
      <c r="J597" s="128">
        <v>166</v>
      </c>
      <c r="K597" s="128">
        <f t="shared" si="8"/>
        <v>13778</v>
      </c>
      <c r="L597" s="125" t="s">
        <v>1193</v>
      </c>
      <c r="M597" s="85" t="s">
        <v>47</v>
      </c>
      <c r="N597" s="85" t="s">
        <v>1491</v>
      </c>
    </row>
    <row r="598" spans="2:14" ht="15.75" thickBot="1" x14ac:dyDescent="0.3">
      <c r="B598" s="82" t="s">
        <v>544</v>
      </c>
      <c r="C598" s="83" t="s">
        <v>629</v>
      </c>
      <c r="D598" s="124" t="s">
        <v>620</v>
      </c>
      <c r="E598" s="130">
        <v>2022</v>
      </c>
      <c r="F598" s="125" t="s">
        <v>733</v>
      </c>
      <c r="G598" s="125">
        <v>83</v>
      </c>
      <c r="H598" s="85">
        <v>4419.59</v>
      </c>
      <c r="I598" s="85" t="s">
        <v>630</v>
      </c>
      <c r="J598" s="128">
        <v>12826</v>
      </c>
      <c r="K598" s="128">
        <f t="shared" si="8"/>
        <v>1064558</v>
      </c>
      <c r="L598" s="125" t="s">
        <v>1194</v>
      </c>
      <c r="M598" s="85" t="s">
        <v>47</v>
      </c>
      <c r="N598" s="85" t="s">
        <v>1491</v>
      </c>
    </row>
    <row r="599" spans="2:14" ht="15.75" thickBot="1" x14ac:dyDescent="0.3">
      <c r="B599" s="82" t="s">
        <v>544</v>
      </c>
      <c r="C599" s="83" t="s">
        <v>629</v>
      </c>
      <c r="D599" s="124" t="s">
        <v>620</v>
      </c>
      <c r="E599" s="130">
        <v>2022</v>
      </c>
      <c r="F599" s="125" t="s">
        <v>733</v>
      </c>
      <c r="G599" s="125">
        <v>83</v>
      </c>
      <c r="H599" s="85">
        <v>2852.27</v>
      </c>
      <c r="I599" s="85" t="s">
        <v>630</v>
      </c>
      <c r="J599" s="128">
        <v>8342</v>
      </c>
      <c r="K599" s="128">
        <f t="shared" si="8"/>
        <v>692386</v>
      </c>
      <c r="L599" s="125" t="s">
        <v>1195</v>
      </c>
      <c r="M599" s="85" t="s">
        <v>47</v>
      </c>
      <c r="N599" s="85" t="s">
        <v>1491</v>
      </c>
    </row>
    <row r="600" spans="2:14" ht="15.75" thickBot="1" x14ac:dyDescent="0.3">
      <c r="B600" s="82" t="s">
        <v>544</v>
      </c>
      <c r="C600" s="83" t="s">
        <v>629</v>
      </c>
      <c r="D600" s="124" t="s">
        <v>620</v>
      </c>
      <c r="E600" s="130">
        <v>2019</v>
      </c>
      <c r="F600" s="125" t="s">
        <v>733</v>
      </c>
      <c r="G600" s="125">
        <v>29</v>
      </c>
      <c r="H600" s="85">
        <v>132.01</v>
      </c>
      <c r="I600" s="85" t="s">
        <v>630</v>
      </c>
      <c r="J600" s="128">
        <v>660</v>
      </c>
      <c r="K600" s="128">
        <f t="shared" si="8"/>
        <v>19140</v>
      </c>
      <c r="L600" s="125" t="s">
        <v>1196</v>
      </c>
      <c r="M600" s="85" t="s">
        <v>47</v>
      </c>
      <c r="N600" s="85" t="s">
        <v>1491</v>
      </c>
    </row>
    <row r="601" spans="2:14" ht="15.75" thickBot="1" x14ac:dyDescent="0.3">
      <c r="B601" s="82" t="s">
        <v>544</v>
      </c>
      <c r="C601" s="83" t="s">
        <v>629</v>
      </c>
      <c r="D601" s="124" t="s">
        <v>620</v>
      </c>
      <c r="E601" s="130">
        <v>2019</v>
      </c>
      <c r="F601" s="125" t="s">
        <v>733</v>
      </c>
      <c r="G601" s="125">
        <v>29</v>
      </c>
      <c r="H601" s="85">
        <v>108.05</v>
      </c>
      <c r="I601" s="85" t="s">
        <v>630</v>
      </c>
      <c r="J601" s="128">
        <v>491</v>
      </c>
      <c r="K601" s="128">
        <f t="shared" si="8"/>
        <v>14239</v>
      </c>
      <c r="L601" s="125" t="s">
        <v>1197</v>
      </c>
      <c r="M601" s="85" t="s">
        <v>47</v>
      </c>
      <c r="N601" s="85" t="s">
        <v>1491</v>
      </c>
    </row>
    <row r="602" spans="2:14" ht="15.75" thickBot="1" x14ac:dyDescent="0.3">
      <c r="B602" s="82" t="s">
        <v>544</v>
      </c>
      <c r="C602" s="83" t="s">
        <v>629</v>
      </c>
      <c r="D602" s="124" t="s">
        <v>620</v>
      </c>
      <c r="E602" s="130">
        <v>2022</v>
      </c>
      <c r="F602" s="125" t="s">
        <v>733</v>
      </c>
      <c r="G602" s="125">
        <v>83</v>
      </c>
      <c r="H602" s="85">
        <v>101.8</v>
      </c>
      <c r="I602" s="85" t="s">
        <v>630</v>
      </c>
      <c r="J602" s="128">
        <v>339</v>
      </c>
      <c r="K602" s="128">
        <f t="shared" si="8"/>
        <v>28137</v>
      </c>
      <c r="L602" s="125" t="s">
        <v>1198</v>
      </c>
      <c r="M602" s="85" t="s">
        <v>47</v>
      </c>
      <c r="N602" s="85" t="s">
        <v>1491</v>
      </c>
    </row>
    <row r="603" spans="2:14" ht="15.75" thickBot="1" x14ac:dyDescent="0.3">
      <c r="B603" s="82" t="s">
        <v>544</v>
      </c>
      <c r="C603" s="83" t="s">
        <v>629</v>
      </c>
      <c r="D603" s="124" t="s">
        <v>620</v>
      </c>
      <c r="E603" s="130">
        <v>2022</v>
      </c>
      <c r="F603" s="125" t="s">
        <v>733</v>
      </c>
      <c r="G603" s="125">
        <v>83</v>
      </c>
      <c r="H603" s="85">
        <v>50</v>
      </c>
      <c r="I603" s="85" t="s">
        <v>630</v>
      </c>
      <c r="J603" s="128">
        <v>166</v>
      </c>
      <c r="K603" s="128">
        <f t="shared" si="8"/>
        <v>13778</v>
      </c>
      <c r="L603" s="125" t="s">
        <v>1199</v>
      </c>
      <c r="M603" s="85" t="s">
        <v>47</v>
      </c>
      <c r="N603" s="85" t="s">
        <v>1491</v>
      </c>
    </row>
    <row r="604" spans="2:14" ht="15.75" thickBot="1" x14ac:dyDescent="0.3">
      <c r="B604" s="82" t="s">
        <v>544</v>
      </c>
      <c r="C604" s="83" t="s">
        <v>629</v>
      </c>
      <c r="D604" s="124" t="s">
        <v>620</v>
      </c>
      <c r="E604" s="130">
        <v>2022</v>
      </c>
      <c r="F604" s="125" t="s">
        <v>733</v>
      </c>
      <c r="G604" s="125">
        <v>83</v>
      </c>
      <c r="H604" s="85">
        <v>50</v>
      </c>
      <c r="I604" s="85" t="s">
        <v>630</v>
      </c>
      <c r="J604" s="128">
        <v>166</v>
      </c>
      <c r="K604" s="128">
        <f t="shared" si="8"/>
        <v>13778</v>
      </c>
      <c r="L604" s="125" t="s">
        <v>1200</v>
      </c>
      <c r="M604" s="85" t="s">
        <v>47</v>
      </c>
      <c r="N604" s="85" t="s">
        <v>1491</v>
      </c>
    </row>
    <row r="605" spans="2:14" ht="15.75" thickBot="1" x14ac:dyDescent="0.3">
      <c r="B605" s="82" t="s">
        <v>544</v>
      </c>
      <c r="C605" s="83" t="s">
        <v>629</v>
      </c>
      <c r="D605" s="124" t="s">
        <v>620</v>
      </c>
      <c r="E605" s="130">
        <v>2022</v>
      </c>
      <c r="F605" s="125" t="s">
        <v>733</v>
      </c>
      <c r="G605" s="125">
        <v>83</v>
      </c>
      <c r="H605" s="85">
        <v>100.04</v>
      </c>
      <c r="I605" s="85" t="s">
        <v>630</v>
      </c>
      <c r="J605" s="128">
        <v>333</v>
      </c>
      <c r="K605" s="128">
        <f t="shared" si="8"/>
        <v>27639</v>
      </c>
      <c r="L605" s="125" t="s">
        <v>1201</v>
      </c>
      <c r="M605" s="85" t="s">
        <v>47</v>
      </c>
      <c r="N605" s="85" t="s">
        <v>1491</v>
      </c>
    </row>
    <row r="606" spans="2:14" ht="15.75" thickBot="1" x14ac:dyDescent="0.3">
      <c r="B606" s="82" t="s">
        <v>544</v>
      </c>
      <c r="C606" s="83" t="s">
        <v>629</v>
      </c>
      <c r="D606" s="124" t="s">
        <v>620</v>
      </c>
      <c r="E606" s="130">
        <v>2022</v>
      </c>
      <c r="F606" s="125" t="s">
        <v>733</v>
      </c>
      <c r="G606" s="125">
        <v>83</v>
      </c>
      <c r="H606" s="85">
        <v>289.52999999999997</v>
      </c>
      <c r="I606" s="85" t="s">
        <v>630</v>
      </c>
      <c r="J606" s="128">
        <v>965</v>
      </c>
      <c r="K606" s="128">
        <f t="shared" si="8"/>
        <v>80095</v>
      </c>
      <c r="L606" s="125" t="s">
        <v>1202</v>
      </c>
      <c r="M606" s="85" t="s">
        <v>47</v>
      </c>
      <c r="N606" s="85" t="s">
        <v>1491</v>
      </c>
    </row>
    <row r="607" spans="2:14" ht="15.75" thickBot="1" x14ac:dyDescent="0.3">
      <c r="B607" s="82" t="s">
        <v>544</v>
      </c>
      <c r="C607" s="83" t="s">
        <v>629</v>
      </c>
      <c r="D607" s="124" t="s">
        <v>620</v>
      </c>
      <c r="E607" s="130">
        <v>2022</v>
      </c>
      <c r="F607" s="125" t="s">
        <v>733</v>
      </c>
      <c r="G607" s="125">
        <v>83</v>
      </c>
      <c r="H607" s="85">
        <v>50</v>
      </c>
      <c r="I607" s="85" t="s">
        <v>630</v>
      </c>
      <c r="J607" s="128">
        <v>166</v>
      </c>
      <c r="K607" s="128">
        <f t="shared" ref="K607:K670" si="9">J607*G607</f>
        <v>13778</v>
      </c>
      <c r="L607" s="125" t="s">
        <v>1203</v>
      </c>
      <c r="M607" s="85" t="s">
        <v>47</v>
      </c>
      <c r="N607" s="85" t="s">
        <v>1491</v>
      </c>
    </row>
    <row r="608" spans="2:14" ht="15.75" thickBot="1" x14ac:dyDescent="0.3">
      <c r="B608" s="82" t="s">
        <v>544</v>
      </c>
      <c r="C608" s="83" t="s">
        <v>629</v>
      </c>
      <c r="D608" s="124" t="s">
        <v>620</v>
      </c>
      <c r="E608" s="130">
        <v>2022</v>
      </c>
      <c r="F608" s="125" t="s">
        <v>733</v>
      </c>
      <c r="G608" s="125">
        <v>83</v>
      </c>
      <c r="H608" s="85">
        <v>50</v>
      </c>
      <c r="I608" s="85" t="s">
        <v>630</v>
      </c>
      <c r="J608" s="128">
        <v>166</v>
      </c>
      <c r="K608" s="128">
        <f t="shared" si="9"/>
        <v>13778</v>
      </c>
      <c r="L608" s="125" t="s">
        <v>1204</v>
      </c>
      <c r="M608" s="85" t="s">
        <v>47</v>
      </c>
      <c r="N608" s="85" t="s">
        <v>1491</v>
      </c>
    </row>
    <row r="609" spans="2:14" ht="15.75" thickBot="1" x14ac:dyDescent="0.3">
      <c r="B609" s="82" t="s">
        <v>544</v>
      </c>
      <c r="C609" s="83" t="s">
        <v>629</v>
      </c>
      <c r="D609" s="124" t="s">
        <v>620</v>
      </c>
      <c r="E609" s="130">
        <v>2022</v>
      </c>
      <c r="F609" s="125" t="s">
        <v>733</v>
      </c>
      <c r="G609" s="125">
        <v>83</v>
      </c>
      <c r="H609" s="85">
        <v>50</v>
      </c>
      <c r="I609" s="85" t="s">
        <v>630</v>
      </c>
      <c r="J609" s="128">
        <v>166</v>
      </c>
      <c r="K609" s="128">
        <f t="shared" si="9"/>
        <v>13778</v>
      </c>
      <c r="L609" s="125" t="s">
        <v>1205</v>
      </c>
      <c r="M609" s="85" t="s">
        <v>47</v>
      </c>
      <c r="N609" s="85" t="s">
        <v>1491</v>
      </c>
    </row>
    <row r="610" spans="2:14" ht="15.75" thickBot="1" x14ac:dyDescent="0.3">
      <c r="B610" s="82" t="s">
        <v>544</v>
      </c>
      <c r="C610" s="83" t="s">
        <v>629</v>
      </c>
      <c r="D610" s="124" t="s">
        <v>620</v>
      </c>
      <c r="E610" s="130">
        <v>2000</v>
      </c>
      <c r="F610" s="125" t="s">
        <v>735</v>
      </c>
      <c r="G610" s="125">
        <v>16</v>
      </c>
      <c r="H610" s="85">
        <v>1193.71</v>
      </c>
      <c r="I610" s="85" t="s">
        <v>630</v>
      </c>
      <c r="J610" s="128">
        <v>7547</v>
      </c>
      <c r="K610" s="128">
        <f t="shared" si="9"/>
        <v>120752</v>
      </c>
      <c r="L610" s="125" t="s">
        <v>1206</v>
      </c>
      <c r="M610" s="85" t="s">
        <v>47</v>
      </c>
      <c r="N610" s="85" t="s">
        <v>1491</v>
      </c>
    </row>
    <row r="611" spans="2:14" ht="15.75" thickBot="1" x14ac:dyDescent="0.3">
      <c r="B611" s="82" t="s">
        <v>544</v>
      </c>
      <c r="C611" s="83" t="s">
        <v>629</v>
      </c>
      <c r="D611" s="124" t="s">
        <v>620</v>
      </c>
      <c r="E611" s="130">
        <v>2002</v>
      </c>
      <c r="F611" s="125" t="s">
        <v>732</v>
      </c>
      <c r="G611" s="125">
        <v>19</v>
      </c>
      <c r="H611" s="85">
        <v>277.23</v>
      </c>
      <c r="I611" s="85" t="s">
        <v>630</v>
      </c>
      <c r="J611" s="128">
        <v>1442</v>
      </c>
      <c r="K611" s="128">
        <f t="shared" si="9"/>
        <v>27398</v>
      </c>
      <c r="L611" s="125" t="s">
        <v>1207</v>
      </c>
      <c r="M611" s="85" t="s">
        <v>47</v>
      </c>
      <c r="N611" s="85" t="s">
        <v>1491</v>
      </c>
    </row>
    <row r="612" spans="2:14" ht="15.75" thickBot="1" x14ac:dyDescent="0.3">
      <c r="B612" s="82" t="s">
        <v>544</v>
      </c>
      <c r="C612" s="83" t="s">
        <v>629</v>
      </c>
      <c r="D612" s="124" t="s">
        <v>620</v>
      </c>
      <c r="E612" s="130">
        <v>2011</v>
      </c>
      <c r="F612" s="125" t="s">
        <v>734</v>
      </c>
      <c r="G612" s="125">
        <v>53</v>
      </c>
      <c r="H612" s="85">
        <v>23969.91</v>
      </c>
      <c r="I612" s="85" t="s">
        <v>630</v>
      </c>
      <c r="J612" s="128">
        <v>72576</v>
      </c>
      <c r="K612" s="128">
        <f t="shared" si="9"/>
        <v>3846528</v>
      </c>
      <c r="L612" s="125" t="s">
        <v>1208</v>
      </c>
      <c r="M612" s="85" t="s">
        <v>47</v>
      </c>
      <c r="N612" s="85" t="s">
        <v>1491</v>
      </c>
    </row>
    <row r="613" spans="2:14" ht="15.75" thickBot="1" x14ac:dyDescent="0.3">
      <c r="B613" s="82" t="s">
        <v>544</v>
      </c>
      <c r="C613" s="83" t="s">
        <v>629</v>
      </c>
      <c r="D613" s="124" t="s">
        <v>620</v>
      </c>
      <c r="E613" s="130">
        <v>2000</v>
      </c>
      <c r="F613" s="125" t="s">
        <v>735</v>
      </c>
      <c r="G613" s="125">
        <v>49</v>
      </c>
      <c r="H613" s="85">
        <v>5314.22</v>
      </c>
      <c r="I613" s="85" t="s">
        <v>630</v>
      </c>
      <c r="J613" s="128">
        <v>14090</v>
      </c>
      <c r="K613" s="128">
        <f t="shared" si="9"/>
        <v>690410</v>
      </c>
      <c r="L613" s="125" t="s">
        <v>1209</v>
      </c>
      <c r="M613" s="85" t="s">
        <v>47</v>
      </c>
      <c r="N613" s="85" t="s">
        <v>1491</v>
      </c>
    </row>
    <row r="614" spans="2:14" ht="15.75" thickBot="1" x14ac:dyDescent="0.3">
      <c r="B614" s="82" t="s">
        <v>544</v>
      </c>
      <c r="C614" s="83" t="s">
        <v>629</v>
      </c>
      <c r="D614" s="124" t="s">
        <v>620</v>
      </c>
      <c r="E614" s="130">
        <v>2001</v>
      </c>
      <c r="F614" s="125" t="s">
        <v>732</v>
      </c>
      <c r="G614" s="125">
        <v>55</v>
      </c>
      <c r="H614" s="85">
        <v>10734.21</v>
      </c>
      <c r="I614" s="85" t="s">
        <v>630</v>
      </c>
      <c r="J614" s="128">
        <v>27636</v>
      </c>
      <c r="K614" s="128">
        <f t="shared" si="9"/>
        <v>1519980</v>
      </c>
      <c r="L614" s="125" t="s">
        <v>1210</v>
      </c>
      <c r="M614" s="85" t="s">
        <v>47</v>
      </c>
      <c r="N614" s="85" t="s">
        <v>1491</v>
      </c>
    </row>
    <row r="615" spans="2:14" ht="15.75" thickBot="1" x14ac:dyDescent="0.3">
      <c r="B615" s="82" t="s">
        <v>544</v>
      </c>
      <c r="C615" s="83" t="s">
        <v>629</v>
      </c>
      <c r="D615" s="124" t="s">
        <v>620</v>
      </c>
      <c r="E615" s="130">
        <v>2004</v>
      </c>
      <c r="F615" s="125" t="s">
        <v>732</v>
      </c>
      <c r="G615" s="125">
        <v>19</v>
      </c>
      <c r="H615" s="85">
        <v>2448.52</v>
      </c>
      <c r="I615" s="85" t="s">
        <v>630</v>
      </c>
      <c r="J615" s="128">
        <v>11551</v>
      </c>
      <c r="K615" s="128">
        <f t="shared" si="9"/>
        <v>219469</v>
      </c>
      <c r="L615" s="125" t="s">
        <v>1211</v>
      </c>
      <c r="M615" s="85" t="s">
        <v>47</v>
      </c>
      <c r="N615" s="85" t="s">
        <v>1491</v>
      </c>
    </row>
    <row r="616" spans="2:14" ht="15.75" thickBot="1" x14ac:dyDescent="0.3">
      <c r="B616" s="82" t="s">
        <v>544</v>
      </c>
      <c r="C616" s="83" t="s">
        <v>629</v>
      </c>
      <c r="D616" s="124" t="s">
        <v>620</v>
      </c>
      <c r="E616" s="130">
        <v>2001</v>
      </c>
      <c r="F616" s="125" t="s">
        <v>732</v>
      </c>
      <c r="G616" s="125">
        <v>49</v>
      </c>
      <c r="H616" s="85">
        <v>15394.8</v>
      </c>
      <c r="I616" s="85" t="s">
        <v>630</v>
      </c>
      <c r="J616" s="128">
        <v>37100</v>
      </c>
      <c r="K616" s="128">
        <f t="shared" si="9"/>
        <v>1817900</v>
      </c>
      <c r="L616" s="125" t="s">
        <v>1212</v>
      </c>
      <c r="M616" s="85" t="s">
        <v>47</v>
      </c>
      <c r="N616" s="85" t="s">
        <v>1491</v>
      </c>
    </row>
    <row r="617" spans="2:14" ht="15.75" thickBot="1" x14ac:dyDescent="0.3">
      <c r="B617" s="82" t="s">
        <v>544</v>
      </c>
      <c r="C617" s="83" t="s">
        <v>629</v>
      </c>
      <c r="D617" s="124" t="s">
        <v>620</v>
      </c>
      <c r="E617" s="130">
        <v>2001</v>
      </c>
      <c r="F617" s="125" t="s">
        <v>732</v>
      </c>
      <c r="G617" s="125">
        <v>49</v>
      </c>
      <c r="H617" s="85">
        <v>3056.82</v>
      </c>
      <c r="I617" s="85" t="s">
        <v>630</v>
      </c>
      <c r="J617" s="128">
        <v>7906</v>
      </c>
      <c r="K617" s="128">
        <f t="shared" si="9"/>
        <v>387394</v>
      </c>
      <c r="L617" s="125" t="s">
        <v>1213</v>
      </c>
      <c r="M617" s="85" t="s">
        <v>47</v>
      </c>
      <c r="N617" s="85" t="s">
        <v>1491</v>
      </c>
    </row>
    <row r="618" spans="2:14" ht="15.75" thickBot="1" x14ac:dyDescent="0.3">
      <c r="B618" s="82" t="s">
        <v>544</v>
      </c>
      <c r="C618" s="83" t="s">
        <v>629</v>
      </c>
      <c r="D618" s="124" t="s">
        <v>620</v>
      </c>
      <c r="E618" s="130">
        <v>2001</v>
      </c>
      <c r="F618" s="125" t="s">
        <v>732</v>
      </c>
      <c r="G618" s="125">
        <v>49</v>
      </c>
      <c r="H618" s="85">
        <v>13999.56</v>
      </c>
      <c r="I618" s="85" t="s">
        <v>630</v>
      </c>
      <c r="J618" s="128">
        <v>34818</v>
      </c>
      <c r="K618" s="128">
        <f t="shared" si="9"/>
        <v>1706082</v>
      </c>
      <c r="L618" s="125" t="s">
        <v>1214</v>
      </c>
      <c r="M618" s="85" t="s">
        <v>47</v>
      </c>
      <c r="N618" s="85" t="s">
        <v>1491</v>
      </c>
    </row>
    <row r="619" spans="2:14" ht="15.75" thickBot="1" x14ac:dyDescent="0.3">
      <c r="B619" s="82" t="s">
        <v>544</v>
      </c>
      <c r="C619" s="83" t="s">
        <v>629</v>
      </c>
      <c r="D619" s="124" t="s">
        <v>620</v>
      </c>
      <c r="E619" s="130">
        <v>2001</v>
      </c>
      <c r="F619" s="125" t="s">
        <v>732</v>
      </c>
      <c r="G619" s="125">
        <v>49</v>
      </c>
      <c r="H619" s="85">
        <v>14969.510000000002</v>
      </c>
      <c r="I619" s="85" t="s">
        <v>630</v>
      </c>
      <c r="J619" s="128">
        <v>39045</v>
      </c>
      <c r="K619" s="128">
        <f t="shared" si="9"/>
        <v>1913205</v>
      </c>
      <c r="L619" s="125" t="s">
        <v>1215</v>
      </c>
      <c r="M619" s="85" t="s">
        <v>47</v>
      </c>
      <c r="N619" s="85" t="s">
        <v>1491</v>
      </c>
    </row>
    <row r="620" spans="2:14" ht="15.75" thickBot="1" x14ac:dyDescent="0.3">
      <c r="B620" s="82" t="s">
        <v>544</v>
      </c>
      <c r="C620" s="83" t="s">
        <v>629</v>
      </c>
      <c r="D620" s="124" t="s">
        <v>620</v>
      </c>
      <c r="E620" s="130">
        <v>2004</v>
      </c>
      <c r="F620" s="125" t="s">
        <v>732</v>
      </c>
      <c r="G620" s="125">
        <v>49</v>
      </c>
      <c r="H620" s="85">
        <v>8104.12</v>
      </c>
      <c r="I620" s="85" t="s">
        <v>630</v>
      </c>
      <c r="J620" s="128">
        <v>20836</v>
      </c>
      <c r="K620" s="128">
        <f t="shared" si="9"/>
        <v>1020964</v>
      </c>
      <c r="L620" s="125" t="s">
        <v>843</v>
      </c>
      <c r="M620" s="85" t="s">
        <v>47</v>
      </c>
      <c r="N620" s="85" t="s">
        <v>1491</v>
      </c>
    </row>
    <row r="621" spans="2:14" ht="15.75" thickBot="1" x14ac:dyDescent="0.3">
      <c r="B621" s="82" t="s">
        <v>544</v>
      </c>
      <c r="C621" s="83" t="s">
        <v>629</v>
      </c>
      <c r="D621" s="124" t="s">
        <v>620</v>
      </c>
      <c r="E621" s="130">
        <v>2005</v>
      </c>
      <c r="F621" s="125" t="s">
        <v>732</v>
      </c>
      <c r="G621" s="125">
        <v>66</v>
      </c>
      <c r="H621" s="85">
        <v>10701.02</v>
      </c>
      <c r="I621" s="85" t="s">
        <v>630</v>
      </c>
      <c r="J621" s="128">
        <v>29569</v>
      </c>
      <c r="K621" s="128">
        <f t="shared" si="9"/>
        <v>1951554</v>
      </c>
      <c r="L621" s="125" t="s">
        <v>846</v>
      </c>
      <c r="M621" s="85" t="s">
        <v>47</v>
      </c>
      <c r="N621" s="85" t="s">
        <v>1491</v>
      </c>
    </row>
    <row r="622" spans="2:14" ht="15.75" thickBot="1" x14ac:dyDescent="0.3">
      <c r="B622" s="82" t="s">
        <v>544</v>
      </c>
      <c r="C622" s="83" t="s">
        <v>629</v>
      </c>
      <c r="D622" s="124" t="s">
        <v>620</v>
      </c>
      <c r="E622" s="130">
        <v>2007</v>
      </c>
      <c r="F622" s="125" t="s">
        <v>731</v>
      </c>
      <c r="G622" s="125">
        <v>55</v>
      </c>
      <c r="H622" s="85">
        <v>24115.185000000001</v>
      </c>
      <c r="I622" s="85" t="s">
        <v>630</v>
      </c>
      <c r="J622" s="128">
        <v>67381</v>
      </c>
      <c r="K622" s="128">
        <f t="shared" si="9"/>
        <v>3705955</v>
      </c>
      <c r="L622" s="125" t="s">
        <v>1216</v>
      </c>
      <c r="M622" s="85" t="s">
        <v>47</v>
      </c>
      <c r="N622" s="85" t="s">
        <v>1491</v>
      </c>
    </row>
    <row r="623" spans="2:14" ht="15.75" thickBot="1" x14ac:dyDescent="0.3">
      <c r="B623" s="82" t="s">
        <v>544</v>
      </c>
      <c r="C623" s="83" t="s">
        <v>629</v>
      </c>
      <c r="D623" s="124" t="s">
        <v>620</v>
      </c>
      <c r="E623" s="130">
        <v>2016</v>
      </c>
      <c r="F623" s="125" t="s">
        <v>733</v>
      </c>
      <c r="G623" s="125">
        <v>53</v>
      </c>
      <c r="H623" s="85">
        <v>2423.4899999999998</v>
      </c>
      <c r="I623" s="85" t="s">
        <v>630</v>
      </c>
      <c r="J623" s="128">
        <v>8974</v>
      </c>
      <c r="K623" s="128">
        <f t="shared" si="9"/>
        <v>475622</v>
      </c>
      <c r="L623" s="125" t="s">
        <v>1000</v>
      </c>
      <c r="M623" s="85" t="s">
        <v>47</v>
      </c>
      <c r="N623" s="85" t="s">
        <v>1491</v>
      </c>
    </row>
    <row r="624" spans="2:14" ht="15.75" thickBot="1" x14ac:dyDescent="0.3">
      <c r="B624" s="82" t="s">
        <v>544</v>
      </c>
      <c r="C624" s="83" t="s">
        <v>629</v>
      </c>
      <c r="D624" s="124" t="s">
        <v>620</v>
      </c>
      <c r="E624" s="130">
        <v>2016</v>
      </c>
      <c r="F624" s="125" t="s">
        <v>733</v>
      </c>
      <c r="G624" s="125">
        <v>59</v>
      </c>
      <c r="H624" s="85">
        <v>3337.11</v>
      </c>
      <c r="I624" s="85" t="s">
        <v>630</v>
      </c>
      <c r="J624" s="128">
        <v>11345</v>
      </c>
      <c r="K624" s="128">
        <f t="shared" si="9"/>
        <v>669355</v>
      </c>
      <c r="L624" s="125" t="s">
        <v>1006</v>
      </c>
      <c r="M624" s="85" t="s">
        <v>47</v>
      </c>
      <c r="N624" s="85" t="s">
        <v>1491</v>
      </c>
    </row>
    <row r="625" spans="2:14" ht="15.75" thickBot="1" x14ac:dyDescent="0.3">
      <c r="B625" s="82" t="s">
        <v>544</v>
      </c>
      <c r="C625" s="83" t="s">
        <v>629</v>
      </c>
      <c r="D625" s="124" t="s">
        <v>620</v>
      </c>
      <c r="E625" s="130">
        <v>2016</v>
      </c>
      <c r="F625" s="125" t="s">
        <v>733</v>
      </c>
      <c r="G625" s="125">
        <v>59</v>
      </c>
      <c r="H625" s="85">
        <v>1101.83</v>
      </c>
      <c r="I625" s="85" t="s">
        <v>630</v>
      </c>
      <c r="J625" s="128">
        <v>3369</v>
      </c>
      <c r="K625" s="128">
        <f t="shared" si="9"/>
        <v>198771</v>
      </c>
      <c r="L625" s="125" t="s">
        <v>1008</v>
      </c>
      <c r="M625" s="85" t="s">
        <v>47</v>
      </c>
      <c r="N625" s="85" t="s">
        <v>1491</v>
      </c>
    </row>
    <row r="626" spans="2:14" ht="15.75" thickBot="1" x14ac:dyDescent="0.3">
      <c r="B626" s="82" t="s">
        <v>544</v>
      </c>
      <c r="C626" s="83" t="s">
        <v>629</v>
      </c>
      <c r="D626" s="124" t="s">
        <v>620</v>
      </c>
      <c r="E626" s="130">
        <v>2016</v>
      </c>
      <c r="F626" s="125" t="s">
        <v>733</v>
      </c>
      <c r="G626" s="125">
        <v>53</v>
      </c>
      <c r="H626" s="85">
        <v>2577.5299999999997</v>
      </c>
      <c r="I626" s="85" t="s">
        <v>630</v>
      </c>
      <c r="J626" s="128">
        <v>9869</v>
      </c>
      <c r="K626" s="128">
        <f t="shared" si="9"/>
        <v>523057</v>
      </c>
      <c r="L626" s="125" t="s">
        <v>1009</v>
      </c>
      <c r="M626" s="85" t="s">
        <v>47</v>
      </c>
      <c r="N626" s="85" t="s">
        <v>1491</v>
      </c>
    </row>
    <row r="627" spans="2:14" ht="15.75" thickBot="1" x14ac:dyDescent="0.3">
      <c r="B627" s="82" t="s">
        <v>544</v>
      </c>
      <c r="C627" s="83" t="s">
        <v>629</v>
      </c>
      <c r="D627" s="124" t="s">
        <v>620</v>
      </c>
      <c r="E627" s="130">
        <v>2016</v>
      </c>
      <c r="F627" s="125" t="s">
        <v>733</v>
      </c>
      <c r="G627" s="125">
        <v>53</v>
      </c>
      <c r="H627" s="85">
        <v>1012.9599999999999</v>
      </c>
      <c r="I627" s="85" t="s">
        <v>630</v>
      </c>
      <c r="J627" s="128">
        <v>3591</v>
      </c>
      <c r="K627" s="128">
        <f t="shared" si="9"/>
        <v>190323</v>
      </c>
      <c r="L627" s="125" t="s">
        <v>1010</v>
      </c>
      <c r="M627" s="85" t="s">
        <v>47</v>
      </c>
      <c r="N627" s="85" t="s">
        <v>1491</v>
      </c>
    </row>
    <row r="628" spans="2:14" ht="15.75" thickBot="1" x14ac:dyDescent="0.3">
      <c r="B628" s="82" t="s">
        <v>544</v>
      </c>
      <c r="C628" s="83" t="s">
        <v>629</v>
      </c>
      <c r="D628" s="124" t="s">
        <v>620</v>
      </c>
      <c r="E628" s="130">
        <v>2016</v>
      </c>
      <c r="F628" s="125" t="s">
        <v>733</v>
      </c>
      <c r="G628" s="125">
        <v>53</v>
      </c>
      <c r="H628" s="85">
        <v>259</v>
      </c>
      <c r="I628" s="85" t="s">
        <v>630</v>
      </c>
      <c r="J628" s="128">
        <v>959</v>
      </c>
      <c r="K628" s="128">
        <f t="shared" si="9"/>
        <v>50827</v>
      </c>
      <c r="L628" s="125" t="s">
        <v>1011</v>
      </c>
      <c r="M628" s="85" t="s">
        <v>47</v>
      </c>
      <c r="N628" s="85" t="s">
        <v>1491</v>
      </c>
    </row>
    <row r="629" spans="2:14" ht="15.75" thickBot="1" x14ac:dyDescent="0.3">
      <c r="B629" s="82" t="s">
        <v>544</v>
      </c>
      <c r="C629" s="83" t="s">
        <v>629</v>
      </c>
      <c r="D629" s="124" t="s">
        <v>620</v>
      </c>
      <c r="E629" s="130">
        <v>2016</v>
      </c>
      <c r="F629" s="125" t="s">
        <v>733</v>
      </c>
      <c r="G629" s="125">
        <v>53</v>
      </c>
      <c r="H629" s="85">
        <v>209</v>
      </c>
      <c r="I629" s="85" t="s">
        <v>630</v>
      </c>
      <c r="J629" s="128">
        <v>774</v>
      </c>
      <c r="K629" s="128">
        <f t="shared" si="9"/>
        <v>41022</v>
      </c>
      <c r="L629" s="125" t="s">
        <v>1012</v>
      </c>
      <c r="M629" s="85" t="s">
        <v>47</v>
      </c>
      <c r="N629" s="85" t="s">
        <v>1491</v>
      </c>
    </row>
    <row r="630" spans="2:14" ht="15.75" thickBot="1" x14ac:dyDescent="0.3">
      <c r="B630" s="82" t="s">
        <v>544</v>
      </c>
      <c r="C630" s="83" t="s">
        <v>629</v>
      </c>
      <c r="D630" s="124" t="s">
        <v>620</v>
      </c>
      <c r="E630" s="130">
        <v>2019</v>
      </c>
      <c r="F630" s="125" t="s">
        <v>733</v>
      </c>
      <c r="G630" s="125">
        <v>53</v>
      </c>
      <c r="H630" s="85">
        <v>1929.81</v>
      </c>
      <c r="I630" s="85" t="s">
        <v>630</v>
      </c>
      <c r="J630" s="128">
        <v>8650</v>
      </c>
      <c r="K630" s="128">
        <f t="shared" si="9"/>
        <v>458450</v>
      </c>
      <c r="L630" s="125" t="s">
        <v>985</v>
      </c>
      <c r="M630" s="85" t="s">
        <v>47</v>
      </c>
      <c r="N630" s="85" t="s">
        <v>1491</v>
      </c>
    </row>
    <row r="631" spans="2:14" ht="15.75" thickBot="1" x14ac:dyDescent="0.3">
      <c r="B631" s="82" t="s">
        <v>544</v>
      </c>
      <c r="C631" s="83" t="s">
        <v>629</v>
      </c>
      <c r="D631" s="124" t="s">
        <v>620</v>
      </c>
      <c r="E631" s="130">
        <v>2019</v>
      </c>
      <c r="F631" s="125" t="s">
        <v>733</v>
      </c>
      <c r="G631" s="125">
        <v>53</v>
      </c>
      <c r="H631" s="85">
        <v>358.87</v>
      </c>
      <c r="I631" s="85" t="s">
        <v>630</v>
      </c>
      <c r="J631" s="128">
        <v>1494</v>
      </c>
      <c r="K631" s="128">
        <f t="shared" si="9"/>
        <v>79182</v>
      </c>
      <c r="L631" s="125" t="s">
        <v>986</v>
      </c>
      <c r="M631" s="85" t="s">
        <v>47</v>
      </c>
      <c r="N631" s="85" t="s">
        <v>1491</v>
      </c>
    </row>
    <row r="632" spans="2:14" ht="15.75" thickBot="1" x14ac:dyDescent="0.3">
      <c r="B632" s="82" t="s">
        <v>541</v>
      </c>
      <c r="C632" s="83" t="s">
        <v>629</v>
      </c>
      <c r="D632" s="124" t="s">
        <v>620</v>
      </c>
      <c r="E632" s="130">
        <v>2008</v>
      </c>
      <c r="F632" s="125" t="s">
        <v>731</v>
      </c>
      <c r="G632" s="125">
        <v>53</v>
      </c>
      <c r="H632" s="85">
        <v>15910.334000000003</v>
      </c>
      <c r="I632" s="85" t="s">
        <v>630</v>
      </c>
      <c r="J632" s="128">
        <v>40579</v>
      </c>
      <c r="K632" s="128">
        <f t="shared" si="9"/>
        <v>2150687</v>
      </c>
      <c r="L632" s="125" t="s">
        <v>1217</v>
      </c>
      <c r="M632" s="85" t="s">
        <v>47</v>
      </c>
      <c r="N632" s="85" t="s">
        <v>1491</v>
      </c>
    </row>
    <row r="633" spans="2:14" ht="15.75" thickBot="1" x14ac:dyDescent="0.3">
      <c r="B633" s="82" t="s">
        <v>541</v>
      </c>
      <c r="C633" s="83" t="s">
        <v>629</v>
      </c>
      <c r="D633" s="124" t="s">
        <v>620</v>
      </c>
      <c r="E633" s="130">
        <v>1997</v>
      </c>
      <c r="F633" s="125" t="s">
        <v>736</v>
      </c>
      <c r="G633" s="125">
        <v>80</v>
      </c>
      <c r="H633" s="85">
        <v>558.43000000000006</v>
      </c>
      <c r="I633" s="85" t="s">
        <v>630</v>
      </c>
      <c r="J633" s="128">
        <v>1550</v>
      </c>
      <c r="K633" s="128">
        <f t="shared" si="9"/>
        <v>124000</v>
      </c>
      <c r="L633" s="125" t="s">
        <v>1131</v>
      </c>
      <c r="M633" s="85" t="s">
        <v>47</v>
      </c>
      <c r="N633" s="85" t="s">
        <v>1491</v>
      </c>
    </row>
    <row r="634" spans="2:14" ht="15.75" thickBot="1" x14ac:dyDescent="0.3">
      <c r="B634" s="82" t="s">
        <v>541</v>
      </c>
      <c r="C634" s="83" t="s">
        <v>629</v>
      </c>
      <c r="D634" s="124" t="s">
        <v>620</v>
      </c>
      <c r="E634" s="130">
        <v>1996</v>
      </c>
      <c r="F634" s="125" t="s">
        <v>736</v>
      </c>
      <c r="G634" s="125">
        <v>82</v>
      </c>
      <c r="H634" s="85">
        <v>169.4</v>
      </c>
      <c r="I634" s="85" t="s">
        <v>630</v>
      </c>
      <c r="J634" s="128">
        <v>469</v>
      </c>
      <c r="K634" s="128">
        <f t="shared" si="9"/>
        <v>38458</v>
      </c>
      <c r="L634" s="125" t="s">
        <v>1218</v>
      </c>
      <c r="M634" s="85" t="s">
        <v>47</v>
      </c>
      <c r="N634" s="85" t="s">
        <v>1491</v>
      </c>
    </row>
    <row r="635" spans="2:14" ht="15.75" thickBot="1" x14ac:dyDescent="0.3">
      <c r="B635" s="82" t="s">
        <v>541</v>
      </c>
      <c r="C635" s="83" t="s">
        <v>629</v>
      </c>
      <c r="D635" s="124" t="s">
        <v>620</v>
      </c>
      <c r="E635" s="130">
        <v>2005</v>
      </c>
      <c r="F635" s="125" t="s">
        <v>732</v>
      </c>
      <c r="G635" s="125">
        <v>19</v>
      </c>
      <c r="H635" s="85">
        <v>0</v>
      </c>
      <c r="I635" s="85" t="s">
        <v>630</v>
      </c>
      <c r="J635" s="128">
        <v>0</v>
      </c>
      <c r="K635" s="128">
        <f t="shared" si="9"/>
        <v>0</v>
      </c>
      <c r="L635" s="125" t="s">
        <v>1219</v>
      </c>
      <c r="M635" s="85" t="s">
        <v>47</v>
      </c>
      <c r="N635" s="85" t="s">
        <v>1491</v>
      </c>
    </row>
    <row r="636" spans="2:14" ht="15.75" thickBot="1" x14ac:dyDescent="0.3">
      <c r="B636" s="82" t="s">
        <v>541</v>
      </c>
      <c r="C636" s="83" t="s">
        <v>629</v>
      </c>
      <c r="D636" s="124" t="s">
        <v>620</v>
      </c>
      <c r="E636" s="130">
        <v>2006</v>
      </c>
      <c r="F636" s="125" t="s">
        <v>731</v>
      </c>
      <c r="G636" s="125">
        <v>90</v>
      </c>
      <c r="H636" s="85">
        <v>9726.6799999999985</v>
      </c>
      <c r="I636" s="85" t="s">
        <v>630</v>
      </c>
      <c r="J636" s="128">
        <v>21293</v>
      </c>
      <c r="K636" s="128">
        <f t="shared" si="9"/>
        <v>1916370</v>
      </c>
      <c r="L636" s="125" t="s">
        <v>1220</v>
      </c>
      <c r="M636" s="85" t="s">
        <v>47</v>
      </c>
      <c r="N636" s="85" t="s">
        <v>1491</v>
      </c>
    </row>
    <row r="637" spans="2:14" ht="15.75" thickBot="1" x14ac:dyDescent="0.3">
      <c r="B637" s="82" t="s">
        <v>541</v>
      </c>
      <c r="C637" s="83" t="s">
        <v>629</v>
      </c>
      <c r="D637" s="124" t="s">
        <v>620</v>
      </c>
      <c r="E637" s="130">
        <v>2006</v>
      </c>
      <c r="F637" s="125" t="s">
        <v>731</v>
      </c>
      <c r="G637" s="125">
        <v>53</v>
      </c>
      <c r="H637" s="85">
        <v>14500.126999999999</v>
      </c>
      <c r="I637" s="85" t="s">
        <v>630</v>
      </c>
      <c r="J637" s="128">
        <v>42259</v>
      </c>
      <c r="K637" s="128">
        <f t="shared" si="9"/>
        <v>2239727</v>
      </c>
      <c r="L637" s="125" t="s">
        <v>1221</v>
      </c>
      <c r="M637" s="85" t="s">
        <v>47</v>
      </c>
      <c r="N637" s="85" t="s">
        <v>1491</v>
      </c>
    </row>
    <row r="638" spans="2:14" ht="15.75" thickBot="1" x14ac:dyDescent="0.3">
      <c r="B638" s="82" t="s">
        <v>541</v>
      </c>
      <c r="C638" s="83" t="s">
        <v>629</v>
      </c>
      <c r="D638" s="124" t="s">
        <v>620</v>
      </c>
      <c r="E638" s="130">
        <v>2006</v>
      </c>
      <c r="F638" s="125" t="s">
        <v>731</v>
      </c>
      <c r="G638" s="125">
        <v>19</v>
      </c>
      <c r="H638" s="85">
        <v>0</v>
      </c>
      <c r="I638" s="85" t="s">
        <v>630</v>
      </c>
      <c r="J638" s="128">
        <v>0</v>
      </c>
      <c r="K638" s="128">
        <f t="shared" si="9"/>
        <v>0</v>
      </c>
      <c r="L638" s="125" t="s">
        <v>1222</v>
      </c>
      <c r="M638" s="85" t="s">
        <v>47</v>
      </c>
      <c r="N638" s="85" t="s">
        <v>1491</v>
      </c>
    </row>
    <row r="639" spans="2:14" ht="15.75" thickBot="1" x14ac:dyDescent="0.3">
      <c r="B639" s="82" t="s">
        <v>541</v>
      </c>
      <c r="C639" s="83" t="s">
        <v>629</v>
      </c>
      <c r="D639" s="124" t="s">
        <v>620</v>
      </c>
      <c r="E639" s="130">
        <v>2006</v>
      </c>
      <c r="F639" s="125" t="s">
        <v>731</v>
      </c>
      <c r="G639" s="125">
        <v>15</v>
      </c>
      <c r="H639" s="85">
        <v>0</v>
      </c>
      <c r="I639" s="85" t="s">
        <v>630</v>
      </c>
      <c r="J639" s="128">
        <v>0</v>
      </c>
      <c r="K639" s="128">
        <f t="shared" si="9"/>
        <v>0</v>
      </c>
      <c r="L639" s="125" t="s">
        <v>1223</v>
      </c>
      <c r="M639" s="85" t="s">
        <v>47</v>
      </c>
      <c r="N639" s="85" t="s">
        <v>1491</v>
      </c>
    </row>
    <row r="640" spans="2:14" ht="15.75" thickBot="1" x14ac:dyDescent="0.3">
      <c r="B640" s="82" t="s">
        <v>541</v>
      </c>
      <c r="C640" s="83" t="s">
        <v>629</v>
      </c>
      <c r="D640" s="124" t="s">
        <v>620</v>
      </c>
      <c r="E640" s="130">
        <v>2007</v>
      </c>
      <c r="F640" s="125" t="s">
        <v>731</v>
      </c>
      <c r="G640" s="125">
        <v>53</v>
      </c>
      <c r="H640" s="85">
        <v>14171.634999999998</v>
      </c>
      <c r="I640" s="85" t="s">
        <v>630</v>
      </c>
      <c r="J640" s="128">
        <v>40964</v>
      </c>
      <c r="K640" s="128">
        <f t="shared" si="9"/>
        <v>2171092</v>
      </c>
      <c r="L640" s="125" t="s">
        <v>1224</v>
      </c>
      <c r="M640" s="85" t="s">
        <v>47</v>
      </c>
      <c r="N640" s="85" t="s">
        <v>1491</v>
      </c>
    </row>
    <row r="641" spans="2:14" ht="15.75" thickBot="1" x14ac:dyDescent="0.3">
      <c r="B641" s="82" t="s">
        <v>541</v>
      </c>
      <c r="C641" s="83" t="s">
        <v>629</v>
      </c>
      <c r="D641" s="124" t="s">
        <v>620</v>
      </c>
      <c r="E641" s="130">
        <v>2007</v>
      </c>
      <c r="F641" s="125" t="s">
        <v>731</v>
      </c>
      <c r="G641" s="125">
        <v>53</v>
      </c>
      <c r="H641" s="85">
        <v>5151.8999999999996</v>
      </c>
      <c r="I641" s="85" t="s">
        <v>630</v>
      </c>
      <c r="J641" s="128">
        <v>16279</v>
      </c>
      <c r="K641" s="128">
        <f t="shared" si="9"/>
        <v>862787</v>
      </c>
      <c r="L641" s="125" t="s">
        <v>1225</v>
      </c>
      <c r="M641" s="85" t="s">
        <v>47</v>
      </c>
      <c r="N641" s="85" t="s">
        <v>1491</v>
      </c>
    </row>
    <row r="642" spans="2:14" ht="15.75" thickBot="1" x14ac:dyDescent="0.3">
      <c r="B642" s="82" t="s">
        <v>541</v>
      </c>
      <c r="C642" s="83" t="s">
        <v>629</v>
      </c>
      <c r="D642" s="124" t="s">
        <v>620</v>
      </c>
      <c r="E642" s="130">
        <v>2007</v>
      </c>
      <c r="F642" s="125" t="s">
        <v>731</v>
      </c>
      <c r="G642" s="125">
        <v>53</v>
      </c>
      <c r="H642" s="85">
        <v>14005.802</v>
      </c>
      <c r="I642" s="85" t="s">
        <v>630</v>
      </c>
      <c r="J642" s="128">
        <v>39199</v>
      </c>
      <c r="K642" s="128">
        <f t="shared" si="9"/>
        <v>2077547</v>
      </c>
      <c r="L642" s="125" t="s">
        <v>1226</v>
      </c>
      <c r="M642" s="85" t="s">
        <v>47</v>
      </c>
      <c r="N642" s="85" t="s">
        <v>1491</v>
      </c>
    </row>
    <row r="643" spans="2:14" ht="15.75" thickBot="1" x14ac:dyDescent="0.3">
      <c r="B643" s="82" t="s">
        <v>541</v>
      </c>
      <c r="C643" s="83" t="s">
        <v>629</v>
      </c>
      <c r="D643" s="124" t="s">
        <v>620</v>
      </c>
      <c r="E643" s="130">
        <v>2007</v>
      </c>
      <c r="F643" s="125" t="s">
        <v>731</v>
      </c>
      <c r="G643" s="125">
        <v>53</v>
      </c>
      <c r="H643" s="85">
        <v>15308.208000000001</v>
      </c>
      <c r="I643" s="85" t="s">
        <v>630</v>
      </c>
      <c r="J643" s="128">
        <v>45486</v>
      </c>
      <c r="K643" s="128">
        <f t="shared" si="9"/>
        <v>2410758</v>
      </c>
      <c r="L643" s="125" t="s">
        <v>1227</v>
      </c>
      <c r="M643" s="85" t="s">
        <v>47</v>
      </c>
      <c r="N643" s="85" t="s">
        <v>1491</v>
      </c>
    </row>
    <row r="644" spans="2:14" ht="15.75" thickBot="1" x14ac:dyDescent="0.3">
      <c r="B644" s="82" t="s">
        <v>541</v>
      </c>
      <c r="C644" s="83" t="s">
        <v>629</v>
      </c>
      <c r="D644" s="124" t="s">
        <v>620</v>
      </c>
      <c r="E644" s="130">
        <v>2007</v>
      </c>
      <c r="F644" s="125" t="s">
        <v>731</v>
      </c>
      <c r="G644" s="125">
        <v>53</v>
      </c>
      <c r="H644" s="85">
        <v>12877.996999999998</v>
      </c>
      <c r="I644" s="85" t="s">
        <v>630</v>
      </c>
      <c r="J644" s="128">
        <v>38060</v>
      </c>
      <c r="K644" s="128">
        <f t="shared" si="9"/>
        <v>2017180</v>
      </c>
      <c r="L644" s="125" t="s">
        <v>1228</v>
      </c>
      <c r="M644" s="85" t="s">
        <v>47</v>
      </c>
      <c r="N644" s="85" t="s">
        <v>1491</v>
      </c>
    </row>
    <row r="645" spans="2:14" ht="15.75" thickBot="1" x14ac:dyDescent="0.3">
      <c r="B645" s="82" t="s">
        <v>541</v>
      </c>
      <c r="C645" s="83" t="s">
        <v>629</v>
      </c>
      <c r="D645" s="124" t="s">
        <v>620</v>
      </c>
      <c r="E645" s="130">
        <v>2007</v>
      </c>
      <c r="F645" s="125" t="s">
        <v>731</v>
      </c>
      <c r="G645" s="125">
        <v>53</v>
      </c>
      <c r="H645" s="85">
        <v>14664.96</v>
      </c>
      <c r="I645" s="85" t="s">
        <v>630</v>
      </c>
      <c r="J645" s="128">
        <v>43754</v>
      </c>
      <c r="K645" s="128">
        <f t="shared" si="9"/>
        <v>2318962</v>
      </c>
      <c r="L645" s="125" t="s">
        <v>1229</v>
      </c>
      <c r="M645" s="85" t="s">
        <v>47</v>
      </c>
      <c r="N645" s="85" t="s">
        <v>1491</v>
      </c>
    </row>
    <row r="646" spans="2:14" ht="15.75" thickBot="1" x14ac:dyDescent="0.3">
      <c r="B646" s="82" t="s">
        <v>541</v>
      </c>
      <c r="C646" s="83" t="s">
        <v>629</v>
      </c>
      <c r="D646" s="124" t="s">
        <v>620</v>
      </c>
      <c r="E646" s="130">
        <v>2007</v>
      </c>
      <c r="F646" s="125" t="s">
        <v>731</v>
      </c>
      <c r="G646" s="125">
        <v>55</v>
      </c>
      <c r="H646" s="85">
        <v>15217.975000000002</v>
      </c>
      <c r="I646" s="85" t="s">
        <v>630</v>
      </c>
      <c r="J646" s="128">
        <v>44706</v>
      </c>
      <c r="K646" s="128">
        <f t="shared" si="9"/>
        <v>2458830</v>
      </c>
      <c r="L646" s="125" t="s">
        <v>1230</v>
      </c>
      <c r="M646" s="85" t="s">
        <v>47</v>
      </c>
      <c r="N646" s="85" t="s">
        <v>1491</v>
      </c>
    </row>
    <row r="647" spans="2:14" ht="15.75" thickBot="1" x14ac:dyDescent="0.3">
      <c r="B647" s="82" t="s">
        <v>541</v>
      </c>
      <c r="C647" s="83" t="s">
        <v>629</v>
      </c>
      <c r="D647" s="124" t="s">
        <v>620</v>
      </c>
      <c r="E647" s="130">
        <v>2007</v>
      </c>
      <c r="F647" s="125" t="s">
        <v>731</v>
      </c>
      <c r="G647" s="125">
        <v>53</v>
      </c>
      <c r="H647" s="85">
        <v>15927.255000000001</v>
      </c>
      <c r="I647" s="85" t="s">
        <v>630</v>
      </c>
      <c r="J647" s="128">
        <v>47242</v>
      </c>
      <c r="K647" s="128">
        <f t="shared" si="9"/>
        <v>2503826</v>
      </c>
      <c r="L647" s="125" t="s">
        <v>1231</v>
      </c>
      <c r="M647" s="85" t="s">
        <v>47</v>
      </c>
      <c r="N647" s="85" t="s">
        <v>1491</v>
      </c>
    </row>
    <row r="648" spans="2:14" ht="15.75" thickBot="1" x14ac:dyDescent="0.3">
      <c r="B648" s="82" t="s">
        <v>541</v>
      </c>
      <c r="C648" s="83" t="s">
        <v>629</v>
      </c>
      <c r="D648" s="124" t="s">
        <v>620</v>
      </c>
      <c r="E648" s="130">
        <v>2007</v>
      </c>
      <c r="F648" s="125" t="s">
        <v>731</v>
      </c>
      <c r="G648" s="125">
        <v>53</v>
      </c>
      <c r="H648" s="85">
        <v>0</v>
      </c>
      <c r="I648" s="85" t="s">
        <v>630</v>
      </c>
      <c r="J648" s="128">
        <v>0</v>
      </c>
      <c r="K648" s="128">
        <f t="shared" si="9"/>
        <v>0</v>
      </c>
      <c r="L648" s="125" t="s">
        <v>1232</v>
      </c>
      <c r="M648" s="85" t="s">
        <v>47</v>
      </c>
      <c r="N648" s="85" t="s">
        <v>1491</v>
      </c>
    </row>
    <row r="649" spans="2:14" ht="15.75" thickBot="1" x14ac:dyDescent="0.3">
      <c r="B649" s="82" t="s">
        <v>541</v>
      </c>
      <c r="C649" s="83" t="s">
        <v>629</v>
      </c>
      <c r="D649" s="124" t="s">
        <v>620</v>
      </c>
      <c r="E649" s="130">
        <v>2007</v>
      </c>
      <c r="F649" s="125" t="s">
        <v>731</v>
      </c>
      <c r="G649" s="125">
        <v>53</v>
      </c>
      <c r="H649" s="85">
        <v>18227.508999999998</v>
      </c>
      <c r="I649" s="85" t="s">
        <v>630</v>
      </c>
      <c r="J649" s="128">
        <v>48302</v>
      </c>
      <c r="K649" s="128">
        <f t="shared" si="9"/>
        <v>2560006</v>
      </c>
      <c r="L649" s="125" t="s">
        <v>1233</v>
      </c>
      <c r="M649" s="85" t="s">
        <v>47</v>
      </c>
      <c r="N649" s="85" t="s">
        <v>1491</v>
      </c>
    </row>
    <row r="650" spans="2:14" ht="15.75" thickBot="1" x14ac:dyDescent="0.3">
      <c r="B650" s="82" t="s">
        <v>541</v>
      </c>
      <c r="C650" s="83" t="s">
        <v>629</v>
      </c>
      <c r="D650" s="124" t="s">
        <v>620</v>
      </c>
      <c r="E650" s="130">
        <v>2008</v>
      </c>
      <c r="F650" s="125" t="s">
        <v>731</v>
      </c>
      <c r="G650" s="125">
        <v>59</v>
      </c>
      <c r="H650" s="85">
        <v>17228.713</v>
      </c>
      <c r="I650" s="85" t="s">
        <v>630</v>
      </c>
      <c r="J650" s="128">
        <v>50107</v>
      </c>
      <c r="K650" s="128">
        <f t="shared" si="9"/>
        <v>2956313</v>
      </c>
      <c r="L650" s="125" t="s">
        <v>1234</v>
      </c>
      <c r="M650" s="85" t="s">
        <v>47</v>
      </c>
      <c r="N650" s="85" t="s">
        <v>1491</v>
      </c>
    </row>
    <row r="651" spans="2:14" ht="15.75" thickBot="1" x14ac:dyDescent="0.3">
      <c r="B651" s="82" t="s">
        <v>541</v>
      </c>
      <c r="C651" s="83" t="s">
        <v>629</v>
      </c>
      <c r="D651" s="124" t="s">
        <v>620</v>
      </c>
      <c r="E651" s="130">
        <v>2008</v>
      </c>
      <c r="F651" s="125" t="s">
        <v>731</v>
      </c>
      <c r="G651" s="125">
        <v>59</v>
      </c>
      <c r="H651" s="85">
        <v>19676.445999999996</v>
      </c>
      <c r="I651" s="85" t="s">
        <v>630</v>
      </c>
      <c r="J651" s="128">
        <v>51007</v>
      </c>
      <c r="K651" s="128">
        <f t="shared" si="9"/>
        <v>3009413</v>
      </c>
      <c r="L651" s="125" t="s">
        <v>1235</v>
      </c>
      <c r="M651" s="85" t="s">
        <v>47</v>
      </c>
      <c r="N651" s="85" t="s">
        <v>1491</v>
      </c>
    </row>
    <row r="652" spans="2:14" ht="15.75" thickBot="1" x14ac:dyDescent="0.3">
      <c r="B652" s="82" t="s">
        <v>541</v>
      </c>
      <c r="C652" s="83" t="s">
        <v>629</v>
      </c>
      <c r="D652" s="124" t="s">
        <v>620</v>
      </c>
      <c r="E652" s="130">
        <v>2008</v>
      </c>
      <c r="F652" s="125" t="s">
        <v>731</v>
      </c>
      <c r="G652" s="125">
        <v>53</v>
      </c>
      <c r="H652" s="85">
        <v>0</v>
      </c>
      <c r="I652" s="85" t="s">
        <v>630</v>
      </c>
      <c r="J652" s="128">
        <v>0</v>
      </c>
      <c r="K652" s="128">
        <f t="shared" si="9"/>
        <v>0</v>
      </c>
      <c r="L652" s="125" t="s">
        <v>1236</v>
      </c>
      <c r="M652" s="85" t="s">
        <v>47</v>
      </c>
      <c r="N652" s="85" t="s">
        <v>1491</v>
      </c>
    </row>
    <row r="653" spans="2:14" ht="15.75" thickBot="1" x14ac:dyDescent="0.3">
      <c r="B653" s="82" t="s">
        <v>541</v>
      </c>
      <c r="C653" s="83" t="s">
        <v>629</v>
      </c>
      <c r="D653" s="124" t="s">
        <v>620</v>
      </c>
      <c r="E653" s="130">
        <v>2008</v>
      </c>
      <c r="F653" s="125" t="s">
        <v>731</v>
      </c>
      <c r="G653" s="125">
        <v>53</v>
      </c>
      <c r="H653" s="85">
        <v>14342.043</v>
      </c>
      <c r="I653" s="85" t="s">
        <v>630</v>
      </c>
      <c r="J653" s="128">
        <v>38701</v>
      </c>
      <c r="K653" s="128">
        <f t="shared" si="9"/>
        <v>2051153</v>
      </c>
      <c r="L653" s="125" t="s">
        <v>1237</v>
      </c>
      <c r="M653" s="85" t="s">
        <v>47</v>
      </c>
      <c r="N653" s="85" t="s">
        <v>1491</v>
      </c>
    </row>
    <row r="654" spans="2:14" ht="15.75" thickBot="1" x14ac:dyDescent="0.3">
      <c r="B654" s="82" t="s">
        <v>541</v>
      </c>
      <c r="C654" s="83" t="s">
        <v>629</v>
      </c>
      <c r="D654" s="124" t="s">
        <v>620</v>
      </c>
      <c r="E654" s="130">
        <v>2008</v>
      </c>
      <c r="F654" s="125" t="s">
        <v>731</v>
      </c>
      <c r="G654" s="125">
        <v>53</v>
      </c>
      <c r="H654" s="85">
        <v>12871.809999999998</v>
      </c>
      <c r="I654" s="85" t="s">
        <v>630</v>
      </c>
      <c r="J654" s="128">
        <v>35839</v>
      </c>
      <c r="K654" s="128">
        <f t="shared" si="9"/>
        <v>1899467</v>
      </c>
      <c r="L654" s="125" t="s">
        <v>1238</v>
      </c>
      <c r="M654" s="85" t="s">
        <v>47</v>
      </c>
      <c r="N654" s="85" t="s">
        <v>1491</v>
      </c>
    </row>
    <row r="655" spans="2:14" ht="15.75" thickBot="1" x14ac:dyDescent="0.3">
      <c r="B655" s="82" t="s">
        <v>541</v>
      </c>
      <c r="C655" s="83" t="s">
        <v>629</v>
      </c>
      <c r="D655" s="124" t="s">
        <v>620</v>
      </c>
      <c r="E655" s="130">
        <v>2008</v>
      </c>
      <c r="F655" s="125" t="s">
        <v>731</v>
      </c>
      <c r="G655" s="125">
        <v>34</v>
      </c>
      <c r="H655" s="85">
        <v>2988.3590000000004</v>
      </c>
      <c r="I655" s="85" t="s">
        <v>630</v>
      </c>
      <c r="J655" s="128">
        <v>9078</v>
      </c>
      <c r="K655" s="128">
        <f t="shared" si="9"/>
        <v>308652</v>
      </c>
      <c r="L655" s="125" t="s">
        <v>1239</v>
      </c>
      <c r="M655" s="85" t="s">
        <v>47</v>
      </c>
      <c r="N655" s="85" t="s">
        <v>1491</v>
      </c>
    </row>
    <row r="656" spans="2:14" ht="15.75" thickBot="1" x14ac:dyDescent="0.3">
      <c r="B656" s="82" t="s">
        <v>541</v>
      </c>
      <c r="C656" s="83" t="s">
        <v>629</v>
      </c>
      <c r="D656" s="124" t="s">
        <v>620</v>
      </c>
      <c r="E656" s="130">
        <v>2008</v>
      </c>
      <c r="F656" s="125" t="s">
        <v>731</v>
      </c>
      <c r="G656" s="125">
        <v>34</v>
      </c>
      <c r="H656" s="85">
        <v>320.91000000000003</v>
      </c>
      <c r="I656" s="85" t="s">
        <v>630</v>
      </c>
      <c r="J656" s="128">
        <v>1072</v>
      </c>
      <c r="K656" s="128">
        <f t="shared" si="9"/>
        <v>36448</v>
      </c>
      <c r="L656" s="125" t="s">
        <v>1240</v>
      </c>
      <c r="M656" s="85" t="s">
        <v>47</v>
      </c>
      <c r="N656" s="85" t="s">
        <v>1491</v>
      </c>
    </row>
    <row r="657" spans="2:14" ht="15.75" thickBot="1" x14ac:dyDescent="0.3">
      <c r="B657" s="82" t="s">
        <v>541</v>
      </c>
      <c r="C657" s="83" t="s">
        <v>629</v>
      </c>
      <c r="D657" s="124" t="s">
        <v>620</v>
      </c>
      <c r="E657" s="130">
        <v>2008</v>
      </c>
      <c r="F657" s="125" t="s">
        <v>731</v>
      </c>
      <c r="G657" s="125">
        <v>25</v>
      </c>
      <c r="H657" s="85">
        <v>0</v>
      </c>
      <c r="I657" s="85" t="s">
        <v>630</v>
      </c>
      <c r="J657" s="128">
        <v>0</v>
      </c>
      <c r="K657" s="128">
        <f t="shared" si="9"/>
        <v>0</v>
      </c>
      <c r="L657" s="125" t="s">
        <v>1241</v>
      </c>
      <c r="M657" s="85" t="s">
        <v>47</v>
      </c>
      <c r="N657" s="85" t="s">
        <v>1491</v>
      </c>
    </row>
    <row r="658" spans="2:14" ht="15.75" thickBot="1" x14ac:dyDescent="0.3">
      <c r="B658" s="82" t="s">
        <v>541</v>
      </c>
      <c r="C658" s="83" t="s">
        <v>629</v>
      </c>
      <c r="D658" s="124" t="s">
        <v>620</v>
      </c>
      <c r="E658" s="130">
        <v>2008</v>
      </c>
      <c r="F658" s="125" t="s">
        <v>731</v>
      </c>
      <c r="G658" s="125">
        <v>25</v>
      </c>
      <c r="H658" s="85">
        <v>0</v>
      </c>
      <c r="I658" s="85" t="s">
        <v>630</v>
      </c>
      <c r="J658" s="128">
        <v>0</v>
      </c>
      <c r="K658" s="128">
        <f t="shared" si="9"/>
        <v>0</v>
      </c>
      <c r="L658" s="125" t="s">
        <v>1242</v>
      </c>
      <c r="M658" s="85" t="s">
        <v>47</v>
      </c>
      <c r="N658" s="85" t="s">
        <v>1491</v>
      </c>
    </row>
    <row r="659" spans="2:14" ht="15.75" thickBot="1" x14ac:dyDescent="0.3">
      <c r="B659" s="82" t="s">
        <v>541</v>
      </c>
      <c r="C659" s="83" t="s">
        <v>629</v>
      </c>
      <c r="D659" s="124" t="s">
        <v>620</v>
      </c>
      <c r="E659" s="130">
        <v>2008</v>
      </c>
      <c r="F659" s="125" t="s">
        <v>731</v>
      </c>
      <c r="G659" s="125">
        <v>25</v>
      </c>
      <c r="H659" s="85">
        <v>0</v>
      </c>
      <c r="I659" s="85" t="s">
        <v>630</v>
      </c>
      <c r="J659" s="128">
        <v>0</v>
      </c>
      <c r="K659" s="128">
        <f t="shared" si="9"/>
        <v>0</v>
      </c>
      <c r="L659" s="125" t="s">
        <v>1243</v>
      </c>
      <c r="M659" s="85" t="s">
        <v>47</v>
      </c>
      <c r="N659" s="85" t="s">
        <v>1491</v>
      </c>
    </row>
    <row r="660" spans="2:14" ht="15.75" thickBot="1" x14ac:dyDescent="0.3">
      <c r="B660" s="82" t="s">
        <v>541</v>
      </c>
      <c r="C660" s="83" t="s">
        <v>629</v>
      </c>
      <c r="D660" s="124" t="s">
        <v>620</v>
      </c>
      <c r="E660" s="130">
        <v>2008</v>
      </c>
      <c r="F660" s="125" t="s">
        <v>731</v>
      </c>
      <c r="G660" s="125">
        <v>53</v>
      </c>
      <c r="H660" s="85">
        <v>15116.002</v>
      </c>
      <c r="I660" s="85" t="s">
        <v>630</v>
      </c>
      <c r="J660" s="128">
        <v>42549</v>
      </c>
      <c r="K660" s="128">
        <f t="shared" si="9"/>
        <v>2255097</v>
      </c>
      <c r="L660" s="125" t="s">
        <v>1244</v>
      </c>
      <c r="M660" s="85" t="s">
        <v>47</v>
      </c>
      <c r="N660" s="85" t="s">
        <v>1491</v>
      </c>
    </row>
    <row r="661" spans="2:14" ht="15.75" thickBot="1" x14ac:dyDescent="0.3">
      <c r="B661" s="82" t="s">
        <v>541</v>
      </c>
      <c r="C661" s="83" t="s">
        <v>629</v>
      </c>
      <c r="D661" s="124" t="s">
        <v>620</v>
      </c>
      <c r="E661" s="130">
        <v>2008</v>
      </c>
      <c r="F661" s="125" t="s">
        <v>731</v>
      </c>
      <c r="G661" s="125">
        <v>20</v>
      </c>
      <c r="H661" s="85">
        <v>0</v>
      </c>
      <c r="I661" s="85" t="s">
        <v>630</v>
      </c>
      <c r="J661" s="128">
        <v>0</v>
      </c>
      <c r="K661" s="128">
        <f t="shared" si="9"/>
        <v>0</v>
      </c>
      <c r="L661" s="125" t="s">
        <v>1245</v>
      </c>
      <c r="M661" s="85" t="s">
        <v>47</v>
      </c>
      <c r="N661" s="85" t="s">
        <v>1491</v>
      </c>
    </row>
    <row r="662" spans="2:14" ht="15.75" thickBot="1" x14ac:dyDescent="0.3">
      <c r="B662" s="82" t="s">
        <v>541</v>
      </c>
      <c r="C662" s="83" t="s">
        <v>629</v>
      </c>
      <c r="D662" s="124" t="s">
        <v>620</v>
      </c>
      <c r="E662" s="130">
        <v>2008</v>
      </c>
      <c r="F662" s="125" t="s">
        <v>731</v>
      </c>
      <c r="G662" s="125">
        <v>55</v>
      </c>
      <c r="H662" s="85">
        <v>12732.849</v>
      </c>
      <c r="I662" s="85" t="s">
        <v>630</v>
      </c>
      <c r="J662" s="128">
        <v>38546</v>
      </c>
      <c r="K662" s="128">
        <f t="shared" si="9"/>
        <v>2120030</v>
      </c>
      <c r="L662" s="125" t="s">
        <v>1246</v>
      </c>
      <c r="M662" s="85" t="s">
        <v>47</v>
      </c>
      <c r="N662" s="85" t="s">
        <v>1491</v>
      </c>
    </row>
    <row r="663" spans="2:14" ht="15.75" thickBot="1" x14ac:dyDescent="0.3">
      <c r="B663" s="82" t="s">
        <v>541</v>
      </c>
      <c r="C663" s="83" t="s">
        <v>629</v>
      </c>
      <c r="D663" s="124" t="s">
        <v>620</v>
      </c>
      <c r="E663" s="130">
        <v>2008</v>
      </c>
      <c r="F663" s="125" t="s">
        <v>731</v>
      </c>
      <c r="G663" s="125">
        <v>60</v>
      </c>
      <c r="H663" s="85">
        <v>16346.691999999999</v>
      </c>
      <c r="I663" s="85" t="s">
        <v>630</v>
      </c>
      <c r="J663" s="128">
        <v>44033</v>
      </c>
      <c r="K663" s="128">
        <f t="shared" si="9"/>
        <v>2641980</v>
      </c>
      <c r="L663" s="125" t="s">
        <v>1247</v>
      </c>
      <c r="M663" s="85" t="s">
        <v>47</v>
      </c>
      <c r="N663" s="85" t="s">
        <v>1491</v>
      </c>
    </row>
    <row r="664" spans="2:14" ht="15.75" thickBot="1" x14ac:dyDescent="0.3">
      <c r="B664" s="82" t="s">
        <v>541</v>
      </c>
      <c r="C664" s="83" t="s">
        <v>629</v>
      </c>
      <c r="D664" s="124" t="s">
        <v>620</v>
      </c>
      <c r="E664" s="130">
        <v>2015</v>
      </c>
      <c r="F664" s="125" t="s">
        <v>733</v>
      </c>
      <c r="G664" s="125">
        <v>91</v>
      </c>
      <c r="H664" s="85">
        <v>2392.14</v>
      </c>
      <c r="I664" s="85" t="s">
        <v>630</v>
      </c>
      <c r="J664" s="128">
        <v>9477</v>
      </c>
      <c r="K664" s="128">
        <f t="shared" si="9"/>
        <v>862407</v>
      </c>
      <c r="L664" s="125" t="s">
        <v>1248</v>
      </c>
      <c r="M664" s="85" t="s">
        <v>47</v>
      </c>
      <c r="N664" s="85" t="s">
        <v>1491</v>
      </c>
    </row>
    <row r="665" spans="2:14" ht="15.75" thickBot="1" x14ac:dyDescent="0.3">
      <c r="B665" s="82" t="s">
        <v>541</v>
      </c>
      <c r="C665" s="83" t="s">
        <v>629</v>
      </c>
      <c r="D665" s="124" t="s">
        <v>620</v>
      </c>
      <c r="E665" s="130">
        <v>2015</v>
      </c>
      <c r="F665" s="125" t="s">
        <v>733</v>
      </c>
      <c r="G665" s="125">
        <v>91</v>
      </c>
      <c r="H665" s="85">
        <v>2179.8999999999996</v>
      </c>
      <c r="I665" s="85" t="s">
        <v>630</v>
      </c>
      <c r="J665" s="128">
        <v>7180</v>
      </c>
      <c r="K665" s="128">
        <f t="shared" si="9"/>
        <v>653380</v>
      </c>
      <c r="L665" s="125" t="s">
        <v>1249</v>
      </c>
      <c r="M665" s="85" t="s">
        <v>47</v>
      </c>
      <c r="N665" s="85" t="s">
        <v>1491</v>
      </c>
    </row>
    <row r="666" spans="2:14" ht="15.75" thickBot="1" x14ac:dyDescent="0.3">
      <c r="B666" s="82" t="s">
        <v>541</v>
      </c>
      <c r="C666" s="83" t="s">
        <v>629</v>
      </c>
      <c r="D666" s="124" t="s">
        <v>620</v>
      </c>
      <c r="E666" s="130">
        <v>2015</v>
      </c>
      <c r="F666" s="125" t="s">
        <v>733</v>
      </c>
      <c r="G666" s="125">
        <v>91</v>
      </c>
      <c r="H666" s="85">
        <v>2777.24</v>
      </c>
      <c r="I666" s="85" t="s">
        <v>630</v>
      </c>
      <c r="J666" s="128">
        <v>10680</v>
      </c>
      <c r="K666" s="128">
        <f t="shared" si="9"/>
        <v>971880</v>
      </c>
      <c r="L666" s="125" t="s">
        <v>1250</v>
      </c>
      <c r="M666" s="85" t="s">
        <v>47</v>
      </c>
      <c r="N666" s="85" t="s">
        <v>1491</v>
      </c>
    </row>
    <row r="667" spans="2:14" ht="15.75" thickBot="1" x14ac:dyDescent="0.3">
      <c r="B667" s="82" t="s">
        <v>541</v>
      </c>
      <c r="C667" s="83" t="s">
        <v>629</v>
      </c>
      <c r="D667" s="124" t="s">
        <v>620</v>
      </c>
      <c r="E667" s="130">
        <v>2015</v>
      </c>
      <c r="F667" s="125" t="s">
        <v>733</v>
      </c>
      <c r="G667" s="125">
        <v>91</v>
      </c>
      <c r="H667" s="85">
        <v>2589.5600000000004</v>
      </c>
      <c r="I667" s="85" t="s">
        <v>630</v>
      </c>
      <c r="J667" s="128">
        <v>10422</v>
      </c>
      <c r="K667" s="128">
        <f t="shared" si="9"/>
        <v>948402</v>
      </c>
      <c r="L667" s="125" t="s">
        <v>1251</v>
      </c>
      <c r="M667" s="85" t="s">
        <v>47</v>
      </c>
      <c r="N667" s="85" t="s">
        <v>1491</v>
      </c>
    </row>
    <row r="668" spans="2:14" ht="15.75" thickBot="1" x14ac:dyDescent="0.3">
      <c r="B668" s="82" t="s">
        <v>541</v>
      </c>
      <c r="C668" s="83" t="s">
        <v>629</v>
      </c>
      <c r="D668" s="124" t="s">
        <v>620</v>
      </c>
      <c r="E668" s="130">
        <v>2015</v>
      </c>
      <c r="F668" s="125" t="s">
        <v>733</v>
      </c>
      <c r="G668" s="125">
        <v>91</v>
      </c>
      <c r="H668" s="85">
        <v>3780.1800000000003</v>
      </c>
      <c r="I668" s="85" t="s">
        <v>630</v>
      </c>
      <c r="J668" s="128">
        <v>14239</v>
      </c>
      <c r="K668" s="128">
        <f t="shared" si="9"/>
        <v>1295749</v>
      </c>
      <c r="L668" s="125" t="s">
        <v>1252</v>
      </c>
      <c r="M668" s="85" t="s">
        <v>47</v>
      </c>
      <c r="N668" s="85" t="s">
        <v>1491</v>
      </c>
    </row>
    <row r="669" spans="2:14" ht="15.75" thickBot="1" x14ac:dyDescent="0.3">
      <c r="B669" s="82" t="s">
        <v>541</v>
      </c>
      <c r="C669" s="83" t="s">
        <v>629</v>
      </c>
      <c r="D669" s="124" t="s">
        <v>620</v>
      </c>
      <c r="E669" s="130">
        <v>2015</v>
      </c>
      <c r="F669" s="125" t="s">
        <v>733</v>
      </c>
      <c r="G669" s="125">
        <v>91</v>
      </c>
      <c r="H669" s="85">
        <v>1765.92</v>
      </c>
      <c r="I669" s="85" t="s">
        <v>630</v>
      </c>
      <c r="J669" s="128">
        <v>6116</v>
      </c>
      <c r="K669" s="128">
        <f t="shared" si="9"/>
        <v>556556</v>
      </c>
      <c r="L669" s="125" t="s">
        <v>1253</v>
      </c>
      <c r="M669" s="85" t="s">
        <v>47</v>
      </c>
      <c r="N669" s="85" t="s">
        <v>1491</v>
      </c>
    </row>
    <row r="670" spans="2:14" ht="15.75" thickBot="1" x14ac:dyDescent="0.3">
      <c r="B670" s="82" t="s">
        <v>541</v>
      </c>
      <c r="C670" s="83" t="s">
        <v>629</v>
      </c>
      <c r="D670" s="124" t="s">
        <v>620</v>
      </c>
      <c r="E670" s="130">
        <v>2004</v>
      </c>
      <c r="F670" s="125" t="s">
        <v>732</v>
      </c>
      <c r="G670" s="125">
        <v>19</v>
      </c>
      <c r="H670" s="85">
        <v>0</v>
      </c>
      <c r="I670" s="85" t="s">
        <v>630</v>
      </c>
      <c r="J670" s="128">
        <v>0</v>
      </c>
      <c r="K670" s="128">
        <f t="shared" si="9"/>
        <v>0</v>
      </c>
      <c r="L670" s="125" t="s">
        <v>1254</v>
      </c>
      <c r="M670" s="85" t="s">
        <v>47</v>
      </c>
      <c r="N670" s="85" t="s">
        <v>1491</v>
      </c>
    </row>
    <row r="671" spans="2:14" ht="15.75" thickBot="1" x14ac:dyDescent="0.3">
      <c r="B671" s="82" t="s">
        <v>541</v>
      </c>
      <c r="C671" s="83" t="s">
        <v>629</v>
      </c>
      <c r="D671" s="124" t="s">
        <v>620</v>
      </c>
      <c r="E671" s="130">
        <v>2004</v>
      </c>
      <c r="F671" s="125" t="s">
        <v>732</v>
      </c>
      <c r="G671" s="125">
        <v>19</v>
      </c>
      <c r="H671" s="85">
        <v>0</v>
      </c>
      <c r="I671" s="85" t="s">
        <v>630</v>
      </c>
      <c r="J671" s="128">
        <v>0</v>
      </c>
      <c r="K671" s="128">
        <f t="shared" ref="K671:K734" si="10">J671*G671</f>
        <v>0</v>
      </c>
      <c r="L671" s="125" t="s">
        <v>1255</v>
      </c>
      <c r="M671" s="85" t="s">
        <v>47</v>
      </c>
      <c r="N671" s="85" t="s">
        <v>1491</v>
      </c>
    </row>
    <row r="672" spans="2:14" ht="15.75" thickBot="1" x14ac:dyDescent="0.3">
      <c r="B672" s="82" t="s">
        <v>541</v>
      </c>
      <c r="C672" s="83" t="s">
        <v>629</v>
      </c>
      <c r="D672" s="124" t="s">
        <v>620</v>
      </c>
      <c r="E672" s="130">
        <v>2009</v>
      </c>
      <c r="F672" s="125" t="s">
        <v>734</v>
      </c>
      <c r="G672" s="125">
        <v>34</v>
      </c>
      <c r="H672" s="85">
        <v>6488.0889999999999</v>
      </c>
      <c r="I672" s="85" t="s">
        <v>630</v>
      </c>
      <c r="J672" s="128">
        <v>21609</v>
      </c>
      <c r="K672" s="128">
        <f t="shared" si="10"/>
        <v>734706</v>
      </c>
      <c r="L672" s="125" t="s">
        <v>1256</v>
      </c>
      <c r="M672" s="85" t="s">
        <v>47</v>
      </c>
      <c r="N672" s="85" t="s">
        <v>1491</v>
      </c>
    </row>
    <row r="673" spans="2:14" ht="15.75" thickBot="1" x14ac:dyDescent="0.3">
      <c r="B673" s="82" t="s">
        <v>541</v>
      </c>
      <c r="C673" s="83" t="s">
        <v>629</v>
      </c>
      <c r="D673" s="124" t="s">
        <v>620</v>
      </c>
      <c r="E673" s="130">
        <v>2009</v>
      </c>
      <c r="F673" s="125" t="s">
        <v>734</v>
      </c>
      <c r="G673" s="125">
        <v>34</v>
      </c>
      <c r="H673" s="85">
        <v>3798.57</v>
      </c>
      <c r="I673" s="85" t="s">
        <v>630</v>
      </c>
      <c r="J673" s="128">
        <v>12816</v>
      </c>
      <c r="K673" s="128">
        <f t="shared" si="10"/>
        <v>435744</v>
      </c>
      <c r="L673" s="125" t="s">
        <v>1257</v>
      </c>
      <c r="M673" s="85" t="s">
        <v>47</v>
      </c>
      <c r="N673" s="85" t="s">
        <v>1491</v>
      </c>
    </row>
    <row r="674" spans="2:14" ht="15.75" thickBot="1" x14ac:dyDescent="0.3">
      <c r="B674" s="82" t="s">
        <v>541</v>
      </c>
      <c r="C674" s="83" t="s">
        <v>629</v>
      </c>
      <c r="D674" s="124" t="s">
        <v>620</v>
      </c>
      <c r="E674" s="130">
        <v>2009</v>
      </c>
      <c r="F674" s="125" t="s">
        <v>734</v>
      </c>
      <c r="G674" s="125">
        <v>34</v>
      </c>
      <c r="H674" s="85">
        <v>6392.107</v>
      </c>
      <c r="I674" s="85" t="s">
        <v>630</v>
      </c>
      <c r="J674" s="128">
        <v>20913</v>
      </c>
      <c r="K674" s="128">
        <f t="shared" si="10"/>
        <v>711042</v>
      </c>
      <c r="L674" s="125" t="s">
        <v>1258</v>
      </c>
      <c r="M674" s="85" t="s">
        <v>47</v>
      </c>
      <c r="N674" s="85" t="s">
        <v>1491</v>
      </c>
    </row>
    <row r="675" spans="2:14" ht="15.75" thickBot="1" x14ac:dyDescent="0.3">
      <c r="B675" s="82" t="s">
        <v>541</v>
      </c>
      <c r="C675" s="83" t="s">
        <v>629</v>
      </c>
      <c r="D675" s="124" t="s">
        <v>620</v>
      </c>
      <c r="E675" s="130">
        <v>2009</v>
      </c>
      <c r="F675" s="125" t="s">
        <v>734</v>
      </c>
      <c r="G675" s="125">
        <v>24</v>
      </c>
      <c r="H675" s="85">
        <v>1237.152</v>
      </c>
      <c r="I675" s="85" t="s">
        <v>630</v>
      </c>
      <c r="J675" s="128">
        <v>6395</v>
      </c>
      <c r="K675" s="128">
        <f t="shared" si="10"/>
        <v>153480</v>
      </c>
      <c r="L675" s="125" t="s">
        <v>1259</v>
      </c>
      <c r="M675" s="85" t="s">
        <v>47</v>
      </c>
      <c r="N675" s="85" t="s">
        <v>1491</v>
      </c>
    </row>
    <row r="676" spans="2:14" ht="15.75" thickBot="1" x14ac:dyDescent="0.3">
      <c r="B676" s="82" t="s">
        <v>541</v>
      </c>
      <c r="C676" s="83" t="s">
        <v>629</v>
      </c>
      <c r="D676" s="124" t="s">
        <v>620</v>
      </c>
      <c r="E676" s="130">
        <v>2009</v>
      </c>
      <c r="F676" s="125" t="s">
        <v>734</v>
      </c>
      <c r="G676" s="125">
        <v>24</v>
      </c>
      <c r="H676" s="85">
        <v>2074.7089999999998</v>
      </c>
      <c r="I676" s="85" t="s">
        <v>630</v>
      </c>
      <c r="J676" s="128">
        <v>10343</v>
      </c>
      <c r="K676" s="128">
        <f t="shared" si="10"/>
        <v>248232</v>
      </c>
      <c r="L676" s="125" t="s">
        <v>1260</v>
      </c>
      <c r="M676" s="85" t="s">
        <v>47</v>
      </c>
      <c r="N676" s="85" t="s">
        <v>1491</v>
      </c>
    </row>
    <row r="677" spans="2:14" ht="15.75" thickBot="1" x14ac:dyDescent="0.3">
      <c r="B677" s="82" t="s">
        <v>541</v>
      </c>
      <c r="C677" s="83" t="s">
        <v>629</v>
      </c>
      <c r="D677" s="124" t="s">
        <v>620</v>
      </c>
      <c r="E677" s="130">
        <v>2009</v>
      </c>
      <c r="F677" s="125" t="s">
        <v>734</v>
      </c>
      <c r="G677" s="125">
        <v>69</v>
      </c>
      <c r="H677" s="85">
        <v>12088.854000000001</v>
      </c>
      <c r="I677" s="85" t="s">
        <v>630</v>
      </c>
      <c r="J677" s="128">
        <v>29124</v>
      </c>
      <c r="K677" s="128">
        <f t="shared" si="10"/>
        <v>2009556</v>
      </c>
      <c r="L677" s="125" t="s">
        <v>1261</v>
      </c>
      <c r="M677" s="85" t="s">
        <v>47</v>
      </c>
      <c r="N677" s="85" t="s">
        <v>1491</v>
      </c>
    </row>
    <row r="678" spans="2:14" ht="15.75" thickBot="1" x14ac:dyDescent="0.3">
      <c r="B678" s="82" t="s">
        <v>541</v>
      </c>
      <c r="C678" s="83" t="s">
        <v>629</v>
      </c>
      <c r="D678" s="124" t="s">
        <v>620</v>
      </c>
      <c r="E678" s="130">
        <v>2009</v>
      </c>
      <c r="F678" s="125" t="s">
        <v>734</v>
      </c>
      <c r="G678" s="125">
        <v>27</v>
      </c>
      <c r="H678" s="85">
        <v>1424.1819999999998</v>
      </c>
      <c r="I678" s="85" t="s">
        <v>630</v>
      </c>
      <c r="J678" s="128">
        <v>7637</v>
      </c>
      <c r="K678" s="128">
        <f t="shared" si="10"/>
        <v>206199</v>
      </c>
      <c r="L678" s="125" t="s">
        <v>1262</v>
      </c>
      <c r="M678" s="85" t="s">
        <v>47</v>
      </c>
      <c r="N678" s="85" t="s">
        <v>1491</v>
      </c>
    </row>
    <row r="679" spans="2:14" ht="15.75" thickBot="1" x14ac:dyDescent="0.3">
      <c r="B679" s="82" t="s">
        <v>541</v>
      </c>
      <c r="C679" s="83" t="s">
        <v>629</v>
      </c>
      <c r="D679" s="124" t="s">
        <v>620</v>
      </c>
      <c r="E679" s="130">
        <v>2009</v>
      </c>
      <c r="F679" s="125" t="s">
        <v>734</v>
      </c>
      <c r="G679" s="125">
        <v>27</v>
      </c>
      <c r="H679" s="85">
        <v>2927.6120000000001</v>
      </c>
      <c r="I679" s="85" t="s">
        <v>630</v>
      </c>
      <c r="J679" s="128">
        <v>15225</v>
      </c>
      <c r="K679" s="128">
        <f t="shared" si="10"/>
        <v>411075</v>
      </c>
      <c r="L679" s="125" t="s">
        <v>1263</v>
      </c>
      <c r="M679" s="85" t="s">
        <v>47</v>
      </c>
      <c r="N679" s="85" t="s">
        <v>1491</v>
      </c>
    </row>
    <row r="680" spans="2:14" ht="15.75" thickBot="1" x14ac:dyDescent="0.3">
      <c r="B680" s="82" t="s">
        <v>541</v>
      </c>
      <c r="C680" s="83" t="s">
        <v>629</v>
      </c>
      <c r="D680" s="124" t="s">
        <v>620</v>
      </c>
      <c r="E680" s="130">
        <v>2009</v>
      </c>
      <c r="F680" s="125" t="s">
        <v>734</v>
      </c>
      <c r="G680" s="125">
        <v>27</v>
      </c>
      <c r="H680" s="85">
        <v>1055.7159999999999</v>
      </c>
      <c r="I680" s="85" t="s">
        <v>630</v>
      </c>
      <c r="J680" s="128">
        <v>5535</v>
      </c>
      <c r="K680" s="128">
        <f t="shared" si="10"/>
        <v>149445</v>
      </c>
      <c r="L680" s="125" t="s">
        <v>1264</v>
      </c>
      <c r="M680" s="85" t="s">
        <v>47</v>
      </c>
      <c r="N680" s="85" t="s">
        <v>1491</v>
      </c>
    </row>
    <row r="681" spans="2:14" ht="15.75" thickBot="1" x14ac:dyDescent="0.3">
      <c r="B681" s="82" t="s">
        <v>541</v>
      </c>
      <c r="C681" s="83" t="s">
        <v>629</v>
      </c>
      <c r="D681" s="124" t="s">
        <v>620</v>
      </c>
      <c r="E681" s="130">
        <v>2009</v>
      </c>
      <c r="F681" s="125" t="s">
        <v>734</v>
      </c>
      <c r="G681" s="125">
        <v>27</v>
      </c>
      <c r="H681" s="85">
        <v>1504.6469999999999</v>
      </c>
      <c r="I681" s="85" t="s">
        <v>630</v>
      </c>
      <c r="J681" s="128">
        <v>7925</v>
      </c>
      <c r="K681" s="128">
        <f t="shared" si="10"/>
        <v>213975</v>
      </c>
      <c r="L681" s="125" t="s">
        <v>1265</v>
      </c>
      <c r="M681" s="85" t="s">
        <v>47</v>
      </c>
      <c r="N681" s="85" t="s">
        <v>1491</v>
      </c>
    </row>
    <row r="682" spans="2:14" ht="15.75" thickBot="1" x14ac:dyDescent="0.3">
      <c r="B682" s="82" t="s">
        <v>541</v>
      </c>
      <c r="C682" s="83" t="s">
        <v>629</v>
      </c>
      <c r="D682" s="124" t="s">
        <v>620</v>
      </c>
      <c r="E682" s="130">
        <v>2009</v>
      </c>
      <c r="F682" s="125" t="s">
        <v>734</v>
      </c>
      <c r="G682" s="125">
        <v>27</v>
      </c>
      <c r="H682" s="85">
        <v>777.82399999999996</v>
      </c>
      <c r="I682" s="85" t="s">
        <v>630</v>
      </c>
      <c r="J682" s="128">
        <v>3994</v>
      </c>
      <c r="K682" s="128">
        <f t="shared" si="10"/>
        <v>107838</v>
      </c>
      <c r="L682" s="125" t="s">
        <v>1266</v>
      </c>
      <c r="M682" s="85" t="s">
        <v>47</v>
      </c>
      <c r="N682" s="85" t="s">
        <v>1491</v>
      </c>
    </row>
    <row r="683" spans="2:14" ht="15.75" thickBot="1" x14ac:dyDescent="0.3">
      <c r="B683" s="82" t="s">
        <v>541</v>
      </c>
      <c r="C683" s="83" t="s">
        <v>629</v>
      </c>
      <c r="D683" s="124" t="s">
        <v>620</v>
      </c>
      <c r="E683" s="130">
        <v>2009</v>
      </c>
      <c r="F683" s="125" t="s">
        <v>734</v>
      </c>
      <c r="G683" s="125">
        <v>27</v>
      </c>
      <c r="H683" s="85">
        <v>784.28</v>
      </c>
      <c r="I683" s="85" t="s">
        <v>630</v>
      </c>
      <c r="J683" s="128">
        <v>3929</v>
      </c>
      <c r="K683" s="128">
        <f t="shared" si="10"/>
        <v>106083</v>
      </c>
      <c r="L683" s="125" t="s">
        <v>1267</v>
      </c>
      <c r="M683" s="85" t="s">
        <v>47</v>
      </c>
      <c r="N683" s="85" t="s">
        <v>1491</v>
      </c>
    </row>
    <row r="684" spans="2:14" ht="15.75" thickBot="1" x14ac:dyDescent="0.3">
      <c r="B684" s="82" t="s">
        <v>541</v>
      </c>
      <c r="C684" s="83" t="s">
        <v>629</v>
      </c>
      <c r="D684" s="124" t="s">
        <v>620</v>
      </c>
      <c r="E684" s="130">
        <v>2009</v>
      </c>
      <c r="F684" s="125" t="s">
        <v>734</v>
      </c>
      <c r="G684" s="125">
        <v>27</v>
      </c>
      <c r="H684" s="85">
        <v>31.58</v>
      </c>
      <c r="I684" s="85" t="s">
        <v>630</v>
      </c>
      <c r="J684" s="128">
        <v>175</v>
      </c>
      <c r="K684" s="128">
        <f t="shared" si="10"/>
        <v>4725</v>
      </c>
      <c r="L684" s="125" t="s">
        <v>1268</v>
      </c>
      <c r="M684" s="85" t="s">
        <v>47</v>
      </c>
      <c r="N684" s="85" t="s">
        <v>1491</v>
      </c>
    </row>
    <row r="685" spans="2:14" ht="15.75" thickBot="1" x14ac:dyDescent="0.3">
      <c r="B685" s="82" t="s">
        <v>541</v>
      </c>
      <c r="C685" s="83" t="s">
        <v>629</v>
      </c>
      <c r="D685" s="124" t="s">
        <v>620</v>
      </c>
      <c r="E685" s="130">
        <v>2009</v>
      </c>
      <c r="F685" s="125" t="s">
        <v>734</v>
      </c>
      <c r="G685" s="125">
        <v>27</v>
      </c>
      <c r="H685" s="85">
        <v>4191.4260000000004</v>
      </c>
      <c r="I685" s="85" t="s">
        <v>630</v>
      </c>
      <c r="J685" s="128">
        <v>27508</v>
      </c>
      <c r="K685" s="128">
        <f t="shared" si="10"/>
        <v>742716</v>
      </c>
      <c r="L685" s="125" t="s">
        <v>1269</v>
      </c>
      <c r="M685" s="85" t="s">
        <v>47</v>
      </c>
      <c r="N685" s="85" t="s">
        <v>1491</v>
      </c>
    </row>
    <row r="686" spans="2:14" ht="15.75" thickBot="1" x14ac:dyDescent="0.3">
      <c r="B686" s="82" t="s">
        <v>541</v>
      </c>
      <c r="C686" s="83" t="s">
        <v>629</v>
      </c>
      <c r="D686" s="124" t="s">
        <v>620</v>
      </c>
      <c r="E686" s="130">
        <v>2009</v>
      </c>
      <c r="F686" s="125" t="s">
        <v>734</v>
      </c>
      <c r="G686" s="125">
        <v>27</v>
      </c>
      <c r="H686" s="85">
        <v>3142.6000000000004</v>
      </c>
      <c r="I686" s="85" t="s">
        <v>630</v>
      </c>
      <c r="J686" s="128">
        <v>18337</v>
      </c>
      <c r="K686" s="128">
        <f t="shared" si="10"/>
        <v>495099</v>
      </c>
      <c r="L686" s="125" t="s">
        <v>1270</v>
      </c>
      <c r="M686" s="85" t="s">
        <v>47</v>
      </c>
      <c r="N686" s="85" t="s">
        <v>1491</v>
      </c>
    </row>
    <row r="687" spans="2:14" ht="15.75" thickBot="1" x14ac:dyDescent="0.3">
      <c r="B687" s="82" t="s">
        <v>541</v>
      </c>
      <c r="C687" s="83" t="s">
        <v>629</v>
      </c>
      <c r="D687" s="124" t="s">
        <v>620</v>
      </c>
      <c r="E687" s="130">
        <v>2009</v>
      </c>
      <c r="F687" s="125" t="s">
        <v>734</v>
      </c>
      <c r="G687" s="125">
        <v>51</v>
      </c>
      <c r="H687" s="85">
        <v>0</v>
      </c>
      <c r="I687" s="85" t="s">
        <v>630</v>
      </c>
      <c r="J687" s="128">
        <v>0</v>
      </c>
      <c r="K687" s="128">
        <f t="shared" si="10"/>
        <v>0</v>
      </c>
      <c r="L687" s="125" t="s">
        <v>1271</v>
      </c>
      <c r="M687" s="85" t="s">
        <v>47</v>
      </c>
      <c r="N687" s="85" t="s">
        <v>1491</v>
      </c>
    </row>
    <row r="688" spans="2:14" ht="15.75" thickBot="1" x14ac:dyDescent="0.3">
      <c r="B688" s="82" t="s">
        <v>541</v>
      </c>
      <c r="C688" s="83" t="s">
        <v>629</v>
      </c>
      <c r="D688" s="124" t="s">
        <v>620</v>
      </c>
      <c r="E688" s="130">
        <v>2009</v>
      </c>
      <c r="F688" s="125" t="s">
        <v>734</v>
      </c>
      <c r="G688" s="125">
        <v>51</v>
      </c>
      <c r="H688" s="85">
        <v>0</v>
      </c>
      <c r="I688" s="85" t="s">
        <v>630</v>
      </c>
      <c r="J688" s="128">
        <v>0</v>
      </c>
      <c r="K688" s="128">
        <f t="shared" si="10"/>
        <v>0</v>
      </c>
      <c r="L688" s="125" t="s">
        <v>1272</v>
      </c>
      <c r="M688" s="85" t="s">
        <v>47</v>
      </c>
      <c r="N688" s="85" t="s">
        <v>1491</v>
      </c>
    </row>
    <row r="689" spans="2:14" ht="15.75" thickBot="1" x14ac:dyDescent="0.3">
      <c r="B689" s="82" t="s">
        <v>541</v>
      </c>
      <c r="C689" s="83" t="s">
        <v>629</v>
      </c>
      <c r="D689" s="124" t="s">
        <v>620</v>
      </c>
      <c r="E689" s="130">
        <v>2010</v>
      </c>
      <c r="F689" s="125" t="s">
        <v>734</v>
      </c>
      <c r="G689" s="125">
        <v>58</v>
      </c>
      <c r="H689" s="85">
        <v>16364.618000000002</v>
      </c>
      <c r="I689" s="85" t="s">
        <v>630</v>
      </c>
      <c r="J689" s="128">
        <v>49651</v>
      </c>
      <c r="K689" s="128">
        <f t="shared" si="10"/>
        <v>2879758</v>
      </c>
      <c r="L689" s="125" t="s">
        <v>1273</v>
      </c>
      <c r="M689" s="85" t="s">
        <v>47</v>
      </c>
      <c r="N689" s="85" t="s">
        <v>1491</v>
      </c>
    </row>
    <row r="690" spans="2:14" ht="15.75" thickBot="1" x14ac:dyDescent="0.3">
      <c r="B690" s="82" t="s">
        <v>541</v>
      </c>
      <c r="C690" s="83" t="s">
        <v>629</v>
      </c>
      <c r="D690" s="124" t="s">
        <v>620</v>
      </c>
      <c r="E690" s="130">
        <v>2011</v>
      </c>
      <c r="F690" s="125" t="s">
        <v>734</v>
      </c>
      <c r="G690" s="125">
        <v>24</v>
      </c>
      <c r="H690" s="85">
        <v>1752.577</v>
      </c>
      <c r="I690" s="85" t="s">
        <v>630</v>
      </c>
      <c r="J690" s="128">
        <v>8828</v>
      </c>
      <c r="K690" s="128">
        <f t="shared" si="10"/>
        <v>211872</v>
      </c>
      <c r="L690" s="125" t="s">
        <v>1274</v>
      </c>
      <c r="M690" s="85" t="s">
        <v>47</v>
      </c>
      <c r="N690" s="85" t="s">
        <v>1491</v>
      </c>
    </row>
    <row r="691" spans="2:14" ht="15.75" thickBot="1" x14ac:dyDescent="0.3">
      <c r="B691" s="82" t="s">
        <v>541</v>
      </c>
      <c r="C691" s="83" t="s">
        <v>629</v>
      </c>
      <c r="D691" s="124" t="s">
        <v>620</v>
      </c>
      <c r="E691" s="130">
        <v>2011</v>
      </c>
      <c r="F691" s="125" t="s">
        <v>734</v>
      </c>
      <c r="G691" s="125">
        <v>27</v>
      </c>
      <c r="H691" s="85">
        <v>2768.6169999999997</v>
      </c>
      <c r="I691" s="85" t="s">
        <v>630</v>
      </c>
      <c r="J691" s="128">
        <v>15534</v>
      </c>
      <c r="K691" s="128">
        <f t="shared" si="10"/>
        <v>419418</v>
      </c>
      <c r="L691" s="125" t="s">
        <v>1275</v>
      </c>
      <c r="M691" s="85" t="s">
        <v>47</v>
      </c>
      <c r="N691" s="85" t="s">
        <v>1491</v>
      </c>
    </row>
    <row r="692" spans="2:14" ht="15.75" thickBot="1" x14ac:dyDescent="0.3">
      <c r="B692" s="82" t="s">
        <v>541</v>
      </c>
      <c r="C692" s="83" t="s">
        <v>629</v>
      </c>
      <c r="D692" s="124" t="s">
        <v>620</v>
      </c>
      <c r="E692" s="130">
        <v>2012</v>
      </c>
      <c r="F692" s="125" t="s">
        <v>734</v>
      </c>
      <c r="G692" s="125">
        <v>63</v>
      </c>
      <c r="H692" s="85">
        <v>13780.245000000003</v>
      </c>
      <c r="I692" s="85" t="s">
        <v>630</v>
      </c>
      <c r="J692" s="128">
        <v>38315</v>
      </c>
      <c r="K692" s="128">
        <f t="shared" si="10"/>
        <v>2413845</v>
      </c>
      <c r="L692" s="125" t="s">
        <v>1276</v>
      </c>
      <c r="M692" s="85" t="s">
        <v>47</v>
      </c>
      <c r="N692" s="85" t="s">
        <v>1491</v>
      </c>
    </row>
    <row r="693" spans="2:14" ht="15.75" thickBot="1" x14ac:dyDescent="0.3">
      <c r="B693" s="82" t="s">
        <v>541</v>
      </c>
      <c r="C693" s="83" t="s">
        <v>629</v>
      </c>
      <c r="D693" s="124" t="s">
        <v>620</v>
      </c>
      <c r="E693" s="130">
        <v>2012</v>
      </c>
      <c r="F693" s="125" t="s">
        <v>734</v>
      </c>
      <c r="G693" s="125">
        <v>34</v>
      </c>
      <c r="H693" s="85">
        <v>5668.8020000000006</v>
      </c>
      <c r="I693" s="85" t="s">
        <v>630</v>
      </c>
      <c r="J693" s="128">
        <v>16964</v>
      </c>
      <c r="K693" s="128">
        <f t="shared" si="10"/>
        <v>576776</v>
      </c>
      <c r="L693" s="125" t="s">
        <v>1277</v>
      </c>
      <c r="M693" s="85" t="s">
        <v>47</v>
      </c>
      <c r="N693" s="85" t="s">
        <v>1491</v>
      </c>
    </row>
    <row r="694" spans="2:14" ht="15.75" thickBot="1" x14ac:dyDescent="0.3">
      <c r="B694" s="82" t="s">
        <v>541</v>
      </c>
      <c r="C694" s="83" t="s">
        <v>629</v>
      </c>
      <c r="D694" s="124" t="s">
        <v>620</v>
      </c>
      <c r="E694" s="130">
        <v>2013</v>
      </c>
      <c r="F694" s="125" t="s">
        <v>733</v>
      </c>
      <c r="G694" s="125">
        <v>34</v>
      </c>
      <c r="H694" s="85">
        <v>5355.8899999999994</v>
      </c>
      <c r="I694" s="85" t="s">
        <v>630</v>
      </c>
      <c r="J694" s="128">
        <v>16933</v>
      </c>
      <c r="K694" s="128">
        <f t="shared" si="10"/>
        <v>575722</v>
      </c>
      <c r="L694" s="125" t="s">
        <v>1278</v>
      </c>
      <c r="M694" s="85" t="s">
        <v>47</v>
      </c>
      <c r="N694" s="85" t="s">
        <v>1491</v>
      </c>
    </row>
    <row r="695" spans="2:14" ht="15.75" thickBot="1" x14ac:dyDescent="0.3">
      <c r="B695" s="82" t="s">
        <v>541</v>
      </c>
      <c r="C695" s="83" t="s">
        <v>629</v>
      </c>
      <c r="D695" s="124" t="s">
        <v>620</v>
      </c>
      <c r="E695" s="130">
        <v>2013</v>
      </c>
      <c r="F695" s="125" t="s">
        <v>733</v>
      </c>
      <c r="G695" s="125">
        <v>34</v>
      </c>
      <c r="H695" s="85">
        <v>6880.9660000000003</v>
      </c>
      <c r="I695" s="85" t="s">
        <v>630</v>
      </c>
      <c r="J695" s="128">
        <v>22857</v>
      </c>
      <c r="K695" s="128">
        <f t="shared" si="10"/>
        <v>777138</v>
      </c>
      <c r="L695" s="125" t="s">
        <v>1279</v>
      </c>
      <c r="M695" s="85" t="s">
        <v>47</v>
      </c>
      <c r="N695" s="85" t="s">
        <v>1491</v>
      </c>
    </row>
    <row r="696" spans="2:14" ht="15.75" thickBot="1" x14ac:dyDescent="0.3">
      <c r="B696" s="82" t="s">
        <v>541</v>
      </c>
      <c r="C696" s="83" t="s">
        <v>629</v>
      </c>
      <c r="D696" s="124" t="s">
        <v>620</v>
      </c>
      <c r="E696" s="130">
        <v>2013</v>
      </c>
      <c r="F696" s="125" t="s">
        <v>733</v>
      </c>
      <c r="G696" s="125">
        <v>55</v>
      </c>
      <c r="H696" s="85">
        <v>17205.267</v>
      </c>
      <c r="I696" s="85" t="s">
        <v>630</v>
      </c>
      <c r="J696" s="128">
        <v>48715</v>
      </c>
      <c r="K696" s="128">
        <f t="shared" si="10"/>
        <v>2679325</v>
      </c>
      <c r="L696" s="125" t="s">
        <v>1280</v>
      </c>
      <c r="M696" s="85" t="s">
        <v>47</v>
      </c>
      <c r="N696" s="85" t="s">
        <v>1491</v>
      </c>
    </row>
    <row r="697" spans="2:14" ht="15.75" thickBot="1" x14ac:dyDescent="0.3">
      <c r="B697" s="82" t="s">
        <v>541</v>
      </c>
      <c r="C697" s="83" t="s">
        <v>629</v>
      </c>
      <c r="D697" s="124" t="s">
        <v>620</v>
      </c>
      <c r="E697" s="130">
        <v>2014</v>
      </c>
      <c r="F697" s="125" t="s">
        <v>733</v>
      </c>
      <c r="G697" s="125">
        <v>41</v>
      </c>
      <c r="H697" s="85">
        <v>14986.885999999999</v>
      </c>
      <c r="I697" s="85" t="s">
        <v>630</v>
      </c>
      <c r="J697" s="128">
        <v>56138</v>
      </c>
      <c r="K697" s="128">
        <f t="shared" si="10"/>
        <v>2301658</v>
      </c>
      <c r="L697" s="125" t="s">
        <v>1281</v>
      </c>
      <c r="M697" s="85" t="s">
        <v>47</v>
      </c>
      <c r="N697" s="85" t="s">
        <v>1491</v>
      </c>
    </row>
    <row r="698" spans="2:14" ht="15.75" thickBot="1" x14ac:dyDescent="0.3">
      <c r="B698" s="82" t="s">
        <v>541</v>
      </c>
      <c r="C698" s="83" t="s">
        <v>629</v>
      </c>
      <c r="D698" s="124" t="s">
        <v>620</v>
      </c>
      <c r="E698" s="130">
        <v>2016</v>
      </c>
      <c r="F698" s="125" t="s">
        <v>733</v>
      </c>
      <c r="G698" s="125">
        <v>53</v>
      </c>
      <c r="H698" s="85">
        <v>18533.046000000002</v>
      </c>
      <c r="I698" s="85" t="s">
        <v>630</v>
      </c>
      <c r="J698" s="128">
        <v>54584</v>
      </c>
      <c r="K698" s="128">
        <f t="shared" si="10"/>
        <v>2892952</v>
      </c>
      <c r="L698" s="125" t="s">
        <v>1282</v>
      </c>
      <c r="M698" s="85" t="s">
        <v>47</v>
      </c>
      <c r="N698" s="85" t="s">
        <v>1491</v>
      </c>
    </row>
    <row r="699" spans="2:14" ht="15.75" thickBot="1" x14ac:dyDescent="0.3">
      <c r="B699" s="82" t="s">
        <v>541</v>
      </c>
      <c r="C699" s="83" t="s">
        <v>629</v>
      </c>
      <c r="D699" s="124" t="s">
        <v>620</v>
      </c>
      <c r="E699" s="130">
        <v>2016</v>
      </c>
      <c r="F699" s="125" t="s">
        <v>733</v>
      </c>
      <c r="G699" s="125">
        <v>53</v>
      </c>
      <c r="H699" s="85">
        <v>27640.052999999996</v>
      </c>
      <c r="I699" s="85" t="s">
        <v>630</v>
      </c>
      <c r="J699" s="128">
        <v>90340</v>
      </c>
      <c r="K699" s="128">
        <f t="shared" si="10"/>
        <v>4788020</v>
      </c>
      <c r="L699" s="125" t="s">
        <v>1283</v>
      </c>
      <c r="M699" s="85" t="s">
        <v>47</v>
      </c>
      <c r="N699" s="85" t="s">
        <v>1491</v>
      </c>
    </row>
    <row r="700" spans="2:14" ht="15.75" thickBot="1" x14ac:dyDescent="0.3">
      <c r="B700" s="82" t="s">
        <v>541</v>
      </c>
      <c r="C700" s="83" t="s">
        <v>629</v>
      </c>
      <c r="D700" s="124" t="s">
        <v>620</v>
      </c>
      <c r="E700" s="130">
        <v>2016</v>
      </c>
      <c r="F700" s="125" t="s">
        <v>733</v>
      </c>
      <c r="G700" s="125">
        <v>53</v>
      </c>
      <c r="H700" s="85">
        <v>30584.059000000001</v>
      </c>
      <c r="I700" s="85" t="s">
        <v>630</v>
      </c>
      <c r="J700" s="128">
        <v>100781</v>
      </c>
      <c r="K700" s="128">
        <f t="shared" si="10"/>
        <v>5341393</v>
      </c>
      <c r="L700" s="125" t="s">
        <v>1284</v>
      </c>
      <c r="M700" s="85" t="s">
        <v>47</v>
      </c>
      <c r="N700" s="85" t="s">
        <v>1491</v>
      </c>
    </row>
    <row r="701" spans="2:14" ht="15.75" thickBot="1" x14ac:dyDescent="0.3">
      <c r="B701" s="82" t="s">
        <v>541</v>
      </c>
      <c r="C701" s="83" t="s">
        <v>629</v>
      </c>
      <c r="D701" s="124" t="s">
        <v>620</v>
      </c>
      <c r="E701" s="130">
        <v>2016</v>
      </c>
      <c r="F701" s="125" t="s">
        <v>733</v>
      </c>
      <c r="G701" s="125">
        <v>53</v>
      </c>
      <c r="H701" s="85">
        <v>27579.582999999999</v>
      </c>
      <c r="I701" s="85" t="s">
        <v>630</v>
      </c>
      <c r="J701" s="128">
        <v>89412</v>
      </c>
      <c r="K701" s="128">
        <f t="shared" si="10"/>
        <v>4738836</v>
      </c>
      <c r="L701" s="125" t="s">
        <v>1285</v>
      </c>
      <c r="M701" s="85" t="s">
        <v>47</v>
      </c>
      <c r="N701" s="85" t="s">
        <v>1491</v>
      </c>
    </row>
    <row r="702" spans="2:14" ht="15.75" thickBot="1" x14ac:dyDescent="0.3">
      <c r="B702" s="82" t="s">
        <v>541</v>
      </c>
      <c r="C702" s="83" t="s">
        <v>629</v>
      </c>
      <c r="D702" s="124" t="s">
        <v>620</v>
      </c>
      <c r="E702" s="130">
        <v>2016</v>
      </c>
      <c r="F702" s="125" t="s">
        <v>733</v>
      </c>
      <c r="G702" s="125">
        <v>53</v>
      </c>
      <c r="H702" s="85">
        <v>23104.152000000006</v>
      </c>
      <c r="I702" s="85" t="s">
        <v>630</v>
      </c>
      <c r="J702" s="128">
        <v>69282</v>
      </c>
      <c r="K702" s="128">
        <f t="shared" si="10"/>
        <v>3671946</v>
      </c>
      <c r="L702" s="125" t="s">
        <v>1286</v>
      </c>
      <c r="M702" s="85" t="s">
        <v>47</v>
      </c>
      <c r="N702" s="85" t="s">
        <v>1491</v>
      </c>
    </row>
    <row r="703" spans="2:14" ht="15.75" thickBot="1" x14ac:dyDescent="0.3">
      <c r="B703" s="82" t="s">
        <v>541</v>
      </c>
      <c r="C703" s="83" t="s">
        <v>629</v>
      </c>
      <c r="D703" s="124" t="s">
        <v>620</v>
      </c>
      <c r="E703" s="130">
        <v>2016</v>
      </c>
      <c r="F703" s="125" t="s">
        <v>733</v>
      </c>
      <c r="G703" s="125">
        <v>19</v>
      </c>
      <c r="H703" s="85">
        <v>2344.7399999999998</v>
      </c>
      <c r="I703" s="85" t="s">
        <v>630</v>
      </c>
      <c r="J703" s="128">
        <v>14897</v>
      </c>
      <c r="K703" s="128">
        <f t="shared" si="10"/>
        <v>283043</v>
      </c>
      <c r="L703" s="125" t="s">
        <v>1287</v>
      </c>
      <c r="M703" s="85" t="s">
        <v>47</v>
      </c>
      <c r="N703" s="85" t="s">
        <v>1491</v>
      </c>
    </row>
    <row r="704" spans="2:14" ht="15.75" thickBot="1" x14ac:dyDescent="0.3">
      <c r="B704" s="82" t="s">
        <v>541</v>
      </c>
      <c r="C704" s="83" t="s">
        <v>629</v>
      </c>
      <c r="D704" s="124" t="s">
        <v>620</v>
      </c>
      <c r="E704" s="130">
        <v>2016</v>
      </c>
      <c r="F704" s="125" t="s">
        <v>733</v>
      </c>
      <c r="G704" s="125">
        <v>40</v>
      </c>
      <c r="H704" s="85">
        <v>9404.482</v>
      </c>
      <c r="I704" s="85" t="s">
        <v>630</v>
      </c>
      <c r="J704" s="128">
        <v>31877</v>
      </c>
      <c r="K704" s="128">
        <f t="shared" si="10"/>
        <v>1275080</v>
      </c>
      <c r="L704" s="125" t="s">
        <v>1288</v>
      </c>
      <c r="M704" s="85" t="s">
        <v>47</v>
      </c>
      <c r="N704" s="85" t="s">
        <v>1491</v>
      </c>
    </row>
    <row r="705" spans="2:14" ht="15.75" thickBot="1" x14ac:dyDescent="0.3">
      <c r="B705" s="82" t="s">
        <v>541</v>
      </c>
      <c r="C705" s="83" t="s">
        <v>629</v>
      </c>
      <c r="D705" s="124" t="s">
        <v>620</v>
      </c>
      <c r="E705" s="130">
        <v>2016</v>
      </c>
      <c r="F705" s="125" t="s">
        <v>733</v>
      </c>
      <c r="G705" s="125">
        <v>40</v>
      </c>
      <c r="H705" s="85">
        <v>1908.6200000000001</v>
      </c>
      <c r="I705" s="85" t="s">
        <v>630</v>
      </c>
      <c r="J705" s="128">
        <v>5917</v>
      </c>
      <c r="K705" s="128">
        <f t="shared" si="10"/>
        <v>236680</v>
      </c>
      <c r="L705" s="125" t="s">
        <v>1289</v>
      </c>
      <c r="M705" s="85" t="s">
        <v>47</v>
      </c>
      <c r="N705" s="85" t="s">
        <v>1491</v>
      </c>
    </row>
    <row r="706" spans="2:14" ht="15.75" thickBot="1" x14ac:dyDescent="0.3">
      <c r="B706" s="82" t="s">
        <v>541</v>
      </c>
      <c r="C706" s="83" t="s">
        <v>629</v>
      </c>
      <c r="D706" s="124" t="s">
        <v>620</v>
      </c>
      <c r="E706" s="130">
        <v>2017</v>
      </c>
      <c r="F706" s="125" t="s">
        <v>733</v>
      </c>
      <c r="G706" s="125">
        <v>55</v>
      </c>
      <c r="H706" s="85">
        <v>26951.085000000003</v>
      </c>
      <c r="I706" s="85" t="s">
        <v>630</v>
      </c>
      <c r="J706" s="128">
        <v>82010</v>
      </c>
      <c r="K706" s="128">
        <f t="shared" si="10"/>
        <v>4510550</v>
      </c>
      <c r="L706" s="125" t="s">
        <v>1290</v>
      </c>
      <c r="M706" s="85" t="s">
        <v>47</v>
      </c>
      <c r="N706" s="85" t="s">
        <v>1491</v>
      </c>
    </row>
    <row r="707" spans="2:14" ht="15.75" thickBot="1" x14ac:dyDescent="0.3">
      <c r="B707" s="82" t="s">
        <v>541</v>
      </c>
      <c r="C707" s="83" t="s">
        <v>629</v>
      </c>
      <c r="D707" s="124" t="s">
        <v>620</v>
      </c>
      <c r="E707" s="130">
        <v>2017</v>
      </c>
      <c r="F707" s="125" t="s">
        <v>733</v>
      </c>
      <c r="G707" s="125">
        <v>39</v>
      </c>
      <c r="H707" s="85">
        <v>6755.2210000000014</v>
      </c>
      <c r="I707" s="85" t="s">
        <v>630</v>
      </c>
      <c r="J707" s="128">
        <v>25558</v>
      </c>
      <c r="K707" s="128">
        <f t="shared" si="10"/>
        <v>996762</v>
      </c>
      <c r="L707" s="125" t="s">
        <v>1291</v>
      </c>
      <c r="M707" s="85" t="s">
        <v>47</v>
      </c>
      <c r="N707" s="85" t="s">
        <v>1491</v>
      </c>
    </row>
    <row r="708" spans="2:14" ht="15.75" thickBot="1" x14ac:dyDescent="0.3">
      <c r="B708" s="82" t="s">
        <v>541</v>
      </c>
      <c r="C708" s="83" t="s">
        <v>629</v>
      </c>
      <c r="D708" s="124" t="s">
        <v>620</v>
      </c>
      <c r="E708" s="130">
        <v>2016</v>
      </c>
      <c r="F708" s="125" t="s">
        <v>733</v>
      </c>
      <c r="G708" s="125">
        <v>55</v>
      </c>
      <c r="H708" s="85">
        <v>19868.109999999997</v>
      </c>
      <c r="I708" s="85" t="s">
        <v>630</v>
      </c>
      <c r="J708" s="128">
        <v>58651</v>
      </c>
      <c r="K708" s="128">
        <f t="shared" si="10"/>
        <v>3225805</v>
      </c>
      <c r="L708" s="125" t="s">
        <v>1292</v>
      </c>
      <c r="M708" s="85" t="s">
        <v>47</v>
      </c>
      <c r="N708" s="85" t="s">
        <v>1491</v>
      </c>
    </row>
    <row r="709" spans="2:14" ht="15.75" thickBot="1" x14ac:dyDescent="0.3">
      <c r="B709" s="82" t="s">
        <v>541</v>
      </c>
      <c r="C709" s="83" t="s">
        <v>629</v>
      </c>
      <c r="D709" s="124" t="s">
        <v>620</v>
      </c>
      <c r="E709" s="130">
        <v>2018</v>
      </c>
      <c r="F709" s="125" t="s">
        <v>733</v>
      </c>
      <c r="G709" s="125">
        <v>39</v>
      </c>
      <c r="H709" s="85">
        <v>9254.8780000000006</v>
      </c>
      <c r="I709" s="85" t="s">
        <v>630</v>
      </c>
      <c r="J709" s="128">
        <v>33960</v>
      </c>
      <c r="K709" s="128">
        <f t="shared" si="10"/>
        <v>1324440</v>
      </c>
      <c r="L709" s="125" t="s">
        <v>1293</v>
      </c>
      <c r="M709" s="85" t="s">
        <v>47</v>
      </c>
      <c r="N709" s="85" t="s">
        <v>1491</v>
      </c>
    </row>
    <row r="710" spans="2:14" ht="15.75" thickBot="1" x14ac:dyDescent="0.3">
      <c r="B710" s="82" t="s">
        <v>541</v>
      </c>
      <c r="C710" s="83" t="s">
        <v>629</v>
      </c>
      <c r="D710" s="124" t="s">
        <v>620</v>
      </c>
      <c r="E710" s="130">
        <v>2018</v>
      </c>
      <c r="F710" s="125" t="s">
        <v>733</v>
      </c>
      <c r="G710" s="125">
        <v>39</v>
      </c>
      <c r="H710" s="85">
        <v>10930.446000000002</v>
      </c>
      <c r="I710" s="85" t="s">
        <v>630</v>
      </c>
      <c r="J710" s="128">
        <v>40957</v>
      </c>
      <c r="K710" s="128">
        <f t="shared" si="10"/>
        <v>1597323</v>
      </c>
      <c r="L710" s="125" t="s">
        <v>1294</v>
      </c>
      <c r="M710" s="85" t="s">
        <v>47</v>
      </c>
      <c r="N710" s="85" t="s">
        <v>1491</v>
      </c>
    </row>
    <row r="711" spans="2:14" ht="15.75" thickBot="1" x14ac:dyDescent="0.3">
      <c r="B711" s="82" t="s">
        <v>541</v>
      </c>
      <c r="C711" s="83" t="s">
        <v>629</v>
      </c>
      <c r="D711" s="124" t="s">
        <v>620</v>
      </c>
      <c r="E711" s="130">
        <v>2018</v>
      </c>
      <c r="F711" s="125" t="s">
        <v>733</v>
      </c>
      <c r="G711" s="125">
        <v>39</v>
      </c>
      <c r="H711" s="85">
        <v>11618.116999999998</v>
      </c>
      <c r="I711" s="85" t="s">
        <v>630</v>
      </c>
      <c r="J711" s="128">
        <v>43212</v>
      </c>
      <c r="K711" s="128">
        <f t="shared" si="10"/>
        <v>1685268</v>
      </c>
      <c r="L711" s="125" t="s">
        <v>1295</v>
      </c>
      <c r="M711" s="85" t="s">
        <v>47</v>
      </c>
      <c r="N711" s="85" t="s">
        <v>1491</v>
      </c>
    </row>
    <row r="712" spans="2:14" ht="15.75" thickBot="1" x14ac:dyDescent="0.3">
      <c r="B712" s="82" t="s">
        <v>541</v>
      </c>
      <c r="C712" s="83" t="s">
        <v>629</v>
      </c>
      <c r="D712" s="124" t="s">
        <v>620</v>
      </c>
      <c r="E712" s="130">
        <v>2019</v>
      </c>
      <c r="F712" s="125" t="s">
        <v>733</v>
      </c>
      <c r="G712" s="125">
        <v>53</v>
      </c>
      <c r="H712" s="85">
        <v>30418.862000000001</v>
      </c>
      <c r="I712" s="85" t="s">
        <v>630</v>
      </c>
      <c r="J712" s="128">
        <v>122012</v>
      </c>
      <c r="K712" s="128">
        <f t="shared" si="10"/>
        <v>6466636</v>
      </c>
      <c r="L712" s="125" t="s">
        <v>1296</v>
      </c>
      <c r="M712" s="85" t="s">
        <v>47</v>
      </c>
      <c r="N712" s="85" t="s">
        <v>1491</v>
      </c>
    </row>
    <row r="713" spans="2:14" ht="15.75" thickBot="1" x14ac:dyDescent="0.3">
      <c r="B713" s="82" t="s">
        <v>541</v>
      </c>
      <c r="C713" s="83" t="s">
        <v>629</v>
      </c>
      <c r="D713" s="124" t="s">
        <v>620</v>
      </c>
      <c r="E713" s="130">
        <v>2019</v>
      </c>
      <c r="F713" s="125" t="s">
        <v>733</v>
      </c>
      <c r="G713" s="125">
        <v>53</v>
      </c>
      <c r="H713" s="85">
        <v>24557.69</v>
      </c>
      <c r="I713" s="85" t="s">
        <v>630</v>
      </c>
      <c r="J713" s="128">
        <v>96844</v>
      </c>
      <c r="K713" s="128">
        <f t="shared" si="10"/>
        <v>5132732</v>
      </c>
      <c r="L713" s="125" t="s">
        <v>1297</v>
      </c>
      <c r="M713" s="85" t="s">
        <v>47</v>
      </c>
      <c r="N713" s="85" t="s">
        <v>1491</v>
      </c>
    </row>
    <row r="714" spans="2:14" ht="15.75" thickBot="1" x14ac:dyDescent="0.3">
      <c r="B714" s="82" t="s">
        <v>541</v>
      </c>
      <c r="C714" s="83" t="s">
        <v>629</v>
      </c>
      <c r="D714" s="124" t="s">
        <v>620</v>
      </c>
      <c r="E714" s="130">
        <v>2019</v>
      </c>
      <c r="F714" s="125" t="s">
        <v>733</v>
      </c>
      <c r="G714" s="125">
        <v>39</v>
      </c>
      <c r="H714" s="85">
        <v>13070.733</v>
      </c>
      <c r="I714" s="85" t="s">
        <v>630</v>
      </c>
      <c r="J714" s="128">
        <v>48980</v>
      </c>
      <c r="K714" s="128">
        <f t="shared" si="10"/>
        <v>1910220</v>
      </c>
      <c r="L714" s="125" t="s">
        <v>1298</v>
      </c>
      <c r="M714" s="85" t="s">
        <v>47</v>
      </c>
      <c r="N714" s="85" t="s">
        <v>1491</v>
      </c>
    </row>
    <row r="715" spans="2:14" ht="15.75" thickBot="1" x14ac:dyDescent="0.3">
      <c r="B715" s="82" t="s">
        <v>541</v>
      </c>
      <c r="C715" s="83" t="s">
        <v>629</v>
      </c>
      <c r="D715" s="124" t="s">
        <v>620</v>
      </c>
      <c r="E715" s="130">
        <v>2019</v>
      </c>
      <c r="F715" s="125" t="s">
        <v>733</v>
      </c>
      <c r="G715" s="125">
        <v>39</v>
      </c>
      <c r="H715" s="85">
        <v>11473.458999999999</v>
      </c>
      <c r="I715" s="85" t="s">
        <v>630</v>
      </c>
      <c r="J715" s="128">
        <v>39862</v>
      </c>
      <c r="K715" s="128">
        <f t="shared" si="10"/>
        <v>1554618</v>
      </c>
      <c r="L715" s="125" t="s">
        <v>1299</v>
      </c>
      <c r="M715" s="85" t="s">
        <v>47</v>
      </c>
      <c r="N715" s="85" t="s">
        <v>1491</v>
      </c>
    </row>
    <row r="716" spans="2:14" ht="15.75" thickBot="1" x14ac:dyDescent="0.3">
      <c r="B716" s="82" t="s">
        <v>541</v>
      </c>
      <c r="C716" s="83" t="s">
        <v>629</v>
      </c>
      <c r="D716" s="124" t="s">
        <v>620</v>
      </c>
      <c r="E716" s="130">
        <v>2019</v>
      </c>
      <c r="F716" s="125" t="s">
        <v>733</v>
      </c>
      <c r="G716" s="125">
        <v>19</v>
      </c>
      <c r="H716" s="85">
        <v>5494.7029999999986</v>
      </c>
      <c r="I716" s="85" t="s">
        <v>630</v>
      </c>
      <c r="J716" s="128">
        <v>28539</v>
      </c>
      <c r="K716" s="128">
        <f t="shared" si="10"/>
        <v>542241</v>
      </c>
      <c r="L716" s="125" t="s">
        <v>1300</v>
      </c>
      <c r="M716" s="85" t="s">
        <v>47</v>
      </c>
      <c r="N716" s="85" t="s">
        <v>1491</v>
      </c>
    </row>
    <row r="717" spans="2:14" ht="15.75" thickBot="1" x14ac:dyDescent="0.3">
      <c r="B717" s="82" t="s">
        <v>541</v>
      </c>
      <c r="C717" s="83" t="s">
        <v>629</v>
      </c>
      <c r="D717" s="124" t="s">
        <v>620</v>
      </c>
      <c r="E717" s="130">
        <v>2020</v>
      </c>
      <c r="F717" s="125" t="s">
        <v>733</v>
      </c>
      <c r="G717" s="125">
        <v>53</v>
      </c>
      <c r="H717" s="85">
        <v>25161.516999999996</v>
      </c>
      <c r="I717" s="85" t="s">
        <v>630</v>
      </c>
      <c r="J717" s="128">
        <v>100932</v>
      </c>
      <c r="K717" s="128">
        <f t="shared" si="10"/>
        <v>5349396</v>
      </c>
      <c r="L717" s="125" t="s">
        <v>1301</v>
      </c>
      <c r="M717" s="85" t="s">
        <v>47</v>
      </c>
      <c r="N717" s="85" t="s">
        <v>1491</v>
      </c>
    </row>
    <row r="718" spans="2:14" ht="15.75" thickBot="1" x14ac:dyDescent="0.3">
      <c r="B718" s="82" t="s">
        <v>541</v>
      </c>
      <c r="C718" s="83" t="s">
        <v>629</v>
      </c>
      <c r="D718" s="124" t="s">
        <v>620</v>
      </c>
      <c r="E718" s="130">
        <v>2020</v>
      </c>
      <c r="F718" s="125" t="s">
        <v>733</v>
      </c>
      <c r="G718" s="125">
        <v>63</v>
      </c>
      <c r="H718" s="85">
        <v>78692.513999999996</v>
      </c>
      <c r="I718" s="85" t="s">
        <v>630</v>
      </c>
      <c r="J718" s="128">
        <v>264642</v>
      </c>
      <c r="K718" s="128">
        <f t="shared" si="10"/>
        <v>16672446</v>
      </c>
      <c r="L718" s="125" t="s">
        <v>1302</v>
      </c>
      <c r="M718" s="85" t="s">
        <v>47</v>
      </c>
      <c r="N718" s="85" t="s">
        <v>1491</v>
      </c>
    </row>
    <row r="719" spans="2:14" ht="15.75" thickBot="1" x14ac:dyDescent="0.3">
      <c r="B719" s="82" t="s">
        <v>541</v>
      </c>
      <c r="C719" s="83" t="s">
        <v>629</v>
      </c>
      <c r="D719" s="124" t="s">
        <v>620</v>
      </c>
      <c r="E719" s="130">
        <v>2020</v>
      </c>
      <c r="F719" s="125" t="s">
        <v>733</v>
      </c>
      <c r="G719" s="125">
        <v>29</v>
      </c>
      <c r="H719" s="85">
        <v>4804.7290000000003</v>
      </c>
      <c r="I719" s="85" t="s">
        <v>630</v>
      </c>
      <c r="J719" s="128">
        <v>23668</v>
      </c>
      <c r="K719" s="128">
        <f t="shared" si="10"/>
        <v>686372</v>
      </c>
      <c r="L719" s="125" t="s">
        <v>1303</v>
      </c>
      <c r="M719" s="85" t="s">
        <v>47</v>
      </c>
      <c r="N719" s="85" t="s">
        <v>1491</v>
      </c>
    </row>
    <row r="720" spans="2:14" ht="15.75" thickBot="1" x14ac:dyDescent="0.3">
      <c r="B720" s="82" t="s">
        <v>541</v>
      </c>
      <c r="C720" s="83" t="s">
        <v>629</v>
      </c>
      <c r="D720" s="124" t="s">
        <v>620</v>
      </c>
      <c r="E720" s="130">
        <v>2020</v>
      </c>
      <c r="F720" s="125" t="s">
        <v>733</v>
      </c>
      <c r="G720" s="125">
        <v>29</v>
      </c>
      <c r="H720" s="85">
        <v>5770.2780000000002</v>
      </c>
      <c r="I720" s="85" t="s">
        <v>630</v>
      </c>
      <c r="J720" s="128">
        <v>29266</v>
      </c>
      <c r="K720" s="128">
        <f t="shared" si="10"/>
        <v>848714</v>
      </c>
      <c r="L720" s="125" t="s">
        <v>1304</v>
      </c>
      <c r="M720" s="85" t="s">
        <v>47</v>
      </c>
      <c r="N720" s="85" t="s">
        <v>1491</v>
      </c>
    </row>
    <row r="721" spans="2:14" ht="15.75" thickBot="1" x14ac:dyDescent="0.3">
      <c r="B721" s="82" t="s">
        <v>541</v>
      </c>
      <c r="C721" s="83" t="s">
        <v>629</v>
      </c>
      <c r="D721" s="124" t="s">
        <v>620</v>
      </c>
      <c r="E721" s="130">
        <v>2009</v>
      </c>
      <c r="F721" s="125" t="s">
        <v>734</v>
      </c>
      <c r="G721" s="125">
        <v>34</v>
      </c>
      <c r="H721" s="85">
        <v>6053.0450000000001</v>
      </c>
      <c r="I721" s="85" t="s">
        <v>630</v>
      </c>
      <c r="J721" s="128">
        <v>21004</v>
      </c>
      <c r="K721" s="128">
        <f t="shared" si="10"/>
        <v>714136</v>
      </c>
      <c r="L721" s="125" t="s">
        <v>1305</v>
      </c>
      <c r="M721" s="85" t="s">
        <v>47</v>
      </c>
      <c r="N721" s="85" t="s">
        <v>1491</v>
      </c>
    </row>
    <row r="722" spans="2:14" ht="15.75" thickBot="1" x14ac:dyDescent="0.3">
      <c r="B722" s="82" t="s">
        <v>541</v>
      </c>
      <c r="C722" s="83" t="s">
        <v>629</v>
      </c>
      <c r="D722" s="124" t="s">
        <v>620</v>
      </c>
      <c r="E722" s="130">
        <v>2014</v>
      </c>
      <c r="F722" s="125" t="s">
        <v>733</v>
      </c>
      <c r="G722" s="125">
        <v>62</v>
      </c>
      <c r="H722" s="85">
        <v>11974.539999999997</v>
      </c>
      <c r="I722" s="85" t="s">
        <v>630</v>
      </c>
      <c r="J722" s="128">
        <v>29215</v>
      </c>
      <c r="K722" s="128">
        <f t="shared" si="10"/>
        <v>1811330</v>
      </c>
      <c r="L722" s="125" t="s">
        <v>1306</v>
      </c>
      <c r="M722" s="85" t="s">
        <v>47</v>
      </c>
      <c r="N722" s="85" t="s">
        <v>1491</v>
      </c>
    </row>
    <row r="723" spans="2:14" ht="15.75" thickBot="1" x14ac:dyDescent="0.3">
      <c r="B723" s="82" t="s">
        <v>541</v>
      </c>
      <c r="C723" s="83" t="s">
        <v>629</v>
      </c>
      <c r="D723" s="124" t="s">
        <v>620</v>
      </c>
      <c r="E723" s="130">
        <v>2019</v>
      </c>
      <c r="F723" s="125" t="s">
        <v>733</v>
      </c>
      <c r="G723" s="125">
        <v>16</v>
      </c>
      <c r="H723" s="85">
        <v>399.45</v>
      </c>
      <c r="I723" s="85" t="s">
        <v>630</v>
      </c>
      <c r="J723" s="128">
        <v>2348</v>
      </c>
      <c r="K723" s="128">
        <f t="shared" si="10"/>
        <v>37568</v>
      </c>
      <c r="L723" s="125" t="s">
        <v>1307</v>
      </c>
      <c r="M723" s="85" t="s">
        <v>47</v>
      </c>
      <c r="N723" s="85" t="s">
        <v>1491</v>
      </c>
    </row>
    <row r="724" spans="2:14" ht="15.75" thickBot="1" x14ac:dyDescent="0.3">
      <c r="B724" s="82" t="s">
        <v>541</v>
      </c>
      <c r="C724" s="83" t="s">
        <v>629</v>
      </c>
      <c r="D724" s="124" t="s">
        <v>620</v>
      </c>
      <c r="E724" s="130">
        <v>2006</v>
      </c>
      <c r="F724" s="125" t="s">
        <v>731</v>
      </c>
      <c r="G724" s="125">
        <v>58</v>
      </c>
      <c r="H724" s="85">
        <v>4800.585</v>
      </c>
      <c r="I724" s="85" t="s">
        <v>630</v>
      </c>
      <c r="J724" s="128">
        <v>15259</v>
      </c>
      <c r="K724" s="128">
        <f t="shared" si="10"/>
        <v>885022</v>
      </c>
      <c r="L724" s="125" t="s">
        <v>1308</v>
      </c>
      <c r="M724" s="85" t="s">
        <v>47</v>
      </c>
      <c r="N724" s="85" t="s">
        <v>1491</v>
      </c>
    </row>
    <row r="725" spans="2:14" ht="15.75" thickBot="1" x14ac:dyDescent="0.3">
      <c r="B725" s="82" t="s">
        <v>541</v>
      </c>
      <c r="C725" s="83" t="s">
        <v>629</v>
      </c>
      <c r="D725" s="124" t="s">
        <v>620</v>
      </c>
      <c r="E725" s="130">
        <v>2004</v>
      </c>
      <c r="F725" s="125" t="s">
        <v>732</v>
      </c>
      <c r="G725" s="125">
        <v>19</v>
      </c>
      <c r="H725" s="85">
        <v>0</v>
      </c>
      <c r="I725" s="85" t="s">
        <v>630</v>
      </c>
      <c r="J725" s="128">
        <v>0</v>
      </c>
      <c r="K725" s="128">
        <f t="shared" si="10"/>
        <v>0</v>
      </c>
      <c r="L725" s="125" t="s">
        <v>1309</v>
      </c>
      <c r="M725" s="85" t="s">
        <v>47</v>
      </c>
      <c r="N725" s="85" t="s">
        <v>1491</v>
      </c>
    </row>
    <row r="726" spans="2:14" ht="15.75" thickBot="1" x14ac:dyDescent="0.3">
      <c r="B726" s="82" t="s">
        <v>541</v>
      </c>
      <c r="C726" s="83" t="s">
        <v>629</v>
      </c>
      <c r="D726" s="124" t="s">
        <v>620</v>
      </c>
      <c r="E726" s="130">
        <v>2015</v>
      </c>
      <c r="F726" s="125" t="s">
        <v>733</v>
      </c>
      <c r="G726" s="125">
        <v>53</v>
      </c>
      <c r="H726" s="85">
        <v>1899.4940000000001</v>
      </c>
      <c r="I726" s="85" t="s">
        <v>630</v>
      </c>
      <c r="J726" s="128">
        <v>12280</v>
      </c>
      <c r="K726" s="128">
        <f t="shared" si="10"/>
        <v>650840</v>
      </c>
      <c r="L726" s="125" t="s">
        <v>1310</v>
      </c>
      <c r="M726" s="85" t="s">
        <v>47</v>
      </c>
      <c r="N726" s="85" t="s">
        <v>1491</v>
      </c>
    </row>
    <row r="727" spans="2:14" ht="15.75" thickBot="1" x14ac:dyDescent="0.3">
      <c r="B727" s="82" t="s">
        <v>541</v>
      </c>
      <c r="C727" s="83" t="s">
        <v>629</v>
      </c>
      <c r="D727" s="124" t="s">
        <v>620</v>
      </c>
      <c r="E727" s="130">
        <v>2004</v>
      </c>
      <c r="F727" s="125" t="s">
        <v>732</v>
      </c>
      <c r="G727" s="125">
        <v>53</v>
      </c>
      <c r="H727" s="85">
        <v>0</v>
      </c>
      <c r="I727" s="85" t="s">
        <v>630</v>
      </c>
      <c r="J727" s="128">
        <v>0</v>
      </c>
      <c r="K727" s="128">
        <f t="shared" si="10"/>
        <v>0</v>
      </c>
      <c r="L727" s="125" t="s">
        <v>1311</v>
      </c>
      <c r="M727" s="85" t="s">
        <v>47</v>
      </c>
      <c r="N727" s="85" t="s">
        <v>1491</v>
      </c>
    </row>
    <row r="728" spans="2:14" ht="15.75" thickBot="1" x14ac:dyDescent="0.3">
      <c r="B728" s="82" t="s">
        <v>541</v>
      </c>
      <c r="C728" s="83" t="s">
        <v>629</v>
      </c>
      <c r="D728" s="124" t="s">
        <v>620</v>
      </c>
      <c r="E728" s="130">
        <v>2004</v>
      </c>
      <c r="F728" s="125" t="s">
        <v>732</v>
      </c>
      <c r="G728" s="125">
        <v>53</v>
      </c>
      <c r="H728" s="85">
        <v>2193.0839999999998</v>
      </c>
      <c r="I728" s="85" t="s">
        <v>630</v>
      </c>
      <c r="J728" s="128">
        <v>6512</v>
      </c>
      <c r="K728" s="128">
        <f t="shared" si="10"/>
        <v>345136</v>
      </c>
      <c r="L728" s="125" t="s">
        <v>1312</v>
      </c>
      <c r="M728" s="85" t="s">
        <v>47</v>
      </c>
      <c r="N728" s="85" t="s">
        <v>1491</v>
      </c>
    </row>
    <row r="729" spans="2:14" ht="15.75" thickBot="1" x14ac:dyDescent="0.3">
      <c r="B729" s="82" t="s">
        <v>541</v>
      </c>
      <c r="C729" s="83" t="s">
        <v>629</v>
      </c>
      <c r="D729" s="124" t="s">
        <v>620</v>
      </c>
      <c r="E729" s="130">
        <v>2004</v>
      </c>
      <c r="F729" s="125" t="s">
        <v>732</v>
      </c>
      <c r="G729" s="125">
        <v>53</v>
      </c>
      <c r="H729" s="85">
        <v>0</v>
      </c>
      <c r="I729" s="85" t="s">
        <v>630</v>
      </c>
      <c r="J729" s="128">
        <v>0</v>
      </c>
      <c r="K729" s="128">
        <f t="shared" si="10"/>
        <v>0</v>
      </c>
      <c r="L729" s="125" t="s">
        <v>1313</v>
      </c>
      <c r="M729" s="85" t="s">
        <v>47</v>
      </c>
      <c r="N729" s="85" t="s">
        <v>1491</v>
      </c>
    </row>
    <row r="730" spans="2:14" ht="15.75" thickBot="1" x14ac:dyDescent="0.3">
      <c r="B730" s="82" t="s">
        <v>541</v>
      </c>
      <c r="C730" s="83" t="s">
        <v>629</v>
      </c>
      <c r="D730" s="124" t="s">
        <v>620</v>
      </c>
      <c r="E730" s="130">
        <v>2004</v>
      </c>
      <c r="F730" s="125" t="s">
        <v>732</v>
      </c>
      <c r="G730" s="125">
        <v>49</v>
      </c>
      <c r="H730" s="85">
        <v>14208.113000000001</v>
      </c>
      <c r="I730" s="85" t="s">
        <v>630</v>
      </c>
      <c r="J730" s="128">
        <v>45003</v>
      </c>
      <c r="K730" s="128">
        <f t="shared" si="10"/>
        <v>2205147</v>
      </c>
      <c r="L730" s="125" t="s">
        <v>1314</v>
      </c>
      <c r="M730" s="85" t="s">
        <v>47</v>
      </c>
      <c r="N730" s="85" t="s">
        <v>1491</v>
      </c>
    </row>
    <row r="731" spans="2:14" ht="15.75" thickBot="1" x14ac:dyDescent="0.3">
      <c r="B731" s="82" t="s">
        <v>541</v>
      </c>
      <c r="C731" s="83" t="s">
        <v>629</v>
      </c>
      <c r="D731" s="124" t="s">
        <v>620</v>
      </c>
      <c r="E731" s="130">
        <v>2005</v>
      </c>
      <c r="F731" s="125" t="s">
        <v>732</v>
      </c>
      <c r="G731" s="125">
        <v>37</v>
      </c>
      <c r="H731" s="85">
        <v>10290.300000000001</v>
      </c>
      <c r="I731" s="85" t="s">
        <v>630</v>
      </c>
      <c r="J731" s="128">
        <v>29820</v>
      </c>
      <c r="K731" s="128">
        <f t="shared" si="10"/>
        <v>1103340</v>
      </c>
      <c r="L731" s="125" t="s">
        <v>1315</v>
      </c>
      <c r="M731" s="85" t="s">
        <v>47</v>
      </c>
      <c r="N731" s="85" t="s">
        <v>1491</v>
      </c>
    </row>
    <row r="732" spans="2:14" ht="15.75" thickBot="1" x14ac:dyDescent="0.3">
      <c r="B732" s="82" t="s">
        <v>541</v>
      </c>
      <c r="C732" s="83" t="s">
        <v>629</v>
      </c>
      <c r="D732" s="124" t="s">
        <v>620</v>
      </c>
      <c r="E732" s="130">
        <v>2006</v>
      </c>
      <c r="F732" s="125" t="s">
        <v>731</v>
      </c>
      <c r="G732" s="125">
        <v>53</v>
      </c>
      <c r="H732" s="85">
        <v>14041.046</v>
      </c>
      <c r="I732" s="85" t="s">
        <v>630</v>
      </c>
      <c r="J732" s="128">
        <v>35095</v>
      </c>
      <c r="K732" s="128">
        <f t="shared" si="10"/>
        <v>1860035</v>
      </c>
      <c r="L732" s="125" t="s">
        <v>1316</v>
      </c>
      <c r="M732" s="85" t="s">
        <v>47</v>
      </c>
      <c r="N732" s="85" t="s">
        <v>1491</v>
      </c>
    </row>
    <row r="733" spans="2:14" ht="15.75" thickBot="1" x14ac:dyDescent="0.3">
      <c r="B733" s="82" t="s">
        <v>541</v>
      </c>
      <c r="C733" s="83" t="s">
        <v>629</v>
      </c>
      <c r="D733" s="124" t="s">
        <v>620</v>
      </c>
      <c r="E733" s="130">
        <v>2006</v>
      </c>
      <c r="F733" s="125" t="s">
        <v>731</v>
      </c>
      <c r="G733" s="125">
        <v>51</v>
      </c>
      <c r="H733" s="85">
        <v>10960.237000000003</v>
      </c>
      <c r="I733" s="85" t="s">
        <v>630</v>
      </c>
      <c r="J733" s="128">
        <v>32348</v>
      </c>
      <c r="K733" s="128">
        <f t="shared" si="10"/>
        <v>1649748</v>
      </c>
      <c r="L733" s="125" t="s">
        <v>1317</v>
      </c>
      <c r="M733" s="85" t="s">
        <v>47</v>
      </c>
      <c r="N733" s="85" t="s">
        <v>1491</v>
      </c>
    </row>
    <row r="734" spans="2:14" ht="15.75" thickBot="1" x14ac:dyDescent="0.3">
      <c r="B734" s="82" t="s">
        <v>541</v>
      </c>
      <c r="C734" s="83" t="s">
        <v>629</v>
      </c>
      <c r="D734" s="124" t="s">
        <v>620</v>
      </c>
      <c r="E734" s="130">
        <v>2006</v>
      </c>
      <c r="F734" s="125" t="s">
        <v>731</v>
      </c>
      <c r="G734" s="125">
        <v>51</v>
      </c>
      <c r="H734" s="85">
        <v>3585.84</v>
      </c>
      <c r="I734" s="85" t="s">
        <v>630</v>
      </c>
      <c r="J734" s="128">
        <v>12299</v>
      </c>
      <c r="K734" s="128">
        <f t="shared" si="10"/>
        <v>627249</v>
      </c>
      <c r="L734" s="125" t="s">
        <v>1318</v>
      </c>
      <c r="M734" s="85" t="s">
        <v>47</v>
      </c>
      <c r="N734" s="85" t="s">
        <v>1491</v>
      </c>
    </row>
    <row r="735" spans="2:14" ht="15.75" thickBot="1" x14ac:dyDescent="0.3">
      <c r="B735" s="82" t="s">
        <v>541</v>
      </c>
      <c r="C735" s="83" t="s">
        <v>629</v>
      </c>
      <c r="D735" s="124" t="s">
        <v>620</v>
      </c>
      <c r="E735" s="130">
        <v>2006</v>
      </c>
      <c r="F735" s="125" t="s">
        <v>731</v>
      </c>
      <c r="G735" s="125">
        <v>51</v>
      </c>
      <c r="H735" s="85">
        <v>11794.012000000001</v>
      </c>
      <c r="I735" s="85" t="s">
        <v>630</v>
      </c>
      <c r="J735" s="128">
        <v>34648</v>
      </c>
      <c r="K735" s="128">
        <f t="shared" ref="K735:K798" si="11">J735*G735</f>
        <v>1767048</v>
      </c>
      <c r="L735" s="125" t="s">
        <v>1319</v>
      </c>
      <c r="M735" s="85" t="s">
        <v>47</v>
      </c>
      <c r="N735" s="85" t="s">
        <v>1491</v>
      </c>
    </row>
    <row r="736" spans="2:14" ht="15.75" thickBot="1" x14ac:dyDescent="0.3">
      <c r="B736" s="82" t="s">
        <v>541</v>
      </c>
      <c r="C736" s="83" t="s">
        <v>629</v>
      </c>
      <c r="D736" s="124" t="s">
        <v>620</v>
      </c>
      <c r="E736" s="130">
        <v>2006</v>
      </c>
      <c r="F736" s="125" t="s">
        <v>731</v>
      </c>
      <c r="G736" s="125">
        <v>51</v>
      </c>
      <c r="H736" s="85">
        <v>9899.4290000000001</v>
      </c>
      <c r="I736" s="85" t="s">
        <v>630</v>
      </c>
      <c r="J736" s="128">
        <v>28597</v>
      </c>
      <c r="K736" s="128">
        <f t="shared" si="11"/>
        <v>1458447</v>
      </c>
      <c r="L736" s="125" t="s">
        <v>1320</v>
      </c>
      <c r="M736" s="85" t="s">
        <v>47</v>
      </c>
      <c r="N736" s="85" t="s">
        <v>1491</v>
      </c>
    </row>
    <row r="737" spans="2:14" ht="15.75" thickBot="1" x14ac:dyDescent="0.3">
      <c r="B737" s="82" t="s">
        <v>541</v>
      </c>
      <c r="C737" s="83" t="s">
        <v>629</v>
      </c>
      <c r="D737" s="124" t="s">
        <v>620</v>
      </c>
      <c r="E737" s="130">
        <v>2007</v>
      </c>
      <c r="F737" s="125" t="s">
        <v>731</v>
      </c>
      <c r="G737" s="125">
        <v>55</v>
      </c>
      <c r="H737" s="85">
        <v>11337.277000000002</v>
      </c>
      <c r="I737" s="85" t="s">
        <v>630</v>
      </c>
      <c r="J737" s="128">
        <v>33043</v>
      </c>
      <c r="K737" s="128">
        <f t="shared" si="11"/>
        <v>1817365</v>
      </c>
      <c r="L737" s="125" t="s">
        <v>1321</v>
      </c>
      <c r="M737" s="85" t="s">
        <v>47</v>
      </c>
      <c r="N737" s="85" t="s">
        <v>1491</v>
      </c>
    </row>
    <row r="738" spans="2:14" ht="15.75" thickBot="1" x14ac:dyDescent="0.3">
      <c r="B738" s="82" t="s">
        <v>541</v>
      </c>
      <c r="C738" s="83" t="s">
        <v>629</v>
      </c>
      <c r="D738" s="124" t="s">
        <v>620</v>
      </c>
      <c r="E738" s="130">
        <v>2007</v>
      </c>
      <c r="F738" s="125" t="s">
        <v>731</v>
      </c>
      <c r="G738" s="125">
        <v>55</v>
      </c>
      <c r="H738" s="85">
        <v>12801.24</v>
      </c>
      <c r="I738" s="85" t="s">
        <v>630</v>
      </c>
      <c r="J738" s="128">
        <v>38524</v>
      </c>
      <c r="K738" s="128">
        <f t="shared" si="11"/>
        <v>2118820</v>
      </c>
      <c r="L738" s="125" t="s">
        <v>1322</v>
      </c>
      <c r="M738" s="85" t="s">
        <v>47</v>
      </c>
      <c r="N738" s="85" t="s">
        <v>1491</v>
      </c>
    </row>
    <row r="739" spans="2:14" ht="15.75" thickBot="1" x14ac:dyDescent="0.3">
      <c r="B739" s="82" t="s">
        <v>541</v>
      </c>
      <c r="C739" s="83" t="s">
        <v>629</v>
      </c>
      <c r="D739" s="124" t="s">
        <v>620</v>
      </c>
      <c r="E739" s="130">
        <v>2007</v>
      </c>
      <c r="F739" s="125" t="s">
        <v>731</v>
      </c>
      <c r="G739" s="125">
        <v>55</v>
      </c>
      <c r="H739" s="85">
        <v>14762.460999999999</v>
      </c>
      <c r="I739" s="85" t="s">
        <v>630</v>
      </c>
      <c r="J739" s="128">
        <v>42788</v>
      </c>
      <c r="K739" s="128">
        <f t="shared" si="11"/>
        <v>2353340</v>
      </c>
      <c r="L739" s="125" t="s">
        <v>1323</v>
      </c>
      <c r="M739" s="85" t="s">
        <v>47</v>
      </c>
      <c r="N739" s="85" t="s">
        <v>1491</v>
      </c>
    </row>
    <row r="740" spans="2:14" ht="15.75" thickBot="1" x14ac:dyDescent="0.3">
      <c r="B740" s="82" t="s">
        <v>541</v>
      </c>
      <c r="C740" s="83" t="s">
        <v>629</v>
      </c>
      <c r="D740" s="124" t="s">
        <v>620</v>
      </c>
      <c r="E740" s="130">
        <v>2007</v>
      </c>
      <c r="F740" s="125" t="s">
        <v>731</v>
      </c>
      <c r="G740" s="125">
        <v>55</v>
      </c>
      <c r="H740" s="85">
        <v>14538.562</v>
      </c>
      <c r="I740" s="85" t="s">
        <v>630</v>
      </c>
      <c r="J740" s="128">
        <v>41234</v>
      </c>
      <c r="K740" s="128">
        <f t="shared" si="11"/>
        <v>2267870</v>
      </c>
      <c r="L740" s="125" t="s">
        <v>1324</v>
      </c>
      <c r="M740" s="85" t="s">
        <v>47</v>
      </c>
      <c r="N740" s="85" t="s">
        <v>1491</v>
      </c>
    </row>
    <row r="741" spans="2:14" ht="15.75" thickBot="1" x14ac:dyDescent="0.3">
      <c r="B741" s="82" t="s">
        <v>541</v>
      </c>
      <c r="C741" s="83" t="s">
        <v>629</v>
      </c>
      <c r="D741" s="124" t="s">
        <v>620</v>
      </c>
      <c r="E741" s="130">
        <v>2008</v>
      </c>
      <c r="F741" s="125" t="s">
        <v>731</v>
      </c>
      <c r="G741" s="125">
        <v>53</v>
      </c>
      <c r="H741" s="85">
        <v>14734.53</v>
      </c>
      <c r="I741" s="85" t="s">
        <v>630</v>
      </c>
      <c r="J741" s="128">
        <v>41176</v>
      </c>
      <c r="K741" s="128">
        <f t="shared" si="11"/>
        <v>2182328</v>
      </c>
      <c r="L741" s="125" t="s">
        <v>1325</v>
      </c>
      <c r="M741" s="85" t="s">
        <v>47</v>
      </c>
      <c r="N741" s="85" t="s">
        <v>1491</v>
      </c>
    </row>
    <row r="742" spans="2:14" ht="15.75" thickBot="1" x14ac:dyDescent="0.3">
      <c r="B742" s="82" t="s">
        <v>541</v>
      </c>
      <c r="C742" s="83" t="s">
        <v>629</v>
      </c>
      <c r="D742" s="124" t="s">
        <v>620</v>
      </c>
      <c r="E742" s="130">
        <v>2008</v>
      </c>
      <c r="F742" s="125" t="s">
        <v>731</v>
      </c>
      <c r="G742" s="125">
        <v>53</v>
      </c>
      <c r="H742" s="85">
        <v>13881.819999999998</v>
      </c>
      <c r="I742" s="85" t="s">
        <v>630</v>
      </c>
      <c r="J742" s="128">
        <v>41416</v>
      </c>
      <c r="K742" s="128">
        <f t="shared" si="11"/>
        <v>2195048</v>
      </c>
      <c r="L742" s="125" t="s">
        <v>1326</v>
      </c>
      <c r="M742" s="85" t="s">
        <v>47</v>
      </c>
      <c r="N742" s="85" t="s">
        <v>1491</v>
      </c>
    </row>
    <row r="743" spans="2:14" ht="15.75" thickBot="1" x14ac:dyDescent="0.3">
      <c r="B743" s="82" t="s">
        <v>541</v>
      </c>
      <c r="C743" s="83" t="s">
        <v>629</v>
      </c>
      <c r="D743" s="124" t="s">
        <v>620</v>
      </c>
      <c r="E743" s="130">
        <v>2008</v>
      </c>
      <c r="F743" s="125" t="s">
        <v>731</v>
      </c>
      <c r="G743" s="125">
        <v>53</v>
      </c>
      <c r="H743" s="85">
        <v>19107.637999999999</v>
      </c>
      <c r="I743" s="85" t="s">
        <v>630</v>
      </c>
      <c r="J743" s="128">
        <v>57597</v>
      </c>
      <c r="K743" s="128">
        <f t="shared" si="11"/>
        <v>3052641</v>
      </c>
      <c r="L743" s="125" t="s">
        <v>1327</v>
      </c>
      <c r="M743" s="85" t="s">
        <v>47</v>
      </c>
      <c r="N743" s="85" t="s">
        <v>1491</v>
      </c>
    </row>
    <row r="744" spans="2:14" ht="15.75" thickBot="1" x14ac:dyDescent="0.3">
      <c r="B744" s="82" t="s">
        <v>541</v>
      </c>
      <c r="C744" s="83" t="s">
        <v>629</v>
      </c>
      <c r="D744" s="124" t="s">
        <v>620</v>
      </c>
      <c r="E744" s="130">
        <v>2008</v>
      </c>
      <c r="F744" s="125" t="s">
        <v>731</v>
      </c>
      <c r="G744" s="125">
        <v>53</v>
      </c>
      <c r="H744" s="85">
        <v>0</v>
      </c>
      <c r="I744" s="85" t="s">
        <v>630</v>
      </c>
      <c r="J744" s="128">
        <v>0</v>
      </c>
      <c r="K744" s="128">
        <f t="shared" si="11"/>
        <v>0</v>
      </c>
      <c r="L744" s="125" t="s">
        <v>1328</v>
      </c>
      <c r="M744" s="85" t="s">
        <v>47</v>
      </c>
      <c r="N744" s="85" t="s">
        <v>1491</v>
      </c>
    </row>
    <row r="745" spans="2:14" ht="15.75" thickBot="1" x14ac:dyDescent="0.3">
      <c r="B745" s="82" t="s">
        <v>541</v>
      </c>
      <c r="C745" s="83" t="s">
        <v>629</v>
      </c>
      <c r="D745" s="124" t="s">
        <v>620</v>
      </c>
      <c r="E745" s="130">
        <v>2008</v>
      </c>
      <c r="F745" s="125" t="s">
        <v>731</v>
      </c>
      <c r="G745" s="125">
        <v>53</v>
      </c>
      <c r="H745" s="85">
        <v>10205.735000000001</v>
      </c>
      <c r="I745" s="85" t="s">
        <v>630</v>
      </c>
      <c r="J745" s="128">
        <v>29001</v>
      </c>
      <c r="K745" s="128">
        <f t="shared" si="11"/>
        <v>1537053</v>
      </c>
      <c r="L745" s="125" t="s">
        <v>1329</v>
      </c>
      <c r="M745" s="85" t="s">
        <v>47</v>
      </c>
      <c r="N745" s="85" t="s">
        <v>1491</v>
      </c>
    </row>
    <row r="746" spans="2:14" ht="15.75" thickBot="1" x14ac:dyDescent="0.3">
      <c r="B746" s="82" t="s">
        <v>541</v>
      </c>
      <c r="C746" s="83" t="s">
        <v>629</v>
      </c>
      <c r="D746" s="124" t="s">
        <v>620</v>
      </c>
      <c r="E746" s="130">
        <v>2008</v>
      </c>
      <c r="F746" s="125" t="s">
        <v>731</v>
      </c>
      <c r="G746" s="125">
        <v>53</v>
      </c>
      <c r="H746" s="85">
        <v>17787.803</v>
      </c>
      <c r="I746" s="85" t="s">
        <v>630</v>
      </c>
      <c r="J746" s="128">
        <v>50876</v>
      </c>
      <c r="K746" s="128">
        <f t="shared" si="11"/>
        <v>2696428</v>
      </c>
      <c r="L746" s="125" t="s">
        <v>1330</v>
      </c>
      <c r="M746" s="85" t="s">
        <v>47</v>
      </c>
      <c r="N746" s="85" t="s">
        <v>1491</v>
      </c>
    </row>
    <row r="747" spans="2:14" ht="15.75" thickBot="1" x14ac:dyDescent="0.3">
      <c r="B747" s="82" t="s">
        <v>541</v>
      </c>
      <c r="C747" s="83" t="s">
        <v>629</v>
      </c>
      <c r="D747" s="124" t="s">
        <v>620</v>
      </c>
      <c r="E747" s="130">
        <v>2008</v>
      </c>
      <c r="F747" s="125" t="s">
        <v>731</v>
      </c>
      <c r="G747" s="125">
        <v>53</v>
      </c>
      <c r="H747" s="85">
        <v>19569.421000000002</v>
      </c>
      <c r="I747" s="85" t="s">
        <v>630</v>
      </c>
      <c r="J747" s="128">
        <v>60303</v>
      </c>
      <c r="K747" s="128">
        <f t="shared" si="11"/>
        <v>3196059</v>
      </c>
      <c r="L747" s="125" t="s">
        <v>1331</v>
      </c>
      <c r="M747" s="85" t="s">
        <v>47</v>
      </c>
      <c r="N747" s="85" t="s">
        <v>1491</v>
      </c>
    </row>
    <row r="748" spans="2:14" ht="15.75" thickBot="1" x14ac:dyDescent="0.3">
      <c r="B748" s="82" t="s">
        <v>541</v>
      </c>
      <c r="C748" s="83" t="s">
        <v>629</v>
      </c>
      <c r="D748" s="124" t="s">
        <v>620</v>
      </c>
      <c r="E748" s="130">
        <v>2008</v>
      </c>
      <c r="F748" s="125" t="s">
        <v>731</v>
      </c>
      <c r="G748" s="125">
        <v>53</v>
      </c>
      <c r="H748" s="85">
        <v>12285.554</v>
      </c>
      <c r="I748" s="85" t="s">
        <v>630</v>
      </c>
      <c r="J748" s="128">
        <v>36708</v>
      </c>
      <c r="K748" s="128">
        <f t="shared" si="11"/>
        <v>1945524</v>
      </c>
      <c r="L748" s="125" t="s">
        <v>1332</v>
      </c>
      <c r="M748" s="85" t="s">
        <v>47</v>
      </c>
      <c r="N748" s="85" t="s">
        <v>1491</v>
      </c>
    </row>
    <row r="749" spans="2:14" ht="15.75" thickBot="1" x14ac:dyDescent="0.3">
      <c r="B749" s="82" t="s">
        <v>541</v>
      </c>
      <c r="C749" s="83" t="s">
        <v>629</v>
      </c>
      <c r="D749" s="124" t="s">
        <v>620</v>
      </c>
      <c r="E749" s="130">
        <v>2008</v>
      </c>
      <c r="F749" s="125" t="s">
        <v>731</v>
      </c>
      <c r="G749" s="125">
        <v>34</v>
      </c>
      <c r="H749" s="85">
        <v>13139.721999999998</v>
      </c>
      <c r="I749" s="85" t="s">
        <v>630</v>
      </c>
      <c r="J749" s="128">
        <v>34087</v>
      </c>
      <c r="K749" s="128">
        <f t="shared" si="11"/>
        <v>1158958</v>
      </c>
      <c r="L749" s="125" t="s">
        <v>1333</v>
      </c>
      <c r="M749" s="85" t="s">
        <v>47</v>
      </c>
      <c r="N749" s="85" t="s">
        <v>1491</v>
      </c>
    </row>
    <row r="750" spans="2:14" ht="15.75" thickBot="1" x14ac:dyDescent="0.3">
      <c r="B750" s="82" t="s">
        <v>541</v>
      </c>
      <c r="C750" s="83" t="s">
        <v>629</v>
      </c>
      <c r="D750" s="124" t="s">
        <v>620</v>
      </c>
      <c r="E750" s="130">
        <v>2008</v>
      </c>
      <c r="F750" s="125" t="s">
        <v>731</v>
      </c>
      <c r="G750" s="125">
        <v>34</v>
      </c>
      <c r="H750" s="85">
        <v>15405.339</v>
      </c>
      <c r="I750" s="85" t="s">
        <v>630</v>
      </c>
      <c r="J750" s="128">
        <v>40526</v>
      </c>
      <c r="K750" s="128">
        <f t="shared" si="11"/>
        <v>1377884</v>
      </c>
      <c r="L750" s="125" t="s">
        <v>1334</v>
      </c>
      <c r="M750" s="85" t="s">
        <v>47</v>
      </c>
      <c r="N750" s="85" t="s">
        <v>1491</v>
      </c>
    </row>
    <row r="751" spans="2:14" ht="15.75" thickBot="1" x14ac:dyDescent="0.3">
      <c r="B751" s="82" t="s">
        <v>541</v>
      </c>
      <c r="C751" s="83" t="s">
        <v>629</v>
      </c>
      <c r="D751" s="124" t="s">
        <v>620</v>
      </c>
      <c r="E751" s="130">
        <v>2009</v>
      </c>
      <c r="F751" s="125" t="s">
        <v>734</v>
      </c>
      <c r="G751" s="125">
        <v>53</v>
      </c>
      <c r="H751" s="85">
        <v>25511.771000000001</v>
      </c>
      <c r="I751" s="85" t="s">
        <v>630</v>
      </c>
      <c r="J751" s="128">
        <v>80189</v>
      </c>
      <c r="K751" s="128">
        <f t="shared" si="11"/>
        <v>4250017</v>
      </c>
      <c r="L751" s="125" t="s">
        <v>1335</v>
      </c>
      <c r="M751" s="85" t="s">
        <v>47</v>
      </c>
      <c r="N751" s="85" t="s">
        <v>1491</v>
      </c>
    </row>
    <row r="752" spans="2:14" ht="15.75" thickBot="1" x14ac:dyDescent="0.3">
      <c r="B752" s="82" t="s">
        <v>541</v>
      </c>
      <c r="C752" s="83" t="s">
        <v>629</v>
      </c>
      <c r="D752" s="124" t="s">
        <v>620</v>
      </c>
      <c r="E752" s="130">
        <v>2011</v>
      </c>
      <c r="F752" s="125" t="s">
        <v>734</v>
      </c>
      <c r="G752" s="125">
        <v>53</v>
      </c>
      <c r="H752" s="85">
        <v>22781.541999999998</v>
      </c>
      <c r="I752" s="85" t="s">
        <v>630</v>
      </c>
      <c r="J752" s="128">
        <v>69774</v>
      </c>
      <c r="K752" s="128">
        <f t="shared" si="11"/>
        <v>3698022</v>
      </c>
      <c r="L752" s="125" t="s">
        <v>1336</v>
      </c>
      <c r="M752" s="85" t="s">
        <v>47</v>
      </c>
      <c r="N752" s="85" t="s">
        <v>1491</v>
      </c>
    </row>
    <row r="753" spans="2:14" ht="15.75" thickBot="1" x14ac:dyDescent="0.3">
      <c r="B753" s="82" t="s">
        <v>541</v>
      </c>
      <c r="C753" s="83" t="s">
        <v>629</v>
      </c>
      <c r="D753" s="124" t="s">
        <v>620</v>
      </c>
      <c r="E753" s="130">
        <v>2011</v>
      </c>
      <c r="F753" s="125" t="s">
        <v>734</v>
      </c>
      <c r="G753" s="125">
        <v>53</v>
      </c>
      <c r="H753" s="85">
        <v>19491.171999999999</v>
      </c>
      <c r="I753" s="85" t="s">
        <v>630</v>
      </c>
      <c r="J753" s="128">
        <v>57886</v>
      </c>
      <c r="K753" s="128">
        <f t="shared" si="11"/>
        <v>3067958</v>
      </c>
      <c r="L753" s="125" t="s">
        <v>1337</v>
      </c>
      <c r="M753" s="85" t="s">
        <v>47</v>
      </c>
      <c r="N753" s="85" t="s">
        <v>1491</v>
      </c>
    </row>
    <row r="754" spans="2:14" ht="15.75" thickBot="1" x14ac:dyDescent="0.3">
      <c r="B754" s="82" t="s">
        <v>541</v>
      </c>
      <c r="C754" s="83" t="s">
        <v>629</v>
      </c>
      <c r="D754" s="124" t="s">
        <v>620</v>
      </c>
      <c r="E754" s="130">
        <v>2011</v>
      </c>
      <c r="F754" s="125" t="s">
        <v>734</v>
      </c>
      <c r="G754" s="125">
        <v>53</v>
      </c>
      <c r="H754" s="85">
        <v>19566.760999999999</v>
      </c>
      <c r="I754" s="85" t="s">
        <v>630</v>
      </c>
      <c r="J754" s="128">
        <v>56933</v>
      </c>
      <c r="K754" s="128">
        <f t="shared" si="11"/>
        <v>3017449</v>
      </c>
      <c r="L754" s="125" t="s">
        <v>1338</v>
      </c>
      <c r="M754" s="85" t="s">
        <v>47</v>
      </c>
      <c r="N754" s="85" t="s">
        <v>1491</v>
      </c>
    </row>
    <row r="755" spans="2:14" ht="15.75" thickBot="1" x14ac:dyDescent="0.3">
      <c r="B755" s="82" t="s">
        <v>541</v>
      </c>
      <c r="C755" s="83" t="s">
        <v>629</v>
      </c>
      <c r="D755" s="124" t="s">
        <v>620</v>
      </c>
      <c r="E755" s="130">
        <v>2011</v>
      </c>
      <c r="F755" s="125" t="s">
        <v>734</v>
      </c>
      <c r="G755" s="125">
        <v>53</v>
      </c>
      <c r="H755" s="85">
        <v>20978.825000000001</v>
      </c>
      <c r="I755" s="85" t="s">
        <v>630</v>
      </c>
      <c r="J755" s="128">
        <v>64405</v>
      </c>
      <c r="K755" s="128">
        <f t="shared" si="11"/>
        <v>3413465</v>
      </c>
      <c r="L755" s="125" t="s">
        <v>1339</v>
      </c>
      <c r="M755" s="85" t="s">
        <v>47</v>
      </c>
      <c r="N755" s="85" t="s">
        <v>1491</v>
      </c>
    </row>
    <row r="756" spans="2:14" ht="15.75" thickBot="1" x14ac:dyDescent="0.3">
      <c r="B756" s="82" t="s">
        <v>541</v>
      </c>
      <c r="C756" s="83" t="s">
        <v>629</v>
      </c>
      <c r="D756" s="124" t="s">
        <v>620</v>
      </c>
      <c r="E756" s="130">
        <v>2011</v>
      </c>
      <c r="F756" s="125" t="s">
        <v>734</v>
      </c>
      <c r="G756" s="125">
        <v>53</v>
      </c>
      <c r="H756" s="85">
        <v>16716.853999999999</v>
      </c>
      <c r="I756" s="85" t="s">
        <v>630</v>
      </c>
      <c r="J756" s="128">
        <v>51560</v>
      </c>
      <c r="K756" s="128">
        <f t="shared" si="11"/>
        <v>2732680</v>
      </c>
      <c r="L756" s="125" t="s">
        <v>1340</v>
      </c>
      <c r="M756" s="85" t="s">
        <v>47</v>
      </c>
      <c r="N756" s="85" t="s">
        <v>1491</v>
      </c>
    </row>
    <row r="757" spans="2:14" ht="15.75" thickBot="1" x14ac:dyDescent="0.3">
      <c r="B757" s="82" t="s">
        <v>541</v>
      </c>
      <c r="C757" s="83" t="s">
        <v>629</v>
      </c>
      <c r="D757" s="124" t="s">
        <v>620</v>
      </c>
      <c r="E757" s="130">
        <v>2011</v>
      </c>
      <c r="F757" s="125" t="s">
        <v>734</v>
      </c>
      <c r="G757" s="125">
        <v>53</v>
      </c>
      <c r="H757" s="85">
        <v>15245.787000000002</v>
      </c>
      <c r="I757" s="85" t="s">
        <v>630</v>
      </c>
      <c r="J757" s="128">
        <v>51122</v>
      </c>
      <c r="K757" s="128">
        <f t="shared" si="11"/>
        <v>2709466</v>
      </c>
      <c r="L757" s="125" t="s">
        <v>1341</v>
      </c>
      <c r="M757" s="85" t="s">
        <v>47</v>
      </c>
      <c r="N757" s="85" t="s">
        <v>1491</v>
      </c>
    </row>
    <row r="758" spans="2:14" ht="15.75" thickBot="1" x14ac:dyDescent="0.3">
      <c r="B758" s="82" t="s">
        <v>541</v>
      </c>
      <c r="C758" s="83" t="s">
        <v>629</v>
      </c>
      <c r="D758" s="124" t="s">
        <v>620</v>
      </c>
      <c r="E758" s="130">
        <v>2011</v>
      </c>
      <c r="F758" s="125" t="s">
        <v>734</v>
      </c>
      <c r="G758" s="125">
        <v>53</v>
      </c>
      <c r="H758" s="85">
        <v>24890.617000000002</v>
      </c>
      <c r="I758" s="85" t="s">
        <v>630</v>
      </c>
      <c r="J758" s="128">
        <v>75766</v>
      </c>
      <c r="K758" s="128">
        <f t="shared" si="11"/>
        <v>4015598</v>
      </c>
      <c r="L758" s="125" t="s">
        <v>1342</v>
      </c>
      <c r="M758" s="85" t="s">
        <v>47</v>
      </c>
      <c r="N758" s="85" t="s">
        <v>1491</v>
      </c>
    </row>
    <row r="759" spans="2:14" ht="15.75" thickBot="1" x14ac:dyDescent="0.3">
      <c r="B759" s="82" t="s">
        <v>541</v>
      </c>
      <c r="C759" s="83" t="s">
        <v>629</v>
      </c>
      <c r="D759" s="124" t="s">
        <v>620</v>
      </c>
      <c r="E759" s="130">
        <v>2011</v>
      </c>
      <c r="F759" s="125" t="s">
        <v>734</v>
      </c>
      <c r="G759" s="125">
        <v>53</v>
      </c>
      <c r="H759" s="85">
        <v>22399.293999999998</v>
      </c>
      <c r="I759" s="85" t="s">
        <v>630</v>
      </c>
      <c r="J759" s="128">
        <v>67341</v>
      </c>
      <c r="K759" s="128">
        <f t="shared" si="11"/>
        <v>3569073</v>
      </c>
      <c r="L759" s="125" t="s">
        <v>1343</v>
      </c>
      <c r="M759" s="85" t="s">
        <v>47</v>
      </c>
      <c r="N759" s="85" t="s">
        <v>1491</v>
      </c>
    </row>
    <row r="760" spans="2:14" ht="15.75" thickBot="1" x14ac:dyDescent="0.3">
      <c r="B760" s="82" t="s">
        <v>541</v>
      </c>
      <c r="C760" s="83" t="s">
        <v>629</v>
      </c>
      <c r="D760" s="124" t="s">
        <v>620</v>
      </c>
      <c r="E760" s="130">
        <v>2012</v>
      </c>
      <c r="F760" s="125" t="s">
        <v>734</v>
      </c>
      <c r="G760" s="125">
        <v>53</v>
      </c>
      <c r="H760" s="85">
        <v>16576.670000000002</v>
      </c>
      <c r="I760" s="85" t="s">
        <v>630</v>
      </c>
      <c r="J760" s="128">
        <v>53628</v>
      </c>
      <c r="K760" s="128">
        <f t="shared" si="11"/>
        <v>2842284</v>
      </c>
      <c r="L760" s="125" t="s">
        <v>1344</v>
      </c>
      <c r="M760" s="85" t="s">
        <v>47</v>
      </c>
      <c r="N760" s="85" t="s">
        <v>1491</v>
      </c>
    </row>
    <row r="761" spans="2:14" ht="15.75" thickBot="1" x14ac:dyDescent="0.3">
      <c r="B761" s="82" t="s">
        <v>541</v>
      </c>
      <c r="C761" s="83" t="s">
        <v>629</v>
      </c>
      <c r="D761" s="124" t="s">
        <v>620</v>
      </c>
      <c r="E761" s="130">
        <v>2013</v>
      </c>
      <c r="F761" s="125" t="s">
        <v>733</v>
      </c>
      <c r="G761" s="125">
        <v>53</v>
      </c>
      <c r="H761" s="85">
        <v>24199.774000000001</v>
      </c>
      <c r="I761" s="85" t="s">
        <v>630</v>
      </c>
      <c r="J761" s="128">
        <v>76648</v>
      </c>
      <c r="K761" s="128">
        <f t="shared" si="11"/>
        <v>4062344</v>
      </c>
      <c r="L761" s="125" t="s">
        <v>1345</v>
      </c>
      <c r="M761" s="85" t="s">
        <v>47</v>
      </c>
      <c r="N761" s="85" t="s">
        <v>1491</v>
      </c>
    </row>
    <row r="762" spans="2:14" ht="15.75" thickBot="1" x14ac:dyDescent="0.3">
      <c r="B762" s="82" t="s">
        <v>541</v>
      </c>
      <c r="C762" s="83" t="s">
        <v>629</v>
      </c>
      <c r="D762" s="124" t="s">
        <v>620</v>
      </c>
      <c r="E762" s="130">
        <v>2013</v>
      </c>
      <c r="F762" s="125" t="s">
        <v>733</v>
      </c>
      <c r="G762" s="125">
        <v>55</v>
      </c>
      <c r="H762" s="85">
        <v>26764.061000000002</v>
      </c>
      <c r="I762" s="85" t="s">
        <v>630</v>
      </c>
      <c r="J762" s="128">
        <v>76745</v>
      </c>
      <c r="K762" s="128">
        <f t="shared" si="11"/>
        <v>4220975</v>
      </c>
      <c r="L762" s="125" t="s">
        <v>1346</v>
      </c>
      <c r="M762" s="85" t="s">
        <v>47</v>
      </c>
      <c r="N762" s="85" t="s">
        <v>1491</v>
      </c>
    </row>
    <row r="763" spans="2:14" ht="15.75" thickBot="1" x14ac:dyDescent="0.3">
      <c r="B763" s="82" t="s">
        <v>541</v>
      </c>
      <c r="C763" s="83" t="s">
        <v>629</v>
      </c>
      <c r="D763" s="124" t="s">
        <v>620</v>
      </c>
      <c r="E763" s="130">
        <v>2014</v>
      </c>
      <c r="F763" s="125" t="s">
        <v>733</v>
      </c>
      <c r="G763" s="125">
        <v>53</v>
      </c>
      <c r="H763" s="85">
        <v>49880.796999999999</v>
      </c>
      <c r="I763" s="85" t="s">
        <v>630</v>
      </c>
      <c r="J763" s="128">
        <v>173290</v>
      </c>
      <c r="K763" s="128">
        <f t="shared" si="11"/>
        <v>9184370</v>
      </c>
      <c r="L763" s="125" t="s">
        <v>1347</v>
      </c>
      <c r="M763" s="85" t="s">
        <v>47</v>
      </c>
      <c r="N763" s="85" t="s">
        <v>1491</v>
      </c>
    </row>
    <row r="764" spans="2:14" ht="15.75" thickBot="1" x14ac:dyDescent="0.3">
      <c r="B764" s="82" t="s">
        <v>541</v>
      </c>
      <c r="C764" s="83" t="s">
        <v>629</v>
      </c>
      <c r="D764" s="124" t="s">
        <v>620</v>
      </c>
      <c r="E764" s="130">
        <v>2014</v>
      </c>
      <c r="F764" s="125" t="s">
        <v>733</v>
      </c>
      <c r="G764" s="125">
        <v>53</v>
      </c>
      <c r="H764" s="85">
        <v>42631.003000000004</v>
      </c>
      <c r="I764" s="85" t="s">
        <v>630</v>
      </c>
      <c r="J764" s="128">
        <v>157266</v>
      </c>
      <c r="K764" s="128">
        <f t="shared" si="11"/>
        <v>8335098</v>
      </c>
      <c r="L764" s="125" t="s">
        <v>1348</v>
      </c>
      <c r="M764" s="85" t="s">
        <v>47</v>
      </c>
      <c r="N764" s="85" t="s">
        <v>1491</v>
      </c>
    </row>
    <row r="765" spans="2:14" ht="15.75" thickBot="1" x14ac:dyDescent="0.3">
      <c r="B765" s="82" t="s">
        <v>541</v>
      </c>
      <c r="C765" s="83" t="s">
        <v>629</v>
      </c>
      <c r="D765" s="124" t="s">
        <v>620</v>
      </c>
      <c r="E765" s="130">
        <v>2015</v>
      </c>
      <c r="F765" s="125" t="s">
        <v>733</v>
      </c>
      <c r="G765" s="125">
        <v>53</v>
      </c>
      <c r="H765" s="85">
        <v>32721.629000000001</v>
      </c>
      <c r="I765" s="85" t="s">
        <v>630</v>
      </c>
      <c r="J765" s="128">
        <v>119851</v>
      </c>
      <c r="K765" s="128">
        <f t="shared" si="11"/>
        <v>6352103</v>
      </c>
      <c r="L765" s="125" t="s">
        <v>1349</v>
      </c>
      <c r="M765" s="85" t="s">
        <v>47</v>
      </c>
      <c r="N765" s="85" t="s">
        <v>1491</v>
      </c>
    </row>
    <row r="766" spans="2:14" ht="15.75" thickBot="1" x14ac:dyDescent="0.3">
      <c r="B766" s="82" t="s">
        <v>541</v>
      </c>
      <c r="C766" s="83" t="s">
        <v>629</v>
      </c>
      <c r="D766" s="124" t="s">
        <v>620</v>
      </c>
      <c r="E766" s="130">
        <v>2015</v>
      </c>
      <c r="F766" s="125" t="s">
        <v>733</v>
      </c>
      <c r="G766" s="125">
        <v>53</v>
      </c>
      <c r="H766" s="85">
        <v>38810.126000000004</v>
      </c>
      <c r="I766" s="85" t="s">
        <v>630</v>
      </c>
      <c r="J766" s="128">
        <v>142831</v>
      </c>
      <c r="K766" s="128">
        <f t="shared" si="11"/>
        <v>7570043</v>
      </c>
      <c r="L766" s="125" t="s">
        <v>1350</v>
      </c>
      <c r="M766" s="85" t="s">
        <v>47</v>
      </c>
      <c r="N766" s="85" t="s">
        <v>1491</v>
      </c>
    </row>
    <row r="767" spans="2:14" ht="15.75" thickBot="1" x14ac:dyDescent="0.3">
      <c r="B767" s="82" t="s">
        <v>541</v>
      </c>
      <c r="C767" s="83" t="s">
        <v>629</v>
      </c>
      <c r="D767" s="124" t="s">
        <v>620</v>
      </c>
      <c r="E767" s="130">
        <v>2015</v>
      </c>
      <c r="F767" s="125" t="s">
        <v>733</v>
      </c>
      <c r="G767" s="125">
        <v>53</v>
      </c>
      <c r="H767" s="85">
        <v>59900.791000000005</v>
      </c>
      <c r="I767" s="85" t="s">
        <v>630</v>
      </c>
      <c r="J767" s="128">
        <v>219747</v>
      </c>
      <c r="K767" s="128">
        <f t="shared" si="11"/>
        <v>11646591</v>
      </c>
      <c r="L767" s="125" t="s">
        <v>1351</v>
      </c>
      <c r="M767" s="85" t="s">
        <v>47</v>
      </c>
      <c r="N767" s="85" t="s">
        <v>1491</v>
      </c>
    </row>
    <row r="768" spans="2:14" ht="15.75" thickBot="1" x14ac:dyDescent="0.3">
      <c r="B768" s="82" t="s">
        <v>541</v>
      </c>
      <c r="C768" s="83" t="s">
        <v>629</v>
      </c>
      <c r="D768" s="124" t="s">
        <v>620</v>
      </c>
      <c r="E768" s="130">
        <v>2015</v>
      </c>
      <c r="F768" s="125" t="s">
        <v>733</v>
      </c>
      <c r="G768" s="125">
        <v>53</v>
      </c>
      <c r="H768" s="85">
        <v>48446.445999999996</v>
      </c>
      <c r="I768" s="85" t="s">
        <v>630</v>
      </c>
      <c r="J768" s="128">
        <v>181360</v>
      </c>
      <c r="K768" s="128">
        <f t="shared" si="11"/>
        <v>9612080</v>
      </c>
      <c r="L768" s="125" t="s">
        <v>1352</v>
      </c>
      <c r="M768" s="85" t="s">
        <v>47</v>
      </c>
      <c r="N768" s="85" t="s">
        <v>1491</v>
      </c>
    </row>
    <row r="769" spans="2:14" ht="15.75" thickBot="1" x14ac:dyDescent="0.3">
      <c r="B769" s="82" t="s">
        <v>541</v>
      </c>
      <c r="C769" s="83" t="s">
        <v>629</v>
      </c>
      <c r="D769" s="124" t="s">
        <v>620</v>
      </c>
      <c r="E769" s="130">
        <v>2015</v>
      </c>
      <c r="F769" s="125" t="s">
        <v>733</v>
      </c>
      <c r="G769" s="125">
        <v>53</v>
      </c>
      <c r="H769" s="85">
        <v>47573.140999999989</v>
      </c>
      <c r="I769" s="85" t="s">
        <v>630</v>
      </c>
      <c r="J769" s="128">
        <v>180801</v>
      </c>
      <c r="K769" s="128">
        <f t="shared" si="11"/>
        <v>9582453</v>
      </c>
      <c r="L769" s="125" t="s">
        <v>1353</v>
      </c>
      <c r="M769" s="85" t="s">
        <v>47</v>
      </c>
      <c r="N769" s="85" t="s">
        <v>1491</v>
      </c>
    </row>
    <row r="770" spans="2:14" ht="15.75" thickBot="1" x14ac:dyDescent="0.3">
      <c r="B770" s="82" t="s">
        <v>541</v>
      </c>
      <c r="C770" s="83" t="s">
        <v>629</v>
      </c>
      <c r="D770" s="124" t="s">
        <v>620</v>
      </c>
      <c r="E770" s="130">
        <v>2016</v>
      </c>
      <c r="F770" s="125" t="s">
        <v>733</v>
      </c>
      <c r="G770" s="125">
        <v>53</v>
      </c>
      <c r="H770" s="85">
        <v>32618.466000000004</v>
      </c>
      <c r="I770" s="85" t="s">
        <v>630</v>
      </c>
      <c r="J770" s="128">
        <v>118425</v>
      </c>
      <c r="K770" s="128">
        <f t="shared" si="11"/>
        <v>6276525</v>
      </c>
      <c r="L770" s="125" t="s">
        <v>1354</v>
      </c>
      <c r="M770" s="85" t="s">
        <v>47</v>
      </c>
      <c r="N770" s="85" t="s">
        <v>1491</v>
      </c>
    </row>
    <row r="771" spans="2:14" ht="15.75" thickBot="1" x14ac:dyDescent="0.3">
      <c r="B771" s="82" t="s">
        <v>541</v>
      </c>
      <c r="C771" s="83" t="s">
        <v>629</v>
      </c>
      <c r="D771" s="124" t="s">
        <v>620</v>
      </c>
      <c r="E771" s="130">
        <v>2016</v>
      </c>
      <c r="F771" s="125" t="s">
        <v>733</v>
      </c>
      <c r="G771" s="125">
        <v>53</v>
      </c>
      <c r="H771" s="85">
        <v>29694.453999999998</v>
      </c>
      <c r="I771" s="85" t="s">
        <v>630</v>
      </c>
      <c r="J771" s="128">
        <v>108469</v>
      </c>
      <c r="K771" s="128">
        <f t="shared" si="11"/>
        <v>5748857</v>
      </c>
      <c r="L771" s="125" t="s">
        <v>1355</v>
      </c>
      <c r="M771" s="85" t="s">
        <v>47</v>
      </c>
      <c r="N771" s="85" t="s">
        <v>1491</v>
      </c>
    </row>
    <row r="772" spans="2:14" ht="15.75" thickBot="1" x14ac:dyDescent="0.3">
      <c r="B772" s="82" t="s">
        <v>541</v>
      </c>
      <c r="C772" s="83" t="s">
        <v>629</v>
      </c>
      <c r="D772" s="124" t="s">
        <v>620</v>
      </c>
      <c r="E772" s="130">
        <v>2016</v>
      </c>
      <c r="F772" s="125" t="s">
        <v>733</v>
      </c>
      <c r="G772" s="125">
        <v>53</v>
      </c>
      <c r="H772" s="85">
        <v>31585.492000000002</v>
      </c>
      <c r="I772" s="85" t="s">
        <v>630</v>
      </c>
      <c r="J772" s="128">
        <v>115060</v>
      </c>
      <c r="K772" s="128">
        <f t="shared" si="11"/>
        <v>6098180</v>
      </c>
      <c r="L772" s="125" t="s">
        <v>1356</v>
      </c>
      <c r="M772" s="85" t="s">
        <v>47</v>
      </c>
      <c r="N772" s="85" t="s">
        <v>1491</v>
      </c>
    </row>
    <row r="773" spans="2:14" ht="15.75" thickBot="1" x14ac:dyDescent="0.3">
      <c r="B773" s="82" t="s">
        <v>541</v>
      </c>
      <c r="C773" s="83" t="s">
        <v>629</v>
      </c>
      <c r="D773" s="124" t="s">
        <v>620</v>
      </c>
      <c r="E773" s="130">
        <v>2016</v>
      </c>
      <c r="F773" s="125" t="s">
        <v>733</v>
      </c>
      <c r="G773" s="125">
        <v>53</v>
      </c>
      <c r="H773" s="85">
        <v>37363.274999999994</v>
      </c>
      <c r="I773" s="85" t="s">
        <v>630</v>
      </c>
      <c r="J773" s="128">
        <v>129853</v>
      </c>
      <c r="K773" s="128">
        <f t="shared" si="11"/>
        <v>6882209</v>
      </c>
      <c r="L773" s="125" t="s">
        <v>1357</v>
      </c>
      <c r="M773" s="85" t="s">
        <v>47</v>
      </c>
      <c r="N773" s="85" t="s">
        <v>1491</v>
      </c>
    </row>
    <row r="774" spans="2:14" ht="15.75" thickBot="1" x14ac:dyDescent="0.3">
      <c r="B774" s="82" t="s">
        <v>541</v>
      </c>
      <c r="C774" s="83" t="s">
        <v>629</v>
      </c>
      <c r="D774" s="124" t="s">
        <v>620</v>
      </c>
      <c r="E774" s="130">
        <v>2016</v>
      </c>
      <c r="F774" s="125" t="s">
        <v>733</v>
      </c>
      <c r="G774" s="125">
        <v>59</v>
      </c>
      <c r="H774" s="85">
        <v>5955.6500000000005</v>
      </c>
      <c r="I774" s="85" t="s">
        <v>630</v>
      </c>
      <c r="J774" s="128">
        <v>22415</v>
      </c>
      <c r="K774" s="128">
        <f t="shared" si="11"/>
        <v>1322485</v>
      </c>
      <c r="L774" s="125" t="s">
        <v>1007</v>
      </c>
      <c r="M774" s="85" t="s">
        <v>47</v>
      </c>
      <c r="N774" s="85" t="s">
        <v>1491</v>
      </c>
    </row>
    <row r="775" spans="2:14" ht="15.75" thickBot="1" x14ac:dyDescent="0.3">
      <c r="B775" s="82" t="s">
        <v>541</v>
      </c>
      <c r="C775" s="83" t="s">
        <v>629</v>
      </c>
      <c r="D775" s="124" t="s">
        <v>620</v>
      </c>
      <c r="E775" s="130">
        <v>2017</v>
      </c>
      <c r="F775" s="125" t="s">
        <v>733</v>
      </c>
      <c r="G775" s="125">
        <v>57</v>
      </c>
      <c r="H775" s="85">
        <v>32654.289000000001</v>
      </c>
      <c r="I775" s="85" t="s">
        <v>630</v>
      </c>
      <c r="J775" s="128">
        <v>117038</v>
      </c>
      <c r="K775" s="128">
        <f t="shared" si="11"/>
        <v>6671166</v>
      </c>
      <c r="L775" s="125" t="s">
        <v>1358</v>
      </c>
      <c r="M775" s="85" t="s">
        <v>47</v>
      </c>
      <c r="N775" s="85" t="s">
        <v>1491</v>
      </c>
    </row>
    <row r="776" spans="2:14" ht="15.75" thickBot="1" x14ac:dyDescent="0.3">
      <c r="B776" s="82" t="s">
        <v>541</v>
      </c>
      <c r="C776" s="83" t="s">
        <v>629</v>
      </c>
      <c r="D776" s="124" t="s">
        <v>620</v>
      </c>
      <c r="E776" s="130">
        <v>2017</v>
      </c>
      <c r="F776" s="125" t="s">
        <v>733</v>
      </c>
      <c r="G776" s="125">
        <v>57</v>
      </c>
      <c r="H776" s="85">
        <v>19011.898999999998</v>
      </c>
      <c r="I776" s="85" t="s">
        <v>630</v>
      </c>
      <c r="J776" s="128">
        <v>66747</v>
      </c>
      <c r="K776" s="128">
        <f t="shared" si="11"/>
        <v>3804579</v>
      </c>
      <c r="L776" s="125" t="s">
        <v>1359</v>
      </c>
      <c r="M776" s="85" t="s">
        <v>47</v>
      </c>
      <c r="N776" s="85" t="s">
        <v>1491</v>
      </c>
    </row>
    <row r="777" spans="2:14" ht="15.75" thickBot="1" x14ac:dyDescent="0.3">
      <c r="B777" s="82" t="s">
        <v>541</v>
      </c>
      <c r="C777" s="83" t="s">
        <v>629</v>
      </c>
      <c r="D777" s="124" t="s">
        <v>620</v>
      </c>
      <c r="E777" s="130">
        <v>2019</v>
      </c>
      <c r="F777" s="125" t="s">
        <v>733</v>
      </c>
      <c r="G777" s="125">
        <v>63</v>
      </c>
      <c r="H777" s="85">
        <v>30635.460000000003</v>
      </c>
      <c r="I777" s="85" t="s">
        <v>630</v>
      </c>
      <c r="J777" s="128">
        <v>103022</v>
      </c>
      <c r="K777" s="128">
        <f t="shared" si="11"/>
        <v>6490386</v>
      </c>
      <c r="L777" s="125" t="s">
        <v>1037</v>
      </c>
      <c r="M777" s="85" t="s">
        <v>47</v>
      </c>
      <c r="N777" s="85" t="s">
        <v>1491</v>
      </c>
    </row>
    <row r="778" spans="2:14" ht="15.75" thickBot="1" x14ac:dyDescent="0.3">
      <c r="B778" s="82" t="s">
        <v>535</v>
      </c>
      <c r="C778" s="83" t="s">
        <v>629</v>
      </c>
      <c r="D778" s="124" t="s">
        <v>620</v>
      </c>
      <c r="E778" s="130">
        <v>1997</v>
      </c>
      <c r="F778" s="125" t="s">
        <v>736</v>
      </c>
      <c r="G778" s="125">
        <v>70</v>
      </c>
      <c r="H778" s="85">
        <v>2636.36</v>
      </c>
      <c r="I778" s="85" t="s">
        <v>630</v>
      </c>
      <c r="J778" s="128">
        <v>7623</v>
      </c>
      <c r="K778" s="128">
        <f t="shared" si="11"/>
        <v>533610</v>
      </c>
      <c r="L778" s="125" t="s">
        <v>1360</v>
      </c>
      <c r="M778" s="85" t="s">
        <v>47</v>
      </c>
      <c r="N778" s="85" t="s">
        <v>1491</v>
      </c>
    </row>
    <row r="779" spans="2:14" ht="15.75" thickBot="1" x14ac:dyDescent="0.3">
      <c r="B779" s="82" t="s">
        <v>535</v>
      </c>
      <c r="C779" s="83" t="s">
        <v>629</v>
      </c>
      <c r="D779" s="124" t="s">
        <v>620</v>
      </c>
      <c r="E779" s="130">
        <v>1997</v>
      </c>
      <c r="F779" s="125" t="s">
        <v>736</v>
      </c>
      <c r="G779" s="125">
        <v>70</v>
      </c>
      <c r="H779" s="85">
        <v>270</v>
      </c>
      <c r="I779" s="85" t="s">
        <v>630</v>
      </c>
      <c r="J779" s="128">
        <v>750</v>
      </c>
      <c r="K779" s="128">
        <f t="shared" si="11"/>
        <v>52500</v>
      </c>
      <c r="L779" s="125" t="s">
        <v>1361</v>
      </c>
      <c r="M779" s="85" t="s">
        <v>47</v>
      </c>
      <c r="N779" s="85" t="s">
        <v>1491</v>
      </c>
    </row>
    <row r="780" spans="2:14" ht="15.75" thickBot="1" x14ac:dyDescent="0.3">
      <c r="B780" s="82" t="s">
        <v>535</v>
      </c>
      <c r="C780" s="83" t="s">
        <v>629</v>
      </c>
      <c r="D780" s="124" t="s">
        <v>620</v>
      </c>
      <c r="E780" s="130">
        <v>2007</v>
      </c>
      <c r="F780" s="125" t="s">
        <v>731</v>
      </c>
      <c r="G780" s="125">
        <v>55</v>
      </c>
      <c r="H780" s="85">
        <v>15612.899999999998</v>
      </c>
      <c r="I780" s="85" t="s">
        <v>630</v>
      </c>
      <c r="J780" s="128">
        <v>45994</v>
      </c>
      <c r="K780" s="128">
        <f t="shared" si="11"/>
        <v>2529670</v>
      </c>
      <c r="L780" s="125" t="s">
        <v>1362</v>
      </c>
      <c r="M780" s="85" t="s">
        <v>47</v>
      </c>
      <c r="N780" s="85" t="s">
        <v>1491</v>
      </c>
    </row>
    <row r="781" spans="2:14" ht="15.75" thickBot="1" x14ac:dyDescent="0.3">
      <c r="B781" s="82" t="s">
        <v>535</v>
      </c>
      <c r="C781" s="83" t="s">
        <v>629</v>
      </c>
      <c r="D781" s="124" t="s">
        <v>620</v>
      </c>
      <c r="E781" s="130">
        <v>1997</v>
      </c>
      <c r="F781" s="125" t="s">
        <v>736</v>
      </c>
      <c r="G781" s="125">
        <v>96</v>
      </c>
      <c r="H781" s="85">
        <v>6247.9400000000005</v>
      </c>
      <c r="I781" s="85" t="s">
        <v>630</v>
      </c>
      <c r="J781" s="128">
        <v>15785</v>
      </c>
      <c r="K781" s="128">
        <f t="shared" si="11"/>
        <v>1515360</v>
      </c>
      <c r="L781" s="125" t="s">
        <v>1084</v>
      </c>
      <c r="M781" s="85" t="s">
        <v>47</v>
      </c>
      <c r="N781" s="85" t="s">
        <v>1491</v>
      </c>
    </row>
    <row r="782" spans="2:14" ht="15.75" thickBot="1" x14ac:dyDescent="0.3">
      <c r="B782" s="82" t="s">
        <v>535</v>
      </c>
      <c r="C782" s="83" t="s">
        <v>629</v>
      </c>
      <c r="D782" s="124" t="s">
        <v>620</v>
      </c>
      <c r="E782" s="130">
        <v>2008</v>
      </c>
      <c r="F782" s="125" t="s">
        <v>731</v>
      </c>
      <c r="G782" s="125">
        <v>57</v>
      </c>
      <c r="H782" s="85">
        <v>13427.6</v>
      </c>
      <c r="I782" s="85" t="s">
        <v>630</v>
      </c>
      <c r="J782" s="128">
        <v>41215</v>
      </c>
      <c r="K782" s="128">
        <f t="shared" si="11"/>
        <v>2349255</v>
      </c>
      <c r="L782" s="125" t="s">
        <v>1363</v>
      </c>
      <c r="M782" s="85" t="s">
        <v>47</v>
      </c>
      <c r="N782" s="85" t="s">
        <v>1491</v>
      </c>
    </row>
    <row r="783" spans="2:14" ht="15.75" thickBot="1" x14ac:dyDescent="0.3">
      <c r="B783" s="82" t="s">
        <v>535</v>
      </c>
      <c r="C783" s="83" t="s">
        <v>629</v>
      </c>
      <c r="D783" s="124" t="s">
        <v>620</v>
      </c>
      <c r="E783" s="130">
        <v>2008</v>
      </c>
      <c r="F783" s="125" t="s">
        <v>731</v>
      </c>
      <c r="G783" s="125">
        <v>25</v>
      </c>
      <c r="H783" s="85">
        <v>2381.5699999999997</v>
      </c>
      <c r="I783" s="85" t="s">
        <v>630</v>
      </c>
      <c r="J783" s="128">
        <v>13721</v>
      </c>
      <c r="K783" s="128">
        <f t="shared" si="11"/>
        <v>343025</v>
      </c>
      <c r="L783" s="125" t="s">
        <v>1364</v>
      </c>
      <c r="M783" s="85" t="s">
        <v>47</v>
      </c>
      <c r="N783" s="85" t="s">
        <v>1491</v>
      </c>
    </row>
    <row r="784" spans="2:14" ht="15.75" thickBot="1" x14ac:dyDescent="0.3">
      <c r="B784" s="82" t="s">
        <v>535</v>
      </c>
      <c r="C784" s="83" t="s">
        <v>629</v>
      </c>
      <c r="D784" s="124" t="s">
        <v>620</v>
      </c>
      <c r="E784" s="130">
        <v>2008</v>
      </c>
      <c r="F784" s="125" t="s">
        <v>731</v>
      </c>
      <c r="G784" s="125">
        <v>25</v>
      </c>
      <c r="H784" s="85">
        <v>2794.17</v>
      </c>
      <c r="I784" s="85" t="s">
        <v>630</v>
      </c>
      <c r="J784" s="128">
        <v>16549</v>
      </c>
      <c r="K784" s="128">
        <f t="shared" si="11"/>
        <v>413725</v>
      </c>
      <c r="L784" s="125" t="s">
        <v>1365</v>
      </c>
      <c r="M784" s="85" t="s">
        <v>47</v>
      </c>
      <c r="N784" s="85" t="s">
        <v>1491</v>
      </c>
    </row>
    <row r="785" spans="2:14" ht="15.75" thickBot="1" x14ac:dyDescent="0.3">
      <c r="B785" s="82" t="s">
        <v>535</v>
      </c>
      <c r="C785" s="83" t="s">
        <v>629</v>
      </c>
      <c r="D785" s="124" t="s">
        <v>620</v>
      </c>
      <c r="E785" s="130">
        <v>2008</v>
      </c>
      <c r="F785" s="125" t="s">
        <v>731</v>
      </c>
      <c r="G785" s="125">
        <v>25</v>
      </c>
      <c r="H785" s="85">
        <v>1920.2199999999998</v>
      </c>
      <c r="I785" s="85" t="s">
        <v>630</v>
      </c>
      <c r="J785" s="128">
        <v>11761</v>
      </c>
      <c r="K785" s="128">
        <f t="shared" si="11"/>
        <v>294025</v>
      </c>
      <c r="L785" s="125" t="s">
        <v>1366</v>
      </c>
      <c r="M785" s="85" t="s">
        <v>47</v>
      </c>
      <c r="N785" s="85" t="s">
        <v>1491</v>
      </c>
    </row>
    <row r="786" spans="2:14" ht="15.75" thickBot="1" x14ac:dyDescent="0.3">
      <c r="B786" s="82" t="s">
        <v>535</v>
      </c>
      <c r="C786" s="83" t="s">
        <v>629</v>
      </c>
      <c r="D786" s="124" t="s">
        <v>620</v>
      </c>
      <c r="E786" s="130">
        <v>2008</v>
      </c>
      <c r="F786" s="125" t="s">
        <v>731</v>
      </c>
      <c r="G786" s="125">
        <v>55</v>
      </c>
      <c r="H786" s="85">
        <v>16561.490000000002</v>
      </c>
      <c r="I786" s="85" t="s">
        <v>630</v>
      </c>
      <c r="J786" s="128">
        <v>48545</v>
      </c>
      <c r="K786" s="128">
        <f t="shared" si="11"/>
        <v>2669975</v>
      </c>
      <c r="L786" s="125" t="s">
        <v>1367</v>
      </c>
      <c r="M786" s="85" t="s">
        <v>47</v>
      </c>
      <c r="N786" s="85" t="s">
        <v>1491</v>
      </c>
    </row>
    <row r="787" spans="2:14" ht="15.75" thickBot="1" x14ac:dyDescent="0.3">
      <c r="B787" s="82" t="s">
        <v>535</v>
      </c>
      <c r="C787" s="83" t="s">
        <v>629</v>
      </c>
      <c r="D787" s="124" t="s">
        <v>620</v>
      </c>
      <c r="E787" s="130">
        <v>1993</v>
      </c>
      <c r="F787" s="125" t="s">
        <v>736</v>
      </c>
      <c r="G787" s="125">
        <v>82</v>
      </c>
      <c r="H787" s="85">
        <v>2388.9499999999998</v>
      </c>
      <c r="I787" s="85" t="s">
        <v>630</v>
      </c>
      <c r="J787" s="128">
        <v>7220</v>
      </c>
      <c r="K787" s="128">
        <f t="shared" si="11"/>
        <v>592040</v>
      </c>
      <c r="L787" s="125" t="s">
        <v>1368</v>
      </c>
      <c r="M787" s="85" t="s">
        <v>47</v>
      </c>
      <c r="N787" s="85" t="s">
        <v>1491</v>
      </c>
    </row>
    <row r="788" spans="2:14" ht="15.75" thickBot="1" x14ac:dyDescent="0.3">
      <c r="B788" s="82" t="s">
        <v>535</v>
      </c>
      <c r="C788" s="83" t="s">
        <v>629</v>
      </c>
      <c r="D788" s="124" t="s">
        <v>620</v>
      </c>
      <c r="E788" s="130">
        <v>1993</v>
      </c>
      <c r="F788" s="125" t="s">
        <v>736</v>
      </c>
      <c r="G788" s="125">
        <v>82</v>
      </c>
      <c r="H788" s="85">
        <v>1218.5</v>
      </c>
      <c r="I788" s="85" t="s">
        <v>630</v>
      </c>
      <c r="J788" s="128">
        <v>3796</v>
      </c>
      <c r="K788" s="128">
        <f t="shared" si="11"/>
        <v>311272</v>
      </c>
      <c r="L788" s="125" t="s">
        <v>1369</v>
      </c>
      <c r="M788" s="85" t="s">
        <v>47</v>
      </c>
      <c r="N788" s="85" t="s">
        <v>1491</v>
      </c>
    </row>
    <row r="789" spans="2:14" ht="15.75" thickBot="1" x14ac:dyDescent="0.3">
      <c r="B789" s="82" t="s">
        <v>535</v>
      </c>
      <c r="C789" s="83" t="s">
        <v>629</v>
      </c>
      <c r="D789" s="124" t="s">
        <v>620</v>
      </c>
      <c r="E789" s="130">
        <v>2006</v>
      </c>
      <c r="F789" s="125" t="s">
        <v>731</v>
      </c>
      <c r="G789" s="125">
        <v>94</v>
      </c>
      <c r="H789" s="85">
        <v>17062.939999999999</v>
      </c>
      <c r="I789" s="85" t="s">
        <v>630</v>
      </c>
      <c r="J789" s="128">
        <v>45960</v>
      </c>
      <c r="K789" s="128">
        <f t="shared" si="11"/>
        <v>4320240</v>
      </c>
      <c r="L789" s="125" t="s">
        <v>1370</v>
      </c>
      <c r="M789" s="85" t="s">
        <v>47</v>
      </c>
      <c r="N789" s="85" t="s">
        <v>1491</v>
      </c>
    </row>
    <row r="790" spans="2:14" ht="15.75" thickBot="1" x14ac:dyDescent="0.3">
      <c r="B790" s="82" t="s">
        <v>535</v>
      </c>
      <c r="C790" s="83" t="s">
        <v>629</v>
      </c>
      <c r="D790" s="124" t="s">
        <v>620</v>
      </c>
      <c r="E790" s="130">
        <v>2010</v>
      </c>
      <c r="F790" s="125" t="s">
        <v>734</v>
      </c>
      <c r="G790" s="125">
        <v>25</v>
      </c>
      <c r="H790" s="85">
        <v>21335.082999999995</v>
      </c>
      <c r="I790" s="85" t="s">
        <v>630</v>
      </c>
      <c r="J790" s="128">
        <v>63708</v>
      </c>
      <c r="K790" s="128">
        <f t="shared" si="11"/>
        <v>1592700</v>
      </c>
      <c r="L790" s="125" t="s">
        <v>1371</v>
      </c>
      <c r="M790" s="85" t="s">
        <v>47</v>
      </c>
      <c r="N790" s="85" t="s">
        <v>1491</v>
      </c>
    </row>
    <row r="791" spans="2:14" ht="15.75" thickBot="1" x14ac:dyDescent="0.3">
      <c r="B791" s="82" t="s">
        <v>535</v>
      </c>
      <c r="C791" s="83" t="s">
        <v>629</v>
      </c>
      <c r="D791" s="124" t="s">
        <v>620</v>
      </c>
      <c r="E791" s="130">
        <v>2005</v>
      </c>
      <c r="F791" s="125" t="s">
        <v>732</v>
      </c>
      <c r="G791" s="125">
        <v>57</v>
      </c>
      <c r="H791" s="85">
        <v>17400.14</v>
      </c>
      <c r="I791" s="85" t="s">
        <v>630</v>
      </c>
      <c r="J791" s="128">
        <v>51309</v>
      </c>
      <c r="K791" s="128">
        <f t="shared" si="11"/>
        <v>2924613</v>
      </c>
      <c r="L791" s="125" t="s">
        <v>1372</v>
      </c>
      <c r="M791" s="85" t="s">
        <v>47</v>
      </c>
      <c r="N791" s="85" t="s">
        <v>1491</v>
      </c>
    </row>
    <row r="792" spans="2:14" ht="15.75" thickBot="1" x14ac:dyDescent="0.3">
      <c r="B792" s="82" t="s">
        <v>535</v>
      </c>
      <c r="C792" s="83" t="s">
        <v>629</v>
      </c>
      <c r="D792" s="124" t="s">
        <v>620</v>
      </c>
      <c r="E792" s="130">
        <v>2009</v>
      </c>
      <c r="F792" s="125" t="s">
        <v>734</v>
      </c>
      <c r="G792" s="125">
        <v>53</v>
      </c>
      <c r="H792" s="85">
        <v>15290.883</v>
      </c>
      <c r="I792" s="85" t="s">
        <v>630</v>
      </c>
      <c r="J792" s="128">
        <v>40852</v>
      </c>
      <c r="K792" s="128">
        <f t="shared" si="11"/>
        <v>2165156</v>
      </c>
      <c r="L792" s="125" t="s">
        <v>1373</v>
      </c>
      <c r="M792" s="85" t="s">
        <v>47</v>
      </c>
      <c r="N792" s="85" t="s">
        <v>1491</v>
      </c>
    </row>
    <row r="793" spans="2:14" ht="15.75" thickBot="1" x14ac:dyDescent="0.3">
      <c r="B793" s="82" t="s">
        <v>535</v>
      </c>
      <c r="C793" s="83" t="s">
        <v>629</v>
      </c>
      <c r="D793" s="124" t="s">
        <v>620</v>
      </c>
      <c r="E793" s="130">
        <v>2009</v>
      </c>
      <c r="F793" s="125" t="s">
        <v>734</v>
      </c>
      <c r="G793" s="125">
        <v>53</v>
      </c>
      <c r="H793" s="85">
        <v>11439.130000000001</v>
      </c>
      <c r="I793" s="85" t="s">
        <v>630</v>
      </c>
      <c r="J793" s="128">
        <v>31529</v>
      </c>
      <c r="K793" s="128">
        <f t="shared" si="11"/>
        <v>1671037</v>
      </c>
      <c r="L793" s="125" t="s">
        <v>767</v>
      </c>
      <c r="M793" s="85" t="s">
        <v>47</v>
      </c>
      <c r="N793" s="85" t="s">
        <v>1491</v>
      </c>
    </row>
    <row r="794" spans="2:14" ht="15.75" thickBot="1" x14ac:dyDescent="0.3">
      <c r="B794" s="82" t="s">
        <v>535</v>
      </c>
      <c r="C794" s="83" t="s">
        <v>629</v>
      </c>
      <c r="D794" s="124" t="s">
        <v>620</v>
      </c>
      <c r="E794" s="130">
        <v>2009</v>
      </c>
      <c r="F794" s="125" t="s">
        <v>734</v>
      </c>
      <c r="G794" s="125">
        <v>53</v>
      </c>
      <c r="H794" s="85">
        <v>16414.89</v>
      </c>
      <c r="I794" s="85" t="s">
        <v>630</v>
      </c>
      <c r="J794" s="128">
        <v>44689</v>
      </c>
      <c r="K794" s="128">
        <f t="shared" si="11"/>
        <v>2368517</v>
      </c>
      <c r="L794" s="125" t="s">
        <v>1374</v>
      </c>
      <c r="M794" s="85" t="s">
        <v>47</v>
      </c>
      <c r="N794" s="85" t="s">
        <v>1491</v>
      </c>
    </row>
    <row r="795" spans="2:14" ht="15.75" thickBot="1" x14ac:dyDescent="0.3">
      <c r="B795" s="82" t="s">
        <v>535</v>
      </c>
      <c r="C795" s="83" t="s">
        <v>629</v>
      </c>
      <c r="D795" s="124" t="s">
        <v>620</v>
      </c>
      <c r="E795" s="130">
        <v>2005</v>
      </c>
      <c r="F795" s="125" t="s">
        <v>732</v>
      </c>
      <c r="G795" s="125">
        <v>66</v>
      </c>
      <c r="H795" s="85">
        <v>20547.02</v>
      </c>
      <c r="I795" s="85" t="s">
        <v>630</v>
      </c>
      <c r="J795" s="128">
        <v>55945</v>
      </c>
      <c r="K795" s="128">
        <f t="shared" si="11"/>
        <v>3692370</v>
      </c>
      <c r="L795" s="125" t="s">
        <v>1375</v>
      </c>
      <c r="M795" s="85" t="s">
        <v>47</v>
      </c>
      <c r="N795" s="85" t="s">
        <v>1491</v>
      </c>
    </row>
    <row r="796" spans="2:14" ht="15.75" thickBot="1" x14ac:dyDescent="0.3">
      <c r="B796" s="82" t="s">
        <v>535</v>
      </c>
      <c r="C796" s="83" t="s">
        <v>629</v>
      </c>
      <c r="D796" s="124" t="s">
        <v>620</v>
      </c>
      <c r="E796" s="130">
        <v>2004</v>
      </c>
      <c r="F796" s="125" t="s">
        <v>732</v>
      </c>
      <c r="G796" s="125">
        <v>69</v>
      </c>
      <c r="H796" s="85">
        <v>5808.73</v>
      </c>
      <c r="I796" s="85" t="s">
        <v>630</v>
      </c>
      <c r="J796" s="128">
        <v>13090</v>
      </c>
      <c r="K796" s="128">
        <f t="shared" si="11"/>
        <v>903210</v>
      </c>
      <c r="L796" s="125" t="s">
        <v>1376</v>
      </c>
      <c r="M796" s="85" t="s">
        <v>47</v>
      </c>
      <c r="N796" s="85" t="s">
        <v>1491</v>
      </c>
    </row>
    <row r="797" spans="2:14" ht="15.75" thickBot="1" x14ac:dyDescent="0.3">
      <c r="B797" s="82" t="s">
        <v>535</v>
      </c>
      <c r="C797" s="83" t="s">
        <v>629</v>
      </c>
      <c r="D797" s="124" t="s">
        <v>620</v>
      </c>
      <c r="E797" s="130">
        <v>2006</v>
      </c>
      <c r="F797" s="125" t="s">
        <v>731</v>
      </c>
      <c r="G797" s="125">
        <v>65</v>
      </c>
      <c r="H797" s="85">
        <v>20935.48</v>
      </c>
      <c r="I797" s="85" t="s">
        <v>630</v>
      </c>
      <c r="J797" s="128">
        <v>56432</v>
      </c>
      <c r="K797" s="128">
        <f t="shared" si="11"/>
        <v>3668080</v>
      </c>
      <c r="L797" s="125" t="s">
        <v>1377</v>
      </c>
      <c r="M797" s="85" t="s">
        <v>47</v>
      </c>
      <c r="N797" s="85" t="s">
        <v>1491</v>
      </c>
    </row>
    <row r="798" spans="2:14" ht="15.75" thickBot="1" x14ac:dyDescent="0.3">
      <c r="B798" s="82" t="s">
        <v>535</v>
      </c>
      <c r="C798" s="83" t="s">
        <v>629</v>
      </c>
      <c r="D798" s="124" t="s">
        <v>620</v>
      </c>
      <c r="E798" s="130">
        <v>2004</v>
      </c>
      <c r="F798" s="125" t="s">
        <v>732</v>
      </c>
      <c r="G798" s="125">
        <v>49</v>
      </c>
      <c r="H798" s="85">
        <v>20202.93</v>
      </c>
      <c r="I798" s="85" t="s">
        <v>630</v>
      </c>
      <c r="J798" s="128">
        <v>59286</v>
      </c>
      <c r="K798" s="128">
        <f t="shared" si="11"/>
        <v>2905014</v>
      </c>
      <c r="L798" s="125" t="s">
        <v>1378</v>
      </c>
      <c r="M798" s="85" t="s">
        <v>47</v>
      </c>
      <c r="N798" s="85" t="s">
        <v>1491</v>
      </c>
    </row>
    <row r="799" spans="2:14" ht="15.75" thickBot="1" x14ac:dyDescent="0.3">
      <c r="B799" s="82" t="s">
        <v>535</v>
      </c>
      <c r="C799" s="83" t="s">
        <v>629</v>
      </c>
      <c r="D799" s="124" t="s">
        <v>620</v>
      </c>
      <c r="E799" s="130">
        <v>1998</v>
      </c>
      <c r="F799" s="125" t="s">
        <v>736</v>
      </c>
      <c r="G799" s="125">
        <v>51</v>
      </c>
      <c r="H799" s="85">
        <v>10378.340000000002</v>
      </c>
      <c r="I799" s="85" t="s">
        <v>630</v>
      </c>
      <c r="J799" s="128">
        <v>27640</v>
      </c>
      <c r="K799" s="128">
        <f t="shared" ref="K799:K862" si="12">J799*G799</f>
        <v>1409640</v>
      </c>
      <c r="L799" s="125" t="s">
        <v>1379</v>
      </c>
      <c r="M799" s="85" t="s">
        <v>47</v>
      </c>
      <c r="N799" s="85" t="s">
        <v>1491</v>
      </c>
    </row>
    <row r="800" spans="2:14" ht="15.75" thickBot="1" x14ac:dyDescent="0.3">
      <c r="B800" s="82" t="s">
        <v>535</v>
      </c>
      <c r="C800" s="83" t="s">
        <v>629</v>
      </c>
      <c r="D800" s="124" t="s">
        <v>620</v>
      </c>
      <c r="E800" s="130">
        <v>1999</v>
      </c>
      <c r="F800" s="125" t="s">
        <v>736</v>
      </c>
      <c r="G800" s="125">
        <v>51</v>
      </c>
      <c r="H800" s="85">
        <v>8266.89</v>
      </c>
      <c r="I800" s="85" t="s">
        <v>630</v>
      </c>
      <c r="J800" s="128">
        <v>23147</v>
      </c>
      <c r="K800" s="128">
        <f t="shared" si="12"/>
        <v>1180497</v>
      </c>
      <c r="L800" s="125" t="s">
        <v>1380</v>
      </c>
      <c r="M800" s="85" t="s">
        <v>47</v>
      </c>
      <c r="N800" s="85" t="s">
        <v>1491</v>
      </c>
    </row>
    <row r="801" spans="2:14" ht="15.75" thickBot="1" x14ac:dyDescent="0.3">
      <c r="B801" s="82" t="s">
        <v>535</v>
      </c>
      <c r="C801" s="83" t="s">
        <v>629</v>
      </c>
      <c r="D801" s="124" t="s">
        <v>620</v>
      </c>
      <c r="E801" s="130">
        <v>2001</v>
      </c>
      <c r="F801" s="125" t="s">
        <v>732</v>
      </c>
      <c r="G801" s="125">
        <v>55</v>
      </c>
      <c r="H801" s="85">
        <v>16793.070000000003</v>
      </c>
      <c r="I801" s="85" t="s">
        <v>630</v>
      </c>
      <c r="J801" s="128">
        <v>44912</v>
      </c>
      <c r="K801" s="128">
        <f t="shared" si="12"/>
        <v>2470160</v>
      </c>
      <c r="L801" s="125" t="s">
        <v>1381</v>
      </c>
      <c r="M801" s="85" t="s">
        <v>47</v>
      </c>
      <c r="N801" s="85" t="s">
        <v>1491</v>
      </c>
    </row>
    <row r="802" spans="2:14" ht="15.75" thickBot="1" x14ac:dyDescent="0.3">
      <c r="B802" s="82" t="s">
        <v>535</v>
      </c>
      <c r="C802" s="83" t="s">
        <v>629</v>
      </c>
      <c r="D802" s="124" t="s">
        <v>620</v>
      </c>
      <c r="E802" s="130">
        <v>2002</v>
      </c>
      <c r="F802" s="125" t="s">
        <v>732</v>
      </c>
      <c r="G802" s="125">
        <v>57</v>
      </c>
      <c r="H802" s="85">
        <v>7996.85</v>
      </c>
      <c r="I802" s="85" t="s">
        <v>630</v>
      </c>
      <c r="J802" s="128">
        <v>21566</v>
      </c>
      <c r="K802" s="128">
        <f t="shared" si="12"/>
        <v>1229262</v>
      </c>
      <c r="L802" s="125" t="s">
        <v>1382</v>
      </c>
      <c r="M802" s="85" t="s">
        <v>47</v>
      </c>
      <c r="N802" s="85" t="s">
        <v>1491</v>
      </c>
    </row>
    <row r="803" spans="2:14" ht="15.75" thickBot="1" x14ac:dyDescent="0.3">
      <c r="B803" s="82" t="s">
        <v>535</v>
      </c>
      <c r="C803" s="83" t="s">
        <v>629</v>
      </c>
      <c r="D803" s="124" t="s">
        <v>620</v>
      </c>
      <c r="E803" s="130">
        <v>1999</v>
      </c>
      <c r="F803" s="125" t="s">
        <v>736</v>
      </c>
      <c r="G803" s="125">
        <v>83</v>
      </c>
      <c r="H803" s="85">
        <v>12291.969999999998</v>
      </c>
      <c r="I803" s="85" t="s">
        <v>630</v>
      </c>
      <c r="J803" s="128">
        <v>37270</v>
      </c>
      <c r="K803" s="128">
        <f t="shared" si="12"/>
        <v>3093410</v>
      </c>
      <c r="L803" s="125" t="s">
        <v>1383</v>
      </c>
      <c r="M803" s="85" t="s">
        <v>47</v>
      </c>
      <c r="N803" s="85" t="s">
        <v>1491</v>
      </c>
    </row>
    <row r="804" spans="2:14" ht="15.75" thickBot="1" x14ac:dyDescent="0.3">
      <c r="B804" s="82" t="s">
        <v>535</v>
      </c>
      <c r="C804" s="83" t="s">
        <v>629</v>
      </c>
      <c r="D804" s="124" t="s">
        <v>620</v>
      </c>
      <c r="E804" s="130">
        <v>2000</v>
      </c>
      <c r="F804" s="125" t="s">
        <v>735</v>
      </c>
      <c r="G804" s="125">
        <v>51</v>
      </c>
      <c r="H804" s="85">
        <v>8046.21</v>
      </c>
      <c r="I804" s="85" t="s">
        <v>630</v>
      </c>
      <c r="J804" s="128">
        <v>24305</v>
      </c>
      <c r="K804" s="128">
        <f t="shared" si="12"/>
        <v>1239555</v>
      </c>
      <c r="L804" s="125" t="s">
        <v>1384</v>
      </c>
      <c r="M804" s="85" t="s">
        <v>47</v>
      </c>
      <c r="N804" s="85" t="s">
        <v>1491</v>
      </c>
    </row>
    <row r="805" spans="2:14" ht="15.75" thickBot="1" x14ac:dyDescent="0.3">
      <c r="B805" s="82" t="s">
        <v>535</v>
      </c>
      <c r="C805" s="83" t="s">
        <v>629</v>
      </c>
      <c r="D805" s="124" t="s">
        <v>620</v>
      </c>
      <c r="E805" s="130">
        <v>2004</v>
      </c>
      <c r="F805" s="125" t="s">
        <v>732</v>
      </c>
      <c r="G805" s="125">
        <v>88</v>
      </c>
      <c r="H805" s="85">
        <v>23091.299999999996</v>
      </c>
      <c r="I805" s="85" t="s">
        <v>630</v>
      </c>
      <c r="J805" s="128">
        <v>56436</v>
      </c>
      <c r="K805" s="128">
        <f t="shared" si="12"/>
        <v>4966368</v>
      </c>
      <c r="L805" s="125" t="s">
        <v>1385</v>
      </c>
      <c r="M805" s="85" t="s">
        <v>47</v>
      </c>
      <c r="N805" s="85" t="s">
        <v>1491</v>
      </c>
    </row>
    <row r="806" spans="2:14" ht="15.75" thickBot="1" x14ac:dyDescent="0.3">
      <c r="B806" s="82" t="s">
        <v>535</v>
      </c>
      <c r="C806" s="83" t="s">
        <v>629</v>
      </c>
      <c r="D806" s="124" t="s">
        <v>620</v>
      </c>
      <c r="E806" s="130">
        <v>2015</v>
      </c>
      <c r="F806" s="125" t="s">
        <v>733</v>
      </c>
      <c r="G806" s="125">
        <v>53</v>
      </c>
      <c r="H806" s="85">
        <v>612.69000000000005</v>
      </c>
      <c r="I806" s="85" t="s">
        <v>630</v>
      </c>
      <c r="J806" s="128">
        <v>1786</v>
      </c>
      <c r="K806" s="128">
        <f t="shared" si="12"/>
        <v>94658</v>
      </c>
      <c r="L806" s="125" t="s">
        <v>1386</v>
      </c>
      <c r="M806" s="85" t="s">
        <v>47</v>
      </c>
      <c r="N806" s="85" t="s">
        <v>1491</v>
      </c>
    </row>
    <row r="807" spans="2:14" ht="15.75" thickBot="1" x14ac:dyDescent="0.3">
      <c r="B807" s="82" t="s">
        <v>535</v>
      </c>
      <c r="C807" s="83" t="s">
        <v>629</v>
      </c>
      <c r="D807" s="124" t="s">
        <v>620</v>
      </c>
      <c r="E807" s="130">
        <v>2005</v>
      </c>
      <c r="F807" s="125" t="s">
        <v>732</v>
      </c>
      <c r="G807" s="125">
        <v>75</v>
      </c>
      <c r="H807" s="85">
        <v>16768.46</v>
      </c>
      <c r="I807" s="85" t="s">
        <v>630</v>
      </c>
      <c r="J807" s="128">
        <v>53486</v>
      </c>
      <c r="K807" s="128">
        <f t="shared" si="12"/>
        <v>4011450</v>
      </c>
      <c r="L807" s="125" t="s">
        <v>1387</v>
      </c>
      <c r="M807" s="85" t="s">
        <v>47</v>
      </c>
      <c r="N807" s="85" t="s">
        <v>1491</v>
      </c>
    </row>
    <row r="808" spans="2:14" ht="15.75" thickBot="1" x14ac:dyDescent="0.3">
      <c r="B808" s="82" t="s">
        <v>535</v>
      </c>
      <c r="C808" s="83" t="s">
        <v>629</v>
      </c>
      <c r="D808" s="124" t="s">
        <v>620</v>
      </c>
      <c r="E808" s="130">
        <v>2002</v>
      </c>
      <c r="F808" s="125" t="s">
        <v>732</v>
      </c>
      <c r="G808" s="125">
        <v>97</v>
      </c>
      <c r="H808" s="85">
        <v>8320.9599999999991</v>
      </c>
      <c r="I808" s="85" t="s">
        <v>630</v>
      </c>
      <c r="J808" s="128">
        <v>20960</v>
      </c>
      <c r="K808" s="128">
        <f t="shared" si="12"/>
        <v>2033120</v>
      </c>
      <c r="L808" s="125" t="s">
        <v>1388</v>
      </c>
      <c r="M808" s="85" t="s">
        <v>47</v>
      </c>
      <c r="N808" s="85" t="s">
        <v>1491</v>
      </c>
    </row>
    <row r="809" spans="2:14" ht="15.75" thickBot="1" x14ac:dyDescent="0.3">
      <c r="B809" s="82" t="s">
        <v>535</v>
      </c>
      <c r="C809" s="83" t="s">
        <v>629</v>
      </c>
      <c r="D809" s="124" t="s">
        <v>620</v>
      </c>
      <c r="E809" s="130">
        <v>2004</v>
      </c>
      <c r="F809" s="125" t="s">
        <v>732</v>
      </c>
      <c r="G809" s="125">
        <v>60</v>
      </c>
      <c r="H809" s="85">
        <v>1235.43</v>
      </c>
      <c r="I809" s="85" t="s">
        <v>630</v>
      </c>
      <c r="J809" s="128">
        <v>3437</v>
      </c>
      <c r="K809" s="128">
        <f t="shared" si="12"/>
        <v>206220</v>
      </c>
      <c r="L809" s="125" t="s">
        <v>1115</v>
      </c>
      <c r="M809" s="85" t="s">
        <v>47</v>
      </c>
      <c r="N809" s="85" t="s">
        <v>1491</v>
      </c>
    </row>
    <row r="810" spans="2:14" ht="15.75" thickBot="1" x14ac:dyDescent="0.3">
      <c r="B810" s="82" t="s">
        <v>535</v>
      </c>
      <c r="C810" s="83" t="s">
        <v>629</v>
      </c>
      <c r="D810" s="124" t="s">
        <v>620</v>
      </c>
      <c r="E810" s="130">
        <v>2015</v>
      </c>
      <c r="F810" s="125" t="s">
        <v>733</v>
      </c>
      <c r="G810" s="125">
        <v>55</v>
      </c>
      <c r="H810" s="85">
        <v>7096.16</v>
      </c>
      <c r="I810" s="85" t="s">
        <v>630</v>
      </c>
      <c r="J810" s="128">
        <v>18428</v>
      </c>
      <c r="K810" s="128">
        <f t="shared" si="12"/>
        <v>1013540</v>
      </c>
      <c r="L810" s="125" t="s">
        <v>1389</v>
      </c>
      <c r="M810" s="85" t="s">
        <v>47</v>
      </c>
      <c r="N810" s="85" t="s">
        <v>1491</v>
      </c>
    </row>
    <row r="811" spans="2:14" ht="15.75" thickBot="1" x14ac:dyDescent="0.3">
      <c r="B811" s="82" t="s">
        <v>535</v>
      </c>
      <c r="C811" s="83" t="s">
        <v>629</v>
      </c>
      <c r="D811" s="124" t="s">
        <v>620</v>
      </c>
      <c r="E811" s="130">
        <v>2005</v>
      </c>
      <c r="F811" s="125" t="s">
        <v>732</v>
      </c>
      <c r="G811" s="125">
        <v>69</v>
      </c>
      <c r="H811" s="85">
        <v>6894</v>
      </c>
      <c r="I811" s="85" t="s">
        <v>630</v>
      </c>
      <c r="J811" s="128">
        <v>14981</v>
      </c>
      <c r="K811" s="128">
        <f t="shared" si="12"/>
        <v>1033689</v>
      </c>
      <c r="L811" s="125" t="s">
        <v>1116</v>
      </c>
      <c r="M811" s="85" t="s">
        <v>47</v>
      </c>
      <c r="N811" s="85" t="s">
        <v>1491</v>
      </c>
    </row>
    <row r="812" spans="2:14" ht="15.75" thickBot="1" x14ac:dyDescent="0.3">
      <c r="B812" s="82" t="s">
        <v>535</v>
      </c>
      <c r="C812" s="83" t="s">
        <v>629</v>
      </c>
      <c r="D812" s="124" t="s">
        <v>620</v>
      </c>
      <c r="E812" s="130">
        <v>2005</v>
      </c>
      <c r="F812" s="125" t="s">
        <v>732</v>
      </c>
      <c r="G812" s="125">
        <v>69</v>
      </c>
      <c r="H812" s="85">
        <v>9032.659999999998</v>
      </c>
      <c r="I812" s="85" t="s">
        <v>630</v>
      </c>
      <c r="J812" s="128">
        <v>18908</v>
      </c>
      <c r="K812" s="128">
        <f t="shared" si="12"/>
        <v>1304652</v>
      </c>
      <c r="L812" s="125" t="s">
        <v>1117</v>
      </c>
      <c r="M812" s="85" t="s">
        <v>47</v>
      </c>
      <c r="N812" s="85" t="s">
        <v>1491</v>
      </c>
    </row>
    <row r="813" spans="2:14" ht="15.75" thickBot="1" x14ac:dyDescent="0.3">
      <c r="B813" s="82" t="s">
        <v>535</v>
      </c>
      <c r="C813" s="83" t="s">
        <v>629</v>
      </c>
      <c r="D813" s="124" t="s">
        <v>620</v>
      </c>
      <c r="E813" s="130">
        <v>2005</v>
      </c>
      <c r="F813" s="125" t="s">
        <v>732</v>
      </c>
      <c r="G813" s="125">
        <v>69</v>
      </c>
      <c r="H813" s="85">
        <v>20933.16</v>
      </c>
      <c r="I813" s="85" t="s">
        <v>630</v>
      </c>
      <c r="J813" s="128">
        <v>47393</v>
      </c>
      <c r="K813" s="128">
        <f t="shared" si="12"/>
        <v>3270117</v>
      </c>
      <c r="L813" s="125" t="s">
        <v>1390</v>
      </c>
      <c r="M813" s="85" t="s">
        <v>47</v>
      </c>
      <c r="N813" s="85" t="s">
        <v>1491</v>
      </c>
    </row>
    <row r="814" spans="2:14" ht="15.75" thickBot="1" x14ac:dyDescent="0.3">
      <c r="B814" s="82" t="s">
        <v>535</v>
      </c>
      <c r="C814" s="83" t="s">
        <v>629</v>
      </c>
      <c r="D814" s="124" t="s">
        <v>620</v>
      </c>
      <c r="E814" s="130">
        <v>2005</v>
      </c>
      <c r="F814" s="125" t="s">
        <v>732</v>
      </c>
      <c r="G814" s="125">
        <v>69</v>
      </c>
      <c r="H814" s="85">
        <v>20458.75</v>
      </c>
      <c r="I814" s="85" t="s">
        <v>630</v>
      </c>
      <c r="J814" s="128">
        <v>44781</v>
      </c>
      <c r="K814" s="128">
        <f t="shared" si="12"/>
        <v>3089889</v>
      </c>
      <c r="L814" s="125" t="s">
        <v>1391</v>
      </c>
      <c r="M814" s="85" t="s">
        <v>47</v>
      </c>
      <c r="N814" s="85" t="s">
        <v>1491</v>
      </c>
    </row>
    <row r="815" spans="2:14" ht="15.75" thickBot="1" x14ac:dyDescent="0.3">
      <c r="B815" s="82" t="s">
        <v>535</v>
      </c>
      <c r="C815" s="83" t="s">
        <v>629</v>
      </c>
      <c r="D815" s="124" t="s">
        <v>620</v>
      </c>
      <c r="E815" s="130">
        <v>2003</v>
      </c>
      <c r="F815" s="125" t="s">
        <v>732</v>
      </c>
      <c r="G815" s="125">
        <v>65</v>
      </c>
      <c r="H815" s="85">
        <v>19755.523000000001</v>
      </c>
      <c r="I815" s="85" t="s">
        <v>630</v>
      </c>
      <c r="J815" s="128">
        <v>45517</v>
      </c>
      <c r="K815" s="128">
        <f t="shared" si="12"/>
        <v>2958605</v>
      </c>
      <c r="L815" s="125" t="s">
        <v>1392</v>
      </c>
      <c r="M815" s="85" t="s">
        <v>47</v>
      </c>
      <c r="N815" s="85" t="s">
        <v>1491</v>
      </c>
    </row>
    <row r="816" spans="2:14" ht="15.75" thickBot="1" x14ac:dyDescent="0.3">
      <c r="B816" s="82" t="s">
        <v>535</v>
      </c>
      <c r="C816" s="83" t="s">
        <v>629</v>
      </c>
      <c r="D816" s="124" t="s">
        <v>620</v>
      </c>
      <c r="E816" s="130">
        <v>2007</v>
      </c>
      <c r="F816" s="125" t="s">
        <v>731</v>
      </c>
      <c r="G816" s="125">
        <v>83</v>
      </c>
      <c r="H816" s="85">
        <v>12785.272000000001</v>
      </c>
      <c r="I816" s="85" t="s">
        <v>630</v>
      </c>
      <c r="J816" s="128">
        <v>41364</v>
      </c>
      <c r="K816" s="128">
        <f t="shared" si="12"/>
        <v>3433212</v>
      </c>
      <c r="L816" s="125" t="s">
        <v>1393</v>
      </c>
      <c r="M816" s="85" t="s">
        <v>47</v>
      </c>
      <c r="N816" s="85" t="s">
        <v>1491</v>
      </c>
    </row>
    <row r="817" spans="2:14" ht="15.75" thickBot="1" x14ac:dyDescent="0.3">
      <c r="B817" s="82" t="s">
        <v>535</v>
      </c>
      <c r="C817" s="83" t="s">
        <v>629</v>
      </c>
      <c r="D817" s="124" t="s">
        <v>620</v>
      </c>
      <c r="E817" s="130">
        <v>2007</v>
      </c>
      <c r="F817" s="125" t="s">
        <v>731</v>
      </c>
      <c r="G817" s="125">
        <v>83</v>
      </c>
      <c r="H817" s="85">
        <v>10119.300000000001</v>
      </c>
      <c r="I817" s="85" t="s">
        <v>630</v>
      </c>
      <c r="J817" s="128">
        <v>32187</v>
      </c>
      <c r="K817" s="128">
        <f t="shared" si="12"/>
        <v>2671521</v>
      </c>
      <c r="L817" s="125" t="s">
        <v>1394</v>
      </c>
      <c r="M817" s="85" t="s">
        <v>47</v>
      </c>
      <c r="N817" s="85" t="s">
        <v>1491</v>
      </c>
    </row>
    <row r="818" spans="2:14" ht="15.75" thickBot="1" x14ac:dyDescent="0.3">
      <c r="B818" s="82" t="s">
        <v>535</v>
      </c>
      <c r="C818" s="83" t="s">
        <v>629</v>
      </c>
      <c r="D818" s="124" t="s">
        <v>620</v>
      </c>
      <c r="E818" s="130">
        <v>2007</v>
      </c>
      <c r="F818" s="125" t="s">
        <v>731</v>
      </c>
      <c r="G818" s="125">
        <v>83</v>
      </c>
      <c r="H818" s="85">
        <v>15544.1</v>
      </c>
      <c r="I818" s="85" t="s">
        <v>630</v>
      </c>
      <c r="J818" s="128">
        <v>51069</v>
      </c>
      <c r="K818" s="128">
        <f t="shared" si="12"/>
        <v>4238727</v>
      </c>
      <c r="L818" s="125" t="s">
        <v>1395</v>
      </c>
      <c r="M818" s="85" t="s">
        <v>47</v>
      </c>
      <c r="N818" s="85" t="s">
        <v>1491</v>
      </c>
    </row>
    <row r="819" spans="2:14" ht="15.75" thickBot="1" x14ac:dyDescent="0.3">
      <c r="B819" s="82" t="s">
        <v>535</v>
      </c>
      <c r="C819" s="83" t="s">
        <v>629</v>
      </c>
      <c r="D819" s="124" t="s">
        <v>620</v>
      </c>
      <c r="E819" s="130">
        <v>2007</v>
      </c>
      <c r="F819" s="125" t="s">
        <v>731</v>
      </c>
      <c r="G819" s="125">
        <v>83</v>
      </c>
      <c r="H819" s="85">
        <v>12370.04</v>
      </c>
      <c r="I819" s="85" t="s">
        <v>630</v>
      </c>
      <c r="J819" s="128">
        <v>41081</v>
      </c>
      <c r="K819" s="128">
        <f t="shared" si="12"/>
        <v>3409723</v>
      </c>
      <c r="L819" s="125" t="s">
        <v>1396</v>
      </c>
      <c r="M819" s="85" t="s">
        <v>47</v>
      </c>
      <c r="N819" s="85" t="s">
        <v>1491</v>
      </c>
    </row>
    <row r="820" spans="2:14" ht="15.75" thickBot="1" x14ac:dyDescent="0.3">
      <c r="B820" s="82" t="s">
        <v>535</v>
      </c>
      <c r="C820" s="83" t="s">
        <v>629</v>
      </c>
      <c r="D820" s="124" t="s">
        <v>620</v>
      </c>
      <c r="E820" s="130">
        <v>2004</v>
      </c>
      <c r="F820" s="125" t="s">
        <v>732</v>
      </c>
      <c r="G820" s="125">
        <v>85</v>
      </c>
      <c r="H820" s="85">
        <v>21322.1</v>
      </c>
      <c r="I820" s="85" t="s">
        <v>630</v>
      </c>
      <c r="J820" s="128">
        <v>61951</v>
      </c>
      <c r="K820" s="128">
        <f t="shared" si="12"/>
        <v>5265835</v>
      </c>
      <c r="L820" s="125" t="s">
        <v>1397</v>
      </c>
      <c r="M820" s="85" t="s">
        <v>47</v>
      </c>
      <c r="N820" s="85" t="s">
        <v>1491</v>
      </c>
    </row>
    <row r="821" spans="2:14" ht="15.75" thickBot="1" x14ac:dyDescent="0.3">
      <c r="B821" s="82" t="s">
        <v>535</v>
      </c>
      <c r="C821" s="83" t="s">
        <v>629</v>
      </c>
      <c r="D821" s="124" t="s">
        <v>620</v>
      </c>
      <c r="E821" s="130">
        <v>2008</v>
      </c>
      <c r="F821" s="125" t="s">
        <v>731</v>
      </c>
      <c r="G821" s="125">
        <v>82</v>
      </c>
      <c r="H821" s="85">
        <v>7693.2300000000005</v>
      </c>
      <c r="I821" s="85" t="s">
        <v>630</v>
      </c>
      <c r="J821" s="128">
        <v>17614</v>
      </c>
      <c r="K821" s="128">
        <f t="shared" si="12"/>
        <v>1444348</v>
      </c>
      <c r="L821" s="125" t="s">
        <v>805</v>
      </c>
      <c r="M821" s="85" t="s">
        <v>47</v>
      </c>
      <c r="N821" s="85" t="s">
        <v>1491</v>
      </c>
    </row>
    <row r="822" spans="2:14" ht="15.75" thickBot="1" x14ac:dyDescent="0.3">
      <c r="B822" s="82" t="s">
        <v>535</v>
      </c>
      <c r="C822" s="83" t="s">
        <v>629</v>
      </c>
      <c r="D822" s="124" t="s">
        <v>620</v>
      </c>
      <c r="E822" s="130">
        <v>2008</v>
      </c>
      <c r="F822" s="125" t="s">
        <v>731</v>
      </c>
      <c r="G822" s="125">
        <v>27</v>
      </c>
      <c r="H822" s="85">
        <v>2598.2199999999998</v>
      </c>
      <c r="I822" s="85" t="s">
        <v>630</v>
      </c>
      <c r="J822" s="128">
        <v>13748</v>
      </c>
      <c r="K822" s="128">
        <f t="shared" si="12"/>
        <v>371196</v>
      </c>
      <c r="L822" s="125" t="s">
        <v>1398</v>
      </c>
      <c r="M822" s="85" t="s">
        <v>47</v>
      </c>
      <c r="N822" s="85" t="s">
        <v>1491</v>
      </c>
    </row>
    <row r="823" spans="2:14" ht="15.75" thickBot="1" x14ac:dyDescent="0.3">
      <c r="B823" s="82" t="s">
        <v>535</v>
      </c>
      <c r="C823" s="83" t="s">
        <v>629</v>
      </c>
      <c r="D823" s="124" t="s">
        <v>620</v>
      </c>
      <c r="E823" s="130">
        <v>2001</v>
      </c>
      <c r="F823" s="125" t="s">
        <v>732</v>
      </c>
      <c r="G823" s="125">
        <v>55</v>
      </c>
      <c r="H823" s="85">
        <v>6450.49</v>
      </c>
      <c r="I823" s="85" t="s">
        <v>630</v>
      </c>
      <c r="J823" s="128">
        <v>17450</v>
      </c>
      <c r="K823" s="128">
        <f t="shared" si="12"/>
        <v>959750</v>
      </c>
      <c r="L823" s="125" t="s">
        <v>1399</v>
      </c>
      <c r="M823" s="85" t="s">
        <v>47</v>
      </c>
      <c r="N823" s="85" t="s">
        <v>1491</v>
      </c>
    </row>
    <row r="824" spans="2:14" ht="15.75" thickBot="1" x14ac:dyDescent="0.3">
      <c r="B824" s="82" t="s">
        <v>535</v>
      </c>
      <c r="C824" s="83" t="s">
        <v>629</v>
      </c>
      <c r="D824" s="124" t="s">
        <v>620</v>
      </c>
      <c r="E824" s="130">
        <v>2000</v>
      </c>
      <c r="F824" s="125" t="s">
        <v>735</v>
      </c>
      <c r="G824" s="125">
        <v>51</v>
      </c>
      <c r="H824" s="85">
        <v>7695.35</v>
      </c>
      <c r="I824" s="85" t="s">
        <v>630</v>
      </c>
      <c r="J824" s="128">
        <v>24415</v>
      </c>
      <c r="K824" s="128">
        <f t="shared" si="12"/>
        <v>1245165</v>
      </c>
      <c r="L824" s="125" t="s">
        <v>1400</v>
      </c>
      <c r="M824" s="85" t="s">
        <v>47</v>
      </c>
      <c r="N824" s="85" t="s">
        <v>1491</v>
      </c>
    </row>
    <row r="825" spans="2:14" ht="15.75" thickBot="1" x14ac:dyDescent="0.3">
      <c r="B825" s="82" t="s">
        <v>535</v>
      </c>
      <c r="C825" s="83" t="s">
        <v>629</v>
      </c>
      <c r="D825" s="124" t="s">
        <v>620</v>
      </c>
      <c r="E825" s="130">
        <v>2008</v>
      </c>
      <c r="F825" s="125" t="s">
        <v>731</v>
      </c>
      <c r="G825" s="125">
        <v>75</v>
      </c>
      <c r="H825" s="85">
        <v>20023.730000000003</v>
      </c>
      <c r="I825" s="85" t="s">
        <v>630</v>
      </c>
      <c r="J825" s="128">
        <v>56165</v>
      </c>
      <c r="K825" s="128">
        <f t="shared" si="12"/>
        <v>4212375</v>
      </c>
      <c r="L825" s="125" t="s">
        <v>1401</v>
      </c>
      <c r="M825" s="85" t="s">
        <v>47</v>
      </c>
      <c r="N825" s="85" t="s">
        <v>1491</v>
      </c>
    </row>
    <row r="826" spans="2:14" ht="15.75" thickBot="1" x14ac:dyDescent="0.3">
      <c r="B826" s="82" t="s">
        <v>535</v>
      </c>
      <c r="C826" s="83" t="s">
        <v>629</v>
      </c>
      <c r="D826" s="124" t="s">
        <v>620</v>
      </c>
      <c r="E826" s="130">
        <v>2008</v>
      </c>
      <c r="F826" s="125" t="s">
        <v>731</v>
      </c>
      <c r="G826" s="125">
        <v>75</v>
      </c>
      <c r="H826" s="85">
        <v>16908.41</v>
      </c>
      <c r="I826" s="85" t="s">
        <v>630</v>
      </c>
      <c r="J826" s="128">
        <v>51974</v>
      </c>
      <c r="K826" s="128">
        <f t="shared" si="12"/>
        <v>3898050</v>
      </c>
      <c r="L826" s="125" t="s">
        <v>1402</v>
      </c>
      <c r="M826" s="85" t="s">
        <v>47</v>
      </c>
      <c r="N826" s="85" t="s">
        <v>1491</v>
      </c>
    </row>
    <row r="827" spans="2:14" ht="15.75" thickBot="1" x14ac:dyDescent="0.3">
      <c r="B827" s="82" t="s">
        <v>535</v>
      </c>
      <c r="C827" s="83" t="s">
        <v>629</v>
      </c>
      <c r="D827" s="124" t="s">
        <v>620</v>
      </c>
      <c r="E827" s="130">
        <v>2011</v>
      </c>
      <c r="F827" s="125" t="s">
        <v>734</v>
      </c>
      <c r="G827" s="125">
        <v>53</v>
      </c>
      <c r="H827" s="85">
        <v>18907.649999999998</v>
      </c>
      <c r="I827" s="85" t="s">
        <v>630</v>
      </c>
      <c r="J827" s="128">
        <v>57416</v>
      </c>
      <c r="K827" s="128">
        <f t="shared" si="12"/>
        <v>3043048</v>
      </c>
      <c r="L827" s="125" t="s">
        <v>1403</v>
      </c>
      <c r="M827" s="85" t="s">
        <v>47</v>
      </c>
      <c r="N827" s="85" t="s">
        <v>1491</v>
      </c>
    </row>
    <row r="828" spans="2:14" ht="15.75" thickBot="1" x14ac:dyDescent="0.3">
      <c r="B828" s="82" t="s">
        <v>535</v>
      </c>
      <c r="C828" s="83" t="s">
        <v>629</v>
      </c>
      <c r="D828" s="124" t="s">
        <v>620</v>
      </c>
      <c r="E828" s="130">
        <v>1996</v>
      </c>
      <c r="F828" s="125" t="s">
        <v>736</v>
      </c>
      <c r="G828" s="125">
        <v>52</v>
      </c>
      <c r="H828" s="85">
        <v>3438.91</v>
      </c>
      <c r="I828" s="85" t="s">
        <v>630</v>
      </c>
      <c r="J828" s="128">
        <v>10758</v>
      </c>
      <c r="K828" s="128">
        <f t="shared" si="12"/>
        <v>559416</v>
      </c>
      <c r="L828" s="125" t="s">
        <v>1404</v>
      </c>
      <c r="M828" s="85" t="s">
        <v>47</v>
      </c>
      <c r="N828" s="85" t="s">
        <v>1491</v>
      </c>
    </row>
    <row r="829" spans="2:14" ht="15.75" thickBot="1" x14ac:dyDescent="0.3">
      <c r="B829" s="82" t="s">
        <v>535</v>
      </c>
      <c r="C829" s="83" t="s">
        <v>629</v>
      </c>
      <c r="D829" s="124" t="s">
        <v>620</v>
      </c>
      <c r="E829" s="130">
        <v>1996</v>
      </c>
      <c r="F829" s="125" t="s">
        <v>736</v>
      </c>
      <c r="G829" s="125">
        <v>52</v>
      </c>
      <c r="H829" s="85">
        <v>6014.0800000000008</v>
      </c>
      <c r="I829" s="85" t="s">
        <v>630</v>
      </c>
      <c r="J829" s="128">
        <v>19024</v>
      </c>
      <c r="K829" s="128">
        <f t="shared" si="12"/>
        <v>989248</v>
      </c>
      <c r="L829" s="125" t="s">
        <v>1405</v>
      </c>
      <c r="M829" s="85" t="s">
        <v>47</v>
      </c>
      <c r="N829" s="85" t="s">
        <v>1491</v>
      </c>
    </row>
    <row r="830" spans="2:14" ht="15.75" thickBot="1" x14ac:dyDescent="0.3">
      <c r="B830" s="82" t="s">
        <v>535</v>
      </c>
      <c r="C830" s="83" t="s">
        <v>629</v>
      </c>
      <c r="D830" s="124" t="s">
        <v>620</v>
      </c>
      <c r="E830" s="130">
        <v>1998</v>
      </c>
      <c r="F830" s="125" t="s">
        <v>736</v>
      </c>
      <c r="G830" s="125">
        <v>70</v>
      </c>
      <c r="H830" s="85">
        <v>11912.08</v>
      </c>
      <c r="I830" s="85" t="s">
        <v>630</v>
      </c>
      <c r="J830" s="128">
        <v>33918</v>
      </c>
      <c r="K830" s="128">
        <f t="shared" si="12"/>
        <v>2374260</v>
      </c>
      <c r="L830" s="125" t="s">
        <v>1406</v>
      </c>
      <c r="M830" s="85" t="s">
        <v>47</v>
      </c>
      <c r="N830" s="85" t="s">
        <v>1491</v>
      </c>
    </row>
    <row r="831" spans="2:14" ht="15.75" thickBot="1" x14ac:dyDescent="0.3">
      <c r="B831" s="82" t="s">
        <v>535</v>
      </c>
      <c r="C831" s="83" t="s">
        <v>629</v>
      </c>
      <c r="D831" s="124" t="s">
        <v>620</v>
      </c>
      <c r="E831" s="130">
        <v>1998</v>
      </c>
      <c r="F831" s="125" t="s">
        <v>736</v>
      </c>
      <c r="G831" s="125">
        <v>70</v>
      </c>
      <c r="H831" s="85">
        <v>5763.39</v>
      </c>
      <c r="I831" s="85" t="s">
        <v>630</v>
      </c>
      <c r="J831" s="128">
        <v>16062</v>
      </c>
      <c r="K831" s="128">
        <f t="shared" si="12"/>
        <v>1124340</v>
      </c>
      <c r="L831" s="125" t="s">
        <v>1407</v>
      </c>
      <c r="M831" s="85" t="s">
        <v>47</v>
      </c>
      <c r="N831" s="85" t="s">
        <v>1491</v>
      </c>
    </row>
    <row r="832" spans="2:14" ht="15.75" thickBot="1" x14ac:dyDescent="0.3">
      <c r="B832" s="82" t="s">
        <v>535</v>
      </c>
      <c r="C832" s="83" t="s">
        <v>629</v>
      </c>
      <c r="D832" s="124" t="s">
        <v>620</v>
      </c>
      <c r="E832" s="130">
        <v>2008</v>
      </c>
      <c r="F832" s="125" t="s">
        <v>731</v>
      </c>
      <c r="G832" s="125">
        <v>82</v>
      </c>
      <c r="H832" s="85">
        <v>16987.819999999996</v>
      </c>
      <c r="I832" s="85" t="s">
        <v>630</v>
      </c>
      <c r="J832" s="128">
        <v>46687</v>
      </c>
      <c r="K832" s="128">
        <f t="shared" si="12"/>
        <v>3828334</v>
      </c>
      <c r="L832" s="125" t="s">
        <v>1408</v>
      </c>
      <c r="M832" s="85" t="s">
        <v>47</v>
      </c>
      <c r="N832" s="85" t="s">
        <v>1491</v>
      </c>
    </row>
    <row r="833" spans="2:14" ht="15.75" thickBot="1" x14ac:dyDescent="0.3">
      <c r="B833" s="82" t="s">
        <v>535</v>
      </c>
      <c r="C833" s="83" t="s">
        <v>629</v>
      </c>
      <c r="D833" s="124" t="s">
        <v>620</v>
      </c>
      <c r="E833" s="130">
        <v>2005</v>
      </c>
      <c r="F833" s="125" t="s">
        <v>732</v>
      </c>
      <c r="G833" s="125">
        <v>86</v>
      </c>
      <c r="H833" s="85">
        <v>12880.411999999998</v>
      </c>
      <c r="I833" s="85" t="s">
        <v>630</v>
      </c>
      <c r="J833" s="128">
        <v>33670</v>
      </c>
      <c r="K833" s="128">
        <f t="shared" si="12"/>
        <v>2895620</v>
      </c>
      <c r="L833" s="125" t="s">
        <v>1409</v>
      </c>
      <c r="M833" s="85" t="s">
        <v>47</v>
      </c>
      <c r="N833" s="85" t="s">
        <v>1491</v>
      </c>
    </row>
    <row r="834" spans="2:14" ht="15.75" thickBot="1" x14ac:dyDescent="0.3">
      <c r="B834" s="82" t="s">
        <v>535</v>
      </c>
      <c r="C834" s="83" t="s">
        <v>629</v>
      </c>
      <c r="D834" s="124" t="s">
        <v>620</v>
      </c>
      <c r="E834" s="130">
        <v>2005</v>
      </c>
      <c r="F834" s="125" t="s">
        <v>732</v>
      </c>
      <c r="G834" s="125">
        <v>86</v>
      </c>
      <c r="H834" s="85">
        <v>11282.920000000002</v>
      </c>
      <c r="I834" s="85" t="s">
        <v>630</v>
      </c>
      <c r="J834" s="128">
        <v>30611</v>
      </c>
      <c r="K834" s="128">
        <f t="shared" si="12"/>
        <v>2632546</v>
      </c>
      <c r="L834" s="125" t="s">
        <v>1410</v>
      </c>
      <c r="M834" s="85" t="s">
        <v>47</v>
      </c>
      <c r="N834" s="85" t="s">
        <v>1491</v>
      </c>
    </row>
    <row r="835" spans="2:14" ht="15.75" thickBot="1" x14ac:dyDescent="0.3">
      <c r="B835" s="82" t="s">
        <v>535</v>
      </c>
      <c r="C835" s="83" t="s">
        <v>629</v>
      </c>
      <c r="D835" s="124" t="s">
        <v>620</v>
      </c>
      <c r="E835" s="130">
        <v>2005</v>
      </c>
      <c r="F835" s="125" t="s">
        <v>732</v>
      </c>
      <c r="G835" s="125">
        <v>34</v>
      </c>
      <c r="H835" s="85">
        <v>6447.1900000000005</v>
      </c>
      <c r="I835" s="85" t="s">
        <v>630</v>
      </c>
      <c r="J835" s="128">
        <v>23130</v>
      </c>
      <c r="K835" s="128">
        <f t="shared" si="12"/>
        <v>786420</v>
      </c>
      <c r="L835" s="125" t="s">
        <v>1411</v>
      </c>
      <c r="M835" s="85" t="s">
        <v>47</v>
      </c>
      <c r="N835" s="85" t="s">
        <v>1491</v>
      </c>
    </row>
    <row r="836" spans="2:14" ht="15.75" thickBot="1" x14ac:dyDescent="0.3">
      <c r="B836" s="82" t="s">
        <v>535</v>
      </c>
      <c r="C836" s="83" t="s">
        <v>629</v>
      </c>
      <c r="D836" s="124" t="s">
        <v>620</v>
      </c>
      <c r="E836" s="130">
        <v>2005</v>
      </c>
      <c r="F836" s="125" t="s">
        <v>732</v>
      </c>
      <c r="G836" s="125">
        <v>34</v>
      </c>
      <c r="H836" s="85">
        <v>9673.51</v>
      </c>
      <c r="I836" s="85" t="s">
        <v>630</v>
      </c>
      <c r="J836" s="128">
        <v>33303</v>
      </c>
      <c r="K836" s="128">
        <f t="shared" si="12"/>
        <v>1132302</v>
      </c>
      <c r="L836" s="125" t="s">
        <v>1412</v>
      </c>
      <c r="M836" s="85" t="s">
        <v>47</v>
      </c>
      <c r="N836" s="85" t="s">
        <v>1491</v>
      </c>
    </row>
    <row r="837" spans="2:14" ht="15.75" thickBot="1" x14ac:dyDescent="0.3">
      <c r="B837" s="82" t="s">
        <v>535</v>
      </c>
      <c r="C837" s="83" t="s">
        <v>629</v>
      </c>
      <c r="D837" s="124" t="s">
        <v>620</v>
      </c>
      <c r="E837" s="130">
        <v>2001</v>
      </c>
      <c r="F837" s="125" t="s">
        <v>732</v>
      </c>
      <c r="G837" s="125">
        <v>55</v>
      </c>
      <c r="H837" s="85">
        <v>7827.4400000000005</v>
      </c>
      <c r="I837" s="85" t="s">
        <v>630</v>
      </c>
      <c r="J837" s="128">
        <v>20528</v>
      </c>
      <c r="K837" s="128">
        <f t="shared" si="12"/>
        <v>1129040</v>
      </c>
      <c r="L837" s="125" t="s">
        <v>1413</v>
      </c>
      <c r="M837" s="85" t="s">
        <v>47</v>
      </c>
      <c r="N837" s="85" t="s">
        <v>1491</v>
      </c>
    </row>
    <row r="838" spans="2:14" ht="15.75" thickBot="1" x14ac:dyDescent="0.3">
      <c r="B838" s="82" t="s">
        <v>535</v>
      </c>
      <c r="C838" s="83" t="s">
        <v>629</v>
      </c>
      <c r="D838" s="124" t="s">
        <v>620</v>
      </c>
      <c r="E838" s="130">
        <v>1999</v>
      </c>
      <c r="F838" s="125" t="s">
        <v>736</v>
      </c>
      <c r="G838" s="125">
        <v>51</v>
      </c>
      <c r="H838" s="85">
        <v>7366.5700000000015</v>
      </c>
      <c r="I838" s="85" t="s">
        <v>630</v>
      </c>
      <c r="J838" s="128">
        <v>19297</v>
      </c>
      <c r="K838" s="128">
        <f t="shared" si="12"/>
        <v>984147</v>
      </c>
      <c r="L838" s="125" t="s">
        <v>1414</v>
      </c>
      <c r="M838" s="85" t="s">
        <v>47</v>
      </c>
      <c r="N838" s="85" t="s">
        <v>1491</v>
      </c>
    </row>
    <row r="839" spans="2:14" ht="15.75" thickBot="1" x14ac:dyDescent="0.3">
      <c r="B839" s="82" t="s">
        <v>535</v>
      </c>
      <c r="C839" s="83" t="s">
        <v>629</v>
      </c>
      <c r="D839" s="124" t="s">
        <v>620</v>
      </c>
      <c r="E839" s="130">
        <v>2000</v>
      </c>
      <c r="F839" s="125" t="s">
        <v>735</v>
      </c>
      <c r="G839" s="125">
        <v>49</v>
      </c>
      <c r="H839" s="85">
        <v>11768.87</v>
      </c>
      <c r="I839" s="85" t="s">
        <v>630</v>
      </c>
      <c r="J839" s="128">
        <v>32247</v>
      </c>
      <c r="K839" s="128">
        <f t="shared" si="12"/>
        <v>1580103</v>
      </c>
      <c r="L839" s="125" t="s">
        <v>1415</v>
      </c>
      <c r="M839" s="85" t="s">
        <v>47</v>
      </c>
      <c r="N839" s="85" t="s">
        <v>1491</v>
      </c>
    </row>
    <row r="840" spans="2:14" ht="15.75" thickBot="1" x14ac:dyDescent="0.3">
      <c r="B840" s="82" t="s">
        <v>535</v>
      </c>
      <c r="C840" s="83" t="s">
        <v>629</v>
      </c>
      <c r="D840" s="124" t="s">
        <v>620</v>
      </c>
      <c r="E840" s="130">
        <v>2004</v>
      </c>
      <c r="F840" s="125" t="s">
        <v>732</v>
      </c>
      <c r="G840" s="125">
        <v>53</v>
      </c>
      <c r="H840" s="85">
        <v>17773.616000000002</v>
      </c>
      <c r="I840" s="85" t="s">
        <v>630</v>
      </c>
      <c r="J840" s="128">
        <v>52908</v>
      </c>
      <c r="K840" s="128">
        <f t="shared" si="12"/>
        <v>2804124</v>
      </c>
      <c r="L840" s="125" t="s">
        <v>1416</v>
      </c>
      <c r="M840" s="85" t="s">
        <v>47</v>
      </c>
      <c r="N840" s="85" t="s">
        <v>1491</v>
      </c>
    </row>
    <row r="841" spans="2:14" ht="15.75" thickBot="1" x14ac:dyDescent="0.3">
      <c r="B841" s="82" t="s">
        <v>535</v>
      </c>
      <c r="C841" s="83" t="s">
        <v>629</v>
      </c>
      <c r="D841" s="124" t="s">
        <v>620</v>
      </c>
      <c r="E841" s="130">
        <v>2004</v>
      </c>
      <c r="F841" s="125" t="s">
        <v>732</v>
      </c>
      <c r="G841" s="125">
        <v>53</v>
      </c>
      <c r="H841" s="85">
        <v>13931.394</v>
      </c>
      <c r="I841" s="85" t="s">
        <v>630</v>
      </c>
      <c r="J841" s="128">
        <v>40879</v>
      </c>
      <c r="K841" s="128">
        <f t="shared" si="12"/>
        <v>2166587</v>
      </c>
      <c r="L841" s="125" t="s">
        <v>1417</v>
      </c>
      <c r="M841" s="85" t="s">
        <v>47</v>
      </c>
      <c r="N841" s="85" t="s">
        <v>1491</v>
      </c>
    </row>
    <row r="842" spans="2:14" ht="15.75" thickBot="1" x14ac:dyDescent="0.3">
      <c r="B842" s="82" t="s">
        <v>535</v>
      </c>
      <c r="C842" s="83" t="s">
        <v>629</v>
      </c>
      <c r="D842" s="124" t="s">
        <v>620</v>
      </c>
      <c r="E842" s="130">
        <v>2004</v>
      </c>
      <c r="F842" s="125" t="s">
        <v>732</v>
      </c>
      <c r="G842" s="125">
        <v>55</v>
      </c>
      <c r="H842" s="85">
        <v>20623.939999999999</v>
      </c>
      <c r="I842" s="85" t="s">
        <v>630</v>
      </c>
      <c r="J842" s="128">
        <v>55444</v>
      </c>
      <c r="K842" s="128">
        <f t="shared" si="12"/>
        <v>3049420</v>
      </c>
      <c r="L842" s="125" t="s">
        <v>1418</v>
      </c>
      <c r="M842" s="85" t="s">
        <v>47</v>
      </c>
      <c r="N842" s="85" t="s">
        <v>1491</v>
      </c>
    </row>
    <row r="843" spans="2:14" ht="15.75" thickBot="1" x14ac:dyDescent="0.3">
      <c r="B843" s="82" t="s">
        <v>535</v>
      </c>
      <c r="C843" s="83" t="s">
        <v>629</v>
      </c>
      <c r="D843" s="124" t="s">
        <v>620</v>
      </c>
      <c r="E843" s="130">
        <v>2005</v>
      </c>
      <c r="F843" s="125" t="s">
        <v>732</v>
      </c>
      <c r="G843" s="125">
        <v>37</v>
      </c>
      <c r="H843" s="85">
        <v>9046.1310000000012</v>
      </c>
      <c r="I843" s="85" t="s">
        <v>630</v>
      </c>
      <c r="J843" s="128">
        <v>26063</v>
      </c>
      <c r="K843" s="128">
        <f t="shared" si="12"/>
        <v>964331</v>
      </c>
      <c r="L843" s="125" t="s">
        <v>852</v>
      </c>
      <c r="M843" s="85" t="s">
        <v>47</v>
      </c>
      <c r="N843" s="85" t="s">
        <v>1491</v>
      </c>
    </row>
    <row r="844" spans="2:14" ht="15.75" thickBot="1" x14ac:dyDescent="0.3">
      <c r="B844" s="82" t="s">
        <v>535</v>
      </c>
      <c r="C844" s="83" t="s">
        <v>629</v>
      </c>
      <c r="D844" s="124" t="s">
        <v>620</v>
      </c>
      <c r="E844" s="130">
        <v>2005</v>
      </c>
      <c r="F844" s="125" t="s">
        <v>732</v>
      </c>
      <c r="G844" s="125">
        <v>37</v>
      </c>
      <c r="H844" s="85">
        <v>9857.1099999999988</v>
      </c>
      <c r="I844" s="85" t="s">
        <v>630</v>
      </c>
      <c r="J844" s="128">
        <v>28079</v>
      </c>
      <c r="K844" s="128">
        <f t="shared" si="12"/>
        <v>1038923</v>
      </c>
      <c r="L844" s="125" t="s">
        <v>854</v>
      </c>
      <c r="M844" s="85" t="s">
        <v>47</v>
      </c>
      <c r="N844" s="85" t="s">
        <v>1491</v>
      </c>
    </row>
    <row r="845" spans="2:14" ht="15.75" thickBot="1" x14ac:dyDescent="0.3">
      <c r="B845" s="82" t="s">
        <v>602</v>
      </c>
      <c r="C845" s="83" t="s">
        <v>629</v>
      </c>
      <c r="D845" s="124" t="s">
        <v>620</v>
      </c>
      <c r="E845" s="130">
        <v>2002</v>
      </c>
      <c r="F845" s="125" t="s">
        <v>732</v>
      </c>
      <c r="G845" s="125">
        <v>55</v>
      </c>
      <c r="H845" s="85">
        <v>4626.12</v>
      </c>
      <c r="I845" s="85" t="s">
        <v>630</v>
      </c>
      <c r="J845" s="128">
        <v>15896</v>
      </c>
      <c r="K845" s="128">
        <f t="shared" si="12"/>
        <v>874280</v>
      </c>
      <c r="L845" s="125" t="s">
        <v>1419</v>
      </c>
      <c r="M845" s="85" t="s">
        <v>47</v>
      </c>
      <c r="N845" s="85" t="s">
        <v>1491</v>
      </c>
    </row>
    <row r="846" spans="2:14" ht="15.75" thickBot="1" x14ac:dyDescent="0.3">
      <c r="B846" s="82" t="s">
        <v>602</v>
      </c>
      <c r="C846" s="83" t="s">
        <v>629</v>
      </c>
      <c r="D846" s="124" t="s">
        <v>620</v>
      </c>
      <c r="E846" s="130">
        <v>2004</v>
      </c>
      <c r="F846" s="125" t="s">
        <v>732</v>
      </c>
      <c r="G846" s="125">
        <v>53</v>
      </c>
      <c r="H846" s="85">
        <v>9057.39</v>
      </c>
      <c r="I846" s="85" t="s">
        <v>630</v>
      </c>
      <c r="J846" s="128">
        <v>25654</v>
      </c>
      <c r="K846" s="128">
        <f t="shared" si="12"/>
        <v>1359662</v>
      </c>
      <c r="L846" s="125" t="s">
        <v>1420</v>
      </c>
      <c r="M846" s="85" t="s">
        <v>47</v>
      </c>
      <c r="N846" s="85" t="s">
        <v>1491</v>
      </c>
    </row>
    <row r="847" spans="2:14" ht="15.75" thickBot="1" x14ac:dyDescent="0.3">
      <c r="B847" s="82" t="s">
        <v>602</v>
      </c>
      <c r="C847" s="83" t="s">
        <v>629</v>
      </c>
      <c r="D847" s="124" t="s">
        <v>620</v>
      </c>
      <c r="E847" s="130">
        <v>2006</v>
      </c>
      <c r="F847" s="125" t="s">
        <v>731</v>
      </c>
      <c r="G847" s="125">
        <v>55</v>
      </c>
      <c r="H847" s="85">
        <v>0</v>
      </c>
      <c r="I847" s="85" t="s">
        <v>630</v>
      </c>
      <c r="J847" s="128">
        <v>0</v>
      </c>
      <c r="K847" s="128">
        <f t="shared" si="12"/>
        <v>0</v>
      </c>
      <c r="L847" s="125" t="s">
        <v>1421</v>
      </c>
      <c r="M847" s="85" t="s">
        <v>47</v>
      </c>
      <c r="N847" s="85" t="s">
        <v>1491</v>
      </c>
    </row>
    <row r="848" spans="2:14" ht="15.75" thickBot="1" x14ac:dyDescent="0.3">
      <c r="B848" s="82" t="s">
        <v>602</v>
      </c>
      <c r="C848" s="83" t="s">
        <v>629</v>
      </c>
      <c r="D848" s="124" t="s">
        <v>620</v>
      </c>
      <c r="E848" s="130">
        <v>2007</v>
      </c>
      <c r="F848" s="125" t="s">
        <v>731</v>
      </c>
      <c r="G848" s="125">
        <v>36</v>
      </c>
      <c r="H848" s="85">
        <v>3062.1779999999999</v>
      </c>
      <c r="I848" s="85" t="s">
        <v>630</v>
      </c>
      <c r="J848" s="128">
        <v>10069</v>
      </c>
      <c r="K848" s="128">
        <f t="shared" si="12"/>
        <v>362484</v>
      </c>
      <c r="L848" s="125" t="s">
        <v>1422</v>
      </c>
      <c r="M848" s="85" t="s">
        <v>47</v>
      </c>
      <c r="N848" s="85" t="s">
        <v>1491</v>
      </c>
    </row>
    <row r="849" spans="2:14" ht="15.75" thickBot="1" x14ac:dyDescent="0.3">
      <c r="B849" s="82" t="s">
        <v>602</v>
      </c>
      <c r="C849" s="83" t="s">
        <v>629</v>
      </c>
      <c r="D849" s="124" t="s">
        <v>620</v>
      </c>
      <c r="E849" s="130">
        <v>2008</v>
      </c>
      <c r="F849" s="125" t="s">
        <v>731</v>
      </c>
      <c r="G849" s="125">
        <v>21</v>
      </c>
      <c r="H849" s="85">
        <v>51</v>
      </c>
      <c r="I849" s="85" t="s">
        <v>630</v>
      </c>
      <c r="J849" s="128">
        <v>188</v>
      </c>
      <c r="K849" s="128">
        <f t="shared" si="12"/>
        <v>3948</v>
      </c>
      <c r="L849" s="125" t="s">
        <v>1423</v>
      </c>
      <c r="M849" s="85" t="s">
        <v>47</v>
      </c>
      <c r="N849" s="85" t="s">
        <v>1491</v>
      </c>
    </row>
    <row r="850" spans="2:14" ht="15.75" thickBot="1" x14ac:dyDescent="0.3">
      <c r="B850" s="82" t="s">
        <v>602</v>
      </c>
      <c r="C850" s="83" t="s">
        <v>629</v>
      </c>
      <c r="D850" s="124" t="s">
        <v>620</v>
      </c>
      <c r="E850" s="130">
        <v>2011</v>
      </c>
      <c r="F850" s="125" t="s">
        <v>734</v>
      </c>
      <c r="G850" s="125">
        <v>53</v>
      </c>
      <c r="H850" s="85">
        <v>9566.42</v>
      </c>
      <c r="I850" s="85" t="s">
        <v>630</v>
      </c>
      <c r="J850" s="128">
        <v>29387</v>
      </c>
      <c r="K850" s="128">
        <f t="shared" si="12"/>
        <v>1557511</v>
      </c>
      <c r="L850" s="125" t="s">
        <v>1424</v>
      </c>
      <c r="M850" s="85" t="s">
        <v>47</v>
      </c>
      <c r="N850" s="85" t="s">
        <v>1491</v>
      </c>
    </row>
    <row r="851" spans="2:14" ht="15.75" thickBot="1" x14ac:dyDescent="0.3">
      <c r="B851" s="82" t="s">
        <v>602</v>
      </c>
      <c r="C851" s="83" t="s">
        <v>629</v>
      </c>
      <c r="D851" s="124" t="s">
        <v>620</v>
      </c>
      <c r="E851" s="130">
        <v>2011</v>
      </c>
      <c r="F851" s="125" t="s">
        <v>734</v>
      </c>
      <c r="G851" s="125">
        <v>53</v>
      </c>
      <c r="H851" s="85">
        <v>10759.15</v>
      </c>
      <c r="I851" s="85" t="s">
        <v>630</v>
      </c>
      <c r="J851" s="128">
        <v>32554</v>
      </c>
      <c r="K851" s="128">
        <f t="shared" si="12"/>
        <v>1725362</v>
      </c>
      <c r="L851" s="125" t="s">
        <v>1425</v>
      </c>
      <c r="M851" s="85" t="s">
        <v>47</v>
      </c>
      <c r="N851" s="85" t="s">
        <v>1491</v>
      </c>
    </row>
    <row r="852" spans="2:14" ht="15.75" thickBot="1" x14ac:dyDescent="0.3">
      <c r="B852" s="82" t="s">
        <v>602</v>
      </c>
      <c r="C852" s="83" t="s">
        <v>629</v>
      </c>
      <c r="D852" s="124" t="s">
        <v>620</v>
      </c>
      <c r="E852" s="130">
        <v>2011</v>
      </c>
      <c r="F852" s="125" t="s">
        <v>734</v>
      </c>
      <c r="G852" s="125">
        <v>53</v>
      </c>
      <c r="H852" s="85">
        <v>11748.06</v>
      </c>
      <c r="I852" s="85" t="s">
        <v>630</v>
      </c>
      <c r="J852" s="128">
        <v>36329</v>
      </c>
      <c r="K852" s="128">
        <f t="shared" si="12"/>
        <v>1925437</v>
      </c>
      <c r="L852" s="125" t="s">
        <v>1426</v>
      </c>
      <c r="M852" s="85" t="s">
        <v>47</v>
      </c>
      <c r="N852" s="85" t="s">
        <v>1491</v>
      </c>
    </row>
    <row r="853" spans="2:14" ht="15.75" thickBot="1" x14ac:dyDescent="0.3">
      <c r="B853" s="82" t="s">
        <v>602</v>
      </c>
      <c r="C853" s="83" t="s">
        <v>629</v>
      </c>
      <c r="D853" s="124" t="s">
        <v>620</v>
      </c>
      <c r="E853" s="130">
        <v>2011</v>
      </c>
      <c r="F853" s="125" t="s">
        <v>734</v>
      </c>
      <c r="G853" s="125">
        <v>53</v>
      </c>
      <c r="H853" s="85">
        <v>9661.5000000000018</v>
      </c>
      <c r="I853" s="85" t="s">
        <v>630</v>
      </c>
      <c r="J853" s="128">
        <v>29129</v>
      </c>
      <c r="K853" s="128">
        <f t="shared" si="12"/>
        <v>1543837</v>
      </c>
      <c r="L853" s="125" t="s">
        <v>1427</v>
      </c>
      <c r="M853" s="85" t="s">
        <v>47</v>
      </c>
      <c r="N853" s="85" t="s">
        <v>1491</v>
      </c>
    </row>
    <row r="854" spans="2:14" ht="15.75" thickBot="1" x14ac:dyDescent="0.3">
      <c r="B854" s="82" t="s">
        <v>602</v>
      </c>
      <c r="C854" s="83" t="s">
        <v>629</v>
      </c>
      <c r="D854" s="124" t="s">
        <v>620</v>
      </c>
      <c r="E854" s="130">
        <v>2011</v>
      </c>
      <c r="F854" s="125" t="s">
        <v>734</v>
      </c>
      <c r="G854" s="125">
        <v>53</v>
      </c>
      <c r="H854" s="85">
        <v>13771.939000000002</v>
      </c>
      <c r="I854" s="85" t="s">
        <v>630</v>
      </c>
      <c r="J854" s="128">
        <v>42376</v>
      </c>
      <c r="K854" s="128">
        <f t="shared" si="12"/>
        <v>2245928</v>
      </c>
      <c r="L854" s="125" t="s">
        <v>1428</v>
      </c>
      <c r="M854" s="85" t="s">
        <v>47</v>
      </c>
      <c r="N854" s="85" t="s">
        <v>1491</v>
      </c>
    </row>
    <row r="855" spans="2:14" ht="15.75" thickBot="1" x14ac:dyDescent="0.3">
      <c r="B855" s="82" t="s">
        <v>602</v>
      </c>
      <c r="C855" s="83" t="s">
        <v>629</v>
      </c>
      <c r="D855" s="124" t="s">
        <v>620</v>
      </c>
      <c r="E855" s="130">
        <v>2011</v>
      </c>
      <c r="F855" s="125" t="s">
        <v>734</v>
      </c>
      <c r="G855" s="125">
        <v>53</v>
      </c>
      <c r="H855" s="85">
        <v>9847.08</v>
      </c>
      <c r="I855" s="85" t="s">
        <v>630</v>
      </c>
      <c r="J855" s="128">
        <v>29941</v>
      </c>
      <c r="K855" s="128">
        <f t="shared" si="12"/>
        <v>1586873</v>
      </c>
      <c r="L855" s="125" t="s">
        <v>1429</v>
      </c>
      <c r="M855" s="85" t="s">
        <v>47</v>
      </c>
      <c r="N855" s="85" t="s">
        <v>1491</v>
      </c>
    </row>
    <row r="856" spans="2:14" ht="15.75" thickBot="1" x14ac:dyDescent="0.3">
      <c r="B856" s="82" t="s">
        <v>602</v>
      </c>
      <c r="C856" s="83" t="s">
        <v>629</v>
      </c>
      <c r="D856" s="124" t="s">
        <v>620</v>
      </c>
      <c r="E856" s="130">
        <v>2011</v>
      </c>
      <c r="F856" s="125" t="s">
        <v>734</v>
      </c>
      <c r="G856" s="125">
        <v>19</v>
      </c>
      <c r="H856" s="85">
        <v>0</v>
      </c>
      <c r="I856" s="85" t="s">
        <v>630</v>
      </c>
      <c r="J856" s="128">
        <v>0</v>
      </c>
      <c r="K856" s="128">
        <f t="shared" si="12"/>
        <v>0</v>
      </c>
      <c r="L856" s="125" t="s">
        <v>1430</v>
      </c>
      <c r="M856" s="85" t="s">
        <v>47</v>
      </c>
      <c r="N856" s="85" t="s">
        <v>1491</v>
      </c>
    </row>
    <row r="857" spans="2:14" ht="15.75" thickBot="1" x14ac:dyDescent="0.3">
      <c r="B857" s="82" t="s">
        <v>602</v>
      </c>
      <c r="C857" s="83" t="s">
        <v>629</v>
      </c>
      <c r="D857" s="124" t="s">
        <v>620</v>
      </c>
      <c r="E857" s="130">
        <v>2013</v>
      </c>
      <c r="F857" s="125" t="s">
        <v>733</v>
      </c>
      <c r="G857" s="125">
        <v>21</v>
      </c>
      <c r="H857" s="85">
        <v>359.09000000000003</v>
      </c>
      <c r="I857" s="85" t="s">
        <v>630</v>
      </c>
      <c r="J857" s="128">
        <v>2085</v>
      </c>
      <c r="K857" s="128">
        <f t="shared" si="12"/>
        <v>43785</v>
      </c>
      <c r="L857" s="125" t="s">
        <v>1431</v>
      </c>
      <c r="M857" s="85" t="s">
        <v>47</v>
      </c>
      <c r="N857" s="85" t="s">
        <v>1491</v>
      </c>
    </row>
    <row r="858" spans="2:14" ht="15.75" thickBot="1" x14ac:dyDescent="0.3">
      <c r="B858" s="82" t="s">
        <v>602</v>
      </c>
      <c r="C858" s="83" t="s">
        <v>629</v>
      </c>
      <c r="D858" s="124" t="s">
        <v>620</v>
      </c>
      <c r="E858" s="130">
        <v>2015</v>
      </c>
      <c r="F858" s="125" t="s">
        <v>733</v>
      </c>
      <c r="G858" s="125">
        <v>53</v>
      </c>
      <c r="H858" s="85">
        <v>13159.81</v>
      </c>
      <c r="I858" s="85" t="s">
        <v>630</v>
      </c>
      <c r="J858" s="128">
        <v>45164</v>
      </c>
      <c r="K858" s="128">
        <f t="shared" si="12"/>
        <v>2393692</v>
      </c>
      <c r="L858" s="125" t="s">
        <v>1432</v>
      </c>
      <c r="M858" s="85" t="s">
        <v>47</v>
      </c>
      <c r="N858" s="85" t="s">
        <v>1491</v>
      </c>
    </row>
    <row r="859" spans="2:14" ht="15.75" thickBot="1" x14ac:dyDescent="0.3">
      <c r="B859" s="82" t="s">
        <v>602</v>
      </c>
      <c r="C859" s="83" t="s">
        <v>629</v>
      </c>
      <c r="D859" s="124" t="s">
        <v>620</v>
      </c>
      <c r="E859" s="130">
        <v>2015</v>
      </c>
      <c r="F859" s="125" t="s">
        <v>733</v>
      </c>
      <c r="G859" s="125">
        <v>53</v>
      </c>
      <c r="H859" s="85">
        <v>14262.480000000001</v>
      </c>
      <c r="I859" s="85" t="s">
        <v>630</v>
      </c>
      <c r="J859" s="128">
        <v>47352</v>
      </c>
      <c r="K859" s="128">
        <f t="shared" si="12"/>
        <v>2509656</v>
      </c>
      <c r="L859" s="125" t="s">
        <v>1433</v>
      </c>
      <c r="M859" s="85" t="s">
        <v>47</v>
      </c>
      <c r="N859" s="85" t="s">
        <v>1491</v>
      </c>
    </row>
    <row r="860" spans="2:14" ht="15.75" thickBot="1" x14ac:dyDescent="0.3">
      <c r="B860" s="82" t="s">
        <v>602</v>
      </c>
      <c r="C860" s="83" t="s">
        <v>629</v>
      </c>
      <c r="D860" s="124" t="s">
        <v>620</v>
      </c>
      <c r="E860" s="130">
        <v>2015</v>
      </c>
      <c r="F860" s="125" t="s">
        <v>733</v>
      </c>
      <c r="G860" s="125">
        <v>53</v>
      </c>
      <c r="H860" s="85">
        <v>13601.14</v>
      </c>
      <c r="I860" s="85" t="s">
        <v>630</v>
      </c>
      <c r="J860" s="128">
        <v>46797</v>
      </c>
      <c r="K860" s="128">
        <f t="shared" si="12"/>
        <v>2480241</v>
      </c>
      <c r="L860" s="125" t="s">
        <v>1434</v>
      </c>
      <c r="M860" s="85" t="s">
        <v>47</v>
      </c>
      <c r="N860" s="85" t="s">
        <v>1491</v>
      </c>
    </row>
    <row r="861" spans="2:14" ht="15.75" thickBot="1" x14ac:dyDescent="0.3">
      <c r="B861" s="82" t="s">
        <v>602</v>
      </c>
      <c r="C861" s="83" t="s">
        <v>629</v>
      </c>
      <c r="D861" s="124" t="s">
        <v>620</v>
      </c>
      <c r="E861" s="130">
        <v>2015</v>
      </c>
      <c r="F861" s="125" t="s">
        <v>733</v>
      </c>
      <c r="G861" s="125">
        <v>59</v>
      </c>
      <c r="H861" s="85">
        <v>12887.129000000001</v>
      </c>
      <c r="I861" s="85" t="s">
        <v>630</v>
      </c>
      <c r="J861" s="128">
        <v>37771</v>
      </c>
      <c r="K861" s="128">
        <f t="shared" si="12"/>
        <v>2228489</v>
      </c>
      <c r="L861" s="125" t="s">
        <v>1435</v>
      </c>
      <c r="M861" s="85" t="s">
        <v>47</v>
      </c>
      <c r="N861" s="85" t="s">
        <v>1491</v>
      </c>
    </row>
    <row r="862" spans="2:14" ht="15.75" thickBot="1" x14ac:dyDescent="0.3">
      <c r="B862" s="82" t="s">
        <v>602</v>
      </c>
      <c r="C862" s="83" t="s">
        <v>629</v>
      </c>
      <c r="D862" s="124" t="s">
        <v>620</v>
      </c>
      <c r="E862" s="130">
        <v>2016</v>
      </c>
      <c r="F862" s="125" t="s">
        <v>733</v>
      </c>
      <c r="G862" s="125">
        <v>19</v>
      </c>
      <c r="H862" s="85">
        <v>873.28</v>
      </c>
      <c r="I862" s="85" t="s">
        <v>630</v>
      </c>
      <c r="J862" s="128">
        <v>4997</v>
      </c>
      <c r="K862" s="128">
        <f t="shared" si="12"/>
        <v>94943</v>
      </c>
      <c r="L862" s="125" t="s">
        <v>1436</v>
      </c>
      <c r="M862" s="85" t="s">
        <v>47</v>
      </c>
      <c r="N862" s="85" t="s">
        <v>1491</v>
      </c>
    </row>
    <row r="863" spans="2:14" ht="15.75" thickBot="1" x14ac:dyDescent="0.3">
      <c r="B863" s="82" t="s">
        <v>602</v>
      </c>
      <c r="C863" s="83" t="s">
        <v>629</v>
      </c>
      <c r="D863" s="124" t="s">
        <v>620</v>
      </c>
      <c r="E863" s="130">
        <v>2016</v>
      </c>
      <c r="F863" s="125" t="s">
        <v>733</v>
      </c>
      <c r="G863" s="125">
        <v>57</v>
      </c>
      <c r="H863" s="85">
        <v>12078.029999999999</v>
      </c>
      <c r="I863" s="85" t="s">
        <v>630</v>
      </c>
      <c r="J863" s="128">
        <v>36692</v>
      </c>
      <c r="K863" s="128">
        <f t="shared" ref="K863:K916" si="13">J863*G863</f>
        <v>2091444</v>
      </c>
      <c r="L863" s="125" t="s">
        <v>1437</v>
      </c>
      <c r="M863" s="85" t="s">
        <v>47</v>
      </c>
      <c r="N863" s="85" t="s">
        <v>1491</v>
      </c>
    </row>
    <row r="864" spans="2:14" ht="15.75" thickBot="1" x14ac:dyDescent="0.3">
      <c r="B864" s="82" t="s">
        <v>602</v>
      </c>
      <c r="C864" s="83" t="s">
        <v>629</v>
      </c>
      <c r="D864" s="124" t="s">
        <v>620</v>
      </c>
      <c r="E864" s="130">
        <v>2016</v>
      </c>
      <c r="F864" s="125" t="s">
        <v>733</v>
      </c>
      <c r="G864" s="125">
        <v>57</v>
      </c>
      <c r="H864" s="85">
        <v>12786.09</v>
      </c>
      <c r="I864" s="85" t="s">
        <v>630</v>
      </c>
      <c r="J864" s="128">
        <v>43958</v>
      </c>
      <c r="K864" s="128">
        <f t="shared" si="13"/>
        <v>2505606</v>
      </c>
      <c r="L864" s="125" t="s">
        <v>1438</v>
      </c>
      <c r="M864" s="85" t="s">
        <v>47</v>
      </c>
      <c r="N864" s="85" t="s">
        <v>1491</v>
      </c>
    </row>
    <row r="865" spans="2:14" ht="15.75" thickBot="1" x14ac:dyDescent="0.3">
      <c r="B865" s="82" t="s">
        <v>602</v>
      </c>
      <c r="C865" s="83" t="s">
        <v>629</v>
      </c>
      <c r="D865" s="124" t="s">
        <v>620</v>
      </c>
      <c r="E865" s="130">
        <v>2017</v>
      </c>
      <c r="F865" s="125" t="s">
        <v>733</v>
      </c>
      <c r="G865" s="125">
        <v>27</v>
      </c>
      <c r="H865" s="85">
        <v>3946.6199999999994</v>
      </c>
      <c r="I865" s="85" t="s">
        <v>630</v>
      </c>
      <c r="J865" s="128">
        <v>19234</v>
      </c>
      <c r="K865" s="128">
        <f t="shared" si="13"/>
        <v>519318</v>
      </c>
      <c r="L865" s="125" t="s">
        <v>1439</v>
      </c>
      <c r="M865" s="85" t="s">
        <v>47</v>
      </c>
      <c r="N865" s="85" t="s">
        <v>1491</v>
      </c>
    </row>
    <row r="866" spans="2:14" ht="15.75" thickBot="1" x14ac:dyDescent="0.3">
      <c r="B866" s="82" t="s">
        <v>602</v>
      </c>
      <c r="C866" s="83" t="s">
        <v>629</v>
      </c>
      <c r="D866" s="124" t="s">
        <v>620</v>
      </c>
      <c r="E866" s="130">
        <v>2019</v>
      </c>
      <c r="F866" s="125" t="s">
        <v>733</v>
      </c>
      <c r="G866" s="125">
        <v>19</v>
      </c>
      <c r="H866" s="85">
        <v>3503.5499999999997</v>
      </c>
      <c r="I866" s="85" t="s">
        <v>630</v>
      </c>
      <c r="J866" s="128">
        <v>23733</v>
      </c>
      <c r="K866" s="128">
        <f t="shared" si="13"/>
        <v>450927</v>
      </c>
      <c r="L866" s="125" t="s">
        <v>1440</v>
      </c>
      <c r="M866" s="85" t="s">
        <v>47</v>
      </c>
      <c r="N866" s="85" t="s">
        <v>1491</v>
      </c>
    </row>
    <row r="867" spans="2:14" ht="15.75" thickBot="1" x14ac:dyDescent="0.3">
      <c r="B867" s="82" t="s">
        <v>602</v>
      </c>
      <c r="C867" s="83" t="s">
        <v>629</v>
      </c>
      <c r="D867" s="124" t="s">
        <v>620</v>
      </c>
      <c r="E867" s="130">
        <v>2019</v>
      </c>
      <c r="F867" s="125" t="s">
        <v>733</v>
      </c>
      <c r="G867" s="125">
        <v>19</v>
      </c>
      <c r="H867" s="85">
        <v>2837.73</v>
      </c>
      <c r="I867" s="85" t="s">
        <v>630</v>
      </c>
      <c r="J867" s="128">
        <v>21133</v>
      </c>
      <c r="K867" s="128">
        <f t="shared" si="13"/>
        <v>401527</v>
      </c>
      <c r="L867" s="125" t="s">
        <v>1441</v>
      </c>
      <c r="M867" s="85" t="s">
        <v>47</v>
      </c>
      <c r="N867" s="85" t="s">
        <v>1491</v>
      </c>
    </row>
    <row r="868" spans="2:14" ht="15.75" thickBot="1" x14ac:dyDescent="0.3">
      <c r="B868" s="82" t="s">
        <v>602</v>
      </c>
      <c r="C868" s="83" t="s">
        <v>629</v>
      </c>
      <c r="D868" s="124" t="s">
        <v>620</v>
      </c>
      <c r="E868" s="130">
        <v>2019</v>
      </c>
      <c r="F868" s="125" t="s">
        <v>733</v>
      </c>
      <c r="G868" s="125">
        <v>53</v>
      </c>
      <c r="H868" s="85">
        <v>11244.230000000001</v>
      </c>
      <c r="I868" s="85" t="s">
        <v>630</v>
      </c>
      <c r="J868" s="128">
        <v>43739</v>
      </c>
      <c r="K868" s="128">
        <f t="shared" si="13"/>
        <v>2318167</v>
      </c>
      <c r="L868" s="125" t="s">
        <v>1442</v>
      </c>
      <c r="M868" s="85" t="s">
        <v>47</v>
      </c>
      <c r="N868" s="85" t="s">
        <v>1491</v>
      </c>
    </row>
    <row r="869" spans="2:14" ht="15.75" thickBot="1" x14ac:dyDescent="0.3">
      <c r="B869" s="82" t="s">
        <v>602</v>
      </c>
      <c r="C869" s="83" t="s">
        <v>629</v>
      </c>
      <c r="D869" s="124" t="s">
        <v>620</v>
      </c>
      <c r="E869" s="130">
        <v>2019</v>
      </c>
      <c r="F869" s="125" t="s">
        <v>733</v>
      </c>
      <c r="G869" s="125">
        <v>53</v>
      </c>
      <c r="H869" s="85">
        <v>12311.795000000002</v>
      </c>
      <c r="I869" s="85" t="s">
        <v>630</v>
      </c>
      <c r="J869" s="128">
        <v>48184</v>
      </c>
      <c r="K869" s="128">
        <f t="shared" si="13"/>
        <v>2553752</v>
      </c>
      <c r="L869" s="125" t="s">
        <v>1443</v>
      </c>
      <c r="M869" s="85" t="s">
        <v>47</v>
      </c>
      <c r="N869" s="85" t="s">
        <v>1491</v>
      </c>
    </row>
    <row r="870" spans="2:14" ht="15.75" thickBot="1" x14ac:dyDescent="0.3">
      <c r="B870" s="82" t="s">
        <v>602</v>
      </c>
      <c r="C870" s="83" t="s">
        <v>629</v>
      </c>
      <c r="D870" s="124" t="s">
        <v>620</v>
      </c>
      <c r="E870" s="130">
        <v>2019</v>
      </c>
      <c r="F870" s="125" t="s">
        <v>733</v>
      </c>
      <c r="G870" s="125">
        <v>53</v>
      </c>
      <c r="H870" s="85">
        <v>12666.49</v>
      </c>
      <c r="I870" s="85" t="s">
        <v>630</v>
      </c>
      <c r="J870" s="128">
        <v>51353</v>
      </c>
      <c r="K870" s="128">
        <f t="shared" si="13"/>
        <v>2721709</v>
      </c>
      <c r="L870" s="125" t="s">
        <v>1444</v>
      </c>
      <c r="M870" s="85" t="s">
        <v>47</v>
      </c>
      <c r="N870" s="85" t="s">
        <v>1491</v>
      </c>
    </row>
    <row r="871" spans="2:14" ht="15.75" thickBot="1" x14ac:dyDescent="0.3">
      <c r="B871" s="82" t="s">
        <v>602</v>
      </c>
      <c r="C871" s="83" t="s">
        <v>629</v>
      </c>
      <c r="D871" s="124" t="s">
        <v>620</v>
      </c>
      <c r="E871" s="130">
        <v>2019</v>
      </c>
      <c r="F871" s="125" t="s">
        <v>733</v>
      </c>
      <c r="G871" s="125">
        <v>53</v>
      </c>
      <c r="H871" s="85">
        <v>13616.699999999997</v>
      </c>
      <c r="I871" s="85" t="s">
        <v>630</v>
      </c>
      <c r="J871" s="128">
        <v>52946</v>
      </c>
      <c r="K871" s="128">
        <f t="shared" si="13"/>
        <v>2806138</v>
      </c>
      <c r="L871" s="125" t="s">
        <v>1445</v>
      </c>
      <c r="M871" s="85" t="s">
        <v>47</v>
      </c>
      <c r="N871" s="85" t="s">
        <v>1491</v>
      </c>
    </row>
    <row r="872" spans="2:14" ht="15.75" thickBot="1" x14ac:dyDescent="0.3">
      <c r="B872" s="82" t="s">
        <v>602</v>
      </c>
      <c r="C872" s="83" t="s">
        <v>629</v>
      </c>
      <c r="D872" s="124" t="s">
        <v>620</v>
      </c>
      <c r="E872" s="130">
        <v>2019</v>
      </c>
      <c r="F872" s="125" t="s">
        <v>733</v>
      </c>
      <c r="G872" s="125">
        <v>39</v>
      </c>
      <c r="H872" s="85">
        <v>8903.8000000000011</v>
      </c>
      <c r="I872" s="85" t="s">
        <v>630</v>
      </c>
      <c r="J872" s="128">
        <v>30965</v>
      </c>
      <c r="K872" s="128">
        <f t="shared" si="13"/>
        <v>1207635</v>
      </c>
      <c r="L872" s="125" t="s">
        <v>1446</v>
      </c>
      <c r="M872" s="85" t="s">
        <v>47</v>
      </c>
      <c r="N872" s="85" t="s">
        <v>1491</v>
      </c>
    </row>
    <row r="873" spans="2:14" ht="15.75" thickBot="1" x14ac:dyDescent="0.3">
      <c r="B873" s="82" t="s">
        <v>602</v>
      </c>
      <c r="C873" s="83" t="s">
        <v>629</v>
      </c>
      <c r="D873" s="124" t="s">
        <v>620</v>
      </c>
      <c r="E873" s="130">
        <v>2019</v>
      </c>
      <c r="F873" s="125" t="s">
        <v>733</v>
      </c>
      <c r="G873" s="125">
        <v>39</v>
      </c>
      <c r="H873" s="85">
        <v>10223.376</v>
      </c>
      <c r="I873" s="85" t="s">
        <v>630</v>
      </c>
      <c r="J873" s="128">
        <v>36034</v>
      </c>
      <c r="K873" s="128">
        <f t="shared" si="13"/>
        <v>1405326</v>
      </c>
      <c r="L873" s="125" t="s">
        <v>1447</v>
      </c>
      <c r="M873" s="85" t="s">
        <v>47</v>
      </c>
      <c r="N873" s="85" t="s">
        <v>1491</v>
      </c>
    </row>
    <row r="874" spans="2:14" ht="15.75" thickBot="1" x14ac:dyDescent="0.3">
      <c r="B874" s="82" t="s">
        <v>602</v>
      </c>
      <c r="C874" s="83" t="s">
        <v>629</v>
      </c>
      <c r="D874" s="124" t="s">
        <v>620</v>
      </c>
      <c r="E874" s="130">
        <v>2020</v>
      </c>
      <c r="F874" s="125" t="s">
        <v>733</v>
      </c>
      <c r="G874" s="125">
        <v>53</v>
      </c>
      <c r="H874" s="85">
        <v>10571.279999999999</v>
      </c>
      <c r="I874" s="85" t="s">
        <v>630</v>
      </c>
      <c r="J874" s="128">
        <v>38707</v>
      </c>
      <c r="K874" s="128">
        <f t="shared" si="13"/>
        <v>2051471</v>
      </c>
      <c r="L874" s="125" t="s">
        <v>1448</v>
      </c>
      <c r="M874" s="85" t="s">
        <v>47</v>
      </c>
      <c r="N874" s="85" t="s">
        <v>1491</v>
      </c>
    </row>
    <row r="875" spans="2:14" ht="15.75" thickBot="1" x14ac:dyDescent="0.3">
      <c r="B875" s="82" t="s">
        <v>536</v>
      </c>
      <c r="C875" s="83" t="s">
        <v>629</v>
      </c>
      <c r="D875" s="124" t="s">
        <v>620</v>
      </c>
      <c r="E875" s="130">
        <v>2005</v>
      </c>
      <c r="F875" s="125" t="s">
        <v>732</v>
      </c>
      <c r="G875" s="125">
        <v>21</v>
      </c>
      <c r="H875" s="85">
        <v>279.16999999999996</v>
      </c>
      <c r="I875" s="85" t="s">
        <v>630</v>
      </c>
      <c r="J875" s="128">
        <v>1480</v>
      </c>
      <c r="K875" s="128">
        <f t="shared" si="13"/>
        <v>31080</v>
      </c>
      <c r="L875" s="125" t="s">
        <v>1449</v>
      </c>
      <c r="M875" s="85" t="s">
        <v>47</v>
      </c>
      <c r="N875" s="85" t="s">
        <v>1491</v>
      </c>
    </row>
    <row r="876" spans="2:14" ht="15.75" thickBot="1" x14ac:dyDescent="0.3">
      <c r="B876" s="82" t="s">
        <v>536</v>
      </c>
      <c r="C876" s="83" t="s">
        <v>629</v>
      </c>
      <c r="D876" s="124" t="s">
        <v>620</v>
      </c>
      <c r="E876" s="130">
        <v>2006</v>
      </c>
      <c r="F876" s="125" t="s">
        <v>731</v>
      </c>
      <c r="G876" s="125">
        <v>19</v>
      </c>
      <c r="H876" s="85">
        <v>2315.7400000000002</v>
      </c>
      <c r="I876" s="85" t="s">
        <v>630</v>
      </c>
      <c r="J876" s="128">
        <v>13424</v>
      </c>
      <c r="K876" s="128">
        <f t="shared" si="13"/>
        <v>255056</v>
      </c>
      <c r="L876" s="125" t="s">
        <v>1450</v>
      </c>
      <c r="M876" s="85" t="s">
        <v>47</v>
      </c>
      <c r="N876" s="85" t="s">
        <v>1491</v>
      </c>
    </row>
    <row r="877" spans="2:14" ht="15.75" thickBot="1" x14ac:dyDescent="0.3">
      <c r="B877" s="82" t="s">
        <v>536</v>
      </c>
      <c r="C877" s="83" t="s">
        <v>629</v>
      </c>
      <c r="D877" s="124" t="s">
        <v>620</v>
      </c>
      <c r="E877" s="130">
        <v>2007</v>
      </c>
      <c r="F877" s="125" t="s">
        <v>731</v>
      </c>
      <c r="G877" s="125">
        <v>55</v>
      </c>
      <c r="H877" s="85">
        <v>14595.17</v>
      </c>
      <c r="I877" s="85" t="s">
        <v>630</v>
      </c>
      <c r="J877" s="128">
        <v>40997</v>
      </c>
      <c r="K877" s="128">
        <f t="shared" si="13"/>
        <v>2254835</v>
      </c>
      <c r="L877" s="125" t="s">
        <v>1451</v>
      </c>
      <c r="M877" s="85" t="s">
        <v>47</v>
      </c>
      <c r="N877" s="85" t="s">
        <v>1491</v>
      </c>
    </row>
    <row r="878" spans="2:14" ht="15.75" thickBot="1" x14ac:dyDescent="0.3">
      <c r="B878" s="82" t="s">
        <v>536</v>
      </c>
      <c r="C878" s="83" t="s">
        <v>629</v>
      </c>
      <c r="D878" s="124" t="s">
        <v>620</v>
      </c>
      <c r="E878" s="130">
        <v>2008</v>
      </c>
      <c r="F878" s="125" t="s">
        <v>731</v>
      </c>
      <c r="G878" s="125">
        <v>34</v>
      </c>
      <c r="H878" s="85">
        <v>11122.499999999998</v>
      </c>
      <c r="I878" s="85" t="s">
        <v>630</v>
      </c>
      <c r="J878" s="128">
        <v>31866</v>
      </c>
      <c r="K878" s="128">
        <f t="shared" si="13"/>
        <v>1083444</v>
      </c>
      <c r="L878" s="125" t="s">
        <v>1452</v>
      </c>
      <c r="M878" s="85" t="s">
        <v>47</v>
      </c>
      <c r="N878" s="85" t="s">
        <v>1491</v>
      </c>
    </row>
    <row r="879" spans="2:14" ht="15.75" thickBot="1" x14ac:dyDescent="0.3">
      <c r="B879" s="82" t="s">
        <v>536</v>
      </c>
      <c r="C879" s="83" t="s">
        <v>629</v>
      </c>
      <c r="D879" s="124" t="s">
        <v>620</v>
      </c>
      <c r="E879" s="130">
        <v>2008</v>
      </c>
      <c r="F879" s="125" t="s">
        <v>731</v>
      </c>
      <c r="G879" s="125">
        <v>34</v>
      </c>
      <c r="H879" s="85">
        <v>13420.04</v>
      </c>
      <c r="I879" s="85" t="s">
        <v>630</v>
      </c>
      <c r="J879" s="128">
        <v>38922</v>
      </c>
      <c r="K879" s="128">
        <f t="shared" si="13"/>
        <v>1323348</v>
      </c>
      <c r="L879" s="125" t="s">
        <v>1453</v>
      </c>
      <c r="M879" s="85" t="s">
        <v>47</v>
      </c>
      <c r="N879" s="85" t="s">
        <v>1491</v>
      </c>
    </row>
    <row r="880" spans="2:14" ht="15.75" thickBot="1" x14ac:dyDescent="0.3">
      <c r="B880" s="82" t="s">
        <v>536</v>
      </c>
      <c r="C880" s="83" t="s">
        <v>629</v>
      </c>
      <c r="D880" s="124" t="s">
        <v>620</v>
      </c>
      <c r="E880" s="130">
        <v>2008</v>
      </c>
      <c r="F880" s="125" t="s">
        <v>731</v>
      </c>
      <c r="G880" s="125">
        <v>72</v>
      </c>
      <c r="H880" s="85">
        <v>1422.17</v>
      </c>
      <c r="I880" s="85" t="s">
        <v>630</v>
      </c>
      <c r="J880" s="128">
        <v>3316</v>
      </c>
      <c r="K880" s="128">
        <f t="shared" si="13"/>
        <v>238752</v>
      </c>
      <c r="L880" s="125" t="s">
        <v>1454</v>
      </c>
      <c r="M880" s="85" t="s">
        <v>47</v>
      </c>
      <c r="N880" s="85" t="s">
        <v>1491</v>
      </c>
    </row>
    <row r="881" spans="2:14" ht="15.75" thickBot="1" x14ac:dyDescent="0.3">
      <c r="B881" s="82" t="s">
        <v>536</v>
      </c>
      <c r="C881" s="83" t="s">
        <v>629</v>
      </c>
      <c r="D881" s="124" t="s">
        <v>620</v>
      </c>
      <c r="E881" s="130">
        <v>2009</v>
      </c>
      <c r="F881" s="125" t="s">
        <v>734</v>
      </c>
      <c r="G881" s="125">
        <v>34</v>
      </c>
      <c r="H881" s="85">
        <v>1130.6500000000001</v>
      </c>
      <c r="I881" s="85" t="s">
        <v>630</v>
      </c>
      <c r="J881" s="128">
        <v>3497</v>
      </c>
      <c r="K881" s="128">
        <f t="shared" si="13"/>
        <v>118898</v>
      </c>
      <c r="L881" s="125" t="s">
        <v>1455</v>
      </c>
      <c r="M881" s="85" t="s">
        <v>47</v>
      </c>
      <c r="N881" s="85" t="s">
        <v>1491</v>
      </c>
    </row>
    <row r="882" spans="2:14" ht="15.75" thickBot="1" x14ac:dyDescent="0.3">
      <c r="B882" s="82" t="s">
        <v>536</v>
      </c>
      <c r="C882" s="83" t="s">
        <v>629</v>
      </c>
      <c r="D882" s="124" t="s">
        <v>620</v>
      </c>
      <c r="E882" s="130">
        <v>2010</v>
      </c>
      <c r="F882" s="125" t="s">
        <v>734</v>
      </c>
      <c r="G882" s="125">
        <v>72</v>
      </c>
      <c r="H882" s="85">
        <v>6844.5300000000007</v>
      </c>
      <c r="I882" s="85" t="s">
        <v>630</v>
      </c>
      <c r="J882" s="128">
        <v>18484</v>
      </c>
      <c r="K882" s="128">
        <f t="shared" si="13"/>
        <v>1330848</v>
      </c>
      <c r="L882" s="125" t="s">
        <v>1456</v>
      </c>
      <c r="M882" s="85" t="s">
        <v>47</v>
      </c>
      <c r="N882" s="85" t="s">
        <v>1491</v>
      </c>
    </row>
    <row r="883" spans="2:14" ht="15.75" thickBot="1" x14ac:dyDescent="0.3">
      <c r="B883" s="82" t="s">
        <v>536</v>
      </c>
      <c r="C883" s="83" t="s">
        <v>629</v>
      </c>
      <c r="D883" s="124" t="s">
        <v>620</v>
      </c>
      <c r="E883" s="130">
        <v>2010</v>
      </c>
      <c r="F883" s="125" t="s">
        <v>734</v>
      </c>
      <c r="G883" s="125">
        <v>72</v>
      </c>
      <c r="H883" s="85">
        <v>7057.6600000000008</v>
      </c>
      <c r="I883" s="85" t="s">
        <v>630</v>
      </c>
      <c r="J883" s="128">
        <v>19088</v>
      </c>
      <c r="K883" s="128">
        <f t="shared" si="13"/>
        <v>1374336</v>
      </c>
      <c r="L883" s="125" t="s">
        <v>1457</v>
      </c>
      <c r="M883" s="85" t="s">
        <v>47</v>
      </c>
      <c r="N883" s="85" t="s">
        <v>1491</v>
      </c>
    </row>
    <row r="884" spans="2:14" ht="15.75" thickBot="1" x14ac:dyDescent="0.3">
      <c r="B884" s="82" t="s">
        <v>536</v>
      </c>
      <c r="C884" s="83" t="s">
        <v>629</v>
      </c>
      <c r="D884" s="124" t="s">
        <v>620</v>
      </c>
      <c r="E884" s="130">
        <v>2010</v>
      </c>
      <c r="F884" s="125" t="s">
        <v>734</v>
      </c>
      <c r="G884" s="125">
        <v>72</v>
      </c>
      <c r="H884" s="85">
        <v>5769.0599999999995</v>
      </c>
      <c r="I884" s="85" t="s">
        <v>630</v>
      </c>
      <c r="J884" s="128">
        <v>15995</v>
      </c>
      <c r="K884" s="128">
        <f t="shared" si="13"/>
        <v>1151640</v>
      </c>
      <c r="L884" s="125" t="s">
        <v>1458</v>
      </c>
      <c r="M884" s="85" t="s">
        <v>47</v>
      </c>
      <c r="N884" s="85" t="s">
        <v>1491</v>
      </c>
    </row>
    <row r="885" spans="2:14" ht="15.75" thickBot="1" x14ac:dyDescent="0.3">
      <c r="B885" s="82" t="s">
        <v>536</v>
      </c>
      <c r="C885" s="83" t="s">
        <v>629</v>
      </c>
      <c r="D885" s="124" t="s">
        <v>620</v>
      </c>
      <c r="E885" s="130">
        <v>2010</v>
      </c>
      <c r="F885" s="125" t="s">
        <v>734</v>
      </c>
      <c r="G885" s="125">
        <v>72</v>
      </c>
      <c r="H885" s="85">
        <v>2778.95</v>
      </c>
      <c r="I885" s="85" t="s">
        <v>630</v>
      </c>
      <c r="J885" s="128">
        <v>6286</v>
      </c>
      <c r="K885" s="128">
        <f t="shared" si="13"/>
        <v>452592</v>
      </c>
      <c r="L885" s="125" t="s">
        <v>1459</v>
      </c>
      <c r="M885" s="85" t="s">
        <v>47</v>
      </c>
      <c r="N885" s="85" t="s">
        <v>1491</v>
      </c>
    </row>
    <row r="886" spans="2:14" ht="15.75" thickBot="1" x14ac:dyDescent="0.3">
      <c r="B886" s="82" t="s">
        <v>536</v>
      </c>
      <c r="C886" s="83" t="s">
        <v>629</v>
      </c>
      <c r="D886" s="124" t="s">
        <v>620</v>
      </c>
      <c r="E886" s="130">
        <v>2011</v>
      </c>
      <c r="F886" s="125" t="s">
        <v>734</v>
      </c>
      <c r="G886" s="125">
        <v>22</v>
      </c>
      <c r="H886" s="85">
        <v>1157.6500000000001</v>
      </c>
      <c r="I886" s="85" t="s">
        <v>630</v>
      </c>
      <c r="J886" s="128">
        <v>6630</v>
      </c>
      <c r="K886" s="128">
        <f t="shared" si="13"/>
        <v>145860</v>
      </c>
      <c r="L886" s="125" t="s">
        <v>1460</v>
      </c>
      <c r="M886" s="85" t="s">
        <v>47</v>
      </c>
      <c r="N886" s="85" t="s">
        <v>1491</v>
      </c>
    </row>
    <row r="887" spans="2:14" ht="15.75" thickBot="1" x14ac:dyDescent="0.3">
      <c r="B887" s="82" t="s">
        <v>536</v>
      </c>
      <c r="C887" s="83" t="s">
        <v>629</v>
      </c>
      <c r="D887" s="124" t="s">
        <v>620</v>
      </c>
      <c r="E887" s="130">
        <v>2012</v>
      </c>
      <c r="F887" s="125" t="s">
        <v>734</v>
      </c>
      <c r="G887" s="125">
        <v>72</v>
      </c>
      <c r="H887" s="85">
        <v>4410.6900000000005</v>
      </c>
      <c r="I887" s="85" t="s">
        <v>630</v>
      </c>
      <c r="J887" s="128">
        <v>12539</v>
      </c>
      <c r="K887" s="128">
        <f t="shared" si="13"/>
        <v>902808</v>
      </c>
      <c r="L887" s="125" t="s">
        <v>1461</v>
      </c>
      <c r="M887" s="85" t="s">
        <v>47</v>
      </c>
      <c r="N887" s="85" t="s">
        <v>1491</v>
      </c>
    </row>
    <row r="888" spans="2:14" ht="15.75" thickBot="1" x14ac:dyDescent="0.3">
      <c r="B888" s="82" t="s">
        <v>536</v>
      </c>
      <c r="C888" s="83" t="s">
        <v>629</v>
      </c>
      <c r="D888" s="124" t="s">
        <v>620</v>
      </c>
      <c r="E888" s="130">
        <v>2012</v>
      </c>
      <c r="F888" s="125" t="s">
        <v>734</v>
      </c>
      <c r="G888" s="125">
        <v>72</v>
      </c>
      <c r="H888" s="85">
        <v>5006.46</v>
      </c>
      <c r="I888" s="85" t="s">
        <v>630</v>
      </c>
      <c r="J888" s="128">
        <v>14427</v>
      </c>
      <c r="K888" s="128">
        <f t="shared" si="13"/>
        <v>1038744</v>
      </c>
      <c r="L888" s="125" t="s">
        <v>1462</v>
      </c>
      <c r="M888" s="85" t="s">
        <v>47</v>
      </c>
      <c r="N888" s="85" t="s">
        <v>1491</v>
      </c>
    </row>
    <row r="889" spans="2:14" ht="15.75" thickBot="1" x14ac:dyDescent="0.3">
      <c r="B889" s="82" t="s">
        <v>536</v>
      </c>
      <c r="C889" s="83" t="s">
        <v>629</v>
      </c>
      <c r="D889" s="124" t="s">
        <v>620</v>
      </c>
      <c r="E889" s="130">
        <v>2014</v>
      </c>
      <c r="F889" s="125" t="s">
        <v>733</v>
      </c>
      <c r="G889" s="125">
        <v>16</v>
      </c>
      <c r="H889" s="85">
        <v>4038.5</v>
      </c>
      <c r="I889" s="85" t="s">
        <v>630</v>
      </c>
      <c r="J889" s="128">
        <v>24546</v>
      </c>
      <c r="K889" s="128">
        <f t="shared" si="13"/>
        <v>392736</v>
      </c>
      <c r="L889" s="125" t="s">
        <v>1463</v>
      </c>
      <c r="M889" s="85" t="s">
        <v>47</v>
      </c>
      <c r="N889" s="85" t="s">
        <v>1491</v>
      </c>
    </row>
    <row r="890" spans="2:14" ht="15.75" thickBot="1" x14ac:dyDescent="0.3">
      <c r="B890" s="82" t="s">
        <v>536</v>
      </c>
      <c r="C890" s="83" t="s">
        <v>629</v>
      </c>
      <c r="D890" s="124" t="s">
        <v>620</v>
      </c>
      <c r="E890" s="130">
        <v>2014</v>
      </c>
      <c r="F890" s="125" t="s">
        <v>733</v>
      </c>
      <c r="G890" s="125">
        <v>16</v>
      </c>
      <c r="H890" s="85">
        <v>3807.1</v>
      </c>
      <c r="I890" s="85" t="s">
        <v>630</v>
      </c>
      <c r="J890" s="128">
        <v>24629</v>
      </c>
      <c r="K890" s="128">
        <f t="shared" si="13"/>
        <v>394064</v>
      </c>
      <c r="L890" s="125" t="s">
        <v>1464</v>
      </c>
      <c r="M890" s="85" t="s">
        <v>47</v>
      </c>
      <c r="N890" s="85" t="s">
        <v>1491</v>
      </c>
    </row>
    <row r="891" spans="2:14" ht="15.75" thickBot="1" x14ac:dyDescent="0.3">
      <c r="B891" s="82" t="s">
        <v>536</v>
      </c>
      <c r="C891" s="83" t="s">
        <v>629</v>
      </c>
      <c r="D891" s="124" t="s">
        <v>620</v>
      </c>
      <c r="E891" s="130">
        <v>2014</v>
      </c>
      <c r="F891" s="125" t="s">
        <v>733</v>
      </c>
      <c r="G891" s="125">
        <v>73</v>
      </c>
      <c r="H891" s="85">
        <v>13846.400000000001</v>
      </c>
      <c r="I891" s="85" t="s">
        <v>630</v>
      </c>
      <c r="J891" s="128">
        <v>41356</v>
      </c>
      <c r="K891" s="128">
        <f t="shared" si="13"/>
        <v>3018988</v>
      </c>
      <c r="L891" s="125" t="s">
        <v>1465</v>
      </c>
      <c r="M891" s="85" t="s">
        <v>47</v>
      </c>
      <c r="N891" s="85" t="s">
        <v>1491</v>
      </c>
    </row>
    <row r="892" spans="2:14" ht="15.75" thickBot="1" x14ac:dyDescent="0.3">
      <c r="B892" s="82" t="s">
        <v>536</v>
      </c>
      <c r="C892" s="83" t="s">
        <v>629</v>
      </c>
      <c r="D892" s="124" t="s">
        <v>620</v>
      </c>
      <c r="E892" s="130">
        <v>2015</v>
      </c>
      <c r="F892" s="125" t="s">
        <v>733</v>
      </c>
      <c r="G892" s="125">
        <v>22</v>
      </c>
      <c r="H892" s="85">
        <v>3402.9</v>
      </c>
      <c r="I892" s="85" t="s">
        <v>630</v>
      </c>
      <c r="J892" s="128">
        <v>18691</v>
      </c>
      <c r="K892" s="128">
        <f t="shared" si="13"/>
        <v>411202</v>
      </c>
      <c r="L892" s="125" t="s">
        <v>1466</v>
      </c>
      <c r="M892" s="85" t="s">
        <v>47</v>
      </c>
      <c r="N892" s="85" t="s">
        <v>1491</v>
      </c>
    </row>
    <row r="893" spans="2:14" ht="15.75" thickBot="1" x14ac:dyDescent="0.3">
      <c r="B893" s="82" t="s">
        <v>536</v>
      </c>
      <c r="C893" s="83" t="s">
        <v>629</v>
      </c>
      <c r="D893" s="124" t="s">
        <v>620</v>
      </c>
      <c r="E893" s="130">
        <v>2015</v>
      </c>
      <c r="F893" s="125" t="s">
        <v>733</v>
      </c>
      <c r="G893" s="125">
        <v>73</v>
      </c>
      <c r="H893" s="85">
        <v>12750.990000000002</v>
      </c>
      <c r="I893" s="85" t="s">
        <v>630</v>
      </c>
      <c r="J893" s="128">
        <v>28559</v>
      </c>
      <c r="K893" s="128">
        <f t="shared" si="13"/>
        <v>2084807</v>
      </c>
      <c r="L893" s="125" t="s">
        <v>1467</v>
      </c>
      <c r="M893" s="85" t="s">
        <v>47</v>
      </c>
      <c r="N893" s="85" t="s">
        <v>1491</v>
      </c>
    </row>
    <row r="894" spans="2:14" ht="15.75" thickBot="1" x14ac:dyDescent="0.3">
      <c r="B894" s="82" t="s">
        <v>536</v>
      </c>
      <c r="C894" s="83" t="s">
        <v>629</v>
      </c>
      <c r="D894" s="124" t="s">
        <v>620</v>
      </c>
      <c r="E894" s="130">
        <v>2015</v>
      </c>
      <c r="F894" s="125" t="s">
        <v>733</v>
      </c>
      <c r="G894" s="125">
        <v>73</v>
      </c>
      <c r="H894" s="85">
        <v>13227.36</v>
      </c>
      <c r="I894" s="85" t="s">
        <v>630</v>
      </c>
      <c r="J894" s="128">
        <v>30812</v>
      </c>
      <c r="K894" s="128">
        <f t="shared" si="13"/>
        <v>2249276</v>
      </c>
      <c r="L894" s="125" t="s">
        <v>1468</v>
      </c>
      <c r="M894" s="85" t="s">
        <v>47</v>
      </c>
      <c r="N894" s="85" t="s">
        <v>1491</v>
      </c>
    </row>
    <row r="895" spans="2:14" ht="15.75" thickBot="1" x14ac:dyDescent="0.3">
      <c r="B895" s="82" t="s">
        <v>536</v>
      </c>
      <c r="C895" s="83" t="s">
        <v>629</v>
      </c>
      <c r="D895" s="124" t="s">
        <v>620</v>
      </c>
      <c r="E895" s="130">
        <v>2016</v>
      </c>
      <c r="F895" s="125" t="s">
        <v>733</v>
      </c>
      <c r="G895" s="125">
        <v>22</v>
      </c>
      <c r="H895" s="85">
        <v>2463.62</v>
      </c>
      <c r="I895" s="85" t="s">
        <v>630</v>
      </c>
      <c r="J895" s="128">
        <v>12009</v>
      </c>
      <c r="K895" s="128">
        <f t="shared" si="13"/>
        <v>264198</v>
      </c>
      <c r="L895" s="125" t="s">
        <v>1469</v>
      </c>
      <c r="M895" s="85" t="s">
        <v>47</v>
      </c>
      <c r="N895" s="85" t="s">
        <v>1491</v>
      </c>
    </row>
    <row r="896" spans="2:14" ht="15.75" thickBot="1" x14ac:dyDescent="0.3">
      <c r="B896" s="82" t="s">
        <v>536</v>
      </c>
      <c r="C896" s="83" t="s">
        <v>629</v>
      </c>
      <c r="D896" s="124" t="s">
        <v>620</v>
      </c>
      <c r="E896" s="130">
        <v>2016</v>
      </c>
      <c r="F896" s="125" t="s">
        <v>733</v>
      </c>
      <c r="G896" s="125">
        <v>22</v>
      </c>
      <c r="H896" s="85">
        <v>2096.29</v>
      </c>
      <c r="I896" s="85" t="s">
        <v>630</v>
      </c>
      <c r="J896" s="128">
        <v>10979</v>
      </c>
      <c r="K896" s="128">
        <f t="shared" si="13"/>
        <v>241538</v>
      </c>
      <c r="L896" s="125" t="s">
        <v>1470</v>
      </c>
      <c r="M896" s="85" t="s">
        <v>47</v>
      </c>
      <c r="N896" s="85" t="s">
        <v>1491</v>
      </c>
    </row>
    <row r="897" spans="2:14" ht="15.75" thickBot="1" x14ac:dyDescent="0.3">
      <c r="B897" s="82" t="s">
        <v>536</v>
      </c>
      <c r="C897" s="83" t="s">
        <v>629</v>
      </c>
      <c r="D897" s="124" t="s">
        <v>620</v>
      </c>
      <c r="E897" s="130">
        <v>2016</v>
      </c>
      <c r="F897" s="125" t="s">
        <v>733</v>
      </c>
      <c r="G897" s="125">
        <v>73</v>
      </c>
      <c r="H897" s="85">
        <v>12814.020000000002</v>
      </c>
      <c r="I897" s="85" t="s">
        <v>630</v>
      </c>
      <c r="J897" s="128">
        <v>29826</v>
      </c>
      <c r="K897" s="128">
        <f t="shared" si="13"/>
        <v>2177298</v>
      </c>
      <c r="L897" s="125" t="s">
        <v>1471</v>
      </c>
      <c r="M897" s="85" t="s">
        <v>47</v>
      </c>
      <c r="N897" s="85" t="s">
        <v>1491</v>
      </c>
    </row>
    <row r="898" spans="2:14" ht="15.75" thickBot="1" x14ac:dyDescent="0.3">
      <c r="B898" s="82" t="s">
        <v>536</v>
      </c>
      <c r="C898" s="83" t="s">
        <v>629</v>
      </c>
      <c r="D898" s="124" t="s">
        <v>620</v>
      </c>
      <c r="E898" s="130">
        <v>2016</v>
      </c>
      <c r="F898" s="125" t="s">
        <v>733</v>
      </c>
      <c r="G898" s="125">
        <v>73</v>
      </c>
      <c r="H898" s="85">
        <v>10853.829999999998</v>
      </c>
      <c r="I898" s="85" t="s">
        <v>630</v>
      </c>
      <c r="J898" s="128">
        <v>26351</v>
      </c>
      <c r="K898" s="128">
        <f t="shared" si="13"/>
        <v>1923623</v>
      </c>
      <c r="L898" s="125" t="s">
        <v>1472</v>
      </c>
      <c r="M898" s="85" t="s">
        <v>47</v>
      </c>
      <c r="N898" s="85" t="s">
        <v>1491</v>
      </c>
    </row>
    <row r="899" spans="2:14" ht="15.75" thickBot="1" x14ac:dyDescent="0.3">
      <c r="B899" s="82" t="s">
        <v>536</v>
      </c>
      <c r="C899" s="83" t="s">
        <v>629</v>
      </c>
      <c r="D899" s="124" t="s">
        <v>620</v>
      </c>
      <c r="E899" s="130">
        <v>2017</v>
      </c>
      <c r="F899" s="125" t="s">
        <v>733</v>
      </c>
      <c r="G899" s="125">
        <v>19</v>
      </c>
      <c r="H899" s="85">
        <v>6720.94</v>
      </c>
      <c r="I899" s="85" t="s">
        <v>630</v>
      </c>
      <c r="J899" s="128">
        <v>45001</v>
      </c>
      <c r="K899" s="128">
        <f t="shared" si="13"/>
        <v>855019</v>
      </c>
      <c r="L899" s="125" t="s">
        <v>1473</v>
      </c>
      <c r="M899" s="85" t="s">
        <v>47</v>
      </c>
      <c r="N899" s="85" t="s">
        <v>1491</v>
      </c>
    </row>
    <row r="900" spans="2:14" ht="15.75" thickBot="1" x14ac:dyDescent="0.3">
      <c r="B900" s="82" t="s">
        <v>536</v>
      </c>
      <c r="C900" s="83" t="s">
        <v>629</v>
      </c>
      <c r="D900" s="124" t="s">
        <v>620</v>
      </c>
      <c r="E900" s="130">
        <v>2017</v>
      </c>
      <c r="F900" s="125" t="s">
        <v>733</v>
      </c>
      <c r="G900" s="125">
        <v>22</v>
      </c>
      <c r="H900" s="85">
        <v>3964.03</v>
      </c>
      <c r="I900" s="85" t="s">
        <v>630</v>
      </c>
      <c r="J900" s="128">
        <v>16966</v>
      </c>
      <c r="K900" s="128">
        <f t="shared" si="13"/>
        <v>373252</v>
      </c>
      <c r="L900" s="125" t="s">
        <v>1474</v>
      </c>
      <c r="M900" s="85" t="s">
        <v>47</v>
      </c>
      <c r="N900" s="85" t="s">
        <v>1491</v>
      </c>
    </row>
    <row r="901" spans="2:14" ht="15.75" thickBot="1" x14ac:dyDescent="0.3">
      <c r="B901" s="82" t="s">
        <v>536</v>
      </c>
      <c r="C901" s="83" t="s">
        <v>629</v>
      </c>
      <c r="D901" s="124" t="s">
        <v>620</v>
      </c>
      <c r="E901" s="130">
        <v>2017</v>
      </c>
      <c r="F901" s="125" t="s">
        <v>733</v>
      </c>
      <c r="G901" s="125">
        <v>22</v>
      </c>
      <c r="H901" s="85">
        <v>3391.1000000000004</v>
      </c>
      <c r="I901" s="85" t="s">
        <v>630</v>
      </c>
      <c r="J901" s="128">
        <v>15608</v>
      </c>
      <c r="K901" s="128">
        <f t="shared" si="13"/>
        <v>343376</v>
      </c>
      <c r="L901" s="125" t="s">
        <v>1475</v>
      </c>
      <c r="M901" s="85" t="s">
        <v>47</v>
      </c>
      <c r="N901" s="85" t="s">
        <v>1491</v>
      </c>
    </row>
    <row r="902" spans="2:14" ht="15.75" thickBot="1" x14ac:dyDescent="0.3">
      <c r="B902" s="82" t="s">
        <v>536</v>
      </c>
      <c r="C902" s="83" t="s">
        <v>629</v>
      </c>
      <c r="D902" s="124" t="s">
        <v>620</v>
      </c>
      <c r="E902" s="130">
        <v>2017</v>
      </c>
      <c r="F902" s="125" t="s">
        <v>733</v>
      </c>
      <c r="G902" s="125">
        <v>57</v>
      </c>
      <c r="H902" s="85">
        <v>20112.010000000002</v>
      </c>
      <c r="I902" s="85" t="s">
        <v>630</v>
      </c>
      <c r="J902" s="128">
        <v>69240</v>
      </c>
      <c r="K902" s="128">
        <f t="shared" si="13"/>
        <v>3946680</v>
      </c>
      <c r="L902" s="125" t="s">
        <v>1476</v>
      </c>
      <c r="M902" s="85" t="s">
        <v>47</v>
      </c>
      <c r="N902" s="85" t="s">
        <v>1491</v>
      </c>
    </row>
    <row r="903" spans="2:14" ht="15.75" thickBot="1" x14ac:dyDescent="0.3">
      <c r="B903" s="82" t="s">
        <v>536</v>
      </c>
      <c r="C903" s="83" t="s">
        <v>629</v>
      </c>
      <c r="D903" s="124" t="s">
        <v>620</v>
      </c>
      <c r="E903" s="130">
        <v>2017</v>
      </c>
      <c r="F903" s="125" t="s">
        <v>733</v>
      </c>
      <c r="G903" s="125">
        <v>73</v>
      </c>
      <c r="H903" s="85">
        <v>17971.37</v>
      </c>
      <c r="I903" s="85" t="s">
        <v>630</v>
      </c>
      <c r="J903" s="128">
        <v>43952</v>
      </c>
      <c r="K903" s="128">
        <f t="shared" si="13"/>
        <v>3208496</v>
      </c>
      <c r="L903" s="125" t="s">
        <v>1477</v>
      </c>
      <c r="M903" s="85" t="s">
        <v>47</v>
      </c>
      <c r="N903" s="85" t="s">
        <v>1491</v>
      </c>
    </row>
    <row r="904" spans="2:14" ht="15.75" thickBot="1" x14ac:dyDescent="0.3">
      <c r="B904" s="82" t="s">
        <v>536</v>
      </c>
      <c r="C904" s="83" t="s">
        <v>629</v>
      </c>
      <c r="D904" s="124" t="s">
        <v>620</v>
      </c>
      <c r="E904" s="130">
        <v>2017</v>
      </c>
      <c r="F904" s="125" t="s">
        <v>733</v>
      </c>
      <c r="G904" s="125">
        <v>73</v>
      </c>
      <c r="H904" s="85">
        <v>13943.19</v>
      </c>
      <c r="I904" s="85" t="s">
        <v>630</v>
      </c>
      <c r="J904" s="128">
        <v>33606</v>
      </c>
      <c r="K904" s="128">
        <f t="shared" si="13"/>
        <v>2453238</v>
      </c>
      <c r="L904" s="125" t="s">
        <v>1478</v>
      </c>
      <c r="M904" s="85" t="s">
        <v>47</v>
      </c>
      <c r="N904" s="85" t="s">
        <v>1491</v>
      </c>
    </row>
    <row r="905" spans="2:14" ht="15.75" thickBot="1" x14ac:dyDescent="0.3">
      <c r="B905" s="82" t="s">
        <v>536</v>
      </c>
      <c r="C905" s="83" t="s">
        <v>629</v>
      </c>
      <c r="D905" s="124" t="s">
        <v>620</v>
      </c>
      <c r="E905" s="130">
        <v>2018</v>
      </c>
      <c r="F905" s="125" t="s">
        <v>733</v>
      </c>
      <c r="G905" s="125">
        <v>19</v>
      </c>
      <c r="H905" s="85">
        <v>6714.15</v>
      </c>
      <c r="I905" s="85" t="s">
        <v>630</v>
      </c>
      <c r="J905" s="128">
        <v>44399</v>
      </c>
      <c r="K905" s="128">
        <f t="shared" si="13"/>
        <v>843581</v>
      </c>
      <c r="L905" s="125" t="s">
        <v>1479</v>
      </c>
      <c r="M905" s="85" t="s">
        <v>47</v>
      </c>
      <c r="N905" s="85" t="s">
        <v>1491</v>
      </c>
    </row>
    <row r="906" spans="2:14" ht="15.75" thickBot="1" x14ac:dyDescent="0.3">
      <c r="B906" s="82" t="s">
        <v>536</v>
      </c>
      <c r="C906" s="83" t="s">
        <v>629</v>
      </c>
      <c r="D906" s="124" t="s">
        <v>620</v>
      </c>
      <c r="E906" s="130">
        <v>2018</v>
      </c>
      <c r="F906" s="125" t="s">
        <v>733</v>
      </c>
      <c r="G906" s="125">
        <v>22</v>
      </c>
      <c r="H906" s="85">
        <v>5344.23</v>
      </c>
      <c r="I906" s="85" t="s">
        <v>630</v>
      </c>
      <c r="J906" s="128">
        <v>21708</v>
      </c>
      <c r="K906" s="128">
        <f t="shared" si="13"/>
        <v>477576</v>
      </c>
      <c r="L906" s="125" t="s">
        <v>1480</v>
      </c>
      <c r="M906" s="85" t="s">
        <v>47</v>
      </c>
      <c r="N906" s="85" t="s">
        <v>1491</v>
      </c>
    </row>
    <row r="907" spans="2:14" ht="15.75" thickBot="1" x14ac:dyDescent="0.3">
      <c r="B907" s="82" t="s">
        <v>536</v>
      </c>
      <c r="C907" s="83" t="s">
        <v>629</v>
      </c>
      <c r="D907" s="124" t="s">
        <v>620</v>
      </c>
      <c r="E907" s="130">
        <v>2018</v>
      </c>
      <c r="F907" s="125" t="s">
        <v>733</v>
      </c>
      <c r="G907" s="125">
        <v>39</v>
      </c>
      <c r="H907" s="85">
        <v>16082.58</v>
      </c>
      <c r="I907" s="85" t="s">
        <v>630</v>
      </c>
      <c r="J907" s="128">
        <v>57332</v>
      </c>
      <c r="K907" s="128">
        <f t="shared" si="13"/>
        <v>2235948</v>
      </c>
      <c r="L907" s="125" t="s">
        <v>1481</v>
      </c>
      <c r="M907" s="85" t="s">
        <v>47</v>
      </c>
      <c r="N907" s="85" t="s">
        <v>1491</v>
      </c>
    </row>
    <row r="908" spans="2:14" ht="15.75" thickBot="1" x14ac:dyDescent="0.3">
      <c r="B908" s="82" t="s">
        <v>536</v>
      </c>
      <c r="C908" s="83" t="s">
        <v>629</v>
      </c>
      <c r="D908" s="124" t="s">
        <v>620</v>
      </c>
      <c r="E908" s="130">
        <v>2018</v>
      </c>
      <c r="F908" s="125" t="s">
        <v>733</v>
      </c>
      <c r="G908" s="125">
        <v>73</v>
      </c>
      <c r="H908" s="85">
        <v>14765.65</v>
      </c>
      <c r="I908" s="85" t="s">
        <v>630</v>
      </c>
      <c r="J908" s="128">
        <v>35680</v>
      </c>
      <c r="K908" s="128">
        <f t="shared" si="13"/>
        <v>2604640</v>
      </c>
      <c r="L908" s="125" t="s">
        <v>1482</v>
      </c>
      <c r="M908" s="85" t="s">
        <v>47</v>
      </c>
      <c r="N908" s="85" t="s">
        <v>1491</v>
      </c>
    </row>
    <row r="909" spans="2:14" ht="15.75" thickBot="1" x14ac:dyDescent="0.3">
      <c r="B909" s="82" t="s">
        <v>536</v>
      </c>
      <c r="C909" s="83" t="s">
        <v>629</v>
      </c>
      <c r="D909" s="124" t="s">
        <v>620</v>
      </c>
      <c r="E909" s="130">
        <v>2018</v>
      </c>
      <c r="F909" s="125" t="s">
        <v>733</v>
      </c>
      <c r="G909" s="125">
        <v>73</v>
      </c>
      <c r="H909" s="85">
        <v>12547.949999999999</v>
      </c>
      <c r="I909" s="85" t="s">
        <v>630</v>
      </c>
      <c r="J909" s="128">
        <v>29648</v>
      </c>
      <c r="K909" s="128">
        <f t="shared" si="13"/>
        <v>2164304</v>
      </c>
      <c r="L909" s="125" t="s">
        <v>1483</v>
      </c>
      <c r="M909" s="85" t="s">
        <v>47</v>
      </c>
      <c r="N909" s="85" t="s">
        <v>1491</v>
      </c>
    </row>
    <row r="910" spans="2:14" ht="15.75" thickBot="1" x14ac:dyDescent="0.3">
      <c r="B910" s="82" t="s">
        <v>536</v>
      </c>
      <c r="C910" s="83" t="s">
        <v>629</v>
      </c>
      <c r="D910" s="124" t="s">
        <v>620</v>
      </c>
      <c r="E910" s="130">
        <v>2019</v>
      </c>
      <c r="F910" s="125" t="s">
        <v>733</v>
      </c>
      <c r="G910" s="125">
        <v>22</v>
      </c>
      <c r="H910" s="85">
        <v>6958.7699999999986</v>
      </c>
      <c r="I910" s="85" t="s">
        <v>630</v>
      </c>
      <c r="J910" s="128">
        <v>29309</v>
      </c>
      <c r="K910" s="128">
        <f t="shared" si="13"/>
        <v>644798</v>
      </c>
      <c r="L910" s="125" t="s">
        <v>1484</v>
      </c>
      <c r="M910" s="85" t="s">
        <v>47</v>
      </c>
      <c r="N910" s="85" t="s">
        <v>1491</v>
      </c>
    </row>
    <row r="911" spans="2:14" ht="15.75" thickBot="1" x14ac:dyDescent="0.3">
      <c r="B911" s="82" t="s">
        <v>536</v>
      </c>
      <c r="C911" s="83" t="s">
        <v>629</v>
      </c>
      <c r="D911" s="124" t="s">
        <v>620</v>
      </c>
      <c r="E911" s="130">
        <v>2019</v>
      </c>
      <c r="F911" s="125" t="s">
        <v>733</v>
      </c>
      <c r="G911" s="125">
        <v>22</v>
      </c>
      <c r="H911" s="85">
        <v>5295.93</v>
      </c>
      <c r="I911" s="85" t="s">
        <v>630</v>
      </c>
      <c r="J911" s="128">
        <v>22723</v>
      </c>
      <c r="K911" s="128">
        <f t="shared" si="13"/>
        <v>499906</v>
      </c>
      <c r="L911" s="125" t="s">
        <v>1485</v>
      </c>
      <c r="M911" s="85" t="s">
        <v>47</v>
      </c>
      <c r="N911" s="85" t="s">
        <v>1491</v>
      </c>
    </row>
    <row r="912" spans="2:14" ht="15.75" thickBot="1" x14ac:dyDescent="0.3">
      <c r="B912" s="82" t="s">
        <v>536</v>
      </c>
      <c r="C912" s="83" t="s">
        <v>629</v>
      </c>
      <c r="D912" s="124" t="s">
        <v>620</v>
      </c>
      <c r="E912" s="130">
        <v>2019</v>
      </c>
      <c r="F912" s="125" t="s">
        <v>733</v>
      </c>
      <c r="G912" s="125">
        <v>73</v>
      </c>
      <c r="H912" s="85">
        <v>15434.279999999999</v>
      </c>
      <c r="I912" s="85" t="s">
        <v>630</v>
      </c>
      <c r="J912" s="128">
        <v>38573</v>
      </c>
      <c r="K912" s="128">
        <f t="shared" si="13"/>
        <v>2815829</v>
      </c>
      <c r="L912" s="125" t="s">
        <v>1486</v>
      </c>
      <c r="M912" s="85" t="s">
        <v>47</v>
      </c>
      <c r="N912" s="85" t="s">
        <v>1491</v>
      </c>
    </row>
    <row r="913" spans="2:14" ht="15.75" thickBot="1" x14ac:dyDescent="0.3">
      <c r="B913" s="82" t="s">
        <v>536</v>
      </c>
      <c r="C913" s="83" t="s">
        <v>629</v>
      </c>
      <c r="D913" s="124" t="s">
        <v>620</v>
      </c>
      <c r="E913" s="130">
        <v>2019</v>
      </c>
      <c r="F913" s="125" t="s">
        <v>733</v>
      </c>
      <c r="G913" s="125">
        <v>73</v>
      </c>
      <c r="H913" s="85">
        <v>14751.61</v>
      </c>
      <c r="I913" s="85" t="s">
        <v>630</v>
      </c>
      <c r="J913" s="128">
        <v>37349</v>
      </c>
      <c r="K913" s="128">
        <f t="shared" si="13"/>
        <v>2726477</v>
      </c>
      <c r="L913" s="125" t="s">
        <v>1487</v>
      </c>
      <c r="M913" s="85" t="s">
        <v>47</v>
      </c>
      <c r="N913" s="85" t="s">
        <v>1491</v>
      </c>
    </row>
    <row r="914" spans="2:14" ht="15.75" thickBot="1" x14ac:dyDescent="0.3">
      <c r="B914" s="82" t="s">
        <v>536</v>
      </c>
      <c r="C914" s="83" t="s">
        <v>629</v>
      </c>
      <c r="D914" s="124" t="s">
        <v>620</v>
      </c>
      <c r="E914" s="130">
        <v>1995</v>
      </c>
      <c r="F914" s="125" t="s">
        <v>736</v>
      </c>
      <c r="G914" s="125">
        <v>73</v>
      </c>
      <c r="H914" s="85">
        <v>0</v>
      </c>
      <c r="I914" s="85" t="s">
        <v>630</v>
      </c>
      <c r="J914" s="128">
        <v>0</v>
      </c>
      <c r="K914" s="128">
        <f t="shared" si="13"/>
        <v>0</v>
      </c>
      <c r="L914" s="125" t="s">
        <v>1488</v>
      </c>
      <c r="M914" s="85" t="s">
        <v>47</v>
      </c>
      <c r="N914" s="85" t="s">
        <v>1491</v>
      </c>
    </row>
    <row r="915" spans="2:14" ht="15.75" thickBot="1" x14ac:dyDescent="0.3">
      <c r="B915" s="82" t="s">
        <v>536</v>
      </c>
      <c r="C915" s="83" t="s">
        <v>629</v>
      </c>
      <c r="D915" s="124" t="s">
        <v>620</v>
      </c>
      <c r="E915" s="130">
        <v>1995</v>
      </c>
      <c r="F915" s="125" t="s">
        <v>736</v>
      </c>
      <c r="G915" s="125">
        <v>73</v>
      </c>
      <c r="H915" s="85">
        <v>0</v>
      </c>
      <c r="I915" s="85" t="s">
        <v>630</v>
      </c>
      <c r="J915" s="128">
        <v>0</v>
      </c>
      <c r="K915" s="128">
        <f t="shared" si="13"/>
        <v>0</v>
      </c>
      <c r="L915" s="125" t="s">
        <v>1489</v>
      </c>
      <c r="M915" s="85" t="s">
        <v>47</v>
      </c>
      <c r="N915" s="85" t="s">
        <v>1491</v>
      </c>
    </row>
    <row r="916" spans="2:14" ht="15.75" thickBot="1" x14ac:dyDescent="0.3">
      <c r="B916" s="82" t="s">
        <v>536</v>
      </c>
      <c r="C916" s="83" t="s">
        <v>629</v>
      </c>
      <c r="D916" s="124" t="s">
        <v>620</v>
      </c>
      <c r="E916" s="130">
        <v>1996</v>
      </c>
      <c r="F916" s="125" t="s">
        <v>736</v>
      </c>
      <c r="G916" s="125">
        <v>63</v>
      </c>
      <c r="H916" s="85">
        <v>164.04</v>
      </c>
      <c r="I916" s="85" t="s">
        <v>630</v>
      </c>
      <c r="J916" s="128">
        <v>410</v>
      </c>
      <c r="K916" s="128">
        <f t="shared" si="13"/>
        <v>25830</v>
      </c>
      <c r="L916" s="125" t="s">
        <v>1490</v>
      </c>
      <c r="M916" s="85" t="s">
        <v>47</v>
      </c>
      <c r="N916" s="85" t="s">
        <v>1491</v>
      </c>
    </row>
  </sheetData>
  <autoFilter ref="B28:M916"/>
  <mergeCells count="27">
    <mergeCell ref="B21:T22"/>
    <mergeCell ref="B9:V9"/>
    <mergeCell ref="B11:C11"/>
    <mergeCell ref="D11:Q11"/>
    <mergeCell ref="B12:C12"/>
    <mergeCell ref="D12:Q12"/>
    <mergeCell ref="B13:C13"/>
    <mergeCell ref="D13:Q13"/>
    <mergeCell ref="B14:C14"/>
    <mergeCell ref="D14:Q14"/>
    <mergeCell ref="B15:C15"/>
    <mergeCell ref="D15:Q15"/>
    <mergeCell ref="B17:V17"/>
    <mergeCell ref="L28:L29"/>
    <mergeCell ref="E28:E29"/>
    <mergeCell ref="M28:M29"/>
    <mergeCell ref="B25:T26"/>
    <mergeCell ref="B28:B29"/>
    <mergeCell ref="C28:C29"/>
    <mergeCell ref="D28:D29"/>
    <mergeCell ref="F28:F29"/>
    <mergeCell ref="G28:G29"/>
    <mergeCell ref="H28:H29"/>
    <mergeCell ref="I28:I29"/>
    <mergeCell ref="J28:J29"/>
    <mergeCell ref="K28:K29"/>
    <mergeCell ref="N28:N29"/>
  </mergeCells>
  <dataValidations count="3">
    <dataValidation type="list" allowBlank="1" showInputMessage="1" showErrorMessage="1" sqref="C30:C916">
      <formula1>"Pesado de Passageiros M3, Pesado de Passageiros M2, Ligeiro de Passageiros M1, Pesado de Mercadorias N3, Pesado de Mercadorias N2, Ligeiro de Mercadorias N1, Misto"</formula1>
    </dataValidation>
    <dataValidation type="list" allowBlank="1" showInputMessage="1" showErrorMessage="1" sqref="D30:D916">
      <formula1>"Gasóleo, Gasolina, GPL, GNC, GNV, Butano, Propano, H2"</formula1>
    </dataValidation>
    <dataValidation type="list" allowBlank="1" showInputMessage="1" showErrorMessage="1" sqref="I30:I916">
      <formula1>"l (litros), kg (quilos), Nm3 (metros cubicos norm.), € (euros)"</formula1>
    </dataValidation>
  </dataValidations>
  <pageMargins left="0.7" right="0.7" top="0.75" bottom="0.75" header="0.3" footer="0.3"/>
  <customProperties>
    <customPr name="GUID" r:id="rId1"/>
  </customPropertie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dimension ref="A1:W7632"/>
  <sheetViews>
    <sheetView zoomScale="85" zoomScaleNormal="85" workbookViewId="0">
      <pane ySplit="2" topLeftCell="A7572" activePane="bottomLeft" state="frozen"/>
      <selection pane="bottomLeft" activeCell="B7604" sqref="A7604:B7604"/>
    </sheetView>
  </sheetViews>
  <sheetFormatPr defaultRowHeight="15" x14ac:dyDescent="0.25"/>
  <cols>
    <col min="1" max="3" width="79.42578125" customWidth="1"/>
    <col min="4" max="4" width="36" customWidth="1"/>
    <col min="5" max="5" width="28.5703125" customWidth="1"/>
    <col min="6" max="6" width="31.140625" bestFit="1" customWidth="1"/>
    <col min="7" max="7" width="21.5703125" style="89" customWidth="1"/>
    <col min="8" max="8" width="21.5703125" style="313" customWidth="1"/>
    <col min="9" max="9" width="60.5703125" customWidth="1"/>
    <col min="10" max="11" width="21.5703125" customWidth="1"/>
    <col min="12" max="13" width="28.28515625" customWidth="1"/>
    <col min="14" max="14" width="31.5703125" style="131" customWidth="1"/>
    <col min="15" max="15" width="28.28515625" customWidth="1"/>
    <col min="16" max="16" width="28.28515625" style="89" customWidth="1"/>
    <col min="17" max="17" width="39.42578125" bestFit="1" customWidth="1"/>
    <col min="18" max="18" width="15.140625" customWidth="1"/>
    <col min="19" max="19" width="12.42578125" customWidth="1"/>
    <col min="20" max="20" width="37.85546875" bestFit="1" customWidth="1"/>
    <col min="21" max="21" width="15.7109375" bestFit="1" customWidth="1"/>
    <col min="22" max="22" width="24.5703125" bestFit="1" customWidth="1"/>
  </cols>
  <sheetData>
    <row r="1" spans="1:23" ht="15.75" thickBot="1" x14ac:dyDescent="0.3">
      <c r="A1" s="757" t="s">
        <v>1851</v>
      </c>
      <c r="B1" s="757" t="s">
        <v>131</v>
      </c>
      <c r="C1" s="757" t="s">
        <v>1852</v>
      </c>
      <c r="D1" s="759" t="s">
        <v>1854</v>
      </c>
      <c r="E1" s="787" t="s">
        <v>1855</v>
      </c>
      <c r="F1" s="778" t="s">
        <v>139</v>
      </c>
      <c r="G1" s="789" t="s">
        <v>148</v>
      </c>
      <c r="H1" s="791" t="s">
        <v>149</v>
      </c>
      <c r="I1" s="305" t="s">
        <v>119</v>
      </c>
      <c r="J1" s="778" t="s">
        <v>147</v>
      </c>
      <c r="K1" s="759" t="s">
        <v>1856</v>
      </c>
      <c r="L1" s="759" t="s">
        <v>140</v>
      </c>
      <c r="M1" s="757" t="s">
        <v>141</v>
      </c>
      <c r="N1" s="782" t="s">
        <v>146</v>
      </c>
      <c r="O1" s="759" t="s">
        <v>155</v>
      </c>
      <c r="P1" s="777" t="s">
        <v>134</v>
      </c>
      <c r="Q1" s="781" t="s">
        <v>142</v>
      </c>
      <c r="R1" s="777" t="s">
        <v>1868</v>
      </c>
      <c r="S1" s="777" t="s">
        <v>1870</v>
      </c>
      <c r="T1" s="777" t="s">
        <v>1515</v>
      </c>
      <c r="U1" s="777" t="s">
        <v>2812</v>
      </c>
      <c r="V1" s="777" t="s">
        <v>3588</v>
      </c>
      <c r="W1" s="777"/>
    </row>
    <row r="2" spans="1:23" ht="15.75" thickBot="1" x14ac:dyDescent="0.3">
      <c r="A2" s="758"/>
      <c r="B2" s="758"/>
      <c r="C2" s="758"/>
      <c r="D2" s="759"/>
      <c r="E2" s="788"/>
      <c r="F2" s="779"/>
      <c r="G2" s="790"/>
      <c r="H2" s="791"/>
      <c r="I2" s="306"/>
      <c r="J2" s="779"/>
      <c r="K2" s="759"/>
      <c r="L2" s="759"/>
      <c r="M2" s="758"/>
      <c r="N2" s="783"/>
      <c r="O2" s="759"/>
      <c r="P2" s="777"/>
      <c r="Q2" s="781"/>
      <c r="R2" s="777"/>
      <c r="S2" s="777"/>
      <c r="T2" s="777"/>
      <c r="U2" s="777"/>
      <c r="V2" s="777"/>
      <c r="W2" s="777"/>
    </row>
    <row r="3" spans="1:23" ht="15.75" thickBot="1" x14ac:dyDescent="0.3">
      <c r="A3" s="82" t="s">
        <v>3473</v>
      </c>
      <c r="B3" s="82" t="str">
        <f t="shared" ref="B3:B66" si="0">LEFT(A3,IFERROR(FIND(" - ",A3)-1,LEN(A3)))</f>
        <v>Barraqueiro Transportes, S.A.</v>
      </c>
      <c r="C3" s="82" t="str">
        <f>IF(A3=B3,B3,RIGHT(A3,LEN(A3)-LEN(B3)-3))</f>
        <v>Barraqueiro Oeste</v>
      </c>
      <c r="D3" s="83" t="s">
        <v>629</v>
      </c>
      <c r="E3" s="91" t="s">
        <v>1853</v>
      </c>
      <c r="F3" s="124" t="s">
        <v>620</v>
      </c>
      <c r="G3" s="304">
        <v>2008</v>
      </c>
      <c r="H3" s="312" t="s">
        <v>731</v>
      </c>
      <c r="I3" s="307" t="str">
        <f>D3&amp;": "&amp;E3&amp;" : "&amp;F3&amp;" : "&amp;H3</f>
        <v>Pesado de Passageiros M3: III : Gasóleo : E4</v>
      </c>
      <c r="J3" s="125">
        <v>66</v>
      </c>
      <c r="K3" s="125">
        <v>2022</v>
      </c>
      <c r="L3" s="85">
        <v>9625.42</v>
      </c>
      <c r="M3" s="85" t="s">
        <v>630</v>
      </c>
      <c r="N3" s="128">
        <v>26964</v>
      </c>
      <c r="O3" s="128">
        <f>N3*J3</f>
        <v>1779624</v>
      </c>
      <c r="P3" s="125" t="s">
        <v>631</v>
      </c>
      <c r="Q3" s="85" t="s">
        <v>47</v>
      </c>
      <c r="R3" s="214" t="s">
        <v>1869</v>
      </c>
      <c r="S3" s="214" t="s">
        <v>1861</v>
      </c>
      <c r="T3" s="85" t="s">
        <v>1491</v>
      </c>
      <c r="U3" t="s">
        <v>1953</v>
      </c>
      <c r="V3" t="s">
        <v>2813</v>
      </c>
    </row>
    <row r="4" spans="1:23" ht="15.75" thickBot="1" x14ac:dyDescent="0.3">
      <c r="A4" s="82" t="s">
        <v>3473</v>
      </c>
      <c r="B4" s="82" t="str">
        <f t="shared" si="0"/>
        <v>Barraqueiro Transportes, S.A.</v>
      </c>
      <c r="C4" s="82" t="str">
        <f t="shared" ref="C4:C67" si="1">IF(A4=B4,B4,RIGHT(A4,LEN(A4)-LEN(B4)-3))</f>
        <v>Barraqueiro Oeste</v>
      </c>
      <c r="D4" s="83" t="s">
        <v>629</v>
      </c>
      <c r="E4" s="91" t="s">
        <v>1853</v>
      </c>
      <c r="F4" s="124" t="s">
        <v>620</v>
      </c>
      <c r="G4" s="304">
        <v>2008</v>
      </c>
      <c r="H4" s="312" t="s">
        <v>731</v>
      </c>
      <c r="I4" s="307" t="str">
        <f t="shared" ref="I4:I67" si="2">D4&amp;": "&amp;E4&amp;" : "&amp;F4&amp;" : "&amp;H4</f>
        <v>Pesado de Passageiros M3: III : Gasóleo : E4</v>
      </c>
      <c r="J4" s="125">
        <v>55</v>
      </c>
      <c r="K4" s="125">
        <v>2022</v>
      </c>
      <c r="L4" s="85">
        <v>19256.560000000001</v>
      </c>
      <c r="M4" s="85" t="s">
        <v>630</v>
      </c>
      <c r="N4" s="128">
        <v>49640</v>
      </c>
      <c r="O4" s="128">
        <f t="shared" ref="O4:O67" si="3">N4*J4</f>
        <v>2730200</v>
      </c>
      <c r="P4" s="125" t="s">
        <v>632</v>
      </c>
      <c r="Q4" s="85" t="s">
        <v>47</v>
      </c>
      <c r="R4" s="214" t="s">
        <v>1869</v>
      </c>
      <c r="S4" s="214" t="s">
        <v>1861</v>
      </c>
      <c r="T4" s="85" t="s">
        <v>1491</v>
      </c>
      <c r="U4" t="s">
        <v>1953</v>
      </c>
      <c r="V4" t="s">
        <v>2813</v>
      </c>
    </row>
    <row r="5" spans="1:23" ht="15.75" thickBot="1" x14ac:dyDescent="0.3">
      <c r="A5" s="82" t="s">
        <v>3473</v>
      </c>
      <c r="B5" s="82" t="str">
        <f t="shared" si="0"/>
        <v>Barraqueiro Transportes, S.A.</v>
      </c>
      <c r="C5" s="82" t="str">
        <f t="shared" si="1"/>
        <v>Barraqueiro Oeste</v>
      </c>
      <c r="D5" s="83" t="s">
        <v>629</v>
      </c>
      <c r="E5" s="91" t="s">
        <v>1853</v>
      </c>
      <c r="F5" s="124" t="s">
        <v>620</v>
      </c>
      <c r="G5" s="304">
        <v>2008</v>
      </c>
      <c r="H5" s="312" t="s">
        <v>731</v>
      </c>
      <c r="I5" s="307" t="str">
        <f t="shared" si="2"/>
        <v>Pesado de Passageiros M3: III : Gasóleo : E4</v>
      </c>
      <c r="J5" s="125">
        <v>55</v>
      </c>
      <c r="K5" s="125">
        <v>2022</v>
      </c>
      <c r="L5" s="85">
        <v>34730.512999999999</v>
      </c>
      <c r="M5" s="85" t="s">
        <v>630</v>
      </c>
      <c r="N5" s="128">
        <v>99820</v>
      </c>
      <c r="O5" s="128">
        <f t="shared" si="3"/>
        <v>5490100</v>
      </c>
      <c r="P5" s="125" t="s">
        <v>633</v>
      </c>
      <c r="Q5" s="85" t="s">
        <v>47</v>
      </c>
      <c r="R5" s="214" t="s">
        <v>1869</v>
      </c>
      <c r="S5" s="214" t="s">
        <v>1861</v>
      </c>
      <c r="T5" s="85" t="s">
        <v>1491</v>
      </c>
      <c r="U5" t="s">
        <v>1953</v>
      </c>
      <c r="V5" t="s">
        <v>2813</v>
      </c>
    </row>
    <row r="6" spans="1:23" ht="15.75" thickBot="1" x14ac:dyDescent="0.3">
      <c r="A6" s="82" t="s">
        <v>3473</v>
      </c>
      <c r="B6" s="82" t="str">
        <f t="shared" si="0"/>
        <v>Barraqueiro Transportes, S.A.</v>
      </c>
      <c r="C6" s="82" t="str">
        <f t="shared" si="1"/>
        <v>Barraqueiro Oeste</v>
      </c>
      <c r="D6" s="83" t="s">
        <v>629</v>
      </c>
      <c r="E6" s="91" t="s">
        <v>1853</v>
      </c>
      <c r="F6" s="124" t="s">
        <v>620</v>
      </c>
      <c r="G6" s="304">
        <v>2006</v>
      </c>
      <c r="H6" s="312" t="s">
        <v>731</v>
      </c>
      <c r="I6" s="307" t="str">
        <f t="shared" si="2"/>
        <v>Pesado de Passageiros M3: III : Gasóleo : E4</v>
      </c>
      <c r="J6" s="125">
        <v>55</v>
      </c>
      <c r="K6" s="125">
        <v>2022</v>
      </c>
      <c r="L6" s="85">
        <v>26781.210000000003</v>
      </c>
      <c r="M6" s="85" t="s">
        <v>630</v>
      </c>
      <c r="N6" s="128">
        <v>66968</v>
      </c>
      <c r="O6" s="128">
        <f t="shared" si="3"/>
        <v>3683240</v>
      </c>
      <c r="P6" s="125" t="s">
        <v>634</v>
      </c>
      <c r="Q6" s="85" t="s">
        <v>47</v>
      </c>
      <c r="R6" s="214" t="s">
        <v>1869</v>
      </c>
      <c r="S6" s="214" t="s">
        <v>1861</v>
      </c>
      <c r="T6" s="85" t="s">
        <v>1491</v>
      </c>
      <c r="U6" t="s">
        <v>1953</v>
      </c>
      <c r="V6" t="s">
        <v>2813</v>
      </c>
    </row>
    <row r="7" spans="1:23" ht="15.75" thickBot="1" x14ac:dyDescent="0.3">
      <c r="A7" s="82" t="s">
        <v>3473</v>
      </c>
      <c r="B7" s="82" t="str">
        <f t="shared" si="0"/>
        <v>Barraqueiro Transportes, S.A.</v>
      </c>
      <c r="C7" s="82" t="str">
        <f t="shared" si="1"/>
        <v>Barraqueiro Oeste</v>
      </c>
      <c r="D7" s="83" t="s">
        <v>629</v>
      </c>
      <c r="E7" s="91" t="s">
        <v>1853</v>
      </c>
      <c r="F7" s="124" t="s">
        <v>620</v>
      </c>
      <c r="G7" s="304">
        <v>2006</v>
      </c>
      <c r="H7" s="312" t="s">
        <v>731</v>
      </c>
      <c r="I7" s="307" t="str">
        <f t="shared" si="2"/>
        <v>Pesado de Passageiros M3: III : Gasóleo : E4</v>
      </c>
      <c r="J7" s="125">
        <v>55</v>
      </c>
      <c r="K7" s="125">
        <v>2022</v>
      </c>
      <c r="L7" s="85">
        <v>26268.710000000003</v>
      </c>
      <c r="M7" s="85" t="s">
        <v>630</v>
      </c>
      <c r="N7" s="128">
        <v>68436</v>
      </c>
      <c r="O7" s="128">
        <f t="shared" si="3"/>
        <v>3763980</v>
      </c>
      <c r="P7" s="125" t="s">
        <v>635</v>
      </c>
      <c r="Q7" s="85" t="s">
        <v>47</v>
      </c>
      <c r="R7" s="214" t="s">
        <v>1869</v>
      </c>
      <c r="S7" s="214" t="s">
        <v>1861</v>
      </c>
      <c r="T7" s="85" t="s">
        <v>1491</v>
      </c>
      <c r="U7" t="s">
        <v>1953</v>
      </c>
      <c r="V7" t="s">
        <v>2813</v>
      </c>
    </row>
    <row r="8" spans="1:23" ht="15.75" thickBot="1" x14ac:dyDescent="0.3">
      <c r="A8" s="82" t="s">
        <v>3473</v>
      </c>
      <c r="B8" s="82" t="str">
        <f t="shared" si="0"/>
        <v>Barraqueiro Transportes, S.A.</v>
      </c>
      <c r="C8" s="82" t="str">
        <f t="shared" si="1"/>
        <v>Barraqueiro Oeste</v>
      </c>
      <c r="D8" s="83" t="s">
        <v>629</v>
      </c>
      <c r="E8" s="91" t="s">
        <v>1853</v>
      </c>
      <c r="F8" s="124" t="s">
        <v>620</v>
      </c>
      <c r="G8" s="304">
        <v>2006</v>
      </c>
      <c r="H8" s="312" t="s">
        <v>731</v>
      </c>
      <c r="I8" s="307" t="str">
        <f t="shared" si="2"/>
        <v>Pesado de Passageiros M3: III : Gasóleo : E4</v>
      </c>
      <c r="J8" s="125">
        <v>59</v>
      </c>
      <c r="K8" s="125">
        <v>2022</v>
      </c>
      <c r="L8" s="85">
        <v>23030.049999999996</v>
      </c>
      <c r="M8" s="85" t="s">
        <v>630</v>
      </c>
      <c r="N8" s="128">
        <v>58849</v>
      </c>
      <c r="O8" s="128">
        <f t="shared" si="3"/>
        <v>3472091</v>
      </c>
      <c r="P8" s="125" t="s">
        <v>636</v>
      </c>
      <c r="Q8" s="85" t="s">
        <v>47</v>
      </c>
      <c r="R8" s="214" t="s">
        <v>1869</v>
      </c>
      <c r="S8" s="214" t="s">
        <v>1861</v>
      </c>
      <c r="T8" s="85" t="s">
        <v>1491</v>
      </c>
      <c r="U8" t="s">
        <v>1953</v>
      </c>
      <c r="V8" t="s">
        <v>2813</v>
      </c>
    </row>
    <row r="9" spans="1:23" ht="15.75" thickBot="1" x14ac:dyDescent="0.3">
      <c r="A9" s="82" t="s">
        <v>3473</v>
      </c>
      <c r="B9" s="82" t="str">
        <f t="shared" si="0"/>
        <v>Barraqueiro Transportes, S.A.</v>
      </c>
      <c r="C9" s="82" t="str">
        <f t="shared" si="1"/>
        <v>Barraqueiro Oeste</v>
      </c>
      <c r="D9" s="83" t="s">
        <v>629</v>
      </c>
      <c r="E9" s="91" t="s">
        <v>1853</v>
      </c>
      <c r="F9" s="124" t="s">
        <v>620</v>
      </c>
      <c r="G9" s="304">
        <v>2006</v>
      </c>
      <c r="H9" s="312" t="s">
        <v>731</v>
      </c>
      <c r="I9" s="307" t="str">
        <f t="shared" si="2"/>
        <v>Pesado de Passageiros M3: III : Gasóleo : E4</v>
      </c>
      <c r="J9" s="125">
        <v>59</v>
      </c>
      <c r="K9" s="125">
        <v>2022</v>
      </c>
      <c r="L9" s="85">
        <v>17493.850000000002</v>
      </c>
      <c r="M9" s="85" t="s">
        <v>630</v>
      </c>
      <c r="N9" s="128">
        <v>40591</v>
      </c>
      <c r="O9" s="128">
        <f t="shared" si="3"/>
        <v>2394869</v>
      </c>
      <c r="P9" s="125" t="s">
        <v>637</v>
      </c>
      <c r="Q9" s="85" t="s">
        <v>47</v>
      </c>
      <c r="R9" s="214" t="s">
        <v>1869</v>
      </c>
      <c r="S9" s="214" t="s">
        <v>1861</v>
      </c>
      <c r="T9" s="85" t="s">
        <v>1491</v>
      </c>
      <c r="U9" t="s">
        <v>1953</v>
      </c>
      <c r="V9" t="s">
        <v>2813</v>
      </c>
    </row>
    <row r="10" spans="1:23" ht="15.75" thickBot="1" x14ac:dyDescent="0.3">
      <c r="A10" s="82" t="s">
        <v>3473</v>
      </c>
      <c r="B10" s="82" t="str">
        <f t="shared" si="0"/>
        <v>Barraqueiro Transportes, S.A.</v>
      </c>
      <c r="C10" s="82" t="str">
        <f t="shared" si="1"/>
        <v>Barraqueiro Oeste</v>
      </c>
      <c r="D10" s="83" t="s">
        <v>629</v>
      </c>
      <c r="E10" s="91" t="s">
        <v>1853</v>
      </c>
      <c r="F10" s="124" t="s">
        <v>620</v>
      </c>
      <c r="G10" s="304">
        <v>2006</v>
      </c>
      <c r="H10" s="312" t="s">
        <v>731</v>
      </c>
      <c r="I10" s="307" t="str">
        <f t="shared" si="2"/>
        <v>Pesado de Passageiros M3: III : Gasóleo : E4</v>
      </c>
      <c r="J10" s="125">
        <v>59</v>
      </c>
      <c r="K10" s="125">
        <v>2022</v>
      </c>
      <c r="L10" s="85">
        <v>27454.615000000002</v>
      </c>
      <c r="M10" s="85" t="s">
        <v>630</v>
      </c>
      <c r="N10" s="128">
        <v>70159</v>
      </c>
      <c r="O10" s="128">
        <f t="shared" si="3"/>
        <v>4139381</v>
      </c>
      <c r="P10" s="125" t="s">
        <v>638</v>
      </c>
      <c r="Q10" s="85" t="s">
        <v>47</v>
      </c>
      <c r="R10" s="214" t="s">
        <v>1869</v>
      </c>
      <c r="S10" s="214" t="s">
        <v>1861</v>
      </c>
      <c r="T10" s="85" t="s">
        <v>1491</v>
      </c>
      <c r="U10" t="s">
        <v>1953</v>
      </c>
      <c r="V10" t="s">
        <v>2813</v>
      </c>
    </row>
    <row r="11" spans="1:23" ht="15.75" thickBot="1" x14ac:dyDescent="0.3">
      <c r="A11" s="82" t="s">
        <v>3473</v>
      </c>
      <c r="B11" s="82" t="str">
        <f t="shared" si="0"/>
        <v>Barraqueiro Transportes, S.A.</v>
      </c>
      <c r="C11" s="82" t="str">
        <f t="shared" si="1"/>
        <v>Barraqueiro Oeste</v>
      </c>
      <c r="D11" s="83" t="s">
        <v>629</v>
      </c>
      <c r="E11" s="91" t="s">
        <v>1853</v>
      </c>
      <c r="F11" s="124" t="s">
        <v>620</v>
      </c>
      <c r="G11" s="304">
        <v>2003</v>
      </c>
      <c r="H11" s="312" t="s">
        <v>732</v>
      </c>
      <c r="I11" s="307" t="str">
        <f t="shared" si="2"/>
        <v>Pesado de Passageiros M3: III : Gasóleo : E3</v>
      </c>
      <c r="J11" s="125">
        <v>57</v>
      </c>
      <c r="K11" s="125">
        <v>2022</v>
      </c>
      <c r="L11" s="85">
        <v>12050.740000000002</v>
      </c>
      <c r="M11" s="85" t="s">
        <v>630</v>
      </c>
      <c r="N11" s="128">
        <v>26373</v>
      </c>
      <c r="O11" s="128">
        <f t="shared" si="3"/>
        <v>1503261</v>
      </c>
      <c r="P11" s="125" t="s">
        <v>639</v>
      </c>
      <c r="Q11" s="85" t="s">
        <v>47</v>
      </c>
      <c r="R11" s="214" t="s">
        <v>1869</v>
      </c>
      <c r="S11" s="214" t="s">
        <v>1861</v>
      </c>
      <c r="T11" s="85" t="s">
        <v>1491</v>
      </c>
      <c r="U11" t="s">
        <v>1953</v>
      </c>
      <c r="V11" t="s">
        <v>2813</v>
      </c>
    </row>
    <row r="12" spans="1:23" ht="15.75" thickBot="1" x14ac:dyDescent="0.3">
      <c r="A12" s="82" t="s">
        <v>3473</v>
      </c>
      <c r="B12" s="82" t="str">
        <f t="shared" si="0"/>
        <v>Barraqueiro Transportes, S.A.</v>
      </c>
      <c r="C12" s="82" t="str">
        <f t="shared" si="1"/>
        <v>Barraqueiro Oeste</v>
      </c>
      <c r="D12" s="83" t="s">
        <v>629</v>
      </c>
      <c r="E12" s="91" t="s">
        <v>1853</v>
      </c>
      <c r="F12" s="124" t="s">
        <v>620</v>
      </c>
      <c r="G12" s="304">
        <v>2001</v>
      </c>
      <c r="H12" s="312" t="s">
        <v>732</v>
      </c>
      <c r="I12" s="307" t="str">
        <f t="shared" si="2"/>
        <v>Pesado de Passageiros M3: III : Gasóleo : E3</v>
      </c>
      <c r="J12" s="125">
        <v>70</v>
      </c>
      <c r="K12" s="125">
        <v>2022</v>
      </c>
      <c r="L12" s="85">
        <v>190</v>
      </c>
      <c r="M12" s="85" t="s">
        <v>630</v>
      </c>
      <c r="N12" s="128">
        <v>452</v>
      </c>
      <c r="O12" s="128">
        <f t="shared" si="3"/>
        <v>31640</v>
      </c>
      <c r="P12" s="125" t="s">
        <v>640</v>
      </c>
      <c r="Q12" s="85" t="s">
        <v>47</v>
      </c>
      <c r="R12" s="214" t="s">
        <v>1869</v>
      </c>
      <c r="S12" s="214" t="s">
        <v>1861</v>
      </c>
      <c r="T12" s="85" t="s">
        <v>1491</v>
      </c>
      <c r="U12" t="s">
        <v>1953</v>
      </c>
      <c r="V12" t="s">
        <v>2813</v>
      </c>
    </row>
    <row r="13" spans="1:23" ht="15.75" thickBot="1" x14ac:dyDescent="0.3">
      <c r="A13" s="82" t="s">
        <v>3473</v>
      </c>
      <c r="B13" s="82" t="str">
        <f t="shared" si="0"/>
        <v>Barraqueiro Transportes, S.A.</v>
      </c>
      <c r="C13" s="82" t="str">
        <f t="shared" si="1"/>
        <v>Barraqueiro Oeste</v>
      </c>
      <c r="D13" s="83" t="s">
        <v>629</v>
      </c>
      <c r="E13" s="91" t="s">
        <v>1853</v>
      </c>
      <c r="F13" s="124" t="s">
        <v>620</v>
      </c>
      <c r="G13" s="304">
        <v>2007</v>
      </c>
      <c r="H13" s="312" t="s">
        <v>731</v>
      </c>
      <c r="I13" s="307" t="str">
        <f t="shared" si="2"/>
        <v>Pesado de Passageiros M3: III : Gasóleo : E4</v>
      </c>
      <c r="J13" s="125">
        <v>59</v>
      </c>
      <c r="K13" s="125">
        <v>2022</v>
      </c>
      <c r="L13" s="85">
        <v>18874.940000000002</v>
      </c>
      <c r="M13" s="85" t="s">
        <v>630</v>
      </c>
      <c r="N13" s="128">
        <v>48490</v>
      </c>
      <c r="O13" s="128">
        <f t="shared" si="3"/>
        <v>2860910</v>
      </c>
      <c r="P13" s="125" t="s">
        <v>641</v>
      </c>
      <c r="Q13" s="85" t="s">
        <v>47</v>
      </c>
      <c r="R13" s="214" t="s">
        <v>1869</v>
      </c>
      <c r="S13" s="214" t="s">
        <v>1861</v>
      </c>
      <c r="T13" s="85" t="s">
        <v>1491</v>
      </c>
      <c r="U13" t="s">
        <v>1953</v>
      </c>
      <c r="V13" t="s">
        <v>2813</v>
      </c>
    </row>
    <row r="14" spans="1:23" ht="15.75" thickBot="1" x14ac:dyDescent="0.3">
      <c r="A14" s="82" t="s">
        <v>3473</v>
      </c>
      <c r="B14" s="82" t="str">
        <f t="shared" si="0"/>
        <v>Barraqueiro Transportes, S.A.</v>
      </c>
      <c r="C14" s="82" t="str">
        <f t="shared" si="1"/>
        <v>Barraqueiro Oeste</v>
      </c>
      <c r="D14" s="83" t="s">
        <v>629</v>
      </c>
      <c r="E14" s="91" t="s">
        <v>1853</v>
      </c>
      <c r="F14" s="124" t="s">
        <v>620</v>
      </c>
      <c r="G14" s="304">
        <v>2008</v>
      </c>
      <c r="H14" s="312" t="s">
        <v>731</v>
      </c>
      <c r="I14" s="307" t="str">
        <f t="shared" si="2"/>
        <v>Pesado de Passageiros M3: III : Gasóleo : E4</v>
      </c>
      <c r="J14" s="125">
        <v>25</v>
      </c>
      <c r="K14" s="125">
        <v>2022</v>
      </c>
      <c r="L14" s="85">
        <v>138.02000000000001</v>
      </c>
      <c r="M14" s="85" t="s">
        <v>630</v>
      </c>
      <c r="N14" s="128">
        <v>811</v>
      </c>
      <c r="O14" s="128">
        <f t="shared" si="3"/>
        <v>20275</v>
      </c>
      <c r="P14" s="125" t="s">
        <v>642</v>
      </c>
      <c r="Q14" s="85" t="s">
        <v>47</v>
      </c>
      <c r="R14" s="214" t="s">
        <v>1869</v>
      </c>
      <c r="S14" s="214" t="s">
        <v>1861</v>
      </c>
      <c r="T14" s="85" t="s">
        <v>1491</v>
      </c>
      <c r="U14" t="s">
        <v>1953</v>
      </c>
      <c r="V14" t="s">
        <v>2813</v>
      </c>
    </row>
    <row r="15" spans="1:23" ht="15.75" thickBot="1" x14ac:dyDescent="0.3">
      <c r="A15" s="82" t="s">
        <v>3473</v>
      </c>
      <c r="B15" s="82" t="str">
        <f t="shared" si="0"/>
        <v>Barraqueiro Transportes, S.A.</v>
      </c>
      <c r="C15" s="82" t="str">
        <f t="shared" si="1"/>
        <v>Barraqueiro Oeste</v>
      </c>
      <c r="D15" s="83" t="s">
        <v>629</v>
      </c>
      <c r="E15" s="91" t="s">
        <v>1853</v>
      </c>
      <c r="F15" s="124" t="s">
        <v>620</v>
      </c>
      <c r="G15" s="304">
        <v>2008</v>
      </c>
      <c r="H15" s="312" t="s">
        <v>731</v>
      </c>
      <c r="I15" s="307" t="str">
        <f t="shared" si="2"/>
        <v>Pesado de Passageiros M3: III : Gasóleo : E4</v>
      </c>
      <c r="J15" s="125">
        <v>27</v>
      </c>
      <c r="K15" s="125">
        <v>2022</v>
      </c>
      <c r="L15" s="85">
        <v>0</v>
      </c>
      <c r="M15" s="85" t="s">
        <v>630</v>
      </c>
      <c r="N15" s="128">
        <v>0</v>
      </c>
      <c r="O15" s="128">
        <f t="shared" si="3"/>
        <v>0</v>
      </c>
      <c r="P15" s="125" t="s">
        <v>643</v>
      </c>
      <c r="Q15" s="85" t="s">
        <v>47</v>
      </c>
      <c r="R15" s="214" t="s">
        <v>1869</v>
      </c>
      <c r="S15" s="214" t="s">
        <v>1861</v>
      </c>
      <c r="T15" s="85" t="s">
        <v>1491</v>
      </c>
      <c r="U15" t="s">
        <v>1953</v>
      </c>
      <c r="V15" t="s">
        <v>2813</v>
      </c>
    </row>
    <row r="16" spans="1:23" ht="15.75" thickBot="1" x14ac:dyDescent="0.3">
      <c r="A16" s="82" t="s">
        <v>3473</v>
      </c>
      <c r="B16" s="82" t="str">
        <f t="shared" si="0"/>
        <v>Barraqueiro Transportes, S.A.</v>
      </c>
      <c r="C16" s="82" t="str">
        <f t="shared" si="1"/>
        <v>Barraqueiro Oeste</v>
      </c>
      <c r="D16" s="83" t="s">
        <v>629</v>
      </c>
      <c r="E16" s="91" t="s">
        <v>1853</v>
      </c>
      <c r="F16" s="124" t="s">
        <v>620</v>
      </c>
      <c r="G16" s="304">
        <v>2008</v>
      </c>
      <c r="H16" s="312" t="s">
        <v>731</v>
      </c>
      <c r="I16" s="307" t="str">
        <f t="shared" si="2"/>
        <v>Pesado de Passageiros M3: III : Gasóleo : E4</v>
      </c>
      <c r="J16" s="125">
        <v>54</v>
      </c>
      <c r="K16" s="125">
        <v>2022</v>
      </c>
      <c r="L16" s="85">
        <v>13394.8</v>
      </c>
      <c r="M16" s="85" t="s">
        <v>630</v>
      </c>
      <c r="N16" s="128">
        <v>30598</v>
      </c>
      <c r="O16" s="128">
        <f t="shared" si="3"/>
        <v>1652292</v>
      </c>
      <c r="P16" s="125" t="s">
        <v>644</v>
      </c>
      <c r="Q16" s="85" t="s">
        <v>47</v>
      </c>
      <c r="R16" s="214" t="s">
        <v>1869</v>
      </c>
      <c r="S16" s="214" t="s">
        <v>1861</v>
      </c>
      <c r="T16" s="85" t="s">
        <v>1491</v>
      </c>
      <c r="U16" t="s">
        <v>1953</v>
      </c>
      <c r="V16" t="s">
        <v>2813</v>
      </c>
    </row>
    <row r="17" spans="1:22" ht="15.75" thickBot="1" x14ac:dyDescent="0.3">
      <c r="A17" s="82" t="s">
        <v>3473</v>
      </c>
      <c r="B17" s="82" t="str">
        <f t="shared" si="0"/>
        <v>Barraqueiro Transportes, S.A.</v>
      </c>
      <c r="C17" s="82" t="str">
        <f t="shared" si="1"/>
        <v>Barraqueiro Oeste</v>
      </c>
      <c r="D17" s="83" t="s">
        <v>629</v>
      </c>
      <c r="E17" s="91" t="s">
        <v>1853</v>
      </c>
      <c r="F17" s="124" t="s">
        <v>620</v>
      </c>
      <c r="G17" s="304">
        <v>2018</v>
      </c>
      <c r="H17" s="312" t="s">
        <v>733</v>
      </c>
      <c r="I17" s="307" t="str">
        <f t="shared" si="2"/>
        <v>Pesado de Passageiros M3: III : Gasóleo : E6</v>
      </c>
      <c r="J17" s="125">
        <v>26</v>
      </c>
      <c r="K17" s="125">
        <v>2022</v>
      </c>
      <c r="L17" s="85">
        <v>7323.3899999999994</v>
      </c>
      <c r="M17" s="85" t="s">
        <v>630</v>
      </c>
      <c r="N17" s="128">
        <v>38217</v>
      </c>
      <c r="O17" s="128">
        <f t="shared" si="3"/>
        <v>993642</v>
      </c>
      <c r="P17" s="125" t="s">
        <v>645</v>
      </c>
      <c r="Q17" s="85" t="s">
        <v>47</v>
      </c>
      <c r="R17" s="214" t="s">
        <v>1869</v>
      </c>
      <c r="S17" s="214" t="s">
        <v>1861</v>
      </c>
      <c r="T17" s="85" t="s">
        <v>1491</v>
      </c>
      <c r="U17" t="s">
        <v>1953</v>
      </c>
      <c r="V17" t="s">
        <v>2813</v>
      </c>
    </row>
    <row r="18" spans="1:22" ht="15.75" thickBot="1" x14ac:dyDescent="0.3">
      <c r="A18" s="82" t="s">
        <v>3473</v>
      </c>
      <c r="B18" s="82" t="str">
        <f t="shared" si="0"/>
        <v>Barraqueiro Transportes, S.A.</v>
      </c>
      <c r="C18" s="82" t="str">
        <f t="shared" si="1"/>
        <v>Barraqueiro Oeste</v>
      </c>
      <c r="D18" s="83" t="s">
        <v>629</v>
      </c>
      <c r="E18" s="91" t="s">
        <v>1853</v>
      </c>
      <c r="F18" s="124" t="s">
        <v>620</v>
      </c>
      <c r="G18" s="304">
        <v>2018</v>
      </c>
      <c r="H18" s="312" t="s">
        <v>733</v>
      </c>
      <c r="I18" s="307" t="str">
        <f t="shared" si="2"/>
        <v>Pesado de Passageiros M3: III : Gasóleo : E6</v>
      </c>
      <c r="J18" s="125">
        <v>26</v>
      </c>
      <c r="K18" s="125">
        <v>2022</v>
      </c>
      <c r="L18" s="85">
        <v>9914.67</v>
      </c>
      <c r="M18" s="85" t="s">
        <v>630</v>
      </c>
      <c r="N18" s="128">
        <v>51234</v>
      </c>
      <c r="O18" s="128">
        <f t="shared" si="3"/>
        <v>1332084</v>
      </c>
      <c r="P18" s="125" t="s">
        <v>646</v>
      </c>
      <c r="Q18" s="85" t="s">
        <v>47</v>
      </c>
      <c r="R18" s="214" t="s">
        <v>1869</v>
      </c>
      <c r="S18" s="214" t="s">
        <v>1861</v>
      </c>
      <c r="T18" s="85" t="s">
        <v>1491</v>
      </c>
      <c r="U18" t="s">
        <v>1953</v>
      </c>
      <c r="V18" t="s">
        <v>2813</v>
      </c>
    </row>
    <row r="19" spans="1:22" ht="15.75" thickBot="1" x14ac:dyDescent="0.3">
      <c r="A19" s="82" t="s">
        <v>3473</v>
      </c>
      <c r="B19" s="82" t="str">
        <f t="shared" si="0"/>
        <v>Barraqueiro Transportes, S.A.</v>
      </c>
      <c r="C19" s="82" t="str">
        <f t="shared" si="1"/>
        <v>Barraqueiro Oeste</v>
      </c>
      <c r="D19" s="83" t="s">
        <v>629</v>
      </c>
      <c r="E19" s="91" t="s">
        <v>1853</v>
      </c>
      <c r="F19" s="124" t="s">
        <v>620</v>
      </c>
      <c r="G19" s="304">
        <v>2001</v>
      </c>
      <c r="H19" s="312" t="s">
        <v>732</v>
      </c>
      <c r="I19" s="307" t="str">
        <f t="shared" si="2"/>
        <v>Pesado de Passageiros M3: III : Gasóleo : E3</v>
      </c>
      <c r="J19" s="125">
        <v>62</v>
      </c>
      <c r="K19" s="125">
        <v>2022</v>
      </c>
      <c r="L19" s="85">
        <v>14506.039999999999</v>
      </c>
      <c r="M19" s="85" t="s">
        <v>630</v>
      </c>
      <c r="N19" s="128">
        <v>38167</v>
      </c>
      <c r="O19" s="128">
        <f t="shared" si="3"/>
        <v>2366354</v>
      </c>
      <c r="P19" s="125" t="s">
        <v>647</v>
      </c>
      <c r="Q19" s="85" t="s">
        <v>47</v>
      </c>
      <c r="R19" s="214" t="s">
        <v>1869</v>
      </c>
      <c r="S19" s="214" t="s">
        <v>1861</v>
      </c>
      <c r="T19" s="85" t="s">
        <v>1491</v>
      </c>
      <c r="U19" t="s">
        <v>1953</v>
      </c>
      <c r="V19" t="s">
        <v>2813</v>
      </c>
    </row>
    <row r="20" spans="1:22" ht="15.75" thickBot="1" x14ac:dyDescent="0.3">
      <c r="A20" s="82" t="s">
        <v>3473</v>
      </c>
      <c r="B20" s="82" t="str">
        <f t="shared" si="0"/>
        <v>Barraqueiro Transportes, S.A.</v>
      </c>
      <c r="C20" s="82" t="str">
        <f t="shared" si="1"/>
        <v>Barraqueiro Oeste</v>
      </c>
      <c r="D20" s="83" t="s">
        <v>629</v>
      </c>
      <c r="E20" s="91" t="s">
        <v>1853</v>
      </c>
      <c r="F20" s="124" t="s">
        <v>620</v>
      </c>
      <c r="G20" s="304">
        <v>2008</v>
      </c>
      <c r="H20" s="312" t="s">
        <v>731</v>
      </c>
      <c r="I20" s="307" t="str">
        <f t="shared" si="2"/>
        <v>Pesado de Passageiros M3: III : Gasóleo : E4</v>
      </c>
      <c r="J20" s="125">
        <v>82</v>
      </c>
      <c r="K20" s="125">
        <v>2022</v>
      </c>
      <c r="L20" s="85">
        <v>21522.447999999997</v>
      </c>
      <c r="M20" s="85" t="s">
        <v>630</v>
      </c>
      <c r="N20" s="128">
        <v>51611</v>
      </c>
      <c r="O20" s="128">
        <f t="shared" si="3"/>
        <v>4232102</v>
      </c>
      <c r="P20" s="125" t="s">
        <v>648</v>
      </c>
      <c r="Q20" s="85" t="s">
        <v>47</v>
      </c>
      <c r="R20" s="214" t="s">
        <v>1869</v>
      </c>
      <c r="S20" s="214" t="s">
        <v>1861</v>
      </c>
      <c r="T20" s="85" t="s">
        <v>1491</v>
      </c>
      <c r="U20" t="s">
        <v>1953</v>
      </c>
      <c r="V20" t="s">
        <v>2813</v>
      </c>
    </row>
    <row r="21" spans="1:22" ht="15.75" thickBot="1" x14ac:dyDescent="0.3">
      <c r="A21" s="82" t="s">
        <v>3473</v>
      </c>
      <c r="B21" s="82" t="str">
        <f t="shared" si="0"/>
        <v>Barraqueiro Transportes, S.A.</v>
      </c>
      <c r="C21" s="82" t="str">
        <f t="shared" si="1"/>
        <v>Barraqueiro Oeste</v>
      </c>
      <c r="D21" s="83" t="s">
        <v>629</v>
      </c>
      <c r="E21" s="91" t="s">
        <v>1853</v>
      </c>
      <c r="F21" s="124" t="s">
        <v>620</v>
      </c>
      <c r="G21" s="304">
        <v>2008</v>
      </c>
      <c r="H21" s="312" t="s">
        <v>731</v>
      </c>
      <c r="I21" s="307" t="str">
        <f t="shared" si="2"/>
        <v>Pesado de Passageiros M3: III : Gasóleo : E4</v>
      </c>
      <c r="J21" s="125">
        <v>82</v>
      </c>
      <c r="K21" s="125">
        <v>2022</v>
      </c>
      <c r="L21" s="85">
        <v>22592.527000000002</v>
      </c>
      <c r="M21" s="85" t="s">
        <v>630</v>
      </c>
      <c r="N21" s="128">
        <v>54336</v>
      </c>
      <c r="O21" s="128">
        <f t="shared" si="3"/>
        <v>4455552</v>
      </c>
      <c r="P21" s="125" t="s">
        <v>649</v>
      </c>
      <c r="Q21" s="85" t="s">
        <v>47</v>
      </c>
      <c r="R21" s="214" t="s">
        <v>1869</v>
      </c>
      <c r="S21" s="214" t="s">
        <v>1861</v>
      </c>
      <c r="T21" s="85" t="s">
        <v>1491</v>
      </c>
      <c r="U21" t="s">
        <v>1953</v>
      </c>
      <c r="V21" t="s">
        <v>2813</v>
      </c>
    </row>
    <row r="22" spans="1:22" ht="15.75" thickBot="1" x14ac:dyDescent="0.3">
      <c r="A22" s="82" t="s">
        <v>3473</v>
      </c>
      <c r="B22" s="82" t="str">
        <f t="shared" si="0"/>
        <v>Barraqueiro Transportes, S.A.</v>
      </c>
      <c r="C22" s="82" t="str">
        <f t="shared" si="1"/>
        <v>Barraqueiro Oeste</v>
      </c>
      <c r="D22" s="83" t="s">
        <v>629</v>
      </c>
      <c r="E22" s="91" t="s">
        <v>1853</v>
      </c>
      <c r="F22" s="124" t="s">
        <v>620</v>
      </c>
      <c r="G22" s="304">
        <v>2007</v>
      </c>
      <c r="H22" s="312" t="s">
        <v>731</v>
      </c>
      <c r="I22" s="307" t="str">
        <f t="shared" si="2"/>
        <v>Pesado de Passageiros M3: III : Gasóleo : E4</v>
      </c>
      <c r="J22" s="125">
        <v>88</v>
      </c>
      <c r="K22" s="125">
        <v>2022</v>
      </c>
      <c r="L22" s="85">
        <v>22676.016</v>
      </c>
      <c r="M22" s="85" t="s">
        <v>630</v>
      </c>
      <c r="N22" s="128">
        <v>58759</v>
      </c>
      <c r="O22" s="128">
        <f t="shared" si="3"/>
        <v>5170792</v>
      </c>
      <c r="P22" s="125" t="s">
        <v>650</v>
      </c>
      <c r="Q22" s="85" t="s">
        <v>47</v>
      </c>
      <c r="R22" s="214" t="s">
        <v>1869</v>
      </c>
      <c r="S22" s="214" t="s">
        <v>1861</v>
      </c>
      <c r="T22" s="85" t="s">
        <v>1491</v>
      </c>
      <c r="U22" t="s">
        <v>1953</v>
      </c>
      <c r="V22" t="s">
        <v>2813</v>
      </c>
    </row>
    <row r="23" spans="1:22" ht="15.75" thickBot="1" x14ac:dyDescent="0.3">
      <c r="A23" s="82" t="s">
        <v>3473</v>
      </c>
      <c r="B23" s="82" t="str">
        <f t="shared" si="0"/>
        <v>Barraqueiro Transportes, S.A.</v>
      </c>
      <c r="C23" s="82" t="str">
        <f t="shared" si="1"/>
        <v>Barraqueiro Oeste</v>
      </c>
      <c r="D23" s="83" t="s">
        <v>629</v>
      </c>
      <c r="E23" s="91" t="s">
        <v>1853</v>
      </c>
      <c r="F23" s="124" t="s">
        <v>620</v>
      </c>
      <c r="G23" s="304">
        <v>2008</v>
      </c>
      <c r="H23" s="312" t="s">
        <v>731</v>
      </c>
      <c r="I23" s="307" t="str">
        <f t="shared" si="2"/>
        <v>Pesado de Passageiros M3: III : Gasóleo : E4</v>
      </c>
      <c r="J23" s="125">
        <v>77</v>
      </c>
      <c r="K23" s="125">
        <v>2022</v>
      </c>
      <c r="L23" s="85">
        <v>13486.71</v>
      </c>
      <c r="M23" s="85" t="s">
        <v>630</v>
      </c>
      <c r="N23" s="128">
        <v>34910</v>
      </c>
      <c r="O23" s="128">
        <f t="shared" si="3"/>
        <v>2688070</v>
      </c>
      <c r="P23" s="125" t="s">
        <v>651</v>
      </c>
      <c r="Q23" s="85" t="s">
        <v>47</v>
      </c>
      <c r="R23" s="214" t="s">
        <v>1869</v>
      </c>
      <c r="S23" s="214" t="s">
        <v>1861</v>
      </c>
      <c r="T23" s="85" t="s">
        <v>1491</v>
      </c>
      <c r="U23" t="s">
        <v>1953</v>
      </c>
      <c r="V23" t="s">
        <v>2813</v>
      </c>
    </row>
    <row r="24" spans="1:22" ht="15.75" thickBot="1" x14ac:dyDescent="0.3">
      <c r="A24" s="82" t="s">
        <v>3473</v>
      </c>
      <c r="B24" s="82" t="str">
        <f t="shared" si="0"/>
        <v>Barraqueiro Transportes, S.A.</v>
      </c>
      <c r="C24" s="82" t="str">
        <f t="shared" si="1"/>
        <v>Barraqueiro Oeste</v>
      </c>
      <c r="D24" s="83" t="s">
        <v>629</v>
      </c>
      <c r="E24" s="91" t="s">
        <v>1853</v>
      </c>
      <c r="F24" s="124" t="s">
        <v>620</v>
      </c>
      <c r="G24" s="304">
        <v>2009</v>
      </c>
      <c r="H24" s="312" t="s">
        <v>734</v>
      </c>
      <c r="I24" s="307" t="str">
        <f t="shared" si="2"/>
        <v>Pesado de Passageiros M3: III : Gasóleo : E5</v>
      </c>
      <c r="J24" s="125">
        <v>59</v>
      </c>
      <c r="K24" s="125">
        <v>2022</v>
      </c>
      <c r="L24" s="85">
        <v>26596.225999999999</v>
      </c>
      <c r="M24" s="85" t="s">
        <v>630</v>
      </c>
      <c r="N24" s="128">
        <v>68159</v>
      </c>
      <c r="O24" s="128">
        <f t="shared" si="3"/>
        <v>4021381</v>
      </c>
      <c r="P24" s="125" t="s">
        <v>652</v>
      </c>
      <c r="Q24" s="85" t="s">
        <v>47</v>
      </c>
      <c r="R24" s="214" t="s">
        <v>1869</v>
      </c>
      <c r="S24" s="214" t="s">
        <v>1861</v>
      </c>
      <c r="T24" s="85" t="s">
        <v>1491</v>
      </c>
      <c r="U24" t="s">
        <v>1953</v>
      </c>
      <c r="V24" t="s">
        <v>2813</v>
      </c>
    </row>
    <row r="25" spans="1:22" ht="15.75" thickBot="1" x14ac:dyDescent="0.3">
      <c r="A25" s="82" t="s">
        <v>3473</v>
      </c>
      <c r="B25" s="82" t="str">
        <f t="shared" si="0"/>
        <v>Barraqueiro Transportes, S.A.</v>
      </c>
      <c r="C25" s="82" t="str">
        <f t="shared" si="1"/>
        <v>Barraqueiro Oeste</v>
      </c>
      <c r="D25" s="83" t="s">
        <v>629</v>
      </c>
      <c r="E25" s="91" t="s">
        <v>1853</v>
      </c>
      <c r="F25" s="124" t="s">
        <v>620</v>
      </c>
      <c r="G25" s="304">
        <v>2010</v>
      </c>
      <c r="H25" s="312" t="s">
        <v>734</v>
      </c>
      <c r="I25" s="307" t="str">
        <f t="shared" si="2"/>
        <v>Pesado de Passageiros M3: III : Gasóleo : E5</v>
      </c>
      <c r="J25" s="125">
        <v>53</v>
      </c>
      <c r="K25" s="125">
        <v>2022</v>
      </c>
      <c r="L25" s="85">
        <v>30124.499999999996</v>
      </c>
      <c r="M25" s="85" t="s">
        <v>630</v>
      </c>
      <c r="N25" s="128">
        <v>93047</v>
      </c>
      <c r="O25" s="128">
        <f t="shared" si="3"/>
        <v>4931491</v>
      </c>
      <c r="P25" s="125" t="s">
        <v>653</v>
      </c>
      <c r="Q25" s="85" t="s">
        <v>47</v>
      </c>
      <c r="R25" s="214" t="s">
        <v>1869</v>
      </c>
      <c r="S25" s="214" t="s">
        <v>1861</v>
      </c>
      <c r="T25" s="85" t="s">
        <v>1491</v>
      </c>
      <c r="U25" t="s">
        <v>1953</v>
      </c>
      <c r="V25" t="s">
        <v>2813</v>
      </c>
    </row>
    <row r="26" spans="1:22" ht="15.75" thickBot="1" x14ac:dyDescent="0.3">
      <c r="A26" s="82" t="s">
        <v>3473</v>
      </c>
      <c r="B26" s="82" t="str">
        <f t="shared" si="0"/>
        <v>Barraqueiro Transportes, S.A.</v>
      </c>
      <c r="C26" s="82" t="str">
        <f t="shared" si="1"/>
        <v>Barraqueiro Oeste</v>
      </c>
      <c r="D26" s="83" t="s">
        <v>629</v>
      </c>
      <c r="E26" s="91" t="s">
        <v>1853</v>
      </c>
      <c r="F26" s="124" t="s">
        <v>620</v>
      </c>
      <c r="G26" s="304">
        <v>2006</v>
      </c>
      <c r="H26" s="312" t="s">
        <v>731</v>
      </c>
      <c r="I26" s="307" t="str">
        <f t="shared" si="2"/>
        <v>Pesado de Passageiros M3: III : Gasóleo : E4</v>
      </c>
      <c r="J26" s="125">
        <v>36</v>
      </c>
      <c r="K26" s="125">
        <v>2022</v>
      </c>
      <c r="L26" s="85">
        <v>25144.18</v>
      </c>
      <c r="M26" s="85" t="s">
        <v>630</v>
      </c>
      <c r="N26" s="128">
        <v>61281</v>
      </c>
      <c r="O26" s="128">
        <f t="shared" si="3"/>
        <v>2206116</v>
      </c>
      <c r="P26" s="125" t="s">
        <v>654</v>
      </c>
      <c r="Q26" s="85" t="s">
        <v>47</v>
      </c>
      <c r="R26" s="214" t="s">
        <v>1869</v>
      </c>
      <c r="S26" s="214" t="s">
        <v>1861</v>
      </c>
      <c r="T26" s="85" t="s">
        <v>1491</v>
      </c>
      <c r="U26" t="s">
        <v>1953</v>
      </c>
      <c r="V26" t="s">
        <v>2813</v>
      </c>
    </row>
    <row r="27" spans="1:22" ht="15.75" thickBot="1" x14ac:dyDescent="0.3">
      <c r="A27" s="82" t="s">
        <v>3473</v>
      </c>
      <c r="B27" s="82" t="str">
        <f t="shared" si="0"/>
        <v>Barraqueiro Transportes, S.A.</v>
      </c>
      <c r="C27" s="82" t="str">
        <f t="shared" si="1"/>
        <v>Barraqueiro Oeste</v>
      </c>
      <c r="D27" s="83" t="s">
        <v>629</v>
      </c>
      <c r="E27" s="91" t="s">
        <v>1853</v>
      </c>
      <c r="F27" s="124" t="s">
        <v>620</v>
      </c>
      <c r="G27" s="304">
        <v>2008</v>
      </c>
      <c r="H27" s="312" t="s">
        <v>731</v>
      </c>
      <c r="I27" s="307" t="str">
        <f t="shared" si="2"/>
        <v>Pesado de Passageiros M3: III : Gasóleo : E4</v>
      </c>
      <c r="J27" s="125">
        <v>71</v>
      </c>
      <c r="K27" s="125">
        <v>2022</v>
      </c>
      <c r="L27" s="85">
        <v>15217.31</v>
      </c>
      <c r="M27" s="85" t="s">
        <v>630</v>
      </c>
      <c r="N27" s="128">
        <v>42293</v>
      </c>
      <c r="O27" s="128">
        <f t="shared" si="3"/>
        <v>3002803</v>
      </c>
      <c r="P27" s="125" t="s">
        <v>655</v>
      </c>
      <c r="Q27" s="85" t="s">
        <v>47</v>
      </c>
      <c r="R27" s="214" t="s">
        <v>1869</v>
      </c>
      <c r="S27" s="214" t="s">
        <v>1861</v>
      </c>
      <c r="T27" s="85" t="s">
        <v>1491</v>
      </c>
      <c r="U27" t="s">
        <v>1953</v>
      </c>
      <c r="V27" t="s">
        <v>2813</v>
      </c>
    </row>
    <row r="28" spans="1:22" ht="15.75" thickBot="1" x14ac:dyDescent="0.3">
      <c r="A28" s="82" t="s">
        <v>3473</v>
      </c>
      <c r="B28" s="82" t="str">
        <f t="shared" si="0"/>
        <v>Barraqueiro Transportes, S.A.</v>
      </c>
      <c r="C28" s="82" t="str">
        <f t="shared" si="1"/>
        <v>Barraqueiro Oeste</v>
      </c>
      <c r="D28" s="83" t="s">
        <v>629</v>
      </c>
      <c r="E28" s="91" t="s">
        <v>1853</v>
      </c>
      <c r="F28" s="124" t="s">
        <v>620</v>
      </c>
      <c r="G28" s="304">
        <v>2004</v>
      </c>
      <c r="H28" s="312" t="s">
        <v>732</v>
      </c>
      <c r="I28" s="307" t="str">
        <f t="shared" si="2"/>
        <v>Pesado de Passageiros M3: III : Gasóleo : E3</v>
      </c>
      <c r="J28" s="125">
        <v>69</v>
      </c>
      <c r="K28" s="125">
        <v>2022</v>
      </c>
      <c r="L28" s="85">
        <v>13422.85</v>
      </c>
      <c r="M28" s="85" t="s">
        <v>630</v>
      </c>
      <c r="N28" s="128">
        <v>27835</v>
      </c>
      <c r="O28" s="128">
        <f t="shared" si="3"/>
        <v>1920615</v>
      </c>
      <c r="P28" s="125" t="s">
        <v>656</v>
      </c>
      <c r="Q28" s="85" t="s">
        <v>47</v>
      </c>
      <c r="R28" s="214" t="s">
        <v>1869</v>
      </c>
      <c r="S28" s="214" t="s">
        <v>1861</v>
      </c>
      <c r="T28" s="85" t="s">
        <v>1491</v>
      </c>
      <c r="U28" t="s">
        <v>1953</v>
      </c>
      <c r="V28" t="s">
        <v>2813</v>
      </c>
    </row>
    <row r="29" spans="1:22" ht="15.75" thickBot="1" x14ac:dyDescent="0.3">
      <c r="A29" s="82" t="s">
        <v>3473</v>
      </c>
      <c r="B29" s="82" t="str">
        <f t="shared" si="0"/>
        <v>Barraqueiro Transportes, S.A.</v>
      </c>
      <c r="C29" s="82" t="str">
        <f t="shared" si="1"/>
        <v>Barraqueiro Oeste</v>
      </c>
      <c r="D29" s="83" t="s">
        <v>629</v>
      </c>
      <c r="E29" s="91" t="s">
        <v>1853</v>
      </c>
      <c r="F29" s="124" t="s">
        <v>620</v>
      </c>
      <c r="G29" s="304">
        <v>2004</v>
      </c>
      <c r="H29" s="312" t="s">
        <v>732</v>
      </c>
      <c r="I29" s="307" t="str">
        <f t="shared" si="2"/>
        <v>Pesado de Passageiros M3: III : Gasóleo : E3</v>
      </c>
      <c r="J29" s="125">
        <v>69</v>
      </c>
      <c r="K29" s="125">
        <v>2022</v>
      </c>
      <c r="L29" s="85">
        <v>14888.759999999998</v>
      </c>
      <c r="M29" s="85" t="s">
        <v>630</v>
      </c>
      <c r="N29" s="128">
        <v>29831</v>
      </c>
      <c r="O29" s="128">
        <f t="shared" si="3"/>
        <v>2058339</v>
      </c>
      <c r="P29" s="125" t="s">
        <v>657</v>
      </c>
      <c r="Q29" s="85" t="s">
        <v>47</v>
      </c>
      <c r="R29" s="214" t="s">
        <v>1869</v>
      </c>
      <c r="S29" s="214" t="s">
        <v>1861</v>
      </c>
      <c r="T29" s="85" t="s">
        <v>1491</v>
      </c>
      <c r="U29" t="s">
        <v>1953</v>
      </c>
      <c r="V29" t="s">
        <v>2813</v>
      </c>
    </row>
    <row r="30" spans="1:22" ht="15.75" thickBot="1" x14ac:dyDescent="0.3">
      <c r="A30" s="82" t="s">
        <v>3473</v>
      </c>
      <c r="B30" s="82" t="str">
        <f t="shared" si="0"/>
        <v>Barraqueiro Transportes, S.A.</v>
      </c>
      <c r="C30" s="82" t="str">
        <f t="shared" si="1"/>
        <v>Barraqueiro Oeste</v>
      </c>
      <c r="D30" s="83" t="s">
        <v>629</v>
      </c>
      <c r="E30" s="91" t="s">
        <v>1853</v>
      </c>
      <c r="F30" s="124" t="s">
        <v>620</v>
      </c>
      <c r="G30" s="304">
        <v>2010</v>
      </c>
      <c r="H30" s="312" t="s">
        <v>734</v>
      </c>
      <c r="I30" s="307" t="str">
        <f t="shared" si="2"/>
        <v>Pesado de Passageiros M3: III : Gasóleo : E5</v>
      </c>
      <c r="J30" s="125">
        <v>71</v>
      </c>
      <c r="K30" s="125">
        <v>2022</v>
      </c>
      <c r="L30" s="85">
        <v>12834.589999999998</v>
      </c>
      <c r="M30" s="85" t="s">
        <v>630</v>
      </c>
      <c r="N30" s="128">
        <v>30290</v>
      </c>
      <c r="O30" s="128">
        <f t="shared" si="3"/>
        <v>2150590</v>
      </c>
      <c r="P30" s="125" t="s">
        <v>658</v>
      </c>
      <c r="Q30" s="85" t="s">
        <v>47</v>
      </c>
      <c r="R30" s="214" t="s">
        <v>1869</v>
      </c>
      <c r="S30" s="214" t="s">
        <v>1861</v>
      </c>
      <c r="T30" s="85" t="s">
        <v>1491</v>
      </c>
      <c r="U30" t="s">
        <v>1953</v>
      </c>
      <c r="V30" t="s">
        <v>2813</v>
      </c>
    </row>
    <row r="31" spans="1:22" ht="15.75" thickBot="1" x14ac:dyDescent="0.3">
      <c r="A31" s="82" t="s">
        <v>3473</v>
      </c>
      <c r="B31" s="82" t="str">
        <f t="shared" si="0"/>
        <v>Barraqueiro Transportes, S.A.</v>
      </c>
      <c r="C31" s="82" t="str">
        <f t="shared" si="1"/>
        <v>Barraqueiro Oeste</v>
      </c>
      <c r="D31" s="83" t="s">
        <v>629</v>
      </c>
      <c r="E31" s="91" t="s">
        <v>1853</v>
      </c>
      <c r="F31" s="124" t="s">
        <v>620</v>
      </c>
      <c r="G31" s="304">
        <v>2004</v>
      </c>
      <c r="H31" s="312" t="s">
        <v>732</v>
      </c>
      <c r="I31" s="307" t="str">
        <f t="shared" si="2"/>
        <v>Pesado de Passageiros M3: III : Gasóleo : E3</v>
      </c>
      <c r="J31" s="125">
        <v>85</v>
      </c>
      <c r="K31" s="125">
        <v>2022</v>
      </c>
      <c r="L31" s="85">
        <v>15010.650000000001</v>
      </c>
      <c r="M31" s="85" t="s">
        <v>630</v>
      </c>
      <c r="N31" s="128">
        <v>40333</v>
      </c>
      <c r="O31" s="128">
        <f t="shared" si="3"/>
        <v>3428305</v>
      </c>
      <c r="P31" s="125" t="s">
        <v>659</v>
      </c>
      <c r="Q31" s="85" t="s">
        <v>47</v>
      </c>
      <c r="R31" s="214" t="s">
        <v>1869</v>
      </c>
      <c r="S31" s="214" t="s">
        <v>1861</v>
      </c>
      <c r="T31" s="85" t="s">
        <v>1491</v>
      </c>
      <c r="U31" t="s">
        <v>1953</v>
      </c>
      <c r="V31" t="s">
        <v>2813</v>
      </c>
    </row>
    <row r="32" spans="1:22" ht="15.75" thickBot="1" x14ac:dyDescent="0.3">
      <c r="A32" s="82" t="s">
        <v>3473</v>
      </c>
      <c r="B32" s="82" t="str">
        <f t="shared" si="0"/>
        <v>Barraqueiro Transportes, S.A.</v>
      </c>
      <c r="C32" s="82" t="str">
        <f t="shared" si="1"/>
        <v>Barraqueiro Oeste</v>
      </c>
      <c r="D32" s="83" t="s">
        <v>629</v>
      </c>
      <c r="E32" s="91" t="s">
        <v>1853</v>
      </c>
      <c r="F32" s="124" t="s">
        <v>620</v>
      </c>
      <c r="G32" s="304">
        <v>2018</v>
      </c>
      <c r="H32" s="312" t="s">
        <v>733</v>
      </c>
      <c r="I32" s="307" t="str">
        <f t="shared" si="2"/>
        <v>Pesado de Passageiros M3: III : Gasóleo : E6</v>
      </c>
      <c r="J32" s="125">
        <v>70</v>
      </c>
      <c r="K32" s="125">
        <v>2022</v>
      </c>
      <c r="L32" s="85">
        <v>6317.67</v>
      </c>
      <c r="M32" s="85" t="s">
        <v>630</v>
      </c>
      <c r="N32" s="128">
        <v>23290</v>
      </c>
      <c r="O32" s="128">
        <f t="shared" si="3"/>
        <v>1630300</v>
      </c>
      <c r="P32" s="125" t="s">
        <v>660</v>
      </c>
      <c r="Q32" s="85" t="s">
        <v>47</v>
      </c>
      <c r="R32" s="214" t="s">
        <v>1869</v>
      </c>
      <c r="S32" s="214" t="s">
        <v>1861</v>
      </c>
      <c r="T32" s="85" t="s">
        <v>1491</v>
      </c>
      <c r="U32" t="s">
        <v>1953</v>
      </c>
      <c r="V32" t="s">
        <v>2813</v>
      </c>
    </row>
    <row r="33" spans="1:22" ht="15.75" thickBot="1" x14ac:dyDescent="0.3">
      <c r="A33" s="82" t="s">
        <v>3473</v>
      </c>
      <c r="B33" s="82" t="str">
        <f t="shared" si="0"/>
        <v>Barraqueiro Transportes, S.A.</v>
      </c>
      <c r="C33" s="82" t="str">
        <f t="shared" si="1"/>
        <v>Barraqueiro Oeste</v>
      </c>
      <c r="D33" s="83" t="s">
        <v>629</v>
      </c>
      <c r="E33" s="91" t="s">
        <v>1853</v>
      </c>
      <c r="F33" s="124" t="s">
        <v>620</v>
      </c>
      <c r="G33" s="304">
        <v>2018</v>
      </c>
      <c r="H33" s="312" t="s">
        <v>733</v>
      </c>
      <c r="I33" s="307" t="str">
        <f t="shared" si="2"/>
        <v>Pesado de Passageiros M3: III : Gasóleo : E6</v>
      </c>
      <c r="J33" s="125">
        <v>70</v>
      </c>
      <c r="K33" s="125">
        <v>2022</v>
      </c>
      <c r="L33" s="85">
        <v>12570.37</v>
      </c>
      <c r="M33" s="85" t="s">
        <v>630</v>
      </c>
      <c r="N33" s="128">
        <v>49161</v>
      </c>
      <c r="O33" s="128">
        <f t="shared" si="3"/>
        <v>3441270</v>
      </c>
      <c r="P33" s="125" t="s">
        <v>661</v>
      </c>
      <c r="Q33" s="85" t="s">
        <v>47</v>
      </c>
      <c r="R33" s="214" t="s">
        <v>1869</v>
      </c>
      <c r="S33" s="214" t="s">
        <v>1861</v>
      </c>
      <c r="T33" s="85" t="s">
        <v>1491</v>
      </c>
      <c r="U33" t="s">
        <v>1953</v>
      </c>
      <c r="V33" t="s">
        <v>2813</v>
      </c>
    </row>
    <row r="34" spans="1:22" ht="15.75" thickBot="1" x14ac:dyDescent="0.3">
      <c r="A34" s="82" t="s">
        <v>3473</v>
      </c>
      <c r="B34" s="82" t="str">
        <f t="shared" si="0"/>
        <v>Barraqueiro Transportes, S.A.</v>
      </c>
      <c r="C34" s="82" t="str">
        <f t="shared" si="1"/>
        <v>Barraqueiro Oeste</v>
      </c>
      <c r="D34" s="83" t="s">
        <v>629</v>
      </c>
      <c r="E34" s="91" t="s">
        <v>1853</v>
      </c>
      <c r="F34" s="124" t="s">
        <v>620</v>
      </c>
      <c r="G34" s="304">
        <v>2002</v>
      </c>
      <c r="H34" s="312" t="s">
        <v>732</v>
      </c>
      <c r="I34" s="307" t="str">
        <f t="shared" si="2"/>
        <v>Pesado de Passageiros M3: III : Gasóleo : E3</v>
      </c>
      <c r="J34" s="125">
        <v>61</v>
      </c>
      <c r="K34" s="125">
        <v>2022</v>
      </c>
      <c r="L34" s="85">
        <v>24733.044000000002</v>
      </c>
      <c r="M34" s="85" t="s">
        <v>630</v>
      </c>
      <c r="N34" s="128">
        <v>64698</v>
      </c>
      <c r="O34" s="128">
        <f t="shared" si="3"/>
        <v>3946578</v>
      </c>
      <c r="P34" s="125" t="s">
        <v>662</v>
      </c>
      <c r="Q34" s="85" t="s">
        <v>47</v>
      </c>
      <c r="R34" s="214" t="s">
        <v>1869</v>
      </c>
      <c r="S34" s="214" t="s">
        <v>1861</v>
      </c>
      <c r="T34" s="85" t="s">
        <v>1491</v>
      </c>
      <c r="U34" t="s">
        <v>1953</v>
      </c>
      <c r="V34" t="s">
        <v>2813</v>
      </c>
    </row>
    <row r="35" spans="1:22" ht="15.75" thickBot="1" x14ac:dyDescent="0.3">
      <c r="A35" s="82" t="s">
        <v>3473</v>
      </c>
      <c r="B35" s="82" t="str">
        <f t="shared" si="0"/>
        <v>Barraqueiro Transportes, S.A.</v>
      </c>
      <c r="C35" s="82" t="str">
        <f t="shared" si="1"/>
        <v>Barraqueiro Oeste</v>
      </c>
      <c r="D35" s="83" t="s">
        <v>629</v>
      </c>
      <c r="E35" s="91" t="s">
        <v>1853</v>
      </c>
      <c r="F35" s="124" t="s">
        <v>620</v>
      </c>
      <c r="G35" s="304">
        <v>2002</v>
      </c>
      <c r="H35" s="312" t="s">
        <v>732</v>
      </c>
      <c r="I35" s="307" t="str">
        <f t="shared" si="2"/>
        <v>Pesado de Passageiros M3: III : Gasóleo : E3</v>
      </c>
      <c r="J35" s="125">
        <v>97</v>
      </c>
      <c r="K35" s="125">
        <v>2022</v>
      </c>
      <c r="L35" s="85">
        <v>17422.689999999999</v>
      </c>
      <c r="M35" s="85" t="s">
        <v>630</v>
      </c>
      <c r="N35" s="128">
        <v>42590</v>
      </c>
      <c r="O35" s="128">
        <f t="shared" si="3"/>
        <v>4131230</v>
      </c>
      <c r="P35" s="125" t="s">
        <v>663</v>
      </c>
      <c r="Q35" s="85" t="s">
        <v>47</v>
      </c>
      <c r="R35" s="214" t="s">
        <v>1869</v>
      </c>
      <c r="S35" s="214" t="s">
        <v>1861</v>
      </c>
      <c r="T35" s="85" t="s">
        <v>1491</v>
      </c>
      <c r="U35" t="s">
        <v>1953</v>
      </c>
      <c r="V35" t="s">
        <v>2813</v>
      </c>
    </row>
    <row r="36" spans="1:22" ht="15.75" thickBot="1" x14ac:dyDescent="0.3">
      <c r="A36" s="82" t="s">
        <v>3473</v>
      </c>
      <c r="B36" s="82" t="str">
        <f t="shared" si="0"/>
        <v>Barraqueiro Transportes, S.A.</v>
      </c>
      <c r="C36" s="82" t="str">
        <f t="shared" si="1"/>
        <v>Barraqueiro Oeste</v>
      </c>
      <c r="D36" s="83" t="s">
        <v>629</v>
      </c>
      <c r="E36" s="91" t="s">
        <v>1853</v>
      </c>
      <c r="F36" s="124" t="s">
        <v>620</v>
      </c>
      <c r="G36" s="304">
        <v>2003</v>
      </c>
      <c r="H36" s="312" t="s">
        <v>732</v>
      </c>
      <c r="I36" s="307" t="str">
        <f t="shared" si="2"/>
        <v>Pesado de Passageiros M3: III : Gasóleo : E3</v>
      </c>
      <c r="J36" s="125">
        <v>61</v>
      </c>
      <c r="K36" s="125">
        <v>2022</v>
      </c>
      <c r="L36" s="85">
        <v>18439.486999999997</v>
      </c>
      <c r="M36" s="85" t="s">
        <v>630</v>
      </c>
      <c r="N36" s="128">
        <v>46822</v>
      </c>
      <c r="O36" s="128">
        <f t="shared" si="3"/>
        <v>2856142</v>
      </c>
      <c r="P36" s="125" t="s">
        <v>664</v>
      </c>
      <c r="Q36" s="85" t="s">
        <v>47</v>
      </c>
      <c r="R36" s="214" t="s">
        <v>1869</v>
      </c>
      <c r="S36" s="214" t="s">
        <v>1861</v>
      </c>
      <c r="T36" s="85" t="s">
        <v>1491</v>
      </c>
      <c r="U36" t="s">
        <v>1953</v>
      </c>
      <c r="V36" t="s">
        <v>2813</v>
      </c>
    </row>
    <row r="37" spans="1:22" ht="15.75" thickBot="1" x14ac:dyDescent="0.3">
      <c r="A37" s="82" t="s">
        <v>3473</v>
      </c>
      <c r="B37" s="82" t="str">
        <f t="shared" si="0"/>
        <v>Barraqueiro Transportes, S.A.</v>
      </c>
      <c r="C37" s="82" t="str">
        <f t="shared" si="1"/>
        <v>Barraqueiro Oeste</v>
      </c>
      <c r="D37" s="83" t="s">
        <v>629</v>
      </c>
      <c r="E37" s="91" t="s">
        <v>1853</v>
      </c>
      <c r="F37" s="124" t="s">
        <v>620</v>
      </c>
      <c r="G37" s="304">
        <v>2001</v>
      </c>
      <c r="H37" s="312" t="s">
        <v>732</v>
      </c>
      <c r="I37" s="307" t="str">
        <f t="shared" si="2"/>
        <v>Pesado de Passageiros M3: III : Gasóleo : E3</v>
      </c>
      <c r="J37" s="125">
        <v>55</v>
      </c>
      <c r="K37" s="125">
        <v>2022</v>
      </c>
      <c r="L37" s="85">
        <v>19433.650000000001</v>
      </c>
      <c r="M37" s="85" t="s">
        <v>630</v>
      </c>
      <c r="N37" s="128">
        <v>50928</v>
      </c>
      <c r="O37" s="128">
        <f t="shared" si="3"/>
        <v>2801040</v>
      </c>
      <c r="P37" s="125" t="s">
        <v>665</v>
      </c>
      <c r="Q37" s="85" t="s">
        <v>47</v>
      </c>
      <c r="R37" s="214" t="s">
        <v>1869</v>
      </c>
      <c r="S37" s="214" t="s">
        <v>1861</v>
      </c>
      <c r="T37" s="85" t="s">
        <v>1491</v>
      </c>
      <c r="U37" t="s">
        <v>1953</v>
      </c>
      <c r="V37" t="s">
        <v>2813</v>
      </c>
    </row>
    <row r="38" spans="1:22" ht="15.75" thickBot="1" x14ac:dyDescent="0.3">
      <c r="A38" s="82" t="s">
        <v>3473</v>
      </c>
      <c r="B38" s="82" t="str">
        <f t="shared" si="0"/>
        <v>Barraqueiro Transportes, S.A.</v>
      </c>
      <c r="C38" s="82" t="str">
        <f t="shared" si="1"/>
        <v>Barraqueiro Oeste</v>
      </c>
      <c r="D38" s="83" t="s">
        <v>629</v>
      </c>
      <c r="E38" s="91" t="s">
        <v>1853</v>
      </c>
      <c r="F38" s="124" t="s">
        <v>620</v>
      </c>
      <c r="G38" s="304">
        <v>2001</v>
      </c>
      <c r="H38" s="312" t="s">
        <v>732</v>
      </c>
      <c r="I38" s="307" t="str">
        <f t="shared" si="2"/>
        <v>Pesado de Passageiros M3: III : Gasóleo : E3</v>
      </c>
      <c r="J38" s="125">
        <v>55</v>
      </c>
      <c r="K38" s="125">
        <v>2022</v>
      </c>
      <c r="L38" s="85">
        <v>17230.740000000002</v>
      </c>
      <c r="M38" s="85" t="s">
        <v>630</v>
      </c>
      <c r="N38" s="128">
        <v>49094</v>
      </c>
      <c r="O38" s="128">
        <f t="shared" si="3"/>
        <v>2700170</v>
      </c>
      <c r="P38" s="125" t="s">
        <v>666</v>
      </c>
      <c r="Q38" s="85" t="s">
        <v>47</v>
      </c>
      <c r="R38" s="214" t="s">
        <v>1869</v>
      </c>
      <c r="S38" s="214" t="s">
        <v>1861</v>
      </c>
      <c r="T38" s="85" t="s">
        <v>1491</v>
      </c>
      <c r="U38" t="s">
        <v>1953</v>
      </c>
      <c r="V38" t="s">
        <v>2813</v>
      </c>
    </row>
    <row r="39" spans="1:22" ht="15.75" thickBot="1" x14ac:dyDescent="0.3">
      <c r="A39" s="82" t="s">
        <v>3473</v>
      </c>
      <c r="B39" s="82" t="str">
        <f t="shared" si="0"/>
        <v>Barraqueiro Transportes, S.A.</v>
      </c>
      <c r="C39" s="82" t="str">
        <f t="shared" si="1"/>
        <v>Barraqueiro Oeste</v>
      </c>
      <c r="D39" s="83" t="s">
        <v>629</v>
      </c>
      <c r="E39" s="91" t="s">
        <v>1853</v>
      </c>
      <c r="F39" s="124" t="s">
        <v>620</v>
      </c>
      <c r="G39" s="304">
        <v>2001</v>
      </c>
      <c r="H39" s="312" t="s">
        <v>732</v>
      </c>
      <c r="I39" s="307" t="str">
        <f t="shared" si="2"/>
        <v>Pesado de Passageiros M3: III : Gasóleo : E3</v>
      </c>
      <c r="J39" s="125">
        <v>55</v>
      </c>
      <c r="K39" s="125">
        <v>2022</v>
      </c>
      <c r="L39" s="85">
        <v>19127.960000000003</v>
      </c>
      <c r="M39" s="85" t="s">
        <v>630</v>
      </c>
      <c r="N39" s="128">
        <v>50001</v>
      </c>
      <c r="O39" s="128">
        <f t="shared" si="3"/>
        <v>2750055</v>
      </c>
      <c r="P39" s="125" t="s">
        <v>667</v>
      </c>
      <c r="Q39" s="85" t="s">
        <v>47</v>
      </c>
      <c r="R39" s="214" t="s">
        <v>1869</v>
      </c>
      <c r="S39" s="214" t="s">
        <v>1861</v>
      </c>
      <c r="T39" s="85" t="s">
        <v>1491</v>
      </c>
      <c r="U39" t="s">
        <v>1953</v>
      </c>
      <c r="V39" t="s">
        <v>2813</v>
      </c>
    </row>
    <row r="40" spans="1:22" ht="15.75" thickBot="1" x14ac:dyDescent="0.3">
      <c r="A40" s="82" t="s">
        <v>3473</v>
      </c>
      <c r="B40" s="82" t="str">
        <f t="shared" si="0"/>
        <v>Barraqueiro Transportes, S.A.</v>
      </c>
      <c r="C40" s="82" t="str">
        <f t="shared" si="1"/>
        <v>Barraqueiro Oeste</v>
      </c>
      <c r="D40" s="83" t="s">
        <v>629</v>
      </c>
      <c r="E40" s="91" t="s">
        <v>1853</v>
      </c>
      <c r="F40" s="124" t="s">
        <v>620</v>
      </c>
      <c r="G40" s="304">
        <v>2004</v>
      </c>
      <c r="H40" s="312" t="s">
        <v>732</v>
      </c>
      <c r="I40" s="307" t="str">
        <f t="shared" si="2"/>
        <v>Pesado de Passageiros M3: III : Gasóleo : E3</v>
      </c>
      <c r="J40" s="125">
        <v>51</v>
      </c>
      <c r="K40" s="125">
        <v>2022</v>
      </c>
      <c r="L40" s="85">
        <v>17495.109999999997</v>
      </c>
      <c r="M40" s="85" t="s">
        <v>630</v>
      </c>
      <c r="N40" s="128">
        <v>45470</v>
      </c>
      <c r="O40" s="128">
        <f t="shared" si="3"/>
        <v>2318970</v>
      </c>
      <c r="P40" s="125" t="s">
        <v>668</v>
      </c>
      <c r="Q40" s="85" t="s">
        <v>47</v>
      </c>
      <c r="R40" s="214" t="s">
        <v>1869</v>
      </c>
      <c r="S40" s="214" t="s">
        <v>1861</v>
      </c>
      <c r="T40" s="85" t="s">
        <v>1491</v>
      </c>
      <c r="U40" t="s">
        <v>1953</v>
      </c>
      <c r="V40" t="s">
        <v>2813</v>
      </c>
    </row>
    <row r="41" spans="1:22" ht="15.75" thickBot="1" x14ac:dyDescent="0.3">
      <c r="A41" s="82" t="s">
        <v>3473</v>
      </c>
      <c r="B41" s="82" t="str">
        <f t="shared" si="0"/>
        <v>Barraqueiro Transportes, S.A.</v>
      </c>
      <c r="C41" s="82" t="str">
        <f t="shared" si="1"/>
        <v>Barraqueiro Oeste</v>
      </c>
      <c r="D41" s="83" t="s">
        <v>629</v>
      </c>
      <c r="E41" s="91" t="s">
        <v>1853</v>
      </c>
      <c r="F41" s="124" t="s">
        <v>620</v>
      </c>
      <c r="G41" s="304">
        <v>2001</v>
      </c>
      <c r="H41" s="312" t="s">
        <v>732</v>
      </c>
      <c r="I41" s="307" t="str">
        <f t="shared" si="2"/>
        <v>Pesado de Passageiros M3: III : Gasóleo : E3</v>
      </c>
      <c r="J41" s="125">
        <v>70</v>
      </c>
      <c r="K41" s="125">
        <v>2022</v>
      </c>
      <c r="L41" s="85">
        <v>10261.650000000001</v>
      </c>
      <c r="M41" s="85" t="s">
        <v>630</v>
      </c>
      <c r="N41" s="128">
        <v>23865</v>
      </c>
      <c r="O41" s="128">
        <f t="shared" si="3"/>
        <v>1670550</v>
      </c>
      <c r="P41" s="125" t="s">
        <v>669</v>
      </c>
      <c r="Q41" s="85" t="s">
        <v>47</v>
      </c>
      <c r="R41" s="214" t="s">
        <v>1869</v>
      </c>
      <c r="S41" s="214" t="s">
        <v>1861</v>
      </c>
      <c r="T41" s="85" t="s">
        <v>1491</v>
      </c>
      <c r="U41" t="s">
        <v>1953</v>
      </c>
      <c r="V41" t="s">
        <v>2813</v>
      </c>
    </row>
    <row r="42" spans="1:22" ht="15.75" thickBot="1" x14ac:dyDescent="0.3">
      <c r="A42" s="82" t="s">
        <v>3473</v>
      </c>
      <c r="B42" s="82" t="str">
        <f t="shared" si="0"/>
        <v>Barraqueiro Transportes, S.A.</v>
      </c>
      <c r="C42" s="82" t="str">
        <f t="shared" si="1"/>
        <v>Barraqueiro Oeste</v>
      </c>
      <c r="D42" s="83" t="s">
        <v>629</v>
      </c>
      <c r="E42" s="91" t="s">
        <v>1853</v>
      </c>
      <c r="F42" s="124" t="s">
        <v>620</v>
      </c>
      <c r="G42" s="304">
        <v>2002</v>
      </c>
      <c r="H42" s="312" t="s">
        <v>732</v>
      </c>
      <c r="I42" s="307" t="str">
        <f t="shared" si="2"/>
        <v>Pesado de Passageiros M3: III : Gasóleo : E3</v>
      </c>
      <c r="J42" s="125">
        <v>68</v>
      </c>
      <c r="K42" s="125">
        <v>2022</v>
      </c>
      <c r="L42" s="85">
        <v>13492.449999999999</v>
      </c>
      <c r="M42" s="85" t="s">
        <v>630</v>
      </c>
      <c r="N42" s="128">
        <v>38002</v>
      </c>
      <c r="O42" s="128">
        <f t="shared" si="3"/>
        <v>2584136</v>
      </c>
      <c r="P42" s="125" t="s">
        <v>670</v>
      </c>
      <c r="Q42" s="85" t="s">
        <v>47</v>
      </c>
      <c r="R42" s="214" t="s">
        <v>1869</v>
      </c>
      <c r="S42" s="214" t="s">
        <v>1861</v>
      </c>
      <c r="T42" s="85" t="s">
        <v>1491</v>
      </c>
      <c r="U42" t="s">
        <v>1953</v>
      </c>
      <c r="V42" t="s">
        <v>2813</v>
      </c>
    </row>
    <row r="43" spans="1:22" ht="15.75" thickBot="1" x14ac:dyDescent="0.3">
      <c r="A43" s="82" t="s">
        <v>3473</v>
      </c>
      <c r="B43" s="82" t="str">
        <f t="shared" si="0"/>
        <v>Barraqueiro Transportes, S.A.</v>
      </c>
      <c r="C43" s="82" t="str">
        <f t="shared" si="1"/>
        <v>Barraqueiro Oeste</v>
      </c>
      <c r="D43" s="83" t="s">
        <v>629</v>
      </c>
      <c r="E43" s="91" t="s">
        <v>1853</v>
      </c>
      <c r="F43" s="124" t="s">
        <v>620</v>
      </c>
      <c r="G43" s="304">
        <v>2002</v>
      </c>
      <c r="H43" s="312" t="s">
        <v>732</v>
      </c>
      <c r="I43" s="307" t="str">
        <f t="shared" si="2"/>
        <v>Pesado de Passageiros M3: III : Gasóleo : E3</v>
      </c>
      <c r="J43" s="125">
        <v>68</v>
      </c>
      <c r="K43" s="125">
        <v>2022</v>
      </c>
      <c r="L43" s="85">
        <v>9886.1200000000008</v>
      </c>
      <c r="M43" s="85" t="s">
        <v>630</v>
      </c>
      <c r="N43" s="128">
        <v>28692</v>
      </c>
      <c r="O43" s="128">
        <f t="shared" si="3"/>
        <v>1951056</v>
      </c>
      <c r="P43" s="125" t="s">
        <v>671</v>
      </c>
      <c r="Q43" s="85" t="s">
        <v>47</v>
      </c>
      <c r="R43" s="214" t="s">
        <v>1869</v>
      </c>
      <c r="S43" s="214" t="s">
        <v>1861</v>
      </c>
      <c r="T43" s="85" t="s">
        <v>1491</v>
      </c>
      <c r="U43" t="s">
        <v>1953</v>
      </c>
      <c r="V43" t="s">
        <v>2813</v>
      </c>
    </row>
    <row r="44" spans="1:22" ht="15.75" thickBot="1" x14ac:dyDescent="0.3">
      <c r="A44" s="82" t="s">
        <v>3473</v>
      </c>
      <c r="B44" s="82" t="str">
        <f t="shared" si="0"/>
        <v>Barraqueiro Transportes, S.A.</v>
      </c>
      <c r="C44" s="82" t="str">
        <f t="shared" si="1"/>
        <v>Barraqueiro Oeste</v>
      </c>
      <c r="D44" s="83" t="s">
        <v>629</v>
      </c>
      <c r="E44" s="91" t="s">
        <v>1853</v>
      </c>
      <c r="F44" s="124" t="s">
        <v>620</v>
      </c>
      <c r="G44" s="304">
        <v>2003</v>
      </c>
      <c r="H44" s="312" t="s">
        <v>732</v>
      </c>
      <c r="I44" s="307" t="str">
        <f t="shared" si="2"/>
        <v>Pesado de Passageiros M3: III : Gasóleo : E3</v>
      </c>
      <c r="J44" s="125">
        <v>61</v>
      </c>
      <c r="K44" s="125">
        <v>2022</v>
      </c>
      <c r="L44" s="85">
        <v>29268.473999999998</v>
      </c>
      <c r="M44" s="85" t="s">
        <v>630</v>
      </c>
      <c r="N44" s="128">
        <v>76932</v>
      </c>
      <c r="O44" s="128">
        <f t="shared" si="3"/>
        <v>4692852</v>
      </c>
      <c r="P44" s="125" t="s">
        <v>672</v>
      </c>
      <c r="Q44" s="85" t="s">
        <v>47</v>
      </c>
      <c r="R44" s="214" t="s">
        <v>1869</v>
      </c>
      <c r="S44" s="214" t="s">
        <v>1861</v>
      </c>
      <c r="T44" s="85" t="s">
        <v>1491</v>
      </c>
      <c r="U44" t="s">
        <v>1953</v>
      </c>
      <c r="V44" t="s">
        <v>2813</v>
      </c>
    </row>
    <row r="45" spans="1:22" ht="15.75" thickBot="1" x14ac:dyDescent="0.3">
      <c r="A45" s="82" t="s">
        <v>3473</v>
      </c>
      <c r="B45" s="82" t="str">
        <f t="shared" si="0"/>
        <v>Barraqueiro Transportes, S.A.</v>
      </c>
      <c r="C45" s="82" t="str">
        <f t="shared" si="1"/>
        <v>Barraqueiro Oeste</v>
      </c>
      <c r="D45" s="83" t="s">
        <v>629</v>
      </c>
      <c r="E45" s="91" t="s">
        <v>1853</v>
      </c>
      <c r="F45" s="124" t="s">
        <v>620</v>
      </c>
      <c r="G45" s="304">
        <v>2003</v>
      </c>
      <c r="H45" s="312" t="s">
        <v>732</v>
      </c>
      <c r="I45" s="307" t="str">
        <f t="shared" si="2"/>
        <v>Pesado de Passageiros M3: III : Gasóleo : E3</v>
      </c>
      <c r="J45" s="125">
        <v>59</v>
      </c>
      <c r="K45" s="125">
        <v>2022</v>
      </c>
      <c r="L45" s="85">
        <v>34753.99</v>
      </c>
      <c r="M45" s="85" t="s">
        <v>630</v>
      </c>
      <c r="N45" s="128">
        <v>83462</v>
      </c>
      <c r="O45" s="128">
        <f t="shared" si="3"/>
        <v>4924258</v>
      </c>
      <c r="P45" s="125" t="s">
        <v>673</v>
      </c>
      <c r="Q45" s="85" t="s">
        <v>47</v>
      </c>
      <c r="R45" s="214" t="s">
        <v>1869</v>
      </c>
      <c r="S45" s="214" t="s">
        <v>1861</v>
      </c>
      <c r="T45" s="85" t="s">
        <v>1491</v>
      </c>
      <c r="U45" t="s">
        <v>1953</v>
      </c>
      <c r="V45" t="s">
        <v>2813</v>
      </c>
    </row>
    <row r="46" spans="1:22" ht="15.75" thickBot="1" x14ac:dyDescent="0.3">
      <c r="A46" s="82" t="s">
        <v>3473</v>
      </c>
      <c r="B46" s="82" t="str">
        <f t="shared" si="0"/>
        <v>Barraqueiro Transportes, S.A.</v>
      </c>
      <c r="C46" s="82" t="str">
        <f t="shared" si="1"/>
        <v>Barraqueiro Oeste</v>
      </c>
      <c r="D46" s="83" t="s">
        <v>629</v>
      </c>
      <c r="E46" s="91" t="s">
        <v>1853</v>
      </c>
      <c r="F46" s="124" t="s">
        <v>620</v>
      </c>
      <c r="G46" s="304">
        <v>2007</v>
      </c>
      <c r="H46" s="312" t="s">
        <v>731</v>
      </c>
      <c r="I46" s="307" t="str">
        <f t="shared" si="2"/>
        <v>Pesado de Passageiros M3: III : Gasóleo : E4</v>
      </c>
      <c r="J46" s="125">
        <v>68</v>
      </c>
      <c r="K46" s="125">
        <v>2022</v>
      </c>
      <c r="L46" s="85">
        <v>15447.38</v>
      </c>
      <c r="M46" s="85" t="s">
        <v>630</v>
      </c>
      <c r="N46" s="128">
        <v>41960</v>
      </c>
      <c r="O46" s="128">
        <f t="shared" si="3"/>
        <v>2853280</v>
      </c>
      <c r="P46" s="125" t="s">
        <v>674</v>
      </c>
      <c r="Q46" s="85" t="s">
        <v>47</v>
      </c>
      <c r="R46" s="214" t="s">
        <v>1869</v>
      </c>
      <c r="S46" s="214" t="s">
        <v>1861</v>
      </c>
      <c r="T46" s="85" t="s">
        <v>1491</v>
      </c>
      <c r="U46" t="s">
        <v>1953</v>
      </c>
      <c r="V46" t="s">
        <v>2813</v>
      </c>
    </row>
    <row r="47" spans="1:22" ht="15.75" thickBot="1" x14ac:dyDescent="0.3">
      <c r="A47" s="82" t="s">
        <v>3473</v>
      </c>
      <c r="B47" s="82" t="str">
        <f t="shared" si="0"/>
        <v>Barraqueiro Transportes, S.A.</v>
      </c>
      <c r="C47" s="82" t="str">
        <f t="shared" si="1"/>
        <v>Barraqueiro Oeste</v>
      </c>
      <c r="D47" s="83" t="s">
        <v>629</v>
      </c>
      <c r="E47" s="91" t="s">
        <v>1853</v>
      </c>
      <c r="F47" s="124" t="s">
        <v>620</v>
      </c>
      <c r="G47" s="304">
        <v>2015</v>
      </c>
      <c r="H47" s="312" t="s">
        <v>733</v>
      </c>
      <c r="I47" s="307" t="str">
        <f t="shared" si="2"/>
        <v>Pesado de Passageiros M3: III : Gasóleo : E6</v>
      </c>
      <c r="J47" s="125">
        <v>25</v>
      </c>
      <c r="K47" s="125">
        <v>2022</v>
      </c>
      <c r="L47" s="85">
        <v>9614.17</v>
      </c>
      <c r="M47" s="85" t="s">
        <v>630</v>
      </c>
      <c r="N47" s="128">
        <v>44015</v>
      </c>
      <c r="O47" s="128">
        <f t="shared" si="3"/>
        <v>1100375</v>
      </c>
      <c r="P47" s="125" t="s">
        <v>675</v>
      </c>
      <c r="Q47" s="85" t="s">
        <v>47</v>
      </c>
      <c r="R47" s="214" t="s">
        <v>1869</v>
      </c>
      <c r="S47" s="214" t="s">
        <v>1861</v>
      </c>
      <c r="T47" s="85" t="s">
        <v>1491</v>
      </c>
      <c r="U47" t="s">
        <v>1953</v>
      </c>
      <c r="V47" t="s">
        <v>2813</v>
      </c>
    </row>
    <row r="48" spans="1:22" ht="15.75" thickBot="1" x14ac:dyDescent="0.3">
      <c r="A48" s="82" t="s">
        <v>3473</v>
      </c>
      <c r="B48" s="82" t="str">
        <f t="shared" si="0"/>
        <v>Barraqueiro Transportes, S.A.</v>
      </c>
      <c r="C48" s="82" t="str">
        <f t="shared" si="1"/>
        <v>Barraqueiro Oeste</v>
      </c>
      <c r="D48" s="83" t="s">
        <v>629</v>
      </c>
      <c r="E48" s="91" t="s">
        <v>1853</v>
      </c>
      <c r="F48" s="124" t="s">
        <v>620</v>
      </c>
      <c r="G48" s="304">
        <v>2015</v>
      </c>
      <c r="H48" s="312" t="s">
        <v>733</v>
      </c>
      <c r="I48" s="307" t="str">
        <f t="shared" si="2"/>
        <v>Pesado de Passageiros M3: III : Gasóleo : E6</v>
      </c>
      <c r="J48" s="125">
        <v>25</v>
      </c>
      <c r="K48" s="125">
        <v>2022</v>
      </c>
      <c r="L48" s="85">
        <v>6422.7999999999984</v>
      </c>
      <c r="M48" s="85" t="s">
        <v>630</v>
      </c>
      <c r="N48" s="128">
        <v>29625</v>
      </c>
      <c r="O48" s="128">
        <f t="shared" si="3"/>
        <v>740625</v>
      </c>
      <c r="P48" s="125" t="s">
        <v>676</v>
      </c>
      <c r="Q48" s="85" t="s">
        <v>47</v>
      </c>
      <c r="R48" s="214" t="s">
        <v>1869</v>
      </c>
      <c r="S48" s="214" t="s">
        <v>1861</v>
      </c>
      <c r="T48" s="85" t="s">
        <v>1491</v>
      </c>
      <c r="U48" t="s">
        <v>1953</v>
      </c>
      <c r="V48" t="s">
        <v>2813</v>
      </c>
    </row>
    <row r="49" spans="1:22" ht="15.75" thickBot="1" x14ac:dyDescent="0.3">
      <c r="A49" s="82" t="s">
        <v>3473</v>
      </c>
      <c r="B49" s="82" t="str">
        <f t="shared" si="0"/>
        <v>Barraqueiro Transportes, S.A.</v>
      </c>
      <c r="C49" s="82" t="str">
        <f t="shared" si="1"/>
        <v>Barraqueiro Oeste</v>
      </c>
      <c r="D49" s="83" t="s">
        <v>629</v>
      </c>
      <c r="E49" s="91" t="s">
        <v>1853</v>
      </c>
      <c r="F49" s="124" t="s">
        <v>620</v>
      </c>
      <c r="G49" s="304">
        <v>2005</v>
      </c>
      <c r="H49" s="312" t="s">
        <v>732</v>
      </c>
      <c r="I49" s="307" t="str">
        <f t="shared" si="2"/>
        <v>Pesado de Passageiros M3: III : Gasóleo : E3</v>
      </c>
      <c r="J49" s="125">
        <v>66</v>
      </c>
      <c r="K49" s="125">
        <v>2022</v>
      </c>
      <c r="L49" s="85">
        <v>28432.09</v>
      </c>
      <c r="M49" s="85" t="s">
        <v>630</v>
      </c>
      <c r="N49" s="128">
        <v>78695</v>
      </c>
      <c r="O49" s="128">
        <f t="shared" si="3"/>
        <v>5193870</v>
      </c>
      <c r="P49" s="125" t="s">
        <v>677</v>
      </c>
      <c r="Q49" s="85" t="s">
        <v>47</v>
      </c>
      <c r="R49" s="214" t="s">
        <v>1869</v>
      </c>
      <c r="S49" s="214" t="s">
        <v>1861</v>
      </c>
      <c r="T49" s="85" t="s">
        <v>1491</v>
      </c>
      <c r="U49" t="s">
        <v>1953</v>
      </c>
      <c r="V49" t="s">
        <v>2813</v>
      </c>
    </row>
    <row r="50" spans="1:22" ht="15.75" thickBot="1" x14ac:dyDescent="0.3">
      <c r="A50" s="82" t="s">
        <v>3473</v>
      </c>
      <c r="B50" s="82" t="str">
        <f t="shared" si="0"/>
        <v>Barraqueiro Transportes, S.A.</v>
      </c>
      <c r="C50" s="82" t="str">
        <f t="shared" si="1"/>
        <v>Barraqueiro Oeste</v>
      </c>
      <c r="D50" s="83" t="s">
        <v>629</v>
      </c>
      <c r="E50" s="91" t="s">
        <v>1853</v>
      </c>
      <c r="F50" s="124" t="s">
        <v>620</v>
      </c>
      <c r="G50" s="304">
        <v>2003</v>
      </c>
      <c r="H50" s="312" t="s">
        <v>732</v>
      </c>
      <c r="I50" s="307" t="str">
        <f t="shared" si="2"/>
        <v>Pesado de Passageiros M3: III : Gasóleo : E3</v>
      </c>
      <c r="J50" s="125">
        <v>97</v>
      </c>
      <c r="K50" s="125">
        <v>2022</v>
      </c>
      <c r="L50" s="85">
        <v>15215.309999999998</v>
      </c>
      <c r="M50" s="85" t="s">
        <v>630</v>
      </c>
      <c r="N50" s="128">
        <v>41422</v>
      </c>
      <c r="O50" s="128">
        <f t="shared" si="3"/>
        <v>4017934</v>
      </c>
      <c r="P50" s="125" t="s">
        <v>678</v>
      </c>
      <c r="Q50" s="85" t="s">
        <v>47</v>
      </c>
      <c r="R50" s="214" t="s">
        <v>1869</v>
      </c>
      <c r="S50" s="214" t="s">
        <v>1861</v>
      </c>
      <c r="T50" s="85" t="s">
        <v>1491</v>
      </c>
      <c r="U50" t="s">
        <v>1953</v>
      </c>
      <c r="V50" t="s">
        <v>2813</v>
      </c>
    </row>
    <row r="51" spans="1:22" ht="15.75" thickBot="1" x14ac:dyDescent="0.3">
      <c r="A51" s="82" t="s">
        <v>3473</v>
      </c>
      <c r="B51" s="82" t="str">
        <f t="shared" si="0"/>
        <v>Barraqueiro Transportes, S.A.</v>
      </c>
      <c r="C51" s="82" t="str">
        <f t="shared" si="1"/>
        <v>Barraqueiro Oeste</v>
      </c>
      <c r="D51" s="83" t="s">
        <v>629</v>
      </c>
      <c r="E51" s="91" t="s">
        <v>1853</v>
      </c>
      <c r="F51" s="124" t="s">
        <v>620</v>
      </c>
      <c r="G51" s="304">
        <v>2003</v>
      </c>
      <c r="H51" s="312" t="s">
        <v>732</v>
      </c>
      <c r="I51" s="307" t="str">
        <f t="shared" si="2"/>
        <v>Pesado de Passageiros M3: III : Gasóleo : E3</v>
      </c>
      <c r="J51" s="125">
        <v>63</v>
      </c>
      <c r="K51" s="125">
        <v>2022</v>
      </c>
      <c r="L51" s="85">
        <v>15494.14</v>
      </c>
      <c r="M51" s="85" t="s">
        <v>630</v>
      </c>
      <c r="N51" s="128">
        <v>39510</v>
      </c>
      <c r="O51" s="128">
        <f t="shared" si="3"/>
        <v>2489130</v>
      </c>
      <c r="P51" s="125" t="s">
        <v>679</v>
      </c>
      <c r="Q51" s="85" t="s">
        <v>47</v>
      </c>
      <c r="R51" s="214" t="s">
        <v>1869</v>
      </c>
      <c r="S51" s="214" t="s">
        <v>1861</v>
      </c>
      <c r="T51" s="85" t="s">
        <v>1491</v>
      </c>
      <c r="U51" t="s">
        <v>1953</v>
      </c>
      <c r="V51" t="s">
        <v>2813</v>
      </c>
    </row>
    <row r="52" spans="1:22" ht="15.75" thickBot="1" x14ac:dyDescent="0.3">
      <c r="A52" s="82" t="s">
        <v>3473</v>
      </c>
      <c r="B52" s="82" t="str">
        <f t="shared" si="0"/>
        <v>Barraqueiro Transportes, S.A.</v>
      </c>
      <c r="C52" s="82" t="str">
        <f t="shared" si="1"/>
        <v>Barraqueiro Oeste</v>
      </c>
      <c r="D52" s="83" t="s">
        <v>629</v>
      </c>
      <c r="E52" s="91" t="s">
        <v>1853</v>
      </c>
      <c r="F52" s="124" t="s">
        <v>620</v>
      </c>
      <c r="G52" s="304">
        <v>2003</v>
      </c>
      <c r="H52" s="312" t="s">
        <v>732</v>
      </c>
      <c r="I52" s="307" t="str">
        <f t="shared" si="2"/>
        <v>Pesado de Passageiros M3: III : Gasóleo : E3</v>
      </c>
      <c r="J52" s="125">
        <v>63</v>
      </c>
      <c r="K52" s="125">
        <v>2022</v>
      </c>
      <c r="L52" s="85">
        <v>14141.160000000002</v>
      </c>
      <c r="M52" s="85" t="s">
        <v>630</v>
      </c>
      <c r="N52" s="128">
        <v>35956</v>
      </c>
      <c r="O52" s="128">
        <f t="shared" si="3"/>
        <v>2265228</v>
      </c>
      <c r="P52" s="125" t="s">
        <v>680</v>
      </c>
      <c r="Q52" s="85" t="s">
        <v>47</v>
      </c>
      <c r="R52" s="214" t="s">
        <v>1869</v>
      </c>
      <c r="S52" s="214" t="s">
        <v>1861</v>
      </c>
      <c r="T52" s="85" t="s">
        <v>1491</v>
      </c>
      <c r="U52" t="s">
        <v>1953</v>
      </c>
      <c r="V52" t="s">
        <v>2813</v>
      </c>
    </row>
    <row r="53" spans="1:22" ht="15.75" thickBot="1" x14ac:dyDescent="0.3">
      <c r="A53" s="82" t="s">
        <v>3473</v>
      </c>
      <c r="B53" s="82" t="str">
        <f t="shared" si="0"/>
        <v>Barraqueiro Transportes, S.A.</v>
      </c>
      <c r="C53" s="82" t="str">
        <f t="shared" si="1"/>
        <v>Barraqueiro Oeste</v>
      </c>
      <c r="D53" s="83" t="s">
        <v>629</v>
      </c>
      <c r="E53" s="91" t="s">
        <v>1853</v>
      </c>
      <c r="F53" s="124" t="s">
        <v>620</v>
      </c>
      <c r="G53" s="304">
        <v>2000</v>
      </c>
      <c r="H53" s="312" t="s">
        <v>735</v>
      </c>
      <c r="I53" s="307" t="str">
        <f t="shared" si="2"/>
        <v>Pesado de Passageiros M3: III : Gasóleo : E2</v>
      </c>
      <c r="J53" s="125">
        <v>75</v>
      </c>
      <c r="K53" s="125">
        <v>2022</v>
      </c>
      <c r="L53" s="85">
        <v>12649.509999999998</v>
      </c>
      <c r="M53" s="85" t="s">
        <v>630</v>
      </c>
      <c r="N53" s="128">
        <v>35442</v>
      </c>
      <c r="O53" s="128">
        <f t="shared" si="3"/>
        <v>2658150</v>
      </c>
      <c r="P53" s="125" t="s">
        <v>681</v>
      </c>
      <c r="Q53" s="85" t="s">
        <v>47</v>
      </c>
      <c r="R53" s="214" t="s">
        <v>1869</v>
      </c>
      <c r="S53" s="214" t="s">
        <v>1861</v>
      </c>
      <c r="T53" s="85" t="s">
        <v>1491</v>
      </c>
      <c r="U53" t="s">
        <v>1953</v>
      </c>
      <c r="V53" t="s">
        <v>2813</v>
      </c>
    </row>
    <row r="54" spans="1:22" ht="15.75" thickBot="1" x14ac:dyDescent="0.3">
      <c r="A54" s="82" t="s">
        <v>3473</v>
      </c>
      <c r="B54" s="82" t="str">
        <f t="shared" si="0"/>
        <v>Barraqueiro Transportes, S.A.</v>
      </c>
      <c r="C54" s="82" t="str">
        <f t="shared" si="1"/>
        <v>Barraqueiro Oeste</v>
      </c>
      <c r="D54" s="83" t="s">
        <v>629</v>
      </c>
      <c r="E54" s="91" t="s">
        <v>1853</v>
      </c>
      <c r="F54" s="124" t="s">
        <v>620</v>
      </c>
      <c r="G54" s="304">
        <v>1999</v>
      </c>
      <c r="H54" s="312" t="s">
        <v>736</v>
      </c>
      <c r="I54" s="307" t="str">
        <f t="shared" si="2"/>
        <v>Pesado de Passageiros M3: III : Gasóleo : E1</v>
      </c>
      <c r="J54" s="125">
        <v>51</v>
      </c>
      <c r="K54" s="125">
        <v>2022</v>
      </c>
      <c r="L54" s="85">
        <v>12549.099999999999</v>
      </c>
      <c r="M54" s="85" t="s">
        <v>630</v>
      </c>
      <c r="N54" s="128">
        <v>33665</v>
      </c>
      <c r="O54" s="128">
        <f t="shared" si="3"/>
        <v>1716915</v>
      </c>
      <c r="P54" s="125" t="s">
        <v>682</v>
      </c>
      <c r="Q54" s="85" t="s">
        <v>47</v>
      </c>
      <c r="R54" s="214" t="s">
        <v>1869</v>
      </c>
      <c r="S54" s="214" t="s">
        <v>1861</v>
      </c>
      <c r="T54" s="85" t="s">
        <v>1491</v>
      </c>
      <c r="U54" t="s">
        <v>1953</v>
      </c>
      <c r="V54" t="s">
        <v>2813</v>
      </c>
    </row>
    <row r="55" spans="1:22" ht="15.75" thickBot="1" x14ac:dyDescent="0.3">
      <c r="A55" s="82" t="s">
        <v>3473</v>
      </c>
      <c r="B55" s="82" t="str">
        <f t="shared" si="0"/>
        <v>Barraqueiro Transportes, S.A.</v>
      </c>
      <c r="C55" s="82" t="str">
        <f t="shared" si="1"/>
        <v>Barraqueiro Oeste</v>
      </c>
      <c r="D55" s="83" t="s">
        <v>629</v>
      </c>
      <c r="E55" s="91" t="s">
        <v>1853</v>
      </c>
      <c r="F55" s="124" t="s">
        <v>620</v>
      </c>
      <c r="G55" s="304">
        <v>2003</v>
      </c>
      <c r="H55" s="312" t="s">
        <v>732</v>
      </c>
      <c r="I55" s="307" t="str">
        <f t="shared" si="2"/>
        <v>Pesado de Passageiros M3: III : Gasóleo : E3</v>
      </c>
      <c r="J55" s="125">
        <v>63</v>
      </c>
      <c r="K55" s="125">
        <v>2022</v>
      </c>
      <c r="L55" s="85">
        <v>14179.469999999998</v>
      </c>
      <c r="M55" s="85" t="s">
        <v>630</v>
      </c>
      <c r="N55" s="128">
        <v>35031</v>
      </c>
      <c r="O55" s="128">
        <f t="shared" si="3"/>
        <v>2206953</v>
      </c>
      <c r="P55" s="125" t="s">
        <v>683</v>
      </c>
      <c r="Q55" s="85" t="s">
        <v>47</v>
      </c>
      <c r="R55" s="214" t="s">
        <v>1869</v>
      </c>
      <c r="S55" s="214" t="s">
        <v>1861</v>
      </c>
      <c r="T55" s="85" t="s">
        <v>1491</v>
      </c>
      <c r="U55" t="s">
        <v>1953</v>
      </c>
      <c r="V55" t="s">
        <v>2813</v>
      </c>
    </row>
    <row r="56" spans="1:22" ht="15.75" thickBot="1" x14ac:dyDescent="0.3">
      <c r="A56" s="82" t="s">
        <v>3473</v>
      </c>
      <c r="B56" s="82" t="str">
        <f t="shared" si="0"/>
        <v>Barraqueiro Transportes, S.A.</v>
      </c>
      <c r="C56" s="82" t="str">
        <f t="shared" si="1"/>
        <v>Barraqueiro Oeste</v>
      </c>
      <c r="D56" s="83" t="s">
        <v>629</v>
      </c>
      <c r="E56" s="91" t="s">
        <v>1853</v>
      </c>
      <c r="F56" s="124" t="s">
        <v>620</v>
      </c>
      <c r="G56" s="304">
        <v>2003</v>
      </c>
      <c r="H56" s="312" t="s">
        <v>732</v>
      </c>
      <c r="I56" s="307" t="str">
        <f t="shared" si="2"/>
        <v>Pesado de Passageiros M3: III : Gasóleo : E3</v>
      </c>
      <c r="J56" s="125">
        <v>63</v>
      </c>
      <c r="K56" s="125">
        <v>2022</v>
      </c>
      <c r="L56" s="85">
        <v>13415.009999999998</v>
      </c>
      <c r="M56" s="85" t="s">
        <v>630</v>
      </c>
      <c r="N56" s="128">
        <v>35198</v>
      </c>
      <c r="O56" s="128">
        <f t="shared" si="3"/>
        <v>2217474</v>
      </c>
      <c r="P56" s="125" t="s">
        <v>684</v>
      </c>
      <c r="Q56" s="85" t="s">
        <v>47</v>
      </c>
      <c r="R56" s="214" t="s">
        <v>1869</v>
      </c>
      <c r="S56" s="214" t="s">
        <v>1861</v>
      </c>
      <c r="T56" s="85" t="s">
        <v>1491</v>
      </c>
      <c r="U56" t="s">
        <v>1953</v>
      </c>
      <c r="V56" t="s">
        <v>2813</v>
      </c>
    </row>
    <row r="57" spans="1:22" ht="15.75" thickBot="1" x14ac:dyDescent="0.3">
      <c r="A57" s="82" t="s">
        <v>3473</v>
      </c>
      <c r="B57" s="82" t="str">
        <f t="shared" si="0"/>
        <v>Barraqueiro Transportes, S.A.</v>
      </c>
      <c r="C57" s="82" t="str">
        <f t="shared" si="1"/>
        <v>Barraqueiro Oeste</v>
      </c>
      <c r="D57" s="83" t="s">
        <v>629</v>
      </c>
      <c r="E57" s="91" t="s">
        <v>1853</v>
      </c>
      <c r="F57" s="124" t="s">
        <v>620</v>
      </c>
      <c r="G57" s="304">
        <v>2003</v>
      </c>
      <c r="H57" s="312" t="s">
        <v>732</v>
      </c>
      <c r="I57" s="307" t="str">
        <f t="shared" si="2"/>
        <v>Pesado de Passageiros M3: III : Gasóleo : E3</v>
      </c>
      <c r="J57" s="125">
        <v>63</v>
      </c>
      <c r="K57" s="125">
        <v>2022</v>
      </c>
      <c r="L57" s="85">
        <v>20117.580000000002</v>
      </c>
      <c r="M57" s="85" t="s">
        <v>630</v>
      </c>
      <c r="N57" s="128">
        <v>50006</v>
      </c>
      <c r="O57" s="128">
        <f t="shared" si="3"/>
        <v>3150378</v>
      </c>
      <c r="P57" s="125" t="s">
        <v>685</v>
      </c>
      <c r="Q57" s="85" t="s">
        <v>47</v>
      </c>
      <c r="R57" s="214" t="s">
        <v>1869</v>
      </c>
      <c r="S57" s="214" t="s">
        <v>1861</v>
      </c>
      <c r="T57" s="85" t="s">
        <v>1491</v>
      </c>
      <c r="U57" t="s">
        <v>1953</v>
      </c>
      <c r="V57" t="s">
        <v>2813</v>
      </c>
    </row>
    <row r="58" spans="1:22" ht="15.75" thickBot="1" x14ac:dyDescent="0.3">
      <c r="A58" s="82" t="s">
        <v>3473</v>
      </c>
      <c r="B58" s="82" t="str">
        <f t="shared" si="0"/>
        <v>Barraqueiro Transportes, S.A.</v>
      </c>
      <c r="C58" s="82" t="str">
        <f t="shared" si="1"/>
        <v>Barraqueiro Oeste</v>
      </c>
      <c r="D58" s="83" t="s">
        <v>629</v>
      </c>
      <c r="E58" s="91" t="s">
        <v>1853</v>
      </c>
      <c r="F58" s="124" t="s">
        <v>620</v>
      </c>
      <c r="G58" s="304">
        <v>2010</v>
      </c>
      <c r="H58" s="312" t="s">
        <v>734</v>
      </c>
      <c r="I58" s="307" t="str">
        <f t="shared" si="2"/>
        <v>Pesado de Passageiros M3: III : Gasóleo : E5</v>
      </c>
      <c r="J58" s="125">
        <v>70</v>
      </c>
      <c r="K58" s="125">
        <v>2022</v>
      </c>
      <c r="L58" s="85">
        <v>23099.971000000001</v>
      </c>
      <c r="M58" s="85" t="s">
        <v>630</v>
      </c>
      <c r="N58" s="128">
        <v>58544</v>
      </c>
      <c r="O58" s="128">
        <f t="shared" si="3"/>
        <v>4098080</v>
      </c>
      <c r="P58" s="125" t="s">
        <v>686</v>
      </c>
      <c r="Q58" s="85" t="s">
        <v>47</v>
      </c>
      <c r="R58" s="214" t="s">
        <v>1869</v>
      </c>
      <c r="S58" s="214" t="s">
        <v>1861</v>
      </c>
      <c r="T58" s="85" t="s">
        <v>1491</v>
      </c>
      <c r="U58" t="s">
        <v>1953</v>
      </c>
      <c r="V58" t="s">
        <v>2813</v>
      </c>
    </row>
    <row r="59" spans="1:22" ht="15.75" thickBot="1" x14ac:dyDescent="0.3">
      <c r="A59" s="82" t="s">
        <v>3473</v>
      </c>
      <c r="B59" s="82" t="str">
        <f t="shared" si="0"/>
        <v>Barraqueiro Transportes, S.A.</v>
      </c>
      <c r="C59" s="82" t="str">
        <f t="shared" si="1"/>
        <v>Barraqueiro Oeste</v>
      </c>
      <c r="D59" s="83" t="s">
        <v>629</v>
      </c>
      <c r="E59" s="91" t="s">
        <v>1853</v>
      </c>
      <c r="F59" s="124" t="s">
        <v>620</v>
      </c>
      <c r="G59" s="304">
        <v>2009</v>
      </c>
      <c r="H59" s="312" t="s">
        <v>734</v>
      </c>
      <c r="I59" s="307" t="str">
        <f t="shared" si="2"/>
        <v>Pesado de Passageiros M3: III : Gasóleo : E5</v>
      </c>
      <c r="J59" s="125">
        <v>83</v>
      </c>
      <c r="K59" s="125">
        <v>2022</v>
      </c>
      <c r="L59" s="85">
        <v>41325.509999999995</v>
      </c>
      <c r="M59" s="85" t="s">
        <v>630</v>
      </c>
      <c r="N59" s="128">
        <v>104817</v>
      </c>
      <c r="O59" s="128">
        <f t="shared" si="3"/>
        <v>8699811</v>
      </c>
      <c r="P59" s="125" t="s">
        <v>687</v>
      </c>
      <c r="Q59" s="85" t="s">
        <v>47</v>
      </c>
      <c r="R59" s="214" t="s">
        <v>1869</v>
      </c>
      <c r="S59" s="214" t="s">
        <v>1861</v>
      </c>
      <c r="T59" s="85" t="s">
        <v>1491</v>
      </c>
      <c r="U59" t="s">
        <v>1953</v>
      </c>
      <c r="V59" t="s">
        <v>2813</v>
      </c>
    </row>
    <row r="60" spans="1:22" ht="15.75" thickBot="1" x14ac:dyDescent="0.3">
      <c r="A60" s="82" t="s">
        <v>3473</v>
      </c>
      <c r="B60" s="82" t="str">
        <f t="shared" si="0"/>
        <v>Barraqueiro Transportes, S.A.</v>
      </c>
      <c r="C60" s="82" t="str">
        <f t="shared" si="1"/>
        <v>Barraqueiro Oeste</v>
      </c>
      <c r="D60" s="83" t="s">
        <v>629</v>
      </c>
      <c r="E60" s="91" t="s">
        <v>1853</v>
      </c>
      <c r="F60" s="124" t="s">
        <v>620</v>
      </c>
      <c r="G60" s="304">
        <v>2008</v>
      </c>
      <c r="H60" s="312" t="s">
        <v>731</v>
      </c>
      <c r="I60" s="307" t="str">
        <f t="shared" si="2"/>
        <v>Pesado de Passageiros M3: III : Gasóleo : E4</v>
      </c>
      <c r="J60" s="125">
        <v>59</v>
      </c>
      <c r="K60" s="125">
        <v>2022</v>
      </c>
      <c r="L60" s="85">
        <v>30694.179999999997</v>
      </c>
      <c r="M60" s="85" t="s">
        <v>630</v>
      </c>
      <c r="N60" s="128">
        <v>82517</v>
      </c>
      <c r="O60" s="128">
        <f t="shared" si="3"/>
        <v>4868503</v>
      </c>
      <c r="P60" s="125" t="s">
        <v>688</v>
      </c>
      <c r="Q60" s="85" t="s">
        <v>47</v>
      </c>
      <c r="R60" s="214" t="s">
        <v>1869</v>
      </c>
      <c r="S60" s="214" t="s">
        <v>1861</v>
      </c>
      <c r="T60" s="85" t="s">
        <v>1491</v>
      </c>
      <c r="U60" t="s">
        <v>1953</v>
      </c>
      <c r="V60" t="s">
        <v>2813</v>
      </c>
    </row>
    <row r="61" spans="1:22" ht="15.75" thickBot="1" x14ac:dyDescent="0.3">
      <c r="A61" s="82" t="s">
        <v>3473</v>
      </c>
      <c r="B61" s="82" t="str">
        <f t="shared" si="0"/>
        <v>Barraqueiro Transportes, S.A.</v>
      </c>
      <c r="C61" s="82" t="str">
        <f t="shared" si="1"/>
        <v>Barraqueiro Oeste</v>
      </c>
      <c r="D61" s="83" t="s">
        <v>629</v>
      </c>
      <c r="E61" s="91" t="s">
        <v>1853</v>
      </c>
      <c r="F61" s="124" t="s">
        <v>620</v>
      </c>
      <c r="G61" s="304">
        <v>2000</v>
      </c>
      <c r="H61" s="312" t="s">
        <v>735</v>
      </c>
      <c r="I61" s="307" t="str">
        <f t="shared" si="2"/>
        <v>Pesado de Passageiros M3: III : Gasóleo : E2</v>
      </c>
      <c r="J61" s="125">
        <v>53</v>
      </c>
      <c r="K61" s="125">
        <v>2022</v>
      </c>
      <c r="L61" s="85">
        <v>12375.380000000001</v>
      </c>
      <c r="M61" s="85" t="s">
        <v>630</v>
      </c>
      <c r="N61" s="128">
        <v>36193</v>
      </c>
      <c r="O61" s="128">
        <f t="shared" si="3"/>
        <v>1918229</v>
      </c>
      <c r="P61" s="125" t="s">
        <v>689</v>
      </c>
      <c r="Q61" s="85" t="s">
        <v>47</v>
      </c>
      <c r="R61" s="214" t="s">
        <v>1869</v>
      </c>
      <c r="S61" s="214" t="s">
        <v>1861</v>
      </c>
      <c r="T61" s="85" t="s">
        <v>1491</v>
      </c>
      <c r="U61" t="s">
        <v>1953</v>
      </c>
      <c r="V61" t="s">
        <v>2813</v>
      </c>
    </row>
    <row r="62" spans="1:22" ht="15.75" thickBot="1" x14ac:dyDescent="0.3">
      <c r="A62" s="82" t="s">
        <v>3473</v>
      </c>
      <c r="B62" s="82" t="str">
        <f t="shared" si="0"/>
        <v>Barraqueiro Transportes, S.A.</v>
      </c>
      <c r="C62" s="82" t="str">
        <f t="shared" si="1"/>
        <v>Barraqueiro Oeste</v>
      </c>
      <c r="D62" s="83" t="s">
        <v>629</v>
      </c>
      <c r="E62" s="91" t="s">
        <v>1853</v>
      </c>
      <c r="F62" s="124" t="s">
        <v>620</v>
      </c>
      <c r="G62" s="304">
        <v>1997</v>
      </c>
      <c r="H62" s="312" t="s">
        <v>736</v>
      </c>
      <c r="I62" s="307" t="str">
        <f t="shared" si="2"/>
        <v>Pesado de Passageiros M3: III : Gasóleo : E1</v>
      </c>
      <c r="J62" s="125">
        <v>83</v>
      </c>
      <c r="K62" s="125">
        <v>2022</v>
      </c>
      <c r="L62" s="85">
        <v>9186.77</v>
      </c>
      <c r="M62" s="85" t="s">
        <v>630</v>
      </c>
      <c r="N62" s="128">
        <v>24182</v>
      </c>
      <c r="O62" s="128">
        <f t="shared" si="3"/>
        <v>2007106</v>
      </c>
      <c r="P62" s="125" t="s">
        <v>690</v>
      </c>
      <c r="Q62" s="85" t="s">
        <v>47</v>
      </c>
      <c r="R62" s="214" t="s">
        <v>1869</v>
      </c>
      <c r="S62" s="214" t="s">
        <v>1861</v>
      </c>
      <c r="T62" s="85" t="s">
        <v>1491</v>
      </c>
      <c r="U62" t="s">
        <v>1953</v>
      </c>
      <c r="V62" t="s">
        <v>2813</v>
      </c>
    </row>
    <row r="63" spans="1:22" ht="15.75" thickBot="1" x14ac:dyDescent="0.3">
      <c r="A63" s="82" t="s">
        <v>3473</v>
      </c>
      <c r="B63" s="82" t="str">
        <f t="shared" si="0"/>
        <v>Barraqueiro Transportes, S.A.</v>
      </c>
      <c r="C63" s="82" t="str">
        <f t="shared" si="1"/>
        <v>Barraqueiro Oeste</v>
      </c>
      <c r="D63" s="83" t="s">
        <v>629</v>
      </c>
      <c r="E63" s="91" t="s">
        <v>1853</v>
      </c>
      <c r="F63" s="124" t="s">
        <v>620</v>
      </c>
      <c r="G63" s="304">
        <v>1998</v>
      </c>
      <c r="H63" s="312" t="s">
        <v>736</v>
      </c>
      <c r="I63" s="307" t="str">
        <f t="shared" si="2"/>
        <v>Pesado de Passageiros M3: III : Gasóleo : E1</v>
      </c>
      <c r="J63" s="125">
        <v>66</v>
      </c>
      <c r="K63" s="125">
        <v>2022</v>
      </c>
      <c r="L63" s="85">
        <v>4298.08</v>
      </c>
      <c r="M63" s="85" t="s">
        <v>630</v>
      </c>
      <c r="N63" s="128">
        <v>12250</v>
      </c>
      <c r="O63" s="128">
        <f t="shared" si="3"/>
        <v>808500</v>
      </c>
      <c r="P63" s="125" t="s">
        <v>691</v>
      </c>
      <c r="Q63" s="85" t="s">
        <v>47</v>
      </c>
      <c r="R63" s="214" t="s">
        <v>1869</v>
      </c>
      <c r="S63" s="214" t="s">
        <v>1861</v>
      </c>
      <c r="T63" s="85" t="s">
        <v>1491</v>
      </c>
      <c r="U63" t="s">
        <v>1953</v>
      </c>
      <c r="V63" t="s">
        <v>2813</v>
      </c>
    </row>
    <row r="64" spans="1:22" ht="15.75" thickBot="1" x14ac:dyDescent="0.3">
      <c r="A64" s="82" t="s">
        <v>3473</v>
      </c>
      <c r="B64" s="82" t="str">
        <f t="shared" si="0"/>
        <v>Barraqueiro Transportes, S.A.</v>
      </c>
      <c r="C64" s="82" t="str">
        <f t="shared" si="1"/>
        <v>Barraqueiro Oeste</v>
      </c>
      <c r="D64" s="83" t="s">
        <v>629</v>
      </c>
      <c r="E64" s="91" t="s">
        <v>1853</v>
      </c>
      <c r="F64" s="124" t="s">
        <v>620</v>
      </c>
      <c r="G64" s="304">
        <v>2003</v>
      </c>
      <c r="H64" s="312" t="s">
        <v>732</v>
      </c>
      <c r="I64" s="307" t="str">
        <f t="shared" si="2"/>
        <v>Pesado de Passageiros M3: III : Gasóleo : E3</v>
      </c>
      <c r="J64" s="125">
        <v>63</v>
      </c>
      <c r="K64" s="125">
        <v>2022</v>
      </c>
      <c r="L64" s="85">
        <v>19873.660000000003</v>
      </c>
      <c r="M64" s="85" t="s">
        <v>630</v>
      </c>
      <c r="N64" s="128">
        <v>50662</v>
      </c>
      <c r="O64" s="128">
        <f t="shared" si="3"/>
        <v>3191706</v>
      </c>
      <c r="P64" s="125" t="s">
        <v>692</v>
      </c>
      <c r="Q64" s="85" t="s">
        <v>47</v>
      </c>
      <c r="R64" s="214" t="s">
        <v>1869</v>
      </c>
      <c r="S64" s="214" t="s">
        <v>1861</v>
      </c>
      <c r="T64" s="85" t="s">
        <v>1491</v>
      </c>
      <c r="U64" t="s">
        <v>1953</v>
      </c>
      <c r="V64" t="s">
        <v>2813</v>
      </c>
    </row>
    <row r="65" spans="1:22" ht="15.75" thickBot="1" x14ac:dyDescent="0.3">
      <c r="A65" s="82" t="s">
        <v>3473</v>
      </c>
      <c r="B65" s="82" t="str">
        <f t="shared" si="0"/>
        <v>Barraqueiro Transportes, S.A.</v>
      </c>
      <c r="C65" s="82" t="str">
        <f t="shared" si="1"/>
        <v>Barraqueiro Oeste</v>
      </c>
      <c r="D65" s="83" t="s">
        <v>629</v>
      </c>
      <c r="E65" s="91" t="s">
        <v>1853</v>
      </c>
      <c r="F65" s="124" t="s">
        <v>620</v>
      </c>
      <c r="G65" s="304">
        <v>1999</v>
      </c>
      <c r="H65" s="312" t="s">
        <v>736</v>
      </c>
      <c r="I65" s="307" t="str">
        <f t="shared" si="2"/>
        <v>Pesado de Passageiros M3: III : Gasóleo : E1</v>
      </c>
      <c r="J65" s="125">
        <v>83</v>
      </c>
      <c r="K65" s="125">
        <v>2022</v>
      </c>
      <c r="L65" s="85">
        <v>11561.64</v>
      </c>
      <c r="M65" s="85" t="s">
        <v>630</v>
      </c>
      <c r="N65" s="128">
        <v>33758</v>
      </c>
      <c r="O65" s="128">
        <f t="shared" si="3"/>
        <v>2801914</v>
      </c>
      <c r="P65" s="125" t="s">
        <v>693</v>
      </c>
      <c r="Q65" s="85" t="s">
        <v>47</v>
      </c>
      <c r="R65" s="214" t="s">
        <v>1869</v>
      </c>
      <c r="S65" s="214" t="s">
        <v>1861</v>
      </c>
      <c r="T65" s="85" t="s">
        <v>1491</v>
      </c>
      <c r="U65" t="s">
        <v>1953</v>
      </c>
      <c r="V65" t="s">
        <v>2813</v>
      </c>
    </row>
    <row r="66" spans="1:22" ht="15.75" thickBot="1" x14ac:dyDescent="0.3">
      <c r="A66" s="82" t="s">
        <v>3473</v>
      </c>
      <c r="B66" s="82" t="str">
        <f t="shared" si="0"/>
        <v>Barraqueiro Transportes, S.A.</v>
      </c>
      <c r="C66" s="82" t="str">
        <f t="shared" si="1"/>
        <v>Barraqueiro Oeste</v>
      </c>
      <c r="D66" s="83" t="s">
        <v>629</v>
      </c>
      <c r="E66" s="91" t="s">
        <v>1853</v>
      </c>
      <c r="F66" s="124" t="s">
        <v>620</v>
      </c>
      <c r="G66" s="304">
        <v>2009</v>
      </c>
      <c r="H66" s="312" t="s">
        <v>734</v>
      </c>
      <c r="I66" s="307" t="str">
        <f t="shared" si="2"/>
        <v>Pesado de Passageiros M3: III : Gasóleo : E5</v>
      </c>
      <c r="J66" s="125">
        <v>98</v>
      </c>
      <c r="K66" s="125">
        <v>2022</v>
      </c>
      <c r="L66" s="85">
        <v>39825.485000000001</v>
      </c>
      <c r="M66" s="85" t="s">
        <v>630</v>
      </c>
      <c r="N66" s="128">
        <v>100862</v>
      </c>
      <c r="O66" s="128">
        <f t="shared" si="3"/>
        <v>9884476</v>
      </c>
      <c r="P66" s="125" t="s">
        <v>694</v>
      </c>
      <c r="Q66" s="85" t="s">
        <v>47</v>
      </c>
      <c r="R66" s="214" t="s">
        <v>1869</v>
      </c>
      <c r="S66" s="214" t="s">
        <v>1861</v>
      </c>
      <c r="T66" s="85" t="s">
        <v>1491</v>
      </c>
      <c r="U66" t="s">
        <v>1953</v>
      </c>
      <c r="V66" t="s">
        <v>2813</v>
      </c>
    </row>
    <row r="67" spans="1:22" ht="15.75" thickBot="1" x14ac:dyDescent="0.3">
      <c r="A67" s="82" t="s">
        <v>3473</v>
      </c>
      <c r="B67" s="82" t="str">
        <f t="shared" ref="B67:B130" si="4">LEFT(A67,IFERROR(FIND(" - ",A67)-1,LEN(A67)))</f>
        <v>Barraqueiro Transportes, S.A.</v>
      </c>
      <c r="C67" s="82" t="str">
        <f t="shared" si="1"/>
        <v>Barraqueiro Oeste</v>
      </c>
      <c r="D67" s="83" t="s">
        <v>629</v>
      </c>
      <c r="E67" s="91" t="s">
        <v>1853</v>
      </c>
      <c r="F67" s="124" t="s">
        <v>620</v>
      </c>
      <c r="G67" s="304">
        <v>2008</v>
      </c>
      <c r="H67" s="312" t="s">
        <v>731</v>
      </c>
      <c r="I67" s="307" t="str">
        <f t="shared" si="2"/>
        <v>Pesado de Passageiros M3: III : Gasóleo : E4</v>
      </c>
      <c r="J67" s="125">
        <v>82</v>
      </c>
      <c r="K67" s="125">
        <v>2022</v>
      </c>
      <c r="L67" s="85">
        <v>12057.630000000001</v>
      </c>
      <c r="M67" s="85" t="s">
        <v>630</v>
      </c>
      <c r="N67" s="128">
        <v>36208</v>
      </c>
      <c r="O67" s="128">
        <f t="shared" si="3"/>
        <v>2969056</v>
      </c>
      <c r="P67" s="125" t="s">
        <v>695</v>
      </c>
      <c r="Q67" s="85" t="s">
        <v>47</v>
      </c>
      <c r="R67" s="214" t="s">
        <v>1869</v>
      </c>
      <c r="S67" s="214" t="s">
        <v>1861</v>
      </c>
      <c r="T67" s="85" t="s">
        <v>1491</v>
      </c>
      <c r="U67" t="s">
        <v>1953</v>
      </c>
      <c r="V67" t="s">
        <v>2813</v>
      </c>
    </row>
    <row r="68" spans="1:22" ht="15.75" thickBot="1" x14ac:dyDescent="0.3">
      <c r="A68" s="82" t="s">
        <v>3473</v>
      </c>
      <c r="B68" s="82" t="str">
        <f t="shared" si="4"/>
        <v>Barraqueiro Transportes, S.A.</v>
      </c>
      <c r="C68" s="82" t="str">
        <f t="shared" ref="C68:C131" si="5">IF(A68=B68,B68,RIGHT(A68,LEN(A68)-LEN(B68)-3))</f>
        <v>Barraqueiro Oeste</v>
      </c>
      <c r="D68" s="83" t="s">
        <v>629</v>
      </c>
      <c r="E68" s="91" t="s">
        <v>1853</v>
      </c>
      <c r="F68" s="124" t="s">
        <v>620</v>
      </c>
      <c r="G68" s="304">
        <v>2008</v>
      </c>
      <c r="H68" s="312" t="s">
        <v>731</v>
      </c>
      <c r="I68" s="307" t="str">
        <f t="shared" ref="I68:I131" si="6">D68&amp;": "&amp;E68&amp;" : "&amp;F68&amp;" : "&amp;H68</f>
        <v>Pesado de Passageiros M3: III : Gasóleo : E4</v>
      </c>
      <c r="J68" s="125">
        <v>95</v>
      </c>
      <c r="K68" s="125">
        <v>2022</v>
      </c>
      <c r="L68" s="85">
        <v>45243.237999999998</v>
      </c>
      <c r="M68" s="85" t="s">
        <v>630</v>
      </c>
      <c r="N68" s="128">
        <v>110221</v>
      </c>
      <c r="O68" s="128">
        <f t="shared" ref="O68:O131" si="7">N68*J68</f>
        <v>10470995</v>
      </c>
      <c r="P68" s="125" t="s">
        <v>696</v>
      </c>
      <c r="Q68" s="85" t="s">
        <v>47</v>
      </c>
      <c r="R68" s="214" t="s">
        <v>1869</v>
      </c>
      <c r="S68" s="214" t="s">
        <v>1861</v>
      </c>
      <c r="T68" s="85" t="s">
        <v>1491</v>
      </c>
      <c r="U68" t="s">
        <v>1953</v>
      </c>
      <c r="V68" t="s">
        <v>2813</v>
      </c>
    </row>
    <row r="69" spans="1:22" ht="15.75" thickBot="1" x14ac:dyDescent="0.3">
      <c r="A69" s="82" t="s">
        <v>3473</v>
      </c>
      <c r="B69" s="82" t="str">
        <f t="shared" si="4"/>
        <v>Barraqueiro Transportes, S.A.</v>
      </c>
      <c r="C69" s="82" t="str">
        <f t="shared" si="5"/>
        <v>Barraqueiro Oeste</v>
      </c>
      <c r="D69" s="83" t="s">
        <v>629</v>
      </c>
      <c r="E69" s="91" t="s">
        <v>1853</v>
      </c>
      <c r="F69" s="124" t="s">
        <v>620</v>
      </c>
      <c r="G69" s="304">
        <v>2002</v>
      </c>
      <c r="H69" s="312" t="s">
        <v>732</v>
      </c>
      <c r="I69" s="307" t="str">
        <f t="shared" si="6"/>
        <v>Pesado de Passageiros M3: III : Gasóleo : E3</v>
      </c>
      <c r="J69" s="125">
        <v>97</v>
      </c>
      <c r="K69" s="125">
        <v>2022</v>
      </c>
      <c r="L69" s="85">
        <v>8912.1600000000017</v>
      </c>
      <c r="M69" s="85" t="s">
        <v>630</v>
      </c>
      <c r="N69" s="128">
        <v>20961</v>
      </c>
      <c r="O69" s="128">
        <f t="shared" si="7"/>
        <v>2033217</v>
      </c>
      <c r="P69" s="125" t="s">
        <v>697</v>
      </c>
      <c r="Q69" s="85" t="s">
        <v>47</v>
      </c>
      <c r="R69" s="214" t="s">
        <v>1869</v>
      </c>
      <c r="S69" s="214" t="s">
        <v>1861</v>
      </c>
      <c r="T69" s="85" t="s">
        <v>1491</v>
      </c>
      <c r="U69" t="s">
        <v>1953</v>
      </c>
      <c r="V69" t="s">
        <v>2813</v>
      </c>
    </row>
    <row r="70" spans="1:22" ht="15.75" thickBot="1" x14ac:dyDescent="0.3">
      <c r="A70" s="82" t="s">
        <v>3473</v>
      </c>
      <c r="B70" s="82" t="str">
        <f t="shared" si="4"/>
        <v>Barraqueiro Transportes, S.A.</v>
      </c>
      <c r="C70" s="82" t="str">
        <f t="shared" si="5"/>
        <v>Barraqueiro Oeste</v>
      </c>
      <c r="D70" s="83" t="s">
        <v>629</v>
      </c>
      <c r="E70" s="91" t="s">
        <v>1853</v>
      </c>
      <c r="F70" s="124" t="s">
        <v>620</v>
      </c>
      <c r="G70" s="304">
        <v>2004</v>
      </c>
      <c r="H70" s="312" t="s">
        <v>732</v>
      </c>
      <c r="I70" s="307" t="str">
        <f t="shared" si="6"/>
        <v>Pesado de Passageiros M3: III : Gasóleo : E3</v>
      </c>
      <c r="J70" s="125">
        <v>76</v>
      </c>
      <c r="K70" s="125">
        <v>2022</v>
      </c>
      <c r="L70" s="85">
        <v>17252.909999999996</v>
      </c>
      <c r="M70" s="85" t="s">
        <v>630</v>
      </c>
      <c r="N70" s="128">
        <v>43976</v>
      </c>
      <c r="O70" s="128">
        <f t="shared" si="7"/>
        <v>3342176</v>
      </c>
      <c r="P70" s="125" t="s">
        <v>698</v>
      </c>
      <c r="Q70" s="85" t="s">
        <v>47</v>
      </c>
      <c r="R70" s="214" t="s">
        <v>1869</v>
      </c>
      <c r="S70" s="214" t="s">
        <v>1861</v>
      </c>
      <c r="T70" s="85" t="s">
        <v>1491</v>
      </c>
      <c r="U70" t="s">
        <v>1953</v>
      </c>
      <c r="V70" t="s">
        <v>2813</v>
      </c>
    </row>
    <row r="71" spans="1:22" ht="15.75" thickBot="1" x14ac:dyDescent="0.3">
      <c r="A71" s="82" t="s">
        <v>3473</v>
      </c>
      <c r="B71" s="82" t="str">
        <f t="shared" si="4"/>
        <v>Barraqueiro Transportes, S.A.</v>
      </c>
      <c r="C71" s="82" t="str">
        <f t="shared" si="5"/>
        <v>Barraqueiro Oeste</v>
      </c>
      <c r="D71" s="83" t="s">
        <v>629</v>
      </c>
      <c r="E71" s="91" t="s">
        <v>1853</v>
      </c>
      <c r="F71" s="124" t="s">
        <v>620</v>
      </c>
      <c r="G71" s="304">
        <v>2004</v>
      </c>
      <c r="H71" s="312" t="s">
        <v>732</v>
      </c>
      <c r="I71" s="307" t="str">
        <f t="shared" si="6"/>
        <v>Pesado de Passageiros M3: III : Gasóleo : E3</v>
      </c>
      <c r="J71" s="125">
        <v>76</v>
      </c>
      <c r="K71" s="125">
        <v>2022</v>
      </c>
      <c r="L71" s="85">
        <v>19092.59</v>
      </c>
      <c r="M71" s="85" t="s">
        <v>630</v>
      </c>
      <c r="N71" s="128">
        <v>50578</v>
      </c>
      <c r="O71" s="128">
        <f t="shared" si="7"/>
        <v>3843928</v>
      </c>
      <c r="P71" s="125" t="s">
        <v>699</v>
      </c>
      <c r="Q71" s="85" t="s">
        <v>47</v>
      </c>
      <c r="R71" s="214" t="s">
        <v>1869</v>
      </c>
      <c r="S71" s="214" t="s">
        <v>1861</v>
      </c>
      <c r="T71" s="85" t="s">
        <v>1491</v>
      </c>
      <c r="U71" t="s">
        <v>1953</v>
      </c>
      <c r="V71" t="s">
        <v>2813</v>
      </c>
    </row>
    <row r="72" spans="1:22" ht="15.75" thickBot="1" x14ac:dyDescent="0.3">
      <c r="A72" s="82" t="s">
        <v>3473</v>
      </c>
      <c r="B72" s="82" t="str">
        <f t="shared" si="4"/>
        <v>Barraqueiro Transportes, S.A.</v>
      </c>
      <c r="C72" s="82" t="str">
        <f t="shared" si="5"/>
        <v>Barraqueiro Oeste</v>
      </c>
      <c r="D72" s="83" t="s">
        <v>629</v>
      </c>
      <c r="E72" s="91" t="s">
        <v>1853</v>
      </c>
      <c r="F72" s="124" t="s">
        <v>620</v>
      </c>
      <c r="G72" s="304">
        <v>2005</v>
      </c>
      <c r="H72" s="312" t="s">
        <v>732</v>
      </c>
      <c r="I72" s="307" t="str">
        <f t="shared" si="6"/>
        <v>Pesado de Passageiros M3: III : Gasóleo : E3</v>
      </c>
      <c r="J72" s="125">
        <v>36</v>
      </c>
      <c r="K72" s="125">
        <v>2022</v>
      </c>
      <c r="L72" s="85">
        <v>14070.639999999998</v>
      </c>
      <c r="M72" s="85" t="s">
        <v>630</v>
      </c>
      <c r="N72" s="128">
        <v>45959</v>
      </c>
      <c r="O72" s="128">
        <f t="shared" si="7"/>
        <v>1654524</v>
      </c>
      <c r="P72" s="125" t="s">
        <v>700</v>
      </c>
      <c r="Q72" s="85" t="s">
        <v>47</v>
      </c>
      <c r="R72" s="214" t="s">
        <v>1869</v>
      </c>
      <c r="S72" s="214" t="s">
        <v>1861</v>
      </c>
      <c r="T72" s="85" t="s">
        <v>1491</v>
      </c>
      <c r="U72" t="s">
        <v>1953</v>
      </c>
      <c r="V72" t="s">
        <v>2813</v>
      </c>
    </row>
    <row r="73" spans="1:22" ht="15.75" thickBot="1" x14ac:dyDescent="0.3">
      <c r="A73" s="82" t="s">
        <v>3473</v>
      </c>
      <c r="B73" s="82" t="str">
        <f t="shared" si="4"/>
        <v>Barraqueiro Transportes, S.A.</v>
      </c>
      <c r="C73" s="82" t="str">
        <f t="shared" si="5"/>
        <v>Barraqueiro Oeste</v>
      </c>
      <c r="D73" s="83" t="s">
        <v>629</v>
      </c>
      <c r="E73" s="91" t="s">
        <v>1853</v>
      </c>
      <c r="F73" s="124" t="s">
        <v>620</v>
      </c>
      <c r="G73" s="304">
        <v>2005</v>
      </c>
      <c r="H73" s="312" t="s">
        <v>732</v>
      </c>
      <c r="I73" s="307" t="str">
        <f t="shared" si="6"/>
        <v>Pesado de Passageiros M3: III : Gasóleo : E3</v>
      </c>
      <c r="J73" s="125">
        <v>36</v>
      </c>
      <c r="K73" s="125">
        <v>2022</v>
      </c>
      <c r="L73" s="85">
        <v>13223.41</v>
      </c>
      <c r="M73" s="85" t="s">
        <v>630</v>
      </c>
      <c r="N73" s="128">
        <v>38621</v>
      </c>
      <c r="O73" s="128">
        <f t="shared" si="7"/>
        <v>1390356</v>
      </c>
      <c r="P73" s="125" t="s">
        <v>701</v>
      </c>
      <c r="Q73" s="85" t="s">
        <v>47</v>
      </c>
      <c r="R73" s="214" t="s">
        <v>1869</v>
      </c>
      <c r="S73" s="214" t="s">
        <v>1861</v>
      </c>
      <c r="T73" s="85" t="s">
        <v>1491</v>
      </c>
      <c r="U73" t="s">
        <v>1953</v>
      </c>
      <c r="V73" t="s">
        <v>2813</v>
      </c>
    </row>
    <row r="74" spans="1:22" ht="15.75" thickBot="1" x14ac:dyDescent="0.3">
      <c r="A74" s="82" t="s">
        <v>3473</v>
      </c>
      <c r="B74" s="82" t="str">
        <f t="shared" si="4"/>
        <v>Barraqueiro Transportes, S.A.</v>
      </c>
      <c r="C74" s="82" t="str">
        <f t="shared" si="5"/>
        <v>Barraqueiro Oeste</v>
      </c>
      <c r="D74" s="83" t="s">
        <v>629</v>
      </c>
      <c r="E74" s="91" t="s">
        <v>1853</v>
      </c>
      <c r="F74" s="124" t="s">
        <v>620</v>
      </c>
      <c r="G74" s="304">
        <v>2005</v>
      </c>
      <c r="H74" s="312" t="s">
        <v>732</v>
      </c>
      <c r="I74" s="307" t="str">
        <f t="shared" si="6"/>
        <v>Pesado de Passageiros M3: III : Gasóleo : E3</v>
      </c>
      <c r="J74" s="125">
        <v>36</v>
      </c>
      <c r="K74" s="125">
        <v>2022</v>
      </c>
      <c r="L74" s="85">
        <v>12660.159999999998</v>
      </c>
      <c r="M74" s="85" t="s">
        <v>630</v>
      </c>
      <c r="N74" s="128">
        <v>38186</v>
      </c>
      <c r="O74" s="128">
        <f t="shared" si="7"/>
        <v>1374696</v>
      </c>
      <c r="P74" s="125" t="s">
        <v>702</v>
      </c>
      <c r="Q74" s="85" t="s">
        <v>47</v>
      </c>
      <c r="R74" s="214" t="s">
        <v>1869</v>
      </c>
      <c r="S74" s="214" t="s">
        <v>1861</v>
      </c>
      <c r="T74" s="85" t="s">
        <v>1491</v>
      </c>
      <c r="U74" t="s">
        <v>1953</v>
      </c>
      <c r="V74" t="s">
        <v>2813</v>
      </c>
    </row>
    <row r="75" spans="1:22" ht="15.75" thickBot="1" x14ac:dyDescent="0.3">
      <c r="A75" s="82" t="s">
        <v>3473</v>
      </c>
      <c r="B75" s="82" t="str">
        <f t="shared" si="4"/>
        <v>Barraqueiro Transportes, S.A.</v>
      </c>
      <c r="C75" s="82" t="str">
        <f t="shared" si="5"/>
        <v>Barraqueiro Oeste</v>
      </c>
      <c r="D75" s="83" t="s">
        <v>629</v>
      </c>
      <c r="E75" s="91" t="s">
        <v>1853</v>
      </c>
      <c r="F75" s="124" t="s">
        <v>620</v>
      </c>
      <c r="G75" s="304">
        <v>2001</v>
      </c>
      <c r="H75" s="312" t="s">
        <v>732</v>
      </c>
      <c r="I75" s="307" t="str">
        <f t="shared" si="6"/>
        <v>Pesado de Passageiros M3: III : Gasóleo : E3</v>
      </c>
      <c r="J75" s="125">
        <v>55</v>
      </c>
      <c r="K75" s="125">
        <v>2022</v>
      </c>
      <c r="L75" s="85">
        <v>6800.5700000000006</v>
      </c>
      <c r="M75" s="85" t="s">
        <v>630</v>
      </c>
      <c r="N75" s="128">
        <v>16564</v>
      </c>
      <c r="O75" s="128">
        <f t="shared" si="7"/>
        <v>911020</v>
      </c>
      <c r="P75" s="125" t="s">
        <v>703</v>
      </c>
      <c r="Q75" s="85" t="s">
        <v>47</v>
      </c>
      <c r="R75" s="214" t="s">
        <v>1869</v>
      </c>
      <c r="S75" s="214" t="s">
        <v>1861</v>
      </c>
      <c r="T75" s="85" t="s">
        <v>1491</v>
      </c>
      <c r="U75" t="s">
        <v>1953</v>
      </c>
      <c r="V75" t="s">
        <v>2813</v>
      </c>
    </row>
    <row r="76" spans="1:22" ht="15.75" thickBot="1" x14ac:dyDescent="0.3">
      <c r="A76" s="82" t="s">
        <v>3473</v>
      </c>
      <c r="B76" s="82" t="str">
        <f t="shared" si="4"/>
        <v>Barraqueiro Transportes, S.A.</v>
      </c>
      <c r="C76" s="82" t="str">
        <f t="shared" si="5"/>
        <v>Barraqueiro Oeste</v>
      </c>
      <c r="D76" s="83" t="s">
        <v>629</v>
      </c>
      <c r="E76" s="91" t="s">
        <v>1853</v>
      </c>
      <c r="F76" s="124" t="s">
        <v>620</v>
      </c>
      <c r="G76" s="304">
        <v>2001</v>
      </c>
      <c r="H76" s="312" t="s">
        <v>732</v>
      </c>
      <c r="I76" s="307" t="str">
        <f t="shared" si="6"/>
        <v>Pesado de Passageiros M3: III : Gasóleo : E3</v>
      </c>
      <c r="J76" s="125">
        <v>49</v>
      </c>
      <c r="K76" s="125">
        <v>2022</v>
      </c>
      <c r="L76" s="85">
        <v>0</v>
      </c>
      <c r="M76" s="85" t="s">
        <v>630</v>
      </c>
      <c r="N76" s="128">
        <v>0</v>
      </c>
      <c r="O76" s="128">
        <f t="shared" si="7"/>
        <v>0</v>
      </c>
      <c r="P76" s="125" t="s">
        <v>704</v>
      </c>
      <c r="Q76" s="85" t="s">
        <v>47</v>
      </c>
      <c r="R76" s="214" t="s">
        <v>1869</v>
      </c>
      <c r="S76" s="214" t="s">
        <v>1861</v>
      </c>
      <c r="T76" s="85" t="s">
        <v>1491</v>
      </c>
      <c r="U76" t="s">
        <v>1953</v>
      </c>
      <c r="V76" t="s">
        <v>2813</v>
      </c>
    </row>
    <row r="77" spans="1:22" ht="15.75" thickBot="1" x14ac:dyDescent="0.3">
      <c r="A77" s="82" t="s">
        <v>3473</v>
      </c>
      <c r="B77" s="82" t="str">
        <f t="shared" si="4"/>
        <v>Barraqueiro Transportes, S.A.</v>
      </c>
      <c r="C77" s="82" t="str">
        <f t="shared" si="5"/>
        <v>Barraqueiro Oeste</v>
      </c>
      <c r="D77" s="83" t="s">
        <v>629</v>
      </c>
      <c r="E77" s="91" t="s">
        <v>1853</v>
      </c>
      <c r="F77" s="124" t="s">
        <v>620</v>
      </c>
      <c r="G77" s="304">
        <v>2004</v>
      </c>
      <c r="H77" s="312" t="s">
        <v>732</v>
      </c>
      <c r="I77" s="307" t="str">
        <f t="shared" si="6"/>
        <v>Pesado de Passageiros M3: III : Gasóleo : E3</v>
      </c>
      <c r="J77" s="125">
        <v>49</v>
      </c>
      <c r="K77" s="125">
        <v>2022</v>
      </c>
      <c r="L77" s="85">
        <v>28835.781999999999</v>
      </c>
      <c r="M77" s="85" t="s">
        <v>630</v>
      </c>
      <c r="N77" s="128">
        <v>79217</v>
      </c>
      <c r="O77" s="128">
        <f t="shared" si="7"/>
        <v>3881633</v>
      </c>
      <c r="P77" s="125" t="s">
        <v>705</v>
      </c>
      <c r="Q77" s="85" t="s">
        <v>47</v>
      </c>
      <c r="R77" s="214" t="s">
        <v>1869</v>
      </c>
      <c r="S77" s="214" t="s">
        <v>1861</v>
      </c>
      <c r="T77" s="85" t="s">
        <v>1491</v>
      </c>
      <c r="U77" t="s">
        <v>1953</v>
      </c>
      <c r="V77" t="s">
        <v>2813</v>
      </c>
    </row>
    <row r="78" spans="1:22" ht="15.75" thickBot="1" x14ac:dyDescent="0.3">
      <c r="A78" s="82" t="s">
        <v>3473</v>
      </c>
      <c r="B78" s="82" t="str">
        <f t="shared" si="4"/>
        <v>Barraqueiro Transportes, S.A.</v>
      </c>
      <c r="C78" s="82" t="str">
        <f t="shared" si="5"/>
        <v>Barraqueiro Oeste</v>
      </c>
      <c r="D78" s="83" t="s">
        <v>629</v>
      </c>
      <c r="E78" s="91" t="s">
        <v>1853</v>
      </c>
      <c r="F78" s="124" t="s">
        <v>620</v>
      </c>
      <c r="G78" s="304">
        <v>2004</v>
      </c>
      <c r="H78" s="312" t="s">
        <v>732</v>
      </c>
      <c r="I78" s="307" t="str">
        <f t="shared" si="6"/>
        <v>Pesado de Passageiros M3: III : Gasóleo : E3</v>
      </c>
      <c r="J78" s="125">
        <v>49</v>
      </c>
      <c r="K78" s="125">
        <v>2022</v>
      </c>
      <c r="L78" s="85">
        <v>23734.95</v>
      </c>
      <c r="M78" s="85" t="s">
        <v>630</v>
      </c>
      <c r="N78" s="128">
        <v>62619</v>
      </c>
      <c r="O78" s="128">
        <f t="shared" si="7"/>
        <v>3068331</v>
      </c>
      <c r="P78" s="125" t="s">
        <v>706</v>
      </c>
      <c r="Q78" s="85" t="s">
        <v>47</v>
      </c>
      <c r="R78" s="214" t="s">
        <v>1869</v>
      </c>
      <c r="S78" s="214" t="s">
        <v>1861</v>
      </c>
      <c r="T78" s="85" t="s">
        <v>1491</v>
      </c>
      <c r="U78" t="s">
        <v>1953</v>
      </c>
      <c r="V78" t="s">
        <v>2813</v>
      </c>
    </row>
    <row r="79" spans="1:22" ht="15.75" thickBot="1" x14ac:dyDescent="0.3">
      <c r="A79" s="82" t="s">
        <v>3473</v>
      </c>
      <c r="B79" s="82" t="str">
        <f t="shared" si="4"/>
        <v>Barraqueiro Transportes, S.A.</v>
      </c>
      <c r="C79" s="82" t="str">
        <f t="shared" si="5"/>
        <v>Barraqueiro Oeste</v>
      </c>
      <c r="D79" s="83" t="s">
        <v>629</v>
      </c>
      <c r="E79" s="91" t="s">
        <v>1853</v>
      </c>
      <c r="F79" s="124" t="s">
        <v>620</v>
      </c>
      <c r="G79" s="304">
        <v>2004</v>
      </c>
      <c r="H79" s="312" t="s">
        <v>732</v>
      </c>
      <c r="I79" s="307" t="str">
        <f t="shared" si="6"/>
        <v>Pesado de Passageiros M3: III : Gasóleo : E3</v>
      </c>
      <c r="J79" s="125">
        <v>55</v>
      </c>
      <c r="K79" s="125">
        <v>2022</v>
      </c>
      <c r="L79" s="85">
        <v>396.44000000000005</v>
      </c>
      <c r="M79" s="85" t="s">
        <v>630</v>
      </c>
      <c r="N79" s="128">
        <v>1015</v>
      </c>
      <c r="O79" s="128">
        <f t="shared" si="7"/>
        <v>55825</v>
      </c>
      <c r="P79" s="125" t="s">
        <v>707</v>
      </c>
      <c r="Q79" s="85" t="s">
        <v>47</v>
      </c>
      <c r="R79" s="214" t="s">
        <v>1869</v>
      </c>
      <c r="S79" s="214" t="s">
        <v>1861</v>
      </c>
      <c r="T79" s="85" t="s">
        <v>1491</v>
      </c>
      <c r="U79" t="s">
        <v>1953</v>
      </c>
      <c r="V79" t="s">
        <v>2813</v>
      </c>
    </row>
    <row r="80" spans="1:22" ht="15.75" thickBot="1" x14ac:dyDescent="0.3">
      <c r="A80" s="82" t="s">
        <v>3473</v>
      </c>
      <c r="B80" s="82" t="str">
        <f t="shared" si="4"/>
        <v>Barraqueiro Transportes, S.A.</v>
      </c>
      <c r="C80" s="82" t="str">
        <f t="shared" si="5"/>
        <v>Barraqueiro Oeste</v>
      </c>
      <c r="D80" s="83" t="s">
        <v>629</v>
      </c>
      <c r="E80" s="91" t="s">
        <v>1853</v>
      </c>
      <c r="F80" s="124" t="s">
        <v>620</v>
      </c>
      <c r="G80" s="304">
        <v>2004</v>
      </c>
      <c r="H80" s="312" t="s">
        <v>732</v>
      </c>
      <c r="I80" s="307" t="str">
        <f t="shared" si="6"/>
        <v>Pesado de Passageiros M3: III : Gasóleo : E3</v>
      </c>
      <c r="J80" s="125">
        <v>55</v>
      </c>
      <c r="K80" s="125">
        <v>2022</v>
      </c>
      <c r="L80" s="85">
        <v>18331.68</v>
      </c>
      <c r="M80" s="85" t="s">
        <v>630</v>
      </c>
      <c r="N80" s="128">
        <v>43101</v>
      </c>
      <c r="O80" s="128">
        <f t="shared" si="7"/>
        <v>2370555</v>
      </c>
      <c r="P80" s="125" t="s">
        <v>708</v>
      </c>
      <c r="Q80" s="85" t="s">
        <v>47</v>
      </c>
      <c r="R80" s="214" t="s">
        <v>1869</v>
      </c>
      <c r="S80" s="214" t="s">
        <v>1861</v>
      </c>
      <c r="T80" s="85" t="s">
        <v>1491</v>
      </c>
      <c r="U80" t="s">
        <v>1953</v>
      </c>
      <c r="V80" t="s">
        <v>2813</v>
      </c>
    </row>
    <row r="81" spans="1:22" ht="15.75" thickBot="1" x14ac:dyDescent="0.3">
      <c r="A81" s="82" t="s">
        <v>3473</v>
      </c>
      <c r="B81" s="82" t="str">
        <f t="shared" si="4"/>
        <v>Barraqueiro Transportes, S.A.</v>
      </c>
      <c r="C81" s="82" t="str">
        <f t="shared" si="5"/>
        <v>Barraqueiro Oeste</v>
      </c>
      <c r="D81" s="83" t="s">
        <v>629</v>
      </c>
      <c r="E81" s="91" t="s">
        <v>1853</v>
      </c>
      <c r="F81" s="124" t="s">
        <v>620</v>
      </c>
      <c r="G81" s="304">
        <v>2004</v>
      </c>
      <c r="H81" s="312" t="s">
        <v>732</v>
      </c>
      <c r="I81" s="307" t="str">
        <f t="shared" si="6"/>
        <v>Pesado de Passageiros M3: III : Gasóleo : E3</v>
      </c>
      <c r="J81" s="125">
        <v>55</v>
      </c>
      <c r="K81" s="125">
        <v>2022</v>
      </c>
      <c r="L81" s="85">
        <v>13682.288000000002</v>
      </c>
      <c r="M81" s="85" t="s">
        <v>630</v>
      </c>
      <c r="N81" s="128">
        <v>32065</v>
      </c>
      <c r="O81" s="128">
        <f t="shared" si="7"/>
        <v>1763575</v>
      </c>
      <c r="P81" s="125" t="s">
        <v>709</v>
      </c>
      <c r="Q81" s="85" t="s">
        <v>47</v>
      </c>
      <c r="R81" s="214" t="s">
        <v>1869</v>
      </c>
      <c r="S81" s="214" t="s">
        <v>1861</v>
      </c>
      <c r="T81" s="85" t="s">
        <v>1491</v>
      </c>
      <c r="U81" t="s">
        <v>1953</v>
      </c>
      <c r="V81" t="s">
        <v>2813</v>
      </c>
    </row>
    <row r="82" spans="1:22" ht="15.75" thickBot="1" x14ac:dyDescent="0.3">
      <c r="A82" s="82" t="s">
        <v>3473</v>
      </c>
      <c r="B82" s="82" t="str">
        <f t="shared" si="4"/>
        <v>Barraqueiro Transportes, S.A.</v>
      </c>
      <c r="C82" s="82" t="str">
        <f t="shared" si="5"/>
        <v>Barraqueiro Oeste</v>
      </c>
      <c r="D82" s="83" t="s">
        <v>629</v>
      </c>
      <c r="E82" s="91" t="s">
        <v>1853</v>
      </c>
      <c r="F82" s="124" t="s">
        <v>620</v>
      </c>
      <c r="G82" s="304">
        <v>2005</v>
      </c>
      <c r="H82" s="312" t="s">
        <v>732</v>
      </c>
      <c r="I82" s="307" t="str">
        <f t="shared" si="6"/>
        <v>Pesado de Passageiros M3: III : Gasóleo : E3</v>
      </c>
      <c r="J82" s="125">
        <v>66</v>
      </c>
      <c r="K82" s="125">
        <v>2022</v>
      </c>
      <c r="L82" s="85">
        <v>29475.360000000001</v>
      </c>
      <c r="M82" s="85" t="s">
        <v>630</v>
      </c>
      <c r="N82" s="128">
        <v>84990</v>
      </c>
      <c r="O82" s="128">
        <f t="shared" si="7"/>
        <v>5609340</v>
      </c>
      <c r="P82" s="125" t="s">
        <v>710</v>
      </c>
      <c r="Q82" s="85" t="s">
        <v>47</v>
      </c>
      <c r="R82" s="214" t="s">
        <v>1869</v>
      </c>
      <c r="S82" s="214" t="s">
        <v>1861</v>
      </c>
      <c r="T82" s="85" t="s">
        <v>1491</v>
      </c>
      <c r="U82" t="s">
        <v>1953</v>
      </c>
      <c r="V82" t="s">
        <v>2813</v>
      </c>
    </row>
    <row r="83" spans="1:22" ht="15.75" thickBot="1" x14ac:dyDescent="0.3">
      <c r="A83" s="82" t="s">
        <v>3473</v>
      </c>
      <c r="B83" s="82" t="str">
        <f t="shared" si="4"/>
        <v>Barraqueiro Transportes, S.A.</v>
      </c>
      <c r="C83" s="82" t="str">
        <f t="shared" si="5"/>
        <v>Barraqueiro Oeste</v>
      </c>
      <c r="D83" s="83" t="s">
        <v>629</v>
      </c>
      <c r="E83" s="91" t="s">
        <v>1853</v>
      </c>
      <c r="F83" s="124" t="s">
        <v>620</v>
      </c>
      <c r="G83" s="304">
        <v>2005</v>
      </c>
      <c r="H83" s="312" t="s">
        <v>732</v>
      </c>
      <c r="I83" s="307" t="str">
        <f t="shared" si="6"/>
        <v>Pesado de Passageiros M3: III : Gasóleo : E3</v>
      </c>
      <c r="J83" s="125">
        <v>66</v>
      </c>
      <c r="K83" s="125">
        <v>2022</v>
      </c>
      <c r="L83" s="85">
        <v>30447.382000000001</v>
      </c>
      <c r="M83" s="85" t="s">
        <v>630</v>
      </c>
      <c r="N83" s="128">
        <v>89443</v>
      </c>
      <c r="O83" s="128">
        <f t="shared" si="7"/>
        <v>5903238</v>
      </c>
      <c r="P83" s="125" t="s">
        <v>711</v>
      </c>
      <c r="Q83" s="85" t="s">
        <v>47</v>
      </c>
      <c r="R83" s="214" t="s">
        <v>1869</v>
      </c>
      <c r="S83" s="214" t="s">
        <v>1861</v>
      </c>
      <c r="T83" s="85" t="s">
        <v>1491</v>
      </c>
      <c r="U83" t="s">
        <v>1953</v>
      </c>
      <c r="V83" t="s">
        <v>2813</v>
      </c>
    </row>
    <row r="84" spans="1:22" ht="15.75" thickBot="1" x14ac:dyDescent="0.3">
      <c r="A84" s="82" t="s">
        <v>3473</v>
      </c>
      <c r="B84" s="82" t="str">
        <f t="shared" si="4"/>
        <v>Barraqueiro Transportes, S.A.</v>
      </c>
      <c r="C84" s="82" t="str">
        <f t="shared" si="5"/>
        <v>Barraqueiro Oeste</v>
      </c>
      <c r="D84" s="83" t="s">
        <v>629</v>
      </c>
      <c r="E84" s="91" t="s">
        <v>1853</v>
      </c>
      <c r="F84" s="124" t="s">
        <v>620</v>
      </c>
      <c r="G84" s="304">
        <v>2005</v>
      </c>
      <c r="H84" s="312" t="s">
        <v>732</v>
      </c>
      <c r="I84" s="307" t="str">
        <f t="shared" si="6"/>
        <v>Pesado de Passageiros M3: III : Gasóleo : E3</v>
      </c>
      <c r="J84" s="125">
        <v>37</v>
      </c>
      <c r="K84" s="125">
        <v>2022</v>
      </c>
      <c r="L84" s="85">
        <v>26339.739999999998</v>
      </c>
      <c r="M84" s="85" t="s">
        <v>630</v>
      </c>
      <c r="N84" s="128">
        <v>74032</v>
      </c>
      <c r="O84" s="128">
        <f t="shared" si="7"/>
        <v>2739184</v>
      </c>
      <c r="P84" s="125" t="s">
        <v>712</v>
      </c>
      <c r="Q84" s="85" t="s">
        <v>47</v>
      </c>
      <c r="R84" s="214" t="s">
        <v>1869</v>
      </c>
      <c r="S84" s="214" t="s">
        <v>1861</v>
      </c>
      <c r="T84" s="85" t="s">
        <v>1491</v>
      </c>
      <c r="U84" t="s">
        <v>1953</v>
      </c>
      <c r="V84" t="s">
        <v>2813</v>
      </c>
    </row>
    <row r="85" spans="1:22" ht="15.75" thickBot="1" x14ac:dyDescent="0.3">
      <c r="A85" s="82" t="s">
        <v>3473</v>
      </c>
      <c r="B85" s="82" t="str">
        <f t="shared" si="4"/>
        <v>Barraqueiro Transportes, S.A.</v>
      </c>
      <c r="C85" s="82" t="str">
        <f t="shared" si="5"/>
        <v>Barraqueiro Oeste</v>
      </c>
      <c r="D85" s="83" t="s">
        <v>629</v>
      </c>
      <c r="E85" s="91" t="s">
        <v>1853</v>
      </c>
      <c r="F85" s="124" t="s">
        <v>620</v>
      </c>
      <c r="G85" s="304">
        <v>2005</v>
      </c>
      <c r="H85" s="312" t="s">
        <v>732</v>
      </c>
      <c r="I85" s="307" t="str">
        <f t="shared" si="6"/>
        <v>Pesado de Passageiros M3: III : Gasóleo : E3</v>
      </c>
      <c r="J85" s="125">
        <v>37</v>
      </c>
      <c r="K85" s="125">
        <v>2022</v>
      </c>
      <c r="L85" s="85">
        <v>21581.800000000003</v>
      </c>
      <c r="M85" s="85" t="s">
        <v>630</v>
      </c>
      <c r="N85" s="128">
        <v>61792</v>
      </c>
      <c r="O85" s="128">
        <f t="shared" si="7"/>
        <v>2286304</v>
      </c>
      <c r="P85" s="125" t="s">
        <v>713</v>
      </c>
      <c r="Q85" s="85" t="s">
        <v>47</v>
      </c>
      <c r="R85" s="214" t="s">
        <v>1869</v>
      </c>
      <c r="S85" s="214" t="s">
        <v>1861</v>
      </c>
      <c r="T85" s="85" t="s">
        <v>1491</v>
      </c>
      <c r="U85" t="s">
        <v>1953</v>
      </c>
      <c r="V85" t="s">
        <v>2813</v>
      </c>
    </row>
    <row r="86" spans="1:22" ht="15.75" thickBot="1" x14ac:dyDescent="0.3">
      <c r="A86" s="82" t="s">
        <v>3473</v>
      </c>
      <c r="B86" s="82" t="str">
        <f t="shared" si="4"/>
        <v>Barraqueiro Transportes, S.A.</v>
      </c>
      <c r="C86" s="82" t="str">
        <f t="shared" si="5"/>
        <v>Barraqueiro Oeste</v>
      </c>
      <c r="D86" s="83" t="s">
        <v>629</v>
      </c>
      <c r="E86" s="91" t="s">
        <v>1853</v>
      </c>
      <c r="F86" s="124" t="s">
        <v>620</v>
      </c>
      <c r="G86" s="304">
        <v>2005</v>
      </c>
      <c r="H86" s="312" t="s">
        <v>732</v>
      </c>
      <c r="I86" s="307" t="str">
        <f t="shared" si="6"/>
        <v>Pesado de Passageiros M3: III : Gasóleo : E3</v>
      </c>
      <c r="J86" s="125">
        <v>37</v>
      </c>
      <c r="K86" s="125">
        <v>2022</v>
      </c>
      <c r="L86" s="85">
        <v>26180.250000000004</v>
      </c>
      <c r="M86" s="85" t="s">
        <v>630</v>
      </c>
      <c r="N86" s="128">
        <v>73022</v>
      </c>
      <c r="O86" s="128">
        <f t="shared" si="7"/>
        <v>2701814</v>
      </c>
      <c r="P86" s="125" t="s">
        <v>714</v>
      </c>
      <c r="Q86" s="85" t="s">
        <v>47</v>
      </c>
      <c r="R86" s="214" t="s">
        <v>1869</v>
      </c>
      <c r="S86" s="214" t="s">
        <v>1861</v>
      </c>
      <c r="T86" s="85" t="s">
        <v>1491</v>
      </c>
      <c r="U86" t="s">
        <v>1953</v>
      </c>
      <c r="V86" t="s">
        <v>2813</v>
      </c>
    </row>
    <row r="87" spans="1:22" ht="15.75" thickBot="1" x14ac:dyDescent="0.3">
      <c r="A87" s="82" t="s">
        <v>3473</v>
      </c>
      <c r="B87" s="82" t="str">
        <f t="shared" si="4"/>
        <v>Barraqueiro Transportes, S.A.</v>
      </c>
      <c r="C87" s="82" t="str">
        <f t="shared" si="5"/>
        <v>Barraqueiro Oeste</v>
      </c>
      <c r="D87" s="83" t="s">
        <v>629</v>
      </c>
      <c r="E87" s="91" t="s">
        <v>1853</v>
      </c>
      <c r="F87" s="124" t="s">
        <v>620</v>
      </c>
      <c r="G87" s="304">
        <v>2005</v>
      </c>
      <c r="H87" s="312" t="s">
        <v>732</v>
      </c>
      <c r="I87" s="307" t="str">
        <f t="shared" si="6"/>
        <v>Pesado de Passageiros M3: III : Gasóleo : E3</v>
      </c>
      <c r="J87" s="125">
        <v>37</v>
      </c>
      <c r="K87" s="125">
        <v>2022</v>
      </c>
      <c r="L87" s="85">
        <v>24396.719999999998</v>
      </c>
      <c r="M87" s="85" t="s">
        <v>630</v>
      </c>
      <c r="N87" s="128">
        <v>69096</v>
      </c>
      <c r="O87" s="128">
        <f t="shared" si="7"/>
        <v>2556552</v>
      </c>
      <c r="P87" s="125" t="s">
        <v>715</v>
      </c>
      <c r="Q87" s="85" t="s">
        <v>47</v>
      </c>
      <c r="R87" s="214" t="s">
        <v>1869</v>
      </c>
      <c r="S87" s="214" t="s">
        <v>1861</v>
      </c>
      <c r="T87" s="85" t="s">
        <v>1491</v>
      </c>
      <c r="U87" t="s">
        <v>1953</v>
      </c>
      <c r="V87" t="s">
        <v>2813</v>
      </c>
    </row>
    <row r="88" spans="1:22" ht="15.75" thickBot="1" x14ac:dyDescent="0.3">
      <c r="A88" s="82" t="s">
        <v>3473</v>
      </c>
      <c r="B88" s="82" t="str">
        <f t="shared" si="4"/>
        <v>Barraqueiro Transportes, S.A.</v>
      </c>
      <c r="C88" s="82" t="str">
        <f t="shared" si="5"/>
        <v>Barraqueiro Oeste</v>
      </c>
      <c r="D88" s="83" t="s">
        <v>629</v>
      </c>
      <c r="E88" s="91" t="s">
        <v>1853</v>
      </c>
      <c r="F88" s="124" t="s">
        <v>620</v>
      </c>
      <c r="G88" s="304">
        <v>2007</v>
      </c>
      <c r="H88" s="312" t="s">
        <v>731</v>
      </c>
      <c r="I88" s="307" t="str">
        <f t="shared" si="6"/>
        <v>Pesado de Passageiros M3: III : Gasóleo : E4</v>
      </c>
      <c r="J88" s="125">
        <v>55</v>
      </c>
      <c r="K88" s="125">
        <v>2022</v>
      </c>
      <c r="L88" s="85">
        <v>32162.57</v>
      </c>
      <c r="M88" s="85" t="s">
        <v>630</v>
      </c>
      <c r="N88" s="128">
        <v>94218</v>
      </c>
      <c r="O88" s="128">
        <f t="shared" si="7"/>
        <v>5181990</v>
      </c>
      <c r="P88" s="125" t="s">
        <v>716</v>
      </c>
      <c r="Q88" s="85" t="s">
        <v>47</v>
      </c>
      <c r="R88" s="214" t="s">
        <v>1869</v>
      </c>
      <c r="S88" s="214" t="s">
        <v>1861</v>
      </c>
      <c r="T88" s="85" t="s">
        <v>1491</v>
      </c>
      <c r="U88" t="s">
        <v>1953</v>
      </c>
      <c r="V88" t="s">
        <v>2813</v>
      </c>
    </row>
    <row r="89" spans="1:22" ht="15.75" thickBot="1" x14ac:dyDescent="0.3">
      <c r="A89" s="82" t="s">
        <v>3473</v>
      </c>
      <c r="B89" s="82" t="str">
        <f t="shared" si="4"/>
        <v>Barraqueiro Transportes, S.A.</v>
      </c>
      <c r="C89" s="82" t="str">
        <f t="shared" si="5"/>
        <v>Barraqueiro Oeste</v>
      </c>
      <c r="D89" s="83" t="s">
        <v>629</v>
      </c>
      <c r="E89" s="91" t="s">
        <v>1853</v>
      </c>
      <c r="F89" s="124" t="s">
        <v>620</v>
      </c>
      <c r="G89" s="304">
        <v>2007</v>
      </c>
      <c r="H89" s="312" t="s">
        <v>731</v>
      </c>
      <c r="I89" s="307" t="str">
        <f t="shared" si="6"/>
        <v>Pesado de Passageiros M3: III : Gasóleo : E4</v>
      </c>
      <c r="J89" s="125">
        <v>55</v>
      </c>
      <c r="K89" s="125">
        <v>2022</v>
      </c>
      <c r="L89" s="85">
        <v>167.89</v>
      </c>
      <c r="M89" s="85" t="s">
        <v>630</v>
      </c>
      <c r="N89" s="128">
        <v>493</v>
      </c>
      <c r="O89" s="128">
        <f t="shared" si="7"/>
        <v>27115</v>
      </c>
      <c r="P89" s="125" t="s">
        <v>717</v>
      </c>
      <c r="Q89" s="85" t="s">
        <v>47</v>
      </c>
      <c r="R89" s="214" t="s">
        <v>1869</v>
      </c>
      <c r="S89" s="214" t="s">
        <v>1861</v>
      </c>
      <c r="T89" s="85" t="s">
        <v>1491</v>
      </c>
      <c r="U89" t="s">
        <v>1953</v>
      </c>
      <c r="V89" t="s">
        <v>2813</v>
      </c>
    </row>
    <row r="90" spans="1:22" ht="15.75" thickBot="1" x14ac:dyDescent="0.3">
      <c r="A90" s="82" t="s">
        <v>3473</v>
      </c>
      <c r="B90" s="82" t="str">
        <f t="shared" si="4"/>
        <v>Barraqueiro Transportes, S.A.</v>
      </c>
      <c r="C90" s="82" t="str">
        <f t="shared" si="5"/>
        <v>Barraqueiro Oeste</v>
      </c>
      <c r="D90" s="83" t="s">
        <v>629</v>
      </c>
      <c r="E90" s="91" t="s">
        <v>1853</v>
      </c>
      <c r="F90" s="124" t="s">
        <v>620</v>
      </c>
      <c r="G90" s="304">
        <v>2007</v>
      </c>
      <c r="H90" s="312" t="s">
        <v>731</v>
      </c>
      <c r="I90" s="307" t="str">
        <f t="shared" si="6"/>
        <v>Pesado de Passageiros M3: III : Gasóleo : E4</v>
      </c>
      <c r="J90" s="125">
        <v>55</v>
      </c>
      <c r="K90" s="125">
        <v>2022</v>
      </c>
      <c r="L90" s="85">
        <v>13114.44</v>
      </c>
      <c r="M90" s="85" t="s">
        <v>630</v>
      </c>
      <c r="N90" s="128">
        <v>34761</v>
      </c>
      <c r="O90" s="128">
        <f t="shared" si="7"/>
        <v>1911855</v>
      </c>
      <c r="P90" s="125" t="s">
        <v>718</v>
      </c>
      <c r="Q90" s="85" t="s">
        <v>47</v>
      </c>
      <c r="R90" s="214" t="s">
        <v>1869</v>
      </c>
      <c r="S90" s="214" t="s">
        <v>1861</v>
      </c>
      <c r="T90" s="85" t="s">
        <v>1491</v>
      </c>
      <c r="U90" t="s">
        <v>1953</v>
      </c>
      <c r="V90" t="s">
        <v>2813</v>
      </c>
    </row>
    <row r="91" spans="1:22" ht="15.75" thickBot="1" x14ac:dyDescent="0.3">
      <c r="A91" s="82" t="s">
        <v>3473</v>
      </c>
      <c r="B91" s="82" t="str">
        <f t="shared" si="4"/>
        <v>Barraqueiro Transportes, S.A.</v>
      </c>
      <c r="C91" s="82" t="str">
        <f t="shared" si="5"/>
        <v>Barraqueiro Oeste</v>
      </c>
      <c r="D91" s="83" t="s">
        <v>629</v>
      </c>
      <c r="E91" s="91" t="s">
        <v>1853</v>
      </c>
      <c r="F91" s="124" t="s">
        <v>620</v>
      </c>
      <c r="G91" s="304">
        <v>2008</v>
      </c>
      <c r="H91" s="312" t="s">
        <v>731</v>
      </c>
      <c r="I91" s="307" t="str">
        <f t="shared" si="6"/>
        <v>Pesado de Passageiros M3: III : Gasóleo : E4</v>
      </c>
      <c r="J91" s="125">
        <v>53</v>
      </c>
      <c r="K91" s="125">
        <v>2022</v>
      </c>
      <c r="L91" s="85">
        <v>23804.739999999994</v>
      </c>
      <c r="M91" s="85" t="s">
        <v>630</v>
      </c>
      <c r="N91" s="128">
        <v>66781</v>
      </c>
      <c r="O91" s="128">
        <f t="shared" si="7"/>
        <v>3539393</v>
      </c>
      <c r="P91" s="125" t="s">
        <v>719</v>
      </c>
      <c r="Q91" s="85" t="s">
        <v>47</v>
      </c>
      <c r="R91" s="214" t="s">
        <v>1869</v>
      </c>
      <c r="S91" s="214" t="s">
        <v>1861</v>
      </c>
      <c r="T91" s="85" t="s">
        <v>1491</v>
      </c>
      <c r="U91" t="s">
        <v>1953</v>
      </c>
      <c r="V91" t="s">
        <v>2813</v>
      </c>
    </row>
    <row r="92" spans="1:22" ht="15.75" thickBot="1" x14ac:dyDescent="0.3">
      <c r="A92" s="82" t="s">
        <v>3473</v>
      </c>
      <c r="B92" s="82" t="str">
        <f t="shared" si="4"/>
        <v>Barraqueiro Transportes, S.A.</v>
      </c>
      <c r="C92" s="82" t="str">
        <f t="shared" si="5"/>
        <v>Barraqueiro Oeste</v>
      </c>
      <c r="D92" s="83" t="s">
        <v>629</v>
      </c>
      <c r="E92" s="91" t="s">
        <v>1853</v>
      </c>
      <c r="F92" s="124" t="s">
        <v>620</v>
      </c>
      <c r="G92" s="304">
        <v>2008</v>
      </c>
      <c r="H92" s="312" t="s">
        <v>731</v>
      </c>
      <c r="I92" s="307" t="str">
        <f t="shared" si="6"/>
        <v>Pesado de Passageiros M3: III : Gasóleo : E4</v>
      </c>
      <c r="J92" s="125">
        <v>53</v>
      </c>
      <c r="K92" s="125">
        <v>2022</v>
      </c>
      <c r="L92" s="85">
        <v>30463.319</v>
      </c>
      <c r="M92" s="85" t="s">
        <v>630</v>
      </c>
      <c r="N92" s="128">
        <v>87059</v>
      </c>
      <c r="O92" s="128">
        <f t="shared" si="7"/>
        <v>4614127</v>
      </c>
      <c r="P92" s="125" t="s">
        <v>720</v>
      </c>
      <c r="Q92" s="85" t="s">
        <v>47</v>
      </c>
      <c r="R92" s="214" t="s">
        <v>1869</v>
      </c>
      <c r="S92" s="214" t="s">
        <v>1861</v>
      </c>
      <c r="T92" s="85" t="s">
        <v>1491</v>
      </c>
      <c r="U92" t="s">
        <v>1953</v>
      </c>
      <c r="V92" t="s">
        <v>2813</v>
      </c>
    </row>
    <row r="93" spans="1:22" ht="15.75" thickBot="1" x14ac:dyDescent="0.3">
      <c r="A93" s="82" t="s">
        <v>3473</v>
      </c>
      <c r="B93" s="82" t="str">
        <f t="shared" si="4"/>
        <v>Barraqueiro Transportes, S.A.</v>
      </c>
      <c r="C93" s="82" t="str">
        <f t="shared" si="5"/>
        <v>Barraqueiro Oeste</v>
      </c>
      <c r="D93" s="83" t="s">
        <v>629</v>
      </c>
      <c r="E93" s="91" t="s">
        <v>1853</v>
      </c>
      <c r="F93" s="124" t="s">
        <v>620</v>
      </c>
      <c r="G93" s="304">
        <v>2008</v>
      </c>
      <c r="H93" s="312" t="s">
        <v>731</v>
      </c>
      <c r="I93" s="307" t="str">
        <f t="shared" si="6"/>
        <v>Pesado de Passageiros M3: III : Gasóleo : E4</v>
      </c>
      <c r="J93" s="125">
        <v>53</v>
      </c>
      <c r="K93" s="125">
        <v>2022</v>
      </c>
      <c r="L93" s="85">
        <v>22606.762000000002</v>
      </c>
      <c r="M93" s="85" t="s">
        <v>630</v>
      </c>
      <c r="N93" s="128">
        <v>61165</v>
      </c>
      <c r="O93" s="128">
        <f t="shared" si="7"/>
        <v>3241745</v>
      </c>
      <c r="P93" s="125" t="s">
        <v>721</v>
      </c>
      <c r="Q93" s="85" t="s">
        <v>47</v>
      </c>
      <c r="R93" s="214" t="s">
        <v>1869</v>
      </c>
      <c r="S93" s="214" t="s">
        <v>1861</v>
      </c>
      <c r="T93" s="85" t="s">
        <v>1491</v>
      </c>
      <c r="U93" t="s">
        <v>1953</v>
      </c>
      <c r="V93" t="s">
        <v>2813</v>
      </c>
    </row>
    <row r="94" spans="1:22" ht="15.75" thickBot="1" x14ac:dyDescent="0.3">
      <c r="A94" s="82" t="s">
        <v>3473</v>
      </c>
      <c r="B94" s="82" t="str">
        <f t="shared" si="4"/>
        <v>Barraqueiro Transportes, S.A.</v>
      </c>
      <c r="C94" s="82" t="str">
        <f t="shared" si="5"/>
        <v>Barraqueiro Oeste</v>
      </c>
      <c r="D94" s="83" t="s">
        <v>629</v>
      </c>
      <c r="E94" s="91" t="s">
        <v>1853</v>
      </c>
      <c r="F94" s="124" t="s">
        <v>620</v>
      </c>
      <c r="G94" s="304">
        <v>2011</v>
      </c>
      <c r="H94" s="312" t="s">
        <v>734</v>
      </c>
      <c r="I94" s="307" t="str">
        <f t="shared" si="6"/>
        <v>Pesado de Passageiros M3: III : Gasóleo : E5</v>
      </c>
      <c r="J94" s="125">
        <v>53</v>
      </c>
      <c r="K94" s="125">
        <v>2022</v>
      </c>
      <c r="L94" s="85">
        <v>28818.769</v>
      </c>
      <c r="M94" s="85" t="s">
        <v>630</v>
      </c>
      <c r="N94" s="128">
        <v>85004</v>
      </c>
      <c r="O94" s="128">
        <f t="shared" si="7"/>
        <v>4505212</v>
      </c>
      <c r="P94" s="125" t="s">
        <v>722</v>
      </c>
      <c r="Q94" s="85" t="s">
        <v>47</v>
      </c>
      <c r="R94" s="214" t="s">
        <v>1869</v>
      </c>
      <c r="S94" s="214" t="s">
        <v>1861</v>
      </c>
      <c r="T94" s="85" t="s">
        <v>1491</v>
      </c>
      <c r="U94" t="s">
        <v>1953</v>
      </c>
      <c r="V94" t="s">
        <v>2813</v>
      </c>
    </row>
    <row r="95" spans="1:22" ht="15.75" thickBot="1" x14ac:dyDescent="0.3">
      <c r="A95" s="82" t="s">
        <v>3473</v>
      </c>
      <c r="B95" s="82" t="str">
        <f t="shared" si="4"/>
        <v>Barraqueiro Transportes, S.A.</v>
      </c>
      <c r="C95" s="82" t="str">
        <f t="shared" si="5"/>
        <v>Barraqueiro Oeste</v>
      </c>
      <c r="D95" s="83" t="s">
        <v>629</v>
      </c>
      <c r="E95" s="91" t="s">
        <v>1853</v>
      </c>
      <c r="F95" s="124" t="s">
        <v>620</v>
      </c>
      <c r="G95" s="304">
        <v>2012</v>
      </c>
      <c r="H95" s="312" t="s">
        <v>734</v>
      </c>
      <c r="I95" s="307" t="str">
        <f t="shared" si="6"/>
        <v>Pesado de Passageiros M3: III : Gasóleo : E5</v>
      </c>
      <c r="J95" s="125">
        <v>53</v>
      </c>
      <c r="K95" s="125">
        <v>2022</v>
      </c>
      <c r="L95" s="85">
        <v>35979.361000000004</v>
      </c>
      <c r="M95" s="85" t="s">
        <v>630</v>
      </c>
      <c r="N95" s="128">
        <v>114644</v>
      </c>
      <c r="O95" s="128">
        <f t="shared" si="7"/>
        <v>6076132</v>
      </c>
      <c r="P95" s="125" t="s">
        <v>723</v>
      </c>
      <c r="Q95" s="85" t="s">
        <v>47</v>
      </c>
      <c r="R95" s="214" t="s">
        <v>1869</v>
      </c>
      <c r="S95" s="214" t="s">
        <v>1861</v>
      </c>
      <c r="T95" s="85" t="s">
        <v>1491</v>
      </c>
      <c r="U95" t="s">
        <v>1953</v>
      </c>
      <c r="V95" t="s">
        <v>2813</v>
      </c>
    </row>
    <row r="96" spans="1:22" ht="15.75" thickBot="1" x14ac:dyDescent="0.3">
      <c r="A96" s="82" t="s">
        <v>3473</v>
      </c>
      <c r="B96" s="82" t="str">
        <f t="shared" si="4"/>
        <v>Barraqueiro Transportes, S.A.</v>
      </c>
      <c r="C96" s="82" t="str">
        <f t="shared" si="5"/>
        <v>Barraqueiro Oeste</v>
      </c>
      <c r="D96" s="83" t="s">
        <v>629</v>
      </c>
      <c r="E96" s="91" t="s">
        <v>1853</v>
      </c>
      <c r="F96" s="124" t="s">
        <v>620</v>
      </c>
      <c r="G96" s="304">
        <v>2012</v>
      </c>
      <c r="H96" s="312" t="s">
        <v>734</v>
      </c>
      <c r="I96" s="307" t="str">
        <f t="shared" si="6"/>
        <v>Pesado de Passageiros M3: III : Gasóleo : E5</v>
      </c>
      <c r="J96" s="125">
        <v>53</v>
      </c>
      <c r="K96" s="125">
        <v>2022</v>
      </c>
      <c r="L96" s="85">
        <v>32929.273000000001</v>
      </c>
      <c r="M96" s="85" t="s">
        <v>630</v>
      </c>
      <c r="N96" s="128">
        <v>102431</v>
      </c>
      <c r="O96" s="128">
        <f t="shared" si="7"/>
        <v>5428843</v>
      </c>
      <c r="P96" s="125" t="s">
        <v>724</v>
      </c>
      <c r="Q96" s="85" t="s">
        <v>47</v>
      </c>
      <c r="R96" s="214" t="s">
        <v>1869</v>
      </c>
      <c r="S96" s="214" t="s">
        <v>1861</v>
      </c>
      <c r="T96" s="85" t="s">
        <v>1491</v>
      </c>
      <c r="U96" t="s">
        <v>1953</v>
      </c>
      <c r="V96" t="s">
        <v>2813</v>
      </c>
    </row>
    <row r="97" spans="1:22" ht="15.75" thickBot="1" x14ac:dyDescent="0.3">
      <c r="A97" s="82" t="s">
        <v>3473</v>
      </c>
      <c r="B97" s="82" t="str">
        <f t="shared" si="4"/>
        <v>Barraqueiro Transportes, S.A.</v>
      </c>
      <c r="C97" s="82" t="str">
        <f t="shared" si="5"/>
        <v>Barraqueiro Oeste</v>
      </c>
      <c r="D97" s="83" t="s">
        <v>629</v>
      </c>
      <c r="E97" s="91" t="s">
        <v>1853</v>
      </c>
      <c r="F97" s="124" t="s">
        <v>620</v>
      </c>
      <c r="G97" s="304">
        <v>2013</v>
      </c>
      <c r="H97" s="312" t="s">
        <v>733</v>
      </c>
      <c r="I97" s="307" t="str">
        <f t="shared" si="6"/>
        <v>Pesado de Passageiros M3: III : Gasóleo : E6</v>
      </c>
      <c r="J97" s="125">
        <v>53</v>
      </c>
      <c r="K97" s="125">
        <v>2022</v>
      </c>
      <c r="L97" s="85">
        <v>21326.17</v>
      </c>
      <c r="M97" s="85" t="s">
        <v>630</v>
      </c>
      <c r="N97" s="128">
        <v>62763</v>
      </c>
      <c r="O97" s="128">
        <f t="shared" si="7"/>
        <v>3326439</v>
      </c>
      <c r="P97" s="125" t="s">
        <v>725</v>
      </c>
      <c r="Q97" s="85" t="s">
        <v>47</v>
      </c>
      <c r="R97" s="214" t="s">
        <v>1869</v>
      </c>
      <c r="S97" s="214" t="s">
        <v>1861</v>
      </c>
      <c r="T97" s="85" t="s">
        <v>1491</v>
      </c>
      <c r="U97" t="s">
        <v>1953</v>
      </c>
      <c r="V97" t="s">
        <v>2813</v>
      </c>
    </row>
    <row r="98" spans="1:22" ht="15.75" thickBot="1" x14ac:dyDescent="0.3">
      <c r="A98" s="82" t="s">
        <v>3473</v>
      </c>
      <c r="B98" s="82" t="str">
        <f t="shared" si="4"/>
        <v>Barraqueiro Transportes, S.A.</v>
      </c>
      <c r="C98" s="82" t="str">
        <f t="shared" si="5"/>
        <v>Barraqueiro Oeste</v>
      </c>
      <c r="D98" s="83" t="s">
        <v>629</v>
      </c>
      <c r="E98" s="91" t="s">
        <v>1853</v>
      </c>
      <c r="F98" s="124" t="s">
        <v>620</v>
      </c>
      <c r="G98" s="304">
        <v>2013</v>
      </c>
      <c r="H98" s="312" t="s">
        <v>733</v>
      </c>
      <c r="I98" s="307" t="str">
        <f t="shared" si="6"/>
        <v>Pesado de Passageiros M3: III : Gasóleo : E6</v>
      </c>
      <c r="J98" s="125">
        <v>53</v>
      </c>
      <c r="K98" s="125">
        <v>2022</v>
      </c>
      <c r="L98" s="85">
        <v>24436.764999999999</v>
      </c>
      <c r="M98" s="85" t="s">
        <v>630</v>
      </c>
      <c r="N98" s="128">
        <v>72319</v>
      </c>
      <c r="O98" s="128">
        <f t="shared" si="7"/>
        <v>3832907</v>
      </c>
      <c r="P98" s="125" t="s">
        <v>726</v>
      </c>
      <c r="Q98" s="85" t="s">
        <v>47</v>
      </c>
      <c r="R98" s="214" t="s">
        <v>1869</v>
      </c>
      <c r="S98" s="214" t="s">
        <v>1861</v>
      </c>
      <c r="T98" s="85" t="s">
        <v>1491</v>
      </c>
      <c r="U98" t="s">
        <v>1953</v>
      </c>
      <c r="V98" t="s">
        <v>2813</v>
      </c>
    </row>
    <row r="99" spans="1:22" ht="15.75" thickBot="1" x14ac:dyDescent="0.3">
      <c r="A99" s="82" t="s">
        <v>3473</v>
      </c>
      <c r="B99" s="82" t="str">
        <f t="shared" si="4"/>
        <v>Barraqueiro Transportes, S.A.</v>
      </c>
      <c r="C99" s="82" t="str">
        <f t="shared" si="5"/>
        <v>Barraqueiro Oeste</v>
      </c>
      <c r="D99" s="83" t="s">
        <v>629</v>
      </c>
      <c r="E99" s="91" t="s">
        <v>1853</v>
      </c>
      <c r="F99" s="124" t="s">
        <v>620</v>
      </c>
      <c r="G99" s="304">
        <v>2013</v>
      </c>
      <c r="H99" s="312" t="s">
        <v>733</v>
      </c>
      <c r="I99" s="307" t="str">
        <f t="shared" si="6"/>
        <v>Pesado de Passageiros M3: III : Gasóleo : E6</v>
      </c>
      <c r="J99" s="125">
        <v>53</v>
      </c>
      <c r="K99" s="125">
        <v>2022</v>
      </c>
      <c r="L99" s="85">
        <v>34362.79</v>
      </c>
      <c r="M99" s="85" t="s">
        <v>630</v>
      </c>
      <c r="N99" s="128">
        <v>104421</v>
      </c>
      <c r="O99" s="128">
        <f t="shared" si="7"/>
        <v>5534313</v>
      </c>
      <c r="P99" s="125" t="s">
        <v>727</v>
      </c>
      <c r="Q99" s="85" t="s">
        <v>47</v>
      </c>
      <c r="R99" s="214" t="s">
        <v>1869</v>
      </c>
      <c r="S99" s="214" t="s">
        <v>1861</v>
      </c>
      <c r="T99" s="85" t="s">
        <v>1491</v>
      </c>
      <c r="U99" t="s">
        <v>1953</v>
      </c>
      <c r="V99" t="s">
        <v>2813</v>
      </c>
    </row>
    <row r="100" spans="1:22" ht="15.75" thickBot="1" x14ac:dyDescent="0.3">
      <c r="A100" s="82" t="s">
        <v>3473</v>
      </c>
      <c r="B100" s="82" t="str">
        <f t="shared" si="4"/>
        <v>Barraqueiro Transportes, S.A.</v>
      </c>
      <c r="C100" s="82" t="str">
        <f t="shared" si="5"/>
        <v>Barraqueiro Oeste</v>
      </c>
      <c r="D100" s="83" t="s">
        <v>629</v>
      </c>
      <c r="E100" s="91" t="s">
        <v>1853</v>
      </c>
      <c r="F100" s="124" t="s">
        <v>620</v>
      </c>
      <c r="G100" s="304">
        <v>2013</v>
      </c>
      <c r="H100" s="312" t="s">
        <v>733</v>
      </c>
      <c r="I100" s="307" t="str">
        <f t="shared" si="6"/>
        <v>Pesado de Passageiros M3: III : Gasóleo : E6</v>
      </c>
      <c r="J100" s="125">
        <v>53</v>
      </c>
      <c r="K100" s="125">
        <v>2022</v>
      </c>
      <c r="L100" s="85">
        <v>31002.146999999997</v>
      </c>
      <c r="M100" s="85" t="s">
        <v>630</v>
      </c>
      <c r="N100" s="128">
        <v>95463</v>
      </c>
      <c r="O100" s="128">
        <f t="shared" si="7"/>
        <v>5059539</v>
      </c>
      <c r="P100" s="125" t="s">
        <v>728</v>
      </c>
      <c r="Q100" s="85" t="s">
        <v>47</v>
      </c>
      <c r="R100" s="214" t="s">
        <v>1869</v>
      </c>
      <c r="S100" s="214" t="s">
        <v>1861</v>
      </c>
      <c r="T100" s="85" t="s">
        <v>1491</v>
      </c>
      <c r="U100" t="s">
        <v>1953</v>
      </c>
      <c r="V100" t="s">
        <v>2813</v>
      </c>
    </row>
    <row r="101" spans="1:22" ht="15.75" thickBot="1" x14ac:dyDescent="0.3">
      <c r="A101" s="82" t="s">
        <v>3473</v>
      </c>
      <c r="B101" s="82" t="str">
        <f t="shared" si="4"/>
        <v>Barraqueiro Transportes, S.A.</v>
      </c>
      <c r="C101" s="82" t="str">
        <f t="shared" si="5"/>
        <v>Barraqueiro Oeste</v>
      </c>
      <c r="D101" s="83" t="s">
        <v>629</v>
      </c>
      <c r="E101" s="91" t="s">
        <v>1853</v>
      </c>
      <c r="F101" s="124" t="s">
        <v>620</v>
      </c>
      <c r="G101" s="304">
        <v>2013</v>
      </c>
      <c r="H101" s="312" t="s">
        <v>733</v>
      </c>
      <c r="I101" s="307" t="str">
        <f t="shared" si="6"/>
        <v>Pesado de Passageiros M3: III : Gasóleo : E6</v>
      </c>
      <c r="J101" s="125">
        <v>53</v>
      </c>
      <c r="K101" s="125">
        <v>2022</v>
      </c>
      <c r="L101" s="85">
        <v>22341.880000000005</v>
      </c>
      <c r="M101" s="85" t="s">
        <v>630</v>
      </c>
      <c r="N101" s="128">
        <v>65301</v>
      </c>
      <c r="O101" s="128">
        <f t="shared" si="7"/>
        <v>3460953</v>
      </c>
      <c r="P101" s="125" t="s">
        <v>729</v>
      </c>
      <c r="Q101" s="85" t="s">
        <v>47</v>
      </c>
      <c r="R101" s="214" t="s">
        <v>1869</v>
      </c>
      <c r="S101" s="214" t="s">
        <v>1861</v>
      </c>
      <c r="T101" s="85" t="s">
        <v>1491</v>
      </c>
      <c r="U101" t="s">
        <v>1953</v>
      </c>
      <c r="V101" t="s">
        <v>2813</v>
      </c>
    </row>
    <row r="102" spans="1:22" ht="15.75" thickBot="1" x14ac:dyDescent="0.3">
      <c r="A102" s="82" t="s">
        <v>3474</v>
      </c>
      <c r="B102" s="82" t="str">
        <f t="shared" si="4"/>
        <v>Barraqueiro Transportes, S.A.</v>
      </c>
      <c r="C102" s="82" t="str">
        <f t="shared" si="5"/>
        <v>Boa Viagem</v>
      </c>
      <c r="D102" s="83" t="s">
        <v>629</v>
      </c>
      <c r="E102" s="91" t="s">
        <v>1853</v>
      </c>
      <c r="F102" s="124" t="s">
        <v>620</v>
      </c>
      <c r="G102" s="304">
        <v>1994</v>
      </c>
      <c r="H102" s="312" t="s">
        <v>736</v>
      </c>
      <c r="I102" s="307" t="str">
        <f t="shared" si="6"/>
        <v>Pesado de Passageiros M3: III : Gasóleo : E1</v>
      </c>
      <c r="J102" s="125">
        <v>48</v>
      </c>
      <c r="K102" s="125">
        <v>2022</v>
      </c>
      <c r="L102" s="85">
        <v>15217.359999999997</v>
      </c>
      <c r="M102" s="85" t="s">
        <v>630</v>
      </c>
      <c r="N102" s="128">
        <v>41034</v>
      </c>
      <c r="O102" s="128">
        <f t="shared" si="7"/>
        <v>1969632</v>
      </c>
      <c r="P102" s="125" t="s">
        <v>737</v>
      </c>
      <c r="Q102" s="85" t="s">
        <v>47</v>
      </c>
      <c r="R102" s="214" t="s">
        <v>1869</v>
      </c>
      <c r="S102" s="214" t="s">
        <v>1861</v>
      </c>
      <c r="T102" s="85" t="s">
        <v>1491</v>
      </c>
      <c r="U102" t="s">
        <v>1953</v>
      </c>
      <c r="V102" t="s">
        <v>2813</v>
      </c>
    </row>
    <row r="103" spans="1:22" ht="15.75" thickBot="1" x14ac:dyDescent="0.3">
      <c r="A103" s="82" t="s">
        <v>3474</v>
      </c>
      <c r="B103" s="82" t="str">
        <f t="shared" si="4"/>
        <v>Barraqueiro Transportes, S.A.</v>
      </c>
      <c r="C103" s="82" t="str">
        <f t="shared" si="5"/>
        <v>Boa Viagem</v>
      </c>
      <c r="D103" s="83" t="s">
        <v>629</v>
      </c>
      <c r="E103" s="91" t="s">
        <v>1853</v>
      </c>
      <c r="F103" s="124" t="s">
        <v>620</v>
      </c>
      <c r="G103" s="304">
        <v>2003</v>
      </c>
      <c r="H103" s="312" t="s">
        <v>732</v>
      </c>
      <c r="I103" s="307" t="str">
        <f t="shared" si="6"/>
        <v>Pesado de Passageiros M3: III : Gasóleo : E3</v>
      </c>
      <c r="J103" s="125">
        <v>35</v>
      </c>
      <c r="K103" s="125">
        <v>2022</v>
      </c>
      <c r="L103" s="85">
        <v>5331.37</v>
      </c>
      <c r="M103" s="85" t="s">
        <v>630</v>
      </c>
      <c r="N103" s="128">
        <v>15857</v>
      </c>
      <c r="O103" s="128">
        <f t="shared" si="7"/>
        <v>554995</v>
      </c>
      <c r="P103" s="125" t="s">
        <v>738</v>
      </c>
      <c r="Q103" s="85" t="s">
        <v>47</v>
      </c>
      <c r="R103" s="214" t="s">
        <v>1869</v>
      </c>
      <c r="S103" s="214" t="s">
        <v>1861</v>
      </c>
      <c r="T103" s="85" t="s">
        <v>1491</v>
      </c>
      <c r="U103" t="s">
        <v>1953</v>
      </c>
      <c r="V103" t="s">
        <v>2813</v>
      </c>
    </row>
    <row r="104" spans="1:22" ht="15.75" thickBot="1" x14ac:dyDescent="0.3">
      <c r="A104" s="82" t="s">
        <v>3474</v>
      </c>
      <c r="B104" s="82" t="str">
        <f t="shared" si="4"/>
        <v>Barraqueiro Transportes, S.A.</v>
      </c>
      <c r="C104" s="82" t="str">
        <f t="shared" si="5"/>
        <v>Boa Viagem</v>
      </c>
      <c r="D104" s="83" t="s">
        <v>629</v>
      </c>
      <c r="E104" s="91" t="s">
        <v>1853</v>
      </c>
      <c r="F104" s="124" t="s">
        <v>620</v>
      </c>
      <c r="G104" s="304">
        <v>1993</v>
      </c>
      <c r="H104" s="312" t="s">
        <v>736</v>
      </c>
      <c r="I104" s="307" t="str">
        <f t="shared" si="6"/>
        <v>Pesado de Passageiros M3: III : Gasóleo : E1</v>
      </c>
      <c r="J104" s="125">
        <v>69</v>
      </c>
      <c r="K104" s="125">
        <v>2022</v>
      </c>
      <c r="L104" s="85">
        <v>6935.09</v>
      </c>
      <c r="M104" s="85" t="s">
        <v>630</v>
      </c>
      <c r="N104" s="128">
        <v>19052</v>
      </c>
      <c r="O104" s="128">
        <f t="shared" si="7"/>
        <v>1314588</v>
      </c>
      <c r="P104" s="125" t="s">
        <v>739</v>
      </c>
      <c r="Q104" s="85" t="s">
        <v>47</v>
      </c>
      <c r="R104" s="214" t="s">
        <v>1869</v>
      </c>
      <c r="S104" s="214" t="s">
        <v>1861</v>
      </c>
      <c r="T104" s="85" t="s">
        <v>1491</v>
      </c>
      <c r="U104" t="s">
        <v>1953</v>
      </c>
      <c r="V104" t="s">
        <v>2813</v>
      </c>
    </row>
    <row r="105" spans="1:22" ht="15.75" thickBot="1" x14ac:dyDescent="0.3">
      <c r="A105" s="82" t="s">
        <v>3474</v>
      </c>
      <c r="B105" s="82" t="str">
        <f t="shared" si="4"/>
        <v>Barraqueiro Transportes, S.A.</v>
      </c>
      <c r="C105" s="82" t="str">
        <f t="shared" si="5"/>
        <v>Boa Viagem</v>
      </c>
      <c r="D105" s="83" t="s">
        <v>629</v>
      </c>
      <c r="E105" s="91" t="s">
        <v>1853</v>
      </c>
      <c r="F105" s="124" t="s">
        <v>620</v>
      </c>
      <c r="G105" s="304">
        <v>1993</v>
      </c>
      <c r="H105" s="312" t="s">
        <v>736</v>
      </c>
      <c r="I105" s="307" t="str">
        <f t="shared" si="6"/>
        <v>Pesado de Passageiros M3: III : Gasóleo : E1</v>
      </c>
      <c r="J105" s="125">
        <v>69</v>
      </c>
      <c r="K105" s="125">
        <v>2022</v>
      </c>
      <c r="L105" s="85">
        <v>2863.24</v>
      </c>
      <c r="M105" s="85" t="s">
        <v>630</v>
      </c>
      <c r="N105" s="128">
        <v>8153</v>
      </c>
      <c r="O105" s="128">
        <f t="shared" si="7"/>
        <v>562557</v>
      </c>
      <c r="P105" s="125" t="s">
        <v>740</v>
      </c>
      <c r="Q105" s="85" t="s">
        <v>47</v>
      </c>
      <c r="R105" s="214" t="s">
        <v>1869</v>
      </c>
      <c r="S105" s="214" t="s">
        <v>1861</v>
      </c>
      <c r="T105" s="85" t="s">
        <v>1491</v>
      </c>
      <c r="U105" t="s">
        <v>1953</v>
      </c>
      <c r="V105" t="s">
        <v>2813</v>
      </c>
    </row>
    <row r="106" spans="1:22" ht="15.75" thickBot="1" x14ac:dyDescent="0.3">
      <c r="A106" s="82" t="s">
        <v>3474</v>
      </c>
      <c r="B106" s="82" t="str">
        <f t="shared" si="4"/>
        <v>Barraqueiro Transportes, S.A.</v>
      </c>
      <c r="C106" s="82" t="str">
        <f t="shared" si="5"/>
        <v>Boa Viagem</v>
      </c>
      <c r="D106" s="83" t="s">
        <v>629</v>
      </c>
      <c r="E106" s="91" t="s">
        <v>1853</v>
      </c>
      <c r="F106" s="124" t="s">
        <v>620</v>
      </c>
      <c r="G106" s="304">
        <v>2006</v>
      </c>
      <c r="H106" s="312" t="s">
        <v>731</v>
      </c>
      <c r="I106" s="307" t="str">
        <f t="shared" si="6"/>
        <v>Pesado de Passageiros M3: III : Gasóleo : E4</v>
      </c>
      <c r="J106" s="125">
        <v>59</v>
      </c>
      <c r="K106" s="125">
        <v>2022</v>
      </c>
      <c r="L106" s="85">
        <v>4313.29</v>
      </c>
      <c r="M106" s="85" t="s">
        <v>630</v>
      </c>
      <c r="N106" s="128">
        <v>11224</v>
      </c>
      <c r="O106" s="128">
        <f t="shared" si="7"/>
        <v>662216</v>
      </c>
      <c r="P106" s="125" t="s">
        <v>741</v>
      </c>
      <c r="Q106" s="85" t="s">
        <v>47</v>
      </c>
      <c r="R106" s="214" t="s">
        <v>1869</v>
      </c>
      <c r="S106" s="214" t="s">
        <v>1861</v>
      </c>
      <c r="T106" s="85" t="s">
        <v>1491</v>
      </c>
      <c r="U106" t="s">
        <v>1953</v>
      </c>
      <c r="V106" t="s">
        <v>2813</v>
      </c>
    </row>
    <row r="107" spans="1:22" ht="15.75" thickBot="1" x14ac:dyDescent="0.3">
      <c r="A107" s="82" t="s">
        <v>3474</v>
      </c>
      <c r="B107" s="82" t="str">
        <f t="shared" si="4"/>
        <v>Barraqueiro Transportes, S.A.</v>
      </c>
      <c r="C107" s="82" t="str">
        <f t="shared" si="5"/>
        <v>Boa Viagem</v>
      </c>
      <c r="D107" s="83" t="s">
        <v>629</v>
      </c>
      <c r="E107" s="91" t="s">
        <v>1853</v>
      </c>
      <c r="F107" s="124" t="s">
        <v>620</v>
      </c>
      <c r="G107" s="304">
        <v>2007</v>
      </c>
      <c r="H107" s="312" t="s">
        <v>731</v>
      </c>
      <c r="I107" s="307" t="str">
        <f t="shared" si="6"/>
        <v>Pesado de Passageiros M3: III : Gasóleo : E4</v>
      </c>
      <c r="J107" s="125">
        <v>55</v>
      </c>
      <c r="K107" s="125">
        <v>2022</v>
      </c>
      <c r="L107" s="85">
        <v>19414.569999999996</v>
      </c>
      <c r="M107" s="85" t="s">
        <v>630</v>
      </c>
      <c r="N107" s="128">
        <v>55186</v>
      </c>
      <c r="O107" s="128">
        <f t="shared" si="7"/>
        <v>3035230</v>
      </c>
      <c r="P107" s="125" t="s">
        <v>742</v>
      </c>
      <c r="Q107" s="85" t="s">
        <v>47</v>
      </c>
      <c r="R107" s="214" t="s">
        <v>1869</v>
      </c>
      <c r="S107" s="214" t="s">
        <v>1861</v>
      </c>
      <c r="T107" s="85" t="s">
        <v>1491</v>
      </c>
      <c r="U107" t="s">
        <v>1953</v>
      </c>
      <c r="V107" t="s">
        <v>2813</v>
      </c>
    </row>
    <row r="108" spans="1:22" ht="15.75" thickBot="1" x14ac:dyDescent="0.3">
      <c r="A108" s="82" t="s">
        <v>3474</v>
      </c>
      <c r="B108" s="82" t="str">
        <f t="shared" si="4"/>
        <v>Barraqueiro Transportes, S.A.</v>
      </c>
      <c r="C108" s="82" t="str">
        <f t="shared" si="5"/>
        <v>Boa Viagem</v>
      </c>
      <c r="D108" s="83" t="s">
        <v>629</v>
      </c>
      <c r="E108" s="91" t="s">
        <v>1853</v>
      </c>
      <c r="F108" s="124" t="s">
        <v>620</v>
      </c>
      <c r="G108" s="304">
        <v>2007</v>
      </c>
      <c r="H108" s="312" t="s">
        <v>731</v>
      </c>
      <c r="I108" s="307" t="str">
        <f t="shared" si="6"/>
        <v>Pesado de Passageiros M3: III : Gasóleo : E4</v>
      </c>
      <c r="J108" s="125">
        <v>53</v>
      </c>
      <c r="K108" s="125">
        <v>2022</v>
      </c>
      <c r="L108" s="85">
        <v>19718.091</v>
      </c>
      <c r="M108" s="85" t="s">
        <v>630</v>
      </c>
      <c r="N108" s="128">
        <v>56685</v>
      </c>
      <c r="O108" s="128">
        <f t="shared" si="7"/>
        <v>3004305</v>
      </c>
      <c r="P108" s="125" t="s">
        <v>743</v>
      </c>
      <c r="Q108" s="85" t="s">
        <v>47</v>
      </c>
      <c r="R108" s="214" t="s">
        <v>1869</v>
      </c>
      <c r="S108" s="214" t="s">
        <v>1861</v>
      </c>
      <c r="T108" s="85" t="s">
        <v>1491</v>
      </c>
      <c r="U108" t="s">
        <v>1953</v>
      </c>
      <c r="V108" t="s">
        <v>2813</v>
      </c>
    </row>
    <row r="109" spans="1:22" ht="15.75" thickBot="1" x14ac:dyDescent="0.3">
      <c r="A109" s="82" t="s">
        <v>3474</v>
      </c>
      <c r="B109" s="82" t="str">
        <f t="shared" si="4"/>
        <v>Barraqueiro Transportes, S.A.</v>
      </c>
      <c r="C109" s="82" t="str">
        <f t="shared" si="5"/>
        <v>Boa Viagem</v>
      </c>
      <c r="D109" s="83" t="s">
        <v>629</v>
      </c>
      <c r="E109" s="91" t="s">
        <v>1853</v>
      </c>
      <c r="F109" s="124" t="s">
        <v>620</v>
      </c>
      <c r="G109" s="304">
        <v>1999</v>
      </c>
      <c r="H109" s="312" t="s">
        <v>736</v>
      </c>
      <c r="I109" s="307" t="str">
        <f t="shared" si="6"/>
        <v>Pesado de Passageiros M3: III : Gasóleo : E1</v>
      </c>
      <c r="J109" s="125">
        <v>68</v>
      </c>
      <c r="K109" s="125">
        <v>2022</v>
      </c>
      <c r="L109" s="85">
        <v>14937.45</v>
      </c>
      <c r="M109" s="85" t="s">
        <v>630</v>
      </c>
      <c r="N109" s="128">
        <v>29936</v>
      </c>
      <c r="O109" s="128">
        <f t="shared" si="7"/>
        <v>2035648</v>
      </c>
      <c r="P109" s="125" t="s">
        <v>744</v>
      </c>
      <c r="Q109" s="85" t="s">
        <v>47</v>
      </c>
      <c r="R109" s="214" t="s">
        <v>1869</v>
      </c>
      <c r="S109" s="214" t="s">
        <v>1861</v>
      </c>
      <c r="T109" s="85" t="s">
        <v>1491</v>
      </c>
      <c r="U109" t="s">
        <v>1953</v>
      </c>
      <c r="V109" t="s">
        <v>2813</v>
      </c>
    </row>
    <row r="110" spans="1:22" ht="15.75" thickBot="1" x14ac:dyDescent="0.3">
      <c r="A110" s="82" t="s">
        <v>3474</v>
      </c>
      <c r="B110" s="82" t="str">
        <f t="shared" si="4"/>
        <v>Barraqueiro Transportes, S.A.</v>
      </c>
      <c r="C110" s="82" t="str">
        <f t="shared" si="5"/>
        <v>Boa Viagem</v>
      </c>
      <c r="D110" s="83" t="s">
        <v>629</v>
      </c>
      <c r="E110" s="91" t="s">
        <v>1853</v>
      </c>
      <c r="F110" s="124" t="s">
        <v>620</v>
      </c>
      <c r="G110" s="304">
        <v>2007</v>
      </c>
      <c r="H110" s="312" t="s">
        <v>731</v>
      </c>
      <c r="I110" s="307" t="str">
        <f t="shared" si="6"/>
        <v>Pesado de Passageiros M3: III : Gasóleo : E4</v>
      </c>
      <c r="J110" s="125">
        <v>78</v>
      </c>
      <c r="K110" s="125">
        <v>2022</v>
      </c>
      <c r="L110" s="85">
        <v>17943.759999999998</v>
      </c>
      <c r="M110" s="85" t="s">
        <v>630</v>
      </c>
      <c r="N110" s="128">
        <v>46214</v>
      </c>
      <c r="O110" s="128">
        <f t="shared" si="7"/>
        <v>3604692</v>
      </c>
      <c r="P110" s="125" t="s">
        <v>745</v>
      </c>
      <c r="Q110" s="85" t="s">
        <v>47</v>
      </c>
      <c r="R110" s="214" t="s">
        <v>1869</v>
      </c>
      <c r="S110" s="214" t="s">
        <v>1861</v>
      </c>
      <c r="T110" s="85" t="s">
        <v>1491</v>
      </c>
      <c r="U110" t="s">
        <v>1953</v>
      </c>
      <c r="V110" t="s">
        <v>2813</v>
      </c>
    </row>
    <row r="111" spans="1:22" ht="15.75" thickBot="1" x14ac:dyDescent="0.3">
      <c r="A111" s="82" t="s">
        <v>3474</v>
      </c>
      <c r="B111" s="82" t="str">
        <f t="shared" si="4"/>
        <v>Barraqueiro Transportes, S.A.</v>
      </c>
      <c r="C111" s="82" t="str">
        <f t="shared" si="5"/>
        <v>Boa Viagem</v>
      </c>
      <c r="D111" s="83" t="s">
        <v>629</v>
      </c>
      <c r="E111" s="91" t="s">
        <v>1853</v>
      </c>
      <c r="F111" s="124" t="s">
        <v>620</v>
      </c>
      <c r="G111" s="304">
        <v>2007</v>
      </c>
      <c r="H111" s="312" t="s">
        <v>731</v>
      </c>
      <c r="I111" s="307" t="str">
        <f t="shared" si="6"/>
        <v>Pesado de Passageiros M3: III : Gasóleo : E4</v>
      </c>
      <c r="J111" s="125">
        <v>78</v>
      </c>
      <c r="K111" s="125">
        <v>2022</v>
      </c>
      <c r="L111" s="85">
        <v>19397.279999999995</v>
      </c>
      <c r="M111" s="85" t="s">
        <v>630</v>
      </c>
      <c r="N111" s="128">
        <v>50390</v>
      </c>
      <c r="O111" s="128">
        <f t="shared" si="7"/>
        <v>3930420</v>
      </c>
      <c r="P111" s="125" t="s">
        <v>746</v>
      </c>
      <c r="Q111" s="85" t="s">
        <v>47</v>
      </c>
      <c r="R111" s="214" t="s">
        <v>1869</v>
      </c>
      <c r="S111" s="214" t="s">
        <v>1861</v>
      </c>
      <c r="T111" s="85" t="s">
        <v>1491</v>
      </c>
      <c r="U111" t="s">
        <v>1953</v>
      </c>
      <c r="V111" t="s">
        <v>2813</v>
      </c>
    </row>
    <row r="112" spans="1:22" ht="15.75" thickBot="1" x14ac:dyDescent="0.3">
      <c r="A112" s="82" t="s">
        <v>3474</v>
      </c>
      <c r="B112" s="82" t="str">
        <f t="shared" si="4"/>
        <v>Barraqueiro Transportes, S.A.</v>
      </c>
      <c r="C112" s="82" t="str">
        <f t="shared" si="5"/>
        <v>Boa Viagem</v>
      </c>
      <c r="D112" s="83" t="s">
        <v>629</v>
      </c>
      <c r="E112" s="91" t="s">
        <v>1853</v>
      </c>
      <c r="F112" s="124" t="s">
        <v>620</v>
      </c>
      <c r="G112" s="304">
        <v>2007</v>
      </c>
      <c r="H112" s="312" t="s">
        <v>731</v>
      </c>
      <c r="I112" s="307" t="str">
        <f t="shared" si="6"/>
        <v>Pesado de Passageiros M3: III : Gasóleo : E4</v>
      </c>
      <c r="J112" s="125">
        <v>56</v>
      </c>
      <c r="K112" s="125">
        <v>2022</v>
      </c>
      <c r="L112" s="85">
        <v>9318.4199999999983</v>
      </c>
      <c r="M112" s="85" t="s">
        <v>630</v>
      </c>
      <c r="N112" s="128">
        <v>24160</v>
      </c>
      <c r="O112" s="128">
        <f t="shared" si="7"/>
        <v>1352960</v>
      </c>
      <c r="P112" s="125" t="s">
        <v>747</v>
      </c>
      <c r="Q112" s="85" t="s">
        <v>47</v>
      </c>
      <c r="R112" s="214" t="s">
        <v>1869</v>
      </c>
      <c r="S112" s="214" t="s">
        <v>1861</v>
      </c>
      <c r="T112" s="85" t="s">
        <v>1491</v>
      </c>
      <c r="U112" t="s">
        <v>1953</v>
      </c>
      <c r="V112" t="s">
        <v>2813</v>
      </c>
    </row>
    <row r="113" spans="1:22" ht="15.75" thickBot="1" x14ac:dyDescent="0.3">
      <c r="A113" s="82" t="s">
        <v>3474</v>
      </c>
      <c r="B113" s="82" t="str">
        <f t="shared" si="4"/>
        <v>Barraqueiro Transportes, S.A.</v>
      </c>
      <c r="C113" s="82" t="str">
        <f t="shared" si="5"/>
        <v>Boa Viagem</v>
      </c>
      <c r="D113" s="83" t="s">
        <v>629</v>
      </c>
      <c r="E113" s="91" t="s">
        <v>1853</v>
      </c>
      <c r="F113" s="124" t="s">
        <v>620</v>
      </c>
      <c r="G113" s="304">
        <v>1996</v>
      </c>
      <c r="H113" s="312" t="s">
        <v>736</v>
      </c>
      <c r="I113" s="307" t="str">
        <f t="shared" si="6"/>
        <v>Pesado de Passageiros M3: III : Gasóleo : E1</v>
      </c>
      <c r="J113" s="125">
        <v>84</v>
      </c>
      <c r="K113" s="125">
        <v>2022</v>
      </c>
      <c r="L113" s="85">
        <v>16175.02</v>
      </c>
      <c r="M113" s="85" t="s">
        <v>630</v>
      </c>
      <c r="N113" s="128">
        <v>43688</v>
      </c>
      <c r="O113" s="128">
        <f t="shared" si="7"/>
        <v>3669792</v>
      </c>
      <c r="P113" s="125" t="s">
        <v>748</v>
      </c>
      <c r="Q113" s="85" t="s">
        <v>47</v>
      </c>
      <c r="R113" s="214" t="s">
        <v>1869</v>
      </c>
      <c r="S113" s="214" t="s">
        <v>1861</v>
      </c>
      <c r="T113" s="85" t="s">
        <v>1491</v>
      </c>
      <c r="U113" t="s">
        <v>1953</v>
      </c>
      <c r="V113" t="s">
        <v>2813</v>
      </c>
    </row>
    <row r="114" spans="1:22" ht="15.75" thickBot="1" x14ac:dyDescent="0.3">
      <c r="A114" s="82" t="s">
        <v>3474</v>
      </c>
      <c r="B114" s="82" t="str">
        <f t="shared" si="4"/>
        <v>Barraqueiro Transportes, S.A.</v>
      </c>
      <c r="C114" s="82" t="str">
        <f t="shared" si="5"/>
        <v>Boa Viagem</v>
      </c>
      <c r="D114" s="83" t="s">
        <v>629</v>
      </c>
      <c r="E114" s="91" t="s">
        <v>1853</v>
      </c>
      <c r="F114" s="124" t="s">
        <v>620</v>
      </c>
      <c r="G114" s="304">
        <v>2008</v>
      </c>
      <c r="H114" s="312" t="s">
        <v>731</v>
      </c>
      <c r="I114" s="307" t="str">
        <f t="shared" si="6"/>
        <v>Pesado de Passageiros M3: III : Gasóleo : E4</v>
      </c>
      <c r="J114" s="125">
        <v>53</v>
      </c>
      <c r="K114" s="125">
        <v>2022</v>
      </c>
      <c r="L114" s="85">
        <v>14779.58</v>
      </c>
      <c r="M114" s="85" t="s">
        <v>630</v>
      </c>
      <c r="N114" s="128">
        <v>39694</v>
      </c>
      <c r="O114" s="128">
        <f t="shared" si="7"/>
        <v>2103782</v>
      </c>
      <c r="P114" s="125" t="s">
        <v>749</v>
      </c>
      <c r="Q114" s="85" t="s">
        <v>47</v>
      </c>
      <c r="R114" s="214" t="s">
        <v>1869</v>
      </c>
      <c r="S114" s="214" t="s">
        <v>1861</v>
      </c>
      <c r="T114" s="85" t="s">
        <v>1491</v>
      </c>
      <c r="U114" t="s">
        <v>1953</v>
      </c>
      <c r="V114" t="s">
        <v>2813</v>
      </c>
    </row>
    <row r="115" spans="1:22" ht="15.75" thickBot="1" x14ac:dyDescent="0.3">
      <c r="A115" s="82" t="s">
        <v>3474</v>
      </c>
      <c r="B115" s="82" t="str">
        <f t="shared" si="4"/>
        <v>Barraqueiro Transportes, S.A.</v>
      </c>
      <c r="C115" s="82" t="str">
        <f t="shared" si="5"/>
        <v>Boa Viagem</v>
      </c>
      <c r="D115" s="83" t="s">
        <v>629</v>
      </c>
      <c r="E115" s="91" t="s">
        <v>1853</v>
      </c>
      <c r="F115" s="124" t="s">
        <v>620</v>
      </c>
      <c r="G115" s="304">
        <v>2008</v>
      </c>
      <c r="H115" s="312" t="s">
        <v>731</v>
      </c>
      <c r="I115" s="307" t="str">
        <f t="shared" si="6"/>
        <v>Pesado de Passageiros M3: III : Gasóleo : E4</v>
      </c>
      <c r="J115" s="125">
        <v>55</v>
      </c>
      <c r="K115" s="125">
        <v>2022</v>
      </c>
      <c r="L115" s="85">
        <v>23696.313999999998</v>
      </c>
      <c r="M115" s="85" t="s">
        <v>630</v>
      </c>
      <c r="N115" s="128">
        <v>67212</v>
      </c>
      <c r="O115" s="128">
        <f t="shared" si="7"/>
        <v>3696660</v>
      </c>
      <c r="P115" s="125" t="s">
        <v>750</v>
      </c>
      <c r="Q115" s="85" t="s">
        <v>47</v>
      </c>
      <c r="R115" s="214" t="s">
        <v>1869</v>
      </c>
      <c r="S115" s="214" t="s">
        <v>1861</v>
      </c>
      <c r="T115" s="85" t="s">
        <v>1491</v>
      </c>
      <c r="U115" t="s">
        <v>1953</v>
      </c>
      <c r="V115" t="s">
        <v>2813</v>
      </c>
    </row>
    <row r="116" spans="1:22" ht="15.75" thickBot="1" x14ac:dyDescent="0.3">
      <c r="A116" s="82" t="s">
        <v>3474</v>
      </c>
      <c r="B116" s="82" t="str">
        <f t="shared" si="4"/>
        <v>Barraqueiro Transportes, S.A.</v>
      </c>
      <c r="C116" s="82" t="str">
        <f t="shared" si="5"/>
        <v>Boa Viagem</v>
      </c>
      <c r="D116" s="83" t="s">
        <v>629</v>
      </c>
      <c r="E116" s="91" t="s">
        <v>1853</v>
      </c>
      <c r="F116" s="124" t="s">
        <v>620</v>
      </c>
      <c r="G116" s="304">
        <v>2008</v>
      </c>
      <c r="H116" s="312" t="s">
        <v>731</v>
      </c>
      <c r="I116" s="307" t="str">
        <f t="shared" si="6"/>
        <v>Pesado de Passageiros M3: III : Gasóleo : E4</v>
      </c>
      <c r="J116" s="125">
        <v>53</v>
      </c>
      <c r="K116" s="125">
        <v>2022</v>
      </c>
      <c r="L116" s="85">
        <v>20554.689999999999</v>
      </c>
      <c r="M116" s="85" t="s">
        <v>630</v>
      </c>
      <c r="N116" s="128">
        <v>50784</v>
      </c>
      <c r="O116" s="128">
        <f t="shared" si="7"/>
        <v>2691552</v>
      </c>
      <c r="P116" s="125" t="s">
        <v>751</v>
      </c>
      <c r="Q116" s="85" t="s">
        <v>47</v>
      </c>
      <c r="R116" s="214" t="s">
        <v>1869</v>
      </c>
      <c r="S116" s="214" t="s">
        <v>1861</v>
      </c>
      <c r="T116" s="85" t="s">
        <v>1491</v>
      </c>
      <c r="U116" t="s">
        <v>1953</v>
      </c>
      <c r="V116" t="s">
        <v>2813</v>
      </c>
    </row>
    <row r="117" spans="1:22" ht="15.75" thickBot="1" x14ac:dyDescent="0.3">
      <c r="A117" s="82" t="s">
        <v>3474</v>
      </c>
      <c r="B117" s="82" t="str">
        <f t="shared" si="4"/>
        <v>Barraqueiro Transportes, S.A.</v>
      </c>
      <c r="C117" s="82" t="str">
        <f t="shared" si="5"/>
        <v>Boa Viagem</v>
      </c>
      <c r="D117" s="83" t="s">
        <v>629</v>
      </c>
      <c r="E117" s="91" t="s">
        <v>1853</v>
      </c>
      <c r="F117" s="124" t="s">
        <v>620</v>
      </c>
      <c r="G117" s="304">
        <v>2009</v>
      </c>
      <c r="H117" s="312" t="s">
        <v>734</v>
      </c>
      <c r="I117" s="307" t="str">
        <f t="shared" si="6"/>
        <v>Pesado de Passageiros M3: III : Gasóleo : E5</v>
      </c>
      <c r="J117" s="125">
        <v>52</v>
      </c>
      <c r="K117" s="125">
        <v>2022</v>
      </c>
      <c r="L117" s="85">
        <v>24282.400000000001</v>
      </c>
      <c r="M117" s="85" t="s">
        <v>630</v>
      </c>
      <c r="N117" s="128">
        <v>55788</v>
      </c>
      <c r="O117" s="128">
        <f t="shared" si="7"/>
        <v>2900976</v>
      </c>
      <c r="P117" s="125" t="s">
        <v>752</v>
      </c>
      <c r="Q117" s="85" t="s">
        <v>47</v>
      </c>
      <c r="R117" s="214" t="s">
        <v>1869</v>
      </c>
      <c r="S117" s="214" t="s">
        <v>1861</v>
      </c>
      <c r="T117" s="85" t="s">
        <v>1491</v>
      </c>
      <c r="U117" t="s">
        <v>1953</v>
      </c>
      <c r="V117" t="s">
        <v>2813</v>
      </c>
    </row>
    <row r="118" spans="1:22" ht="15.75" thickBot="1" x14ac:dyDescent="0.3">
      <c r="A118" s="82" t="s">
        <v>3474</v>
      </c>
      <c r="B118" s="82" t="str">
        <f t="shared" si="4"/>
        <v>Barraqueiro Transportes, S.A.</v>
      </c>
      <c r="C118" s="82" t="str">
        <f t="shared" si="5"/>
        <v>Boa Viagem</v>
      </c>
      <c r="D118" s="83" t="s">
        <v>629</v>
      </c>
      <c r="E118" s="91" t="s">
        <v>1853</v>
      </c>
      <c r="F118" s="124" t="s">
        <v>620</v>
      </c>
      <c r="G118" s="304">
        <v>2001</v>
      </c>
      <c r="H118" s="312" t="s">
        <v>732</v>
      </c>
      <c r="I118" s="307" t="str">
        <f t="shared" si="6"/>
        <v>Pesado de Passageiros M3: III : Gasóleo : E3</v>
      </c>
      <c r="J118" s="125">
        <v>55</v>
      </c>
      <c r="K118" s="125">
        <v>2022</v>
      </c>
      <c r="L118" s="85">
        <v>15284.740000000002</v>
      </c>
      <c r="M118" s="85" t="s">
        <v>630</v>
      </c>
      <c r="N118" s="128">
        <v>39535</v>
      </c>
      <c r="O118" s="128">
        <f t="shared" si="7"/>
        <v>2174425</v>
      </c>
      <c r="P118" s="125" t="s">
        <v>753</v>
      </c>
      <c r="Q118" s="85" t="s">
        <v>47</v>
      </c>
      <c r="R118" s="214" t="s">
        <v>1869</v>
      </c>
      <c r="S118" s="214" t="s">
        <v>1861</v>
      </c>
      <c r="T118" s="85" t="s">
        <v>1491</v>
      </c>
      <c r="U118" t="s">
        <v>1953</v>
      </c>
      <c r="V118" t="s">
        <v>2813</v>
      </c>
    </row>
    <row r="119" spans="1:22" ht="15.75" thickBot="1" x14ac:dyDescent="0.3">
      <c r="A119" s="82" t="s">
        <v>3474</v>
      </c>
      <c r="B119" s="82" t="str">
        <f t="shared" si="4"/>
        <v>Barraqueiro Transportes, S.A.</v>
      </c>
      <c r="C119" s="82" t="str">
        <f t="shared" si="5"/>
        <v>Boa Viagem</v>
      </c>
      <c r="D119" s="83" t="s">
        <v>629</v>
      </c>
      <c r="E119" s="91" t="s">
        <v>1853</v>
      </c>
      <c r="F119" s="124" t="s">
        <v>620</v>
      </c>
      <c r="G119" s="304">
        <v>2001</v>
      </c>
      <c r="H119" s="312" t="s">
        <v>732</v>
      </c>
      <c r="I119" s="307" t="str">
        <f t="shared" si="6"/>
        <v>Pesado de Passageiros M3: III : Gasóleo : E3</v>
      </c>
      <c r="J119" s="125">
        <v>55</v>
      </c>
      <c r="K119" s="125">
        <v>2022</v>
      </c>
      <c r="L119" s="85">
        <v>12484.79</v>
      </c>
      <c r="M119" s="85" t="s">
        <v>630</v>
      </c>
      <c r="N119" s="128">
        <v>32406</v>
      </c>
      <c r="O119" s="128">
        <f t="shared" si="7"/>
        <v>1782330</v>
      </c>
      <c r="P119" s="125" t="s">
        <v>754</v>
      </c>
      <c r="Q119" s="85" t="s">
        <v>47</v>
      </c>
      <c r="R119" s="214" t="s">
        <v>1869</v>
      </c>
      <c r="S119" s="214" t="s">
        <v>1861</v>
      </c>
      <c r="T119" s="85" t="s">
        <v>1491</v>
      </c>
      <c r="U119" t="s">
        <v>1953</v>
      </c>
      <c r="V119" t="s">
        <v>2813</v>
      </c>
    </row>
    <row r="120" spans="1:22" ht="15.75" thickBot="1" x14ac:dyDescent="0.3">
      <c r="A120" s="82" t="s">
        <v>3474</v>
      </c>
      <c r="B120" s="82" t="str">
        <f t="shared" si="4"/>
        <v>Barraqueiro Transportes, S.A.</v>
      </c>
      <c r="C120" s="82" t="str">
        <f t="shared" si="5"/>
        <v>Boa Viagem</v>
      </c>
      <c r="D120" s="83" t="s">
        <v>629</v>
      </c>
      <c r="E120" s="91" t="s">
        <v>1853</v>
      </c>
      <c r="F120" s="124" t="s">
        <v>620</v>
      </c>
      <c r="G120" s="304">
        <v>2001</v>
      </c>
      <c r="H120" s="312" t="s">
        <v>732</v>
      </c>
      <c r="I120" s="307" t="str">
        <f t="shared" si="6"/>
        <v>Pesado de Passageiros M3: III : Gasóleo : E3</v>
      </c>
      <c r="J120" s="125">
        <v>55</v>
      </c>
      <c r="K120" s="125">
        <v>2022</v>
      </c>
      <c r="L120" s="85">
        <v>17140.52</v>
      </c>
      <c r="M120" s="85" t="s">
        <v>630</v>
      </c>
      <c r="N120" s="128">
        <v>43652</v>
      </c>
      <c r="O120" s="128">
        <f t="shared" si="7"/>
        <v>2400860</v>
      </c>
      <c r="P120" s="125" t="s">
        <v>755</v>
      </c>
      <c r="Q120" s="85" t="s">
        <v>47</v>
      </c>
      <c r="R120" s="214" t="s">
        <v>1869</v>
      </c>
      <c r="S120" s="214" t="s">
        <v>1861</v>
      </c>
      <c r="T120" s="85" t="s">
        <v>1491</v>
      </c>
      <c r="U120" t="s">
        <v>1953</v>
      </c>
      <c r="V120" t="s">
        <v>2813</v>
      </c>
    </row>
    <row r="121" spans="1:22" ht="15.75" thickBot="1" x14ac:dyDescent="0.3">
      <c r="A121" s="82" t="s">
        <v>3474</v>
      </c>
      <c r="B121" s="82" t="str">
        <f t="shared" si="4"/>
        <v>Barraqueiro Transportes, S.A.</v>
      </c>
      <c r="C121" s="82" t="str">
        <f t="shared" si="5"/>
        <v>Boa Viagem</v>
      </c>
      <c r="D121" s="83" t="s">
        <v>629</v>
      </c>
      <c r="E121" s="91" t="s">
        <v>1853</v>
      </c>
      <c r="F121" s="124" t="s">
        <v>620</v>
      </c>
      <c r="G121" s="304">
        <v>1993</v>
      </c>
      <c r="H121" s="312" t="s">
        <v>736</v>
      </c>
      <c r="I121" s="307" t="str">
        <f t="shared" si="6"/>
        <v>Pesado de Passageiros M3: III : Gasóleo : E1</v>
      </c>
      <c r="J121" s="125">
        <v>56</v>
      </c>
      <c r="K121" s="125">
        <v>2022</v>
      </c>
      <c r="L121" s="85">
        <v>32.96</v>
      </c>
      <c r="M121" s="85" t="s">
        <v>630</v>
      </c>
      <c r="N121" s="128">
        <v>96</v>
      </c>
      <c r="O121" s="128">
        <f t="shared" si="7"/>
        <v>5376</v>
      </c>
      <c r="P121" s="125" t="s">
        <v>756</v>
      </c>
      <c r="Q121" s="85" t="s">
        <v>47</v>
      </c>
      <c r="R121" s="214" t="s">
        <v>1869</v>
      </c>
      <c r="S121" s="214" t="s">
        <v>1861</v>
      </c>
      <c r="T121" s="85" t="s">
        <v>1491</v>
      </c>
      <c r="U121" t="s">
        <v>1953</v>
      </c>
      <c r="V121" t="s">
        <v>2813</v>
      </c>
    </row>
    <row r="122" spans="1:22" ht="15.75" thickBot="1" x14ac:dyDescent="0.3">
      <c r="A122" s="82" t="s">
        <v>3474</v>
      </c>
      <c r="B122" s="82" t="str">
        <f t="shared" si="4"/>
        <v>Barraqueiro Transportes, S.A.</v>
      </c>
      <c r="C122" s="82" t="str">
        <f t="shared" si="5"/>
        <v>Boa Viagem</v>
      </c>
      <c r="D122" s="83" t="s">
        <v>629</v>
      </c>
      <c r="E122" s="91" t="s">
        <v>1853</v>
      </c>
      <c r="F122" s="124" t="s">
        <v>620</v>
      </c>
      <c r="G122" s="304">
        <v>2001</v>
      </c>
      <c r="H122" s="312" t="s">
        <v>732</v>
      </c>
      <c r="I122" s="307" t="str">
        <f t="shared" si="6"/>
        <v>Pesado de Passageiros M3: III : Gasóleo : E3</v>
      </c>
      <c r="J122" s="125">
        <v>81</v>
      </c>
      <c r="K122" s="125">
        <v>2022</v>
      </c>
      <c r="L122" s="85">
        <v>16385.36</v>
      </c>
      <c r="M122" s="85" t="s">
        <v>630</v>
      </c>
      <c r="N122" s="128">
        <v>46054</v>
      </c>
      <c r="O122" s="128">
        <f t="shared" si="7"/>
        <v>3730374</v>
      </c>
      <c r="P122" s="125" t="s">
        <v>757</v>
      </c>
      <c r="Q122" s="85" t="s">
        <v>47</v>
      </c>
      <c r="R122" s="214" t="s">
        <v>1869</v>
      </c>
      <c r="S122" s="214" t="s">
        <v>1861</v>
      </c>
      <c r="T122" s="85" t="s">
        <v>1491</v>
      </c>
      <c r="U122" t="s">
        <v>1953</v>
      </c>
      <c r="V122" t="s">
        <v>2813</v>
      </c>
    </row>
    <row r="123" spans="1:22" ht="15.75" thickBot="1" x14ac:dyDescent="0.3">
      <c r="A123" s="82" t="s">
        <v>3474</v>
      </c>
      <c r="B123" s="82" t="str">
        <f t="shared" si="4"/>
        <v>Barraqueiro Transportes, S.A.</v>
      </c>
      <c r="C123" s="82" t="str">
        <f t="shared" si="5"/>
        <v>Boa Viagem</v>
      </c>
      <c r="D123" s="83" t="s">
        <v>629</v>
      </c>
      <c r="E123" s="91" t="s">
        <v>1853</v>
      </c>
      <c r="F123" s="124" t="s">
        <v>620</v>
      </c>
      <c r="G123" s="304">
        <v>1994</v>
      </c>
      <c r="H123" s="312" t="s">
        <v>736</v>
      </c>
      <c r="I123" s="307" t="str">
        <f t="shared" si="6"/>
        <v>Pesado de Passageiros M3: III : Gasóleo : E1</v>
      </c>
      <c r="J123" s="125">
        <v>48</v>
      </c>
      <c r="K123" s="125">
        <v>2022</v>
      </c>
      <c r="L123" s="85">
        <v>15811.140000000001</v>
      </c>
      <c r="M123" s="85" t="s">
        <v>630</v>
      </c>
      <c r="N123" s="128">
        <v>40547</v>
      </c>
      <c r="O123" s="128">
        <f t="shared" si="7"/>
        <v>1946256</v>
      </c>
      <c r="P123" s="125" t="s">
        <v>758</v>
      </c>
      <c r="Q123" s="85" t="s">
        <v>47</v>
      </c>
      <c r="R123" s="214" t="s">
        <v>1869</v>
      </c>
      <c r="S123" s="214" t="s">
        <v>1861</v>
      </c>
      <c r="T123" s="85" t="s">
        <v>1491</v>
      </c>
      <c r="U123" t="s">
        <v>1953</v>
      </c>
      <c r="V123" t="s">
        <v>2813</v>
      </c>
    </row>
    <row r="124" spans="1:22" ht="15.75" thickBot="1" x14ac:dyDescent="0.3">
      <c r="A124" s="82" t="s">
        <v>3474</v>
      </c>
      <c r="B124" s="82" t="str">
        <f t="shared" si="4"/>
        <v>Barraqueiro Transportes, S.A.</v>
      </c>
      <c r="C124" s="82" t="str">
        <f t="shared" si="5"/>
        <v>Boa Viagem</v>
      </c>
      <c r="D124" s="83" t="s">
        <v>629</v>
      </c>
      <c r="E124" s="91" t="s">
        <v>1853</v>
      </c>
      <c r="F124" s="124" t="s">
        <v>620</v>
      </c>
      <c r="G124" s="304">
        <v>1996</v>
      </c>
      <c r="H124" s="312" t="s">
        <v>736</v>
      </c>
      <c r="I124" s="307" t="str">
        <f t="shared" si="6"/>
        <v>Pesado de Passageiros M3: III : Gasóleo : E1</v>
      </c>
      <c r="J124" s="125">
        <v>18</v>
      </c>
      <c r="K124" s="125">
        <v>2022</v>
      </c>
      <c r="L124" s="85">
        <v>10594.76</v>
      </c>
      <c r="M124" s="85" t="s">
        <v>630</v>
      </c>
      <c r="N124" s="128">
        <v>27565</v>
      </c>
      <c r="O124" s="128">
        <f t="shared" si="7"/>
        <v>496170</v>
      </c>
      <c r="P124" s="125" t="s">
        <v>759</v>
      </c>
      <c r="Q124" s="85" t="s">
        <v>47</v>
      </c>
      <c r="R124" s="214" t="s">
        <v>1869</v>
      </c>
      <c r="S124" s="214" t="s">
        <v>1861</v>
      </c>
      <c r="T124" s="85" t="s">
        <v>1491</v>
      </c>
      <c r="U124" t="s">
        <v>1953</v>
      </c>
      <c r="V124" t="s">
        <v>2813</v>
      </c>
    </row>
    <row r="125" spans="1:22" ht="15.75" thickBot="1" x14ac:dyDescent="0.3">
      <c r="A125" s="82" t="s">
        <v>3474</v>
      </c>
      <c r="B125" s="82" t="str">
        <f t="shared" si="4"/>
        <v>Barraqueiro Transportes, S.A.</v>
      </c>
      <c r="C125" s="82" t="str">
        <f t="shared" si="5"/>
        <v>Boa Viagem</v>
      </c>
      <c r="D125" s="83" t="s">
        <v>629</v>
      </c>
      <c r="E125" s="91" t="s">
        <v>1853</v>
      </c>
      <c r="F125" s="124" t="s">
        <v>620</v>
      </c>
      <c r="G125" s="304">
        <v>2009</v>
      </c>
      <c r="H125" s="312" t="s">
        <v>734</v>
      </c>
      <c r="I125" s="307" t="str">
        <f t="shared" si="6"/>
        <v>Pesado de Passageiros M3: III : Gasóleo : E5</v>
      </c>
      <c r="J125" s="125">
        <v>84</v>
      </c>
      <c r="K125" s="125">
        <v>2022</v>
      </c>
      <c r="L125" s="85">
        <v>26598.429999999997</v>
      </c>
      <c r="M125" s="85" t="s">
        <v>630</v>
      </c>
      <c r="N125" s="128">
        <v>71280</v>
      </c>
      <c r="O125" s="128">
        <f t="shared" si="7"/>
        <v>5987520</v>
      </c>
      <c r="P125" s="125" t="s">
        <v>760</v>
      </c>
      <c r="Q125" s="85" t="s">
        <v>47</v>
      </c>
      <c r="R125" s="214" t="s">
        <v>1869</v>
      </c>
      <c r="S125" s="214" t="s">
        <v>1861</v>
      </c>
      <c r="T125" s="85" t="s">
        <v>1491</v>
      </c>
      <c r="U125" t="s">
        <v>1953</v>
      </c>
      <c r="V125" t="s">
        <v>2813</v>
      </c>
    </row>
    <row r="126" spans="1:22" ht="15.75" thickBot="1" x14ac:dyDescent="0.3">
      <c r="A126" s="82" t="s">
        <v>3474</v>
      </c>
      <c r="B126" s="82" t="str">
        <f t="shared" si="4"/>
        <v>Barraqueiro Transportes, S.A.</v>
      </c>
      <c r="C126" s="82" t="str">
        <f t="shared" si="5"/>
        <v>Boa Viagem</v>
      </c>
      <c r="D126" s="83" t="s">
        <v>629</v>
      </c>
      <c r="E126" s="91" t="s">
        <v>1853</v>
      </c>
      <c r="F126" s="124" t="s">
        <v>620</v>
      </c>
      <c r="G126" s="304">
        <v>1996</v>
      </c>
      <c r="H126" s="312" t="s">
        <v>736</v>
      </c>
      <c r="I126" s="307" t="str">
        <f t="shared" si="6"/>
        <v>Pesado de Passageiros M3: III : Gasóleo : E1</v>
      </c>
      <c r="J126" s="125">
        <v>56</v>
      </c>
      <c r="K126" s="125">
        <v>2022</v>
      </c>
      <c r="L126" s="85">
        <v>12614.150000000001</v>
      </c>
      <c r="M126" s="85" t="s">
        <v>630</v>
      </c>
      <c r="N126" s="128">
        <v>33211</v>
      </c>
      <c r="O126" s="128">
        <f t="shared" si="7"/>
        <v>1859816</v>
      </c>
      <c r="P126" s="125" t="s">
        <v>761</v>
      </c>
      <c r="Q126" s="85" t="s">
        <v>47</v>
      </c>
      <c r="R126" s="214" t="s">
        <v>1869</v>
      </c>
      <c r="S126" s="214" t="s">
        <v>1861</v>
      </c>
      <c r="T126" s="85" t="s">
        <v>1491</v>
      </c>
      <c r="U126" t="s">
        <v>1953</v>
      </c>
      <c r="V126" t="s">
        <v>2813</v>
      </c>
    </row>
    <row r="127" spans="1:22" ht="15.75" thickBot="1" x14ac:dyDescent="0.3">
      <c r="A127" s="82" t="s">
        <v>3474</v>
      </c>
      <c r="B127" s="82" t="str">
        <f t="shared" si="4"/>
        <v>Barraqueiro Transportes, S.A.</v>
      </c>
      <c r="C127" s="82" t="str">
        <f t="shared" si="5"/>
        <v>Boa Viagem</v>
      </c>
      <c r="D127" s="83" t="s">
        <v>629</v>
      </c>
      <c r="E127" s="91" t="s">
        <v>1853</v>
      </c>
      <c r="F127" s="124" t="s">
        <v>620</v>
      </c>
      <c r="G127" s="304">
        <v>2005</v>
      </c>
      <c r="H127" s="312" t="s">
        <v>732</v>
      </c>
      <c r="I127" s="307" t="str">
        <f t="shared" si="6"/>
        <v>Pesado de Passageiros M3: III : Gasóleo : E3</v>
      </c>
      <c r="J127" s="125">
        <v>82</v>
      </c>
      <c r="K127" s="125">
        <v>2022</v>
      </c>
      <c r="L127" s="85">
        <v>18486.034999999996</v>
      </c>
      <c r="M127" s="85" t="s">
        <v>630</v>
      </c>
      <c r="N127" s="128">
        <v>47387</v>
      </c>
      <c r="O127" s="128">
        <f t="shared" si="7"/>
        <v>3885734</v>
      </c>
      <c r="P127" s="125" t="s">
        <v>762</v>
      </c>
      <c r="Q127" s="85" t="s">
        <v>47</v>
      </c>
      <c r="R127" s="214" t="s">
        <v>1869</v>
      </c>
      <c r="S127" s="214" t="s">
        <v>1861</v>
      </c>
      <c r="T127" s="85" t="s">
        <v>1491</v>
      </c>
      <c r="U127" t="s">
        <v>1953</v>
      </c>
      <c r="V127" t="s">
        <v>2813</v>
      </c>
    </row>
    <row r="128" spans="1:22" ht="15.75" thickBot="1" x14ac:dyDescent="0.3">
      <c r="A128" s="82" t="s">
        <v>3474</v>
      </c>
      <c r="B128" s="82" t="str">
        <f t="shared" si="4"/>
        <v>Barraqueiro Transportes, S.A.</v>
      </c>
      <c r="C128" s="82" t="str">
        <f t="shared" si="5"/>
        <v>Boa Viagem</v>
      </c>
      <c r="D128" s="83" t="s">
        <v>629</v>
      </c>
      <c r="E128" s="91" t="s">
        <v>1853</v>
      </c>
      <c r="F128" s="124" t="s">
        <v>620</v>
      </c>
      <c r="G128" s="304">
        <v>2008</v>
      </c>
      <c r="H128" s="312" t="s">
        <v>731</v>
      </c>
      <c r="I128" s="307" t="str">
        <f t="shared" si="6"/>
        <v>Pesado de Passageiros M3: III : Gasóleo : E4</v>
      </c>
      <c r="J128" s="125">
        <v>53</v>
      </c>
      <c r="K128" s="125">
        <v>2022</v>
      </c>
      <c r="L128" s="85">
        <v>25072.320000000003</v>
      </c>
      <c r="M128" s="85" t="s">
        <v>630</v>
      </c>
      <c r="N128" s="128">
        <v>72208</v>
      </c>
      <c r="O128" s="128">
        <f t="shared" si="7"/>
        <v>3827024</v>
      </c>
      <c r="P128" s="125" t="s">
        <v>763</v>
      </c>
      <c r="Q128" s="85" t="s">
        <v>47</v>
      </c>
      <c r="R128" s="214" t="s">
        <v>1869</v>
      </c>
      <c r="S128" s="214" t="s">
        <v>1861</v>
      </c>
      <c r="T128" s="85" t="s">
        <v>1491</v>
      </c>
      <c r="U128" t="s">
        <v>1953</v>
      </c>
      <c r="V128" t="s">
        <v>2813</v>
      </c>
    </row>
    <row r="129" spans="1:22" ht="15.75" thickBot="1" x14ac:dyDescent="0.3">
      <c r="A129" s="82" t="s">
        <v>3474</v>
      </c>
      <c r="B129" s="82" t="str">
        <f t="shared" si="4"/>
        <v>Barraqueiro Transportes, S.A.</v>
      </c>
      <c r="C129" s="82" t="str">
        <f t="shared" si="5"/>
        <v>Boa Viagem</v>
      </c>
      <c r="D129" s="83" t="s">
        <v>629</v>
      </c>
      <c r="E129" s="91" t="s">
        <v>1853</v>
      </c>
      <c r="F129" s="124" t="s">
        <v>620</v>
      </c>
      <c r="G129" s="304">
        <v>2003</v>
      </c>
      <c r="H129" s="312" t="s">
        <v>732</v>
      </c>
      <c r="I129" s="307" t="str">
        <f t="shared" si="6"/>
        <v>Pesado de Passageiros M3: III : Gasóleo : E3</v>
      </c>
      <c r="J129" s="125">
        <v>98</v>
      </c>
      <c r="K129" s="125">
        <v>2022</v>
      </c>
      <c r="L129" s="85">
        <v>11939.890000000001</v>
      </c>
      <c r="M129" s="85" t="s">
        <v>630</v>
      </c>
      <c r="N129" s="128">
        <v>25497</v>
      </c>
      <c r="O129" s="128">
        <f t="shared" si="7"/>
        <v>2498706</v>
      </c>
      <c r="P129" s="125" t="s">
        <v>764</v>
      </c>
      <c r="Q129" s="85" t="s">
        <v>47</v>
      </c>
      <c r="R129" s="214" t="s">
        <v>1869</v>
      </c>
      <c r="S129" s="214" t="s">
        <v>1861</v>
      </c>
      <c r="T129" s="85" t="s">
        <v>1491</v>
      </c>
      <c r="U129" t="s">
        <v>1953</v>
      </c>
      <c r="V129" t="s">
        <v>2813</v>
      </c>
    </row>
    <row r="130" spans="1:22" ht="15.75" thickBot="1" x14ac:dyDescent="0.3">
      <c r="A130" s="82" t="s">
        <v>3474</v>
      </c>
      <c r="B130" s="82" t="str">
        <f t="shared" si="4"/>
        <v>Barraqueiro Transportes, S.A.</v>
      </c>
      <c r="C130" s="82" t="str">
        <f t="shared" si="5"/>
        <v>Boa Viagem</v>
      </c>
      <c r="D130" s="83" t="s">
        <v>629</v>
      </c>
      <c r="E130" s="91" t="s">
        <v>1853</v>
      </c>
      <c r="F130" s="124" t="s">
        <v>620</v>
      </c>
      <c r="G130" s="304">
        <v>2005</v>
      </c>
      <c r="H130" s="312" t="s">
        <v>732</v>
      </c>
      <c r="I130" s="307" t="str">
        <f t="shared" si="6"/>
        <v>Pesado de Passageiros M3: III : Gasóleo : E3</v>
      </c>
      <c r="J130" s="125">
        <v>57</v>
      </c>
      <c r="K130" s="125">
        <v>2022</v>
      </c>
      <c r="L130" s="85">
        <v>26606.32</v>
      </c>
      <c r="M130" s="85" t="s">
        <v>630</v>
      </c>
      <c r="N130" s="128">
        <v>74341</v>
      </c>
      <c r="O130" s="128">
        <f t="shared" si="7"/>
        <v>4237437</v>
      </c>
      <c r="P130" s="125" t="s">
        <v>765</v>
      </c>
      <c r="Q130" s="85" t="s">
        <v>47</v>
      </c>
      <c r="R130" s="214" t="s">
        <v>1869</v>
      </c>
      <c r="S130" s="214" t="s">
        <v>1861</v>
      </c>
      <c r="T130" s="85" t="s">
        <v>1491</v>
      </c>
      <c r="U130" t="s">
        <v>1953</v>
      </c>
      <c r="V130" t="s">
        <v>2813</v>
      </c>
    </row>
    <row r="131" spans="1:22" ht="15.75" thickBot="1" x14ac:dyDescent="0.3">
      <c r="A131" s="82" t="s">
        <v>3474</v>
      </c>
      <c r="B131" s="82" t="str">
        <f t="shared" ref="B131:B194" si="8">LEFT(A131,IFERROR(FIND(" - ",A131)-1,LEN(A131)))</f>
        <v>Barraqueiro Transportes, S.A.</v>
      </c>
      <c r="C131" s="82" t="str">
        <f t="shared" si="5"/>
        <v>Boa Viagem</v>
      </c>
      <c r="D131" s="83" t="s">
        <v>629</v>
      </c>
      <c r="E131" s="91" t="s">
        <v>1853</v>
      </c>
      <c r="F131" s="124" t="s">
        <v>620</v>
      </c>
      <c r="G131" s="304">
        <v>2009</v>
      </c>
      <c r="H131" s="312" t="s">
        <v>734</v>
      </c>
      <c r="I131" s="307" t="str">
        <f t="shared" si="6"/>
        <v>Pesado de Passageiros M3: III : Gasóleo : E5</v>
      </c>
      <c r="J131" s="125">
        <v>53</v>
      </c>
      <c r="K131" s="125">
        <v>2022</v>
      </c>
      <c r="L131" s="85">
        <v>24024.37</v>
      </c>
      <c r="M131" s="85" t="s">
        <v>630</v>
      </c>
      <c r="N131" s="128">
        <v>62556</v>
      </c>
      <c r="O131" s="128">
        <f t="shared" si="7"/>
        <v>3315468</v>
      </c>
      <c r="P131" s="125" t="s">
        <v>766</v>
      </c>
      <c r="Q131" s="85" t="s">
        <v>47</v>
      </c>
      <c r="R131" s="214" t="s">
        <v>1869</v>
      </c>
      <c r="S131" s="214" t="s">
        <v>1861</v>
      </c>
      <c r="T131" s="85" t="s">
        <v>1491</v>
      </c>
      <c r="U131" t="s">
        <v>1953</v>
      </c>
      <c r="V131" t="s">
        <v>2813</v>
      </c>
    </row>
    <row r="132" spans="1:22" ht="15.75" thickBot="1" x14ac:dyDescent="0.3">
      <c r="A132" s="82" t="s">
        <v>3474</v>
      </c>
      <c r="B132" s="82" t="str">
        <f t="shared" si="8"/>
        <v>Barraqueiro Transportes, S.A.</v>
      </c>
      <c r="C132" s="82" t="str">
        <f t="shared" ref="C132:C195" si="9">IF(A132=B132,B132,RIGHT(A132,LEN(A132)-LEN(B132)-3))</f>
        <v>Boa Viagem</v>
      </c>
      <c r="D132" s="83" t="s">
        <v>629</v>
      </c>
      <c r="E132" s="91" t="s">
        <v>1853</v>
      </c>
      <c r="F132" s="124" t="s">
        <v>620</v>
      </c>
      <c r="G132" s="304">
        <v>2009</v>
      </c>
      <c r="H132" s="312" t="s">
        <v>734</v>
      </c>
      <c r="I132" s="307" t="str">
        <f t="shared" ref="I132:I195" si="10">D132&amp;": "&amp;E132&amp;" : "&amp;F132&amp;" : "&amp;H132</f>
        <v>Pesado de Passageiros M3: III : Gasóleo : E5</v>
      </c>
      <c r="J132" s="125">
        <v>53</v>
      </c>
      <c r="K132" s="125">
        <v>2022</v>
      </c>
      <c r="L132" s="85">
        <v>7939.06</v>
      </c>
      <c r="M132" s="85" t="s">
        <v>630</v>
      </c>
      <c r="N132" s="128">
        <v>20649</v>
      </c>
      <c r="O132" s="128">
        <f t="shared" ref="O132:O195" si="11">N132*J132</f>
        <v>1094397</v>
      </c>
      <c r="P132" s="125" t="s">
        <v>767</v>
      </c>
      <c r="Q132" s="85" t="s">
        <v>47</v>
      </c>
      <c r="R132" s="214" t="s">
        <v>1869</v>
      </c>
      <c r="S132" s="214" t="s">
        <v>1861</v>
      </c>
      <c r="T132" s="85" t="s">
        <v>1491</v>
      </c>
      <c r="U132" t="s">
        <v>1953</v>
      </c>
      <c r="V132" t="s">
        <v>2813</v>
      </c>
    </row>
    <row r="133" spans="1:22" ht="15.75" thickBot="1" x14ac:dyDescent="0.3">
      <c r="A133" s="82" t="s">
        <v>3474</v>
      </c>
      <c r="B133" s="82" t="str">
        <f t="shared" si="8"/>
        <v>Barraqueiro Transportes, S.A.</v>
      </c>
      <c r="C133" s="82" t="str">
        <f t="shared" si="9"/>
        <v>Boa Viagem</v>
      </c>
      <c r="D133" s="83" t="s">
        <v>629</v>
      </c>
      <c r="E133" s="91" t="s">
        <v>1853</v>
      </c>
      <c r="F133" s="124" t="s">
        <v>620</v>
      </c>
      <c r="G133" s="304">
        <v>2009</v>
      </c>
      <c r="H133" s="312" t="s">
        <v>734</v>
      </c>
      <c r="I133" s="307" t="str">
        <f t="shared" si="10"/>
        <v>Pesado de Passageiros M3: III : Gasóleo : E5</v>
      </c>
      <c r="J133" s="125">
        <v>37</v>
      </c>
      <c r="K133" s="125">
        <v>2022</v>
      </c>
      <c r="L133" s="85">
        <v>13018.130000000001</v>
      </c>
      <c r="M133" s="85" t="s">
        <v>630</v>
      </c>
      <c r="N133" s="128">
        <v>38665</v>
      </c>
      <c r="O133" s="128">
        <f t="shared" si="11"/>
        <v>1430605</v>
      </c>
      <c r="P133" s="125" t="s">
        <v>768</v>
      </c>
      <c r="Q133" s="85" t="s">
        <v>47</v>
      </c>
      <c r="R133" s="214" t="s">
        <v>1869</v>
      </c>
      <c r="S133" s="214" t="s">
        <v>1861</v>
      </c>
      <c r="T133" s="85" t="s">
        <v>1491</v>
      </c>
      <c r="U133" t="s">
        <v>1953</v>
      </c>
      <c r="V133" t="s">
        <v>2813</v>
      </c>
    </row>
    <row r="134" spans="1:22" ht="15.75" thickBot="1" x14ac:dyDescent="0.3">
      <c r="A134" s="82" t="s">
        <v>3474</v>
      </c>
      <c r="B134" s="82" t="str">
        <f t="shared" si="8"/>
        <v>Barraqueiro Transportes, S.A.</v>
      </c>
      <c r="C134" s="82" t="str">
        <f t="shared" si="9"/>
        <v>Boa Viagem</v>
      </c>
      <c r="D134" s="83" t="s">
        <v>629</v>
      </c>
      <c r="E134" s="91" t="s">
        <v>1853</v>
      </c>
      <c r="F134" s="124" t="s">
        <v>620</v>
      </c>
      <c r="G134" s="304">
        <v>2009</v>
      </c>
      <c r="H134" s="312" t="s">
        <v>734</v>
      </c>
      <c r="I134" s="307" t="str">
        <f t="shared" si="10"/>
        <v>Pesado de Passageiros M3: III : Gasóleo : E5</v>
      </c>
      <c r="J134" s="125">
        <v>27</v>
      </c>
      <c r="K134" s="125">
        <v>2022</v>
      </c>
      <c r="L134" s="85">
        <v>6340.0999999999995</v>
      </c>
      <c r="M134" s="85" t="s">
        <v>630</v>
      </c>
      <c r="N134" s="128">
        <v>32243</v>
      </c>
      <c r="O134" s="128">
        <f t="shared" si="11"/>
        <v>870561</v>
      </c>
      <c r="P134" s="125" t="s">
        <v>769</v>
      </c>
      <c r="Q134" s="85" t="s">
        <v>47</v>
      </c>
      <c r="R134" s="214" t="s">
        <v>1869</v>
      </c>
      <c r="S134" s="214" t="s">
        <v>1861</v>
      </c>
      <c r="T134" s="85" t="s">
        <v>1491</v>
      </c>
      <c r="U134" t="s">
        <v>1953</v>
      </c>
      <c r="V134" t="s">
        <v>2813</v>
      </c>
    </row>
    <row r="135" spans="1:22" ht="15.75" thickBot="1" x14ac:dyDescent="0.3">
      <c r="A135" s="82" t="s">
        <v>3474</v>
      </c>
      <c r="B135" s="82" t="str">
        <f t="shared" si="8"/>
        <v>Barraqueiro Transportes, S.A.</v>
      </c>
      <c r="C135" s="82" t="str">
        <f t="shared" si="9"/>
        <v>Boa Viagem</v>
      </c>
      <c r="D135" s="83" t="s">
        <v>629</v>
      </c>
      <c r="E135" s="91" t="s">
        <v>1853</v>
      </c>
      <c r="F135" s="124" t="s">
        <v>620</v>
      </c>
      <c r="G135" s="304">
        <v>2009</v>
      </c>
      <c r="H135" s="312" t="s">
        <v>734</v>
      </c>
      <c r="I135" s="307" t="str">
        <f t="shared" si="10"/>
        <v>Pesado de Passageiros M3: III : Gasóleo : E5</v>
      </c>
      <c r="J135" s="125">
        <v>27</v>
      </c>
      <c r="K135" s="125">
        <v>2022</v>
      </c>
      <c r="L135" s="85">
        <v>5658.94</v>
      </c>
      <c r="M135" s="85" t="s">
        <v>630</v>
      </c>
      <c r="N135" s="128">
        <v>28827</v>
      </c>
      <c r="O135" s="128">
        <f t="shared" si="11"/>
        <v>778329</v>
      </c>
      <c r="P135" s="125" t="s">
        <v>770</v>
      </c>
      <c r="Q135" s="85" t="s">
        <v>47</v>
      </c>
      <c r="R135" s="214" t="s">
        <v>1869</v>
      </c>
      <c r="S135" s="214" t="s">
        <v>1861</v>
      </c>
      <c r="T135" s="85" t="s">
        <v>1491</v>
      </c>
      <c r="U135" t="s">
        <v>1953</v>
      </c>
      <c r="V135" t="s">
        <v>2813</v>
      </c>
    </row>
    <row r="136" spans="1:22" ht="15.75" thickBot="1" x14ac:dyDescent="0.3">
      <c r="A136" s="82" t="s">
        <v>3474</v>
      </c>
      <c r="B136" s="82" t="str">
        <f t="shared" si="8"/>
        <v>Barraqueiro Transportes, S.A.</v>
      </c>
      <c r="C136" s="82" t="str">
        <f t="shared" si="9"/>
        <v>Boa Viagem</v>
      </c>
      <c r="D136" s="83" t="s">
        <v>629</v>
      </c>
      <c r="E136" s="91" t="s">
        <v>1853</v>
      </c>
      <c r="F136" s="124" t="s">
        <v>620</v>
      </c>
      <c r="G136" s="304">
        <v>2009</v>
      </c>
      <c r="H136" s="312" t="s">
        <v>734</v>
      </c>
      <c r="I136" s="307" t="str">
        <f t="shared" si="10"/>
        <v>Pesado de Passageiros M3: III : Gasóleo : E5</v>
      </c>
      <c r="J136" s="125">
        <v>27</v>
      </c>
      <c r="K136" s="125">
        <v>2022</v>
      </c>
      <c r="L136" s="85">
        <v>3639.6500000000005</v>
      </c>
      <c r="M136" s="85" t="s">
        <v>630</v>
      </c>
      <c r="N136" s="128">
        <v>17017</v>
      </c>
      <c r="O136" s="128">
        <f t="shared" si="11"/>
        <v>459459</v>
      </c>
      <c r="P136" s="125" t="s">
        <v>771</v>
      </c>
      <c r="Q136" s="85" t="s">
        <v>47</v>
      </c>
      <c r="R136" s="214" t="s">
        <v>1869</v>
      </c>
      <c r="S136" s="214" t="s">
        <v>1861</v>
      </c>
      <c r="T136" s="85" t="s">
        <v>1491</v>
      </c>
      <c r="U136" t="s">
        <v>1953</v>
      </c>
      <c r="V136" t="s">
        <v>2813</v>
      </c>
    </row>
    <row r="137" spans="1:22" ht="15.75" thickBot="1" x14ac:dyDescent="0.3">
      <c r="A137" s="82" t="s">
        <v>3474</v>
      </c>
      <c r="B137" s="82" t="str">
        <f t="shared" si="8"/>
        <v>Barraqueiro Transportes, S.A.</v>
      </c>
      <c r="C137" s="82" t="str">
        <f t="shared" si="9"/>
        <v>Boa Viagem</v>
      </c>
      <c r="D137" s="83" t="s">
        <v>629</v>
      </c>
      <c r="E137" s="91" t="s">
        <v>1853</v>
      </c>
      <c r="F137" s="124" t="s">
        <v>620</v>
      </c>
      <c r="G137" s="304">
        <v>2005</v>
      </c>
      <c r="H137" s="312" t="s">
        <v>732</v>
      </c>
      <c r="I137" s="307" t="str">
        <f t="shared" si="10"/>
        <v>Pesado de Passageiros M3: III : Gasóleo : E3</v>
      </c>
      <c r="J137" s="125">
        <v>57</v>
      </c>
      <c r="K137" s="125">
        <v>2022</v>
      </c>
      <c r="L137" s="85">
        <v>16992.020000000004</v>
      </c>
      <c r="M137" s="85" t="s">
        <v>630</v>
      </c>
      <c r="N137" s="128">
        <v>46065</v>
      </c>
      <c r="O137" s="128">
        <f t="shared" si="11"/>
        <v>2625705</v>
      </c>
      <c r="P137" s="125" t="s">
        <v>772</v>
      </c>
      <c r="Q137" s="85" t="s">
        <v>47</v>
      </c>
      <c r="R137" s="214" t="s">
        <v>1869</v>
      </c>
      <c r="S137" s="214" t="s">
        <v>1861</v>
      </c>
      <c r="T137" s="85" t="s">
        <v>1491</v>
      </c>
      <c r="U137" t="s">
        <v>1953</v>
      </c>
      <c r="V137" t="s">
        <v>2813</v>
      </c>
    </row>
    <row r="138" spans="1:22" ht="15.75" thickBot="1" x14ac:dyDescent="0.3">
      <c r="A138" s="82" t="s">
        <v>3474</v>
      </c>
      <c r="B138" s="82" t="str">
        <f t="shared" si="8"/>
        <v>Barraqueiro Transportes, S.A.</v>
      </c>
      <c r="C138" s="82" t="str">
        <f t="shared" si="9"/>
        <v>Boa Viagem</v>
      </c>
      <c r="D138" s="83" t="s">
        <v>629</v>
      </c>
      <c r="E138" s="91" t="s">
        <v>1853</v>
      </c>
      <c r="F138" s="124" t="s">
        <v>620</v>
      </c>
      <c r="G138" s="304">
        <v>2005</v>
      </c>
      <c r="H138" s="312" t="s">
        <v>732</v>
      </c>
      <c r="I138" s="307" t="str">
        <f t="shared" si="10"/>
        <v>Pesado de Passageiros M3: III : Gasóleo : E3</v>
      </c>
      <c r="J138" s="125">
        <v>76</v>
      </c>
      <c r="K138" s="125">
        <v>2022</v>
      </c>
      <c r="L138" s="85">
        <v>21523.93</v>
      </c>
      <c r="M138" s="85" t="s">
        <v>630</v>
      </c>
      <c r="N138" s="128">
        <v>53341</v>
      </c>
      <c r="O138" s="128">
        <f t="shared" si="11"/>
        <v>4053916</v>
      </c>
      <c r="P138" s="125" t="s">
        <v>773</v>
      </c>
      <c r="Q138" s="85" t="s">
        <v>47</v>
      </c>
      <c r="R138" s="214" t="s">
        <v>1869</v>
      </c>
      <c r="S138" s="214" t="s">
        <v>1861</v>
      </c>
      <c r="T138" s="85" t="s">
        <v>1491</v>
      </c>
      <c r="U138" t="s">
        <v>1953</v>
      </c>
      <c r="V138" t="s">
        <v>2813</v>
      </c>
    </row>
    <row r="139" spans="1:22" ht="15.75" thickBot="1" x14ac:dyDescent="0.3">
      <c r="A139" s="82" t="s">
        <v>3474</v>
      </c>
      <c r="B139" s="82" t="str">
        <f t="shared" si="8"/>
        <v>Barraqueiro Transportes, S.A.</v>
      </c>
      <c r="C139" s="82" t="str">
        <f t="shared" si="9"/>
        <v>Boa Viagem</v>
      </c>
      <c r="D139" s="83" t="s">
        <v>629</v>
      </c>
      <c r="E139" s="91" t="s">
        <v>1853</v>
      </c>
      <c r="F139" s="124" t="s">
        <v>620</v>
      </c>
      <c r="G139" s="304">
        <v>2009</v>
      </c>
      <c r="H139" s="312" t="s">
        <v>734</v>
      </c>
      <c r="I139" s="307" t="str">
        <f t="shared" si="10"/>
        <v>Pesado de Passageiros M3: III : Gasóleo : E5</v>
      </c>
      <c r="J139" s="125">
        <v>55</v>
      </c>
      <c r="K139" s="125">
        <v>2022</v>
      </c>
      <c r="L139" s="85">
        <v>23755.930000000004</v>
      </c>
      <c r="M139" s="85" t="s">
        <v>630</v>
      </c>
      <c r="N139" s="128">
        <v>59889</v>
      </c>
      <c r="O139" s="128">
        <f t="shared" si="11"/>
        <v>3293895</v>
      </c>
      <c r="P139" s="125" t="s">
        <v>774</v>
      </c>
      <c r="Q139" s="85" t="s">
        <v>47</v>
      </c>
      <c r="R139" s="214" t="s">
        <v>1869</v>
      </c>
      <c r="S139" s="214" t="s">
        <v>1861</v>
      </c>
      <c r="T139" s="85" t="s">
        <v>1491</v>
      </c>
      <c r="U139" t="s">
        <v>1953</v>
      </c>
      <c r="V139" t="s">
        <v>2813</v>
      </c>
    </row>
    <row r="140" spans="1:22" ht="15.75" thickBot="1" x14ac:dyDescent="0.3">
      <c r="A140" s="82" t="s">
        <v>3474</v>
      </c>
      <c r="B140" s="82" t="str">
        <f t="shared" si="8"/>
        <v>Barraqueiro Transportes, S.A.</v>
      </c>
      <c r="C140" s="82" t="str">
        <f t="shared" si="9"/>
        <v>Boa Viagem</v>
      </c>
      <c r="D140" s="83" t="s">
        <v>629</v>
      </c>
      <c r="E140" s="91" t="s">
        <v>1853</v>
      </c>
      <c r="F140" s="124" t="s">
        <v>620</v>
      </c>
      <c r="G140" s="304">
        <v>2009</v>
      </c>
      <c r="H140" s="312" t="s">
        <v>734</v>
      </c>
      <c r="I140" s="307" t="str">
        <f t="shared" si="10"/>
        <v>Pesado de Passageiros M3: III : Gasóleo : E5</v>
      </c>
      <c r="J140" s="125">
        <v>55</v>
      </c>
      <c r="K140" s="125">
        <v>2022</v>
      </c>
      <c r="L140" s="85">
        <v>22723.639999999996</v>
      </c>
      <c r="M140" s="85" t="s">
        <v>630</v>
      </c>
      <c r="N140" s="128">
        <v>56282</v>
      </c>
      <c r="O140" s="128">
        <f t="shared" si="11"/>
        <v>3095510</v>
      </c>
      <c r="P140" s="125" t="s">
        <v>775</v>
      </c>
      <c r="Q140" s="85" t="s">
        <v>47</v>
      </c>
      <c r="R140" s="214" t="s">
        <v>1869</v>
      </c>
      <c r="S140" s="214" t="s">
        <v>1861</v>
      </c>
      <c r="T140" s="85" t="s">
        <v>1491</v>
      </c>
      <c r="U140" t="s">
        <v>1953</v>
      </c>
      <c r="V140" t="s">
        <v>2813</v>
      </c>
    </row>
    <row r="141" spans="1:22" ht="15.75" thickBot="1" x14ac:dyDescent="0.3">
      <c r="A141" s="82" t="s">
        <v>3474</v>
      </c>
      <c r="B141" s="82" t="str">
        <f t="shared" si="8"/>
        <v>Barraqueiro Transportes, S.A.</v>
      </c>
      <c r="C141" s="82" t="str">
        <f t="shared" si="9"/>
        <v>Boa Viagem</v>
      </c>
      <c r="D141" s="83" t="s">
        <v>629</v>
      </c>
      <c r="E141" s="91" t="s">
        <v>1853</v>
      </c>
      <c r="F141" s="124" t="s">
        <v>620</v>
      </c>
      <c r="G141" s="304">
        <v>2007</v>
      </c>
      <c r="H141" s="312" t="s">
        <v>731</v>
      </c>
      <c r="I141" s="307" t="str">
        <f t="shared" si="10"/>
        <v>Pesado de Passageiros M3: III : Gasóleo : E4</v>
      </c>
      <c r="J141" s="125">
        <v>21</v>
      </c>
      <c r="K141" s="125">
        <v>2022</v>
      </c>
      <c r="L141" s="85">
        <v>6796.4900000000007</v>
      </c>
      <c r="M141" s="85" t="s">
        <v>630</v>
      </c>
      <c r="N141" s="128">
        <v>32897</v>
      </c>
      <c r="O141" s="128">
        <f t="shared" si="11"/>
        <v>690837</v>
      </c>
      <c r="P141" s="125" t="s">
        <v>776</v>
      </c>
      <c r="Q141" s="85" t="s">
        <v>47</v>
      </c>
      <c r="R141" s="214" t="s">
        <v>1869</v>
      </c>
      <c r="S141" s="214" t="s">
        <v>1861</v>
      </c>
      <c r="T141" s="85" t="s">
        <v>1491</v>
      </c>
      <c r="U141" t="s">
        <v>1953</v>
      </c>
      <c r="V141" t="s">
        <v>2813</v>
      </c>
    </row>
    <row r="142" spans="1:22" ht="15.75" thickBot="1" x14ac:dyDescent="0.3">
      <c r="A142" s="82" t="s">
        <v>3474</v>
      </c>
      <c r="B142" s="82" t="str">
        <f t="shared" si="8"/>
        <v>Barraqueiro Transportes, S.A.</v>
      </c>
      <c r="C142" s="82" t="str">
        <f t="shared" si="9"/>
        <v>Boa Viagem</v>
      </c>
      <c r="D142" s="83" t="s">
        <v>629</v>
      </c>
      <c r="E142" s="91" t="s">
        <v>1853</v>
      </c>
      <c r="F142" s="124" t="s">
        <v>620</v>
      </c>
      <c r="G142" s="304">
        <v>2009</v>
      </c>
      <c r="H142" s="312" t="s">
        <v>734</v>
      </c>
      <c r="I142" s="307" t="str">
        <f t="shared" si="10"/>
        <v>Pesado de Passageiros M3: III : Gasóleo : E5</v>
      </c>
      <c r="J142" s="125">
        <v>71</v>
      </c>
      <c r="K142" s="125">
        <v>2022</v>
      </c>
      <c r="L142" s="85">
        <v>1698.72</v>
      </c>
      <c r="M142" s="85" t="s">
        <v>630</v>
      </c>
      <c r="N142" s="128">
        <v>3765</v>
      </c>
      <c r="O142" s="128">
        <f t="shared" si="11"/>
        <v>267315</v>
      </c>
      <c r="P142" s="125" t="s">
        <v>777</v>
      </c>
      <c r="Q142" s="85" t="s">
        <v>47</v>
      </c>
      <c r="R142" s="214" t="s">
        <v>1869</v>
      </c>
      <c r="S142" s="214" t="s">
        <v>1861</v>
      </c>
      <c r="T142" s="85" t="s">
        <v>1491</v>
      </c>
      <c r="U142" t="s">
        <v>1953</v>
      </c>
      <c r="V142" t="s">
        <v>2813</v>
      </c>
    </row>
    <row r="143" spans="1:22" ht="15.75" thickBot="1" x14ac:dyDescent="0.3">
      <c r="A143" s="82" t="s">
        <v>3474</v>
      </c>
      <c r="B143" s="82" t="str">
        <f t="shared" si="8"/>
        <v>Barraqueiro Transportes, S.A.</v>
      </c>
      <c r="C143" s="82" t="str">
        <f t="shared" si="9"/>
        <v>Boa Viagem</v>
      </c>
      <c r="D143" s="83" t="s">
        <v>629</v>
      </c>
      <c r="E143" s="91" t="s">
        <v>1853</v>
      </c>
      <c r="F143" s="124" t="s">
        <v>620</v>
      </c>
      <c r="G143" s="304">
        <v>2009</v>
      </c>
      <c r="H143" s="312" t="s">
        <v>734</v>
      </c>
      <c r="I143" s="307" t="str">
        <f t="shared" si="10"/>
        <v>Pesado de Passageiros M3: III : Gasóleo : E5</v>
      </c>
      <c r="J143" s="125">
        <v>71</v>
      </c>
      <c r="K143" s="125">
        <v>2022</v>
      </c>
      <c r="L143" s="85">
        <v>29439.13</v>
      </c>
      <c r="M143" s="85" t="s">
        <v>630</v>
      </c>
      <c r="N143" s="128">
        <v>68467</v>
      </c>
      <c r="O143" s="128">
        <f t="shared" si="11"/>
        <v>4861157</v>
      </c>
      <c r="P143" s="125" t="s">
        <v>778</v>
      </c>
      <c r="Q143" s="85" t="s">
        <v>47</v>
      </c>
      <c r="R143" s="214" t="s">
        <v>1869</v>
      </c>
      <c r="S143" s="214" t="s">
        <v>1861</v>
      </c>
      <c r="T143" s="85" t="s">
        <v>1491</v>
      </c>
      <c r="U143" t="s">
        <v>1953</v>
      </c>
      <c r="V143" t="s">
        <v>2813</v>
      </c>
    </row>
    <row r="144" spans="1:22" ht="15.75" thickBot="1" x14ac:dyDescent="0.3">
      <c r="A144" s="82" t="s">
        <v>3474</v>
      </c>
      <c r="B144" s="82" t="str">
        <f t="shared" si="8"/>
        <v>Barraqueiro Transportes, S.A.</v>
      </c>
      <c r="C144" s="82" t="str">
        <f t="shared" si="9"/>
        <v>Boa Viagem</v>
      </c>
      <c r="D144" s="83" t="s">
        <v>629</v>
      </c>
      <c r="E144" s="91" t="s">
        <v>1853</v>
      </c>
      <c r="F144" s="124" t="s">
        <v>620</v>
      </c>
      <c r="G144" s="304">
        <v>2016</v>
      </c>
      <c r="H144" s="312" t="s">
        <v>733</v>
      </c>
      <c r="I144" s="307" t="str">
        <f t="shared" si="10"/>
        <v>Pesado de Passageiros M3: III : Gasóleo : E6</v>
      </c>
      <c r="J144" s="125">
        <v>64</v>
      </c>
      <c r="K144" s="125">
        <v>2022</v>
      </c>
      <c r="L144" s="85">
        <v>15232.62</v>
      </c>
      <c r="M144" s="85" t="s">
        <v>630</v>
      </c>
      <c r="N144" s="128">
        <v>43910</v>
      </c>
      <c r="O144" s="128">
        <f t="shared" si="11"/>
        <v>2810240</v>
      </c>
      <c r="P144" s="125" t="s">
        <v>779</v>
      </c>
      <c r="Q144" s="85" t="s">
        <v>47</v>
      </c>
      <c r="R144" s="214" t="s">
        <v>1869</v>
      </c>
      <c r="S144" s="214" t="s">
        <v>1861</v>
      </c>
      <c r="T144" s="85" t="s">
        <v>1491</v>
      </c>
      <c r="U144" t="s">
        <v>1953</v>
      </c>
      <c r="V144" t="s">
        <v>2813</v>
      </c>
    </row>
    <row r="145" spans="1:22" ht="15.75" thickBot="1" x14ac:dyDescent="0.3">
      <c r="A145" s="82" t="s">
        <v>3474</v>
      </c>
      <c r="B145" s="82" t="str">
        <f t="shared" si="8"/>
        <v>Barraqueiro Transportes, S.A.</v>
      </c>
      <c r="C145" s="82" t="str">
        <f t="shared" si="9"/>
        <v>Boa Viagem</v>
      </c>
      <c r="D145" s="83" t="s">
        <v>629</v>
      </c>
      <c r="E145" s="91" t="s">
        <v>1853</v>
      </c>
      <c r="F145" s="124" t="s">
        <v>620</v>
      </c>
      <c r="G145" s="304">
        <v>1999</v>
      </c>
      <c r="H145" s="312" t="s">
        <v>736</v>
      </c>
      <c r="I145" s="307" t="str">
        <f t="shared" si="10"/>
        <v>Pesado de Passageiros M3: III : Gasóleo : E1</v>
      </c>
      <c r="J145" s="125">
        <v>51</v>
      </c>
      <c r="K145" s="125">
        <v>2022</v>
      </c>
      <c r="L145" s="85">
        <v>833</v>
      </c>
      <c r="M145" s="85" t="s">
        <v>630</v>
      </c>
      <c r="N145" s="128">
        <v>1974</v>
      </c>
      <c r="O145" s="128">
        <f t="shared" si="11"/>
        <v>100674</v>
      </c>
      <c r="P145" s="125" t="s">
        <v>780</v>
      </c>
      <c r="Q145" s="85" t="s">
        <v>47</v>
      </c>
      <c r="R145" s="214" t="s">
        <v>1869</v>
      </c>
      <c r="S145" s="214" t="s">
        <v>1861</v>
      </c>
      <c r="T145" s="85" t="s">
        <v>1491</v>
      </c>
      <c r="U145" t="s">
        <v>1953</v>
      </c>
      <c r="V145" t="s">
        <v>2813</v>
      </c>
    </row>
    <row r="146" spans="1:22" ht="15.75" thickBot="1" x14ac:dyDescent="0.3">
      <c r="A146" s="82" t="s">
        <v>3474</v>
      </c>
      <c r="B146" s="82" t="str">
        <f t="shared" si="8"/>
        <v>Barraqueiro Transportes, S.A.</v>
      </c>
      <c r="C146" s="82" t="str">
        <f t="shared" si="9"/>
        <v>Boa Viagem</v>
      </c>
      <c r="D146" s="83" t="s">
        <v>629</v>
      </c>
      <c r="E146" s="91" t="s">
        <v>1853</v>
      </c>
      <c r="F146" s="124" t="s">
        <v>620</v>
      </c>
      <c r="G146" s="304">
        <v>2001</v>
      </c>
      <c r="H146" s="312" t="s">
        <v>732</v>
      </c>
      <c r="I146" s="307" t="str">
        <f t="shared" si="10"/>
        <v>Pesado de Passageiros M3: III : Gasóleo : E3</v>
      </c>
      <c r="J146" s="125">
        <v>55</v>
      </c>
      <c r="K146" s="125">
        <v>2022</v>
      </c>
      <c r="L146" s="85">
        <v>11210.88</v>
      </c>
      <c r="M146" s="85" t="s">
        <v>630</v>
      </c>
      <c r="N146" s="128">
        <v>30054</v>
      </c>
      <c r="O146" s="128">
        <f t="shared" si="11"/>
        <v>1652970</v>
      </c>
      <c r="P146" s="125" t="s">
        <v>781</v>
      </c>
      <c r="Q146" s="85" t="s">
        <v>47</v>
      </c>
      <c r="R146" s="214" t="s">
        <v>1869</v>
      </c>
      <c r="S146" s="214" t="s">
        <v>1861</v>
      </c>
      <c r="T146" s="85" t="s">
        <v>1491</v>
      </c>
      <c r="U146" t="s">
        <v>1953</v>
      </c>
      <c r="V146" t="s">
        <v>2813</v>
      </c>
    </row>
    <row r="147" spans="1:22" ht="15.75" thickBot="1" x14ac:dyDescent="0.3">
      <c r="A147" s="82" t="s">
        <v>3474</v>
      </c>
      <c r="B147" s="82" t="str">
        <f t="shared" si="8"/>
        <v>Barraqueiro Transportes, S.A.</v>
      </c>
      <c r="C147" s="82" t="str">
        <f t="shared" si="9"/>
        <v>Boa Viagem</v>
      </c>
      <c r="D147" s="83" t="s">
        <v>629</v>
      </c>
      <c r="E147" s="91" t="s">
        <v>1853</v>
      </c>
      <c r="F147" s="124" t="s">
        <v>620</v>
      </c>
      <c r="G147" s="304">
        <v>1996</v>
      </c>
      <c r="H147" s="312" t="s">
        <v>736</v>
      </c>
      <c r="I147" s="307" t="str">
        <f t="shared" si="10"/>
        <v>Pesado de Passageiros M3: III : Gasóleo : E1</v>
      </c>
      <c r="J147" s="125">
        <v>53</v>
      </c>
      <c r="K147" s="125">
        <v>2022</v>
      </c>
      <c r="L147" s="85">
        <v>3204.88</v>
      </c>
      <c r="M147" s="85" t="s">
        <v>630</v>
      </c>
      <c r="N147" s="128">
        <v>8703</v>
      </c>
      <c r="O147" s="128">
        <f t="shared" si="11"/>
        <v>461259</v>
      </c>
      <c r="P147" s="125" t="s">
        <v>782</v>
      </c>
      <c r="Q147" s="85" t="s">
        <v>47</v>
      </c>
      <c r="R147" s="214" t="s">
        <v>1869</v>
      </c>
      <c r="S147" s="214" t="s">
        <v>1861</v>
      </c>
      <c r="T147" s="85" t="s">
        <v>1491</v>
      </c>
      <c r="U147" t="s">
        <v>1953</v>
      </c>
      <c r="V147" t="s">
        <v>2813</v>
      </c>
    </row>
    <row r="148" spans="1:22" ht="15.75" thickBot="1" x14ac:dyDescent="0.3">
      <c r="A148" s="82" t="s">
        <v>3474</v>
      </c>
      <c r="B148" s="82" t="str">
        <f t="shared" si="8"/>
        <v>Barraqueiro Transportes, S.A.</v>
      </c>
      <c r="C148" s="82" t="str">
        <f t="shared" si="9"/>
        <v>Boa Viagem</v>
      </c>
      <c r="D148" s="83" t="s">
        <v>629</v>
      </c>
      <c r="E148" s="91" t="s">
        <v>1853</v>
      </c>
      <c r="F148" s="124" t="s">
        <v>620</v>
      </c>
      <c r="G148" s="304">
        <v>2002</v>
      </c>
      <c r="H148" s="312" t="s">
        <v>732</v>
      </c>
      <c r="I148" s="307" t="str">
        <f t="shared" si="10"/>
        <v>Pesado de Passageiros M3: III : Gasóleo : E3</v>
      </c>
      <c r="J148" s="125">
        <v>57</v>
      </c>
      <c r="K148" s="125">
        <v>2022</v>
      </c>
      <c r="L148" s="85">
        <v>20607.59</v>
      </c>
      <c r="M148" s="85" t="s">
        <v>630</v>
      </c>
      <c r="N148" s="128">
        <v>50574</v>
      </c>
      <c r="O148" s="128">
        <f t="shared" si="11"/>
        <v>2882718</v>
      </c>
      <c r="P148" s="125" t="s">
        <v>783</v>
      </c>
      <c r="Q148" s="85" t="s">
        <v>47</v>
      </c>
      <c r="R148" s="214" t="s">
        <v>1869</v>
      </c>
      <c r="S148" s="214" t="s">
        <v>1861</v>
      </c>
      <c r="T148" s="85" t="s">
        <v>1491</v>
      </c>
      <c r="U148" t="s">
        <v>1953</v>
      </c>
      <c r="V148" t="s">
        <v>2813</v>
      </c>
    </row>
    <row r="149" spans="1:22" ht="15.75" thickBot="1" x14ac:dyDescent="0.3">
      <c r="A149" s="82" t="s">
        <v>3474</v>
      </c>
      <c r="B149" s="82" t="str">
        <f t="shared" si="8"/>
        <v>Barraqueiro Transportes, S.A.</v>
      </c>
      <c r="C149" s="82" t="str">
        <f t="shared" si="9"/>
        <v>Boa Viagem</v>
      </c>
      <c r="D149" s="83" t="s">
        <v>629</v>
      </c>
      <c r="E149" s="91" t="s">
        <v>1853</v>
      </c>
      <c r="F149" s="124" t="s">
        <v>620</v>
      </c>
      <c r="G149" s="304">
        <v>2002</v>
      </c>
      <c r="H149" s="312" t="s">
        <v>732</v>
      </c>
      <c r="I149" s="307" t="str">
        <f t="shared" si="10"/>
        <v>Pesado de Passageiros M3: III : Gasóleo : E3</v>
      </c>
      <c r="J149" s="125">
        <v>89</v>
      </c>
      <c r="K149" s="125">
        <v>2022</v>
      </c>
      <c r="L149" s="85">
        <v>14017.890000000001</v>
      </c>
      <c r="M149" s="85" t="s">
        <v>630</v>
      </c>
      <c r="N149" s="128">
        <v>36778</v>
      </c>
      <c r="O149" s="128">
        <f t="shared" si="11"/>
        <v>3273242</v>
      </c>
      <c r="P149" s="125" t="s">
        <v>784</v>
      </c>
      <c r="Q149" s="85" t="s">
        <v>47</v>
      </c>
      <c r="R149" s="214" t="s">
        <v>1869</v>
      </c>
      <c r="S149" s="214" t="s">
        <v>1861</v>
      </c>
      <c r="T149" s="85" t="s">
        <v>1491</v>
      </c>
      <c r="U149" t="s">
        <v>1953</v>
      </c>
      <c r="V149" t="s">
        <v>2813</v>
      </c>
    </row>
    <row r="150" spans="1:22" ht="15.75" thickBot="1" x14ac:dyDescent="0.3">
      <c r="A150" s="82" t="s">
        <v>3474</v>
      </c>
      <c r="B150" s="82" t="str">
        <f t="shared" si="8"/>
        <v>Barraqueiro Transportes, S.A.</v>
      </c>
      <c r="C150" s="82" t="str">
        <f t="shared" si="9"/>
        <v>Boa Viagem</v>
      </c>
      <c r="D150" s="83" t="s">
        <v>629</v>
      </c>
      <c r="E150" s="91" t="s">
        <v>1853</v>
      </c>
      <c r="F150" s="124" t="s">
        <v>620</v>
      </c>
      <c r="G150" s="304">
        <v>2002</v>
      </c>
      <c r="H150" s="312" t="s">
        <v>732</v>
      </c>
      <c r="I150" s="307" t="str">
        <f t="shared" si="10"/>
        <v>Pesado de Passageiros M3: III : Gasóleo : E3</v>
      </c>
      <c r="J150" s="125">
        <v>89</v>
      </c>
      <c r="K150" s="125">
        <v>2022</v>
      </c>
      <c r="L150" s="85">
        <v>15036.06</v>
      </c>
      <c r="M150" s="85" t="s">
        <v>630</v>
      </c>
      <c r="N150" s="128">
        <v>37609</v>
      </c>
      <c r="O150" s="128">
        <f t="shared" si="11"/>
        <v>3347201</v>
      </c>
      <c r="P150" s="125" t="s">
        <v>785</v>
      </c>
      <c r="Q150" s="85" t="s">
        <v>47</v>
      </c>
      <c r="R150" s="214" t="s">
        <v>1869</v>
      </c>
      <c r="S150" s="214" t="s">
        <v>1861</v>
      </c>
      <c r="T150" s="85" t="s">
        <v>1491</v>
      </c>
      <c r="U150" t="s">
        <v>1953</v>
      </c>
      <c r="V150" t="s">
        <v>2813</v>
      </c>
    </row>
    <row r="151" spans="1:22" ht="15.75" thickBot="1" x14ac:dyDescent="0.3">
      <c r="A151" s="82" t="s">
        <v>3474</v>
      </c>
      <c r="B151" s="82" t="str">
        <f t="shared" si="8"/>
        <v>Barraqueiro Transportes, S.A.</v>
      </c>
      <c r="C151" s="82" t="str">
        <f t="shared" si="9"/>
        <v>Boa Viagem</v>
      </c>
      <c r="D151" s="83" t="s">
        <v>629</v>
      </c>
      <c r="E151" s="91" t="s">
        <v>1853</v>
      </c>
      <c r="F151" s="124" t="s">
        <v>620</v>
      </c>
      <c r="G151" s="304">
        <v>2000</v>
      </c>
      <c r="H151" s="312" t="s">
        <v>735</v>
      </c>
      <c r="I151" s="307" t="str">
        <f t="shared" si="10"/>
        <v>Pesado de Passageiros M3: III : Gasóleo : E2</v>
      </c>
      <c r="J151" s="125">
        <v>83</v>
      </c>
      <c r="K151" s="125">
        <v>2022</v>
      </c>
      <c r="L151" s="85">
        <v>9550.3200000000015</v>
      </c>
      <c r="M151" s="85" t="s">
        <v>630</v>
      </c>
      <c r="N151" s="128">
        <v>22566</v>
      </c>
      <c r="O151" s="128">
        <f t="shared" si="11"/>
        <v>1872978</v>
      </c>
      <c r="P151" s="125" t="s">
        <v>786</v>
      </c>
      <c r="Q151" s="85" t="s">
        <v>47</v>
      </c>
      <c r="R151" s="214" t="s">
        <v>1869</v>
      </c>
      <c r="S151" s="214" t="s">
        <v>1861</v>
      </c>
      <c r="T151" s="85" t="s">
        <v>1491</v>
      </c>
      <c r="U151" t="s">
        <v>1953</v>
      </c>
      <c r="V151" t="s">
        <v>2813</v>
      </c>
    </row>
    <row r="152" spans="1:22" ht="15.75" thickBot="1" x14ac:dyDescent="0.3">
      <c r="A152" s="82" t="s">
        <v>3474</v>
      </c>
      <c r="B152" s="82" t="str">
        <f t="shared" si="8"/>
        <v>Barraqueiro Transportes, S.A.</v>
      </c>
      <c r="C152" s="82" t="str">
        <f t="shared" si="9"/>
        <v>Boa Viagem</v>
      </c>
      <c r="D152" s="83" t="s">
        <v>629</v>
      </c>
      <c r="E152" s="91" t="s">
        <v>1853</v>
      </c>
      <c r="F152" s="124" t="s">
        <v>620</v>
      </c>
      <c r="G152" s="304">
        <v>2004</v>
      </c>
      <c r="H152" s="312" t="s">
        <v>732</v>
      </c>
      <c r="I152" s="307" t="str">
        <f t="shared" si="10"/>
        <v>Pesado de Passageiros M3: III : Gasóleo : E3</v>
      </c>
      <c r="J152" s="125">
        <v>85</v>
      </c>
      <c r="K152" s="125">
        <v>2022</v>
      </c>
      <c r="L152" s="85">
        <v>6120.52</v>
      </c>
      <c r="M152" s="85" t="s">
        <v>630</v>
      </c>
      <c r="N152" s="128">
        <v>15790</v>
      </c>
      <c r="O152" s="128">
        <f t="shared" si="11"/>
        <v>1342150</v>
      </c>
      <c r="P152" s="125" t="s">
        <v>787</v>
      </c>
      <c r="Q152" s="85" t="s">
        <v>47</v>
      </c>
      <c r="R152" s="214" t="s">
        <v>1869</v>
      </c>
      <c r="S152" s="214" t="s">
        <v>1861</v>
      </c>
      <c r="T152" s="85" t="s">
        <v>1491</v>
      </c>
      <c r="U152" t="s">
        <v>1953</v>
      </c>
      <c r="V152" t="s">
        <v>2813</v>
      </c>
    </row>
    <row r="153" spans="1:22" ht="15.75" thickBot="1" x14ac:dyDescent="0.3">
      <c r="A153" s="82" t="s">
        <v>3474</v>
      </c>
      <c r="B153" s="82" t="str">
        <f t="shared" si="8"/>
        <v>Barraqueiro Transportes, S.A.</v>
      </c>
      <c r="C153" s="82" t="str">
        <f t="shared" si="9"/>
        <v>Boa Viagem</v>
      </c>
      <c r="D153" s="83" t="s">
        <v>629</v>
      </c>
      <c r="E153" s="91" t="s">
        <v>1853</v>
      </c>
      <c r="F153" s="124" t="s">
        <v>620</v>
      </c>
      <c r="G153" s="304">
        <v>2004</v>
      </c>
      <c r="H153" s="312" t="s">
        <v>732</v>
      </c>
      <c r="I153" s="307" t="str">
        <f t="shared" si="10"/>
        <v>Pesado de Passageiros M3: III : Gasóleo : E3</v>
      </c>
      <c r="J153" s="125">
        <v>85</v>
      </c>
      <c r="K153" s="125">
        <v>2022</v>
      </c>
      <c r="L153" s="85">
        <v>17161.03</v>
      </c>
      <c r="M153" s="85" t="s">
        <v>630</v>
      </c>
      <c r="N153" s="128">
        <v>44715</v>
      </c>
      <c r="O153" s="128">
        <f t="shared" si="11"/>
        <v>3800775</v>
      </c>
      <c r="P153" s="125" t="s">
        <v>788</v>
      </c>
      <c r="Q153" s="85" t="s">
        <v>47</v>
      </c>
      <c r="R153" s="214" t="s">
        <v>1869</v>
      </c>
      <c r="S153" s="214" t="s">
        <v>1861</v>
      </c>
      <c r="T153" s="85" t="s">
        <v>1491</v>
      </c>
      <c r="U153" t="s">
        <v>1953</v>
      </c>
      <c r="V153" t="s">
        <v>2813</v>
      </c>
    </row>
    <row r="154" spans="1:22" ht="15.75" thickBot="1" x14ac:dyDescent="0.3">
      <c r="A154" s="82" t="s">
        <v>3474</v>
      </c>
      <c r="B154" s="82" t="str">
        <f t="shared" si="8"/>
        <v>Barraqueiro Transportes, S.A.</v>
      </c>
      <c r="C154" s="82" t="str">
        <f t="shared" si="9"/>
        <v>Boa Viagem</v>
      </c>
      <c r="D154" s="83" t="s">
        <v>629</v>
      </c>
      <c r="E154" s="91" t="s">
        <v>1853</v>
      </c>
      <c r="F154" s="124" t="s">
        <v>620</v>
      </c>
      <c r="G154" s="304">
        <v>2021</v>
      </c>
      <c r="H154" s="312" t="s">
        <v>733</v>
      </c>
      <c r="I154" s="307" t="str">
        <f t="shared" si="10"/>
        <v>Pesado de Passageiros M3: III : Gasóleo : E6</v>
      </c>
      <c r="J154" s="125">
        <v>76</v>
      </c>
      <c r="K154" s="125">
        <v>2022</v>
      </c>
      <c r="L154" s="85">
        <v>4568.6200000000008</v>
      </c>
      <c r="M154" s="85" t="s">
        <v>630</v>
      </c>
      <c r="N154" s="128">
        <v>11534</v>
      </c>
      <c r="O154" s="128">
        <f t="shared" si="11"/>
        <v>876584</v>
      </c>
      <c r="P154" s="125" t="s">
        <v>789</v>
      </c>
      <c r="Q154" s="85" t="s">
        <v>47</v>
      </c>
      <c r="R154" s="214" t="s">
        <v>1869</v>
      </c>
      <c r="S154" s="214" t="s">
        <v>1861</v>
      </c>
      <c r="T154" s="85" t="s">
        <v>1491</v>
      </c>
      <c r="U154" t="s">
        <v>1953</v>
      </c>
      <c r="V154" t="s">
        <v>2813</v>
      </c>
    </row>
    <row r="155" spans="1:22" ht="15.75" thickBot="1" x14ac:dyDescent="0.3">
      <c r="A155" s="82" t="s">
        <v>3474</v>
      </c>
      <c r="B155" s="82" t="str">
        <f t="shared" si="8"/>
        <v>Barraqueiro Transportes, S.A.</v>
      </c>
      <c r="C155" s="82" t="str">
        <f t="shared" si="9"/>
        <v>Boa Viagem</v>
      </c>
      <c r="D155" s="83" t="s">
        <v>629</v>
      </c>
      <c r="E155" s="91" t="s">
        <v>1853</v>
      </c>
      <c r="F155" s="124" t="s">
        <v>620</v>
      </c>
      <c r="G155" s="304">
        <v>2021</v>
      </c>
      <c r="H155" s="312" t="s">
        <v>733</v>
      </c>
      <c r="I155" s="307" t="str">
        <f t="shared" si="10"/>
        <v>Pesado de Passageiros M3: III : Gasóleo : E6</v>
      </c>
      <c r="J155" s="125">
        <v>76</v>
      </c>
      <c r="K155" s="125">
        <v>2022</v>
      </c>
      <c r="L155" s="85">
        <v>5768.28</v>
      </c>
      <c r="M155" s="85" t="s">
        <v>630</v>
      </c>
      <c r="N155" s="128">
        <v>13536</v>
      </c>
      <c r="O155" s="128">
        <f t="shared" si="11"/>
        <v>1028736</v>
      </c>
      <c r="P155" s="125" t="s">
        <v>790</v>
      </c>
      <c r="Q155" s="85" t="s">
        <v>47</v>
      </c>
      <c r="R155" s="214" t="s">
        <v>1869</v>
      </c>
      <c r="S155" s="214" t="s">
        <v>1861</v>
      </c>
      <c r="T155" s="85" t="s">
        <v>1491</v>
      </c>
      <c r="U155" t="s">
        <v>1953</v>
      </c>
      <c r="V155" t="s">
        <v>2813</v>
      </c>
    </row>
    <row r="156" spans="1:22" ht="15.75" thickBot="1" x14ac:dyDescent="0.3">
      <c r="A156" s="82" t="s">
        <v>3474</v>
      </c>
      <c r="B156" s="82" t="str">
        <f t="shared" si="8"/>
        <v>Barraqueiro Transportes, S.A.</v>
      </c>
      <c r="C156" s="82" t="str">
        <f t="shared" si="9"/>
        <v>Boa Viagem</v>
      </c>
      <c r="D156" s="83" t="s">
        <v>629</v>
      </c>
      <c r="E156" s="91" t="s">
        <v>1853</v>
      </c>
      <c r="F156" s="124" t="s">
        <v>620</v>
      </c>
      <c r="G156" s="304">
        <v>2003</v>
      </c>
      <c r="H156" s="312" t="s">
        <v>732</v>
      </c>
      <c r="I156" s="307" t="str">
        <f t="shared" si="10"/>
        <v>Pesado de Passageiros M3: III : Gasóleo : E3</v>
      </c>
      <c r="J156" s="125">
        <v>74</v>
      </c>
      <c r="K156" s="125">
        <v>2022</v>
      </c>
      <c r="L156" s="85">
        <v>15031.73</v>
      </c>
      <c r="M156" s="85" t="s">
        <v>630</v>
      </c>
      <c r="N156" s="128">
        <v>34761</v>
      </c>
      <c r="O156" s="128">
        <f t="shared" si="11"/>
        <v>2572314</v>
      </c>
      <c r="P156" s="125" t="s">
        <v>791</v>
      </c>
      <c r="Q156" s="85" t="s">
        <v>47</v>
      </c>
      <c r="R156" s="214" t="s">
        <v>1869</v>
      </c>
      <c r="S156" s="214" t="s">
        <v>1861</v>
      </c>
      <c r="T156" s="85" t="s">
        <v>1491</v>
      </c>
      <c r="U156" t="s">
        <v>1953</v>
      </c>
      <c r="V156" t="s">
        <v>2813</v>
      </c>
    </row>
    <row r="157" spans="1:22" ht="15.75" thickBot="1" x14ac:dyDescent="0.3">
      <c r="A157" s="82" t="s">
        <v>3474</v>
      </c>
      <c r="B157" s="82" t="str">
        <f t="shared" si="8"/>
        <v>Barraqueiro Transportes, S.A.</v>
      </c>
      <c r="C157" s="82" t="str">
        <f t="shared" si="9"/>
        <v>Boa Viagem</v>
      </c>
      <c r="D157" s="83" t="s">
        <v>629</v>
      </c>
      <c r="E157" s="91" t="s">
        <v>1853</v>
      </c>
      <c r="F157" s="124" t="s">
        <v>620</v>
      </c>
      <c r="G157" s="304">
        <v>2005</v>
      </c>
      <c r="H157" s="312" t="s">
        <v>732</v>
      </c>
      <c r="I157" s="307" t="str">
        <f t="shared" si="10"/>
        <v>Pesado de Passageiros M3: III : Gasóleo : E3</v>
      </c>
      <c r="J157" s="125">
        <v>75</v>
      </c>
      <c r="K157" s="125">
        <v>2022</v>
      </c>
      <c r="L157" s="85">
        <v>22102.880000000001</v>
      </c>
      <c r="M157" s="85" t="s">
        <v>630</v>
      </c>
      <c r="N157" s="128">
        <v>59072</v>
      </c>
      <c r="O157" s="128">
        <f t="shared" si="11"/>
        <v>4430400</v>
      </c>
      <c r="P157" s="125" t="s">
        <v>792</v>
      </c>
      <c r="Q157" s="85" t="s">
        <v>47</v>
      </c>
      <c r="R157" s="214" t="s">
        <v>1869</v>
      </c>
      <c r="S157" s="214" t="s">
        <v>1861</v>
      </c>
      <c r="T157" s="85" t="s">
        <v>1491</v>
      </c>
      <c r="U157" t="s">
        <v>1953</v>
      </c>
      <c r="V157" t="s">
        <v>2813</v>
      </c>
    </row>
    <row r="158" spans="1:22" ht="15.75" thickBot="1" x14ac:dyDescent="0.3">
      <c r="A158" s="82" t="s">
        <v>3474</v>
      </c>
      <c r="B158" s="82" t="str">
        <f t="shared" si="8"/>
        <v>Barraqueiro Transportes, S.A.</v>
      </c>
      <c r="C158" s="82" t="str">
        <f t="shared" si="9"/>
        <v>Boa Viagem</v>
      </c>
      <c r="D158" s="83" t="s">
        <v>629</v>
      </c>
      <c r="E158" s="91" t="s">
        <v>1853</v>
      </c>
      <c r="F158" s="124" t="s">
        <v>620</v>
      </c>
      <c r="G158" s="304">
        <v>2005</v>
      </c>
      <c r="H158" s="312" t="s">
        <v>732</v>
      </c>
      <c r="I158" s="307" t="str">
        <f t="shared" si="10"/>
        <v>Pesado de Passageiros M3: III : Gasóleo : E3</v>
      </c>
      <c r="J158" s="125">
        <v>75</v>
      </c>
      <c r="K158" s="125">
        <v>2022</v>
      </c>
      <c r="L158" s="85">
        <v>16921.710000000003</v>
      </c>
      <c r="M158" s="85" t="s">
        <v>630</v>
      </c>
      <c r="N158" s="128">
        <v>44470</v>
      </c>
      <c r="O158" s="128">
        <f t="shared" si="11"/>
        <v>3335250</v>
      </c>
      <c r="P158" s="125" t="s">
        <v>793</v>
      </c>
      <c r="Q158" s="85" t="s">
        <v>47</v>
      </c>
      <c r="R158" s="214" t="s">
        <v>1869</v>
      </c>
      <c r="S158" s="214" t="s">
        <v>1861</v>
      </c>
      <c r="T158" s="85" t="s">
        <v>1491</v>
      </c>
      <c r="U158" t="s">
        <v>1953</v>
      </c>
      <c r="V158" t="s">
        <v>2813</v>
      </c>
    </row>
    <row r="159" spans="1:22" ht="15.75" thickBot="1" x14ac:dyDescent="0.3">
      <c r="A159" s="82" t="s">
        <v>3474</v>
      </c>
      <c r="B159" s="82" t="str">
        <f t="shared" si="8"/>
        <v>Barraqueiro Transportes, S.A.</v>
      </c>
      <c r="C159" s="82" t="str">
        <f t="shared" si="9"/>
        <v>Boa Viagem</v>
      </c>
      <c r="D159" s="83" t="s">
        <v>629</v>
      </c>
      <c r="E159" s="91" t="s">
        <v>1853</v>
      </c>
      <c r="F159" s="124" t="s">
        <v>620</v>
      </c>
      <c r="G159" s="304">
        <v>2001</v>
      </c>
      <c r="H159" s="312" t="s">
        <v>732</v>
      </c>
      <c r="I159" s="307" t="str">
        <f t="shared" si="10"/>
        <v>Pesado de Passageiros M3: III : Gasóleo : E3</v>
      </c>
      <c r="J159" s="125">
        <v>55</v>
      </c>
      <c r="K159" s="125">
        <v>2022</v>
      </c>
      <c r="L159" s="85">
        <v>15980.650000000001</v>
      </c>
      <c r="M159" s="85" t="s">
        <v>630</v>
      </c>
      <c r="N159" s="128">
        <v>41973</v>
      </c>
      <c r="O159" s="128">
        <f t="shared" si="11"/>
        <v>2308515</v>
      </c>
      <c r="P159" s="125" t="s">
        <v>794</v>
      </c>
      <c r="Q159" s="85" t="s">
        <v>47</v>
      </c>
      <c r="R159" s="214" t="s">
        <v>1869</v>
      </c>
      <c r="S159" s="214" t="s">
        <v>1861</v>
      </c>
      <c r="T159" s="85" t="s">
        <v>1491</v>
      </c>
      <c r="U159" t="s">
        <v>1953</v>
      </c>
      <c r="V159" t="s">
        <v>2813</v>
      </c>
    </row>
    <row r="160" spans="1:22" ht="15.75" thickBot="1" x14ac:dyDescent="0.3">
      <c r="A160" s="82" t="s">
        <v>3474</v>
      </c>
      <c r="B160" s="82" t="str">
        <f t="shared" si="8"/>
        <v>Barraqueiro Transportes, S.A.</v>
      </c>
      <c r="C160" s="82" t="str">
        <f t="shared" si="9"/>
        <v>Boa Viagem</v>
      </c>
      <c r="D160" s="83" t="s">
        <v>629</v>
      </c>
      <c r="E160" s="91" t="s">
        <v>1853</v>
      </c>
      <c r="F160" s="124" t="s">
        <v>620</v>
      </c>
      <c r="G160" s="304">
        <v>2000</v>
      </c>
      <c r="H160" s="312" t="s">
        <v>735</v>
      </c>
      <c r="I160" s="307" t="str">
        <f t="shared" si="10"/>
        <v>Pesado de Passageiros M3: III : Gasóleo : E2</v>
      </c>
      <c r="J160" s="125">
        <v>60</v>
      </c>
      <c r="K160" s="125">
        <v>2022</v>
      </c>
      <c r="L160" s="85">
        <v>10924.94</v>
      </c>
      <c r="M160" s="85" t="s">
        <v>630</v>
      </c>
      <c r="N160" s="128">
        <v>29903</v>
      </c>
      <c r="O160" s="128">
        <f t="shared" si="11"/>
        <v>1794180</v>
      </c>
      <c r="P160" s="125" t="s">
        <v>795</v>
      </c>
      <c r="Q160" s="85" t="s">
        <v>47</v>
      </c>
      <c r="R160" s="214" t="s">
        <v>1869</v>
      </c>
      <c r="S160" s="214" t="s">
        <v>1861</v>
      </c>
      <c r="T160" s="85" t="s">
        <v>1491</v>
      </c>
      <c r="U160" t="s">
        <v>1953</v>
      </c>
      <c r="V160" t="s">
        <v>2813</v>
      </c>
    </row>
    <row r="161" spans="1:22" ht="15.75" thickBot="1" x14ac:dyDescent="0.3">
      <c r="A161" s="82" t="s">
        <v>3474</v>
      </c>
      <c r="B161" s="82" t="str">
        <f t="shared" si="8"/>
        <v>Barraqueiro Transportes, S.A.</v>
      </c>
      <c r="C161" s="82" t="str">
        <f t="shared" si="9"/>
        <v>Boa Viagem</v>
      </c>
      <c r="D161" s="83" t="s">
        <v>629</v>
      </c>
      <c r="E161" s="91" t="s">
        <v>1853</v>
      </c>
      <c r="F161" s="124" t="s">
        <v>620</v>
      </c>
      <c r="G161" s="304">
        <v>2004</v>
      </c>
      <c r="H161" s="312" t="s">
        <v>732</v>
      </c>
      <c r="I161" s="307" t="str">
        <f t="shared" si="10"/>
        <v>Pesado de Passageiros M3: III : Gasóleo : E3</v>
      </c>
      <c r="J161" s="125">
        <v>51</v>
      </c>
      <c r="K161" s="125">
        <v>2022</v>
      </c>
      <c r="L161" s="85">
        <v>6790.3499999999995</v>
      </c>
      <c r="M161" s="85" t="s">
        <v>630</v>
      </c>
      <c r="N161" s="128">
        <v>17843</v>
      </c>
      <c r="O161" s="128">
        <f t="shared" si="11"/>
        <v>909993</v>
      </c>
      <c r="P161" s="125" t="s">
        <v>796</v>
      </c>
      <c r="Q161" s="85" t="s">
        <v>47</v>
      </c>
      <c r="R161" s="214" t="s">
        <v>1869</v>
      </c>
      <c r="S161" s="214" t="s">
        <v>1861</v>
      </c>
      <c r="T161" s="85" t="s">
        <v>1491</v>
      </c>
      <c r="U161" t="s">
        <v>1953</v>
      </c>
      <c r="V161" t="s">
        <v>2813</v>
      </c>
    </row>
    <row r="162" spans="1:22" ht="15.75" thickBot="1" x14ac:dyDescent="0.3">
      <c r="A162" s="82" t="s">
        <v>3474</v>
      </c>
      <c r="B162" s="82" t="str">
        <f t="shared" si="8"/>
        <v>Barraqueiro Transportes, S.A.</v>
      </c>
      <c r="C162" s="82" t="str">
        <f t="shared" si="9"/>
        <v>Boa Viagem</v>
      </c>
      <c r="D162" s="83" t="s">
        <v>629</v>
      </c>
      <c r="E162" s="91" t="s">
        <v>1853</v>
      </c>
      <c r="F162" s="124" t="s">
        <v>620</v>
      </c>
      <c r="G162" s="304">
        <v>2004</v>
      </c>
      <c r="H162" s="312" t="s">
        <v>732</v>
      </c>
      <c r="I162" s="307" t="str">
        <f t="shared" si="10"/>
        <v>Pesado de Passageiros M3: III : Gasóleo : E3</v>
      </c>
      <c r="J162" s="125">
        <v>51</v>
      </c>
      <c r="K162" s="125">
        <v>2022</v>
      </c>
      <c r="L162" s="85">
        <v>16397.030000000002</v>
      </c>
      <c r="M162" s="85" t="s">
        <v>630</v>
      </c>
      <c r="N162" s="128">
        <v>48533</v>
      </c>
      <c r="O162" s="128">
        <f t="shared" si="11"/>
        <v>2475183</v>
      </c>
      <c r="P162" s="125" t="s">
        <v>797</v>
      </c>
      <c r="Q162" s="85" t="s">
        <v>47</v>
      </c>
      <c r="R162" s="214" t="s">
        <v>1869</v>
      </c>
      <c r="S162" s="214" t="s">
        <v>1861</v>
      </c>
      <c r="T162" s="85" t="s">
        <v>1491</v>
      </c>
      <c r="U162" t="s">
        <v>1953</v>
      </c>
      <c r="V162" t="s">
        <v>2813</v>
      </c>
    </row>
    <row r="163" spans="1:22" ht="15.75" thickBot="1" x14ac:dyDescent="0.3">
      <c r="A163" s="82" t="s">
        <v>3474</v>
      </c>
      <c r="B163" s="82" t="str">
        <f t="shared" si="8"/>
        <v>Barraqueiro Transportes, S.A.</v>
      </c>
      <c r="C163" s="82" t="str">
        <f t="shared" si="9"/>
        <v>Boa Viagem</v>
      </c>
      <c r="D163" s="83" t="s">
        <v>629</v>
      </c>
      <c r="E163" s="91" t="s">
        <v>1853</v>
      </c>
      <c r="F163" s="124" t="s">
        <v>620</v>
      </c>
      <c r="G163" s="304">
        <v>2004</v>
      </c>
      <c r="H163" s="312" t="s">
        <v>732</v>
      </c>
      <c r="I163" s="307" t="str">
        <f t="shared" si="10"/>
        <v>Pesado de Passageiros M3: III : Gasóleo : E3</v>
      </c>
      <c r="J163" s="125">
        <v>51</v>
      </c>
      <c r="K163" s="125">
        <v>2022</v>
      </c>
      <c r="L163" s="85">
        <v>18613.21</v>
      </c>
      <c r="M163" s="85" t="s">
        <v>630</v>
      </c>
      <c r="N163" s="128">
        <v>49382</v>
      </c>
      <c r="O163" s="128">
        <f t="shared" si="11"/>
        <v>2518482</v>
      </c>
      <c r="P163" s="125" t="s">
        <v>798</v>
      </c>
      <c r="Q163" s="85" t="s">
        <v>47</v>
      </c>
      <c r="R163" s="214" t="s">
        <v>1869</v>
      </c>
      <c r="S163" s="214" t="s">
        <v>1861</v>
      </c>
      <c r="T163" s="85" t="s">
        <v>1491</v>
      </c>
      <c r="U163" t="s">
        <v>1953</v>
      </c>
      <c r="V163" t="s">
        <v>2813</v>
      </c>
    </row>
    <row r="164" spans="1:22" ht="15.75" thickBot="1" x14ac:dyDescent="0.3">
      <c r="A164" s="82" t="s">
        <v>3474</v>
      </c>
      <c r="B164" s="82" t="str">
        <f t="shared" si="8"/>
        <v>Barraqueiro Transportes, S.A.</v>
      </c>
      <c r="C164" s="82" t="str">
        <f t="shared" si="9"/>
        <v>Boa Viagem</v>
      </c>
      <c r="D164" s="83" t="s">
        <v>629</v>
      </c>
      <c r="E164" s="91" t="s">
        <v>1853</v>
      </c>
      <c r="F164" s="124" t="s">
        <v>620</v>
      </c>
      <c r="G164" s="304">
        <v>2002</v>
      </c>
      <c r="H164" s="312" t="s">
        <v>732</v>
      </c>
      <c r="I164" s="307" t="str">
        <f t="shared" si="10"/>
        <v>Pesado de Passageiros M3: III : Gasóleo : E3</v>
      </c>
      <c r="J164" s="125">
        <v>75</v>
      </c>
      <c r="K164" s="125">
        <v>2022</v>
      </c>
      <c r="L164" s="85">
        <v>16955.809999999998</v>
      </c>
      <c r="M164" s="85" t="s">
        <v>630</v>
      </c>
      <c r="N164" s="128">
        <v>40702</v>
      </c>
      <c r="O164" s="128">
        <f t="shared" si="11"/>
        <v>3052650</v>
      </c>
      <c r="P164" s="125" t="s">
        <v>799</v>
      </c>
      <c r="Q164" s="85" t="s">
        <v>47</v>
      </c>
      <c r="R164" s="214" t="s">
        <v>1869</v>
      </c>
      <c r="S164" s="214" t="s">
        <v>1861</v>
      </c>
      <c r="T164" s="85" t="s">
        <v>1491</v>
      </c>
      <c r="U164" t="s">
        <v>1953</v>
      </c>
      <c r="V164" t="s">
        <v>2813</v>
      </c>
    </row>
    <row r="165" spans="1:22" ht="15.75" thickBot="1" x14ac:dyDescent="0.3">
      <c r="A165" s="82" t="s">
        <v>3474</v>
      </c>
      <c r="B165" s="82" t="str">
        <f t="shared" si="8"/>
        <v>Barraqueiro Transportes, S.A.</v>
      </c>
      <c r="C165" s="82" t="str">
        <f t="shared" si="9"/>
        <v>Boa Viagem</v>
      </c>
      <c r="D165" s="83" t="s">
        <v>629</v>
      </c>
      <c r="E165" s="91" t="s">
        <v>1853</v>
      </c>
      <c r="F165" s="124" t="s">
        <v>620</v>
      </c>
      <c r="G165" s="304">
        <v>2004</v>
      </c>
      <c r="H165" s="312" t="s">
        <v>732</v>
      </c>
      <c r="I165" s="307" t="str">
        <f t="shared" si="10"/>
        <v>Pesado de Passageiros M3: III : Gasóleo : E3</v>
      </c>
      <c r="J165" s="125">
        <v>82</v>
      </c>
      <c r="K165" s="125">
        <v>2022</v>
      </c>
      <c r="L165" s="85">
        <v>17559.130000000005</v>
      </c>
      <c r="M165" s="85" t="s">
        <v>630</v>
      </c>
      <c r="N165" s="128">
        <v>49251</v>
      </c>
      <c r="O165" s="128">
        <f t="shared" si="11"/>
        <v>4038582</v>
      </c>
      <c r="P165" s="125" t="s">
        <v>800</v>
      </c>
      <c r="Q165" s="85" t="s">
        <v>47</v>
      </c>
      <c r="R165" s="214" t="s">
        <v>1869</v>
      </c>
      <c r="S165" s="214" t="s">
        <v>1861</v>
      </c>
      <c r="T165" s="85" t="s">
        <v>1491</v>
      </c>
      <c r="U165" t="s">
        <v>1953</v>
      </c>
      <c r="V165" t="s">
        <v>2813</v>
      </c>
    </row>
    <row r="166" spans="1:22" ht="15.75" thickBot="1" x14ac:dyDescent="0.3">
      <c r="A166" s="82" t="s">
        <v>3474</v>
      </c>
      <c r="B166" s="82" t="str">
        <f t="shared" si="8"/>
        <v>Barraqueiro Transportes, S.A.</v>
      </c>
      <c r="C166" s="82" t="str">
        <f t="shared" si="9"/>
        <v>Boa Viagem</v>
      </c>
      <c r="D166" s="83" t="s">
        <v>629</v>
      </c>
      <c r="E166" s="91" t="s">
        <v>1853</v>
      </c>
      <c r="F166" s="124" t="s">
        <v>620</v>
      </c>
      <c r="G166" s="304">
        <v>2015</v>
      </c>
      <c r="H166" s="312" t="s">
        <v>733</v>
      </c>
      <c r="I166" s="307" t="str">
        <f t="shared" si="10"/>
        <v>Pesado de Passageiros M3: III : Gasóleo : E6</v>
      </c>
      <c r="J166" s="125">
        <v>25</v>
      </c>
      <c r="K166" s="125">
        <v>2022</v>
      </c>
      <c r="L166" s="85">
        <v>3647.0099999999993</v>
      </c>
      <c r="M166" s="85" t="s">
        <v>630</v>
      </c>
      <c r="N166" s="128">
        <v>18563</v>
      </c>
      <c r="O166" s="128">
        <f t="shared" si="11"/>
        <v>464075</v>
      </c>
      <c r="P166" s="125" t="s">
        <v>801</v>
      </c>
      <c r="Q166" s="85" t="s">
        <v>47</v>
      </c>
      <c r="R166" s="214" t="s">
        <v>1869</v>
      </c>
      <c r="S166" s="214" t="s">
        <v>1861</v>
      </c>
      <c r="T166" s="85" t="s">
        <v>1491</v>
      </c>
      <c r="U166" t="s">
        <v>1953</v>
      </c>
      <c r="V166" t="s">
        <v>2813</v>
      </c>
    </row>
    <row r="167" spans="1:22" ht="15.75" thickBot="1" x14ac:dyDescent="0.3">
      <c r="A167" s="82" t="s">
        <v>3474</v>
      </c>
      <c r="B167" s="82" t="str">
        <f t="shared" si="8"/>
        <v>Barraqueiro Transportes, S.A.</v>
      </c>
      <c r="C167" s="82" t="str">
        <f t="shared" si="9"/>
        <v>Boa Viagem</v>
      </c>
      <c r="D167" s="83" t="s">
        <v>629</v>
      </c>
      <c r="E167" s="91" t="s">
        <v>1853</v>
      </c>
      <c r="F167" s="124" t="s">
        <v>620</v>
      </c>
      <c r="G167" s="304">
        <v>2015</v>
      </c>
      <c r="H167" s="312" t="s">
        <v>733</v>
      </c>
      <c r="I167" s="307" t="str">
        <f t="shared" si="10"/>
        <v>Pesado de Passageiros M3: III : Gasóleo : E6</v>
      </c>
      <c r="J167" s="125">
        <v>25</v>
      </c>
      <c r="K167" s="125">
        <v>2022</v>
      </c>
      <c r="L167" s="85">
        <v>4364.3999999999987</v>
      </c>
      <c r="M167" s="85" t="s">
        <v>630</v>
      </c>
      <c r="N167" s="128">
        <v>20920</v>
      </c>
      <c r="O167" s="128">
        <f t="shared" si="11"/>
        <v>523000</v>
      </c>
      <c r="P167" s="125" t="s">
        <v>802</v>
      </c>
      <c r="Q167" s="85" t="s">
        <v>47</v>
      </c>
      <c r="R167" s="214" t="s">
        <v>1869</v>
      </c>
      <c r="S167" s="214" t="s">
        <v>1861</v>
      </c>
      <c r="T167" s="85" t="s">
        <v>1491</v>
      </c>
      <c r="U167" t="s">
        <v>1953</v>
      </c>
      <c r="V167" t="s">
        <v>2813</v>
      </c>
    </row>
    <row r="168" spans="1:22" ht="15.75" thickBot="1" x14ac:dyDescent="0.3">
      <c r="A168" s="82" t="s">
        <v>3474</v>
      </c>
      <c r="B168" s="82" t="str">
        <f t="shared" si="8"/>
        <v>Barraqueiro Transportes, S.A.</v>
      </c>
      <c r="C168" s="82" t="str">
        <f t="shared" si="9"/>
        <v>Boa Viagem</v>
      </c>
      <c r="D168" s="83" t="s">
        <v>629</v>
      </c>
      <c r="E168" s="91" t="s">
        <v>1853</v>
      </c>
      <c r="F168" s="124" t="s">
        <v>620</v>
      </c>
      <c r="G168" s="304">
        <v>2011</v>
      </c>
      <c r="H168" s="312" t="s">
        <v>734</v>
      </c>
      <c r="I168" s="307" t="str">
        <f t="shared" si="10"/>
        <v>Pesado de Passageiros M3: III : Gasóleo : E5</v>
      </c>
      <c r="J168" s="125">
        <v>51</v>
      </c>
      <c r="K168" s="125">
        <v>2022</v>
      </c>
      <c r="L168" s="85">
        <v>16369.689999999999</v>
      </c>
      <c r="M168" s="85" t="s">
        <v>630</v>
      </c>
      <c r="N168" s="128">
        <v>45075</v>
      </c>
      <c r="O168" s="128">
        <f t="shared" si="11"/>
        <v>2298825</v>
      </c>
      <c r="P168" s="125" t="s">
        <v>803</v>
      </c>
      <c r="Q168" s="85" t="s">
        <v>47</v>
      </c>
      <c r="R168" s="214" t="s">
        <v>1869</v>
      </c>
      <c r="S168" s="214" t="s">
        <v>1861</v>
      </c>
      <c r="T168" s="85" t="s">
        <v>1491</v>
      </c>
      <c r="U168" t="s">
        <v>1953</v>
      </c>
      <c r="V168" t="s">
        <v>2813</v>
      </c>
    </row>
    <row r="169" spans="1:22" ht="15.75" thickBot="1" x14ac:dyDescent="0.3">
      <c r="A169" s="82" t="s">
        <v>3474</v>
      </c>
      <c r="B169" s="82" t="str">
        <f t="shared" si="8"/>
        <v>Barraqueiro Transportes, S.A.</v>
      </c>
      <c r="C169" s="82" t="str">
        <f t="shared" si="9"/>
        <v>Boa Viagem</v>
      </c>
      <c r="D169" s="83" t="s">
        <v>629</v>
      </c>
      <c r="E169" s="91" t="s">
        <v>1853</v>
      </c>
      <c r="F169" s="124" t="s">
        <v>620</v>
      </c>
      <c r="G169" s="304">
        <v>2007</v>
      </c>
      <c r="H169" s="312" t="s">
        <v>731</v>
      </c>
      <c r="I169" s="307" t="str">
        <f t="shared" si="10"/>
        <v>Pesado de Passageiros M3: III : Gasóleo : E4</v>
      </c>
      <c r="J169" s="125">
        <v>21</v>
      </c>
      <c r="K169" s="125">
        <v>2022</v>
      </c>
      <c r="L169" s="85">
        <v>6271.43</v>
      </c>
      <c r="M169" s="85" t="s">
        <v>630</v>
      </c>
      <c r="N169" s="128">
        <v>28985</v>
      </c>
      <c r="O169" s="128">
        <f t="shared" si="11"/>
        <v>608685</v>
      </c>
      <c r="P169" s="125" t="s">
        <v>804</v>
      </c>
      <c r="Q169" s="85" t="s">
        <v>47</v>
      </c>
      <c r="R169" s="214" t="s">
        <v>1869</v>
      </c>
      <c r="S169" s="214" t="s">
        <v>1861</v>
      </c>
      <c r="T169" s="85" t="s">
        <v>1491</v>
      </c>
      <c r="U169" t="s">
        <v>1953</v>
      </c>
      <c r="V169" t="s">
        <v>2813</v>
      </c>
    </row>
    <row r="170" spans="1:22" ht="15.75" thickBot="1" x14ac:dyDescent="0.3">
      <c r="A170" s="82" t="s">
        <v>3474</v>
      </c>
      <c r="B170" s="82" t="str">
        <f t="shared" si="8"/>
        <v>Barraqueiro Transportes, S.A.</v>
      </c>
      <c r="C170" s="82" t="str">
        <f t="shared" si="9"/>
        <v>Boa Viagem</v>
      </c>
      <c r="D170" s="83" t="s">
        <v>629</v>
      </c>
      <c r="E170" s="91" t="s">
        <v>1853</v>
      </c>
      <c r="F170" s="124" t="s">
        <v>620</v>
      </c>
      <c r="G170" s="304">
        <v>2008</v>
      </c>
      <c r="H170" s="312" t="s">
        <v>731</v>
      </c>
      <c r="I170" s="307" t="str">
        <f t="shared" si="10"/>
        <v>Pesado de Passageiros M3: III : Gasóleo : E4</v>
      </c>
      <c r="J170" s="125">
        <v>82</v>
      </c>
      <c r="K170" s="125">
        <v>2022</v>
      </c>
      <c r="L170" s="85">
        <v>4457.9400000000005</v>
      </c>
      <c r="M170" s="85" t="s">
        <v>630</v>
      </c>
      <c r="N170" s="128">
        <v>10395</v>
      </c>
      <c r="O170" s="128">
        <f t="shared" si="11"/>
        <v>852390</v>
      </c>
      <c r="P170" s="125" t="s">
        <v>805</v>
      </c>
      <c r="Q170" s="85" t="s">
        <v>47</v>
      </c>
      <c r="R170" s="214" t="s">
        <v>1869</v>
      </c>
      <c r="S170" s="214" t="s">
        <v>1861</v>
      </c>
      <c r="T170" s="85" t="s">
        <v>1491</v>
      </c>
      <c r="U170" t="s">
        <v>1953</v>
      </c>
      <c r="V170" t="s">
        <v>2813</v>
      </c>
    </row>
    <row r="171" spans="1:22" ht="15.75" thickBot="1" x14ac:dyDescent="0.3">
      <c r="A171" s="82" t="s">
        <v>3474</v>
      </c>
      <c r="B171" s="82" t="str">
        <f t="shared" si="8"/>
        <v>Barraqueiro Transportes, S.A.</v>
      </c>
      <c r="C171" s="82" t="str">
        <f t="shared" si="9"/>
        <v>Boa Viagem</v>
      </c>
      <c r="D171" s="83" t="s">
        <v>629</v>
      </c>
      <c r="E171" s="91" t="s">
        <v>1853</v>
      </c>
      <c r="F171" s="124" t="s">
        <v>620</v>
      </c>
      <c r="G171" s="304">
        <v>2008</v>
      </c>
      <c r="H171" s="312" t="s">
        <v>731</v>
      </c>
      <c r="I171" s="307" t="str">
        <f t="shared" si="10"/>
        <v>Pesado de Passageiros M3: III : Gasóleo : E4</v>
      </c>
      <c r="J171" s="125">
        <v>34</v>
      </c>
      <c r="K171" s="125">
        <v>2022</v>
      </c>
      <c r="L171" s="85">
        <v>10875.630000000001</v>
      </c>
      <c r="M171" s="85" t="s">
        <v>630</v>
      </c>
      <c r="N171" s="128">
        <v>32986</v>
      </c>
      <c r="O171" s="128">
        <f t="shared" si="11"/>
        <v>1121524</v>
      </c>
      <c r="P171" s="125" t="s">
        <v>806</v>
      </c>
      <c r="Q171" s="85" t="s">
        <v>47</v>
      </c>
      <c r="R171" s="214" t="s">
        <v>1869</v>
      </c>
      <c r="S171" s="214" t="s">
        <v>1861</v>
      </c>
      <c r="T171" s="85" t="s">
        <v>1491</v>
      </c>
      <c r="U171" t="s">
        <v>1953</v>
      </c>
      <c r="V171" t="s">
        <v>2813</v>
      </c>
    </row>
    <row r="172" spans="1:22" ht="15.75" thickBot="1" x14ac:dyDescent="0.3">
      <c r="A172" s="82" t="s">
        <v>3474</v>
      </c>
      <c r="B172" s="82" t="str">
        <f t="shared" si="8"/>
        <v>Barraqueiro Transportes, S.A.</v>
      </c>
      <c r="C172" s="82" t="str">
        <f t="shared" si="9"/>
        <v>Boa Viagem</v>
      </c>
      <c r="D172" s="83" t="s">
        <v>629</v>
      </c>
      <c r="E172" s="91" t="s">
        <v>1853</v>
      </c>
      <c r="F172" s="124" t="s">
        <v>620</v>
      </c>
      <c r="G172" s="304">
        <v>2008</v>
      </c>
      <c r="H172" s="312" t="s">
        <v>731</v>
      </c>
      <c r="I172" s="307" t="str">
        <f t="shared" si="10"/>
        <v>Pesado de Passageiros M3: III : Gasóleo : E4</v>
      </c>
      <c r="J172" s="125">
        <v>83</v>
      </c>
      <c r="K172" s="125">
        <v>2022</v>
      </c>
      <c r="L172" s="85">
        <v>15205.82</v>
      </c>
      <c r="M172" s="85" t="s">
        <v>630</v>
      </c>
      <c r="N172" s="128">
        <v>33898</v>
      </c>
      <c r="O172" s="128">
        <f t="shared" si="11"/>
        <v>2813534</v>
      </c>
      <c r="P172" s="125" t="s">
        <v>807</v>
      </c>
      <c r="Q172" s="85" t="s">
        <v>47</v>
      </c>
      <c r="R172" s="214" t="s">
        <v>1869</v>
      </c>
      <c r="S172" s="214" t="s">
        <v>1861</v>
      </c>
      <c r="T172" s="85" t="s">
        <v>1491</v>
      </c>
      <c r="U172" t="s">
        <v>1953</v>
      </c>
      <c r="V172" t="s">
        <v>2813</v>
      </c>
    </row>
    <row r="173" spans="1:22" ht="15.75" thickBot="1" x14ac:dyDescent="0.3">
      <c r="A173" s="82" t="s">
        <v>3474</v>
      </c>
      <c r="B173" s="82" t="str">
        <f t="shared" si="8"/>
        <v>Barraqueiro Transportes, S.A.</v>
      </c>
      <c r="C173" s="82" t="str">
        <f t="shared" si="9"/>
        <v>Boa Viagem</v>
      </c>
      <c r="D173" s="83" t="s">
        <v>629</v>
      </c>
      <c r="E173" s="91" t="s">
        <v>1853</v>
      </c>
      <c r="F173" s="124" t="s">
        <v>620</v>
      </c>
      <c r="G173" s="304">
        <v>2003</v>
      </c>
      <c r="H173" s="312" t="s">
        <v>732</v>
      </c>
      <c r="I173" s="307" t="str">
        <f t="shared" si="10"/>
        <v>Pesado de Passageiros M3: III : Gasóleo : E3</v>
      </c>
      <c r="J173" s="125">
        <v>81</v>
      </c>
      <c r="K173" s="125">
        <v>2022</v>
      </c>
      <c r="L173" s="85">
        <v>16232.279000000002</v>
      </c>
      <c r="M173" s="85" t="s">
        <v>630</v>
      </c>
      <c r="N173" s="128">
        <v>35032</v>
      </c>
      <c r="O173" s="128">
        <f t="shared" si="11"/>
        <v>2837592</v>
      </c>
      <c r="P173" s="125" t="s">
        <v>808</v>
      </c>
      <c r="Q173" s="85" t="s">
        <v>47</v>
      </c>
      <c r="R173" s="214" t="s">
        <v>1869</v>
      </c>
      <c r="S173" s="214" t="s">
        <v>1861</v>
      </c>
      <c r="T173" s="85" t="s">
        <v>1491</v>
      </c>
      <c r="U173" t="s">
        <v>1953</v>
      </c>
      <c r="V173" t="s">
        <v>2813</v>
      </c>
    </row>
    <row r="174" spans="1:22" ht="15.75" thickBot="1" x14ac:dyDescent="0.3">
      <c r="A174" s="82" t="s">
        <v>3474</v>
      </c>
      <c r="B174" s="82" t="str">
        <f t="shared" si="8"/>
        <v>Barraqueiro Transportes, S.A.</v>
      </c>
      <c r="C174" s="82" t="str">
        <f t="shared" si="9"/>
        <v>Boa Viagem</v>
      </c>
      <c r="D174" s="83" t="s">
        <v>629</v>
      </c>
      <c r="E174" s="91" t="s">
        <v>1853</v>
      </c>
      <c r="F174" s="124" t="s">
        <v>620</v>
      </c>
      <c r="G174" s="304">
        <v>2000</v>
      </c>
      <c r="H174" s="312" t="s">
        <v>735</v>
      </c>
      <c r="I174" s="307" t="str">
        <f t="shared" si="10"/>
        <v>Pesado de Passageiros M3: III : Gasóleo : E2</v>
      </c>
      <c r="J174" s="125">
        <v>50</v>
      </c>
      <c r="K174" s="125">
        <v>2022</v>
      </c>
      <c r="L174" s="85">
        <v>17187.219999999998</v>
      </c>
      <c r="M174" s="85" t="s">
        <v>630</v>
      </c>
      <c r="N174" s="128">
        <v>46726</v>
      </c>
      <c r="O174" s="128">
        <f t="shared" si="11"/>
        <v>2336300</v>
      </c>
      <c r="P174" s="125" t="s">
        <v>809</v>
      </c>
      <c r="Q174" s="85" t="s">
        <v>47</v>
      </c>
      <c r="R174" s="214" t="s">
        <v>1869</v>
      </c>
      <c r="S174" s="214" t="s">
        <v>1861</v>
      </c>
      <c r="T174" s="85" t="s">
        <v>1491</v>
      </c>
      <c r="U174" t="s">
        <v>1953</v>
      </c>
      <c r="V174" t="s">
        <v>2813</v>
      </c>
    </row>
    <row r="175" spans="1:22" ht="15.75" thickBot="1" x14ac:dyDescent="0.3">
      <c r="A175" s="82" t="s">
        <v>3474</v>
      </c>
      <c r="B175" s="82" t="str">
        <f t="shared" si="8"/>
        <v>Barraqueiro Transportes, S.A.</v>
      </c>
      <c r="C175" s="82" t="str">
        <f t="shared" si="9"/>
        <v>Boa Viagem</v>
      </c>
      <c r="D175" s="83" t="s">
        <v>629</v>
      </c>
      <c r="E175" s="91" t="s">
        <v>1853</v>
      </c>
      <c r="F175" s="124" t="s">
        <v>620</v>
      </c>
      <c r="G175" s="304">
        <v>2002</v>
      </c>
      <c r="H175" s="312" t="s">
        <v>732</v>
      </c>
      <c r="I175" s="307" t="str">
        <f t="shared" si="10"/>
        <v>Pesado de Passageiros M3: III : Gasóleo : E3</v>
      </c>
      <c r="J175" s="125">
        <v>62</v>
      </c>
      <c r="K175" s="125">
        <v>2022</v>
      </c>
      <c r="L175" s="85">
        <v>11878.68</v>
      </c>
      <c r="M175" s="85" t="s">
        <v>630</v>
      </c>
      <c r="N175" s="128">
        <v>33881</v>
      </c>
      <c r="O175" s="128">
        <f t="shared" si="11"/>
        <v>2100622</v>
      </c>
      <c r="P175" s="125" t="s">
        <v>810</v>
      </c>
      <c r="Q175" s="85" t="s">
        <v>47</v>
      </c>
      <c r="R175" s="214" t="s">
        <v>1869</v>
      </c>
      <c r="S175" s="214" t="s">
        <v>1861</v>
      </c>
      <c r="T175" s="85" t="s">
        <v>1491</v>
      </c>
      <c r="U175" t="s">
        <v>1953</v>
      </c>
      <c r="V175" t="s">
        <v>2813</v>
      </c>
    </row>
    <row r="176" spans="1:22" ht="15.75" thickBot="1" x14ac:dyDescent="0.3">
      <c r="A176" s="82" t="s">
        <v>3474</v>
      </c>
      <c r="B176" s="82" t="str">
        <f t="shared" si="8"/>
        <v>Barraqueiro Transportes, S.A.</v>
      </c>
      <c r="C176" s="82" t="str">
        <f t="shared" si="9"/>
        <v>Boa Viagem</v>
      </c>
      <c r="D176" s="83" t="s">
        <v>629</v>
      </c>
      <c r="E176" s="91" t="s">
        <v>1853</v>
      </c>
      <c r="F176" s="124" t="s">
        <v>620</v>
      </c>
      <c r="G176" s="304">
        <v>2000</v>
      </c>
      <c r="H176" s="312" t="s">
        <v>735</v>
      </c>
      <c r="I176" s="307" t="str">
        <f t="shared" si="10"/>
        <v>Pesado de Passageiros M3: III : Gasóleo : E2</v>
      </c>
      <c r="J176" s="125">
        <v>71</v>
      </c>
      <c r="K176" s="125">
        <v>2022</v>
      </c>
      <c r="L176" s="85">
        <v>13530.810000000001</v>
      </c>
      <c r="M176" s="85" t="s">
        <v>630</v>
      </c>
      <c r="N176" s="128">
        <v>37957</v>
      </c>
      <c r="O176" s="128">
        <f t="shared" si="11"/>
        <v>2694947</v>
      </c>
      <c r="P176" s="125" t="s">
        <v>811</v>
      </c>
      <c r="Q176" s="85" t="s">
        <v>47</v>
      </c>
      <c r="R176" s="214" t="s">
        <v>1869</v>
      </c>
      <c r="S176" s="214" t="s">
        <v>1861</v>
      </c>
      <c r="T176" s="85" t="s">
        <v>1491</v>
      </c>
      <c r="U176" t="s">
        <v>1953</v>
      </c>
      <c r="V176" t="s">
        <v>2813</v>
      </c>
    </row>
    <row r="177" spans="1:22" ht="15.75" thickBot="1" x14ac:dyDescent="0.3">
      <c r="A177" s="82" t="s">
        <v>3474</v>
      </c>
      <c r="B177" s="82" t="str">
        <f t="shared" si="8"/>
        <v>Barraqueiro Transportes, S.A.</v>
      </c>
      <c r="C177" s="82" t="str">
        <f t="shared" si="9"/>
        <v>Boa Viagem</v>
      </c>
      <c r="D177" s="83" t="s">
        <v>629</v>
      </c>
      <c r="E177" s="91" t="s">
        <v>1853</v>
      </c>
      <c r="F177" s="124" t="s">
        <v>620</v>
      </c>
      <c r="G177" s="304">
        <v>2001</v>
      </c>
      <c r="H177" s="312" t="s">
        <v>732</v>
      </c>
      <c r="I177" s="307" t="str">
        <f t="shared" si="10"/>
        <v>Pesado de Passageiros M3: III : Gasóleo : E3</v>
      </c>
      <c r="J177" s="125">
        <v>62</v>
      </c>
      <c r="K177" s="125">
        <v>2022</v>
      </c>
      <c r="L177" s="85">
        <v>12341.089999999998</v>
      </c>
      <c r="M177" s="85" t="s">
        <v>630</v>
      </c>
      <c r="N177" s="128">
        <v>34742</v>
      </c>
      <c r="O177" s="128">
        <f t="shared" si="11"/>
        <v>2154004</v>
      </c>
      <c r="P177" s="125" t="s">
        <v>812</v>
      </c>
      <c r="Q177" s="85" t="s">
        <v>47</v>
      </c>
      <c r="R177" s="214" t="s">
        <v>1869</v>
      </c>
      <c r="S177" s="214" t="s">
        <v>1861</v>
      </c>
      <c r="T177" s="85" t="s">
        <v>1491</v>
      </c>
      <c r="U177" t="s">
        <v>1953</v>
      </c>
      <c r="V177" t="s">
        <v>2813</v>
      </c>
    </row>
    <row r="178" spans="1:22" ht="15.75" thickBot="1" x14ac:dyDescent="0.3">
      <c r="A178" s="82" t="s">
        <v>3474</v>
      </c>
      <c r="B178" s="82" t="str">
        <f t="shared" si="8"/>
        <v>Barraqueiro Transportes, S.A.</v>
      </c>
      <c r="C178" s="82" t="str">
        <f t="shared" si="9"/>
        <v>Boa Viagem</v>
      </c>
      <c r="D178" s="83" t="s">
        <v>629</v>
      </c>
      <c r="E178" s="91" t="s">
        <v>1853</v>
      </c>
      <c r="F178" s="124" t="s">
        <v>620</v>
      </c>
      <c r="G178" s="304">
        <v>2000</v>
      </c>
      <c r="H178" s="312" t="s">
        <v>735</v>
      </c>
      <c r="I178" s="307" t="str">
        <f t="shared" si="10"/>
        <v>Pesado de Passageiros M3: III : Gasóleo : E2</v>
      </c>
      <c r="J178" s="125">
        <v>83</v>
      </c>
      <c r="K178" s="125">
        <v>2022</v>
      </c>
      <c r="L178" s="85">
        <v>19746</v>
      </c>
      <c r="M178" s="85" t="s">
        <v>630</v>
      </c>
      <c r="N178" s="128">
        <v>51293</v>
      </c>
      <c r="O178" s="128">
        <f t="shared" si="11"/>
        <v>4257319</v>
      </c>
      <c r="P178" s="125" t="s">
        <v>813</v>
      </c>
      <c r="Q178" s="85" t="s">
        <v>47</v>
      </c>
      <c r="R178" s="214" t="s">
        <v>1869</v>
      </c>
      <c r="S178" s="214" t="s">
        <v>1861</v>
      </c>
      <c r="T178" s="85" t="s">
        <v>1491</v>
      </c>
      <c r="U178" t="s">
        <v>1953</v>
      </c>
      <c r="V178" t="s">
        <v>2813</v>
      </c>
    </row>
    <row r="179" spans="1:22" ht="15.75" thickBot="1" x14ac:dyDescent="0.3">
      <c r="A179" s="82" t="s">
        <v>3474</v>
      </c>
      <c r="B179" s="82" t="str">
        <f t="shared" si="8"/>
        <v>Barraqueiro Transportes, S.A.</v>
      </c>
      <c r="C179" s="82" t="str">
        <f t="shared" si="9"/>
        <v>Boa Viagem</v>
      </c>
      <c r="D179" s="83" t="s">
        <v>629</v>
      </c>
      <c r="E179" s="91" t="s">
        <v>1853</v>
      </c>
      <c r="F179" s="124" t="s">
        <v>620</v>
      </c>
      <c r="G179" s="304">
        <v>2018</v>
      </c>
      <c r="H179" s="312" t="s">
        <v>733</v>
      </c>
      <c r="I179" s="307" t="str">
        <f t="shared" si="10"/>
        <v>Pesado de Passageiros M3: III : Gasóleo : E6</v>
      </c>
      <c r="J179" s="125">
        <v>29</v>
      </c>
      <c r="K179" s="125">
        <v>2022</v>
      </c>
      <c r="L179" s="85">
        <v>8218.2100000000009</v>
      </c>
      <c r="M179" s="85" t="s">
        <v>630</v>
      </c>
      <c r="N179" s="128">
        <v>39017</v>
      </c>
      <c r="O179" s="128">
        <f t="shared" si="11"/>
        <v>1131493</v>
      </c>
      <c r="P179" s="125" t="s">
        <v>814</v>
      </c>
      <c r="Q179" s="85" t="s">
        <v>47</v>
      </c>
      <c r="R179" s="214" t="s">
        <v>1869</v>
      </c>
      <c r="S179" s="214" t="s">
        <v>1861</v>
      </c>
      <c r="T179" s="85" t="s">
        <v>1491</v>
      </c>
      <c r="U179" t="s">
        <v>1953</v>
      </c>
      <c r="V179" t="s">
        <v>2813</v>
      </c>
    </row>
    <row r="180" spans="1:22" ht="15.75" thickBot="1" x14ac:dyDescent="0.3">
      <c r="A180" s="82" t="s">
        <v>3474</v>
      </c>
      <c r="B180" s="82" t="str">
        <f t="shared" si="8"/>
        <v>Barraqueiro Transportes, S.A.</v>
      </c>
      <c r="C180" s="82" t="str">
        <f t="shared" si="9"/>
        <v>Boa Viagem</v>
      </c>
      <c r="D180" s="83" t="s">
        <v>629</v>
      </c>
      <c r="E180" s="91" t="s">
        <v>1853</v>
      </c>
      <c r="F180" s="124" t="s">
        <v>620</v>
      </c>
      <c r="G180" s="304">
        <v>2008</v>
      </c>
      <c r="H180" s="312" t="s">
        <v>731</v>
      </c>
      <c r="I180" s="307" t="str">
        <f t="shared" si="10"/>
        <v>Pesado de Passageiros M3: III : Gasóleo : E4</v>
      </c>
      <c r="J180" s="125">
        <v>59</v>
      </c>
      <c r="K180" s="125">
        <v>2022</v>
      </c>
      <c r="L180" s="85">
        <v>21671.4</v>
      </c>
      <c r="M180" s="85" t="s">
        <v>630</v>
      </c>
      <c r="N180" s="128">
        <v>54571</v>
      </c>
      <c r="O180" s="128">
        <f t="shared" si="11"/>
        <v>3219689</v>
      </c>
      <c r="P180" s="125" t="s">
        <v>815</v>
      </c>
      <c r="Q180" s="85" t="s">
        <v>47</v>
      </c>
      <c r="R180" s="214" t="s">
        <v>1869</v>
      </c>
      <c r="S180" s="214" t="s">
        <v>1861</v>
      </c>
      <c r="T180" s="85" t="s">
        <v>1491</v>
      </c>
      <c r="U180" t="s">
        <v>1953</v>
      </c>
      <c r="V180" t="s">
        <v>2813</v>
      </c>
    </row>
    <row r="181" spans="1:22" ht="15.75" thickBot="1" x14ac:dyDescent="0.3">
      <c r="A181" s="82" t="s">
        <v>3474</v>
      </c>
      <c r="B181" s="82" t="str">
        <f t="shared" si="8"/>
        <v>Barraqueiro Transportes, S.A.</v>
      </c>
      <c r="C181" s="82" t="str">
        <f t="shared" si="9"/>
        <v>Boa Viagem</v>
      </c>
      <c r="D181" s="83" t="s">
        <v>629</v>
      </c>
      <c r="E181" s="91" t="s">
        <v>1853</v>
      </c>
      <c r="F181" s="124" t="s">
        <v>620</v>
      </c>
      <c r="G181" s="304">
        <v>1997</v>
      </c>
      <c r="H181" s="312" t="s">
        <v>736</v>
      </c>
      <c r="I181" s="307" t="str">
        <f t="shared" si="10"/>
        <v>Pesado de Passageiros M3: III : Gasóleo : E1</v>
      </c>
      <c r="J181" s="125">
        <v>70</v>
      </c>
      <c r="K181" s="125">
        <v>2022</v>
      </c>
      <c r="L181" s="85">
        <v>15683.56</v>
      </c>
      <c r="M181" s="85" t="s">
        <v>630</v>
      </c>
      <c r="N181" s="128">
        <v>42015</v>
      </c>
      <c r="O181" s="128">
        <f t="shared" si="11"/>
        <v>2941050</v>
      </c>
      <c r="P181" s="125" t="s">
        <v>816</v>
      </c>
      <c r="Q181" s="85" t="s">
        <v>47</v>
      </c>
      <c r="R181" s="214" t="s">
        <v>1869</v>
      </c>
      <c r="S181" s="214" t="s">
        <v>1861</v>
      </c>
      <c r="T181" s="85" t="s">
        <v>1491</v>
      </c>
      <c r="U181" t="s">
        <v>1953</v>
      </c>
      <c r="V181" t="s">
        <v>2813</v>
      </c>
    </row>
    <row r="182" spans="1:22" ht="15.75" thickBot="1" x14ac:dyDescent="0.3">
      <c r="A182" s="82" t="s">
        <v>3474</v>
      </c>
      <c r="B182" s="82" t="str">
        <f t="shared" si="8"/>
        <v>Barraqueiro Transportes, S.A.</v>
      </c>
      <c r="C182" s="82" t="str">
        <f t="shared" si="9"/>
        <v>Boa Viagem</v>
      </c>
      <c r="D182" s="83" t="s">
        <v>629</v>
      </c>
      <c r="E182" s="91" t="s">
        <v>1853</v>
      </c>
      <c r="F182" s="124" t="s">
        <v>620</v>
      </c>
      <c r="G182" s="304">
        <v>2000</v>
      </c>
      <c r="H182" s="312" t="s">
        <v>735</v>
      </c>
      <c r="I182" s="307" t="str">
        <f t="shared" si="10"/>
        <v>Pesado de Passageiros M3: III : Gasóleo : E2</v>
      </c>
      <c r="J182" s="125">
        <v>43</v>
      </c>
      <c r="K182" s="125">
        <v>2022</v>
      </c>
      <c r="L182" s="85">
        <v>17141.269999999997</v>
      </c>
      <c r="M182" s="85" t="s">
        <v>630</v>
      </c>
      <c r="N182" s="128">
        <v>39925</v>
      </c>
      <c r="O182" s="128">
        <f t="shared" si="11"/>
        <v>1716775</v>
      </c>
      <c r="P182" s="125" t="s">
        <v>817</v>
      </c>
      <c r="Q182" s="85" t="s">
        <v>47</v>
      </c>
      <c r="R182" s="214" t="s">
        <v>1869</v>
      </c>
      <c r="S182" s="214" t="s">
        <v>1861</v>
      </c>
      <c r="T182" s="85" t="s">
        <v>1491</v>
      </c>
      <c r="U182" t="s">
        <v>1953</v>
      </c>
      <c r="V182" t="s">
        <v>2813</v>
      </c>
    </row>
    <row r="183" spans="1:22" ht="15.75" thickBot="1" x14ac:dyDescent="0.3">
      <c r="A183" s="82" t="s">
        <v>3474</v>
      </c>
      <c r="B183" s="82" t="str">
        <f t="shared" si="8"/>
        <v>Barraqueiro Transportes, S.A.</v>
      </c>
      <c r="C183" s="82" t="str">
        <f t="shared" si="9"/>
        <v>Boa Viagem</v>
      </c>
      <c r="D183" s="83" t="s">
        <v>629</v>
      </c>
      <c r="E183" s="91" t="s">
        <v>1853</v>
      </c>
      <c r="F183" s="124" t="s">
        <v>620</v>
      </c>
      <c r="G183" s="304">
        <v>1998</v>
      </c>
      <c r="H183" s="312" t="s">
        <v>736</v>
      </c>
      <c r="I183" s="307" t="str">
        <f t="shared" si="10"/>
        <v>Pesado de Passageiros M3: III : Gasóleo : E1</v>
      </c>
      <c r="J183" s="125">
        <v>70</v>
      </c>
      <c r="K183" s="125">
        <v>2022</v>
      </c>
      <c r="L183" s="85">
        <v>10045.560000000001</v>
      </c>
      <c r="M183" s="85" t="s">
        <v>630</v>
      </c>
      <c r="N183" s="128">
        <v>25602</v>
      </c>
      <c r="O183" s="128">
        <f t="shared" si="11"/>
        <v>1792140</v>
      </c>
      <c r="P183" s="125" t="s">
        <v>818</v>
      </c>
      <c r="Q183" s="85" t="s">
        <v>47</v>
      </c>
      <c r="R183" s="214" t="s">
        <v>1869</v>
      </c>
      <c r="S183" s="214" t="s">
        <v>1861</v>
      </c>
      <c r="T183" s="85" t="s">
        <v>1491</v>
      </c>
      <c r="U183" t="s">
        <v>1953</v>
      </c>
      <c r="V183" t="s">
        <v>2813</v>
      </c>
    </row>
    <row r="184" spans="1:22" ht="15.75" thickBot="1" x14ac:dyDescent="0.3">
      <c r="A184" s="82" t="s">
        <v>3474</v>
      </c>
      <c r="B184" s="82" t="str">
        <f t="shared" si="8"/>
        <v>Barraqueiro Transportes, S.A.</v>
      </c>
      <c r="C184" s="82" t="str">
        <f t="shared" si="9"/>
        <v>Boa Viagem</v>
      </c>
      <c r="D184" s="83" t="s">
        <v>629</v>
      </c>
      <c r="E184" s="91" t="s">
        <v>1853</v>
      </c>
      <c r="F184" s="124" t="s">
        <v>620</v>
      </c>
      <c r="G184" s="304">
        <v>1998</v>
      </c>
      <c r="H184" s="312" t="s">
        <v>736</v>
      </c>
      <c r="I184" s="307" t="str">
        <f t="shared" si="10"/>
        <v>Pesado de Passageiros M3: III : Gasóleo : E1</v>
      </c>
      <c r="J184" s="125">
        <v>70</v>
      </c>
      <c r="K184" s="125">
        <v>2022</v>
      </c>
      <c r="L184" s="85">
        <v>17734.580000000002</v>
      </c>
      <c r="M184" s="85" t="s">
        <v>630</v>
      </c>
      <c r="N184" s="128">
        <v>43788</v>
      </c>
      <c r="O184" s="128">
        <f t="shared" si="11"/>
        <v>3065160</v>
      </c>
      <c r="P184" s="125" t="s">
        <v>819</v>
      </c>
      <c r="Q184" s="85" t="s">
        <v>47</v>
      </c>
      <c r="R184" s="214" t="s">
        <v>1869</v>
      </c>
      <c r="S184" s="214" t="s">
        <v>1861</v>
      </c>
      <c r="T184" s="85" t="s">
        <v>1491</v>
      </c>
      <c r="U184" t="s">
        <v>1953</v>
      </c>
      <c r="V184" t="s">
        <v>2813</v>
      </c>
    </row>
    <row r="185" spans="1:22" ht="15.75" thickBot="1" x14ac:dyDescent="0.3">
      <c r="A185" s="82" t="s">
        <v>3474</v>
      </c>
      <c r="B185" s="82" t="str">
        <f t="shared" si="8"/>
        <v>Barraqueiro Transportes, S.A.</v>
      </c>
      <c r="C185" s="82" t="str">
        <f t="shared" si="9"/>
        <v>Boa Viagem</v>
      </c>
      <c r="D185" s="83" t="s">
        <v>629</v>
      </c>
      <c r="E185" s="91" t="s">
        <v>1853</v>
      </c>
      <c r="F185" s="124" t="s">
        <v>620</v>
      </c>
      <c r="G185" s="304">
        <v>2011</v>
      </c>
      <c r="H185" s="312" t="s">
        <v>734</v>
      </c>
      <c r="I185" s="307" t="str">
        <f t="shared" si="10"/>
        <v>Pesado de Passageiros M3: III : Gasóleo : E5</v>
      </c>
      <c r="J185" s="125">
        <v>53</v>
      </c>
      <c r="K185" s="125">
        <v>2022</v>
      </c>
      <c r="L185" s="85">
        <v>15795.645</v>
      </c>
      <c r="M185" s="85" t="s">
        <v>630</v>
      </c>
      <c r="N185" s="128">
        <v>51911</v>
      </c>
      <c r="O185" s="128">
        <f t="shared" si="11"/>
        <v>2751283</v>
      </c>
      <c r="P185" s="125" t="s">
        <v>820</v>
      </c>
      <c r="Q185" s="85" t="s">
        <v>47</v>
      </c>
      <c r="R185" s="214" t="s">
        <v>1869</v>
      </c>
      <c r="S185" s="214" t="s">
        <v>1861</v>
      </c>
      <c r="T185" s="85" t="s">
        <v>1491</v>
      </c>
      <c r="U185" t="s">
        <v>1953</v>
      </c>
      <c r="V185" t="s">
        <v>2813</v>
      </c>
    </row>
    <row r="186" spans="1:22" ht="15.75" thickBot="1" x14ac:dyDescent="0.3">
      <c r="A186" s="82" t="s">
        <v>3474</v>
      </c>
      <c r="B186" s="82" t="str">
        <f t="shared" si="8"/>
        <v>Barraqueiro Transportes, S.A.</v>
      </c>
      <c r="C186" s="82" t="str">
        <f t="shared" si="9"/>
        <v>Boa Viagem</v>
      </c>
      <c r="D186" s="83" t="s">
        <v>629</v>
      </c>
      <c r="E186" s="91" t="s">
        <v>1853</v>
      </c>
      <c r="F186" s="124" t="s">
        <v>620</v>
      </c>
      <c r="G186" s="304">
        <v>2011</v>
      </c>
      <c r="H186" s="312" t="s">
        <v>734</v>
      </c>
      <c r="I186" s="307" t="str">
        <f t="shared" si="10"/>
        <v>Pesado de Passageiros M3: III : Gasóleo : E5</v>
      </c>
      <c r="J186" s="125">
        <v>53</v>
      </c>
      <c r="K186" s="125">
        <v>2022</v>
      </c>
      <c r="L186" s="85">
        <v>20868.808000000001</v>
      </c>
      <c r="M186" s="85" t="s">
        <v>630</v>
      </c>
      <c r="N186" s="128">
        <v>65820</v>
      </c>
      <c r="O186" s="128">
        <f t="shared" si="11"/>
        <v>3488460</v>
      </c>
      <c r="P186" s="125" t="s">
        <v>821</v>
      </c>
      <c r="Q186" s="85" t="s">
        <v>47</v>
      </c>
      <c r="R186" s="214" t="s">
        <v>1869</v>
      </c>
      <c r="S186" s="214" t="s">
        <v>1861</v>
      </c>
      <c r="T186" s="85" t="s">
        <v>1491</v>
      </c>
      <c r="U186" t="s">
        <v>1953</v>
      </c>
      <c r="V186" t="s">
        <v>2813</v>
      </c>
    </row>
    <row r="187" spans="1:22" ht="15.75" thickBot="1" x14ac:dyDescent="0.3">
      <c r="A187" s="82" t="s">
        <v>3474</v>
      </c>
      <c r="B187" s="82" t="str">
        <f t="shared" si="8"/>
        <v>Barraqueiro Transportes, S.A.</v>
      </c>
      <c r="C187" s="82" t="str">
        <f t="shared" si="9"/>
        <v>Boa Viagem</v>
      </c>
      <c r="D187" s="83" t="s">
        <v>629</v>
      </c>
      <c r="E187" s="91" t="s">
        <v>1853</v>
      </c>
      <c r="F187" s="124" t="s">
        <v>620</v>
      </c>
      <c r="G187" s="304">
        <v>1996</v>
      </c>
      <c r="H187" s="312" t="s">
        <v>736</v>
      </c>
      <c r="I187" s="307" t="str">
        <f t="shared" si="10"/>
        <v>Pesado de Passageiros M3: III : Gasóleo : E1</v>
      </c>
      <c r="J187" s="125">
        <v>80</v>
      </c>
      <c r="K187" s="125">
        <v>2022</v>
      </c>
      <c r="L187" s="85">
        <v>11521.949999999999</v>
      </c>
      <c r="M187" s="85" t="s">
        <v>630</v>
      </c>
      <c r="N187" s="128">
        <v>32252</v>
      </c>
      <c r="O187" s="128">
        <f t="shared" si="11"/>
        <v>2580160</v>
      </c>
      <c r="P187" s="125" t="s">
        <v>822</v>
      </c>
      <c r="Q187" s="85" t="s">
        <v>47</v>
      </c>
      <c r="R187" s="214" t="s">
        <v>1869</v>
      </c>
      <c r="S187" s="214" t="s">
        <v>1861</v>
      </c>
      <c r="T187" s="85" t="s">
        <v>1491</v>
      </c>
      <c r="U187" t="s">
        <v>1953</v>
      </c>
      <c r="V187" t="s">
        <v>2813</v>
      </c>
    </row>
    <row r="188" spans="1:22" ht="15.75" thickBot="1" x14ac:dyDescent="0.3">
      <c r="A188" s="82" t="s">
        <v>3474</v>
      </c>
      <c r="B188" s="82" t="str">
        <f t="shared" si="8"/>
        <v>Barraqueiro Transportes, S.A.</v>
      </c>
      <c r="C188" s="82" t="str">
        <f t="shared" si="9"/>
        <v>Boa Viagem</v>
      </c>
      <c r="D188" s="83" t="s">
        <v>629</v>
      </c>
      <c r="E188" s="91" t="s">
        <v>1853</v>
      </c>
      <c r="F188" s="124" t="s">
        <v>620</v>
      </c>
      <c r="G188" s="304">
        <v>1997</v>
      </c>
      <c r="H188" s="312" t="s">
        <v>736</v>
      </c>
      <c r="I188" s="307" t="str">
        <f t="shared" si="10"/>
        <v>Pesado de Passageiros M3: III : Gasóleo : E1</v>
      </c>
      <c r="J188" s="125">
        <v>70</v>
      </c>
      <c r="K188" s="125">
        <v>2022</v>
      </c>
      <c r="L188" s="85">
        <v>5502.49</v>
      </c>
      <c r="M188" s="85" t="s">
        <v>630</v>
      </c>
      <c r="N188" s="128">
        <v>16574</v>
      </c>
      <c r="O188" s="128">
        <f t="shared" si="11"/>
        <v>1160180</v>
      </c>
      <c r="P188" s="125" t="s">
        <v>823</v>
      </c>
      <c r="Q188" s="85" t="s">
        <v>47</v>
      </c>
      <c r="R188" s="214" t="s">
        <v>1869</v>
      </c>
      <c r="S188" s="214" t="s">
        <v>1861</v>
      </c>
      <c r="T188" s="85" t="s">
        <v>1491</v>
      </c>
      <c r="U188" t="s">
        <v>1953</v>
      </c>
      <c r="V188" t="s">
        <v>2813</v>
      </c>
    </row>
    <row r="189" spans="1:22" ht="15.75" thickBot="1" x14ac:dyDescent="0.3">
      <c r="A189" s="82" t="s">
        <v>3474</v>
      </c>
      <c r="B189" s="82" t="str">
        <f t="shared" si="8"/>
        <v>Barraqueiro Transportes, S.A.</v>
      </c>
      <c r="C189" s="82" t="str">
        <f t="shared" si="9"/>
        <v>Boa Viagem</v>
      </c>
      <c r="D189" s="83" t="s">
        <v>629</v>
      </c>
      <c r="E189" s="91" t="s">
        <v>1853</v>
      </c>
      <c r="F189" s="124" t="s">
        <v>620</v>
      </c>
      <c r="G189" s="304">
        <v>2007</v>
      </c>
      <c r="H189" s="312" t="s">
        <v>731</v>
      </c>
      <c r="I189" s="307" t="str">
        <f t="shared" si="10"/>
        <v>Pesado de Passageiros M3: III : Gasóleo : E4</v>
      </c>
      <c r="J189" s="125">
        <v>74</v>
      </c>
      <c r="K189" s="125">
        <v>2022</v>
      </c>
      <c r="L189" s="85">
        <v>18436.290000000005</v>
      </c>
      <c r="M189" s="85" t="s">
        <v>630</v>
      </c>
      <c r="N189" s="128">
        <v>48829</v>
      </c>
      <c r="O189" s="128">
        <f t="shared" si="11"/>
        <v>3613346</v>
      </c>
      <c r="P189" s="125" t="s">
        <v>824</v>
      </c>
      <c r="Q189" s="85" t="s">
        <v>47</v>
      </c>
      <c r="R189" s="214" t="s">
        <v>1869</v>
      </c>
      <c r="S189" s="214" t="s">
        <v>1861</v>
      </c>
      <c r="T189" s="85" t="s">
        <v>1491</v>
      </c>
      <c r="U189" t="s">
        <v>1953</v>
      </c>
      <c r="V189" t="s">
        <v>2813</v>
      </c>
    </row>
    <row r="190" spans="1:22" ht="15.75" thickBot="1" x14ac:dyDescent="0.3">
      <c r="A190" s="82" t="s">
        <v>3474</v>
      </c>
      <c r="B190" s="82" t="str">
        <f t="shared" si="8"/>
        <v>Barraqueiro Transportes, S.A.</v>
      </c>
      <c r="C190" s="82" t="str">
        <f t="shared" si="9"/>
        <v>Boa Viagem</v>
      </c>
      <c r="D190" s="83" t="s">
        <v>629</v>
      </c>
      <c r="E190" s="91" t="s">
        <v>1853</v>
      </c>
      <c r="F190" s="124" t="s">
        <v>620</v>
      </c>
      <c r="G190" s="304">
        <v>2008</v>
      </c>
      <c r="H190" s="312" t="s">
        <v>731</v>
      </c>
      <c r="I190" s="307" t="str">
        <f t="shared" si="10"/>
        <v>Pesado de Passageiros M3: III : Gasóleo : E4</v>
      </c>
      <c r="J190" s="125">
        <v>82</v>
      </c>
      <c r="K190" s="125">
        <v>2022</v>
      </c>
      <c r="L190" s="85">
        <v>17479</v>
      </c>
      <c r="M190" s="85" t="s">
        <v>630</v>
      </c>
      <c r="N190" s="128">
        <v>49414</v>
      </c>
      <c r="O190" s="128">
        <f t="shared" si="11"/>
        <v>4051948</v>
      </c>
      <c r="P190" s="125" t="s">
        <v>825</v>
      </c>
      <c r="Q190" s="85" t="s">
        <v>47</v>
      </c>
      <c r="R190" s="214" t="s">
        <v>1869</v>
      </c>
      <c r="S190" s="214" t="s">
        <v>1861</v>
      </c>
      <c r="T190" s="85" t="s">
        <v>1491</v>
      </c>
      <c r="U190" t="s">
        <v>1953</v>
      </c>
      <c r="V190" t="s">
        <v>2813</v>
      </c>
    </row>
    <row r="191" spans="1:22" ht="15.75" thickBot="1" x14ac:dyDescent="0.3">
      <c r="A191" s="82" t="s">
        <v>3474</v>
      </c>
      <c r="B191" s="82" t="str">
        <f t="shared" si="8"/>
        <v>Barraqueiro Transportes, S.A.</v>
      </c>
      <c r="C191" s="82" t="str">
        <f t="shared" si="9"/>
        <v>Boa Viagem</v>
      </c>
      <c r="D191" s="83" t="s">
        <v>629</v>
      </c>
      <c r="E191" s="91" t="s">
        <v>1853</v>
      </c>
      <c r="F191" s="124" t="s">
        <v>620</v>
      </c>
      <c r="G191" s="304">
        <v>2008</v>
      </c>
      <c r="H191" s="312" t="s">
        <v>731</v>
      </c>
      <c r="I191" s="307" t="str">
        <f t="shared" si="10"/>
        <v>Pesado de Passageiros M3: III : Gasóleo : E4</v>
      </c>
      <c r="J191" s="125">
        <v>82</v>
      </c>
      <c r="K191" s="125">
        <v>2022</v>
      </c>
      <c r="L191" s="85">
        <v>26773.24</v>
      </c>
      <c r="M191" s="85" t="s">
        <v>630</v>
      </c>
      <c r="N191" s="128">
        <v>73424</v>
      </c>
      <c r="O191" s="128">
        <f t="shared" si="11"/>
        <v>6020768</v>
      </c>
      <c r="P191" s="125" t="s">
        <v>826</v>
      </c>
      <c r="Q191" s="85" t="s">
        <v>47</v>
      </c>
      <c r="R191" s="214" t="s">
        <v>1869</v>
      </c>
      <c r="S191" s="214" t="s">
        <v>1861</v>
      </c>
      <c r="T191" s="85" t="s">
        <v>1491</v>
      </c>
      <c r="U191" t="s">
        <v>1953</v>
      </c>
      <c r="V191" t="s">
        <v>2813</v>
      </c>
    </row>
    <row r="192" spans="1:22" ht="15.75" thickBot="1" x14ac:dyDescent="0.3">
      <c r="A192" s="82" t="s">
        <v>3474</v>
      </c>
      <c r="B192" s="82" t="str">
        <f t="shared" si="8"/>
        <v>Barraqueiro Transportes, S.A.</v>
      </c>
      <c r="C192" s="82" t="str">
        <f t="shared" si="9"/>
        <v>Boa Viagem</v>
      </c>
      <c r="D192" s="83" t="s">
        <v>629</v>
      </c>
      <c r="E192" s="91" t="s">
        <v>1853</v>
      </c>
      <c r="F192" s="124" t="s">
        <v>620</v>
      </c>
      <c r="G192" s="304">
        <v>2008</v>
      </c>
      <c r="H192" s="312" t="s">
        <v>731</v>
      </c>
      <c r="I192" s="307" t="str">
        <f t="shared" si="10"/>
        <v>Pesado de Passageiros M3: III : Gasóleo : E4</v>
      </c>
      <c r="J192" s="125">
        <v>82</v>
      </c>
      <c r="K192" s="125">
        <v>2022</v>
      </c>
      <c r="L192" s="85">
        <v>18546.07</v>
      </c>
      <c r="M192" s="85" t="s">
        <v>630</v>
      </c>
      <c r="N192" s="128">
        <v>50334</v>
      </c>
      <c r="O192" s="128">
        <f t="shared" si="11"/>
        <v>4127388</v>
      </c>
      <c r="P192" s="125" t="s">
        <v>827</v>
      </c>
      <c r="Q192" s="85" t="s">
        <v>47</v>
      </c>
      <c r="R192" s="214" t="s">
        <v>1869</v>
      </c>
      <c r="S192" s="214" t="s">
        <v>1861</v>
      </c>
      <c r="T192" s="85" t="s">
        <v>1491</v>
      </c>
      <c r="U192" t="s">
        <v>1953</v>
      </c>
      <c r="V192" t="s">
        <v>2813</v>
      </c>
    </row>
    <row r="193" spans="1:22" ht="15.75" thickBot="1" x14ac:dyDescent="0.3">
      <c r="A193" s="82" t="s">
        <v>3474</v>
      </c>
      <c r="B193" s="82" t="str">
        <f t="shared" si="8"/>
        <v>Barraqueiro Transportes, S.A.</v>
      </c>
      <c r="C193" s="82" t="str">
        <f t="shared" si="9"/>
        <v>Boa Viagem</v>
      </c>
      <c r="D193" s="83" t="s">
        <v>629</v>
      </c>
      <c r="E193" s="91" t="s">
        <v>1853</v>
      </c>
      <c r="F193" s="124" t="s">
        <v>620</v>
      </c>
      <c r="G193" s="304">
        <v>2004</v>
      </c>
      <c r="H193" s="312" t="s">
        <v>732</v>
      </c>
      <c r="I193" s="307" t="str">
        <f t="shared" si="10"/>
        <v>Pesado de Passageiros M3: III : Gasóleo : E3</v>
      </c>
      <c r="J193" s="125">
        <v>55</v>
      </c>
      <c r="K193" s="125">
        <v>2022</v>
      </c>
      <c r="L193" s="85">
        <v>16524.219999999998</v>
      </c>
      <c r="M193" s="85" t="s">
        <v>630</v>
      </c>
      <c r="N193" s="128">
        <v>42097</v>
      </c>
      <c r="O193" s="128">
        <f t="shared" si="11"/>
        <v>2315335</v>
      </c>
      <c r="P193" s="125" t="s">
        <v>828</v>
      </c>
      <c r="Q193" s="85" t="s">
        <v>47</v>
      </c>
      <c r="R193" s="214" t="s">
        <v>1869</v>
      </c>
      <c r="S193" s="214" t="s">
        <v>1861</v>
      </c>
      <c r="T193" s="85" t="s">
        <v>1491</v>
      </c>
      <c r="U193" t="s">
        <v>1953</v>
      </c>
      <c r="V193" t="s">
        <v>2813</v>
      </c>
    </row>
    <row r="194" spans="1:22" ht="15.75" thickBot="1" x14ac:dyDescent="0.3">
      <c r="A194" s="82" t="s">
        <v>3474</v>
      </c>
      <c r="B194" s="82" t="str">
        <f t="shared" si="8"/>
        <v>Barraqueiro Transportes, S.A.</v>
      </c>
      <c r="C194" s="82" t="str">
        <f t="shared" si="9"/>
        <v>Boa Viagem</v>
      </c>
      <c r="D194" s="83" t="s">
        <v>629</v>
      </c>
      <c r="E194" s="91" t="s">
        <v>1853</v>
      </c>
      <c r="F194" s="124" t="s">
        <v>620</v>
      </c>
      <c r="G194" s="304">
        <v>2004</v>
      </c>
      <c r="H194" s="312" t="s">
        <v>732</v>
      </c>
      <c r="I194" s="307" t="str">
        <f t="shared" si="10"/>
        <v>Pesado de Passageiros M3: III : Gasóleo : E3</v>
      </c>
      <c r="J194" s="125">
        <v>76</v>
      </c>
      <c r="K194" s="125">
        <v>2022</v>
      </c>
      <c r="L194" s="85">
        <v>4267.2699999999995</v>
      </c>
      <c r="M194" s="85" t="s">
        <v>630</v>
      </c>
      <c r="N194" s="128">
        <v>10782</v>
      </c>
      <c r="O194" s="128">
        <f t="shared" si="11"/>
        <v>819432</v>
      </c>
      <c r="P194" s="125" t="s">
        <v>829</v>
      </c>
      <c r="Q194" s="85" t="s">
        <v>47</v>
      </c>
      <c r="R194" s="214" t="s">
        <v>1869</v>
      </c>
      <c r="S194" s="214" t="s">
        <v>1861</v>
      </c>
      <c r="T194" s="85" t="s">
        <v>1491</v>
      </c>
      <c r="U194" t="s">
        <v>1953</v>
      </c>
      <c r="V194" t="s">
        <v>2813</v>
      </c>
    </row>
    <row r="195" spans="1:22" ht="15.75" thickBot="1" x14ac:dyDescent="0.3">
      <c r="A195" s="82" t="s">
        <v>3474</v>
      </c>
      <c r="B195" s="82" t="str">
        <f t="shared" ref="B195:B258" si="12">LEFT(A195,IFERROR(FIND(" - ",A195)-1,LEN(A195)))</f>
        <v>Barraqueiro Transportes, S.A.</v>
      </c>
      <c r="C195" s="82" t="str">
        <f t="shared" si="9"/>
        <v>Boa Viagem</v>
      </c>
      <c r="D195" s="83" t="s">
        <v>629</v>
      </c>
      <c r="E195" s="91" t="s">
        <v>1853</v>
      </c>
      <c r="F195" s="124" t="s">
        <v>620</v>
      </c>
      <c r="G195" s="304">
        <v>2005</v>
      </c>
      <c r="H195" s="312" t="s">
        <v>732</v>
      </c>
      <c r="I195" s="307" t="str">
        <f t="shared" si="10"/>
        <v>Pesado de Passageiros M3: III : Gasóleo : E3</v>
      </c>
      <c r="J195" s="125">
        <v>86</v>
      </c>
      <c r="K195" s="125">
        <v>2022</v>
      </c>
      <c r="L195" s="85">
        <v>19362.620000000003</v>
      </c>
      <c r="M195" s="85" t="s">
        <v>630</v>
      </c>
      <c r="N195" s="128">
        <v>48172</v>
      </c>
      <c r="O195" s="128">
        <f t="shared" si="11"/>
        <v>4142792</v>
      </c>
      <c r="P195" s="125" t="s">
        <v>830</v>
      </c>
      <c r="Q195" s="85" t="s">
        <v>47</v>
      </c>
      <c r="R195" s="214" t="s">
        <v>1869</v>
      </c>
      <c r="S195" s="214" t="s">
        <v>1861</v>
      </c>
      <c r="T195" s="85" t="s">
        <v>1491</v>
      </c>
      <c r="U195" t="s">
        <v>1953</v>
      </c>
      <c r="V195" t="s">
        <v>2813</v>
      </c>
    </row>
    <row r="196" spans="1:22" ht="15.75" thickBot="1" x14ac:dyDescent="0.3">
      <c r="A196" s="82" t="s">
        <v>3474</v>
      </c>
      <c r="B196" s="82" t="str">
        <f t="shared" si="12"/>
        <v>Barraqueiro Transportes, S.A.</v>
      </c>
      <c r="C196" s="82" t="str">
        <f t="shared" ref="C196:C259" si="13">IF(A196=B196,B196,RIGHT(A196,LEN(A196)-LEN(B196)-3))</f>
        <v>Boa Viagem</v>
      </c>
      <c r="D196" s="83" t="s">
        <v>629</v>
      </c>
      <c r="E196" s="91" t="s">
        <v>1853</v>
      </c>
      <c r="F196" s="124" t="s">
        <v>620</v>
      </c>
      <c r="G196" s="304">
        <v>2005</v>
      </c>
      <c r="H196" s="312" t="s">
        <v>732</v>
      </c>
      <c r="I196" s="307" t="str">
        <f t="shared" ref="I196:I259" si="14">D196&amp;": "&amp;E196&amp;" : "&amp;F196&amp;" : "&amp;H196</f>
        <v>Pesado de Passageiros M3: III : Gasóleo : E3</v>
      </c>
      <c r="J196" s="125">
        <v>86</v>
      </c>
      <c r="K196" s="125">
        <v>2022</v>
      </c>
      <c r="L196" s="85">
        <v>16083.529999999999</v>
      </c>
      <c r="M196" s="85" t="s">
        <v>630</v>
      </c>
      <c r="N196" s="128">
        <v>41213</v>
      </c>
      <c r="O196" s="128">
        <f t="shared" ref="O196:O259" si="15">N196*J196</f>
        <v>3544318</v>
      </c>
      <c r="P196" s="125" t="s">
        <v>831</v>
      </c>
      <c r="Q196" s="85" t="s">
        <v>47</v>
      </c>
      <c r="R196" s="214" t="s">
        <v>1869</v>
      </c>
      <c r="S196" s="214" t="s">
        <v>1861</v>
      </c>
      <c r="T196" s="85" t="s">
        <v>1491</v>
      </c>
      <c r="U196" t="s">
        <v>1953</v>
      </c>
      <c r="V196" t="s">
        <v>2813</v>
      </c>
    </row>
    <row r="197" spans="1:22" ht="15.75" thickBot="1" x14ac:dyDescent="0.3">
      <c r="A197" s="82" t="s">
        <v>3474</v>
      </c>
      <c r="B197" s="82" t="str">
        <f t="shared" si="12"/>
        <v>Barraqueiro Transportes, S.A.</v>
      </c>
      <c r="C197" s="82" t="str">
        <f t="shared" si="13"/>
        <v>Boa Viagem</v>
      </c>
      <c r="D197" s="83" t="s">
        <v>629</v>
      </c>
      <c r="E197" s="91" t="s">
        <v>1853</v>
      </c>
      <c r="F197" s="124" t="s">
        <v>620</v>
      </c>
      <c r="G197" s="304">
        <v>1995</v>
      </c>
      <c r="H197" s="312" t="s">
        <v>736</v>
      </c>
      <c r="I197" s="307" t="str">
        <f t="shared" si="14"/>
        <v>Pesado de Passageiros M3: III : Gasóleo : E1</v>
      </c>
      <c r="J197" s="125">
        <v>70</v>
      </c>
      <c r="K197" s="125">
        <v>2022</v>
      </c>
      <c r="L197" s="85">
        <v>9468.7799999999988</v>
      </c>
      <c r="M197" s="85" t="s">
        <v>630</v>
      </c>
      <c r="N197" s="128">
        <v>26497</v>
      </c>
      <c r="O197" s="128">
        <f t="shared" si="15"/>
        <v>1854790</v>
      </c>
      <c r="P197" s="125" t="s">
        <v>832</v>
      </c>
      <c r="Q197" s="85" t="s">
        <v>47</v>
      </c>
      <c r="R197" s="214" t="s">
        <v>1869</v>
      </c>
      <c r="S197" s="214" t="s">
        <v>1861</v>
      </c>
      <c r="T197" s="85" t="s">
        <v>1491</v>
      </c>
      <c r="U197" t="s">
        <v>1953</v>
      </c>
      <c r="V197" t="s">
        <v>2813</v>
      </c>
    </row>
    <row r="198" spans="1:22" ht="15.75" thickBot="1" x14ac:dyDescent="0.3">
      <c r="A198" s="82" t="s">
        <v>3474</v>
      </c>
      <c r="B198" s="82" t="str">
        <f t="shared" si="12"/>
        <v>Barraqueiro Transportes, S.A.</v>
      </c>
      <c r="C198" s="82" t="str">
        <f t="shared" si="13"/>
        <v>Boa Viagem</v>
      </c>
      <c r="D198" s="83" t="s">
        <v>629</v>
      </c>
      <c r="E198" s="91" t="s">
        <v>1853</v>
      </c>
      <c r="F198" s="124" t="s">
        <v>620</v>
      </c>
      <c r="G198" s="304">
        <v>2006</v>
      </c>
      <c r="H198" s="312" t="s">
        <v>731</v>
      </c>
      <c r="I198" s="307" t="str">
        <f t="shared" si="14"/>
        <v>Pesado de Passageiros M3: III : Gasóleo : E4</v>
      </c>
      <c r="J198" s="125">
        <v>55</v>
      </c>
      <c r="K198" s="125">
        <v>2022</v>
      </c>
      <c r="L198" s="85">
        <v>6109</v>
      </c>
      <c r="M198" s="85" t="s">
        <v>630</v>
      </c>
      <c r="N198" s="128">
        <v>15581</v>
      </c>
      <c r="O198" s="128">
        <f t="shared" si="15"/>
        <v>856955</v>
      </c>
      <c r="P198" s="125" t="s">
        <v>833</v>
      </c>
      <c r="Q198" s="85" t="s">
        <v>47</v>
      </c>
      <c r="R198" s="214" t="s">
        <v>1869</v>
      </c>
      <c r="S198" s="214" t="s">
        <v>1861</v>
      </c>
      <c r="T198" s="85" t="s">
        <v>1491</v>
      </c>
      <c r="U198" t="s">
        <v>1953</v>
      </c>
      <c r="V198" t="s">
        <v>2813</v>
      </c>
    </row>
    <row r="199" spans="1:22" ht="15.75" thickBot="1" x14ac:dyDescent="0.3">
      <c r="A199" s="82" t="s">
        <v>3474</v>
      </c>
      <c r="B199" s="82" t="str">
        <f t="shared" si="12"/>
        <v>Barraqueiro Transportes, S.A.</v>
      </c>
      <c r="C199" s="82" t="str">
        <f t="shared" si="13"/>
        <v>Boa Viagem</v>
      </c>
      <c r="D199" s="83" t="s">
        <v>629</v>
      </c>
      <c r="E199" s="91" t="s">
        <v>1853</v>
      </c>
      <c r="F199" s="124" t="s">
        <v>620</v>
      </c>
      <c r="G199" s="304">
        <v>2008</v>
      </c>
      <c r="H199" s="312" t="s">
        <v>731</v>
      </c>
      <c r="I199" s="307" t="str">
        <f t="shared" si="14"/>
        <v>Pesado de Passageiros M3: III : Gasóleo : E4</v>
      </c>
      <c r="J199" s="125">
        <v>35</v>
      </c>
      <c r="K199" s="125">
        <v>2022</v>
      </c>
      <c r="L199" s="85">
        <v>5870.3099999999995</v>
      </c>
      <c r="M199" s="85" t="s">
        <v>630</v>
      </c>
      <c r="N199" s="128">
        <v>18513</v>
      </c>
      <c r="O199" s="128">
        <f t="shared" si="15"/>
        <v>647955</v>
      </c>
      <c r="P199" s="125" t="s">
        <v>834</v>
      </c>
      <c r="Q199" s="85" t="s">
        <v>47</v>
      </c>
      <c r="R199" s="214" t="s">
        <v>1869</v>
      </c>
      <c r="S199" s="214" t="s">
        <v>1861</v>
      </c>
      <c r="T199" s="85" t="s">
        <v>1491</v>
      </c>
      <c r="U199" t="s">
        <v>1953</v>
      </c>
      <c r="V199" t="s">
        <v>2813</v>
      </c>
    </row>
    <row r="200" spans="1:22" ht="15.75" thickBot="1" x14ac:dyDescent="0.3">
      <c r="A200" s="82" t="s">
        <v>3474</v>
      </c>
      <c r="B200" s="82" t="str">
        <f t="shared" si="12"/>
        <v>Barraqueiro Transportes, S.A.</v>
      </c>
      <c r="C200" s="82" t="str">
        <f t="shared" si="13"/>
        <v>Boa Viagem</v>
      </c>
      <c r="D200" s="83" t="s">
        <v>629</v>
      </c>
      <c r="E200" s="91" t="s">
        <v>1853</v>
      </c>
      <c r="F200" s="124" t="s">
        <v>620</v>
      </c>
      <c r="G200" s="304">
        <v>2010</v>
      </c>
      <c r="H200" s="312" t="s">
        <v>734</v>
      </c>
      <c r="I200" s="307" t="str">
        <f t="shared" si="14"/>
        <v>Pesado de Passageiros M3: III : Gasóleo : E5</v>
      </c>
      <c r="J200" s="125">
        <v>35</v>
      </c>
      <c r="K200" s="125">
        <v>2022</v>
      </c>
      <c r="L200" s="85">
        <v>13188.7</v>
      </c>
      <c r="M200" s="85" t="s">
        <v>630</v>
      </c>
      <c r="N200" s="128">
        <v>42253</v>
      </c>
      <c r="O200" s="128">
        <f t="shared" si="15"/>
        <v>1478855</v>
      </c>
      <c r="P200" s="125" t="s">
        <v>835</v>
      </c>
      <c r="Q200" s="85" t="s">
        <v>47</v>
      </c>
      <c r="R200" s="214" t="s">
        <v>1869</v>
      </c>
      <c r="S200" s="214" t="s">
        <v>1861</v>
      </c>
      <c r="T200" s="85" t="s">
        <v>1491</v>
      </c>
      <c r="U200" t="s">
        <v>1953</v>
      </c>
      <c r="V200" t="s">
        <v>2813</v>
      </c>
    </row>
    <row r="201" spans="1:22" ht="15.75" thickBot="1" x14ac:dyDescent="0.3">
      <c r="A201" s="82" t="s">
        <v>3474</v>
      </c>
      <c r="B201" s="82" t="str">
        <f t="shared" si="12"/>
        <v>Barraqueiro Transportes, S.A.</v>
      </c>
      <c r="C201" s="82" t="str">
        <f t="shared" si="13"/>
        <v>Boa Viagem</v>
      </c>
      <c r="D201" s="83" t="s">
        <v>629</v>
      </c>
      <c r="E201" s="91" t="s">
        <v>1853</v>
      </c>
      <c r="F201" s="124" t="s">
        <v>620</v>
      </c>
      <c r="G201" s="304">
        <v>2010</v>
      </c>
      <c r="H201" s="312" t="s">
        <v>734</v>
      </c>
      <c r="I201" s="307" t="str">
        <f t="shared" si="14"/>
        <v>Pesado de Passageiros M3: III : Gasóleo : E5</v>
      </c>
      <c r="J201" s="125">
        <v>35</v>
      </c>
      <c r="K201" s="125">
        <v>2022</v>
      </c>
      <c r="L201" s="85">
        <v>4673.18</v>
      </c>
      <c r="M201" s="85" t="s">
        <v>630</v>
      </c>
      <c r="N201" s="128">
        <v>14624</v>
      </c>
      <c r="O201" s="128">
        <f t="shared" si="15"/>
        <v>511840</v>
      </c>
      <c r="P201" s="125" t="s">
        <v>836</v>
      </c>
      <c r="Q201" s="85" t="s">
        <v>47</v>
      </c>
      <c r="R201" s="214" t="s">
        <v>1869</v>
      </c>
      <c r="S201" s="214" t="s">
        <v>1861</v>
      </c>
      <c r="T201" s="85" t="s">
        <v>1491</v>
      </c>
      <c r="U201" t="s">
        <v>1953</v>
      </c>
      <c r="V201" t="s">
        <v>2813</v>
      </c>
    </row>
    <row r="202" spans="1:22" ht="15.75" thickBot="1" x14ac:dyDescent="0.3">
      <c r="A202" s="82" t="s">
        <v>3474</v>
      </c>
      <c r="B202" s="82" t="str">
        <f t="shared" si="12"/>
        <v>Barraqueiro Transportes, S.A.</v>
      </c>
      <c r="C202" s="82" t="str">
        <f t="shared" si="13"/>
        <v>Boa Viagem</v>
      </c>
      <c r="D202" s="83" t="s">
        <v>629</v>
      </c>
      <c r="E202" s="91" t="s">
        <v>1853</v>
      </c>
      <c r="F202" s="124" t="s">
        <v>620</v>
      </c>
      <c r="G202" s="304">
        <v>2001</v>
      </c>
      <c r="H202" s="312" t="s">
        <v>732</v>
      </c>
      <c r="I202" s="307" t="str">
        <f t="shared" si="14"/>
        <v>Pesado de Passageiros M3: III : Gasóleo : E3</v>
      </c>
      <c r="J202" s="125">
        <v>55</v>
      </c>
      <c r="K202" s="125">
        <v>2022</v>
      </c>
      <c r="L202" s="85">
        <v>14951.09</v>
      </c>
      <c r="M202" s="85" t="s">
        <v>630</v>
      </c>
      <c r="N202" s="128">
        <v>39500</v>
      </c>
      <c r="O202" s="128">
        <f t="shared" si="15"/>
        <v>2172500</v>
      </c>
      <c r="P202" s="125" t="s">
        <v>837</v>
      </c>
      <c r="Q202" s="85" t="s">
        <v>47</v>
      </c>
      <c r="R202" s="214" t="s">
        <v>1869</v>
      </c>
      <c r="S202" s="214" t="s">
        <v>1861</v>
      </c>
      <c r="T202" s="85" t="s">
        <v>1491</v>
      </c>
      <c r="U202" t="s">
        <v>1953</v>
      </c>
      <c r="V202" t="s">
        <v>2813</v>
      </c>
    </row>
    <row r="203" spans="1:22" ht="15.75" thickBot="1" x14ac:dyDescent="0.3">
      <c r="A203" s="82" t="s">
        <v>3474</v>
      </c>
      <c r="B203" s="82" t="str">
        <f t="shared" si="12"/>
        <v>Barraqueiro Transportes, S.A.</v>
      </c>
      <c r="C203" s="82" t="str">
        <f t="shared" si="13"/>
        <v>Boa Viagem</v>
      </c>
      <c r="D203" s="83" t="s">
        <v>629</v>
      </c>
      <c r="E203" s="91" t="s">
        <v>1853</v>
      </c>
      <c r="F203" s="124" t="s">
        <v>620</v>
      </c>
      <c r="G203" s="304">
        <v>2001</v>
      </c>
      <c r="H203" s="312" t="s">
        <v>732</v>
      </c>
      <c r="I203" s="307" t="str">
        <f t="shared" si="14"/>
        <v>Pesado de Passageiros M3: III : Gasóleo : E3</v>
      </c>
      <c r="J203" s="125">
        <v>55</v>
      </c>
      <c r="K203" s="125">
        <v>2022</v>
      </c>
      <c r="L203" s="85">
        <v>4591.04</v>
      </c>
      <c r="M203" s="85" t="s">
        <v>630</v>
      </c>
      <c r="N203" s="128">
        <v>11894</v>
      </c>
      <c r="O203" s="128">
        <f t="shared" si="15"/>
        <v>654170</v>
      </c>
      <c r="P203" s="125" t="s">
        <v>838</v>
      </c>
      <c r="Q203" s="85" t="s">
        <v>47</v>
      </c>
      <c r="R203" s="214" t="s">
        <v>1869</v>
      </c>
      <c r="S203" s="214" t="s">
        <v>1861</v>
      </c>
      <c r="T203" s="85" t="s">
        <v>1491</v>
      </c>
      <c r="U203" t="s">
        <v>1953</v>
      </c>
      <c r="V203" t="s">
        <v>2813</v>
      </c>
    </row>
    <row r="204" spans="1:22" ht="15.75" thickBot="1" x14ac:dyDescent="0.3">
      <c r="A204" s="82" t="s">
        <v>3474</v>
      </c>
      <c r="B204" s="82" t="str">
        <f t="shared" si="12"/>
        <v>Barraqueiro Transportes, S.A.</v>
      </c>
      <c r="C204" s="82" t="str">
        <f t="shared" si="13"/>
        <v>Boa Viagem</v>
      </c>
      <c r="D204" s="83" t="s">
        <v>629</v>
      </c>
      <c r="E204" s="91" t="s">
        <v>1853</v>
      </c>
      <c r="F204" s="124" t="s">
        <v>620</v>
      </c>
      <c r="G204" s="304">
        <v>2001</v>
      </c>
      <c r="H204" s="312" t="s">
        <v>732</v>
      </c>
      <c r="I204" s="307" t="str">
        <f t="shared" si="14"/>
        <v>Pesado de Passageiros M3: III : Gasóleo : E3</v>
      </c>
      <c r="J204" s="125">
        <v>55</v>
      </c>
      <c r="K204" s="125">
        <v>2022</v>
      </c>
      <c r="L204" s="85">
        <v>11715.32</v>
      </c>
      <c r="M204" s="85" t="s">
        <v>630</v>
      </c>
      <c r="N204" s="128">
        <v>29899</v>
      </c>
      <c r="O204" s="128">
        <f t="shared" si="15"/>
        <v>1644445</v>
      </c>
      <c r="P204" s="125" t="s">
        <v>839</v>
      </c>
      <c r="Q204" s="85" t="s">
        <v>47</v>
      </c>
      <c r="R204" s="214" t="s">
        <v>1869</v>
      </c>
      <c r="S204" s="214" t="s">
        <v>1861</v>
      </c>
      <c r="T204" s="85" t="s">
        <v>1491</v>
      </c>
      <c r="U204" t="s">
        <v>1953</v>
      </c>
      <c r="V204" t="s">
        <v>2813</v>
      </c>
    </row>
    <row r="205" spans="1:22" ht="15.75" thickBot="1" x14ac:dyDescent="0.3">
      <c r="A205" s="82" t="s">
        <v>3474</v>
      </c>
      <c r="B205" s="82" t="str">
        <f t="shared" si="12"/>
        <v>Barraqueiro Transportes, S.A.</v>
      </c>
      <c r="C205" s="82" t="str">
        <f t="shared" si="13"/>
        <v>Boa Viagem</v>
      </c>
      <c r="D205" s="83" t="s">
        <v>629</v>
      </c>
      <c r="E205" s="91" t="s">
        <v>1853</v>
      </c>
      <c r="F205" s="124" t="s">
        <v>620</v>
      </c>
      <c r="G205" s="304">
        <v>2000</v>
      </c>
      <c r="H205" s="312" t="s">
        <v>735</v>
      </c>
      <c r="I205" s="307" t="str">
        <f t="shared" si="14"/>
        <v>Pesado de Passageiros M3: III : Gasóleo : E2</v>
      </c>
      <c r="J205" s="125">
        <v>51</v>
      </c>
      <c r="K205" s="125">
        <v>2022</v>
      </c>
      <c r="L205" s="85">
        <v>13542.309999999998</v>
      </c>
      <c r="M205" s="85" t="s">
        <v>630</v>
      </c>
      <c r="N205" s="128">
        <v>36835</v>
      </c>
      <c r="O205" s="128">
        <f t="shared" si="15"/>
        <v>1878585</v>
      </c>
      <c r="P205" s="125" t="s">
        <v>840</v>
      </c>
      <c r="Q205" s="85" t="s">
        <v>47</v>
      </c>
      <c r="R205" s="214" t="s">
        <v>1869</v>
      </c>
      <c r="S205" s="214" t="s">
        <v>1861</v>
      </c>
      <c r="T205" s="85" t="s">
        <v>1491</v>
      </c>
      <c r="U205" t="s">
        <v>1953</v>
      </c>
      <c r="V205" t="s">
        <v>2813</v>
      </c>
    </row>
    <row r="206" spans="1:22" ht="15.75" thickBot="1" x14ac:dyDescent="0.3">
      <c r="A206" s="82" t="s">
        <v>3474</v>
      </c>
      <c r="B206" s="82" t="str">
        <f t="shared" si="12"/>
        <v>Barraqueiro Transportes, S.A.</v>
      </c>
      <c r="C206" s="82" t="str">
        <f t="shared" si="13"/>
        <v>Boa Viagem</v>
      </c>
      <c r="D206" s="83" t="s">
        <v>629</v>
      </c>
      <c r="E206" s="91" t="s">
        <v>1853</v>
      </c>
      <c r="F206" s="124" t="s">
        <v>620</v>
      </c>
      <c r="G206" s="304">
        <v>2005</v>
      </c>
      <c r="H206" s="312" t="s">
        <v>732</v>
      </c>
      <c r="I206" s="307" t="str">
        <f t="shared" si="14"/>
        <v>Pesado de Passageiros M3: III : Gasóleo : E3</v>
      </c>
      <c r="J206" s="125">
        <v>66</v>
      </c>
      <c r="K206" s="125">
        <v>2022</v>
      </c>
      <c r="L206" s="85">
        <v>15823.76</v>
      </c>
      <c r="M206" s="85" t="s">
        <v>630</v>
      </c>
      <c r="N206" s="128">
        <v>42623</v>
      </c>
      <c r="O206" s="128">
        <f t="shared" si="15"/>
        <v>2813118</v>
      </c>
      <c r="P206" s="125" t="s">
        <v>841</v>
      </c>
      <c r="Q206" s="85" t="s">
        <v>47</v>
      </c>
      <c r="R206" s="214" t="s">
        <v>1869</v>
      </c>
      <c r="S206" s="214" t="s">
        <v>1861</v>
      </c>
      <c r="T206" s="85" t="s">
        <v>1491</v>
      </c>
      <c r="U206" t="s">
        <v>1953</v>
      </c>
      <c r="V206" t="s">
        <v>2813</v>
      </c>
    </row>
    <row r="207" spans="1:22" ht="15.75" thickBot="1" x14ac:dyDescent="0.3">
      <c r="A207" s="82" t="s">
        <v>3474</v>
      </c>
      <c r="B207" s="82" t="str">
        <f t="shared" si="12"/>
        <v>Barraqueiro Transportes, S.A.</v>
      </c>
      <c r="C207" s="82" t="str">
        <f t="shared" si="13"/>
        <v>Boa Viagem</v>
      </c>
      <c r="D207" s="83" t="s">
        <v>629</v>
      </c>
      <c r="E207" s="91" t="s">
        <v>1853</v>
      </c>
      <c r="F207" s="124" t="s">
        <v>620</v>
      </c>
      <c r="G207" s="304">
        <v>2004</v>
      </c>
      <c r="H207" s="312" t="s">
        <v>732</v>
      </c>
      <c r="I207" s="307" t="str">
        <f t="shared" si="14"/>
        <v>Pesado de Passageiros M3: III : Gasóleo : E3</v>
      </c>
      <c r="J207" s="125">
        <v>53</v>
      </c>
      <c r="K207" s="125">
        <v>2022</v>
      </c>
      <c r="L207" s="85">
        <v>13774.29</v>
      </c>
      <c r="M207" s="85" t="s">
        <v>630</v>
      </c>
      <c r="N207" s="128">
        <v>38614</v>
      </c>
      <c r="O207" s="128">
        <f t="shared" si="15"/>
        <v>2046542</v>
      </c>
      <c r="P207" s="125" t="s">
        <v>842</v>
      </c>
      <c r="Q207" s="85" t="s">
        <v>47</v>
      </c>
      <c r="R207" s="214" t="s">
        <v>1869</v>
      </c>
      <c r="S207" s="214" t="s">
        <v>1861</v>
      </c>
      <c r="T207" s="85" t="s">
        <v>1491</v>
      </c>
      <c r="U207" t="s">
        <v>1953</v>
      </c>
      <c r="V207" t="s">
        <v>2813</v>
      </c>
    </row>
    <row r="208" spans="1:22" ht="15.75" thickBot="1" x14ac:dyDescent="0.3">
      <c r="A208" s="82" t="s">
        <v>3474</v>
      </c>
      <c r="B208" s="82" t="str">
        <f t="shared" si="12"/>
        <v>Barraqueiro Transportes, S.A.</v>
      </c>
      <c r="C208" s="82" t="str">
        <f t="shared" si="13"/>
        <v>Boa Viagem</v>
      </c>
      <c r="D208" s="83" t="s">
        <v>629</v>
      </c>
      <c r="E208" s="91" t="s">
        <v>1853</v>
      </c>
      <c r="F208" s="124" t="s">
        <v>620</v>
      </c>
      <c r="G208" s="304">
        <v>2004</v>
      </c>
      <c r="H208" s="312" t="s">
        <v>732</v>
      </c>
      <c r="I208" s="307" t="str">
        <f t="shared" si="14"/>
        <v>Pesado de Passageiros M3: III : Gasóleo : E3</v>
      </c>
      <c r="J208" s="125">
        <v>49</v>
      </c>
      <c r="K208" s="125">
        <v>2022</v>
      </c>
      <c r="L208" s="85">
        <v>11512.480000000001</v>
      </c>
      <c r="M208" s="85" t="s">
        <v>630</v>
      </c>
      <c r="N208" s="128">
        <v>29365</v>
      </c>
      <c r="O208" s="128">
        <f t="shared" si="15"/>
        <v>1438885</v>
      </c>
      <c r="P208" s="125" t="s">
        <v>843</v>
      </c>
      <c r="Q208" s="85" t="s">
        <v>47</v>
      </c>
      <c r="R208" s="214" t="s">
        <v>1869</v>
      </c>
      <c r="S208" s="214" t="s">
        <v>1861</v>
      </c>
      <c r="T208" s="85" t="s">
        <v>1491</v>
      </c>
      <c r="U208" t="s">
        <v>1953</v>
      </c>
      <c r="V208" t="s">
        <v>2813</v>
      </c>
    </row>
    <row r="209" spans="1:22" ht="15.75" thickBot="1" x14ac:dyDescent="0.3">
      <c r="A209" s="82" t="s">
        <v>3474</v>
      </c>
      <c r="B209" s="82" t="str">
        <f t="shared" si="12"/>
        <v>Barraqueiro Transportes, S.A.</v>
      </c>
      <c r="C209" s="82" t="str">
        <f t="shared" si="13"/>
        <v>Boa Viagem</v>
      </c>
      <c r="D209" s="83" t="s">
        <v>629</v>
      </c>
      <c r="E209" s="91" t="s">
        <v>1853</v>
      </c>
      <c r="F209" s="124" t="s">
        <v>620</v>
      </c>
      <c r="G209" s="304">
        <v>2004</v>
      </c>
      <c r="H209" s="312" t="s">
        <v>732</v>
      </c>
      <c r="I209" s="307" t="str">
        <f t="shared" si="14"/>
        <v>Pesado de Passageiros M3: III : Gasóleo : E3</v>
      </c>
      <c r="J209" s="125">
        <v>55</v>
      </c>
      <c r="K209" s="125">
        <v>2022</v>
      </c>
      <c r="L209" s="85">
        <v>15196.119999999999</v>
      </c>
      <c r="M209" s="85" t="s">
        <v>630</v>
      </c>
      <c r="N209" s="128">
        <v>37619</v>
      </c>
      <c r="O209" s="128">
        <f t="shared" si="15"/>
        <v>2069045</v>
      </c>
      <c r="P209" s="125" t="s">
        <v>844</v>
      </c>
      <c r="Q209" s="85" t="s">
        <v>47</v>
      </c>
      <c r="R209" s="214" t="s">
        <v>1869</v>
      </c>
      <c r="S209" s="214" t="s">
        <v>1861</v>
      </c>
      <c r="T209" s="85" t="s">
        <v>1491</v>
      </c>
      <c r="U209" t="s">
        <v>1953</v>
      </c>
      <c r="V209" t="s">
        <v>2813</v>
      </c>
    </row>
    <row r="210" spans="1:22" ht="15.75" thickBot="1" x14ac:dyDescent="0.3">
      <c r="A210" s="82" t="s">
        <v>3474</v>
      </c>
      <c r="B210" s="82" t="str">
        <f t="shared" si="12"/>
        <v>Barraqueiro Transportes, S.A.</v>
      </c>
      <c r="C210" s="82" t="str">
        <f t="shared" si="13"/>
        <v>Boa Viagem</v>
      </c>
      <c r="D210" s="83" t="s">
        <v>629</v>
      </c>
      <c r="E210" s="91" t="s">
        <v>1853</v>
      </c>
      <c r="F210" s="124" t="s">
        <v>620</v>
      </c>
      <c r="G210" s="304">
        <v>2004</v>
      </c>
      <c r="H210" s="312" t="s">
        <v>732</v>
      </c>
      <c r="I210" s="307" t="str">
        <f t="shared" si="14"/>
        <v>Pesado de Passageiros M3: III : Gasóleo : E3</v>
      </c>
      <c r="J210" s="125">
        <v>55</v>
      </c>
      <c r="K210" s="125">
        <v>2022</v>
      </c>
      <c r="L210" s="85">
        <v>12880.480000000001</v>
      </c>
      <c r="M210" s="85" t="s">
        <v>630</v>
      </c>
      <c r="N210" s="128">
        <v>32223</v>
      </c>
      <c r="O210" s="128">
        <f t="shared" si="15"/>
        <v>1772265</v>
      </c>
      <c r="P210" s="125" t="s">
        <v>845</v>
      </c>
      <c r="Q210" s="85" t="s">
        <v>47</v>
      </c>
      <c r="R210" s="214" t="s">
        <v>1869</v>
      </c>
      <c r="S210" s="214" t="s">
        <v>1861</v>
      </c>
      <c r="T210" s="85" t="s">
        <v>1491</v>
      </c>
      <c r="U210" t="s">
        <v>1953</v>
      </c>
      <c r="V210" t="s">
        <v>2813</v>
      </c>
    </row>
    <row r="211" spans="1:22" ht="15.75" thickBot="1" x14ac:dyDescent="0.3">
      <c r="A211" s="82" t="s">
        <v>3474</v>
      </c>
      <c r="B211" s="82" t="str">
        <f t="shared" si="12"/>
        <v>Barraqueiro Transportes, S.A.</v>
      </c>
      <c r="C211" s="82" t="str">
        <f t="shared" si="13"/>
        <v>Boa Viagem</v>
      </c>
      <c r="D211" s="83" t="s">
        <v>629</v>
      </c>
      <c r="E211" s="91" t="s">
        <v>1853</v>
      </c>
      <c r="F211" s="124" t="s">
        <v>620</v>
      </c>
      <c r="G211" s="304">
        <v>2005</v>
      </c>
      <c r="H211" s="312" t="s">
        <v>732</v>
      </c>
      <c r="I211" s="307" t="str">
        <f t="shared" si="14"/>
        <v>Pesado de Passageiros M3: III : Gasóleo : E3</v>
      </c>
      <c r="J211" s="125">
        <v>66</v>
      </c>
      <c r="K211" s="125">
        <v>2022</v>
      </c>
      <c r="L211" s="85">
        <v>8322.39</v>
      </c>
      <c r="M211" s="85" t="s">
        <v>630</v>
      </c>
      <c r="N211" s="128">
        <v>23301</v>
      </c>
      <c r="O211" s="128">
        <f t="shared" si="15"/>
        <v>1537866</v>
      </c>
      <c r="P211" s="125" t="s">
        <v>846</v>
      </c>
      <c r="Q211" s="85" t="s">
        <v>47</v>
      </c>
      <c r="R211" s="214" t="s">
        <v>1869</v>
      </c>
      <c r="S211" s="214" t="s">
        <v>1861</v>
      </c>
      <c r="T211" s="85" t="s">
        <v>1491</v>
      </c>
      <c r="U211" t="s">
        <v>1953</v>
      </c>
      <c r="V211" t="s">
        <v>2813</v>
      </c>
    </row>
    <row r="212" spans="1:22" ht="15.75" thickBot="1" x14ac:dyDescent="0.3">
      <c r="A212" s="82" t="s">
        <v>3474</v>
      </c>
      <c r="B212" s="82" t="str">
        <f t="shared" si="12"/>
        <v>Barraqueiro Transportes, S.A.</v>
      </c>
      <c r="C212" s="82" t="str">
        <f t="shared" si="13"/>
        <v>Boa Viagem</v>
      </c>
      <c r="D212" s="83" t="s">
        <v>629</v>
      </c>
      <c r="E212" s="91" t="s">
        <v>1853</v>
      </c>
      <c r="F212" s="124" t="s">
        <v>620</v>
      </c>
      <c r="G212" s="304">
        <v>2005</v>
      </c>
      <c r="H212" s="312" t="s">
        <v>732</v>
      </c>
      <c r="I212" s="307" t="str">
        <f t="shared" si="14"/>
        <v>Pesado de Passageiros M3: III : Gasóleo : E3</v>
      </c>
      <c r="J212" s="125">
        <v>37</v>
      </c>
      <c r="K212" s="125">
        <v>2022</v>
      </c>
      <c r="L212" s="85">
        <v>19124.299999999996</v>
      </c>
      <c r="M212" s="85" t="s">
        <v>630</v>
      </c>
      <c r="N212" s="128">
        <v>51903</v>
      </c>
      <c r="O212" s="128">
        <f t="shared" si="15"/>
        <v>1920411</v>
      </c>
      <c r="P212" s="125" t="s">
        <v>847</v>
      </c>
      <c r="Q212" s="85" t="s">
        <v>47</v>
      </c>
      <c r="R212" s="214" t="s">
        <v>1869</v>
      </c>
      <c r="S212" s="214" t="s">
        <v>1861</v>
      </c>
      <c r="T212" s="85" t="s">
        <v>1491</v>
      </c>
      <c r="U212" t="s">
        <v>1953</v>
      </c>
      <c r="V212" t="s">
        <v>2813</v>
      </c>
    </row>
    <row r="213" spans="1:22" ht="15.75" thickBot="1" x14ac:dyDescent="0.3">
      <c r="A213" s="82" t="s">
        <v>3474</v>
      </c>
      <c r="B213" s="82" t="str">
        <f t="shared" si="12"/>
        <v>Barraqueiro Transportes, S.A.</v>
      </c>
      <c r="C213" s="82" t="str">
        <f t="shared" si="13"/>
        <v>Boa Viagem</v>
      </c>
      <c r="D213" s="83" t="s">
        <v>629</v>
      </c>
      <c r="E213" s="91" t="s">
        <v>1853</v>
      </c>
      <c r="F213" s="124" t="s">
        <v>620</v>
      </c>
      <c r="G213" s="304">
        <v>2005</v>
      </c>
      <c r="H213" s="312" t="s">
        <v>732</v>
      </c>
      <c r="I213" s="307" t="str">
        <f t="shared" si="14"/>
        <v>Pesado de Passageiros M3: III : Gasóleo : E3</v>
      </c>
      <c r="J213" s="125">
        <v>37</v>
      </c>
      <c r="K213" s="125">
        <v>2022</v>
      </c>
      <c r="L213" s="85">
        <v>14291.93</v>
      </c>
      <c r="M213" s="85" t="s">
        <v>630</v>
      </c>
      <c r="N213" s="128">
        <v>43254</v>
      </c>
      <c r="O213" s="128">
        <f t="shared" si="15"/>
        <v>1600398</v>
      </c>
      <c r="P213" s="125" t="s">
        <v>848</v>
      </c>
      <c r="Q213" s="85" t="s">
        <v>47</v>
      </c>
      <c r="R213" s="214" t="s">
        <v>1869</v>
      </c>
      <c r="S213" s="214" t="s">
        <v>1861</v>
      </c>
      <c r="T213" s="85" t="s">
        <v>1491</v>
      </c>
      <c r="U213" t="s">
        <v>1953</v>
      </c>
      <c r="V213" t="s">
        <v>2813</v>
      </c>
    </row>
    <row r="214" spans="1:22" ht="15.75" thickBot="1" x14ac:dyDescent="0.3">
      <c r="A214" s="82" t="s">
        <v>3474</v>
      </c>
      <c r="B214" s="82" t="str">
        <f t="shared" si="12"/>
        <v>Barraqueiro Transportes, S.A.</v>
      </c>
      <c r="C214" s="82" t="str">
        <f t="shared" si="13"/>
        <v>Boa Viagem</v>
      </c>
      <c r="D214" s="83" t="s">
        <v>629</v>
      </c>
      <c r="E214" s="91" t="s">
        <v>1853</v>
      </c>
      <c r="F214" s="124" t="s">
        <v>620</v>
      </c>
      <c r="G214" s="304">
        <v>2005</v>
      </c>
      <c r="H214" s="312" t="s">
        <v>732</v>
      </c>
      <c r="I214" s="307" t="str">
        <f t="shared" si="14"/>
        <v>Pesado de Passageiros M3: III : Gasóleo : E3</v>
      </c>
      <c r="J214" s="125">
        <v>37</v>
      </c>
      <c r="K214" s="125">
        <v>2022</v>
      </c>
      <c r="L214" s="85">
        <v>16712.95</v>
      </c>
      <c r="M214" s="85" t="s">
        <v>630</v>
      </c>
      <c r="N214" s="128">
        <v>48427</v>
      </c>
      <c r="O214" s="128">
        <f t="shared" si="15"/>
        <v>1791799</v>
      </c>
      <c r="P214" s="125" t="s">
        <v>849</v>
      </c>
      <c r="Q214" s="85" t="s">
        <v>47</v>
      </c>
      <c r="R214" s="214" t="s">
        <v>1869</v>
      </c>
      <c r="S214" s="214" t="s">
        <v>1861</v>
      </c>
      <c r="T214" s="85" t="s">
        <v>1491</v>
      </c>
      <c r="U214" t="s">
        <v>1953</v>
      </c>
      <c r="V214" t="s">
        <v>2813</v>
      </c>
    </row>
    <row r="215" spans="1:22" ht="15.75" thickBot="1" x14ac:dyDescent="0.3">
      <c r="A215" s="82" t="s">
        <v>3474</v>
      </c>
      <c r="B215" s="82" t="str">
        <f t="shared" si="12"/>
        <v>Barraqueiro Transportes, S.A.</v>
      </c>
      <c r="C215" s="82" t="str">
        <f t="shared" si="13"/>
        <v>Boa Viagem</v>
      </c>
      <c r="D215" s="83" t="s">
        <v>629</v>
      </c>
      <c r="E215" s="91" t="s">
        <v>1853</v>
      </c>
      <c r="F215" s="124" t="s">
        <v>620</v>
      </c>
      <c r="G215" s="304">
        <v>2005</v>
      </c>
      <c r="H215" s="312" t="s">
        <v>732</v>
      </c>
      <c r="I215" s="307" t="str">
        <f t="shared" si="14"/>
        <v>Pesado de Passageiros M3: III : Gasóleo : E3</v>
      </c>
      <c r="J215" s="125">
        <v>37</v>
      </c>
      <c r="K215" s="125">
        <v>2022</v>
      </c>
      <c r="L215" s="85">
        <v>13225.6</v>
      </c>
      <c r="M215" s="85" t="s">
        <v>630</v>
      </c>
      <c r="N215" s="128">
        <v>39219</v>
      </c>
      <c r="O215" s="128">
        <f t="shared" si="15"/>
        <v>1451103</v>
      </c>
      <c r="P215" s="125" t="s">
        <v>850</v>
      </c>
      <c r="Q215" s="85" t="s">
        <v>47</v>
      </c>
      <c r="R215" s="214" t="s">
        <v>1869</v>
      </c>
      <c r="S215" s="214" t="s">
        <v>1861</v>
      </c>
      <c r="T215" s="85" t="s">
        <v>1491</v>
      </c>
      <c r="U215" t="s">
        <v>1953</v>
      </c>
      <c r="V215" t="s">
        <v>2813</v>
      </c>
    </row>
    <row r="216" spans="1:22" ht="15.75" thickBot="1" x14ac:dyDescent="0.3">
      <c r="A216" s="82" t="s">
        <v>3474</v>
      </c>
      <c r="B216" s="82" t="str">
        <f t="shared" si="12"/>
        <v>Barraqueiro Transportes, S.A.</v>
      </c>
      <c r="C216" s="82" t="str">
        <f t="shared" si="13"/>
        <v>Boa Viagem</v>
      </c>
      <c r="D216" s="83" t="s">
        <v>629</v>
      </c>
      <c r="E216" s="91" t="s">
        <v>1853</v>
      </c>
      <c r="F216" s="124" t="s">
        <v>620</v>
      </c>
      <c r="G216" s="304">
        <v>2005</v>
      </c>
      <c r="H216" s="312" t="s">
        <v>732</v>
      </c>
      <c r="I216" s="307" t="str">
        <f t="shared" si="14"/>
        <v>Pesado de Passageiros M3: III : Gasóleo : E3</v>
      </c>
      <c r="J216" s="125">
        <v>37</v>
      </c>
      <c r="K216" s="125">
        <v>2022</v>
      </c>
      <c r="L216" s="85">
        <v>19825.165000000001</v>
      </c>
      <c r="M216" s="85" t="s">
        <v>630</v>
      </c>
      <c r="N216" s="128">
        <v>54312</v>
      </c>
      <c r="O216" s="128">
        <f t="shared" si="15"/>
        <v>2009544</v>
      </c>
      <c r="P216" s="125" t="s">
        <v>851</v>
      </c>
      <c r="Q216" s="85" t="s">
        <v>47</v>
      </c>
      <c r="R216" s="214" t="s">
        <v>1869</v>
      </c>
      <c r="S216" s="214" t="s">
        <v>1861</v>
      </c>
      <c r="T216" s="85" t="s">
        <v>1491</v>
      </c>
      <c r="U216" t="s">
        <v>1953</v>
      </c>
      <c r="V216" t="s">
        <v>2813</v>
      </c>
    </row>
    <row r="217" spans="1:22" ht="15.75" thickBot="1" x14ac:dyDescent="0.3">
      <c r="A217" s="82" t="s">
        <v>3474</v>
      </c>
      <c r="B217" s="82" t="str">
        <f t="shared" si="12"/>
        <v>Barraqueiro Transportes, S.A.</v>
      </c>
      <c r="C217" s="82" t="str">
        <f t="shared" si="13"/>
        <v>Boa Viagem</v>
      </c>
      <c r="D217" s="83" t="s">
        <v>629</v>
      </c>
      <c r="E217" s="91" t="s">
        <v>1853</v>
      </c>
      <c r="F217" s="124" t="s">
        <v>620</v>
      </c>
      <c r="G217" s="304">
        <v>2005</v>
      </c>
      <c r="H217" s="312" t="s">
        <v>732</v>
      </c>
      <c r="I217" s="307" t="str">
        <f t="shared" si="14"/>
        <v>Pesado de Passageiros M3: III : Gasóleo : E3</v>
      </c>
      <c r="J217" s="125">
        <v>37</v>
      </c>
      <c r="K217" s="125">
        <v>2022</v>
      </c>
      <c r="L217" s="85">
        <v>7526.4000000000005</v>
      </c>
      <c r="M217" s="85" t="s">
        <v>630</v>
      </c>
      <c r="N217" s="128">
        <v>20746</v>
      </c>
      <c r="O217" s="128">
        <f t="shared" si="15"/>
        <v>767602</v>
      </c>
      <c r="P217" s="125" t="s">
        <v>852</v>
      </c>
      <c r="Q217" s="85" t="s">
        <v>47</v>
      </c>
      <c r="R217" s="214" t="s">
        <v>1869</v>
      </c>
      <c r="S217" s="214" t="s">
        <v>1861</v>
      </c>
      <c r="T217" s="85" t="s">
        <v>1491</v>
      </c>
      <c r="U217" t="s">
        <v>1953</v>
      </c>
      <c r="V217" t="s">
        <v>2813</v>
      </c>
    </row>
    <row r="218" spans="1:22" ht="15.75" thickBot="1" x14ac:dyDescent="0.3">
      <c r="A218" s="82" t="s">
        <v>3474</v>
      </c>
      <c r="B218" s="82" t="str">
        <f t="shared" si="12"/>
        <v>Barraqueiro Transportes, S.A.</v>
      </c>
      <c r="C218" s="82" t="str">
        <f t="shared" si="13"/>
        <v>Boa Viagem</v>
      </c>
      <c r="D218" s="83" t="s">
        <v>629</v>
      </c>
      <c r="E218" s="91" t="s">
        <v>1853</v>
      </c>
      <c r="F218" s="124" t="s">
        <v>620</v>
      </c>
      <c r="G218" s="304">
        <v>2005</v>
      </c>
      <c r="H218" s="312" t="s">
        <v>732</v>
      </c>
      <c r="I218" s="307" t="str">
        <f t="shared" si="14"/>
        <v>Pesado de Passageiros M3: III : Gasóleo : E3</v>
      </c>
      <c r="J218" s="125">
        <v>37</v>
      </c>
      <c r="K218" s="125">
        <v>2022</v>
      </c>
      <c r="L218" s="85">
        <v>20046.690000000002</v>
      </c>
      <c r="M218" s="85" t="s">
        <v>630</v>
      </c>
      <c r="N218" s="128">
        <v>54544</v>
      </c>
      <c r="O218" s="128">
        <f t="shared" si="15"/>
        <v>2018128</v>
      </c>
      <c r="P218" s="125" t="s">
        <v>853</v>
      </c>
      <c r="Q218" s="85" t="s">
        <v>47</v>
      </c>
      <c r="R218" s="214" t="s">
        <v>1869</v>
      </c>
      <c r="S218" s="214" t="s">
        <v>1861</v>
      </c>
      <c r="T218" s="85" t="s">
        <v>1491</v>
      </c>
      <c r="U218" t="s">
        <v>1953</v>
      </c>
      <c r="V218" t="s">
        <v>2813</v>
      </c>
    </row>
    <row r="219" spans="1:22" ht="15.75" thickBot="1" x14ac:dyDescent="0.3">
      <c r="A219" s="82" t="s">
        <v>3474</v>
      </c>
      <c r="B219" s="82" t="str">
        <f t="shared" si="12"/>
        <v>Barraqueiro Transportes, S.A.</v>
      </c>
      <c r="C219" s="82" t="str">
        <f t="shared" si="13"/>
        <v>Boa Viagem</v>
      </c>
      <c r="D219" s="83" t="s">
        <v>629</v>
      </c>
      <c r="E219" s="91" t="s">
        <v>1853</v>
      </c>
      <c r="F219" s="124" t="s">
        <v>620</v>
      </c>
      <c r="G219" s="304">
        <v>2005</v>
      </c>
      <c r="H219" s="312" t="s">
        <v>732</v>
      </c>
      <c r="I219" s="307" t="str">
        <f t="shared" si="14"/>
        <v>Pesado de Passageiros M3: III : Gasóleo : E3</v>
      </c>
      <c r="J219" s="125">
        <v>37</v>
      </c>
      <c r="K219" s="125">
        <v>2022</v>
      </c>
      <c r="L219" s="85">
        <v>5491.9</v>
      </c>
      <c r="M219" s="85" t="s">
        <v>630</v>
      </c>
      <c r="N219" s="128">
        <v>16060</v>
      </c>
      <c r="O219" s="128">
        <f t="shared" si="15"/>
        <v>594220</v>
      </c>
      <c r="P219" s="125" t="s">
        <v>854</v>
      </c>
      <c r="Q219" s="85" t="s">
        <v>47</v>
      </c>
      <c r="R219" s="214" t="s">
        <v>1869</v>
      </c>
      <c r="S219" s="214" t="s">
        <v>1861</v>
      </c>
      <c r="T219" s="85" t="s">
        <v>1491</v>
      </c>
      <c r="U219" t="s">
        <v>1953</v>
      </c>
      <c r="V219" t="s">
        <v>2813</v>
      </c>
    </row>
    <row r="220" spans="1:22" ht="15.75" thickBot="1" x14ac:dyDescent="0.3">
      <c r="A220" s="82" t="s">
        <v>3474</v>
      </c>
      <c r="B220" s="82" t="str">
        <f t="shared" si="12"/>
        <v>Barraqueiro Transportes, S.A.</v>
      </c>
      <c r="C220" s="82" t="str">
        <f t="shared" si="13"/>
        <v>Boa Viagem</v>
      </c>
      <c r="D220" s="83" t="s">
        <v>629</v>
      </c>
      <c r="E220" s="91" t="s">
        <v>1853</v>
      </c>
      <c r="F220" s="124" t="s">
        <v>620</v>
      </c>
      <c r="G220" s="304">
        <v>2005</v>
      </c>
      <c r="H220" s="312" t="s">
        <v>732</v>
      </c>
      <c r="I220" s="307" t="str">
        <f t="shared" si="14"/>
        <v>Pesado de Passageiros M3: III : Gasóleo : E3</v>
      </c>
      <c r="J220" s="125">
        <v>37</v>
      </c>
      <c r="K220" s="125">
        <v>2022</v>
      </c>
      <c r="L220" s="85">
        <v>21956.990999999998</v>
      </c>
      <c r="M220" s="85" t="s">
        <v>630</v>
      </c>
      <c r="N220" s="128">
        <v>60348</v>
      </c>
      <c r="O220" s="128">
        <f t="shared" si="15"/>
        <v>2232876</v>
      </c>
      <c r="P220" s="125" t="s">
        <v>855</v>
      </c>
      <c r="Q220" s="85" t="s">
        <v>47</v>
      </c>
      <c r="R220" s="214" t="s">
        <v>1869</v>
      </c>
      <c r="S220" s="214" t="s">
        <v>1861</v>
      </c>
      <c r="T220" s="85" t="s">
        <v>1491</v>
      </c>
      <c r="U220" t="s">
        <v>1953</v>
      </c>
      <c r="V220" t="s">
        <v>2813</v>
      </c>
    </row>
    <row r="221" spans="1:22" ht="15.75" thickBot="1" x14ac:dyDescent="0.3">
      <c r="A221" s="82" t="s">
        <v>3474</v>
      </c>
      <c r="B221" s="82" t="str">
        <f t="shared" si="12"/>
        <v>Barraqueiro Transportes, S.A.</v>
      </c>
      <c r="C221" s="82" t="str">
        <f t="shared" si="13"/>
        <v>Boa Viagem</v>
      </c>
      <c r="D221" s="83" t="s">
        <v>629</v>
      </c>
      <c r="E221" s="91" t="s">
        <v>1853</v>
      </c>
      <c r="F221" s="124" t="s">
        <v>620</v>
      </c>
      <c r="G221" s="304">
        <v>2007</v>
      </c>
      <c r="H221" s="312" t="s">
        <v>731</v>
      </c>
      <c r="I221" s="307" t="str">
        <f t="shared" si="14"/>
        <v>Pesado de Passageiros M3: III : Gasóleo : E4</v>
      </c>
      <c r="J221" s="125">
        <v>55</v>
      </c>
      <c r="K221" s="125">
        <v>2022</v>
      </c>
      <c r="L221" s="85">
        <v>22187.574000000001</v>
      </c>
      <c r="M221" s="85" t="s">
        <v>630</v>
      </c>
      <c r="N221" s="128">
        <v>60977</v>
      </c>
      <c r="O221" s="128">
        <f t="shared" si="15"/>
        <v>3353735</v>
      </c>
      <c r="P221" s="125" t="s">
        <v>856</v>
      </c>
      <c r="Q221" s="85" t="s">
        <v>47</v>
      </c>
      <c r="R221" s="214" t="s">
        <v>1869</v>
      </c>
      <c r="S221" s="214" t="s">
        <v>1861</v>
      </c>
      <c r="T221" s="85" t="s">
        <v>1491</v>
      </c>
      <c r="U221" t="s">
        <v>1953</v>
      </c>
      <c r="V221" t="s">
        <v>2813</v>
      </c>
    </row>
    <row r="222" spans="1:22" ht="15.75" thickBot="1" x14ac:dyDescent="0.3">
      <c r="A222" s="82" t="s">
        <v>3474</v>
      </c>
      <c r="B222" s="82" t="str">
        <f t="shared" si="12"/>
        <v>Barraqueiro Transportes, S.A.</v>
      </c>
      <c r="C222" s="82" t="str">
        <f t="shared" si="13"/>
        <v>Boa Viagem</v>
      </c>
      <c r="D222" s="83" t="s">
        <v>629</v>
      </c>
      <c r="E222" s="91" t="s">
        <v>1853</v>
      </c>
      <c r="F222" s="124" t="s">
        <v>620</v>
      </c>
      <c r="G222" s="304">
        <v>2013</v>
      </c>
      <c r="H222" s="312" t="s">
        <v>733</v>
      </c>
      <c r="I222" s="307" t="str">
        <f t="shared" si="14"/>
        <v>Pesado de Passageiros M3: III : Gasóleo : E6</v>
      </c>
      <c r="J222" s="125">
        <v>53</v>
      </c>
      <c r="K222" s="125">
        <v>2022</v>
      </c>
      <c r="L222" s="85">
        <v>21644.26</v>
      </c>
      <c r="M222" s="85" t="s">
        <v>630</v>
      </c>
      <c r="N222" s="128">
        <v>62042</v>
      </c>
      <c r="O222" s="128">
        <f t="shared" si="15"/>
        <v>3288226</v>
      </c>
      <c r="P222" s="125" t="s">
        <v>857</v>
      </c>
      <c r="Q222" s="85" t="s">
        <v>47</v>
      </c>
      <c r="R222" s="214" t="s">
        <v>1869</v>
      </c>
      <c r="S222" s="214" t="s">
        <v>1861</v>
      </c>
      <c r="T222" s="85" t="s">
        <v>1491</v>
      </c>
      <c r="U222" t="s">
        <v>1953</v>
      </c>
      <c r="V222" t="s">
        <v>2813</v>
      </c>
    </row>
    <row r="223" spans="1:22" ht="15.75" thickBot="1" x14ac:dyDescent="0.3">
      <c r="A223" s="82" t="s">
        <v>3474</v>
      </c>
      <c r="B223" s="82" t="str">
        <f t="shared" si="12"/>
        <v>Barraqueiro Transportes, S.A.</v>
      </c>
      <c r="C223" s="82" t="str">
        <f t="shared" si="13"/>
        <v>Boa Viagem</v>
      </c>
      <c r="D223" s="83" t="s">
        <v>629</v>
      </c>
      <c r="E223" s="91" t="s">
        <v>1853</v>
      </c>
      <c r="F223" s="124" t="s">
        <v>620</v>
      </c>
      <c r="G223" s="304">
        <v>2013</v>
      </c>
      <c r="H223" s="312" t="s">
        <v>733</v>
      </c>
      <c r="I223" s="307" t="str">
        <f t="shared" si="14"/>
        <v>Pesado de Passageiros M3: III : Gasóleo : E6</v>
      </c>
      <c r="J223" s="125">
        <v>53</v>
      </c>
      <c r="K223" s="125">
        <v>2022</v>
      </c>
      <c r="L223" s="85">
        <v>16702.331999999999</v>
      </c>
      <c r="M223" s="85" t="s">
        <v>630</v>
      </c>
      <c r="N223" s="128">
        <v>50843</v>
      </c>
      <c r="O223" s="128">
        <f t="shared" si="15"/>
        <v>2694679</v>
      </c>
      <c r="P223" s="125" t="s">
        <v>858</v>
      </c>
      <c r="Q223" s="85" t="s">
        <v>47</v>
      </c>
      <c r="R223" s="214" t="s">
        <v>1869</v>
      </c>
      <c r="S223" s="214" t="s">
        <v>1861</v>
      </c>
      <c r="T223" s="85" t="s">
        <v>1491</v>
      </c>
      <c r="U223" t="s">
        <v>1953</v>
      </c>
      <c r="V223" t="s">
        <v>2813</v>
      </c>
    </row>
    <row r="224" spans="1:22" ht="15.75" thickBot="1" x14ac:dyDescent="0.3">
      <c r="A224" s="82" t="s">
        <v>3471</v>
      </c>
      <c r="B224" s="82" t="str">
        <f t="shared" si="12"/>
        <v>Barraqueiro Transportes, S.A.</v>
      </c>
      <c r="C224" s="82" t="str">
        <f t="shared" si="13"/>
        <v>Estremadura</v>
      </c>
      <c r="D224" s="83" t="s">
        <v>629</v>
      </c>
      <c r="E224" s="91" t="s">
        <v>1853</v>
      </c>
      <c r="F224" s="124" t="s">
        <v>620</v>
      </c>
      <c r="G224" s="304">
        <v>2019</v>
      </c>
      <c r="H224" s="312" t="s">
        <v>733</v>
      </c>
      <c r="I224" s="307" t="str">
        <f t="shared" si="14"/>
        <v>Pesado de Passageiros M3: III : Gasóleo : E6</v>
      </c>
      <c r="J224" s="125">
        <v>53</v>
      </c>
      <c r="K224" s="125">
        <v>2022</v>
      </c>
      <c r="L224" s="85">
        <v>30721.37</v>
      </c>
      <c r="M224" s="85" t="s">
        <v>630</v>
      </c>
      <c r="N224" s="128">
        <v>125345</v>
      </c>
      <c r="O224" s="128">
        <f t="shared" si="15"/>
        <v>6643285</v>
      </c>
      <c r="P224" s="125" t="s">
        <v>859</v>
      </c>
      <c r="Q224" s="85" t="s">
        <v>47</v>
      </c>
      <c r="R224" s="214" t="s">
        <v>1869</v>
      </c>
      <c r="S224" s="214" t="s">
        <v>1861</v>
      </c>
      <c r="T224" s="85" t="s">
        <v>1491</v>
      </c>
      <c r="U224" t="s">
        <v>1953</v>
      </c>
      <c r="V224" t="s">
        <v>2813</v>
      </c>
    </row>
    <row r="225" spans="1:22" ht="15.75" thickBot="1" x14ac:dyDescent="0.3">
      <c r="A225" s="82" t="s">
        <v>3471</v>
      </c>
      <c r="B225" s="82" t="str">
        <f t="shared" si="12"/>
        <v>Barraqueiro Transportes, S.A.</v>
      </c>
      <c r="C225" s="82" t="str">
        <f t="shared" si="13"/>
        <v>Estremadura</v>
      </c>
      <c r="D225" s="83" t="s">
        <v>629</v>
      </c>
      <c r="E225" s="91" t="s">
        <v>1853</v>
      </c>
      <c r="F225" s="124" t="s">
        <v>620</v>
      </c>
      <c r="G225" s="304">
        <v>2019</v>
      </c>
      <c r="H225" s="312" t="s">
        <v>733</v>
      </c>
      <c r="I225" s="307" t="str">
        <f t="shared" si="14"/>
        <v>Pesado de Passageiros M3: III : Gasóleo : E6</v>
      </c>
      <c r="J225" s="125">
        <v>53</v>
      </c>
      <c r="K225" s="125">
        <v>2022</v>
      </c>
      <c r="L225" s="85">
        <v>21905.25</v>
      </c>
      <c r="M225" s="85" t="s">
        <v>630</v>
      </c>
      <c r="N225" s="128">
        <v>88805</v>
      </c>
      <c r="O225" s="128">
        <f t="shared" si="15"/>
        <v>4706665</v>
      </c>
      <c r="P225" s="125" t="s">
        <v>860</v>
      </c>
      <c r="Q225" s="85" t="s">
        <v>47</v>
      </c>
      <c r="R225" s="214" t="s">
        <v>1869</v>
      </c>
      <c r="S225" s="214" t="s">
        <v>1861</v>
      </c>
      <c r="T225" s="85" t="s">
        <v>1491</v>
      </c>
      <c r="U225" t="s">
        <v>1953</v>
      </c>
      <c r="V225" t="s">
        <v>2813</v>
      </c>
    </row>
    <row r="226" spans="1:22" ht="15.75" thickBot="1" x14ac:dyDescent="0.3">
      <c r="A226" s="82" t="s">
        <v>3471</v>
      </c>
      <c r="B226" s="82" t="str">
        <f t="shared" si="12"/>
        <v>Barraqueiro Transportes, S.A.</v>
      </c>
      <c r="C226" s="82" t="str">
        <f t="shared" si="13"/>
        <v>Estremadura</v>
      </c>
      <c r="D226" s="83" t="s">
        <v>629</v>
      </c>
      <c r="E226" s="91" t="s">
        <v>1853</v>
      </c>
      <c r="F226" s="124" t="s">
        <v>620</v>
      </c>
      <c r="G226" s="304">
        <v>2019</v>
      </c>
      <c r="H226" s="312" t="s">
        <v>733</v>
      </c>
      <c r="I226" s="307" t="str">
        <f t="shared" si="14"/>
        <v>Pesado de Passageiros M3: III : Gasóleo : E6</v>
      </c>
      <c r="J226" s="125">
        <v>53</v>
      </c>
      <c r="K226" s="125">
        <v>2022</v>
      </c>
      <c r="L226" s="85">
        <v>22278.77</v>
      </c>
      <c r="M226" s="85" t="s">
        <v>630</v>
      </c>
      <c r="N226" s="128">
        <v>88546</v>
      </c>
      <c r="O226" s="128">
        <f t="shared" si="15"/>
        <v>4692938</v>
      </c>
      <c r="P226" s="125" t="s">
        <v>861</v>
      </c>
      <c r="Q226" s="85" t="s">
        <v>47</v>
      </c>
      <c r="R226" s="214" t="s">
        <v>1869</v>
      </c>
      <c r="S226" s="214" t="s">
        <v>1861</v>
      </c>
      <c r="T226" s="85" t="s">
        <v>1491</v>
      </c>
      <c r="U226" t="s">
        <v>1953</v>
      </c>
      <c r="V226" t="s">
        <v>2813</v>
      </c>
    </row>
    <row r="227" spans="1:22" ht="15.75" thickBot="1" x14ac:dyDescent="0.3">
      <c r="A227" s="82" t="s">
        <v>3471</v>
      </c>
      <c r="B227" s="82" t="str">
        <f t="shared" si="12"/>
        <v>Barraqueiro Transportes, S.A.</v>
      </c>
      <c r="C227" s="82" t="str">
        <f t="shared" si="13"/>
        <v>Estremadura</v>
      </c>
      <c r="D227" s="83" t="s">
        <v>629</v>
      </c>
      <c r="E227" s="91" t="s">
        <v>1853</v>
      </c>
      <c r="F227" s="124" t="s">
        <v>620</v>
      </c>
      <c r="G227" s="304">
        <v>2019</v>
      </c>
      <c r="H227" s="312" t="s">
        <v>733</v>
      </c>
      <c r="I227" s="307" t="str">
        <f t="shared" si="14"/>
        <v>Pesado de Passageiros M3: III : Gasóleo : E6</v>
      </c>
      <c r="J227" s="125">
        <v>53</v>
      </c>
      <c r="K227" s="125">
        <v>2022</v>
      </c>
      <c r="L227" s="85">
        <v>22057.75</v>
      </c>
      <c r="M227" s="85" t="s">
        <v>630</v>
      </c>
      <c r="N227" s="128">
        <v>91538</v>
      </c>
      <c r="O227" s="128">
        <f t="shared" si="15"/>
        <v>4851514</v>
      </c>
      <c r="P227" s="125" t="s">
        <v>862</v>
      </c>
      <c r="Q227" s="85" t="s">
        <v>47</v>
      </c>
      <c r="R227" s="214" t="s">
        <v>1869</v>
      </c>
      <c r="S227" s="214" t="s">
        <v>1861</v>
      </c>
      <c r="T227" s="85" t="s">
        <v>1491</v>
      </c>
      <c r="U227" t="s">
        <v>1953</v>
      </c>
      <c r="V227" t="s">
        <v>2813</v>
      </c>
    </row>
    <row r="228" spans="1:22" ht="15.75" thickBot="1" x14ac:dyDescent="0.3">
      <c r="A228" s="82" t="s">
        <v>3471</v>
      </c>
      <c r="B228" s="82" t="str">
        <f t="shared" si="12"/>
        <v>Barraqueiro Transportes, S.A.</v>
      </c>
      <c r="C228" s="82" t="str">
        <f t="shared" si="13"/>
        <v>Estremadura</v>
      </c>
      <c r="D228" s="83" t="s">
        <v>629</v>
      </c>
      <c r="E228" s="91" t="s">
        <v>1853</v>
      </c>
      <c r="F228" s="124" t="s">
        <v>620</v>
      </c>
      <c r="G228" s="304">
        <v>2019</v>
      </c>
      <c r="H228" s="312" t="s">
        <v>733</v>
      </c>
      <c r="I228" s="307" t="str">
        <f t="shared" si="14"/>
        <v>Pesado de Passageiros M3: III : Gasóleo : E6</v>
      </c>
      <c r="J228" s="125">
        <v>53</v>
      </c>
      <c r="K228" s="125">
        <v>2022</v>
      </c>
      <c r="L228" s="85">
        <v>34800.58</v>
      </c>
      <c r="M228" s="85" t="s">
        <v>630</v>
      </c>
      <c r="N228" s="128">
        <v>141959</v>
      </c>
      <c r="O228" s="128">
        <f t="shared" si="15"/>
        <v>7523827</v>
      </c>
      <c r="P228" s="125" t="s">
        <v>863</v>
      </c>
      <c r="Q228" s="85" t="s">
        <v>47</v>
      </c>
      <c r="R228" s="214" t="s">
        <v>1869</v>
      </c>
      <c r="S228" s="214" t="s">
        <v>1861</v>
      </c>
      <c r="T228" s="85" t="s">
        <v>1491</v>
      </c>
      <c r="U228" t="s">
        <v>1953</v>
      </c>
      <c r="V228" t="s">
        <v>2813</v>
      </c>
    </row>
    <row r="229" spans="1:22" ht="15.75" thickBot="1" x14ac:dyDescent="0.3">
      <c r="A229" s="82" t="s">
        <v>3471</v>
      </c>
      <c r="B229" s="82" t="str">
        <f t="shared" si="12"/>
        <v>Barraqueiro Transportes, S.A.</v>
      </c>
      <c r="C229" s="82" t="str">
        <f t="shared" si="13"/>
        <v>Estremadura</v>
      </c>
      <c r="D229" s="83" t="s">
        <v>629</v>
      </c>
      <c r="E229" s="91" t="s">
        <v>1853</v>
      </c>
      <c r="F229" s="124" t="s">
        <v>620</v>
      </c>
      <c r="G229" s="304">
        <v>2019</v>
      </c>
      <c r="H229" s="312" t="s">
        <v>733</v>
      </c>
      <c r="I229" s="307" t="str">
        <f t="shared" si="14"/>
        <v>Pesado de Passageiros M3: III : Gasóleo : E6</v>
      </c>
      <c r="J229" s="125">
        <v>53</v>
      </c>
      <c r="K229" s="125">
        <v>2022</v>
      </c>
      <c r="L229" s="85">
        <v>28332.68</v>
      </c>
      <c r="M229" s="85" t="s">
        <v>630</v>
      </c>
      <c r="N229" s="128">
        <v>111639</v>
      </c>
      <c r="O229" s="128">
        <f t="shared" si="15"/>
        <v>5916867</v>
      </c>
      <c r="P229" s="125" t="s">
        <v>864</v>
      </c>
      <c r="Q229" s="85" t="s">
        <v>47</v>
      </c>
      <c r="R229" s="214" t="s">
        <v>1869</v>
      </c>
      <c r="S229" s="214" t="s">
        <v>1861</v>
      </c>
      <c r="T229" s="85" t="s">
        <v>1491</v>
      </c>
      <c r="U229" t="s">
        <v>1953</v>
      </c>
      <c r="V229" t="s">
        <v>2813</v>
      </c>
    </row>
    <row r="230" spans="1:22" ht="15.75" thickBot="1" x14ac:dyDescent="0.3">
      <c r="A230" s="82" t="s">
        <v>3471</v>
      </c>
      <c r="B230" s="82" t="str">
        <f t="shared" si="12"/>
        <v>Barraqueiro Transportes, S.A.</v>
      </c>
      <c r="C230" s="82" t="str">
        <f t="shared" si="13"/>
        <v>Estremadura</v>
      </c>
      <c r="D230" s="83" t="s">
        <v>629</v>
      </c>
      <c r="E230" s="91" t="s">
        <v>1853</v>
      </c>
      <c r="F230" s="124" t="s">
        <v>620</v>
      </c>
      <c r="G230" s="304">
        <v>2019</v>
      </c>
      <c r="H230" s="312" t="s">
        <v>733</v>
      </c>
      <c r="I230" s="307" t="str">
        <f t="shared" si="14"/>
        <v>Pesado de Passageiros M3: III : Gasóleo : E6</v>
      </c>
      <c r="J230" s="125">
        <v>39</v>
      </c>
      <c r="K230" s="125">
        <v>2022</v>
      </c>
      <c r="L230" s="85">
        <v>14209.59</v>
      </c>
      <c r="M230" s="85" t="s">
        <v>630</v>
      </c>
      <c r="N230" s="128">
        <v>50385</v>
      </c>
      <c r="O230" s="128">
        <f t="shared" si="15"/>
        <v>1965015</v>
      </c>
      <c r="P230" s="125" t="s">
        <v>865</v>
      </c>
      <c r="Q230" s="85" t="s">
        <v>47</v>
      </c>
      <c r="R230" s="214" t="s">
        <v>1869</v>
      </c>
      <c r="S230" s="214" t="s">
        <v>1861</v>
      </c>
      <c r="T230" s="85" t="s">
        <v>1491</v>
      </c>
      <c r="U230" t="s">
        <v>1953</v>
      </c>
      <c r="V230" t="s">
        <v>2813</v>
      </c>
    </row>
    <row r="231" spans="1:22" ht="15.75" thickBot="1" x14ac:dyDescent="0.3">
      <c r="A231" s="82" t="s">
        <v>3471</v>
      </c>
      <c r="B231" s="82" t="str">
        <f t="shared" si="12"/>
        <v>Barraqueiro Transportes, S.A.</v>
      </c>
      <c r="C231" s="82" t="str">
        <f t="shared" si="13"/>
        <v>Estremadura</v>
      </c>
      <c r="D231" s="83" t="s">
        <v>629</v>
      </c>
      <c r="E231" s="91" t="s">
        <v>1853</v>
      </c>
      <c r="F231" s="124" t="s">
        <v>620</v>
      </c>
      <c r="G231" s="304">
        <v>2019</v>
      </c>
      <c r="H231" s="312" t="s">
        <v>733</v>
      </c>
      <c r="I231" s="307" t="str">
        <f t="shared" si="14"/>
        <v>Pesado de Passageiros M3: III : Gasóleo : E6</v>
      </c>
      <c r="J231" s="125">
        <v>39</v>
      </c>
      <c r="K231" s="125">
        <v>2022</v>
      </c>
      <c r="L231" s="85">
        <v>14914.73</v>
      </c>
      <c r="M231" s="85" t="s">
        <v>630</v>
      </c>
      <c r="N231" s="128">
        <v>54595</v>
      </c>
      <c r="O231" s="128">
        <f t="shared" si="15"/>
        <v>2129205</v>
      </c>
      <c r="P231" s="125" t="s">
        <v>866</v>
      </c>
      <c r="Q231" s="85" t="s">
        <v>47</v>
      </c>
      <c r="R231" s="214" t="s">
        <v>1869</v>
      </c>
      <c r="S231" s="214" t="s">
        <v>1861</v>
      </c>
      <c r="T231" s="85" t="s">
        <v>1491</v>
      </c>
      <c r="U231" t="s">
        <v>1953</v>
      </c>
      <c r="V231" t="s">
        <v>2813</v>
      </c>
    </row>
    <row r="232" spans="1:22" ht="15.75" thickBot="1" x14ac:dyDescent="0.3">
      <c r="A232" s="82" t="s">
        <v>3471</v>
      </c>
      <c r="B232" s="82" t="str">
        <f t="shared" si="12"/>
        <v>Barraqueiro Transportes, S.A.</v>
      </c>
      <c r="C232" s="82" t="str">
        <f t="shared" si="13"/>
        <v>Estremadura</v>
      </c>
      <c r="D232" s="83" t="s">
        <v>629</v>
      </c>
      <c r="E232" s="91" t="s">
        <v>1853</v>
      </c>
      <c r="F232" s="124" t="s">
        <v>620</v>
      </c>
      <c r="G232" s="304">
        <v>2019</v>
      </c>
      <c r="H232" s="312" t="s">
        <v>733</v>
      </c>
      <c r="I232" s="307" t="str">
        <f t="shared" si="14"/>
        <v>Pesado de Passageiros M3: III : Gasóleo : E6</v>
      </c>
      <c r="J232" s="125">
        <v>63</v>
      </c>
      <c r="K232" s="125">
        <v>2022</v>
      </c>
      <c r="L232" s="85">
        <v>58340.22</v>
      </c>
      <c r="M232" s="85" t="s">
        <v>630</v>
      </c>
      <c r="N232" s="128">
        <v>193964</v>
      </c>
      <c r="O232" s="128">
        <f t="shared" si="15"/>
        <v>12219732</v>
      </c>
      <c r="P232" s="125" t="s">
        <v>867</v>
      </c>
      <c r="Q232" s="85" t="s">
        <v>47</v>
      </c>
      <c r="R232" s="214" t="s">
        <v>1869</v>
      </c>
      <c r="S232" s="214" t="s">
        <v>1861</v>
      </c>
      <c r="T232" s="85" t="s">
        <v>1491</v>
      </c>
      <c r="U232" t="s">
        <v>1953</v>
      </c>
      <c r="V232" t="s">
        <v>2813</v>
      </c>
    </row>
    <row r="233" spans="1:22" ht="15.75" thickBot="1" x14ac:dyDescent="0.3">
      <c r="A233" s="82" t="s">
        <v>3471</v>
      </c>
      <c r="B233" s="82" t="str">
        <f t="shared" si="12"/>
        <v>Barraqueiro Transportes, S.A.</v>
      </c>
      <c r="C233" s="82" t="str">
        <f t="shared" si="13"/>
        <v>Estremadura</v>
      </c>
      <c r="D233" s="83" t="s">
        <v>629</v>
      </c>
      <c r="E233" s="91" t="s">
        <v>1853</v>
      </c>
      <c r="F233" s="124" t="s">
        <v>620</v>
      </c>
      <c r="G233" s="304">
        <v>2019</v>
      </c>
      <c r="H233" s="312" t="s">
        <v>733</v>
      </c>
      <c r="I233" s="307" t="str">
        <f t="shared" si="14"/>
        <v>Pesado de Passageiros M3: III : Gasóleo : E6</v>
      </c>
      <c r="J233" s="125">
        <v>19</v>
      </c>
      <c r="K233" s="125">
        <v>2022</v>
      </c>
      <c r="L233" s="85">
        <v>4640.3600000000006</v>
      </c>
      <c r="M233" s="85" t="s">
        <v>630</v>
      </c>
      <c r="N233" s="128">
        <v>25605</v>
      </c>
      <c r="O233" s="128">
        <f t="shared" si="15"/>
        <v>486495</v>
      </c>
      <c r="P233" s="125" t="s">
        <v>868</v>
      </c>
      <c r="Q233" s="85" t="s">
        <v>47</v>
      </c>
      <c r="R233" s="214" t="s">
        <v>1869</v>
      </c>
      <c r="S233" s="214" t="s">
        <v>1861</v>
      </c>
      <c r="T233" s="85" t="s">
        <v>1491</v>
      </c>
      <c r="U233" t="s">
        <v>1953</v>
      </c>
      <c r="V233" t="s">
        <v>2813</v>
      </c>
    </row>
    <row r="234" spans="1:22" ht="15.75" thickBot="1" x14ac:dyDescent="0.3">
      <c r="A234" s="82" t="s">
        <v>3471</v>
      </c>
      <c r="B234" s="82" t="str">
        <f t="shared" si="12"/>
        <v>Barraqueiro Transportes, S.A.</v>
      </c>
      <c r="C234" s="82" t="str">
        <f t="shared" si="13"/>
        <v>Estremadura</v>
      </c>
      <c r="D234" s="83" t="s">
        <v>629</v>
      </c>
      <c r="E234" s="91" t="s">
        <v>1853</v>
      </c>
      <c r="F234" s="124" t="s">
        <v>620</v>
      </c>
      <c r="G234" s="304">
        <v>2019</v>
      </c>
      <c r="H234" s="312" t="s">
        <v>733</v>
      </c>
      <c r="I234" s="307" t="str">
        <f t="shared" si="14"/>
        <v>Pesado de Passageiros M3: III : Gasóleo : E6</v>
      </c>
      <c r="J234" s="125">
        <v>39</v>
      </c>
      <c r="K234" s="125">
        <v>2022</v>
      </c>
      <c r="L234" s="85">
        <v>14279.4</v>
      </c>
      <c r="M234" s="85" t="s">
        <v>630</v>
      </c>
      <c r="N234" s="128">
        <v>52981</v>
      </c>
      <c r="O234" s="128">
        <f t="shared" si="15"/>
        <v>2066259</v>
      </c>
      <c r="P234" s="125" t="s">
        <v>869</v>
      </c>
      <c r="Q234" s="85" t="s">
        <v>47</v>
      </c>
      <c r="R234" s="214" t="s">
        <v>1869</v>
      </c>
      <c r="S234" s="214" t="s">
        <v>1861</v>
      </c>
      <c r="T234" s="85" t="s">
        <v>1491</v>
      </c>
      <c r="U234" t="s">
        <v>1953</v>
      </c>
      <c r="V234" t="s">
        <v>2813</v>
      </c>
    </row>
    <row r="235" spans="1:22" ht="15.75" thickBot="1" x14ac:dyDescent="0.3">
      <c r="A235" s="82" t="s">
        <v>3471</v>
      </c>
      <c r="B235" s="82" t="str">
        <f t="shared" si="12"/>
        <v>Barraqueiro Transportes, S.A.</v>
      </c>
      <c r="C235" s="82" t="str">
        <f t="shared" si="13"/>
        <v>Estremadura</v>
      </c>
      <c r="D235" s="83" t="s">
        <v>629</v>
      </c>
      <c r="E235" s="91" t="s">
        <v>1853</v>
      </c>
      <c r="F235" s="124" t="s">
        <v>620</v>
      </c>
      <c r="G235" s="304">
        <v>2019</v>
      </c>
      <c r="H235" s="312" t="s">
        <v>733</v>
      </c>
      <c r="I235" s="307" t="str">
        <f t="shared" si="14"/>
        <v>Pesado de Passageiros M3: III : Gasóleo : E6</v>
      </c>
      <c r="J235" s="125">
        <v>53</v>
      </c>
      <c r="K235" s="125">
        <v>2022</v>
      </c>
      <c r="L235" s="85">
        <v>27826.34</v>
      </c>
      <c r="M235" s="85" t="s">
        <v>630</v>
      </c>
      <c r="N235" s="128">
        <v>110366</v>
      </c>
      <c r="O235" s="128">
        <f t="shared" si="15"/>
        <v>5849398</v>
      </c>
      <c r="P235" s="125" t="s">
        <v>870</v>
      </c>
      <c r="Q235" s="85" t="s">
        <v>47</v>
      </c>
      <c r="R235" s="214" t="s">
        <v>1869</v>
      </c>
      <c r="S235" s="214" t="s">
        <v>1861</v>
      </c>
      <c r="T235" s="85" t="s">
        <v>1491</v>
      </c>
      <c r="U235" t="s">
        <v>1953</v>
      </c>
      <c r="V235" t="s">
        <v>2813</v>
      </c>
    </row>
    <row r="236" spans="1:22" ht="15.75" thickBot="1" x14ac:dyDescent="0.3">
      <c r="A236" s="82" t="s">
        <v>3471</v>
      </c>
      <c r="B236" s="82" t="str">
        <f t="shared" si="12"/>
        <v>Barraqueiro Transportes, S.A.</v>
      </c>
      <c r="C236" s="82" t="str">
        <f t="shared" si="13"/>
        <v>Estremadura</v>
      </c>
      <c r="D236" s="83" t="s">
        <v>629</v>
      </c>
      <c r="E236" s="91" t="s">
        <v>1853</v>
      </c>
      <c r="F236" s="124" t="s">
        <v>620</v>
      </c>
      <c r="G236" s="304">
        <v>2019</v>
      </c>
      <c r="H236" s="312" t="s">
        <v>733</v>
      </c>
      <c r="I236" s="307" t="str">
        <f t="shared" si="14"/>
        <v>Pesado de Passageiros M3: III : Gasóleo : E6</v>
      </c>
      <c r="J236" s="125">
        <v>29</v>
      </c>
      <c r="K236" s="125">
        <v>2022</v>
      </c>
      <c r="L236" s="85">
        <v>3666.77</v>
      </c>
      <c r="M236" s="85" t="s">
        <v>630</v>
      </c>
      <c r="N236" s="128">
        <v>16135</v>
      </c>
      <c r="O236" s="128">
        <f t="shared" si="15"/>
        <v>467915</v>
      </c>
      <c r="P236" s="125" t="s">
        <v>871</v>
      </c>
      <c r="Q236" s="85" t="s">
        <v>47</v>
      </c>
      <c r="R236" s="214" t="s">
        <v>1869</v>
      </c>
      <c r="S236" s="214" t="s">
        <v>1861</v>
      </c>
      <c r="T236" s="85" t="s">
        <v>1491</v>
      </c>
      <c r="U236" t="s">
        <v>1953</v>
      </c>
      <c r="V236" t="s">
        <v>2813</v>
      </c>
    </row>
    <row r="237" spans="1:22" ht="15.75" thickBot="1" x14ac:dyDescent="0.3">
      <c r="A237" s="82" t="s">
        <v>3471</v>
      </c>
      <c r="B237" s="82" t="str">
        <f t="shared" si="12"/>
        <v>Barraqueiro Transportes, S.A.</v>
      </c>
      <c r="C237" s="82" t="str">
        <f t="shared" si="13"/>
        <v>Estremadura</v>
      </c>
      <c r="D237" s="83" t="s">
        <v>629</v>
      </c>
      <c r="E237" s="91" t="s">
        <v>1853</v>
      </c>
      <c r="F237" s="124" t="s">
        <v>620</v>
      </c>
      <c r="G237" s="304">
        <v>2019</v>
      </c>
      <c r="H237" s="312" t="s">
        <v>733</v>
      </c>
      <c r="I237" s="307" t="str">
        <f t="shared" si="14"/>
        <v>Pesado de Passageiros M3: III : Gasóleo : E6</v>
      </c>
      <c r="J237" s="125">
        <v>29</v>
      </c>
      <c r="K237" s="125">
        <v>2022</v>
      </c>
      <c r="L237" s="85">
        <v>3279.96</v>
      </c>
      <c r="M237" s="85" t="s">
        <v>630</v>
      </c>
      <c r="N237" s="128">
        <v>14522</v>
      </c>
      <c r="O237" s="128">
        <f t="shared" si="15"/>
        <v>421138</v>
      </c>
      <c r="P237" s="125" t="s">
        <v>872</v>
      </c>
      <c r="Q237" s="85" t="s">
        <v>47</v>
      </c>
      <c r="R237" s="214" t="s">
        <v>1869</v>
      </c>
      <c r="S237" s="214" t="s">
        <v>1861</v>
      </c>
      <c r="T237" s="85" t="s">
        <v>1491</v>
      </c>
      <c r="U237" t="s">
        <v>1953</v>
      </c>
      <c r="V237" t="s">
        <v>2813</v>
      </c>
    </row>
    <row r="238" spans="1:22" ht="15.75" thickBot="1" x14ac:dyDescent="0.3">
      <c r="A238" s="82" t="s">
        <v>3471</v>
      </c>
      <c r="B238" s="82" t="str">
        <f t="shared" si="12"/>
        <v>Barraqueiro Transportes, S.A.</v>
      </c>
      <c r="C238" s="82" t="str">
        <f t="shared" si="13"/>
        <v>Estremadura</v>
      </c>
      <c r="D238" s="83" t="s">
        <v>629</v>
      </c>
      <c r="E238" s="91" t="s">
        <v>1853</v>
      </c>
      <c r="F238" s="124" t="s">
        <v>620</v>
      </c>
      <c r="G238" s="304">
        <v>2019</v>
      </c>
      <c r="H238" s="312" t="s">
        <v>733</v>
      </c>
      <c r="I238" s="307" t="str">
        <f t="shared" si="14"/>
        <v>Pesado de Passageiros M3: III : Gasóleo : E6</v>
      </c>
      <c r="J238" s="125">
        <v>29</v>
      </c>
      <c r="K238" s="125">
        <v>2022</v>
      </c>
      <c r="L238" s="85">
        <v>3921.12</v>
      </c>
      <c r="M238" s="85" t="s">
        <v>630</v>
      </c>
      <c r="N238" s="128">
        <v>17984</v>
      </c>
      <c r="O238" s="128">
        <f t="shared" si="15"/>
        <v>521536</v>
      </c>
      <c r="P238" s="125" t="s">
        <v>873</v>
      </c>
      <c r="Q238" s="85" t="s">
        <v>47</v>
      </c>
      <c r="R238" s="214" t="s">
        <v>1869</v>
      </c>
      <c r="S238" s="214" t="s">
        <v>1861</v>
      </c>
      <c r="T238" s="85" t="s">
        <v>1491</v>
      </c>
      <c r="U238" t="s">
        <v>1953</v>
      </c>
      <c r="V238" t="s">
        <v>2813</v>
      </c>
    </row>
    <row r="239" spans="1:22" ht="15.75" thickBot="1" x14ac:dyDescent="0.3">
      <c r="A239" s="82" t="s">
        <v>3471</v>
      </c>
      <c r="B239" s="82" t="str">
        <f t="shared" si="12"/>
        <v>Barraqueiro Transportes, S.A.</v>
      </c>
      <c r="C239" s="82" t="str">
        <f t="shared" si="13"/>
        <v>Estremadura</v>
      </c>
      <c r="D239" s="83" t="s">
        <v>629</v>
      </c>
      <c r="E239" s="91" t="s">
        <v>1853</v>
      </c>
      <c r="F239" s="124" t="s">
        <v>620</v>
      </c>
      <c r="G239" s="304">
        <v>2012</v>
      </c>
      <c r="H239" s="312" t="s">
        <v>734</v>
      </c>
      <c r="I239" s="307" t="str">
        <f t="shared" si="14"/>
        <v>Pesado de Passageiros M3: III : Gasóleo : E5</v>
      </c>
      <c r="J239" s="125">
        <v>57</v>
      </c>
      <c r="K239" s="125">
        <v>2022</v>
      </c>
      <c r="L239" s="85">
        <v>21205.773000000001</v>
      </c>
      <c r="M239" s="85" t="s">
        <v>630</v>
      </c>
      <c r="N239" s="128">
        <v>68017</v>
      </c>
      <c r="O239" s="128">
        <f t="shared" si="15"/>
        <v>3876969</v>
      </c>
      <c r="P239" s="125" t="s">
        <v>874</v>
      </c>
      <c r="Q239" s="85" t="s">
        <v>47</v>
      </c>
      <c r="R239" s="214" t="s">
        <v>1869</v>
      </c>
      <c r="S239" s="214" t="s">
        <v>1861</v>
      </c>
      <c r="T239" s="85" t="s">
        <v>1491</v>
      </c>
      <c r="U239" t="s">
        <v>1953</v>
      </c>
      <c r="V239" t="s">
        <v>2813</v>
      </c>
    </row>
    <row r="240" spans="1:22" ht="15.75" thickBot="1" x14ac:dyDescent="0.3">
      <c r="A240" s="82" t="s">
        <v>3471</v>
      </c>
      <c r="B240" s="82" t="str">
        <f t="shared" si="12"/>
        <v>Barraqueiro Transportes, S.A.</v>
      </c>
      <c r="C240" s="82" t="str">
        <f t="shared" si="13"/>
        <v>Estremadura</v>
      </c>
      <c r="D240" s="83" t="s">
        <v>629</v>
      </c>
      <c r="E240" s="91" t="s">
        <v>1853</v>
      </c>
      <c r="F240" s="124" t="s">
        <v>620</v>
      </c>
      <c r="G240" s="304">
        <v>2019</v>
      </c>
      <c r="H240" s="312" t="s">
        <v>733</v>
      </c>
      <c r="I240" s="307" t="str">
        <f t="shared" si="14"/>
        <v>Pesado de Passageiros M3: III : Gasóleo : E6</v>
      </c>
      <c r="J240" s="125">
        <v>25</v>
      </c>
      <c r="K240" s="125">
        <v>2022</v>
      </c>
      <c r="L240" s="85">
        <v>15966.19</v>
      </c>
      <c r="M240" s="85" t="s">
        <v>630</v>
      </c>
      <c r="N240" s="128">
        <v>86875</v>
      </c>
      <c r="O240" s="128">
        <f t="shared" si="15"/>
        <v>2171875</v>
      </c>
      <c r="P240" s="125" t="s">
        <v>875</v>
      </c>
      <c r="Q240" s="85" t="s">
        <v>47</v>
      </c>
      <c r="R240" s="214" t="s">
        <v>1869</v>
      </c>
      <c r="S240" s="214" t="s">
        <v>1861</v>
      </c>
      <c r="T240" s="85" t="s">
        <v>1491</v>
      </c>
      <c r="U240" t="s">
        <v>1953</v>
      </c>
      <c r="V240" t="s">
        <v>2813</v>
      </c>
    </row>
    <row r="241" spans="1:22" ht="15.75" thickBot="1" x14ac:dyDescent="0.3">
      <c r="A241" s="82" t="s">
        <v>3471</v>
      </c>
      <c r="B241" s="82" t="str">
        <f t="shared" si="12"/>
        <v>Barraqueiro Transportes, S.A.</v>
      </c>
      <c r="C241" s="82" t="str">
        <f t="shared" si="13"/>
        <v>Estremadura</v>
      </c>
      <c r="D241" s="83" t="s">
        <v>629</v>
      </c>
      <c r="E241" s="91" t="s">
        <v>1853</v>
      </c>
      <c r="F241" s="124" t="s">
        <v>620</v>
      </c>
      <c r="G241" s="304">
        <v>2015</v>
      </c>
      <c r="H241" s="312" t="s">
        <v>733</v>
      </c>
      <c r="I241" s="307" t="str">
        <f t="shared" si="14"/>
        <v>Pesado de Passageiros M3: III : Gasóleo : E6</v>
      </c>
      <c r="J241" s="125">
        <v>25</v>
      </c>
      <c r="K241" s="125">
        <v>2022</v>
      </c>
      <c r="L241" s="85">
        <v>1456.77</v>
      </c>
      <c r="M241" s="85" t="s">
        <v>630</v>
      </c>
      <c r="N241" s="128">
        <v>7253</v>
      </c>
      <c r="O241" s="128">
        <f t="shared" si="15"/>
        <v>181325</v>
      </c>
      <c r="P241" s="125" t="s">
        <v>876</v>
      </c>
      <c r="Q241" s="85" t="s">
        <v>47</v>
      </c>
      <c r="R241" s="214" t="s">
        <v>1869</v>
      </c>
      <c r="S241" s="214" t="s">
        <v>1861</v>
      </c>
      <c r="T241" s="85" t="s">
        <v>1491</v>
      </c>
      <c r="U241" t="s">
        <v>1953</v>
      </c>
      <c r="V241" t="s">
        <v>2813</v>
      </c>
    </row>
    <row r="242" spans="1:22" ht="15.75" thickBot="1" x14ac:dyDescent="0.3">
      <c r="A242" s="82" t="s">
        <v>3471</v>
      </c>
      <c r="B242" s="82" t="str">
        <f t="shared" si="12"/>
        <v>Barraqueiro Transportes, S.A.</v>
      </c>
      <c r="C242" s="82" t="str">
        <f t="shared" si="13"/>
        <v>Estremadura</v>
      </c>
      <c r="D242" s="83" t="s">
        <v>629</v>
      </c>
      <c r="E242" s="91" t="s">
        <v>1853</v>
      </c>
      <c r="F242" s="124" t="s">
        <v>620</v>
      </c>
      <c r="G242" s="304">
        <v>2019</v>
      </c>
      <c r="H242" s="312" t="s">
        <v>733</v>
      </c>
      <c r="I242" s="307" t="str">
        <f t="shared" si="14"/>
        <v>Pesado de Passageiros M3: III : Gasóleo : E6</v>
      </c>
      <c r="J242" s="125">
        <v>25</v>
      </c>
      <c r="K242" s="125">
        <v>2022</v>
      </c>
      <c r="L242" s="85">
        <v>6130.18</v>
      </c>
      <c r="M242" s="85" t="s">
        <v>630</v>
      </c>
      <c r="N242" s="128">
        <v>35935</v>
      </c>
      <c r="O242" s="128">
        <f t="shared" si="15"/>
        <v>898375</v>
      </c>
      <c r="P242" s="125" t="s">
        <v>877</v>
      </c>
      <c r="Q242" s="85" t="s">
        <v>47</v>
      </c>
      <c r="R242" s="214" t="s">
        <v>1869</v>
      </c>
      <c r="S242" s="214" t="s">
        <v>1861</v>
      </c>
      <c r="T242" s="85" t="s">
        <v>1491</v>
      </c>
      <c r="U242" t="s">
        <v>1953</v>
      </c>
      <c r="V242" t="s">
        <v>2813</v>
      </c>
    </row>
    <row r="243" spans="1:22" ht="15.75" thickBot="1" x14ac:dyDescent="0.3">
      <c r="A243" s="82" t="s">
        <v>3471</v>
      </c>
      <c r="B243" s="82" t="str">
        <f t="shared" si="12"/>
        <v>Barraqueiro Transportes, S.A.</v>
      </c>
      <c r="C243" s="82" t="str">
        <f t="shared" si="13"/>
        <v>Estremadura</v>
      </c>
      <c r="D243" s="83" t="s">
        <v>629</v>
      </c>
      <c r="E243" s="91" t="s">
        <v>1853</v>
      </c>
      <c r="F243" s="124" t="s">
        <v>620</v>
      </c>
      <c r="G243" s="304">
        <v>2020</v>
      </c>
      <c r="H243" s="312" t="s">
        <v>733</v>
      </c>
      <c r="I243" s="307" t="str">
        <f t="shared" si="14"/>
        <v>Pesado de Passageiros M3: III : Gasóleo : E6</v>
      </c>
      <c r="J243" s="125">
        <v>53</v>
      </c>
      <c r="K243" s="125">
        <v>2022</v>
      </c>
      <c r="L243" s="85">
        <v>26206.86</v>
      </c>
      <c r="M243" s="85" t="s">
        <v>630</v>
      </c>
      <c r="N243" s="128">
        <v>105882</v>
      </c>
      <c r="O243" s="128">
        <f t="shared" si="15"/>
        <v>5611746</v>
      </c>
      <c r="P243" s="125" t="s">
        <v>878</v>
      </c>
      <c r="Q243" s="85" t="s">
        <v>47</v>
      </c>
      <c r="R243" s="214" t="s">
        <v>1869</v>
      </c>
      <c r="S243" s="214" t="s">
        <v>1861</v>
      </c>
      <c r="T243" s="85" t="s">
        <v>1491</v>
      </c>
      <c r="U243" t="s">
        <v>1953</v>
      </c>
      <c r="V243" t="s">
        <v>2813</v>
      </c>
    </row>
    <row r="244" spans="1:22" ht="15.75" thickBot="1" x14ac:dyDescent="0.3">
      <c r="A244" s="82" t="s">
        <v>3471</v>
      </c>
      <c r="B244" s="82" t="str">
        <f t="shared" si="12"/>
        <v>Barraqueiro Transportes, S.A.</v>
      </c>
      <c r="C244" s="82" t="str">
        <f t="shared" si="13"/>
        <v>Estremadura</v>
      </c>
      <c r="D244" s="83" t="s">
        <v>629</v>
      </c>
      <c r="E244" s="91" t="s">
        <v>1853</v>
      </c>
      <c r="F244" s="124" t="s">
        <v>620</v>
      </c>
      <c r="G244" s="304">
        <v>2020</v>
      </c>
      <c r="H244" s="312" t="s">
        <v>733</v>
      </c>
      <c r="I244" s="307" t="str">
        <f t="shared" si="14"/>
        <v>Pesado de Passageiros M3: III : Gasóleo : E6</v>
      </c>
      <c r="J244" s="125">
        <v>53</v>
      </c>
      <c r="K244" s="125">
        <v>2022</v>
      </c>
      <c r="L244" s="85">
        <v>26831.059999999998</v>
      </c>
      <c r="M244" s="85" t="s">
        <v>630</v>
      </c>
      <c r="N244" s="128">
        <v>104124</v>
      </c>
      <c r="O244" s="128">
        <f t="shared" si="15"/>
        <v>5518572</v>
      </c>
      <c r="P244" s="125" t="s">
        <v>879</v>
      </c>
      <c r="Q244" s="85" t="s">
        <v>47</v>
      </c>
      <c r="R244" s="214" t="s">
        <v>1869</v>
      </c>
      <c r="S244" s="214" t="s">
        <v>1861</v>
      </c>
      <c r="T244" s="85" t="s">
        <v>1491</v>
      </c>
      <c r="U244" t="s">
        <v>1953</v>
      </c>
      <c r="V244" t="s">
        <v>2813</v>
      </c>
    </row>
    <row r="245" spans="1:22" ht="15.75" thickBot="1" x14ac:dyDescent="0.3">
      <c r="A245" s="82" t="s">
        <v>3471</v>
      </c>
      <c r="B245" s="82" t="str">
        <f t="shared" si="12"/>
        <v>Barraqueiro Transportes, S.A.</v>
      </c>
      <c r="C245" s="82" t="str">
        <f t="shared" si="13"/>
        <v>Estremadura</v>
      </c>
      <c r="D245" s="83" t="s">
        <v>629</v>
      </c>
      <c r="E245" s="91" t="s">
        <v>1853</v>
      </c>
      <c r="F245" s="124" t="s">
        <v>620</v>
      </c>
      <c r="G245" s="304">
        <v>2020</v>
      </c>
      <c r="H245" s="312" t="s">
        <v>733</v>
      </c>
      <c r="I245" s="307" t="str">
        <f t="shared" si="14"/>
        <v>Pesado de Passageiros M3: III : Gasóleo : E6</v>
      </c>
      <c r="J245" s="125">
        <v>53</v>
      </c>
      <c r="K245" s="125">
        <v>2022</v>
      </c>
      <c r="L245" s="85">
        <v>28882.090000000004</v>
      </c>
      <c r="M245" s="85" t="s">
        <v>630</v>
      </c>
      <c r="N245" s="128">
        <v>116828</v>
      </c>
      <c r="O245" s="128">
        <f t="shared" si="15"/>
        <v>6191884</v>
      </c>
      <c r="P245" s="125" t="s">
        <v>880</v>
      </c>
      <c r="Q245" s="85" t="s">
        <v>47</v>
      </c>
      <c r="R245" s="214" t="s">
        <v>1869</v>
      </c>
      <c r="S245" s="214" t="s">
        <v>1861</v>
      </c>
      <c r="T245" s="85" t="s">
        <v>1491</v>
      </c>
      <c r="U245" t="s">
        <v>1953</v>
      </c>
      <c r="V245" t="s">
        <v>2813</v>
      </c>
    </row>
    <row r="246" spans="1:22" ht="15.75" thickBot="1" x14ac:dyDescent="0.3">
      <c r="A246" s="82" t="s">
        <v>3471</v>
      </c>
      <c r="B246" s="82" t="str">
        <f t="shared" si="12"/>
        <v>Barraqueiro Transportes, S.A.</v>
      </c>
      <c r="C246" s="82" t="str">
        <f t="shared" si="13"/>
        <v>Estremadura</v>
      </c>
      <c r="D246" s="83" t="s">
        <v>629</v>
      </c>
      <c r="E246" s="91" t="s">
        <v>1853</v>
      </c>
      <c r="F246" s="124" t="s">
        <v>620</v>
      </c>
      <c r="G246" s="304">
        <v>2020</v>
      </c>
      <c r="H246" s="312" t="s">
        <v>733</v>
      </c>
      <c r="I246" s="307" t="str">
        <f t="shared" si="14"/>
        <v>Pesado de Passageiros M3: III : Gasóleo : E6</v>
      </c>
      <c r="J246" s="125">
        <v>53</v>
      </c>
      <c r="K246" s="125">
        <v>2022</v>
      </c>
      <c r="L246" s="85">
        <v>32375.040000000001</v>
      </c>
      <c r="M246" s="85" t="s">
        <v>630</v>
      </c>
      <c r="N246" s="128">
        <v>132282</v>
      </c>
      <c r="O246" s="128">
        <f t="shared" si="15"/>
        <v>7010946</v>
      </c>
      <c r="P246" s="125" t="s">
        <v>881</v>
      </c>
      <c r="Q246" s="85" t="s">
        <v>47</v>
      </c>
      <c r="R246" s="214" t="s">
        <v>1869</v>
      </c>
      <c r="S246" s="214" t="s">
        <v>1861</v>
      </c>
      <c r="T246" s="85" t="s">
        <v>1491</v>
      </c>
      <c r="U246" t="s">
        <v>1953</v>
      </c>
      <c r="V246" t="s">
        <v>2813</v>
      </c>
    </row>
    <row r="247" spans="1:22" ht="15.75" thickBot="1" x14ac:dyDescent="0.3">
      <c r="A247" s="82" t="s">
        <v>3471</v>
      </c>
      <c r="B247" s="82" t="str">
        <f t="shared" si="12"/>
        <v>Barraqueiro Transportes, S.A.</v>
      </c>
      <c r="C247" s="82" t="str">
        <f t="shared" si="13"/>
        <v>Estremadura</v>
      </c>
      <c r="D247" s="83" t="s">
        <v>629</v>
      </c>
      <c r="E247" s="91" t="s">
        <v>1853</v>
      </c>
      <c r="F247" s="124" t="s">
        <v>620</v>
      </c>
      <c r="G247" s="304">
        <v>2020</v>
      </c>
      <c r="H247" s="312" t="s">
        <v>733</v>
      </c>
      <c r="I247" s="307" t="str">
        <f t="shared" si="14"/>
        <v>Pesado de Passageiros M3: III : Gasóleo : E6</v>
      </c>
      <c r="J247" s="125">
        <v>63</v>
      </c>
      <c r="K247" s="125">
        <v>2022</v>
      </c>
      <c r="L247" s="85">
        <v>71262.09</v>
      </c>
      <c r="M247" s="85" t="s">
        <v>630</v>
      </c>
      <c r="N247" s="128">
        <v>246632</v>
      </c>
      <c r="O247" s="128">
        <f t="shared" si="15"/>
        <v>15537816</v>
      </c>
      <c r="P247" s="125" t="s">
        <v>882</v>
      </c>
      <c r="Q247" s="85" t="s">
        <v>47</v>
      </c>
      <c r="R247" s="214" t="s">
        <v>1869</v>
      </c>
      <c r="S247" s="214" t="s">
        <v>1861</v>
      </c>
      <c r="T247" s="85" t="s">
        <v>1491</v>
      </c>
      <c r="U247" t="s">
        <v>1953</v>
      </c>
      <c r="V247" t="s">
        <v>2813</v>
      </c>
    </row>
    <row r="248" spans="1:22" ht="15.75" thickBot="1" x14ac:dyDescent="0.3">
      <c r="A248" s="82" t="s">
        <v>3471</v>
      </c>
      <c r="B248" s="82" t="str">
        <f t="shared" si="12"/>
        <v>Barraqueiro Transportes, S.A.</v>
      </c>
      <c r="C248" s="82" t="str">
        <f t="shared" si="13"/>
        <v>Estremadura</v>
      </c>
      <c r="D248" s="83" t="s">
        <v>629</v>
      </c>
      <c r="E248" s="91" t="s">
        <v>1853</v>
      </c>
      <c r="F248" s="124" t="s">
        <v>620</v>
      </c>
      <c r="G248" s="304">
        <v>2020</v>
      </c>
      <c r="H248" s="312" t="s">
        <v>733</v>
      </c>
      <c r="I248" s="307" t="str">
        <f t="shared" si="14"/>
        <v>Pesado de Passageiros M3: III : Gasóleo : E6</v>
      </c>
      <c r="J248" s="125">
        <v>29</v>
      </c>
      <c r="K248" s="125">
        <v>2022</v>
      </c>
      <c r="L248" s="85">
        <v>3506.84</v>
      </c>
      <c r="M248" s="85" t="s">
        <v>630</v>
      </c>
      <c r="N248" s="128">
        <v>18896</v>
      </c>
      <c r="O248" s="128">
        <f t="shared" si="15"/>
        <v>547984</v>
      </c>
      <c r="P248" s="125" t="s">
        <v>883</v>
      </c>
      <c r="Q248" s="85" t="s">
        <v>47</v>
      </c>
      <c r="R248" s="214" t="s">
        <v>1869</v>
      </c>
      <c r="S248" s="214" t="s">
        <v>1861</v>
      </c>
      <c r="T248" s="85" t="s">
        <v>1491</v>
      </c>
      <c r="U248" t="s">
        <v>1953</v>
      </c>
      <c r="V248" t="s">
        <v>2813</v>
      </c>
    </row>
    <row r="249" spans="1:22" ht="15.75" thickBot="1" x14ac:dyDescent="0.3">
      <c r="A249" s="82" t="s">
        <v>3471</v>
      </c>
      <c r="B249" s="82" t="str">
        <f t="shared" si="12"/>
        <v>Barraqueiro Transportes, S.A.</v>
      </c>
      <c r="C249" s="82" t="str">
        <f t="shared" si="13"/>
        <v>Estremadura</v>
      </c>
      <c r="D249" s="83" t="s">
        <v>629</v>
      </c>
      <c r="E249" s="91" t="s">
        <v>1853</v>
      </c>
      <c r="F249" s="124" t="s">
        <v>620</v>
      </c>
      <c r="G249" s="304">
        <v>2020</v>
      </c>
      <c r="H249" s="312" t="s">
        <v>733</v>
      </c>
      <c r="I249" s="307" t="str">
        <f t="shared" si="14"/>
        <v>Pesado de Passageiros M3: III : Gasóleo : E6</v>
      </c>
      <c r="J249" s="125">
        <v>29</v>
      </c>
      <c r="K249" s="125">
        <v>2022</v>
      </c>
      <c r="L249" s="85">
        <v>2928.9499999999994</v>
      </c>
      <c r="M249" s="85" t="s">
        <v>630</v>
      </c>
      <c r="N249" s="128">
        <v>13405</v>
      </c>
      <c r="O249" s="128">
        <f t="shared" si="15"/>
        <v>388745</v>
      </c>
      <c r="P249" s="125" t="s">
        <v>884</v>
      </c>
      <c r="Q249" s="85" t="s">
        <v>47</v>
      </c>
      <c r="R249" s="214" t="s">
        <v>1869</v>
      </c>
      <c r="S249" s="214" t="s">
        <v>1861</v>
      </c>
      <c r="T249" s="85" t="s">
        <v>1491</v>
      </c>
      <c r="U249" t="s">
        <v>1953</v>
      </c>
      <c r="V249" t="s">
        <v>2813</v>
      </c>
    </row>
    <row r="250" spans="1:22" ht="15.75" thickBot="1" x14ac:dyDescent="0.3">
      <c r="A250" s="82" t="s">
        <v>3471</v>
      </c>
      <c r="B250" s="82" t="str">
        <f t="shared" si="12"/>
        <v>Barraqueiro Transportes, S.A.</v>
      </c>
      <c r="C250" s="82" t="str">
        <f t="shared" si="13"/>
        <v>Estremadura</v>
      </c>
      <c r="D250" s="83" t="s">
        <v>629</v>
      </c>
      <c r="E250" s="91" t="s">
        <v>1853</v>
      </c>
      <c r="F250" s="124" t="s">
        <v>620</v>
      </c>
      <c r="G250" s="304">
        <v>2020</v>
      </c>
      <c r="H250" s="312" t="s">
        <v>733</v>
      </c>
      <c r="I250" s="307" t="str">
        <f t="shared" si="14"/>
        <v>Pesado de Passageiros M3: III : Gasóleo : E6</v>
      </c>
      <c r="J250" s="125">
        <v>29</v>
      </c>
      <c r="K250" s="125">
        <v>2022</v>
      </c>
      <c r="L250" s="85">
        <v>2184.25</v>
      </c>
      <c r="M250" s="85" t="s">
        <v>630</v>
      </c>
      <c r="N250" s="128">
        <v>10445</v>
      </c>
      <c r="O250" s="128">
        <f t="shared" si="15"/>
        <v>302905</v>
      </c>
      <c r="P250" s="125" t="s">
        <v>885</v>
      </c>
      <c r="Q250" s="85" t="s">
        <v>47</v>
      </c>
      <c r="R250" s="214" t="s">
        <v>1869</v>
      </c>
      <c r="S250" s="214" t="s">
        <v>1861</v>
      </c>
      <c r="T250" s="85" t="s">
        <v>1491</v>
      </c>
      <c r="U250" t="s">
        <v>1953</v>
      </c>
      <c r="V250" t="s">
        <v>2813</v>
      </c>
    </row>
    <row r="251" spans="1:22" ht="15.75" thickBot="1" x14ac:dyDescent="0.3">
      <c r="A251" s="82" t="s">
        <v>3471</v>
      </c>
      <c r="B251" s="82" t="str">
        <f t="shared" si="12"/>
        <v>Barraqueiro Transportes, S.A.</v>
      </c>
      <c r="C251" s="82" t="str">
        <f t="shared" si="13"/>
        <v>Estremadura</v>
      </c>
      <c r="D251" s="83" t="s">
        <v>629</v>
      </c>
      <c r="E251" s="91" t="s">
        <v>1853</v>
      </c>
      <c r="F251" s="124" t="s">
        <v>620</v>
      </c>
      <c r="G251" s="304">
        <v>2020</v>
      </c>
      <c r="H251" s="312" t="s">
        <v>733</v>
      </c>
      <c r="I251" s="307" t="str">
        <f t="shared" si="14"/>
        <v>Pesado de Passageiros M3: III : Gasóleo : E6</v>
      </c>
      <c r="J251" s="125">
        <v>29</v>
      </c>
      <c r="K251" s="125">
        <v>2022</v>
      </c>
      <c r="L251" s="85">
        <v>2619.5500000000002</v>
      </c>
      <c r="M251" s="85" t="s">
        <v>630</v>
      </c>
      <c r="N251" s="128">
        <v>12291</v>
      </c>
      <c r="O251" s="128">
        <f t="shared" si="15"/>
        <v>356439</v>
      </c>
      <c r="P251" s="125" t="s">
        <v>886</v>
      </c>
      <c r="Q251" s="85" t="s">
        <v>47</v>
      </c>
      <c r="R251" s="214" t="s">
        <v>1869</v>
      </c>
      <c r="S251" s="214" t="s">
        <v>1861</v>
      </c>
      <c r="T251" s="85" t="s">
        <v>1491</v>
      </c>
      <c r="U251" t="s">
        <v>1953</v>
      </c>
      <c r="V251" t="s">
        <v>2813</v>
      </c>
    </row>
    <row r="252" spans="1:22" ht="15.75" thickBot="1" x14ac:dyDescent="0.3">
      <c r="A252" s="82" t="s">
        <v>3471</v>
      </c>
      <c r="B252" s="82" t="str">
        <f t="shared" si="12"/>
        <v>Barraqueiro Transportes, S.A.</v>
      </c>
      <c r="C252" s="82" t="str">
        <f t="shared" si="13"/>
        <v>Estremadura</v>
      </c>
      <c r="D252" s="83" t="s">
        <v>629</v>
      </c>
      <c r="E252" s="91" t="s">
        <v>1853</v>
      </c>
      <c r="F252" s="124" t="s">
        <v>620</v>
      </c>
      <c r="G252" s="304">
        <v>2007</v>
      </c>
      <c r="H252" s="312" t="s">
        <v>731</v>
      </c>
      <c r="I252" s="307" t="str">
        <f t="shared" si="14"/>
        <v>Pesado de Passageiros M3: III : Gasóleo : E4</v>
      </c>
      <c r="J252" s="125">
        <v>53</v>
      </c>
      <c r="K252" s="125">
        <v>2022</v>
      </c>
      <c r="L252" s="85">
        <v>14582.240000000002</v>
      </c>
      <c r="M252" s="85" t="s">
        <v>630</v>
      </c>
      <c r="N252" s="128">
        <v>46318</v>
      </c>
      <c r="O252" s="128">
        <f t="shared" si="15"/>
        <v>2454854</v>
      </c>
      <c r="P252" s="125" t="s">
        <v>887</v>
      </c>
      <c r="Q252" s="85" t="s">
        <v>47</v>
      </c>
      <c r="R252" s="214" t="s">
        <v>1869</v>
      </c>
      <c r="S252" s="214" t="s">
        <v>1861</v>
      </c>
      <c r="T252" s="85" t="s">
        <v>1491</v>
      </c>
      <c r="U252" t="s">
        <v>1953</v>
      </c>
      <c r="V252" t="s">
        <v>2813</v>
      </c>
    </row>
    <row r="253" spans="1:22" ht="15.75" thickBot="1" x14ac:dyDescent="0.3">
      <c r="A253" s="82" t="s">
        <v>3471</v>
      </c>
      <c r="B253" s="82" t="str">
        <f t="shared" si="12"/>
        <v>Barraqueiro Transportes, S.A.</v>
      </c>
      <c r="C253" s="82" t="str">
        <f t="shared" si="13"/>
        <v>Estremadura</v>
      </c>
      <c r="D253" s="83" t="s">
        <v>629</v>
      </c>
      <c r="E253" s="91" t="s">
        <v>1853</v>
      </c>
      <c r="F253" s="124" t="s">
        <v>620</v>
      </c>
      <c r="G253" s="304">
        <v>2015</v>
      </c>
      <c r="H253" s="312" t="s">
        <v>733</v>
      </c>
      <c r="I253" s="307" t="str">
        <f t="shared" si="14"/>
        <v>Pesado de Passageiros M3: III : Gasóleo : E6</v>
      </c>
      <c r="J253" s="125">
        <v>39</v>
      </c>
      <c r="K253" s="125">
        <v>2022</v>
      </c>
      <c r="L253" s="85">
        <v>14058.049999999997</v>
      </c>
      <c r="M253" s="85" t="s">
        <v>630</v>
      </c>
      <c r="N253" s="128">
        <v>48166</v>
      </c>
      <c r="O253" s="128">
        <f t="shared" si="15"/>
        <v>1878474</v>
      </c>
      <c r="P253" s="125" t="s">
        <v>888</v>
      </c>
      <c r="Q253" s="85" t="s">
        <v>47</v>
      </c>
      <c r="R253" s="214" t="s">
        <v>1869</v>
      </c>
      <c r="S253" s="214" t="s">
        <v>1861</v>
      </c>
      <c r="T253" s="85" t="s">
        <v>1491</v>
      </c>
      <c r="U253" t="s">
        <v>1953</v>
      </c>
      <c r="V253" t="s">
        <v>2813</v>
      </c>
    </row>
    <row r="254" spans="1:22" ht="15.75" thickBot="1" x14ac:dyDescent="0.3">
      <c r="A254" s="82" t="s">
        <v>3471</v>
      </c>
      <c r="B254" s="82" t="str">
        <f t="shared" si="12"/>
        <v>Barraqueiro Transportes, S.A.</v>
      </c>
      <c r="C254" s="82" t="str">
        <f t="shared" si="13"/>
        <v>Estremadura</v>
      </c>
      <c r="D254" s="83" t="s">
        <v>629</v>
      </c>
      <c r="E254" s="91" t="s">
        <v>1853</v>
      </c>
      <c r="F254" s="124" t="s">
        <v>620</v>
      </c>
      <c r="G254" s="304">
        <v>2009</v>
      </c>
      <c r="H254" s="312" t="s">
        <v>734</v>
      </c>
      <c r="I254" s="307" t="str">
        <f t="shared" si="14"/>
        <v>Pesado de Passageiros M3: III : Gasóleo : E5</v>
      </c>
      <c r="J254" s="125">
        <v>53</v>
      </c>
      <c r="K254" s="125">
        <v>2022</v>
      </c>
      <c r="L254" s="85">
        <v>21001.829999999998</v>
      </c>
      <c r="M254" s="85" t="s">
        <v>630</v>
      </c>
      <c r="N254" s="128">
        <v>71395</v>
      </c>
      <c r="O254" s="128">
        <f t="shared" si="15"/>
        <v>3783935</v>
      </c>
      <c r="P254" s="125" t="s">
        <v>889</v>
      </c>
      <c r="Q254" s="85" t="s">
        <v>47</v>
      </c>
      <c r="R254" s="214" t="s">
        <v>1869</v>
      </c>
      <c r="S254" s="214" t="s">
        <v>1861</v>
      </c>
      <c r="T254" s="85" t="s">
        <v>1491</v>
      </c>
      <c r="U254" t="s">
        <v>1953</v>
      </c>
      <c r="V254" t="s">
        <v>2813</v>
      </c>
    </row>
    <row r="255" spans="1:22" ht="15.75" thickBot="1" x14ac:dyDescent="0.3">
      <c r="A255" s="82" t="s">
        <v>3471</v>
      </c>
      <c r="B255" s="82" t="str">
        <f t="shared" si="12"/>
        <v>Barraqueiro Transportes, S.A.</v>
      </c>
      <c r="C255" s="82" t="str">
        <f t="shared" si="13"/>
        <v>Estremadura</v>
      </c>
      <c r="D255" s="83" t="s">
        <v>629</v>
      </c>
      <c r="E255" s="91" t="s">
        <v>1853</v>
      </c>
      <c r="F255" s="124" t="s">
        <v>620</v>
      </c>
      <c r="G255" s="304">
        <v>2009</v>
      </c>
      <c r="H255" s="312" t="s">
        <v>734</v>
      </c>
      <c r="I255" s="307" t="str">
        <f t="shared" si="14"/>
        <v>Pesado de Passageiros M3: III : Gasóleo : E5</v>
      </c>
      <c r="J255" s="125">
        <v>53</v>
      </c>
      <c r="K255" s="125">
        <v>2022</v>
      </c>
      <c r="L255" s="85">
        <v>12231.150000000001</v>
      </c>
      <c r="M255" s="85" t="s">
        <v>630</v>
      </c>
      <c r="N255" s="128">
        <v>41243</v>
      </c>
      <c r="O255" s="128">
        <f t="shared" si="15"/>
        <v>2185879</v>
      </c>
      <c r="P255" s="125" t="s">
        <v>890</v>
      </c>
      <c r="Q255" s="85" t="s">
        <v>47</v>
      </c>
      <c r="R255" s="214" t="s">
        <v>1869</v>
      </c>
      <c r="S255" s="214" t="s">
        <v>1861</v>
      </c>
      <c r="T255" s="85" t="s">
        <v>1491</v>
      </c>
      <c r="U255" t="s">
        <v>1953</v>
      </c>
      <c r="V255" t="s">
        <v>2813</v>
      </c>
    </row>
    <row r="256" spans="1:22" ht="15.75" thickBot="1" x14ac:dyDescent="0.3">
      <c r="A256" s="82" t="s">
        <v>3471</v>
      </c>
      <c r="B256" s="82" t="str">
        <f t="shared" si="12"/>
        <v>Barraqueiro Transportes, S.A.</v>
      </c>
      <c r="C256" s="82" t="str">
        <f t="shared" si="13"/>
        <v>Estremadura</v>
      </c>
      <c r="D256" s="83" t="s">
        <v>629</v>
      </c>
      <c r="E256" s="91" t="s">
        <v>1853</v>
      </c>
      <c r="F256" s="124" t="s">
        <v>620</v>
      </c>
      <c r="G256" s="304">
        <v>2009</v>
      </c>
      <c r="H256" s="312" t="s">
        <v>734</v>
      </c>
      <c r="I256" s="307" t="str">
        <f t="shared" si="14"/>
        <v>Pesado de Passageiros M3: III : Gasóleo : E5</v>
      </c>
      <c r="J256" s="125">
        <v>53</v>
      </c>
      <c r="K256" s="125">
        <v>2022</v>
      </c>
      <c r="L256" s="85">
        <v>27746.19</v>
      </c>
      <c r="M256" s="85" t="s">
        <v>630</v>
      </c>
      <c r="N256" s="128">
        <v>95053</v>
      </c>
      <c r="O256" s="128">
        <f t="shared" si="15"/>
        <v>5037809</v>
      </c>
      <c r="P256" s="125" t="s">
        <v>891</v>
      </c>
      <c r="Q256" s="85" t="s">
        <v>47</v>
      </c>
      <c r="R256" s="214" t="s">
        <v>1869</v>
      </c>
      <c r="S256" s="214" t="s">
        <v>1861</v>
      </c>
      <c r="T256" s="85" t="s">
        <v>1491</v>
      </c>
      <c r="U256" t="s">
        <v>1953</v>
      </c>
      <c r="V256" t="s">
        <v>2813</v>
      </c>
    </row>
    <row r="257" spans="1:22" ht="15.75" thickBot="1" x14ac:dyDescent="0.3">
      <c r="A257" s="82" t="s">
        <v>3471</v>
      </c>
      <c r="B257" s="82" t="str">
        <f t="shared" si="12"/>
        <v>Barraqueiro Transportes, S.A.</v>
      </c>
      <c r="C257" s="82" t="str">
        <f t="shared" si="13"/>
        <v>Estremadura</v>
      </c>
      <c r="D257" s="83" t="s">
        <v>629</v>
      </c>
      <c r="E257" s="91" t="s">
        <v>1853</v>
      </c>
      <c r="F257" s="124" t="s">
        <v>620</v>
      </c>
      <c r="G257" s="304">
        <v>2009</v>
      </c>
      <c r="H257" s="312" t="s">
        <v>734</v>
      </c>
      <c r="I257" s="307" t="str">
        <f t="shared" si="14"/>
        <v>Pesado de Passageiros M3: III : Gasóleo : E5</v>
      </c>
      <c r="J257" s="125">
        <v>53</v>
      </c>
      <c r="K257" s="125">
        <v>2022</v>
      </c>
      <c r="L257" s="85">
        <v>715.03</v>
      </c>
      <c r="M257" s="85" t="s">
        <v>630</v>
      </c>
      <c r="N257" s="128">
        <v>2334</v>
      </c>
      <c r="O257" s="128">
        <f t="shared" si="15"/>
        <v>123702</v>
      </c>
      <c r="P257" s="125" t="s">
        <v>892</v>
      </c>
      <c r="Q257" s="85" t="s">
        <v>47</v>
      </c>
      <c r="R257" s="214" t="s">
        <v>1869</v>
      </c>
      <c r="S257" s="214" t="s">
        <v>1861</v>
      </c>
      <c r="T257" s="85" t="s">
        <v>1491</v>
      </c>
      <c r="U257" t="s">
        <v>1953</v>
      </c>
      <c r="V257" t="s">
        <v>2813</v>
      </c>
    </row>
    <row r="258" spans="1:22" ht="15.75" thickBot="1" x14ac:dyDescent="0.3">
      <c r="A258" s="82" t="s">
        <v>3471</v>
      </c>
      <c r="B258" s="82" t="str">
        <f t="shared" si="12"/>
        <v>Barraqueiro Transportes, S.A.</v>
      </c>
      <c r="C258" s="82" t="str">
        <f t="shared" si="13"/>
        <v>Estremadura</v>
      </c>
      <c r="D258" s="83" t="s">
        <v>629</v>
      </c>
      <c r="E258" s="91" t="s">
        <v>1853</v>
      </c>
      <c r="F258" s="124" t="s">
        <v>620</v>
      </c>
      <c r="G258" s="304">
        <v>2009</v>
      </c>
      <c r="H258" s="312" t="s">
        <v>734</v>
      </c>
      <c r="I258" s="307" t="str">
        <f t="shared" si="14"/>
        <v>Pesado de Passageiros M3: III : Gasóleo : E5</v>
      </c>
      <c r="J258" s="125">
        <v>53</v>
      </c>
      <c r="K258" s="125">
        <v>2022</v>
      </c>
      <c r="L258" s="85">
        <v>18801.990000000005</v>
      </c>
      <c r="M258" s="85" t="s">
        <v>630</v>
      </c>
      <c r="N258" s="128">
        <v>57080</v>
      </c>
      <c r="O258" s="128">
        <f t="shared" si="15"/>
        <v>3025240</v>
      </c>
      <c r="P258" s="125" t="s">
        <v>893</v>
      </c>
      <c r="Q258" s="85" t="s">
        <v>47</v>
      </c>
      <c r="R258" s="214" t="s">
        <v>1869</v>
      </c>
      <c r="S258" s="214" t="s">
        <v>1861</v>
      </c>
      <c r="T258" s="85" t="s">
        <v>1491</v>
      </c>
      <c r="U258" t="s">
        <v>1953</v>
      </c>
      <c r="V258" t="s">
        <v>2813</v>
      </c>
    </row>
    <row r="259" spans="1:22" ht="15.75" thickBot="1" x14ac:dyDescent="0.3">
      <c r="A259" s="82" t="s">
        <v>3471</v>
      </c>
      <c r="B259" s="82" t="str">
        <f t="shared" ref="B259:B322" si="16">LEFT(A259,IFERROR(FIND(" - ",A259)-1,LEN(A259)))</f>
        <v>Barraqueiro Transportes, S.A.</v>
      </c>
      <c r="C259" s="82" t="str">
        <f t="shared" si="13"/>
        <v>Estremadura</v>
      </c>
      <c r="D259" s="83" t="s">
        <v>629</v>
      </c>
      <c r="E259" s="91" t="s">
        <v>1853</v>
      </c>
      <c r="F259" s="124" t="s">
        <v>620</v>
      </c>
      <c r="G259" s="304">
        <v>2009</v>
      </c>
      <c r="H259" s="312" t="s">
        <v>734</v>
      </c>
      <c r="I259" s="307" t="str">
        <f t="shared" si="14"/>
        <v>Pesado de Passageiros M3: III : Gasóleo : E5</v>
      </c>
      <c r="J259" s="125">
        <v>53</v>
      </c>
      <c r="K259" s="125">
        <v>2022</v>
      </c>
      <c r="L259" s="85">
        <v>26092.83</v>
      </c>
      <c r="M259" s="85" t="s">
        <v>630</v>
      </c>
      <c r="N259" s="128">
        <v>80002</v>
      </c>
      <c r="O259" s="128">
        <f t="shared" si="15"/>
        <v>4240106</v>
      </c>
      <c r="P259" s="125" t="s">
        <v>894</v>
      </c>
      <c r="Q259" s="85" t="s">
        <v>47</v>
      </c>
      <c r="R259" s="214" t="s">
        <v>1869</v>
      </c>
      <c r="S259" s="214" t="s">
        <v>1861</v>
      </c>
      <c r="T259" s="85" t="s">
        <v>1491</v>
      </c>
      <c r="U259" t="s">
        <v>1953</v>
      </c>
      <c r="V259" t="s">
        <v>2813</v>
      </c>
    </row>
    <row r="260" spans="1:22" ht="15.75" thickBot="1" x14ac:dyDescent="0.3">
      <c r="A260" s="82" t="s">
        <v>3471</v>
      </c>
      <c r="B260" s="82" t="str">
        <f t="shared" si="16"/>
        <v>Barraqueiro Transportes, S.A.</v>
      </c>
      <c r="C260" s="82" t="str">
        <f t="shared" ref="C260:C323" si="17">IF(A260=B260,B260,RIGHT(A260,LEN(A260)-LEN(B260)-3))</f>
        <v>Estremadura</v>
      </c>
      <c r="D260" s="83" t="s">
        <v>629</v>
      </c>
      <c r="E260" s="91" t="s">
        <v>1853</v>
      </c>
      <c r="F260" s="124" t="s">
        <v>620</v>
      </c>
      <c r="G260" s="304">
        <v>2009</v>
      </c>
      <c r="H260" s="312" t="s">
        <v>734</v>
      </c>
      <c r="I260" s="307" t="str">
        <f t="shared" ref="I260:I323" si="18">D260&amp;": "&amp;E260&amp;" : "&amp;F260&amp;" : "&amp;H260</f>
        <v>Pesado de Passageiros M3: III : Gasóleo : E5</v>
      </c>
      <c r="J260" s="125">
        <v>53</v>
      </c>
      <c r="K260" s="125">
        <v>2022</v>
      </c>
      <c r="L260" s="85">
        <v>21195.390000000003</v>
      </c>
      <c r="M260" s="85" t="s">
        <v>630</v>
      </c>
      <c r="N260" s="128">
        <v>65608</v>
      </c>
      <c r="O260" s="128">
        <f t="shared" ref="O260:O323" si="19">N260*J260</f>
        <v>3477224</v>
      </c>
      <c r="P260" s="125" t="s">
        <v>895</v>
      </c>
      <c r="Q260" s="85" t="s">
        <v>47</v>
      </c>
      <c r="R260" s="214" t="s">
        <v>1869</v>
      </c>
      <c r="S260" s="214" t="s">
        <v>1861</v>
      </c>
      <c r="T260" s="85" t="s">
        <v>1491</v>
      </c>
      <c r="U260" t="s">
        <v>1953</v>
      </c>
      <c r="V260" t="s">
        <v>2813</v>
      </c>
    </row>
    <row r="261" spans="1:22" ht="15.75" thickBot="1" x14ac:dyDescent="0.3">
      <c r="A261" s="82" t="s">
        <v>3471</v>
      </c>
      <c r="B261" s="82" t="str">
        <f t="shared" si="16"/>
        <v>Barraqueiro Transportes, S.A.</v>
      </c>
      <c r="C261" s="82" t="str">
        <f t="shared" si="17"/>
        <v>Estremadura</v>
      </c>
      <c r="D261" s="83" t="s">
        <v>629</v>
      </c>
      <c r="E261" s="91" t="s">
        <v>1853</v>
      </c>
      <c r="F261" s="124" t="s">
        <v>620</v>
      </c>
      <c r="G261" s="304">
        <v>2009</v>
      </c>
      <c r="H261" s="312" t="s">
        <v>734</v>
      </c>
      <c r="I261" s="307" t="str">
        <f t="shared" si="18"/>
        <v>Pesado de Passageiros M3: III : Gasóleo : E5</v>
      </c>
      <c r="J261" s="125">
        <v>53</v>
      </c>
      <c r="K261" s="125">
        <v>2022</v>
      </c>
      <c r="L261" s="85">
        <v>18345.189999999999</v>
      </c>
      <c r="M261" s="85" t="s">
        <v>630</v>
      </c>
      <c r="N261" s="128">
        <v>56274</v>
      </c>
      <c r="O261" s="128">
        <f t="shared" si="19"/>
        <v>2982522</v>
      </c>
      <c r="P261" s="125" t="s">
        <v>896</v>
      </c>
      <c r="Q261" s="85" t="s">
        <v>47</v>
      </c>
      <c r="R261" s="214" t="s">
        <v>1869</v>
      </c>
      <c r="S261" s="214" t="s">
        <v>1861</v>
      </c>
      <c r="T261" s="85" t="s">
        <v>1491</v>
      </c>
      <c r="U261" t="s">
        <v>1953</v>
      </c>
      <c r="V261" t="s">
        <v>2813</v>
      </c>
    </row>
    <row r="262" spans="1:22" ht="15.75" thickBot="1" x14ac:dyDescent="0.3">
      <c r="A262" s="82" t="s">
        <v>3471</v>
      </c>
      <c r="B262" s="82" t="str">
        <f t="shared" si="16"/>
        <v>Barraqueiro Transportes, S.A.</v>
      </c>
      <c r="C262" s="82" t="str">
        <f t="shared" si="17"/>
        <v>Estremadura</v>
      </c>
      <c r="D262" s="83" t="s">
        <v>629</v>
      </c>
      <c r="E262" s="91" t="s">
        <v>1853</v>
      </c>
      <c r="F262" s="124" t="s">
        <v>620</v>
      </c>
      <c r="G262" s="304">
        <v>2009</v>
      </c>
      <c r="H262" s="312" t="s">
        <v>734</v>
      </c>
      <c r="I262" s="307" t="str">
        <f t="shared" si="18"/>
        <v>Pesado de Passageiros M3: III : Gasóleo : E5</v>
      </c>
      <c r="J262" s="125">
        <v>25</v>
      </c>
      <c r="K262" s="125">
        <v>2022</v>
      </c>
      <c r="L262" s="85">
        <v>0</v>
      </c>
      <c r="M262" s="85" t="s">
        <v>630</v>
      </c>
      <c r="N262" s="128">
        <v>0</v>
      </c>
      <c r="O262" s="128">
        <f t="shared" si="19"/>
        <v>0</v>
      </c>
      <c r="P262" s="125" t="s">
        <v>897</v>
      </c>
      <c r="Q262" s="85" t="s">
        <v>47</v>
      </c>
      <c r="R262" s="214" t="s">
        <v>1869</v>
      </c>
      <c r="S262" s="214" t="s">
        <v>1861</v>
      </c>
      <c r="T262" s="85" t="s">
        <v>1491</v>
      </c>
      <c r="U262" t="s">
        <v>1953</v>
      </c>
      <c r="V262" t="s">
        <v>2813</v>
      </c>
    </row>
    <row r="263" spans="1:22" ht="15.75" thickBot="1" x14ac:dyDescent="0.3">
      <c r="A263" s="82" t="s">
        <v>3471</v>
      </c>
      <c r="B263" s="82" t="str">
        <f t="shared" si="16"/>
        <v>Barraqueiro Transportes, S.A.</v>
      </c>
      <c r="C263" s="82" t="str">
        <f t="shared" si="17"/>
        <v>Estremadura</v>
      </c>
      <c r="D263" s="83" t="s">
        <v>629</v>
      </c>
      <c r="E263" s="91" t="s">
        <v>1853</v>
      </c>
      <c r="F263" s="124" t="s">
        <v>620</v>
      </c>
      <c r="G263" s="304">
        <v>2010</v>
      </c>
      <c r="H263" s="312" t="s">
        <v>734</v>
      </c>
      <c r="I263" s="307" t="str">
        <f t="shared" si="18"/>
        <v>Pesado de Passageiros M3: III : Gasóleo : E5</v>
      </c>
      <c r="J263" s="125">
        <v>53</v>
      </c>
      <c r="K263" s="125">
        <v>2022</v>
      </c>
      <c r="L263" s="85">
        <v>29419.870000000003</v>
      </c>
      <c r="M263" s="85" t="s">
        <v>630</v>
      </c>
      <c r="N263" s="128">
        <v>99900</v>
      </c>
      <c r="O263" s="128">
        <f t="shared" si="19"/>
        <v>5294700</v>
      </c>
      <c r="P263" s="125" t="s">
        <v>898</v>
      </c>
      <c r="Q263" s="85" t="s">
        <v>47</v>
      </c>
      <c r="R263" s="214" t="s">
        <v>1869</v>
      </c>
      <c r="S263" s="214" t="s">
        <v>1861</v>
      </c>
      <c r="T263" s="85" t="s">
        <v>1491</v>
      </c>
      <c r="U263" t="s">
        <v>1953</v>
      </c>
      <c r="V263" t="s">
        <v>2813</v>
      </c>
    </row>
    <row r="264" spans="1:22" ht="15.75" thickBot="1" x14ac:dyDescent="0.3">
      <c r="A264" s="82" t="s">
        <v>3471</v>
      </c>
      <c r="B264" s="82" t="str">
        <f t="shared" si="16"/>
        <v>Barraqueiro Transportes, S.A.</v>
      </c>
      <c r="C264" s="82" t="str">
        <f t="shared" si="17"/>
        <v>Estremadura</v>
      </c>
      <c r="D264" s="83" t="s">
        <v>629</v>
      </c>
      <c r="E264" s="91" t="s">
        <v>1853</v>
      </c>
      <c r="F264" s="124" t="s">
        <v>620</v>
      </c>
      <c r="G264" s="304">
        <v>2016</v>
      </c>
      <c r="H264" s="312" t="s">
        <v>733</v>
      </c>
      <c r="I264" s="307" t="str">
        <f t="shared" si="18"/>
        <v>Pesado de Passageiros M3: III : Gasóleo : E6</v>
      </c>
      <c r="J264" s="125">
        <v>53</v>
      </c>
      <c r="K264" s="125">
        <v>2022</v>
      </c>
      <c r="L264" s="85">
        <v>27604.68</v>
      </c>
      <c r="M264" s="85" t="s">
        <v>630</v>
      </c>
      <c r="N264" s="128">
        <v>100322</v>
      </c>
      <c r="O264" s="128">
        <f t="shared" si="19"/>
        <v>5317066</v>
      </c>
      <c r="P264" s="125" t="s">
        <v>899</v>
      </c>
      <c r="Q264" s="85" t="s">
        <v>47</v>
      </c>
      <c r="R264" s="214" t="s">
        <v>1869</v>
      </c>
      <c r="S264" s="214" t="s">
        <v>1861</v>
      </c>
      <c r="T264" s="85" t="s">
        <v>1491</v>
      </c>
      <c r="U264" t="s">
        <v>1953</v>
      </c>
      <c r="V264" t="s">
        <v>2813</v>
      </c>
    </row>
    <row r="265" spans="1:22" ht="15.75" thickBot="1" x14ac:dyDescent="0.3">
      <c r="A265" s="82" t="s">
        <v>3471</v>
      </c>
      <c r="B265" s="82" t="str">
        <f t="shared" si="16"/>
        <v>Barraqueiro Transportes, S.A.</v>
      </c>
      <c r="C265" s="82" t="str">
        <f t="shared" si="17"/>
        <v>Estremadura</v>
      </c>
      <c r="D265" s="83" t="s">
        <v>629</v>
      </c>
      <c r="E265" s="91" t="s">
        <v>1853</v>
      </c>
      <c r="F265" s="124" t="s">
        <v>620</v>
      </c>
      <c r="G265" s="304">
        <v>2016</v>
      </c>
      <c r="H265" s="312" t="s">
        <v>733</v>
      </c>
      <c r="I265" s="307" t="str">
        <f t="shared" si="18"/>
        <v>Pesado de Passageiros M3: III : Gasóleo : E6</v>
      </c>
      <c r="J265" s="125">
        <v>53</v>
      </c>
      <c r="K265" s="125">
        <v>2022</v>
      </c>
      <c r="L265" s="85">
        <v>35040.909999999996</v>
      </c>
      <c r="M265" s="85" t="s">
        <v>630</v>
      </c>
      <c r="N265" s="128">
        <v>123555</v>
      </c>
      <c r="O265" s="128">
        <f t="shared" si="19"/>
        <v>6548415</v>
      </c>
      <c r="P265" s="125" t="s">
        <v>900</v>
      </c>
      <c r="Q265" s="85" t="s">
        <v>47</v>
      </c>
      <c r="R265" s="214" t="s">
        <v>1869</v>
      </c>
      <c r="S265" s="214" t="s">
        <v>1861</v>
      </c>
      <c r="T265" s="85" t="s">
        <v>1491</v>
      </c>
      <c r="U265" t="s">
        <v>1953</v>
      </c>
      <c r="V265" t="s">
        <v>2813</v>
      </c>
    </row>
    <row r="266" spans="1:22" ht="15.75" thickBot="1" x14ac:dyDescent="0.3">
      <c r="A266" s="82" t="s">
        <v>3471</v>
      </c>
      <c r="B266" s="82" t="str">
        <f t="shared" si="16"/>
        <v>Barraqueiro Transportes, S.A.</v>
      </c>
      <c r="C266" s="82" t="str">
        <f t="shared" si="17"/>
        <v>Estremadura</v>
      </c>
      <c r="D266" s="83" t="s">
        <v>629</v>
      </c>
      <c r="E266" s="91" t="s">
        <v>1853</v>
      </c>
      <c r="F266" s="124" t="s">
        <v>620</v>
      </c>
      <c r="G266" s="304">
        <v>2016</v>
      </c>
      <c r="H266" s="312" t="s">
        <v>733</v>
      </c>
      <c r="I266" s="307" t="str">
        <f t="shared" si="18"/>
        <v>Pesado de Passageiros M3: III : Gasóleo : E6</v>
      </c>
      <c r="J266" s="125">
        <v>53</v>
      </c>
      <c r="K266" s="125">
        <v>2022</v>
      </c>
      <c r="L266" s="85">
        <v>34558.770000000004</v>
      </c>
      <c r="M266" s="85" t="s">
        <v>630</v>
      </c>
      <c r="N266" s="128">
        <v>126205</v>
      </c>
      <c r="O266" s="128">
        <f t="shared" si="19"/>
        <v>6688865</v>
      </c>
      <c r="P266" s="125" t="s">
        <v>901</v>
      </c>
      <c r="Q266" s="85" t="s">
        <v>47</v>
      </c>
      <c r="R266" s="214" t="s">
        <v>1869</v>
      </c>
      <c r="S266" s="214" t="s">
        <v>1861</v>
      </c>
      <c r="T266" s="85" t="s">
        <v>1491</v>
      </c>
      <c r="U266" t="s">
        <v>1953</v>
      </c>
      <c r="V266" t="s">
        <v>2813</v>
      </c>
    </row>
    <row r="267" spans="1:22" ht="15.75" thickBot="1" x14ac:dyDescent="0.3">
      <c r="A267" s="82" t="s">
        <v>3471</v>
      </c>
      <c r="B267" s="82" t="str">
        <f t="shared" si="16"/>
        <v>Barraqueiro Transportes, S.A.</v>
      </c>
      <c r="C267" s="82" t="str">
        <f t="shared" si="17"/>
        <v>Estremadura</v>
      </c>
      <c r="D267" s="83" t="s">
        <v>629</v>
      </c>
      <c r="E267" s="91" t="s">
        <v>1853</v>
      </c>
      <c r="F267" s="124" t="s">
        <v>620</v>
      </c>
      <c r="G267" s="304">
        <v>2016</v>
      </c>
      <c r="H267" s="312" t="s">
        <v>733</v>
      </c>
      <c r="I267" s="307" t="str">
        <f t="shared" si="18"/>
        <v>Pesado de Passageiros M3: III : Gasóleo : E6</v>
      </c>
      <c r="J267" s="125">
        <v>53</v>
      </c>
      <c r="K267" s="125">
        <v>2022</v>
      </c>
      <c r="L267" s="85">
        <v>35617.640000000007</v>
      </c>
      <c r="M267" s="85" t="s">
        <v>630</v>
      </c>
      <c r="N267" s="128">
        <v>130238</v>
      </c>
      <c r="O267" s="128">
        <f t="shared" si="19"/>
        <v>6902614</v>
      </c>
      <c r="P267" s="125" t="s">
        <v>902</v>
      </c>
      <c r="Q267" s="85" t="s">
        <v>47</v>
      </c>
      <c r="R267" s="214" t="s">
        <v>1869</v>
      </c>
      <c r="S267" s="214" t="s">
        <v>1861</v>
      </c>
      <c r="T267" s="85" t="s">
        <v>1491</v>
      </c>
      <c r="U267" t="s">
        <v>1953</v>
      </c>
      <c r="V267" t="s">
        <v>2813</v>
      </c>
    </row>
    <row r="268" spans="1:22" ht="15.75" thickBot="1" x14ac:dyDescent="0.3">
      <c r="A268" s="82" t="s">
        <v>3471</v>
      </c>
      <c r="B268" s="82" t="str">
        <f t="shared" si="16"/>
        <v>Barraqueiro Transportes, S.A.</v>
      </c>
      <c r="C268" s="82" t="str">
        <f t="shared" si="17"/>
        <v>Estremadura</v>
      </c>
      <c r="D268" s="83" t="s">
        <v>629</v>
      </c>
      <c r="E268" s="91" t="s">
        <v>1853</v>
      </c>
      <c r="F268" s="124" t="s">
        <v>620</v>
      </c>
      <c r="G268" s="304">
        <v>2016</v>
      </c>
      <c r="H268" s="312" t="s">
        <v>733</v>
      </c>
      <c r="I268" s="307" t="str">
        <f t="shared" si="18"/>
        <v>Pesado de Passageiros M3: III : Gasóleo : E6</v>
      </c>
      <c r="J268" s="125">
        <v>63</v>
      </c>
      <c r="K268" s="125">
        <v>2022</v>
      </c>
      <c r="L268" s="85">
        <v>59307.360000000008</v>
      </c>
      <c r="M268" s="85" t="s">
        <v>630</v>
      </c>
      <c r="N268" s="128">
        <v>206306</v>
      </c>
      <c r="O268" s="128">
        <f t="shared" si="19"/>
        <v>12997278</v>
      </c>
      <c r="P268" s="125" t="s">
        <v>903</v>
      </c>
      <c r="Q268" s="85" t="s">
        <v>47</v>
      </c>
      <c r="R268" s="214" t="s">
        <v>1869</v>
      </c>
      <c r="S268" s="214" t="s">
        <v>1861</v>
      </c>
      <c r="T268" s="85" t="s">
        <v>1491</v>
      </c>
      <c r="U268" t="s">
        <v>1953</v>
      </c>
      <c r="V268" t="s">
        <v>2813</v>
      </c>
    </row>
    <row r="269" spans="1:22" ht="15.75" thickBot="1" x14ac:dyDescent="0.3">
      <c r="A269" s="82" t="s">
        <v>3471</v>
      </c>
      <c r="B269" s="82" t="str">
        <f t="shared" si="16"/>
        <v>Barraqueiro Transportes, S.A.</v>
      </c>
      <c r="C269" s="82" t="str">
        <f t="shared" si="17"/>
        <v>Estremadura</v>
      </c>
      <c r="D269" s="83" t="s">
        <v>629</v>
      </c>
      <c r="E269" s="91" t="s">
        <v>1853</v>
      </c>
      <c r="F269" s="124" t="s">
        <v>620</v>
      </c>
      <c r="G269" s="304">
        <v>2016</v>
      </c>
      <c r="H269" s="312" t="s">
        <v>733</v>
      </c>
      <c r="I269" s="307" t="str">
        <f t="shared" si="18"/>
        <v>Pesado de Passageiros M3: III : Gasóleo : E6</v>
      </c>
      <c r="J269" s="125">
        <v>63</v>
      </c>
      <c r="K269" s="125">
        <v>2022</v>
      </c>
      <c r="L269" s="85">
        <v>69130.320000000007</v>
      </c>
      <c r="M269" s="85" t="s">
        <v>630</v>
      </c>
      <c r="N269" s="128">
        <v>228726</v>
      </c>
      <c r="O269" s="128">
        <f t="shared" si="19"/>
        <v>14409738</v>
      </c>
      <c r="P269" s="125" t="s">
        <v>904</v>
      </c>
      <c r="Q269" s="85" t="s">
        <v>47</v>
      </c>
      <c r="R269" s="214" t="s">
        <v>1869</v>
      </c>
      <c r="S269" s="214" t="s">
        <v>1861</v>
      </c>
      <c r="T269" s="85" t="s">
        <v>1491</v>
      </c>
      <c r="U269" t="s">
        <v>1953</v>
      </c>
      <c r="V269" t="s">
        <v>2813</v>
      </c>
    </row>
    <row r="270" spans="1:22" ht="15.75" thickBot="1" x14ac:dyDescent="0.3">
      <c r="A270" s="82" t="s">
        <v>3471</v>
      </c>
      <c r="B270" s="82" t="str">
        <f t="shared" si="16"/>
        <v>Barraqueiro Transportes, S.A.</v>
      </c>
      <c r="C270" s="82" t="str">
        <f t="shared" si="17"/>
        <v>Estremadura</v>
      </c>
      <c r="D270" s="83" t="s">
        <v>629</v>
      </c>
      <c r="E270" s="91" t="s">
        <v>1853</v>
      </c>
      <c r="F270" s="124" t="s">
        <v>620</v>
      </c>
      <c r="G270" s="304">
        <v>2016</v>
      </c>
      <c r="H270" s="312" t="s">
        <v>733</v>
      </c>
      <c r="I270" s="307" t="str">
        <f t="shared" si="18"/>
        <v>Pesado de Passageiros M3: III : Gasóleo : E6</v>
      </c>
      <c r="J270" s="125">
        <v>19</v>
      </c>
      <c r="K270" s="125">
        <v>2022</v>
      </c>
      <c r="L270" s="85">
        <v>3892.47</v>
      </c>
      <c r="M270" s="85" t="s">
        <v>630</v>
      </c>
      <c r="N270" s="128">
        <v>21125</v>
      </c>
      <c r="O270" s="128">
        <f t="shared" si="19"/>
        <v>401375</v>
      </c>
      <c r="P270" s="125" t="s">
        <v>905</v>
      </c>
      <c r="Q270" s="85" t="s">
        <v>47</v>
      </c>
      <c r="R270" s="214" t="s">
        <v>1869</v>
      </c>
      <c r="S270" s="214" t="s">
        <v>1861</v>
      </c>
      <c r="T270" s="85" t="s">
        <v>1491</v>
      </c>
      <c r="U270" t="s">
        <v>1953</v>
      </c>
      <c r="V270" t="s">
        <v>2813</v>
      </c>
    </row>
    <row r="271" spans="1:22" ht="15.75" thickBot="1" x14ac:dyDescent="0.3">
      <c r="A271" s="82" t="s">
        <v>3471</v>
      </c>
      <c r="B271" s="82" t="str">
        <f t="shared" si="16"/>
        <v>Barraqueiro Transportes, S.A.</v>
      </c>
      <c r="C271" s="82" t="str">
        <f t="shared" si="17"/>
        <v>Estremadura</v>
      </c>
      <c r="D271" s="83" t="s">
        <v>629</v>
      </c>
      <c r="E271" s="91" t="s">
        <v>1853</v>
      </c>
      <c r="F271" s="124" t="s">
        <v>620</v>
      </c>
      <c r="G271" s="304">
        <v>2016</v>
      </c>
      <c r="H271" s="312" t="s">
        <v>733</v>
      </c>
      <c r="I271" s="307" t="str">
        <f t="shared" si="18"/>
        <v>Pesado de Passageiros M3: III : Gasóleo : E6</v>
      </c>
      <c r="J271" s="125">
        <v>40</v>
      </c>
      <c r="K271" s="125">
        <v>2022</v>
      </c>
      <c r="L271" s="85">
        <v>6581.4</v>
      </c>
      <c r="M271" s="85" t="s">
        <v>630</v>
      </c>
      <c r="N271" s="128">
        <v>21075</v>
      </c>
      <c r="O271" s="128">
        <f t="shared" si="19"/>
        <v>843000</v>
      </c>
      <c r="P271" s="125" t="s">
        <v>906</v>
      </c>
      <c r="Q271" s="85" t="s">
        <v>47</v>
      </c>
      <c r="R271" s="214" t="s">
        <v>1869</v>
      </c>
      <c r="S271" s="214" t="s">
        <v>1861</v>
      </c>
      <c r="T271" s="85" t="s">
        <v>1491</v>
      </c>
      <c r="U271" t="s">
        <v>1953</v>
      </c>
      <c r="V271" t="s">
        <v>2813</v>
      </c>
    </row>
    <row r="272" spans="1:22" ht="15.75" thickBot="1" x14ac:dyDescent="0.3">
      <c r="A272" s="82" t="s">
        <v>3471</v>
      </c>
      <c r="B272" s="82" t="str">
        <f t="shared" si="16"/>
        <v>Barraqueiro Transportes, S.A.</v>
      </c>
      <c r="C272" s="82" t="str">
        <f t="shared" si="17"/>
        <v>Estremadura</v>
      </c>
      <c r="D272" s="83" t="s">
        <v>629</v>
      </c>
      <c r="E272" s="91" t="s">
        <v>1853</v>
      </c>
      <c r="F272" s="124" t="s">
        <v>620</v>
      </c>
      <c r="G272" s="304">
        <v>2016</v>
      </c>
      <c r="H272" s="312" t="s">
        <v>733</v>
      </c>
      <c r="I272" s="307" t="str">
        <f t="shared" si="18"/>
        <v>Pesado de Passageiros M3: III : Gasóleo : E6</v>
      </c>
      <c r="J272" s="125">
        <v>40</v>
      </c>
      <c r="K272" s="125">
        <v>2022</v>
      </c>
      <c r="L272" s="85">
        <v>5522.1900000000005</v>
      </c>
      <c r="M272" s="85" t="s">
        <v>630</v>
      </c>
      <c r="N272" s="128">
        <v>17307</v>
      </c>
      <c r="O272" s="128">
        <f t="shared" si="19"/>
        <v>692280</v>
      </c>
      <c r="P272" s="125" t="s">
        <v>907</v>
      </c>
      <c r="Q272" s="85" t="s">
        <v>47</v>
      </c>
      <c r="R272" s="214" t="s">
        <v>1869</v>
      </c>
      <c r="S272" s="214" t="s">
        <v>1861</v>
      </c>
      <c r="T272" s="85" t="s">
        <v>1491</v>
      </c>
      <c r="U272" t="s">
        <v>1953</v>
      </c>
      <c r="V272" t="s">
        <v>2813</v>
      </c>
    </row>
    <row r="273" spans="1:22" ht="15.75" thickBot="1" x14ac:dyDescent="0.3">
      <c r="A273" s="82" t="s">
        <v>3471</v>
      </c>
      <c r="B273" s="82" t="str">
        <f t="shared" si="16"/>
        <v>Barraqueiro Transportes, S.A.</v>
      </c>
      <c r="C273" s="82" t="str">
        <f t="shared" si="17"/>
        <v>Estremadura</v>
      </c>
      <c r="D273" s="83" t="s">
        <v>629</v>
      </c>
      <c r="E273" s="91" t="s">
        <v>1853</v>
      </c>
      <c r="F273" s="124" t="s">
        <v>620</v>
      </c>
      <c r="G273" s="304">
        <v>2016</v>
      </c>
      <c r="H273" s="312" t="s">
        <v>733</v>
      </c>
      <c r="I273" s="307" t="str">
        <f t="shared" si="18"/>
        <v>Pesado de Passageiros M3: III : Gasóleo : E6</v>
      </c>
      <c r="J273" s="125">
        <v>31</v>
      </c>
      <c r="K273" s="125">
        <v>2022</v>
      </c>
      <c r="L273" s="85">
        <v>2913.13</v>
      </c>
      <c r="M273" s="85" t="s">
        <v>630</v>
      </c>
      <c r="N273" s="128">
        <v>9172</v>
      </c>
      <c r="O273" s="128">
        <f t="shared" si="19"/>
        <v>284332</v>
      </c>
      <c r="P273" s="125" t="s">
        <v>908</v>
      </c>
      <c r="Q273" s="85" t="s">
        <v>47</v>
      </c>
      <c r="R273" s="214" t="s">
        <v>1869</v>
      </c>
      <c r="S273" s="214" t="s">
        <v>1861</v>
      </c>
      <c r="T273" s="85" t="s">
        <v>1491</v>
      </c>
      <c r="U273" t="s">
        <v>1953</v>
      </c>
      <c r="V273" t="s">
        <v>2813</v>
      </c>
    </row>
    <row r="274" spans="1:22" ht="15.75" thickBot="1" x14ac:dyDescent="0.3">
      <c r="A274" s="82" t="s">
        <v>3471</v>
      </c>
      <c r="B274" s="82" t="str">
        <f t="shared" si="16"/>
        <v>Barraqueiro Transportes, S.A.</v>
      </c>
      <c r="C274" s="82" t="str">
        <f t="shared" si="17"/>
        <v>Estremadura</v>
      </c>
      <c r="D274" s="83" t="s">
        <v>629</v>
      </c>
      <c r="E274" s="91" t="s">
        <v>1853</v>
      </c>
      <c r="F274" s="124" t="s">
        <v>620</v>
      </c>
      <c r="G274" s="304">
        <v>2016</v>
      </c>
      <c r="H274" s="312" t="s">
        <v>733</v>
      </c>
      <c r="I274" s="307" t="str">
        <f t="shared" si="18"/>
        <v>Pesado de Passageiros M3: III : Gasóleo : E6</v>
      </c>
      <c r="J274" s="125">
        <v>31</v>
      </c>
      <c r="K274" s="125">
        <v>2022</v>
      </c>
      <c r="L274" s="85">
        <v>2328.1</v>
      </c>
      <c r="M274" s="85" t="s">
        <v>630</v>
      </c>
      <c r="N274" s="128">
        <v>7383</v>
      </c>
      <c r="O274" s="128">
        <f t="shared" si="19"/>
        <v>228873</v>
      </c>
      <c r="P274" s="125" t="s">
        <v>909</v>
      </c>
      <c r="Q274" s="85" t="s">
        <v>47</v>
      </c>
      <c r="R274" s="214" t="s">
        <v>1869</v>
      </c>
      <c r="S274" s="214" t="s">
        <v>1861</v>
      </c>
      <c r="T274" s="85" t="s">
        <v>1491</v>
      </c>
      <c r="U274" t="s">
        <v>1953</v>
      </c>
      <c r="V274" t="s">
        <v>2813</v>
      </c>
    </row>
    <row r="275" spans="1:22" ht="15.75" thickBot="1" x14ac:dyDescent="0.3">
      <c r="A275" s="82" t="s">
        <v>3471</v>
      </c>
      <c r="B275" s="82" t="str">
        <f t="shared" si="16"/>
        <v>Barraqueiro Transportes, S.A.</v>
      </c>
      <c r="C275" s="82" t="str">
        <f t="shared" si="17"/>
        <v>Estremadura</v>
      </c>
      <c r="D275" s="83" t="s">
        <v>629</v>
      </c>
      <c r="E275" s="91" t="s">
        <v>1853</v>
      </c>
      <c r="F275" s="124" t="s">
        <v>620</v>
      </c>
      <c r="G275" s="304">
        <v>2012</v>
      </c>
      <c r="H275" s="312" t="s">
        <v>734</v>
      </c>
      <c r="I275" s="307" t="str">
        <f t="shared" si="18"/>
        <v>Pesado de Passageiros M3: III : Gasóleo : E5</v>
      </c>
      <c r="J275" s="125">
        <v>63</v>
      </c>
      <c r="K275" s="125">
        <v>2022</v>
      </c>
      <c r="L275" s="85">
        <v>42370.46</v>
      </c>
      <c r="M275" s="85" t="s">
        <v>630</v>
      </c>
      <c r="N275" s="128">
        <v>138955</v>
      </c>
      <c r="O275" s="128">
        <f t="shared" si="19"/>
        <v>8754165</v>
      </c>
      <c r="P275" s="125" t="s">
        <v>910</v>
      </c>
      <c r="Q275" s="85" t="s">
        <v>47</v>
      </c>
      <c r="R275" s="214" t="s">
        <v>1869</v>
      </c>
      <c r="S275" s="214" t="s">
        <v>1861</v>
      </c>
      <c r="T275" s="85" t="s">
        <v>1491</v>
      </c>
      <c r="U275" t="s">
        <v>1953</v>
      </c>
      <c r="V275" t="s">
        <v>2813</v>
      </c>
    </row>
    <row r="276" spans="1:22" ht="15.75" thickBot="1" x14ac:dyDescent="0.3">
      <c r="A276" s="82" t="s">
        <v>3471</v>
      </c>
      <c r="B276" s="82" t="str">
        <f t="shared" si="16"/>
        <v>Barraqueiro Transportes, S.A.</v>
      </c>
      <c r="C276" s="82" t="str">
        <f t="shared" si="17"/>
        <v>Estremadura</v>
      </c>
      <c r="D276" s="83" t="s">
        <v>629</v>
      </c>
      <c r="E276" s="91" t="s">
        <v>1853</v>
      </c>
      <c r="F276" s="124" t="s">
        <v>620</v>
      </c>
      <c r="G276" s="304">
        <v>2012</v>
      </c>
      <c r="H276" s="312" t="s">
        <v>734</v>
      </c>
      <c r="I276" s="307" t="str">
        <f t="shared" si="18"/>
        <v>Pesado de Passageiros M3: III : Gasóleo : E5</v>
      </c>
      <c r="J276" s="125">
        <v>34</v>
      </c>
      <c r="K276" s="125">
        <v>2022</v>
      </c>
      <c r="L276" s="85">
        <v>7237.6859999999997</v>
      </c>
      <c r="M276" s="85" t="s">
        <v>630</v>
      </c>
      <c r="N276" s="128">
        <v>24977</v>
      </c>
      <c r="O276" s="128">
        <f t="shared" si="19"/>
        <v>849218</v>
      </c>
      <c r="P276" s="125" t="s">
        <v>911</v>
      </c>
      <c r="Q276" s="85" t="s">
        <v>47</v>
      </c>
      <c r="R276" s="214" t="s">
        <v>1869</v>
      </c>
      <c r="S276" s="214" t="s">
        <v>1861</v>
      </c>
      <c r="T276" s="85" t="s">
        <v>1491</v>
      </c>
      <c r="U276" t="s">
        <v>1953</v>
      </c>
      <c r="V276" t="s">
        <v>2813</v>
      </c>
    </row>
    <row r="277" spans="1:22" ht="15.75" thickBot="1" x14ac:dyDescent="0.3">
      <c r="A277" s="82" t="s">
        <v>3471</v>
      </c>
      <c r="B277" s="82" t="str">
        <f t="shared" si="16"/>
        <v>Barraqueiro Transportes, S.A.</v>
      </c>
      <c r="C277" s="82" t="str">
        <f t="shared" si="17"/>
        <v>Estremadura</v>
      </c>
      <c r="D277" s="83" t="s">
        <v>629</v>
      </c>
      <c r="E277" s="91" t="s">
        <v>1853</v>
      </c>
      <c r="F277" s="124" t="s">
        <v>620</v>
      </c>
      <c r="G277" s="304">
        <v>2012</v>
      </c>
      <c r="H277" s="312" t="s">
        <v>734</v>
      </c>
      <c r="I277" s="307" t="str">
        <f t="shared" si="18"/>
        <v>Pesado de Passageiros M3: III : Gasóleo : E5</v>
      </c>
      <c r="J277" s="125">
        <v>27</v>
      </c>
      <c r="K277" s="125">
        <v>2022</v>
      </c>
      <c r="L277" s="85">
        <v>2541.8700000000003</v>
      </c>
      <c r="M277" s="85" t="s">
        <v>630</v>
      </c>
      <c r="N277" s="128">
        <v>11979</v>
      </c>
      <c r="O277" s="128">
        <f t="shared" si="19"/>
        <v>323433</v>
      </c>
      <c r="P277" s="125" t="s">
        <v>912</v>
      </c>
      <c r="Q277" s="85" t="s">
        <v>47</v>
      </c>
      <c r="R277" s="214" t="s">
        <v>1869</v>
      </c>
      <c r="S277" s="214" t="s">
        <v>1861</v>
      </c>
      <c r="T277" s="85" t="s">
        <v>1491</v>
      </c>
      <c r="U277" t="s">
        <v>1953</v>
      </c>
      <c r="V277" t="s">
        <v>2813</v>
      </c>
    </row>
    <row r="278" spans="1:22" ht="15.75" thickBot="1" x14ac:dyDescent="0.3">
      <c r="A278" s="82" t="s">
        <v>3471</v>
      </c>
      <c r="B278" s="82" t="str">
        <f t="shared" si="16"/>
        <v>Barraqueiro Transportes, S.A.</v>
      </c>
      <c r="C278" s="82" t="str">
        <f t="shared" si="17"/>
        <v>Estremadura</v>
      </c>
      <c r="D278" s="83" t="s">
        <v>629</v>
      </c>
      <c r="E278" s="91" t="s">
        <v>1853</v>
      </c>
      <c r="F278" s="124" t="s">
        <v>620</v>
      </c>
      <c r="G278" s="304">
        <v>2012</v>
      </c>
      <c r="H278" s="312" t="s">
        <v>734</v>
      </c>
      <c r="I278" s="307" t="str">
        <f t="shared" si="18"/>
        <v>Pesado de Passageiros M3: III : Gasóleo : E5</v>
      </c>
      <c r="J278" s="125">
        <v>27</v>
      </c>
      <c r="K278" s="125">
        <v>2022</v>
      </c>
      <c r="L278" s="85">
        <v>2300.4899999999998</v>
      </c>
      <c r="M278" s="85" t="s">
        <v>630</v>
      </c>
      <c r="N278" s="128">
        <v>9754</v>
      </c>
      <c r="O278" s="128">
        <f t="shared" si="19"/>
        <v>263358</v>
      </c>
      <c r="P278" s="125" t="s">
        <v>913</v>
      </c>
      <c r="Q278" s="85" t="s">
        <v>47</v>
      </c>
      <c r="R278" s="214" t="s">
        <v>1869</v>
      </c>
      <c r="S278" s="214" t="s">
        <v>1861</v>
      </c>
      <c r="T278" s="85" t="s">
        <v>1491</v>
      </c>
      <c r="U278" t="s">
        <v>1953</v>
      </c>
      <c r="V278" t="s">
        <v>2813</v>
      </c>
    </row>
    <row r="279" spans="1:22" ht="15.75" thickBot="1" x14ac:dyDescent="0.3">
      <c r="A279" s="82" t="s">
        <v>3471</v>
      </c>
      <c r="B279" s="82" t="str">
        <f t="shared" si="16"/>
        <v>Barraqueiro Transportes, S.A.</v>
      </c>
      <c r="C279" s="82" t="str">
        <f t="shared" si="17"/>
        <v>Estremadura</v>
      </c>
      <c r="D279" s="83" t="s">
        <v>629</v>
      </c>
      <c r="E279" s="91" t="s">
        <v>1853</v>
      </c>
      <c r="F279" s="124" t="s">
        <v>620</v>
      </c>
      <c r="G279" s="304">
        <v>2012</v>
      </c>
      <c r="H279" s="312" t="s">
        <v>734</v>
      </c>
      <c r="I279" s="307" t="str">
        <f t="shared" si="18"/>
        <v>Pesado de Passageiros M3: III : Gasóleo : E5</v>
      </c>
      <c r="J279" s="125">
        <v>27</v>
      </c>
      <c r="K279" s="125">
        <v>2022</v>
      </c>
      <c r="L279" s="85">
        <v>1207.96</v>
      </c>
      <c r="M279" s="85" t="s">
        <v>630</v>
      </c>
      <c r="N279" s="128">
        <v>5427</v>
      </c>
      <c r="O279" s="128">
        <f t="shared" si="19"/>
        <v>146529</v>
      </c>
      <c r="P279" s="125" t="s">
        <v>914</v>
      </c>
      <c r="Q279" s="85" t="s">
        <v>47</v>
      </c>
      <c r="R279" s="214" t="s">
        <v>1869</v>
      </c>
      <c r="S279" s="214" t="s">
        <v>1861</v>
      </c>
      <c r="T279" s="85" t="s">
        <v>1491</v>
      </c>
      <c r="U279" t="s">
        <v>1953</v>
      </c>
      <c r="V279" t="s">
        <v>2813</v>
      </c>
    </row>
    <row r="280" spans="1:22" ht="15.75" thickBot="1" x14ac:dyDescent="0.3">
      <c r="A280" s="82" t="s">
        <v>3471</v>
      </c>
      <c r="B280" s="82" t="str">
        <f t="shared" si="16"/>
        <v>Barraqueiro Transportes, S.A.</v>
      </c>
      <c r="C280" s="82" t="str">
        <f t="shared" si="17"/>
        <v>Estremadura</v>
      </c>
      <c r="D280" s="83" t="s">
        <v>629</v>
      </c>
      <c r="E280" s="91" t="s">
        <v>1853</v>
      </c>
      <c r="F280" s="124" t="s">
        <v>620</v>
      </c>
      <c r="G280" s="304">
        <v>2012</v>
      </c>
      <c r="H280" s="312" t="s">
        <v>734</v>
      </c>
      <c r="I280" s="307" t="str">
        <f t="shared" si="18"/>
        <v>Pesado de Passageiros M3: III : Gasóleo : E5</v>
      </c>
      <c r="J280" s="125">
        <v>27</v>
      </c>
      <c r="K280" s="125">
        <v>2022</v>
      </c>
      <c r="L280" s="85">
        <v>1263.76</v>
      </c>
      <c r="M280" s="85" t="s">
        <v>630</v>
      </c>
      <c r="N280" s="128">
        <v>5948</v>
      </c>
      <c r="O280" s="128">
        <f t="shared" si="19"/>
        <v>160596</v>
      </c>
      <c r="P280" s="125" t="s">
        <v>915</v>
      </c>
      <c r="Q280" s="85" t="s">
        <v>47</v>
      </c>
      <c r="R280" s="214" t="s">
        <v>1869</v>
      </c>
      <c r="S280" s="214" t="s">
        <v>1861</v>
      </c>
      <c r="T280" s="85" t="s">
        <v>1491</v>
      </c>
      <c r="U280" t="s">
        <v>1953</v>
      </c>
      <c r="V280" t="s">
        <v>2813</v>
      </c>
    </row>
    <row r="281" spans="1:22" ht="15.75" thickBot="1" x14ac:dyDescent="0.3">
      <c r="A281" s="82" t="s">
        <v>3471</v>
      </c>
      <c r="B281" s="82" t="str">
        <f t="shared" si="16"/>
        <v>Barraqueiro Transportes, S.A.</v>
      </c>
      <c r="C281" s="82" t="str">
        <f t="shared" si="17"/>
        <v>Estremadura</v>
      </c>
      <c r="D281" s="83" t="s">
        <v>629</v>
      </c>
      <c r="E281" s="91" t="s">
        <v>1853</v>
      </c>
      <c r="F281" s="124" t="s">
        <v>620</v>
      </c>
      <c r="G281" s="304">
        <v>2012</v>
      </c>
      <c r="H281" s="312" t="s">
        <v>734</v>
      </c>
      <c r="I281" s="307" t="str">
        <f t="shared" si="18"/>
        <v>Pesado de Passageiros M3: III : Gasóleo : E5</v>
      </c>
      <c r="J281" s="125">
        <v>27</v>
      </c>
      <c r="K281" s="125">
        <v>2022</v>
      </c>
      <c r="L281" s="85">
        <v>1410.2800000000002</v>
      </c>
      <c r="M281" s="85" t="s">
        <v>630</v>
      </c>
      <c r="N281" s="128">
        <v>6316</v>
      </c>
      <c r="O281" s="128">
        <f t="shared" si="19"/>
        <v>170532</v>
      </c>
      <c r="P281" s="125" t="s">
        <v>916</v>
      </c>
      <c r="Q281" s="85" t="s">
        <v>47</v>
      </c>
      <c r="R281" s="214" t="s">
        <v>1869</v>
      </c>
      <c r="S281" s="214" t="s">
        <v>1861</v>
      </c>
      <c r="T281" s="85" t="s">
        <v>1491</v>
      </c>
      <c r="U281" t="s">
        <v>1953</v>
      </c>
      <c r="V281" t="s">
        <v>2813</v>
      </c>
    </row>
    <row r="282" spans="1:22" ht="15.75" thickBot="1" x14ac:dyDescent="0.3">
      <c r="A282" s="82" t="s">
        <v>3471</v>
      </c>
      <c r="B282" s="82" t="str">
        <f t="shared" si="16"/>
        <v>Barraqueiro Transportes, S.A.</v>
      </c>
      <c r="C282" s="82" t="str">
        <f t="shared" si="17"/>
        <v>Estremadura</v>
      </c>
      <c r="D282" s="83" t="s">
        <v>629</v>
      </c>
      <c r="E282" s="91" t="s">
        <v>1853</v>
      </c>
      <c r="F282" s="124" t="s">
        <v>620</v>
      </c>
      <c r="G282" s="304">
        <v>2012</v>
      </c>
      <c r="H282" s="312" t="s">
        <v>734</v>
      </c>
      <c r="I282" s="307" t="str">
        <f t="shared" si="18"/>
        <v>Pesado de Passageiros M3: III : Gasóleo : E5</v>
      </c>
      <c r="J282" s="125">
        <v>27</v>
      </c>
      <c r="K282" s="125">
        <v>2022</v>
      </c>
      <c r="L282" s="85">
        <v>2459.2599999999998</v>
      </c>
      <c r="M282" s="85" t="s">
        <v>630</v>
      </c>
      <c r="N282" s="128">
        <v>11500</v>
      </c>
      <c r="O282" s="128">
        <f t="shared" si="19"/>
        <v>310500</v>
      </c>
      <c r="P282" s="125" t="s">
        <v>917</v>
      </c>
      <c r="Q282" s="85" t="s">
        <v>47</v>
      </c>
      <c r="R282" s="214" t="s">
        <v>1869</v>
      </c>
      <c r="S282" s="214" t="s">
        <v>1861</v>
      </c>
      <c r="T282" s="85" t="s">
        <v>1491</v>
      </c>
      <c r="U282" t="s">
        <v>1953</v>
      </c>
      <c r="V282" t="s">
        <v>2813</v>
      </c>
    </row>
    <row r="283" spans="1:22" ht="15.75" thickBot="1" x14ac:dyDescent="0.3">
      <c r="A283" s="82" t="s">
        <v>3471</v>
      </c>
      <c r="B283" s="82" t="str">
        <f t="shared" si="16"/>
        <v>Barraqueiro Transportes, S.A.</v>
      </c>
      <c r="C283" s="82" t="str">
        <f t="shared" si="17"/>
        <v>Estremadura</v>
      </c>
      <c r="D283" s="83" t="s">
        <v>629</v>
      </c>
      <c r="E283" s="91" t="s">
        <v>1853</v>
      </c>
      <c r="F283" s="124" t="s">
        <v>620</v>
      </c>
      <c r="G283" s="304">
        <v>2012</v>
      </c>
      <c r="H283" s="312" t="s">
        <v>734</v>
      </c>
      <c r="I283" s="307" t="str">
        <f t="shared" si="18"/>
        <v>Pesado de Passageiros M3: III : Gasóleo : E5</v>
      </c>
      <c r="J283" s="125">
        <v>27</v>
      </c>
      <c r="K283" s="125">
        <v>2022</v>
      </c>
      <c r="L283" s="85">
        <v>1576.0700000000002</v>
      </c>
      <c r="M283" s="85" t="s">
        <v>630</v>
      </c>
      <c r="N283" s="128">
        <v>7205</v>
      </c>
      <c r="O283" s="128">
        <f t="shared" si="19"/>
        <v>194535</v>
      </c>
      <c r="P283" s="125" t="s">
        <v>918</v>
      </c>
      <c r="Q283" s="85" t="s">
        <v>47</v>
      </c>
      <c r="R283" s="214" t="s">
        <v>1869</v>
      </c>
      <c r="S283" s="214" t="s">
        <v>1861</v>
      </c>
      <c r="T283" s="85" t="s">
        <v>1491</v>
      </c>
      <c r="U283" t="s">
        <v>1953</v>
      </c>
      <c r="V283" t="s">
        <v>2813</v>
      </c>
    </row>
    <row r="284" spans="1:22" ht="15.75" thickBot="1" x14ac:dyDescent="0.3">
      <c r="A284" s="82" t="s">
        <v>3471</v>
      </c>
      <c r="B284" s="82" t="str">
        <f t="shared" si="16"/>
        <v>Barraqueiro Transportes, S.A.</v>
      </c>
      <c r="C284" s="82" t="str">
        <f t="shared" si="17"/>
        <v>Estremadura</v>
      </c>
      <c r="D284" s="83" t="s">
        <v>629</v>
      </c>
      <c r="E284" s="91" t="s">
        <v>1853</v>
      </c>
      <c r="F284" s="124" t="s">
        <v>620</v>
      </c>
      <c r="G284" s="304">
        <v>2012</v>
      </c>
      <c r="H284" s="312" t="s">
        <v>734</v>
      </c>
      <c r="I284" s="307" t="str">
        <f t="shared" si="18"/>
        <v>Pesado de Passageiros M3: III : Gasóleo : E5</v>
      </c>
      <c r="J284" s="125">
        <v>27</v>
      </c>
      <c r="K284" s="125">
        <v>2022</v>
      </c>
      <c r="L284" s="85">
        <v>1174.24</v>
      </c>
      <c r="M284" s="85" t="s">
        <v>630</v>
      </c>
      <c r="N284" s="128">
        <v>5349</v>
      </c>
      <c r="O284" s="128">
        <f t="shared" si="19"/>
        <v>144423</v>
      </c>
      <c r="P284" s="125" t="s">
        <v>919</v>
      </c>
      <c r="Q284" s="85" t="s">
        <v>47</v>
      </c>
      <c r="R284" s="214" t="s">
        <v>1869</v>
      </c>
      <c r="S284" s="214" t="s">
        <v>1861</v>
      </c>
      <c r="T284" s="85" t="s">
        <v>1491</v>
      </c>
      <c r="U284" t="s">
        <v>1953</v>
      </c>
      <c r="V284" t="s">
        <v>2813</v>
      </c>
    </row>
    <row r="285" spans="1:22" ht="15.75" thickBot="1" x14ac:dyDescent="0.3">
      <c r="A285" s="82" t="s">
        <v>3471</v>
      </c>
      <c r="B285" s="82" t="str">
        <f t="shared" si="16"/>
        <v>Barraqueiro Transportes, S.A.</v>
      </c>
      <c r="C285" s="82" t="str">
        <f t="shared" si="17"/>
        <v>Estremadura</v>
      </c>
      <c r="D285" s="83" t="s">
        <v>629</v>
      </c>
      <c r="E285" s="91" t="s">
        <v>1853</v>
      </c>
      <c r="F285" s="124" t="s">
        <v>620</v>
      </c>
      <c r="G285" s="304">
        <v>2013</v>
      </c>
      <c r="H285" s="312" t="s">
        <v>733</v>
      </c>
      <c r="I285" s="307" t="str">
        <f t="shared" si="18"/>
        <v>Pesado de Passageiros M3: III : Gasóleo : E6</v>
      </c>
      <c r="J285" s="125">
        <v>34</v>
      </c>
      <c r="K285" s="125">
        <v>2022</v>
      </c>
      <c r="L285" s="85">
        <v>12232.41</v>
      </c>
      <c r="M285" s="85" t="s">
        <v>630</v>
      </c>
      <c r="N285" s="128">
        <v>39665</v>
      </c>
      <c r="O285" s="128">
        <f t="shared" si="19"/>
        <v>1348610</v>
      </c>
      <c r="P285" s="125" t="s">
        <v>920</v>
      </c>
      <c r="Q285" s="85" t="s">
        <v>47</v>
      </c>
      <c r="R285" s="214" t="s">
        <v>1869</v>
      </c>
      <c r="S285" s="214" t="s">
        <v>1861</v>
      </c>
      <c r="T285" s="85" t="s">
        <v>1491</v>
      </c>
      <c r="U285" t="s">
        <v>1953</v>
      </c>
      <c r="V285" t="s">
        <v>2813</v>
      </c>
    </row>
    <row r="286" spans="1:22" ht="15.75" thickBot="1" x14ac:dyDescent="0.3">
      <c r="A286" s="82" t="s">
        <v>3471</v>
      </c>
      <c r="B286" s="82" t="str">
        <f t="shared" si="16"/>
        <v>Barraqueiro Transportes, S.A.</v>
      </c>
      <c r="C286" s="82" t="str">
        <f t="shared" si="17"/>
        <v>Estremadura</v>
      </c>
      <c r="D286" s="83" t="s">
        <v>629</v>
      </c>
      <c r="E286" s="91" t="s">
        <v>1853</v>
      </c>
      <c r="F286" s="124" t="s">
        <v>620</v>
      </c>
      <c r="G286" s="304">
        <v>2013</v>
      </c>
      <c r="H286" s="312" t="s">
        <v>733</v>
      </c>
      <c r="I286" s="307" t="str">
        <f t="shared" si="18"/>
        <v>Pesado de Passageiros M3: III : Gasóleo : E6</v>
      </c>
      <c r="J286" s="125">
        <v>34</v>
      </c>
      <c r="K286" s="125">
        <v>2022</v>
      </c>
      <c r="L286" s="85">
        <v>6851.369999999999</v>
      </c>
      <c r="M286" s="85" t="s">
        <v>630</v>
      </c>
      <c r="N286" s="128">
        <v>23512</v>
      </c>
      <c r="O286" s="128">
        <f t="shared" si="19"/>
        <v>799408</v>
      </c>
      <c r="P286" s="125" t="s">
        <v>921</v>
      </c>
      <c r="Q286" s="85" t="s">
        <v>47</v>
      </c>
      <c r="R286" s="214" t="s">
        <v>1869</v>
      </c>
      <c r="S286" s="214" t="s">
        <v>1861</v>
      </c>
      <c r="T286" s="85" t="s">
        <v>1491</v>
      </c>
      <c r="U286" t="s">
        <v>1953</v>
      </c>
      <c r="V286" t="s">
        <v>2813</v>
      </c>
    </row>
    <row r="287" spans="1:22" ht="15.75" thickBot="1" x14ac:dyDescent="0.3">
      <c r="A287" s="82" t="s">
        <v>3471</v>
      </c>
      <c r="B287" s="82" t="str">
        <f t="shared" si="16"/>
        <v>Barraqueiro Transportes, S.A.</v>
      </c>
      <c r="C287" s="82" t="str">
        <f t="shared" si="17"/>
        <v>Estremadura</v>
      </c>
      <c r="D287" s="83" t="s">
        <v>629</v>
      </c>
      <c r="E287" s="91" t="s">
        <v>1853</v>
      </c>
      <c r="F287" s="124" t="s">
        <v>620</v>
      </c>
      <c r="G287" s="304">
        <v>2014</v>
      </c>
      <c r="H287" s="312" t="s">
        <v>733</v>
      </c>
      <c r="I287" s="307" t="str">
        <f t="shared" si="18"/>
        <v>Pesado de Passageiros M3: III : Gasóleo : E6</v>
      </c>
      <c r="J287" s="125">
        <v>34</v>
      </c>
      <c r="K287" s="125">
        <v>2022</v>
      </c>
      <c r="L287" s="85">
        <v>14258.029999999999</v>
      </c>
      <c r="M287" s="85" t="s">
        <v>630</v>
      </c>
      <c r="N287" s="128">
        <v>50660</v>
      </c>
      <c r="O287" s="128">
        <f t="shared" si="19"/>
        <v>1722440</v>
      </c>
      <c r="P287" s="125" t="s">
        <v>922</v>
      </c>
      <c r="Q287" s="85" t="s">
        <v>47</v>
      </c>
      <c r="R287" s="214" t="s">
        <v>1869</v>
      </c>
      <c r="S287" s="214" t="s">
        <v>1861</v>
      </c>
      <c r="T287" s="85" t="s">
        <v>1491</v>
      </c>
      <c r="U287" t="s">
        <v>1953</v>
      </c>
      <c r="V287" t="s">
        <v>2813</v>
      </c>
    </row>
    <row r="288" spans="1:22" ht="15.75" thickBot="1" x14ac:dyDescent="0.3">
      <c r="A288" s="82" t="s">
        <v>3471</v>
      </c>
      <c r="B288" s="82" t="str">
        <f t="shared" si="16"/>
        <v>Barraqueiro Transportes, S.A.</v>
      </c>
      <c r="C288" s="82" t="str">
        <f t="shared" si="17"/>
        <v>Estremadura</v>
      </c>
      <c r="D288" s="83" t="s">
        <v>629</v>
      </c>
      <c r="E288" s="91" t="s">
        <v>1853</v>
      </c>
      <c r="F288" s="124" t="s">
        <v>620</v>
      </c>
      <c r="G288" s="304">
        <v>2014</v>
      </c>
      <c r="H288" s="312" t="s">
        <v>733</v>
      </c>
      <c r="I288" s="307" t="str">
        <f t="shared" si="18"/>
        <v>Pesado de Passageiros M3: III : Gasóleo : E6</v>
      </c>
      <c r="J288" s="125">
        <v>34</v>
      </c>
      <c r="K288" s="125">
        <v>2022</v>
      </c>
      <c r="L288" s="85">
        <v>12065.869999999999</v>
      </c>
      <c r="M288" s="85" t="s">
        <v>630</v>
      </c>
      <c r="N288" s="128">
        <v>42539</v>
      </c>
      <c r="O288" s="128">
        <f t="shared" si="19"/>
        <v>1446326</v>
      </c>
      <c r="P288" s="125" t="s">
        <v>923</v>
      </c>
      <c r="Q288" s="85" t="s">
        <v>47</v>
      </c>
      <c r="R288" s="214" t="s">
        <v>1869</v>
      </c>
      <c r="S288" s="214" t="s">
        <v>1861</v>
      </c>
      <c r="T288" s="85" t="s">
        <v>1491</v>
      </c>
      <c r="U288" t="s">
        <v>1953</v>
      </c>
      <c r="V288" t="s">
        <v>2813</v>
      </c>
    </row>
    <row r="289" spans="1:22" ht="15.75" thickBot="1" x14ac:dyDescent="0.3">
      <c r="A289" s="82" t="s">
        <v>3471</v>
      </c>
      <c r="B289" s="82" t="str">
        <f t="shared" si="16"/>
        <v>Barraqueiro Transportes, S.A.</v>
      </c>
      <c r="C289" s="82" t="str">
        <f t="shared" si="17"/>
        <v>Estremadura</v>
      </c>
      <c r="D289" s="83" t="s">
        <v>629</v>
      </c>
      <c r="E289" s="91" t="s">
        <v>1853</v>
      </c>
      <c r="F289" s="124" t="s">
        <v>620</v>
      </c>
      <c r="G289" s="304">
        <v>2014</v>
      </c>
      <c r="H289" s="312" t="s">
        <v>733</v>
      </c>
      <c r="I289" s="307" t="str">
        <f t="shared" si="18"/>
        <v>Pesado de Passageiros M3: III : Gasóleo : E6</v>
      </c>
      <c r="J289" s="125">
        <v>63</v>
      </c>
      <c r="K289" s="125">
        <v>2022</v>
      </c>
      <c r="L289" s="85">
        <v>17082.13</v>
      </c>
      <c r="M289" s="85" t="s">
        <v>630</v>
      </c>
      <c r="N289" s="128">
        <v>58494</v>
      </c>
      <c r="O289" s="128">
        <f t="shared" si="19"/>
        <v>3685122</v>
      </c>
      <c r="P289" s="125" t="s">
        <v>924</v>
      </c>
      <c r="Q289" s="85" t="s">
        <v>47</v>
      </c>
      <c r="R289" s="214" t="s">
        <v>1869</v>
      </c>
      <c r="S289" s="214" t="s">
        <v>1861</v>
      </c>
      <c r="T289" s="85" t="s">
        <v>1491</v>
      </c>
      <c r="U289" t="s">
        <v>1953</v>
      </c>
      <c r="V289" t="s">
        <v>2813</v>
      </c>
    </row>
    <row r="290" spans="1:22" ht="15.75" thickBot="1" x14ac:dyDescent="0.3">
      <c r="A290" s="82" t="s">
        <v>3471</v>
      </c>
      <c r="B290" s="82" t="str">
        <f t="shared" si="16"/>
        <v>Barraqueiro Transportes, S.A.</v>
      </c>
      <c r="C290" s="82" t="str">
        <f t="shared" si="17"/>
        <v>Estremadura</v>
      </c>
      <c r="D290" s="83" t="s">
        <v>629</v>
      </c>
      <c r="E290" s="91" t="s">
        <v>1853</v>
      </c>
      <c r="F290" s="124" t="s">
        <v>620</v>
      </c>
      <c r="G290" s="304">
        <v>2014</v>
      </c>
      <c r="H290" s="312" t="s">
        <v>733</v>
      </c>
      <c r="I290" s="307" t="str">
        <f t="shared" si="18"/>
        <v>Pesado de Passageiros M3: III : Gasóleo : E6</v>
      </c>
      <c r="J290" s="125">
        <v>53</v>
      </c>
      <c r="K290" s="125">
        <v>2022</v>
      </c>
      <c r="L290" s="85">
        <v>12172.220000000001</v>
      </c>
      <c r="M290" s="85" t="s">
        <v>630</v>
      </c>
      <c r="N290" s="128">
        <v>43699</v>
      </c>
      <c r="O290" s="128">
        <f t="shared" si="19"/>
        <v>2316047</v>
      </c>
      <c r="P290" s="125" t="s">
        <v>925</v>
      </c>
      <c r="Q290" s="85" t="s">
        <v>47</v>
      </c>
      <c r="R290" s="214" t="s">
        <v>1869</v>
      </c>
      <c r="S290" s="214" t="s">
        <v>1861</v>
      </c>
      <c r="T290" s="85" t="s">
        <v>1491</v>
      </c>
      <c r="U290" t="s">
        <v>1953</v>
      </c>
      <c r="V290" t="s">
        <v>2813</v>
      </c>
    </row>
    <row r="291" spans="1:22" ht="15.75" thickBot="1" x14ac:dyDescent="0.3">
      <c r="A291" s="82" t="s">
        <v>3471</v>
      </c>
      <c r="B291" s="82" t="str">
        <f t="shared" si="16"/>
        <v>Barraqueiro Transportes, S.A.</v>
      </c>
      <c r="C291" s="82" t="str">
        <f t="shared" si="17"/>
        <v>Estremadura</v>
      </c>
      <c r="D291" s="83" t="s">
        <v>629</v>
      </c>
      <c r="E291" s="91" t="s">
        <v>1853</v>
      </c>
      <c r="F291" s="124" t="s">
        <v>620</v>
      </c>
      <c r="G291" s="304">
        <v>2014</v>
      </c>
      <c r="H291" s="312" t="s">
        <v>733</v>
      </c>
      <c r="I291" s="307" t="str">
        <f t="shared" si="18"/>
        <v>Pesado de Passageiros M3: III : Gasóleo : E6</v>
      </c>
      <c r="J291" s="125">
        <v>53</v>
      </c>
      <c r="K291" s="125">
        <v>2022</v>
      </c>
      <c r="L291" s="85">
        <v>31099.68</v>
      </c>
      <c r="M291" s="85" t="s">
        <v>630</v>
      </c>
      <c r="N291" s="128">
        <v>111508</v>
      </c>
      <c r="O291" s="128">
        <f t="shared" si="19"/>
        <v>5909924</v>
      </c>
      <c r="P291" s="125" t="s">
        <v>926</v>
      </c>
      <c r="Q291" s="85" t="s">
        <v>47</v>
      </c>
      <c r="R291" s="214" t="s">
        <v>1869</v>
      </c>
      <c r="S291" s="214" t="s">
        <v>1861</v>
      </c>
      <c r="T291" s="85" t="s">
        <v>1491</v>
      </c>
      <c r="U291" t="s">
        <v>1953</v>
      </c>
      <c r="V291" t="s">
        <v>2813</v>
      </c>
    </row>
    <row r="292" spans="1:22" ht="15.75" thickBot="1" x14ac:dyDescent="0.3">
      <c r="A292" s="82" t="s">
        <v>3471</v>
      </c>
      <c r="B292" s="82" t="str">
        <f t="shared" si="16"/>
        <v>Barraqueiro Transportes, S.A.</v>
      </c>
      <c r="C292" s="82" t="str">
        <f t="shared" si="17"/>
        <v>Estremadura</v>
      </c>
      <c r="D292" s="83" t="s">
        <v>629</v>
      </c>
      <c r="E292" s="91" t="s">
        <v>1853</v>
      </c>
      <c r="F292" s="124" t="s">
        <v>620</v>
      </c>
      <c r="G292" s="304">
        <v>2014</v>
      </c>
      <c r="H292" s="312" t="s">
        <v>733</v>
      </c>
      <c r="I292" s="307" t="str">
        <f t="shared" si="18"/>
        <v>Pesado de Passageiros M3: III : Gasóleo : E6</v>
      </c>
      <c r="J292" s="125">
        <v>53</v>
      </c>
      <c r="K292" s="125">
        <v>2022</v>
      </c>
      <c r="L292" s="85">
        <v>25963.49</v>
      </c>
      <c r="M292" s="85" t="s">
        <v>630</v>
      </c>
      <c r="N292" s="128">
        <v>91271</v>
      </c>
      <c r="O292" s="128">
        <f t="shared" si="19"/>
        <v>4837363</v>
      </c>
      <c r="P292" s="125" t="s">
        <v>927</v>
      </c>
      <c r="Q292" s="85" t="s">
        <v>47</v>
      </c>
      <c r="R292" s="214" t="s">
        <v>1869</v>
      </c>
      <c r="S292" s="214" t="s">
        <v>1861</v>
      </c>
      <c r="T292" s="85" t="s">
        <v>1491</v>
      </c>
      <c r="U292" t="s">
        <v>1953</v>
      </c>
      <c r="V292" t="s">
        <v>2813</v>
      </c>
    </row>
    <row r="293" spans="1:22" ht="15.75" thickBot="1" x14ac:dyDescent="0.3">
      <c r="A293" s="82" t="s">
        <v>3471</v>
      </c>
      <c r="B293" s="82" t="str">
        <f t="shared" si="16"/>
        <v>Barraqueiro Transportes, S.A.</v>
      </c>
      <c r="C293" s="82" t="str">
        <f t="shared" si="17"/>
        <v>Estremadura</v>
      </c>
      <c r="D293" s="83" t="s">
        <v>629</v>
      </c>
      <c r="E293" s="91" t="s">
        <v>1853</v>
      </c>
      <c r="F293" s="124" t="s">
        <v>620</v>
      </c>
      <c r="G293" s="304">
        <v>2017</v>
      </c>
      <c r="H293" s="312" t="s">
        <v>733</v>
      </c>
      <c r="I293" s="307" t="str">
        <f t="shared" si="18"/>
        <v>Pesado de Passageiros M3: III : Gasóleo : E6</v>
      </c>
      <c r="J293" s="125">
        <v>53</v>
      </c>
      <c r="K293" s="125">
        <v>2022</v>
      </c>
      <c r="L293" s="85">
        <v>32299.860000000004</v>
      </c>
      <c r="M293" s="85" t="s">
        <v>630</v>
      </c>
      <c r="N293" s="128">
        <v>122547</v>
      </c>
      <c r="O293" s="128">
        <f t="shared" si="19"/>
        <v>6494991</v>
      </c>
      <c r="P293" s="125" t="s">
        <v>928</v>
      </c>
      <c r="Q293" s="85" t="s">
        <v>47</v>
      </c>
      <c r="R293" s="214" t="s">
        <v>1869</v>
      </c>
      <c r="S293" s="214" t="s">
        <v>1861</v>
      </c>
      <c r="T293" s="85" t="s">
        <v>1491</v>
      </c>
      <c r="U293" t="s">
        <v>1953</v>
      </c>
      <c r="V293" t="s">
        <v>2813</v>
      </c>
    </row>
    <row r="294" spans="1:22" ht="15.75" thickBot="1" x14ac:dyDescent="0.3">
      <c r="A294" s="82" t="s">
        <v>3471</v>
      </c>
      <c r="B294" s="82" t="str">
        <f t="shared" si="16"/>
        <v>Barraqueiro Transportes, S.A.</v>
      </c>
      <c r="C294" s="82" t="str">
        <f t="shared" si="17"/>
        <v>Estremadura</v>
      </c>
      <c r="D294" s="83" t="s">
        <v>629</v>
      </c>
      <c r="E294" s="91" t="s">
        <v>1853</v>
      </c>
      <c r="F294" s="124" t="s">
        <v>620</v>
      </c>
      <c r="G294" s="304">
        <v>2017</v>
      </c>
      <c r="H294" s="312" t="s">
        <v>733</v>
      </c>
      <c r="I294" s="307" t="str">
        <f t="shared" si="18"/>
        <v>Pesado de Passageiros M3: III : Gasóleo : E6</v>
      </c>
      <c r="J294" s="125">
        <v>53</v>
      </c>
      <c r="K294" s="125">
        <v>2022</v>
      </c>
      <c r="L294" s="85">
        <v>42730.66</v>
      </c>
      <c r="M294" s="85" t="s">
        <v>630</v>
      </c>
      <c r="N294" s="128">
        <v>156487</v>
      </c>
      <c r="O294" s="128">
        <f t="shared" si="19"/>
        <v>8293811</v>
      </c>
      <c r="P294" s="125" t="s">
        <v>929</v>
      </c>
      <c r="Q294" s="85" t="s">
        <v>47</v>
      </c>
      <c r="R294" s="214" t="s">
        <v>1869</v>
      </c>
      <c r="S294" s="214" t="s">
        <v>1861</v>
      </c>
      <c r="T294" s="85" t="s">
        <v>1491</v>
      </c>
      <c r="U294" t="s">
        <v>1953</v>
      </c>
      <c r="V294" t="s">
        <v>2813</v>
      </c>
    </row>
    <row r="295" spans="1:22" ht="15.75" thickBot="1" x14ac:dyDescent="0.3">
      <c r="A295" s="82" t="s">
        <v>3471</v>
      </c>
      <c r="B295" s="82" t="str">
        <f t="shared" si="16"/>
        <v>Barraqueiro Transportes, S.A.</v>
      </c>
      <c r="C295" s="82" t="str">
        <f t="shared" si="17"/>
        <v>Estremadura</v>
      </c>
      <c r="D295" s="83" t="s">
        <v>629</v>
      </c>
      <c r="E295" s="91" t="s">
        <v>1853</v>
      </c>
      <c r="F295" s="124" t="s">
        <v>620</v>
      </c>
      <c r="G295" s="304">
        <v>2017</v>
      </c>
      <c r="H295" s="312" t="s">
        <v>733</v>
      </c>
      <c r="I295" s="307" t="str">
        <f t="shared" si="18"/>
        <v>Pesado de Passageiros M3: III : Gasóleo : E6</v>
      </c>
      <c r="J295" s="125">
        <v>53</v>
      </c>
      <c r="K295" s="125">
        <v>2022</v>
      </c>
      <c r="L295" s="85">
        <v>33489.65</v>
      </c>
      <c r="M295" s="85" t="s">
        <v>630</v>
      </c>
      <c r="N295" s="128">
        <v>124692</v>
      </c>
      <c r="O295" s="128">
        <f t="shared" si="19"/>
        <v>6608676</v>
      </c>
      <c r="P295" s="125" t="s">
        <v>930</v>
      </c>
      <c r="Q295" s="85" t="s">
        <v>47</v>
      </c>
      <c r="R295" s="214" t="s">
        <v>1869</v>
      </c>
      <c r="S295" s="214" t="s">
        <v>1861</v>
      </c>
      <c r="T295" s="85" t="s">
        <v>1491</v>
      </c>
      <c r="U295" t="s">
        <v>1953</v>
      </c>
      <c r="V295" t="s">
        <v>2813</v>
      </c>
    </row>
    <row r="296" spans="1:22" ht="15.75" thickBot="1" x14ac:dyDescent="0.3">
      <c r="A296" s="82" t="s">
        <v>3471</v>
      </c>
      <c r="B296" s="82" t="str">
        <f t="shared" si="16"/>
        <v>Barraqueiro Transportes, S.A.</v>
      </c>
      <c r="C296" s="82" t="str">
        <f t="shared" si="17"/>
        <v>Estremadura</v>
      </c>
      <c r="D296" s="83" t="s">
        <v>629</v>
      </c>
      <c r="E296" s="91" t="s">
        <v>1853</v>
      </c>
      <c r="F296" s="124" t="s">
        <v>620</v>
      </c>
      <c r="G296" s="304">
        <v>2017</v>
      </c>
      <c r="H296" s="312" t="s">
        <v>733</v>
      </c>
      <c r="I296" s="307" t="str">
        <f t="shared" si="18"/>
        <v>Pesado de Passageiros M3: III : Gasóleo : E6</v>
      </c>
      <c r="J296" s="125">
        <v>63</v>
      </c>
      <c r="K296" s="125">
        <v>2022</v>
      </c>
      <c r="L296" s="85">
        <v>67064.59</v>
      </c>
      <c r="M296" s="85" t="s">
        <v>630</v>
      </c>
      <c r="N296" s="128">
        <v>215326</v>
      </c>
      <c r="O296" s="128">
        <f t="shared" si="19"/>
        <v>13565538</v>
      </c>
      <c r="P296" s="125" t="s">
        <v>931</v>
      </c>
      <c r="Q296" s="85" t="s">
        <v>47</v>
      </c>
      <c r="R296" s="214" t="s">
        <v>1869</v>
      </c>
      <c r="S296" s="214" t="s">
        <v>1861</v>
      </c>
      <c r="T296" s="85" t="s">
        <v>1491</v>
      </c>
      <c r="U296" t="s">
        <v>1953</v>
      </c>
      <c r="V296" t="s">
        <v>2813</v>
      </c>
    </row>
    <row r="297" spans="1:22" ht="15.75" thickBot="1" x14ac:dyDescent="0.3">
      <c r="A297" s="82" t="s">
        <v>3471</v>
      </c>
      <c r="B297" s="82" t="str">
        <f t="shared" si="16"/>
        <v>Barraqueiro Transportes, S.A.</v>
      </c>
      <c r="C297" s="82" t="str">
        <f t="shared" si="17"/>
        <v>Estremadura</v>
      </c>
      <c r="D297" s="83" t="s">
        <v>629</v>
      </c>
      <c r="E297" s="91" t="s">
        <v>1853</v>
      </c>
      <c r="F297" s="124" t="s">
        <v>620</v>
      </c>
      <c r="G297" s="304">
        <v>2015</v>
      </c>
      <c r="H297" s="312" t="s">
        <v>733</v>
      </c>
      <c r="I297" s="307" t="str">
        <f t="shared" si="18"/>
        <v>Pesado de Passageiros M3: III : Gasóleo : E6</v>
      </c>
      <c r="J297" s="125">
        <v>53</v>
      </c>
      <c r="K297" s="125">
        <v>2022</v>
      </c>
      <c r="L297" s="85">
        <v>38470.28</v>
      </c>
      <c r="M297" s="85" t="s">
        <v>630</v>
      </c>
      <c r="N297" s="128">
        <v>142442</v>
      </c>
      <c r="O297" s="128">
        <f t="shared" si="19"/>
        <v>7549426</v>
      </c>
      <c r="P297" s="125" t="s">
        <v>932</v>
      </c>
      <c r="Q297" s="85" t="s">
        <v>47</v>
      </c>
      <c r="R297" s="214" t="s">
        <v>1869</v>
      </c>
      <c r="S297" s="214" t="s">
        <v>1861</v>
      </c>
      <c r="T297" s="85" t="s">
        <v>1491</v>
      </c>
      <c r="U297" t="s">
        <v>1953</v>
      </c>
      <c r="V297" t="s">
        <v>2813</v>
      </c>
    </row>
    <row r="298" spans="1:22" ht="15.75" thickBot="1" x14ac:dyDescent="0.3">
      <c r="A298" s="82" t="s">
        <v>3471</v>
      </c>
      <c r="B298" s="82" t="str">
        <f t="shared" si="16"/>
        <v>Barraqueiro Transportes, S.A.</v>
      </c>
      <c r="C298" s="82" t="str">
        <f t="shared" si="17"/>
        <v>Estremadura</v>
      </c>
      <c r="D298" s="83" t="s">
        <v>629</v>
      </c>
      <c r="E298" s="91" t="s">
        <v>1853</v>
      </c>
      <c r="F298" s="124" t="s">
        <v>620</v>
      </c>
      <c r="G298" s="304">
        <v>2015</v>
      </c>
      <c r="H298" s="312" t="s">
        <v>733</v>
      </c>
      <c r="I298" s="307" t="str">
        <f t="shared" si="18"/>
        <v>Pesado de Passageiros M3: III : Gasóleo : E6</v>
      </c>
      <c r="J298" s="125">
        <v>53</v>
      </c>
      <c r="K298" s="125">
        <v>2022</v>
      </c>
      <c r="L298" s="85">
        <v>32867.699999999997</v>
      </c>
      <c r="M298" s="85" t="s">
        <v>630</v>
      </c>
      <c r="N298" s="128">
        <v>118345</v>
      </c>
      <c r="O298" s="128">
        <f t="shared" si="19"/>
        <v>6272285</v>
      </c>
      <c r="P298" s="125" t="s">
        <v>933</v>
      </c>
      <c r="Q298" s="85" t="s">
        <v>47</v>
      </c>
      <c r="R298" s="214" t="s">
        <v>1869</v>
      </c>
      <c r="S298" s="214" t="s">
        <v>1861</v>
      </c>
      <c r="T298" s="85" t="s">
        <v>1491</v>
      </c>
      <c r="U298" t="s">
        <v>1953</v>
      </c>
      <c r="V298" t="s">
        <v>2813</v>
      </c>
    </row>
    <row r="299" spans="1:22" ht="15.75" thickBot="1" x14ac:dyDescent="0.3">
      <c r="A299" s="82" t="s">
        <v>3471</v>
      </c>
      <c r="B299" s="82" t="str">
        <f t="shared" si="16"/>
        <v>Barraqueiro Transportes, S.A.</v>
      </c>
      <c r="C299" s="82" t="str">
        <f t="shared" si="17"/>
        <v>Estremadura</v>
      </c>
      <c r="D299" s="83" t="s">
        <v>629</v>
      </c>
      <c r="E299" s="91" t="s">
        <v>1853</v>
      </c>
      <c r="F299" s="124" t="s">
        <v>620</v>
      </c>
      <c r="G299" s="304">
        <v>2017</v>
      </c>
      <c r="H299" s="312" t="s">
        <v>733</v>
      </c>
      <c r="I299" s="307" t="str">
        <f t="shared" si="18"/>
        <v>Pesado de Passageiros M3: III : Gasóleo : E6</v>
      </c>
      <c r="J299" s="125">
        <v>19</v>
      </c>
      <c r="K299" s="125">
        <v>2022</v>
      </c>
      <c r="L299" s="85">
        <v>3839.3000000000006</v>
      </c>
      <c r="M299" s="85" t="s">
        <v>630</v>
      </c>
      <c r="N299" s="128">
        <v>24185</v>
      </c>
      <c r="O299" s="128">
        <f t="shared" si="19"/>
        <v>459515</v>
      </c>
      <c r="P299" s="125" t="s">
        <v>934</v>
      </c>
      <c r="Q299" s="85" t="s">
        <v>47</v>
      </c>
      <c r="R299" s="214" t="s">
        <v>1869</v>
      </c>
      <c r="S299" s="214" t="s">
        <v>1861</v>
      </c>
      <c r="T299" s="85" t="s">
        <v>1491</v>
      </c>
      <c r="U299" t="s">
        <v>1953</v>
      </c>
      <c r="V299" t="s">
        <v>2813</v>
      </c>
    </row>
    <row r="300" spans="1:22" ht="15.75" thickBot="1" x14ac:dyDescent="0.3">
      <c r="A300" s="82" t="s">
        <v>3471</v>
      </c>
      <c r="B300" s="82" t="str">
        <f t="shared" si="16"/>
        <v>Barraqueiro Transportes, S.A.</v>
      </c>
      <c r="C300" s="82" t="str">
        <f t="shared" si="17"/>
        <v>Estremadura</v>
      </c>
      <c r="D300" s="83" t="s">
        <v>629</v>
      </c>
      <c r="E300" s="91" t="s">
        <v>1853</v>
      </c>
      <c r="F300" s="124" t="s">
        <v>620</v>
      </c>
      <c r="G300" s="304">
        <v>2017</v>
      </c>
      <c r="H300" s="312" t="s">
        <v>733</v>
      </c>
      <c r="I300" s="307" t="str">
        <f t="shared" si="18"/>
        <v>Pesado de Passageiros M3: III : Gasóleo : E6</v>
      </c>
      <c r="J300" s="125">
        <v>19</v>
      </c>
      <c r="K300" s="125">
        <v>2022</v>
      </c>
      <c r="L300" s="85">
        <v>4408.57</v>
      </c>
      <c r="M300" s="85" t="s">
        <v>630</v>
      </c>
      <c r="N300" s="128">
        <v>25708</v>
      </c>
      <c r="O300" s="128">
        <f t="shared" si="19"/>
        <v>488452</v>
      </c>
      <c r="P300" s="125" t="s">
        <v>935</v>
      </c>
      <c r="Q300" s="85" t="s">
        <v>47</v>
      </c>
      <c r="R300" s="214" t="s">
        <v>1869</v>
      </c>
      <c r="S300" s="214" t="s">
        <v>1861</v>
      </c>
      <c r="T300" s="85" t="s">
        <v>1491</v>
      </c>
      <c r="U300" t="s">
        <v>1953</v>
      </c>
      <c r="V300" t="s">
        <v>2813</v>
      </c>
    </row>
    <row r="301" spans="1:22" ht="15.75" thickBot="1" x14ac:dyDescent="0.3">
      <c r="A301" s="82" t="s">
        <v>3471</v>
      </c>
      <c r="B301" s="82" t="str">
        <f t="shared" si="16"/>
        <v>Barraqueiro Transportes, S.A.</v>
      </c>
      <c r="C301" s="82" t="str">
        <f t="shared" si="17"/>
        <v>Estremadura</v>
      </c>
      <c r="D301" s="83" t="s">
        <v>629</v>
      </c>
      <c r="E301" s="91" t="s">
        <v>1853</v>
      </c>
      <c r="F301" s="124" t="s">
        <v>620</v>
      </c>
      <c r="G301" s="304">
        <v>2017</v>
      </c>
      <c r="H301" s="312" t="s">
        <v>733</v>
      </c>
      <c r="I301" s="307" t="str">
        <f t="shared" si="18"/>
        <v>Pesado de Passageiros M3: III : Gasóleo : E6</v>
      </c>
      <c r="J301" s="125">
        <v>53</v>
      </c>
      <c r="K301" s="125">
        <v>2022</v>
      </c>
      <c r="L301" s="85">
        <v>36875.950000000004</v>
      </c>
      <c r="M301" s="85" t="s">
        <v>630</v>
      </c>
      <c r="N301" s="128">
        <v>123524</v>
      </c>
      <c r="O301" s="128">
        <f t="shared" si="19"/>
        <v>6546772</v>
      </c>
      <c r="P301" s="125" t="s">
        <v>936</v>
      </c>
      <c r="Q301" s="85" t="s">
        <v>47</v>
      </c>
      <c r="R301" s="214" t="s">
        <v>1869</v>
      </c>
      <c r="S301" s="214" t="s">
        <v>1861</v>
      </c>
      <c r="T301" s="85" t="s">
        <v>1491</v>
      </c>
      <c r="U301" t="s">
        <v>1953</v>
      </c>
      <c r="V301" t="s">
        <v>2813</v>
      </c>
    </row>
    <row r="302" spans="1:22" ht="15.75" thickBot="1" x14ac:dyDescent="0.3">
      <c r="A302" s="82" t="s">
        <v>3471</v>
      </c>
      <c r="B302" s="82" t="str">
        <f t="shared" si="16"/>
        <v>Barraqueiro Transportes, S.A.</v>
      </c>
      <c r="C302" s="82" t="str">
        <f t="shared" si="17"/>
        <v>Estremadura</v>
      </c>
      <c r="D302" s="83" t="s">
        <v>629</v>
      </c>
      <c r="E302" s="91" t="s">
        <v>1853</v>
      </c>
      <c r="F302" s="124" t="s">
        <v>620</v>
      </c>
      <c r="G302" s="304">
        <v>2017</v>
      </c>
      <c r="H302" s="312" t="s">
        <v>733</v>
      </c>
      <c r="I302" s="307" t="str">
        <f t="shared" si="18"/>
        <v>Pesado de Passageiros M3: III : Gasóleo : E6</v>
      </c>
      <c r="J302" s="125">
        <v>39</v>
      </c>
      <c r="K302" s="125">
        <v>2022</v>
      </c>
      <c r="L302" s="85">
        <v>9808.9499999999989</v>
      </c>
      <c r="M302" s="85" t="s">
        <v>630</v>
      </c>
      <c r="N302" s="128">
        <v>36999</v>
      </c>
      <c r="O302" s="128">
        <f t="shared" si="19"/>
        <v>1442961</v>
      </c>
      <c r="P302" s="125" t="s">
        <v>937</v>
      </c>
      <c r="Q302" s="85" t="s">
        <v>47</v>
      </c>
      <c r="R302" s="214" t="s">
        <v>1869</v>
      </c>
      <c r="S302" s="214" t="s">
        <v>1861</v>
      </c>
      <c r="T302" s="85" t="s">
        <v>1491</v>
      </c>
      <c r="U302" t="s">
        <v>1953</v>
      </c>
      <c r="V302" t="s">
        <v>2813</v>
      </c>
    </row>
    <row r="303" spans="1:22" ht="15.75" thickBot="1" x14ac:dyDescent="0.3">
      <c r="A303" s="82" t="s">
        <v>3471</v>
      </c>
      <c r="B303" s="82" t="str">
        <f t="shared" si="16"/>
        <v>Barraqueiro Transportes, S.A.</v>
      </c>
      <c r="C303" s="82" t="str">
        <f t="shared" si="17"/>
        <v>Estremadura</v>
      </c>
      <c r="D303" s="83" t="s">
        <v>629</v>
      </c>
      <c r="E303" s="91" t="s">
        <v>1853</v>
      </c>
      <c r="F303" s="124" t="s">
        <v>620</v>
      </c>
      <c r="G303" s="304">
        <v>2011</v>
      </c>
      <c r="H303" s="312" t="s">
        <v>734</v>
      </c>
      <c r="I303" s="307" t="str">
        <f t="shared" si="18"/>
        <v>Pesado de Passageiros M3: III : Gasóleo : E5</v>
      </c>
      <c r="J303" s="125">
        <v>24</v>
      </c>
      <c r="K303" s="125">
        <v>2022</v>
      </c>
      <c r="L303" s="85">
        <v>307.83000000000004</v>
      </c>
      <c r="M303" s="85" t="s">
        <v>630</v>
      </c>
      <c r="N303" s="128">
        <v>1619</v>
      </c>
      <c r="O303" s="128">
        <f t="shared" si="19"/>
        <v>38856</v>
      </c>
      <c r="P303" s="125" t="s">
        <v>938</v>
      </c>
      <c r="Q303" s="85" t="s">
        <v>47</v>
      </c>
      <c r="R303" s="214" t="s">
        <v>1869</v>
      </c>
      <c r="S303" s="214" t="s">
        <v>1861</v>
      </c>
      <c r="T303" s="85" t="s">
        <v>1491</v>
      </c>
      <c r="U303" t="s">
        <v>1953</v>
      </c>
      <c r="V303" t="s">
        <v>2813</v>
      </c>
    </row>
    <row r="304" spans="1:22" ht="15.75" thickBot="1" x14ac:dyDescent="0.3">
      <c r="A304" s="82" t="s">
        <v>3471</v>
      </c>
      <c r="B304" s="82" t="str">
        <f t="shared" si="16"/>
        <v>Barraqueiro Transportes, S.A.</v>
      </c>
      <c r="C304" s="82" t="str">
        <f t="shared" si="17"/>
        <v>Estremadura</v>
      </c>
      <c r="D304" s="83" t="s">
        <v>629</v>
      </c>
      <c r="E304" s="91" t="s">
        <v>1853</v>
      </c>
      <c r="F304" s="124" t="s">
        <v>620</v>
      </c>
      <c r="G304" s="304">
        <v>2011</v>
      </c>
      <c r="H304" s="312" t="s">
        <v>734</v>
      </c>
      <c r="I304" s="307" t="str">
        <f t="shared" si="18"/>
        <v>Pesado de Passageiros M3: III : Gasóleo : E5</v>
      </c>
      <c r="J304" s="125">
        <v>24</v>
      </c>
      <c r="K304" s="125">
        <v>2022</v>
      </c>
      <c r="L304" s="85">
        <v>160</v>
      </c>
      <c r="M304" s="85" t="s">
        <v>630</v>
      </c>
      <c r="N304" s="128">
        <v>842</v>
      </c>
      <c r="O304" s="128">
        <f t="shared" si="19"/>
        <v>20208</v>
      </c>
      <c r="P304" s="125" t="s">
        <v>939</v>
      </c>
      <c r="Q304" s="85" t="s">
        <v>47</v>
      </c>
      <c r="R304" s="214" t="s">
        <v>1869</v>
      </c>
      <c r="S304" s="214" t="s">
        <v>1861</v>
      </c>
      <c r="T304" s="85" t="s">
        <v>1491</v>
      </c>
      <c r="U304" t="s">
        <v>1953</v>
      </c>
      <c r="V304" t="s">
        <v>2813</v>
      </c>
    </row>
    <row r="305" spans="1:22" ht="15.75" thickBot="1" x14ac:dyDescent="0.3">
      <c r="A305" s="82" t="s">
        <v>3471</v>
      </c>
      <c r="B305" s="82" t="str">
        <f t="shared" si="16"/>
        <v>Barraqueiro Transportes, S.A.</v>
      </c>
      <c r="C305" s="82" t="str">
        <f t="shared" si="17"/>
        <v>Estremadura</v>
      </c>
      <c r="D305" s="83" t="s">
        <v>629</v>
      </c>
      <c r="E305" s="91" t="s">
        <v>1853</v>
      </c>
      <c r="F305" s="124" t="s">
        <v>620</v>
      </c>
      <c r="G305" s="304">
        <v>2011</v>
      </c>
      <c r="H305" s="312" t="s">
        <v>734</v>
      </c>
      <c r="I305" s="307" t="str">
        <f t="shared" si="18"/>
        <v>Pesado de Passageiros M3: III : Gasóleo : E5</v>
      </c>
      <c r="J305" s="125">
        <v>53</v>
      </c>
      <c r="K305" s="125">
        <v>2022</v>
      </c>
      <c r="L305" s="85">
        <v>31241.179999999997</v>
      </c>
      <c r="M305" s="85" t="s">
        <v>630</v>
      </c>
      <c r="N305" s="128">
        <v>100710</v>
      </c>
      <c r="O305" s="128">
        <f t="shared" si="19"/>
        <v>5337630</v>
      </c>
      <c r="P305" s="125" t="s">
        <v>940</v>
      </c>
      <c r="Q305" s="85" t="s">
        <v>47</v>
      </c>
      <c r="R305" s="214" t="s">
        <v>1869</v>
      </c>
      <c r="S305" s="214" t="s">
        <v>1861</v>
      </c>
      <c r="T305" s="85" t="s">
        <v>1491</v>
      </c>
      <c r="U305" t="s">
        <v>1953</v>
      </c>
      <c r="V305" t="s">
        <v>2813</v>
      </c>
    </row>
    <row r="306" spans="1:22" ht="15.75" thickBot="1" x14ac:dyDescent="0.3">
      <c r="A306" s="82" t="s">
        <v>3471</v>
      </c>
      <c r="B306" s="82" t="str">
        <f t="shared" si="16"/>
        <v>Barraqueiro Transportes, S.A.</v>
      </c>
      <c r="C306" s="82" t="str">
        <f t="shared" si="17"/>
        <v>Estremadura</v>
      </c>
      <c r="D306" s="83" t="s">
        <v>629</v>
      </c>
      <c r="E306" s="91" t="s">
        <v>1853</v>
      </c>
      <c r="F306" s="124" t="s">
        <v>620</v>
      </c>
      <c r="G306" s="304">
        <v>2011</v>
      </c>
      <c r="H306" s="312" t="s">
        <v>734</v>
      </c>
      <c r="I306" s="307" t="str">
        <f t="shared" si="18"/>
        <v>Pesado de Passageiros M3: III : Gasóleo : E5</v>
      </c>
      <c r="J306" s="125">
        <v>53</v>
      </c>
      <c r="K306" s="125">
        <v>2022</v>
      </c>
      <c r="L306" s="85">
        <v>27251.46</v>
      </c>
      <c r="M306" s="85" t="s">
        <v>630</v>
      </c>
      <c r="N306" s="128">
        <v>87781</v>
      </c>
      <c r="O306" s="128">
        <f t="shared" si="19"/>
        <v>4652393</v>
      </c>
      <c r="P306" s="125" t="s">
        <v>941</v>
      </c>
      <c r="Q306" s="85" t="s">
        <v>47</v>
      </c>
      <c r="R306" s="214" t="s">
        <v>1869</v>
      </c>
      <c r="S306" s="214" t="s">
        <v>1861</v>
      </c>
      <c r="T306" s="85" t="s">
        <v>1491</v>
      </c>
      <c r="U306" t="s">
        <v>1953</v>
      </c>
      <c r="V306" t="s">
        <v>2813</v>
      </c>
    </row>
    <row r="307" spans="1:22" ht="15.75" thickBot="1" x14ac:dyDescent="0.3">
      <c r="A307" s="82" t="s">
        <v>3471</v>
      </c>
      <c r="B307" s="82" t="str">
        <f t="shared" si="16"/>
        <v>Barraqueiro Transportes, S.A.</v>
      </c>
      <c r="C307" s="82" t="str">
        <f t="shared" si="17"/>
        <v>Estremadura</v>
      </c>
      <c r="D307" s="83" t="s">
        <v>629</v>
      </c>
      <c r="E307" s="91" t="s">
        <v>1853</v>
      </c>
      <c r="F307" s="124" t="s">
        <v>620</v>
      </c>
      <c r="G307" s="304">
        <v>2011</v>
      </c>
      <c r="H307" s="312" t="s">
        <v>734</v>
      </c>
      <c r="I307" s="307" t="str">
        <f t="shared" si="18"/>
        <v>Pesado de Passageiros M3: III : Gasóleo : E5</v>
      </c>
      <c r="J307" s="125">
        <v>53</v>
      </c>
      <c r="K307" s="125">
        <v>2022</v>
      </c>
      <c r="L307" s="85">
        <v>33718.769999999997</v>
      </c>
      <c r="M307" s="85" t="s">
        <v>630</v>
      </c>
      <c r="N307" s="128">
        <v>108505</v>
      </c>
      <c r="O307" s="128">
        <f t="shared" si="19"/>
        <v>5750765</v>
      </c>
      <c r="P307" s="125" t="s">
        <v>942</v>
      </c>
      <c r="Q307" s="85" t="s">
        <v>47</v>
      </c>
      <c r="R307" s="214" t="s">
        <v>1869</v>
      </c>
      <c r="S307" s="214" t="s">
        <v>1861</v>
      </c>
      <c r="T307" s="85" t="s">
        <v>1491</v>
      </c>
      <c r="U307" t="s">
        <v>1953</v>
      </c>
      <c r="V307" t="s">
        <v>2813</v>
      </c>
    </row>
    <row r="308" spans="1:22" ht="15.75" thickBot="1" x14ac:dyDescent="0.3">
      <c r="A308" s="82" t="s">
        <v>3471</v>
      </c>
      <c r="B308" s="82" t="str">
        <f t="shared" si="16"/>
        <v>Barraqueiro Transportes, S.A.</v>
      </c>
      <c r="C308" s="82" t="str">
        <f t="shared" si="17"/>
        <v>Estremadura</v>
      </c>
      <c r="D308" s="83" t="s">
        <v>629</v>
      </c>
      <c r="E308" s="91" t="s">
        <v>1853</v>
      </c>
      <c r="F308" s="124" t="s">
        <v>620</v>
      </c>
      <c r="G308" s="304">
        <v>2011</v>
      </c>
      <c r="H308" s="312" t="s">
        <v>734</v>
      </c>
      <c r="I308" s="307" t="str">
        <f t="shared" si="18"/>
        <v>Pesado de Passageiros M3: III : Gasóleo : E5</v>
      </c>
      <c r="J308" s="125">
        <v>53</v>
      </c>
      <c r="K308" s="125">
        <v>2022</v>
      </c>
      <c r="L308" s="85">
        <v>29433.68</v>
      </c>
      <c r="M308" s="85" t="s">
        <v>630</v>
      </c>
      <c r="N308" s="128">
        <v>96489</v>
      </c>
      <c r="O308" s="128">
        <f t="shared" si="19"/>
        <v>5113917</v>
      </c>
      <c r="P308" s="125" t="s">
        <v>943</v>
      </c>
      <c r="Q308" s="85" t="s">
        <v>47</v>
      </c>
      <c r="R308" s="214" t="s">
        <v>1869</v>
      </c>
      <c r="S308" s="214" t="s">
        <v>1861</v>
      </c>
      <c r="T308" s="85" t="s">
        <v>1491</v>
      </c>
      <c r="U308" t="s">
        <v>1953</v>
      </c>
      <c r="V308" t="s">
        <v>2813</v>
      </c>
    </row>
    <row r="309" spans="1:22" ht="15.75" thickBot="1" x14ac:dyDescent="0.3">
      <c r="A309" s="82" t="s">
        <v>3471</v>
      </c>
      <c r="B309" s="82" t="str">
        <f t="shared" si="16"/>
        <v>Barraqueiro Transportes, S.A.</v>
      </c>
      <c r="C309" s="82" t="str">
        <f t="shared" si="17"/>
        <v>Estremadura</v>
      </c>
      <c r="D309" s="83" t="s">
        <v>629</v>
      </c>
      <c r="E309" s="91" t="s">
        <v>1853</v>
      </c>
      <c r="F309" s="124" t="s">
        <v>620</v>
      </c>
      <c r="G309" s="304">
        <v>2018</v>
      </c>
      <c r="H309" s="312" t="s">
        <v>733</v>
      </c>
      <c r="I309" s="307" t="str">
        <f t="shared" si="18"/>
        <v>Pesado de Passageiros M3: III : Gasóleo : E6</v>
      </c>
      <c r="J309" s="125">
        <v>39</v>
      </c>
      <c r="K309" s="125">
        <v>2022</v>
      </c>
      <c r="L309" s="85">
        <v>12347.79</v>
      </c>
      <c r="M309" s="85" t="s">
        <v>630</v>
      </c>
      <c r="N309" s="128">
        <v>47329</v>
      </c>
      <c r="O309" s="128">
        <f t="shared" si="19"/>
        <v>1845831</v>
      </c>
      <c r="P309" s="125" t="s">
        <v>944</v>
      </c>
      <c r="Q309" s="85" t="s">
        <v>47</v>
      </c>
      <c r="R309" s="214" t="s">
        <v>1869</v>
      </c>
      <c r="S309" s="214" t="s">
        <v>1861</v>
      </c>
      <c r="T309" s="85" t="s">
        <v>1491</v>
      </c>
      <c r="U309" t="s">
        <v>1953</v>
      </c>
      <c r="V309" t="s">
        <v>2813</v>
      </c>
    </row>
    <row r="310" spans="1:22" ht="15.75" thickBot="1" x14ac:dyDescent="0.3">
      <c r="A310" s="82" t="s">
        <v>3471</v>
      </c>
      <c r="B310" s="82" t="str">
        <f t="shared" si="16"/>
        <v>Barraqueiro Transportes, S.A.</v>
      </c>
      <c r="C310" s="82" t="str">
        <f t="shared" si="17"/>
        <v>Estremadura</v>
      </c>
      <c r="D310" s="83" t="s">
        <v>629</v>
      </c>
      <c r="E310" s="91" t="s">
        <v>1853</v>
      </c>
      <c r="F310" s="124" t="s">
        <v>620</v>
      </c>
      <c r="G310" s="304">
        <v>2018</v>
      </c>
      <c r="H310" s="312" t="s">
        <v>733</v>
      </c>
      <c r="I310" s="307" t="str">
        <f t="shared" si="18"/>
        <v>Pesado de Passageiros M3: III : Gasóleo : E6</v>
      </c>
      <c r="J310" s="125">
        <v>39</v>
      </c>
      <c r="K310" s="125">
        <v>2022</v>
      </c>
      <c r="L310" s="85">
        <v>13429.99</v>
      </c>
      <c r="M310" s="85" t="s">
        <v>630</v>
      </c>
      <c r="N310" s="128">
        <v>49071</v>
      </c>
      <c r="O310" s="128">
        <f t="shared" si="19"/>
        <v>1913769</v>
      </c>
      <c r="P310" s="125" t="s">
        <v>945</v>
      </c>
      <c r="Q310" s="85" t="s">
        <v>47</v>
      </c>
      <c r="R310" s="214" t="s">
        <v>1869</v>
      </c>
      <c r="S310" s="214" t="s">
        <v>1861</v>
      </c>
      <c r="T310" s="85" t="s">
        <v>1491</v>
      </c>
      <c r="U310" t="s">
        <v>1953</v>
      </c>
      <c r="V310" t="s">
        <v>2813</v>
      </c>
    </row>
    <row r="311" spans="1:22" ht="15.75" thickBot="1" x14ac:dyDescent="0.3">
      <c r="A311" s="82" t="s">
        <v>3471</v>
      </c>
      <c r="B311" s="82" t="str">
        <f t="shared" si="16"/>
        <v>Barraqueiro Transportes, S.A.</v>
      </c>
      <c r="C311" s="82" t="str">
        <f t="shared" si="17"/>
        <v>Estremadura</v>
      </c>
      <c r="D311" s="83" t="s">
        <v>629</v>
      </c>
      <c r="E311" s="91" t="s">
        <v>1853</v>
      </c>
      <c r="F311" s="124" t="s">
        <v>620</v>
      </c>
      <c r="G311" s="304">
        <v>2018</v>
      </c>
      <c r="H311" s="312" t="s">
        <v>733</v>
      </c>
      <c r="I311" s="307" t="str">
        <f t="shared" si="18"/>
        <v>Pesado de Passageiros M3: III : Gasóleo : E6</v>
      </c>
      <c r="J311" s="125">
        <v>63</v>
      </c>
      <c r="K311" s="125">
        <v>2022</v>
      </c>
      <c r="L311" s="85">
        <v>65543.069999999992</v>
      </c>
      <c r="M311" s="85" t="s">
        <v>630</v>
      </c>
      <c r="N311" s="128">
        <v>220250</v>
      </c>
      <c r="O311" s="128">
        <f t="shared" si="19"/>
        <v>13875750</v>
      </c>
      <c r="P311" s="125" t="s">
        <v>946</v>
      </c>
      <c r="Q311" s="85" t="s">
        <v>47</v>
      </c>
      <c r="R311" s="214" t="s">
        <v>1869</v>
      </c>
      <c r="S311" s="214" t="s">
        <v>1861</v>
      </c>
      <c r="T311" s="85" t="s">
        <v>1491</v>
      </c>
      <c r="U311" t="s">
        <v>1953</v>
      </c>
      <c r="V311" t="s">
        <v>2813</v>
      </c>
    </row>
    <row r="312" spans="1:22" ht="15.75" thickBot="1" x14ac:dyDescent="0.3">
      <c r="A312" s="82" t="s">
        <v>3471</v>
      </c>
      <c r="B312" s="82" t="str">
        <f t="shared" si="16"/>
        <v>Barraqueiro Transportes, S.A.</v>
      </c>
      <c r="C312" s="82" t="str">
        <f t="shared" si="17"/>
        <v>Estremadura</v>
      </c>
      <c r="D312" s="83" t="s">
        <v>629</v>
      </c>
      <c r="E312" s="91" t="s">
        <v>1853</v>
      </c>
      <c r="F312" s="124" t="s">
        <v>620</v>
      </c>
      <c r="G312" s="304">
        <v>2018</v>
      </c>
      <c r="H312" s="312" t="s">
        <v>733</v>
      </c>
      <c r="I312" s="307" t="str">
        <f t="shared" si="18"/>
        <v>Pesado de Passageiros M3: III : Gasóleo : E6</v>
      </c>
      <c r="J312" s="125">
        <v>53</v>
      </c>
      <c r="K312" s="125">
        <v>2022</v>
      </c>
      <c r="L312" s="85">
        <v>30511.730000000003</v>
      </c>
      <c r="M312" s="85" t="s">
        <v>630</v>
      </c>
      <c r="N312" s="128">
        <v>116248</v>
      </c>
      <c r="O312" s="128">
        <f t="shared" si="19"/>
        <v>6161144</v>
      </c>
      <c r="P312" s="125" t="s">
        <v>947</v>
      </c>
      <c r="Q312" s="85" t="s">
        <v>47</v>
      </c>
      <c r="R312" s="214" t="s">
        <v>1869</v>
      </c>
      <c r="S312" s="214" t="s">
        <v>1861</v>
      </c>
      <c r="T312" s="85" t="s">
        <v>1491</v>
      </c>
      <c r="U312" t="s">
        <v>1953</v>
      </c>
      <c r="V312" t="s">
        <v>2813</v>
      </c>
    </row>
    <row r="313" spans="1:22" ht="15.75" thickBot="1" x14ac:dyDescent="0.3">
      <c r="A313" s="82" t="s">
        <v>3471</v>
      </c>
      <c r="B313" s="82" t="str">
        <f t="shared" si="16"/>
        <v>Barraqueiro Transportes, S.A.</v>
      </c>
      <c r="C313" s="82" t="str">
        <f t="shared" si="17"/>
        <v>Estremadura</v>
      </c>
      <c r="D313" s="83" t="s">
        <v>629</v>
      </c>
      <c r="E313" s="91" t="s">
        <v>1853</v>
      </c>
      <c r="F313" s="124" t="s">
        <v>620</v>
      </c>
      <c r="G313" s="304">
        <v>2018</v>
      </c>
      <c r="H313" s="312" t="s">
        <v>733</v>
      </c>
      <c r="I313" s="307" t="str">
        <f t="shared" si="18"/>
        <v>Pesado de Passageiros M3: III : Gasóleo : E6</v>
      </c>
      <c r="J313" s="125">
        <v>53</v>
      </c>
      <c r="K313" s="125">
        <v>2022</v>
      </c>
      <c r="L313" s="85">
        <v>31745.849000000002</v>
      </c>
      <c r="M313" s="85" t="s">
        <v>630</v>
      </c>
      <c r="N313" s="128">
        <v>121767</v>
      </c>
      <c r="O313" s="128">
        <f t="shared" si="19"/>
        <v>6453651</v>
      </c>
      <c r="P313" s="125" t="s">
        <v>948</v>
      </c>
      <c r="Q313" s="85" t="s">
        <v>47</v>
      </c>
      <c r="R313" s="214" t="s">
        <v>1869</v>
      </c>
      <c r="S313" s="214" t="s">
        <v>1861</v>
      </c>
      <c r="T313" s="85" t="s">
        <v>1491</v>
      </c>
      <c r="U313" t="s">
        <v>1953</v>
      </c>
      <c r="V313" t="s">
        <v>2813</v>
      </c>
    </row>
    <row r="314" spans="1:22" ht="15.75" thickBot="1" x14ac:dyDescent="0.3">
      <c r="A314" s="82" t="s">
        <v>3471</v>
      </c>
      <c r="B314" s="82" t="str">
        <f t="shared" si="16"/>
        <v>Barraqueiro Transportes, S.A.</v>
      </c>
      <c r="C314" s="82" t="str">
        <f t="shared" si="17"/>
        <v>Estremadura</v>
      </c>
      <c r="D314" s="83" t="s">
        <v>629</v>
      </c>
      <c r="E314" s="91" t="s">
        <v>1853</v>
      </c>
      <c r="F314" s="124" t="s">
        <v>620</v>
      </c>
      <c r="G314" s="304">
        <v>2018</v>
      </c>
      <c r="H314" s="312" t="s">
        <v>733</v>
      </c>
      <c r="I314" s="307" t="str">
        <f t="shared" si="18"/>
        <v>Pesado de Passageiros M3: III : Gasóleo : E6</v>
      </c>
      <c r="J314" s="125">
        <v>53</v>
      </c>
      <c r="K314" s="125">
        <v>2022</v>
      </c>
      <c r="L314" s="85">
        <v>27923.670000000006</v>
      </c>
      <c r="M314" s="85" t="s">
        <v>630</v>
      </c>
      <c r="N314" s="128">
        <v>107728</v>
      </c>
      <c r="O314" s="128">
        <f t="shared" si="19"/>
        <v>5709584</v>
      </c>
      <c r="P314" s="125" t="s">
        <v>949</v>
      </c>
      <c r="Q314" s="85" t="s">
        <v>47</v>
      </c>
      <c r="R314" s="214" t="s">
        <v>1869</v>
      </c>
      <c r="S314" s="214" t="s">
        <v>1861</v>
      </c>
      <c r="T314" s="85" t="s">
        <v>1491</v>
      </c>
      <c r="U314" t="s">
        <v>1953</v>
      </c>
      <c r="V314" t="s">
        <v>2813</v>
      </c>
    </row>
    <row r="315" spans="1:22" ht="15.75" thickBot="1" x14ac:dyDescent="0.3">
      <c r="A315" s="82" t="s">
        <v>3471</v>
      </c>
      <c r="B315" s="82" t="str">
        <f t="shared" si="16"/>
        <v>Barraqueiro Transportes, S.A.</v>
      </c>
      <c r="C315" s="82" t="str">
        <f t="shared" si="17"/>
        <v>Estremadura</v>
      </c>
      <c r="D315" s="83" t="s">
        <v>629</v>
      </c>
      <c r="E315" s="91" t="s">
        <v>1853</v>
      </c>
      <c r="F315" s="124" t="s">
        <v>620</v>
      </c>
      <c r="G315" s="304">
        <v>2018</v>
      </c>
      <c r="H315" s="312" t="s">
        <v>733</v>
      </c>
      <c r="I315" s="307" t="str">
        <f t="shared" si="18"/>
        <v>Pesado de Passageiros M3: III : Gasóleo : E6</v>
      </c>
      <c r="J315" s="125">
        <v>53</v>
      </c>
      <c r="K315" s="125">
        <v>2022</v>
      </c>
      <c r="L315" s="85">
        <v>30285.879999999997</v>
      </c>
      <c r="M315" s="85" t="s">
        <v>630</v>
      </c>
      <c r="N315" s="128">
        <v>114741</v>
      </c>
      <c r="O315" s="128">
        <f t="shared" si="19"/>
        <v>6081273</v>
      </c>
      <c r="P315" s="125" t="s">
        <v>950</v>
      </c>
      <c r="Q315" s="85" t="s">
        <v>47</v>
      </c>
      <c r="R315" s="214" t="s">
        <v>1869</v>
      </c>
      <c r="S315" s="214" t="s">
        <v>1861</v>
      </c>
      <c r="T315" s="85" t="s">
        <v>1491</v>
      </c>
      <c r="U315" t="s">
        <v>1953</v>
      </c>
      <c r="V315" t="s">
        <v>2813</v>
      </c>
    </row>
    <row r="316" spans="1:22" ht="15.75" thickBot="1" x14ac:dyDescent="0.3">
      <c r="A316" s="82" t="s">
        <v>3471</v>
      </c>
      <c r="B316" s="82" t="str">
        <f t="shared" si="16"/>
        <v>Barraqueiro Transportes, S.A.</v>
      </c>
      <c r="C316" s="82" t="str">
        <f t="shared" si="17"/>
        <v>Estremadura</v>
      </c>
      <c r="D316" s="83" t="s">
        <v>629</v>
      </c>
      <c r="E316" s="91" t="s">
        <v>1853</v>
      </c>
      <c r="F316" s="124" t="s">
        <v>620</v>
      </c>
      <c r="G316" s="304">
        <v>2018</v>
      </c>
      <c r="H316" s="312" t="s">
        <v>733</v>
      </c>
      <c r="I316" s="307" t="str">
        <f t="shared" si="18"/>
        <v>Pesado de Passageiros M3: III : Gasóleo : E6</v>
      </c>
      <c r="J316" s="125">
        <v>35</v>
      </c>
      <c r="K316" s="125">
        <v>2022</v>
      </c>
      <c r="L316" s="85">
        <v>17200.559999999998</v>
      </c>
      <c r="M316" s="85" t="s">
        <v>630</v>
      </c>
      <c r="N316" s="128">
        <v>70297</v>
      </c>
      <c r="O316" s="128">
        <f t="shared" si="19"/>
        <v>2460395</v>
      </c>
      <c r="P316" s="125" t="s">
        <v>951</v>
      </c>
      <c r="Q316" s="85" t="s">
        <v>47</v>
      </c>
      <c r="R316" s="214" t="s">
        <v>1869</v>
      </c>
      <c r="S316" s="214" t="s">
        <v>1861</v>
      </c>
      <c r="T316" s="85" t="s">
        <v>1491</v>
      </c>
      <c r="U316" t="s">
        <v>1953</v>
      </c>
      <c r="V316" t="s">
        <v>2813</v>
      </c>
    </row>
    <row r="317" spans="1:22" ht="15.75" thickBot="1" x14ac:dyDescent="0.3">
      <c r="A317" s="82" t="s">
        <v>3471</v>
      </c>
      <c r="B317" s="82" t="str">
        <f t="shared" si="16"/>
        <v>Barraqueiro Transportes, S.A.</v>
      </c>
      <c r="C317" s="82" t="str">
        <f t="shared" si="17"/>
        <v>Estremadura</v>
      </c>
      <c r="D317" s="83" t="s">
        <v>629</v>
      </c>
      <c r="E317" s="91" t="s">
        <v>1853</v>
      </c>
      <c r="F317" s="124" t="s">
        <v>620</v>
      </c>
      <c r="G317" s="304">
        <v>2018</v>
      </c>
      <c r="H317" s="312" t="s">
        <v>733</v>
      </c>
      <c r="I317" s="307" t="str">
        <f t="shared" si="18"/>
        <v>Pesado de Passageiros M3: III : Gasóleo : E6</v>
      </c>
      <c r="J317" s="125">
        <v>52</v>
      </c>
      <c r="K317" s="125">
        <v>2022</v>
      </c>
      <c r="L317" s="85">
        <v>5967.85</v>
      </c>
      <c r="M317" s="85" t="s">
        <v>630</v>
      </c>
      <c r="N317" s="128">
        <v>19216</v>
      </c>
      <c r="O317" s="128">
        <f t="shared" si="19"/>
        <v>999232</v>
      </c>
      <c r="P317" s="125" t="s">
        <v>952</v>
      </c>
      <c r="Q317" s="85" t="s">
        <v>47</v>
      </c>
      <c r="R317" s="214" t="s">
        <v>1869</v>
      </c>
      <c r="S317" s="214" t="s">
        <v>1861</v>
      </c>
      <c r="T317" s="85" t="s">
        <v>1491</v>
      </c>
      <c r="U317" t="s">
        <v>1953</v>
      </c>
      <c r="V317" t="s">
        <v>2813</v>
      </c>
    </row>
    <row r="318" spans="1:22" ht="15.75" thickBot="1" x14ac:dyDescent="0.3">
      <c r="A318" s="82" t="s">
        <v>3471</v>
      </c>
      <c r="B318" s="82" t="str">
        <f t="shared" si="16"/>
        <v>Barraqueiro Transportes, S.A.</v>
      </c>
      <c r="C318" s="82" t="str">
        <f t="shared" si="17"/>
        <v>Estremadura</v>
      </c>
      <c r="D318" s="83" t="s">
        <v>629</v>
      </c>
      <c r="E318" s="91" t="s">
        <v>1853</v>
      </c>
      <c r="F318" s="124" t="s">
        <v>620</v>
      </c>
      <c r="G318" s="304">
        <v>2018</v>
      </c>
      <c r="H318" s="312" t="s">
        <v>733</v>
      </c>
      <c r="I318" s="307" t="str">
        <f t="shared" si="18"/>
        <v>Pesado de Passageiros M3: III : Gasóleo : E6</v>
      </c>
      <c r="J318" s="125">
        <v>19</v>
      </c>
      <c r="K318" s="125">
        <v>2022</v>
      </c>
      <c r="L318" s="85">
        <v>6139.4399999999987</v>
      </c>
      <c r="M318" s="85" t="s">
        <v>630</v>
      </c>
      <c r="N318" s="128">
        <v>43176</v>
      </c>
      <c r="O318" s="128">
        <f t="shared" si="19"/>
        <v>820344</v>
      </c>
      <c r="P318" s="125" t="s">
        <v>953</v>
      </c>
      <c r="Q318" s="85" t="s">
        <v>47</v>
      </c>
      <c r="R318" s="214" t="s">
        <v>1869</v>
      </c>
      <c r="S318" s="214" t="s">
        <v>1861</v>
      </c>
      <c r="T318" s="85" t="s">
        <v>1491</v>
      </c>
      <c r="U318" t="s">
        <v>1953</v>
      </c>
      <c r="V318" t="s">
        <v>2813</v>
      </c>
    </row>
    <row r="319" spans="1:22" ht="15.75" thickBot="1" x14ac:dyDescent="0.3">
      <c r="A319" s="82" t="s">
        <v>3471</v>
      </c>
      <c r="B319" s="82" t="str">
        <f t="shared" si="16"/>
        <v>Barraqueiro Transportes, S.A.</v>
      </c>
      <c r="C319" s="82" t="str">
        <f t="shared" si="17"/>
        <v>Estremadura</v>
      </c>
      <c r="D319" s="83" t="s">
        <v>629</v>
      </c>
      <c r="E319" s="91" t="s">
        <v>1853</v>
      </c>
      <c r="F319" s="124" t="s">
        <v>620</v>
      </c>
      <c r="G319" s="304">
        <v>2018</v>
      </c>
      <c r="H319" s="312" t="s">
        <v>733</v>
      </c>
      <c r="I319" s="307" t="str">
        <f t="shared" si="18"/>
        <v>Pesado de Passageiros M3: III : Gasóleo : E6</v>
      </c>
      <c r="J319" s="125">
        <v>19</v>
      </c>
      <c r="K319" s="125">
        <v>2022</v>
      </c>
      <c r="L319" s="85">
        <v>5828.0300000000016</v>
      </c>
      <c r="M319" s="85" t="s">
        <v>630</v>
      </c>
      <c r="N319" s="128">
        <v>38619</v>
      </c>
      <c r="O319" s="128">
        <f t="shared" si="19"/>
        <v>733761</v>
      </c>
      <c r="P319" s="125" t="s">
        <v>954</v>
      </c>
      <c r="Q319" s="85" t="s">
        <v>47</v>
      </c>
      <c r="R319" s="214" t="s">
        <v>1869</v>
      </c>
      <c r="S319" s="214" t="s">
        <v>1861</v>
      </c>
      <c r="T319" s="85" t="s">
        <v>1491</v>
      </c>
      <c r="U319" t="s">
        <v>1953</v>
      </c>
      <c r="V319" t="s">
        <v>2813</v>
      </c>
    </row>
    <row r="320" spans="1:22" ht="15.75" thickBot="1" x14ac:dyDescent="0.3">
      <c r="A320" s="82" t="s">
        <v>3471</v>
      </c>
      <c r="B320" s="82" t="str">
        <f t="shared" si="16"/>
        <v>Barraqueiro Transportes, S.A.</v>
      </c>
      <c r="C320" s="82" t="str">
        <f t="shared" si="17"/>
        <v>Estremadura</v>
      </c>
      <c r="D320" s="83" t="s">
        <v>629</v>
      </c>
      <c r="E320" s="91" t="s">
        <v>1853</v>
      </c>
      <c r="F320" s="124" t="s">
        <v>620</v>
      </c>
      <c r="G320" s="304">
        <v>2018</v>
      </c>
      <c r="H320" s="312" t="s">
        <v>733</v>
      </c>
      <c r="I320" s="307" t="str">
        <f t="shared" si="18"/>
        <v>Pesado de Passageiros M3: III : Gasóleo : E6</v>
      </c>
      <c r="J320" s="125">
        <v>19</v>
      </c>
      <c r="K320" s="125">
        <v>2022</v>
      </c>
      <c r="L320" s="85">
        <v>6817.1799999999994</v>
      </c>
      <c r="M320" s="85" t="s">
        <v>630</v>
      </c>
      <c r="N320" s="128">
        <v>46838</v>
      </c>
      <c r="O320" s="128">
        <f t="shared" si="19"/>
        <v>889922</v>
      </c>
      <c r="P320" s="125" t="s">
        <v>955</v>
      </c>
      <c r="Q320" s="85" t="s">
        <v>47</v>
      </c>
      <c r="R320" s="214" t="s">
        <v>1869</v>
      </c>
      <c r="S320" s="214" t="s">
        <v>1861</v>
      </c>
      <c r="T320" s="85" t="s">
        <v>1491</v>
      </c>
      <c r="U320" t="s">
        <v>1953</v>
      </c>
      <c r="V320" t="s">
        <v>2813</v>
      </c>
    </row>
    <row r="321" spans="1:22" ht="15.75" thickBot="1" x14ac:dyDescent="0.3">
      <c r="A321" s="82" t="s">
        <v>3471</v>
      </c>
      <c r="B321" s="82" t="str">
        <f t="shared" si="16"/>
        <v>Barraqueiro Transportes, S.A.</v>
      </c>
      <c r="C321" s="82" t="str">
        <f t="shared" si="17"/>
        <v>Estremadura</v>
      </c>
      <c r="D321" s="83" t="s">
        <v>629</v>
      </c>
      <c r="E321" s="91" t="s">
        <v>1853</v>
      </c>
      <c r="F321" s="124" t="s">
        <v>620</v>
      </c>
      <c r="G321" s="304">
        <v>2005</v>
      </c>
      <c r="H321" s="312" t="s">
        <v>732</v>
      </c>
      <c r="I321" s="307" t="str">
        <f t="shared" si="18"/>
        <v>Pesado de Passageiros M3: III : Gasóleo : E3</v>
      </c>
      <c r="J321" s="125">
        <v>36</v>
      </c>
      <c r="K321" s="125">
        <v>2022</v>
      </c>
      <c r="L321" s="85">
        <v>7451.99</v>
      </c>
      <c r="M321" s="85" t="s">
        <v>630</v>
      </c>
      <c r="N321" s="128">
        <v>23261</v>
      </c>
      <c r="O321" s="128">
        <f t="shared" si="19"/>
        <v>837396</v>
      </c>
      <c r="P321" s="125" t="s">
        <v>956</v>
      </c>
      <c r="Q321" s="85" t="s">
        <v>47</v>
      </c>
      <c r="R321" s="214" t="s">
        <v>1869</v>
      </c>
      <c r="S321" s="214" t="s">
        <v>1861</v>
      </c>
      <c r="T321" s="85" t="s">
        <v>1491</v>
      </c>
      <c r="U321" t="s">
        <v>1953</v>
      </c>
      <c r="V321" t="s">
        <v>2813</v>
      </c>
    </row>
    <row r="322" spans="1:22" ht="15.75" thickBot="1" x14ac:dyDescent="0.3">
      <c r="A322" s="82" t="s">
        <v>3471</v>
      </c>
      <c r="B322" s="82" t="str">
        <f t="shared" si="16"/>
        <v>Barraqueiro Transportes, S.A.</v>
      </c>
      <c r="C322" s="82" t="str">
        <f t="shared" si="17"/>
        <v>Estremadura</v>
      </c>
      <c r="D322" s="83" t="s">
        <v>629</v>
      </c>
      <c r="E322" s="91" t="s">
        <v>1853</v>
      </c>
      <c r="F322" s="124" t="s">
        <v>620</v>
      </c>
      <c r="G322" s="304">
        <v>2011</v>
      </c>
      <c r="H322" s="312" t="s">
        <v>734</v>
      </c>
      <c r="I322" s="307" t="str">
        <f t="shared" si="18"/>
        <v>Pesado de Passageiros M3: III : Gasóleo : E5</v>
      </c>
      <c r="J322" s="125">
        <v>34</v>
      </c>
      <c r="K322" s="125">
        <v>2022</v>
      </c>
      <c r="L322" s="85">
        <v>27550.990000000005</v>
      </c>
      <c r="M322" s="85" t="s">
        <v>630</v>
      </c>
      <c r="N322" s="128">
        <v>86247</v>
      </c>
      <c r="O322" s="128">
        <f t="shared" si="19"/>
        <v>2932398</v>
      </c>
      <c r="P322" s="125" t="s">
        <v>957</v>
      </c>
      <c r="Q322" s="85" t="s">
        <v>47</v>
      </c>
      <c r="R322" s="214" t="s">
        <v>1869</v>
      </c>
      <c r="S322" s="214" t="s">
        <v>1861</v>
      </c>
      <c r="T322" s="85" t="s">
        <v>1491</v>
      </c>
      <c r="U322" t="s">
        <v>1953</v>
      </c>
      <c r="V322" t="s">
        <v>2813</v>
      </c>
    </row>
    <row r="323" spans="1:22" ht="15.75" thickBot="1" x14ac:dyDescent="0.3">
      <c r="A323" s="82" t="s">
        <v>3471</v>
      </c>
      <c r="B323" s="82" t="str">
        <f t="shared" ref="B323:B386" si="20">LEFT(A323,IFERROR(FIND(" - ",A323)-1,LEN(A323)))</f>
        <v>Barraqueiro Transportes, S.A.</v>
      </c>
      <c r="C323" s="82" t="str">
        <f t="shared" si="17"/>
        <v>Estremadura</v>
      </c>
      <c r="D323" s="83" t="s">
        <v>629</v>
      </c>
      <c r="E323" s="91" t="s">
        <v>1853</v>
      </c>
      <c r="F323" s="124" t="s">
        <v>620</v>
      </c>
      <c r="G323" s="304">
        <v>2012</v>
      </c>
      <c r="H323" s="312" t="s">
        <v>734</v>
      </c>
      <c r="I323" s="307" t="str">
        <f t="shared" si="18"/>
        <v>Pesado de Passageiros M3: III : Gasóleo : E5</v>
      </c>
      <c r="J323" s="125">
        <v>53</v>
      </c>
      <c r="K323" s="125">
        <v>2022</v>
      </c>
      <c r="L323" s="85">
        <v>34377.899999999994</v>
      </c>
      <c r="M323" s="85" t="s">
        <v>630</v>
      </c>
      <c r="N323" s="128">
        <v>114509</v>
      </c>
      <c r="O323" s="128">
        <f t="shared" si="19"/>
        <v>6068977</v>
      </c>
      <c r="P323" s="125" t="s">
        <v>958</v>
      </c>
      <c r="Q323" s="85" t="s">
        <v>47</v>
      </c>
      <c r="R323" s="214" t="s">
        <v>1869</v>
      </c>
      <c r="S323" s="214" t="s">
        <v>1861</v>
      </c>
      <c r="T323" s="85" t="s">
        <v>1491</v>
      </c>
      <c r="U323" t="s">
        <v>1953</v>
      </c>
      <c r="V323" t="s">
        <v>2813</v>
      </c>
    </row>
    <row r="324" spans="1:22" ht="15.75" thickBot="1" x14ac:dyDescent="0.3">
      <c r="A324" s="82" t="s">
        <v>3471</v>
      </c>
      <c r="B324" s="82" t="str">
        <f t="shared" si="20"/>
        <v>Barraqueiro Transportes, S.A.</v>
      </c>
      <c r="C324" s="82" t="str">
        <f t="shared" ref="C324:C387" si="21">IF(A324=B324,B324,RIGHT(A324,LEN(A324)-LEN(B324)-3))</f>
        <v>Estremadura</v>
      </c>
      <c r="D324" s="83" t="s">
        <v>629</v>
      </c>
      <c r="E324" s="91" t="s">
        <v>1853</v>
      </c>
      <c r="F324" s="124" t="s">
        <v>620</v>
      </c>
      <c r="G324" s="304">
        <v>2013</v>
      </c>
      <c r="H324" s="312" t="s">
        <v>733</v>
      </c>
      <c r="I324" s="307" t="str">
        <f t="shared" ref="I324:I387" si="22">D324&amp;": "&amp;E324&amp;" : "&amp;F324&amp;" : "&amp;H324</f>
        <v>Pesado de Passageiros M3: III : Gasóleo : E6</v>
      </c>
      <c r="J324" s="125">
        <v>53</v>
      </c>
      <c r="K324" s="125">
        <v>2022</v>
      </c>
      <c r="L324" s="85">
        <v>23980.310000000005</v>
      </c>
      <c r="M324" s="85" t="s">
        <v>630</v>
      </c>
      <c r="N324" s="128">
        <v>79554</v>
      </c>
      <c r="O324" s="128">
        <f t="shared" ref="O324:O387" si="23">N324*J324</f>
        <v>4216362</v>
      </c>
      <c r="P324" s="125" t="s">
        <v>959</v>
      </c>
      <c r="Q324" s="85" t="s">
        <v>47</v>
      </c>
      <c r="R324" s="214" t="s">
        <v>1869</v>
      </c>
      <c r="S324" s="214" t="s">
        <v>1861</v>
      </c>
      <c r="T324" s="85" t="s">
        <v>1491</v>
      </c>
      <c r="U324" t="s">
        <v>1953</v>
      </c>
      <c r="V324" t="s">
        <v>2813</v>
      </c>
    </row>
    <row r="325" spans="1:22" ht="15.75" thickBot="1" x14ac:dyDescent="0.3">
      <c r="A325" s="82" t="s">
        <v>3471</v>
      </c>
      <c r="B325" s="82" t="str">
        <f t="shared" si="20"/>
        <v>Barraqueiro Transportes, S.A.</v>
      </c>
      <c r="C325" s="82" t="str">
        <f t="shared" si="21"/>
        <v>Estremadura</v>
      </c>
      <c r="D325" s="83" t="s">
        <v>629</v>
      </c>
      <c r="E325" s="91" t="s">
        <v>1853</v>
      </c>
      <c r="F325" s="124" t="s">
        <v>620</v>
      </c>
      <c r="G325" s="304">
        <v>2013</v>
      </c>
      <c r="H325" s="312" t="s">
        <v>733</v>
      </c>
      <c r="I325" s="307" t="str">
        <f t="shared" si="22"/>
        <v>Pesado de Passageiros M3: III : Gasóleo : E6</v>
      </c>
      <c r="J325" s="125">
        <v>53</v>
      </c>
      <c r="K325" s="125">
        <v>2022</v>
      </c>
      <c r="L325" s="85">
        <v>0</v>
      </c>
      <c r="M325" s="85" t="s">
        <v>630</v>
      </c>
      <c r="N325" s="128">
        <v>0</v>
      </c>
      <c r="O325" s="128">
        <f t="shared" si="23"/>
        <v>0</v>
      </c>
      <c r="P325" s="125" t="s">
        <v>960</v>
      </c>
      <c r="Q325" s="85" t="s">
        <v>47</v>
      </c>
      <c r="R325" s="214" t="s">
        <v>1869</v>
      </c>
      <c r="S325" s="214" t="s">
        <v>1861</v>
      </c>
      <c r="T325" s="85" t="s">
        <v>1491</v>
      </c>
      <c r="U325" t="s">
        <v>1953</v>
      </c>
      <c r="V325" t="s">
        <v>2813</v>
      </c>
    </row>
    <row r="326" spans="1:22" ht="15.75" thickBot="1" x14ac:dyDescent="0.3">
      <c r="A326" s="82" t="s">
        <v>3471</v>
      </c>
      <c r="B326" s="82" t="str">
        <f t="shared" si="20"/>
        <v>Barraqueiro Transportes, S.A.</v>
      </c>
      <c r="C326" s="82" t="str">
        <f t="shared" si="21"/>
        <v>Estremadura</v>
      </c>
      <c r="D326" s="83" t="s">
        <v>629</v>
      </c>
      <c r="E326" s="91" t="s">
        <v>1853</v>
      </c>
      <c r="F326" s="124" t="s">
        <v>620</v>
      </c>
      <c r="G326" s="304">
        <v>2013</v>
      </c>
      <c r="H326" s="312" t="s">
        <v>733</v>
      </c>
      <c r="I326" s="307" t="str">
        <f t="shared" si="22"/>
        <v>Pesado de Passageiros M3: III : Gasóleo : E6</v>
      </c>
      <c r="J326" s="125">
        <v>55</v>
      </c>
      <c r="K326" s="125">
        <v>2022</v>
      </c>
      <c r="L326" s="85">
        <v>31687.210000000003</v>
      </c>
      <c r="M326" s="85" t="s">
        <v>630</v>
      </c>
      <c r="N326" s="128">
        <v>101173</v>
      </c>
      <c r="O326" s="128">
        <f t="shared" si="23"/>
        <v>5564515</v>
      </c>
      <c r="P326" s="125" t="s">
        <v>961</v>
      </c>
      <c r="Q326" s="85" t="s">
        <v>47</v>
      </c>
      <c r="R326" s="214" t="s">
        <v>1869</v>
      </c>
      <c r="S326" s="214" t="s">
        <v>1861</v>
      </c>
      <c r="T326" s="85" t="s">
        <v>1491</v>
      </c>
      <c r="U326" t="s">
        <v>1953</v>
      </c>
      <c r="V326" t="s">
        <v>2813</v>
      </c>
    </row>
    <row r="327" spans="1:22" ht="15.75" thickBot="1" x14ac:dyDescent="0.3">
      <c r="A327" s="82" t="s">
        <v>3471</v>
      </c>
      <c r="B327" s="82" t="str">
        <f t="shared" si="20"/>
        <v>Barraqueiro Transportes, S.A.</v>
      </c>
      <c r="C327" s="82" t="str">
        <f t="shared" si="21"/>
        <v>Estremadura</v>
      </c>
      <c r="D327" s="83" t="s">
        <v>629</v>
      </c>
      <c r="E327" s="91" t="s">
        <v>1853</v>
      </c>
      <c r="F327" s="124" t="s">
        <v>620</v>
      </c>
      <c r="G327" s="304">
        <v>2014</v>
      </c>
      <c r="H327" s="312" t="s">
        <v>733</v>
      </c>
      <c r="I327" s="307" t="str">
        <f t="shared" si="22"/>
        <v>Pesado de Passageiros M3: III : Gasóleo : E6</v>
      </c>
      <c r="J327" s="125">
        <v>53</v>
      </c>
      <c r="K327" s="125">
        <v>2022</v>
      </c>
      <c r="L327" s="85">
        <v>23223.269999999997</v>
      </c>
      <c r="M327" s="85" t="s">
        <v>630</v>
      </c>
      <c r="N327" s="128">
        <v>83307</v>
      </c>
      <c r="O327" s="128">
        <f t="shared" si="23"/>
        <v>4415271</v>
      </c>
      <c r="P327" s="125" t="s">
        <v>962</v>
      </c>
      <c r="Q327" s="85" t="s">
        <v>47</v>
      </c>
      <c r="R327" s="214" t="s">
        <v>1869</v>
      </c>
      <c r="S327" s="214" t="s">
        <v>1861</v>
      </c>
      <c r="T327" s="85" t="s">
        <v>1491</v>
      </c>
      <c r="U327" t="s">
        <v>1953</v>
      </c>
      <c r="V327" t="s">
        <v>2813</v>
      </c>
    </row>
    <row r="328" spans="1:22" ht="15.75" thickBot="1" x14ac:dyDescent="0.3">
      <c r="A328" s="82" t="s">
        <v>3471</v>
      </c>
      <c r="B328" s="82" t="str">
        <f t="shared" si="20"/>
        <v>Barraqueiro Transportes, S.A.</v>
      </c>
      <c r="C328" s="82" t="str">
        <f t="shared" si="21"/>
        <v>Estremadura</v>
      </c>
      <c r="D328" s="83" t="s">
        <v>629</v>
      </c>
      <c r="E328" s="91" t="s">
        <v>1853</v>
      </c>
      <c r="F328" s="124" t="s">
        <v>620</v>
      </c>
      <c r="G328" s="304">
        <v>2014</v>
      </c>
      <c r="H328" s="312" t="s">
        <v>733</v>
      </c>
      <c r="I328" s="307" t="str">
        <f t="shared" si="22"/>
        <v>Pesado de Passageiros M3: III : Gasóleo : E6</v>
      </c>
      <c r="J328" s="125">
        <v>53</v>
      </c>
      <c r="K328" s="125">
        <v>2022</v>
      </c>
      <c r="L328" s="85">
        <v>59276.82</v>
      </c>
      <c r="M328" s="85" t="s">
        <v>630</v>
      </c>
      <c r="N328" s="128">
        <v>207498</v>
      </c>
      <c r="O328" s="128">
        <f t="shared" si="23"/>
        <v>10997394</v>
      </c>
      <c r="P328" s="125" t="s">
        <v>963</v>
      </c>
      <c r="Q328" s="85" t="s">
        <v>47</v>
      </c>
      <c r="R328" s="214" t="s">
        <v>1869</v>
      </c>
      <c r="S328" s="214" t="s">
        <v>1861</v>
      </c>
      <c r="T328" s="85" t="s">
        <v>1491</v>
      </c>
      <c r="U328" t="s">
        <v>1953</v>
      </c>
      <c r="V328" t="s">
        <v>2813</v>
      </c>
    </row>
    <row r="329" spans="1:22" ht="15.75" thickBot="1" x14ac:dyDescent="0.3">
      <c r="A329" s="82" t="s">
        <v>3471</v>
      </c>
      <c r="B329" s="82" t="str">
        <f t="shared" si="20"/>
        <v>Barraqueiro Transportes, S.A.</v>
      </c>
      <c r="C329" s="82" t="str">
        <f t="shared" si="21"/>
        <v>Estremadura</v>
      </c>
      <c r="D329" s="83" t="s">
        <v>629</v>
      </c>
      <c r="E329" s="91" t="s">
        <v>1853</v>
      </c>
      <c r="F329" s="124" t="s">
        <v>620</v>
      </c>
      <c r="G329" s="304">
        <v>2015</v>
      </c>
      <c r="H329" s="312" t="s">
        <v>733</v>
      </c>
      <c r="I329" s="307" t="str">
        <f t="shared" si="22"/>
        <v>Pesado de Passageiros M3: III : Gasóleo : E6</v>
      </c>
      <c r="J329" s="125">
        <v>53</v>
      </c>
      <c r="K329" s="125">
        <v>2022</v>
      </c>
      <c r="L329" s="85">
        <v>48636.920000000006</v>
      </c>
      <c r="M329" s="85" t="s">
        <v>630</v>
      </c>
      <c r="N329" s="128">
        <v>181139</v>
      </c>
      <c r="O329" s="128">
        <f t="shared" si="23"/>
        <v>9600367</v>
      </c>
      <c r="P329" s="125" t="s">
        <v>964</v>
      </c>
      <c r="Q329" s="85" t="s">
        <v>47</v>
      </c>
      <c r="R329" s="214" t="s">
        <v>1869</v>
      </c>
      <c r="S329" s="214" t="s">
        <v>1861</v>
      </c>
      <c r="T329" s="85" t="s">
        <v>1491</v>
      </c>
      <c r="U329" t="s">
        <v>1953</v>
      </c>
      <c r="V329" t="s">
        <v>2813</v>
      </c>
    </row>
    <row r="330" spans="1:22" ht="15.75" thickBot="1" x14ac:dyDescent="0.3">
      <c r="A330" s="82" t="s">
        <v>3471</v>
      </c>
      <c r="B330" s="82" t="str">
        <f t="shared" si="20"/>
        <v>Barraqueiro Transportes, S.A.</v>
      </c>
      <c r="C330" s="82" t="str">
        <f t="shared" si="21"/>
        <v>Estremadura</v>
      </c>
      <c r="D330" s="83" t="s">
        <v>629</v>
      </c>
      <c r="E330" s="91" t="s">
        <v>1853</v>
      </c>
      <c r="F330" s="124" t="s">
        <v>620</v>
      </c>
      <c r="G330" s="304">
        <v>2015</v>
      </c>
      <c r="H330" s="312" t="s">
        <v>733</v>
      </c>
      <c r="I330" s="307" t="str">
        <f t="shared" si="22"/>
        <v>Pesado de Passageiros M3: III : Gasóleo : E6</v>
      </c>
      <c r="J330" s="125">
        <v>53</v>
      </c>
      <c r="K330" s="125">
        <v>2022</v>
      </c>
      <c r="L330" s="85">
        <v>51869.200000000004</v>
      </c>
      <c r="M330" s="85" t="s">
        <v>630</v>
      </c>
      <c r="N330" s="128">
        <v>189893</v>
      </c>
      <c r="O330" s="128">
        <f t="shared" si="23"/>
        <v>10064329</v>
      </c>
      <c r="P330" s="125" t="s">
        <v>965</v>
      </c>
      <c r="Q330" s="85" t="s">
        <v>47</v>
      </c>
      <c r="R330" s="214" t="s">
        <v>1869</v>
      </c>
      <c r="S330" s="214" t="s">
        <v>1861</v>
      </c>
      <c r="T330" s="85" t="s">
        <v>1491</v>
      </c>
      <c r="U330" t="s">
        <v>1953</v>
      </c>
      <c r="V330" t="s">
        <v>2813</v>
      </c>
    </row>
    <row r="331" spans="1:22" ht="15.75" thickBot="1" x14ac:dyDescent="0.3">
      <c r="A331" s="82" t="s">
        <v>3471</v>
      </c>
      <c r="B331" s="82" t="str">
        <f t="shared" si="20"/>
        <v>Barraqueiro Transportes, S.A.</v>
      </c>
      <c r="C331" s="82" t="str">
        <f t="shared" si="21"/>
        <v>Estremadura</v>
      </c>
      <c r="D331" s="83" t="s">
        <v>629</v>
      </c>
      <c r="E331" s="91" t="s">
        <v>1853</v>
      </c>
      <c r="F331" s="124" t="s">
        <v>620</v>
      </c>
      <c r="G331" s="304">
        <v>2015</v>
      </c>
      <c r="H331" s="312" t="s">
        <v>733</v>
      </c>
      <c r="I331" s="307" t="str">
        <f t="shared" si="22"/>
        <v>Pesado de Passageiros M3: III : Gasóleo : E6</v>
      </c>
      <c r="J331" s="125">
        <v>53</v>
      </c>
      <c r="K331" s="125">
        <v>2022</v>
      </c>
      <c r="L331" s="85">
        <v>59826.15</v>
      </c>
      <c r="M331" s="85" t="s">
        <v>630</v>
      </c>
      <c r="N331" s="128">
        <v>218929</v>
      </c>
      <c r="O331" s="128">
        <f t="shared" si="23"/>
        <v>11603237</v>
      </c>
      <c r="P331" s="125" t="s">
        <v>966</v>
      </c>
      <c r="Q331" s="85" t="s">
        <v>47</v>
      </c>
      <c r="R331" s="214" t="s">
        <v>1869</v>
      </c>
      <c r="S331" s="214" t="s">
        <v>1861</v>
      </c>
      <c r="T331" s="85" t="s">
        <v>1491</v>
      </c>
      <c r="U331" t="s">
        <v>1953</v>
      </c>
      <c r="V331" t="s">
        <v>2813</v>
      </c>
    </row>
    <row r="332" spans="1:22" ht="15.75" thickBot="1" x14ac:dyDescent="0.3">
      <c r="A332" s="82" t="s">
        <v>3471</v>
      </c>
      <c r="B332" s="82" t="str">
        <f t="shared" si="20"/>
        <v>Barraqueiro Transportes, S.A.</v>
      </c>
      <c r="C332" s="82" t="str">
        <f t="shared" si="21"/>
        <v>Estremadura</v>
      </c>
      <c r="D332" s="83" t="s">
        <v>629</v>
      </c>
      <c r="E332" s="91" t="s">
        <v>1853</v>
      </c>
      <c r="F332" s="124" t="s">
        <v>620</v>
      </c>
      <c r="G332" s="304">
        <v>2015</v>
      </c>
      <c r="H332" s="312" t="s">
        <v>733</v>
      </c>
      <c r="I332" s="307" t="str">
        <f t="shared" si="22"/>
        <v>Pesado de Passageiros M3: III : Gasóleo : E6</v>
      </c>
      <c r="J332" s="125">
        <v>53</v>
      </c>
      <c r="K332" s="125">
        <v>2022</v>
      </c>
      <c r="L332" s="85">
        <v>54196.82</v>
      </c>
      <c r="M332" s="85" t="s">
        <v>630</v>
      </c>
      <c r="N332" s="128">
        <v>203272</v>
      </c>
      <c r="O332" s="128">
        <f t="shared" si="23"/>
        <v>10773416</v>
      </c>
      <c r="P332" s="125" t="s">
        <v>967</v>
      </c>
      <c r="Q332" s="85" t="s">
        <v>47</v>
      </c>
      <c r="R332" s="214" t="s">
        <v>1869</v>
      </c>
      <c r="S332" s="214" t="s">
        <v>1861</v>
      </c>
      <c r="T332" s="85" t="s">
        <v>1491</v>
      </c>
      <c r="U332" t="s">
        <v>1953</v>
      </c>
      <c r="V332" t="s">
        <v>2813</v>
      </c>
    </row>
    <row r="333" spans="1:22" ht="15.75" thickBot="1" x14ac:dyDescent="0.3">
      <c r="A333" s="82" t="s">
        <v>3471</v>
      </c>
      <c r="B333" s="82" t="str">
        <f t="shared" si="20"/>
        <v>Barraqueiro Transportes, S.A.</v>
      </c>
      <c r="C333" s="82" t="str">
        <f t="shared" si="21"/>
        <v>Estremadura</v>
      </c>
      <c r="D333" s="83" t="s">
        <v>629</v>
      </c>
      <c r="E333" s="91" t="s">
        <v>1853</v>
      </c>
      <c r="F333" s="124" t="s">
        <v>620</v>
      </c>
      <c r="G333" s="304">
        <v>2015</v>
      </c>
      <c r="H333" s="312" t="s">
        <v>733</v>
      </c>
      <c r="I333" s="307" t="str">
        <f t="shared" si="22"/>
        <v>Pesado de Passageiros M3: III : Gasóleo : E6</v>
      </c>
      <c r="J333" s="125">
        <v>53</v>
      </c>
      <c r="K333" s="125">
        <v>2022</v>
      </c>
      <c r="L333" s="85">
        <v>53057.89</v>
      </c>
      <c r="M333" s="85" t="s">
        <v>630</v>
      </c>
      <c r="N333" s="128">
        <v>195890</v>
      </c>
      <c r="O333" s="128">
        <f t="shared" si="23"/>
        <v>10382170</v>
      </c>
      <c r="P333" s="125" t="s">
        <v>968</v>
      </c>
      <c r="Q333" s="85" t="s">
        <v>47</v>
      </c>
      <c r="R333" s="214" t="s">
        <v>1869</v>
      </c>
      <c r="S333" s="214" t="s">
        <v>1861</v>
      </c>
      <c r="T333" s="85" t="s">
        <v>1491</v>
      </c>
      <c r="U333" t="s">
        <v>1953</v>
      </c>
      <c r="V333" t="s">
        <v>2813</v>
      </c>
    </row>
    <row r="334" spans="1:22" ht="15.75" thickBot="1" x14ac:dyDescent="0.3">
      <c r="A334" s="82" t="s">
        <v>3471</v>
      </c>
      <c r="B334" s="82" t="str">
        <f t="shared" si="20"/>
        <v>Barraqueiro Transportes, S.A.</v>
      </c>
      <c r="C334" s="82" t="str">
        <f t="shared" si="21"/>
        <v>Estremadura</v>
      </c>
      <c r="D334" s="83" t="s">
        <v>629</v>
      </c>
      <c r="E334" s="91" t="s">
        <v>1853</v>
      </c>
      <c r="F334" s="124" t="s">
        <v>620</v>
      </c>
      <c r="G334" s="304">
        <v>2016</v>
      </c>
      <c r="H334" s="312" t="s">
        <v>733</v>
      </c>
      <c r="I334" s="307" t="str">
        <f t="shared" si="22"/>
        <v>Pesado de Passageiros M3: III : Gasóleo : E6</v>
      </c>
      <c r="J334" s="125">
        <v>53</v>
      </c>
      <c r="K334" s="125">
        <v>2022</v>
      </c>
      <c r="L334" s="85">
        <v>56407.200000000004</v>
      </c>
      <c r="M334" s="85" t="s">
        <v>630</v>
      </c>
      <c r="N334" s="128">
        <v>217394</v>
      </c>
      <c r="O334" s="128">
        <f t="shared" si="23"/>
        <v>11521882</v>
      </c>
      <c r="P334" s="125" t="s">
        <v>969</v>
      </c>
      <c r="Q334" s="85" t="s">
        <v>47</v>
      </c>
      <c r="R334" s="214" t="s">
        <v>1869</v>
      </c>
      <c r="S334" s="214" t="s">
        <v>1861</v>
      </c>
      <c r="T334" s="85" t="s">
        <v>1491</v>
      </c>
      <c r="U334" t="s">
        <v>1953</v>
      </c>
      <c r="V334" t="s">
        <v>2813</v>
      </c>
    </row>
    <row r="335" spans="1:22" ht="15.75" thickBot="1" x14ac:dyDescent="0.3">
      <c r="A335" s="82" t="s">
        <v>3471</v>
      </c>
      <c r="B335" s="82" t="str">
        <f t="shared" si="20"/>
        <v>Barraqueiro Transportes, S.A.</v>
      </c>
      <c r="C335" s="82" t="str">
        <f t="shared" si="21"/>
        <v>Estremadura</v>
      </c>
      <c r="D335" s="83" t="s">
        <v>629</v>
      </c>
      <c r="E335" s="91" t="s">
        <v>1853</v>
      </c>
      <c r="F335" s="124" t="s">
        <v>620</v>
      </c>
      <c r="G335" s="304">
        <v>2016</v>
      </c>
      <c r="H335" s="312" t="s">
        <v>733</v>
      </c>
      <c r="I335" s="307" t="str">
        <f t="shared" si="22"/>
        <v>Pesado de Passageiros M3: III : Gasóleo : E6</v>
      </c>
      <c r="J335" s="125">
        <v>53</v>
      </c>
      <c r="K335" s="125">
        <v>2022</v>
      </c>
      <c r="L335" s="85">
        <v>34811.760000000002</v>
      </c>
      <c r="M335" s="85" t="s">
        <v>630</v>
      </c>
      <c r="N335" s="128">
        <v>132746</v>
      </c>
      <c r="O335" s="128">
        <f t="shared" si="23"/>
        <v>7035538</v>
      </c>
      <c r="P335" s="125" t="s">
        <v>970</v>
      </c>
      <c r="Q335" s="85" t="s">
        <v>47</v>
      </c>
      <c r="R335" s="214" t="s">
        <v>1869</v>
      </c>
      <c r="S335" s="214" t="s">
        <v>1861</v>
      </c>
      <c r="T335" s="85" t="s">
        <v>1491</v>
      </c>
      <c r="U335" t="s">
        <v>1953</v>
      </c>
      <c r="V335" t="s">
        <v>2813</v>
      </c>
    </row>
    <row r="336" spans="1:22" ht="15.75" thickBot="1" x14ac:dyDescent="0.3">
      <c r="A336" s="82" t="s">
        <v>3471</v>
      </c>
      <c r="B336" s="82" t="str">
        <f t="shared" si="20"/>
        <v>Barraqueiro Transportes, S.A.</v>
      </c>
      <c r="C336" s="82" t="str">
        <f t="shared" si="21"/>
        <v>Estremadura</v>
      </c>
      <c r="D336" s="83" t="s">
        <v>629</v>
      </c>
      <c r="E336" s="91" t="s">
        <v>1853</v>
      </c>
      <c r="F336" s="124" t="s">
        <v>620</v>
      </c>
      <c r="G336" s="304">
        <v>2016</v>
      </c>
      <c r="H336" s="312" t="s">
        <v>733</v>
      </c>
      <c r="I336" s="307" t="str">
        <f t="shared" si="22"/>
        <v>Pesado de Passageiros M3: III : Gasóleo : E6</v>
      </c>
      <c r="J336" s="125">
        <v>53</v>
      </c>
      <c r="K336" s="125">
        <v>2022</v>
      </c>
      <c r="L336" s="85">
        <v>58695.99</v>
      </c>
      <c r="M336" s="85" t="s">
        <v>630</v>
      </c>
      <c r="N336" s="128">
        <v>223317</v>
      </c>
      <c r="O336" s="128">
        <f t="shared" si="23"/>
        <v>11835801</v>
      </c>
      <c r="P336" s="125" t="s">
        <v>971</v>
      </c>
      <c r="Q336" s="85" t="s">
        <v>47</v>
      </c>
      <c r="R336" s="214" t="s">
        <v>1869</v>
      </c>
      <c r="S336" s="214" t="s">
        <v>1861</v>
      </c>
      <c r="T336" s="85" t="s">
        <v>1491</v>
      </c>
      <c r="U336" t="s">
        <v>1953</v>
      </c>
      <c r="V336" t="s">
        <v>2813</v>
      </c>
    </row>
    <row r="337" spans="1:22" ht="15.75" thickBot="1" x14ac:dyDescent="0.3">
      <c r="A337" s="82" t="s">
        <v>3471</v>
      </c>
      <c r="B337" s="82" t="str">
        <f t="shared" si="20"/>
        <v>Barraqueiro Transportes, S.A.</v>
      </c>
      <c r="C337" s="82" t="str">
        <f t="shared" si="21"/>
        <v>Estremadura</v>
      </c>
      <c r="D337" s="83" t="s">
        <v>629</v>
      </c>
      <c r="E337" s="91" t="s">
        <v>1853</v>
      </c>
      <c r="F337" s="124" t="s">
        <v>620</v>
      </c>
      <c r="G337" s="304">
        <v>2016</v>
      </c>
      <c r="H337" s="312" t="s">
        <v>733</v>
      </c>
      <c r="I337" s="307" t="str">
        <f t="shared" si="22"/>
        <v>Pesado de Passageiros M3: III : Gasóleo : E6</v>
      </c>
      <c r="J337" s="125">
        <v>53</v>
      </c>
      <c r="K337" s="125">
        <v>2022</v>
      </c>
      <c r="L337" s="85">
        <v>51030.930000000008</v>
      </c>
      <c r="M337" s="85" t="s">
        <v>630</v>
      </c>
      <c r="N337" s="128">
        <v>200913</v>
      </c>
      <c r="O337" s="128">
        <f t="shared" si="23"/>
        <v>10648389</v>
      </c>
      <c r="P337" s="125" t="s">
        <v>972</v>
      </c>
      <c r="Q337" s="85" t="s">
        <v>47</v>
      </c>
      <c r="R337" s="214" t="s">
        <v>1869</v>
      </c>
      <c r="S337" s="214" t="s">
        <v>1861</v>
      </c>
      <c r="T337" s="85" t="s">
        <v>1491</v>
      </c>
      <c r="U337" t="s">
        <v>1953</v>
      </c>
      <c r="V337" t="s">
        <v>2813</v>
      </c>
    </row>
    <row r="338" spans="1:22" ht="15.75" thickBot="1" x14ac:dyDescent="0.3">
      <c r="A338" s="82" t="s">
        <v>3471</v>
      </c>
      <c r="B338" s="82" t="str">
        <f t="shared" si="20"/>
        <v>Barraqueiro Transportes, S.A.</v>
      </c>
      <c r="C338" s="82" t="str">
        <f t="shared" si="21"/>
        <v>Estremadura</v>
      </c>
      <c r="D338" s="83" t="s">
        <v>629</v>
      </c>
      <c r="E338" s="91" t="s">
        <v>1853</v>
      </c>
      <c r="F338" s="124" t="s">
        <v>620</v>
      </c>
      <c r="G338" s="304">
        <v>2017</v>
      </c>
      <c r="H338" s="312" t="s">
        <v>733</v>
      </c>
      <c r="I338" s="307" t="str">
        <f t="shared" si="22"/>
        <v>Pesado de Passageiros M3: III : Gasóleo : E6</v>
      </c>
      <c r="J338" s="125">
        <v>53</v>
      </c>
      <c r="K338" s="125">
        <v>2022</v>
      </c>
      <c r="L338" s="85">
        <v>69388.289999999994</v>
      </c>
      <c r="M338" s="85" t="s">
        <v>630</v>
      </c>
      <c r="N338" s="128">
        <v>282856</v>
      </c>
      <c r="O338" s="128">
        <f t="shared" si="23"/>
        <v>14991368</v>
      </c>
      <c r="P338" s="125" t="s">
        <v>973</v>
      </c>
      <c r="Q338" s="85" t="s">
        <v>47</v>
      </c>
      <c r="R338" s="214" t="s">
        <v>1869</v>
      </c>
      <c r="S338" s="214" t="s">
        <v>1861</v>
      </c>
      <c r="T338" s="85" t="s">
        <v>1491</v>
      </c>
      <c r="U338" t="s">
        <v>1953</v>
      </c>
      <c r="V338" t="s">
        <v>2813</v>
      </c>
    </row>
    <row r="339" spans="1:22" ht="15.75" thickBot="1" x14ac:dyDescent="0.3">
      <c r="A339" s="82" t="s">
        <v>3471</v>
      </c>
      <c r="B339" s="82" t="str">
        <f t="shared" si="20"/>
        <v>Barraqueiro Transportes, S.A.</v>
      </c>
      <c r="C339" s="82" t="str">
        <f t="shared" si="21"/>
        <v>Estremadura</v>
      </c>
      <c r="D339" s="83" t="s">
        <v>629</v>
      </c>
      <c r="E339" s="91" t="s">
        <v>1853</v>
      </c>
      <c r="F339" s="124" t="s">
        <v>620</v>
      </c>
      <c r="G339" s="304">
        <v>2017</v>
      </c>
      <c r="H339" s="312" t="s">
        <v>733</v>
      </c>
      <c r="I339" s="307" t="str">
        <f t="shared" si="22"/>
        <v>Pesado de Passageiros M3: III : Gasóleo : E6</v>
      </c>
      <c r="J339" s="125">
        <v>53</v>
      </c>
      <c r="K339" s="125">
        <v>2022</v>
      </c>
      <c r="L339" s="85">
        <v>65553.099999999991</v>
      </c>
      <c r="M339" s="85" t="s">
        <v>630</v>
      </c>
      <c r="N339" s="128">
        <v>260949</v>
      </c>
      <c r="O339" s="128">
        <f t="shared" si="23"/>
        <v>13830297</v>
      </c>
      <c r="P339" s="125" t="s">
        <v>974</v>
      </c>
      <c r="Q339" s="85" t="s">
        <v>47</v>
      </c>
      <c r="R339" s="214" t="s">
        <v>1869</v>
      </c>
      <c r="S339" s="214" t="s">
        <v>1861</v>
      </c>
      <c r="T339" s="85" t="s">
        <v>1491</v>
      </c>
      <c r="U339" t="s">
        <v>1953</v>
      </c>
      <c r="V339" t="s">
        <v>2813</v>
      </c>
    </row>
    <row r="340" spans="1:22" ht="15.75" thickBot="1" x14ac:dyDescent="0.3">
      <c r="A340" s="82" t="s">
        <v>3471</v>
      </c>
      <c r="B340" s="82" t="str">
        <f t="shared" si="20"/>
        <v>Barraqueiro Transportes, S.A.</v>
      </c>
      <c r="C340" s="82" t="str">
        <f t="shared" si="21"/>
        <v>Estremadura</v>
      </c>
      <c r="D340" s="83" t="s">
        <v>629</v>
      </c>
      <c r="E340" s="91" t="s">
        <v>1853</v>
      </c>
      <c r="F340" s="124" t="s">
        <v>620</v>
      </c>
      <c r="G340" s="304">
        <v>2017</v>
      </c>
      <c r="H340" s="312" t="s">
        <v>733</v>
      </c>
      <c r="I340" s="307" t="str">
        <f t="shared" si="22"/>
        <v>Pesado de Passageiros M3: III : Gasóleo : E6</v>
      </c>
      <c r="J340" s="125">
        <v>53</v>
      </c>
      <c r="K340" s="125">
        <v>2022</v>
      </c>
      <c r="L340" s="85">
        <v>68009.34</v>
      </c>
      <c r="M340" s="85" t="s">
        <v>630</v>
      </c>
      <c r="N340" s="128">
        <v>269747</v>
      </c>
      <c r="O340" s="128">
        <f t="shared" si="23"/>
        <v>14296591</v>
      </c>
      <c r="P340" s="125" t="s">
        <v>975</v>
      </c>
      <c r="Q340" s="85" t="s">
        <v>47</v>
      </c>
      <c r="R340" s="214" t="s">
        <v>1869</v>
      </c>
      <c r="S340" s="214" t="s">
        <v>1861</v>
      </c>
      <c r="T340" s="85" t="s">
        <v>1491</v>
      </c>
      <c r="U340" t="s">
        <v>1953</v>
      </c>
      <c r="V340" t="s">
        <v>2813</v>
      </c>
    </row>
    <row r="341" spans="1:22" ht="15.75" thickBot="1" x14ac:dyDescent="0.3">
      <c r="A341" s="82" t="s">
        <v>3471</v>
      </c>
      <c r="B341" s="82" t="str">
        <f t="shared" si="20"/>
        <v>Barraqueiro Transportes, S.A.</v>
      </c>
      <c r="C341" s="82" t="str">
        <f t="shared" si="21"/>
        <v>Estremadura</v>
      </c>
      <c r="D341" s="83" t="s">
        <v>629</v>
      </c>
      <c r="E341" s="91" t="s">
        <v>1853</v>
      </c>
      <c r="F341" s="124" t="s">
        <v>620</v>
      </c>
      <c r="G341" s="304">
        <v>2017</v>
      </c>
      <c r="H341" s="312" t="s">
        <v>733</v>
      </c>
      <c r="I341" s="307" t="str">
        <f t="shared" si="22"/>
        <v>Pesado de Passageiros M3: III : Gasóleo : E6</v>
      </c>
      <c r="J341" s="125">
        <v>53</v>
      </c>
      <c r="K341" s="125">
        <v>2022</v>
      </c>
      <c r="L341" s="85">
        <v>70619.38</v>
      </c>
      <c r="M341" s="85" t="s">
        <v>630</v>
      </c>
      <c r="N341" s="128">
        <v>289326</v>
      </c>
      <c r="O341" s="128">
        <f t="shared" si="23"/>
        <v>15334278</v>
      </c>
      <c r="P341" s="125" t="s">
        <v>976</v>
      </c>
      <c r="Q341" s="85" t="s">
        <v>47</v>
      </c>
      <c r="R341" s="214" t="s">
        <v>1869</v>
      </c>
      <c r="S341" s="214" t="s">
        <v>1861</v>
      </c>
      <c r="T341" s="85" t="s">
        <v>1491</v>
      </c>
      <c r="U341" t="s">
        <v>1953</v>
      </c>
      <c r="V341" t="s">
        <v>2813</v>
      </c>
    </row>
    <row r="342" spans="1:22" ht="15.75" thickBot="1" x14ac:dyDescent="0.3">
      <c r="A342" s="82" t="s">
        <v>3471</v>
      </c>
      <c r="B342" s="82" t="str">
        <f t="shared" si="20"/>
        <v>Barraqueiro Transportes, S.A.</v>
      </c>
      <c r="C342" s="82" t="str">
        <f t="shared" si="21"/>
        <v>Estremadura</v>
      </c>
      <c r="D342" s="83" t="s">
        <v>629</v>
      </c>
      <c r="E342" s="91" t="s">
        <v>1853</v>
      </c>
      <c r="F342" s="124" t="s">
        <v>620</v>
      </c>
      <c r="G342" s="304">
        <v>2017</v>
      </c>
      <c r="H342" s="312" t="s">
        <v>733</v>
      </c>
      <c r="I342" s="307" t="str">
        <f t="shared" si="22"/>
        <v>Pesado de Passageiros M3: III : Gasóleo : E6</v>
      </c>
      <c r="J342" s="125">
        <v>53</v>
      </c>
      <c r="K342" s="125">
        <v>2022</v>
      </c>
      <c r="L342" s="85">
        <v>61384.38</v>
      </c>
      <c r="M342" s="85" t="s">
        <v>630</v>
      </c>
      <c r="N342" s="128">
        <v>244318</v>
      </c>
      <c r="O342" s="128">
        <f t="shared" si="23"/>
        <v>12948854</v>
      </c>
      <c r="P342" s="125" t="s">
        <v>977</v>
      </c>
      <c r="Q342" s="85" t="s">
        <v>47</v>
      </c>
      <c r="R342" s="214" t="s">
        <v>1869</v>
      </c>
      <c r="S342" s="214" t="s">
        <v>1861</v>
      </c>
      <c r="T342" s="85" t="s">
        <v>1491</v>
      </c>
      <c r="U342" t="s">
        <v>1953</v>
      </c>
      <c r="V342" t="s">
        <v>2813</v>
      </c>
    </row>
    <row r="343" spans="1:22" ht="15.75" thickBot="1" x14ac:dyDescent="0.3">
      <c r="A343" s="82" t="s">
        <v>3471</v>
      </c>
      <c r="B343" s="82" t="str">
        <f t="shared" si="20"/>
        <v>Barraqueiro Transportes, S.A.</v>
      </c>
      <c r="C343" s="82" t="str">
        <f t="shared" si="21"/>
        <v>Estremadura</v>
      </c>
      <c r="D343" s="83" t="s">
        <v>629</v>
      </c>
      <c r="E343" s="91" t="s">
        <v>1853</v>
      </c>
      <c r="F343" s="124" t="s">
        <v>620</v>
      </c>
      <c r="G343" s="304">
        <v>2017</v>
      </c>
      <c r="H343" s="312" t="s">
        <v>733</v>
      </c>
      <c r="I343" s="307" t="str">
        <f t="shared" si="22"/>
        <v>Pesado de Passageiros M3: III : Gasóleo : E6</v>
      </c>
      <c r="J343" s="125">
        <v>53</v>
      </c>
      <c r="K343" s="125">
        <v>2022</v>
      </c>
      <c r="L343" s="85">
        <v>67336.189999999988</v>
      </c>
      <c r="M343" s="85" t="s">
        <v>630</v>
      </c>
      <c r="N343" s="128">
        <v>289003</v>
      </c>
      <c r="O343" s="128">
        <f t="shared" si="23"/>
        <v>15317159</v>
      </c>
      <c r="P343" s="125" t="s">
        <v>978</v>
      </c>
      <c r="Q343" s="85" t="s">
        <v>47</v>
      </c>
      <c r="R343" s="214" t="s">
        <v>1869</v>
      </c>
      <c r="S343" s="214" t="s">
        <v>1861</v>
      </c>
      <c r="T343" s="85" t="s">
        <v>1491</v>
      </c>
      <c r="U343" t="s">
        <v>1953</v>
      </c>
      <c r="V343" t="s">
        <v>2813</v>
      </c>
    </row>
    <row r="344" spans="1:22" ht="15.75" thickBot="1" x14ac:dyDescent="0.3">
      <c r="A344" s="82" t="s">
        <v>3471</v>
      </c>
      <c r="B344" s="82" t="str">
        <f t="shared" si="20"/>
        <v>Barraqueiro Transportes, S.A.</v>
      </c>
      <c r="C344" s="82" t="str">
        <f t="shared" si="21"/>
        <v>Estremadura</v>
      </c>
      <c r="D344" s="83" t="s">
        <v>629</v>
      </c>
      <c r="E344" s="91" t="s">
        <v>1853</v>
      </c>
      <c r="F344" s="124" t="s">
        <v>620</v>
      </c>
      <c r="G344" s="304">
        <v>2017</v>
      </c>
      <c r="H344" s="312" t="s">
        <v>733</v>
      </c>
      <c r="I344" s="307" t="str">
        <f t="shared" si="22"/>
        <v>Pesado de Passageiros M3: III : Gasóleo : E6</v>
      </c>
      <c r="J344" s="125">
        <v>53</v>
      </c>
      <c r="K344" s="125">
        <v>2022</v>
      </c>
      <c r="L344" s="85">
        <v>66525.02</v>
      </c>
      <c r="M344" s="85" t="s">
        <v>630</v>
      </c>
      <c r="N344" s="128">
        <v>283440</v>
      </c>
      <c r="O344" s="128">
        <f t="shared" si="23"/>
        <v>15022320</v>
      </c>
      <c r="P344" s="125" t="s">
        <v>979</v>
      </c>
      <c r="Q344" s="85" t="s">
        <v>47</v>
      </c>
      <c r="R344" s="214" t="s">
        <v>1869</v>
      </c>
      <c r="S344" s="214" t="s">
        <v>1861</v>
      </c>
      <c r="T344" s="85" t="s">
        <v>1491</v>
      </c>
      <c r="U344" t="s">
        <v>1953</v>
      </c>
      <c r="V344" t="s">
        <v>2813</v>
      </c>
    </row>
    <row r="345" spans="1:22" ht="15.75" thickBot="1" x14ac:dyDescent="0.3">
      <c r="A345" s="82" t="s">
        <v>3471</v>
      </c>
      <c r="B345" s="82" t="str">
        <f t="shared" si="20"/>
        <v>Barraqueiro Transportes, S.A.</v>
      </c>
      <c r="C345" s="82" t="str">
        <f t="shared" si="21"/>
        <v>Estremadura</v>
      </c>
      <c r="D345" s="83" t="s">
        <v>629</v>
      </c>
      <c r="E345" s="91" t="s">
        <v>1853</v>
      </c>
      <c r="F345" s="124" t="s">
        <v>620</v>
      </c>
      <c r="G345" s="304">
        <v>2018</v>
      </c>
      <c r="H345" s="312" t="s">
        <v>733</v>
      </c>
      <c r="I345" s="307" t="str">
        <f t="shared" si="22"/>
        <v>Pesado de Passageiros M3: III : Gasóleo : E6</v>
      </c>
      <c r="J345" s="125">
        <v>53</v>
      </c>
      <c r="K345" s="125">
        <v>2022</v>
      </c>
      <c r="L345" s="85">
        <v>66300.69</v>
      </c>
      <c r="M345" s="85" t="s">
        <v>630</v>
      </c>
      <c r="N345" s="128">
        <v>283859</v>
      </c>
      <c r="O345" s="128">
        <f t="shared" si="23"/>
        <v>15044527</v>
      </c>
      <c r="P345" s="125" t="s">
        <v>980</v>
      </c>
      <c r="Q345" s="85" t="s">
        <v>47</v>
      </c>
      <c r="R345" s="214" t="s">
        <v>1869</v>
      </c>
      <c r="S345" s="214" t="s">
        <v>1861</v>
      </c>
      <c r="T345" s="85" t="s">
        <v>1491</v>
      </c>
      <c r="U345" t="s">
        <v>1953</v>
      </c>
      <c r="V345" t="s">
        <v>2813</v>
      </c>
    </row>
    <row r="346" spans="1:22" ht="15.75" thickBot="1" x14ac:dyDescent="0.3">
      <c r="A346" s="82" t="s">
        <v>3471</v>
      </c>
      <c r="B346" s="82" t="str">
        <f t="shared" si="20"/>
        <v>Barraqueiro Transportes, S.A.</v>
      </c>
      <c r="C346" s="82" t="str">
        <f t="shared" si="21"/>
        <v>Estremadura</v>
      </c>
      <c r="D346" s="83" t="s">
        <v>629</v>
      </c>
      <c r="E346" s="91" t="s">
        <v>1853</v>
      </c>
      <c r="F346" s="124" t="s">
        <v>620</v>
      </c>
      <c r="G346" s="304">
        <v>2018</v>
      </c>
      <c r="H346" s="312" t="s">
        <v>733</v>
      </c>
      <c r="I346" s="307" t="str">
        <f t="shared" si="22"/>
        <v>Pesado de Passageiros M3: III : Gasóleo : E6</v>
      </c>
      <c r="J346" s="125">
        <v>53</v>
      </c>
      <c r="K346" s="125">
        <v>2022</v>
      </c>
      <c r="L346" s="85">
        <v>71297.759999999995</v>
      </c>
      <c r="M346" s="85" t="s">
        <v>630</v>
      </c>
      <c r="N346" s="128">
        <v>285753</v>
      </c>
      <c r="O346" s="128">
        <f t="shared" si="23"/>
        <v>15144909</v>
      </c>
      <c r="P346" s="125" t="s">
        <v>981</v>
      </c>
      <c r="Q346" s="85" t="s">
        <v>47</v>
      </c>
      <c r="R346" s="214" t="s">
        <v>1869</v>
      </c>
      <c r="S346" s="214" t="s">
        <v>1861</v>
      </c>
      <c r="T346" s="85" t="s">
        <v>1491</v>
      </c>
      <c r="U346" t="s">
        <v>1953</v>
      </c>
      <c r="V346" t="s">
        <v>2813</v>
      </c>
    </row>
    <row r="347" spans="1:22" ht="15.75" thickBot="1" x14ac:dyDescent="0.3">
      <c r="A347" s="82" t="s">
        <v>3471</v>
      </c>
      <c r="B347" s="82" t="str">
        <f t="shared" si="20"/>
        <v>Barraqueiro Transportes, S.A.</v>
      </c>
      <c r="C347" s="82" t="str">
        <f t="shared" si="21"/>
        <v>Estremadura</v>
      </c>
      <c r="D347" s="83" t="s">
        <v>629</v>
      </c>
      <c r="E347" s="91" t="s">
        <v>1853</v>
      </c>
      <c r="F347" s="124" t="s">
        <v>620</v>
      </c>
      <c r="G347" s="304">
        <v>2018</v>
      </c>
      <c r="H347" s="312" t="s">
        <v>733</v>
      </c>
      <c r="I347" s="307" t="str">
        <f t="shared" si="22"/>
        <v>Pesado de Passageiros M3: III : Gasóleo : E6</v>
      </c>
      <c r="J347" s="125">
        <v>53</v>
      </c>
      <c r="K347" s="125">
        <v>2022</v>
      </c>
      <c r="L347" s="85">
        <v>61019.81</v>
      </c>
      <c r="M347" s="85" t="s">
        <v>630</v>
      </c>
      <c r="N347" s="128">
        <v>249349</v>
      </c>
      <c r="O347" s="128">
        <f t="shared" si="23"/>
        <v>13215497</v>
      </c>
      <c r="P347" s="125" t="s">
        <v>982</v>
      </c>
      <c r="Q347" s="85" t="s">
        <v>47</v>
      </c>
      <c r="R347" s="214" t="s">
        <v>1869</v>
      </c>
      <c r="S347" s="214" t="s">
        <v>1861</v>
      </c>
      <c r="T347" s="85" t="s">
        <v>1491</v>
      </c>
      <c r="U347" t="s">
        <v>1953</v>
      </c>
      <c r="V347" t="s">
        <v>2813</v>
      </c>
    </row>
    <row r="348" spans="1:22" ht="15.75" thickBot="1" x14ac:dyDescent="0.3">
      <c r="A348" s="82" t="s">
        <v>3471</v>
      </c>
      <c r="B348" s="82" t="str">
        <f t="shared" si="20"/>
        <v>Barraqueiro Transportes, S.A.</v>
      </c>
      <c r="C348" s="82" t="str">
        <f t="shared" si="21"/>
        <v>Estremadura</v>
      </c>
      <c r="D348" s="83" t="s">
        <v>629</v>
      </c>
      <c r="E348" s="91" t="s">
        <v>1853</v>
      </c>
      <c r="F348" s="124" t="s">
        <v>620</v>
      </c>
      <c r="G348" s="304">
        <v>2018</v>
      </c>
      <c r="H348" s="312" t="s">
        <v>733</v>
      </c>
      <c r="I348" s="307" t="str">
        <f t="shared" si="22"/>
        <v>Pesado de Passageiros M3: III : Gasóleo : E6</v>
      </c>
      <c r="J348" s="125">
        <v>53</v>
      </c>
      <c r="K348" s="125">
        <v>2022</v>
      </c>
      <c r="L348" s="85">
        <v>1051.43</v>
      </c>
      <c r="M348" s="85" t="s">
        <v>630</v>
      </c>
      <c r="N348" s="128">
        <v>4487</v>
      </c>
      <c r="O348" s="128">
        <f t="shared" si="23"/>
        <v>237811</v>
      </c>
      <c r="P348" s="125" t="s">
        <v>983</v>
      </c>
      <c r="Q348" s="85" t="s">
        <v>47</v>
      </c>
      <c r="R348" s="214" t="s">
        <v>1869</v>
      </c>
      <c r="S348" s="214" t="s">
        <v>1861</v>
      </c>
      <c r="T348" s="85" t="s">
        <v>1491</v>
      </c>
      <c r="U348" t="s">
        <v>1953</v>
      </c>
      <c r="V348" t="s">
        <v>2813</v>
      </c>
    </row>
    <row r="349" spans="1:22" ht="15.75" thickBot="1" x14ac:dyDescent="0.3">
      <c r="A349" s="82" t="s">
        <v>3471</v>
      </c>
      <c r="B349" s="82" t="str">
        <f t="shared" si="20"/>
        <v>Barraqueiro Transportes, S.A.</v>
      </c>
      <c r="C349" s="82" t="str">
        <f t="shared" si="21"/>
        <v>Estremadura</v>
      </c>
      <c r="D349" s="83" t="s">
        <v>629</v>
      </c>
      <c r="E349" s="91" t="s">
        <v>1853</v>
      </c>
      <c r="F349" s="124" t="s">
        <v>620</v>
      </c>
      <c r="G349" s="304">
        <v>2018</v>
      </c>
      <c r="H349" s="312" t="s">
        <v>733</v>
      </c>
      <c r="I349" s="307" t="str">
        <f t="shared" si="22"/>
        <v>Pesado de Passageiros M3: III : Gasóleo : E6</v>
      </c>
      <c r="J349" s="125">
        <v>53</v>
      </c>
      <c r="K349" s="125">
        <v>2022</v>
      </c>
      <c r="L349" s="85">
        <v>2170.09</v>
      </c>
      <c r="M349" s="85" t="s">
        <v>630</v>
      </c>
      <c r="N349" s="128">
        <v>9016</v>
      </c>
      <c r="O349" s="128">
        <f t="shared" si="23"/>
        <v>477848</v>
      </c>
      <c r="P349" s="125" t="s">
        <v>984</v>
      </c>
      <c r="Q349" s="85" t="s">
        <v>47</v>
      </c>
      <c r="R349" s="214" t="s">
        <v>1869</v>
      </c>
      <c r="S349" s="214" t="s">
        <v>1861</v>
      </c>
      <c r="T349" s="85" t="s">
        <v>1491</v>
      </c>
      <c r="U349" t="s">
        <v>1953</v>
      </c>
      <c r="V349" t="s">
        <v>2813</v>
      </c>
    </row>
    <row r="350" spans="1:22" ht="15.75" thickBot="1" x14ac:dyDescent="0.3">
      <c r="A350" s="82" t="s">
        <v>3471</v>
      </c>
      <c r="B350" s="82" t="str">
        <f t="shared" si="20"/>
        <v>Barraqueiro Transportes, S.A.</v>
      </c>
      <c r="C350" s="82" t="str">
        <f t="shared" si="21"/>
        <v>Estremadura</v>
      </c>
      <c r="D350" s="83" t="s">
        <v>629</v>
      </c>
      <c r="E350" s="91" t="s">
        <v>1853</v>
      </c>
      <c r="F350" s="124" t="s">
        <v>620</v>
      </c>
      <c r="G350" s="304">
        <v>2019</v>
      </c>
      <c r="H350" s="312" t="s">
        <v>733</v>
      </c>
      <c r="I350" s="307" t="str">
        <f t="shared" si="22"/>
        <v>Pesado de Passageiros M3: III : Gasóleo : E6</v>
      </c>
      <c r="J350" s="125">
        <v>53</v>
      </c>
      <c r="K350" s="125">
        <v>2022</v>
      </c>
      <c r="L350" s="85">
        <v>651.51</v>
      </c>
      <c r="M350" s="85" t="s">
        <v>630</v>
      </c>
      <c r="N350" s="128">
        <v>2769</v>
      </c>
      <c r="O350" s="128">
        <f t="shared" si="23"/>
        <v>146757</v>
      </c>
      <c r="P350" s="125" t="s">
        <v>985</v>
      </c>
      <c r="Q350" s="85" t="s">
        <v>47</v>
      </c>
      <c r="R350" s="214" t="s">
        <v>1869</v>
      </c>
      <c r="S350" s="214" t="s">
        <v>1861</v>
      </c>
      <c r="T350" s="85" t="s">
        <v>1491</v>
      </c>
      <c r="U350" t="s">
        <v>1953</v>
      </c>
      <c r="V350" t="s">
        <v>2813</v>
      </c>
    </row>
    <row r="351" spans="1:22" ht="15.75" thickBot="1" x14ac:dyDescent="0.3">
      <c r="A351" s="82" t="s">
        <v>3471</v>
      </c>
      <c r="B351" s="82" t="str">
        <f t="shared" si="20"/>
        <v>Barraqueiro Transportes, S.A.</v>
      </c>
      <c r="C351" s="82" t="str">
        <f t="shared" si="21"/>
        <v>Estremadura</v>
      </c>
      <c r="D351" s="83" t="s">
        <v>629</v>
      </c>
      <c r="E351" s="91" t="s">
        <v>1853</v>
      </c>
      <c r="F351" s="124" t="s">
        <v>620</v>
      </c>
      <c r="G351" s="304">
        <v>2019</v>
      </c>
      <c r="H351" s="312" t="s">
        <v>733</v>
      </c>
      <c r="I351" s="307" t="str">
        <f t="shared" si="22"/>
        <v>Pesado de Passageiros M3: III : Gasóleo : E6</v>
      </c>
      <c r="J351" s="125">
        <v>53</v>
      </c>
      <c r="K351" s="125">
        <v>2022</v>
      </c>
      <c r="L351" s="85">
        <v>973.94</v>
      </c>
      <c r="M351" s="85" t="s">
        <v>630</v>
      </c>
      <c r="N351" s="128">
        <v>3882</v>
      </c>
      <c r="O351" s="128">
        <f t="shared" si="23"/>
        <v>205746</v>
      </c>
      <c r="P351" s="125" t="s">
        <v>986</v>
      </c>
      <c r="Q351" s="85" t="s">
        <v>47</v>
      </c>
      <c r="R351" s="214" t="s">
        <v>1869</v>
      </c>
      <c r="S351" s="214" t="s">
        <v>1861</v>
      </c>
      <c r="T351" s="85" t="s">
        <v>1491</v>
      </c>
      <c r="U351" t="s">
        <v>1953</v>
      </c>
      <c r="V351" t="s">
        <v>2813</v>
      </c>
    </row>
    <row r="352" spans="1:22" ht="15.75" thickBot="1" x14ac:dyDescent="0.3">
      <c r="A352" s="82" t="s">
        <v>3471</v>
      </c>
      <c r="B352" s="82" t="str">
        <f t="shared" si="20"/>
        <v>Barraqueiro Transportes, S.A.</v>
      </c>
      <c r="C352" s="82" t="str">
        <f t="shared" si="21"/>
        <v>Estremadura</v>
      </c>
      <c r="D352" s="83" t="s">
        <v>629</v>
      </c>
      <c r="E352" s="91" t="s">
        <v>1853</v>
      </c>
      <c r="F352" s="124" t="s">
        <v>620</v>
      </c>
      <c r="G352" s="304">
        <v>2019</v>
      </c>
      <c r="H352" s="312" t="s">
        <v>733</v>
      </c>
      <c r="I352" s="307" t="str">
        <f t="shared" si="22"/>
        <v>Pesado de Passageiros M3: III : Gasóleo : E6</v>
      </c>
      <c r="J352" s="125">
        <v>53</v>
      </c>
      <c r="K352" s="125">
        <v>2022</v>
      </c>
      <c r="L352" s="85">
        <v>1500.87</v>
      </c>
      <c r="M352" s="85" t="s">
        <v>630</v>
      </c>
      <c r="N352" s="128">
        <v>6827</v>
      </c>
      <c r="O352" s="128">
        <f t="shared" si="23"/>
        <v>361831</v>
      </c>
      <c r="P352" s="125" t="s">
        <v>987</v>
      </c>
      <c r="Q352" s="85" t="s">
        <v>47</v>
      </c>
      <c r="R352" s="214" t="s">
        <v>1869</v>
      </c>
      <c r="S352" s="214" t="s">
        <v>1861</v>
      </c>
      <c r="T352" s="85" t="s">
        <v>1491</v>
      </c>
      <c r="U352" t="s">
        <v>1953</v>
      </c>
      <c r="V352" t="s">
        <v>2813</v>
      </c>
    </row>
    <row r="353" spans="1:22" ht="15.75" thickBot="1" x14ac:dyDescent="0.3">
      <c r="A353" s="82" t="s">
        <v>3471</v>
      </c>
      <c r="B353" s="82" t="str">
        <f t="shared" si="20"/>
        <v>Barraqueiro Transportes, S.A.</v>
      </c>
      <c r="C353" s="82" t="str">
        <f t="shared" si="21"/>
        <v>Estremadura</v>
      </c>
      <c r="D353" s="83" t="s">
        <v>629</v>
      </c>
      <c r="E353" s="91" t="s">
        <v>1853</v>
      </c>
      <c r="F353" s="124" t="s">
        <v>620</v>
      </c>
      <c r="G353" s="304">
        <v>2019</v>
      </c>
      <c r="H353" s="312" t="s">
        <v>733</v>
      </c>
      <c r="I353" s="307" t="str">
        <f t="shared" si="22"/>
        <v>Pesado de Passageiros M3: III : Gasóleo : E6</v>
      </c>
      <c r="J353" s="125">
        <v>53</v>
      </c>
      <c r="K353" s="125">
        <v>2022</v>
      </c>
      <c r="L353" s="85">
        <v>1065.32</v>
      </c>
      <c r="M353" s="85" t="s">
        <v>630</v>
      </c>
      <c r="N353" s="128">
        <v>4475</v>
      </c>
      <c r="O353" s="128">
        <f t="shared" si="23"/>
        <v>237175</v>
      </c>
      <c r="P353" s="125" t="s">
        <v>988</v>
      </c>
      <c r="Q353" s="85" t="s">
        <v>47</v>
      </c>
      <c r="R353" s="214" t="s">
        <v>1869</v>
      </c>
      <c r="S353" s="214" t="s">
        <v>1861</v>
      </c>
      <c r="T353" s="85" t="s">
        <v>1491</v>
      </c>
      <c r="U353" t="s">
        <v>1953</v>
      </c>
      <c r="V353" t="s">
        <v>2813</v>
      </c>
    </row>
    <row r="354" spans="1:22" ht="15.75" thickBot="1" x14ac:dyDescent="0.3">
      <c r="A354" s="82" t="s">
        <v>3471</v>
      </c>
      <c r="B354" s="82" t="str">
        <f t="shared" si="20"/>
        <v>Barraqueiro Transportes, S.A.</v>
      </c>
      <c r="C354" s="82" t="str">
        <f t="shared" si="21"/>
        <v>Estremadura</v>
      </c>
      <c r="D354" s="83" t="s">
        <v>629</v>
      </c>
      <c r="E354" s="91" t="s">
        <v>1853</v>
      </c>
      <c r="F354" s="124" t="s">
        <v>620</v>
      </c>
      <c r="G354" s="304">
        <v>2019</v>
      </c>
      <c r="H354" s="312" t="s">
        <v>733</v>
      </c>
      <c r="I354" s="307" t="str">
        <f t="shared" si="22"/>
        <v>Pesado de Passageiros M3: III : Gasóleo : E6</v>
      </c>
      <c r="J354" s="125">
        <v>53</v>
      </c>
      <c r="K354" s="125">
        <v>2022</v>
      </c>
      <c r="L354" s="85">
        <v>1763.31</v>
      </c>
      <c r="M354" s="85" t="s">
        <v>630</v>
      </c>
      <c r="N354" s="128">
        <v>7238</v>
      </c>
      <c r="O354" s="128">
        <f t="shared" si="23"/>
        <v>383614</v>
      </c>
      <c r="P354" s="125" t="s">
        <v>989</v>
      </c>
      <c r="Q354" s="85" t="s">
        <v>47</v>
      </c>
      <c r="R354" s="214" t="s">
        <v>1869</v>
      </c>
      <c r="S354" s="214" t="s">
        <v>1861</v>
      </c>
      <c r="T354" s="85" t="s">
        <v>1491</v>
      </c>
      <c r="U354" t="s">
        <v>1953</v>
      </c>
      <c r="V354" t="s">
        <v>2813</v>
      </c>
    </row>
    <row r="355" spans="1:22" ht="15.75" thickBot="1" x14ac:dyDescent="0.3">
      <c r="A355" s="82" t="s">
        <v>3472</v>
      </c>
      <c r="B355" s="82" t="str">
        <f t="shared" si="20"/>
        <v>Barraqueiro Transportes, S.A.</v>
      </c>
      <c r="C355" s="82" t="str">
        <f t="shared" si="21"/>
        <v>Frota Azul</v>
      </c>
      <c r="D355" s="83" t="s">
        <v>629</v>
      </c>
      <c r="E355" s="91" t="s">
        <v>1853</v>
      </c>
      <c r="F355" s="124" t="s">
        <v>620</v>
      </c>
      <c r="G355" s="304">
        <v>2015</v>
      </c>
      <c r="H355" s="312" t="s">
        <v>733</v>
      </c>
      <c r="I355" s="307" t="str">
        <f t="shared" si="22"/>
        <v>Pesado de Passageiros M3: III : Gasóleo : E6</v>
      </c>
      <c r="J355" s="125">
        <v>19</v>
      </c>
      <c r="K355" s="125">
        <v>2022</v>
      </c>
      <c r="L355" s="85">
        <v>4139.5500000000011</v>
      </c>
      <c r="M355" s="85" t="s">
        <v>630</v>
      </c>
      <c r="N355" s="128">
        <v>25658</v>
      </c>
      <c r="O355" s="128">
        <f t="shared" si="23"/>
        <v>487502</v>
      </c>
      <c r="P355" s="125" t="s">
        <v>990</v>
      </c>
      <c r="Q355" s="85" t="s">
        <v>47</v>
      </c>
      <c r="R355" s="214" t="s">
        <v>1869</v>
      </c>
      <c r="S355" s="214" t="s">
        <v>1861</v>
      </c>
      <c r="T355" s="85" t="s">
        <v>1491</v>
      </c>
      <c r="U355" t="s">
        <v>1953</v>
      </c>
      <c r="V355" t="s">
        <v>2813</v>
      </c>
    </row>
    <row r="356" spans="1:22" ht="15.75" thickBot="1" x14ac:dyDescent="0.3">
      <c r="A356" s="82" t="s">
        <v>3472</v>
      </c>
      <c r="B356" s="82" t="str">
        <f t="shared" si="20"/>
        <v>Barraqueiro Transportes, S.A.</v>
      </c>
      <c r="C356" s="82" t="str">
        <f t="shared" si="21"/>
        <v>Frota Azul</v>
      </c>
      <c r="D356" s="83" t="s">
        <v>629</v>
      </c>
      <c r="E356" s="91" t="s">
        <v>1853</v>
      </c>
      <c r="F356" s="124" t="s">
        <v>620</v>
      </c>
      <c r="G356" s="304">
        <v>2015</v>
      </c>
      <c r="H356" s="312" t="s">
        <v>733</v>
      </c>
      <c r="I356" s="307" t="str">
        <f t="shared" si="22"/>
        <v>Pesado de Passageiros M3: III : Gasóleo : E6</v>
      </c>
      <c r="J356" s="125">
        <v>16</v>
      </c>
      <c r="K356" s="125">
        <v>2022</v>
      </c>
      <c r="L356" s="85">
        <v>544.30999999999995</v>
      </c>
      <c r="M356" s="85" t="s">
        <v>630</v>
      </c>
      <c r="N356" s="128">
        <v>3858</v>
      </c>
      <c r="O356" s="128">
        <f t="shared" si="23"/>
        <v>61728</v>
      </c>
      <c r="P356" s="125" t="s">
        <v>991</v>
      </c>
      <c r="Q356" s="85" t="s">
        <v>47</v>
      </c>
      <c r="R356" s="214" t="s">
        <v>1869</v>
      </c>
      <c r="S356" s="214" t="s">
        <v>1861</v>
      </c>
      <c r="T356" s="85" t="s">
        <v>1491</v>
      </c>
      <c r="U356" t="s">
        <v>1953</v>
      </c>
      <c r="V356" t="s">
        <v>2813</v>
      </c>
    </row>
    <row r="357" spans="1:22" ht="15.75" thickBot="1" x14ac:dyDescent="0.3">
      <c r="A357" s="82" t="s">
        <v>3472</v>
      </c>
      <c r="B357" s="82" t="str">
        <f t="shared" si="20"/>
        <v>Barraqueiro Transportes, S.A.</v>
      </c>
      <c r="C357" s="82" t="str">
        <f t="shared" si="21"/>
        <v>Frota Azul</v>
      </c>
      <c r="D357" s="83" t="s">
        <v>629</v>
      </c>
      <c r="E357" s="91" t="s">
        <v>1853</v>
      </c>
      <c r="F357" s="124" t="s">
        <v>620</v>
      </c>
      <c r="G357" s="304">
        <v>2015</v>
      </c>
      <c r="H357" s="312" t="s">
        <v>733</v>
      </c>
      <c r="I357" s="307" t="str">
        <f t="shared" si="22"/>
        <v>Pesado de Passageiros M3: III : Gasóleo : E6</v>
      </c>
      <c r="J357" s="125">
        <v>16</v>
      </c>
      <c r="K357" s="125">
        <v>2022</v>
      </c>
      <c r="L357" s="85">
        <v>752.56999999999994</v>
      </c>
      <c r="M357" s="85" t="s">
        <v>630</v>
      </c>
      <c r="N357" s="128">
        <v>5667</v>
      </c>
      <c r="O357" s="128">
        <f t="shared" si="23"/>
        <v>90672</v>
      </c>
      <c r="P357" s="125" t="s">
        <v>992</v>
      </c>
      <c r="Q357" s="85" t="s">
        <v>47</v>
      </c>
      <c r="R357" s="214" t="s">
        <v>1869</v>
      </c>
      <c r="S357" s="214" t="s">
        <v>1861</v>
      </c>
      <c r="T357" s="85" t="s">
        <v>1491</v>
      </c>
      <c r="U357" t="s">
        <v>1953</v>
      </c>
      <c r="V357" t="s">
        <v>2813</v>
      </c>
    </row>
    <row r="358" spans="1:22" ht="15.75" thickBot="1" x14ac:dyDescent="0.3">
      <c r="A358" s="82" t="s">
        <v>3472</v>
      </c>
      <c r="B358" s="82" t="str">
        <f t="shared" si="20"/>
        <v>Barraqueiro Transportes, S.A.</v>
      </c>
      <c r="C358" s="82" t="str">
        <f t="shared" si="21"/>
        <v>Frota Azul</v>
      </c>
      <c r="D358" s="83" t="s">
        <v>629</v>
      </c>
      <c r="E358" s="91" t="s">
        <v>1853</v>
      </c>
      <c r="F358" s="124" t="s">
        <v>620</v>
      </c>
      <c r="G358" s="304">
        <v>2016</v>
      </c>
      <c r="H358" s="312" t="s">
        <v>733</v>
      </c>
      <c r="I358" s="307" t="str">
        <f t="shared" si="22"/>
        <v>Pesado de Passageiros M3: III : Gasóleo : E6</v>
      </c>
      <c r="J358" s="125">
        <v>19</v>
      </c>
      <c r="K358" s="125">
        <v>2022</v>
      </c>
      <c r="L358" s="85">
        <v>979.27</v>
      </c>
      <c r="M358" s="85" t="s">
        <v>630</v>
      </c>
      <c r="N358" s="128">
        <v>5802</v>
      </c>
      <c r="O358" s="128">
        <f t="shared" si="23"/>
        <v>110238</v>
      </c>
      <c r="P358" s="125" t="s">
        <v>993</v>
      </c>
      <c r="Q358" s="85" t="s">
        <v>47</v>
      </c>
      <c r="R358" s="214" t="s">
        <v>1869</v>
      </c>
      <c r="S358" s="214" t="s">
        <v>1861</v>
      </c>
      <c r="T358" s="85" t="s">
        <v>1491</v>
      </c>
      <c r="U358" t="s">
        <v>1953</v>
      </c>
      <c r="V358" t="s">
        <v>2813</v>
      </c>
    </row>
    <row r="359" spans="1:22" ht="15.75" thickBot="1" x14ac:dyDescent="0.3">
      <c r="A359" s="82" t="s">
        <v>3472</v>
      </c>
      <c r="B359" s="82" t="str">
        <f t="shared" si="20"/>
        <v>Barraqueiro Transportes, S.A.</v>
      </c>
      <c r="C359" s="82" t="str">
        <f t="shared" si="21"/>
        <v>Frota Azul</v>
      </c>
      <c r="D359" s="83" t="s">
        <v>629</v>
      </c>
      <c r="E359" s="91" t="s">
        <v>1853</v>
      </c>
      <c r="F359" s="124" t="s">
        <v>620</v>
      </c>
      <c r="G359" s="304">
        <v>2017</v>
      </c>
      <c r="H359" s="312" t="s">
        <v>733</v>
      </c>
      <c r="I359" s="307" t="str">
        <f t="shared" si="22"/>
        <v>Pesado de Passageiros M3: III : Gasóleo : E6</v>
      </c>
      <c r="J359" s="125">
        <v>19</v>
      </c>
      <c r="K359" s="125">
        <v>2022</v>
      </c>
      <c r="L359" s="85">
        <v>4376.3900000000003</v>
      </c>
      <c r="M359" s="85" t="s">
        <v>630</v>
      </c>
      <c r="N359" s="128">
        <v>28795</v>
      </c>
      <c r="O359" s="128">
        <f t="shared" si="23"/>
        <v>547105</v>
      </c>
      <c r="P359" s="125" t="s">
        <v>994</v>
      </c>
      <c r="Q359" s="85" t="s">
        <v>47</v>
      </c>
      <c r="R359" s="214" t="s">
        <v>1869</v>
      </c>
      <c r="S359" s="214" t="s">
        <v>1861</v>
      </c>
      <c r="T359" s="85" t="s">
        <v>1491</v>
      </c>
      <c r="U359" t="s">
        <v>1953</v>
      </c>
      <c r="V359" t="s">
        <v>2813</v>
      </c>
    </row>
    <row r="360" spans="1:22" ht="15.75" thickBot="1" x14ac:dyDescent="0.3">
      <c r="A360" s="82" t="s">
        <v>3472</v>
      </c>
      <c r="B360" s="82" t="str">
        <f t="shared" si="20"/>
        <v>Barraqueiro Transportes, S.A.</v>
      </c>
      <c r="C360" s="82" t="str">
        <f t="shared" si="21"/>
        <v>Frota Azul</v>
      </c>
      <c r="D360" s="83" t="s">
        <v>629</v>
      </c>
      <c r="E360" s="91" t="s">
        <v>1853</v>
      </c>
      <c r="F360" s="124" t="s">
        <v>620</v>
      </c>
      <c r="G360" s="304">
        <v>2019</v>
      </c>
      <c r="H360" s="312" t="s">
        <v>733</v>
      </c>
      <c r="I360" s="307" t="str">
        <f t="shared" si="22"/>
        <v>Pesado de Passageiros M3: III : Gasóleo : E6</v>
      </c>
      <c r="J360" s="125">
        <v>39</v>
      </c>
      <c r="K360" s="125">
        <v>2022</v>
      </c>
      <c r="L360" s="85">
        <v>7226.95</v>
      </c>
      <c r="M360" s="85" t="s">
        <v>630</v>
      </c>
      <c r="N360" s="128">
        <v>25225</v>
      </c>
      <c r="O360" s="128">
        <f t="shared" si="23"/>
        <v>983775</v>
      </c>
      <c r="P360" s="125" t="s">
        <v>995</v>
      </c>
      <c r="Q360" s="85" t="s">
        <v>47</v>
      </c>
      <c r="R360" s="214" t="s">
        <v>1869</v>
      </c>
      <c r="S360" s="214" t="s">
        <v>1861</v>
      </c>
      <c r="T360" s="85" t="s">
        <v>1491</v>
      </c>
      <c r="U360" t="s">
        <v>1953</v>
      </c>
      <c r="V360" t="s">
        <v>2813</v>
      </c>
    </row>
    <row r="361" spans="1:22" ht="15.75" thickBot="1" x14ac:dyDescent="0.3">
      <c r="A361" s="82" t="s">
        <v>3472</v>
      </c>
      <c r="B361" s="82" t="str">
        <f t="shared" si="20"/>
        <v>Barraqueiro Transportes, S.A.</v>
      </c>
      <c r="C361" s="82" t="str">
        <f t="shared" si="21"/>
        <v>Frota Azul</v>
      </c>
      <c r="D361" s="83" t="s">
        <v>629</v>
      </c>
      <c r="E361" s="91" t="s">
        <v>1853</v>
      </c>
      <c r="F361" s="124" t="s">
        <v>620</v>
      </c>
      <c r="G361" s="304">
        <v>2019</v>
      </c>
      <c r="H361" s="312" t="s">
        <v>733</v>
      </c>
      <c r="I361" s="307" t="str">
        <f t="shared" si="22"/>
        <v>Pesado de Passageiros M3: III : Gasóleo : E6</v>
      </c>
      <c r="J361" s="125">
        <v>39</v>
      </c>
      <c r="K361" s="125">
        <v>2022</v>
      </c>
      <c r="L361" s="85">
        <v>7658.3600000000006</v>
      </c>
      <c r="M361" s="85" t="s">
        <v>630</v>
      </c>
      <c r="N361" s="128">
        <v>26936</v>
      </c>
      <c r="O361" s="128">
        <f t="shared" si="23"/>
        <v>1050504</v>
      </c>
      <c r="P361" s="125" t="s">
        <v>996</v>
      </c>
      <c r="Q361" s="85" t="s">
        <v>47</v>
      </c>
      <c r="R361" s="214" t="s">
        <v>1869</v>
      </c>
      <c r="S361" s="214" t="s">
        <v>1861</v>
      </c>
      <c r="T361" s="85" t="s">
        <v>1491</v>
      </c>
      <c r="U361" t="s">
        <v>1953</v>
      </c>
      <c r="V361" t="s">
        <v>2813</v>
      </c>
    </row>
    <row r="362" spans="1:22" ht="15.75" thickBot="1" x14ac:dyDescent="0.3">
      <c r="A362" s="82" t="s">
        <v>3472</v>
      </c>
      <c r="B362" s="82" t="str">
        <f t="shared" si="20"/>
        <v>Barraqueiro Transportes, S.A.</v>
      </c>
      <c r="C362" s="82" t="str">
        <f t="shared" si="21"/>
        <v>Frota Azul</v>
      </c>
      <c r="D362" s="83" t="s">
        <v>629</v>
      </c>
      <c r="E362" s="91" t="s">
        <v>1853</v>
      </c>
      <c r="F362" s="124" t="s">
        <v>620</v>
      </c>
      <c r="G362" s="304">
        <v>2019</v>
      </c>
      <c r="H362" s="312" t="s">
        <v>733</v>
      </c>
      <c r="I362" s="307" t="str">
        <f t="shared" si="22"/>
        <v>Pesado de Passageiros M3: III : Gasóleo : E6</v>
      </c>
      <c r="J362" s="125">
        <v>39</v>
      </c>
      <c r="K362" s="125">
        <v>2022</v>
      </c>
      <c r="L362" s="85">
        <v>8309.58</v>
      </c>
      <c r="M362" s="85" t="s">
        <v>630</v>
      </c>
      <c r="N362" s="128">
        <v>29782</v>
      </c>
      <c r="O362" s="128">
        <f t="shared" si="23"/>
        <v>1161498</v>
      </c>
      <c r="P362" s="125" t="s">
        <v>997</v>
      </c>
      <c r="Q362" s="85" t="s">
        <v>47</v>
      </c>
      <c r="R362" s="214" t="s">
        <v>1869</v>
      </c>
      <c r="S362" s="214" t="s">
        <v>1861</v>
      </c>
      <c r="T362" s="85" t="s">
        <v>1491</v>
      </c>
      <c r="U362" t="s">
        <v>1953</v>
      </c>
      <c r="V362" t="s">
        <v>2813</v>
      </c>
    </row>
    <row r="363" spans="1:22" ht="15.75" thickBot="1" x14ac:dyDescent="0.3">
      <c r="A363" s="82" t="s">
        <v>3472</v>
      </c>
      <c r="B363" s="82" t="str">
        <f t="shared" si="20"/>
        <v>Barraqueiro Transportes, S.A.</v>
      </c>
      <c r="C363" s="82" t="str">
        <f t="shared" si="21"/>
        <v>Frota Azul</v>
      </c>
      <c r="D363" s="83" t="s">
        <v>629</v>
      </c>
      <c r="E363" s="91" t="s">
        <v>1853</v>
      </c>
      <c r="F363" s="124" t="s">
        <v>620</v>
      </c>
      <c r="G363" s="304">
        <v>2011</v>
      </c>
      <c r="H363" s="312" t="s">
        <v>734</v>
      </c>
      <c r="I363" s="307" t="str">
        <f t="shared" si="22"/>
        <v>Pesado de Passageiros M3: III : Gasóleo : E5</v>
      </c>
      <c r="J363" s="125">
        <v>34</v>
      </c>
      <c r="K363" s="125">
        <v>2022</v>
      </c>
      <c r="L363" s="85">
        <v>246.87</v>
      </c>
      <c r="M363" s="85" t="s">
        <v>630</v>
      </c>
      <c r="N363" s="128">
        <v>726</v>
      </c>
      <c r="O363" s="128">
        <f t="shared" si="23"/>
        <v>24684</v>
      </c>
      <c r="P363" s="125" t="s">
        <v>998</v>
      </c>
      <c r="Q363" s="85" t="s">
        <v>47</v>
      </c>
      <c r="R363" s="214" t="s">
        <v>1869</v>
      </c>
      <c r="S363" s="214" t="s">
        <v>1861</v>
      </c>
      <c r="T363" s="85" t="s">
        <v>1491</v>
      </c>
      <c r="U363" t="s">
        <v>1953</v>
      </c>
      <c r="V363" t="s">
        <v>2813</v>
      </c>
    </row>
    <row r="364" spans="1:22" ht="15.75" thickBot="1" x14ac:dyDescent="0.3">
      <c r="A364" s="82" t="s">
        <v>3472</v>
      </c>
      <c r="B364" s="82" t="str">
        <f t="shared" si="20"/>
        <v>Barraqueiro Transportes, S.A.</v>
      </c>
      <c r="C364" s="82" t="str">
        <f t="shared" si="21"/>
        <v>Frota Azul</v>
      </c>
      <c r="D364" s="83" t="s">
        <v>629</v>
      </c>
      <c r="E364" s="91" t="s">
        <v>1853</v>
      </c>
      <c r="F364" s="124" t="s">
        <v>620</v>
      </c>
      <c r="G364" s="304">
        <v>2012</v>
      </c>
      <c r="H364" s="312" t="s">
        <v>734</v>
      </c>
      <c r="I364" s="307" t="str">
        <f t="shared" si="22"/>
        <v>Pesado de Passageiros M3: III : Gasóleo : E5</v>
      </c>
      <c r="J364" s="125">
        <v>34</v>
      </c>
      <c r="K364" s="125">
        <v>2022</v>
      </c>
      <c r="L364" s="85">
        <v>7925.7699999999995</v>
      </c>
      <c r="M364" s="85" t="s">
        <v>630</v>
      </c>
      <c r="N364" s="128">
        <v>25047</v>
      </c>
      <c r="O364" s="128">
        <f t="shared" si="23"/>
        <v>851598</v>
      </c>
      <c r="P364" s="125" t="s">
        <v>999</v>
      </c>
      <c r="Q364" s="85" t="s">
        <v>47</v>
      </c>
      <c r="R364" s="214" t="s">
        <v>1869</v>
      </c>
      <c r="S364" s="214" t="s">
        <v>1861</v>
      </c>
      <c r="T364" s="85" t="s">
        <v>1491</v>
      </c>
      <c r="U364" t="s">
        <v>1953</v>
      </c>
      <c r="V364" t="s">
        <v>2813</v>
      </c>
    </row>
    <row r="365" spans="1:22" ht="15.75" thickBot="1" x14ac:dyDescent="0.3">
      <c r="A365" s="82" t="s">
        <v>3472</v>
      </c>
      <c r="B365" s="82" t="str">
        <f t="shared" si="20"/>
        <v>Barraqueiro Transportes, S.A.</v>
      </c>
      <c r="C365" s="82" t="str">
        <f t="shared" si="21"/>
        <v>Frota Azul</v>
      </c>
      <c r="D365" s="83" t="s">
        <v>629</v>
      </c>
      <c r="E365" s="91" t="s">
        <v>1853</v>
      </c>
      <c r="F365" s="124" t="s">
        <v>620</v>
      </c>
      <c r="G365" s="304">
        <v>2016</v>
      </c>
      <c r="H365" s="312" t="s">
        <v>733</v>
      </c>
      <c r="I365" s="307" t="str">
        <f t="shared" si="22"/>
        <v>Pesado de Passageiros M3: III : Gasóleo : E6</v>
      </c>
      <c r="J365" s="125">
        <v>53</v>
      </c>
      <c r="K365" s="125">
        <v>2022</v>
      </c>
      <c r="L365" s="85">
        <v>7178.1799999999994</v>
      </c>
      <c r="M365" s="85" t="s">
        <v>630</v>
      </c>
      <c r="N365" s="128">
        <v>26925</v>
      </c>
      <c r="O365" s="128">
        <f t="shared" si="23"/>
        <v>1427025</v>
      </c>
      <c r="P365" s="125" t="s">
        <v>1000</v>
      </c>
      <c r="Q365" s="85" t="s">
        <v>47</v>
      </c>
      <c r="R365" s="214" t="s">
        <v>1869</v>
      </c>
      <c r="S365" s="214" t="s">
        <v>1861</v>
      </c>
      <c r="T365" s="85" t="s">
        <v>1491</v>
      </c>
      <c r="U365" t="s">
        <v>1953</v>
      </c>
      <c r="V365" t="s">
        <v>2813</v>
      </c>
    </row>
    <row r="366" spans="1:22" ht="15.75" thickBot="1" x14ac:dyDescent="0.3">
      <c r="A366" s="82" t="s">
        <v>3472</v>
      </c>
      <c r="B366" s="82" t="str">
        <f t="shared" si="20"/>
        <v>Barraqueiro Transportes, S.A.</v>
      </c>
      <c r="C366" s="82" t="str">
        <f t="shared" si="21"/>
        <v>Frota Azul</v>
      </c>
      <c r="D366" s="83" t="s">
        <v>629</v>
      </c>
      <c r="E366" s="91" t="s">
        <v>1853</v>
      </c>
      <c r="F366" s="124" t="s">
        <v>620</v>
      </c>
      <c r="G366" s="304">
        <v>2016</v>
      </c>
      <c r="H366" s="312" t="s">
        <v>733</v>
      </c>
      <c r="I366" s="307" t="str">
        <f t="shared" si="22"/>
        <v>Pesado de Passageiros M3: III : Gasóleo : E6</v>
      </c>
      <c r="J366" s="125">
        <v>59</v>
      </c>
      <c r="K366" s="125">
        <v>2022</v>
      </c>
      <c r="L366" s="85">
        <v>18486.580000000002</v>
      </c>
      <c r="M366" s="85" t="s">
        <v>630</v>
      </c>
      <c r="N366" s="128">
        <v>63081</v>
      </c>
      <c r="O366" s="128">
        <f t="shared" si="23"/>
        <v>3721779</v>
      </c>
      <c r="P366" s="125" t="s">
        <v>1001</v>
      </c>
      <c r="Q366" s="85" t="s">
        <v>47</v>
      </c>
      <c r="R366" s="214" t="s">
        <v>1869</v>
      </c>
      <c r="S366" s="214" t="s">
        <v>1861</v>
      </c>
      <c r="T366" s="85" t="s">
        <v>1491</v>
      </c>
      <c r="U366" t="s">
        <v>1953</v>
      </c>
      <c r="V366" t="s">
        <v>2813</v>
      </c>
    </row>
    <row r="367" spans="1:22" ht="15.75" thickBot="1" x14ac:dyDescent="0.3">
      <c r="A367" s="82" t="s">
        <v>3472</v>
      </c>
      <c r="B367" s="82" t="str">
        <f t="shared" si="20"/>
        <v>Barraqueiro Transportes, S.A.</v>
      </c>
      <c r="C367" s="82" t="str">
        <f t="shared" si="21"/>
        <v>Frota Azul</v>
      </c>
      <c r="D367" s="83" t="s">
        <v>629</v>
      </c>
      <c r="E367" s="91" t="s">
        <v>1853</v>
      </c>
      <c r="F367" s="124" t="s">
        <v>620</v>
      </c>
      <c r="G367" s="304">
        <v>2016</v>
      </c>
      <c r="H367" s="312" t="s">
        <v>733</v>
      </c>
      <c r="I367" s="307" t="str">
        <f t="shared" si="22"/>
        <v>Pesado de Passageiros M3: III : Gasóleo : E6</v>
      </c>
      <c r="J367" s="125">
        <v>59</v>
      </c>
      <c r="K367" s="125">
        <v>2022</v>
      </c>
      <c r="L367" s="85">
        <v>10952.270000000002</v>
      </c>
      <c r="M367" s="85" t="s">
        <v>630</v>
      </c>
      <c r="N367" s="128">
        <v>34911</v>
      </c>
      <c r="O367" s="128">
        <f t="shared" si="23"/>
        <v>2059749</v>
      </c>
      <c r="P367" s="125" t="s">
        <v>1002</v>
      </c>
      <c r="Q367" s="85" t="s">
        <v>47</v>
      </c>
      <c r="R367" s="214" t="s">
        <v>1869</v>
      </c>
      <c r="S367" s="214" t="s">
        <v>1861</v>
      </c>
      <c r="T367" s="85" t="s">
        <v>1491</v>
      </c>
      <c r="U367" t="s">
        <v>1953</v>
      </c>
      <c r="V367" t="s">
        <v>2813</v>
      </c>
    </row>
    <row r="368" spans="1:22" ht="15.75" thickBot="1" x14ac:dyDescent="0.3">
      <c r="A368" s="82" t="s">
        <v>3472</v>
      </c>
      <c r="B368" s="82" t="str">
        <f t="shared" si="20"/>
        <v>Barraqueiro Transportes, S.A.</v>
      </c>
      <c r="C368" s="82" t="str">
        <f t="shared" si="21"/>
        <v>Frota Azul</v>
      </c>
      <c r="D368" s="83" t="s">
        <v>629</v>
      </c>
      <c r="E368" s="91" t="s">
        <v>1853</v>
      </c>
      <c r="F368" s="124" t="s">
        <v>620</v>
      </c>
      <c r="G368" s="304">
        <v>2016</v>
      </c>
      <c r="H368" s="312" t="s">
        <v>733</v>
      </c>
      <c r="I368" s="307" t="str">
        <f t="shared" si="22"/>
        <v>Pesado de Passageiros M3: III : Gasóleo : E6</v>
      </c>
      <c r="J368" s="125">
        <v>59</v>
      </c>
      <c r="K368" s="125">
        <v>2022</v>
      </c>
      <c r="L368" s="85">
        <v>10485.450000000001</v>
      </c>
      <c r="M368" s="85" t="s">
        <v>630</v>
      </c>
      <c r="N368" s="128">
        <v>32927</v>
      </c>
      <c r="O368" s="128">
        <f t="shared" si="23"/>
        <v>1942693</v>
      </c>
      <c r="P368" s="125" t="s">
        <v>1003</v>
      </c>
      <c r="Q368" s="85" t="s">
        <v>47</v>
      </c>
      <c r="R368" s="214" t="s">
        <v>1869</v>
      </c>
      <c r="S368" s="214" t="s">
        <v>1861</v>
      </c>
      <c r="T368" s="85" t="s">
        <v>1491</v>
      </c>
      <c r="U368" t="s">
        <v>1953</v>
      </c>
      <c r="V368" t="s">
        <v>2813</v>
      </c>
    </row>
    <row r="369" spans="1:22" ht="15.75" thickBot="1" x14ac:dyDescent="0.3">
      <c r="A369" s="82" t="s">
        <v>3472</v>
      </c>
      <c r="B369" s="82" t="str">
        <f t="shared" si="20"/>
        <v>Barraqueiro Transportes, S.A.</v>
      </c>
      <c r="C369" s="82" t="str">
        <f t="shared" si="21"/>
        <v>Frota Azul</v>
      </c>
      <c r="D369" s="83" t="s">
        <v>629</v>
      </c>
      <c r="E369" s="91" t="s">
        <v>1853</v>
      </c>
      <c r="F369" s="124" t="s">
        <v>620</v>
      </c>
      <c r="G369" s="304">
        <v>2016</v>
      </c>
      <c r="H369" s="312" t="s">
        <v>733</v>
      </c>
      <c r="I369" s="307" t="str">
        <f t="shared" si="22"/>
        <v>Pesado de Passageiros M3: III : Gasóleo : E6</v>
      </c>
      <c r="J369" s="125">
        <v>59</v>
      </c>
      <c r="K369" s="125">
        <v>2022</v>
      </c>
      <c r="L369" s="85">
        <v>15267.969999999998</v>
      </c>
      <c r="M369" s="85" t="s">
        <v>630</v>
      </c>
      <c r="N369" s="128">
        <v>49610</v>
      </c>
      <c r="O369" s="128">
        <f t="shared" si="23"/>
        <v>2926990</v>
      </c>
      <c r="P369" s="125" t="s">
        <v>1004</v>
      </c>
      <c r="Q369" s="85" t="s">
        <v>47</v>
      </c>
      <c r="R369" s="214" t="s">
        <v>1869</v>
      </c>
      <c r="S369" s="214" t="s">
        <v>1861</v>
      </c>
      <c r="T369" s="85" t="s">
        <v>1491</v>
      </c>
      <c r="U369" t="s">
        <v>1953</v>
      </c>
      <c r="V369" t="s">
        <v>2813</v>
      </c>
    </row>
    <row r="370" spans="1:22" ht="15.75" thickBot="1" x14ac:dyDescent="0.3">
      <c r="A370" s="82" t="s">
        <v>3472</v>
      </c>
      <c r="B370" s="82" t="str">
        <f t="shared" si="20"/>
        <v>Barraqueiro Transportes, S.A.</v>
      </c>
      <c r="C370" s="82" t="str">
        <f t="shared" si="21"/>
        <v>Frota Azul</v>
      </c>
      <c r="D370" s="83" t="s">
        <v>629</v>
      </c>
      <c r="E370" s="91" t="s">
        <v>1853</v>
      </c>
      <c r="F370" s="124" t="s">
        <v>620</v>
      </c>
      <c r="G370" s="304">
        <v>2016</v>
      </c>
      <c r="H370" s="312" t="s">
        <v>733</v>
      </c>
      <c r="I370" s="307" t="str">
        <f t="shared" si="22"/>
        <v>Pesado de Passageiros M3: III : Gasóleo : E6</v>
      </c>
      <c r="J370" s="125">
        <v>59</v>
      </c>
      <c r="K370" s="125">
        <v>2022</v>
      </c>
      <c r="L370" s="85">
        <v>11377.73</v>
      </c>
      <c r="M370" s="85" t="s">
        <v>630</v>
      </c>
      <c r="N370" s="128">
        <v>37013</v>
      </c>
      <c r="O370" s="128">
        <f t="shared" si="23"/>
        <v>2183767</v>
      </c>
      <c r="P370" s="125" t="s">
        <v>1005</v>
      </c>
      <c r="Q370" s="85" t="s">
        <v>47</v>
      </c>
      <c r="R370" s="214" t="s">
        <v>1869</v>
      </c>
      <c r="S370" s="214" t="s">
        <v>1861</v>
      </c>
      <c r="T370" s="85" t="s">
        <v>1491</v>
      </c>
      <c r="U370" t="s">
        <v>1953</v>
      </c>
      <c r="V370" t="s">
        <v>2813</v>
      </c>
    </row>
    <row r="371" spans="1:22" ht="15.75" thickBot="1" x14ac:dyDescent="0.3">
      <c r="A371" s="82" t="s">
        <v>3472</v>
      </c>
      <c r="B371" s="82" t="str">
        <f t="shared" si="20"/>
        <v>Barraqueiro Transportes, S.A.</v>
      </c>
      <c r="C371" s="82" t="str">
        <f t="shared" si="21"/>
        <v>Frota Azul</v>
      </c>
      <c r="D371" s="83" t="s">
        <v>629</v>
      </c>
      <c r="E371" s="91" t="s">
        <v>1853</v>
      </c>
      <c r="F371" s="124" t="s">
        <v>620</v>
      </c>
      <c r="G371" s="304">
        <v>2016</v>
      </c>
      <c r="H371" s="312" t="s">
        <v>733</v>
      </c>
      <c r="I371" s="307" t="str">
        <f t="shared" si="22"/>
        <v>Pesado de Passageiros M3: III : Gasóleo : E6</v>
      </c>
      <c r="J371" s="125">
        <v>59</v>
      </c>
      <c r="K371" s="125">
        <v>2022</v>
      </c>
      <c r="L371" s="85">
        <v>4297.21</v>
      </c>
      <c r="M371" s="85" t="s">
        <v>630</v>
      </c>
      <c r="N371" s="128">
        <v>13997</v>
      </c>
      <c r="O371" s="128">
        <f t="shared" si="23"/>
        <v>825823</v>
      </c>
      <c r="P371" s="125" t="s">
        <v>1006</v>
      </c>
      <c r="Q371" s="85" t="s">
        <v>47</v>
      </c>
      <c r="R371" s="214" t="s">
        <v>1869</v>
      </c>
      <c r="S371" s="214" t="s">
        <v>1861</v>
      </c>
      <c r="T371" s="85" t="s">
        <v>1491</v>
      </c>
      <c r="U371" t="s">
        <v>1953</v>
      </c>
      <c r="V371" t="s">
        <v>2813</v>
      </c>
    </row>
    <row r="372" spans="1:22" ht="15.75" thickBot="1" x14ac:dyDescent="0.3">
      <c r="A372" s="82" t="s">
        <v>3472</v>
      </c>
      <c r="B372" s="82" t="str">
        <f t="shared" si="20"/>
        <v>Barraqueiro Transportes, S.A.</v>
      </c>
      <c r="C372" s="82" t="str">
        <f t="shared" si="21"/>
        <v>Frota Azul</v>
      </c>
      <c r="D372" s="83" t="s">
        <v>629</v>
      </c>
      <c r="E372" s="91" t="s">
        <v>1853</v>
      </c>
      <c r="F372" s="124" t="s">
        <v>620</v>
      </c>
      <c r="G372" s="304">
        <v>2016</v>
      </c>
      <c r="H372" s="312" t="s">
        <v>733</v>
      </c>
      <c r="I372" s="307" t="str">
        <f t="shared" si="22"/>
        <v>Pesado de Passageiros M3: III : Gasóleo : E6</v>
      </c>
      <c r="J372" s="125">
        <v>59</v>
      </c>
      <c r="K372" s="125">
        <v>2022</v>
      </c>
      <c r="L372" s="85">
        <v>6263.82</v>
      </c>
      <c r="M372" s="85" t="s">
        <v>630</v>
      </c>
      <c r="N372" s="128">
        <v>21077</v>
      </c>
      <c r="O372" s="128">
        <f t="shared" si="23"/>
        <v>1243543</v>
      </c>
      <c r="P372" s="125" t="s">
        <v>1007</v>
      </c>
      <c r="Q372" s="85" t="s">
        <v>47</v>
      </c>
      <c r="R372" s="214" t="s">
        <v>1869</v>
      </c>
      <c r="S372" s="214" t="s">
        <v>1861</v>
      </c>
      <c r="T372" s="85" t="s">
        <v>1491</v>
      </c>
      <c r="U372" t="s">
        <v>1953</v>
      </c>
      <c r="V372" t="s">
        <v>2813</v>
      </c>
    </row>
    <row r="373" spans="1:22" ht="15.75" thickBot="1" x14ac:dyDescent="0.3">
      <c r="A373" s="82" t="s">
        <v>3472</v>
      </c>
      <c r="B373" s="82" t="str">
        <f t="shared" si="20"/>
        <v>Barraqueiro Transportes, S.A.</v>
      </c>
      <c r="C373" s="82" t="str">
        <f t="shared" si="21"/>
        <v>Frota Azul</v>
      </c>
      <c r="D373" s="83" t="s">
        <v>629</v>
      </c>
      <c r="E373" s="91" t="s">
        <v>1853</v>
      </c>
      <c r="F373" s="124" t="s">
        <v>620</v>
      </c>
      <c r="G373" s="304">
        <v>2016</v>
      </c>
      <c r="H373" s="312" t="s">
        <v>733</v>
      </c>
      <c r="I373" s="307" t="str">
        <f t="shared" si="22"/>
        <v>Pesado de Passageiros M3: III : Gasóleo : E6</v>
      </c>
      <c r="J373" s="125">
        <v>59</v>
      </c>
      <c r="K373" s="125">
        <v>2022</v>
      </c>
      <c r="L373" s="85">
        <v>3168.91</v>
      </c>
      <c r="M373" s="85" t="s">
        <v>630</v>
      </c>
      <c r="N373" s="128">
        <v>11035</v>
      </c>
      <c r="O373" s="128">
        <f t="shared" si="23"/>
        <v>651065</v>
      </c>
      <c r="P373" s="125" t="s">
        <v>1008</v>
      </c>
      <c r="Q373" s="85" t="s">
        <v>47</v>
      </c>
      <c r="R373" s="214" t="s">
        <v>1869</v>
      </c>
      <c r="S373" s="214" t="s">
        <v>1861</v>
      </c>
      <c r="T373" s="85" t="s">
        <v>1491</v>
      </c>
      <c r="U373" t="s">
        <v>1953</v>
      </c>
      <c r="V373" t="s">
        <v>2813</v>
      </c>
    </row>
    <row r="374" spans="1:22" ht="15.75" thickBot="1" x14ac:dyDescent="0.3">
      <c r="A374" s="82" t="s">
        <v>3472</v>
      </c>
      <c r="B374" s="82" t="str">
        <f t="shared" si="20"/>
        <v>Barraqueiro Transportes, S.A.</v>
      </c>
      <c r="C374" s="82" t="str">
        <f t="shared" si="21"/>
        <v>Frota Azul</v>
      </c>
      <c r="D374" s="83" t="s">
        <v>629</v>
      </c>
      <c r="E374" s="91" t="s">
        <v>1853</v>
      </c>
      <c r="F374" s="124" t="s">
        <v>620</v>
      </c>
      <c r="G374" s="304">
        <v>2016</v>
      </c>
      <c r="H374" s="312" t="s">
        <v>733</v>
      </c>
      <c r="I374" s="307" t="str">
        <f t="shared" si="22"/>
        <v>Pesado de Passageiros M3: III : Gasóleo : E6</v>
      </c>
      <c r="J374" s="125">
        <v>53</v>
      </c>
      <c r="K374" s="125">
        <v>2022</v>
      </c>
      <c r="L374" s="85">
        <v>6255.06</v>
      </c>
      <c r="M374" s="85" t="s">
        <v>630</v>
      </c>
      <c r="N374" s="128">
        <v>21385</v>
      </c>
      <c r="O374" s="128">
        <f t="shared" si="23"/>
        <v>1133405</v>
      </c>
      <c r="P374" s="125" t="s">
        <v>1009</v>
      </c>
      <c r="Q374" s="85" t="s">
        <v>47</v>
      </c>
      <c r="R374" s="214" t="s">
        <v>1869</v>
      </c>
      <c r="S374" s="214" t="s">
        <v>1861</v>
      </c>
      <c r="T374" s="85" t="s">
        <v>1491</v>
      </c>
      <c r="U374" t="s">
        <v>1953</v>
      </c>
      <c r="V374" t="s">
        <v>2813</v>
      </c>
    </row>
    <row r="375" spans="1:22" ht="15.75" thickBot="1" x14ac:dyDescent="0.3">
      <c r="A375" s="82" t="s">
        <v>3472</v>
      </c>
      <c r="B375" s="82" t="str">
        <f t="shared" si="20"/>
        <v>Barraqueiro Transportes, S.A.</v>
      </c>
      <c r="C375" s="82" t="str">
        <f t="shared" si="21"/>
        <v>Frota Azul</v>
      </c>
      <c r="D375" s="83" t="s">
        <v>629</v>
      </c>
      <c r="E375" s="91" t="s">
        <v>1853</v>
      </c>
      <c r="F375" s="124" t="s">
        <v>620</v>
      </c>
      <c r="G375" s="304">
        <v>2016</v>
      </c>
      <c r="H375" s="312" t="s">
        <v>733</v>
      </c>
      <c r="I375" s="307" t="str">
        <f t="shared" si="22"/>
        <v>Pesado de Passageiros M3: III : Gasóleo : E6</v>
      </c>
      <c r="J375" s="125">
        <v>53</v>
      </c>
      <c r="K375" s="125">
        <v>2022</v>
      </c>
      <c r="L375" s="85">
        <v>8209.42</v>
      </c>
      <c r="M375" s="85" t="s">
        <v>630</v>
      </c>
      <c r="N375" s="128">
        <v>29000</v>
      </c>
      <c r="O375" s="128">
        <f t="shared" si="23"/>
        <v>1537000</v>
      </c>
      <c r="P375" s="125" t="s">
        <v>1010</v>
      </c>
      <c r="Q375" s="85" t="s">
        <v>47</v>
      </c>
      <c r="R375" s="214" t="s">
        <v>1869</v>
      </c>
      <c r="S375" s="214" t="s">
        <v>1861</v>
      </c>
      <c r="T375" s="85" t="s">
        <v>1491</v>
      </c>
      <c r="U375" t="s">
        <v>1953</v>
      </c>
      <c r="V375" t="s">
        <v>2813</v>
      </c>
    </row>
    <row r="376" spans="1:22" ht="15.75" thickBot="1" x14ac:dyDescent="0.3">
      <c r="A376" s="82" t="s">
        <v>3472</v>
      </c>
      <c r="B376" s="82" t="str">
        <f t="shared" si="20"/>
        <v>Barraqueiro Transportes, S.A.</v>
      </c>
      <c r="C376" s="82" t="str">
        <f t="shared" si="21"/>
        <v>Frota Azul</v>
      </c>
      <c r="D376" s="83" t="s">
        <v>629</v>
      </c>
      <c r="E376" s="91" t="s">
        <v>1853</v>
      </c>
      <c r="F376" s="124" t="s">
        <v>620</v>
      </c>
      <c r="G376" s="304">
        <v>2016</v>
      </c>
      <c r="H376" s="312" t="s">
        <v>733</v>
      </c>
      <c r="I376" s="307" t="str">
        <f t="shared" si="22"/>
        <v>Pesado de Passageiros M3: III : Gasóleo : E6</v>
      </c>
      <c r="J376" s="125">
        <v>53</v>
      </c>
      <c r="K376" s="125">
        <v>2022</v>
      </c>
      <c r="L376" s="85">
        <v>272.05</v>
      </c>
      <c r="M376" s="85" t="s">
        <v>630</v>
      </c>
      <c r="N376" s="128">
        <v>824</v>
      </c>
      <c r="O376" s="128">
        <f t="shared" si="23"/>
        <v>43672</v>
      </c>
      <c r="P376" s="125" t="s">
        <v>1011</v>
      </c>
      <c r="Q376" s="85" t="s">
        <v>47</v>
      </c>
      <c r="R376" s="214" t="s">
        <v>1869</v>
      </c>
      <c r="S376" s="214" t="s">
        <v>1861</v>
      </c>
      <c r="T376" s="85" t="s">
        <v>1491</v>
      </c>
      <c r="U376" t="s">
        <v>1953</v>
      </c>
      <c r="V376" t="s">
        <v>2813</v>
      </c>
    </row>
    <row r="377" spans="1:22" ht="15.75" thickBot="1" x14ac:dyDescent="0.3">
      <c r="A377" s="82" t="s">
        <v>3472</v>
      </c>
      <c r="B377" s="82" t="str">
        <f t="shared" si="20"/>
        <v>Barraqueiro Transportes, S.A.</v>
      </c>
      <c r="C377" s="82" t="str">
        <f t="shared" si="21"/>
        <v>Frota Azul</v>
      </c>
      <c r="D377" s="83" t="s">
        <v>629</v>
      </c>
      <c r="E377" s="91" t="s">
        <v>1853</v>
      </c>
      <c r="F377" s="124" t="s">
        <v>620</v>
      </c>
      <c r="G377" s="304">
        <v>2016</v>
      </c>
      <c r="H377" s="312" t="s">
        <v>733</v>
      </c>
      <c r="I377" s="307" t="str">
        <f t="shared" si="22"/>
        <v>Pesado de Passageiros M3: III : Gasóleo : E6</v>
      </c>
      <c r="J377" s="125">
        <v>53</v>
      </c>
      <c r="K377" s="125">
        <v>2022</v>
      </c>
      <c r="L377" s="85">
        <v>313.42</v>
      </c>
      <c r="M377" s="85" t="s">
        <v>630</v>
      </c>
      <c r="N377" s="128">
        <v>1160</v>
      </c>
      <c r="O377" s="128">
        <f t="shared" si="23"/>
        <v>61480</v>
      </c>
      <c r="P377" s="125" t="s">
        <v>1012</v>
      </c>
      <c r="Q377" s="85" t="s">
        <v>47</v>
      </c>
      <c r="R377" s="214" t="s">
        <v>1869</v>
      </c>
      <c r="S377" s="214" t="s">
        <v>1861</v>
      </c>
      <c r="T377" s="85" t="s">
        <v>1491</v>
      </c>
      <c r="U377" t="s">
        <v>1953</v>
      </c>
      <c r="V377" t="s">
        <v>2813</v>
      </c>
    </row>
    <row r="378" spans="1:22" ht="15.75" thickBot="1" x14ac:dyDescent="0.3">
      <c r="A378" s="82" t="s">
        <v>3472</v>
      </c>
      <c r="B378" s="82" t="str">
        <f t="shared" si="20"/>
        <v>Barraqueiro Transportes, S.A.</v>
      </c>
      <c r="C378" s="82" t="str">
        <f t="shared" si="21"/>
        <v>Frota Azul</v>
      </c>
      <c r="D378" s="83" t="s">
        <v>629</v>
      </c>
      <c r="E378" s="91" t="s">
        <v>1853</v>
      </c>
      <c r="F378" s="124" t="s">
        <v>620</v>
      </c>
      <c r="G378" s="304">
        <v>2017</v>
      </c>
      <c r="H378" s="312" t="s">
        <v>733</v>
      </c>
      <c r="I378" s="307" t="str">
        <f t="shared" si="22"/>
        <v>Pesado de Passageiros M3: III : Gasóleo : E6</v>
      </c>
      <c r="J378" s="125">
        <v>53</v>
      </c>
      <c r="K378" s="125">
        <v>2022</v>
      </c>
      <c r="L378" s="85">
        <v>10716.420000000002</v>
      </c>
      <c r="M378" s="85" t="s">
        <v>630</v>
      </c>
      <c r="N378" s="128">
        <v>40535</v>
      </c>
      <c r="O378" s="128">
        <f t="shared" si="23"/>
        <v>2148355</v>
      </c>
      <c r="P378" s="125" t="s">
        <v>1013</v>
      </c>
      <c r="Q378" s="85" t="s">
        <v>47</v>
      </c>
      <c r="R378" s="214" t="s">
        <v>1869</v>
      </c>
      <c r="S378" s="214" t="s">
        <v>1861</v>
      </c>
      <c r="T378" s="85" t="s">
        <v>1491</v>
      </c>
      <c r="U378" t="s">
        <v>1953</v>
      </c>
      <c r="V378" t="s">
        <v>2813</v>
      </c>
    </row>
    <row r="379" spans="1:22" ht="15.75" thickBot="1" x14ac:dyDescent="0.3">
      <c r="A379" s="82" t="s">
        <v>3472</v>
      </c>
      <c r="B379" s="82" t="str">
        <f t="shared" si="20"/>
        <v>Barraqueiro Transportes, S.A.</v>
      </c>
      <c r="C379" s="82" t="str">
        <f t="shared" si="21"/>
        <v>Frota Azul</v>
      </c>
      <c r="D379" s="83" t="s">
        <v>629</v>
      </c>
      <c r="E379" s="91" t="s">
        <v>1853</v>
      </c>
      <c r="F379" s="124" t="s">
        <v>620</v>
      </c>
      <c r="G379" s="304">
        <v>2017</v>
      </c>
      <c r="H379" s="312" t="s">
        <v>733</v>
      </c>
      <c r="I379" s="307" t="str">
        <f t="shared" si="22"/>
        <v>Pesado de Passageiros M3: III : Gasóleo : E6</v>
      </c>
      <c r="J379" s="125">
        <v>53</v>
      </c>
      <c r="K379" s="125">
        <v>2022</v>
      </c>
      <c r="L379" s="85">
        <v>12318.090000000002</v>
      </c>
      <c r="M379" s="85" t="s">
        <v>630</v>
      </c>
      <c r="N379" s="128">
        <v>46429</v>
      </c>
      <c r="O379" s="128">
        <f t="shared" si="23"/>
        <v>2460737</v>
      </c>
      <c r="P379" s="125" t="s">
        <v>1014</v>
      </c>
      <c r="Q379" s="85" t="s">
        <v>47</v>
      </c>
      <c r="R379" s="214" t="s">
        <v>1869</v>
      </c>
      <c r="S379" s="214" t="s">
        <v>1861</v>
      </c>
      <c r="T379" s="85" t="s">
        <v>1491</v>
      </c>
      <c r="U379" t="s">
        <v>1953</v>
      </c>
      <c r="V379" t="s">
        <v>2813</v>
      </c>
    </row>
    <row r="380" spans="1:22" ht="15.75" thickBot="1" x14ac:dyDescent="0.3">
      <c r="A380" s="82" t="s">
        <v>3472</v>
      </c>
      <c r="B380" s="82" t="str">
        <f t="shared" si="20"/>
        <v>Barraqueiro Transportes, S.A.</v>
      </c>
      <c r="C380" s="82" t="str">
        <f t="shared" si="21"/>
        <v>Frota Azul</v>
      </c>
      <c r="D380" s="83" t="s">
        <v>629</v>
      </c>
      <c r="E380" s="91" t="s">
        <v>1853</v>
      </c>
      <c r="F380" s="124" t="s">
        <v>620</v>
      </c>
      <c r="G380" s="304">
        <v>2018</v>
      </c>
      <c r="H380" s="312" t="s">
        <v>733</v>
      </c>
      <c r="I380" s="307" t="str">
        <f t="shared" si="22"/>
        <v>Pesado de Passageiros M3: III : Gasóleo : E6</v>
      </c>
      <c r="J380" s="125">
        <v>53</v>
      </c>
      <c r="K380" s="125">
        <v>2022</v>
      </c>
      <c r="L380" s="85">
        <v>11878.399999999998</v>
      </c>
      <c r="M380" s="85" t="s">
        <v>630</v>
      </c>
      <c r="N380" s="128">
        <v>43470</v>
      </c>
      <c r="O380" s="128">
        <f t="shared" si="23"/>
        <v>2303910</v>
      </c>
      <c r="P380" s="125" t="s">
        <v>1015</v>
      </c>
      <c r="Q380" s="85" t="s">
        <v>47</v>
      </c>
      <c r="R380" s="214" t="s">
        <v>1869</v>
      </c>
      <c r="S380" s="214" t="s">
        <v>1861</v>
      </c>
      <c r="T380" s="85" t="s">
        <v>1491</v>
      </c>
      <c r="U380" t="s">
        <v>1953</v>
      </c>
      <c r="V380" t="s">
        <v>2813</v>
      </c>
    </row>
    <row r="381" spans="1:22" ht="15.75" thickBot="1" x14ac:dyDescent="0.3">
      <c r="A381" s="82" t="s">
        <v>3472</v>
      </c>
      <c r="B381" s="82" t="str">
        <f t="shared" si="20"/>
        <v>Barraqueiro Transportes, S.A.</v>
      </c>
      <c r="C381" s="82" t="str">
        <f t="shared" si="21"/>
        <v>Frota Azul</v>
      </c>
      <c r="D381" s="83" t="s">
        <v>629</v>
      </c>
      <c r="E381" s="91" t="s">
        <v>1853</v>
      </c>
      <c r="F381" s="124" t="s">
        <v>620</v>
      </c>
      <c r="G381" s="304">
        <v>2018</v>
      </c>
      <c r="H381" s="312" t="s">
        <v>733</v>
      </c>
      <c r="I381" s="307" t="str">
        <f t="shared" si="22"/>
        <v>Pesado de Passageiros M3: III : Gasóleo : E6</v>
      </c>
      <c r="J381" s="125">
        <v>53</v>
      </c>
      <c r="K381" s="125">
        <v>2022</v>
      </c>
      <c r="L381" s="85">
        <v>10631.9</v>
      </c>
      <c r="M381" s="85" t="s">
        <v>630</v>
      </c>
      <c r="N381" s="128">
        <v>39963</v>
      </c>
      <c r="O381" s="128">
        <f t="shared" si="23"/>
        <v>2118039</v>
      </c>
      <c r="P381" s="125" t="s">
        <v>1016</v>
      </c>
      <c r="Q381" s="85" t="s">
        <v>47</v>
      </c>
      <c r="R381" s="214" t="s">
        <v>1869</v>
      </c>
      <c r="S381" s="214" t="s">
        <v>1861</v>
      </c>
      <c r="T381" s="85" t="s">
        <v>1491</v>
      </c>
      <c r="U381" t="s">
        <v>1953</v>
      </c>
      <c r="V381" t="s">
        <v>2813</v>
      </c>
    </row>
    <row r="382" spans="1:22" ht="15.75" thickBot="1" x14ac:dyDescent="0.3">
      <c r="A382" s="82" t="s">
        <v>3472</v>
      </c>
      <c r="B382" s="82" t="str">
        <f t="shared" si="20"/>
        <v>Barraqueiro Transportes, S.A.</v>
      </c>
      <c r="C382" s="82" t="str">
        <f t="shared" si="21"/>
        <v>Frota Azul</v>
      </c>
      <c r="D382" s="83" t="s">
        <v>629</v>
      </c>
      <c r="E382" s="91" t="s">
        <v>1853</v>
      </c>
      <c r="F382" s="124" t="s">
        <v>620</v>
      </c>
      <c r="G382" s="304">
        <v>2018</v>
      </c>
      <c r="H382" s="312" t="s">
        <v>733</v>
      </c>
      <c r="I382" s="307" t="str">
        <f t="shared" si="22"/>
        <v>Pesado de Passageiros M3: III : Gasóleo : E6</v>
      </c>
      <c r="J382" s="125">
        <v>53</v>
      </c>
      <c r="K382" s="125">
        <v>2022</v>
      </c>
      <c r="L382" s="85">
        <v>11356.649999999998</v>
      </c>
      <c r="M382" s="85" t="s">
        <v>630</v>
      </c>
      <c r="N382" s="128">
        <v>41794</v>
      </c>
      <c r="O382" s="128">
        <f t="shared" si="23"/>
        <v>2215082</v>
      </c>
      <c r="P382" s="125" t="s">
        <v>1017</v>
      </c>
      <c r="Q382" s="85" t="s">
        <v>47</v>
      </c>
      <c r="R382" s="214" t="s">
        <v>1869</v>
      </c>
      <c r="S382" s="214" t="s">
        <v>1861</v>
      </c>
      <c r="T382" s="85" t="s">
        <v>1491</v>
      </c>
      <c r="U382" t="s">
        <v>1953</v>
      </c>
      <c r="V382" t="s">
        <v>2813</v>
      </c>
    </row>
    <row r="383" spans="1:22" ht="15.75" thickBot="1" x14ac:dyDescent="0.3">
      <c r="A383" s="82" t="s">
        <v>3472</v>
      </c>
      <c r="B383" s="82" t="str">
        <f t="shared" si="20"/>
        <v>Barraqueiro Transportes, S.A.</v>
      </c>
      <c r="C383" s="82" t="str">
        <f t="shared" si="21"/>
        <v>Frota Azul</v>
      </c>
      <c r="D383" s="83" t="s">
        <v>629</v>
      </c>
      <c r="E383" s="91" t="s">
        <v>1853</v>
      </c>
      <c r="F383" s="124" t="s">
        <v>620</v>
      </c>
      <c r="G383" s="304">
        <v>2018</v>
      </c>
      <c r="H383" s="312" t="s">
        <v>733</v>
      </c>
      <c r="I383" s="307" t="str">
        <f t="shared" si="22"/>
        <v>Pesado de Passageiros M3: III : Gasóleo : E6</v>
      </c>
      <c r="J383" s="125">
        <v>53</v>
      </c>
      <c r="K383" s="125">
        <v>2022</v>
      </c>
      <c r="L383" s="85">
        <v>14387.7</v>
      </c>
      <c r="M383" s="85" t="s">
        <v>630</v>
      </c>
      <c r="N383" s="128">
        <v>54390</v>
      </c>
      <c r="O383" s="128">
        <f t="shared" si="23"/>
        <v>2882670</v>
      </c>
      <c r="P383" s="125" t="s">
        <v>1018</v>
      </c>
      <c r="Q383" s="85" t="s">
        <v>47</v>
      </c>
      <c r="R383" s="214" t="s">
        <v>1869</v>
      </c>
      <c r="S383" s="214" t="s">
        <v>1861</v>
      </c>
      <c r="T383" s="85" t="s">
        <v>1491</v>
      </c>
      <c r="U383" t="s">
        <v>1953</v>
      </c>
      <c r="V383" t="s">
        <v>2813</v>
      </c>
    </row>
    <row r="384" spans="1:22" ht="15.75" thickBot="1" x14ac:dyDescent="0.3">
      <c r="A384" s="82" t="s">
        <v>3472</v>
      </c>
      <c r="B384" s="82" t="str">
        <f t="shared" si="20"/>
        <v>Barraqueiro Transportes, S.A.</v>
      </c>
      <c r="C384" s="82" t="str">
        <f t="shared" si="21"/>
        <v>Frota Azul</v>
      </c>
      <c r="D384" s="83" t="s">
        <v>629</v>
      </c>
      <c r="E384" s="91" t="s">
        <v>1853</v>
      </c>
      <c r="F384" s="124" t="s">
        <v>620</v>
      </c>
      <c r="G384" s="304">
        <v>2018</v>
      </c>
      <c r="H384" s="312" t="s">
        <v>733</v>
      </c>
      <c r="I384" s="307" t="str">
        <f t="shared" si="22"/>
        <v>Pesado de Passageiros M3: III : Gasóleo : E6</v>
      </c>
      <c r="J384" s="125">
        <v>35</v>
      </c>
      <c r="K384" s="125">
        <v>2022</v>
      </c>
      <c r="L384" s="85">
        <v>10044.860000000002</v>
      </c>
      <c r="M384" s="85" t="s">
        <v>630</v>
      </c>
      <c r="N384" s="128">
        <v>42344</v>
      </c>
      <c r="O384" s="128">
        <f t="shared" si="23"/>
        <v>1482040</v>
      </c>
      <c r="P384" s="125" t="s">
        <v>1019</v>
      </c>
      <c r="Q384" s="85" t="s">
        <v>47</v>
      </c>
      <c r="R384" s="214" t="s">
        <v>1869</v>
      </c>
      <c r="S384" s="214" t="s">
        <v>1861</v>
      </c>
      <c r="T384" s="85" t="s">
        <v>1491</v>
      </c>
      <c r="U384" t="s">
        <v>1953</v>
      </c>
      <c r="V384" t="s">
        <v>2813</v>
      </c>
    </row>
    <row r="385" spans="1:22" ht="15.75" thickBot="1" x14ac:dyDescent="0.3">
      <c r="A385" s="82" t="s">
        <v>3472</v>
      </c>
      <c r="B385" s="82" t="str">
        <f t="shared" si="20"/>
        <v>Barraqueiro Transportes, S.A.</v>
      </c>
      <c r="C385" s="82" t="str">
        <f t="shared" si="21"/>
        <v>Frota Azul</v>
      </c>
      <c r="D385" s="83" t="s">
        <v>629</v>
      </c>
      <c r="E385" s="91" t="s">
        <v>1853</v>
      </c>
      <c r="F385" s="124" t="s">
        <v>620</v>
      </c>
      <c r="G385" s="304">
        <v>2018</v>
      </c>
      <c r="H385" s="312" t="s">
        <v>733</v>
      </c>
      <c r="I385" s="307" t="str">
        <f t="shared" si="22"/>
        <v>Pesado de Passageiros M3: III : Gasóleo : E6</v>
      </c>
      <c r="J385" s="125">
        <v>53</v>
      </c>
      <c r="K385" s="125">
        <v>2022</v>
      </c>
      <c r="L385" s="85">
        <v>13849.27</v>
      </c>
      <c r="M385" s="85" t="s">
        <v>630</v>
      </c>
      <c r="N385" s="128">
        <v>57954</v>
      </c>
      <c r="O385" s="128">
        <f t="shared" si="23"/>
        <v>3071562</v>
      </c>
      <c r="P385" s="125" t="s">
        <v>1020</v>
      </c>
      <c r="Q385" s="85" t="s">
        <v>47</v>
      </c>
      <c r="R385" s="214" t="s">
        <v>1869</v>
      </c>
      <c r="S385" s="214" t="s">
        <v>1861</v>
      </c>
      <c r="T385" s="85" t="s">
        <v>1491</v>
      </c>
      <c r="U385" t="s">
        <v>1953</v>
      </c>
      <c r="V385" t="s">
        <v>2813</v>
      </c>
    </row>
    <row r="386" spans="1:22" ht="15.75" thickBot="1" x14ac:dyDescent="0.3">
      <c r="A386" s="82" t="s">
        <v>3472</v>
      </c>
      <c r="B386" s="82" t="str">
        <f t="shared" si="20"/>
        <v>Barraqueiro Transportes, S.A.</v>
      </c>
      <c r="C386" s="82" t="str">
        <f t="shared" si="21"/>
        <v>Frota Azul</v>
      </c>
      <c r="D386" s="83" t="s">
        <v>629</v>
      </c>
      <c r="E386" s="91" t="s">
        <v>1853</v>
      </c>
      <c r="F386" s="124" t="s">
        <v>620</v>
      </c>
      <c r="G386" s="304">
        <v>2018</v>
      </c>
      <c r="H386" s="312" t="s">
        <v>733</v>
      </c>
      <c r="I386" s="307" t="str">
        <f t="shared" si="22"/>
        <v>Pesado de Passageiros M3: III : Gasóleo : E6</v>
      </c>
      <c r="J386" s="125">
        <v>53</v>
      </c>
      <c r="K386" s="125">
        <v>2022</v>
      </c>
      <c r="L386" s="85">
        <v>14687.83</v>
      </c>
      <c r="M386" s="85" t="s">
        <v>630</v>
      </c>
      <c r="N386" s="128">
        <v>60301</v>
      </c>
      <c r="O386" s="128">
        <f t="shared" si="23"/>
        <v>3195953</v>
      </c>
      <c r="P386" s="125" t="s">
        <v>1021</v>
      </c>
      <c r="Q386" s="85" t="s">
        <v>47</v>
      </c>
      <c r="R386" s="214" t="s">
        <v>1869</v>
      </c>
      <c r="S386" s="214" t="s">
        <v>1861</v>
      </c>
      <c r="T386" s="85" t="s">
        <v>1491</v>
      </c>
      <c r="U386" t="s">
        <v>1953</v>
      </c>
      <c r="V386" t="s">
        <v>2813</v>
      </c>
    </row>
    <row r="387" spans="1:22" ht="15.75" thickBot="1" x14ac:dyDescent="0.3">
      <c r="A387" s="82" t="s">
        <v>3472</v>
      </c>
      <c r="B387" s="82" t="str">
        <f t="shared" ref="B387:B450" si="24">LEFT(A387,IFERROR(FIND(" - ",A387)-1,LEN(A387)))</f>
        <v>Barraqueiro Transportes, S.A.</v>
      </c>
      <c r="C387" s="82" t="str">
        <f t="shared" si="21"/>
        <v>Frota Azul</v>
      </c>
      <c r="D387" s="83" t="s">
        <v>629</v>
      </c>
      <c r="E387" s="91" t="s">
        <v>1853</v>
      </c>
      <c r="F387" s="124" t="s">
        <v>620</v>
      </c>
      <c r="G387" s="304">
        <v>2018</v>
      </c>
      <c r="H387" s="312" t="s">
        <v>733</v>
      </c>
      <c r="I387" s="307" t="str">
        <f t="shared" si="22"/>
        <v>Pesado de Passageiros M3: III : Gasóleo : E6</v>
      </c>
      <c r="J387" s="125">
        <v>53</v>
      </c>
      <c r="K387" s="125">
        <v>2022</v>
      </c>
      <c r="L387" s="85">
        <v>12601.2</v>
      </c>
      <c r="M387" s="85" t="s">
        <v>630</v>
      </c>
      <c r="N387" s="128">
        <v>49298</v>
      </c>
      <c r="O387" s="128">
        <f t="shared" si="23"/>
        <v>2612794</v>
      </c>
      <c r="P387" s="125" t="s">
        <v>1022</v>
      </c>
      <c r="Q387" s="85" t="s">
        <v>47</v>
      </c>
      <c r="R387" s="214" t="s">
        <v>1869</v>
      </c>
      <c r="S387" s="214" t="s">
        <v>1861</v>
      </c>
      <c r="T387" s="85" t="s">
        <v>1491</v>
      </c>
      <c r="U387" t="s">
        <v>1953</v>
      </c>
      <c r="V387" t="s">
        <v>2813</v>
      </c>
    </row>
    <row r="388" spans="1:22" ht="15.75" thickBot="1" x14ac:dyDescent="0.3">
      <c r="A388" s="82" t="s">
        <v>3472</v>
      </c>
      <c r="B388" s="82" t="str">
        <f t="shared" si="24"/>
        <v>Barraqueiro Transportes, S.A.</v>
      </c>
      <c r="C388" s="82" t="str">
        <f t="shared" ref="C388:C451" si="25">IF(A388=B388,B388,RIGHT(A388,LEN(A388)-LEN(B388)-3))</f>
        <v>Frota Azul</v>
      </c>
      <c r="D388" s="83" t="s">
        <v>629</v>
      </c>
      <c r="E388" s="91" t="s">
        <v>1853</v>
      </c>
      <c r="F388" s="124" t="s">
        <v>620</v>
      </c>
      <c r="G388" s="304">
        <v>2018</v>
      </c>
      <c r="H388" s="312" t="s">
        <v>733</v>
      </c>
      <c r="I388" s="307" t="str">
        <f t="shared" ref="I388:I451" si="26">D388&amp;": "&amp;E388&amp;" : "&amp;F388&amp;" : "&amp;H388</f>
        <v>Pesado de Passageiros M3: III : Gasóleo : E6</v>
      </c>
      <c r="J388" s="125">
        <v>53</v>
      </c>
      <c r="K388" s="125">
        <v>2022</v>
      </c>
      <c r="L388" s="85">
        <v>10844.6</v>
      </c>
      <c r="M388" s="85" t="s">
        <v>630</v>
      </c>
      <c r="N388" s="128">
        <v>43030</v>
      </c>
      <c r="O388" s="128">
        <f t="shared" ref="O388:O451" si="27">N388*J388</f>
        <v>2280590</v>
      </c>
      <c r="P388" s="125" t="s">
        <v>983</v>
      </c>
      <c r="Q388" s="85" t="s">
        <v>47</v>
      </c>
      <c r="R388" s="214" t="s">
        <v>1869</v>
      </c>
      <c r="S388" s="214" t="s">
        <v>1861</v>
      </c>
      <c r="T388" s="85" t="s">
        <v>1491</v>
      </c>
      <c r="U388" t="s">
        <v>1953</v>
      </c>
      <c r="V388" t="s">
        <v>2813</v>
      </c>
    </row>
    <row r="389" spans="1:22" ht="15.75" thickBot="1" x14ac:dyDescent="0.3">
      <c r="A389" s="82" t="s">
        <v>3472</v>
      </c>
      <c r="B389" s="82" t="str">
        <f t="shared" si="24"/>
        <v>Barraqueiro Transportes, S.A.</v>
      </c>
      <c r="C389" s="82" t="str">
        <f t="shared" si="25"/>
        <v>Frota Azul</v>
      </c>
      <c r="D389" s="83" t="s">
        <v>629</v>
      </c>
      <c r="E389" s="91" t="s">
        <v>1853</v>
      </c>
      <c r="F389" s="124" t="s">
        <v>620</v>
      </c>
      <c r="G389" s="304">
        <v>2018</v>
      </c>
      <c r="H389" s="312" t="s">
        <v>733</v>
      </c>
      <c r="I389" s="307" t="str">
        <f t="shared" si="26"/>
        <v>Pesado de Passageiros M3: III : Gasóleo : E6</v>
      </c>
      <c r="J389" s="125">
        <v>53</v>
      </c>
      <c r="K389" s="125">
        <v>2022</v>
      </c>
      <c r="L389" s="85">
        <v>11751.259999999998</v>
      </c>
      <c r="M389" s="85" t="s">
        <v>630</v>
      </c>
      <c r="N389" s="128">
        <v>47053</v>
      </c>
      <c r="O389" s="128">
        <f t="shared" si="27"/>
        <v>2493809</v>
      </c>
      <c r="P389" s="125" t="s">
        <v>984</v>
      </c>
      <c r="Q389" s="85" t="s">
        <v>47</v>
      </c>
      <c r="R389" s="214" t="s">
        <v>1869</v>
      </c>
      <c r="S389" s="214" t="s">
        <v>1861</v>
      </c>
      <c r="T389" s="85" t="s">
        <v>1491</v>
      </c>
      <c r="U389" t="s">
        <v>1953</v>
      </c>
      <c r="V389" t="s">
        <v>2813</v>
      </c>
    </row>
    <row r="390" spans="1:22" ht="15.75" thickBot="1" x14ac:dyDescent="0.3">
      <c r="A390" s="82" t="s">
        <v>3472</v>
      </c>
      <c r="B390" s="82" t="str">
        <f t="shared" si="24"/>
        <v>Barraqueiro Transportes, S.A.</v>
      </c>
      <c r="C390" s="82" t="str">
        <f t="shared" si="25"/>
        <v>Frota Azul</v>
      </c>
      <c r="D390" s="83" t="s">
        <v>629</v>
      </c>
      <c r="E390" s="91" t="s">
        <v>1853</v>
      </c>
      <c r="F390" s="124" t="s">
        <v>620</v>
      </c>
      <c r="G390" s="304">
        <v>2019</v>
      </c>
      <c r="H390" s="312" t="s">
        <v>733</v>
      </c>
      <c r="I390" s="307" t="str">
        <f t="shared" si="26"/>
        <v>Pesado de Passageiros M3: III : Gasóleo : E6</v>
      </c>
      <c r="J390" s="125">
        <v>53</v>
      </c>
      <c r="K390" s="125">
        <v>2022</v>
      </c>
      <c r="L390" s="85">
        <v>15283.91</v>
      </c>
      <c r="M390" s="85" t="s">
        <v>630</v>
      </c>
      <c r="N390" s="128">
        <v>59505</v>
      </c>
      <c r="O390" s="128">
        <f t="shared" si="27"/>
        <v>3153765</v>
      </c>
      <c r="P390" s="125" t="s">
        <v>1023</v>
      </c>
      <c r="Q390" s="85" t="s">
        <v>47</v>
      </c>
      <c r="R390" s="214" t="s">
        <v>1869</v>
      </c>
      <c r="S390" s="214" t="s">
        <v>1861</v>
      </c>
      <c r="T390" s="85" t="s">
        <v>1491</v>
      </c>
      <c r="U390" t="s">
        <v>1953</v>
      </c>
      <c r="V390" t="s">
        <v>2813</v>
      </c>
    </row>
    <row r="391" spans="1:22" ht="15.75" thickBot="1" x14ac:dyDescent="0.3">
      <c r="A391" s="82" t="s">
        <v>3472</v>
      </c>
      <c r="B391" s="82" t="str">
        <f t="shared" si="24"/>
        <v>Barraqueiro Transportes, S.A.</v>
      </c>
      <c r="C391" s="82" t="str">
        <f t="shared" si="25"/>
        <v>Frota Azul</v>
      </c>
      <c r="D391" s="83" t="s">
        <v>629</v>
      </c>
      <c r="E391" s="91" t="s">
        <v>1853</v>
      </c>
      <c r="F391" s="124" t="s">
        <v>620</v>
      </c>
      <c r="G391" s="304">
        <v>2019</v>
      </c>
      <c r="H391" s="312" t="s">
        <v>733</v>
      </c>
      <c r="I391" s="307" t="str">
        <f t="shared" si="26"/>
        <v>Pesado de Passageiros M3: III : Gasóleo : E6</v>
      </c>
      <c r="J391" s="125">
        <v>53</v>
      </c>
      <c r="K391" s="125">
        <v>2022</v>
      </c>
      <c r="L391" s="85">
        <v>13929.659999999998</v>
      </c>
      <c r="M391" s="85" t="s">
        <v>630</v>
      </c>
      <c r="N391" s="128">
        <v>55906</v>
      </c>
      <c r="O391" s="128">
        <f t="shared" si="27"/>
        <v>2963018</v>
      </c>
      <c r="P391" s="125" t="s">
        <v>1024</v>
      </c>
      <c r="Q391" s="85" t="s">
        <v>47</v>
      </c>
      <c r="R391" s="214" t="s">
        <v>1869</v>
      </c>
      <c r="S391" s="214" t="s">
        <v>1861</v>
      </c>
      <c r="T391" s="85" t="s">
        <v>1491</v>
      </c>
      <c r="U391" t="s">
        <v>1953</v>
      </c>
      <c r="V391" t="s">
        <v>2813</v>
      </c>
    </row>
    <row r="392" spans="1:22" ht="15.75" thickBot="1" x14ac:dyDescent="0.3">
      <c r="A392" s="82" t="s">
        <v>3472</v>
      </c>
      <c r="B392" s="82" t="str">
        <f t="shared" si="24"/>
        <v>Barraqueiro Transportes, S.A.</v>
      </c>
      <c r="C392" s="82" t="str">
        <f t="shared" si="25"/>
        <v>Frota Azul</v>
      </c>
      <c r="D392" s="83" t="s">
        <v>629</v>
      </c>
      <c r="E392" s="91" t="s">
        <v>1853</v>
      </c>
      <c r="F392" s="124" t="s">
        <v>620</v>
      </c>
      <c r="G392" s="304">
        <v>2019</v>
      </c>
      <c r="H392" s="312" t="s">
        <v>733</v>
      </c>
      <c r="I392" s="307" t="str">
        <f t="shared" si="26"/>
        <v>Pesado de Passageiros M3: III : Gasóleo : E6</v>
      </c>
      <c r="J392" s="125">
        <v>53</v>
      </c>
      <c r="K392" s="125">
        <v>2022</v>
      </c>
      <c r="L392" s="85">
        <v>11905.73</v>
      </c>
      <c r="M392" s="85" t="s">
        <v>630</v>
      </c>
      <c r="N392" s="128">
        <v>43750</v>
      </c>
      <c r="O392" s="128">
        <f t="shared" si="27"/>
        <v>2318750</v>
      </c>
      <c r="P392" s="125" t="s">
        <v>1025</v>
      </c>
      <c r="Q392" s="85" t="s">
        <v>47</v>
      </c>
      <c r="R392" s="214" t="s">
        <v>1869</v>
      </c>
      <c r="S392" s="214" t="s">
        <v>1861</v>
      </c>
      <c r="T392" s="85" t="s">
        <v>1491</v>
      </c>
      <c r="U392" t="s">
        <v>1953</v>
      </c>
      <c r="V392" t="s">
        <v>2813</v>
      </c>
    </row>
    <row r="393" spans="1:22" ht="15.75" thickBot="1" x14ac:dyDescent="0.3">
      <c r="A393" s="82" t="s">
        <v>3472</v>
      </c>
      <c r="B393" s="82" t="str">
        <f t="shared" si="24"/>
        <v>Barraqueiro Transportes, S.A.</v>
      </c>
      <c r="C393" s="82" t="str">
        <f t="shared" si="25"/>
        <v>Frota Azul</v>
      </c>
      <c r="D393" s="83" t="s">
        <v>629</v>
      </c>
      <c r="E393" s="91" t="s">
        <v>1853</v>
      </c>
      <c r="F393" s="124" t="s">
        <v>620</v>
      </c>
      <c r="G393" s="304">
        <v>2019</v>
      </c>
      <c r="H393" s="312" t="s">
        <v>733</v>
      </c>
      <c r="I393" s="307" t="str">
        <f t="shared" si="26"/>
        <v>Pesado de Passageiros M3: III : Gasóleo : E6</v>
      </c>
      <c r="J393" s="125">
        <v>53</v>
      </c>
      <c r="K393" s="125">
        <v>2022</v>
      </c>
      <c r="L393" s="85">
        <v>14767.039999999999</v>
      </c>
      <c r="M393" s="85" t="s">
        <v>630</v>
      </c>
      <c r="N393" s="128">
        <v>56164</v>
      </c>
      <c r="O393" s="128">
        <f t="shared" si="27"/>
        <v>2976692</v>
      </c>
      <c r="P393" s="125" t="s">
        <v>1026</v>
      </c>
      <c r="Q393" s="85" t="s">
        <v>47</v>
      </c>
      <c r="R393" s="214" t="s">
        <v>1869</v>
      </c>
      <c r="S393" s="214" t="s">
        <v>1861</v>
      </c>
      <c r="T393" s="85" t="s">
        <v>1491</v>
      </c>
      <c r="U393" t="s">
        <v>1953</v>
      </c>
      <c r="V393" t="s">
        <v>2813</v>
      </c>
    </row>
    <row r="394" spans="1:22" ht="15.75" thickBot="1" x14ac:dyDescent="0.3">
      <c r="A394" s="82" t="s">
        <v>3472</v>
      </c>
      <c r="B394" s="82" t="str">
        <f t="shared" si="24"/>
        <v>Barraqueiro Transportes, S.A.</v>
      </c>
      <c r="C394" s="82" t="str">
        <f t="shared" si="25"/>
        <v>Frota Azul</v>
      </c>
      <c r="D394" s="83" t="s">
        <v>629</v>
      </c>
      <c r="E394" s="91" t="s">
        <v>1853</v>
      </c>
      <c r="F394" s="124" t="s">
        <v>620</v>
      </c>
      <c r="G394" s="304">
        <v>2019</v>
      </c>
      <c r="H394" s="312" t="s">
        <v>733</v>
      </c>
      <c r="I394" s="307" t="str">
        <f t="shared" si="26"/>
        <v>Pesado de Passageiros M3: III : Gasóleo : E6</v>
      </c>
      <c r="J394" s="125">
        <v>53</v>
      </c>
      <c r="K394" s="125">
        <v>2022</v>
      </c>
      <c r="L394" s="85">
        <v>15187.18</v>
      </c>
      <c r="M394" s="85" t="s">
        <v>630</v>
      </c>
      <c r="N394" s="128">
        <v>58216</v>
      </c>
      <c r="O394" s="128">
        <f t="shared" si="27"/>
        <v>3085448</v>
      </c>
      <c r="P394" s="125" t="s">
        <v>1027</v>
      </c>
      <c r="Q394" s="85" t="s">
        <v>47</v>
      </c>
      <c r="R394" s="214" t="s">
        <v>1869</v>
      </c>
      <c r="S394" s="214" t="s">
        <v>1861</v>
      </c>
      <c r="T394" s="85" t="s">
        <v>1491</v>
      </c>
      <c r="U394" t="s">
        <v>1953</v>
      </c>
      <c r="V394" t="s">
        <v>2813</v>
      </c>
    </row>
    <row r="395" spans="1:22" ht="15.75" thickBot="1" x14ac:dyDescent="0.3">
      <c r="A395" s="82" t="s">
        <v>3472</v>
      </c>
      <c r="B395" s="82" t="str">
        <f t="shared" si="24"/>
        <v>Barraqueiro Transportes, S.A.</v>
      </c>
      <c r="C395" s="82" t="str">
        <f t="shared" si="25"/>
        <v>Frota Azul</v>
      </c>
      <c r="D395" s="83" t="s">
        <v>629</v>
      </c>
      <c r="E395" s="91" t="s">
        <v>1853</v>
      </c>
      <c r="F395" s="124" t="s">
        <v>620</v>
      </c>
      <c r="G395" s="304">
        <v>2019</v>
      </c>
      <c r="H395" s="312" t="s">
        <v>733</v>
      </c>
      <c r="I395" s="307" t="str">
        <f t="shared" si="26"/>
        <v>Pesado de Passageiros M3: III : Gasóleo : E6</v>
      </c>
      <c r="J395" s="125">
        <v>53</v>
      </c>
      <c r="K395" s="125">
        <v>2022</v>
      </c>
      <c r="L395" s="85">
        <v>15202.699999999999</v>
      </c>
      <c r="M395" s="85" t="s">
        <v>630</v>
      </c>
      <c r="N395" s="128">
        <v>60484</v>
      </c>
      <c r="O395" s="128">
        <f t="shared" si="27"/>
        <v>3205652</v>
      </c>
      <c r="P395" s="125" t="s">
        <v>1028</v>
      </c>
      <c r="Q395" s="85" t="s">
        <v>47</v>
      </c>
      <c r="R395" s="214" t="s">
        <v>1869</v>
      </c>
      <c r="S395" s="214" t="s">
        <v>1861</v>
      </c>
      <c r="T395" s="85" t="s">
        <v>1491</v>
      </c>
      <c r="U395" t="s">
        <v>1953</v>
      </c>
      <c r="V395" t="s">
        <v>2813</v>
      </c>
    </row>
    <row r="396" spans="1:22" ht="15.75" thickBot="1" x14ac:dyDescent="0.3">
      <c r="A396" s="82" t="s">
        <v>3472</v>
      </c>
      <c r="B396" s="82" t="str">
        <f t="shared" si="24"/>
        <v>Barraqueiro Transportes, S.A.</v>
      </c>
      <c r="C396" s="82" t="str">
        <f t="shared" si="25"/>
        <v>Frota Azul</v>
      </c>
      <c r="D396" s="83" t="s">
        <v>629</v>
      </c>
      <c r="E396" s="91" t="s">
        <v>1853</v>
      </c>
      <c r="F396" s="124" t="s">
        <v>620</v>
      </c>
      <c r="G396" s="304">
        <v>2019</v>
      </c>
      <c r="H396" s="312" t="s">
        <v>733</v>
      </c>
      <c r="I396" s="307" t="str">
        <f t="shared" si="26"/>
        <v>Pesado de Passageiros M3: III : Gasóleo : E6</v>
      </c>
      <c r="J396" s="125">
        <v>53</v>
      </c>
      <c r="K396" s="125">
        <v>2022</v>
      </c>
      <c r="L396" s="85">
        <v>15523.510000000002</v>
      </c>
      <c r="M396" s="85" t="s">
        <v>630</v>
      </c>
      <c r="N396" s="128">
        <v>59976</v>
      </c>
      <c r="O396" s="128">
        <f t="shared" si="27"/>
        <v>3178728</v>
      </c>
      <c r="P396" s="125" t="s">
        <v>1029</v>
      </c>
      <c r="Q396" s="85" t="s">
        <v>47</v>
      </c>
      <c r="R396" s="214" t="s">
        <v>1869</v>
      </c>
      <c r="S396" s="214" t="s">
        <v>1861</v>
      </c>
      <c r="T396" s="85" t="s">
        <v>1491</v>
      </c>
      <c r="U396" t="s">
        <v>1953</v>
      </c>
      <c r="V396" t="s">
        <v>2813</v>
      </c>
    </row>
    <row r="397" spans="1:22" ht="15.75" thickBot="1" x14ac:dyDescent="0.3">
      <c r="A397" s="82" t="s">
        <v>3472</v>
      </c>
      <c r="B397" s="82" t="str">
        <f t="shared" si="24"/>
        <v>Barraqueiro Transportes, S.A.</v>
      </c>
      <c r="C397" s="82" t="str">
        <f t="shared" si="25"/>
        <v>Frota Azul</v>
      </c>
      <c r="D397" s="83" t="s">
        <v>629</v>
      </c>
      <c r="E397" s="91" t="s">
        <v>1853</v>
      </c>
      <c r="F397" s="124" t="s">
        <v>620</v>
      </c>
      <c r="G397" s="304">
        <v>2019</v>
      </c>
      <c r="H397" s="312" t="s">
        <v>733</v>
      </c>
      <c r="I397" s="307" t="str">
        <f t="shared" si="26"/>
        <v>Pesado de Passageiros M3: III : Gasóleo : E6</v>
      </c>
      <c r="J397" s="125">
        <v>53</v>
      </c>
      <c r="K397" s="125">
        <v>2022</v>
      </c>
      <c r="L397" s="85">
        <v>19234.71</v>
      </c>
      <c r="M397" s="85" t="s">
        <v>630</v>
      </c>
      <c r="N397" s="128">
        <v>71789</v>
      </c>
      <c r="O397" s="128">
        <f t="shared" si="27"/>
        <v>3804817</v>
      </c>
      <c r="P397" s="125" t="s">
        <v>1030</v>
      </c>
      <c r="Q397" s="85" t="s">
        <v>47</v>
      </c>
      <c r="R397" s="214" t="s">
        <v>1869</v>
      </c>
      <c r="S397" s="214" t="s">
        <v>1861</v>
      </c>
      <c r="T397" s="85" t="s">
        <v>1491</v>
      </c>
      <c r="U397" t="s">
        <v>1953</v>
      </c>
      <c r="V397" t="s">
        <v>2813</v>
      </c>
    </row>
    <row r="398" spans="1:22" ht="15.75" thickBot="1" x14ac:dyDescent="0.3">
      <c r="A398" s="82" t="s">
        <v>3472</v>
      </c>
      <c r="B398" s="82" t="str">
        <f t="shared" si="24"/>
        <v>Barraqueiro Transportes, S.A.</v>
      </c>
      <c r="C398" s="82" t="str">
        <f t="shared" si="25"/>
        <v>Frota Azul</v>
      </c>
      <c r="D398" s="83" t="s">
        <v>629</v>
      </c>
      <c r="E398" s="91" t="s">
        <v>1853</v>
      </c>
      <c r="F398" s="124" t="s">
        <v>620</v>
      </c>
      <c r="G398" s="304">
        <v>2019</v>
      </c>
      <c r="H398" s="312" t="s">
        <v>733</v>
      </c>
      <c r="I398" s="307" t="str">
        <f t="shared" si="26"/>
        <v>Pesado de Passageiros M3: III : Gasóleo : E6</v>
      </c>
      <c r="J398" s="125">
        <v>53</v>
      </c>
      <c r="K398" s="125">
        <v>2022</v>
      </c>
      <c r="L398" s="85">
        <v>15929.42</v>
      </c>
      <c r="M398" s="85" t="s">
        <v>630</v>
      </c>
      <c r="N398" s="128">
        <v>62583</v>
      </c>
      <c r="O398" s="128">
        <f t="shared" si="27"/>
        <v>3316899</v>
      </c>
      <c r="P398" s="125" t="s">
        <v>1031</v>
      </c>
      <c r="Q398" s="85" t="s">
        <v>47</v>
      </c>
      <c r="R398" s="214" t="s">
        <v>1869</v>
      </c>
      <c r="S398" s="214" t="s">
        <v>1861</v>
      </c>
      <c r="T398" s="85" t="s">
        <v>1491</v>
      </c>
      <c r="U398" t="s">
        <v>1953</v>
      </c>
      <c r="V398" t="s">
        <v>2813</v>
      </c>
    </row>
    <row r="399" spans="1:22" ht="15.75" thickBot="1" x14ac:dyDescent="0.3">
      <c r="A399" s="82" t="s">
        <v>3472</v>
      </c>
      <c r="B399" s="82" t="str">
        <f t="shared" si="24"/>
        <v>Barraqueiro Transportes, S.A.</v>
      </c>
      <c r="C399" s="82" t="str">
        <f t="shared" si="25"/>
        <v>Frota Azul</v>
      </c>
      <c r="D399" s="83" t="s">
        <v>629</v>
      </c>
      <c r="E399" s="91" t="s">
        <v>1853</v>
      </c>
      <c r="F399" s="124" t="s">
        <v>620</v>
      </c>
      <c r="G399" s="304">
        <v>2019</v>
      </c>
      <c r="H399" s="312" t="s">
        <v>733</v>
      </c>
      <c r="I399" s="307" t="str">
        <f t="shared" si="26"/>
        <v>Pesado de Passageiros M3: III : Gasóleo : E6</v>
      </c>
      <c r="J399" s="125">
        <v>53</v>
      </c>
      <c r="K399" s="125">
        <v>2022</v>
      </c>
      <c r="L399" s="85">
        <v>16712.350000000002</v>
      </c>
      <c r="M399" s="85" t="s">
        <v>630</v>
      </c>
      <c r="N399" s="128">
        <v>66279</v>
      </c>
      <c r="O399" s="128">
        <f t="shared" si="27"/>
        <v>3512787</v>
      </c>
      <c r="P399" s="125" t="s">
        <v>1032</v>
      </c>
      <c r="Q399" s="85" t="s">
        <v>47</v>
      </c>
      <c r="R399" s="214" t="s">
        <v>1869</v>
      </c>
      <c r="S399" s="214" t="s">
        <v>1861</v>
      </c>
      <c r="T399" s="85" t="s">
        <v>1491</v>
      </c>
      <c r="U399" t="s">
        <v>1953</v>
      </c>
      <c r="V399" t="s">
        <v>2813</v>
      </c>
    </row>
    <row r="400" spans="1:22" ht="15.75" thickBot="1" x14ac:dyDescent="0.3">
      <c r="A400" s="82" t="s">
        <v>3472</v>
      </c>
      <c r="B400" s="82" t="str">
        <f t="shared" si="24"/>
        <v>Barraqueiro Transportes, S.A.</v>
      </c>
      <c r="C400" s="82" t="str">
        <f t="shared" si="25"/>
        <v>Frota Azul</v>
      </c>
      <c r="D400" s="83" t="s">
        <v>629</v>
      </c>
      <c r="E400" s="91" t="s">
        <v>1853</v>
      </c>
      <c r="F400" s="124" t="s">
        <v>620</v>
      </c>
      <c r="G400" s="304">
        <v>2019</v>
      </c>
      <c r="H400" s="312" t="s">
        <v>733</v>
      </c>
      <c r="I400" s="307" t="str">
        <f t="shared" si="26"/>
        <v>Pesado de Passageiros M3: III : Gasóleo : E6</v>
      </c>
      <c r="J400" s="125">
        <v>53</v>
      </c>
      <c r="K400" s="125">
        <v>2022</v>
      </c>
      <c r="L400" s="85">
        <v>16871.800000000003</v>
      </c>
      <c r="M400" s="85" t="s">
        <v>630</v>
      </c>
      <c r="N400" s="128">
        <v>65622</v>
      </c>
      <c r="O400" s="128">
        <f t="shared" si="27"/>
        <v>3477966</v>
      </c>
      <c r="P400" s="125" t="s">
        <v>1033</v>
      </c>
      <c r="Q400" s="85" t="s">
        <v>47</v>
      </c>
      <c r="R400" s="214" t="s">
        <v>1869</v>
      </c>
      <c r="S400" s="214" t="s">
        <v>1861</v>
      </c>
      <c r="T400" s="85" t="s">
        <v>1491</v>
      </c>
      <c r="U400" t="s">
        <v>1953</v>
      </c>
      <c r="V400" t="s">
        <v>2813</v>
      </c>
    </row>
    <row r="401" spans="1:22" ht="15.75" thickBot="1" x14ac:dyDescent="0.3">
      <c r="A401" s="82" t="s">
        <v>3472</v>
      </c>
      <c r="B401" s="82" t="str">
        <f t="shared" si="24"/>
        <v>Barraqueiro Transportes, S.A.</v>
      </c>
      <c r="C401" s="82" t="str">
        <f t="shared" si="25"/>
        <v>Frota Azul</v>
      </c>
      <c r="D401" s="83" t="s">
        <v>629</v>
      </c>
      <c r="E401" s="91" t="s">
        <v>1853</v>
      </c>
      <c r="F401" s="124" t="s">
        <v>620</v>
      </c>
      <c r="G401" s="304">
        <v>2019</v>
      </c>
      <c r="H401" s="312" t="s">
        <v>733</v>
      </c>
      <c r="I401" s="307" t="str">
        <f t="shared" si="26"/>
        <v>Pesado de Passageiros M3: III : Gasóleo : E6</v>
      </c>
      <c r="J401" s="125">
        <v>53</v>
      </c>
      <c r="K401" s="125">
        <v>2022</v>
      </c>
      <c r="L401" s="85">
        <v>15353.83</v>
      </c>
      <c r="M401" s="85" t="s">
        <v>630</v>
      </c>
      <c r="N401" s="128">
        <v>57874</v>
      </c>
      <c r="O401" s="128">
        <f t="shared" si="27"/>
        <v>3067322</v>
      </c>
      <c r="P401" s="125" t="s">
        <v>1034</v>
      </c>
      <c r="Q401" s="85" t="s">
        <v>47</v>
      </c>
      <c r="R401" s="214" t="s">
        <v>1869</v>
      </c>
      <c r="S401" s="214" t="s">
        <v>1861</v>
      </c>
      <c r="T401" s="85" t="s">
        <v>1491</v>
      </c>
      <c r="U401" t="s">
        <v>1953</v>
      </c>
      <c r="V401" t="s">
        <v>2813</v>
      </c>
    </row>
    <row r="402" spans="1:22" ht="15.75" thickBot="1" x14ac:dyDescent="0.3">
      <c r="A402" s="82" t="s">
        <v>3472</v>
      </c>
      <c r="B402" s="82" t="str">
        <f t="shared" si="24"/>
        <v>Barraqueiro Transportes, S.A.</v>
      </c>
      <c r="C402" s="82" t="str">
        <f t="shared" si="25"/>
        <v>Frota Azul</v>
      </c>
      <c r="D402" s="83" t="s">
        <v>629</v>
      </c>
      <c r="E402" s="91" t="s">
        <v>1853</v>
      </c>
      <c r="F402" s="124" t="s">
        <v>620</v>
      </c>
      <c r="G402" s="304">
        <v>2019</v>
      </c>
      <c r="H402" s="312" t="s">
        <v>733</v>
      </c>
      <c r="I402" s="307" t="str">
        <f t="shared" si="26"/>
        <v>Pesado de Passageiros M3: III : Gasóleo : E6</v>
      </c>
      <c r="J402" s="125">
        <v>53</v>
      </c>
      <c r="K402" s="125">
        <v>2022</v>
      </c>
      <c r="L402" s="85">
        <v>18094.776000000002</v>
      </c>
      <c r="M402" s="85" t="s">
        <v>630</v>
      </c>
      <c r="N402" s="128">
        <v>69945</v>
      </c>
      <c r="O402" s="128">
        <f t="shared" si="27"/>
        <v>3707085</v>
      </c>
      <c r="P402" s="125" t="s">
        <v>1035</v>
      </c>
      <c r="Q402" s="85" t="s">
        <v>47</v>
      </c>
      <c r="R402" s="214" t="s">
        <v>1869</v>
      </c>
      <c r="S402" s="214" t="s">
        <v>1861</v>
      </c>
      <c r="T402" s="85" t="s">
        <v>1491</v>
      </c>
      <c r="U402" t="s">
        <v>1953</v>
      </c>
      <c r="V402" t="s">
        <v>2813</v>
      </c>
    </row>
    <row r="403" spans="1:22" ht="15.75" thickBot="1" x14ac:dyDescent="0.3">
      <c r="A403" s="82" t="s">
        <v>3472</v>
      </c>
      <c r="B403" s="82" t="str">
        <f t="shared" si="24"/>
        <v>Barraqueiro Transportes, S.A.</v>
      </c>
      <c r="C403" s="82" t="str">
        <f t="shared" si="25"/>
        <v>Frota Azul</v>
      </c>
      <c r="D403" s="83" t="s">
        <v>629</v>
      </c>
      <c r="E403" s="91" t="s">
        <v>1853</v>
      </c>
      <c r="F403" s="124" t="s">
        <v>620</v>
      </c>
      <c r="G403" s="304">
        <v>2019</v>
      </c>
      <c r="H403" s="312" t="s">
        <v>733</v>
      </c>
      <c r="I403" s="307" t="str">
        <f t="shared" si="26"/>
        <v>Pesado de Passageiros M3: III : Gasóleo : E6</v>
      </c>
      <c r="J403" s="125">
        <v>53</v>
      </c>
      <c r="K403" s="125">
        <v>2022</v>
      </c>
      <c r="L403" s="85">
        <v>15780.01</v>
      </c>
      <c r="M403" s="85" t="s">
        <v>630</v>
      </c>
      <c r="N403" s="128">
        <v>61976</v>
      </c>
      <c r="O403" s="128">
        <f t="shared" si="27"/>
        <v>3284728</v>
      </c>
      <c r="P403" s="125" t="s">
        <v>1036</v>
      </c>
      <c r="Q403" s="85" t="s">
        <v>47</v>
      </c>
      <c r="R403" s="214" t="s">
        <v>1869</v>
      </c>
      <c r="S403" s="214" t="s">
        <v>1861</v>
      </c>
      <c r="T403" s="85" t="s">
        <v>1491</v>
      </c>
      <c r="U403" t="s">
        <v>1953</v>
      </c>
      <c r="V403" t="s">
        <v>2813</v>
      </c>
    </row>
    <row r="404" spans="1:22" ht="15.75" thickBot="1" x14ac:dyDescent="0.3">
      <c r="A404" s="82" t="s">
        <v>3472</v>
      </c>
      <c r="B404" s="82" t="str">
        <f t="shared" si="24"/>
        <v>Barraqueiro Transportes, S.A.</v>
      </c>
      <c r="C404" s="82" t="str">
        <f t="shared" si="25"/>
        <v>Frota Azul</v>
      </c>
      <c r="D404" s="83" t="s">
        <v>629</v>
      </c>
      <c r="E404" s="91" t="s">
        <v>1853</v>
      </c>
      <c r="F404" s="124" t="s">
        <v>620</v>
      </c>
      <c r="G404" s="304">
        <v>2019</v>
      </c>
      <c r="H404" s="312" t="s">
        <v>733</v>
      </c>
      <c r="I404" s="307" t="str">
        <f t="shared" si="26"/>
        <v>Pesado de Passageiros M3: III : Gasóleo : E6</v>
      </c>
      <c r="J404" s="125">
        <v>63</v>
      </c>
      <c r="K404" s="125">
        <v>2022</v>
      </c>
      <c r="L404" s="85">
        <v>3400.36</v>
      </c>
      <c r="M404" s="85" t="s">
        <v>630</v>
      </c>
      <c r="N404" s="128">
        <v>12294</v>
      </c>
      <c r="O404" s="128">
        <f t="shared" si="27"/>
        <v>774522</v>
      </c>
      <c r="P404" s="125" t="s">
        <v>1037</v>
      </c>
      <c r="Q404" s="85" t="s">
        <v>47</v>
      </c>
      <c r="R404" s="214" t="s">
        <v>1869</v>
      </c>
      <c r="S404" s="214" t="s">
        <v>1861</v>
      </c>
      <c r="T404" s="85" t="s">
        <v>1491</v>
      </c>
      <c r="U404" t="s">
        <v>1953</v>
      </c>
      <c r="V404" t="s">
        <v>2813</v>
      </c>
    </row>
    <row r="405" spans="1:22" ht="15.75" thickBot="1" x14ac:dyDescent="0.3">
      <c r="A405" s="82" t="s">
        <v>3472</v>
      </c>
      <c r="B405" s="82" t="str">
        <f t="shared" si="24"/>
        <v>Barraqueiro Transportes, S.A.</v>
      </c>
      <c r="C405" s="82" t="str">
        <f t="shared" si="25"/>
        <v>Frota Azul</v>
      </c>
      <c r="D405" s="83" t="s">
        <v>629</v>
      </c>
      <c r="E405" s="91" t="s">
        <v>1853</v>
      </c>
      <c r="F405" s="124" t="s">
        <v>620</v>
      </c>
      <c r="G405" s="304">
        <v>2019</v>
      </c>
      <c r="H405" s="312" t="s">
        <v>733</v>
      </c>
      <c r="I405" s="307" t="str">
        <f t="shared" si="26"/>
        <v>Pesado de Passageiros M3: III : Gasóleo : E6</v>
      </c>
      <c r="J405" s="125">
        <v>63</v>
      </c>
      <c r="K405" s="125">
        <v>2022</v>
      </c>
      <c r="L405" s="85">
        <v>33946.44</v>
      </c>
      <c r="M405" s="85" t="s">
        <v>630</v>
      </c>
      <c r="N405" s="128">
        <v>116354</v>
      </c>
      <c r="O405" s="128">
        <f t="shared" si="27"/>
        <v>7330302</v>
      </c>
      <c r="P405" s="125" t="s">
        <v>1038</v>
      </c>
      <c r="Q405" s="85" t="s">
        <v>47</v>
      </c>
      <c r="R405" s="214" t="s">
        <v>1869</v>
      </c>
      <c r="S405" s="214" t="s">
        <v>1861</v>
      </c>
      <c r="T405" s="85" t="s">
        <v>1491</v>
      </c>
      <c r="U405" t="s">
        <v>1953</v>
      </c>
      <c r="V405" t="s">
        <v>2813</v>
      </c>
    </row>
    <row r="406" spans="1:22" ht="15.75" thickBot="1" x14ac:dyDescent="0.3">
      <c r="A406" s="82" t="s">
        <v>3472</v>
      </c>
      <c r="B406" s="82" t="str">
        <f t="shared" si="24"/>
        <v>Barraqueiro Transportes, S.A.</v>
      </c>
      <c r="C406" s="82" t="str">
        <f t="shared" si="25"/>
        <v>Frota Azul</v>
      </c>
      <c r="D406" s="83" t="s">
        <v>629</v>
      </c>
      <c r="E406" s="91" t="s">
        <v>1853</v>
      </c>
      <c r="F406" s="124" t="s">
        <v>620</v>
      </c>
      <c r="G406" s="304">
        <v>2019</v>
      </c>
      <c r="H406" s="312" t="s">
        <v>733</v>
      </c>
      <c r="I406" s="307" t="str">
        <f t="shared" si="26"/>
        <v>Pesado de Passageiros M3: III : Gasóleo : E6</v>
      </c>
      <c r="J406" s="125">
        <v>53</v>
      </c>
      <c r="K406" s="125">
        <v>2022</v>
      </c>
      <c r="L406" s="85">
        <v>10457.48</v>
      </c>
      <c r="M406" s="85" t="s">
        <v>630</v>
      </c>
      <c r="N406" s="128">
        <v>41163</v>
      </c>
      <c r="O406" s="128">
        <f t="shared" si="27"/>
        <v>2181639</v>
      </c>
      <c r="P406" s="125" t="s">
        <v>985</v>
      </c>
      <c r="Q406" s="85" t="s">
        <v>47</v>
      </c>
      <c r="R406" s="214" t="s">
        <v>1869</v>
      </c>
      <c r="S406" s="214" t="s">
        <v>1861</v>
      </c>
      <c r="T406" s="85" t="s">
        <v>1491</v>
      </c>
      <c r="U406" t="s">
        <v>1953</v>
      </c>
      <c r="V406" t="s">
        <v>2813</v>
      </c>
    </row>
    <row r="407" spans="1:22" ht="15.75" thickBot="1" x14ac:dyDescent="0.3">
      <c r="A407" s="82" t="s">
        <v>3472</v>
      </c>
      <c r="B407" s="82" t="str">
        <f t="shared" si="24"/>
        <v>Barraqueiro Transportes, S.A.</v>
      </c>
      <c r="C407" s="82" t="str">
        <f t="shared" si="25"/>
        <v>Frota Azul</v>
      </c>
      <c r="D407" s="83" t="s">
        <v>629</v>
      </c>
      <c r="E407" s="91" t="s">
        <v>1853</v>
      </c>
      <c r="F407" s="124" t="s">
        <v>620</v>
      </c>
      <c r="G407" s="304">
        <v>2019</v>
      </c>
      <c r="H407" s="312" t="s">
        <v>733</v>
      </c>
      <c r="I407" s="307" t="str">
        <f t="shared" si="26"/>
        <v>Pesado de Passageiros M3: III : Gasóleo : E6</v>
      </c>
      <c r="J407" s="125">
        <v>53</v>
      </c>
      <c r="K407" s="125">
        <v>2022</v>
      </c>
      <c r="L407" s="85">
        <v>10440.58</v>
      </c>
      <c r="M407" s="85" t="s">
        <v>630</v>
      </c>
      <c r="N407" s="128">
        <v>42154</v>
      </c>
      <c r="O407" s="128">
        <f t="shared" si="27"/>
        <v>2234162</v>
      </c>
      <c r="P407" s="125" t="s">
        <v>986</v>
      </c>
      <c r="Q407" s="85" t="s">
        <v>47</v>
      </c>
      <c r="R407" s="214" t="s">
        <v>1869</v>
      </c>
      <c r="S407" s="214" t="s">
        <v>1861</v>
      </c>
      <c r="T407" s="85" t="s">
        <v>1491</v>
      </c>
      <c r="U407" t="s">
        <v>1953</v>
      </c>
      <c r="V407" t="s">
        <v>2813</v>
      </c>
    </row>
    <row r="408" spans="1:22" ht="15.75" thickBot="1" x14ac:dyDescent="0.3">
      <c r="A408" s="82" t="s">
        <v>3472</v>
      </c>
      <c r="B408" s="82" t="str">
        <f t="shared" si="24"/>
        <v>Barraqueiro Transportes, S.A.</v>
      </c>
      <c r="C408" s="82" t="str">
        <f t="shared" si="25"/>
        <v>Frota Azul</v>
      </c>
      <c r="D408" s="83" t="s">
        <v>629</v>
      </c>
      <c r="E408" s="91" t="s">
        <v>1853</v>
      </c>
      <c r="F408" s="124" t="s">
        <v>620</v>
      </c>
      <c r="G408" s="304">
        <v>2019</v>
      </c>
      <c r="H408" s="312" t="s">
        <v>733</v>
      </c>
      <c r="I408" s="307" t="str">
        <f t="shared" si="26"/>
        <v>Pesado de Passageiros M3: III : Gasóleo : E6</v>
      </c>
      <c r="J408" s="125">
        <v>53</v>
      </c>
      <c r="K408" s="125">
        <v>2022</v>
      </c>
      <c r="L408" s="85">
        <v>14231.21</v>
      </c>
      <c r="M408" s="85" t="s">
        <v>630</v>
      </c>
      <c r="N408" s="128">
        <v>57497</v>
      </c>
      <c r="O408" s="128">
        <f t="shared" si="27"/>
        <v>3047341</v>
      </c>
      <c r="P408" s="125" t="s">
        <v>987</v>
      </c>
      <c r="Q408" s="85" t="s">
        <v>47</v>
      </c>
      <c r="R408" s="214" t="s">
        <v>1869</v>
      </c>
      <c r="S408" s="214" t="s">
        <v>1861</v>
      </c>
      <c r="T408" s="85" t="s">
        <v>1491</v>
      </c>
      <c r="U408" t="s">
        <v>1953</v>
      </c>
      <c r="V408" t="s">
        <v>2813</v>
      </c>
    </row>
    <row r="409" spans="1:22" ht="15.75" thickBot="1" x14ac:dyDescent="0.3">
      <c r="A409" s="82" t="s">
        <v>3472</v>
      </c>
      <c r="B409" s="82" t="str">
        <f t="shared" si="24"/>
        <v>Barraqueiro Transportes, S.A.</v>
      </c>
      <c r="C409" s="82" t="str">
        <f t="shared" si="25"/>
        <v>Frota Azul</v>
      </c>
      <c r="D409" s="83" t="s">
        <v>629</v>
      </c>
      <c r="E409" s="91" t="s">
        <v>1853</v>
      </c>
      <c r="F409" s="124" t="s">
        <v>620</v>
      </c>
      <c r="G409" s="304">
        <v>2019</v>
      </c>
      <c r="H409" s="312" t="s">
        <v>733</v>
      </c>
      <c r="I409" s="307" t="str">
        <f t="shared" si="26"/>
        <v>Pesado de Passageiros M3: III : Gasóleo : E6</v>
      </c>
      <c r="J409" s="125">
        <v>53</v>
      </c>
      <c r="K409" s="125">
        <v>2022</v>
      </c>
      <c r="L409" s="85">
        <v>13581.148999999999</v>
      </c>
      <c r="M409" s="85" t="s">
        <v>630</v>
      </c>
      <c r="N409" s="128">
        <v>53865</v>
      </c>
      <c r="O409" s="128">
        <f t="shared" si="27"/>
        <v>2854845</v>
      </c>
      <c r="P409" s="125" t="s">
        <v>988</v>
      </c>
      <c r="Q409" s="85" t="s">
        <v>47</v>
      </c>
      <c r="R409" s="214" t="s">
        <v>1869</v>
      </c>
      <c r="S409" s="214" t="s">
        <v>1861</v>
      </c>
      <c r="T409" s="85" t="s">
        <v>1491</v>
      </c>
      <c r="U409" t="s">
        <v>1953</v>
      </c>
      <c r="V409" t="s">
        <v>2813</v>
      </c>
    </row>
    <row r="410" spans="1:22" ht="15.75" thickBot="1" x14ac:dyDescent="0.3">
      <c r="A410" s="82" t="s">
        <v>3472</v>
      </c>
      <c r="B410" s="82" t="str">
        <f t="shared" si="24"/>
        <v>Barraqueiro Transportes, S.A.</v>
      </c>
      <c r="C410" s="82" t="str">
        <f t="shared" si="25"/>
        <v>Frota Azul</v>
      </c>
      <c r="D410" s="83" t="s">
        <v>629</v>
      </c>
      <c r="E410" s="91" t="s">
        <v>1853</v>
      </c>
      <c r="F410" s="124" t="s">
        <v>620</v>
      </c>
      <c r="G410" s="304">
        <v>2019</v>
      </c>
      <c r="H410" s="312" t="s">
        <v>733</v>
      </c>
      <c r="I410" s="307" t="str">
        <f t="shared" si="26"/>
        <v>Pesado de Passageiros M3: III : Gasóleo : E6</v>
      </c>
      <c r="J410" s="125">
        <v>53</v>
      </c>
      <c r="K410" s="125">
        <v>2022</v>
      </c>
      <c r="L410" s="85">
        <v>14819.33</v>
      </c>
      <c r="M410" s="85" t="s">
        <v>630</v>
      </c>
      <c r="N410" s="128">
        <v>58413</v>
      </c>
      <c r="O410" s="128">
        <f t="shared" si="27"/>
        <v>3095889</v>
      </c>
      <c r="P410" s="125" t="s">
        <v>989</v>
      </c>
      <c r="Q410" s="85" t="s">
        <v>47</v>
      </c>
      <c r="R410" s="214" t="s">
        <v>1869</v>
      </c>
      <c r="S410" s="214" t="s">
        <v>1861</v>
      </c>
      <c r="T410" s="85" t="s">
        <v>1491</v>
      </c>
      <c r="U410" t="s">
        <v>1953</v>
      </c>
      <c r="V410" t="s">
        <v>2813</v>
      </c>
    </row>
    <row r="411" spans="1:22" ht="15.75" thickBot="1" x14ac:dyDescent="0.3">
      <c r="A411" s="82" t="s">
        <v>3472</v>
      </c>
      <c r="B411" s="82" t="str">
        <f t="shared" si="24"/>
        <v>Barraqueiro Transportes, S.A.</v>
      </c>
      <c r="C411" s="82" t="str">
        <f t="shared" si="25"/>
        <v>Frota Azul</v>
      </c>
      <c r="D411" s="83" t="s">
        <v>629</v>
      </c>
      <c r="E411" s="91" t="s">
        <v>1853</v>
      </c>
      <c r="F411" s="124" t="s">
        <v>620</v>
      </c>
      <c r="G411" s="304">
        <v>2020</v>
      </c>
      <c r="H411" s="312" t="s">
        <v>733</v>
      </c>
      <c r="I411" s="307" t="str">
        <f t="shared" si="26"/>
        <v>Pesado de Passageiros M3: III : Gasóleo : E6</v>
      </c>
      <c r="J411" s="125">
        <v>53</v>
      </c>
      <c r="K411" s="125">
        <v>2022</v>
      </c>
      <c r="L411" s="85">
        <v>14247.31</v>
      </c>
      <c r="M411" s="85" t="s">
        <v>630</v>
      </c>
      <c r="N411" s="128">
        <v>59709</v>
      </c>
      <c r="O411" s="128">
        <f t="shared" si="27"/>
        <v>3164577</v>
      </c>
      <c r="P411" s="125" t="s">
        <v>1039</v>
      </c>
      <c r="Q411" s="85" t="s">
        <v>47</v>
      </c>
      <c r="R411" s="214" t="s">
        <v>1869</v>
      </c>
      <c r="S411" s="214" t="s">
        <v>1861</v>
      </c>
      <c r="T411" s="85" t="s">
        <v>1491</v>
      </c>
      <c r="U411" t="s">
        <v>1953</v>
      </c>
      <c r="V411" t="s">
        <v>2813</v>
      </c>
    </row>
    <row r="412" spans="1:22" ht="15.75" thickBot="1" x14ac:dyDescent="0.3">
      <c r="A412" s="82" t="s">
        <v>3472</v>
      </c>
      <c r="B412" s="82" t="str">
        <f t="shared" si="24"/>
        <v>Barraqueiro Transportes, S.A.</v>
      </c>
      <c r="C412" s="82" t="str">
        <f t="shared" si="25"/>
        <v>Frota Azul</v>
      </c>
      <c r="D412" s="83" t="s">
        <v>629</v>
      </c>
      <c r="E412" s="91" t="s">
        <v>1853</v>
      </c>
      <c r="F412" s="124" t="s">
        <v>620</v>
      </c>
      <c r="G412" s="304">
        <v>2020</v>
      </c>
      <c r="H412" s="312" t="s">
        <v>733</v>
      </c>
      <c r="I412" s="307" t="str">
        <f t="shared" si="26"/>
        <v>Pesado de Passageiros M3: III : Gasóleo : E6</v>
      </c>
      <c r="J412" s="125">
        <v>53</v>
      </c>
      <c r="K412" s="125">
        <v>2022</v>
      </c>
      <c r="L412" s="85">
        <v>17400.64</v>
      </c>
      <c r="M412" s="85" t="s">
        <v>630</v>
      </c>
      <c r="N412" s="128">
        <v>68498</v>
      </c>
      <c r="O412" s="128">
        <f t="shared" si="27"/>
        <v>3630394</v>
      </c>
      <c r="P412" s="125" t="s">
        <v>1040</v>
      </c>
      <c r="Q412" s="85" t="s">
        <v>47</v>
      </c>
      <c r="R412" s="214" t="s">
        <v>1869</v>
      </c>
      <c r="S412" s="214" t="s">
        <v>1861</v>
      </c>
      <c r="T412" s="85" t="s">
        <v>1491</v>
      </c>
      <c r="U412" t="s">
        <v>1953</v>
      </c>
      <c r="V412" t="s">
        <v>2813</v>
      </c>
    </row>
    <row r="413" spans="1:22" ht="15.75" thickBot="1" x14ac:dyDescent="0.3">
      <c r="A413" s="82" t="s">
        <v>3472</v>
      </c>
      <c r="B413" s="82" t="str">
        <f t="shared" si="24"/>
        <v>Barraqueiro Transportes, S.A.</v>
      </c>
      <c r="C413" s="82" t="str">
        <f t="shared" si="25"/>
        <v>Frota Azul</v>
      </c>
      <c r="D413" s="83" t="s">
        <v>629</v>
      </c>
      <c r="E413" s="91" t="s">
        <v>1853</v>
      </c>
      <c r="F413" s="124" t="s">
        <v>620</v>
      </c>
      <c r="G413" s="304">
        <v>2020</v>
      </c>
      <c r="H413" s="312" t="s">
        <v>733</v>
      </c>
      <c r="I413" s="307" t="str">
        <f t="shared" si="26"/>
        <v>Pesado de Passageiros M3: III : Gasóleo : E6</v>
      </c>
      <c r="J413" s="125">
        <v>53</v>
      </c>
      <c r="K413" s="125">
        <v>2022</v>
      </c>
      <c r="L413" s="85">
        <v>17871.560000000001</v>
      </c>
      <c r="M413" s="85" t="s">
        <v>630</v>
      </c>
      <c r="N413" s="128">
        <v>74179</v>
      </c>
      <c r="O413" s="128">
        <f t="shared" si="27"/>
        <v>3931487</v>
      </c>
      <c r="P413" s="125" t="s">
        <v>1041</v>
      </c>
      <c r="Q413" s="85" t="s">
        <v>47</v>
      </c>
      <c r="R413" s="214" t="s">
        <v>1869</v>
      </c>
      <c r="S413" s="214" t="s">
        <v>1861</v>
      </c>
      <c r="T413" s="85" t="s">
        <v>1491</v>
      </c>
      <c r="U413" t="s">
        <v>1953</v>
      </c>
      <c r="V413" t="s">
        <v>2813</v>
      </c>
    </row>
    <row r="414" spans="1:22" ht="15.75" thickBot="1" x14ac:dyDescent="0.3">
      <c r="A414" s="82" t="s">
        <v>3472</v>
      </c>
      <c r="B414" s="82" t="str">
        <f t="shared" si="24"/>
        <v>Barraqueiro Transportes, S.A.</v>
      </c>
      <c r="C414" s="82" t="str">
        <f t="shared" si="25"/>
        <v>Frota Azul</v>
      </c>
      <c r="D414" s="83" t="s">
        <v>629</v>
      </c>
      <c r="E414" s="91" t="s">
        <v>1853</v>
      </c>
      <c r="F414" s="124" t="s">
        <v>620</v>
      </c>
      <c r="G414" s="304">
        <v>2020</v>
      </c>
      <c r="H414" s="312" t="s">
        <v>733</v>
      </c>
      <c r="I414" s="307" t="str">
        <f t="shared" si="26"/>
        <v>Pesado de Passageiros M3: III : Gasóleo : E6</v>
      </c>
      <c r="J414" s="125">
        <v>53</v>
      </c>
      <c r="K414" s="125">
        <v>2022</v>
      </c>
      <c r="L414" s="85">
        <v>16188.31</v>
      </c>
      <c r="M414" s="85" t="s">
        <v>630</v>
      </c>
      <c r="N414" s="128">
        <v>61880</v>
      </c>
      <c r="O414" s="128">
        <f t="shared" si="27"/>
        <v>3279640</v>
      </c>
      <c r="P414" s="125" t="s">
        <v>1042</v>
      </c>
      <c r="Q414" s="85" t="s">
        <v>47</v>
      </c>
      <c r="R414" s="214" t="s">
        <v>1869</v>
      </c>
      <c r="S414" s="214" t="s">
        <v>1861</v>
      </c>
      <c r="T414" s="85" t="s">
        <v>1491</v>
      </c>
      <c r="U414" t="s">
        <v>1953</v>
      </c>
      <c r="V414" t="s">
        <v>2813</v>
      </c>
    </row>
    <row r="415" spans="1:22" ht="15.75" thickBot="1" x14ac:dyDescent="0.3">
      <c r="A415" s="82" t="s">
        <v>3472</v>
      </c>
      <c r="B415" s="82" t="str">
        <f t="shared" si="24"/>
        <v>Barraqueiro Transportes, S.A.</v>
      </c>
      <c r="C415" s="82" t="str">
        <f t="shared" si="25"/>
        <v>Frota Azul</v>
      </c>
      <c r="D415" s="83" t="s">
        <v>629</v>
      </c>
      <c r="E415" s="91" t="s">
        <v>1853</v>
      </c>
      <c r="F415" s="124" t="s">
        <v>620</v>
      </c>
      <c r="G415" s="304">
        <v>2020</v>
      </c>
      <c r="H415" s="312" t="s">
        <v>733</v>
      </c>
      <c r="I415" s="307" t="str">
        <f t="shared" si="26"/>
        <v>Pesado de Passageiros M3: III : Gasóleo : E6</v>
      </c>
      <c r="J415" s="125">
        <v>53</v>
      </c>
      <c r="K415" s="125">
        <v>2022</v>
      </c>
      <c r="L415" s="85">
        <v>15087.91</v>
      </c>
      <c r="M415" s="85" t="s">
        <v>630</v>
      </c>
      <c r="N415" s="128">
        <v>59690</v>
      </c>
      <c r="O415" s="128">
        <f t="shared" si="27"/>
        <v>3163570</v>
      </c>
      <c r="P415" s="125" t="s">
        <v>1043</v>
      </c>
      <c r="Q415" s="85" t="s">
        <v>47</v>
      </c>
      <c r="R415" s="214" t="s">
        <v>1869</v>
      </c>
      <c r="S415" s="214" t="s">
        <v>1861</v>
      </c>
      <c r="T415" s="85" t="s">
        <v>1491</v>
      </c>
      <c r="U415" t="s">
        <v>1953</v>
      </c>
      <c r="V415" t="s">
        <v>2813</v>
      </c>
    </row>
    <row r="416" spans="1:22" ht="15.75" thickBot="1" x14ac:dyDescent="0.3">
      <c r="A416" s="82" t="s">
        <v>3472</v>
      </c>
      <c r="B416" s="82" t="str">
        <f t="shared" si="24"/>
        <v>Barraqueiro Transportes, S.A.</v>
      </c>
      <c r="C416" s="82" t="str">
        <f t="shared" si="25"/>
        <v>Frota Azul</v>
      </c>
      <c r="D416" s="83" t="s">
        <v>629</v>
      </c>
      <c r="E416" s="91" t="s">
        <v>1853</v>
      </c>
      <c r="F416" s="124" t="s">
        <v>620</v>
      </c>
      <c r="G416" s="304">
        <v>2020</v>
      </c>
      <c r="H416" s="312" t="s">
        <v>733</v>
      </c>
      <c r="I416" s="307" t="str">
        <f t="shared" si="26"/>
        <v>Pesado de Passageiros M3: III : Gasóleo : E6</v>
      </c>
      <c r="J416" s="125">
        <v>53</v>
      </c>
      <c r="K416" s="125">
        <v>2022</v>
      </c>
      <c r="L416" s="85">
        <v>16682.13</v>
      </c>
      <c r="M416" s="85" t="s">
        <v>630</v>
      </c>
      <c r="N416" s="128">
        <v>62517</v>
      </c>
      <c r="O416" s="128">
        <f t="shared" si="27"/>
        <v>3313401</v>
      </c>
      <c r="P416" s="125" t="s">
        <v>1044</v>
      </c>
      <c r="Q416" s="85" t="s">
        <v>47</v>
      </c>
      <c r="R416" s="214" t="s">
        <v>1869</v>
      </c>
      <c r="S416" s="214" t="s">
        <v>1861</v>
      </c>
      <c r="T416" s="85" t="s">
        <v>1491</v>
      </c>
      <c r="U416" t="s">
        <v>1953</v>
      </c>
      <c r="V416" t="s">
        <v>2813</v>
      </c>
    </row>
    <row r="417" spans="1:22" ht="15.75" thickBot="1" x14ac:dyDescent="0.3">
      <c r="A417" s="82" t="s">
        <v>3472</v>
      </c>
      <c r="B417" s="82" t="str">
        <f t="shared" si="24"/>
        <v>Barraqueiro Transportes, S.A.</v>
      </c>
      <c r="C417" s="82" t="str">
        <f t="shared" si="25"/>
        <v>Frota Azul</v>
      </c>
      <c r="D417" s="83" t="s">
        <v>629</v>
      </c>
      <c r="E417" s="91" t="s">
        <v>1853</v>
      </c>
      <c r="F417" s="124" t="s">
        <v>620</v>
      </c>
      <c r="G417" s="304">
        <v>2020</v>
      </c>
      <c r="H417" s="312" t="s">
        <v>733</v>
      </c>
      <c r="I417" s="307" t="str">
        <f t="shared" si="26"/>
        <v>Pesado de Passageiros M3: III : Gasóleo : E6</v>
      </c>
      <c r="J417" s="125">
        <v>53</v>
      </c>
      <c r="K417" s="125">
        <v>2022</v>
      </c>
      <c r="L417" s="85">
        <v>16403.079999999998</v>
      </c>
      <c r="M417" s="85" t="s">
        <v>630</v>
      </c>
      <c r="N417" s="128">
        <v>64038</v>
      </c>
      <c r="O417" s="128">
        <f t="shared" si="27"/>
        <v>3394014</v>
      </c>
      <c r="P417" s="125" t="s">
        <v>1045</v>
      </c>
      <c r="Q417" s="85" t="s">
        <v>47</v>
      </c>
      <c r="R417" s="214" t="s">
        <v>1869</v>
      </c>
      <c r="S417" s="214" t="s">
        <v>1861</v>
      </c>
      <c r="T417" s="85" t="s">
        <v>1491</v>
      </c>
      <c r="U417" t="s">
        <v>1953</v>
      </c>
      <c r="V417" t="s">
        <v>2813</v>
      </c>
    </row>
    <row r="418" spans="1:22" ht="15.75" thickBot="1" x14ac:dyDescent="0.3">
      <c r="A418" s="82" t="s">
        <v>3472</v>
      </c>
      <c r="B418" s="82" t="str">
        <f t="shared" si="24"/>
        <v>Barraqueiro Transportes, S.A.</v>
      </c>
      <c r="C418" s="82" t="str">
        <f t="shared" si="25"/>
        <v>Frota Azul</v>
      </c>
      <c r="D418" s="83" t="s">
        <v>629</v>
      </c>
      <c r="E418" s="91" t="s">
        <v>1853</v>
      </c>
      <c r="F418" s="124" t="s">
        <v>620</v>
      </c>
      <c r="G418" s="304">
        <v>2020</v>
      </c>
      <c r="H418" s="312" t="s">
        <v>733</v>
      </c>
      <c r="I418" s="307" t="str">
        <f t="shared" si="26"/>
        <v>Pesado de Passageiros M3: III : Gasóleo : E6</v>
      </c>
      <c r="J418" s="125">
        <v>53</v>
      </c>
      <c r="K418" s="125">
        <v>2022</v>
      </c>
      <c r="L418" s="85">
        <v>18758.18</v>
      </c>
      <c r="M418" s="85" t="s">
        <v>630</v>
      </c>
      <c r="N418" s="128">
        <v>75698</v>
      </c>
      <c r="O418" s="128">
        <f t="shared" si="27"/>
        <v>4011994</v>
      </c>
      <c r="P418" s="125" t="s">
        <v>1046</v>
      </c>
      <c r="Q418" s="85" t="s">
        <v>47</v>
      </c>
      <c r="R418" s="214" t="s">
        <v>1869</v>
      </c>
      <c r="S418" s="214" t="s">
        <v>1861</v>
      </c>
      <c r="T418" s="85" t="s">
        <v>1491</v>
      </c>
      <c r="U418" t="s">
        <v>1953</v>
      </c>
      <c r="V418" t="s">
        <v>2813</v>
      </c>
    </row>
    <row r="419" spans="1:22" ht="15.75" thickBot="1" x14ac:dyDescent="0.3">
      <c r="A419" s="82" t="s">
        <v>3472</v>
      </c>
      <c r="B419" s="82" t="str">
        <f t="shared" si="24"/>
        <v>Barraqueiro Transportes, S.A.</v>
      </c>
      <c r="C419" s="82" t="str">
        <f t="shared" si="25"/>
        <v>Frota Azul</v>
      </c>
      <c r="D419" s="83" t="s">
        <v>629</v>
      </c>
      <c r="E419" s="91" t="s">
        <v>1853</v>
      </c>
      <c r="F419" s="124" t="s">
        <v>620</v>
      </c>
      <c r="G419" s="304">
        <v>2020</v>
      </c>
      <c r="H419" s="312" t="s">
        <v>733</v>
      </c>
      <c r="I419" s="307" t="str">
        <f t="shared" si="26"/>
        <v>Pesado de Passageiros M3: III : Gasóleo : E6</v>
      </c>
      <c r="J419" s="125">
        <v>53</v>
      </c>
      <c r="K419" s="125">
        <v>2022</v>
      </c>
      <c r="L419" s="85">
        <v>15282.57</v>
      </c>
      <c r="M419" s="85" t="s">
        <v>630</v>
      </c>
      <c r="N419" s="128">
        <v>58816</v>
      </c>
      <c r="O419" s="128">
        <f t="shared" si="27"/>
        <v>3117248</v>
      </c>
      <c r="P419" s="125" t="s">
        <v>1047</v>
      </c>
      <c r="Q419" s="85" t="s">
        <v>47</v>
      </c>
      <c r="R419" s="214" t="s">
        <v>1869</v>
      </c>
      <c r="S419" s="214" t="s">
        <v>1861</v>
      </c>
      <c r="T419" s="85" t="s">
        <v>1491</v>
      </c>
      <c r="U419" t="s">
        <v>1953</v>
      </c>
      <c r="V419" t="s">
        <v>2813</v>
      </c>
    </row>
    <row r="420" spans="1:22" ht="15.75" thickBot="1" x14ac:dyDescent="0.3">
      <c r="A420" s="82" t="s">
        <v>3472</v>
      </c>
      <c r="B420" s="82" t="str">
        <f t="shared" si="24"/>
        <v>Barraqueiro Transportes, S.A.</v>
      </c>
      <c r="C420" s="82" t="str">
        <f t="shared" si="25"/>
        <v>Frota Azul</v>
      </c>
      <c r="D420" s="83" t="s">
        <v>629</v>
      </c>
      <c r="E420" s="91" t="s">
        <v>1853</v>
      </c>
      <c r="F420" s="124" t="s">
        <v>620</v>
      </c>
      <c r="G420" s="304">
        <v>2020</v>
      </c>
      <c r="H420" s="312" t="s">
        <v>733</v>
      </c>
      <c r="I420" s="307" t="str">
        <f t="shared" si="26"/>
        <v>Pesado de Passageiros M3: III : Gasóleo : E6</v>
      </c>
      <c r="J420" s="125">
        <v>53</v>
      </c>
      <c r="K420" s="125">
        <v>2022</v>
      </c>
      <c r="L420" s="85">
        <v>14809.520000000002</v>
      </c>
      <c r="M420" s="85" t="s">
        <v>630</v>
      </c>
      <c r="N420" s="128">
        <v>60824</v>
      </c>
      <c r="O420" s="128">
        <f t="shared" si="27"/>
        <v>3223672</v>
      </c>
      <c r="P420" s="125" t="s">
        <v>1048</v>
      </c>
      <c r="Q420" s="85" t="s">
        <v>47</v>
      </c>
      <c r="R420" s="214" t="s">
        <v>1869</v>
      </c>
      <c r="S420" s="214" t="s">
        <v>1861</v>
      </c>
      <c r="T420" s="85" t="s">
        <v>1491</v>
      </c>
      <c r="U420" t="s">
        <v>1953</v>
      </c>
      <c r="V420" t="s">
        <v>2813</v>
      </c>
    </row>
    <row r="421" spans="1:22" ht="15.75" thickBot="1" x14ac:dyDescent="0.3">
      <c r="A421" s="82" t="s">
        <v>3472</v>
      </c>
      <c r="B421" s="82" t="str">
        <f t="shared" si="24"/>
        <v>Barraqueiro Transportes, S.A.</v>
      </c>
      <c r="C421" s="82" t="str">
        <f t="shared" si="25"/>
        <v>Frota Azul</v>
      </c>
      <c r="D421" s="83" t="s">
        <v>629</v>
      </c>
      <c r="E421" s="91" t="s">
        <v>1853</v>
      </c>
      <c r="F421" s="124" t="s">
        <v>620</v>
      </c>
      <c r="G421" s="304">
        <v>2020</v>
      </c>
      <c r="H421" s="312" t="s">
        <v>733</v>
      </c>
      <c r="I421" s="307" t="str">
        <f t="shared" si="26"/>
        <v>Pesado de Passageiros M3: III : Gasóleo : E6</v>
      </c>
      <c r="J421" s="125">
        <v>53</v>
      </c>
      <c r="K421" s="125">
        <v>2022</v>
      </c>
      <c r="L421" s="85">
        <v>20664.990000000005</v>
      </c>
      <c r="M421" s="85" t="s">
        <v>630</v>
      </c>
      <c r="N421" s="128">
        <v>84613</v>
      </c>
      <c r="O421" s="128">
        <f t="shared" si="27"/>
        <v>4484489</v>
      </c>
      <c r="P421" s="125" t="s">
        <v>1049</v>
      </c>
      <c r="Q421" s="85" t="s">
        <v>47</v>
      </c>
      <c r="R421" s="214" t="s">
        <v>1869</v>
      </c>
      <c r="S421" s="214" t="s">
        <v>1861</v>
      </c>
      <c r="T421" s="85" t="s">
        <v>1491</v>
      </c>
      <c r="U421" t="s">
        <v>1953</v>
      </c>
      <c r="V421" t="s">
        <v>2813</v>
      </c>
    </row>
    <row r="422" spans="1:22" ht="15.75" thickBot="1" x14ac:dyDescent="0.3">
      <c r="A422" s="82" t="s">
        <v>3472</v>
      </c>
      <c r="B422" s="82" t="str">
        <f t="shared" si="24"/>
        <v>Barraqueiro Transportes, S.A.</v>
      </c>
      <c r="C422" s="82" t="str">
        <f t="shared" si="25"/>
        <v>Frota Azul</v>
      </c>
      <c r="D422" s="83" t="s">
        <v>629</v>
      </c>
      <c r="E422" s="91" t="s">
        <v>1853</v>
      </c>
      <c r="F422" s="124" t="s">
        <v>620</v>
      </c>
      <c r="G422" s="304">
        <v>2020</v>
      </c>
      <c r="H422" s="312" t="s">
        <v>733</v>
      </c>
      <c r="I422" s="307" t="str">
        <f t="shared" si="26"/>
        <v>Pesado de Passageiros M3: III : Gasóleo : E6</v>
      </c>
      <c r="J422" s="125">
        <v>53</v>
      </c>
      <c r="K422" s="125">
        <v>2022</v>
      </c>
      <c r="L422" s="85">
        <v>15335.05</v>
      </c>
      <c r="M422" s="85" t="s">
        <v>630</v>
      </c>
      <c r="N422" s="128">
        <v>61843</v>
      </c>
      <c r="O422" s="128">
        <f t="shared" si="27"/>
        <v>3277679</v>
      </c>
      <c r="P422" s="125" t="s">
        <v>1050</v>
      </c>
      <c r="Q422" s="85" t="s">
        <v>47</v>
      </c>
      <c r="R422" s="214" t="s">
        <v>1869</v>
      </c>
      <c r="S422" s="214" t="s">
        <v>1861</v>
      </c>
      <c r="T422" s="85" t="s">
        <v>1491</v>
      </c>
      <c r="U422" t="s">
        <v>1953</v>
      </c>
      <c r="V422" t="s">
        <v>2813</v>
      </c>
    </row>
    <row r="423" spans="1:22" ht="15.75" thickBot="1" x14ac:dyDescent="0.3">
      <c r="A423" s="82" t="s">
        <v>3472</v>
      </c>
      <c r="B423" s="82" t="str">
        <f t="shared" si="24"/>
        <v>Barraqueiro Transportes, S.A.</v>
      </c>
      <c r="C423" s="82" t="str">
        <f t="shared" si="25"/>
        <v>Frota Azul</v>
      </c>
      <c r="D423" s="83" t="s">
        <v>629</v>
      </c>
      <c r="E423" s="91" t="s">
        <v>1853</v>
      </c>
      <c r="F423" s="124" t="s">
        <v>620</v>
      </c>
      <c r="G423" s="304">
        <v>2020</v>
      </c>
      <c r="H423" s="312" t="s">
        <v>733</v>
      </c>
      <c r="I423" s="307" t="str">
        <f t="shared" si="26"/>
        <v>Pesado de Passageiros M3: III : Gasóleo : E6</v>
      </c>
      <c r="J423" s="125">
        <v>53</v>
      </c>
      <c r="K423" s="125">
        <v>2022</v>
      </c>
      <c r="L423" s="85">
        <v>12270.2</v>
      </c>
      <c r="M423" s="85" t="s">
        <v>630</v>
      </c>
      <c r="N423" s="128">
        <v>47127</v>
      </c>
      <c r="O423" s="128">
        <f t="shared" si="27"/>
        <v>2497731</v>
      </c>
      <c r="P423" s="125" t="s">
        <v>1051</v>
      </c>
      <c r="Q423" s="85" t="s">
        <v>47</v>
      </c>
      <c r="R423" s="214" t="s">
        <v>1869</v>
      </c>
      <c r="S423" s="214" t="s">
        <v>1861</v>
      </c>
      <c r="T423" s="85" t="s">
        <v>1491</v>
      </c>
      <c r="U423" t="s">
        <v>1953</v>
      </c>
      <c r="V423" t="s">
        <v>2813</v>
      </c>
    </row>
    <row r="424" spans="1:22" ht="15.75" thickBot="1" x14ac:dyDescent="0.3">
      <c r="A424" s="82" t="s">
        <v>3472</v>
      </c>
      <c r="B424" s="82" t="str">
        <f t="shared" si="24"/>
        <v>Barraqueiro Transportes, S.A.</v>
      </c>
      <c r="C424" s="82" t="str">
        <f t="shared" si="25"/>
        <v>Frota Azul</v>
      </c>
      <c r="D424" s="83" t="s">
        <v>629</v>
      </c>
      <c r="E424" s="91" t="s">
        <v>1853</v>
      </c>
      <c r="F424" s="124" t="s">
        <v>620</v>
      </c>
      <c r="G424" s="304">
        <v>2020</v>
      </c>
      <c r="H424" s="312" t="s">
        <v>733</v>
      </c>
      <c r="I424" s="307" t="str">
        <f t="shared" si="26"/>
        <v>Pesado de Passageiros M3: III : Gasóleo : E6</v>
      </c>
      <c r="J424" s="125">
        <v>53</v>
      </c>
      <c r="K424" s="125">
        <v>2022</v>
      </c>
      <c r="L424" s="85">
        <v>13970.84</v>
      </c>
      <c r="M424" s="85" t="s">
        <v>630</v>
      </c>
      <c r="N424" s="128">
        <v>56358</v>
      </c>
      <c r="O424" s="128">
        <f t="shared" si="27"/>
        <v>2986974</v>
      </c>
      <c r="P424" s="125" t="s">
        <v>1052</v>
      </c>
      <c r="Q424" s="85" t="s">
        <v>47</v>
      </c>
      <c r="R424" s="214" t="s">
        <v>1869</v>
      </c>
      <c r="S424" s="214" t="s">
        <v>1861</v>
      </c>
      <c r="T424" s="85" t="s">
        <v>1491</v>
      </c>
      <c r="U424" t="s">
        <v>1953</v>
      </c>
      <c r="V424" t="s">
        <v>2813</v>
      </c>
    </row>
    <row r="425" spans="1:22" ht="15.75" thickBot="1" x14ac:dyDescent="0.3">
      <c r="A425" s="82" t="s">
        <v>3472</v>
      </c>
      <c r="B425" s="82" t="str">
        <f t="shared" si="24"/>
        <v>Barraqueiro Transportes, S.A.</v>
      </c>
      <c r="C425" s="82" t="str">
        <f t="shared" si="25"/>
        <v>Frota Azul</v>
      </c>
      <c r="D425" s="83" t="s">
        <v>629</v>
      </c>
      <c r="E425" s="91" t="s">
        <v>1853</v>
      </c>
      <c r="F425" s="124" t="s">
        <v>620</v>
      </c>
      <c r="G425" s="304">
        <v>2020</v>
      </c>
      <c r="H425" s="312" t="s">
        <v>733</v>
      </c>
      <c r="I425" s="307" t="str">
        <f t="shared" si="26"/>
        <v>Pesado de Passageiros M3: III : Gasóleo : E6</v>
      </c>
      <c r="J425" s="125">
        <v>53</v>
      </c>
      <c r="K425" s="125">
        <v>2022</v>
      </c>
      <c r="L425" s="85">
        <v>17513.62</v>
      </c>
      <c r="M425" s="85" t="s">
        <v>630</v>
      </c>
      <c r="N425" s="128">
        <v>64313</v>
      </c>
      <c r="O425" s="128">
        <f t="shared" si="27"/>
        <v>3408589</v>
      </c>
      <c r="P425" s="125" t="s">
        <v>1053</v>
      </c>
      <c r="Q425" s="85" t="s">
        <v>47</v>
      </c>
      <c r="R425" s="214" t="s">
        <v>1869</v>
      </c>
      <c r="S425" s="214" t="s">
        <v>1861</v>
      </c>
      <c r="T425" s="85" t="s">
        <v>1491</v>
      </c>
      <c r="U425" t="s">
        <v>1953</v>
      </c>
      <c r="V425" t="s">
        <v>2813</v>
      </c>
    </row>
    <row r="426" spans="1:22" ht="15.75" thickBot="1" x14ac:dyDescent="0.3">
      <c r="A426" s="82" t="s">
        <v>3472</v>
      </c>
      <c r="B426" s="82" t="str">
        <f t="shared" si="24"/>
        <v>Barraqueiro Transportes, S.A.</v>
      </c>
      <c r="C426" s="82" t="str">
        <f t="shared" si="25"/>
        <v>Frota Azul</v>
      </c>
      <c r="D426" s="83" t="s">
        <v>629</v>
      </c>
      <c r="E426" s="91" t="s">
        <v>1853</v>
      </c>
      <c r="F426" s="124" t="s">
        <v>620</v>
      </c>
      <c r="G426" s="304">
        <v>2020</v>
      </c>
      <c r="H426" s="312" t="s">
        <v>733</v>
      </c>
      <c r="I426" s="307" t="str">
        <f t="shared" si="26"/>
        <v>Pesado de Passageiros M3: III : Gasóleo : E6</v>
      </c>
      <c r="J426" s="125">
        <v>53</v>
      </c>
      <c r="K426" s="125">
        <v>2022</v>
      </c>
      <c r="L426" s="85">
        <v>18603.95</v>
      </c>
      <c r="M426" s="85" t="s">
        <v>630</v>
      </c>
      <c r="N426" s="128">
        <v>75469</v>
      </c>
      <c r="O426" s="128">
        <f t="shared" si="27"/>
        <v>3999857</v>
      </c>
      <c r="P426" s="125" t="s">
        <v>1054</v>
      </c>
      <c r="Q426" s="85" t="s">
        <v>47</v>
      </c>
      <c r="R426" s="214" t="s">
        <v>1869</v>
      </c>
      <c r="S426" s="214" t="s">
        <v>1861</v>
      </c>
      <c r="T426" s="85" t="s">
        <v>1491</v>
      </c>
      <c r="U426" t="s">
        <v>1953</v>
      </c>
      <c r="V426" t="s">
        <v>2813</v>
      </c>
    </row>
    <row r="427" spans="1:22" ht="15.75" thickBot="1" x14ac:dyDescent="0.3">
      <c r="A427" s="82" t="s">
        <v>3472</v>
      </c>
      <c r="B427" s="82" t="str">
        <f t="shared" si="24"/>
        <v>Barraqueiro Transportes, S.A.</v>
      </c>
      <c r="C427" s="82" t="str">
        <f t="shared" si="25"/>
        <v>Frota Azul</v>
      </c>
      <c r="D427" s="83" t="s">
        <v>629</v>
      </c>
      <c r="E427" s="91" t="s">
        <v>1853</v>
      </c>
      <c r="F427" s="124" t="s">
        <v>620</v>
      </c>
      <c r="G427" s="304">
        <v>2020</v>
      </c>
      <c r="H427" s="312" t="s">
        <v>733</v>
      </c>
      <c r="I427" s="307" t="str">
        <f t="shared" si="26"/>
        <v>Pesado de Passageiros M3: III : Gasóleo : E6</v>
      </c>
      <c r="J427" s="125">
        <v>53</v>
      </c>
      <c r="K427" s="125">
        <v>2022</v>
      </c>
      <c r="L427" s="85">
        <v>18041.84</v>
      </c>
      <c r="M427" s="85" t="s">
        <v>630</v>
      </c>
      <c r="N427" s="128">
        <v>79380</v>
      </c>
      <c r="O427" s="128">
        <f t="shared" si="27"/>
        <v>4207140</v>
      </c>
      <c r="P427" s="125" t="s">
        <v>1055</v>
      </c>
      <c r="Q427" s="85" t="s">
        <v>47</v>
      </c>
      <c r="R427" s="214" t="s">
        <v>1869</v>
      </c>
      <c r="S427" s="214" t="s">
        <v>1861</v>
      </c>
      <c r="T427" s="85" t="s">
        <v>1491</v>
      </c>
      <c r="U427" t="s">
        <v>1953</v>
      </c>
      <c r="V427" t="s">
        <v>2813</v>
      </c>
    </row>
    <row r="428" spans="1:22" ht="15.75" thickBot="1" x14ac:dyDescent="0.3">
      <c r="A428" s="82" t="s">
        <v>3472</v>
      </c>
      <c r="B428" s="82" t="str">
        <f t="shared" si="24"/>
        <v>Barraqueiro Transportes, S.A.</v>
      </c>
      <c r="C428" s="82" t="str">
        <f t="shared" si="25"/>
        <v>Frota Azul</v>
      </c>
      <c r="D428" s="83" t="s">
        <v>629</v>
      </c>
      <c r="E428" s="91" t="s">
        <v>1853</v>
      </c>
      <c r="F428" s="124" t="s">
        <v>620</v>
      </c>
      <c r="G428" s="304">
        <v>2020</v>
      </c>
      <c r="H428" s="312" t="s">
        <v>733</v>
      </c>
      <c r="I428" s="307" t="str">
        <f t="shared" si="26"/>
        <v>Pesado de Passageiros M3: III : Gasóleo : E6</v>
      </c>
      <c r="J428" s="125">
        <v>53</v>
      </c>
      <c r="K428" s="125">
        <v>2022</v>
      </c>
      <c r="L428" s="85">
        <v>17436.509999999998</v>
      </c>
      <c r="M428" s="85" t="s">
        <v>630</v>
      </c>
      <c r="N428" s="128">
        <v>67745</v>
      </c>
      <c r="O428" s="128">
        <f t="shared" si="27"/>
        <v>3590485</v>
      </c>
      <c r="P428" s="125" t="s">
        <v>1056</v>
      </c>
      <c r="Q428" s="85" t="s">
        <v>47</v>
      </c>
      <c r="R428" s="214" t="s">
        <v>1869</v>
      </c>
      <c r="S428" s="214" t="s">
        <v>1861</v>
      </c>
      <c r="T428" s="85" t="s">
        <v>1491</v>
      </c>
      <c r="U428" t="s">
        <v>1953</v>
      </c>
      <c r="V428" t="s">
        <v>2813</v>
      </c>
    </row>
    <row r="429" spans="1:22" ht="15.75" thickBot="1" x14ac:dyDescent="0.3">
      <c r="A429" s="82" t="s">
        <v>3472</v>
      </c>
      <c r="B429" s="82" t="str">
        <f t="shared" si="24"/>
        <v>Barraqueiro Transportes, S.A.</v>
      </c>
      <c r="C429" s="82" t="str">
        <f t="shared" si="25"/>
        <v>Frota Azul</v>
      </c>
      <c r="D429" s="83" t="s">
        <v>629</v>
      </c>
      <c r="E429" s="91" t="s">
        <v>1853</v>
      </c>
      <c r="F429" s="124" t="s">
        <v>620</v>
      </c>
      <c r="G429" s="304">
        <v>2020</v>
      </c>
      <c r="H429" s="312" t="s">
        <v>733</v>
      </c>
      <c r="I429" s="307" t="str">
        <f t="shared" si="26"/>
        <v>Pesado de Passageiros M3: III : Gasóleo : E6</v>
      </c>
      <c r="J429" s="125">
        <v>53</v>
      </c>
      <c r="K429" s="125">
        <v>2022</v>
      </c>
      <c r="L429" s="85">
        <v>15889.82</v>
      </c>
      <c r="M429" s="85" t="s">
        <v>630</v>
      </c>
      <c r="N429" s="128">
        <v>61845</v>
      </c>
      <c r="O429" s="128">
        <f t="shared" si="27"/>
        <v>3277785</v>
      </c>
      <c r="P429" s="125" t="s">
        <v>1057</v>
      </c>
      <c r="Q429" s="85" t="s">
        <v>47</v>
      </c>
      <c r="R429" s="214" t="s">
        <v>1869</v>
      </c>
      <c r="S429" s="214" t="s">
        <v>1861</v>
      </c>
      <c r="T429" s="85" t="s">
        <v>1491</v>
      </c>
      <c r="U429" t="s">
        <v>1953</v>
      </c>
      <c r="V429" t="s">
        <v>2813</v>
      </c>
    </row>
    <row r="430" spans="1:22" ht="15.75" thickBot="1" x14ac:dyDescent="0.3">
      <c r="A430" s="82" t="s">
        <v>3472</v>
      </c>
      <c r="B430" s="82" t="str">
        <f t="shared" si="24"/>
        <v>Barraqueiro Transportes, S.A.</v>
      </c>
      <c r="C430" s="82" t="str">
        <f t="shared" si="25"/>
        <v>Frota Azul</v>
      </c>
      <c r="D430" s="83" t="s">
        <v>629</v>
      </c>
      <c r="E430" s="91" t="s">
        <v>1853</v>
      </c>
      <c r="F430" s="124" t="s">
        <v>620</v>
      </c>
      <c r="G430" s="304">
        <v>2020</v>
      </c>
      <c r="H430" s="312" t="s">
        <v>733</v>
      </c>
      <c r="I430" s="307" t="str">
        <f t="shared" si="26"/>
        <v>Pesado de Passageiros M3: III : Gasóleo : E6</v>
      </c>
      <c r="J430" s="125">
        <v>53</v>
      </c>
      <c r="K430" s="125">
        <v>2022</v>
      </c>
      <c r="L430" s="85">
        <v>15146.12</v>
      </c>
      <c r="M430" s="85" t="s">
        <v>630</v>
      </c>
      <c r="N430" s="128">
        <v>55668</v>
      </c>
      <c r="O430" s="128">
        <f t="shared" si="27"/>
        <v>2950404</v>
      </c>
      <c r="P430" s="125" t="s">
        <v>1058</v>
      </c>
      <c r="Q430" s="85" t="s">
        <v>47</v>
      </c>
      <c r="R430" s="214" t="s">
        <v>1869</v>
      </c>
      <c r="S430" s="214" t="s">
        <v>1861</v>
      </c>
      <c r="T430" s="85" t="s">
        <v>1491</v>
      </c>
      <c r="U430" t="s">
        <v>1953</v>
      </c>
      <c r="V430" t="s">
        <v>2813</v>
      </c>
    </row>
    <row r="431" spans="1:22" ht="15.75" thickBot="1" x14ac:dyDescent="0.3">
      <c r="A431" s="82" t="s">
        <v>3472</v>
      </c>
      <c r="B431" s="82" t="str">
        <f t="shared" si="24"/>
        <v>Barraqueiro Transportes, S.A.</v>
      </c>
      <c r="C431" s="82" t="str">
        <f t="shared" si="25"/>
        <v>Frota Azul</v>
      </c>
      <c r="D431" s="83" t="s">
        <v>629</v>
      </c>
      <c r="E431" s="91" t="s">
        <v>1853</v>
      </c>
      <c r="F431" s="124" t="s">
        <v>620</v>
      </c>
      <c r="G431" s="304">
        <v>2020</v>
      </c>
      <c r="H431" s="312" t="s">
        <v>733</v>
      </c>
      <c r="I431" s="307" t="str">
        <f t="shared" si="26"/>
        <v>Pesado de Passageiros M3: III : Gasóleo : E6</v>
      </c>
      <c r="J431" s="125">
        <v>53</v>
      </c>
      <c r="K431" s="125">
        <v>2022</v>
      </c>
      <c r="L431" s="85">
        <v>13429.23</v>
      </c>
      <c r="M431" s="85" t="s">
        <v>630</v>
      </c>
      <c r="N431" s="128">
        <v>54206</v>
      </c>
      <c r="O431" s="128">
        <f t="shared" si="27"/>
        <v>2872918</v>
      </c>
      <c r="P431" s="125" t="s">
        <v>1059</v>
      </c>
      <c r="Q431" s="85" t="s">
        <v>47</v>
      </c>
      <c r="R431" s="214" t="s">
        <v>1869</v>
      </c>
      <c r="S431" s="214" t="s">
        <v>1861</v>
      </c>
      <c r="T431" s="85" t="s">
        <v>1491</v>
      </c>
      <c r="U431" t="s">
        <v>1953</v>
      </c>
      <c r="V431" t="s">
        <v>2813</v>
      </c>
    </row>
    <row r="432" spans="1:22" ht="15.75" thickBot="1" x14ac:dyDescent="0.3">
      <c r="A432" s="82" t="s">
        <v>3472</v>
      </c>
      <c r="B432" s="82" t="str">
        <f t="shared" si="24"/>
        <v>Barraqueiro Transportes, S.A.</v>
      </c>
      <c r="C432" s="82" t="str">
        <f t="shared" si="25"/>
        <v>Frota Azul</v>
      </c>
      <c r="D432" s="83" t="s">
        <v>629</v>
      </c>
      <c r="E432" s="91" t="s">
        <v>1853</v>
      </c>
      <c r="F432" s="124" t="s">
        <v>620</v>
      </c>
      <c r="G432" s="304">
        <v>2020</v>
      </c>
      <c r="H432" s="312" t="s">
        <v>733</v>
      </c>
      <c r="I432" s="307" t="str">
        <f t="shared" si="26"/>
        <v>Pesado de Passageiros M3: III : Gasóleo : E6</v>
      </c>
      <c r="J432" s="125">
        <v>53</v>
      </c>
      <c r="K432" s="125">
        <v>2022</v>
      </c>
      <c r="L432" s="85">
        <v>17761.75</v>
      </c>
      <c r="M432" s="85" t="s">
        <v>630</v>
      </c>
      <c r="N432" s="128">
        <v>78733</v>
      </c>
      <c r="O432" s="128">
        <f t="shared" si="27"/>
        <v>4172849</v>
      </c>
      <c r="P432" s="125" t="s">
        <v>1060</v>
      </c>
      <c r="Q432" s="85" t="s">
        <v>47</v>
      </c>
      <c r="R432" s="214" t="s">
        <v>1869</v>
      </c>
      <c r="S432" s="214" t="s">
        <v>1861</v>
      </c>
      <c r="T432" s="85" t="s">
        <v>1491</v>
      </c>
      <c r="U432" t="s">
        <v>1953</v>
      </c>
      <c r="V432" t="s">
        <v>2813</v>
      </c>
    </row>
    <row r="433" spans="1:22" ht="15.75" thickBot="1" x14ac:dyDescent="0.3">
      <c r="A433" s="82" t="s">
        <v>3472</v>
      </c>
      <c r="B433" s="82" t="str">
        <f t="shared" si="24"/>
        <v>Barraqueiro Transportes, S.A.</v>
      </c>
      <c r="C433" s="82" t="str">
        <f t="shared" si="25"/>
        <v>Frota Azul</v>
      </c>
      <c r="D433" s="83" t="s">
        <v>629</v>
      </c>
      <c r="E433" s="91" t="s">
        <v>1853</v>
      </c>
      <c r="F433" s="124" t="s">
        <v>620</v>
      </c>
      <c r="G433" s="304">
        <v>2020</v>
      </c>
      <c r="H433" s="312" t="s">
        <v>733</v>
      </c>
      <c r="I433" s="307" t="str">
        <f t="shared" si="26"/>
        <v>Pesado de Passageiros M3: III : Gasóleo : E6</v>
      </c>
      <c r="J433" s="125">
        <v>53</v>
      </c>
      <c r="K433" s="125">
        <v>2022</v>
      </c>
      <c r="L433" s="85">
        <v>17230.18</v>
      </c>
      <c r="M433" s="85" t="s">
        <v>630</v>
      </c>
      <c r="N433" s="128">
        <v>69600</v>
      </c>
      <c r="O433" s="128">
        <f t="shared" si="27"/>
        <v>3688800</v>
      </c>
      <c r="P433" s="125" t="s">
        <v>1061</v>
      </c>
      <c r="Q433" s="85" t="s">
        <v>47</v>
      </c>
      <c r="R433" s="214" t="s">
        <v>1869</v>
      </c>
      <c r="S433" s="214" t="s">
        <v>1861</v>
      </c>
      <c r="T433" s="85" t="s">
        <v>1491</v>
      </c>
      <c r="U433" t="s">
        <v>1953</v>
      </c>
      <c r="V433" t="s">
        <v>2813</v>
      </c>
    </row>
    <row r="434" spans="1:22" ht="15.75" thickBot="1" x14ac:dyDescent="0.3">
      <c r="A434" s="82" t="s">
        <v>3472</v>
      </c>
      <c r="B434" s="82" t="str">
        <f t="shared" si="24"/>
        <v>Barraqueiro Transportes, S.A.</v>
      </c>
      <c r="C434" s="82" t="str">
        <f t="shared" si="25"/>
        <v>Frota Azul</v>
      </c>
      <c r="D434" s="83" t="s">
        <v>629</v>
      </c>
      <c r="E434" s="91" t="s">
        <v>1853</v>
      </c>
      <c r="F434" s="124" t="s">
        <v>620</v>
      </c>
      <c r="G434" s="304">
        <v>2020</v>
      </c>
      <c r="H434" s="312" t="s">
        <v>733</v>
      </c>
      <c r="I434" s="307" t="str">
        <f t="shared" si="26"/>
        <v>Pesado de Passageiros M3: III : Gasóleo : E6</v>
      </c>
      <c r="J434" s="125">
        <v>53</v>
      </c>
      <c r="K434" s="125">
        <v>2022</v>
      </c>
      <c r="L434" s="85">
        <v>17960.440000000002</v>
      </c>
      <c r="M434" s="85" t="s">
        <v>630</v>
      </c>
      <c r="N434" s="128">
        <v>68784</v>
      </c>
      <c r="O434" s="128">
        <f t="shared" si="27"/>
        <v>3645552</v>
      </c>
      <c r="P434" s="125" t="s">
        <v>1062</v>
      </c>
      <c r="Q434" s="85" t="s">
        <v>47</v>
      </c>
      <c r="R434" s="214" t="s">
        <v>1869</v>
      </c>
      <c r="S434" s="214" t="s">
        <v>1861</v>
      </c>
      <c r="T434" s="85" t="s">
        <v>1491</v>
      </c>
      <c r="U434" t="s">
        <v>1953</v>
      </c>
      <c r="V434" t="s">
        <v>2813</v>
      </c>
    </row>
    <row r="435" spans="1:22" ht="15.75" thickBot="1" x14ac:dyDescent="0.3">
      <c r="A435" s="82" t="s">
        <v>3472</v>
      </c>
      <c r="B435" s="82" t="str">
        <f t="shared" si="24"/>
        <v>Barraqueiro Transportes, S.A.</v>
      </c>
      <c r="C435" s="82" t="str">
        <f t="shared" si="25"/>
        <v>Frota Azul</v>
      </c>
      <c r="D435" s="83" t="s">
        <v>629</v>
      </c>
      <c r="E435" s="91" t="s">
        <v>1853</v>
      </c>
      <c r="F435" s="124" t="s">
        <v>620</v>
      </c>
      <c r="G435" s="304">
        <v>2020</v>
      </c>
      <c r="H435" s="312" t="s">
        <v>733</v>
      </c>
      <c r="I435" s="307" t="str">
        <f t="shared" si="26"/>
        <v>Pesado de Passageiros M3: III : Gasóleo : E6</v>
      </c>
      <c r="J435" s="125">
        <v>53</v>
      </c>
      <c r="K435" s="125">
        <v>2022</v>
      </c>
      <c r="L435" s="85">
        <v>18347.638000000003</v>
      </c>
      <c r="M435" s="85" t="s">
        <v>630</v>
      </c>
      <c r="N435" s="128">
        <v>73065</v>
      </c>
      <c r="O435" s="128">
        <f t="shared" si="27"/>
        <v>3872445</v>
      </c>
      <c r="P435" s="125" t="s">
        <v>1063</v>
      </c>
      <c r="Q435" s="85" t="s">
        <v>47</v>
      </c>
      <c r="R435" s="214" t="s">
        <v>1869</v>
      </c>
      <c r="S435" s="214" t="s">
        <v>1861</v>
      </c>
      <c r="T435" s="85" t="s">
        <v>1491</v>
      </c>
      <c r="U435" t="s">
        <v>1953</v>
      </c>
      <c r="V435" t="s">
        <v>2813</v>
      </c>
    </row>
    <row r="436" spans="1:22" ht="15.75" thickBot="1" x14ac:dyDescent="0.3">
      <c r="A436" s="82" t="s">
        <v>3472</v>
      </c>
      <c r="B436" s="82" t="str">
        <f t="shared" si="24"/>
        <v>Barraqueiro Transportes, S.A.</v>
      </c>
      <c r="C436" s="82" t="str">
        <f t="shared" si="25"/>
        <v>Frota Azul</v>
      </c>
      <c r="D436" s="83" t="s">
        <v>629</v>
      </c>
      <c r="E436" s="91" t="s">
        <v>1853</v>
      </c>
      <c r="F436" s="124" t="s">
        <v>620</v>
      </c>
      <c r="G436" s="304">
        <v>2020</v>
      </c>
      <c r="H436" s="312" t="s">
        <v>733</v>
      </c>
      <c r="I436" s="307" t="str">
        <f t="shared" si="26"/>
        <v>Pesado de Passageiros M3: III : Gasóleo : E6</v>
      </c>
      <c r="J436" s="125">
        <v>53</v>
      </c>
      <c r="K436" s="125">
        <v>2022</v>
      </c>
      <c r="L436" s="85">
        <v>18665.34</v>
      </c>
      <c r="M436" s="85" t="s">
        <v>630</v>
      </c>
      <c r="N436" s="128">
        <v>74032</v>
      </c>
      <c r="O436" s="128">
        <f t="shared" si="27"/>
        <v>3923696</v>
      </c>
      <c r="P436" s="125" t="s">
        <v>1064</v>
      </c>
      <c r="Q436" s="85" t="s">
        <v>47</v>
      </c>
      <c r="R436" s="214" t="s">
        <v>1869</v>
      </c>
      <c r="S436" s="214" t="s">
        <v>1861</v>
      </c>
      <c r="T436" s="85" t="s">
        <v>1491</v>
      </c>
      <c r="U436" t="s">
        <v>1953</v>
      </c>
      <c r="V436" t="s">
        <v>2813</v>
      </c>
    </row>
    <row r="437" spans="1:22" ht="15.75" thickBot="1" x14ac:dyDescent="0.3">
      <c r="A437" s="82" t="s">
        <v>3472</v>
      </c>
      <c r="B437" s="82" t="str">
        <f t="shared" si="24"/>
        <v>Barraqueiro Transportes, S.A.</v>
      </c>
      <c r="C437" s="82" t="str">
        <f t="shared" si="25"/>
        <v>Frota Azul</v>
      </c>
      <c r="D437" s="83" t="s">
        <v>629</v>
      </c>
      <c r="E437" s="91" t="s">
        <v>1853</v>
      </c>
      <c r="F437" s="124" t="s">
        <v>620</v>
      </c>
      <c r="G437" s="304">
        <v>2020</v>
      </c>
      <c r="H437" s="312" t="s">
        <v>733</v>
      </c>
      <c r="I437" s="307" t="str">
        <f t="shared" si="26"/>
        <v>Pesado de Passageiros M3: III : Gasóleo : E6</v>
      </c>
      <c r="J437" s="125">
        <v>53</v>
      </c>
      <c r="K437" s="125">
        <v>2022</v>
      </c>
      <c r="L437" s="85">
        <v>19066.93</v>
      </c>
      <c r="M437" s="85" t="s">
        <v>630</v>
      </c>
      <c r="N437" s="128">
        <v>77521</v>
      </c>
      <c r="O437" s="128">
        <f t="shared" si="27"/>
        <v>4108613</v>
      </c>
      <c r="P437" s="125" t="s">
        <v>1065</v>
      </c>
      <c r="Q437" s="85" t="s">
        <v>47</v>
      </c>
      <c r="R437" s="214" t="s">
        <v>1869</v>
      </c>
      <c r="S437" s="214" t="s">
        <v>1861</v>
      </c>
      <c r="T437" s="85" t="s">
        <v>1491</v>
      </c>
      <c r="U437" t="s">
        <v>1953</v>
      </c>
      <c r="V437" t="s">
        <v>2813</v>
      </c>
    </row>
    <row r="438" spans="1:22" ht="15.75" thickBot="1" x14ac:dyDescent="0.3">
      <c r="A438" s="82" t="s">
        <v>3472</v>
      </c>
      <c r="B438" s="82" t="str">
        <f t="shared" si="24"/>
        <v>Barraqueiro Transportes, S.A.</v>
      </c>
      <c r="C438" s="82" t="str">
        <f t="shared" si="25"/>
        <v>Frota Azul</v>
      </c>
      <c r="D438" s="83" t="s">
        <v>629</v>
      </c>
      <c r="E438" s="91" t="s">
        <v>1853</v>
      </c>
      <c r="F438" s="124" t="s">
        <v>620</v>
      </c>
      <c r="G438" s="304">
        <v>2020</v>
      </c>
      <c r="H438" s="312" t="s">
        <v>733</v>
      </c>
      <c r="I438" s="307" t="str">
        <f t="shared" si="26"/>
        <v>Pesado de Passageiros M3: III : Gasóleo : E6</v>
      </c>
      <c r="J438" s="125">
        <v>53</v>
      </c>
      <c r="K438" s="125">
        <v>2022</v>
      </c>
      <c r="L438" s="85">
        <v>18015.920000000002</v>
      </c>
      <c r="M438" s="85" t="s">
        <v>630</v>
      </c>
      <c r="N438" s="128">
        <v>71564</v>
      </c>
      <c r="O438" s="128">
        <f t="shared" si="27"/>
        <v>3792892</v>
      </c>
      <c r="P438" s="125" t="s">
        <v>1066</v>
      </c>
      <c r="Q438" s="85" t="s">
        <v>47</v>
      </c>
      <c r="R438" s="214" t="s">
        <v>1869</v>
      </c>
      <c r="S438" s="214" t="s">
        <v>1861</v>
      </c>
      <c r="T438" s="85" t="s">
        <v>1491</v>
      </c>
      <c r="U438" t="s">
        <v>1953</v>
      </c>
      <c r="V438" t="s">
        <v>2813</v>
      </c>
    </row>
    <row r="439" spans="1:22" ht="15.75" thickBot="1" x14ac:dyDescent="0.3">
      <c r="A439" s="82" t="s">
        <v>3472</v>
      </c>
      <c r="B439" s="82" t="str">
        <f t="shared" si="24"/>
        <v>Barraqueiro Transportes, S.A.</v>
      </c>
      <c r="C439" s="82" t="str">
        <f t="shared" si="25"/>
        <v>Frota Azul</v>
      </c>
      <c r="D439" s="83" t="s">
        <v>629</v>
      </c>
      <c r="E439" s="91" t="s">
        <v>1853</v>
      </c>
      <c r="F439" s="124" t="s">
        <v>620</v>
      </c>
      <c r="G439" s="304">
        <v>2020</v>
      </c>
      <c r="H439" s="312" t="s">
        <v>733</v>
      </c>
      <c r="I439" s="307" t="str">
        <f t="shared" si="26"/>
        <v>Pesado de Passageiros M3: III : Gasóleo : E6</v>
      </c>
      <c r="J439" s="125">
        <v>53</v>
      </c>
      <c r="K439" s="125">
        <v>2022</v>
      </c>
      <c r="L439" s="85">
        <v>20321.989999999998</v>
      </c>
      <c r="M439" s="85" t="s">
        <v>630</v>
      </c>
      <c r="N439" s="128">
        <v>78685</v>
      </c>
      <c r="O439" s="128">
        <f t="shared" si="27"/>
        <v>4170305</v>
      </c>
      <c r="P439" s="125" t="s">
        <v>1067</v>
      </c>
      <c r="Q439" s="85" t="s">
        <v>47</v>
      </c>
      <c r="R439" s="214" t="s">
        <v>1869</v>
      </c>
      <c r="S439" s="214" t="s">
        <v>1861</v>
      </c>
      <c r="T439" s="85" t="s">
        <v>1491</v>
      </c>
      <c r="U439" t="s">
        <v>1953</v>
      </c>
      <c r="V439" t="s">
        <v>2813</v>
      </c>
    </row>
    <row r="440" spans="1:22" ht="15.75" thickBot="1" x14ac:dyDescent="0.3">
      <c r="A440" s="82" t="s">
        <v>3472</v>
      </c>
      <c r="B440" s="82" t="str">
        <f t="shared" si="24"/>
        <v>Barraqueiro Transportes, S.A.</v>
      </c>
      <c r="C440" s="82" t="str">
        <f t="shared" si="25"/>
        <v>Frota Azul</v>
      </c>
      <c r="D440" s="83" t="s">
        <v>629</v>
      </c>
      <c r="E440" s="91" t="s">
        <v>1853</v>
      </c>
      <c r="F440" s="124" t="s">
        <v>620</v>
      </c>
      <c r="G440" s="304">
        <v>2020</v>
      </c>
      <c r="H440" s="312" t="s">
        <v>733</v>
      </c>
      <c r="I440" s="307" t="str">
        <f t="shared" si="26"/>
        <v>Pesado de Passageiros M3: III : Gasóleo : E6</v>
      </c>
      <c r="J440" s="125">
        <v>53</v>
      </c>
      <c r="K440" s="125">
        <v>2022</v>
      </c>
      <c r="L440" s="85">
        <v>16479.09</v>
      </c>
      <c r="M440" s="85" t="s">
        <v>630</v>
      </c>
      <c r="N440" s="128">
        <v>63844</v>
      </c>
      <c r="O440" s="128">
        <f t="shared" si="27"/>
        <v>3383732</v>
      </c>
      <c r="P440" s="125" t="s">
        <v>1068</v>
      </c>
      <c r="Q440" s="85" t="s">
        <v>47</v>
      </c>
      <c r="R440" s="214" t="s">
        <v>1869</v>
      </c>
      <c r="S440" s="214" t="s">
        <v>1861</v>
      </c>
      <c r="T440" s="85" t="s">
        <v>1491</v>
      </c>
      <c r="U440" t="s">
        <v>1953</v>
      </c>
      <c r="V440" t="s">
        <v>2813</v>
      </c>
    </row>
    <row r="441" spans="1:22" ht="15.75" thickBot="1" x14ac:dyDescent="0.3">
      <c r="A441" s="82" t="s">
        <v>3472</v>
      </c>
      <c r="B441" s="82" t="str">
        <f t="shared" si="24"/>
        <v>Barraqueiro Transportes, S.A.</v>
      </c>
      <c r="C441" s="82" t="str">
        <f t="shared" si="25"/>
        <v>Frota Azul</v>
      </c>
      <c r="D441" s="83" t="s">
        <v>629</v>
      </c>
      <c r="E441" s="91" t="s">
        <v>1853</v>
      </c>
      <c r="F441" s="124" t="s">
        <v>620</v>
      </c>
      <c r="G441" s="304">
        <v>2020</v>
      </c>
      <c r="H441" s="312" t="s">
        <v>733</v>
      </c>
      <c r="I441" s="307" t="str">
        <f t="shared" si="26"/>
        <v>Pesado de Passageiros M3: III : Gasóleo : E6</v>
      </c>
      <c r="J441" s="125">
        <v>53</v>
      </c>
      <c r="K441" s="125">
        <v>2022</v>
      </c>
      <c r="L441" s="85">
        <v>13606.670000000002</v>
      </c>
      <c r="M441" s="85" t="s">
        <v>630</v>
      </c>
      <c r="N441" s="128">
        <v>55026</v>
      </c>
      <c r="O441" s="128">
        <f t="shared" si="27"/>
        <v>2916378</v>
      </c>
      <c r="P441" s="125" t="s">
        <v>1069</v>
      </c>
      <c r="Q441" s="85" t="s">
        <v>47</v>
      </c>
      <c r="R441" s="214" t="s">
        <v>1869</v>
      </c>
      <c r="S441" s="214" t="s">
        <v>1861</v>
      </c>
      <c r="T441" s="85" t="s">
        <v>1491</v>
      </c>
      <c r="U441" t="s">
        <v>1953</v>
      </c>
      <c r="V441" t="s">
        <v>2813</v>
      </c>
    </row>
    <row r="442" spans="1:22" ht="15.75" thickBot="1" x14ac:dyDescent="0.3">
      <c r="A442" s="82" t="s">
        <v>3472</v>
      </c>
      <c r="B442" s="82" t="str">
        <f t="shared" si="24"/>
        <v>Barraqueiro Transportes, S.A.</v>
      </c>
      <c r="C442" s="82" t="str">
        <f t="shared" si="25"/>
        <v>Frota Azul</v>
      </c>
      <c r="D442" s="83" t="s">
        <v>629</v>
      </c>
      <c r="E442" s="91" t="s">
        <v>1853</v>
      </c>
      <c r="F442" s="124" t="s">
        <v>620</v>
      </c>
      <c r="G442" s="304">
        <v>2020</v>
      </c>
      <c r="H442" s="312" t="s">
        <v>733</v>
      </c>
      <c r="I442" s="307" t="str">
        <f t="shared" si="26"/>
        <v>Pesado de Passageiros M3: III : Gasóleo : E6</v>
      </c>
      <c r="J442" s="125">
        <v>53</v>
      </c>
      <c r="K442" s="125">
        <v>2022</v>
      </c>
      <c r="L442" s="85">
        <v>16157.441999999999</v>
      </c>
      <c r="M442" s="85" t="s">
        <v>630</v>
      </c>
      <c r="N442" s="128">
        <v>61812</v>
      </c>
      <c r="O442" s="128">
        <f t="shared" si="27"/>
        <v>3276036</v>
      </c>
      <c r="P442" s="125" t="s">
        <v>1070</v>
      </c>
      <c r="Q442" s="85" t="s">
        <v>47</v>
      </c>
      <c r="R442" s="214" t="s">
        <v>1869</v>
      </c>
      <c r="S442" s="214" t="s">
        <v>1861</v>
      </c>
      <c r="T442" s="85" t="s">
        <v>1491</v>
      </c>
      <c r="U442" t="s">
        <v>1953</v>
      </c>
      <c r="V442" t="s">
        <v>2813</v>
      </c>
    </row>
    <row r="443" spans="1:22" ht="15.75" thickBot="1" x14ac:dyDescent="0.3">
      <c r="A443" s="82" t="s">
        <v>3472</v>
      </c>
      <c r="B443" s="82" t="str">
        <f t="shared" si="24"/>
        <v>Barraqueiro Transportes, S.A.</v>
      </c>
      <c r="C443" s="82" t="str">
        <f t="shared" si="25"/>
        <v>Frota Azul</v>
      </c>
      <c r="D443" s="83" t="s">
        <v>629</v>
      </c>
      <c r="E443" s="91" t="s">
        <v>1853</v>
      </c>
      <c r="F443" s="124" t="s">
        <v>620</v>
      </c>
      <c r="G443" s="304">
        <v>2020</v>
      </c>
      <c r="H443" s="312" t="s">
        <v>733</v>
      </c>
      <c r="I443" s="307" t="str">
        <f t="shared" si="26"/>
        <v>Pesado de Passageiros M3: III : Gasóleo : E6</v>
      </c>
      <c r="J443" s="125">
        <v>53</v>
      </c>
      <c r="K443" s="125">
        <v>2022</v>
      </c>
      <c r="L443" s="85">
        <v>16946.89</v>
      </c>
      <c r="M443" s="85" t="s">
        <v>630</v>
      </c>
      <c r="N443" s="128">
        <v>65733</v>
      </c>
      <c r="O443" s="128">
        <f t="shared" si="27"/>
        <v>3483849</v>
      </c>
      <c r="P443" s="125" t="s">
        <v>1071</v>
      </c>
      <c r="Q443" s="85" t="s">
        <v>47</v>
      </c>
      <c r="R443" s="214" t="s">
        <v>1869</v>
      </c>
      <c r="S443" s="214" t="s">
        <v>1861</v>
      </c>
      <c r="T443" s="85" t="s">
        <v>1491</v>
      </c>
      <c r="U443" t="s">
        <v>1953</v>
      </c>
      <c r="V443" t="s">
        <v>2813</v>
      </c>
    </row>
    <row r="444" spans="1:22" ht="15.75" thickBot="1" x14ac:dyDescent="0.3">
      <c r="A444" s="82" t="s">
        <v>3470</v>
      </c>
      <c r="B444" s="82" t="str">
        <f t="shared" si="24"/>
        <v>Barraqueiro Transportes, S.A.</v>
      </c>
      <c r="C444" s="82" t="str">
        <f t="shared" si="25"/>
        <v>Mafrense</v>
      </c>
      <c r="D444" s="83" t="s">
        <v>629</v>
      </c>
      <c r="E444" s="91" t="s">
        <v>1853</v>
      </c>
      <c r="F444" s="124" t="s">
        <v>620</v>
      </c>
      <c r="G444" s="304">
        <v>2008</v>
      </c>
      <c r="H444" s="312" t="s">
        <v>731</v>
      </c>
      <c r="I444" s="307" t="str">
        <f t="shared" si="26"/>
        <v>Pesado de Passageiros M3: III : Gasóleo : E4</v>
      </c>
      <c r="J444" s="125">
        <v>55</v>
      </c>
      <c r="K444" s="125">
        <v>2022</v>
      </c>
      <c r="L444" s="85">
        <v>7663.8710000000001</v>
      </c>
      <c r="M444" s="85" t="s">
        <v>630</v>
      </c>
      <c r="N444" s="128">
        <v>19308</v>
      </c>
      <c r="O444" s="128">
        <f t="shared" si="27"/>
        <v>1061940</v>
      </c>
      <c r="P444" s="125" t="s">
        <v>1073</v>
      </c>
      <c r="Q444" s="85" t="s">
        <v>47</v>
      </c>
      <c r="R444" s="214" t="s">
        <v>1869</v>
      </c>
      <c r="S444" s="214" t="s">
        <v>1861</v>
      </c>
      <c r="T444" s="85" t="s">
        <v>1491</v>
      </c>
      <c r="U444" t="s">
        <v>1953</v>
      </c>
      <c r="V444" t="s">
        <v>2813</v>
      </c>
    </row>
    <row r="445" spans="1:22" ht="15.75" thickBot="1" x14ac:dyDescent="0.3">
      <c r="A445" s="82" t="s">
        <v>3470</v>
      </c>
      <c r="B445" s="82" t="str">
        <f t="shared" si="24"/>
        <v>Barraqueiro Transportes, S.A.</v>
      </c>
      <c r="C445" s="82" t="str">
        <f t="shared" si="25"/>
        <v>Mafrense</v>
      </c>
      <c r="D445" s="83" t="s">
        <v>629</v>
      </c>
      <c r="E445" s="91" t="s">
        <v>1853</v>
      </c>
      <c r="F445" s="124" t="s">
        <v>620</v>
      </c>
      <c r="G445" s="304">
        <v>2008</v>
      </c>
      <c r="H445" s="312" t="s">
        <v>731</v>
      </c>
      <c r="I445" s="307" t="str">
        <f t="shared" si="26"/>
        <v>Pesado de Passageiros M3: III : Gasóleo : E4</v>
      </c>
      <c r="J445" s="125">
        <v>55</v>
      </c>
      <c r="K445" s="125">
        <v>2022</v>
      </c>
      <c r="L445" s="85">
        <v>11827.54</v>
      </c>
      <c r="M445" s="85" t="s">
        <v>630</v>
      </c>
      <c r="N445" s="128">
        <v>29645</v>
      </c>
      <c r="O445" s="128">
        <f t="shared" si="27"/>
        <v>1630475</v>
      </c>
      <c r="P445" s="125" t="s">
        <v>1074</v>
      </c>
      <c r="Q445" s="85" t="s">
        <v>47</v>
      </c>
      <c r="R445" s="214" t="s">
        <v>1869</v>
      </c>
      <c r="S445" s="214" t="s">
        <v>1861</v>
      </c>
      <c r="T445" s="85" t="s">
        <v>1491</v>
      </c>
      <c r="U445" t="s">
        <v>1953</v>
      </c>
      <c r="V445" t="s">
        <v>2813</v>
      </c>
    </row>
    <row r="446" spans="1:22" ht="15.75" thickBot="1" x14ac:dyDescent="0.3">
      <c r="A446" s="82" t="s">
        <v>3470</v>
      </c>
      <c r="B446" s="82" t="str">
        <f t="shared" si="24"/>
        <v>Barraqueiro Transportes, S.A.</v>
      </c>
      <c r="C446" s="82" t="str">
        <f t="shared" si="25"/>
        <v>Mafrense</v>
      </c>
      <c r="D446" s="83" t="s">
        <v>629</v>
      </c>
      <c r="E446" s="91" t="s">
        <v>1853</v>
      </c>
      <c r="F446" s="124" t="s">
        <v>620</v>
      </c>
      <c r="G446" s="304">
        <v>2008</v>
      </c>
      <c r="H446" s="312" t="s">
        <v>731</v>
      </c>
      <c r="I446" s="307" t="str">
        <f t="shared" si="26"/>
        <v>Pesado de Passageiros M3: III : Gasóleo : E4</v>
      </c>
      <c r="J446" s="125">
        <v>55</v>
      </c>
      <c r="K446" s="125">
        <v>2022</v>
      </c>
      <c r="L446" s="85">
        <v>9738.6369999999988</v>
      </c>
      <c r="M446" s="85" t="s">
        <v>630</v>
      </c>
      <c r="N446" s="128">
        <v>23679</v>
      </c>
      <c r="O446" s="128">
        <f t="shared" si="27"/>
        <v>1302345</v>
      </c>
      <c r="P446" s="125" t="s">
        <v>1075</v>
      </c>
      <c r="Q446" s="85" t="s">
        <v>47</v>
      </c>
      <c r="R446" s="214" t="s">
        <v>1869</v>
      </c>
      <c r="S446" s="214" t="s">
        <v>1861</v>
      </c>
      <c r="T446" s="85" t="s">
        <v>1491</v>
      </c>
      <c r="U446" t="s">
        <v>1953</v>
      </c>
      <c r="V446" t="s">
        <v>2813</v>
      </c>
    </row>
    <row r="447" spans="1:22" ht="15.75" thickBot="1" x14ac:dyDescent="0.3">
      <c r="A447" s="82" t="s">
        <v>3470</v>
      </c>
      <c r="B447" s="82" t="str">
        <f t="shared" si="24"/>
        <v>Barraqueiro Transportes, S.A.</v>
      </c>
      <c r="C447" s="82" t="str">
        <f t="shared" si="25"/>
        <v>Mafrense</v>
      </c>
      <c r="D447" s="83" t="s">
        <v>629</v>
      </c>
      <c r="E447" s="91" t="s">
        <v>1853</v>
      </c>
      <c r="F447" s="124" t="s">
        <v>620</v>
      </c>
      <c r="G447" s="304">
        <v>2008</v>
      </c>
      <c r="H447" s="312" t="s">
        <v>731</v>
      </c>
      <c r="I447" s="307" t="str">
        <f t="shared" si="26"/>
        <v>Pesado de Passageiros M3: III : Gasóleo : E4</v>
      </c>
      <c r="J447" s="125">
        <v>55</v>
      </c>
      <c r="K447" s="125">
        <v>2022</v>
      </c>
      <c r="L447" s="85">
        <v>9195.0460000000003</v>
      </c>
      <c r="M447" s="85" t="s">
        <v>630</v>
      </c>
      <c r="N447" s="128">
        <v>24790</v>
      </c>
      <c r="O447" s="128">
        <f t="shared" si="27"/>
        <v>1363450</v>
      </c>
      <c r="P447" s="125" t="s">
        <v>1076</v>
      </c>
      <c r="Q447" s="85" t="s">
        <v>47</v>
      </c>
      <c r="R447" s="214" t="s">
        <v>1869</v>
      </c>
      <c r="S447" s="214" t="s">
        <v>1861</v>
      </c>
      <c r="T447" s="85" t="s">
        <v>1491</v>
      </c>
      <c r="U447" t="s">
        <v>1953</v>
      </c>
      <c r="V447" t="s">
        <v>2813</v>
      </c>
    </row>
    <row r="448" spans="1:22" ht="15.75" thickBot="1" x14ac:dyDescent="0.3">
      <c r="A448" s="82" t="s">
        <v>3470</v>
      </c>
      <c r="B448" s="82" t="str">
        <f t="shared" si="24"/>
        <v>Barraqueiro Transportes, S.A.</v>
      </c>
      <c r="C448" s="82" t="str">
        <f t="shared" si="25"/>
        <v>Mafrense</v>
      </c>
      <c r="D448" s="83" t="s">
        <v>629</v>
      </c>
      <c r="E448" s="91" t="s">
        <v>1853</v>
      </c>
      <c r="F448" s="124" t="s">
        <v>620</v>
      </c>
      <c r="G448" s="304">
        <v>2006</v>
      </c>
      <c r="H448" s="312" t="s">
        <v>731</v>
      </c>
      <c r="I448" s="307" t="str">
        <f t="shared" si="26"/>
        <v>Pesado de Passageiros M3: III : Gasóleo : E4</v>
      </c>
      <c r="J448" s="125">
        <v>59</v>
      </c>
      <c r="K448" s="125">
        <v>2022</v>
      </c>
      <c r="L448" s="85">
        <v>18374.928999999996</v>
      </c>
      <c r="M448" s="85" t="s">
        <v>630</v>
      </c>
      <c r="N448" s="128">
        <v>43275</v>
      </c>
      <c r="O448" s="128">
        <f t="shared" si="27"/>
        <v>2553225</v>
      </c>
      <c r="P448" s="125" t="s">
        <v>1077</v>
      </c>
      <c r="Q448" s="85" t="s">
        <v>47</v>
      </c>
      <c r="R448" s="214" t="s">
        <v>1869</v>
      </c>
      <c r="S448" s="214" t="s">
        <v>1861</v>
      </c>
      <c r="T448" s="85" t="s">
        <v>1491</v>
      </c>
      <c r="U448" t="s">
        <v>1953</v>
      </c>
      <c r="V448" t="s">
        <v>2813</v>
      </c>
    </row>
    <row r="449" spans="1:22" ht="15.75" thickBot="1" x14ac:dyDescent="0.3">
      <c r="A449" s="82" t="s">
        <v>3470</v>
      </c>
      <c r="B449" s="82" t="str">
        <f t="shared" si="24"/>
        <v>Barraqueiro Transportes, S.A.</v>
      </c>
      <c r="C449" s="82" t="str">
        <f t="shared" si="25"/>
        <v>Mafrense</v>
      </c>
      <c r="D449" s="83" t="s">
        <v>629</v>
      </c>
      <c r="E449" s="91" t="s">
        <v>1853</v>
      </c>
      <c r="F449" s="124" t="s">
        <v>620</v>
      </c>
      <c r="G449" s="304">
        <v>2006</v>
      </c>
      <c r="H449" s="312" t="s">
        <v>731</v>
      </c>
      <c r="I449" s="307" t="str">
        <f t="shared" si="26"/>
        <v>Pesado de Passageiros M3: III : Gasóleo : E4</v>
      </c>
      <c r="J449" s="125">
        <v>59</v>
      </c>
      <c r="K449" s="125">
        <v>2022</v>
      </c>
      <c r="L449" s="85">
        <v>14303.306999999999</v>
      </c>
      <c r="M449" s="85" t="s">
        <v>630</v>
      </c>
      <c r="N449" s="128">
        <v>33191</v>
      </c>
      <c r="O449" s="128">
        <f t="shared" si="27"/>
        <v>1958269</v>
      </c>
      <c r="P449" s="125" t="s">
        <v>741</v>
      </c>
      <c r="Q449" s="85" t="s">
        <v>47</v>
      </c>
      <c r="R449" s="214" t="s">
        <v>1869</v>
      </c>
      <c r="S449" s="214" t="s">
        <v>1861</v>
      </c>
      <c r="T449" s="85" t="s">
        <v>1491</v>
      </c>
      <c r="U449" t="s">
        <v>1953</v>
      </c>
      <c r="V449" t="s">
        <v>2813</v>
      </c>
    </row>
    <row r="450" spans="1:22" ht="15.75" thickBot="1" x14ac:dyDescent="0.3">
      <c r="A450" s="82" t="s">
        <v>3470</v>
      </c>
      <c r="B450" s="82" t="str">
        <f t="shared" si="24"/>
        <v>Barraqueiro Transportes, S.A.</v>
      </c>
      <c r="C450" s="82" t="str">
        <f t="shared" si="25"/>
        <v>Mafrense</v>
      </c>
      <c r="D450" s="83" t="s">
        <v>629</v>
      </c>
      <c r="E450" s="91" t="s">
        <v>1853</v>
      </c>
      <c r="F450" s="124" t="s">
        <v>620</v>
      </c>
      <c r="G450" s="304">
        <v>2006</v>
      </c>
      <c r="H450" s="312" t="s">
        <v>731</v>
      </c>
      <c r="I450" s="307" t="str">
        <f t="shared" si="26"/>
        <v>Pesado de Passageiros M3: III : Gasóleo : E4</v>
      </c>
      <c r="J450" s="125">
        <v>15</v>
      </c>
      <c r="K450" s="125">
        <v>2022</v>
      </c>
      <c r="L450" s="85">
        <v>4312.7699999999995</v>
      </c>
      <c r="M450" s="85" t="s">
        <v>630</v>
      </c>
      <c r="N450" s="128">
        <v>33614</v>
      </c>
      <c r="O450" s="128">
        <f t="shared" si="27"/>
        <v>504210</v>
      </c>
      <c r="P450" s="125" t="s">
        <v>1078</v>
      </c>
      <c r="Q450" s="85" t="s">
        <v>47</v>
      </c>
      <c r="R450" s="214" t="s">
        <v>1869</v>
      </c>
      <c r="S450" s="214" t="s">
        <v>1861</v>
      </c>
      <c r="T450" s="85" t="s">
        <v>1491</v>
      </c>
      <c r="U450" t="s">
        <v>1953</v>
      </c>
      <c r="V450" t="s">
        <v>2813</v>
      </c>
    </row>
    <row r="451" spans="1:22" ht="15.75" thickBot="1" x14ac:dyDescent="0.3">
      <c r="A451" s="82" t="s">
        <v>3470</v>
      </c>
      <c r="B451" s="82" t="str">
        <f t="shared" ref="B451:B514" si="28">LEFT(A451,IFERROR(FIND(" - ",A451)-1,LEN(A451)))</f>
        <v>Barraqueiro Transportes, S.A.</v>
      </c>
      <c r="C451" s="82" t="str">
        <f t="shared" si="25"/>
        <v>Mafrense</v>
      </c>
      <c r="D451" s="83" t="s">
        <v>629</v>
      </c>
      <c r="E451" s="91" t="s">
        <v>1853</v>
      </c>
      <c r="F451" s="124" t="s">
        <v>620</v>
      </c>
      <c r="G451" s="304">
        <v>2006</v>
      </c>
      <c r="H451" s="312" t="s">
        <v>731</v>
      </c>
      <c r="I451" s="307" t="str">
        <f t="shared" si="26"/>
        <v>Pesado de Passageiros M3: III : Gasóleo : E4</v>
      </c>
      <c r="J451" s="125">
        <v>27</v>
      </c>
      <c r="K451" s="125">
        <v>2022</v>
      </c>
      <c r="L451" s="85">
        <v>4908.1000000000004</v>
      </c>
      <c r="M451" s="85" t="s">
        <v>630</v>
      </c>
      <c r="N451" s="128">
        <v>26776</v>
      </c>
      <c r="O451" s="128">
        <f t="shared" si="27"/>
        <v>722952</v>
      </c>
      <c r="P451" s="125" t="s">
        <v>1079</v>
      </c>
      <c r="Q451" s="85" t="s">
        <v>47</v>
      </c>
      <c r="R451" s="214" t="s">
        <v>1869</v>
      </c>
      <c r="S451" s="214" t="s">
        <v>1861</v>
      </c>
      <c r="T451" s="85" t="s">
        <v>1491</v>
      </c>
      <c r="U451" t="s">
        <v>1953</v>
      </c>
      <c r="V451" t="s">
        <v>2813</v>
      </c>
    </row>
    <row r="452" spans="1:22" ht="15.75" thickBot="1" x14ac:dyDescent="0.3">
      <c r="A452" s="82" t="s">
        <v>3470</v>
      </c>
      <c r="B452" s="82" t="str">
        <f t="shared" si="28"/>
        <v>Barraqueiro Transportes, S.A.</v>
      </c>
      <c r="C452" s="82" t="str">
        <f t="shared" ref="C452:C515" si="29">IF(A452=B452,B452,RIGHT(A452,LEN(A452)-LEN(B452)-3))</f>
        <v>Mafrense</v>
      </c>
      <c r="D452" s="83" t="s">
        <v>629</v>
      </c>
      <c r="E452" s="91" t="s">
        <v>1853</v>
      </c>
      <c r="F452" s="124" t="s">
        <v>620</v>
      </c>
      <c r="G452" s="304">
        <v>2007</v>
      </c>
      <c r="H452" s="312" t="s">
        <v>731</v>
      </c>
      <c r="I452" s="307" t="str">
        <f t="shared" ref="I452:I515" si="30">D452&amp;": "&amp;E452&amp;" : "&amp;F452&amp;" : "&amp;H452</f>
        <v>Pesado de Passageiros M3: III : Gasóleo : E4</v>
      </c>
      <c r="J452" s="125">
        <v>53</v>
      </c>
      <c r="K452" s="125">
        <v>2022</v>
      </c>
      <c r="L452" s="85">
        <v>15328.579999999998</v>
      </c>
      <c r="M452" s="85" t="s">
        <v>630</v>
      </c>
      <c r="N452" s="128">
        <v>38192</v>
      </c>
      <c r="O452" s="128">
        <f t="shared" ref="O452:O515" si="31">N452*J452</f>
        <v>2024176</v>
      </c>
      <c r="P452" s="125" t="s">
        <v>1080</v>
      </c>
      <c r="Q452" s="85" t="s">
        <v>47</v>
      </c>
      <c r="R452" s="214" t="s">
        <v>1869</v>
      </c>
      <c r="S452" s="214" t="s">
        <v>1861</v>
      </c>
      <c r="T452" s="85" t="s">
        <v>1491</v>
      </c>
      <c r="U452" t="s">
        <v>1953</v>
      </c>
      <c r="V452" t="s">
        <v>2813</v>
      </c>
    </row>
    <row r="453" spans="1:22" ht="15.75" thickBot="1" x14ac:dyDescent="0.3">
      <c r="A453" s="82" t="s">
        <v>3470</v>
      </c>
      <c r="B453" s="82" t="str">
        <f t="shared" si="28"/>
        <v>Barraqueiro Transportes, S.A.</v>
      </c>
      <c r="C453" s="82" t="str">
        <f t="shared" si="29"/>
        <v>Mafrense</v>
      </c>
      <c r="D453" s="83" t="s">
        <v>629</v>
      </c>
      <c r="E453" s="91" t="s">
        <v>1853</v>
      </c>
      <c r="F453" s="124" t="s">
        <v>620</v>
      </c>
      <c r="G453" s="304">
        <v>2007</v>
      </c>
      <c r="H453" s="312" t="s">
        <v>731</v>
      </c>
      <c r="I453" s="307" t="str">
        <f t="shared" si="30"/>
        <v>Pesado de Passageiros M3: III : Gasóleo : E4</v>
      </c>
      <c r="J453" s="125">
        <v>53</v>
      </c>
      <c r="K453" s="125">
        <v>2022</v>
      </c>
      <c r="L453" s="85">
        <v>12068.099999999999</v>
      </c>
      <c r="M453" s="85" t="s">
        <v>630</v>
      </c>
      <c r="N453" s="128">
        <v>31875</v>
      </c>
      <c r="O453" s="128">
        <f t="shared" si="31"/>
        <v>1689375</v>
      </c>
      <c r="P453" s="125" t="s">
        <v>1081</v>
      </c>
      <c r="Q453" s="85" t="s">
        <v>47</v>
      </c>
      <c r="R453" s="214" t="s">
        <v>1869</v>
      </c>
      <c r="S453" s="214" t="s">
        <v>1861</v>
      </c>
      <c r="T453" s="85" t="s">
        <v>1491</v>
      </c>
      <c r="U453" t="s">
        <v>1953</v>
      </c>
      <c r="V453" t="s">
        <v>2813</v>
      </c>
    </row>
    <row r="454" spans="1:22" ht="15.75" thickBot="1" x14ac:dyDescent="0.3">
      <c r="A454" s="82" t="s">
        <v>3470</v>
      </c>
      <c r="B454" s="82" t="str">
        <f t="shared" si="28"/>
        <v>Barraqueiro Transportes, S.A.</v>
      </c>
      <c r="C454" s="82" t="str">
        <f t="shared" si="29"/>
        <v>Mafrense</v>
      </c>
      <c r="D454" s="83" t="s">
        <v>629</v>
      </c>
      <c r="E454" s="91" t="s">
        <v>1853</v>
      </c>
      <c r="F454" s="124" t="s">
        <v>620</v>
      </c>
      <c r="G454" s="304">
        <v>2007</v>
      </c>
      <c r="H454" s="312" t="s">
        <v>731</v>
      </c>
      <c r="I454" s="307" t="str">
        <f t="shared" si="30"/>
        <v>Pesado de Passageiros M3: III : Gasóleo : E4</v>
      </c>
      <c r="J454" s="125">
        <v>55</v>
      </c>
      <c r="K454" s="125">
        <v>2022</v>
      </c>
      <c r="L454" s="85">
        <v>14938.543000000001</v>
      </c>
      <c r="M454" s="85" t="s">
        <v>630</v>
      </c>
      <c r="N454" s="128">
        <v>43346</v>
      </c>
      <c r="O454" s="128">
        <f t="shared" si="31"/>
        <v>2384030</v>
      </c>
      <c r="P454" s="125" t="s">
        <v>1082</v>
      </c>
      <c r="Q454" s="85" t="s">
        <v>47</v>
      </c>
      <c r="R454" s="214" t="s">
        <v>1869</v>
      </c>
      <c r="S454" s="214" t="s">
        <v>1861</v>
      </c>
      <c r="T454" s="85" t="s">
        <v>1491</v>
      </c>
      <c r="U454" t="s">
        <v>1953</v>
      </c>
      <c r="V454" t="s">
        <v>2813</v>
      </c>
    </row>
    <row r="455" spans="1:22" ht="15.75" thickBot="1" x14ac:dyDescent="0.3">
      <c r="A455" s="82" t="s">
        <v>3470</v>
      </c>
      <c r="B455" s="82" t="str">
        <f t="shared" si="28"/>
        <v>Barraqueiro Transportes, S.A.</v>
      </c>
      <c r="C455" s="82" t="str">
        <f t="shared" si="29"/>
        <v>Mafrense</v>
      </c>
      <c r="D455" s="83" t="s">
        <v>629</v>
      </c>
      <c r="E455" s="91" t="s">
        <v>1853</v>
      </c>
      <c r="F455" s="124" t="s">
        <v>620</v>
      </c>
      <c r="G455" s="304">
        <v>2008</v>
      </c>
      <c r="H455" s="312" t="s">
        <v>731</v>
      </c>
      <c r="I455" s="307" t="str">
        <f t="shared" si="30"/>
        <v>Pesado de Passageiros M3: III : Gasóleo : E4</v>
      </c>
      <c r="J455" s="125">
        <v>77</v>
      </c>
      <c r="K455" s="125">
        <v>2022</v>
      </c>
      <c r="L455" s="85">
        <v>13937.773999999999</v>
      </c>
      <c r="M455" s="85" t="s">
        <v>630</v>
      </c>
      <c r="N455" s="128">
        <v>35333</v>
      </c>
      <c r="O455" s="128">
        <f t="shared" si="31"/>
        <v>2720641</v>
      </c>
      <c r="P455" s="125" t="s">
        <v>1083</v>
      </c>
      <c r="Q455" s="85" t="s">
        <v>47</v>
      </c>
      <c r="R455" s="214" t="s">
        <v>1869</v>
      </c>
      <c r="S455" s="214" t="s">
        <v>1861</v>
      </c>
      <c r="T455" s="85" t="s">
        <v>1491</v>
      </c>
      <c r="U455" t="s">
        <v>1953</v>
      </c>
      <c r="V455" t="s">
        <v>2813</v>
      </c>
    </row>
    <row r="456" spans="1:22" ht="15.75" thickBot="1" x14ac:dyDescent="0.3">
      <c r="A456" s="82" t="s">
        <v>3470</v>
      </c>
      <c r="B456" s="82" t="str">
        <f t="shared" si="28"/>
        <v>Barraqueiro Transportes, S.A.</v>
      </c>
      <c r="C456" s="82" t="str">
        <f t="shared" si="29"/>
        <v>Mafrense</v>
      </c>
      <c r="D456" s="83" t="s">
        <v>629</v>
      </c>
      <c r="E456" s="91" t="s">
        <v>1853</v>
      </c>
      <c r="F456" s="124" t="s">
        <v>620</v>
      </c>
      <c r="G456" s="304">
        <v>1997</v>
      </c>
      <c r="H456" s="312" t="s">
        <v>736</v>
      </c>
      <c r="I456" s="307" t="str">
        <f t="shared" si="30"/>
        <v>Pesado de Passageiros M3: III : Gasóleo : E1</v>
      </c>
      <c r="J456" s="125">
        <v>96</v>
      </c>
      <c r="K456" s="125">
        <v>2022</v>
      </c>
      <c r="L456" s="85">
        <v>10585.036999999998</v>
      </c>
      <c r="M456" s="85" t="s">
        <v>630</v>
      </c>
      <c r="N456" s="128">
        <v>23911</v>
      </c>
      <c r="O456" s="128">
        <f t="shared" si="31"/>
        <v>2295456</v>
      </c>
      <c r="P456" s="125" t="s">
        <v>1084</v>
      </c>
      <c r="Q456" s="85" t="s">
        <v>47</v>
      </c>
      <c r="R456" s="214" t="s">
        <v>1869</v>
      </c>
      <c r="S456" s="214" t="s">
        <v>1861</v>
      </c>
      <c r="T456" s="85" t="s">
        <v>1491</v>
      </c>
      <c r="U456" t="s">
        <v>1953</v>
      </c>
      <c r="V456" t="s">
        <v>2813</v>
      </c>
    </row>
    <row r="457" spans="1:22" ht="15.75" thickBot="1" x14ac:dyDescent="0.3">
      <c r="A457" s="82" t="s">
        <v>3470</v>
      </c>
      <c r="B457" s="82" t="str">
        <f t="shared" si="28"/>
        <v>Barraqueiro Transportes, S.A.</v>
      </c>
      <c r="C457" s="82" t="str">
        <f t="shared" si="29"/>
        <v>Mafrense</v>
      </c>
      <c r="D457" s="83" t="s">
        <v>629</v>
      </c>
      <c r="E457" s="91" t="s">
        <v>1853</v>
      </c>
      <c r="F457" s="124" t="s">
        <v>620</v>
      </c>
      <c r="G457" s="304">
        <v>2008</v>
      </c>
      <c r="H457" s="312" t="s">
        <v>731</v>
      </c>
      <c r="I457" s="307" t="str">
        <f t="shared" si="30"/>
        <v>Pesado de Passageiros M3: III : Gasóleo : E4</v>
      </c>
      <c r="J457" s="125">
        <v>53</v>
      </c>
      <c r="K457" s="125">
        <v>2022</v>
      </c>
      <c r="L457" s="85">
        <v>13098.329999999998</v>
      </c>
      <c r="M457" s="85" t="s">
        <v>630</v>
      </c>
      <c r="N457" s="128">
        <v>36781</v>
      </c>
      <c r="O457" s="128">
        <f t="shared" si="31"/>
        <v>1949393</v>
      </c>
      <c r="P457" s="125" t="s">
        <v>1085</v>
      </c>
      <c r="Q457" s="85" t="s">
        <v>47</v>
      </c>
      <c r="R457" s="214" t="s">
        <v>1869</v>
      </c>
      <c r="S457" s="214" t="s">
        <v>1861</v>
      </c>
      <c r="T457" s="85" t="s">
        <v>1491</v>
      </c>
      <c r="U457" t="s">
        <v>1953</v>
      </c>
      <c r="V457" t="s">
        <v>2813</v>
      </c>
    </row>
    <row r="458" spans="1:22" ht="15.75" thickBot="1" x14ac:dyDescent="0.3">
      <c r="A458" s="82" t="s">
        <v>3470</v>
      </c>
      <c r="B458" s="82" t="str">
        <f t="shared" si="28"/>
        <v>Barraqueiro Transportes, S.A.</v>
      </c>
      <c r="C458" s="82" t="str">
        <f t="shared" si="29"/>
        <v>Mafrense</v>
      </c>
      <c r="D458" s="83" t="s">
        <v>629</v>
      </c>
      <c r="E458" s="91" t="s">
        <v>1853</v>
      </c>
      <c r="F458" s="124" t="s">
        <v>620</v>
      </c>
      <c r="G458" s="304">
        <v>2008</v>
      </c>
      <c r="H458" s="312" t="s">
        <v>731</v>
      </c>
      <c r="I458" s="307" t="str">
        <f t="shared" si="30"/>
        <v>Pesado de Passageiros M3: III : Gasóleo : E4</v>
      </c>
      <c r="J458" s="125">
        <v>53</v>
      </c>
      <c r="K458" s="125">
        <v>2022</v>
      </c>
      <c r="L458" s="85">
        <v>18233.2</v>
      </c>
      <c r="M458" s="85" t="s">
        <v>630</v>
      </c>
      <c r="N458" s="128">
        <v>52364</v>
      </c>
      <c r="O458" s="128">
        <f t="shared" si="31"/>
        <v>2775292</v>
      </c>
      <c r="P458" s="125" t="s">
        <v>1086</v>
      </c>
      <c r="Q458" s="85" t="s">
        <v>47</v>
      </c>
      <c r="R458" s="214" t="s">
        <v>1869</v>
      </c>
      <c r="S458" s="214" t="s">
        <v>1861</v>
      </c>
      <c r="T458" s="85" t="s">
        <v>1491</v>
      </c>
      <c r="U458" t="s">
        <v>1953</v>
      </c>
      <c r="V458" t="s">
        <v>2813</v>
      </c>
    </row>
    <row r="459" spans="1:22" ht="15.75" thickBot="1" x14ac:dyDescent="0.3">
      <c r="A459" s="82" t="s">
        <v>3470</v>
      </c>
      <c r="B459" s="82" t="str">
        <f t="shared" si="28"/>
        <v>Barraqueiro Transportes, S.A.</v>
      </c>
      <c r="C459" s="82" t="str">
        <f t="shared" si="29"/>
        <v>Mafrense</v>
      </c>
      <c r="D459" s="83" t="s">
        <v>629</v>
      </c>
      <c r="E459" s="91" t="s">
        <v>1853</v>
      </c>
      <c r="F459" s="124" t="s">
        <v>620</v>
      </c>
      <c r="G459" s="304">
        <v>2008</v>
      </c>
      <c r="H459" s="312" t="s">
        <v>731</v>
      </c>
      <c r="I459" s="307" t="str">
        <f t="shared" si="30"/>
        <v>Pesado de Passageiros M3: III : Gasóleo : E4</v>
      </c>
      <c r="J459" s="125">
        <v>25</v>
      </c>
      <c r="K459" s="125">
        <v>2022</v>
      </c>
      <c r="L459" s="85">
        <v>5022.1499999999996</v>
      </c>
      <c r="M459" s="85" t="s">
        <v>630</v>
      </c>
      <c r="N459" s="128">
        <v>28936</v>
      </c>
      <c r="O459" s="128">
        <f t="shared" si="31"/>
        <v>723400</v>
      </c>
      <c r="P459" s="125" t="s">
        <v>1087</v>
      </c>
      <c r="Q459" s="85" t="s">
        <v>47</v>
      </c>
      <c r="R459" s="214" t="s">
        <v>1869</v>
      </c>
      <c r="S459" s="214" t="s">
        <v>1861</v>
      </c>
      <c r="T459" s="85" t="s">
        <v>1491</v>
      </c>
      <c r="U459" t="s">
        <v>1953</v>
      </c>
      <c r="V459" t="s">
        <v>2813</v>
      </c>
    </row>
    <row r="460" spans="1:22" ht="15.75" thickBot="1" x14ac:dyDescent="0.3">
      <c r="A460" s="82" t="s">
        <v>3470</v>
      </c>
      <c r="B460" s="82" t="str">
        <f t="shared" si="28"/>
        <v>Barraqueiro Transportes, S.A.</v>
      </c>
      <c r="C460" s="82" t="str">
        <f t="shared" si="29"/>
        <v>Mafrense</v>
      </c>
      <c r="D460" s="83" t="s">
        <v>629</v>
      </c>
      <c r="E460" s="91" t="s">
        <v>1853</v>
      </c>
      <c r="F460" s="124" t="s">
        <v>620</v>
      </c>
      <c r="G460" s="304">
        <v>2008</v>
      </c>
      <c r="H460" s="312" t="s">
        <v>731</v>
      </c>
      <c r="I460" s="307" t="str">
        <f t="shared" si="30"/>
        <v>Pesado de Passageiros M3: III : Gasóleo : E4</v>
      </c>
      <c r="J460" s="125">
        <v>20</v>
      </c>
      <c r="K460" s="125">
        <v>2022</v>
      </c>
      <c r="L460" s="85">
        <v>4144.66</v>
      </c>
      <c r="M460" s="85" t="s">
        <v>630</v>
      </c>
      <c r="N460" s="128">
        <v>21137</v>
      </c>
      <c r="O460" s="128">
        <f t="shared" si="31"/>
        <v>422740</v>
      </c>
      <c r="P460" s="125" t="s">
        <v>1088</v>
      </c>
      <c r="Q460" s="85" t="s">
        <v>47</v>
      </c>
      <c r="R460" s="214" t="s">
        <v>1869</v>
      </c>
      <c r="S460" s="214" t="s">
        <v>1861</v>
      </c>
      <c r="T460" s="85" t="s">
        <v>1491</v>
      </c>
      <c r="U460" t="s">
        <v>1953</v>
      </c>
      <c r="V460" t="s">
        <v>2813</v>
      </c>
    </row>
    <row r="461" spans="1:22" ht="15.75" thickBot="1" x14ac:dyDescent="0.3">
      <c r="A461" s="82" t="s">
        <v>3470</v>
      </c>
      <c r="B461" s="82" t="str">
        <f t="shared" si="28"/>
        <v>Barraqueiro Transportes, S.A.</v>
      </c>
      <c r="C461" s="82" t="str">
        <f t="shared" si="29"/>
        <v>Mafrense</v>
      </c>
      <c r="D461" s="83" t="s">
        <v>629</v>
      </c>
      <c r="E461" s="91" t="s">
        <v>1853</v>
      </c>
      <c r="F461" s="124" t="s">
        <v>620</v>
      </c>
      <c r="G461" s="304">
        <v>2009</v>
      </c>
      <c r="H461" s="312" t="s">
        <v>734</v>
      </c>
      <c r="I461" s="307" t="str">
        <f t="shared" si="30"/>
        <v>Pesado de Passageiros M3: III : Gasóleo : E5</v>
      </c>
      <c r="J461" s="125">
        <v>66</v>
      </c>
      <c r="K461" s="125">
        <v>2022</v>
      </c>
      <c r="L461" s="85">
        <v>11625.89</v>
      </c>
      <c r="M461" s="85" t="s">
        <v>630</v>
      </c>
      <c r="N461" s="128">
        <v>29641</v>
      </c>
      <c r="O461" s="128">
        <f t="shared" si="31"/>
        <v>1956306</v>
      </c>
      <c r="P461" s="125" t="s">
        <v>1089</v>
      </c>
      <c r="Q461" s="85" t="s">
        <v>47</v>
      </c>
      <c r="R461" s="214" t="s">
        <v>1869</v>
      </c>
      <c r="S461" s="214" t="s">
        <v>1861</v>
      </c>
      <c r="T461" s="85" t="s">
        <v>1491</v>
      </c>
      <c r="U461" t="s">
        <v>1953</v>
      </c>
      <c r="V461" t="s">
        <v>2813</v>
      </c>
    </row>
    <row r="462" spans="1:22" ht="15.75" thickBot="1" x14ac:dyDescent="0.3">
      <c r="A462" s="82" t="s">
        <v>3470</v>
      </c>
      <c r="B462" s="82" t="str">
        <f t="shared" si="28"/>
        <v>Barraqueiro Transportes, S.A.</v>
      </c>
      <c r="C462" s="82" t="str">
        <f t="shared" si="29"/>
        <v>Mafrense</v>
      </c>
      <c r="D462" s="83" t="s">
        <v>629</v>
      </c>
      <c r="E462" s="91" t="s">
        <v>1853</v>
      </c>
      <c r="F462" s="124" t="s">
        <v>620</v>
      </c>
      <c r="G462" s="304">
        <v>2009</v>
      </c>
      <c r="H462" s="312" t="s">
        <v>734</v>
      </c>
      <c r="I462" s="307" t="str">
        <f t="shared" si="30"/>
        <v>Pesado de Passageiros M3: III : Gasóleo : E5</v>
      </c>
      <c r="J462" s="125">
        <v>83</v>
      </c>
      <c r="K462" s="125">
        <v>2022</v>
      </c>
      <c r="L462" s="85">
        <v>28833.219000000005</v>
      </c>
      <c r="M462" s="85" t="s">
        <v>630</v>
      </c>
      <c r="N462" s="128">
        <v>70873</v>
      </c>
      <c r="O462" s="128">
        <f t="shared" si="31"/>
        <v>5882459</v>
      </c>
      <c r="P462" s="125" t="s">
        <v>1090</v>
      </c>
      <c r="Q462" s="85" t="s">
        <v>47</v>
      </c>
      <c r="R462" s="214" t="s">
        <v>1869</v>
      </c>
      <c r="S462" s="214" t="s">
        <v>1861</v>
      </c>
      <c r="T462" s="85" t="s">
        <v>1491</v>
      </c>
      <c r="U462" t="s">
        <v>1953</v>
      </c>
      <c r="V462" t="s">
        <v>2813</v>
      </c>
    </row>
    <row r="463" spans="1:22" ht="15.75" thickBot="1" x14ac:dyDescent="0.3">
      <c r="A463" s="82" t="s">
        <v>3470</v>
      </c>
      <c r="B463" s="82" t="str">
        <f t="shared" si="28"/>
        <v>Barraqueiro Transportes, S.A.</v>
      </c>
      <c r="C463" s="82" t="str">
        <f t="shared" si="29"/>
        <v>Mafrense</v>
      </c>
      <c r="D463" s="83" t="s">
        <v>629</v>
      </c>
      <c r="E463" s="91" t="s">
        <v>1853</v>
      </c>
      <c r="F463" s="124" t="s">
        <v>620</v>
      </c>
      <c r="G463" s="304">
        <v>2009</v>
      </c>
      <c r="H463" s="312" t="s">
        <v>734</v>
      </c>
      <c r="I463" s="307" t="str">
        <f t="shared" si="30"/>
        <v>Pesado de Passageiros M3: III : Gasóleo : E5</v>
      </c>
      <c r="J463" s="125">
        <v>83</v>
      </c>
      <c r="K463" s="125">
        <v>2022</v>
      </c>
      <c r="L463" s="85">
        <v>23512.665000000005</v>
      </c>
      <c r="M463" s="85" t="s">
        <v>630</v>
      </c>
      <c r="N463" s="128">
        <v>54794</v>
      </c>
      <c r="O463" s="128">
        <f t="shared" si="31"/>
        <v>4547902</v>
      </c>
      <c r="P463" s="125" t="s">
        <v>1091</v>
      </c>
      <c r="Q463" s="85" t="s">
        <v>47</v>
      </c>
      <c r="R463" s="214" t="s">
        <v>1869</v>
      </c>
      <c r="S463" s="214" t="s">
        <v>1861</v>
      </c>
      <c r="T463" s="85" t="s">
        <v>1491</v>
      </c>
      <c r="U463" t="s">
        <v>1953</v>
      </c>
      <c r="V463" t="s">
        <v>2813</v>
      </c>
    </row>
    <row r="464" spans="1:22" ht="15.75" thickBot="1" x14ac:dyDescent="0.3">
      <c r="A464" s="82" t="s">
        <v>3470</v>
      </c>
      <c r="B464" s="82" t="str">
        <f t="shared" si="28"/>
        <v>Barraqueiro Transportes, S.A.</v>
      </c>
      <c r="C464" s="82" t="str">
        <f t="shared" si="29"/>
        <v>Mafrense</v>
      </c>
      <c r="D464" s="83" t="s">
        <v>629</v>
      </c>
      <c r="E464" s="91" t="s">
        <v>1853</v>
      </c>
      <c r="F464" s="124" t="s">
        <v>620</v>
      </c>
      <c r="G464" s="304">
        <v>2009</v>
      </c>
      <c r="H464" s="312" t="s">
        <v>734</v>
      </c>
      <c r="I464" s="307" t="str">
        <f t="shared" si="30"/>
        <v>Pesado de Passageiros M3: III : Gasóleo : E5</v>
      </c>
      <c r="J464" s="125">
        <v>53</v>
      </c>
      <c r="K464" s="125">
        <v>2022</v>
      </c>
      <c r="L464" s="85">
        <v>20903.398000000001</v>
      </c>
      <c r="M464" s="85" t="s">
        <v>630</v>
      </c>
      <c r="N464" s="128">
        <v>53384</v>
      </c>
      <c r="O464" s="128">
        <f t="shared" si="31"/>
        <v>2829352</v>
      </c>
      <c r="P464" s="125" t="s">
        <v>1092</v>
      </c>
      <c r="Q464" s="85" t="s">
        <v>47</v>
      </c>
      <c r="R464" s="214" t="s">
        <v>1869</v>
      </c>
      <c r="S464" s="214" t="s">
        <v>1861</v>
      </c>
      <c r="T464" s="85" t="s">
        <v>1491</v>
      </c>
      <c r="U464" t="s">
        <v>1953</v>
      </c>
      <c r="V464" t="s">
        <v>2813</v>
      </c>
    </row>
    <row r="465" spans="1:22" ht="15.75" thickBot="1" x14ac:dyDescent="0.3">
      <c r="A465" s="82" t="s">
        <v>3470</v>
      </c>
      <c r="B465" s="82" t="str">
        <f t="shared" si="28"/>
        <v>Barraqueiro Transportes, S.A.</v>
      </c>
      <c r="C465" s="82" t="str">
        <f t="shared" si="29"/>
        <v>Mafrense</v>
      </c>
      <c r="D465" s="83" t="s">
        <v>629</v>
      </c>
      <c r="E465" s="91" t="s">
        <v>1853</v>
      </c>
      <c r="F465" s="124" t="s">
        <v>620</v>
      </c>
      <c r="G465" s="304">
        <v>2009</v>
      </c>
      <c r="H465" s="312" t="s">
        <v>734</v>
      </c>
      <c r="I465" s="307" t="str">
        <f t="shared" si="30"/>
        <v>Pesado de Passageiros M3: III : Gasóleo : E5</v>
      </c>
      <c r="J465" s="125">
        <v>60</v>
      </c>
      <c r="K465" s="125">
        <v>2022</v>
      </c>
      <c r="L465" s="85">
        <v>3128.5899999999997</v>
      </c>
      <c r="M465" s="85" t="s">
        <v>630</v>
      </c>
      <c r="N465" s="128">
        <v>8559</v>
      </c>
      <c r="O465" s="128">
        <f t="shared" si="31"/>
        <v>513540</v>
      </c>
      <c r="P465" s="125" t="s">
        <v>1093</v>
      </c>
      <c r="Q465" s="85" t="s">
        <v>47</v>
      </c>
      <c r="R465" s="214" t="s">
        <v>1869</v>
      </c>
      <c r="S465" s="214" t="s">
        <v>1861</v>
      </c>
      <c r="T465" s="85" t="s">
        <v>1491</v>
      </c>
      <c r="U465" t="s">
        <v>1953</v>
      </c>
      <c r="V465" t="s">
        <v>2813</v>
      </c>
    </row>
    <row r="466" spans="1:22" ht="15.75" thickBot="1" x14ac:dyDescent="0.3">
      <c r="A466" s="82" t="s">
        <v>3470</v>
      </c>
      <c r="B466" s="82" t="str">
        <f t="shared" si="28"/>
        <v>Barraqueiro Transportes, S.A.</v>
      </c>
      <c r="C466" s="82" t="str">
        <f t="shared" si="29"/>
        <v>Mafrense</v>
      </c>
      <c r="D466" s="83" t="s">
        <v>629</v>
      </c>
      <c r="E466" s="91" t="s">
        <v>1853</v>
      </c>
      <c r="F466" s="124" t="s">
        <v>620</v>
      </c>
      <c r="G466" s="304">
        <v>2008</v>
      </c>
      <c r="H466" s="312" t="s">
        <v>731</v>
      </c>
      <c r="I466" s="307" t="str">
        <f t="shared" si="30"/>
        <v>Pesado de Passageiros M3: III : Gasóleo : E4</v>
      </c>
      <c r="J466" s="125">
        <v>95</v>
      </c>
      <c r="K466" s="125">
        <v>2022</v>
      </c>
      <c r="L466" s="85">
        <v>33190.101000000002</v>
      </c>
      <c r="M466" s="85" t="s">
        <v>630</v>
      </c>
      <c r="N466" s="128">
        <v>75551</v>
      </c>
      <c r="O466" s="128">
        <f t="shared" si="31"/>
        <v>7177345</v>
      </c>
      <c r="P466" s="125" t="s">
        <v>1094</v>
      </c>
      <c r="Q466" s="85" t="s">
        <v>47</v>
      </c>
      <c r="R466" s="214" t="s">
        <v>1869</v>
      </c>
      <c r="S466" s="214" t="s">
        <v>1861</v>
      </c>
      <c r="T466" s="85" t="s">
        <v>1491</v>
      </c>
      <c r="U466" t="s">
        <v>1953</v>
      </c>
      <c r="V466" t="s">
        <v>2813</v>
      </c>
    </row>
    <row r="467" spans="1:22" ht="15.75" thickBot="1" x14ac:dyDescent="0.3">
      <c r="A467" s="82" t="s">
        <v>3470</v>
      </c>
      <c r="B467" s="82" t="str">
        <f t="shared" si="28"/>
        <v>Barraqueiro Transportes, S.A.</v>
      </c>
      <c r="C467" s="82" t="str">
        <f t="shared" si="29"/>
        <v>Mafrense</v>
      </c>
      <c r="D467" s="83" t="s">
        <v>629</v>
      </c>
      <c r="E467" s="91" t="s">
        <v>1853</v>
      </c>
      <c r="F467" s="124" t="s">
        <v>620</v>
      </c>
      <c r="G467" s="304">
        <v>2010</v>
      </c>
      <c r="H467" s="312" t="s">
        <v>734</v>
      </c>
      <c r="I467" s="307" t="str">
        <f t="shared" si="30"/>
        <v>Pesado de Passageiros M3: III : Gasóleo : E5</v>
      </c>
      <c r="J467" s="125">
        <v>59</v>
      </c>
      <c r="K467" s="125">
        <v>2022</v>
      </c>
      <c r="L467" s="85">
        <v>10350.083999999999</v>
      </c>
      <c r="M467" s="85" t="s">
        <v>630</v>
      </c>
      <c r="N467" s="128">
        <v>23961</v>
      </c>
      <c r="O467" s="128">
        <f t="shared" si="31"/>
        <v>1413699</v>
      </c>
      <c r="P467" s="125" t="s">
        <v>1095</v>
      </c>
      <c r="Q467" s="85" t="s">
        <v>47</v>
      </c>
      <c r="R467" s="214" t="s">
        <v>1869</v>
      </c>
      <c r="S467" s="214" t="s">
        <v>1861</v>
      </c>
      <c r="T467" s="85" t="s">
        <v>1491</v>
      </c>
      <c r="U467" t="s">
        <v>1953</v>
      </c>
      <c r="V467" t="s">
        <v>2813</v>
      </c>
    </row>
    <row r="468" spans="1:22" ht="15.75" thickBot="1" x14ac:dyDescent="0.3">
      <c r="A468" s="82" t="s">
        <v>3470</v>
      </c>
      <c r="B468" s="82" t="str">
        <f t="shared" si="28"/>
        <v>Barraqueiro Transportes, S.A.</v>
      </c>
      <c r="C468" s="82" t="str">
        <f t="shared" si="29"/>
        <v>Mafrense</v>
      </c>
      <c r="D468" s="83" t="s">
        <v>629</v>
      </c>
      <c r="E468" s="91" t="s">
        <v>1853</v>
      </c>
      <c r="F468" s="124" t="s">
        <v>620</v>
      </c>
      <c r="G468" s="304">
        <v>2007</v>
      </c>
      <c r="H468" s="312" t="s">
        <v>731</v>
      </c>
      <c r="I468" s="307" t="str">
        <f t="shared" si="30"/>
        <v>Pesado de Passageiros M3: III : Gasóleo : E4</v>
      </c>
      <c r="J468" s="125">
        <v>57</v>
      </c>
      <c r="K468" s="125">
        <v>2022</v>
      </c>
      <c r="L468" s="85">
        <v>21755.670000000002</v>
      </c>
      <c r="M468" s="85" t="s">
        <v>630</v>
      </c>
      <c r="N468" s="128">
        <v>56393</v>
      </c>
      <c r="O468" s="128">
        <f t="shared" si="31"/>
        <v>3214401</v>
      </c>
      <c r="P468" s="125" t="s">
        <v>1096</v>
      </c>
      <c r="Q468" s="85" t="s">
        <v>47</v>
      </c>
      <c r="R468" s="214" t="s">
        <v>1869</v>
      </c>
      <c r="S468" s="214" t="s">
        <v>1861</v>
      </c>
      <c r="T468" s="85" t="s">
        <v>1491</v>
      </c>
      <c r="U468" t="s">
        <v>1953</v>
      </c>
      <c r="V468" t="s">
        <v>2813</v>
      </c>
    </row>
    <row r="469" spans="1:22" ht="15.75" thickBot="1" x14ac:dyDescent="0.3">
      <c r="A469" s="82" t="s">
        <v>3470</v>
      </c>
      <c r="B469" s="82" t="str">
        <f t="shared" si="28"/>
        <v>Barraqueiro Transportes, S.A.</v>
      </c>
      <c r="C469" s="82" t="str">
        <f t="shared" si="29"/>
        <v>Mafrense</v>
      </c>
      <c r="D469" s="83" t="s">
        <v>629</v>
      </c>
      <c r="E469" s="91" t="s">
        <v>1853</v>
      </c>
      <c r="F469" s="124" t="s">
        <v>620</v>
      </c>
      <c r="G469" s="304">
        <v>2009</v>
      </c>
      <c r="H469" s="312" t="s">
        <v>734</v>
      </c>
      <c r="I469" s="307" t="str">
        <f t="shared" si="30"/>
        <v>Pesado de Passageiros M3: III : Gasóleo : E5</v>
      </c>
      <c r="J469" s="125">
        <v>71</v>
      </c>
      <c r="K469" s="125">
        <v>2022</v>
      </c>
      <c r="L469" s="85">
        <v>17752.546000000002</v>
      </c>
      <c r="M469" s="85" t="s">
        <v>630</v>
      </c>
      <c r="N469" s="128">
        <v>39841</v>
      </c>
      <c r="O469" s="128">
        <f t="shared" si="31"/>
        <v>2828711</v>
      </c>
      <c r="P469" s="125" t="s">
        <v>1097</v>
      </c>
      <c r="Q469" s="85" t="s">
        <v>47</v>
      </c>
      <c r="R469" s="214" t="s">
        <v>1869</v>
      </c>
      <c r="S469" s="214" t="s">
        <v>1861</v>
      </c>
      <c r="T469" s="85" t="s">
        <v>1491</v>
      </c>
      <c r="U469" t="s">
        <v>1953</v>
      </c>
      <c r="V469" t="s">
        <v>2813</v>
      </c>
    </row>
    <row r="470" spans="1:22" ht="15.75" thickBot="1" x14ac:dyDescent="0.3">
      <c r="A470" s="82" t="s">
        <v>3470</v>
      </c>
      <c r="B470" s="82" t="str">
        <f t="shared" si="28"/>
        <v>Barraqueiro Transportes, S.A.</v>
      </c>
      <c r="C470" s="82" t="str">
        <f t="shared" si="29"/>
        <v>Mafrense</v>
      </c>
      <c r="D470" s="83" t="s">
        <v>629</v>
      </c>
      <c r="E470" s="91" t="s">
        <v>1853</v>
      </c>
      <c r="F470" s="124" t="s">
        <v>620</v>
      </c>
      <c r="G470" s="304">
        <v>2009</v>
      </c>
      <c r="H470" s="312" t="s">
        <v>734</v>
      </c>
      <c r="I470" s="307" t="str">
        <f t="shared" si="30"/>
        <v>Pesado de Passageiros M3: III : Gasóleo : E5</v>
      </c>
      <c r="J470" s="125">
        <v>71</v>
      </c>
      <c r="K470" s="125">
        <v>2022</v>
      </c>
      <c r="L470" s="85">
        <v>10776.28</v>
      </c>
      <c r="M470" s="85" t="s">
        <v>630</v>
      </c>
      <c r="N470" s="128">
        <v>24725</v>
      </c>
      <c r="O470" s="128">
        <f t="shared" si="31"/>
        <v>1755475</v>
      </c>
      <c r="P470" s="125" t="s">
        <v>1098</v>
      </c>
      <c r="Q470" s="85" t="s">
        <v>47</v>
      </c>
      <c r="R470" s="214" t="s">
        <v>1869</v>
      </c>
      <c r="S470" s="214" t="s">
        <v>1861</v>
      </c>
      <c r="T470" s="85" t="s">
        <v>1491</v>
      </c>
      <c r="U470" t="s">
        <v>1953</v>
      </c>
      <c r="V470" t="s">
        <v>2813</v>
      </c>
    </row>
    <row r="471" spans="1:22" ht="15.75" thickBot="1" x14ac:dyDescent="0.3">
      <c r="A471" s="82" t="s">
        <v>3470</v>
      </c>
      <c r="B471" s="82" t="str">
        <f t="shared" si="28"/>
        <v>Barraqueiro Transportes, S.A.</v>
      </c>
      <c r="C471" s="82" t="str">
        <f t="shared" si="29"/>
        <v>Mafrense</v>
      </c>
      <c r="D471" s="83" t="s">
        <v>629</v>
      </c>
      <c r="E471" s="91" t="s">
        <v>1853</v>
      </c>
      <c r="F471" s="124" t="s">
        <v>620</v>
      </c>
      <c r="G471" s="304">
        <v>2001</v>
      </c>
      <c r="H471" s="312" t="s">
        <v>732</v>
      </c>
      <c r="I471" s="307" t="str">
        <f t="shared" si="30"/>
        <v>Pesado de Passageiros M3: III : Gasóleo : E3</v>
      </c>
      <c r="J471" s="125">
        <v>55</v>
      </c>
      <c r="K471" s="125">
        <v>2022</v>
      </c>
      <c r="L471" s="85">
        <v>11819.01</v>
      </c>
      <c r="M471" s="85" t="s">
        <v>630</v>
      </c>
      <c r="N471" s="128">
        <v>31831</v>
      </c>
      <c r="O471" s="128">
        <f t="shared" si="31"/>
        <v>1750705</v>
      </c>
      <c r="P471" s="125" t="s">
        <v>1099</v>
      </c>
      <c r="Q471" s="85" t="s">
        <v>47</v>
      </c>
      <c r="R471" s="214" t="s">
        <v>1869</v>
      </c>
      <c r="S471" s="214" t="s">
        <v>1861</v>
      </c>
      <c r="T471" s="85" t="s">
        <v>1491</v>
      </c>
      <c r="U471" t="s">
        <v>1953</v>
      </c>
      <c r="V471" t="s">
        <v>2813</v>
      </c>
    </row>
    <row r="472" spans="1:22" ht="15.75" thickBot="1" x14ac:dyDescent="0.3">
      <c r="A472" s="82" t="s">
        <v>3470</v>
      </c>
      <c r="B472" s="82" t="str">
        <f t="shared" si="28"/>
        <v>Barraqueiro Transportes, S.A.</v>
      </c>
      <c r="C472" s="82" t="str">
        <f t="shared" si="29"/>
        <v>Mafrense</v>
      </c>
      <c r="D472" s="83" t="s">
        <v>629</v>
      </c>
      <c r="E472" s="91" t="s">
        <v>1853</v>
      </c>
      <c r="F472" s="124" t="s">
        <v>620</v>
      </c>
      <c r="G472" s="304">
        <v>2001</v>
      </c>
      <c r="H472" s="312" t="s">
        <v>732</v>
      </c>
      <c r="I472" s="307" t="str">
        <f t="shared" si="30"/>
        <v>Pesado de Passageiros M3: III : Gasóleo : E3</v>
      </c>
      <c r="J472" s="125">
        <v>55</v>
      </c>
      <c r="K472" s="125">
        <v>2022</v>
      </c>
      <c r="L472" s="85">
        <v>10915.310000000003</v>
      </c>
      <c r="M472" s="85" t="s">
        <v>630</v>
      </c>
      <c r="N472" s="128">
        <v>28022</v>
      </c>
      <c r="O472" s="128">
        <f t="shared" si="31"/>
        <v>1541210</v>
      </c>
      <c r="P472" s="125" t="s">
        <v>1100</v>
      </c>
      <c r="Q472" s="85" t="s">
        <v>47</v>
      </c>
      <c r="R472" s="214" t="s">
        <v>1869</v>
      </c>
      <c r="S472" s="214" t="s">
        <v>1861</v>
      </c>
      <c r="T472" s="85" t="s">
        <v>1491</v>
      </c>
      <c r="U472" t="s">
        <v>1953</v>
      </c>
      <c r="V472" t="s">
        <v>2813</v>
      </c>
    </row>
    <row r="473" spans="1:22" ht="15.75" thickBot="1" x14ac:dyDescent="0.3">
      <c r="A473" s="82" t="s">
        <v>3470</v>
      </c>
      <c r="B473" s="82" t="str">
        <f t="shared" si="28"/>
        <v>Barraqueiro Transportes, S.A.</v>
      </c>
      <c r="C473" s="82" t="str">
        <f t="shared" si="29"/>
        <v>Mafrense</v>
      </c>
      <c r="D473" s="83" t="s">
        <v>629</v>
      </c>
      <c r="E473" s="91" t="s">
        <v>1853</v>
      </c>
      <c r="F473" s="124" t="s">
        <v>620</v>
      </c>
      <c r="G473" s="304">
        <v>2001</v>
      </c>
      <c r="H473" s="312" t="s">
        <v>732</v>
      </c>
      <c r="I473" s="307" t="str">
        <f t="shared" si="30"/>
        <v>Pesado de Passageiros M3: III : Gasóleo : E3</v>
      </c>
      <c r="J473" s="125">
        <v>55</v>
      </c>
      <c r="K473" s="125">
        <v>2022</v>
      </c>
      <c r="L473" s="85">
        <v>10524.800000000001</v>
      </c>
      <c r="M473" s="85" t="s">
        <v>630</v>
      </c>
      <c r="N473" s="128">
        <v>27814</v>
      </c>
      <c r="O473" s="128">
        <f t="shared" si="31"/>
        <v>1529770</v>
      </c>
      <c r="P473" s="125" t="s">
        <v>1101</v>
      </c>
      <c r="Q473" s="85" t="s">
        <v>47</v>
      </c>
      <c r="R473" s="214" t="s">
        <v>1869</v>
      </c>
      <c r="S473" s="214" t="s">
        <v>1861</v>
      </c>
      <c r="T473" s="85" t="s">
        <v>1491</v>
      </c>
      <c r="U473" t="s">
        <v>1953</v>
      </c>
      <c r="V473" t="s">
        <v>2813</v>
      </c>
    </row>
    <row r="474" spans="1:22" ht="15.75" thickBot="1" x14ac:dyDescent="0.3">
      <c r="A474" s="82" t="s">
        <v>3470</v>
      </c>
      <c r="B474" s="82" t="str">
        <f t="shared" si="28"/>
        <v>Barraqueiro Transportes, S.A.</v>
      </c>
      <c r="C474" s="82" t="str">
        <f t="shared" si="29"/>
        <v>Mafrense</v>
      </c>
      <c r="D474" s="83" t="s">
        <v>629</v>
      </c>
      <c r="E474" s="91" t="s">
        <v>1853</v>
      </c>
      <c r="F474" s="124" t="s">
        <v>620</v>
      </c>
      <c r="G474" s="304">
        <v>2001</v>
      </c>
      <c r="H474" s="312" t="s">
        <v>732</v>
      </c>
      <c r="I474" s="307" t="str">
        <f t="shared" si="30"/>
        <v>Pesado de Passageiros M3: III : Gasóleo : E3</v>
      </c>
      <c r="J474" s="125">
        <v>55</v>
      </c>
      <c r="K474" s="125">
        <v>2022</v>
      </c>
      <c r="L474" s="85">
        <v>12080.310000000001</v>
      </c>
      <c r="M474" s="85" t="s">
        <v>630</v>
      </c>
      <c r="N474" s="128">
        <v>30827</v>
      </c>
      <c r="O474" s="128">
        <f t="shared" si="31"/>
        <v>1695485</v>
      </c>
      <c r="P474" s="125" t="s">
        <v>1102</v>
      </c>
      <c r="Q474" s="85" t="s">
        <v>47</v>
      </c>
      <c r="R474" s="214" t="s">
        <v>1869</v>
      </c>
      <c r="S474" s="214" t="s">
        <v>1861</v>
      </c>
      <c r="T474" s="85" t="s">
        <v>1491</v>
      </c>
      <c r="U474" t="s">
        <v>1953</v>
      </c>
      <c r="V474" t="s">
        <v>2813</v>
      </c>
    </row>
    <row r="475" spans="1:22" ht="15.75" thickBot="1" x14ac:dyDescent="0.3">
      <c r="A475" s="82" t="s">
        <v>3470</v>
      </c>
      <c r="B475" s="82" t="str">
        <f t="shared" si="28"/>
        <v>Barraqueiro Transportes, S.A.</v>
      </c>
      <c r="C475" s="82" t="str">
        <f t="shared" si="29"/>
        <v>Mafrense</v>
      </c>
      <c r="D475" s="83" t="s">
        <v>629</v>
      </c>
      <c r="E475" s="91" t="s">
        <v>1853</v>
      </c>
      <c r="F475" s="124" t="s">
        <v>620</v>
      </c>
      <c r="G475" s="304">
        <v>1996</v>
      </c>
      <c r="H475" s="312" t="s">
        <v>736</v>
      </c>
      <c r="I475" s="307" t="str">
        <f t="shared" si="30"/>
        <v>Pesado de Passageiros M3: III : Gasóleo : E1</v>
      </c>
      <c r="J475" s="125">
        <v>53</v>
      </c>
      <c r="K475" s="125">
        <v>2022</v>
      </c>
      <c r="L475" s="85">
        <v>8044.18</v>
      </c>
      <c r="M475" s="85" t="s">
        <v>630</v>
      </c>
      <c r="N475" s="128">
        <v>23421</v>
      </c>
      <c r="O475" s="128">
        <f t="shared" si="31"/>
        <v>1241313</v>
      </c>
      <c r="P475" s="125" t="s">
        <v>782</v>
      </c>
      <c r="Q475" s="85" t="s">
        <v>47</v>
      </c>
      <c r="R475" s="214" t="s">
        <v>1869</v>
      </c>
      <c r="S475" s="214" t="s">
        <v>1861</v>
      </c>
      <c r="T475" s="85" t="s">
        <v>1491</v>
      </c>
      <c r="U475" t="s">
        <v>1953</v>
      </c>
      <c r="V475" t="s">
        <v>2813</v>
      </c>
    </row>
    <row r="476" spans="1:22" ht="15.75" thickBot="1" x14ac:dyDescent="0.3">
      <c r="A476" s="82" t="s">
        <v>3470</v>
      </c>
      <c r="B476" s="82" t="str">
        <f t="shared" si="28"/>
        <v>Barraqueiro Transportes, S.A.</v>
      </c>
      <c r="C476" s="82" t="str">
        <f t="shared" si="29"/>
        <v>Mafrense</v>
      </c>
      <c r="D476" s="83" t="s">
        <v>629</v>
      </c>
      <c r="E476" s="91" t="s">
        <v>1853</v>
      </c>
      <c r="F476" s="124" t="s">
        <v>620</v>
      </c>
      <c r="G476" s="304">
        <v>1996</v>
      </c>
      <c r="H476" s="312" t="s">
        <v>736</v>
      </c>
      <c r="I476" s="307" t="str">
        <f t="shared" si="30"/>
        <v>Pesado de Passageiros M3: III : Gasóleo : E1</v>
      </c>
      <c r="J476" s="125">
        <v>53</v>
      </c>
      <c r="K476" s="125">
        <v>2022</v>
      </c>
      <c r="L476" s="85">
        <v>6795.07</v>
      </c>
      <c r="M476" s="85" t="s">
        <v>630</v>
      </c>
      <c r="N476" s="128">
        <v>19597</v>
      </c>
      <c r="O476" s="128">
        <f t="shared" si="31"/>
        <v>1038641</v>
      </c>
      <c r="P476" s="125" t="s">
        <v>1103</v>
      </c>
      <c r="Q476" s="85" t="s">
        <v>47</v>
      </c>
      <c r="R476" s="214" t="s">
        <v>1869</v>
      </c>
      <c r="S476" s="214" t="s">
        <v>1861</v>
      </c>
      <c r="T476" s="85" t="s">
        <v>1491</v>
      </c>
      <c r="U476" t="s">
        <v>1953</v>
      </c>
      <c r="V476" t="s">
        <v>2813</v>
      </c>
    </row>
    <row r="477" spans="1:22" ht="15.75" thickBot="1" x14ac:dyDescent="0.3">
      <c r="A477" s="82" t="s">
        <v>3470</v>
      </c>
      <c r="B477" s="82" t="str">
        <f t="shared" si="28"/>
        <v>Barraqueiro Transportes, S.A.</v>
      </c>
      <c r="C477" s="82" t="str">
        <f t="shared" si="29"/>
        <v>Mafrense</v>
      </c>
      <c r="D477" s="83" t="s">
        <v>629</v>
      </c>
      <c r="E477" s="91" t="s">
        <v>1853</v>
      </c>
      <c r="F477" s="124" t="s">
        <v>620</v>
      </c>
      <c r="G477" s="304">
        <v>1998</v>
      </c>
      <c r="H477" s="312" t="s">
        <v>736</v>
      </c>
      <c r="I477" s="307" t="str">
        <f t="shared" si="30"/>
        <v>Pesado de Passageiros M3: III : Gasóleo : E1</v>
      </c>
      <c r="J477" s="125">
        <v>98</v>
      </c>
      <c r="K477" s="125">
        <v>2022</v>
      </c>
      <c r="L477" s="85">
        <v>6549.9800000000005</v>
      </c>
      <c r="M477" s="85" t="s">
        <v>630</v>
      </c>
      <c r="N477" s="128">
        <v>11996</v>
      </c>
      <c r="O477" s="128">
        <f t="shared" si="31"/>
        <v>1175608</v>
      </c>
      <c r="P477" s="125" t="s">
        <v>1104</v>
      </c>
      <c r="Q477" s="85" t="s">
        <v>47</v>
      </c>
      <c r="R477" s="214" t="s">
        <v>1869</v>
      </c>
      <c r="S477" s="214" t="s">
        <v>1861</v>
      </c>
      <c r="T477" s="85" t="s">
        <v>1491</v>
      </c>
      <c r="U477" t="s">
        <v>1953</v>
      </c>
      <c r="V477" t="s">
        <v>2813</v>
      </c>
    </row>
    <row r="478" spans="1:22" ht="15.75" thickBot="1" x14ac:dyDescent="0.3">
      <c r="A478" s="82" t="s">
        <v>3470</v>
      </c>
      <c r="B478" s="82" t="str">
        <f t="shared" si="28"/>
        <v>Barraqueiro Transportes, S.A.</v>
      </c>
      <c r="C478" s="82" t="str">
        <f t="shared" si="29"/>
        <v>Mafrense</v>
      </c>
      <c r="D478" s="83" t="s">
        <v>629</v>
      </c>
      <c r="E478" s="91" t="s">
        <v>1853</v>
      </c>
      <c r="F478" s="124" t="s">
        <v>620</v>
      </c>
      <c r="G478" s="304">
        <v>1998</v>
      </c>
      <c r="H478" s="312" t="s">
        <v>736</v>
      </c>
      <c r="I478" s="307" t="str">
        <f t="shared" si="30"/>
        <v>Pesado de Passageiros M3: III : Gasóleo : E1</v>
      </c>
      <c r="J478" s="125">
        <v>98</v>
      </c>
      <c r="K478" s="125">
        <v>2022</v>
      </c>
      <c r="L478" s="85">
        <v>1362.46</v>
      </c>
      <c r="M478" s="85" t="s">
        <v>630</v>
      </c>
      <c r="N478" s="128">
        <v>2627</v>
      </c>
      <c r="O478" s="128">
        <f t="shared" si="31"/>
        <v>257446</v>
      </c>
      <c r="P478" s="125" t="s">
        <v>1105</v>
      </c>
      <c r="Q478" s="85" t="s">
        <v>47</v>
      </c>
      <c r="R478" s="214" t="s">
        <v>1869</v>
      </c>
      <c r="S478" s="214" t="s">
        <v>1861</v>
      </c>
      <c r="T478" s="85" t="s">
        <v>1491</v>
      </c>
      <c r="U478" t="s">
        <v>1953</v>
      </c>
      <c r="V478" t="s">
        <v>2813</v>
      </c>
    </row>
    <row r="479" spans="1:22" ht="15.75" thickBot="1" x14ac:dyDescent="0.3">
      <c r="A479" s="82" t="s">
        <v>3470</v>
      </c>
      <c r="B479" s="82" t="str">
        <f t="shared" si="28"/>
        <v>Barraqueiro Transportes, S.A.</v>
      </c>
      <c r="C479" s="82" t="str">
        <f t="shared" si="29"/>
        <v>Mafrense</v>
      </c>
      <c r="D479" s="83" t="s">
        <v>629</v>
      </c>
      <c r="E479" s="91" t="s">
        <v>1853</v>
      </c>
      <c r="F479" s="124" t="s">
        <v>620</v>
      </c>
      <c r="G479" s="304">
        <v>2000</v>
      </c>
      <c r="H479" s="312" t="s">
        <v>735</v>
      </c>
      <c r="I479" s="307" t="str">
        <f t="shared" si="30"/>
        <v>Pesado de Passageiros M3: III : Gasóleo : E2</v>
      </c>
      <c r="J479" s="125">
        <v>71</v>
      </c>
      <c r="K479" s="125">
        <v>2022</v>
      </c>
      <c r="L479" s="85">
        <v>16080.009999999998</v>
      </c>
      <c r="M479" s="85" t="s">
        <v>630</v>
      </c>
      <c r="N479" s="128">
        <v>48644</v>
      </c>
      <c r="O479" s="128">
        <f t="shared" si="31"/>
        <v>3453724</v>
      </c>
      <c r="P479" s="125" t="s">
        <v>1106</v>
      </c>
      <c r="Q479" s="85" t="s">
        <v>47</v>
      </c>
      <c r="R479" s="214" t="s">
        <v>1869</v>
      </c>
      <c r="S479" s="214" t="s">
        <v>1861</v>
      </c>
      <c r="T479" s="85" t="s">
        <v>1491</v>
      </c>
      <c r="U479" t="s">
        <v>1953</v>
      </c>
      <c r="V479" t="s">
        <v>2813</v>
      </c>
    </row>
    <row r="480" spans="1:22" ht="15.75" thickBot="1" x14ac:dyDescent="0.3">
      <c r="A480" s="82" t="s">
        <v>3470</v>
      </c>
      <c r="B480" s="82" t="str">
        <f t="shared" si="28"/>
        <v>Barraqueiro Transportes, S.A.</v>
      </c>
      <c r="C480" s="82" t="str">
        <f t="shared" si="29"/>
        <v>Mafrense</v>
      </c>
      <c r="D480" s="83" t="s">
        <v>629</v>
      </c>
      <c r="E480" s="91" t="s">
        <v>1853</v>
      </c>
      <c r="F480" s="124" t="s">
        <v>620</v>
      </c>
      <c r="G480" s="304">
        <v>2012</v>
      </c>
      <c r="H480" s="312" t="s">
        <v>734</v>
      </c>
      <c r="I480" s="307" t="str">
        <f t="shared" si="30"/>
        <v>Pesado de Passageiros M3: III : Gasóleo : E5</v>
      </c>
      <c r="J480" s="125">
        <v>53</v>
      </c>
      <c r="K480" s="125">
        <v>2022</v>
      </c>
      <c r="L480" s="85">
        <v>22902.079999999998</v>
      </c>
      <c r="M480" s="85" t="s">
        <v>630</v>
      </c>
      <c r="N480" s="128">
        <v>67058</v>
      </c>
      <c r="O480" s="128">
        <f t="shared" si="31"/>
        <v>3554074</v>
      </c>
      <c r="P480" s="125" t="s">
        <v>1107</v>
      </c>
      <c r="Q480" s="85" t="s">
        <v>47</v>
      </c>
      <c r="R480" s="214" t="s">
        <v>1869</v>
      </c>
      <c r="S480" s="214" t="s">
        <v>1861</v>
      </c>
      <c r="T480" s="85" t="s">
        <v>1491</v>
      </c>
      <c r="U480" t="s">
        <v>1953</v>
      </c>
      <c r="V480" t="s">
        <v>2813</v>
      </c>
    </row>
    <row r="481" spans="1:22" ht="15.75" thickBot="1" x14ac:dyDescent="0.3">
      <c r="A481" s="82" t="s">
        <v>3470</v>
      </c>
      <c r="B481" s="82" t="str">
        <f t="shared" si="28"/>
        <v>Barraqueiro Transportes, S.A.</v>
      </c>
      <c r="C481" s="82" t="str">
        <f t="shared" si="29"/>
        <v>Mafrense</v>
      </c>
      <c r="D481" s="83" t="s">
        <v>629</v>
      </c>
      <c r="E481" s="91" t="s">
        <v>1853</v>
      </c>
      <c r="F481" s="124" t="s">
        <v>620</v>
      </c>
      <c r="G481" s="304">
        <v>2004</v>
      </c>
      <c r="H481" s="312" t="s">
        <v>732</v>
      </c>
      <c r="I481" s="307" t="str">
        <f t="shared" si="30"/>
        <v>Pesado de Passageiros M3: III : Gasóleo : E3</v>
      </c>
      <c r="J481" s="125">
        <v>85</v>
      </c>
      <c r="K481" s="125">
        <v>2022</v>
      </c>
      <c r="L481" s="85">
        <v>11413.87</v>
      </c>
      <c r="M481" s="85" t="s">
        <v>630</v>
      </c>
      <c r="N481" s="128">
        <v>28996</v>
      </c>
      <c r="O481" s="128">
        <f t="shared" si="31"/>
        <v>2464660</v>
      </c>
      <c r="P481" s="125" t="s">
        <v>787</v>
      </c>
      <c r="Q481" s="85" t="s">
        <v>47</v>
      </c>
      <c r="R481" s="214" t="s">
        <v>1869</v>
      </c>
      <c r="S481" s="214" t="s">
        <v>1861</v>
      </c>
      <c r="T481" s="85" t="s">
        <v>1491</v>
      </c>
      <c r="U481" t="s">
        <v>1953</v>
      </c>
      <c r="V481" t="s">
        <v>2813</v>
      </c>
    </row>
    <row r="482" spans="1:22" ht="15.75" thickBot="1" x14ac:dyDescent="0.3">
      <c r="A482" s="82" t="s">
        <v>3470</v>
      </c>
      <c r="B482" s="82" t="str">
        <f t="shared" si="28"/>
        <v>Barraqueiro Transportes, S.A.</v>
      </c>
      <c r="C482" s="82" t="str">
        <f t="shared" si="29"/>
        <v>Mafrense</v>
      </c>
      <c r="D482" s="83" t="s">
        <v>629</v>
      </c>
      <c r="E482" s="91" t="s">
        <v>1853</v>
      </c>
      <c r="F482" s="124" t="s">
        <v>620</v>
      </c>
      <c r="G482" s="304">
        <v>1999</v>
      </c>
      <c r="H482" s="312" t="s">
        <v>736</v>
      </c>
      <c r="I482" s="307" t="str">
        <f t="shared" si="30"/>
        <v>Pesado de Passageiros M3: III : Gasóleo : E1</v>
      </c>
      <c r="J482" s="125">
        <v>76</v>
      </c>
      <c r="K482" s="125">
        <v>2022</v>
      </c>
      <c r="L482" s="85">
        <v>12473.980000000001</v>
      </c>
      <c r="M482" s="85" t="s">
        <v>630</v>
      </c>
      <c r="N482" s="128">
        <v>31972</v>
      </c>
      <c r="O482" s="128">
        <f t="shared" si="31"/>
        <v>2429872</v>
      </c>
      <c r="P482" s="125" t="s">
        <v>1108</v>
      </c>
      <c r="Q482" s="85" t="s">
        <v>47</v>
      </c>
      <c r="R482" s="214" t="s">
        <v>1869</v>
      </c>
      <c r="S482" s="214" t="s">
        <v>1861</v>
      </c>
      <c r="T482" s="85" t="s">
        <v>1491</v>
      </c>
      <c r="U482" t="s">
        <v>1953</v>
      </c>
      <c r="V482" t="s">
        <v>2813</v>
      </c>
    </row>
    <row r="483" spans="1:22" ht="15.75" thickBot="1" x14ac:dyDescent="0.3">
      <c r="A483" s="82" t="s">
        <v>3470</v>
      </c>
      <c r="B483" s="82" t="str">
        <f t="shared" si="28"/>
        <v>Barraqueiro Transportes, S.A.</v>
      </c>
      <c r="C483" s="82" t="str">
        <f t="shared" si="29"/>
        <v>Mafrense</v>
      </c>
      <c r="D483" s="83" t="s">
        <v>629</v>
      </c>
      <c r="E483" s="91" t="s">
        <v>1853</v>
      </c>
      <c r="F483" s="124" t="s">
        <v>620</v>
      </c>
      <c r="G483" s="304">
        <v>1999</v>
      </c>
      <c r="H483" s="312" t="s">
        <v>736</v>
      </c>
      <c r="I483" s="307" t="str">
        <f t="shared" si="30"/>
        <v>Pesado de Passageiros M3: III : Gasóleo : E1</v>
      </c>
      <c r="J483" s="125">
        <v>76</v>
      </c>
      <c r="K483" s="125">
        <v>2022</v>
      </c>
      <c r="L483" s="85">
        <v>3786.9400000000005</v>
      </c>
      <c r="M483" s="85" t="s">
        <v>630</v>
      </c>
      <c r="N483" s="128">
        <v>9821</v>
      </c>
      <c r="O483" s="128">
        <f t="shared" si="31"/>
        <v>746396</v>
      </c>
      <c r="P483" s="125" t="s">
        <v>1109</v>
      </c>
      <c r="Q483" s="85" t="s">
        <v>47</v>
      </c>
      <c r="R483" s="214" t="s">
        <v>1869</v>
      </c>
      <c r="S483" s="214" t="s">
        <v>1861</v>
      </c>
      <c r="T483" s="85" t="s">
        <v>1491</v>
      </c>
      <c r="U483" t="s">
        <v>1953</v>
      </c>
      <c r="V483" t="s">
        <v>2813</v>
      </c>
    </row>
    <row r="484" spans="1:22" ht="15.75" thickBot="1" x14ac:dyDescent="0.3">
      <c r="A484" s="82" t="s">
        <v>3470</v>
      </c>
      <c r="B484" s="82" t="str">
        <f t="shared" si="28"/>
        <v>Barraqueiro Transportes, S.A.</v>
      </c>
      <c r="C484" s="82" t="str">
        <f t="shared" si="29"/>
        <v>Mafrense</v>
      </c>
      <c r="D484" s="83" t="s">
        <v>629</v>
      </c>
      <c r="E484" s="91" t="s">
        <v>1853</v>
      </c>
      <c r="F484" s="124" t="s">
        <v>620</v>
      </c>
      <c r="G484" s="304">
        <v>1999</v>
      </c>
      <c r="H484" s="312" t="s">
        <v>736</v>
      </c>
      <c r="I484" s="307" t="str">
        <f t="shared" si="30"/>
        <v>Pesado de Passageiros M3: III : Gasóleo : E1</v>
      </c>
      <c r="J484" s="125">
        <v>76</v>
      </c>
      <c r="K484" s="125">
        <v>2022</v>
      </c>
      <c r="L484" s="85">
        <v>15933.84</v>
      </c>
      <c r="M484" s="85" t="s">
        <v>630</v>
      </c>
      <c r="N484" s="128">
        <v>42473</v>
      </c>
      <c r="O484" s="128">
        <f t="shared" si="31"/>
        <v>3227948</v>
      </c>
      <c r="P484" s="125" t="s">
        <v>1110</v>
      </c>
      <c r="Q484" s="85" t="s">
        <v>47</v>
      </c>
      <c r="R484" s="214" t="s">
        <v>1869</v>
      </c>
      <c r="S484" s="214" t="s">
        <v>1861</v>
      </c>
      <c r="T484" s="85" t="s">
        <v>1491</v>
      </c>
      <c r="U484" t="s">
        <v>1953</v>
      </c>
      <c r="V484" t="s">
        <v>2813</v>
      </c>
    </row>
    <row r="485" spans="1:22" ht="15.75" thickBot="1" x14ac:dyDescent="0.3">
      <c r="A485" s="82" t="s">
        <v>3470</v>
      </c>
      <c r="B485" s="82" t="str">
        <f t="shared" si="28"/>
        <v>Barraqueiro Transportes, S.A.</v>
      </c>
      <c r="C485" s="82" t="str">
        <f t="shared" si="29"/>
        <v>Mafrense</v>
      </c>
      <c r="D485" s="83" t="s">
        <v>629</v>
      </c>
      <c r="E485" s="91" t="s">
        <v>1853</v>
      </c>
      <c r="F485" s="124" t="s">
        <v>620</v>
      </c>
      <c r="G485" s="304">
        <v>1998</v>
      </c>
      <c r="H485" s="312" t="s">
        <v>736</v>
      </c>
      <c r="I485" s="307" t="str">
        <f t="shared" si="30"/>
        <v>Pesado de Passageiros M3: III : Gasóleo : E1</v>
      </c>
      <c r="J485" s="125">
        <v>66</v>
      </c>
      <c r="K485" s="125">
        <v>2022</v>
      </c>
      <c r="L485" s="85">
        <v>15794.55</v>
      </c>
      <c r="M485" s="85" t="s">
        <v>630</v>
      </c>
      <c r="N485" s="128">
        <v>39988</v>
      </c>
      <c r="O485" s="128">
        <f t="shared" si="31"/>
        <v>2639208</v>
      </c>
      <c r="P485" s="125" t="s">
        <v>1111</v>
      </c>
      <c r="Q485" s="85" t="s">
        <v>47</v>
      </c>
      <c r="R485" s="214" t="s">
        <v>1869</v>
      </c>
      <c r="S485" s="214" t="s">
        <v>1861</v>
      </c>
      <c r="T485" s="85" t="s">
        <v>1491</v>
      </c>
      <c r="U485" t="s">
        <v>1953</v>
      </c>
      <c r="V485" t="s">
        <v>2813</v>
      </c>
    </row>
    <row r="486" spans="1:22" ht="15.75" thickBot="1" x14ac:dyDescent="0.3">
      <c r="A486" s="82" t="s">
        <v>3470</v>
      </c>
      <c r="B486" s="82" t="str">
        <f t="shared" si="28"/>
        <v>Barraqueiro Transportes, S.A.</v>
      </c>
      <c r="C486" s="82" t="str">
        <f t="shared" si="29"/>
        <v>Mafrense</v>
      </c>
      <c r="D486" s="83" t="s">
        <v>629</v>
      </c>
      <c r="E486" s="91" t="s">
        <v>1853</v>
      </c>
      <c r="F486" s="124" t="s">
        <v>620</v>
      </c>
      <c r="G486" s="304">
        <v>1999</v>
      </c>
      <c r="H486" s="312" t="s">
        <v>736</v>
      </c>
      <c r="I486" s="307" t="str">
        <f t="shared" si="30"/>
        <v>Pesado de Passageiros M3: III : Gasóleo : E1</v>
      </c>
      <c r="J486" s="125">
        <v>76</v>
      </c>
      <c r="K486" s="125">
        <v>2022</v>
      </c>
      <c r="L486" s="85">
        <v>14924.28</v>
      </c>
      <c r="M486" s="85" t="s">
        <v>630</v>
      </c>
      <c r="N486" s="128">
        <v>41080</v>
      </c>
      <c r="O486" s="128">
        <f t="shared" si="31"/>
        <v>3122080</v>
      </c>
      <c r="P486" s="125" t="s">
        <v>1112</v>
      </c>
      <c r="Q486" s="85" t="s">
        <v>47</v>
      </c>
      <c r="R486" s="214" t="s">
        <v>1869</v>
      </c>
      <c r="S486" s="214" t="s">
        <v>1861</v>
      </c>
      <c r="T486" s="85" t="s">
        <v>1491</v>
      </c>
      <c r="U486" t="s">
        <v>1953</v>
      </c>
      <c r="V486" t="s">
        <v>2813</v>
      </c>
    </row>
    <row r="487" spans="1:22" ht="15.75" thickBot="1" x14ac:dyDescent="0.3">
      <c r="A487" s="82" t="s">
        <v>3470</v>
      </c>
      <c r="B487" s="82" t="str">
        <f t="shared" si="28"/>
        <v>Barraqueiro Transportes, S.A.</v>
      </c>
      <c r="C487" s="82" t="str">
        <f t="shared" si="29"/>
        <v>Mafrense</v>
      </c>
      <c r="D487" s="83" t="s">
        <v>629</v>
      </c>
      <c r="E487" s="91" t="s">
        <v>1853</v>
      </c>
      <c r="F487" s="124" t="s">
        <v>620</v>
      </c>
      <c r="G487" s="304">
        <v>2003</v>
      </c>
      <c r="H487" s="312" t="s">
        <v>732</v>
      </c>
      <c r="I487" s="307" t="str">
        <f t="shared" si="30"/>
        <v>Pesado de Passageiros M3: III : Gasóleo : E3</v>
      </c>
      <c r="J487" s="125">
        <v>61</v>
      </c>
      <c r="K487" s="125">
        <v>2022</v>
      </c>
      <c r="L487" s="85">
        <v>26690.162</v>
      </c>
      <c r="M487" s="85" t="s">
        <v>630</v>
      </c>
      <c r="N487" s="128">
        <v>61030</v>
      </c>
      <c r="O487" s="128">
        <f t="shared" si="31"/>
        <v>3722830</v>
      </c>
      <c r="P487" s="125" t="s">
        <v>1113</v>
      </c>
      <c r="Q487" s="85" t="s">
        <v>47</v>
      </c>
      <c r="R487" s="214" t="s">
        <v>1869</v>
      </c>
      <c r="S487" s="214" t="s">
        <v>1861</v>
      </c>
      <c r="T487" s="85" t="s">
        <v>1491</v>
      </c>
      <c r="U487" t="s">
        <v>1953</v>
      </c>
      <c r="V487" t="s">
        <v>2813</v>
      </c>
    </row>
    <row r="488" spans="1:22" ht="15.75" thickBot="1" x14ac:dyDescent="0.3">
      <c r="A488" s="82" t="s">
        <v>3470</v>
      </c>
      <c r="B488" s="82" t="str">
        <f t="shared" si="28"/>
        <v>Barraqueiro Transportes, S.A.</v>
      </c>
      <c r="C488" s="82" t="str">
        <f t="shared" si="29"/>
        <v>Mafrense</v>
      </c>
      <c r="D488" s="83" t="s">
        <v>629</v>
      </c>
      <c r="E488" s="91" t="s">
        <v>1853</v>
      </c>
      <c r="F488" s="124" t="s">
        <v>620</v>
      </c>
      <c r="G488" s="304">
        <v>2008</v>
      </c>
      <c r="H488" s="312" t="s">
        <v>731</v>
      </c>
      <c r="I488" s="307" t="str">
        <f t="shared" si="30"/>
        <v>Pesado de Passageiros M3: III : Gasóleo : E4</v>
      </c>
      <c r="J488" s="125">
        <v>59</v>
      </c>
      <c r="K488" s="125">
        <v>2022</v>
      </c>
      <c r="L488" s="85">
        <v>26158.875000000004</v>
      </c>
      <c r="M488" s="85" t="s">
        <v>630</v>
      </c>
      <c r="N488" s="128">
        <v>60230</v>
      </c>
      <c r="O488" s="128">
        <f t="shared" si="31"/>
        <v>3553570</v>
      </c>
      <c r="P488" s="125" t="s">
        <v>1114</v>
      </c>
      <c r="Q488" s="85" t="s">
        <v>47</v>
      </c>
      <c r="R488" s="214" t="s">
        <v>1869</v>
      </c>
      <c r="S488" s="214" t="s">
        <v>1861</v>
      </c>
      <c r="T488" s="85" t="s">
        <v>1491</v>
      </c>
      <c r="U488" t="s">
        <v>1953</v>
      </c>
      <c r="V488" t="s">
        <v>2813</v>
      </c>
    </row>
    <row r="489" spans="1:22" ht="15.75" thickBot="1" x14ac:dyDescent="0.3">
      <c r="A489" s="82" t="s">
        <v>3470</v>
      </c>
      <c r="B489" s="82" t="str">
        <f t="shared" si="28"/>
        <v>Barraqueiro Transportes, S.A.</v>
      </c>
      <c r="C489" s="82" t="str">
        <f t="shared" si="29"/>
        <v>Mafrense</v>
      </c>
      <c r="D489" s="83" t="s">
        <v>629</v>
      </c>
      <c r="E489" s="91" t="s">
        <v>1853</v>
      </c>
      <c r="F489" s="124" t="s">
        <v>620</v>
      </c>
      <c r="G489" s="304">
        <v>2004</v>
      </c>
      <c r="H489" s="312" t="s">
        <v>732</v>
      </c>
      <c r="I489" s="307" t="str">
        <f t="shared" si="30"/>
        <v>Pesado de Passageiros M3: III : Gasóleo : E3</v>
      </c>
      <c r="J489" s="125">
        <v>60</v>
      </c>
      <c r="K489" s="125">
        <v>2022</v>
      </c>
      <c r="L489" s="85">
        <v>3896.6</v>
      </c>
      <c r="M489" s="85" t="s">
        <v>630</v>
      </c>
      <c r="N489" s="128">
        <v>10443</v>
      </c>
      <c r="O489" s="128">
        <f t="shared" si="31"/>
        <v>626580</v>
      </c>
      <c r="P489" s="125" t="s">
        <v>1115</v>
      </c>
      <c r="Q489" s="85" t="s">
        <v>47</v>
      </c>
      <c r="R489" s="214" t="s">
        <v>1869</v>
      </c>
      <c r="S489" s="214" t="s">
        <v>1861</v>
      </c>
      <c r="T489" s="85" t="s">
        <v>1491</v>
      </c>
      <c r="U489" t="s">
        <v>1953</v>
      </c>
      <c r="V489" t="s">
        <v>2813</v>
      </c>
    </row>
    <row r="490" spans="1:22" ht="15.75" thickBot="1" x14ac:dyDescent="0.3">
      <c r="A490" s="82" t="s">
        <v>3470</v>
      </c>
      <c r="B490" s="82" t="str">
        <f t="shared" si="28"/>
        <v>Barraqueiro Transportes, S.A.</v>
      </c>
      <c r="C490" s="82" t="str">
        <f t="shared" si="29"/>
        <v>Mafrense</v>
      </c>
      <c r="D490" s="83" t="s">
        <v>629</v>
      </c>
      <c r="E490" s="91" t="s">
        <v>1853</v>
      </c>
      <c r="F490" s="124" t="s">
        <v>620</v>
      </c>
      <c r="G490" s="304">
        <v>2005</v>
      </c>
      <c r="H490" s="312" t="s">
        <v>732</v>
      </c>
      <c r="I490" s="307" t="str">
        <f t="shared" si="30"/>
        <v>Pesado de Passageiros M3: III : Gasóleo : E3</v>
      </c>
      <c r="J490" s="125">
        <v>69</v>
      </c>
      <c r="K490" s="125">
        <v>2022</v>
      </c>
      <c r="L490" s="85">
        <v>8141.9699999999993</v>
      </c>
      <c r="M490" s="85" t="s">
        <v>630</v>
      </c>
      <c r="N490" s="128">
        <v>17065</v>
      </c>
      <c r="O490" s="128">
        <f t="shared" si="31"/>
        <v>1177485</v>
      </c>
      <c r="P490" s="125" t="s">
        <v>1116</v>
      </c>
      <c r="Q490" s="85" t="s">
        <v>47</v>
      </c>
      <c r="R490" s="214" t="s">
        <v>1869</v>
      </c>
      <c r="S490" s="214" t="s">
        <v>1861</v>
      </c>
      <c r="T490" s="85" t="s">
        <v>1491</v>
      </c>
      <c r="U490" t="s">
        <v>1953</v>
      </c>
      <c r="V490" t="s">
        <v>2813</v>
      </c>
    </row>
    <row r="491" spans="1:22" ht="15.75" thickBot="1" x14ac:dyDescent="0.3">
      <c r="A491" s="82" t="s">
        <v>3470</v>
      </c>
      <c r="B491" s="82" t="str">
        <f t="shared" si="28"/>
        <v>Barraqueiro Transportes, S.A.</v>
      </c>
      <c r="C491" s="82" t="str">
        <f t="shared" si="29"/>
        <v>Mafrense</v>
      </c>
      <c r="D491" s="83" t="s">
        <v>629</v>
      </c>
      <c r="E491" s="91" t="s">
        <v>1853</v>
      </c>
      <c r="F491" s="124" t="s">
        <v>620</v>
      </c>
      <c r="G491" s="304">
        <v>2005</v>
      </c>
      <c r="H491" s="312" t="s">
        <v>732</v>
      </c>
      <c r="I491" s="307" t="str">
        <f t="shared" si="30"/>
        <v>Pesado de Passageiros M3: III : Gasóleo : E3</v>
      </c>
      <c r="J491" s="125">
        <v>69</v>
      </c>
      <c r="K491" s="125">
        <v>2022</v>
      </c>
      <c r="L491" s="85">
        <v>22616.781000000003</v>
      </c>
      <c r="M491" s="85" t="s">
        <v>630</v>
      </c>
      <c r="N491" s="128">
        <v>45220</v>
      </c>
      <c r="O491" s="128">
        <f t="shared" si="31"/>
        <v>3120180</v>
      </c>
      <c r="P491" s="125" t="s">
        <v>1117</v>
      </c>
      <c r="Q491" s="85" t="s">
        <v>47</v>
      </c>
      <c r="R491" s="214" t="s">
        <v>1869</v>
      </c>
      <c r="S491" s="214" t="s">
        <v>1861</v>
      </c>
      <c r="T491" s="85" t="s">
        <v>1491</v>
      </c>
      <c r="U491" t="s">
        <v>1953</v>
      </c>
      <c r="V491" t="s">
        <v>2813</v>
      </c>
    </row>
    <row r="492" spans="1:22" ht="15.75" thickBot="1" x14ac:dyDescent="0.3">
      <c r="A492" s="82" t="s">
        <v>3470</v>
      </c>
      <c r="B492" s="82" t="str">
        <f t="shared" si="28"/>
        <v>Barraqueiro Transportes, S.A.</v>
      </c>
      <c r="C492" s="82" t="str">
        <f t="shared" si="29"/>
        <v>Mafrense</v>
      </c>
      <c r="D492" s="83" t="s">
        <v>629</v>
      </c>
      <c r="E492" s="91" t="s">
        <v>1853</v>
      </c>
      <c r="F492" s="124" t="s">
        <v>620</v>
      </c>
      <c r="G492" s="304">
        <v>2005</v>
      </c>
      <c r="H492" s="312" t="s">
        <v>732</v>
      </c>
      <c r="I492" s="307" t="str">
        <f t="shared" si="30"/>
        <v>Pesado de Passageiros M3: III : Gasóleo : E3</v>
      </c>
      <c r="J492" s="125">
        <v>69</v>
      </c>
      <c r="K492" s="125">
        <v>2022</v>
      </c>
      <c r="L492" s="85">
        <v>19932.920000000002</v>
      </c>
      <c r="M492" s="85" t="s">
        <v>630</v>
      </c>
      <c r="N492" s="128">
        <v>39655</v>
      </c>
      <c r="O492" s="128">
        <f t="shared" si="31"/>
        <v>2736195</v>
      </c>
      <c r="P492" s="125" t="s">
        <v>1118</v>
      </c>
      <c r="Q492" s="85" t="s">
        <v>47</v>
      </c>
      <c r="R492" s="214" t="s">
        <v>1869</v>
      </c>
      <c r="S492" s="214" t="s">
        <v>1861</v>
      </c>
      <c r="T492" s="85" t="s">
        <v>1491</v>
      </c>
      <c r="U492" t="s">
        <v>1953</v>
      </c>
      <c r="V492" t="s">
        <v>2813</v>
      </c>
    </row>
    <row r="493" spans="1:22" ht="15.75" thickBot="1" x14ac:dyDescent="0.3">
      <c r="A493" s="82" t="s">
        <v>3470</v>
      </c>
      <c r="B493" s="82" t="str">
        <f t="shared" si="28"/>
        <v>Barraqueiro Transportes, S.A.</v>
      </c>
      <c r="C493" s="82" t="str">
        <f t="shared" si="29"/>
        <v>Mafrense</v>
      </c>
      <c r="D493" s="83" t="s">
        <v>629</v>
      </c>
      <c r="E493" s="91" t="s">
        <v>1853</v>
      </c>
      <c r="F493" s="124" t="s">
        <v>620</v>
      </c>
      <c r="G493" s="304">
        <v>2002</v>
      </c>
      <c r="H493" s="312" t="s">
        <v>732</v>
      </c>
      <c r="I493" s="307" t="str">
        <f t="shared" si="30"/>
        <v>Pesado de Passageiros M3: III : Gasóleo : E3</v>
      </c>
      <c r="J493" s="125">
        <v>69</v>
      </c>
      <c r="K493" s="125">
        <v>2022</v>
      </c>
      <c r="L493" s="85">
        <v>25661.140000000003</v>
      </c>
      <c r="M493" s="85" t="s">
        <v>630</v>
      </c>
      <c r="N493" s="128">
        <v>55336</v>
      </c>
      <c r="O493" s="128">
        <f t="shared" si="31"/>
        <v>3818184</v>
      </c>
      <c r="P493" s="125" t="s">
        <v>1119</v>
      </c>
      <c r="Q493" s="85" t="s">
        <v>47</v>
      </c>
      <c r="R493" s="214" t="s">
        <v>1869</v>
      </c>
      <c r="S493" s="214" t="s">
        <v>1861</v>
      </c>
      <c r="T493" s="85" t="s">
        <v>1491</v>
      </c>
      <c r="U493" t="s">
        <v>1953</v>
      </c>
      <c r="V493" t="s">
        <v>2813</v>
      </c>
    </row>
    <row r="494" spans="1:22" ht="15.75" thickBot="1" x14ac:dyDescent="0.3">
      <c r="A494" s="82" t="s">
        <v>3470</v>
      </c>
      <c r="B494" s="82" t="str">
        <f t="shared" si="28"/>
        <v>Barraqueiro Transportes, S.A.</v>
      </c>
      <c r="C494" s="82" t="str">
        <f t="shared" si="29"/>
        <v>Mafrense</v>
      </c>
      <c r="D494" s="83" t="s">
        <v>629</v>
      </c>
      <c r="E494" s="91" t="s">
        <v>1853</v>
      </c>
      <c r="F494" s="124" t="s">
        <v>620</v>
      </c>
      <c r="G494" s="304">
        <v>2003</v>
      </c>
      <c r="H494" s="312" t="s">
        <v>732</v>
      </c>
      <c r="I494" s="307" t="str">
        <f t="shared" si="30"/>
        <v>Pesado de Passageiros M3: III : Gasóleo : E3</v>
      </c>
      <c r="J494" s="125">
        <v>61</v>
      </c>
      <c r="K494" s="125">
        <v>2022</v>
      </c>
      <c r="L494" s="85">
        <v>28464.027000000002</v>
      </c>
      <c r="M494" s="85" t="s">
        <v>630</v>
      </c>
      <c r="N494" s="128">
        <v>66119</v>
      </c>
      <c r="O494" s="128">
        <f t="shared" si="31"/>
        <v>4033259</v>
      </c>
      <c r="P494" s="125" t="s">
        <v>1120</v>
      </c>
      <c r="Q494" s="85" t="s">
        <v>47</v>
      </c>
      <c r="R494" s="214" t="s">
        <v>1869</v>
      </c>
      <c r="S494" s="214" t="s">
        <v>1861</v>
      </c>
      <c r="T494" s="85" t="s">
        <v>1491</v>
      </c>
      <c r="U494" t="s">
        <v>1953</v>
      </c>
      <c r="V494" t="s">
        <v>2813</v>
      </c>
    </row>
    <row r="495" spans="1:22" ht="15.75" thickBot="1" x14ac:dyDescent="0.3">
      <c r="A495" s="82" t="s">
        <v>3470</v>
      </c>
      <c r="B495" s="82" t="str">
        <f t="shared" si="28"/>
        <v>Barraqueiro Transportes, S.A.</v>
      </c>
      <c r="C495" s="82" t="str">
        <f t="shared" si="29"/>
        <v>Mafrense</v>
      </c>
      <c r="D495" s="83" t="s">
        <v>629</v>
      </c>
      <c r="E495" s="91" t="s">
        <v>1853</v>
      </c>
      <c r="F495" s="124" t="s">
        <v>620</v>
      </c>
      <c r="G495" s="304">
        <v>2009</v>
      </c>
      <c r="H495" s="312" t="s">
        <v>734</v>
      </c>
      <c r="I495" s="307" t="str">
        <f t="shared" si="30"/>
        <v>Pesado de Passageiros M3: III : Gasóleo : E5</v>
      </c>
      <c r="J495" s="125">
        <v>84</v>
      </c>
      <c r="K495" s="125">
        <v>2022</v>
      </c>
      <c r="L495" s="85">
        <v>10715.5</v>
      </c>
      <c r="M495" s="85" t="s">
        <v>630</v>
      </c>
      <c r="N495" s="128">
        <v>25429</v>
      </c>
      <c r="O495" s="128">
        <f t="shared" si="31"/>
        <v>2136036</v>
      </c>
      <c r="P495" s="125" t="s">
        <v>1121</v>
      </c>
      <c r="Q495" s="85" t="s">
        <v>47</v>
      </c>
      <c r="R495" s="214" t="s">
        <v>1869</v>
      </c>
      <c r="S495" s="214" t="s">
        <v>1861</v>
      </c>
      <c r="T495" s="85" t="s">
        <v>1491</v>
      </c>
      <c r="U495" t="s">
        <v>1953</v>
      </c>
      <c r="V495" t="s">
        <v>2813</v>
      </c>
    </row>
    <row r="496" spans="1:22" ht="15.75" thickBot="1" x14ac:dyDescent="0.3">
      <c r="A496" s="82" t="s">
        <v>3470</v>
      </c>
      <c r="B496" s="82" t="str">
        <f t="shared" si="28"/>
        <v>Barraqueiro Transportes, S.A.</v>
      </c>
      <c r="C496" s="82" t="str">
        <f t="shared" si="29"/>
        <v>Mafrense</v>
      </c>
      <c r="D496" s="83" t="s">
        <v>629</v>
      </c>
      <c r="E496" s="91" t="s">
        <v>1853</v>
      </c>
      <c r="F496" s="124" t="s">
        <v>620</v>
      </c>
      <c r="G496" s="304">
        <v>2007</v>
      </c>
      <c r="H496" s="312" t="s">
        <v>731</v>
      </c>
      <c r="I496" s="307" t="str">
        <f t="shared" si="30"/>
        <v>Pesado de Passageiros M3: III : Gasóleo : E4</v>
      </c>
      <c r="J496" s="125">
        <v>89</v>
      </c>
      <c r="K496" s="125">
        <v>2022</v>
      </c>
      <c r="L496" s="85">
        <v>26153.42</v>
      </c>
      <c r="M496" s="85" t="s">
        <v>630</v>
      </c>
      <c r="N496" s="128">
        <v>64940</v>
      </c>
      <c r="O496" s="128">
        <f t="shared" si="31"/>
        <v>5779660</v>
      </c>
      <c r="P496" s="125" t="s">
        <v>1122</v>
      </c>
      <c r="Q496" s="85" t="s">
        <v>47</v>
      </c>
      <c r="R496" s="214" t="s">
        <v>1869</v>
      </c>
      <c r="S496" s="214" t="s">
        <v>1861</v>
      </c>
      <c r="T496" s="85" t="s">
        <v>1491</v>
      </c>
      <c r="U496" t="s">
        <v>1953</v>
      </c>
      <c r="V496" t="s">
        <v>2813</v>
      </c>
    </row>
    <row r="497" spans="1:22" ht="15.75" thickBot="1" x14ac:dyDescent="0.3">
      <c r="A497" s="82" t="s">
        <v>3470</v>
      </c>
      <c r="B497" s="82" t="str">
        <f t="shared" si="28"/>
        <v>Barraqueiro Transportes, S.A.</v>
      </c>
      <c r="C497" s="82" t="str">
        <f t="shared" si="29"/>
        <v>Mafrense</v>
      </c>
      <c r="D497" s="83" t="s">
        <v>629</v>
      </c>
      <c r="E497" s="91" t="s">
        <v>1853</v>
      </c>
      <c r="F497" s="124" t="s">
        <v>620</v>
      </c>
      <c r="G497" s="304">
        <v>2008</v>
      </c>
      <c r="H497" s="312" t="s">
        <v>731</v>
      </c>
      <c r="I497" s="307" t="str">
        <f t="shared" si="30"/>
        <v>Pesado de Passageiros M3: III : Gasóleo : E4</v>
      </c>
      <c r="J497" s="125">
        <v>82</v>
      </c>
      <c r="K497" s="125">
        <v>2022</v>
      </c>
      <c r="L497" s="85">
        <v>11918.106</v>
      </c>
      <c r="M497" s="85" t="s">
        <v>630</v>
      </c>
      <c r="N497" s="128">
        <v>27448</v>
      </c>
      <c r="O497" s="128">
        <f t="shared" si="31"/>
        <v>2250736</v>
      </c>
      <c r="P497" s="125" t="s">
        <v>805</v>
      </c>
      <c r="Q497" s="85" t="s">
        <v>47</v>
      </c>
      <c r="R497" s="214" t="s">
        <v>1869</v>
      </c>
      <c r="S497" s="214" t="s">
        <v>1861</v>
      </c>
      <c r="T497" s="85" t="s">
        <v>1491</v>
      </c>
      <c r="U497" t="s">
        <v>1953</v>
      </c>
      <c r="V497" t="s">
        <v>2813</v>
      </c>
    </row>
    <row r="498" spans="1:22" ht="15.75" thickBot="1" x14ac:dyDescent="0.3">
      <c r="A498" s="82" t="s">
        <v>3470</v>
      </c>
      <c r="B498" s="82" t="str">
        <f t="shared" si="28"/>
        <v>Barraqueiro Transportes, S.A.</v>
      </c>
      <c r="C498" s="82" t="str">
        <f t="shared" si="29"/>
        <v>Mafrense</v>
      </c>
      <c r="D498" s="83" t="s">
        <v>629</v>
      </c>
      <c r="E498" s="91" t="s">
        <v>1853</v>
      </c>
      <c r="F498" s="124" t="s">
        <v>620</v>
      </c>
      <c r="G498" s="304">
        <v>2008</v>
      </c>
      <c r="H498" s="312" t="s">
        <v>731</v>
      </c>
      <c r="I498" s="307" t="str">
        <f t="shared" si="30"/>
        <v>Pesado de Passageiros M3: III : Gasóleo : E4</v>
      </c>
      <c r="J498" s="125">
        <v>55</v>
      </c>
      <c r="K498" s="125">
        <v>2022</v>
      </c>
      <c r="L498" s="85">
        <v>11081.905000000001</v>
      </c>
      <c r="M498" s="85" t="s">
        <v>630</v>
      </c>
      <c r="N498" s="128">
        <v>26517</v>
      </c>
      <c r="O498" s="128">
        <f t="shared" si="31"/>
        <v>1458435</v>
      </c>
      <c r="P498" s="125" t="s">
        <v>1123</v>
      </c>
      <c r="Q498" s="85" t="s">
        <v>47</v>
      </c>
      <c r="R498" s="214" t="s">
        <v>1869</v>
      </c>
      <c r="S498" s="214" t="s">
        <v>1861</v>
      </c>
      <c r="T498" s="85" t="s">
        <v>1491</v>
      </c>
      <c r="U498" t="s">
        <v>1953</v>
      </c>
      <c r="V498" t="s">
        <v>2813</v>
      </c>
    </row>
    <row r="499" spans="1:22" ht="15.75" thickBot="1" x14ac:dyDescent="0.3">
      <c r="A499" s="82" t="s">
        <v>3470</v>
      </c>
      <c r="B499" s="82" t="str">
        <f t="shared" si="28"/>
        <v>Barraqueiro Transportes, S.A.</v>
      </c>
      <c r="C499" s="82" t="str">
        <f t="shared" si="29"/>
        <v>Mafrense</v>
      </c>
      <c r="D499" s="83" t="s">
        <v>629</v>
      </c>
      <c r="E499" s="91" t="s">
        <v>1853</v>
      </c>
      <c r="F499" s="124" t="s">
        <v>620</v>
      </c>
      <c r="G499" s="304">
        <v>2007</v>
      </c>
      <c r="H499" s="312" t="s">
        <v>731</v>
      </c>
      <c r="I499" s="307" t="str">
        <f t="shared" si="30"/>
        <v>Pesado de Passageiros M3: III : Gasóleo : E4</v>
      </c>
      <c r="J499" s="125">
        <v>74</v>
      </c>
      <c r="K499" s="125">
        <v>2022</v>
      </c>
      <c r="L499" s="85">
        <v>16116.549000000001</v>
      </c>
      <c r="M499" s="85" t="s">
        <v>630</v>
      </c>
      <c r="N499" s="128">
        <v>38508</v>
      </c>
      <c r="O499" s="128">
        <f t="shared" si="31"/>
        <v>2849592</v>
      </c>
      <c r="P499" s="125" t="s">
        <v>1124</v>
      </c>
      <c r="Q499" s="85" t="s">
        <v>47</v>
      </c>
      <c r="R499" s="214" t="s">
        <v>1869</v>
      </c>
      <c r="S499" s="214" t="s">
        <v>1861</v>
      </c>
      <c r="T499" s="85" t="s">
        <v>1491</v>
      </c>
      <c r="U499" t="s">
        <v>1953</v>
      </c>
      <c r="V499" t="s">
        <v>2813</v>
      </c>
    </row>
    <row r="500" spans="1:22" ht="15.75" thickBot="1" x14ac:dyDescent="0.3">
      <c r="A500" s="82" t="s">
        <v>3470</v>
      </c>
      <c r="B500" s="82" t="str">
        <f t="shared" si="28"/>
        <v>Barraqueiro Transportes, S.A.</v>
      </c>
      <c r="C500" s="82" t="str">
        <f t="shared" si="29"/>
        <v>Mafrense</v>
      </c>
      <c r="D500" s="83" t="s">
        <v>629</v>
      </c>
      <c r="E500" s="91" t="s">
        <v>1853</v>
      </c>
      <c r="F500" s="124" t="s">
        <v>620</v>
      </c>
      <c r="G500" s="304">
        <v>2008</v>
      </c>
      <c r="H500" s="312" t="s">
        <v>731</v>
      </c>
      <c r="I500" s="307" t="str">
        <f t="shared" si="30"/>
        <v>Pesado de Passageiros M3: III : Gasóleo : E4</v>
      </c>
      <c r="J500" s="125">
        <v>59</v>
      </c>
      <c r="K500" s="125">
        <v>2022</v>
      </c>
      <c r="L500" s="85">
        <v>25603.966</v>
      </c>
      <c r="M500" s="85" t="s">
        <v>630</v>
      </c>
      <c r="N500" s="128">
        <v>67073</v>
      </c>
      <c r="O500" s="128">
        <f t="shared" si="31"/>
        <v>3957307</v>
      </c>
      <c r="P500" s="125" t="s">
        <v>1125</v>
      </c>
      <c r="Q500" s="85" t="s">
        <v>47</v>
      </c>
      <c r="R500" s="214" t="s">
        <v>1869</v>
      </c>
      <c r="S500" s="214" t="s">
        <v>1861</v>
      </c>
      <c r="T500" s="85" t="s">
        <v>1491</v>
      </c>
      <c r="U500" t="s">
        <v>1953</v>
      </c>
      <c r="V500" t="s">
        <v>2813</v>
      </c>
    </row>
    <row r="501" spans="1:22" ht="15.75" thickBot="1" x14ac:dyDescent="0.3">
      <c r="A501" s="82" t="s">
        <v>3470</v>
      </c>
      <c r="B501" s="82" t="str">
        <f t="shared" si="28"/>
        <v>Barraqueiro Transportes, S.A.</v>
      </c>
      <c r="C501" s="82" t="str">
        <f t="shared" si="29"/>
        <v>Mafrense</v>
      </c>
      <c r="D501" s="83" t="s">
        <v>629</v>
      </c>
      <c r="E501" s="91" t="s">
        <v>1853</v>
      </c>
      <c r="F501" s="124" t="s">
        <v>620</v>
      </c>
      <c r="G501" s="304">
        <v>2000</v>
      </c>
      <c r="H501" s="312" t="s">
        <v>735</v>
      </c>
      <c r="I501" s="307" t="str">
        <f t="shared" si="30"/>
        <v>Pesado de Passageiros M3: III : Gasóleo : E2</v>
      </c>
      <c r="J501" s="125">
        <v>71</v>
      </c>
      <c r="K501" s="125">
        <v>2022</v>
      </c>
      <c r="L501" s="85">
        <v>5002.26</v>
      </c>
      <c r="M501" s="85" t="s">
        <v>630</v>
      </c>
      <c r="N501" s="128">
        <v>13458</v>
      </c>
      <c r="O501" s="128">
        <f t="shared" si="31"/>
        <v>955518</v>
      </c>
      <c r="P501" s="125" t="s">
        <v>1126</v>
      </c>
      <c r="Q501" s="85" t="s">
        <v>47</v>
      </c>
      <c r="R501" s="214" t="s">
        <v>1869</v>
      </c>
      <c r="S501" s="214" t="s">
        <v>1861</v>
      </c>
      <c r="T501" s="85" t="s">
        <v>1491</v>
      </c>
      <c r="U501" t="s">
        <v>1953</v>
      </c>
      <c r="V501" t="s">
        <v>2813</v>
      </c>
    </row>
    <row r="502" spans="1:22" ht="15.75" thickBot="1" x14ac:dyDescent="0.3">
      <c r="A502" s="82" t="s">
        <v>3470</v>
      </c>
      <c r="B502" s="82" t="str">
        <f t="shared" si="28"/>
        <v>Barraqueiro Transportes, S.A.</v>
      </c>
      <c r="C502" s="82" t="str">
        <f t="shared" si="29"/>
        <v>Mafrense</v>
      </c>
      <c r="D502" s="83" t="s">
        <v>629</v>
      </c>
      <c r="E502" s="91" t="s">
        <v>1853</v>
      </c>
      <c r="F502" s="124" t="s">
        <v>620</v>
      </c>
      <c r="G502" s="304">
        <v>2003</v>
      </c>
      <c r="H502" s="312" t="s">
        <v>732</v>
      </c>
      <c r="I502" s="307" t="str">
        <f t="shared" si="30"/>
        <v>Pesado de Passageiros M3: III : Gasóleo : E3</v>
      </c>
      <c r="J502" s="125">
        <v>63</v>
      </c>
      <c r="K502" s="125">
        <v>2022</v>
      </c>
      <c r="L502" s="85">
        <v>11774.140000000001</v>
      </c>
      <c r="M502" s="85" t="s">
        <v>630</v>
      </c>
      <c r="N502" s="128">
        <v>30296</v>
      </c>
      <c r="O502" s="128">
        <f t="shared" si="31"/>
        <v>1908648</v>
      </c>
      <c r="P502" s="125" t="s">
        <v>1127</v>
      </c>
      <c r="Q502" s="85" t="s">
        <v>47</v>
      </c>
      <c r="R502" s="214" t="s">
        <v>1869</v>
      </c>
      <c r="S502" s="214" t="s">
        <v>1861</v>
      </c>
      <c r="T502" s="85" t="s">
        <v>1491</v>
      </c>
      <c r="U502" t="s">
        <v>1953</v>
      </c>
      <c r="V502" t="s">
        <v>2813</v>
      </c>
    </row>
    <row r="503" spans="1:22" ht="15.75" thickBot="1" x14ac:dyDescent="0.3">
      <c r="A503" s="82" t="s">
        <v>3470</v>
      </c>
      <c r="B503" s="82" t="str">
        <f t="shared" si="28"/>
        <v>Barraqueiro Transportes, S.A.</v>
      </c>
      <c r="C503" s="82" t="str">
        <f t="shared" si="29"/>
        <v>Mafrense</v>
      </c>
      <c r="D503" s="83" t="s">
        <v>629</v>
      </c>
      <c r="E503" s="91" t="s">
        <v>1853</v>
      </c>
      <c r="F503" s="124" t="s">
        <v>620</v>
      </c>
      <c r="G503" s="304">
        <v>2003</v>
      </c>
      <c r="H503" s="312" t="s">
        <v>732</v>
      </c>
      <c r="I503" s="307" t="str">
        <f t="shared" si="30"/>
        <v>Pesado de Passageiros M3: III : Gasóleo : E3</v>
      </c>
      <c r="J503" s="125">
        <v>63</v>
      </c>
      <c r="K503" s="125">
        <v>2022</v>
      </c>
      <c r="L503" s="85">
        <v>11377.96</v>
      </c>
      <c r="M503" s="85" t="s">
        <v>630</v>
      </c>
      <c r="N503" s="128">
        <v>29646</v>
      </c>
      <c r="O503" s="128">
        <f t="shared" si="31"/>
        <v>1867698</v>
      </c>
      <c r="P503" s="125" t="s">
        <v>1128</v>
      </c>
      <c r="Q503" s="85" t="s">
        <v>47</v>
      </c>
      <c r="R503" s="214" t="s">
        <v>1869</v>
      </c>
      <c r="S503" s="214" t="s">
        <v>1861</v>
      </c>
      <c r="T503" s="85" t="s">
        <v>1491</v>
      </c>
      <c r="U503" t="s">
        <v>1953</v>
      </c>
      <c r="V503" t="s">
        <v>2813</v>
      </c>
    </row>
    <row r="504" spans="1:22" ht="15.75" thickBot="1" x14ac:dyDescent="0.3">
      <c r="A504" s="82" t="s">
        <v>3470</v>
      </c>
      <c r="B504" s="82" t="str">
        <f t="shared" si="28"/>
        <v>Barraqueiro Transportes, S.A.</v>
      </c>
      <c r="C504" s="82" t="str">
        <f t="shared" si="29"/>
        <v>Mafrense</v>
      </c>
      <c r="D504" s="83" t="s">
        <v>629</v>
      </c>
      <c r="E504" s="91" t="s">
        <v>1853</v>
      </c>
      <c r="F504" s="124" t="s">
        <v>620</v>
      </c>
      <c r="G504" s="304">
        <v>1998</v>
      </c>
      <c r="H504" s="312" t="s">
        <v>736</v>
      </c>
      <c r="I504" s="307" t="str">
        <f t="shared" si="30"/>
        <v>Pesado de Passageiros M3: III : Gasóleo : E1</v>
      </c>
      <c r="J504" s="125">
        <v>83</v>
      </c>
      <c r="K504" s="125">
        <v>2022</v>
      </c>
      <c r="L504" s="85">
        <v>15010.710000000001</v>
      </c>
      <c r="M504" s="85" t="s">
        <v>630</v>
      </c>
      <c r="N504" s="128">
        <v>42413</v>
      </c>
      <c r="O504" s="128">
        <f t="shared" si="31"/>
        <v>3520279</v>
      </c>
      <c r="P504" s="125" t="s">
        <v>1129</v>
      </c>
      <c r="Q504" s="85" t="s">
        <v>47</v>
      </c>
      <c r="R504" s="214" t="s">
        <v>1869</v>
      </c>
      <c r="S504" s="214" t="s">
        <v>1861</v>
      </c>
      <c r="T504" s="85" t="s">
        <v>1491</v>
      </c>
      <c r="U504" t="s">
        <v>1953</v>
      </c>
      <c r="V504" t="s">
        <v>2813</v>
      </c>
    </row>
    <row r="505" spans="1:22" ht="15.75" thickBot="1" x14ac:dyDescent="0.3">
      <c r="A505" s="82" t="s">
        <v>3470</v>
      </c>
      <c r="B505" s="82" t="str">
        <f t="shared" si="28"/>
        <v>Barraqueiro Transportes, S.A.</v>
      </c>
      <c r="C505" s="82" t="str">
        <f t="shared" si="29"/>
        <v>Mafrense</v>
      </c>
      <c r="D505" s="83" t="s">
        <v>629</v>
      </c>
      <c r="E505" s="91" t="s">
        <v>1853</v>
      </c>
      <c r="F505" s="124" t="s">
        <v>620</v>
      </c>
      <c r="G505" s="304">
        <v>1998</v>
      </c>
      <c r="H505" s="312" t="s">
        <v>736</v>
      </c>
      <c r="I505" s="307" t="str">
        <f t="shared" si="30"/>
        <v>Pesado de Passageiros M3: III : Gasóleo : E1</v>
      </c>
      <c r="J505" s="125">
        <v>83</v>
      </c>
      <c r="K505" s="125">
        <v>2022</v>
      </c>
      <c r="L505" s="85">
        <v>13083.739999999998</v>
      </c>
      <c r="M505" s="85" t="s">
        <v>630</v>
      </c>
      <c r="N505" s="128">
        <v>38851</v>
      </c>
      <c r="O505" s="128">
        <f t="shared" si="31"/>
        <v>3224633</v>
      </c>
      <c r="P505" s="125" t="s">
        <v>1130</v>
      </c>
      <c r="Q505" s="85" t="s">
        <v>47</v>
      </c>
      <c r="R505" s="214" t="s">
        <v>1869</v>
      </c>
      <c r="S505" s="214" t="s">
        <v>1861</v>
      </c>
      <c r="T505" s="85" t="s">
        <v>1491</v>
      </c>
      <c r="U505" t="s">
        <v>1953</v>
      </c>
      <c r="V505" t="s">
        <v>2813</v>
      </c>
    </row>
    <row r="506" spans="1:22" ht="15.75" thickBot="1" x14ac:dyDescent="0.3">
      <c r="A506" s="82" t="s">
        <v>3470</v>
      </c>
      <c r="B506" s="82" t="str">
        <f t="shared" si="28"/>
        <v>Barraqueiro Transportes, S.A.</v>
      </c>
      <c r="C506" s="82" t="str">
        <f t="shared" si="29"/>
        <v>Mafrense</v>
      </c>
      <c r="D506" s="83" t="s">
        <v>629</v>
      </c>
      <c r="E506" s="91" t="s">
        <v>1853</v>
      </c>
      <c r="F506" s="124" t="s">
        <v>620</v>
      </c>
      <c r="G506" s="304">
        <v>1997</v>
      </c>
      <c r="H506" s="312" t="s">
        <v>736</v>
      </c>
      <c r="I506" s="307" t="str">
        <f t="shared" si="30"/>
        <v>Pesado de Passageiros M3: III : Gasóleo : E1</v>
      </c>
      <c r="J506" s="125">
        <v>80</v>
      </c>
      <c r="K506" s="125">
        <v>2022</v>
      </c>
      <c r="L506" s="85">
        <v>6883.74</v>
      </c>
      <c r="M506" s="85" t="s">
        <v>630</v>
      </c>
      <c r="N506" s="128">
        <v>18496</v>
      </c>
      <c r="O506" s="128">
        <f t="shared" si="31"/>
        <v>1479680</v>
      </c>
      <c r="P506" s="125" t="s">
        <v>1131</v>
      </c>
      <c r="Q506" s="85" t="s">
        <v>47</v>
      </c>
      <c r="R506" s="214" t="s">
        <v>1869</v>
      </c>
      <c r="S506" s="214" t="s">
        <v>1861</v>
      </c>
      <c r="T506" s="85" t="s">
        <v>1491</v>
      </c>
      <c r="U506" t="s">
        <v>1953</v>
      </c>
      <c r="V506" t="s">
        <v>2813</v>
      </c>
    </row>
    <row r="507" spans="1:22" ht="15.75" thickBot="1" x14ac:dyDescent="0.3">
      <c r="A507" s="82" t="s">
        <v>3470</v>
      </c>
      <c r="B507" s="82" t="str">
        <f t="shared" si="28"/>
        <v>Barraqueiro Transportes, S.A.</v>
      </c>
      <c r="C507" s="82" t="str">
        <f t="shared" si="29"/>
        <v>Mafrense</v>
      </c>
      <c r="D507" s="83" t="s">
        <v>629</v>
      </c>
      <c r="E507" s="91" t="s">
        <v>1853</v>
      </c>
      <c r="F507" s="124" t="s">
        <v>620</v>
      </c>
      <c r="G507" s="304">
        <v>1997</v>
      </c>
      <c r="H507" s="312" t="s">
        <v>736</v>
      </c>
      <c r="I507" s="307" t="str">
        <f t="shared" si="30"/>
        <v>Pesado de Passageiros M3: III : Gasóleo : E1</v>
      </c>
      <c r="J507" s="125">
        <v>80</v>
      </c>
      <c r="K507" s="125">
        <v>2022</v>
      </c>
      <c r="L507" s="85">
        <v>5929.1500000000005</v>
      </c>
      <c r="M507" s="85" t="s">
        <v>630</v>
      </c>
      <c r="N507" s="128">
        <v>16766</v>
      </c>
      <c r="O507" s="128">
        <f t="shared" si="31"/>
        <v>1341280</v>
      </c>
      <c r="P507" s="125" t="s">
        <v>1132</v>
      </c>
      <c r="Q507" s="85" t="s">
        <v>47</v>
      </c>
      <c r="R507" s="214" t="s">
        <v>1869</v>
      </c>
      <c r="S507" s="214" t="s">
        <v>1861</v>
      </c>
      <c r="T507" s="85" t="s">
        <v>1491</v>
      </c>
      <c r="U507" t="s">
        <v>1953</v>
      </c>
      <c r="V507" t="s">
        <v>2813</v>
      </c>
    </row>
    <row r="508" spans="1:22" ht="15.75" thickBot="1" x14ac:dyDescent="0.3">
      <c r="A508" s="82" t="s">
        <v>3470</v>
      </c>
      <c r="B508" s="82" t="str">
        <f t="shared" si="28"/>
        <v>Barraqueiro Transportes, S.A.</v>
      </c>
      <c r="C508" s="82" t="str">
        <f t="shared" si="29"/>
        <v>Mafrense</v>
      </c>
      <c r="D508" s="83" t="s">
        <v>629</v>
      </c>
      <c r="E508" s="91" t="s">
        <v>1853</v>
      </c>
      <c r="F508" s="124" t="s">
        <v>620</v>
      </c>
      <c r="G508" s="304">
        <v>2007</v>
      </c>
      <c r="H508" s="312" t="s">
        <v>731</v>
      </c>
      <c r="I508" s="307" t="str">
        <f t="shared" si="30"/>
        <v>Pesado de Passageiros M3: III : Gasóleo : E4</v>
      </c>
      <c r="J508" s="125">
        <v>78</v>
      </c>
      <c r="K508" s="125">
        <v>2022</v>
      </c>
      <c r="L508" s="85">
        <v>14054.169999999998</v>
      </c>
      <c r="M508" s="85" t="s">
        <v>630</v>
      </c>
      <c r="N508" s="128">
        <v>30710</v>
      </c>
      <c r="O508" s="128">
        <f t="shared" si="31"/>
        <v>2395380</v>
      </c>
      <c r="P508" s="125" t="s">
        <v>1133</v>
      </c>
      <c r="Q508" s="85" t="s">
        <v>47</v>
      </c>
      <c r="R508" s="214" t="s">
        <v>1869</v>
      </c>
      <c r="S508" s="214" t="s">
        <v>1861</v>
      </c>
      <c r="T508" s="85" t="s">
        <v>1491</v>
      </c>
      <c r="U508" t="s">
        <v>1953</v>
      </c>
      <c r="V508" t="s">
        <v>2813</v>
      </c>
    </row>
    <row r="509" spans="1:22" ht="15.75" thickBot="1" x14ac:dyDescent="0.3">
      <c r="A509" s="82" t="s">
        <v>3470</v>
      </c>
      <c r="B509" s="82" t="str">
        <f t="shared" si="28"/>
        <v>Barraqueiro Transportes, S.A.</v>
      </c>
      <c r="C509" s="82" t="str">
        <f t="shared" si="29"/>
        <v>Mafrense</v>
      </c>
      <c r="D509" s="83" t="s">
        <v>629</v>
      </c>
      <c r="E509" s="91" t="s">
        <v>1853</v>
      </c>
      <c r="F509" s="124" t="s">
        <v>620</v>
      </c>
      <c r="G509" s="304">
        <v>2008</v>
      </c>
      <c r="H509" s="312" t="s">
        <v>731</v>
      </c>
      <c r="I509" s="307" t="str">
        <f t="shared" si="30"/>
        <v>Pesado de Passageiros M3: III : Gasóleo : E4</v>
      </c>
      <c r="J509" s="125">
        <v>95</v>
      </c>
      <c r="K509" s="125">
        <v>2022</v>
      </c>
      <c r="L509" s="85">
        <v>18160.309999999998</v>
      </c>
      <c r="M509" s="85" t="s">
        <v>630</v>
      </c>
      <c r="N509" s="128">
        <v>41503</v>
      </c>
      <c r="O509" s="128">
        <f t="shared" si="31"/>
        <v>3942785</v>
      </c>
      <c r="P509" s="125" t="s">
        <v>1134</v>
      </c>
      <c r="Q509" s="85" t="s">
        <v>47</v>
      </c>
      <c r="R509" s="214" t="s">
        <v>1869</v>
      </c>
      <c r="S509" s="214" t="s">
        <v>1861</v>
      </c>
      <c r="T509" s="85" t="s">
        <v>1491</v>
      </c>
      <c r="U509" t="s">
        <v>1953</v>
      </c>
      <c r="V509" t="s">
        <v>2813</v>
      </c>
    </row>
    <row r="510" spans="1:22" ht="15.75" thickBot="1" x14ac:dyDescent="0.3">
      <c r="A510" s="82" t="s">
        <v>3470</v>
      </c>
      <c r="B510" s="82" t="str">
        <f t="shared" si="28"/>
        <v>Barraqueiro Transportes, S.A.</v>
      </c>
      <c r="C510" s="82" t="str">
        <f t="shared" si="29"/>
        <v>Mafrense</v>
      </c>
      <c r="D510" s="83" t="s">
        <v>629</v>
      </c>
      <c r="E510" s="91" t="s">
        <v>1853</v>
      </c>
      <c r="F510" s="124" t="s">
        <v>620</v>
      </c>
      <c r="G510" s="304">
        <v>2009</v>
      </c>
      <c r="H510" s="312" t="s">
        <v>734</v>
      </c>
      <c r="I510" s="307" t="str">
        <f t="shared" si="30"/>
        <v>Pesado de Passageiros M3: III : Gasóleo : E5</v>
      </c>
      <c r="J510" s="125">
        <v>74</v>
      </c>
      <c r="K510" s="125">
        <v>2022</v>
      </c>
      <c r="L510" s="85">
        <v>21313.564999999999</v>
      </c>
      <c r="M510" s="85" t="s">
        <v>630</v>
      </c>
      <c r="N510" s="128">
        <v>56691</v>
      </c>
      <c r="O510" s="128">
        <f t="shared" si="31"/>
        <v>4195134</v>
      </c>
      <c r="P510" s="125" t="s">
        <v>1135</v>
      </c>
      <c r="Q510" s="85" t="s">
        <v>47</v>
      </c>
      <c r="R510" s="214" t="s">
        <v>1869</v>
      </c>
      <c r="S510" s="214" t="s">
        <v>1861</v>
      </c>
      <c r="T510" s="85" t="s">
        <v>1491</v>
      </c>
      <c r="U510" t="s">
        <v>1953</v>
      </c>
      <c r="V510" t="s">
        <v>2813</v>
      </c>
    </row>
    <row r="511" spans="1:22" ht="15.75" thickBot="1" x14ac:dyDescent="0.3">
      <c r="A511" s="82" t="s">
        <v>3470</v>
      </c>
      <c r="B511" s="82" t="str">
        <f t="shared" si="28"/>
        <v>Barraqueiro Transportes, S.A.</v>
      </c>
      <c r="C511" s="82" t="str">
        <f t="shared" si="29"/>
        <v>Mafrense</v>
      </c>
      <c r="D511" s="83" t="s">
        <v>629</v>
      </c>
      <c r="E511" s="91" t="s">
        <v>1853</v>
      </c>
      <c r="F511" s="124" t="s">
        <v>620</v>
      </c>
      <c r="G511" s="304">
        <v>1998</v>
      </c>
      <c r="H511" s="312" t="s">
        <v>736</v>
      </c>
      <c r="I511" s="307" t="str">
        <f t="shared" si="30"/>
        <v>Pesado de Passageiros M3: III : Gasóleo : E1</v>
      </c>
      <c r="J511" s="125">
        <v>98</v>
      </c>
      <c r="K511" s="125">
        <v>2022</v>
      </c>
      <c r="L511" s="85">
        <v>1166.52</v>
      </c>
      <c r="M511" s="85" t="s">
        <v>630</v>
      </c>
      <c r="N511" s="128">
        <v>2297</v>
      </c>
      <c r="O511" s="128">
        <f t="shared" si="31"/>
        <v>225106</v>
      </c>
      <c r="P511" s="125" t="s">
        <v>1136</v>
      </c>
      <c r="Q511" s="85" t="s">
        <v>47</v>
      </c>
      <c r="R511" s="214" t="s">
        <v>1869</v>
      </c>
      <c r="S511" s="214" t="s">
        <v>1861</v>
      </c>
      <c r="T511" s="85" t="s">
        <v>1491</v>
      </c>
      <c r="U511" t="s">
        <v>1953</v>
      </c>
      <c r="V511" t="s">
        <v>2813</v>
      </c>
    </row>
    <row r="512" spans="1:22" ht="15.75" thickBot="1" x14ac:dyDescent="0.3">
      <c r="A512" s="82" t="s">
        <v>3470</v>
      </c>
      <c r="B512" s="82" t="str">
        <f t="shared" si="28"/>
        <v>Barraqueiro Transportes, S.A.</v>
      </c>
      <c r="C512" s="82" t="str">
        <f t="shared" si="29"/>
        <v>Mafrense</v>
      </c>
      <c r="D512" s="83" t="s">
        <v>629</v>
      </c>
      <c r="E512" s="91" t="s">
        <v>1853</v>
      </c>
      <c r="F512" s="124" t="s">
        <v>620</v>
      </c>
      <c r="G512" s="304">
        <v>2003</v>
      </c>
      <c r="H512" s="312" t="s">
        <v>732</v>
      </c>
      <c r="I512" s="307" t="str">
        <f t="shared" si="30"/>
        <v>Pesado de Passageiros M3: III : Gasóleo : E3</v>
      </c>
      <c r="J512" s="125">
        <v>33</v>
      </c>
      <c r="K512" s="125">
        <v>2022</v>
      </c>
      <c r="L512" s="85">
        <v>150.18</v>
      </c>
      <c r="M512" s="85" t="s">
        <v>630</v>
      </c>
      <c r="N512" s="128">
        <v>750</v>
      </c>
      <c r="O512" s="128">
        <f t="shared" si="31"/>
        <v>24750</v>
      </c>
      <c r="P512" s="125" t="s">
        <v>1137</v>
      </c>
      <c r="Q512" s="85" t="s">
        <v>47</v>
      </c>
      <c r="R512" s="214" t="s">
        <v>1869</v>
      </c>
      <c r="S512" s="214" t="s">
        <v>1861</v>
      </c>
      <c r="T512" s="85" t="s">
        <v>1491</v>
      </c>
      <c r="U512" t="s">
        <v>1953</v>
      </c>
      <c r="V512" t="s">
        <v>2813</v>
      </c>
    </row>
    <row r="513" spans="1:22" ht="15.75" thickBot="1" x14ac:dyDescent="0.3">
      <c r="A513" s="82" t="s">
        <v>3470</v>
      </c>
      <c r="B513" s="82" t="str">
        <f t="shared" si="28"/>
        <v>Barraqueiro Transportes, S.A.</v>
      </c>
      <c r="C513" s="82" t="str">
        <f t="shared" si="29"/>
        <v>Mafrense</v>
      </c>
      <c r="D513" s="83" t="s">
        <v>629</v>
      </c>
      <c r="E513" s="91" t="s">
        <v>1853</v>
      </c>
      <c r="F513" s="124" t="s">
        <v>620</v>
      </c>
      <c r="G513" s="304">
        <v>2004</v>
      </c>
      <c r="H513" s="312" t="s">
        <v>732</v>
      </c>
      <c r="I513" s="307" t="str">
        <f t="shared" si="30"/>
        <v>Pesado de Passageiros M3: III : Gasóleo : E3</v>
      </c>
      <c r="J513" s="125">
        <v>55</v>
      </c>
      <c r="K513" s="125">
        <v>2022</v>
      </c>
      <c r="L513" s="85">
        <v>9059.0400000000009</v>
      </c>
      <c r="M513" s="85" t="s">
        <v>630</v>
      </c>
      <c r="N513" s="128">
        <v>21856</v>
      </c>
      <c r="O513" s="128">
        <f t="shared" si="31"/>
        <v>1202080</v>
      </c>
      <c r="P513" s="125" t="s">
        <v>1138</v>
      </c>
      <c r="Q513" s="85" t="s">
        <v>47</v>
      </c>
      <c r="R513" s="214" t="s">
        <v>1869</v>
      </c>
      <c r="S513" s="214" t="s">
        <v>1861</v>
      </c>
      <c r="T513" s="85" t="s">
        <v>1491</v>
      </c>
      <c r="U513" t="s">
        <v>1953</v>
      </c>
      <c r="V513" t="s">
        <v>2813</v>
      </c>
    </row>
    <row r="514" spans="1:22" ht="15.75" thickBot="1" x14ac:dyDescent="0.3">
      <c r="A514" s="82" t="s">
        <v>3470</v>
      </c>
      <c r="B514" s="82" t="str">
        <f t="shared" si="28"/>
        <v>Barraqueiro Transportes, S.A.</v>
      </c>
      <c r="C514" s="82" t="str">
        <f t="shared" si="29"/>
        <v>Mafrense</v>
      </c>
      <c r="D514" s="83" t="s">
        <v>629</v>
      </c>
      <c r="E514" s="91" t="s">
        <v>1853</v>
      </c>
      <c r="F514" s="124" t="s">
        <v>620</v>
      </c>
      <c r="G514" s="304">
        <v>2004</v>
      </c>
      <c r="H514" s="312" t="s">
        <v>732</v>
      </c>
      <c r="I514" s="307" t="str">
        <f t="shared" si="30"/>
        <v>Pesado de Passageiros M3: III : Gasóleo : E3</v>
      </c>
      <c r="J514" s="125">
        <v>76</v>
      </c>
      <c r="K514" s="125">
        <v>2022</v>
      </c>
      <c r="L514" s="85">
        <v>10399.16</v>
      </c>
      <c r="M514" s="85" t="s">
        <v>630</v>
      </c>
      <c r="N514" s="128">
        <v>25598</v>
      </c>
      <c r="O514" s="128">
        <f t="shared" si="31"/>
        <v>1945448</v>
      </c>
      <c r="P514" s="125" t="s">
        <v>829</v>
      </c>
      <c r="Q514" s="85" t="s">
        <v>47</v>
      </c>
      <c r="R514" s="214" t="s">
        <v>1869</v>
      </c>
      <c r="S514" s="214" t="s">
        <v>1861</v>
      </c>
      <c r="T514" s="85" t="s">
        <v>1491</v>
      </c>
      <c r="U514" t="s">
        <v>1953</v>
      </c>
      <c r="V514" t="s">
        <v>2813</v>
      </c>
    </row>
    <row r="515" spans="1:22" ht="15.75" thickBot="1" x14ac:dyDescent="0.3">
      <c r="A515" s="82" t="s">
        <v>3470</v>
      </c>
      <c r="B515" s="82" t="str">
        <f t="shared" ref="B515:B578" si="32">LEFT(A515,IFERROR(FIND(" - ",A515)-1,LEN(A515)))</f>
        <v>Barraqueiro Transportes, S.A.</v>
      </c>
      <c r="C515" s="82" t="str">
        <f t="shared" si="29"/>
        <v>Mafrense</v>
      </c>
      <c r="D515" s="83" t="s">
        <v>629</v>
      </c>
      <c r="E515" s="91" t="s">
        <v>1853</v>
      </c>
      <c r="F515" s="124" t="s">
        <v>620</v>
      </c>
      <c r="G515" s="304">
        <v>2004</v>
      </c>
      <c r="H515" s="312" t="s">
        <v>732</v>
      </c>
      <c r="I515" s="307" t="str">
        <f t="shared" si="30"/>
        <v>Pesado de Passageiros M3: III : Gasóleo : E3</v>
      </c>
      <c r="J515" s="125">
        <v>76</v>
      </c>
      <c r="K515" s="125">
        <v>2022</v>
      </c>
      <c r="L515" s="85">
        <v>11431.134</v>
      </c>
      <c r="M515" s="85" t="s">
        <v>630</v>
      </c>
      <c r="N515" s="128">
        <v>29024</v>
      </c>
      <c r="O515" s="128">
        <f t="shared" si="31"/>
        <v>2205824</v>
      </c>
      <c r="P515" s="125" t="s">
        <v>1139</v>
      </c>
      <c r="Q515" s="85" t="s">
        <v>47</v>
      </c>
      <c r="R515" s="214" t="s">
        <v>1869</v>
      </c>
      <c r="S515" s="214" t="s">
        <v>1861</v>
      </c>
      <c r="T515" s="85" t="s">
        <v>1491</v>
      </c>
      <c r="U515" t="s">
        <v>1953</v>
      </c>
      <c r="V515" t="s">
        <v>2813</v>
      </c>
    </row>
    <row r="516" spans="1:22" ht="15.75" thickBot="1" x14ac:dyDescent="0.3">
      <c r="A516" s="82" t="s">
        <v>3470</v>
      </c>
      <c r="B516" s="82" t="str">
        <f t="shared" si="32"/>
        <v>Barraqueiro Transportes, S.A.</v>
      </c>
      <c r="C516" s="82" t="str">
        <f t="shared" ref="C516:C579" si="33">IF(A516=B516,B516,RIGHT(A516,LEN(A516)-LEN(B516)-3))</f>
        <v>Mafrense</v>
      </c>
      <c r="D516" s="83" t="s">
        <v>629</v>
      </c>
      <c r="E516" s="91" t="s">
        <v>1853</v>
      </c>
      <c r="F516" s="124" t="s">
        <v>620</v>
      </c>
      <c r="G516" s="304">
        <v>2004</v>
      </c>
      <c r="H516" s="312" t="s">
        <v>732</v>
      </c>
      <c r="I516" s="307" t="str">
        <f t="shared" ref="I516:I579" si="34">D516&amp;": "&amp;E516&amp;" : "&amp;F516&amp;" : "&amp;H516</f>
        <v>Pesado de Passageiros M3: III : Gasóleo : E3</v>
      </c>
      <c r="J516" s="125">
        <v>76</v>
      </c>
      <c r="K516" s="125">
        <v>2022</v>
      </c>
      <c r="L516" s="85">
        <v>10479.68</v>
      </c>
      <c r="M516" s="85" t="s">
        <v>630</v>
      </c>
      <c r="N516" s="128">
        <v>26454</v>
      </c>
      <c r="O516" s="128">
        <f t="shared" ref="O516:O579" si="35">N516*J516</f>
        <v>2010504</v>
      </c>
      <c r="P516" s="125" t="s">
        <v>1140</v>
      </c>
      <c r="Q516" s="85" t="s">
        <v>47</v>
      </c>
      <c r="R516" s="214" t="s">
        <v>1869</v>
      </c>
      <c r="S516" s="214" t="s">
        <v>1861</v>
      </c>
      <c r="T516" s="85" t="s">
        <v>1491</v>
      </c>
      <c r="U516" t="s">
        <v>1953</v>
      </c>
      <c r="V516" t="s">
        <v>2813</v>
      </c>
    </row>
    <row r="517" spans="1:22" ht="15.75" thickBot="1" x14ac:dyDescent="0.3">
      <c r="A517" s="82" t="s">
        <v>3470</v>
      </c>
      <c r="B517" s="82" t="str">
        <f t="shared" si="32"/>
        <v>Barraqueiro Transportes, S.A.</v>
      </c>
      <c r="C517" s="82" t="str">
        <f t="shared" si="33"/>
        <v>Mafrense</v>
      </c>
      <c r="D517" s="83" t="s">
        <v>629</v>
      </c>
      <c r="E517" s="91" t="s">
        <v>1853</v>
      </c>
      <c r="F517" s="124" t="s">
        <v>620</v>
      </c>
      <c r="G517" s="304">
        <v>2005</v>
      </c>
      <c r="H517" s="312" t="s">
        <v>732</v>
      </c>
      <c r="I517" s="307" t="str">
        <f t="shared" si="34"/>
        <v>Pesado de Passageiros M3: III : Gasóleo : E3</v>
      </c>
      <c r="J517" s="125">
        <v>34</v>
      </c>
      <c r="K517" s="125">
        <v>2022</v>
      </c>
      <c r="L517" s="85">
        <v>2954.92</v>
      </c>
      <c r="M517" s="85" t="s">
        <v>630</v>
      </c>
      <c r="N517" s="128">
        <v>9192</v>
      </c>
      <c r="O517" s="128">
        <f t="shared" si="35"/>
        <v>312528</v>
      </c>
      <c r="P517" s="125" t="s">
        <v>1141</v>
      </c>
      <c r="Q517" s="85" t="s">
        <v>47</v>
      </c>
      <c r="R517" s="214" t="s">
        <v>1869</v>
      </c>
      <c r="S517" s="214" t="s">
        <v>1861</v>
      </c>
      <c r="T517" s="85" t="s">
        <v>1491</v>
      </c>
      <c r="U517" t="s">
        <v>1953</v>
      </c>
      <c r="V517" t="s">
        <v>2813</v>
      </c>
    </row>
    <row r="518" spans="1:22" ht="15.75" thickBot="1" x14ac:dyDescent="0.3">
      <c r="A518" s="82" t="s">
        <v>3470</v>
      </c>
      <c r="B518" s="82" t="str">
        <f t="shared" si="32"/>
        <v>Barraqueiro Transportes, S.A.</v>
      </c>
      <c r="C518" s="82" t="str">
        <f t="shared" si="33"/>
        <v>Mafrense</v>
      </c>
      <c r="D518" s="83" t="s">
        <v>629</v>
      </c>
      <c r="E518" s="91" t="s">
        <v>1853</v>
      </c>
      <c r="F518" s="124" t="s">
        <v>620</v>
      </c>
      <c r="G518" s="304">
        <v>2005</v>
      </c>
      <c r="H518" s="312" t="s">
        <v>732</v>
      </c>
      <c r="I518" s="307" t="str">
        <f t="shared" si="34"/>
        <v>Pesado de Passageiros M3: III : Gasóleo : E3</v>
      </c>
      <c r="J518" s="125">
        <v>36</v>
      </c>
      <c r="K518" s="125">
        <v>2022</v>
      </c>
      <c r="L518" s="85">
        <v>12029.44</v>
      </c>
      <c r="M518" s="85" t="s">
        <v>630</v>
      </c>
      <c r="N518" s="128">
        <v>36955</v>
      </c>
      <c r="O518" s="128">
        <f t="shared" si="35"/>
        <v>1330380</v>
      </c>
      <c r="P518" s="125" t="s">
        <v>1142</v>
      </c>
      <c r="Q518" s="85" t="s">
        <v>47</v>
      </c>
      <c r="R518" s="214" t="s">
        <v>1869</v>
      </c>
      <c r="S518" s="214" t="s">
        <v>1861</v>
      </c>
      <c r="T518" s="85" t="s">
        <v>1491</v>
      </c>
      <c r="U518" t="s">
        <v>1953</v>
      </c>
      <c r="V518" t="s">
        <v>2813</v>
      </c>
    </row>
    <row r="519" spans="1:22" ht="15.75" thickBot="1" x14ac:dyDescent="0.3">
      <c r="A519" s="82" t="s">
        <v>3470</v>
      </c>
      <c r="B519" s="82" t="str">
        <f t="shared" si="32"/>
        <v>Barraqueiro Transportes, S.A.</v>
      </c>
      <c r="C519" s="82" t="str">
        <f t="shared" si="33"/>
        <v>Mafrense</v>
      </c>
      <c r="D519" s="83" t="s">
        <v>629</v>
      </c>
      <c r="E519" s="91" t="s">
        <v>1853</v>
      </c>
      <c r="F519" s="124" t="s">
        <v>620</v>
      </c>
      <c r="G519" s="304">
        <v>2006</v>
      </c>
      <c r="H519" s="312" t="s">
        <v>731</v>
      </c>
      <c r="I519" s="307" t="str">
        <f t="shared" si="34"/>
        <v>Pesado de Passageiros M3: III : Gasóleo : E4</v>
      </c>
      <c r="J519" s="125">
        <v>55</v>
      </c>
      <c r="K519" s="125">
        <v>2022</v>
      </c>
      <c r="L519" s="85">
        <v>7235.7160000000013</v>
      </c>
      <c r="M519" s="85" t="s">
        <v>630</v>
      </c>
      <c r="N519" s="128">
        <v>18625</v>
      </c>
      <c r="O519" s="128">
        <f t="shared" si="35"/>
        <v>1024375</v>
      </c>
      <c r="P519" s="125" t="s">
        <v>833</v>
      </c>
      <c r="Q519" s="85" t="s">
        <v>47</v>
      </c>
      <c r="R519" s="214" t="s">
        <v>1869</v>
      </c>
      <c r="S519" s="214" t="s">
        <v>1861</v>
      </c>
      <c r="T519" s="85" t="s">
        <v>1491</v>
      </c>
      <c r="U519" t="s">
        <v>1953</v>
      </c>
      <c r="V519" t="s">
        <v>2813</v>
      </c>
    </row>
    <row r="520" spans="1:22" ht="15.75" thickBot="1" x14ac:dyDescent="0.3">
      <c r="A520" s="82" t="s">
        <v>3470</v>
      </c>
      <c r="B520" s="82" t="str">
        <f t="shared" si="32"/>
        <v>Barraqueiro Transportes, S.A.</v>
      </c>
      <c r="C520" s="82" t="str">
        <f t="shared" si="33"/>
        <v>Mafrense</v>
      </c>
      <c r="D520" s="83" t="s">
        <v>629</v>
      </c>
      <c r="E520" s="91" t="s">
        <v>1853</v>
      </c>
      <c r="F520" s="124" t="s">
        <v>620</v>
      </c>
      <c r="G520" s="304">
        <v>2021</v>
      </c>
      <c r="H520" s="312" t="s">
        <v>733</v>
      </c>
      <c r="I520" s="307" t="str">
        <f t="shared" si="34"/>
        <v>Pesado de Passageiros M3: III : Gasóleo : E6</v>
      </c>
      <c r="J520" s="125">
        <v>80</v>
      </c>
      <c r="K520" s="125">
        <v>2022</v>
      </c>
      <c r="L520" s="85">
        <v>12320.2</v>
      </c>
      <c r="M520" s="85" t="s">
        <v>630</v>
      </c>
      <c r="N520" s="128">
        <v>35467</v>
      </c>
      <c r="O520" s="128">
        <f t="shared" si="35"/>
        <v>2837360</v>
      </c>
      <c r="P520" s="125" t="s">
        <v>1143</v>
      </c>
      <c r="Q520" s="85" t="s">
        <v>47</v>
      </c>
      <c r="R520" s="214" t="s">
        <v>1869</v>
      </c>
      <c r="S520" s="214" t="s">
        <v>1861</v>
      </c>
      <c r="T520" s="85" t="s">
        <v>1491</v>
      </c>
      <c r="U520" t="s">
        <v>1953</v>
      </c>
      <c r="V520" t="s">
        <v>2813</v>
      </c>
    </row>
    <row r="521" spans="1:22" ht="15.75" thickBot="1" x14ac:dyDescent="0.3">
      <c r="A521" s="82" t="s">
        <v>3470</v>
      </c>
      <c r="B521" s="82" t="str">
        <f t="shared" si="32"/>
        <v>Barraqueiro Transportes, S.A.</v>
      </c>
      <c r="C521" s="82" t="str">
        <f t="shared" si="33"/>
        <v>Mafrense</v>
      </c>
      <c r="D521" s="83" t="s">
        <v>629</v>
      </c>
      <c r="E521" s="91" t="s">
        <v>1853</v>
      </c>
      <c r="F521" s="124" t="s">
        <v>620</v>
      </c>
      <c r="G521" s="304">
        <v>2021</v>
      </c>
      <c r="H521" s="312" t="s">
        <v>733</v>
      </c>
      <c r="I521" s="307" t="str">
        <f t="shared" si="34"/>
        <v>Pesado de Passageiros M3: III : Gasóleo : E6</v>
      </c>
      <c r="J521" s="125">
        <v>80</v>
      </c>
      <c r="K521" s="125">
        <v>2022</v>
      </c>
      <c r="L521" s="85">
        <v>9962.66</v>
      </c>
      <c r="M521" s="85" t="s">
        <v>630</v>
      </c>
      <c r="N521" s="128">
        <v>29941</v>
      </c>
      <c r="O521" s="128">
        <f t="shared" si="35"/>
        <v>2395280</v>
      </c>
      <c r="P521" s="125" t="s">
        <v>1144</v>
      </c>
      <c r="Q521" s="85" t="s">
        <v>47</v>
      </c>
      <c r="R521" s="214" t="s">
        <v>1869</v>
      </c>
      <c r="S521" s="214" t="s">
        <v>1861</v>
      </c>
      <c r="T521" s="85" t="s">
        <v>1491</v>
      </c>
      <c r="U521" t="s">
        <v>1953</v>
      </c>
      <c r="V521" t="s">
        <v>2813</v>
      </c>
    </row>
    <row r="522" spans="1:22" ht="15.75" thickBot="1" x14ac:dyDescent="0.3">
      <c r="A522" s="82" t="s">
        <v>3470</v>
      </c>
      <c r="B522" s="82" t="str">
        <f t="shared" si="32"/>
        <v>Barraqueiro Transportes, S.A.</v>
      </c>
      <c r="C522" s="82" t="str">
        <f t="shared" si="33"/>
        <v>Mafrense</v>
      </c>
      <c r="D522" s="83" t="s">
        <v>629</v>
      </c>
      <c r="E522" s="91" t="s">
        <v>1853</v>
      </c>
      <c r="F522" s="124" t="s">
        <v>620</v>
      </c>
      <c r="G522" s="304">
        <v>2021</v>
      </c>
      <c r="H522" s="312" t="s">
        <v>733</v>
      </c>
      <c r="I522" s="307" t="str">
        <f t="shared" si="34"/>
        <v>Pesado de Passageiros M3: III : Gasóleo : E6</v>
      </c>
      <c r="J522" s="125">
        <v>80</v>
      </c>
      <c r="K522" s="125">
        <v>2022</v>
      </c>
      <c r="L522" s="85">
        <v>11277.6</v>
      </c>
      <c r="M522" s="85" t="s">
        <v>630</v>
      </c>
      <c r="N522" s="128">
        <v>30512</v>
      </c>
      <c r="O522" s="128">
        <f t="shared" si="35"/>
        <v>2440960</v>
      </c>
      <c r="P522" s="125" t="s">
        <v>1145</v>
      </c>
      <c r="Q522" s="85" t="s">
        <v>47</v>
      </c>
      <c r="R522" s="214" t="s">
        <v>1869</v>
      </c>
      <c r="S522" s="214" t="s">
        <v>1861</v>
      </c>
      <c r="T522" s="85" t="s">
        <v>1491</v>
      </c>
      <c r="U522" t="s">
        <v>1953</v>
      </c>
      <c r="V522" t="s">
        <v>2813</v>
      </c>
    </row>
    <row r="523" spans="1:22" ht="15.75" thickBot="1" x14ac:dyDescent="0.3">
      <c r="A523" s="82" t="s">
        <v>3470</v>
      </c>
      <c r="B523" s="82" t="str">
        <f t="shared" si="32"/>
        <v>Barraqueiro Transportes, S.A.</v>
      </c>
      <c r="C523" s="82" t="str">
        <f t="shared" si="33"/>
        <v>Mafrense</v>
      </c>
      <c r="D523" s="83" t="s">
        <v>629</v>
      </c>
      <c r="E523" s="91" t="s">
        <v>1853</v>
      </c>
      <c r="F523" s="124" t="s">
        <v>620</v>
      </c>
      <c r="G523" s="304">
        <v>2021</v>
      </c>
      <c r="H523" s="312" t="s">
        <v>733</v>
      </c>
      <c r="I523" s="307" t="str">
        <f t="shared" si="34"/>
        <v>Pesado de Passageiros M3: III : Gasóleo : E6</v>
      </c>
      <c r="J523" s="125">
        <v>80</v>
      </c>
      <c r="K523" s="125">
        <v>2022</v>
      </c>
      <c r="L523" s="85">
        <v>16292.01</v>
      </c>
      <c r="M523" s="85" t="s">
        <v>630</v>
      </c>
      <c r="N523" s="128">
        <v>42814</v>
      </c>
      <c r="O523" s="128">
        <f t="shared" si="35"/>
        <v>3425120</v>
      </c>
      <c r="P523" s="125" t="s">
        <v>1146</v>
      </c>
      <c r="Q523" s="85" t="s">
        <v>47</v>
      </c>
      <c r="R523" s="214" t="s">
        <v>1869</v>
      </c>
      <c r="S523" s="214" t="s">
        <v>1861</v>
      </c>
      <c r="T523" s="85" t="s">
        <v>1491</v>
      </c>
      <c r="U523" t="s">
        <v>1953</v>
      </c>
      <c r="V523" t="s">
        <v>2813</v>
      </c>
    </row>
    <row r="524" spans="1:22" ht="15.75" thickBot="1" x14ac:dyDescent="0.3">
      <c r="A524" s="82" t="s">
        <v>3470</v>
      </c>
      <c r="B524" s="82" t="str">
        <f t="shared" si="32"/>
        <v>Barraqueiro Transportes, S.A.</v>
      </c>
      <c r="C524" s="82" t="str">
        <f t="shared" si="33"/>
        <v>Mafrense</v>
      </c>
      <c r="D524" s="83" t="s">
        <v>629</v>
      </c>
      <c r="E524" s="91" t="s">
        <v>1853</v>
      </c>
      <c r="F524" s="124" t="s">
        <v>620</v>
      </c>
      <c r="G524" s="304">
        <v>2021</v>
      </c>
      <c r="H524" s="312" t="s">
        <v>733</v>
      </c>
      <c r="I524" s="307" t="str">
        <f t="shared" si="34"/>
        <v>Pesado de Passageiros M3: III : Gasóleo : E6</v>
      </c>
      <c r="J524" s="125">
        <v>80</v>
      </c>
      <c r="K524" s="125">
        <v>2022</v>
      </c>
      <c r="L524" s="85">
        <v>9118.17</v>
      </c>
      <c r="M524" s="85" t="s">
        <v>630</v>
      </c>
      <c r="N524" s="128">
        <v>24957</v>
      </c>
      <c r="O524" s="128">
        <f t="shared" si="35"/>
        <v>1996560</v>
      </c>
      <c r="P524" s="125" t="s">
        <v>1147</v>
      </c>
      <c r="Q524" s="85" t="s">
        <v>47</v>
      </c>
      <c r="R524" s="214" t="s">
        <v>1869</v>
      </c>
      <c r="S524" s="214" t="s">
        <v>1861</v>
      </c>
      <c r="T524" s="85" t="s">
        <v>1491</v>
      </c>
      <c r="U524" t="s">
        <v>1953</v>
      </c>
      <c r="V524" t="s">
        <v>2813</v>
      </c>
    </row>
    <row r="525" spans="1:22" ht="15.75" thickBot="1" x14ac:dyDescent="0.3">
      <c r="A525" s="82" t="s">
        <v>3470</v>
      </c>
      <c r="B525" s="82" t="str">
        <f t="shared" si="32"/>
        <v>Barraqueiro Transportes, S.A.</v>
      </c>
      <c r="C525" s="82" t="str">
        <f t="shared" si="33"/>
        <v>Mafrense</v>
      </c>
      <c r="D525" s="83" t="s">
        <v>629</v>
      </c>
      <c r="E525" s="91" t="s">
        <v>1853</v>
      </c>
      <c r="F525" s="124" t="s">
        <v>620</v>
      </c>
      <c r="G525" s="304">
        <v>2021</v>
      </c>
      <c r="H525" s="312" t="s">
        <v>733</v>
      </c>
      <c r="I525" s="307" t="str">
        <f t="shared" si="34"/>
        <v>Pesado de Passageiros M3: III : Gasóleo : E6</v>
      </c>
      <c r="J525" s="125">
        <v>80</v>
      </c>
      <c r="K525" s="125">
        <v>2022</v>
      </c>
      <c r="L525" s="85">
        <v>9465.84</v>
      </c>
      <c r="M525" s="85" t="s">
        <v>630</v>
      </c>
      <c r="N525" s="128">
        <v>26194</v>
      </c>
      <c r="O525" s="128">
        <f t="shared" si="35"/>
        <v>2095520</v>
      </c>
      <c r="P525" s="125" t="s">
        <v>1148</v>
      </c>
      <c r="Q525" s="85" t="s">
        <v>47</v>
      </c>
      <c r="R525" s="214" t="s">
        <v>1869</v>
      </c>
      <c r="S525" s="214" t="s">
        <v>1861</v>
      </c>
      <c r="T525" s="85" t="s">
        <v>1491</v>
      </c>
      <c r="U525" t="s">
        <v>1953</v>
      </c>
      <c r="V525" t="s">
        <v>2813</v>
      </c>
    </row>
    <row r="526" spans="1:22" ht="15.75" thickBot="1" x14ac:dyDescent="0.3">
      <c r="A526" s="82" t="s">
        <v>3470</v>
      </c>
      <c r="B526" s="82" t="str">
        <f t="shared" si="32"/>
        <v>Barraqueiro Transportes, S.A.</v>
      </c>
      <c r="C526" s="82" t="str">
        <f t="shared" si="33"/>
        <v>Mafrense</v>
      </c>
      <c r="D526" s="83" t="s">
        <v>629</v>
      </c>
      <c r="E526" s="91" t="s">
        <v>1853</v>
      </c>
      <c r="F526" s="124" t="s">
        <v>620</v>
      </c>
      <c r="G526" s="304">
        <v>2021</v>
      </c>
      <c r="H526" s="312" t="s">
        <v>733</v>
      </c>
      <c r="I526" s="307" t="str">
        <f t="shared" si="34"/>
        <v>Pesado de Passageiros M3: III : Gasóleo : E6</v>
      </c>
      <c r="J526" s="125">
        <v>80</v>
      </c>
      <c r="K526" s="125">
        <v>2022</v>
      </c>
      <c r="L526" s="85">
        <v>6809.2000000000007</v>
      </c>
      <c r="M526" s="85" t="s">
        <v>630</v>
      </c>
      <c r="N526" s="128">
        <v>19305</v>
      </c>
      <c r="O526" s="128">
        <f t="shared" si="35"/>
        <v>1544400</v>
      </c>
      <c r="P526" s="125" t="s">
        <v>1149</v>
      </c>
      <c r="Q526" s="85" t="s">
        <v>47</v>
      </c>
      <c r="R526" s="214" t="s">
        <v>1869</v>
      </c>
      <c r="S526" s="214" t="s">
        <v>1861</v>
      </c>
      <c r="T526" s="85" t="s">
        <v>1491</v>
      </c>
      <c r="U526" t="s">
        <v>1953</v>
      </c>
      <c r="V526" t="s">
        <v>2813</v>
      </c>
    </row>
    <row r="527" spans="1:22" ht="15.75" thickBot="1" x14ac:dyDescent="0.3">
      <c r="A527" s="82" t="s">
        <v>3470</v>
      </c>
      <c r="B527" s="82" t="str">
        <f t="shared" si="32"/>
        <v>Barraqueiro Transportes, S.A.</v>
      </c>
      <c r="C527" s="82" t="str">
        <f t="shared" si="33"/>
        <v>Mafrense</v>
      </c>
      <c r="D527" s="83" t="s">
        <v>629</v>
      </c>
      <c r="E527" s="91" t="s">
        <v>1853</v>
      </c>
      <c r="F527" s="124" t="s">
        <v>620</v>
      </c>
      <c r="G527" s="304">
        <v>2021</v>
      </c>
      <c r="H527" s="312" t="s">
        <v>733</v>
      </c>
      <c r="I527" s="307" t="str">
        <f t="shared" si="34"/>
        <v>Pesado de Passageiros M3: III : Gasóleo : E6</v>
      </c>
      <c r="J527" s="125">
        <v>80</v>
      </c>
      <c r="K527" s="125">
        <v>2022</v>
      </c>
      <c r="L527" s="85">
        <v>5708.3899999999994</v>
      </c>
      <c r="M527" s="85" t="s">
        <v>630</v>
      </c>
      <c r="N527" s="128">
        <v>16590</v>
      </c>
      <c r="O527" s="128">
        <f t="shared" si="35"/>
        <v>1327200</v>
      </c>
      <c r="P527" s="125" t="s">
        <v>1150</v>
      </c>
      <c r="Q527" s="85" t="s">
        <v>47</v>
      </c>
      <c r="R527" s="214" t="s">
        <v>1869</v>
      </c>
      <c r="S527" s="214" t="s">
        <v>1861</v>
      </c>
      <c r="T527" s="85" t="s">
        <v>1491</v>
      </c>
      <c r="U527" t="s">
        <v>1953</v>
      </c>
      <c r="V527" t="s">
        <v>2813</v>
      </c>
    </row>
    <row r="528" spans="1:22" ht="15.75" thickBot="1" x14ac:dyDescent="0.3">
      <c r="A528" s="82" t="s">
        <v>3470</v>
      </c>
      <c r="B528" s="82" t="str">
        <f t="shared" si="32"/>
        <v>Barraqueiro Transportes, S.A.</v>
      </c>
      <c r="C528" s="82" t="str">
        <f t="shared" si="33"/>
        <v>Mafrense</v>
      </c>
      <c r="D528" s="83" t="s">
        <v>629</v>
      </c>
      <c r="E528" s="91" t="s">
        <v>1853</v>
      </c>
      <c r="F528" s="124" t="s">
        <v>620</v>
      </c>
      <c r="G528" s="304">
        <v>2021</v>
      </c>
      <c r="H528" s="312" t="s">
        <v>733</v>
      </c>
      <c r="I528" s="307" t="str">
        <f t="shared" si="34"/>
        <v>Pesado de Passageiros M3: III : Gasóleo : E6</v>
      </c>
      <c r="J528" s="125">
        <v>80</v>
      </c>
      <c r="K528" s="125">
        <v>2022</v>
      </c>
      <c r="L528" s="85">
        <v>6772.8099999999995</v>
      </c>
      <c r="M528" s="85" t="s">
        <v>630</v>
      </c>
      <c r="N528" s="128">
        <v>19272</v>
      </c>
      <c r="O528" s="128">
        <f t="shared" si="35"/>
        <v>1541760</v>
      </c>
      <c r="P528" s="125" t="s">
        <v>1151</v>
      </c>
      <c r="Q528" s="85" t="s">
        <v>47</v>
      </c>
      <c r="R528" s="214" t="s">
        <v>1869</v>
      </c>
      <c r="S528" s="214" t="s">
        <v>1861</v>
      </c>
      <c r="T528" s="85" t="s">
        <v>1491</v>
      </c>
      <c r="U528" t="s">
        <v>1953</v>
      </c>
      <c r="V528" t="s">
        <v>2813</v>
      </c>
    </row>
    <row r="529" spans="1:22" ht="15.75" thickBot="1" x14ac:dyDescent="0.3">
      <c r="A529" s="82" t="s">
        <v>3470</v>
      </c>
      <c r="B529" s="82" t="str">
        <f t="shared" si="32"/>
        <v>Barraqueiro Transportes, S.A.</v>
      </c>
      <c r="C529" s="82" t="str">
        <f t="shared" si="33"/>
        <v>Mafrense</v>
      </c>
      <c r="D529" s="83" t="s">
        <v>629</v>
      </c>
      <c r="E529" s="91" t="s">
        <v>1853</v>
      </c>
      <c r="F529" s="124" t="s">
        <v>620</v>
      </c>
      <c r="G529" s="304">
        <v>2021</v>
      </c>
      <c r="H529" s="312" t="s">
        <v>733</v>
      </c>
      <c r="I529" s="307" t="str">
        <f t="shared" si="34"/>
        <v>Pesado de Passageiros M3: III : Gasóleo : E6</v>
      </c>
      <c r="J529" s="125">
        <v>80</v>
      </c>
      <c r="K529" s="125">
        <v>2022</v>
      </c>
      <c r="L529" s="85">
        <v>7356.59</v>
      </c>
      <c r="M529" s="85" t="s">
        <v>630</v>
      </c>
      <c r="N529" s="128">
        <v>19948</v>
      </c>
      <c r="O529" s="128">
        <f t="shared" si="35"/>
        <v>1595840</v>
      </c>
      <c r="P529" s="125" t="s">
        <v>1152</v>
      </c>
      <c r="Q529" s="85" t="s">
        <v>47</v>
      </c>
      <c r="R529" s="214" t="s">
        <v>1869</v>
      </c>
      <c r="S529" s="214" t="s">
        <v>1861</v>
      </c>
      <c r="T529" s="85" t="s">
        <v>1491</v>
      </c>
      <c r="U529" t="s">
        <v>1953</v>
      </c>
      <c r="V529" t="s">
        <v>2813</v>
      </c>
    </row>
    <row r="530" spans="1:22" ht="15.75" thickBot="1" x14ac:dyDescent="0.3">
      <c r="A530" s="82" t="s">
        <v>3470</v>
      </c>
      <c r="B530" s="82" t="str">
        <f t="shared" si="32"/>
        <v>Barraqueiro Transportes, S.A.</v>
      </c>
      <c r="C530" s="82" t="str">
        <f t="shared" si="33"/>
        <v>Mafrense</v>
      </c>
      <c r="D530" s="83" t="s">
        <v>629</v>
      </c>
      <c r="E530" s="91" t="s">
        <v>1853</v>
      </c>
      <c r="F530" s="124" t="s">
        <v>620</v>
      </c>
      <c r="G530" s="304">
        <v>2021</v>
      </c>
      <c r="H530" s="312" t="s">
        <v>733</v>
      </c>
      <c r="I530" s="307" t="str">
        <f t="shared" si="34"/>
        <v>Pesado de Passageiros M3: III : Gasóleo : E6</v>
      </c>
      <c r="J530" s="125">
        <v>85</v>
      </c>
      <c r="K530" s="125">
        <v>2022</v>
      </c>
      <c r="L530" s="85">
        <v>12472.089999999998</v>
      </c>
      <c r="M530" s="85" t="s">
        <v>630</v>
      </c>
      <c r="N530" s="128">
        <v>36369</v>
      </c>
      <c r="O530" s="128">
        <f t="shared" si="35"/>
        <v>3091365</v>
      </c>
      <c r="P530" s="125" t="s">
        <v>1153</v>
      </c>
      <c r="Q530" s="85" t="s">
        <v>47</v>
      </c>
      <c r="R530" s="214" t="s">
        <v>1869</v>
      </c>
      <c r="S530" s="214" t="s">
        <v>1861</v>
      </c>
      <c r="T530" s="85" t="s">
        <v>1491</v>
      </c>
      <c r="U530" t="s">
        <v>1953</v>
      </c>
      <c r="V530" t="s">
        <v>2813</v>
      </c>
    </row>
    <row r="531" spans="1:22" ht="15.75" thickBot="1" x14ac:dyDescent="0.3">
      <c r="A531" s="82" t="s">
        <v>3470</v>
      </c>
      <c r="B531" s="82" t="str">
        <f t="shared" si="32"/>
        <v>Barraqueiro Transportes, S.A.</v>
      </c>
      <c r="C531" s="82" t="str">
        <f t="shared" si="33"/>
        <v>Mafrense</v>
      </c>
      <c r="D531" s="83" t="s">
        <v>629</v>
      </c>
      <c r="E531" s="91" t="s">
        <v>1853</v>
      </c>
      <c r="F531" s="124" t="s">
        <v>620</v>
      </c>
      <c r="G531" s="304">
        <v>2021</v>
      </c>
      <c r="H531" s="312" t="s">
        <v>733</v>
      </c>
      <c r="I531" s="307" t="str">
        <f t="shared" si="34"/>
        <v>Pesado de Passageiros M3: III : Gasóleo : E6</v>
      </c>
      <c r="J531" s="125">
        <v>85</v>
      </c>
      <c r="K531" s="125">
        <v>2022</v>
      </c>
      <c r="L531" s="85">
        <v>14114.98</v>
      </c>
      <c r="M531" s="85" t="s">
        <v>630</v>
      </c>
      <c r="N531" s="128">
        <v>40179</v>
      </c>
      <c r="O531" s="128">
        <f t="shared" si="35"/>
        <v>3415215</v>
      </c>
      <c r="P531" s="125" t="s">
        <v>1154</v>
      </c>
      <c r="Q531" s="85" t="s">
        <v>47</v>
      </c>
      <c r="R531" s="214" t="s">
        <v>1869</v>
      </c>
      <c r="S531" s="214" t="s">
        <v>1861</v>
      </c>
      <c r="T531" s="85" t="s">
        <v>1491</v>
      </c>
      <c r="U531" t="s">
        <v>1953</v>
      </c>
      <c r="V531" t="s">
        <v>2813</v>
      </c>
    </row>
    <row r="532" spans="1:22" ht="15.75" thickBot="1" x14ac:dyDescent="0.3">
      <c r="A532" s="82" t="s">
        <v>3470</v>
      </c>
      <c r="B532" s="82" t="str">
        <f t="shared" si="32"/>
        <v>Barraqueiro Transportes, S.A.</v>
      </c>
      <c r="C532" s="82" t="str">
        <f t="shared" si="33"/>
        <v>Mafrense</v>
      </c>
      <c r="D532" s="83" t="s">
        <v>629</v>
      </c>
      <c r="E532" s="91" t="s">
        <v>1853</v>
      </c>
      <c r="F532" s="124" t="s">
        <v>620</v>
      </c>
      <c r="G532" s="304">
        <v>2021</v>
      </c>
      <c r="H532" s="312" t="s">
        <v>733</v>
      </c>
      <c r="I532" s="307" t="str">
        <f t="shared" si="34"/>
        <v>Pesado de Passageiros M3: III : Gasóleo : E6</v>
      </c>
      <c r="J532" s="125">
        <v>85</v>
      </c>
      <c r="K532" s="125">
        <v>2022</v>
      </c>
      <c r="L532" s="85">
        <v>7022.05</v>
      </c>
      <c r="M532" s="85" t="s">
        <v>630</v>
      </c>
      <c r="N532" s="128">
        <v>19774</v>
      </c>
      <c r="O532" s="128">
        <f t="shared" si="35"/>
        <v>1680790</v>
      </c>
      <c r="P532" s="125" t="s">
        <v>1155</v>
      </c>
      <c r="Q532" s="85" t="s">
        <v>47</v>
      </c>
      <c r="R532" s="214" t="s">
        <v>1869</v>
      </c>
      <c r="S532" s="214" t="s">
        <v>1861</v>
      </c>
      <c r="T532" s="85" t="s">
        <v>1491</v>
      </c>
      <c r="U532" t="s">
        <v>1953</v>
      </c>
      <c r="V532" t="s">
        <v>2813</v>
      </c>
    </row>
    <row r="533" spans="1:22" ht="15.75" thickBot="1" x14ac:dyDescent="0.3">
      <c r="A533" s="82" t="s">
        <v>3470</v>
      </c>
      <c r="B533" s="82" t="str">
        <f t="shared" si="32"/>
        <v>Barraqueiro Transportes, S.A.</v>
      </c>
      <c r="C533" s="82" t="str">
        <f t="shared" si="33"/>
        <v>Mafrense</v>
      </c>
      <c r="D533" s="83" t="s">
        <v>629</v>
      </c>
      <c r="E533" s="91" t="s">
        <v>1853</v>
      </c>
      <c r="F533" s="124" t="s">
        <v>620</v>
      </c>
      <c r="G533" s="304">
        <v>2021</v>
      </c>
      <c r="H533" s="312" t="s">
        <v>733</v>
      </c>
      <c r="I533" s="307" t="str">
        <f t="shared" si="34"/>
        <v>Pesado de Passageiros M3: III : Gasóleo : E6</v>
      </c>
      <c r="J533" s="125">
        <v>85</v>
      </c>
      <c r="K533" s="125">
        <v>2022</v>
      </c>
      <c r="L533" s="85">
        <v>9226.15</v>
      </c>
      <c r="M533" s="85" t="s">
        <v>630</v>
      </c>
      <c r="N533" s="128">
        <v>24865</v>
      </c>
      <c r="O533" s="128">
        <f t="shared" si="35"/>
        <v>2113525</v>
      </c>
      <c r="P533" s="125" t="s">
        <v>1156</v>
      </c>
      <c r="Q533" s="85" t="s">
        <v>47</v>
      </c>
      <c r="R533" s="214" t="s">
        <v>1869</v>
      </c>
      <c r="S533" s="214" t="s">
        <v>1861</v>
      </c>
      <c r="T533" s="85" t="s">
        <v>1491</v>
      </c>
      <c r="U533" t="s">
        <v>1953</v>
      </c>
      <c r="V533" t="s">
        <v>2813</v>
      </c>
    </row>
    <row r="534" spans="1:22" ht="15.75" thickBot="1" x14ac:dyDescent="0.3">
      <c r="A534" s="82" t="s">
        <v>3470</v>
      </c>
      <c r="B534" s="82" t="str">
        <f t="shared" si="32"/>
        <v>Barraqueiro Transportes, S.A.</v>
      </c>
      <c r="C534" s="82" t="str">
        <f t="shared" si="33"/>
        <v>Mafrense</v>
      </c>
      <c r="D534" s="83" t="s">
        <v>629</v>
      </c>
      <c r="E534" s="91" t="s">
        <v>1853</v>
      </c>
      <c r="F534" s="124" t="s">
        <v>620</v>
      </c>
      <c r="G534" s="304">
        <v>2021</v>
      </c>
      <c r="H534" s="312" t="s">
        <v>733</v>
      </c>
      <c r="I534" s="307" t="str">
        <f t="shared" si="34"/>
        <v>Pesado de Passageiros M3: III : Gasóleo : E6</v>
      </c>
      <c r="J534" s="125">
        <v>85</v>
      </c>
      <c r="K534" s="125">
        <v>2022</v>
      </c>
      <c r="L534" s="85">
        <v>13301.090000000002</v>
      </c>
      <c r="M534" s="85" t="s">
        <v>630</v>
      </c>
      <c r="N534" s="128">
        <v>36931</v>
      </c>
      <c r="O534" s="128">
        <f t="shared" si="35"/>
        <v>3139135</v>
      </c>
      <c r="P534" s="125" t="s">
        <v>1157</v>
      </c>
      <c r="Q534" s="85" t="s">
        <v>47</v>
      </c>
      <c r="R534" s="214" t="s">
        <v>1869</v>
      </c>
      <c r="S534" s="214" t="s">
        <v>1861</v>
      </c>
      <c r="T534" s="85" t="s">
        <v>1491</v>
      </c>
      <c r="U534" t="s">
        <v>1953</v>
      </c>
      <c r="V534" t="s">
        <v>2813</v>
      </c>
    </row>
    <row r="535" spans="1:22" ht="15.75" thickBot="1" x14ac:dyDescent="0.3">
      <c r="A535" s="82" t="s">
        <v>3470</v>
      </c>
      <c r="B535" s="82" t="str">
        <f t="shared" si="32"/>
        <v>Barraqueiro Transportes, S.A.</v>
      </c>
      <c r="C535" s="82" t="str">
        <f t="shared" si="33"/>
        <v>Mafrense</v>
      </c>
      <c r="D535" s="83" t="s">
        <v>629</v>
      </c>
      <c r="E535" s="91" t="s">
        <v>1853</v>
      </c>
      <c r="F535" s="124" t="s">
        <v>620</v>
      </c>
      <c r="G535" s="304">
        <v>2021</v>
      </c>
      <c r="H535" s="312" t="s">
        <v>733</v>
      </c>
      <c r="I535" s="307" t="str">
        <f t="shared" si="34"/>
        <v>Pesado de Passageiros M3: III : Gasóleo : E6</v>
      </c>
      <c r="J535" s="125">
        <v>85</v>
      </c>
      <c r="K535" s="125">
        <v>2022</v>
      </c>
      <c r="L535" s="85">
        <v>12387.04</v>
      </c>
      <c r="M535" s="85" t="s">
        <v>630</v>
      </c>
      <c r="N535" s="128">
        <v>37442</v>
      </c>
      <c r="O535" s="128">
        <f t="shared" si="35"/>
        <v>3182570</v>
      </c>
      <c r="P535" s="125" t="s">
        <v>1158</v>
      </c>
      <c r="Q535" s="85" t="s">
        <v>47</v>
      </c>
      <c r="R535" s="214" t="s">
        <v>1869</v>
      </c>
      <c r="S535" s="214" t="s">
        <v>1861</v>
      </c>
      <c r="T535" s="85" t="s">
        <v>1491</v>
      </c>
      <c r="U535" t="s">
        <v>1953</v>
      </c>
      <c r="V535" t="s">
        <v>2813</v>
      </c>
    </row>
    <row r="536" spans="1:22" ht="15.75" thickBot="1" x14ac:dyDescent="0.3">
      <c r="A536" s="82" t="s">
        <v>3470</v>
      </c>
      <c r="B536" s="82" t="str">
        <f t="shared" si="32"/>
        <v>Barraqueiro Transportes, S.A.</v>
      </c>
      <c r="C536" s="82" t="str">
        <f t="shared" si="33"/>
        <v>Mafrense</v>
      </c>
      <c r="D536" s="83" t="s">
        <v>629</v>
      </c>
      <c r="E536" s="91" t="s">
        <v>1853</v>
      </c>
      <c r="F536" s="124" t="s">
        <v>620</v>
      </c>
      <c r="G536" s="304">
        <v>2021</v>
      </c>
      <c r="H536" s="312" t="s">
        <v>733</v>
      </c>
      <c r="I536" s="307" t="str">
        <f t="shared" si="34"/>
        <v>Pesado de Passageiros M3: III : Gasóleo : E6</v>
      </c>
      <c r="J536" s="125">
        <v>85</v>
      </c>
      <c r="K536" s="125">
        <v>2022</v>
      </c>
      <c r="L536" s="85">
        <v>17421.61</v>
      </c>
      <c r="M536" s="85" t="s">
        <v>630</v>
      </c>
      <c r="N536" s="128">
        <v>48863</v>
      </c>
      <c r="O536" s="128">
        <f t="shared" si="35"/>
        <v>4153355</v>
      </c>
      <c r="P536" s="125" t="s">
        <v>1159</v>
      </c>
      <c r="Q536" s="85" t="s">
        <v>47</v>
      </c>
      <c r="R536" s="214" t="s">
        <v>1869</v>
      </c>
      <c r="S536" s="214" t="s">
        <v>1861</v>
      </c>
      <c r="T536" s="85" t="s">
        <v>1491</v>
      </c>
      <c r="U536" t="s">
        <v>1953</v>
      </c>
      <c r="V536" t="s">
        <v>2813</v>
      </c>
    </row>
    <row r="537" spans="1:22" ht="15.75" thickBot="1" x14ac:dyDescent="0.3">
      <c r="A537" s="82" t="s">
        <v>3470</v>
      </c>
      <c r="B537" s="82" t="str">
        <f t="shared" si="32"/>
        <v>Barraqueiro Transportes, S.A.</v>
      </c>
      <c r="C537" s="82" t="str">
        <f t="shared" si="33"/>
        <v>Mafrense</v>
      </c>
      <c r="D537" s="83" t="s">
        <v>629</v>
      </c>
      <c r="E537" s="91" t="s">
        <v>1853</v>
      </c>
      <c r="F537" s="124" t="s">
        <v>620</v>
      </c>
      <c r="G537" s="304">
        <v>2021</v>
      </c>
      <c r="H537" s="312" t="s">
        <v>733</v>
      </c>
      <c r="I537" s="307" t="str">
        <f t="shared" si="34"/>
        <v>Pesado de Passageiros M3: III : Gasóleo : E6</v>
      </c>
      <c r="J537" s="125">
        <v>85</v>
      </c>
      <c r="K537" s="125">
        <v>2022</v>
      </c>
      <c r="L537" s="85">
        <v>11131.779999999999</v>
      </c>
      <c r="M537" s="85" t="s">
        <v>630</v>
      </c>
      <c r="N537" s="128">
        <v>31187</v>
      </c>
      <c r="O537" s="128">
        <f t="shared" si="35"/>
        <v>2650895</v>
      </c>
      <c r="P537" s="125" t="s">
        <v>1160</v>
      </c>
      <c r="Q537" s="85" t="s">
        <v>47</v>
      </c>
      <c r="R537" s="214" t="s">
        <v>1869</v>
      </c>
      <c r="S537" s="214" t="s">
        <v>1861</v>
      </c>
      <c r="T537" s="85" t="s">
        <v>1491</v>
      </c>
      <c r="U537" t="s">
        <v>1953</v>
      </c>
      <c r="V537" t="s">
        <v>2813</v>
      </c>
    </row>
    <row r="538" spans="1:22" ht="15.75" thickBot="1" x14ac:dyDescent="0.3">
      <c r="A538" s="82" t="s">
        <v>3470</v>
      </c>
      <c r="B538" s="82" t="str">
        <f t="shared" si="32"/>
        <v>Barraqueiro Transportes, S.A.</v>
      </c>
      <c r="C538" s="82" t="str">
        <f t="shared" si="33"/>
        <v>Mafrense</v>
      </c>
      <c r="D538" s="83" t="s">
        <v>629</v>
      </c>
      <c r="E538" s="91" t="s">
        <v>1853</v>
      </c>
      <c r="F538" s="124" t="s">
        <v>620</v>
      </c>
      <c r="G538" s="304">
        <v>2021</v>
      </c>
      <c r="H538" s="312" t="s">
        <v>733</v>
      </c>
      <c r="I538" s="307" t="str">
        <f t="shared" si="34"/>
        <v>Pesado de Passageiros M3: III : Gasóleo : E6</v>
      </c>
      <c r="J538" s="125">
        <v>85</v>
      </c>
      <c r="K538" s="125">
        <v>2022</v>
      </c>
      <c r="L538" s="85">
        <v>8075.99</v>
      </c>
      <c r="M538" s="85" t="s">
        <v>630</v>
      </c>
      <c r="N538" s="128">
        <v>24603</v>
      </c>
      <c r="O538" s="128">
        <f t="shared" si="35"/>
        <v>2091255</v>
      </c>
      <c r="P538" s="125" t="s">
        <v>1161</v>
      </c>
      <c r="Q538" s="85" t="s">
        <v>47</v>
      </c>
      <c r="R538" s="214" t="s">
        <v>1869</v>
      </c>
      <c r="S538" s="214" t="s">
        <v>1861</v>
      </c>
      <c r="T538" s="85" t="s">
        <v>1491</v>
      </c>
      <c r="U538" t="s">
        <v>1953</v>
      </c>
      <c r="V538" t="s">
        <v>2813</v>
      </c>
    </row>
    <row r="539" spans="1:22" ht="15.75" thickBot="1" x14ac:dyDescent="0.3">
      <c r="A539" s="82" t="s">
        <v>3470</v>
      </c>
      <c r="B539" s="82" t="str">
        <f t="shared" si="32"/>
        <v>Barraqueiro Transportes, S.A.</v>
      </c>
      <c r="C539" s="82" t="str">
        <f t="shared" si="33"/>
        <v>Mafrense</v>
      </c>
      <c r="D539" s="83" t="s">
        <v>629</v>
      </c>
      <c r="E539" s="91" t="s">
        <v>1853</v>
      </c>
      <c r="F539" s="124" t="s">
        <v>620</v>
      </c>
      <c r="G539" s="304">
        <v>2021</v>
      </c>
      <c r="H539" s="312" t="s">
        <v>733</v>
      </c>
      <c r="I539" s="307" t="str">
        <f t="shared" si="34"/>
        <v>Pesado de Passageiros M3: III : Gasóleo : E6</v>
      </c>
      <c r="J539" s="125">
        <v>85</v>
      </c>
      <c r="K539" s="125">
        <v>2022</v>
      </c>
      <c r="L539" s="85">
        <v>10642.93</v>
      </c>
      <c r="M539" s="85" t="s">
        <v>630</v>
      </c>
      <c r="N539" s="128">
        <v>30507</v>
      </c>
      <c r="O539" s="128">
        <f t="shared" si="35"/>
        <v>2593095</v>
      </c>
      <c r="P539" s="125" t="s">
        <v>1162</v>
      </c>
      <c r="Q539" s="85" t="s">
        <v>47</v>
      </c>
      <c r="R539" s="214" t="s">
        <v>1869</v>
      </c>
      <c r="S539" s="214" t="s">
        <v>1861</v>
      </c>
      <c r="T539" s="85" t="s">
        <v>1491</v>
      </c>
      <c r="U539" t="s">
        <v>1953</v>
      </c>
      <c r="V539" t="s">
        <v>2813</v>
      </c>
    </row>
    <row r="540" spans="1:22" ht="15.75" thickBot="1" x14ac:dyDescent="0.3">
      <c r="A540" s="82" t="s">
        <v>3470</v>
      </c>
      <c r="B540" s="82" t="str">
        <f t="shared" si="32"/>
        <v>Barraqueiro Transportes, S.A.</v>
      </c>
      <c r="C540" s="82" t="str">
        <f t="shared" si="33"/>
        <v>Mafrense</v>
      </c>
      <c r="D540" s="83" t="s">
        <v>629</v>
      </c>
      <c r="E540" s="91" t="s">
        <v>1853</v>
      </c>
      <c r="F540" s="124" t="s">
        <v>620</v>
      </c>
      <c r="G540" s="304">
        <v>2021</v>
      </c>
      <c r="H540" s="312" t="s">
        <v>733</v>
      </c>
      <c r="I540" s="307" t="str">
        <f t="shared" si="34"/>
        <v>Pesado de Passageiros M3: III : Gasóleo : E6</v>
      </c>
      <c r="J540" s="125">
        <v>85</v>
      </c>
      <c r="K540" s="125">
        <v>2022</v>
      </c>
      <c r="L540" s="85">
        <v>10622.78</v>
      </c>
      <c r="M540" s="85" t="s">
        <v>630</v>
      </c>
      <c r="N540" s="128">
        <v>30150</v>
      </c>
      <c r="O540" s="128">
        <f t="shared" si="35"/>
        <v>2562750</v>
      </c>
      <c r="P540" s="125" t="s">
        <v>1163</v>
      </c>
      <c r="Q540" s="85" t="s">
        <v>47</v>
      </c>
      <c r="R540" s="214" t="s">
        <v>1869</v>
      </c>
      <c r="S540" s="214" t="s">
        <v>1861</v>
      </c>
      <c r="T540" s="85" t="s">
        <v>1491</v>
      </c>
      <c r="U540" t="s">
        <v>1953</v>
      </c>
      <c r="V540" t="s">
        <v>2813</v>
      </c>
    </row>
    <row r="541" spans="1:22" ht="15.75" thickBot="1" x14ac:dyDescent="0.3">
      <c r="A541" s="82" t="s">
        <v>3470</v>
      </c>
      <c r="B541" s="82" t="str">
        <f t="shared" si="32"/>
        <v>Barraqueiro Transportes, S.A.</v>
      </c>
      <c r="C541" s="82" t="str">
        <f t="shared" si="33"/>
        <v>Mafrense</v>
      </c>
      <c r="D541" s="83" t="s">
        <v>629</v>
      </c>
      <c r="E541" s="91" t="s">
        <v>1853</v>
      </c>
      <c r="F541" s="124" t="s">
        <v>620</v>
      </c>
      <c r="G541" s="304">
        <v>2021</v>
      </c>
      <c r="H541" s="312" t="s">
        <v>733</v>
      </c>
      <c r="I541" s="307" t="str">
        <f t="shared" si="34"/>
        <v>Pesado de Passageiros M3: III : Gasóleo : E6</v>
      </c>
      <c r="J541" s="125">
        <v>85</v>
      </c>
      <c r="K541" s="125">
        <v>2022</v>
      </c>
      <c r="L541" s="85">
        <v>8533.26</v>
      </c>
      <c r="M541" s="85" t="s">
        <v>630</v>
      </c>
      <c r="N541" s="128">
        <v>24121</v>
      </c>
      <c r="O541" s="128">
        <f t="shared" si="35"/>
        <v>2050285</v>
      </c>
      <c r="P541" s="125" t="s">
        <v>1164</v>
      </c>
      <c r="Q541" s="85" t="s">
        <v>47</v>
      </c>
      <c r="R541" s="214" t="s">
        <v>1869</v>
      </c>
      <c r="S541" s="214" t="s">
        <v>1861</v>
      </c>
      <c r="T541" s="85" t="s">
        <v>1491</v>
      </c>
      <c r="U541" t="s">
        <v>1953</v>
      </c>
      <c r="V541" t="s">
        <v>2813</v>
      </c>
    </row>
    <row r="542" spans="1:22" ht="15.75" thickBot="1" x14ac:dyDescent="0.3">
      <c r="A542" s="82" t="s">
        <v>3470</v>
      </c>
      <c r="B542" s="82" t="str">
        <f t="shared" si="32"/>
        <v>Barraqueiro Transportes, S.A.</v>
      </c>
      <c r="C542" s="82" t="str">
        <f t="shared" si="33"/>
        <v>Mafrense</v>
      </c>
      <c r="D542" s="83" t="s">
        <v>629</v>
      </c>
      <c r="E542" s="91" t="s">
        <v>1853</v>
      </c>
      <c r="F542" s="124" t="s">
        <v>620</v>
      </c>
      <c r="G542" s="304">
        <v>2021</v>
      </c>
      <c r="H542" s="312" t="s">
        <v>733</v>
      </c>
      <c r="I542" s="307" t="str">
        <f t="shared" si="34"/>
        <v>Pesado de Passageiros M3: III : Gasóleo : E6</v>
      </c>
      <c r="J542" s="125">
        <v>85</v>
      </c>
      <c r="K542" s="125">
        <v>2022</v>
      </c>
      <c r="L542" s="85">
        <v>9661.8299999999981</v>
      </c>
      <c r="M542" s="85" t="s">
        <v>630</v>
      </c>
      <c r="N542" s="128">
        <v>27722</v>
      </c>
      <c r="O542" s="128">
        <f t="shared" si="35"/>
        <v>2356370</v>
      </c>
      <c r="P542" s="125" t="s">
        <v>1165</v>
      </c>
      <c r="Q542" s="85" t="s">
        <v>47</v>
      </c>
      <c r="R542" s="214" t="s">
        <v>1869</v>
      </c>
      <c r="S542" s="214" t="s">
        <v>1861</v>
      </c>
      <c r="T542" s="85" t="s">
        <v>1491</v>
      </c>
      <c r="U542" t="s">
        <v>1953</v>
      </c>
      <c r="V542" t="s">
        <v>2813</v>
      </c>
    </row>
    <row r="543" spans="1:22" ht="15.75" thickBot="1" x14ac:dyDescent="0.3">
      <c r="A543" s="82" t="s">
        <v>3470</v>
      </c>
      <c r="B543" s="82" t="str">
        <f t="shared" si="32"/>
        <v>Barraqueiro Transportes, S.A.</v>
      </c>
      <c r="C543" s="82" t="str">
        <f t="shared" si="33"/>
        <v>Mafrense</v>
      </c>
      <c r="D543" s="83" t="s">
        <v>629</v>
      </c>
      <c r="E543" s="91" t="s">
        <v>1853</v>
      </c>
      <c r="F543" s="124" t="s">
        <v>620</v>
      </c>
      <c r="G543" s="304">
        <v>2021</v>
      </c>
      <c r="H543" s="312" t="s">
        <v>733</v>
      </c>
      <c r="I543" s="307" t="str">
        <f t="shared" si="34"/>
        <v>Pesado de Passageiros M3: III : Gasóleo : E6</v>
      </c>
      <c r="J543" s="125">
        <v>85</v>
      </c>
      <c r="K543" s="125">
        <v>2022</v>
      </c>
      <c r="L543" s="85">
        <v>9484.0399999999991</v>
      </c>
      <c r="M543" s="85" t="s">
        <v>630</v>
      </c>
      <c r="N543" s="128">
        <v>26101</v>
      </c>
      <c r="O543" s="128">
        <f t="shared" si="35"/>
        <v>2218585</v>
      </c>
      <c r="P543" s="125" t="s">
        <v>1166</v>
      </c>
      <c r="Q543" s="85" t="s">
        <v>47</v>
      </c>
      <c r="R543" s="214" t="s">
        <v>1869</v>
      </c>
      <c r="S543" s="214" t="s">
        <v>1861</v>
      </c>
      <c r="T543" s="85" t="s">
        <v>1491</v>
      </c>
      <c r="U543" t="s">
        <v>1953</v>
      </c>
      <c r="V543" t="s">
        <v>2813</v>
      </c>
    </row>
    <row r="544" spans="1:22" ht="15.75" thickBot="1" x14ac:dyDescent="0.3">
      <c r="A544" s="82" t="s">
        <v>3470</v>
      </c>
      <c r="B544" s="82" t="str">
        <f t="shared" si="32"/>
        <v>Barraqueiro Transportes, S.A.</v>
      </c>
      <c r="C544" s="82" t="str">
        <f t="shared" si="33"/>
        <v>Mafrense</v>
      </c>
      <c r="D544" s="83" t="s">
        <v>629</v>
      </c>
      <c r="E544" s="91" t="s">
        <v>1853</v>
      </c>
      <c r="F544" s="124" t="s">
        <v>620</v>
      </c>
      <c r="G544" s="304">
        <v>2021</v>
      </c>
      <c r="H544" s="312" t="s">
        <v>733</v>
      </c>
      <c r="I544" s="307" t="str">
        <f t="shared" si="34"/>
        <v>Pesado de Passageiros M3: III : Gasóleo : E6</v>
      </c>
      <c r="J544" s="125">
        <v>85</v>
      </c>
      <c r="K544" s="125">
        <v>2022</v>
      </c>
      <c r="L544" s="85">
        <v>7059.22</v>
      </c>
      <c r="M544" s="85" t="s">
        <v>630</v>
      </c>
      <c r="N544" s="128">
        <v>19616</v>
      </c>
      <c r="O544" s="128">
        <f t="shared" si="35"/>
        <v>1667360</v>
      </c>
      <c r="P544" s="125" t="s">
        <v>1167</v>
      </c>
      <c r="Q544" s="85" t="s">
        <v>47</v>
      </c>
      <c r="R544" s="214" t="s">
        <v>1869</v>
      </c>
      <c r="S544" s="214" t="s">
        <v>1861</v>
      </c>
      <c r="T544" s="85" t="s">
        <v>1491</v>
      </c>
      <c r="U544" t="s">
        <v>1953</v>
      </c>
      <c r="V544" t="s">
        <v>2813</v>
      </c>
    </row>
    <row r="545" spans="1:22" ht="15.75" thickBot="1" x14ac:dyDescent="0.3">
      <c r="A545" s="82" t="s">
        <v>3470</v>
      </c>
      <c r="B545" s="82" t="str">
        <f t="shared" si="32"/>
        <v>Barraqueiro Transportes, S.A.</v>
      </c>
      <c r="C545" s="82" t="str">
        <f t="shared" si="33"/>
        <v>Mafrense</v>
      </c>
      <c r="D545" s="83" t="s">
        <v>629</v>
      </c>
      <c r="E545" s="91" t="s">
        <v>1853</v>
      </c>
      <c r="F545" s="124" t="s">
        <v>620</v>
      </c>
      <c r="G545" s="304">
        <v>2021</v>
      </c>
      <c r="H545" s="312" t="s">
        <v>733</v>
      </c>
      <c r="I545" s="307" t="str">
        <f t="shared" si="34"/>
        <v>Pesado de Passageiros M3: III : Gasóleo : E6</v>
      </c>
      <c r="J545" s="125">
        <v>85</v>
      </c>
      <c r="K545" s="125">
        <v>2022</v>
      </c>
      <c r="L545" s="85">
        <v>7974.3899999999994</v>
      </c>
      <c r="M545" s="85" t="s">
        <v>630</v>
      </c>
      <c r="N545" s="128">
        <v>23091</v>
      </c>
      <c r="O545" s="128">
        <f t="shared" si="35"/>
        <v>1962735</v>
      </c>
      <c r="P545" s="125" t="s">
        <v>1168</v>
      </c>
      <c r="Q545" s="85" t="s">
        <v>47</v>
      </c>
      <c r="R545" s="214" t="s">
        <v>1869</v>
      </c>
      <c r="S545" s="214" t="s">
        <v>1861</v>
      </c>
      <c r="T545" s="85" t="s">
        <v>1491</v>
      </c>
      <c r="U545" t="s">
        <v>1953</v>
      </c>
      <c r="V545" t="s">
        <v>2813</v>
      </c>
    </row>
    <row r="546" spans="1:22" ht="15.75" thickBot="1" x14ac:dyDescent="0.3">
      <c r="A546" s="82" t="s">
        <v>3470</v>
      </c>
      <c r="B546" s="82" t="str">
        <f t="shared" si="32"/>
        <v>Barraqueiro Transportes, S.A.</v>
      </c>
      <c r="C546" s="82" t="str">
        <f t="shared" si="33"/>
        <v>Mafrense</v>
      </c>
      <c r="D546" s="83" t="s">
        <v>629</v>
      </c>
      <c r="E546" s="91" t="s">
        <v>1853</v>
      </c>
      <c r="F546" s="124" t="s">
        <v>620</v>
      </c>
      <c r="G546" s="304">
        <v>2021</v>
      </c>
      <c r="H546" s="312" t="s">
        <v>733</v>
      </c>
      <c r="I546" s="307" t="str">
        <f t="shared" si="34"/>
        <v>Pesado de Passageiros M3: III : Gasóleo : E6</v>
      </c>
      <c r="J546" s="125">
        <v>85</v>
      </c>
      <c r="K546" s="125">
        <v>2022</v>
      </c>
      <c r="L546" s="85">
        <v>12584.779999999999</v>
      </c>
      <c r="M546" s="85" t="s">
        <v>630</v>
      </c>
      <c r="N546" s="128">
        <v>34426</v>
      </c>
      <c r="O546" s="128">
        <f t="shared" si="35"/>
        <v>2926210</v>
      </c>
      <c r="P546" s="125" t="s">
        <v>1169</v>
      </c>
      <c r="Q546" s="85" t="s">
        <v>47</v>
      </c>
      <c r="R546" s="214" t="s">
        <v>1869</v>
      </c>
      <c r="S546" s="214" t="s">
        <v>1861</v>
      </c>
      <c r="T546" s="85" t="s">
        <v>1491</v>
      </c>
      <c r="U546" t="s">
        <v>1953</v>
      </c>
      <c r="V546" t="s">
        <v>2813</v>
      </c>
    </row>
    <row r="547" spans="1:22" ht="15.75" thickBot="1" x14ac:dyDescent="0.3">
      <c r="A547" s="82" t="s">
        <v>3470</v>
      </c>
      <c r="B547" s="82" t="str">
        <f t="shared" si="32"/>
        <v>Barraqueiro Transportes, S.A.</v>
      </c>
      <c r="C547" s="82" t="str">
        <f t="shared" si="33"/>
        <v>Mafrense</v>
      </c>
      <c r="D547" s="83" t="s">
        <v>629</v>
      </c>
      <c r="E547" s="91" t="s">
        <v>1853</v>
      </c>
      <c r="F547" s="124" t="s">
        <v>620</v>
      </c>
      <c r="G547" s="304">
        <v>2021</v>
      </c>
      <c r="H547" s="312" t="s">
        <v>733</v>
      </c>
      <c r="I547" s="307" t="str">
        <f t="shared" si="34"/>
        <v>Pesado de Passageiros M3: III : Gasóleo : E6</v>
      </c>
      <c r="J547" s="125">
        <v>85</v>
      </c>
      <c r="K547" s="125">
        <v>2022</v>
      </c>
      <c r="L547" s="85">
        <v>7620.85</v>
      </c>
      <c r="M547" s="85" t="s">
        <v>630</v>
      </c>
      <c r="N547" s="128">
        <v>21548</v>
      </c>
      <c r="O547" s="128">
        <f t="shared" si="35"/>
        <v>1831580</v>
      </c>
      <c r="P547" s="125" t="s">
        <v>1170</v>
      </c>
      <c r="Q547" s="85" t="s">
        <v>47</v>
      </c>
      <c r="R547" s="214" t="s">
        <v>1869</v>
      </c>
      <c r="S547" s="214" t="s">
        <v>1861</v>
      </c>
      <c r="T547" s="85" t="s">
        <v>1491</v>
      </c>
      <c r="U547" t="s">
        <v>1953</v>
      </c>
      <c r="V547" t="s">
        <v>2813</v>
      </c>
    </row>
    <row r="548" spans="1:22" ht="15.75" thickBot="1" x14ac:dyDescent="0.3">
      <c r="A548" s="82" t="s">
        <v>3470</v>
      </c>
      <c r="B548" s="82" t="str">
        <f t="shared" si="32"/>
        <v>Barraqueiro Transportes, S.A.</v>
      </c>
      <c r="C548" s="82" t="str">
        <f t="shared" si="33"/>
        <v>Mafrense</v>
      </c>
      <c r="D548" s="83" t="s">
        <v>629</v>
      </c>
      <c r="E548" s="91" t="s">
        <v>1853</v>
      </c>
      <c r="F548" s="124" t="s">
        <v>620</v>
      </c>
      <c r="G548" s="304">
        <v>2021</v>
      </c>
      <c r="H548" s="312" t="s">
        <v>733</v>
      </c>
      <c r="I548" s="307" t="str">
        <f t="shared" si="34"/>
        <v>Pesado de Passageiros M3: III : Gasóleo : E6</v>
      </c>
      <c r="J548" s="125">
        <v>85</v>
      </c>
      <c r="K548" s="125">
        <v>2022</v>
      </c>
      <c r="L548" s="85">
        <v>10720.279999999999</v>
      </c>
      <c r="M548" s="85" t="s">
        <v>630</v>
      </c>
      <c r="N548" s="128">
        <v>28765</v>
      </c>
      <c r="O548" s="128">
        <f t="shared" si="35"/>
        <v>2445025</v>
      </c>
      <c r="P548" s="125" t="s">
        <v>1171</v>
      </c>
      <c r="Q548" s="85" t="s">
        <v>47</v>
      </c>
      <c r="R548" s="214" t="s">
        <v>1869</v>
      </c>
      <c r="S548" s="214" t="s">
        <v>1861</v>
      </c>
      <c r="T548" s="85" t="s">
        <v>1491</v>
      </c>
      <c r="U548" t="s">
        <v>1953</v>
      </c>
      <c r="V548" t="s">
        <v>2813</v>
      </c>
    </row>
    <row r="549" spans="1:22" ht="15.75" thickBot="1" x14ac:dyDescent="0.3">
      <c r="A549" s="82" t="s">
        <v>3470</v>
      </c>
      <c r="B549" s="82" t="str">
        <f t="shared" si="32"/>
        <v>Barraqueiro Transportes, S.A.</v>
      </c>
      <c r="C549" s="82" t="str">
        <f t="shared" si="33"/>
        <v>Mafrense</v>
      </c>
      <c r="D549" s="83" t="s">
        <v>629</v>
      </c>
      <c r="E549" s="91" t="s">
        <v>1853</v>
      </c>
      <c r="F549" s="124" t="s">
        <v>620</v>
      </c>
      <c r="G549" s="304">
        <v>2021</v>
      </c>
      <c r="H549" s="312" t="s">
        <v>733</v>
      </c>
      <c r="I549" s="307" t="str">
        <f t="shared" si="34"/>
        <v>Pesado de Passageiros M3: III : Gasóleo : E6</v>
      </c>
      <c r="J549" s="125">
        <v>85</v>
      </c>
      <c r="K549" s="125">
        <v>2022</v>
      </c>
      <c r="L549" s="85">
        <v>14572.87</v>
      </c>
      <c r="M549" s="85" t="s">
        <v>630</v>
      </c>
      <c r="N549" s="128">
        <v>38935</v>
      </c>
      <c r="O549" s="128">
        <f t="shared" si="35"/>
        <v>3309475</v>
      </c>
      <c r="P549" s="125" t="s">
        <v>1172</v>
      </c>
      <c r="Q549" s="85" t="s">
        <v>47</v>
      </c>
      <c r="R549" s="214" t="s">
        <v>1869</v>
      </c>
      <c r="S549" s="214" t="s">
        <v>1861</v>
      </c>
      <c r="T549" s="85" t="s">
        <v>1491</v>
      </c>
      <c r="U549" t="s">
        <v>1953</v>
      </c>
      <c r="V549" t="s">
        <v>2813</v>
      </c>
    </row>
    <row r="550" spans="1:22" ht="15.75" thickBot="1" x14ac:dyDescent="0.3">
      <c r="A550" s="82" t="s">
        <v>3470</v>
      </c>
      <c r="B550" s="82" t="str">
        <f t="shared" si="32"/>
        <v>Barraqueiro Transportes, S.A.</v>
      </c>
      <c r="C550" s="82" t="str">
        <f t="shared" si="33"/>
        <v>Mafrense</v>
      </c>
      <c r="D550" s="83" t="s">
        <v>629</v>
      </c>
      <c r="E550" s="91" t="s">
        <v>1853</v>
      </c>
      <c r="F550" s="124" t="s">
        <v>620</v>
      </c>
      <c r="G550" s="304">
        <v>2021</v>
      </c>
      <c r="H550" s="312" t="s">
        <v>733</v>
      </c>
      <c r="I550" s="307" t="str">
        <f t="shared" si="34"/>
        <v>Pesado de Passageiros M3: III : Gasóleo : E6</v>
      </c>
      <c r="J550" s="125">
        <v>85</v>
      </c>
      <c r="K550" s="125">
        <v>2022</v>
      </c>
      <c r="L550" s="85">
        <v>9173.75</v>
      </c>
      <c r="M550" s="85" t="s">
        <v>630</v>
      </c>
      <c r="N550" s="128">
        <v>26532</v>
      </c>
      <c r="O550" s="128">
        <f t="shared" si="35"/>
        <v>2255220</v>
      </c>
      <c r="P550" s="125" t="s">
        <v>1173</v>
      </c>
      <c r="Q550" s="85" t="s">
        <v>47</v>
      </c>
      <c r="R550" s="214" t="s">
        <v>1869</v>
      </c>
      <c r="S550" s="214" t="s">
        <v>1861</v>
      </c>
      <c r="T550" s="85" t="s">
        <v>1491</v>
      </c>
      <c r="U550" t="s">
        <v>1953</v>
      </c>
      <c r="V550" t="s">
        <v>2813</v>
      </c>
    </row>
    <row r="551" spans="1:22" ht="15.75" thickBot="1" x14ac:dyDescent="0.3">
      <c r="A551" s="82" t="s">
        <v>3470</v>
      </c>
      <c r="B551" s="82" t="str">
        <f t="shared" si="32"/>
        <v>Barraqueiro Transportes, S.A.</v>
      </c>
      <c r="C551" s="82" t="str">
        <f t="shared" si="33"/>
        <v>Mafrense</v>
      </c>
      <c r="D551" s="83" t="s">
        <v>629</v>
      </c>
      <c r="E551" s="91" t="s">
        <v>1853</v>
      </c>
      <c r="F551" s="124" t="s">
        <v>620</v>
      </c>
      <c r="G551" s="304">
        <v>2021</v>
      </c>
      <c r="H551" s="312" t="s">
        <v>733</v>
      </c>
      <c r="I551" s="307" t="str">
        <f t="shared" si="34"/>
        <v>Pesado de Passageiros M3: III : Gasóleo : E6</v>
      </c>
      <c r="J551" s="125">
        <v>85</v>
      </c>
      <c r="K551" s="125">
        <v>2022</v>
      </c>
      <c r="L551" s="85">
        <v>11408.109999999999</v>
      </c>
      <c r="M551" s="85" t="s">
        <v>630</v>
      </c>
      <c r="N551" s="128">
        <v>32014</v>
      </c>
      <c r="O551" s="128">
        <f t="shared" si="35"/>
        <v>2721190</v>
      </c>
      <c r="P551" s="125" t="s">
        <v>1174</v>
      </c>
      <c r="Q551" s="85" t="s">
        <v>47</v>
      </c>
      <c r="R551" s="214" t="s">
        <v>1869</v>
      </c>
      <c r="S551" s="214" t="s">
        <v>1861</v>
      </c>
      <c r="T551" s="85" t="s">
        <v>1491</v>
      </c>
      <c r="U551" t="s">
        <v>1953</v>
      </c>
      <c r="V551" t="s">
        <v>2813</v>
      </c>
    </row>
    <row r="552" spans="1:22" ht="15.75" thickBot="1" x14ac:dyDescent="0.3">
      <c r="A552" s="82" t="s">
        <v>3470</v>
      </c>
      <c r="B552" s="82" t="str">
        <f t="shared" si="32"/>
        <v>Barraqueiro Transportes, S.A.</v>
      </c>
      <c r="C552" s="82" t="str">
        <f t="shared" si="33"/>
        <v>Mafrense</v>
      </c>
      <c r="D552" s="83" t="s">
        <v>629</v>
      </c>
      <c r="E552" s="91" t="s">
        <v>1853</v>
      </c>
      <c r="F552" s="124" t="s">
        <v>620</v>
      </c>
      <c r="G552" s="304">
        <v>2021</v>
      </c>
      <c r="H552" s="312" t="s">
        <v>733</v>
      </c>
      <c r="I552" s="307" t="str">
        <f t="shared" si="34"/>
        <v>Pesado de Passageiros M3: III : Gasóleo : E6</v>
      </c>
      <c r="J552" s="125">
        <v>85</v>
      </c>
      <c r="K552" s="125">
        <v>2022</v>
      </c>
      <c r="L552" s="85">
        <v>7831.4900000000007</v>
      </c>
      <c r="M552" s="85" t="s">
        <v>630</v>
      </c>
      <c r="N552" s="128">
        <v>24279</v>
      </c>
      <c r="O552" s="128">
        <f t="shared" si="35"/>
        <v>2063715</v>
      </c>
      <c r="P552" s="125" t="s">
        <v>1175</v>
      </c>
      <c r="Q552" s="85" t="s">
        <v>47</v>
      </c>
      <c r="R552" s="214" t="s">
        <v>1869</v>
      </c>
      <c r="S552" s="214" t="s">
        <v>1861</v>
      </c>
      <c r="T552" s="85" t="s">
        <v>1491</v>
      </c>
      <c r="U552" t="s">
        <v>1953</v>
      </c>
      <c r="V552" t="s">
        <v>2813</v>
      </c>
    </row>
    <row r="553" spans="1:22" ht="15.75" thickBot="1" x14ac:dyDescent="0.3">
      <c r="A553" s="82" t="s">
        <v>3470</v>
      </c>
      <c r="B553" s="82" t="str">
        <f t="shared" si="32"/>
        <v>Barraqueiro Transportes, S.A.</v>
      </c>
      <c r="C553" s="82" t="str">
        <f t="shared" si="33"/>
        <v>Mafrense</v>
      </c>
      <c r="D553" s="83" t="s">
        <v>629</v>
      </c>
      <c r="E553" s="91" t="s">
        <v>1853</v>
      </c>
      <c r="F553" s="124" t="s">
        <v>620</v>
      </c>
      <c r="G553" s="304">
        <v>2021</v>
      </c>
      <c r="H553" s="312" t="s">
        <v>733</v>
      </c>
      <c r="I553" s="307" t="str">
        <f t="shared" si="34"/>
        <v>Pesado de Passageiros M3: III : Gasóleo : E6</v>
      </c>
      <c r="J553" s="125">
        <v>85</v>
      </c>
      <c r="K553" s="125">
        <v>2022</v>
      </c>
      <c r="L553" s="85">
        <v>8675.02</v>
      </c>
      <c r="M553" s="85" t="s">
        <v>630</v>
      </c>
      <c r="N553" s="128">
        <v>24459</v>
      </c>
      <c r="O553" s="128">
        <f t="shared" si="35"/>
        <v>2079015</v>
      </c>
      <c r="P553" s="125" t="s">
        <v>1176</v>
      </c>
      <c r="Q553" s="85" t="s">
        <v>47</v>
      </c>
      <c r="R553" s="214" t="s">
        <v>1869</v>
      </c>
      <c r="S553" s="214" t="s">
        <v>1861</v>
      </c>
      <c r="T553" s="85" t="s">
        <v>1491</v>
      </c>
      <c r="U553" t="s">
        <v>1953</v>
      </c>
      <c r="V553" t="s">
        <v>2813</v>
      </c>
    </row>
    <row r="554" spans="1:22" ht="15.75" thickBot="1" x14ac:dyDescent="0.3">
      <c r="A554" s="82" t="s">
        <v>3470</v>
      </c>
      <c r="B554" s="82" t="str">
        <f t="shared" si="32"/>
        <v>Barraqueiro Transportes, S.A.</v>
      </c>
      <c r="C554" s="82" t="str">
        <f t="shared" si="33"/>
        <v>Mafrense</v>
      </c>
      <c r="D554" s="83" t="s">
        <v>629</v>
      </c>
      <c r="E554" s="91" t="s">
        <v>1853</v>
      </c>
      <c r="F554" s="124" t="s">
        <v>620</v>
      </c>
      <c r="G554" s="304">
        <v>2021</v>
      </c>
      <c r="H554" s="312" t="s">
        <v>733</v>
      </c>
      <c r="I554" s="307" t="str">
        <f t="shared" si="34"/>
        <v>Pesado de Passageiros M3: III : Gasóleo : E6</v>
      </c>
      <c r="J554" s="125">
        <v>85</v>
      </c>
      <c r="K554" s="125">
        <v>2022</v>
      </c>
      <c r="L554" s="85">
        <v>7056.05</v>
      </c>
      <c r="M554" s="85" t="s">
        <v>630</v>
      </c>
      <c r="N554" s="128">
        <v>21050</v>
      </c>
      <c r="O554" s="128">
        <f t="shared" si="35"/>
        <v>1789250</v>
      </c>
      <c r="P554" s="125" t="s">
        <v>1177</v>
      </c>
      <c r="Q554" s="85" t="s">
        <v>47</v>
      </c>
      <c r="R554" s="214" t="s">
        <v>1869</v>
      </c>
      <c r="S554" s="214" t="s">
        <v>1861</v>
      </c>
      <c r="T554" s="85" t="s">
        <v>1491</v>
      </c>
      <c r="U554" t="s">
        <v>1953</v>
      </c>
      <c r="V554" t="s">
        <v>2813</v>
      </c>
    </row>
    <row r="555" spans="1:22" ht="15.75" thickBot="1" x14ac:dyDescent="0.3">
      <c r="A555" s="82" t="s">
        <v>3470</v>
      </c>
      <c r="B555" s="82" t="str">
        <f t="shared" si="32"/>
        <v>Barraqueiro Transportes, S.A.</v>
      </c>
      <c r="C555" s="82" t="str">
        <f t="shared" si="33"/>
        <v>Mafrense</v>
      </c>
      <c r="D555" s="83" t="s">
        <v>629</v>
      </c>
      <c r="E555" s="91" t="s">
        <v>1853</v>
      </c>
      <c r="F555" s="124" t="s">
        <v>620</v>
      </c>
      <c r="G555" s="304">
        <v>2021</v>
      </c>
      <c r="H555" s="312" t="s">
        <v>733</v>
      </c>
      <c r="I555" s="307" t="str">
        <f t="shared" si="34"/>
        <v>Pesado de Passageiros M3: III : Gasóleo : E6</v>
      </c>
      <c r="J555" s="125">
        <v>85</v>
      </c>
      <c r="K555" s="125">
        <v>2022</v>
      </c>
      <c r="L555" s="85">
        <v>7274.76</v>
      </c>
      <c r="M555" s="85" t="s">
        <v>630</v>
      </c>
      <c r="N555" s="128">
        <v>22545</v>
      </c>
      <c r="O555" s="128">
        <f t="shared" si="35"/>
        <v>1916325</v>
      </c>
      <c r="P555" s="125" t="s">
        <v>1178</v>
      </c>
      <c r="Q555" s="85" t="s">
        <v>47</v>
      </c>
      <c r="R555" s="214" t="s">
        <v>1869</v>
      </c>
      <c r="S555" s="214" t="s">
        <v>1861</v>
      </c>
      <c r="T555" s="85" t="s">
        <v>1491</v>
      </c>
      <c r="U555" t="s">
        <v>1953</v>
      </c>
      <c r="V555" t="s">
        <v>2813</v>
      </c>
    </row>
    <row r="556" spans="1:22" ht="15.75" thickBot="1" x14ac:dyDescent="0.3">
      <c r="A556" s="82" t="s">
        <v>3470</v>
      </c>
      <c r="B556" s="82" t="str">
        <f t="shared" si="32"/>
        <v>Barraqueiro Transportes, S.A.</v>
      </c>
      <c r="C556" s="82" t="str">
        <f t="shared" si="33"/>
        <v>Mafrense</v>
      </c>
      <c r="D556" s="83" t="s">
        <v>629</v>
      </c>
      <c r="E556" s="91" t="s">
        <v>1853</v>
      </c>
      <c r="F556" s="124" t="s">
        <v>620</v>
      </c>
      <c r="G556" s="304">
        <v>2021</v>
      </c>
      <c r="H556" s="312" t="s">
        <v>733</v>
      </c>
      <c r="I556" s="307" t="str">
        <f t="shared" si="34"/>
        <v>Pesado de Passageiros M3: III : Gasóleo : E6</v>
      </c>
      <c r="J556" s="125">
        <v>85</v>
      </c>
      <c r="K556" s="125">
        <v>2022</v>
      </c>
      <c r="L556" s="85">
        <v>6361.1</v>
      </c>
      <c r="M556" s="85" t="s">
        <v>630</v>
      </c>
      <c r="N556" s="128">
        <v>18383</v>
      </c>
      <c r="O556" s="128">
        <f t="shared" si="35"/>
        <v>1562555</v>
      </c>
      <c r="P556" s="125" t="s">
        <v>1179</v>
      </c>
      <c r="Q556" s="85" t="s">
        <v>47</v>
      </c>
      <c r="R556" s="214" t="s">
        <v>1869</v>
      </c>
      <c r="S556" s="214" t="s">
        <v>1861</v>
      </c>
      <c r="T556" s="85" t="s">
        <v>1491</v>
      </c>
      <c r="U556" t="s">
        <v>1953</v>
      </c>
      <c r="V556" t="s">
        <v>2813</v>
      </c>
    </row>
    <row r="557" spans="1:22" ht="15.75" thickBot="1" x14ac:dyDescent="0.3">
      <c r="A557" s="82" t="s">
        <v>3470</v>
      </c>
      <c r="B557" s="82" t="str">
        <f t="shared" si="32"/>
        <v>Barraqueiro Transportes, S.A.</v>
      </c>
      <c r="C557" s="82" t="str">
        <f t="shared" si="33"/>
        <v>Mafrense</v>
      </c>
      <c r="D557" s="83" t="s">
        <v>629</v>
      </c>
      <c r="E557" s="91" t="s">
        <v>1853</v>
      </c>
      <c r="F557" s="124" t="s">
        <v>620</v>
      </c>
      <c r="G557" s="304">
        <v>2021</v>
      </c>
      <c r="H557" s="312" t="s">
        <v>733</v>
      </c>
      <c r="I557" s="307" t="str">
        <f t="shared" si="34"/>
        <v>Pesado de Passageiros M3: III : Gasóleo : E6</v>
      </c>
      <c r="J557" s="125">
        <v>85</v>
      </c>
      <c r="K557" s="125">
        <v>2022</v>
      </c>
      <c r="L557" s="85">
        <v>7589.14</v>
      </c>
      <c r="M557" s="85" t="s">
        <v>630</v>
      </c>
      <c r="N557" s="128">
        <v>22124</v>
      </c>
      <c r="O557" s="128">
        <f t="shared" si="35"/>
        <v>1880540</v>
      </c>
      <c r="P557" s="125" t="s">
        <v>1180</v>
      </c>
      <c r="Q557" s="85" t="s">
        <v>47</v>
      </c>
      <c r="R557" s="214" t="s">
        <v>1869</v>
      </c>
      <c r="S557" s="214" t="s">
        <v>1861</v>
      </c>
      <c r="T557" s="85" t="s">
        <v>1491</v>
      </c>
      <c r="U557" t="s">
        <v>1953</v>
      </c>
      <c r="V557" t="s">
        <v>2813</v>
      </c>
    </row>
    <row r="558" spans="1:22" ht="15.75" thickBot="1" x14ac:dyDescent="0.3">
      <c r="A558" s="82" t="s">
        <v>3470</v>
      </c>
      <c r="B558" s="82" t="str">
        <f t="shared" si="32"/>
        <v>Barraqueiro Transportes, S.A.</v>
      </c>
      <c r="C558" s="82" t="str">
        <f t="shared" si="33"/>
        <v>Mafrense</v>
      </c>
      <c r="D558" s="83" t="s">
        <v>629</v>
      </c>
      <c r="E558" s="91" t="s">
        <v>1853</v>
      </c>
      <c r="F558" s="124" t="s">
        <v>620</v>
      </c>
      <c r="G558" s="304">
        <v>2021</v>
      </c>
      <c r="H558" s="312" t="s">
        <v>733</v>
      </c>
      <c r="I558" s="307" t="str">
        <f t="shared" si="34"/>
        <v>Pesado de Passageiros M3: III : Gasóleo : E6</v>
      </c>
      <c r="J558" s="125">
        <v>85</v>
      </c>
      <c r="K558" s="125">
        <v>2022</v>
      </c>
      <c r="L558" s="85">
        <v>10213.23</v>
      </c>
      <c r="M558" s="85" t="s">
        <v>630</v>
      </c>
      <c r="N558" s="128">
        <v>29396</v>
      </c>
      <c r="O558" s="128">
        <f t="shared" si="35"/>
        <v>2498660</v>
      </c>
      <c r="P558" s="125" t="s">
        <v>1181</v>
      </c>
      <c r="Q558" s="85" t="s">
        <v>47</v>
      </c>
      <c r="R558" s="214" t="s">
        <v>1869</v>
      </c>
      <c r="S558" s="214" t="s">
        <v>1861</v>
      </c>
      <c r="T558" s="85" t="s">
        <v>1491</v>
      </c>
      <c r="U558" t="s">
        <v>1953</v>
      </c>
      <c r="V558" t="s">
        <v>2813</v>
      </c>
    </row>
    <row r="559" spans="1:22" ht="15.75" thickBot="1" x14ac:dyDescent="0.3">
      <c r="A559" s="82" t="s">
        <v>3470</v>
      </c>
      <c r="B559" s="82" t="str">
        <f t="shared" si="32"/>
        <v>Barraqueiro Transportes, S.A.</v>
      </c>
      <c r="C559" s="82" t="str">
        <f t="shared" si="33"/>
        <v>Mafrense</v>
      </c>
      <c r="D559" s="83" t="s">
        <v>629</v>
      </c>
      <c r="E559" s="91" t="s">
        <v>1853</v>
      </c>
      <c r="F559" s="124" t="s">
        <v>620</v>
      </c>
      <c r="G559" s="304">
        <v>2021</v>
      </c>
      <c r="H559" s="312" t="s">
        <v>733</v>
      </c>
      <c r="I559" s="307" t="str">
        <f t="shared" si="34"/>
        <v>Pesado de Passageiros M3: III : Gasóleo : E6</v>
      </c>
      <c r="J559" s="125">
        <v>85</v>
      </c>
      <c r="K559" s="125">
        <v>2022</v>
      </c>
      <c r="L559" s="85">
        <v>11983.33</v>
      </c>
      <c r="M559" s="85" t="s">
        <v>630</v>
      </c>
      <c r="N559" s="128">
        <v>33444</v>
      </c>
      <c r="O559" s="128">
        <f t="shared" si="35"/>
        <v>2842740</v>
      </c>
      <c r="P559" s="125" t="s">
        <v>1182</v>
      </c>
      <c r="Q559" s="85" t="s">
        <v>47</v>
      </c>
      <c r="R559" s="214" t="s">
        <v>1869</v>
      </c>
      <c r="S559" s="214" t="s">
        <v>1861</v>
      </c>
      <c r="T559" s="85" t="s">
        <v>1491</v>
      </c>
      <c r="U559" t="s">
        <v>1953</v>
      </c>
      <c r="V559" t="s">
        <v>2813</v>
      </c>
    </row>
    <row r="560" spans="1:22" ht="15.75" thickBot="1" x14ac:dyDescent="0.3">
      <c r="A560" s="82" t="s">
        <v>3470</v>
      </c>
      <c r="B560" s="82" t="str">
        <f t="shared" si="32"/>
        <v>Barraqueiro Transportes, S.A.</v>
      </c>
      <c r="C560" s="82" t="str">
        <f t="shared" si="33"/>
        <v>Mafrense</v>
      </c>
      <c r="D560" s="83" t="s">
        <v>629</v>
      </c>
      <c r="E560" s="91" t="s">
        <v>1853</v>
      </c>
      <c r="F560" s="124" t="s">
        <v>620</v>
      </c>
      <c r="G560" s="304">
        <v>2022</v>
      </c>
      <c r="H560" s="312" t="s">
        <v>733</v>
      </c>
      <c r="I560" s="307" t="str">
        <f t="shared" si="34"/>
        <v>Pesado de Passageiros M3: III : Gasóleo : E6</v>
      </c>
      <c r="J560" s="125">
        <v>83</v>
      </c>
      <c r="K560" s="125">
        <v>2022</v>
      </c>
      <c r="L560" s="85">
        <v>4631.28</v>
      </c>
      <c r="M560" s="85" t="s">
        <v>630</v>
      </c>
      <c r="N560" s="128">
        <v>14319</v>
      </c>
      <c r="O560" s="128">
        <f t="shared" si="35"/>
        <v>1188477</v>
      </c>
      <c r="P560" s="125" t="s">
        <v>1183</v>
      </c>
      <c r="Q560" s="85" t="s">
        <v>47</v>
      </c>
      <c r="R560" s="214" t="s">
        <v>1869</v>
      </c>
      <c r="S560" s="214" t="s">
        <v>1861</v>
      </c>
      <c r="T560" s="85" t="s">
        <v>1491</v>
      </c>
      <c r="U560" t="s">
        <v>1953</v>
      </c>
      <c r="V560" t="s">
        <v>2813</v>
      </c>
    </row>
    <row r="561" spans="1:22" ht="15.75" thickBot="1" x14ac:dyDescent="0.3">
      <c r="A561" s="82" t="s">
        <v>3470</v>
      </c>
      <c r="B561" s="82" t="str">
        <f t="shared" si="32"/>
        <v>Barraqueiro Transportes, S.A.</v>
      </c>
      <c r="C561" s="82" t="str">
        <f t="shared" si="33"/>
        <v>Mafrense</v>
      </c>
      <c r="D561" s="83" t="s">
        <v>629</v>
      </c>
      <c r="E561" s="91" t="s">
        <v>1853</v>
      </c>
      <c r="F561" s="124" t="s">
        <v>620</v>
      </c>
      <c r="G561" s="304">
        <v>2022</v>
      </c>
      <c r="H561" s="312" t="s">
        <v>733</v>
      </c>
      <c r="I561" s="307" t="str">
        <f t="shared" si="34"/>
        <v>Pesado de Passageiros M3: III : Gasóleo : E6</v>
      </c>
      <c r="J561" s="125">
        <v>83</v>
      </c>
      <c r="K561" s="125">
        <v>2022</v>
      </c>
      <c r="L561" s="85">
        <v>70</v>
      </c>
      <c r="M561" s="85" t="s">
        <v>630</v>
      </c>
      <c r="N561" s="128">
        <v>233</v>
      </c>
      <c r="O561" s="128">
        <f t="shared" si="35"/>
        <v>19339</v>
      </c>
      <c r="P561" s="125" t="s">
        <v>1184</v>
      </c>
      <c r="Q561" s="85" t="s">
        <v>47</v>
      </c>
      <c r="R561" s="214" t="s">
        <v>1869</v>
      </c>
      <c r="S561" s="214" t="s">
        <v>1861</v>
      </c>
      <c r="T561" s="85" t="s">
        <v>1491</v>
      </c>
      <c r="U561" t="s">
        <v>1953</v>
      </c>
      <c r="V561" t="s">
        <v>2813</v>
      </c>
    </row>
    <row r="562" spans="1:22" ht="15.75" thickBot="1" x14ac:dyDescent="0.3">
      <c r="A562" s="82" t="s">
        <v>3470</v>
      </c>
      <c r="B562" s="82" t="str">
        <f t="shared" si="32"/>
        <v>Barraqueiro Transportes, S.A.</v>
      </c>
      <c r="C562" s="82" t="str">
        <f t="shared" si="33"/>
        <v>Mafrense</v>
      </c>
      <c r="D562" s="83" t="s">
        <v>629</v>
      </c>
      <c r="E562" s="91" t="s">
        <v>1853</v>
      </c>
      <c r="F562" s="124" t="s">
        <v>620</v>
      </c>
      <c r="G562" s="304">
        <v>2022</v>
      </c>
      <c r="H562" s="312" t="s">
        <v>733</v>
      </c>
      <c r="I562" s="307" t="str">
        <f t="shared" si="34"/>
        <v>Pesado de Passageiros M3: III : Gasóleo : E6</v>
      </c>
      <c r="J562" s="125">
        <v>83</v>
      </c>
      <c r="K562" s="125">
        <v>2022</v>
      </c>
      <c r="L562" s="85">
        <v>50</v>
      </c>
      <c r="M562" s="85" t="s">
        <v>630</v>
      </c>
      <c r="N562" s="128">
        <v>166</v>
      </c>
      <c r="O562" s="128">
        <f t="shared" si="35"/>
        <v>13778</v>
      </c>
      <c r="P562" s="125" t="s">
        <v>1185</v>
      </c>
      <c r="Q562" s="85" t="s">
        <v>47</v>
      </c>
      <c r="R562" s="214" t="s">
        <v>1869</v>
      </c>
      <c r="S562" s="214" t="s">
        <v>1861</v>
      </c>
      <c r="T562" s="85" t="s">
        <v>1491</v>
      </c>
      <c r="U562" t="s">
        <v>1953</v>
      </c>
      <c r="V562" t="s">
        <v>2813</v>
      </c>
    </row>
    <row r="563" spans="1:22" ht="15.75" thickBot="1" x14ac:dyDescent="0.3">
      <c r="A563" s="82" t="s">
        <v>3470</v>
      </c>
      <c r="B563" s="82" t="str">
        <f t="shared" si="32"/>
        <v>Barraqueiro Transportes, S.A.</v>
      </c>
      <c r="C563" s="82" t="str">
        <f t="shared" si="33"/>
        <v>Mafrense</v>
      </c>
      <c r="D563" s="83" t="s">
        <v>629</v>
      </c>
      <c r="E563" s="91" t="s">
        <v>1853</v>
      </c>
      <c r="F563" s="124" t="s">
        <v>620</v>
      </c>
      <c r="G563" s="304">
        <v>2022</v>
      </c>
      <c r="H563" s="312" t="s">
        <v>733</v>
      </c>
      <c r="I563" s="307" t="str">
        <f t="shared" si="34"/>
        <v>Pesado de Passageiros M3: III : Gasóleo : E6</v>
      </c>
      <c r="J563" s="125">
        <v>83</v>
      </c>
      <c r="K563" s="125">
        <v>2022</v>
      </c>
      <c r="L563" s="85">
        <v>2064.62</v>
      </c>
      <c r="M563" s="85" t="s">
        <v>630</v>
      </c>
      <c r="N563" s="128">
        <v>5648</v>
      </c>
      <c r="O563" s="128">
        <f t="shared" si="35"/>
        <v>468784</v>
      </c>
      <c r="P563" s="125" t="s">
        <v>1186</v>
      </c>
      <c r="Q563" s="85" t="s">
        <v>47</v>
      </c>
      <c r="R563" s="214" t="s">
        <v>1869</v>
      </c>
      <c r="S563" s="214" t="s">
        <v>1861</v>
      </c>
      <c r="T563" s="85" t="s">
        <v>1491</v>
      </c>
      <c r="U563" t="s">
        <v>1953</v>
      </c>
      <c r="V563" t="s">
        <v>2813</v>
      </c>
    </row>
    <row r="564" spans="1:22" ht="15.75" thickBot="1" x14ac:dyDescent="0.3">
      <c r="A564" s="82" t="s">
        <v>3470</v>
      </c>
      <c r="B564" s="82" t="str">
        <f t="shared" si="32"/>
        <v>Barraqueiro Transportes, S.A.</v>
      </c>
      <c r="C564" s="82" t="str">
        <f t="shared" si="33"/>
        <v>Mafrense</v>
      </c>
      <c r="D564" s="83" t="s">
        <v>629</v>
      </c>
      <c r="E564" s="91" t="s">
        <v>1853</v>
      </c>
      <c r="F564" s="124" t="s">
        <v>620</v>
      </c>
      <c r="G564" s="304">
        <v>2022</v>
      </c>
      <c r="H564" s="312" t="s">
        <v>733</v>
      </c>
      <c r="I564" s="307" t="str">
        <f t="shared" si="34"/>
        <v>Pesado de Passageiros M3: III : Gasóleo : E6</v>
      </c>
      <c r="J564" s="125">
        <v>83</v>
      </c>
      <c r="K564" s="125">
        <v>2022</v>
      </c>
      <c r="L564" s="85">
        <v>3582.8500000000004</v>
      </c>
      <c r="M564" s="85" t="s">
        <v>630</v>
      </c>
      <c r="N564" s="128">
        <v>9450</v>
      </c>
      <c r="O564" s="128">
        <f t="shared" si="35"/>
        <v>784350</v>
      </c>
      <c r="P564" s="125" t="s">
        <v>1187</v>
      </c>
      <c r="Q564" s="85" t="s">
        <v>47</v>
      </c>
      <c r="R564" s="214" t="s">
        <v>1869</v>
      </c>
      <c r="S564" s="214" t="s">
        <v>1861</v>
      </c>
      <c r="T564" s="85" t="s">
        <v>1491</v>
      </c>
      <c r="U564" t="s">
        <v>1953</v>
      </c>
      <c r="V564" t="s">
        <v>2813</v>
      </c>
    </row>
    <row r="565" spans="1:22" ht="15.75" thickBot="1" x14ac:dyDescent="0.3">
      <c r="A565" s="82" t="s">
        <v>3470</v>
      </c>
      <c r="B565" s="82" t="str">
        <f t="shared" si="32"/>
        <v>Barraqueiro Transportes, S.A.</v>
      </c>
      <c r="C565" s="82" t="str">
        <f t="shared" si="33"/>
        <v>Mafrense</v>
      </c>
      <c r="D565" s="83" t="s">
        <v>629</v>
      </c>
      <c r="E565" s="91" t="s">
        <v>1853</v>
      </c>
      <c r="F565" s="124" t="s">
        <v>620</v>
      </c>
      <c r="G565" s="304">
        <v>2022</v>
      </c>
      <c r="H565" s="312" t="s">
        <v>733</v>
      </c>
      <c r="I565" s="307" t="str">
        <f t="shared" si="34"/>
        <v>Pesado de Passageiros M3: III : Gasóleo : E6</v>
      </c>
      <c r="J565" s="125">
        <v>83</v>
      </c>
      <c r="K565" s="125">
        <v>2022</v>
      </c>
      <c r="L565" s="85">
        <v>60</v>
      </c>
      <c r="M565" s="85" t="s">
        <v>630</v>
      </c>
      <c r="N565" s="128">
        <v>200</v>
      </c>
      <c r="O565" s="128">
        <f t="shared" si="35"/>
        <v>16600</v>
      </c>
      <c r="P565" s="125" t="s">
        <v>1188</v>
      </c>
      <c r="Q565" s="85" t="s">
        <v>47</v>
      </c>
      <c r="R565" s="214" t="s">
        <v>1869</v>
      </c>
      <c r="S565" s="214" t="s">
        <v>1861</v>
      </c>
      <c r="T565" s="85" t="s">
        <v>1491</v>
      </c>
      <c r="U565" t="s">
        <v>1953</v>
      </c>
      <c r="V565" t="s">
        <v>2813</v>
      </c>
    </row>
    <row r="566" spans="1:22" ht="15.75" thickBot="1" x14ac:dyDescent="0.3">
      <c r="A566" s="82" t="s">
        <v>3470</v>
      </c>
      <c r="B566" s="82" t="str">
        <f t="shared" si="32"/>
        <v>Barraqueiro Transportes, S.A.</v>
      </c>
      <c r="C566" s="82" t="str">
        <f t="shared" si="33"/>
        <v>Mafrense</v>
      </c>
      <c r="D566" s="83" t="s">
        <v>629</v>
      </c>
      <c r="E566" s="91" t="s">
        <v>1853</v>
      </c>
      <c r="F566" s="124" t="s">
        <v>620</v>
      </c>
      <c r="G566" s="304">
        <v>2022</v>
      </c>
      <c r="H566" s="312" t="s">
        <v>733</v>
      </c>
      <c r="I566" s="307" t="str">
        <f t="shared" si="34"/>
        <v>Pesado de Passageiros M3: III : Gasóleo : E6</v>
      </c>
      <c r="J566" s="125">
        <v>83</v>
      </c>
      <c r="K566" s="125">
        <v>2022</v>
      </c>
      <c r="L566" s="85">
        <v>60</v>
      </c>
      <c r="M566" s="85" t="s">
        <v>630</v>
      </c>
      <c r="N566" s="128">
        <v>200</v>
      </c>
      <c r="O566" s="128">
        <f t="shared" si="35"/>
        <v>16600</v>
      </c>
      <c r="P566" s="125" t="s">
        <v>1189</v>
      </c>
      <c r="Q566" s="85" t="s">
        <v>47</v>
      </c>
      <c r="R566" s="214" t="s">
        <v>1869</v>
      </c>
      <c r="S566" s="214" t="s">
        <v>1861</v>
      </c>
      <c r="T566" s="85" t="s">
        <v>1491</v>
      </c>
      <c r="U566" t="s">
        <v>1953</v>
      </c>
      <c r="V566" t="s">
        <v>2813</v>
      </c>
    </row>
    <row r="567" spans="1:22" ht="15.75" thickBot="1" x14ac:dyDescent="0.3">
      <c r="A567" s="82" t="s">
        <v>3470</v>
      </c>
      <c r="B567" s="82" t="str">
        <f t="shared" si="32"/>
        <v>Barraqueiro Transportes, S.A.</v>
      </c>
      <c r="C567" s="82" t="str">
        <f t="shared" si="33"/>
        <v>Mafrense</v>
      </c>
      <c r="D567" s="83" t="s">
        <v>629</v>
      </c>
      <c r="E567" s="91" t="s">
        <v>1853</v>
      </c>
      <c r="F567" s="124" t="s">
        <v>620</v>
      </c>
      <c r="G567" s="304">
        <v>2022</v>
      </c>
      <c r="H567" s="312" t="s">
        <v>733</v>
      </c>
      <c r="I567" s="307" t="str">
        <f t="shared" si="34"/>
        <v>Pesado de Passageiros M3: III : Gasóleo : E6</v>
      </c>
      <c r="J567" s="125">
        <v>83</v>
      </c>
      <c r="K567" s="125">
        <v>2022</v>
      </c>
      <c r="L567" s="85">
        <v>4620.53</v>
      </c>
      <c r="M567" s="85" t="s">
        <v>630</v>
      </c>
      <c r="N567" s="128">
        <v>13694</v>
      </c>
      <c r="O567" s="128">
        <f t="shared" si="35"/>
        <v>1136602</v>
      </c>
      <c r="P567" s="125" t="s">
        <v>1190</v>
      </c>
      <c r="Q567" s="85" t="s">
        <v>47</v>
      </c>
      <c r="R567" s="214" t="s">
        <v>1869</v>
      </c>
      <c r="S567" s="214" t="s">
        <v>1861</v>
      </c>
      <c r="T567" s="85" t="s">
        <v>1491</v>
      </c>
      <c r="U567" t="s">
        <v>1953</v>
      </c>
      <c r="V567" t="s">
        <v>2813</v>
      </c>
    </row>
    <row r="568" spans="1:22" ht="15.75" thickBot="1" x14ac:dyDescent="0.3">
      <c r="A568" s="82" t="s">
        <v>3470</v>
      </c>
      <c r="B568" s="82" t="str">
        <f t="shared" si="32"/>
        <v>Barraqueiro Transportes, S.A.</v>
      </c>
      <c r="C568" s="82" t="str">
        <f t="shared" si="33"/>
        <v>Mafrense</v>
      </c>
      <c r="D568" s="83" t="s">
        <v>629</v>
      </c>
      <c r="E568" s="91" t="s">
        <v>1853</v>
      </c>
      <c r="F568" s="124" t="s">
        <v>620</v>
      </c>
      <c r="G568" s="304">
        <v>2022</v>
      </c>
      <c r="H568" s="312" t="s">
        <v>733</v>
      </c>
      <c r="I568" s="307" t="str">
        <f t="shared" si="34"/>
        <v>Pesado de Passageiros M3: III : Gasóleo : E6</v>
      </c>
      <c r="J568" s="125">
        <v>83</v>
      </c>
      <c r="K568" s="125">
        <v>2022</v>
      </c>
      <c r="L568" s="85">
        <v>50</v>
      </c>
      <c r="M568" s="85" t="s">
        <v>630</v>
      </c>
      <c r="N568" s="128">
        <v>166</v>
      </c>
      <c r="O568" s="128">
        <f t="shared" si="35"/>
        <v>13778</v>
      </c>
      <c r="P568" s="125" t="s">
        <v>1191</v>
      </c>
      <c r="Q568" s="85" t="s">
        <v>47</v>
      </c>
      <c r="R568" s="214" t="s">
        <v>1869</v>
      </c>
      <c r="S568" s="214" t="s">
        <v>1861</v>
      </c>
      <c r="T568" s="85" t="s">
        <v>1491</v>
      </c>
      <c r="U568" t="s">
        <v>1953</v>
      </c>
      <c r="V568" t="s">
        <v>2813</v>
      </c>
    </row>
    <row r="569" spans="1:22" ht="15.75" thickBot="1" x14ac:dyDescent="0.3">
      <c r="A569" s="82" t="s">
        <v>3470</v>
      </c>
      <c r="B569" s="82" t="str">
        <f t="shared" si="32"/>
        <v>Barraqueiro Transportes, S.A.</v>
      </c>
      <c r="C569" s="82" t="str">
        <f t="shared" si="33"/>
        <v>Mafrense</v>
      </c>
      <c r="D569" s="83" t="s">
        <v>629</v>
      </c>
      <c r="E569" s="91" t="s">
        <v>1853</v>
      </c>
      <c r="F569" s="124" t="s">
        <v>620</v>
      </c>
      <c r="G569" s="304">
        <v>2022</v>
      </c>
      <c r="H569" s="312" t="s">
        <v>733</v>
      </c>
      <c r="I569" s="307" t="str">
        <f t="shared" si="34"/>
        <v>Pesado de Passageiros M3: III : Gasóleo : E6</v>
      </c>
      <c r="J569" s="125">
        <v>83</v>
      </c>
      <c r="K569" s="125">
        <v>2022</v>
      </c>
      <c r="L569" s="85">
        <v>2340.9700000000003</v>
      </c>
      <c r="M569" s="85" t="s">
        <v>630</v>
      </c>
      <c r="N569" s="128">
        <v>7081</v>
      </c>
      <c r="O569" s="128">
        <f t="shared" si="35"/>
        <v>587723</v>
      </c>
      <c r="P569" s="125" t="s">
        <v>1192</v>
      </c>
      <c r="Q569" s="85" t="s">
        <v>47</v>
      </c>
      <c r="R569" s="214" t="s">
        <v>1869</v>
      </c>
      <c r="S569" s="214" t="s">
        <v>1861</v>
      </c>
      <c r="T569" s="85" t="s">
        <v>1491</v>
      </c>
      <c r="U569" t="s">
        <v>1953</v>
      </c>
      <c r="V569" t="s">
        <v>2813</v>
      </c>
    </row>
    <row r="570" spans="1:22" ht="15.75" thickBot="1" x14ac:dyDescent="0.3">
      <c r="A570" s="82" t="s">
        <v>3470</v>
      </c>
      <c r="B570" s="82" t="str">
        <f t="shared" si="32"/>
        <v>Barraqueiro Transportes, S.A.</v>
      </c>
      <c r="C570" s="82" t="str">
        <f t="shared" si="33"/>
        <v>Mafrense</v>
      </c>
      <c r="D570" s="83" t="s">
        <v>629</v>
      </c>
      <c r="E570" s="91" t="s">
        <v>1853</v>
      </c>
      <c r="F570" s="124" t="s">
        <v>620</v>
      </c>
      <c r="G570" s="304">
        <v>2022</v>
      </c>
      <c r="H570" s="312" t="s">
        <v>733</v>
      </c>
      <c r="I570" s="307" t="str">
        <f t="shared" si="34"/>
        <v>Pesado de Passageiros M3: III : Gasóleo : E6</v>
      </c>
      <c r="J570" s="125">
        <v>83</v>
      </c>
      <c r="K570" s="125">
        <v>2022</v>
      </c>
      <c r="L570" s="85">
        <v>50</v>
      </c>
      <c r="M570" s="85" t="s">
        <v>630</v>
      </c>
      <c r="N570" s="128">
        <v>166</v>
      </c>
      <c r="O570" s="128">
        <f t="shared" si="35"/>
        <v>13778</v>
      </c>
      <c r="P570" s="125" t="s">
        <v>1193</v>
      </c>
      <c r="Q570" s="85" t="s">
        <v>47</v>
      </c>
      <c r="R570" s="214" t="s">
        <v>1869</v>
      </c>
      <c r="S570" s="214" t="s">
        <v>1861</v>
      </c>
      <c r="T570" s="85" t="s">
        <v>1491</v>
      </c>
      <c r="U570" t="s">
        <v>1953</v>
      </c>
      <c r="V570" t="s">
        <v>2813</v>
      </c>
    </row>
    <row r="571" spans="1:22" ht="15.75" thickBot="1" x14ac:dyDescent="0.3">
      <c r="A571" s="82" t="s">
        <v>3470</v>
      </c>
      <c r="B571" s="82" t="str">
        <f t="shared" si="32"/>
        <v>Barraqueiro Transportes, S.A.</v>
      </c>
      <c r="C571" s="82" t="str">
        <f t="shared" si="33"/>
        <v>Mafrense</v>
      </c>
      <c r="D571" s="83" t="s">
        <v>629</v>
      </c>
      <c r="E571" s="91" t="s">
        <v>1853</v>
      </c>
      <c r="F571" s="124" t="s">
        <v>620</v>
      </c>
      <c r="G571" s="304">
        <v>2022</v>
      </c>
      <c r="H571" s="312" t="s">
        <v>733</v>
      </c>
      <c r="I571" s="307" t="str">
        <f t="shared" si="34"/>
        <v>Pesado de Passageiros M3: III : Gasóleo : E6</v>
      </c>
      <c r="J571" s="125">
        <v>83</v>
      </c>
      <c r="K571" s="125">
        <v>2022</v>
      </c>
      <c r="L571" s="85">
        <v>4419.59</v>
      </c>
      <c r="M571" s="85" t="s">
        <v>630</v>
      </c>
      <c r="N571" s="128">
        <v>12826</v>
      </c>
      <c r="O571" s="128">
        <f t="shared" si="35"/>
        <v>1064558</v>
      </c>
      <c r="P571" s="125" t="s">
        <v>1194</v>
      </c>
      <c r="Q571" s="85" t="s">
        <v>47</v>
      </c>
      <c r="R571" s="214" t="s">
        <v>1869</v>
      </c>
      <c r="S571" s="214" t="s">
        <v>1861</v>
      </c>
      <c r="T571" s="85" t="s">
        <v>1491</v>
      </c>
      <c r="U571" t="s">
        <v>1953</v>
      </c>
      <c r="V571" t="s">
        <v>2813</v>
      </c>
    </row>
    <row r="572" spans="1:22" ht="15.75" thickBot="1" x14ac:dyDescent="0.3">
      <c r="A572" s="82" t="s">
        <v>3470</v>
      </c>
      <c r="B572" s="82" t="str">
        <f t="shared" si="32"/>
        <v>Barraqueiro Transportes, S.A.</v>
      </c>
      <c r="C572" s="82" t="str">
        <f t="shared" si="33"/>
        <v>Mafrense</v>
      </c>
      <c r="D572" s="83" t="s">
        <v>629</v>
      </c>
      <c r="E572" s="91" t="s">
        <v>1853</v>
      </c>
      <c r="F572" s="124" t="s">
        <v>620</v>
      </c>
      <c r="G572" s="304">
        <v>2022</v>
      </c>
      <c r="H572" s="312" t="s">
        <v>733</v>
      </c>
      <c r="I572" s="307" t="str">
        <f t="shared" si="34"/>
        <v>Pesado de Passageiros M3: III : Gasóleo : E6</v>
      </c>
      <c r="J572" s="125">
        <v>83</v>
      </c>
      <c r="K572" s="125">
        <v>2022</v>
      </c>
      <c r="L572" s="85">
        <v>2852.27</v>
      </c>
      <c r="M572" s="85" t="s">
        <v>630</v>
      </c>
      <c r="N572" s="128">
        <v>8342</v>
      </c>
      <c r="O572" s="128">
        <f t="shared" si="35"/>
        <v>692386</v>
      </c>
      <c r="P572" s="125" t="s">
        <v>1195</v>
      </c>
      <c r="Q572" s="85" t="s">
        <v>47</v>
      </c>
      <c r="R572" s="214" t="s">
        <v>1869</v>
      </c>
      <c r="S572" s="214" t="s">
        <v>1861</v>
      </c>
      <c r="T572" s="85" t="s">
        <v>1491</v>
      </c>
      <c r="U572" t="s">
        <v>1953</v>
      </c>
      <c r="V572" t="s">
        <v>2813</v>
      </c>
    </row>
    <row r="573" spans="1:22" ht="15.75" thickBot="1" x14ac:dyDescent="0.3">
      <c r="A573" s="82" t="s">
        <v>3470</v>
      </c>
      <c r="B573" s="82" t="str">
        <f t="shared" si="32"/>
        <v>Barraqueiro Transportes, S.A.</v>
      </c>
      <c r="C573" s="82" t="str">
        <f t="shared" si="33"/>
        <v>Mafrense</v>
      </c>
      <c r="D573" s="83" t="s">
        <v>629</v>
      </c>
      <c r="E573" s="91" t="s">
        <v>1853</v>
      </c>
      <c r="F573" s="124" t="s">
        <v>620</v>
      </c>
      <c r="G573" s="304">
        <v>2019</v>
      </c>
      <c r="H573" s="312" t="s">
        <v>733</v>
      </c>
      <c r="I573" s="307" t="str">
        <f t="shared" si="34"/>
        <v>Pesado de Passageiros M3: III : Gasóleo : E6</v>
      </c>
      <c r="J573" s="125">
        <v>29</v>
      </c>
      <c r="K573" s="125">
        <v>2022</v>
      </c>
      <c r="L573" s="85">
        <v>132.01</v>
      </c>
      <c r="M573" s="85" t="s">
        <v>630</v>
      </c>
      <c r="N573" s="128">
        <v>660</v>
      </c>
      <c r="O573" s="128">
        <f t="shared" si="35"/>
        <v>19140</v>
      </c>
      <c r="P573" s="125" t="s">
        <v>1196</v>
      </c>
      <c r="Q573" s="85" t="s">
        <v>47</v>
      </c>
      <c r="R573" s="214" t="s">
        <v>1869</v>
      </c>
      <c r="S573" s="214" t="s">
        <v>1861</v>
      </c>
      <c r="T573" s="85" t="s">
        <v>1491</v>
      </c>
      <c r="U573" t="s">
        <v>1953</v>
      </c>
      <c r="V573" t="s">
        <v>2813</v>
      </c>
    </row>
    <row r="574" spans="1:22" ht="15.75" thickBot="1" x14ac:dyDescent="0.3">
      <c r="A574" s="82" t="s">
        <v>3470</v>
      </c>
      <c r="B574" s="82" t="str">
        <f t="shared" si="32"/>
        <v>Barraqueiro Transportes, S.A.</v>
      </c>
      <c r="C574" s="82" t="str">
        <f t="shared" si="33"/>
        <v>Mafrense</v>
      </c>
      <c r="D574" s="83" t="s">
        <v>629</v>
      </c>
      <c r="E574" s="91" t="s">
        <v>1853</v>
      </c>
      <c r="F574" s="124" t="s">
        <v>620</v>
      </c>
      <c r="G574" s="304">
        <v>2019</v>
      </c>
      <c r="H574" s="312" t="s">
        <v>733</v>
      </c>
      <c r="I574" s="307" t="str">
        <f t="shared" si="34"/>
        <v>Pesado de Passageiros M3: III : Gasóleo : E6</v>
      </c>
      <c r="J574" s="125">
        <v>29</v>
      </c>
      <c r="K574" s="125">
        <v>2022</v>
      </c>
      <c r="L574" s="85">
        <v>108.05</v>
      </c>
      <c r="M574" s="85" t="s">
        <v>630</v>
      </c>
      <c r="N574" s="128">
        <v>491</v>
      </c>
      <c r="O574" s="128">
        <f t="shared" si="35"/>
        <v>14239</v>
      </c>
      <c r="P574" s="125" t="s">
        <v>1197</v>
      </c>
      <c r="Q574" s="85" t="s">
        <v>47</v>
      </c>
      <c r="R574" s="214" t="s">
        <v>1869</v>
      </c>
      <c r="S574" s="214" t="s">
        <v>1861</v>
      </c>
      <c r="T574" s="85" t="s">
        <v>1491</v>
      </c>
      <c r="U574" t="s">
        <v>1953</v>
      </c>
      <c r="V574" t="s">
        <v>2813</v>
      </c>
    </row>
    <row r="575" spans="1:22" ht="15.75" thickBot="1" x14ac:dyDescent="0.3">
      <c r="A575" s="82" t="s">
        <v>3470</v>
      </c>
      <c r="B575" s="82" t="str">
        <f t="shared" si="32"/>
        <v>Barraqueiro Transportes, S.A.</v>
      </c>
      <c r="C575" s="82" t="str">
        <f t="shared" si="33"/>
        <v>Mafrense</v>
      </c>
      <c r="D575" s="83" t="s">
        <v>629</v>
      </c>
      <c r="E575" s="91" t="s">
        <v>1853</v>
      </c>
      <c r="F575" s="124" t="s">
        <v>620</v>
      </c>
      <c r="G575" s="304">
        <v>2022</v>
      </c>
      <c r="H575" s="312" t="s">
        <v>733</v>
      </c>
      <c r="I575" s="307" t="str">
        <f t="shared" si="34"/>
        <v>Pesado de Passageiros M3: III : Gasóleo : E6</v>
      </c>
      <c r="J575" s="125">
        <v>83</v>
      </c>
      <c r="K575" s="125">
        <v>2022</v>
      </c>
      <c r="L575" s="85">
        <v>101.8</v>
      </c>
      <c r="M575" s="85" t="s">
        <v>630</v>
      </c>
      <c r="N575" s="128">
        <v>339</v>
      </c>
      <c r="O575" s="128">
        <f t="shared" si="35"/>
        <v>28137</v>
      </c>
      <c r="P575" s="125" t="s">
        <v>1198</v>
      </c>
      <c r="Q575" s="85" t="s">
        <v>47</v>
      </c>
      <c r="R575" s="214" t="s">
        <v>1869</v>
      </c>
      <c r="S575" s="214" t="s">
        <v>1861</v>
      </c>
      <c r="T575" s="85" t="s">
        <v>1491</v>
      </c>
      <c r="U575" t="s">
        <v>1953</v>
      </c>
      <c r="V575" t="s">
        <v>2813</v>
      </c>
    </row>
    <row r="576" spans="1:22" ht="15.75" thickBot="1" x14ac:dyDescent="0.3">
      <c r="A576" s="82" t="s">
        <v>3470</v>
      </c>
      <c r="B576" s="82" t="str">
        <f t="shared" si="32"/>
        <v>Barraqueiro Transportes, S.A.</v>
      </c>
      <c r="C576" s="82" t="str">
        <f t="shared" si="33"/>
        <v>Mafrense</v>
      </c>
      <c r="D576" s="83" t="s">
        <v>629</v>
      </c>
      <c r="E576" s="91" t="s">
        <v>1853</v>
      </c>
      <c r="F576" s="124" t="s">
        <v>620</v>
      </c>
      <c r="G576" s="304">
        <v>2022</v>
      </c>
      <c r="H576" s="312" t="s">
        <v>733</v>
      </c>
      <c r="I576" s="307" t="str">
        <f t="shared" si="34"/>
        <v>Pesado de Passageiros M3: III : Gasóleo : E6</v>
      </c>
      <c r="J576" s="125">
        <v>83</v>
      </c>
      <c r="K576" s="125">
        <v>2022</v>
      </c>
      <c r="L576" s="85">
        <v>50</v>
      </c>
      <c r="M576" s="85" t="s">
        <v>630</v>
      </c>
      <c r="N576" s="128">
        <v>166</v>
      </c>
      <c r="O576" s="128">
        <f t="shared" si="35"/>
        <v>13778</v>
      </c>
      <c r="P576" s="125" t="s">
        <v>1199</v>
      </c>
      <c r="Q576" s="85" t="s">
        <v>47</v>
      </c>
      <c r="R576" s="214" t="s">
        <v>1869</v>
      </c>
      <c r="S576" s="214" t="s">
        <v>1861</v>
      </c>
      <c r="T576" s="85" t="s">
        <v>1491</v>
      </c>
      <c r="U576" t="s">
        <v>1953</v>
      </c>
      <c r="V576" t="s">
        <v>2813</v>
      </c>
    </row>
    <row r="577" spans="1:22" ht="15.75" thickBot="1" x14ac:dyDescent="0.3">
      <c r="A577" s="82" t="s">
        <v>3470</v>
      </c>
      <c r="B577" s="82" t="str">
        <f t="shared" si="32"/>
        <v>Barraqueiro Transportes, S.A.</v>
      </c>
      <c r="C577" s="82" t="str">
        <f t="shared" si="33"/>
        <v>Mafrense</v>
      </c>
      <c r="D577" s="83" t="s">
        <v>629</v>
      </c>
      <c r="E577" s="91" t="s">
        <v>1853</v>
      </c>
      <c r="F577" s="124" t="s">
        <v>620</v>
      </c>
      <c r="G577" s="304">
        <v>2022</v>
      </c>
      <c r="H577" s="312" t="s">
        <v>733</v>
      </c>
      <c r="I577" s="307" t="str">
        <f t="shared" si="34"/>
        <v>Pesado de Passageiros M3: III : Gasóleo : E6</v>
      </c>
      <c r="J577" s="125">
        <v>83</v>
      </c>
      <c r="K577" s="125">
        <v>2022</v>
      </c>
      <c r="L577" s="85">
        <v>50</v>
      </c>
      <c r="M577" s="85" t="s">
        <v>630</v>
      </c>
      <c r="N577" s="128">
        <v>166</v>
      </c>
      <c r="O577" s="128">
        <f t="shared" si="35"/>
        <v>13778</v>
      </c>
      <c r="P577" s="125" t="s">
        <v>1200</v>
      </c>
      <c r="Q577" s="85" t="s">
        <v>47</v>
      </c>
      <c r="R577" s="214" t="s">
        <v>1869</v>
      </c>
      <c r="S577" s="214" t="s">
        <v>1861</v>
      </c>
      <c r="T577" s="85" t="s">
        <v>1491</v>
      </c>
      <c r="U577" t="s">
        <v>1953</v>
      </c>
      <c r="V577" t="s">
        <v>2813</v>
      </c>
    </row>
    <row r="578" spans="1:22" ht="15.75" thickBot="1" x14ac:dyDescent="0.3">
      <c r="A578" s="82" t="s">
        <v>3470</v>
      </c>
      <c r="B578" s="82" t="str">
        <f t="shared" si="32"/>
        <v>Barraqueiro Transportes, S.A.</v>
      </c>
      <c r="C578" s="82" t="str">
        <f t="shared" si="33"/>
        <v>Mafrense</v>
      </c>
      <c r="D578" s="83" t="s">
        <v>629</v>
      </c>
      <c r="E578" s="91" t="s">
        <v>1853</v>
      </c>
      <c r="F578" s="124" t="s">
        <v>620</v>
      </c>
      <c r="G578" s="304">
        <v>2022</v>
      </c>
      <c r="H578" s="312" t="s">
        <v>733</v>
      </c>
      <c r="I578" s="307" t="str">
        <f t="shared" si="34"/>
        <v>Pesado de Passageiros M3: III : Gasóleo : E6</v>
      </c>
      <c r="J578" s="125">
        <v>83</v>
      </c>
      <c r="K578" s="125">
        <v>2022</v>
      </c>
      <c r="L578" s="85">
        <v>100.04</v>
      </c>
      <c r="M578" s="85" t="s">
        <v>630</v>
      </c>
      <c r="N578" s="128">
        <v>333</v>
      </c>
      <c r="O578" s="128">
        <f t="shared" si="35"/>
        <v>27639</v>
      </c>
      <c r="P578" s="125" t="s">
        <v>1201</v>
      </c>
      <c r="Q578" s="85" t="s">
        <v>47</v>
      </c>
      <c r="R578" s="214" t="s">
        <v>1869</v>
      </c>
      <c r="S578" s="214" t="s">
        <v>1861</v>
      </c>
      <c r="T578" s="85" t="s">
        <v>1491</v>
      </c>
      <c r="U578" t="s">
        <v>1953</v>
      </c>
      <c r="V578" t="s">
        <v>2813</v>
      </c>
    </row>
    <row r="579" spans="1:22" ht="15.75" thickBot="1" x14ac:dyDescent="0.3">
      <c r="A579" s="82" t="s">
        <v>3470</v>
      </c>
      <c r="B579" s="82" t="str">
        <f t="shared" ref="B579:B642" si="36">LEFT(A579,IFERROR(FIND(" - ",A579)-1,LEN(A579)))</f>
        <v>Barraqueiro Transportes, S.A.</v>
      </c>
      <c r="C579" s="82" t="str">
        <f t="shared" si="33"/>
        <v>Mafrense</v>
      </c>
      <c r="D579" s="83" t="s">
        <v>629</v>
      </c>
      <c r="E579" s="91" t="s">
        <v>1853</v>
      </c>
      <c r="F579" s="124" t="s">
        <v>620</v>
      </c>
      <c r="G579" s="304">
        <v>2022</v>
      </c>
      <c r="H579" s="312" t="s">
        <v>733</v>
      </c>
      <c r="I579" s="307" t="str">
        <f t="shared" si="34"/>
        <v>Pesado de Passageiros M3: III : Gasóleo : E6</v>
      </c>
      <c r="J579" s="125">
        <v>83</v>
      </c>
      <c r="K579" s="125">
        <v>2022</v>
      </c>
      <c r="L579" s="85">
        <v>289.52999999999997</v>
      </c>
      <c r="M579" s="85" t="s">
        <v>630</v>
      </c>
      <c r="N579" s="128">
        <v>965</v>
      </c>
      <c r="O579" s="128">
        <f t="shared" si="35"/>
        <v>80095</v>
      </c>
      <c r="P579" s="125" t="s">
        <v>1202</v>
      </c>
      <c r="Q579" s="85" t="s">
        <v>47</v>
      </c>
      <c r="R579" s="214" t="s">
        <v>1869</v>
      </c>
      <c r="S579" s="214" t="s">
        <v>1861</v>
      </c>
      <c r="T579" s="85" t="s">
        <v>1491</v>
      </c>
      <c r="U579" t="s">
        <v>1953</v>
      </c>
      <c r="V579" t="s">
        <v>2813</v>
      </c>
    </row>
    <row r="580" spans="1:22" ht="15.75" thickBot="1" x14ac:dyDescent="0.3">
      <c r="A580" s="82" t="s">
        <v>3470</v>
      </c>
      <c r="B580" s="82" t="str">
        <f t="shared" si="36"/>
        <v>Barraqueiro Transportes, S.A.</v>
      </c>
      <c r="C580" s="82" t="str">
        <f t="shared" ref="C580:C643" si="37">IF(A580=B580,B580,RIGHT(A580,LEN(A580)-LEN(B580)-3))</f>
        <v>Mafrense</v>
      </c>
      <c r="D580" s="83" t="s">
        <v>629</v>
      </c>
      <c r="E580" s="91" t="s">
        <v>1853</v>
      </c>
      <c r="F580" s="124" t="s">
        <v>620</v>
      </c>
      <c r="G580" s="304">
        <v>2022</v>
      </c>
      <c r="H580" s="312" t="s">
        <v>733</v>
      </c>
      <c r="I580" s="307" t="str">
        <f t="shared" ref="I580:I643" si="38">D580&amp;": "&amp;E580&amp;" : "&amp;F580&amp;" : "&amp;H580</f>
        <v>Pesado de Passageiros M3: III : Gasóleo : E6</v>
      </c>
      <c r="J580" s="125">
        <v>83</v>
      </c>
      <c r="K580" s="125">
        <v>2022</v>
      </c>
      <c r="L580" s="85">
        <v>50</v>
      </c>
      <c r="M580" s="85" t="s">
        <v>630</v>
      </c>
      <c r="N580" s="128">
        <v>166</v>
      </c>
      <c r="O580" s="128">
        <f t="shared" ref="O580:O643" si="39">N580*J580</f>
        <v>13778</v>
      </c>
      <c r="P580" s="125" t="s">
        <v>1203</v>
      </c>
      <c r="Q580" s="85" t="s">
        <v>47</v>
      </c>
      <c r="R580" s="214" t="s">
        <v>1869</v>
      </c>
      <c r="S580" s="214" t="s">
        <v>1861</v>
      </c>
      <c r="T580" s="85" t="s">
        <v>1491</v>
      </c>
      <c r="U580" t="s">
        <v>1953</v>
      </c>
      <c r="V580" t="s">
        <v>2813</v>
      </c>
    </row>
    <row r="581" spans="1:22" ht="15.75" thickBot="1" x14ac:dyDescent="0.3">
      <c r="A581" s="82" t="s">
        <v>3470</v>
      </c>
      <c r="B581" s="82" t="str">
        <f t="shared" si="36"/>
        <v>Barraqueiro Transportes, S.A.</v>
      </c>
      <c r="C581" s="82" t="str">
        <f t="shared" si="37"/>
        <v>Mafrense</v>
      </c>
      <c r="D581" s="83" t="s">
        <v>629</v>
      </c>
      <c r="E581" s="91" t="s">
        <v>1853</v>
      </c>
      <c r="F581" s="124" t="s">
        <v>620</v>
      </c>
      <c r="G581" s="304">
        <v>2022</v>
      </c>
      <c r="H581" s="312" t="s">
        <v>733</v>
      </c>
      <c r="I581" s="307" t="str">
        <f t="shared" si="38"/>
        <v>Pesado de Passageiros M3: III : Gasóleo : E6</v>
      </c>
      <c r="J581" s="125">
        <v>83</v>
      </c>
      <c r="K581" s="125">
        <v>2022</v>
      </c>
      <c r="L581" s="85">
        <v>50</v>
      </c>
      <c r="M581" s="85" t="s">
        <v>630</v>
      </c>
      <c r="N581" s="128">
        <v>166</v>
      </c>
      <c r="O581" s="128">
        <f t="shared" si="39"/>
        <v>13778</v>
      </c>
      <c r="P581" s="125" t="s">
        <v>1204</v>
      </c>
      <c r="Q581" s="85" t="s">
        <v>47</v>
      </c>
      <c r="R581" s="214" t="s">
        <v>1869</v>
      </c>
      <c r="S581" s="214" t="s">
        <v>1861</v>
      </c>
      <c r="T581" s="85" t="s">
        <v>1491</v>
      </c>
      <c r="U581" t="s">
        <v>1953</v>
      </c>
      <c r="V581" t="s">
        <v>2813</v>
      </c>
    </row>
    <row r="582" spans="1:22" ht="15.75" thickBot="1" x14ac:dyDescent="0.3">
      <c r="A582" s="82" t="s">
        <v>3470</v>
      </c>
      <c r="B582" s="82" t="str">
        <f t="shared" si="36"/>
        <v>Barraqueiro Transportes, S.A.</v>
      </c>
      <c r="C582" s="82" t="str">
        <f t="shared" si="37"/>
        <v>Mafrense</v>
      </c>
      <c r="D582" s="83" t="s">
        <v>629</v>
      </c>
      <c r="E582" s="91" t="s">
        <v>1853</v>
      </c>
      <c r="F582" s="124" t="s">
        <v>620</v>
      </c>
      <c r="G582" s="304">
        <v>2022</v>
      </c>
      <c r="H582" s="312" t="s">
        <v>733</v>
      </c>
      <c r="I582" s="307" t="str">
        <f t="shared" si="38"/>
        <v>Pesado de Passageiros M3: III : Gasóleo : E6</v>
      </c>
      <c r="J582" s="125">
        <v>83</v>
      </c>
      <c r="K582" s="125">
        <v>2022</v>
      </c>
      <c r="L582" s="85">
        <v>50</v>
      </c>
      <c r="M582" s="85" t="s">
        <v>630</v>
      </c>
      <c r="N582" s="128">
        <v>166</v>
      </c>
      <c r="O582" s="128">
        <f t="shared" si="39"/>
        <v>13778</v>
      </c>
      <c r="P582" s="125" t="s">
        <v>1205</v>
      </c>
      <c r="Q582" s="85" t="s">
        <v>47</v>
      </c>
      <c r="R582" s="214" t="s">
        <v>1869</v>
      </c>
      <c r="S582" s="214" t="s">
        <v>1861</v>
      </c>
      <c r="T582" s="85" t="s">
        <v>1491</v>
      </c>
      <c r="U582" t="s">
        <v>1953</v>
      </c>
      <c r="V582" t="s">
        <v>2813</v>
      </c>
    </row>
    <row r="583" spans="1:22" ht="15.75" thickBot="1" x14ac:dyDescent="0.3">
      <c r="A583" s="82" t="s">
        <v>3470</v>
      </c>
      <c r="B583" s="82" t="str">
        <f t="shared" si="36"/>
        <v>Barraqueiro Transportes, S.A.</v>
      </c>
      <c r="C583" s="82" t="str">
        <f t="shared" si="37"/>
        <v>Mafrense</v>
      </c>
      <c r="D583" s="83" t="s">
        <v>629</v>
      </c>
      <c r="E583" s="91" t="s">
        <v>1853</v>
      </c>
      <c r="F583" s="124" t="s">
        <v>620</v>
      </c>
      <c r="G583" s="304">
        <v>2000</v>
      </c>
      <c r="H583" s="312" t="s">
        <v>735</v>
      </c>
      <c r="I583" s="307" t="str">
        <f t="shared" si="38"/>
        <v>Pesado de Passageiros M3: III : Gasóleo : E2</v>
      </c>
      <c r="J583" s="125">
        <v>16</v>
      </c>
      <c r="K583" s="125">
        <v>2022</v>
      </c>
      <c r="L583" s="85">
        <v>1193.71</v>
      </c>
      <c r="M583" s="85" t="s">
        <v>630</v>
      </c>
      <c r="N583" s="128">
        <v>7547</v>
      </c>
      <c r="O583" s="128">
        <f t="shared" si="39"/>
        <v>120752</v>
      </c>
      <c r="P583" s="125" t="s">
        <v>1206</v>
      </c>
      <c r="Q583" s="85" t="s">
        <v>47</v>
      </c>
      <c r="R583" s="214" t="s">
        <v>1869</v>
      </c>
      <c r="S583" s="214" t="s">
        <v>1861</v>
      </c>
      <c r="T583" s="85" t="s">
        <v>1491</v>
      </c>
      <c r="U583" t="s">
        <v>1953</v>
      </c>
      <c r="V583" t="s">
        <v>2813</v>
      </c>
    </row>
    <row r="584" spans="1:22" ht="15.75" thickBot="1" x14ac:dyDescent="0.3">
      <c r="A584" s="82" t="s">
        <v>3470</v>
      </c>
      <c r="B584" s="82" t="str">
        <f t="shared" si="36"/>
        <v>Barraqueiro Transportes, S.A.</v>
      </c>
      <c r="C584" s="82" t="str">
        <f t="shared" si="37"/>
        <v>Mafrense</v>
      </c>
      <c r="D584" s="83" t="s">
        <v>629</v>
      </c>
      <c r="E584" s="91" t="s">
        <v>1853</v>
      </c>
      <c r="F584" s="124" t="s">
        <v>620</v>
      </c>
      <c r="G584" s="304">
        <v>2002</v>
      </c>
      <c r="H584" s="312" t="s">
        <v>732</v>
      </c>
      <c r="I584" s="307" t="str">
        <f t="shared" si="38"/>
        <v>Pesado de Passageiros M3: III : Gasóleo : E3</v>
      </c>
      <c r="J584" s="125">
        <v>19</v>
      </c>
      <c r="K584" s="125">
        <v>2022</v>
      </c>
      <c r="L584" s="85">
        <v>277.23</v>
      </c>
      <c r="M584" s="85" t="s">
        <v>630</v>
      </c>
      <c r="N584" s="128">
        <v>1442</v>
      </c>
      <c r="O584" s="128">
        <f t="shared" si="39"/>
        <v>27398</v>
      </c>
      <c r="P584" s="125" t="s">
        <v>1207</v>
      </c>
      <c r="Q584" s="85" t="s">
        <v>47</v>
      </c>
      <c r="R584" s="214" t="s">
        <v>1869</v>
      </c>
      <c r="S584" s="214" t="s">
        <v>1861</v>
      </c>
      <c r="T584" s="85" t="s">
        <v>1491</v>
      </c>
      <c r="U584" t="s">
        <v>1953</v>
      </c>
      <c r="V584" t="s">
        <v>2813</v>
      </c>
    </row>
    <row r="585" spans="1:22" ht="15.75" thickBot="1" x14ac:dyDescent="0.3">
      <c r="A585" s="82" t="s">
        <v>3470</v>
      </c>
      <c r="B585" s="82" t="str">
        <f t="shared" si="36"/>
        <v>Barraqueiro Transportes, S.A.</v>
      </c>
      <c r="C585" s="82" t="str">
        <f t="shared" si="37"/>
        <v>Mafrense</v>
      </c>
      <c r="D585" s="83" t="s">
        <v>629</v>
      </c>
      <c r="E585" s="91" t="s">
        <v>1853</v>
      </c>
      <c r="F585" s="124" t="s">
        <v>620</v>
      </c>
      <c r="G585" s="304">
        <v>2011</v>
      </c>
      <c r="H585" s="312" t="s">
        <v>734</v>
      </c>
      <c r="I585" s="307" t="str">
        <f t="shared" si="38"/>
        <v>Pesado de Passageiros M3: III : Gasóleo : E5</v>
      </c>
      <c r="J585" s="125">
        <v>53</v>
      </c>
      <c r="K585" s="125">
        <v>2022</v>
      </c>
      <c r="L585" s="85">
        <v>23969.91</v>
      </c>
      <c r="M585" s="85" t="s">
        <v>630</v>
      </c>
      <c r="N585" s="128">
        <v>72576</v>
      </c>
      <c r="O585" s="128">
        <f t="shared" si="39"/>
        <v>3846528</v>
      </c>
      <c r="P585" s="125" t="s">
        <v>1208</v>
      </c>
      <c r="Q585" s="85" t="s">
        <v>47</v>
      </c>
      <c r="R585" s="214" t="s">
        <v>1869</v>
      </c>
      <c r="S585" s="214" t="s">
        <v>1861</v>
      </c>
      <c r="T585" s="85" t="s">
        <v>1491</v>
      </c>
      <c r="U585" t="s">
        <v>1953</v>
      </c>
      <c r="V585" t="s">
        <v>2813</v>
      </c>
    </row>
    <row r="586" spans="1:22" ht="15.75" thickBot="1" x14ac:dyDescent="0.3">
      <c r="A586" s="82" t="s">
        <v>3470</v>
      </c>
      <c r="B586" s="82" t="str">
        <f t="shared" si="36"/>
        <v>Barraqueiro Transportes, S.A.</v>
      </c>
      <c r="C586" s="82" t="str">
        <f t="shared" si="37"/>
        <v>Mafrense</v>
      </c>
      <c r="D586" s="83" t="s">
        <v>629</v>
      </c>
      <c r="E586" s="91" t="s">
        <v>1853</v>
      </c>
      <c r="F586" s="124" t="s">
        <v>620</v>
      </c>
      <c r="G586" s="304">
        <v>2000</v>
      </c>
      <c r="H586" s="312" t="s">
        <v>735</v>
      </c>
      <c r="I586" s="307" t="str">
        <f t="shared" si="38"/>
        <v>Pesado de Passageiros M3: III : Gasóleo : E2</v>
      </c>
      <c r="J586" s="125">
        <v>49</v>
      </c>
      <c r="K586" s="125">
        <v>2022</v>
      </c>
      <c r="L586" s="85">
        <v>5314.22</v>
      </c>
      <c r="M586" s="85" t="s">
        <v>630</v>
      </c>
      <c r="N586" s="128">
        <v>14090</v>
      </c>
      <c r="O586" s="128">
        <f t="shared" si="39"/>
        <v>690410</v>
      </c>
      <c r="P586" s="125" t="s">
        <v>1209</v>
      </c>
      <c r="Q586" s="85" t="s">
        <v>47</v>
      </c>
      <c r="R586" s="214" t="s">
        <v>1869</v>
      </c>
      <c r="S586" s="214" t="s">
        <v>1861</v>
      </c>
      <c r="T586" s="85" t="s">
        <v>1491</v>
      </c>
      <c r="U586" t="s">
        <v>1953</v>
      </c>
      <c r="V586" t="s">
        <v>2813</v>
      </c>
    </row>
    <row r="587" spans="1:22" ht="15.75" thickBot="1" x14ac:dyDescent="0.3">
      <c r="A587" s="82" t="s">
        <v>3470</v>
      </c>
      <c r="B587" s="82" t="str">
        <f t="shared" si="36"/>
        <v>Barraqueiro Transportes, S.A.</v>
      </c>
      <c r="C587" s="82" t="str">
        <f t="shared" si="37"/>
        <v>Mafrense</v>
      </c>
      <c r="D587" s="83" t="s">
        <v>629</v>
      </c>
      <c r="E587" s="91" t="s">
        <v>1853</v>
      </c>
      <c r="F587" s="124" t="s">
        <v>620</v>
      </c>
      <c r="G587" s="304">
        <v>2001</v>
      </c>
      <c r="H587" s="312" t="s">
        <v>732</v>
      </c>
      <c r="I587" s="307" t="str">
        <f t="shared" si="38"/>
        <v>Pesado de Passageiros M3: III : Gasóleo : E3</v>
      </c>
      <c r="J587" s="125">
        <v>55</v>
      </c>
      <c r="K587" s="125">
        <v>2022</v>
      </c>
      <c r="L587" s="85">
        <v>10734.21</v>
      </c>
      <c r="M587" s="85" t="s">
        <v>630</v>
      </c>
      <c r="N587" s="128">
        <v>27636</v>
      </c>
      <c r="O587" s="128">
        <f t="shared" si="39"/>
        <v>1519980</v>
      </c>
      <c r="P587" s="125" t="s">
        <v>1210</v>
      </c>
      <c r="Q587" s="85" t="s">
        <v>47</v>
      </c>
      <c r="R587" s="214" t="s">
        <v>1869</v>
      </c>
      <c r="S587" s="214" t="s">
        <v>1861</v>
      </c>
      <c r="T587" s="85" t="s">
        <v>1491</v>
      </c>
      <c r="U587" t="s">
        <v>1953</v>
      </c>
      <c r="V587" t="s">
        <v>2813</v>
      </c>
    </row>
    <row r="588" spans="1:22" ht="15.75" thickBot="1" x14ac:dyDescent="0.3">
      <c r="A588" s="82" t="s">
        <v>3470</v>
      </c>
      <c r="B588" s="82" t="str">
        <f t="shared" si="36"/>
        <v>Barraqueiro Transportes, S.A.</v>
      </c>
      <c r="C588" s="82" t="str">
        <f t="shared" si="37"/>
        <v>Mafrense</v>
      </c>
      <c r="D588" s="83" t="s">
        <v>629</v>
      </c>
      <c r="E588" s="91" t="s">
        <v>1853</v>
      </c>
      <c r="F588" s="124" t="s">
        <v>620</v>
      </c>
      <c r="G588" s="304">
        <v>2004</v>
      </c>
      <c r="H588" s="312" t="s">
        <v>732</v>
      </c>
      <c r="I588" s="307" t="str">
        <f t="shared" si="38"/>
        <v>Pesado de Passageiros M3: III : Gasóleo : E3</v>
      </c>
      <c r="J588" s="125">
        <v>19</v>
      </c>
      <c r="K588" s="125">
        <v>2022</v>
      </c>
      <c r="L588" s="85">
        <v>2448.52</v>
      </c>
      <c r="M588" s="85" t="s">
        <v>630</v>
      </c>
      <c r="N588" s="128">
        <v>11551</v>
      </c>
      <c r="O588" s="128">
        <f t="shared" si="39"/>
        <v>219469</v>
      </c>
      <c r="P588" s="125" t="s">
        <v>1211</v>
      </c>
      <c r="Q588" s="85" t="s">
        <v>47</v>
      </c>
      <c r="R588" s="214" t="s">
        <v>1869</v>
      </c>
      <c r="S588" s="214" t="s">
        <v>1861</v>
      </c>
      <c r="T588" s="85" t="s">
        <v>1491</v>
      </c>
      <c r="U588" t="s">
        <v>1953</v>
      </c>
      <c r="V588" t="s">
        <v>2813</v>
      </c>
    </row>
    <row r="589" spans="1:22" ht="15.75" thickBot="1" x14ac:dyDescent="0.3">
      <c r="A589" s="82" t="s">
        <v>3470</v>
      </c>
      <c r="B589" s="82" t="str">
        <f t="shared" si="36"/>
        <v>Barraqueiro Transportes, S.A.</v>
      </c>
      <c r="C589" s="82" t="str">
        <f t="shared" si="37"/>
        <v>Mafrense</v>
      </c>
      <c r="D589" s="83" t="s">
        <v>629</v>
      </c>
      <c r="E589" s="91" t="s">
        <v>1853</v>
      </c>
      <c r="F589" s="124" t="s">
        <v>620</v>
      </c>
      <c r="G589" s="304">
        <v>2001</v>
      </c>
      <c r="H589" s="312" t="s">
        <v>732</v>
      </c>
      <c r="I589" s="307" t="str">
        <f t="shared" si="38"/>
        <v>Pesado de Passageiros M3: III : Gasóleo : E3</v>
      </c>
      <c r="J589" s="125">
        <v>49</v>
      </c>
      <c r="K589" s="125">
        <v>2022</v>
      </c>
      <c r="L589" s="85">
        <v>15394.8</v>
      </c>
      <c r="M589" s="85" t="s">
        <v>630</v>
      </c>
      <c r="N589" s="128">
        <v>37100</v>
      </c>
      <c r="O589" s="128">
        <f t="shared" si="39"/>
        <v>1817900</v>
      </c>
      <c r="P589" s="125" t="s">
        <v>1212</v>
      </c>
      <c r="Q589" s="85" t="s">
        <v>47</v>
      </c>
      <c r="R589" s="214" t="s">
        <v>1869</v>
      </c>
      <c r="S589" s="214" t="s">
        <v>1861</v>
      </c>
      <c r="T589" s="85" t="s">
        <v>1491</v>
      </c>
      <c r="U589" t="s">
        <v>1953</v>
      </c>
      <c r="V589" t="s">
        <v>2813</v>
      </c>
    </row>
    <row r="590" spans="1:22" ht="15.75" thickBot="1" x14ac:dyDescent="0.3">
      <c r="A590" s="82" t="s">
        <v>3470</v>
      </c>
      <c r="B590" s="82" t="str">
        <f t="shared" si="36"/>
        <v>Barraqueiro Transportes, S.A.</v>
      </c>
      <c r="C590" s="82" t="str">
        <f t="shared" si="37"/>
        <v>Mafrense</v>
      </c>
      <c r="D590" s="83" t="s">
        <v>629</v>
      </c>
      <c r="E590" s="91" t="s">
        <v>1853</v>
      </c>
      <c r="F590" s="124" t="s">
        <v>620</v>
      </c>
      <c r="G590" s="304">
        <v>2001</v>
      </c>
      <c r="H590" s="312" t="s">
        <v>732</v>
      </c>
      <c r="I590" s="307" t="str">
        <f t="shared" si="38"/>
        <v>Pesado de Passageiros M3: III : Gasóleo : E3</v>
      </c>
      <c r="J590" s="125">
        <v>49</v>
      </c>
      <c r="K590" s="125">
        <v>2022</v>
      </c>
      <c r="L590" s="85">
        <v>3056.82</v>
      </c>
      <c r="M590" s="85" t="s">
        <v>630</v>
      </c>
      <c r="N590" s="128">
        <v>7906</v>
      </c>
      <c r="O590" s="128">
        <f t="shared" si="39"/>
        <v>387394</v>
      </c>
      <c r="P590" s="125" t="s">
        <v>1213</v>
      </c>
      <c r="Q590" s="85" t="s">
        <v>47</v>
      </c>
      <c r="R590" s="214" t="s">
        <v>1869</v>
      </c>
      <c r="S590" s="214" t="s">
        <v>1861</v>
      </c>
      <c r="T590" s="85" t="s">
        <v>1491</v>
      </c>
      <c r="U590" t="s">
        <v>1953</v>
      </c>
      <c r="V590" t="s">
        <v>2813</v>
      </c>
    </row>
    <row r="591" spans="1:22" ht="15.75" thickBot="1" x14ac:dyDescent="0.3">
      <c r="A591" s="82" t="s">
        <v>3470</v>
      </c>
      <c r="B591" s="82" t="str">
        <f t="shared" si="36"/>
        <v>Barraqueiro Transportes, S.A.</v>
      </c>
      <c r="C591" s="82" t="str">
        <f t="shared" si="37"/>
        <v>Mafrense</v>
      </c>
      <c r="D591" s="83" t="s">
        <v>629</v>
      </c>
      <c r="E591" s="91" t="s">
        <v>1853</v>
      </c>
      <c r="F591" s="124" t="s">
        <v>620</v>
      </c>
      <c r="G591" s="304">
        <v>2001</v>
      </c>
      <c r="H591" s="312" t="s">
        <v>732</v>
      </c>
      <c r="I591" s="307" t="str">
        <f t="shared" si="38"/>
        <v>Pesado de Passageiros M3: III : Gasóleo : E3</v>
      </c>
      <c r="J591" s="125">
        <v>49</v>
      </c>
      <c r="K591" s="125">
        <v>2022</v>
      </c>
      <c r="L591" s="85">
        <v>13999.56</v>
      </c>
      <c r="M591" s="85" t="s">
        <v>630</v>
      </c>
      <c r="N591" s="128">
        <v>34818</v>
      </c>
      <c r="O591" s="128">
        <f t="shared" si="39"/>
        <v>1706082</v>
      </c>
      <c r="P591" s="125" t="s">
        <v>1214</v>
      </c>
      <c r="Q591" s="85" t="s">
        <v>47</v>
      </c>
      <c r="R591" s="214" t="s">
        <v>1869</v>
      </c>
      <c r="S591" s="214" t="s">
        <v>1861</v>
      </c>
      <c r="T591" s="85" t="s">
        <v>1491</v>
      </c>
      <c r="U591" t="s">
        <v>1953</v>
      </c>
      <c r="V591" t="s">
        <v>2813</v>
      </c>
    </row>
    <row r="592" spans="1:22" ht="15.75" thickBot="1" x14ac:dyDescent="0.3">
      <c r="A592" s="82" t="s">
        <v>3470</v>
      </c>
      <c r="B592" s="82" t="str">
        <f t="shared" si="36"/>
        <v>Barraqueiro Transportes, S.A.</v>
      </c>
      <c r="C592" s="82" t="str">
        <f t="shared" si="37"/>
        <v>Mafrense</v>
      </c>
      <c r="D592" s="83" t="s">
        <v>629</v>
      </c>
      <c r="E592" s="91" t="s">
        <v>1853</v>
      </c>
      <c r="F592" s="124" t="s">
        <v>620</v>
      </c>
      <c r="G592" s="304">
        <v>2001</v>
      </c>
      <c r="H592" s="312" t="s">
        <v>732</v>
      </c>
      <c r="I592" s="307" t="str">
        <f t="shared" si="38"/>
        <v>Pesado de Passageiros M3: III : Gasóleo : E3</v>
      </c>
      <c r="J592" s="125">
        <v>49</v>
      </c>
      <c r="K592" s="125">
        <v>2022</v>
      </c>
      <c r="L592" s="85">
        <v>14969.510000000002</v>
      </c>
      <c r="M592" s="85" t="s">
        <v>630</v>
      </c>
      <c r="N592" s="128">
        <v>39045</v>
      </c>
      <c r="O592" s="128">
        <f t="shared" si="39"/>
        <v>1913205</v>
      </c>
      <c r="P592" s="125" t="s">
        <v>1215</v>
      </c>
      <c r="Q592" s="85" t="s">
        <v>47</v>
      </c>
      <c r="R592" s="214" t="s">
        <v>1869</v>
      </c>
      <c r="S592" s="214" t="s">
        <v>1861</v>
      </c>
      <c r="T592" s="85" t="s">
        <v>1491</v>
      </c>
      <c r="U592" t="s">
        <v>1953</v>
      </c>
      <c r="V592" t="s">
        <v>2813</v>
      </c>
    </row>
    <row r="593" spans="1:22" ht="15.75" thickBot="1" x14ac:dyDescent="0.3">
      <c r="A593" s="82" t="s">
        <v>3470</v>
      </c>
      <c r="B593" s="82" t="str">
        <f t="shared" si="36"/>
        <v>Barraqueiro Transportes, S.A.</v>
      </c>
      <c r="C593" s="82" t="str">
        <f t="shared" si="37"/>
        <v>Mafrense</v>
      </c>
      <c r="D593" s="83" t="s">
        <v>629</v>
      </c>
      <c r="E593" s="91" t="s">
        <v>1853</v>
      </c>
      <c r="F593" s="124" t="s">
        <v>620</v>
      </c>
      <c r="G593" s="304">
        <v>2004</v>
      </c>
      <c r="H593" s="312" t="s">
        <v>732</v>
      </c>
      <c r="I593" s="307" t="str">
        <f t="shared" si="38"/>
        <v>Pesado de Passageiros M3: III : Gasóleo : E3</v>
      </c>
      <c r="J593" s="125">
        <v>49</v>
      </c>
      <c r="K593" s="125">
        <v>2022</v>
      </c>
      <c r="L593" s="85">
        <v>8104.12</v>
      </c>
      <c r="M593" s="85" t="s">
        <v>630</v>
      </c>
      <c r="N593" s="128">
        <v>20836</v>
      </c>
      <c r="O593" s="128">
        <f t="shared" si="39"/>
        <v>1020964</v>
      </c>
      <c r="P593" s="125" t="s">
        <v>843</v>
      </c>
      <c r="Q593" s="85" t="s">
        <v>47</v>
      </c>
      <c r="R593" s="214" t="s">
        <v>1869</v>
      </c>
      <c r="S593" s="214" t="s">
        <v>1861</v>
      </c>
      <c r="T593" s="85" t="s">
        <v>1491</v>
      </c>
      <c r="U593" t="s">
        <v>1953</v>
      </c>
      <c r="V593" t="s">
        <v>2813</v>
      </c>
    </row>
    <row r="594" spans="1:22" ht="15.75" thickBot="1" x14ac:dyDescent="0.3">
      <c r="A594" s="82" t="s">
        <v>3470</v>
      </c>
      <c r="B594" s="82" t="str">
        <f t="shared" si="36"/>
        <v>Barraqueiro Transportes, S.A.</v>
      </c>
      <c r="C594" s="82" t="str">
        <f t="shared" si="37"/>
        <v>Mafrense</v>
      </c>
      <c r="D594" s="83" t="s">
        <v>629</v>
      </c>
      <c r="E594" s="91" t="s">
        <v>1853</v>
      </c>
      <c r="F594" s="124" t="s">
        <v>620</v>
      </c>
      <c r="G594" s="304">
        <v>2005</v>
      </c>
      <c r="H594" s="312" t="s">
        <v>732</v>
      </c>
      <c r="I594" s="307" t="str">
        <f t="shared" si="38"/>
        <v>Pesado de Passageiros M3: III : Gasóleo : E3</v>
      </c>
      <c r="J594" s="125">
        <v>66</v>
      </c>
      <c r="K594" s="125">
        <v>2022</v>
      </c>
      <c r="L594" s="85">
        <v>10701.02</v>
      </c>
      <c r="M594" s="85" t="s">
        <v>630</v>
      </c>
      <c r="N594" s="128">
        <v>29569</v>
      </c>
      <c r="O594" s="128">
        <f t="shared" si="39"/>
        <v>1951554</v>
      </c>
      <c r="P594" s="125" t="s">
        <v>846</v>
      </c>
      <c r="Q594" s="85" t="s">
        <v>47</v>
      </c>
      <c r="R594" s="214" t="s">
        <v>1869</v>
      </c>
      <c r="S594" s="214" t="s">
        <v>1861</v>
      </c>
      <c r="T594" s="85" t="s">
        <v>1491</v>
      </c>
      <c r="U594" t="s">
        <v>1953</v>
      </c>
      <c r="V594" t="s">
        <v>2813</v>
      </c>
    </row>
    <row r="595" spans="1:22" ht="15.75" thickBot="1" x14ac:dyDescent="0.3">
      <c r="A595" s="82" t="s">
        <v>3470</v>
      </c>
      <c r="B595" s="82" t="str">
        <f t="shared" si="36"/>
        <v>Barraqueiro Transportes, S.A.</v>
      </c>
      <c r="C595" s="82" t="str">
        <f t="shared" si="37"/>
        <v>Mafrense</v>
      </c>
      <c r="D595" s="83" t="s">
        <v>629</v>
      </c>
      <c r="E595" s="91" t="s">
        <v>1853</v>
      </c>
      <c r="F595" s="124" t="s">
        <v>620</v>
      </c>
      <c r="G595" s="304">
        <v>2007</v>
      </c>
      <c r="H595" s="312" t="s">
        <v>731</v>
      </c>
      <c r="I595" s="307" t="str">
        <f t="shared" si="38"/>
        <v>Pesado de Passageiros M3: III : Gasóleo : E4</v>
      </c>
      <c r="J595" s="125">
        <v>55</v>
      </c>
      <c r="K595" s="125">
        <v>2022</v>
      </c>
      <c r="L595" s="85">
        <v>24115.185000000001</v>
      </c>
      <c r="M595" s="85" t="s">
        <v>630</v>
      </c>
      <c r="N595" s="128">
        <v>67381</v>
      </c>
      <c r="O595" s="128">
        <f t="shared" si="39"/>
        <v>3705955</v>
      </c>
      <c r="P595" s="125" t="s">
        <v>1216</v>
      </c>
      <c r="Q595" s="85" t="s">
        <v>47</v>
      </c>
      <c r="R595" s="214" t="s">
        <v>1869</v>
      </c>
      <c r="S595" s="214" t="s">
        <v>1861</v>
      </c>
      <c r="T595" s="85" t="s">
        <v>1491</v>
      </c>
      <c r="U595" t="s">
        <v>1953</v>
      </c>
      <c r="V595" t="s">
        <v>2813</v>
      </c>
    </row>
    <row r="596" spans="1:22" ht="15.75" thickBot="1" x14ac:dyDescent="0.3">
      <c r="A596" s="82" t="s">
        <v>3470</v>
      </c>
      <c r="B596" s="82" t="str">
        <f t="shared" si="36"/>
        <v>Barraqueiro Transportes, S.A.</v>
      </c>
      <c r="C596" s="82" t="str">
        <f t="shared" si="37"/>
        <v>Mafrense</v>
      </c>
      <c r="D596" s="83" t="s">
        <v>629</v>
      </c>
      <c r="E596" s="91" t="s">
        <v>1853</v>
      </c>
      <c r="F596" s="124" t="s">
        <v>620</v>
      </c>
      <c r="G596" s="304">
        <v>2016</v>
      </c>
      <c r="H596" s="312" t="s">
        <v>733</v>
      </c>
      <c r="I596" s="307" t="str">
        <f t="shared" si="38"/>
        <v>Pesado de Passageiros M3: III : Gasóleo : E6</v>
      </c>
      <c r="J596" s="125">
        <v>53</v>
      </c>
      <c r="K596" s="125">
        <v>2022</v>
      </c>
      <c r="L596" s="85">
        <v>2423.4899999999998</v>
      </c>
      <c r="M596" s="85" t="s">
        <v>630</v>
      </c>
      <c r="N596" s="128">
        <v>8974</v>
      </c>
      <c r="O596" s="128">
        <f t="shared" si="39"/>
        <v>475622</v>
      </c>
      <c r="P596" s="125" t="s">
        <v>1000</v>
      </c>
      <c r="Q596" s="85" t="s">
        <v>47</v>
      </c>
      <c r="R596" s="214" t="s">
        <v>1869</v>
      </c>
      <c r="S596" s="214" t="s">
        <v>1861</v>
      </c>
      <c r="T596" s="85" t="s">
        <v>1491</v>
      </c>
      <c r="U596" t="s">
        <v>1953</v>
      </c>
      <c r="V596" t="s">
        <v>2813</v>
      </c>
    </row>
    <row r="597" spans="1:22" ht="15.75" thickBot="1" x14ac:dyDescent="0.3">
      <c r="A597" s="82" t="s">
        <v>3470</v>
      </c>
      <c r="B597" s="82" t="str">
        <f t="shared" si="36"/>
        <v>Barraqueiro Transportes, S.A.</v>
      </c>
      <c r="C597" s="82" t="str">
        <f t="shared" si="37"/>
        <v>Mafrense</v>
      </c>
      <c r="D597" s="83" t="s">
        <v>629</v>
      </c>
      <c r="E597" s="91" t="s">
        <v>1853</v>
      </c>
      <c r="F597" s="124" t="s">
        <v>620</v>
      </c>
      <c r="G597" s="304">
        <v>2016</v>
      </c>
      <c r="H597" s="312" t="s">
        <v>733</v>
      </c>
      <c r="I597" s="307" t="str">
        <f t="shared" si="38"/>
        <v>Pesado de Passageiros M3: III : Gasóleo : E6</v>
      </c>
      <c r="J597" s="125">
        <v>59</v>
      </c>
      <c r="K597" s="125">
        <v>2022</v>
      </c>
      <c r="L597" s="85">
        <v>3337.11</v>
      </c>
      <c r="M597" s="85" t="s">
        <v>630</v>
      </c>
      <c r="N597" s="128">
        <v>11345</v>
      </c>
      <c r="O597" s="128">
        <f t="shared" si="39"/>
        <v>669355</v>
      </c>
      <c r="P597" s="125" t="s">
        <v>1006</v>
      </c>
      <c r="Q597" s="85" t="s">
        <v>47</v>
      </c>
      <c r="R597" s="214" t="s">
        <v>1869</v>
      </c>
      <c r="S597" s="214" t="s">
        <v>1861</v>
      </c>
      <c r="T597" s="85" t="s">
        <v>1491</v>
      </c>
      <c r="U597" t="s">
        <v>1953</v>
      </c>
      <c r="V597" t="s">
        <v>2813</v>
      </c>
    </row>
    <row r="598" spans="1:22" ht="15.75" thickBot="1" x14ac:dyDescent="0.3">
      <c r="A598" s="82" t="s">
        <v>3470</v>
      </c>
      <c r="B598" s="82" t="str">
        <f t="shared" si="36"/>
        <v>Barraqueiro Transportes, S.A.</v>
      </c>
      <c r="C598" s="82" t="str">
        <f t="shared" si="37"/>
        <v>Mafrense</v>
      </c>
      <c r="D598" s="83" t="s">
        <v>629</v>
      </c>
      <c r="E598" s="91" t="s">
        <v>1853</v>
      </c>
      <c r="F598" s="124" t="s">
        <v>620</v>
      </c>
      <c r="G598" s="304">
        <v>2016</v>
      </c>
      <c r="H598" s="312" t="s">
        <v>733</v>
      </c>
      <c r="I598" s="307" t="str">
        <f t="shared" si="38"/>
        <v>Pesado de Passageiros M3: III : Gasóleo : E6</v>
      </c>
      <c r="J598" s="125">
        <v>59</v>
      </c>
      <c r="K598" s="125">
        <v>2022</v>
      </c>
      <c r="L598" s="85">
        <v>1101.83</v>
      </c>
      <c r="M598" s="85" t="s">
        <v>630</v>
      </c>
      <c r="N598" s="128">
        <v>3369</v>
      </c>
      <c r="O598" s="128">
        <f t="shared" si="39"/>
        <v>198771</v>
      </c>
      <c r="P598" s="125" t="s">
        <v>1008</v>
      </c>
      <c r="Q598" s="85" t="s">
        <v>47</v>
      </c>
      <c r="R598" s="214" t="s">
        <v>1869</v>
      </c>
      <c r="S598" s="214" t="s">
        <v>1861</v>
      </c>
      <c r="T598" s="85" t="s">
        <v>1491</v>
      </c>
      <c r="U598" t="s">
        <v>1953</v>
      </c>
      <c r="V598" t="s">
        <v>2813</v>
      </c>
    </row>
    <row r="599" spans="1:22" ht="15.75" thickBot="1" x14ac:dyDescent="0.3">
      <c r="A599" s="82" t="s">
        <v>3470</v>
      </c>
      <c r="B599" s="82" t="str">
        <f t="shared" si="36"/>
        <v>Barraqueiro Transportes, S.A.</v>
      </c>
      <c r="C599" s="82" t="str">
        <f t="shared" si="37"/>
        <v>Mafrense</v>
      </c>
      <c r="D599" s="83" t="s">
        <v>629</v>
      </c>
      <c r="E599" s="91" t="s">
        <v>1853</v>
      </c>
      <c r="F599" s="124" t="s">
        <v>620</v>
      </c>
      <c r="G599" s="304">
        <v>2016</v>
      </c>
      <c r="H599" s="312" t="s">
        <v>733</v>
      </c>
      <c r="I599" s="307" t="str">
        <f t="shared" si="38"/>
        <v>Pesado de Passageiros M3: III : Gasóleo : E6</v>
      </c>
      <c r="J599" s="125">
        <v>53</v>
      </c>
      <c r="K599" s="125">
        <v>2022</v>
      </c>
      <c r="L599" s="85">
        <v>2577.5299999999997</v>
      </c>
      <c r="M599" s="85" t="s">
        <v>630</v>
      </c>
      <c r="N599" s="128">
        <v>9869</v>
      </c>
      <c r="O599" s="128">
        <f t="shared" si="39"/>
        <v>523057</v>
      </c>
      <c r="P599" s="125" t="s">
        <v>1009</v>
      </c>
      <c r="Q599" s="85" t="s">
        <v>47</v>
      </c>
      <c r="R599" s="214" t="s">
        <v>1869</v>
      </c>
      <c r="S599" s="214" t="s">
        <v>1861</v>
      </c>
      <c r="T599" s="85" t="s">
        <v>1491</v>
      </c>
      <c r="U599" t="s">
        <v>1953</v>
      </c>
      <c r="V599" t="s">
        <v>2813</v>
      </c>
    </row>
    <row r="600" spans="1:22" ht="15.75" thickBot="1" x14ac:dyDescent="0.3">
      <c r="A600" s="82" t="s">
        <v>3470</v>
      </c>
      <c r="B600" s="82" t="str">
        <f t="shared" si="36"/>
        <v>Barraqueiro Transportes, S.A.</v>
      </c>
      <c r="C600" s="82" t="str">
        <f t="shared" si="37"/>
        <v>Mafrense</v>
      </c>
      <c r="D600" s="83" t="s">
        <v>629</v>
      </c>
      <c r="E600" s="91" t="s">
        <v>1853</v>
      </c>
      <c r="F600" s="124" t="s">
        <v>620</v>
      </c>
      <c r="G600" s="304">
        <v>2016</v>
      </c>
      <c r="H600" s="312" t="s">
        <v>733</v>
      </c>
      <c r="I600" s="307" t="str">
        <f t="shared" si="38"/>
        <v>Pesado de Passageiros M3: III : Gasóleo : E6</v>
      </c>
      <c r="J600" s="125">
        <v>53</v>
      </c>
      <c r="K600" s="125">
        <v>2022</v>
      </c>
      <c r="L600" s="85">
        <v>1012.9599999999999</v>
      </c>
      <c r="M600" s="85" t="s">
        <v>630</v>
      </c>
      <c r="N600" s="128">
        <v>3591</v>
      </c>
      <c r="O600" s="128">
        <f t="shared" si="39"/>
        <v>190323</v>
      </c>
      <c r="P600" s="125" t="s">
        <v>1010</v>
      </c>
      <c r="Q600" s="85" t="s">
        <v>47</v>
      </c>
      <c r="R600" s="214" t="s">
        <v>1869</v>
      </c>
      <c r="S600" s="214" t="s">
        <v>1861</v>
      </c>
      <c r="T600" s="85" t="s">
        <v>1491</v>
      </c>
      <c r="U600" t="s">
        <v>1953</v>
      </c>
      <c r="V600" t="s">
        <v>2813</v>
      </c>
    </row>
    <row r="601" spans="1:22" ht="15.75" thickBot="1" x14ac:dyDescent="0.3">
      <c r="A601" s="82" t="s">
        <v>3470</v>
      </c>
      <c r="B601" s="82" t="str">
        <f t="shared" si="36"/>
        <v>Barraqueiro Transportes, S.A.</v>
      </c>
      <c r="C601" s="82" t="str">
        <f t="shared" si="37"/>
        <v>Mafrense</v>
      </c>
      <c r="D601" s="83" t="s">
        <v>629</v>
      </c>
      <c r="E601" s="91" t="s">
        <v>1853</v>
      </c>
      <c r="F601" s="124" t="s">
        <v>620</v>
      </c>
      <c r="G601" s="304">
        <v>2016</v>
      </c>
      <c r="H601" s="312" t="s">
        <v>733</v>
      </c>
      <c r="I601" s="307" t="str">
        <f t="shared" si="38"/>
        <v>Pesado de Passageiros M3: III : Gasóleo : E6</v>
      </c>
      <c r="J601" s="125">
        <v>53</v>
      </c>
      <c r="K601" s="125">
        <v>2022</v>
      </c>
      <c r="L601" s="85">
        <v>259</v>
      </c>
      <c r="M601" s="85" t="s">
        <v>630</v>
      </c>
      <c r="N601" s="128">
        <v>959</v>
      </c>
      <c r="O601" s="128">
        <f t="shared" si="39"/>
        <v>50827</v>
      </c>
      <c r="P601" s="125" t="s">
        <v>1011</v>
      </c>
      <c r="Q601" s="85" t="s">
        <v>47</v>
      </c>
      <c r="R601" s="214" t="s">
        <v>1869</v>
      </c>
      <c r="S601" s="214" t="s">
        <v>1861</v>
      </c>
      <c r="T601" s="85" t="s">
        <v>1491</v>
      </c>
      <c r="U601" t="s">
        <v>1953</v>
      </c>
      <c r="V601" t="s">
        <v>2813</v>
      </c>
    </row>
    <row r="602" spans="1:22" ht="15.75" thickBot="1" x14ac:dyDescent="0.3">
      <c r="A602" s="82" t="s">
        <v>3470</v>
      </c>
      <c r="B602" s="82" t="str">
        <f t="shared" si="36"/>
        <v>Barraqueiro Transportes, S.A.</v>
      </c>
      <c r="C602" s="82" t="str">
        <f t="shared" si="37"/>
        <v>Mafrense</v>
      </c>
      <c r="D602" s="83" t="s">
        <v>629</v>
      </c>
      <c r="E602" s="91" t="s">
        <v>1853</v>
      </c>
      <c r="F602" s="124" t="s">
        <v>620</v>
      </c>
      <c r="G602" s="304">
        <v>2016</v>
      </c>
      <c r="H602" s="312" t="s">
        <v>733</v>
      </c>
      <c r="I602" s="307" t="str">
        <f t="shared" si="38"/>
        <v>Pesado de Passageiros M3: III : Gasóleo : E6</v>
      </c>
      <c r="J602" s="125">
        <v>53</v>
      </c>
      <c r="K602" s="125">
        <v>2022</v>
      </c>
      <c r="L602" s="85">
        <v>209</v>
      </c>
      <c r="M602" s="85" t="s">
        <v>630</v>
      </c>
      <c r="N602" s="128">
        <v>774</v>
      </c>
      <c r="O602" s="128">
        <f t="shared" si="39"/>
        <v>41022</v>
      </c>
      <c r="P602" s="125" t="s">
        <v>1012</v>
      </c>
      <c r="Q602" s="85" t="s">
        <v>47</v>
      </c>
      <c r="R602" s="214" t="s">
        <v>1869</v>
      </c>
      <c r="S602" s="214" t="s">
        <v>1861</v>
      </c>
      <c r="T602" s="85" t="s">
        <v>1491</v>
      </c>
      <c r="U602" t="s">
        <v>1953</v>
      </c>
      <c r="V602" t="s">
        <v>2813</v>
      </c>
    </row>
    <row r="603" spans="1:22" ht="15.75" thickBot="1" x14ac:dyDescent="0.3">
      <c r="A603" s="82" t="s">
        <v>3470</v>
      </c>
      <c r="B603" s="82" t="str">
        <f t="shared" si="36"/>
        <v>Barraqueiro Transportes, S.A.</v>
      </c>
      <c r="C603" s="82" t="str">
        <f t="shared" si="37"/>
        <v>Mafrense</v>
      </c>
      <c r="D603" s="83" t="s">
        <v>629</v>
      </c>
      <c r="E603" s="91" t="s">
        <v>1853</v>
      </c>
      <c r="F603" s="124" t="s">
        <v>620</v>
      </c>
      <c r="G603" s="304">
        <v>2019</v>
      </c>
      <c r="H603" s="312" t="s">
        <v>733</v>
      </c>
      <c r="I603" s="307" t="str">
        <f t="shared" si="38"/>
        <v>Pesado de Passageiros M3: III : Gasóleo : E6</v>
      </c>
      <c r="J603" s="125">
        <v>53</v>
      </c>
      <c r="K603" s="125">
        <v>2022</v>
      </c>
      <c r="L603" s="85">
        <v>1929.81</v>
      </c>
      <c r="M603" s="85" t="s">
        <v>630</v>
      </c>
      <c r="N603" s="128">
        <v>8650</v>
      </c>
      <c r="O603" s="128">
        <f t="shared" si="39"/>
        <v>458450</v>
      </c>
      <c r="P603" s="125" t="s">
        <v>985</v>
      </c>
      <c r="Q603" s="85" t="s">
        <v>47</v>
      </c>
      <c r="R603" s="214" t="s">
        <v>1869</v>
      </c>
      <c r="S603" s="214" t="s">
        <v>1861</v>
      </c>
      <c r="T603" s="85" t="s">
        <v>1491</v>
      </c>
      <c r="U603" t="s">
        <v>1953</v>
      </c>
      <c r="V603" t="s">
        <v>2813</v>
      </c>
    </row>
    <row r="604" spans="1:22" ht="15.75" thickBot="1" x14ac:dyDescent="0.3">
      <c r="A604" s="82" t="s">
        <v>3470</v>
      </c>
      <c r="B604" s="82" t="str">
        <f t="shared" si="36"/>
        <v>Barraqueiro Transportes, S.A.</v>
      </c>
      <c r="C604" s="82" t="str">
        <f t="shared" si="37"/>
        <v>Mafrense</v>
      </c>
      <c r="D604" s="83" t="s">
        <v>629</v>
      </c>
      <c r="E604" s="91" t="s">
        <v>1853</v>
      </c>
      <c r="F604" s="124" t="s">
        <v>620</v>
      </c>
      <c r="G604" s="304">
        <v>2019</v>
      </c>
      <c r="H604" s="312" t="s">
        <v>733</v>
      </c>
      <c r="I604" s="307" t="str">
        <f t="shared" si="38"/>
        <v>Pesado de Passageiros M3: III : Gasóleo : E6</v>
      </c>
      <c r="J604" s="125">
        <v>53</v>
      </c>
      <c r="K604" s="125">
        <v>2022</v>
      </c>
      <c r="L604" s="85">
        <v>358.87</v>
      </c>
      <c r="M604" s="85" t="s">
        <v>630</v>
      </c>
      <c r="N604" s="128">
        <v>1494</v>
      </c>
      <c r="O604" s="128">
        <f t="shared" si="39"/>
        <v>79182</v>
      </c>
      <c r="P604" s="125" t="s">
        <v>986</v>
      </c>
      <c r="Q604" s="85" t="s">
        <v>47</v>
      </c>
      <c r="R604" s="214" t="s">
        <v>1869</v>
      </c>
      <c r="S604" s="214" t="s">
        <v>1861</v>
      </c>
      <c r="T604" s="85" t="s">
        <v>1491</v>
      </c>
      <c r="U604" t="s">
        <v>1953</v>
      </c>
      <c r="V604" t="s">
        <v>2813</v>
      </c>
    </row>
    <row r="605" spans="1:22" ht="15.75" thickBot="1" x14ac:dyDescent="0.3">
      <c r="A605" s="82" t="s">
        <v>3278</v>
      </c>
      <c r="B605" s="82" t="str">
        <f t="shared" si="36"/>
        <v>Barraqueiro Transportes, S.A.</v>
      </c>
      <c r="C605" s="82" t="str">
        <f t="shared" si="37"/>
        <v>Barraqueiro Alugueres</v>
      </c>
      <c r="D605" s="83" t="s">
        <v>629</v>
      </c>
      <c r="E605" s="91" t="s">
        <v>1853</v>
      </c>
      <c r="F605" s="124" t="s">
        <v>620</v>
      </c>
      <c r="G605" s="304">
        <v>2008</v>
      </c>
      <c r="H605" s="312" t="s">
        <v>731</v>
      </c>
      <c r="I605" s="307" t="str">
        <f t="shared" si="38"/>
        <v>Pesado de Passageiros M3: III : Gasóleo : E4</v>
      </c>
      <c r="J605" s="125">
        <v>53</v>
      </c>
      <c r="K605" s="125">
        <v>2022</v>
      </c>
      <c r="L605" s="85">
        <v>15910.334000000003</v>
      </c>
      <c r="M605" s="85" t="s">
        <v>630</v>
      </c>
      <c r="N605" s="128">
        <v>40579</v>
      </c>
      <c r="O605" s="128">
        <f t="shared" si="39"/>
        <v>2150687</v>
      </c>
      <c r="P605" s="125" t="s">
        <v>1217</v>
      </c>
      <c r="Q605" s="85" t="s">
        <v>47</v>
      </c>
      <c r="R605" s="214" t="s">
        <v>1869</v>
      </c>
      <c r="S605" s="214" t="s">
        <v>1861</v>
      </c>
      <c r="T605" s="85" t="s">
        <v>1491</v>
      </c>
      <c r="U605" t="s">
        <v>1953</v>
      </c>
      <c r="V605" t="s">
        <v>2813</v>
      </c>
    </row>
    <row r="606" spans="1:22" ht="15.75" thickBot="1" x14ac:dyDescent="0.3">
      <c r="A606" s="82" t="s">
        <v>3278</v>
      </c>
      <c r="B606" s="82" t="str">
        <f t="shared" si="36"/>
        <v>Barraqueiro Transportes, S.A.</v>
      </c>
      <c r="C606" s="82" t="str">
        <f t="shared" si="37"/>
        <v>Barraqueiro Alugueres</v>
      </c>
      <c r="D606" s="83" t="s">
        <v>629</v>
      </c>
      <c r="E606" s="91" t="s">
        <v>1853</v>
      </c>
      <c r="F606" s="124" t="s">
        <v>620</v>
      </c>
      <c r="G606" s="304">
        <v>1997</v>
      </c>
      <c r="H606" s="312" t="s">
        <v>736</v>
      </c>
      <c r="I606" s="307" t="str">
        <f t="shared" si="38"/>
        <v>Pesado de Passageiros M3: III : Gasóleo : E1</v>
      </c>
      <c r="J606" s="125">
        <v>80</v>
      </c>
      <c r="K606" s="125">
        <v>2022</v>
      </c>
      <c r="L606" s="85">
        <v>558.43000000000006</v>
      </c>
      <c r="M606" s="85" t="s">
        <v>630</v>
      </c>
      <c r="N606" s="128">
        <v>1550</v>
      </c>
      <c r="O606" s="128">
        <f t="shared" si="39"/>
        <v>124000</v>
      </c>
      <c r="P606" s="125" t="s">
        <v>1131</v>
      </c>
      <c r="Q606" s="85" t="s">
        <v>47</v>
      </c>
      <c r="R606" s="214" t="s">
        <v>1869</v>
      </c>
      <c r="S606" s="214" t="s">
        <v>1861</v>
      </c>
      <c r="T606" s="85" t="s">
        <v>1491</v>
      </c>
      <c r="U606" t="s">
        <v>1953</v>
      </c>
      <c r="V606" t="s">
        <v>2813</v>
      </c>
    </row>
    <row r="607" spans="1:22" ht="15.75" thickBot="1" x14ac:dyDescent="0.3">
      <c r="A607" s="82" t="s">
        <v>3278</v>
      </c>
      <c r="B607" s="82" t="str">
        <f t="shared" si="36"/>
        <v>Barraqueiro Transportes, S.A.</v>
      </c>
      <c r="C607" s="82" t="str">
        <f t="shared" si="37"/>
        <v>Barraqueiro Alugueres</v>
      </c>
      <c r="D607" s="83" t="s">
        <v>629</v>
      </c>
      <c r="E607" s="91" t="s">
        <v>1853</v>
      </c>
      <c r="F607" s="124" t="s">
        <v>620</v>
      </c>
      <c r="G607" s="304">
        <v>1996</v>
      </c>
      <c r="H607" s="312" t="s">
        <v>736</v>
      </c>
      <c r="I607" s="307" t="str">
        <f t="shared" si="38"/>
        <v>Pesado de Passageiros M3: III : Gasóleo : E1</v>
      </c>
      <c r="J607" s="125">
        <v>82</v>
      </c>
      <c r="K607" s="125">
        <v>2022</v>
      </c>
      <c r="L607" s="85">
        <v>169.4</v>
      </c>
      <c r="M607" s="85" t="s">
        <v>630</v>
      </c>
      <c r="N607" s="128">
        <v>469</v>
      </c>
      <c r="O607" s="128">
        <f t="shared" si="39"/>
        <v>38458</v>
      </c>
      <c r="P607" s="125" t="s">
        <v>1218</v>
      </c>
      <c r="Q607" s="85" t="s">
        <v>47</v>
      </c>
      <c r="R607" s="214" t="s">
        <v>1869</v>
      </c>
      <c r="S607" s="214" t="s">
        <v>1861</v>
      </c>
      <c r="T607" s="85" t="s">
        <v>1491</v>
      </c>
      <c r="U607" t="s">
        <v>1953</v>
      </c>
      <c r="V607" t="s">
        <v>2813</v>
      </c>
    </row>
    <row r="608" spans="1:22" ht="15.75" thickBot="1" x14ac:dyDescent="0.3">
      <c r="A608" s="82" t="s">
        <v>3278</v>
      </c>
      <c r="B608" s="82" t="str">
        <f t="shared" si="36"/>
        <v>Barraqueiro Transportes, S.A.</v>
      </c>
      <c r="C608" s="82" t="str">
        <f t="shared" si="37"/>
        <v>Barraqueiro Alugueres</v>
      </c>
      <c r="D608" s="83" t="s">
        <v>629</v>
      </c>
      <c r="E608" s="91" t="s">
        <v>1853</v>
      </c>
      <c r="F608" s="124" t="s">
        <v>620</v>
      </c>
      <c r="G608" s="304">
        <v>2005</v>
      </c>
      <c r="H608" s="312" t="s">
        <v>732</v>
      </c>
      <c r="I608" s="307" t="str">
        <f t="shared" si="38"/>
        <v>Pesado de Passageiros M3: III : Gasóleo : E3</v>
      </c>
      <c r="J608" s="125">
        <v>19</v>
      </c>
      <c r="K608" s="125">
        <v>2022</v>
      </c>
      <c r="L608" s="85">
        <v>0</v>
      </c>
      <c r="M608" s="85" t="s">
        <v>630</v>
      </c>
      <c r="N608" s="128">
        <v>0</v>
      </c>
      <c r="O608" s="128">
        <f t="shared" si="39"/>
        <v>0</v>
      </c>
      <c r="P608" s="125" t="s">
        <v>1219</v>
      </c>
      <c r="Q608" s="85" t="s">
        <v>47</v>
      </c>
      <c r="R608" s="214" t="s">
        <v>1869</v>
      </c>
      <c r="S608" s="214" t="s">
        <v>1861</v>
      </c>
      <c r="T608" s="85" t="s">
        <v>1491</v>
      </c>
      <c r="U608" t="s">
        <v>1953</v>
      </c>
      <c r="V608" t="s">
        <v>2813</v>
      </c>
    </row>
    <row r="609" spans="1:22" ht="15.75" thickBot="1" x14ac:dyDescent="0.3">
      <c r="A609" s="82" t="s">
        <v>3278</v>
      </c>
      <c r="B609" s="82" t="str">
        <f t="shared" si="36"/>
        <v>Barraqueiro Transportes, S.A.</v>
      </c>
      <c r="C609" s="82" t="str">
        <f t="shared" si="37"/>
        <v>Barraqueiro Alugueres</v>
      </c>
      <c r="D609" s="83" t="s">
        <v>629</v>
      </c>
      <c r="E609" s="91" t="s">
        <v>1853</v>
      </c>
      <c r="F609" s="124" t="s">
        <v>620</v>
      </c>
      <c r="G609" s="304">
        <v>2006</v>
      </c>
      <c r="H609" s="312" t="s">
        <v>731</v>
      </c>
      <c r="I609" s="307" t="str">
        <f t="shared" si="38"/>
        <v>Pesado de Passageiros M3: III : Gasóleo : E4</v>
      </c>
      <c r="J609" s="125">
        <v>90</v>
      </c>
      <c r="K609" s="125">
        <v>2022</v>
      </c>
      <c r="L609" s="85">
        <v>9726.6799999999985</v>
      </c>
      <c r="M609" s="85" t="s">
        <v>630</v>
      </c>
      <c r="N609" s="128">
        <v>21293</v>
      </c>
      <c r="O609" s="128">
        <f t="shared" si="39"/>
        <v>1916370</v>
      </c>
      <c r="P609" s="125" t="s">
        <v>1220</v>
      </c>
      <c r="Q609" s="85" t="s">
        <v>47</v>
      </c>
      <c r="R609" s="214" t="s">
        <v>1869</v>
      </c>
      <c r="S609" s="214" t="s">
        <v>1861</v>
      </c>
      <c r="T609" s="85" t="s">
        <v>1491</v>
      </c>
      <c r="U609" t="s">
        <v>1953</v>
      </c>
      <c r="V609" t="s">
        <v>2813</v>
      </c>
    </row>
    <row r="610" spans="1:22" ht="15.75" thickBot="1" x14ac:dyDescent="0.3">
      <c r="A610" s="82" t="s">
        <v>3278</v>
      </c>
      <c r="B610" s="82" t="str">
        <f t="shared" si="36"/>
        <v>Barraqueiro Transportes, S.A.</v>
      </c>
      <c r="C610" s="82" t="str">
        <f t="shared" si="37"/>
        <v>Barraqueiro Alugueres</v>
      </c>
      <c r="D610" s="83" t="s">
        <v>629</v>
      </c>
      <c r="E610" s="91" t="s">
        <v>1853</v>
      </c>
      <c r="F610" s="124" t="s">
        <v>620</v>
      </c>
      <c r="G610" s="304">
        <v>2006</v>
      </c>
      <c r="H610" s="312" t="s">
        <v>731</v>
      </c>
      <c r="I610" s="307" t="str">
        <f t="shared" si="38"/>
        <v>Pesado de Passageiros M3: III : Gasóleo : E4</v>
      </c>
      <c r="J610" s="125">
        <v>53</v>
      </c>
      <c r="K610" s="125">
        <v>2022</v>
      </c>
      <c r="L610" s="85">
        <v>14500.126999999999</v>
      </c>
      <c r="M610" s="85" t="s">
        <v>630</v>
      </c>
      <c r="N610" s="128">
        <v>42259</v>
      </c>
      <c r="O610" s="128">
        <f t="shared" si="39"/>
        <v>2239727</v>
      </c>
      <c r="P610" s="125" t="s">
        <v>1221</v>
      </c>
      <c r="Q610" s="85" t="s">
        <v>47</v>
      </c>
      <c r="R610" s="214" t="s">
        <v>1869</v>
      </c>
      <c r="S610" s="214" t="s">
        <v>1861</v>
      </c>
      <c r="T610" s="85" t="s">
        <v>1491</v>
      </c>
      <c r="U610" t="s">
        <v>1953</v>
      </c>
      <c r="V610" t="s">
        <v>2813</v>
      </c>
    </row>
    <row r="611" spans="1:22" ht="15.75" thickBot="1" x14ac:dyDescent="0.3">
      <c r="A611" s="82" t="s">
        <v>3278</v>
      </c>
      <c r="B611" s="82" t="str">
        <f t="shared" si="36"/>
        <v>Barraqueiro Transportes, S.A.</v>
      </c>
      <c r="C611" s="82" t="str">
        <f t="shared" si="37"/>
        <v>Barraqueiro Alugueres</v>
      </c>
      <c r="D611" s="83" t="s">
        <v>629</v>
      </c>
      <c r="E611" s="91" t="s">
        <v>1853</v>
      </c>
      <c r="F611" s="124" t="s">
        <v>620</v>
      </c>
      <c r="G611" s="304">
        <v>2006</v>
      </c>
      <c r="H611" s="312" t="s">
        <v>731</v>
      </c>
      <c r="I611" s="307" t="str">
        <f t="shared" si="38"/>
        <v>Pesado de Passageiros M3: III : Gasóleo : E4</v>
      </c>
      <c r="J611" s="125">
        <v>19</v>
      </c>
      <c r="K611" s="125">
        <v>2022</v>
      </c>
      <c r="L611" s="85">
        <v>0</v>
      </c>
      <c r="M611" s="85" t="s">
        <v>630</v>
      </c>
      <c r="N611" s="128">
        <v>0</v>
      </c>
      <c r="O611" s="128">
        <f t="shared" si="39"/>
        <v>0</v>
      </c>
      <c r="P611" s="125" t="s">
        <v>1222</v>
      </c>
      <c r="Q611" s="85" t="s">
        <v>47</v>
      </c>
      <c r="R611" s="214" t="s">
        <v>1869</v>
      </c>
      <c r="S611" s="214" t="s">
        <v>1861</v>
      </c>
      <c r="T611" s="85" t="s">
        <v>1491</v>
      </c>
      <c r="U611" t="s">
        <v>1953</v>
      </c>
      <c r="V611" t="s">
        <v>2813</v>
      </c>
    </row>
    <row r="612" spans="1:22" ht="15.75" thickBot="1" x14ac:dyDescent="0.3">
      <c r="A612" s="82" t="s">
        <v>3278</v>
      </c>
      <c r="B612" s="82" t="str">
        <f t="shared" si="36"/>
        <v>Barraqueiro Transportes, S.A.</v>
      </c>
      <c r="C612" s="82" t="str">
        <f t="shared" si="37"/>
        <v>Barraqueiro Alugueres</v>
      </c>
      <c r="D612" s="83" t="s">
        <v>629</v>
      </c>
      <c r="E612" s="91" t="s">
        <v>1853</v>
      </c>
      <c r="F612" s="124" t="s">
        <v>620</v>
      </c>
      <c r="G612" s="304">
        <v>2006</v>
      </c>
      <c r="H612" s="312" t="s">
        <v>731</v>
      </c>
      <c r="I612" s="307" t="str">
        <f t="shared" si="38"/>
        <v>Pesado de Passageiros M3: III : Gasóleo : E4</v>
      </c>
      <c r="J612" s="125">
        <v>15</v>
      </c>
      <c r="K612" s="125">
        <v>2022</v>
      </c>
      <c r="L612" s="85">
        <v>0</v>
      </c>
      <c r="M612" s="85" t="s">
        <v>630</v>
      </c>
      <c r="N612" s="128">
        <v>0</v>
      </c>
      <c r="O612" s="128">
        <f t="shared" si="39"/>
        <v>0</v>
      </c>
      <c r="P612" s="125" t="s">
        <v>1223</v>
      </c>
      <c r="Q612" s="85" t="s">
        <v>47</v>
      </c>
      <c r="R612" s="214" t="s">
        <v>1869</v>
      </c>
      <c r="S612" s="214" t="s">
        <v>1861</v>
      </c>
      <c r="T612" s="85" t="s">
        <v>1491</v>
      </c>
      <c r="U612" t="s">
        <v>1953</v>
      </c>
      <c r="V612" t="s">
        <v>2813</v>
      </c>
    </row>
    <row r="613" spans="1:22" ht="15.75" thickBot="1" x14ac:dyDescent="0.3">
      <c r="A613" s="82" t="s">
        <v>3278</v>
      </c>
      <c r="B613" s="82" t="str">
        <f t="shared" si="36"/>
        <v>Barraqueiro Transportes, S.A.</v>
      </c>
      <c r="C613" s="82" t="str">
        <f t="shared" si="37"/>
        <v>Barraqueiro Alugueres</v>
      </c>
      <c r="D613" s="83" t="s">
        <v>629</v>
      </c>
      <c r="E613" s="91" t="s">
        <v>1853</v>
      </c>
      <c r="F613" s="124" t="s">
        <v>620</v>
      </c>
      <c r="G613" s="304">
        <v>2007</v>
      </c>
      <c r="H613" s="312" t="s">
        <v>731</v>
      </c>
      <c r="I613" s="307" t="str">
        <f t="shared" si="38"/>
        <v>Pesado de Passageiros M3: III : Gasóleo : E4</v>
      </c>
      <c r="J613" s="125">
        <v>53</v>
      </c>
      <c r="K613" s="125">
        <v>2022</v>
      </c>
      <c r="L613" s="85">
        <v>14171.634999999998</v>
      </c>
      <c r="M613" s="85" t="s">
        <v>630</v>
      </c>
      <c r="N613" s="128">
        <v>40964</v>
      </c>
      <c r="O613" s="128">
        <f t="shared" si="39"/>
        <v>2171092</v>
      </c>
      <c r="P613" s="125" t="s">
        <v>1224</v>
      </c>
      <c r="Q613" s="85" t="s">
        <v>47</v>
      </c>
      <c r="R613" s="214" t="s">
        <v>1869</v>
      </c>
      <c r="S613" s="214" t="s">
        <v>1861</v>
      </c>
      <c r="T613" s="85" t="s">
        <v>1491</v>
      </c>
      <c r="U613" t="s">
        <v>1953</v>
      </c>
      <c r="V613" t="s">
        <v>2813</v>
      </c>
    </row>
    <row r="614" spans="1:22" ht="15.75" thickBot="1" x14ac:dyDescent="0.3">
      <c r="A614" s="82" t="s">
        <v>3278</v>
      </c>
      <c r="B614" s="82" t="str">
        <f t="shared" si="36"/>
        <v>Barraqueiro Transportes, S.A.</v>
      </c>
      <c r="C614" s="82" t="str">
        <f t="shared" si="37"/>
        <v>Barraqueiro Alugueres</v>
      </c>
      <c r="D614" s="83" t="s">
        <v>629</v>
      </c>
      <c r="E614" s="91" t="s">
        <v>1853</v>
      </c>
      <c r="F614" s="124" t="s">
        <v>620</v>
      </c>
      <c r="G614" s="304">
        <v>2007</v>
      </c>
      <c r="H614" s="312" t="s">
        <v>731</v>
      </c>
      <c r="I614" s="307" t="str">
        <f t="shared" si="38"/>
        <v>Pesado de Passageiros M3: III : Gasóleo : E4</v>
      </c>
      <c r="J614" s="125">
        <v>53</v>
      </c>
      <c r="K614" s="125">
        <v>2022</v>
      </c>
      <c r="L614" s="85">
        <v>5151.8999999999996</v>
      </c>
      <c r="M614" s="85" t="s">
        <v>630</v>
      </c>
      <c r="N614" s="128">
        <v>16279</v>
      </c>
      <c r="O614" s="128">
        <f t="shared" si="39"/>
        <v>862787</v>
      </c>
      <c r="P614" s="125" t="s">
        <v>1225</v>
      </c>
      <c r="Q614" s="85" t="s">
        <v>47</v>
      </c>
      <c r="R614" s="214" t="s">
        <v>1869</v>
      </c>
      <c r="S614" s="214" t="s">
        <v>1861</v>
      </c>
      <c r="T614" s="85" t="s">
        <v>1491</v>
      </c>
      <c r="U614" t="s">
        <v>1953</v>
      </c>
      <c r="V614" t="s">
        <v>2813</v>
      </c>
    </row>
    <row r="615" spans="1:22" ht="15.75" thickBot="1" x14ac:dyDescent="0.3">
      <c r="A615" s="82" t="s">
        <v>3278</v>
      </c>
      <c r="B615" s="82" t="str">
        <f t="shared" si="36"/>
        <v>Barraqueiro Transportes, S.A.</v>
      </c>
      <c r="C615" s="82" t="str">
        <f t="shared" si="37"/>
        <v>Barraqueiro Alugueres</v>
      </c>
      <c r="D615" s="83" t="s">
        <v>629</v>
      </c>
      <c r="E615" s="91" t="s">
        <v>1853</v>
      </c>
      <c r="F615" s="124" t="s">
        <v>620</v>
      </c>
      <c r="G615" s="304">
        <v>2007</v>
      </c>
      <c r="H615" s="312" t="s">
        <v>731</v>
      </c>
      <c r="I615" s="307" t="str">
        <f t="shared" si="38"/>
        <v>Pesado de Passageiros M3: III : Gasóleo : E4</v>
      </c>
      <c r="J615" s="125">
        <v>53</v>
      </c>
      <c r="K615" s="125">
        <v>2022</v>
      </c>
      <c r="L615" s="85">
        <v>14005.802</v>
      </c>
      <c r="M615" s="85" t="s">
        <v>630</v>
      </c>
      <c r="N615" s="128">
        <v>39199</v>
      </c>
      <c r="O615" s="128">
        <f t="shared" si="39"/>
        <v>2077547</v>
      </c>
      <c r="P615" s="125" t="s">
        <v>1226</v>
      </c>
      <c r="Q615" s="85" t="s">
        <v>47</v>
      </c>
      <c r="R615" s="214" t="s">
        <v>1869</v>
      </c>
      <c r="S615" s="214" t="s">
        <v>1861</v>
      </c>
      <c r="T615" s="85" t="s">
        <v>1491</v>
      </c>
      <c r="U615" t="s">
        <v>1953</v>
      </c>
      <c r="V615" t="s">
        <v>2813</v>
      </c>
    </row>
    <row r="616" spans="1:22" ht="15.75" thickBot="1" x14ac:dyDescent="0.3">
      <c r="A616" s="82" t="s">
        <v>3278</v>
      </c>
      <c r="B616" s="82" t="str">
        <f t="shared" si="36"/>
        <v>Barraqueiro Transportes, S.A.</v>
      </c>
      <c r="C616" s="82" t="str">
        <f t="shared" si="37"/>
        <v>Barraqueiro Alugueres</v>
      </c>
      <c r="D616" s="83" t="s">
        <v>629</v>
      </c>
      <c r="E616" s="91" t="s">
        <v>1853</v>
      </c>
      <c r="F616" s="124" t="s">
        <v>620</v>
      </c>
      <c r="G616" s="304">
        <v>2007</v>
      </c>
      <c r="H616" s="312" t="s">
        <v>731</v>
      </c>
      <c r="I616" s="307" t="str">
        <f t="shared" si="38"/>
        <v>Pesado de Passageiros M3: III : Gasóleo : E4</v>
      </c>
      <c r="J616" s="125">
        <v>53</v>
      </c>
      <c r="K616" s="125">
        <v>2022</v>
      </c>
      <c r="L616" s="85">
        <v>15308.208000000001</v>
      </c>
      <c r="M616" s="85" t="s">
        <v>630</v>
      </c>
      <c r="N616" s="128">
        <v>45486</v>
      </c>
      <c r="O616" s="128">
        <f t="shared" si="39"/>
        <v>2410758</v>
      </c>
      <c r="P616" s="125" t="s">
        <v>1227</v>
      </c>
      <c r="Q616" s="85" t="s">
        <v>47</v>
      </c>
      <c r="R616" s="214" t="s">
        <v>1869</v>
      </c>
      <c r="S616" s="214" t="s">
        <v>1861</v>
      </c>
      <c r="T616" s="85" t="s">
        <v>1491</v>
      </c>
      <c r="U616" t="s">
        <v>1953</v>
      </c>
      <c r="V616" t="s">
        <v>2813</v>
      </c>
    </row>
    <row r="617" spans="1:22" ht="15.75" thickBot="1" x14ac:dyDescent="0.3">
      <c r="A617" s="82" t="s">
        <v>3278</v>
      </c>
      <c r="B617" s="82" t="str">
        <f t="shared" si="36"/>
        <v>Barraqueiro Transportes, S.A.</v>
      </c>
      <c r="C617" s="82" t="str">
        <f t="shared" si="37"/>
        <v>Barraqueiro Alugueres</v>
      </c>
      <c r="D617" s="83" t="s">
        <v>629</v>
      </c>
      <c r="E617" s="91" t="s">
        <v>1853</v>
      </c>
      <c r="F617" s="124" t="s">
        <v>620</v>
      </c>
      <c r="G617" s="304">
        <v>2007</v>
      </c>
      <c r="H617" s="312" t="s">
        <v>731</v>
      </c>
      <c r="I617" s="307" t="str">
        <f t="shared" si="38"/>
        <v>Pesado de Passageiros M3: III : Gasóleo : E4</v>
      </c>
      <c r="J617" s="125">
        <v>53</v>
      </c>
      <c r="K617" s="125">
        <v>2022</v>
      </c>
      <c r="L617" s="85">
        <v>12877.996999999998</v>
      </c>
      <c r="M617" s="85" t="s">
        <v>630</v>
      </c>
      <c r="N617" s="128">
        <v>38060</v>
      </c>
      <c r="O617" s="128">
        <f t="shared" si="39"/>
        <v>2017180</v>
      </c>
      <c r="P617" s="125" t="s">
        <v>1228</v>
      </c>
      <c r="Q617" s="85" t="s">
        <v>47</v>
      </c>
      <c r="R617" s="214" t="s">
        <v>1869</v>
      </c>
      <c r="S617" s="214" t="s">
        <v>1861</v>
      </c>
      <c r="T617" s="85" t="s">
        <v>1491</v>
      </c>
      <c r="U617" t="s">
        <v>1953</v>
      </c>
      <c r="V617" t="s">
        <v>2813</v>
      </c>
    </row>
    <row r="618" spans="1:22" ht="15.75" thickBot="1" x14ac:dyDescent="0.3">
      <c r="A618" s="82" t="s">
        <v>3278</v>
      </c>
      <c r="B618" s="82" t="str">
        <f t="shared" si="36"/>
        <v>Barraqueiro Transportes, S.A.</v>
      </c>
      <c r="C618" s="82" t="str">
        <f t="shared" si="37"/>
        <v>Barraqueiro Alugueres</v>
      </c>
      <c r="D618" s="83" t="s">
        <v>629</v>
      </c>
      <c r="E618" s="91" t="s">
        <v>1853</v>
      </c>
      <c r="F618" s="124" t="s">
        <v>620</v>
      </c>
      <c r="G618" s="304">
        <v>2007</v>
      </c>
      <c r="H618" s="312" t="s">
        <v>731</v>
      </c>
      <c r="I618" s="307" t="str">
        <f t="shared" si="38"/>
        <v>Pesado de Passageiros M3: III : Gasóleo : E4</v>
      </c>
      <c r="J618" s="125">
        <v>53</v>
      </c>
      <c r="K618" s="125">
        <v>2022</v>
      </c>
      <c r="L618" s="85">
        <v>14664.96</v>
      </c>
      <c r="M618" s="85" t="s">
        <v>630</v>
      </c>
      <c r="N618" s="128">
        <v>43754</v>
      </c>
      <c r="O618" s="128">
        <f t="shared" si="39"/>
        <v>2318962</v>
      </c>
      <c r="P618" s="125" t="s">
        <v>1229</v>
      </c>
      <c r="Q618" s="85" t="s">
        <v>47</v>
      </c>
      <c r="R618" s="214" t="s">
        <v>1869</v>
      </c>
      <c r="S618" s="214" t="s">
        <v>1861</v>
      </c>
      <c r="T618" s="85" t="s">
        <v>1491</v>
      </c>
      <c r="U618" t="s">
        <v>1953</v>
      </c>
      <c r="V618" t="s">
        <v>2813</v>
      </c>
    </row>
    <row r="619" spans="1:22" ht="15.75" thickBot="1" x14ac:dyDescent="0.3">
      <c r="A619" s="82" t="s">
        <v>3278</v>
      </c>
      <c r="B619" s="82" t="str">
        <f t="shared" si="36"/>
        <v>Barraqueiro Transportes, S.A.</v>
      </c>
      <c r="C619" s="82" t="str">
        <f t="shared" si="37"/>
        <v>Barraqueiro Alugueres</v>
      </c>
      <c r="D619" s="83" t="s">
        <v>629</v>
      </c>
      <c r="E619" s="91" t="s">
        <v>1853</v>
      </c>
      <c r="F619" s="124" t="s">
        <v>620</v>
      </c>
      <c r="G619" s="304">
        <v>2007</v>
      </c>
      <c r="H619" s="312" t="s">
        <v>731</v>
      </c>
      <c r="I619" s="307" t="str">
        <f t="shared" si="38"/>
        <v>Pesado de Passageiros M3: III : Gasóleo : E4</v>
      </c>
      <c r="J619" s="125">
        <v>55</v>
      </c>
      <c r="K619" s="125">
        <v>2022</v>
      </c>
      <c r="L619" s="85">
        <v>15217.975000000002</v>
      </c>
      <c r="M619" s="85" t="s">
        <v>630</v>
      </c>
      <c r="N619" s="128">
        <v>44706</v>
      </c>
      <c r="O619" s="128">
        <f t="shared" si="39"/>
        <v>2458830</v>
      </c>
      <c r="P619" s="125" t="s">
        <v>1230</v>
      </c>
      <c r="Q619" s="85" t="s">
        <v>47</v>
      </c>
      <c r="R619" s="214" t="s">
        <v>1869</v>
      </c>
      <c r="S619" s="214" t="s">
        <v>1861</v>
      </c>
      <c r="T619" s="85" t="s">
        <v>1491</v>
      </c>
      <c r="U619" t="s">
        <v>1953</v>
      </c>
      <c r="V619" t="s">
        <v>2813</v>
      </c>
    </row>
    <row r="620" spans="1:22" ht="15.75" thickBot="1" x14ac:dyDescent="0.3">
      <c r="A620" s="82" t="s">
        <v>3278</v>
      </c>
      <c r="B620" s="82" t="str">
        <f t="shared" si="36"/>
        <v>Barraqueiro Transportes, S.A.</v>
      </c>
      <c r="C620" s="82" t="str">
        <f t="shared" si="37"/>
        <v>Barraqueiro Alugueres</v>
      </c>
      <c r="D620" s="83" t="s">
        <v>629</v>
      </c>
      <c r="E620" s="91" t="s">
        <v>1853</v>
      </c>
      <c r="F620" s="124" t="s">
        <v>620</v>
      </c>
      <c r="G620" s="304">
        <v>2007</v>
      </c>
      <c r="H620" s="312" t="s">
        <v>731</v>
      </c>
      <c r="I620" s="307" t="str">
        <f t="shared" si="38"/>
        <v>Pesado de Passageiros M3: III : Gasóleo : E4</v>
      </c>
      <c r="J620" s="125">
        <v>53</v>
      </c>
      <c r="K620" s="125">
        <v>2022</v>
      </c>
      <c r="L620" s="85">
        <v>15927.255000000001</v>
      </c>
      <c r="M620" s="85" t="s">
        <v>630</v>
      </c>
      <c r="N620" s="128">
        <v>47242</v>
      </c>
      <c r="O620" s="128">
        <f t="shared" si="39"/>
        <v>2503826</v>
      </c>
      <c r="P620" s="125" t="s">
        <v>1231</v>
      </c>
      <c r="Q620" s="85" t="s">
        <v>47</v>
      </c>
      <c r="R620" s="214" t="s">
        <v>1869</v>
      </c>
      <c r="S620" s="214" t="s">
        <v>1861</v>
      </c>
      <c r="T620" s="85" t="s">
        <v>1491</v>
      </c>
      <c r="U620" t="s">
        <v>1953</v>
      </c>
      <c r="V620" t="s">
        <v>2813</v>
      </c>
    </row>
    <row r="621" spans="1:22" ht="15.75" thickBot="1" x14ac:dyDescent="0.3">
      <c r="A621" s="82" t="s">
        <v>3278</v>
      </c>
      <c r="B621" s="82" t="str">
        <f t="shared" si="36"/>
        <v>Barraqueiro Transportes, S.A.</v>
      </c>
      <c r="C621" s="82" t="str">
        <f t="shared" si="37"/>
        <v>Barraqueiro Alugueres</v>
      </c>
      <c r="D621" s="83" t="s">
        <v>629</v>
      </c>
      <c r="E621" s="91" t="s">
        <v>1853</v>
      </c>
      <c r="F621" s="124" t="s">
        <v>620</v>
      </c>
      <c r="G621" s="304">
        <v>2007</v>
      </c>
      <c r="H621" s="312" t="s">
        <v>731</v>
      </c>
      <c r="I621" s="307" t="str">
        <f t="shared" si="38"/>
        <v>Pesado de Passageiros M3: III : Gasóleo : E4</v>
      </c>
      <c r="J621" s="125">
        <v>53</v>
      </c>
      <c r="K621" s="125">
        <v>2022</v>
      </c>
      <c r="L621" s="85">
        <v>0</v>
      </c>
      <c r="M621" s="85" t="s">
        <v>630</v>
      </c>
      <c r="N621" s="128">
        <v>0</v>
      </c>
      <c r="O621" s="128">
        <f t="shared" si="39"/>
        <v>0</v>
      </c>
      <c r="P621" s="125" t="s">
        <v>1232</v>
      </c>
      <c r="Q621" s="85" t="s">
        <v>47</v>
      </c>
      <c r="R621" s="214" t="s">
        <v>1869</v>
      </c>
      <c r="S621" s="214" t="s">
        <v>1861</v>
      </c>
      <c r="T621" s="85" t="s">
        <v>1491</v>
      </c>
      <c r="U621" t="s">
        <v>1953</v>
      </c>
      <c r="V621" t="s">
        <v>2813</v>
      </c>
    </row>
    <row r="622" spans="1:22" ht="15.75" thickBot="1" x14ac:dyDescent="0.3">
      <c r="A622" s="82" t="s">
        <v>3278</v>
      </c>
      <c r="B622" s="82" t="str">
        <f t="shared" si="36"/>
        <v>Barraqueiro Transportes, S.A.</v>
      </c>
      <c r="C622" s="82" t="str">
        <f t="shared" si="37"/>
        <v>Barraqueiro Alugueres</v>
      </c>
      <c r="D622" s="83" t="s">
        <v>629</v>
      </c>
      <c r="E622" s="91" t="s">
        <v>1853</v>
      </c>
      <c r="F622" s="124" t="s">
        <v>620</v>
      </c>
      <c r="G622" s="304">
        <v>2007</v>
      </c>
      <c r="H622" s="312" t="s">
        <v>731</v>
      </c>
      <c r="I622" s="307" t="str">
        <f t="shared" si="38"/>
        <v>Pesado de Passageiros M3: III : Gasóleo : E4</v>
      </c>
      <c r="J622" s="125">
        <v>53</v>
      </c>
      <c r="K622" s="125">
        <v>2022</v>
      </c>
      <c r="L622" s="85">
        <v>18227.508999999998</v>
      </c>
      <c r="M622" s="85" t="s">
        <v>630</v>
      </c>
      <c r="N622" s="128">
        <v>48302</v>
      </c>
      <c r="O622" s="128">
        <f t="shared" si="39"/>
        <v>2560006</v>
      </c>
      <c r="P622" s="125" t="s">
        <v>1233</v>
      </c>
      <c r="Q622" s="85" t="s">
        <v>47</v>
      </c>
      <c r="R622" s="214" t="s">
        <v>1869</v>
      </c>
      <c r="S622" s="214" t="s">
        <v>1861</v>
      </c>
      <c r="T622" s="85" t="s">
        <v>1491</v>
      </c>
      <c r="U622" t="s">
        <v>1953</v>
      </c>
      <c r="V622" t="s">
        <v>2813</v>
      </c>
    </row>
    <row r="623" spans="1:22" ht="15.75" thickBot="1" x14ac:dyDescent="0.3">
      <c r="A623" s="82" t="s">
        <v>3278</v>
      </c>
      <c r="B623" s="82" t="str">
        <f t="shared" si="36"/>
        <v>Barraqueiro Transportes, S.A.</v>
      </c>
      <c r="C623" s="82" t="str">
        <f t="shared" si="37"/>
        <v>Barraqueiro Alugueres</v>
      </c>
      <c r="D623" s="83" t="s">
        <v>629</v>
      </c>
      <c r="E623" s="91" t="s">
        <v>1853</v>
      </c>
      <c r="F623" s="124" t="s">
        <v>620</v>
      </c>
      <c r="G623" s="304">
        <v>2008</v>
      </c>
      <c r="H623" s="312" t="s">
        <v>731</v>
      </c>
      <c r="I623" s="307" t="str">
        <f t="shared" si="38"/>
        <v>Pesado de Passageiros M3: III : Gasóleo : E4</v>
      </c>
      <c r="J623" s="125">
        <v>59</v>
      </c>
      <c r="K623" s="125">
        <v>2022</v>
      </c>
      <c r="L623" s="85">
        <v>17228.713</v>
      </c>
      <c r="M623" s="85" t="s">
        <v>630</v>
      </c>
      <c r="N623" s="128">
        <v>50107</v>
      </c>
      <c r="O623" s="128">
        <f t="shared" si="39"/>
        <v>2956313</v>
      </c>
      <c r="P623" s="125" t="s">
        <v>1234</v>
      </c>
      <c r="Q623" s="85" t="s">
        <v>47</v>
      </c>
      <c r="R623" s="214" t="s">
        <v>1869</v>
      </c>
      <c r="S623" s="214" t="s">
        <v>1861</v>
      </c>
      <c r="T623" s="85" t="s">
        <v>1491</v>
      </c>
      <c r="U623" t="s">
        <v>1953</v>
      </c>
      <c r="V623" t="s">
        <v>2813</v>
      </c>
    </row>
    <row r="624" spans="1:22" ht="15.75" thickBot="1" x14ac:dyDescent="0.3">
      <c r="A624" s="82" t="s">
        <v>3278</v>
      </c>
      <c r="B624" s="82" t="str">
        <f t="shared" si="36"/>
        <v>Barraqueiro Transportes, S.A.</v>
      </c>
      <c r="C624" s="82" t="str">
        <f t="shared" si="37"/>
        <v>Barraqueiro Alugueres</v>
      </c>
      <c r="D624" s="83" t="s">
        <v>629</v>
      </c>
      <c r="E624" s="91" t="s">
        <v>1853</v>
      </c>
      <c r="F624" s="124" t="s">
        <v>620</v>
      </c>
      <c r="G624" s="304">
        <v>2008</v>
      </c>
      <c r="H624" s="312" t="s">
        <v>731</v>
      </c>
      <c r="I624" s="307" t="str">
        <f t="shared" si="38"/>
        <v>Pesado de Passageiros M3: III : Gasóleo : E4</v>
      </c>
      <c r="J624" s="125">
        <v>59</v>
      </c>
      <c r="K624" s="125">
        <v>2022</v>
      </c>
      <c r="L624" s="85">
        <v>19676.445999999996</v>
      </c>
      <c r="M624" s="85" t="s">
        <v>630</v>
      </c>
      <c r="N624" s="128">
        <v>51007</v>
      </c>
      <c r="O624" s="128">
        <f t="shared" si="39"/>
        <v>3009413</v>
      </c>
      <c r="P624" s="125" t="s">
        <v>1235</v>
      </c>
      <c r="Q624" s="85" t="s">
        <v>47</v>
      </c>
      <c r="R624" s="214" t="s">
        <v>1869</v>
      </c>
      <c r="S624" s="214" t="s">
        <v>1861</v>
      </c>
      <c r="T624" s="85" t="s">
        <v>1491</v>
      </c>
      <c r="U624" t="s">
        <v>1953</v>
      </c>
      <c r="V624" t="s">
        <v>2813</v>
      </c>
    </row>
    <row r="625" spans="1:22" ht="15.75" thickBot="1" x14ac:dyDescent="0.3">
      <c r="A625" s="82" t="s">
        <v>3278</v>
      </c>
      <c r="B625" s="82" t="str">
        <f t="shared" si="36"/>
        <v>Barraqueiro Transportes, S.A.</v>
      </c>
      <c r="C625" s="82" t="str">
        <f t="shared" si="37"/>
        <v>Barraqueiro Alugueres</v>
      </c>
      <c r="D625" s="83" t="s">
        <v>629</v>
      </c>
      <c r="E625" s="91" t="s">
        <v>1853</v>
      </c>
      <c r="F625" s="124" t="s">
        <v>620</v>
      </c>
      <c r="G625" s="304">
        <v>2008</v>
      </c>
      <c r="H625" s="312" t="s">
        <v>731</v>
      </c>
      <c r="I625" s="307" t="str">
        <f t="shared" si="38"/>
        <v>Pesado de Passageiros M3: III : Gasóleo : E4</v>
      </c>
      <c r="J625" s="125">
        <v>53</v>
      </c>
      <c r="K625" s="125">
        <v>2022</v>
      </c>
      <c r="L625" s="85">
        <v>0</v>
      </c>
      <c r="M625" s="85" t="s">
        <v>630</v>
      </c>
      <c r="N625" s="128">
        <v>0</v>
      </c>
      <c r="O625" s="128">
        <f t="shared" si="39"/>
        <v>0</v>
      </c>
      <c r="P625" s="125" t="s">
        <v>1236</v>
      </c>
      <c r="Q625" s="85" t="s">
        <v>47</v>
      </c>
      <c r="R625" s="214" t="s">
        <v>1869</v>
      </c>
      <c r="S625" s="214" t="s">
        <v>1861</v>
      </c>
      <c r="T625" s="85" t="s">
        <v>1491</v>
      </c>
      <c r="U625" t="s">
        <v>1953</v>
      </c>
      <c r="V625" t="s">
        <v>2813</v>
      </c>
    </row>
    <row r="626" spans="1:22" ht="15.75" thickBot="1" x14ac:dyDescent="0.3">
      <c r="A626" s="82" t="s">
        <v>3278</v>
      </c>
      <c r="B626" s="82" t="str">
        <f t="shared" si="36"/>
        <v>Barraqueiro Transportes, S.A.</v>
      </c>
      <c r="C626" s="82" t="str">
        <f t="shared" si="37"/>
        <v>Barraqueiro Alugueres</v>
      </c>
      <c r="D626" s="83" t="s">
        <v>629</v>
      </c>
      <c r="E626" s="91" t="s">
        <v>1853</v>
      </c>
      <c r="F626" s="124" t="s">
        <v>620</v>
      </c>
      <c r="G626" s="304">
        <v>2008</v>
      </c>
      <c r="H626" s="312" t="s">
        <v>731</v>
      </c>
      <c r="I626" s="307" t="str">
        <f t="shared" si="38"/>
        <v>Pesado de Passageiros M3: III : Gasóleo : E4</v>
      </c>
      <c r="J626" s="125">
        <v>53</v>
      </c>
      <c r="K626" s="125">
        <v>2022</v>
      </c>
      <c r="L626" s="85">
        <v>14342.043</v>
      </c>
      <c r="M626" s="85" t="s">
        <v>630</v>
      </c>
      <c r="N626" s="128">
        <v>38701</v>
      </c>
      <c r="O626" s="128">
        <f t="shared" si="39"/>
        <v>2051153</v>
      </c>
      <c r="P626" s="125" t="s">
        <v>1237</v>
      </c>
      <c r="Q626" s="85" t="s">
        <v>47</v>
      </c>
      <c r="R626" s="214" t="s">
        <v>1869</v>
      </c>
      <c r="S626" s="214" t="s">
        <v>1861</v>
      </c>
      <c r="T626" s="85" t="s">
        <v>1491</v>
      </c>
      <c r="U626" t="s">
        <v>1953</v>
      </c>
      <c r="V626" t="s">
        <v>2813</v>
      </c>
    </row>
    <row r="627" spans="1:22" ht="15.75" thickBot="1" x14ac:dyDescent="0.3">
      <c r="A627" s="82" t="s">
        <v>3278</v>
      </c>
      <c r="B627" s="82" t="str">
        <f t="shared" si="36"/>
        <v>Barraqueiro Transportes, S.A.</v>
      </c>
      <c r="C627" s="82" t="str">
        <f t="shared" si="37"/>
        <v>Barraqueiro Alugueres</v>
      </c>
      <c r="D627" s="83" t="s">
        <v>629</v>
      </c>
      <c r="E627" s="91" t="s">
        <v>1853</v>
      </c>
      <c r="F627" s="124" t="s">
        <v>620</v>
      </c>
      <c r="G627" s="304">
        <v>2008</v>
      </c>
      <c r="H627" s="312" t="s">
        <v>731</v>
      </c>
      <c r="I627" s="307" t="str">
        <f t="shared" si="38"/>
        <v>Pesado de Passageiros M3: III : Gasóleo : E4</v>
      </c>
      <c r="J627" s="125">
        <v>53</v>
      </c>
      <c r="K627" s="125">
        <v>2022</v>
      </c>
      <c r="L627" s="85">
        <v>12871.809999999998</v>
      </c>
      <c r="M627" s="85" t="s">
        <v>630</v>
      </c>
      <c r="N627" s="128">
        <v>35839</v>
      </c>
      <c r="O627" s="128">
        <f t="shared" si="39"/>
        <v>1899467</v>
      </c>
      <c r="P627" s="125" t="s">
        <v>1238</v>
      </c>
      <c r="Q627" s="85" t="s">
        <v>47</v>
      </c>
      <c r="R627" s="214" t="s">
        <v>1869</v>
      </c>
      <c r="S627" s="214" t="s">
        <v>1861</v>
      </c>
      <c r="T627" s="85" t="s">
        <v>1491</v>
      </c>
      <c r="U627" t="s">
        <v>1953</v>
      </c>
      <c r="V627" t="s">
        <v>2813</v>
      </c>
    </row>
    <row r="628" spans="1:22" ht="15.75" thickBot="1" x14ac:dyDescent="0.3">
      <c r="A628" s="82" t="s">
        <v>3278</v>
      </c>
      <c r="B628" s="82" t="str">
        <f t="shared" si="36"/>
        <v>Barraqueiro Transportes, S.A.</v>
      </c>
      <c r="C628" s="82" t="str">
        <f t="shared" si="37"/>
        <v>Barraqueiro Alugueres</v>
      </c>
      <c r="D628" s="83" t="s">
        <v>629</v>
      </c>
      <c r="E628" s="91" t="s">
        <v>1853</v>
      </c>
      <c r="F628" s="124" t="s">
        <v>620</v>
      </c>
      <c r="G628" s="304">
        <v>2008</v>
      </c>
      <c r="H628" s="312" t="s">
        <v>731</v>
      </c>
      <c r="I628" s="307" t="str">
        <f t="shared" si="38"/>
        <v>Pesado de Passageiros M3: III : Gasóleo : E4</v>
      </c>
      <c r="J628" s="125">
        <v>34</v>
      </c>
      <c r="K628" s="125">
        <v>2022</v>
      </c>
      <c r="L628" s="85">
        <v>2988.3590000000004</v>
      </c>
      <c r="M628" s="85" t="s">
        <v>630</v>
      </c>
      <c r="N628" s="128">
        <v>9078</v>
      </c>
      <c r="O628" s="128">
        <f t="shared" si="39"/>
        <v>308652</v>
      </c>
      <c r="P628" s="125" t="s">
        <v>1239</v>
      </c>
      <c r="Q628" s="85" t="s">
        <v>47</v>
      </c>
      <c r="R628" s="214" t="s">
        <v>1869</v>
      </c>
      <c r="S628" s="214" t="s">
        <v>1861</v>
      </c>
      <c r="T628" s="85" t="s">
        <v>1491</v>
      </c>
      <c r="U628" t="s">
        <v>1953</v>
      </c>
      <c r="V628" t="s">
        <v>2813</v>
      </c>
    </row>
    <row r="629" spans="1:22" ht="15.75" thickBot="1" x14ac:dyDescent="0.3">
      <c r="A629" s="82" t="s">
        <v>3278</v>
      </c>
      <c r="B629" s="82" t="str">
        <f t="shared" si="36"/>
        <v>Barraqueiro Transportes, S.A.</v>
      </c>
      <c r="C629" s="82" t="str">
        <f t="shared" si="37"/>
        <v>Barraqueiro Alugueres</v>
      </c>
      <c r="D629" s="83" t="s">
        <v>629</v>
      </c>
      <c r="E629" s="91" t="s">
        <v>1853</v>
      </c>
      <c r="F629" s="124" t="s">
        <v>620</v>
      </c>
      <c r="G629" s="304">
        <v>2008</v>
      </c>
      <c r="H629" s="312" t="s">
        <v>731</v>
      </c>
      <c r="I629" s="307" t="str">
        <f t="shared" si="38"/>
        <v>Pesado de Passageiros M3: III : Gasóleo : E4</v>
      </c>
      <c r="J629" s="125">
        <v>34</v>
      </c>
      <c r="K629" s="125">
        <v>2022</v>
      </c>
      <c r="L629" s="85">
        <v>320.91000000000003</v>
      </c>
      <c r="M629" s="85" t="s">
        <v>630</v>
      </c>
      <c r="N629" s="128">
        <v>1072</v>
      </c>
      <c r="O629" s="128">
        <f t="shared" si="39"/>
        <v>36448</v>
      </c>
      <c r="P629" s="125" t="s">
        <v>1240</v>
      </c>
      <c r="Q629" s="85" t="s">
        <v>47</v>
      </c>
      <c r="R629" s="214" t="s">
        <v>1869</v>
      </c>
      <c r="S629" s="214" t="s">
        <v>1861</v>
      </c>
      <c r="T629" s="85" t="s">
        <v>1491</v>
      </c>
      <c r="U629" t="s">
        <v>1953</v>
      </c>
      <c r="V629" t="s">
        <v>2813</v>
      </c>
    </row>
    <row r="630" spans="1:22" ht="15.75" thickBot="1" x14ac:dyDescent="0.3">
      <c r="A630" s="82" t="s">
        <v>3278</v>
      </c>
      <c r="B630" s="82" t="str">
        <f t="shared" si="36"/>
        <v>Barraqueiro Transportes, S.A.</v>
      </c>
      <c r="C630" s="82" t="str">
        <f t="shared" si="37"/>
        <v>Barraqueiro Alugueres</v>
      </c>
      <c r="D630" s="83" t="s">
        <v>629</v>
      </c>
      <c r="E630" s="91" t="s">
        <v>1853</v>
      </c>
      <c r="F630" s="124" t="s">
        <v>620</v>
      </c>
      <c r="G630" s="304">
        <v>2008</v>
      </c>
      <c r="H630" s="312" t="s">
        <v>731</v>
      </c>
      <c r="I630" s="307" t="str">
        <f t="shared" si="38"/>
        <v>Pesado de Passageiros M3: III : Gasóleo : E4</v>
      </c>
      <c r="J630" s="125">
        <v>25</v>
      </c>
      <c r="K630" s="125">
        <v>2022</v>
      </c>
      <c r="L630" s="85">
        <v>0</v>
      </c>
      <c r="M630" s="85" t="s">
        <v>630</v>
      </c>
      <c r="N630" s="128">
        <v>0</v>
      </c>
      <c r="O630" s="128">
        <f t="shared" si="39"/>
        <v>0</v>
      </c>
      <c r="P630" s="125" t="s">
        <v>1241</v>
      </c>
      <c r="Q630" s="85" t="s">
        <v>47</v>
      </c>
      <c r="R630" s="214" t="s">
        <v>1869</v>
      </c>
      <c r="S630" s="214" t="s">
        <v>1861</v>
      </c>
      <c r="T630" s="85" t="s">
        <v>1491</v>
      </c>
      <c r="U630" t="s">
        <v>1953</v>
      </c>
      <c r="V630" t="s">
        <v>2813</v>
      </c>
    </row>
    <row r="631" spans="1:22" ht="15.75" thickBot="1" x14ac:dyDescent="0.3">
      <c r="A631" s="82" t="s">
        <v>3278</v>
      </c>
      <c r="B631" s="82" t="str">
        <f t="shared" si="36"/>
        <v>Barraqueiro Transportes, S.A.</v>
      </c>
      <c r="C631" s="82" t="str">
        <f t="shared" si="37"/>
        <v>Barraqueiro Alugueres</v>
      </c>
      <c r="D631" s="83" t="s">
        <v>629</v>
      </c>
      <c r="E631" s="91" t="s">
        <v>1853</v>
      </c>
      <c r="F631" s="124" t="s">
        <v>620</v>
      </c>
      <c r="G631" s="304">
        <v>2008</v>
      </c>
      <c r="H631" s="312" t="s">
        <v>731</v>
      </c>
      <c r="I631" s="307" t="str">
        <f t="shared" si="38"/>
        <v>Pesado de Passageiros M3: III : Gasóleo : E4</v>
      </c>
      <c r="J631" s="125">
        <v>25</v>
      </c>
      <c r="K631" s="125">
        <v>2022</v>
      </c>
      <c r="L631" s="85">
        <v>0</v>
      </c>
      <c r="M631" s="85" t="s">
        <v>630</v>
      </c>
      <c r="N631" s="128">
        <v>0</v>
      </c>
      <c r="O631" s="128">
        <f t="shared" si="39"/>
        <v>0</v>
      </c>
      <c r="P631" s="125" t="s">
        <v>1242</v>
      </c>
      <c r="Q631" s="85" t="s">
        <v>47</v>
      </c>
      <c r="R631" s="214" t="s">
        <v>1869</v>
      </c>
      <c r="S631" s="214" t="s">
        <v>1861</v>
      </c>
      <c r="T631" s="85" t="s">
        <v>1491</v>
      </c>
      <c r="U631" t="s">
        <v>1953</v>
      </c>
      <c r="V631" t="s">
        <v>2813</v>
      </c>
    </row>
    <row r="632" spans="1:22" ht="15.75" thickBot="1" x14ac:dyDescent="0.3">
      <c r="A632" s="82" t="s">
        <v>3278</v>
      </c>
      <c r="B632" s="82" t="str">
        <f t="shared" si="36"/>
        <v>Barraqueiro Transportes, S.A.</v>
      </c>
      <c r="C632" s="82" t="str">
        <f t="shared" si="37"/>
        <v>Barraqueiro Alugueres</v>
      </c>
      <c r="D632" s="83" t="s">
        <v>629</v>
      </c>
      <c r="E632" s="91" t="s">
        <v>1853</v>
      </c>
      <c r="F632" s="124" t="s">
        <v>620</v>
      </c>
      <c r="G632" s="304">
        <v>2008</v>
      </c>
      <c r="H632" s="312" t="s">
        <v>731</v>
      </c>
      <c r="I632" s="307" t="str">
        <f t="shared" si="38"/>
        <v>Pesado de Passageiros M3: III : Gasóleo : E4</v>
      </c>
      <c r="J632" s="125">
        <v>25</v>
      </c>
      <c r="K632" s="125">
        <v>2022</v>
      </c>
      <c r="L632" s="85">
        <v>0</v>
      </c>
      <c r="M632" s="85" t="s">
        <v>630</v>
      </c>
      <c r="N632" s="128">
        <v>0</v>
      </c>
      <c r="O632" s="128">
        <f t="shared" si="39"/>
        <v>0</v>
      </c>
      <c r="P632" s="125" t="s">
        <v>1243</v>
      </c>
      <c r="Q632" s="85" t="s">
        <v>47</v>
      </c>
      <c r="R632" s="214" t="s">
        <v>1869</v>
      </c>
      <c r="S632" s="214" t="s">
        <v>1861</v>
      </c>
      <c r="T632" s="85" t="s">
        <v>1491</v>
      </c>
      <c r="U632" t="s">
        <v>1953</v>
      </c>
      <c r="V632" t="s">
        <v>2813</v>
      </c>
    </row>
    <row r="633" spans="1:22" ht="15.75" thickBot="1" x14ac:dyDescent="0.3">
      <c r="A633" s="82" t="s">
        <v>3278</v>
      </c>
      <c r="B633" s="82" t="str">
        <f t="shared" si="36"/>
        <v>Barraqueiro Transportes, S.A.</v>
      </c>
      <c r="C633" s="82" t="str">
        <f t="shared" si="37"/>
        <v>Barraqueiro Alugueres</v>
      </c>
      <c r="D633" s="83" t="s">
        <v>629</v>
      </c>
      <c r="E633" s="91" t="s">
        <v>1853</v>
      </c>
      <c r="F633" s="124" t="s">
        <v>620</v>
      </c>
      <c r="G633" s="304">
        <v>2008</v>
      </c>
      <c r="H633" s="312" t="s">
        <v>731</v>
      </c>
      <c r="I633" s="307" t="str">
        <f t="shared" si="38"/>
        <v>Pesado de Passageiros M3: III : Gasóleo : E4</v>
      </c>
      <c r="J633" s="125">
        <v>53</v>
      </c>
      <c r="K633" s="125">
        <v>2022</v>
      </c>
      <c r="L633" s="85">
        <v>15116.002</v>
      </c>
      <c r="M633" s="85" t="s">
        <v>630</v>
      </c>
      <c r="N633" s="128">
        <v>42549</v>
      </c>
      <c r="O633" s="128">
        <f t="shared" si="39"/>
        <v>2255097</v>
      </c>
      <c r="P633" s="125" t="s">
        <v>1244</v>
      </c>
      <c r="Q633" s="85" t="s">
        <v>47</v>
      </c>
      <c r="R633" s="214" t="s">
        <v>1869</v>
      </c>
      <c r="S633" s="214" t="s">
        <v>1861</v>
      </c>
      <c r="T633" s="85" t="s">
        <v>1491</v>
      </c>
      <c r="U633" t="s">
        <v>1953</v>
      </c>
      <c r="V633" t="s">
        <v>2813</v>
      </c>
    </row>
    <row r="634" spans="1:22" ht="15.75" thickBot="1" x14ac:dyDescent="0.3">
      <c r="A634" s="82" t="s">
        <v>3278</v>
      </c>
      <c r="B634" s="82" t="str">
        <f t="shared" si="36"/>
        <v>Barraqueiro Transportes, S.A.</v>
      </c>
      <c r="C634" s="82" t="str">
        <f t="shared" si="37"/>
        <v>Barraqueiro Alugueres</v>
      </c>
      <c r="D634" s="83" t="s">
        <v>629</v>
      </c>
      <c r="E634" s="91" t="s">
        <v>1853</v>
      </c>
      <c r="F634" s="124" t="s">
        <v>620</v>
      </c>
      <c r="G634" s="304">
        <v>2008</v>
      </c>
      <c r="H634" s="312" t="s">
        <v>731</v>
      </c>
      <c r="I634" s="307" t="str">
        <f t="shared" si="38"/>
        <v>Pesado de Passageiros M3: III : Gasóleo : E4</v>
      </c>
      <c r="J634" s="125">
        <v>20</v>
      </c>
      <c r="K634" s="125">
        <v>2022</v>
      </c>
      <c r="L634" s="85">
        <v>0</v>
      </c>
      <c r="M634" s="85" t="s">
        <v>630</v>
      </c>
      <c r="N634" s="128">
        <v>0</v>
      </c>
      <c r="O634" s="128">
        <f t="shared" si="39"/>
        <v>0</v>
      </c>
      <c r="P634" s="125" t="s">
        <v>1245</v>
      </c>
      <c r="Q634" s="85" t="s">
        <v>47</v>
      </c>
      <c r="R634" s="214" t="s">
        <v>1869</v>
      </c>
      <c r="S634" s="214" t="s">
        <v>1861</v>
      </c>
      <c r="T634" s="85" t="s">
        <v>1491</v>
      </c>
      <c r="U634" t="s">
        <v>1953</v>
      </c>
      <c r="V634" t="s">
        <v>2813</v>
      </c>
    </row>
    <row r="635" spans="1:22" ht="15.75" thickBot="1" x14ac:dyDescent="0.3">
      <c r="A635" s="82" t="s">
        <v>3278</v>
      </c>
      <c r="B635" s="82" t="str">
        <f t="shared" si="36"/>
        <v>Barraqueiro Transportes, S.A.</v>
      </c>
      <c r="C635" s="82" t="str">
        <f t="shared" si="37"/>
        <v>Barraqueiro Alugueres</v>
      </c>
      <c r="D635" s="83" t="s">
        <v>629</v>
      </c>
      <c r="E635" s="91" t="s">
        <v>1853</v>
      </c>
      <c r="F635" s="124" t="s">
        <v>620</v>
      </c>
      <c r="G635" s="304">
        <v>2008</v>
      </c>
      <c r="H635" s="312" t="s">
        <v>731</v>
      </c>
      <c r="I635" s="307" t="str">
        <f t="shared" si="38"/>
        <v>Pesado de Passageiros M3: III : Gasóleo : E4</v>
      </c>
      <c r="J635" s="125">
        <v>55</v>
      </c>
      <c r="K635" s="125">
        <v>2022</v>
      </c>
      <c r="L635" s="85">
        <v>12732.849</v>
      </c>
      <c r="M635" s="85" t="s">
        <v>630</v>
      </c>
      <c r="N635" s="128">
        <v>38546</v>
      </c>
      <c r="O635" s="128">
        <f t="shared" si="39"/>
        <v>2120030</v>
      </c>
      <c r="P635" s="125" t="s">
        <v>1246</v>
      </c>
      <c r="Q635" s="85" t="s">
        <v>47</v>
      </c>
      <c r="R635" s="214" t="s">
        <v>1869</v>
      </c>
      <c r="S635" s="214" t="s">
        <v>1861</v>
      </c>
      <c r="T635" s="85" t="s">
        <v>1491</v>
      </c>
      <c r="U635" t="s">
        <v>1953</v>
      </c>
      <c r="V635" t="s">
        <v>2813</v>
      </c>
    </row>
    <row r="636" spans="1:22" ht="15.75" thickBot="1" x14ac:dyDescent="0.3">
      <c r="A636" s="82" t="s">
        <v>3278</v>
      </c>
      <c r="B636" s="82" t="str">
        <f t="shared" si="36"/>
        <v>Barraqueiro Transportes, S.A.</v>
      </c>
      <c r="C636" s="82" t="str">
        <f t="shared" si="37"/>
        <v>Barraqueiro Alugueres</v>
      </c>
      <c r="D636" s="83" t="s">
        <v>629</v>
      </c>
      <c r="E636" s="91" t="s">
        <v>1853</v>
      </c>
      <c r="F636" s="124" t="s">
        <v>620</v>
      </c>
      <c r="G636" s="304">
        <v>2008</v>
      </c>
      <c r="H636" s="312" t="s">
        <v>731</v>
      </c>
      <c r="I636" s="307" t="str">
        <f t="shared" si="38"/>
        <v>Pesado de Passageiros M3: III : Gasóleo : E4</v>
      </c>
      <c r="J636" s="125">
        <v>60</v>
      </c>
      <c r="K636" s="125">
        <v>2022</v>
      </c>
      <c r="L636" s="85">
        <v>16346.691999999999</v>
      </c>
      <c r="M636" s="85" t="s">
        <v>630</v>
      </c>
      <c r="N636" s="128">
        <v>44033</v>
      </c>
      <c r="O636" s="128">
        <f t="shared" si="39"/>
        <v>2641980</v>
      </c>
      <c r="P636" s="125" t="s">
        <v>1247</v>
      </c>
      <c r="Q636" s="85" t="s">
        <v>47</v>
      </c>
      <c r="R636" s="214" t="s">
        <v>1869</v>
      </c>
      <c r="S636" s="214" t="s">
        <v>1861</v>
      </c>
      <c r="T636" s="85" t="s">
        <v>1491</v>
      </c>
      <c r="U636" t="s">
        <v>1953</v>
      </c>
      <c r="V636" t="s">
        <v>2813</v>
      </c>
    </row>
    <row r="637" spans="1:22" ht="15.75" thickBot="1" x14ac:dyDescent="0.3">
      <c r="A637" s="82" t="s">
        <v>3278</v>
      </c>
      <c r="B637" s="82" t="str">
        <f t="shared" si="36"/>
        <v>Barraqueiro Transportes, S.A.</v>
      </c>
      <c r="C637" s="82" t="str">
        <f t="shared" si="37"/>
        <v>Barraqueiro Alugueres</v>
      </c>
      <c r="D637" s="83" t="s">
        <v>629</v>
      </c>
      <c r="E637" s="91" t="s">
        <v>1853</v>
      </c>
      <c r="F637" s="124" t="s">
        <v>620</v>
      </c>
      <c r="G637" s="304">
        <v>2015</v>
      </c>
      <c r="H637" s="312" t="s">
        <v>733</v>
      </c>
      <c r="I637" s="307" t="str">
        <f t="shared" si="38"/>
        <v>Pesado de Passageiros M3: III : Gasóleo : E6</v>
      </c>
      <c r="J637" s="125">
        <v>91</v>
      </c>
      <c r="K637" s="125">
        <v>2022</v>
      </c>
      <c r="L637" s="85">
        <v>2392.14</v>
      </c>
      <c r="M637" s="85" t="s">
        <v>630</v>
      </c>
      <c r="N637" s="128">
        <v>9477</v>
      </c>
      <c r="O637" s="128">
        <f t="shared" si="39"/>
        <v>862407</v>
      </c>
      <c r="P637" s="125" t="s">
        <v>1248</v>
      </c>
      <c r="Q637" s="85" t="s">
        <v>47</v>
      </c>
      <c r="R637" s="214" t="s">
        <v>1869</v>
      </c>
      <c r="S637" s="214" t="s">
        <v>1861</v>
      </c>
      <c r="T637" s="85" t="s">
        <v>1491</v>
      </c>
      <c r="U637" t="s">
        <v>1953</v>
      </c>
      <c r="V637" t="s">
        <v>2813</v>
      </c>
    </row>
    <row r="638" spans="1:22" ht="15.75" thickBot="1" x14ac:dyDescent="0.3">
      <c r="A638" s="82" t="s">
        <v>3278</v>
      </c>
      <c r="B638" s="82" t="str">
        <f t="shared" si="36"/>
        <v>Barraqueiro Transportes, S.A.</v>
      </c>
      <c r="C638" s="82" t="str">
        <f t="shared" si="37"/>
        <v>Barraqueiro Alugueres</v>
      </c>
      <c r="D638" s="83" t="s">
        <v>629</v>
      </c>
      <c r="E638" s="91" t="s">
        <v>1853</v>
      </c>
      <c r="F638" s="124" t="s">
        <v>620</v>
      </c>
      <c r="G638" s="304">
        <v>2015</v>
      </c>
      <c r="H638" s="312" t="s">
        <v>733</v>
      </c>
      <c r="I638" s="307" t="str">
        <f t="shared" si="38"/>
        <v>Pesado de Passageiros M3: III : Gasóleo : E6</v>
      </c>
      <c r="J638" s="125">
        <v>91</v>
      </c>
      <c r="K638" s="125">
        <v>2022</v>
      </c>
      <c r="L638" s="85">
        <v>2179.8999999999996</v>
      </c>
      <c r="M638" s="85" t="s">
        <v>630</v>
      </c>
      <c r="N638" s="128">
        <v>7180</v>
      </c>
      <c r="O638" s="128">
        <f t="shared" si="39"/>
        <v>653380</v>
      </c>
      <c r="P638" s="125" t="s">
        <v>1249</v>
      </c>
      <c r="Q638" s="85" t="s">
        <v>47</v>
      </c>
      <c r="R638" s="214" t="s">
        <v>1869</v>
      </c>
      <c r="S638" s="214" t="s">
        <v>1861</v>
      </c>
      <c r="T638" s="85" t="s">
        <v>1491</v>
      </c>
      <c r="U638" t="s">
        <v>1953</v>
      </c>
      <c r="V638" t="s">
        <v>2813</v>
      </c>
    </row>
    <row r="639" spans="1:22" ht="15.75" thickBot="1" x14ac:dyDescent="0.3">
      <c r="A639" s="82" t="s">
        <v>3278</v>
      </c>
      <c r="B639" s="82" t="str">
        <f t="shared" si="36"/>
        <v>Barraqueiro Transportes, S.A.</v>
      </c>
      <c r="C639" s="82" t="str">
        <f t="shared" si="37"/>
        <v>Barraqueiro Alugueres</v>
      </c>
      <c r="D639" s="83" t="s">
        <v>629</v>
      </c>
      <c r="E639" s="91" t="s">
        <v>1853</v>
      </c>
      <c r="F639" s="124" t="s">
        <v>620</v>
      </c>
      <c r="G639" s="304">
        <v>2015</v>
      </c>
      <c r="H639" s="312" t="s">
        <v>733</v>
      </c>
      <c r="I639" s="307" t="str">
        <f t="shared" si="38"/>
        <v>Pesado de Passageiros M3: III : Gasóleo : E6</v>
      </c>
      <c r="J639" s="125">
        <v>91</v>
      </c>
      <c r="K639" s="125">
        <v>2022</v>
      </c>
      <c r="L639" s="85">
        <v>2777.24</v>
      </c>
      <c r="M639" s="85" t="s">
        <v>630</v>
      </c>
      <c r="N639" s="128">
        <v>10680</v>
      </c>
      <c r="O639" s="128">
        <f t="shared" si="39"/>
        <v>971880</v>
      </c>
      <c r="P639" s="125" t="s">
        <v>1250</v>
      </c>
      <c r="Q639" s="85" t="s">
        <v>47</v>
      </c>
      <c r="R639" s="214" t="s">
        <v>1869</v>
      </c>
      <c r="S639" s="214" t="s">
        <v>1861</v>
      </c>
      <c r="T639" s="85" t="s">
        <v>1491</v>
      </c>
      <c r="U639" t="s">
        <v>1953</v>
      </c>
      <c r="V639" t="s">
        <v>2813</v>
      </c>
    </row>
    <row r="640" spans="1:22" ht="15.75" thickBot="1" x14ac:dyDescent="0.3">
      <c r="A640" s="82" t="s">
        <v>3278</v>
      </c>
      <c r="B640" s="82" t="str">
        <f t="shared" si="36"/>
        <v>Barraqueiro Transportes, S.A.</v>
      </c>
      <c r="C640" s="82" t="str">
        <f t="shared" si="37"/>
        <v>Barraqueiro Alugueres</v>
      </c>
      <c r="D640" s="83" t="s">
        <v>629</v>
      </c>
      <c r="E640" s="91" t="s">
        <v>1853</v>
      </c>
      <c r="F640" s="124" t="s">
        <v>620</v>
      </c>
      <c r="G640" s="304">
        <v>2015</v>
      </c>
      <c r="H640" s="312" t="s">
        <v>733</v>
      </c>
      <c r="I640" s="307" t="str">
        <f t="shared" si="38"/>
        <v>Pesado de Passageiros M3: III : Gasóleo : E6</v>
      </c>
      <c r="J640" s="125">
        <v>91</v>
      </c>
      <c r="K640" s="125">
        <v>2022</v>
      </c>
      <c r="L640" s="85">
        <v>2589.5600000000004</v>
      </c>
      <c r="M640" s="85" t="s">
        <v>630</v>
      </c>
      <c r="N640" s="128">
        <v>10422</v>
      </c>
      <c r="O640" s="128">
        <f t="shared" si="39"/>
        <v>948402</v>
      </c>
      <c r="P640" s="125" t="s">
        <v>1251</v>
      </c>
      <c r="Q640" s="85" t="s">
        <v>47</v>
      </c>
      <c r="R640" s="214" t="s">
        <v>1869</v>
      </c>
      <c r="S640" s="214" t="s">
        <v>1861</v>
      </c>
      <c r="T640" s="85" t="s">
        <v>1491</v>
      </c>
      <c r="U640" t="s">
        <v>1953</v>
      </c>
      <c r="V640" t="s">
        <v>2813</v>
      </c>
    </row>
    <row r="641" spans="1:22" ht="15.75" thickBot="1" x14ac:dyDescent="0.3">
      <c r="A641" s="82" t="s">
        <v>3278</v>
      </c>
      <c r="B641" s="82" t="str">
        <f t="shared" si="36"/>
        <v>Barraqueiro Transportes, S.A.</v>
      </c>
      <c r="C641" s="82" t="str">
        <f t="shared" si="37"/>
        <v>Barraqueiro Alugueres</v>
      </c>
      <c r="D641" s="83" t="s">
        <v>629</v>
      </c>
      <c r="E641" s="91" t="s">
        <v>1853</v>
      </c>
      <c r="F641" s="124" t="s">
        <v>620</v>
      </c>
      <c r="G641" s="304">
        <v>2015</v>
      </c>
      <c r="H641" s="312" t="s">
        <v>733</v>
      </c>
      <c r="I641" s="307" t="str">
        <f t="shared" si="38"/>
        <v>Pesado de Passageiros M3: III : Gasóleo : E6</v>
      </c>
      <c r="J641" s="125">
        <v>91</v>
      </c>
      <c r="K641" s="125">
        <v>2022</v>
      </c>
      <c r="L641" s="85">
        <v>3780.1800000000003</v>
      </c>
      <c r="M641" s="85" t="s">
        <v>630</v>
      </c>
      <c r="N641" s="128">
        <v>14239</v>
      </c>
      <c r="O641" s="128">
        <f t="shared" si="39"/>
        <v>1295749</v>
      </c>
      <c r="P641" s="125" t="s">
        <v>1252</v>
      </c>
      <c r="Q641" s="85" t="s">
        <v>47</v>
      </c>
      <c r="R641" s="214" t="s">
        <v>1869</v>
      </c>
      <c r="S641" s="214" t="s">
        <v>1861</v>
      </c>
      <c r="T641" s="85" t="s">
        <v>1491</v>
      </c>
      <c r="U641" t="s">
        <v>1953</v>
      </c>
      <c r="V641" t="s">
        <v>2813</v>
      </c>
    </row>
    <row r="642" spans="1:22" ht="15.75" thickBot="1" x14ac:dyDescent="0.3">
      <c r="A642" s="82" t="s">
        <v>3278</v>
      </c>
      <c r="B642" s="82" t="str">
        <f t="shared" si="36"/>
        <v>Barraqueiro Transportes, S.A.</v>
      </c>
      <c r="C642" s="82" t="str">
        <f t="shared" si="37"/>
        <v>Barraqueiro Alugueres</v>
      </c>
      <c r="D642" s="83" t="s">
        <v>629</v>
      </c>
      <c r="E642" s="91" t="s">
        <v>1853</v>
      </c>
      <c r="F642" s="124" t="s">
        <v>620</v>
      </c>
      <c r="G642" s="304">
        <v>2015</v>
      </c>
      <c r="H642" s="312" t="s">
        <v>733</v>
      </c>
      <c r="I642" s="307" t="str">
        <f t="shared" si="38"/>
        <v>Pesado de Passageiros M3: III : Gasóleo : E6</v>
      </c>
      <c r="J642" s="125">
        <v>91</v>
      </c>
      <c r="K642" s="125">
        <v>2022</v>
      </c>
      <c r="L642" s="85">
        <v>1765.92</v>
      </c>
      <c r="M642" s="85" t="s">
        <v>630</v>
      </c>
      <c r="N642" s="128">
        <v>6116</v>
      </c>
      <c r="O642" s="128">
        <f t="shared" si="39"/>
        <v>556556</v>
      </c>
      <c r="P642" s="125" t="s">
        <v>1253</v>
      </c>
      <c r="Q642" s="85" t="s">
        <v>47</v>
      </c>
      <c r="R642" s="214" t="s">
        <v>1869</v>
      </c>
      <c r="S642" s="214" t="s">
        <v>1861</v>
      </c>
      <c r="T642" s="85" t="s">
        <v>1491</v>
      </c>
      <c r="U642" t="s">
        <v>1953</v>
      </c>
      <c r="V642" t="s">
        <v>2813</v>
      </c>
    </row>
    <row r="643" spans="1:22" ht="15.75" thickBot="1" x14ac:dyDescent="0.3">
      <c r="A643" s="82" t="s">
        <v>3278</v>
      </c>
      <c r="B643" s="82" t="str">
        <f t="shared" ref="B643:B706" si="40">LEFT(A643,IFERROR(FIND(" - ",A643)-1,LEN(A643)))</f>
        <v>Barraqueiro Transportes, S.A.</v>
      </c>
      <c r="C643" s="82" t="str">
        <f t="shared" si="37"/>
        <v>Barraqueiro Alugueres</v>
      </c>
      <c r="D643" s="83" t="s">
        <v>629</v>
      </c>
      <c r="E643" s="91" t="s">
        <v>1853</v>
      </c>
      <c r="F643" s="124" t="s">
        <v>620</v>
      </c>
      <c r="G643" s="304">
        <v>2004</v>
      </c>
      <c r="H643" s="312" t="s">
        <v>732</v>
      </c>
      <c r="I643" s="307" t="str">
        <f t="shared" si="38"/>
        <v>Pesado de Passageiros M3: III : Gasóleo : E3</v>
      </c>
      <c r="J643" s="125">
        <v>19</v>
      </c>
      <c r="K643" s="125">
        <v>2022</v>
      </c>
      <c r="L643" s="85">
        <v>0</v>
      </c>
      <c r="M643" s="85" t="s">
        <v>630</v>
      </c>
      <c r="N643" s="128">
        <v>0</v>
      </c>
      <c r="O643" s="128">
        <f t="shared" si="39"/>
        <v>0</v>
      </c>
      <c r="P643" s="125" t="s">
        <v>1254</v>
      </c>
      <c r="Q643" s="85" t="s">
        <v>47</v>
      </c>
      <c r="R643" s="214" t="s">
        <v>1869</v>
      </c>
      <c r="S643" s="214" t="s">
        <v>1861</v>
      </c>
      <c r="T643" s="85" t="s">
        <v>1491</v>
      </c>
      <c r="U643" t="s">
        <v>1953</v>
      </c>
      <c r="V643" t="s">
        <v>2813</v>
      </c>
    </row>
    <row r="644" spans="1:22" ht="15.75" thickBot="1" x14ac:dyDescent="0.3">
      <c r="A644" s="82" t="s">
        <v>3278</v>
      </c>
      <c r="B644" s="82" t="str">
        <f t="shared" si="40"/>
        <v>Barraqueiro Transportes, S.A.</v>
      </c>
      <c r="C644" s="82" t="str">
        <f t="shared" ref="C644:C707" si="41">IF(A644=B644,B644,RIGHT(A644,LEN(A644)-LEN(B644)-3))</f>
        <v>Barraqueiro Alugueres</v>
      </c>
      <c r="D644" s="83" t="s">
        <v>629</v>
      </c>
      <c r="E644" s="91" t="s">
        <v>1853</v>
      </c>
      <c r="F644" s="124" t="s">
        <v>620</v>
      </c>
      <c r="G644" s="304">
        <v>2004</v>
      </c>
      <c r="H644" s="312" t="s">
        <v>732</v>
      </c>
      <c r="I644" s="307" t="str">
        <f t="shared" ref="I644:I707" si="42">D644&amp;": "&amp;E644&amp;" : "&amp;F644&amp;" : "&amp;H644</f>
        <v>Pesado de Passageiros M3: III : Gasóleo : E3</v>
      </c>
      <c r="J644" s="125">
        <v>19</v>
      </c>
      <c r="K644" s="125">
        <v>2022</v>
      </c>
      <c r="L644" s="85">
        <v>0</v>
      </c>
      <c r="M644" s="85" t="s">
        <v>630</v>
      </c>
      <c r="N644" s="128">
        <v>0</v>
      </c>
      <c r="O644" s="128">
        <f t="shared" ref="O644:O707" si="43">N644*J644</f>
        <v>0</v>
      </c>
      <c r="P644" s="125" t="s">
        <v>1255</v>
      </c>
      <c r="Q644" s="85" t="s">
        <v>47</v>
      </c>
      <c r="R644" s="214" t="s">
        <v>1869</v>
      </c>
      <c r="S644" s="214" t="s">
        <v>1861</v>
      </c>
      <c r="T644" s="85" t="s">
        <v>1491</v>
      </c>
      <c r="U644" t="s">
        <v>1953</v>
      </c>
      <c r="V644" t="s">
        <v>2813</v>
      </c>
    </row>
    <row r="645" spans="1:22" ht="15.75" thickBot="1" x14ac:dyDescent="0.3">
      <c r="A645" s="82" t="s">
        <v>3278</v>
      </c>
      <c r="B645" s="82" t="str">
        <f t="shared" si="40"/>
        <v>Barraqueiro Transportes, S.A.</v>
      </c>
      <c r="C645" s="82" t="str">
        <f t="shared" si="41"/>
        <v>Barraqueiro Alugueres</v>
      </c>
      <c r="D645" s="83" t="s">
        <v>629</v>
      </c>
      <c r="E645" s="91" t="s">
        <v>1853</v>
      </c>
      <c r="F645" s="124" t="s">
        <v>620</v>
      </c>
      <c r="G645" s="304">
        <v>2009</v>
      </c>
      <c r="H645" s="312" t="s">
        <v>734</v>
      </c>
      <c r="I645" s="307" t="str">
        <f t="shared" si="42"/>
        <v>Pesado de Passageiros M3: III : Gasóleo : E5</v>
      </c>
      <c r="J645" s="125">
        <v>34</v>
      </c>
      <c r="K645" s="125">
        <v>2022</v>
      </c>
      <c r="L645" s="85">
        <v>6488.0889999999999</v>
      </c>
      <c r="M645" s="85" t="s">
        <v>630</v>
      </c>
      <c r="N645" s="128">
        <v>21609</v>
      </c>
      <c r="O645" s="128">
        <f t="shared" si="43"/>
        <v>734706</v>
      </c>
      <c r="P645" s="125" t="s">
        <v>1256</v>
      </c>
      <c r="Q645" s="85" t="s">
        <v>47</v>
      </c>
      <c r="R645" s="214" t="s">
        <v>1869</v>
      </c>
      <c r="S645" s="214" t="s">
        <v>1861</v>
      </c>
      <c r="T645" s="85" t="s">
        <v>1491</v>
      </c>
      <c r="U645" t="s">
        <v>1953</v>
      </c>
      <c r="V645" t="s">
        <v>2813</v>
      </c>
    </row>
    <row r="646" spans="1:22" ht="15.75" thickBot="1" x14ac:dyDescent="0.3">
      <c r="A646" s="82" t="s">
        <v>3278</v>
      </c>
      <c r="B646" s="82" t="str">
        <f t="shared" si="40"/>
        <v>Barraqueiro Transportes, S.A.</v>
      </c>
      <c r="C646" s="82" t="str">
        <f t="shared" si="41"/>
        <v>Barraqueiro Alugueres</v>
      </c>
      <c r="D646" s="83" t="s">
        <v>629</v>
      </c>
      <c r="E646" s="91" t="s">
        <v>1853</v>
      </c>
      <c r="F646" s="124" t="s">
        <v>620</v>
      </c>
      <c r="G646" s="304">
        <v>2009</v>
      </c>
      <c r="H646" s="312" t="s">
        <v>734</v>
      </c>
      <c r="I646" s="307" t="str">
        <f t="shared" si="42"/>
        <v>Pesado de Passageiros M3: III : Gasóleo : E5</v>
      </c>
      <c r="J646" s="125">
        <v>34</v>
      </c>
      <c r="K646" s="125">
        <v>2022</v>
      </c>
      <c r="L646" s="85">
        <v>3798.57</v>
      </c>
      <c r="M646" s="85" t="s">
        <v>630</v>
      </c>
      <c r="N646" s="128">
        <v>12816</v>
      </c>
      <c r="O646" s="128">
        <f t="shared" si="43"/>
        <v>435744</v>
      </c>
      <c r="P646" s="125" t="s">
        <v>1257</v>
      </c>
      <c r="Q646" s="85" t="s">
        <v>47</v>
      </c>
      <c r="R646" s="214" t="s">
        <v>1869</v>
      </c>
      <c r="S646" s="214" t="s">
        <v>1861</v>
      </c>
      <c r="T646" s="85" t="s">
        <v>1491</v>
      </c>
      <c r="U646" t="s">
        <v>1953</v>
      </c>
      <c r="V646" t="s">
        <v>2813</v>
      </c>
    </row>
    <row r="647" spans="1:22" ht="15.75" thickBot="1" x14ac:dyDescent="0.3">
      <c r="A647" s="82" t="s">
        <v>3278</v>
      </c>
      <c r="B647" s="82" t="str">
        <f t="shared" si="40"/>
        <v>Barraqueiro Transportes, S.A.</v>
      </c>
      <c r="C647" s="82" t="str">
        <f t="shared" si="41"/>
        <v>Barraqueiro Alugueres</v>
      </c>
      <c r="D647" s="83" t="s">
        <v>629</v>
      </c>
      <c r="E647" s="91" t="s">
        <v>1853</v>
      </c>
      <c r="F647" s="124" t="s">
        <v>620</v>
      </c>
      <c r="G647" s="304">
        <v>2009</v>
      </c>
      <c r="H647" s="312" t="s">
        <v>734</v>
      </c>
      <c r="I647" s="307" t="str">
        <f t="shared" si="42"/>
        <v>Pesado de Passageiros M3: III : Gasóleo : E5</v>
      </c>
      <c r="J647" s="125">
        <v>34</v>
      </c>
      <c r="K647" s="125">
        <v>2022</v>
      </c>
      <c r="L647" s="85">
        <v>6392.107</v>
      </c>
      <c r="M647" s="85" t="s">
        <v>630</v>
      </c>
      <c r="N647" s="128">
        <v>20913</v>
      </c>
      <c r="O647" s="128">
        <f t="shared" si="43"/>
        <v>711042</v>
      </c>
      <c r="P647" s="125" t="s">
        <v>1258</v>
      </c>
      <c r="Q647" s="85" t="s">
        <v>47</v>
      </c>
      <c r="R647" s="214" t="s">
        <v>1869</v>
      </c>
      <c r="S647" s="214" t="s">
        <v>1861</v>
      </c>
      <c r="T647" s="85" t="s">
        <v>1491</v>
      </c>
      <c r="U647" t="s">
        <v>1953</v>
      </c>
      <c r="V647" t="s">
        <v>2813</v>
      </c>
    </row>
    <row r="648" spans="1:22" ht="15.75" thickBot="1" x14ac:dyDescent="0.3">
      <c r="A648" s="82" t="s">
        <v>3278</v>
      </c>
      <c r="B648" s="82" t="str">
        <f t="shared" si="40"/>
        <v>Barraqueiro Transportes, S.A.</v>
      </c>
      <c r="C648" s="82" t="str">
        <f t="shared" si="41"/>
        <v>Barraqueiro Alugueres</v>
      </c>
      <c r="D648" s="83" t="s">
        <v>629</v>
      </c>
      <c r="E648" s="91" t="s">
        <v>1853</v>
      </c>
      <c r="F648" s="124" t="s">
        <v>620</v>
      </c>
      <c r="G648" s="304">
        <v>2009</v>
      </c>
      <c r="H648" s="312" t="s">
        <v>734</v>
      </c>
      <c r="I648" s="307" t="str">
        <f t="shared" si="42"/>
        <v>Pesado de Passageiros M3: III : Gasóleo : E5</v>
      </c>
      <c r="J648" s="125">
        <v>24</v>
      </c>
      <c r="K648" s="125">
        <v>2022</v>
      </c>
      <c r="L648" s="85">
        <v>1237.152</v>
      </c>
      <c r="M648" s="85" t="s">
        <v>630</v>
      </c>
      <c r="N648" s="128">
        <v>6395</v>
      </c>
      <c r="O648" s="128">
        <f t="shared" si="43"/>
        <v>153480</v>
      </c>
      <c r="P648" s="125" t="s">
        <v>1259</v>
      </c>
      <c r="Q648" s="85" t="s">
        <v>47</v>
      </c>
      <c r="R648" s="214" t="s">
        <v>1869</v>
      </c>
      <c r="S648" s="214" t="s">
        <v>1861</v>
      </c>
      <c r="T648" s="85" t="s">
        <v>1491</v>
      </c>
      <c r="U648" t="s">
        <v>1953</v>
      </c>
      <c r="V648" t="s">
        <v>2813</v>
      </c>
    </row>
    <row r="649" spans="1:22" ht="15.75" thickBot="1" x14ac:dyDescent="0.3">
      <c r="A649" s="82" t="s">
        <v>3278</v>
      </c>
      <c r="B649" s="82" t="str">
        <f t="shared" si="40"/>
        <v>Barraqueiro Transportes, S.A.</v>
      </c>
      <c r="C649" s="82" t="str">
        <f t="shared" si="41"/>
        <v>Barraqueiro Alugueres</v>
      </c>
      <c r="D649" s="83" t="s">
        <v>629</v>
      </c>
      <c r="E649" s="91" t="s">
        <v>1853</v>
      </c>
      <c r="F649" s="124" t="s">
        <v>620</v>
      </c>
      <c r="G649" s="304">
        <v>2009</v>
      </c>
      <c r="H649" s="312" t="s">
        <v>734</v>
      </c>
      <c r="I649" s="307" t="str">
        <f t="shared" si="42"/>
        <v>Pesado de Passageiros M3: III : Gasóleo : E5</v>
      </c>
      <c r="J649" s="125">
        <v>24</v>
      </c>
      <c r="K649" s="125">
        <v>2022</v>
      </c>
      <c r="L649" s="85">
        <v>2074.7089999999998</v>
      </c>
      <c r="M649" s="85" t="s">
        <v>630</v>
      </c>
      <c r="N649" s="128">
        <v>10343</v>
      </c>
      <c r="O649" s="128">
        <f t="shared" si="43"/>
        <v>248232</v>
      </c>
      <c r="P649" s="125" t="s">
        <v>1260</v>
      </c>
      <c r="Q649" s="85" t="s">
        <v>47</v>
      </c>
      <c r="R649" s="214" t="s">
        <v>1869</v>
      </c>
      <c r="S649" s="214" t="s">
        <v>1861</v>
      </c>
      <c r="T649" s="85" t="s">
        <v>1491</v>
      </c>
      <c r="U649" t="s">
        <v>1953</v>
      </c>
      <c r="V649" t="s">
        <v>2813</v>
      </c>
    </row>
    <row r="650" spans="1:22" ht="15.75" thickBot="1" x14ac:dyDescent="0.3">
      <c r="A650" s="82" t="s">
        <v>3278</v>
      </c>
      <c r="B650" s="82" t="str">
        <f t="shared" si="40"/>
        <v>Barraqueiro Transportes, S.A.</v>
      </c>
      <c r="C650" s="82" t="str">
        <f t="shared" si="41"/>
        <v>Barraqueiro Alugueres</v>
      </c>
      <c r="D650" s="83" t="s">
        <v>629</v>
      </c>
      <c r="E650" s="91" t="s">
        <v>1853</v>
      </c>
      <c r="F650" s="124" t="s">
        <v>620</v>
      </c>
      <c r="G650" s="304">
        <v>2009</v>
      </c>
      <c r="H650" s="312" t="s">
        <v>734</v>
      </c>
      <c r="I650" s="307" t="str">
        <f t="shared" si="42"/>
        <v>Pesado de Passageiros M3: III : Gasóleo : E5</v>
      </c>
      <c r="J650" s="125">
        <v>69</v>
      </c>
      <c r="K650" s="125">
        <v>2022</v>
      </c>
      <c r="L650" s="85">
        <v>12088.854000000001</v>
      </c>
      <c r="M650" s="85" t="s">
        <v>630</v>
      </c>
      <c r="N650" s="128">
        <v>29124</v>
      </c>
      <c r="O650" s="128">
        <f t="shared" si="43"/>
        <v>2009556</v>
      </c>
      <c r="P650" s="125" t="s">
        <v>1261</v>
      </c>
      <c r="Q650" s="85" t="s">
        <v>47</v>
      </c>
      <c r="R650" s="214" t="s">
        <v>1869</v>
      </c>
      <c r="S650" s="214" t="s">
        <v>1861</v>
      </c>
      <c r="T650" s="85" t="s">
        <v>1491</v>
      </c>
      <c r="U650" t="s">
        <v>1953</v>
      </c>
      <c r="V650" t="s">
        <v>2813</v>
      </c>
    </row>
    <row r="651" spans="1:22" ht="15.75" thickBot="1" x14ac:dyDescent="0.3">
      <c r="A651" s="82" t="s">
        <v>3278</v>
      </c>
      <c r="B651" s="82" t="str">
        <f t="shared" si="40"/>
        <v>Barraqueiro Transportes, S.A.</v>
      </c>
      <c r="C651" s="82" t="str">
        <f t="shared" si="41"/>
        <v>Barraqueiro Alugueres</v>
      </c>
      <c r="D651" s="83" t="s">
        <v>629</v>
      </c>
      <c r="E651" s="91" t="s">
        <v>1853</v>
      </c>
      <c r="F651" s="124" t="s">
        <v>620</v>
      </c>
      <c r="G651" s="304">
        <v>2009</v>
      </c>
      <c r="H651" s="312" t="s">
        <v>734</v>
      </c>
      <c r="I651" s="307" t="str">
        <f t="shared" si="42"/>
        <v>Pesado de Passageiros M3: III : Gasóleo : E5</v>
      </c>
      <c r="J651" s="125">
        <v>27</v>
      </c>
      <c r="K651" s="125">
        <v>2022</v>
      </c>
      <c r="L651" s="85">
        <v>1424.1819999999998</v>
      </c>
      <c r="M651" s="85" t="s">
        <v>630</v>
      </c>
      <c r="N651" s="128">
        <v>7637</v>
      </c>
      <c r="O651" s="128">
        <f t="shared" si="43"/>
        <v>206199</v>
      </c>
      <c r="P651" s="125" t="s">
        <v>1262</v>
      </c>
      <c r="Q651" s="85" t="s">
        <v>47</v>
      </c>
      <c r="R651" s="214" t="s">
        <v>1869</v>
      </c>
      <c r="S651" s="214" t="s">
        <v>1861</v>
      </c>
      <c r="T651" s="85" t="s">
        <v>1491</v>
      </c>
      <c r="U651" t="s">
        <v>1953</v>
      </c>
      <c r="V651" t="s">
        <v>2813</v>
      </c>
    </row>
    <row r="652" spans="1:22" ht="15.75" thickBot="1" x14ac:dyDescent="0.3">
      <c r="A652" s="82" t="s">
        <v>3278</v>
      </c>
      <c r="B652" s="82" t="str">
        <f t="shared" si="40"/>
        <v>Barraqueiro Transportes, S.A.</v>
      </c>
      <c r="C652" s="82" t="str">
        <f t="shared" si="41"/>
        <v>Barraqueiro Alugueres</v>
      </c>
      <c r="D652" s="83" t="s">
        <v>629</v>
      </c>
      <c r="E652" s="91" t="s">
        <v>1853</v>
      </c>
      <c r="F652" s="124" t="s">
        <v>620</v>
      </c>
      <c r="G652" s="304">
        <v>2009</v>
      </c>
      <c r="H652" s="312" t="s">
        <v>734</v>
      </c>
      <c r="I652" s="307" t="str">
        <f t="shared" si="42"/>
        <v>Pesado de Passageiros M3: III : Gasóleo : E5</v>
      </c>
      <c r="J652" s="125">
        <v>27</v>
      </c>
      <c r="K652" s="125">
        <v>2022</v>
      </c>
      <c r="L652" s="85">
        <v>2927.6120000000001</v>
      </c>
      <c r="M652" s="85" t="s">
        <v>630</v>
      </c>
      <c r="N652" s="128">
        <v>15225</v>
      </c>
      <c r="O652" s="128">
        <f t="shared" si="43"/>
        <v>411075</v>
      </c>
      <c r="P652" s="125" t="s">
        <v>1263</v>
      </c>
      <c r="Q652" s="85" t="s">
        <v>47</v>
      </c>
      <c r="R652" s="214" t="s">
        <v>1869</v>
      </c>
      <c r="S652" s="214" t="s">
        <v>1861</v>
      </c>
      <c r="T652" s="85" t="s">
        <v>1491</v>
      </c>
      <c r="U652" t="s">
        <v>1953</v>
      </c>
      <c r="V652" t="s">
        <v>2813</v>
      </c>
    </row>
    <row r="653" spans="1:22" ht="15.75" thickBot="1" x14ac:dyDescent="0.3">
      <c r="A653" s="82" t="s">
        <v>3278</v>
      </c>
      <c r="B653" s="82" t="str">
        <f t="shared" si="40"/>
        <v>Barraqueiro Transportes, S.A.</v>
      </c>
      <c r="C653" s="82" t="str">
        <f t="shared" si="41"/>
        <v>Barraqueiro Alugueres</v>
      </c>
      <c r="D653" s="83" t="s">
        <v>629</v>
      </c>
      <c r="E653" s="91" t="s">
        <v>1853</v>
      </c>
      <c r="F653" s="124" t="s">
        <v>620</v>
      </c>
      <c r="G653" s="304">
        <v>2009</v>
      </c>
      <c r="H653" s="312" t="s">
        <v>734</v>
      </c>
      <c r="I653" s="307" t="str">
        <f t="shared" si="42"/>
        <v>Pesado de Passageiros M3: III : Gasóleo : E5</v>
      </c>
      <c r="J653" s="125">
        <v>27</v>
      </c>
      <c r="K653" s="125">
        <v>2022</v>
      </c>
      <c r="L653" s="85">
        <v>1055.7159999999999</v>
      </c>
      <c r="M653" s="85" t="s">
        <v>630</v>
      </c>
      <c r="N653" s="128">
        <v>5535</v>
      </c>
      <c r="O653" s="128">
        <f t="shared" si="43"/>
        <v>149445</v>
      </c>
      <c r="P653" s="125" t="s">
        <v>1264</v>
      </c>
      <c r="Q653" s="85" t="s">
        <v>47</v>
      </c>
      <c r="R653" s="214" t="s">
        <v>1869</v>
      </c>
      <c r="S653" s="214" t="s">
        <v>1861</v>
      </c>
      <c r="T653" s="85" t="s">
        <v>1491</v>
      </c>
      <c r="U653" t="s">
        <v>1953</v>
      </c>
      <c r="V653" t="s">
        <v>2813</v>
      </c>
    </row>
    <row r="654" spans="1:22" ht="15.75" thickBot="1" x14ac:dyDescent="0.3">
      <c r="A654" s="82" t="s">
        <v>3278</v>
      </c>
      <c r="B654" s="82" t="str">
        <f t="shared" si="40"/>
        <v>Barraqueiro Transportes, S.A.</v>
      </c>
      <c r="C654" s="82" t="str">
        <f t="shared" si="41"/>
        <v>Barraqueiro Alugueres</v>
      </c>
      <c r="D654" s="83" t="s">
        <v>629</v>
      </c>
      <c r="E654" s="91" t="s">
        <v>1853</v>
      </c>
      <c r="F654" s="124" t="s">
        <v>620</v>
      </c>
      <c r="G654" s="304">
        <v>2009</v>
      </c>
      <c r="H654" s="312" t="s">
        <v>734</v>
      </c>
      <c r="I654" s="307" t="str">
        <f t="shared" si="42"/>
        <v>Pesado de Passageiros M3: III : Gasóleo : E5</v>
      </c>
      <c r="J654" s="125">
        <v>27</v>
      </c>
      <c r="K654" s="125">
        <v>2022</v>
      </c>
      <c r="L654" s="85">
        <v>1504.6469999999999</v>
      </c>
      <c r="M654" s="85" t="s">
        <v>630</v>
      </c>
      <c r="N654" s="128">
        <v>7925</v>
      </c>
      <c r="O654" s="128">
        <f t="shared" si="43"/>
        <v>213975</v>
      </c>
      <c r="P654" s="125" t="s">
        <v>1265</v>
      </c>
      <c r="Q654" s="85" t="s">
        <v>47</v>
      </c>
      <c r="R654" s="214" t="s">
        <v>1869</v>
      </c>
      <c r="S654" s="214" t="s">
        <v>1861</v>
      </c>
      <c r="T654" s="85" t="s">
        <v>1491</v>
      </c>
      <c r="U654" t="s">
        <v>1953</v>
      </c>
      <c r="V654" t="s">
        <v>2813</v>
      </c>
    </row>
    <row r="655" spans="1:22" ht="15.75" thickBot="1" x14ac:dyDescent="0.3">
      <c r="A655" s="82" t="s">
        <v>3278</v>
      </c>
      <c r="B655" s="82" t="str">
        <f t="shared" si="40"/>
        <v>Barraqueiro Transportes, S.A.</v>
      </c>
      <c r="C655" s="82" t="str">
        <f t="shared" si="41"/>
        <v>Barraqueiro Alugueres</v>
      </c>
      <c r="D655" s="83" t="s">
        <v>629</v>
      </c>
      <c r="E655" s="91" t="s">
        <v>1853</v>
      </c>
      <c r="F655" s="124" t="s">
        <v>620</v>
      </c>
      <c r="G655" s="304">
        <v>2009</v>
      </c>
      <c r="H655" s="312" t="s">
        <v>734</v>
      </c>
      <c r="I655" s="307" t="str">
        <f t="shared" si="42"/>
        <v>Pesado de Passageiros M3: III : Gasóleo : E5</v>
      </c>
      <c r="J655" s="125">
        <v>27</v>
      </c>
      <c r="K655" s="125">
        <v>2022</v>
      </c>
      <c r="L655" s="85">
        <v>777.82399999999996</v>
      </c>
      <c r="M655" s="85" t="s">
        <v>630</v>
      </c>
      <c r="N655" s="128">
        <v>3994</v>
      </c>
      <c r="O655" s="128">
        <f t="shared" si="43"/>
        <v>107838</v>
      </c>
      <c r="P655" s="125" t="s">
        <v>1266</v>
      </c>
      <c r="Q655" s="85" t="s">
        <v>47</v>
      </c>
      <c r="R655" s="214" t="s">
        <v>1869</v>
      </c>
      <c r="S655" s="214" t="s">
        <v>1861</v>
      </c>
      <c r="T655" s="85" t="s">
        <v>1491</v>
      </c>
      <c r="U655" t="s">
        <v>1953</v>
      </c>
      <c r="V655" t="s">
        <v>2813</v>
      </c>
    </row>
    <row r="656" spans="1:22" ht="15.75" thickBot="1" x14ac:dyDescent="0.3">
      <c r="A656" s="82" t="s">
        <v>3278</v>
      </c>
      <c r="B656" s="82" t="str">
        <f t="shared" si="40"/>
        <v>Barraqueiro Transportes, S.A.</v>
      </c>
      <c r="C656" s="82" t="str">
        <f t="shared" si="41"/>
        <v>Barraqueiro Alugueres</v>
      </c>
      <c r="D656" s="83" t="s">
        <v>629</v>
      </c>
      <c r="E656" s="91" t="s">
        <v>1853</v>
      </c>
      <c r="F656" s="124" t="s">
        <v>620</v>
      </c>
      <c r="G656" s="304">
        <v>2009</v>
      </c>
      <c r="H656" s="312" t="s">
        <v>734</v>
      </c>
      <c r="I656" s="307" t="str">
        <f t="shared" si="42"/>
        <v>Pesado de Passageiros M3: III : Gasóleo : E5</v>
      </c>
      <c r="J656" s="125">
        <v>27</v>
      </c>
      <c r="K656" s="125">
        <v>2022</v>
      </c>
      <c r="L656" s="85">
        <v>784.28</v>
      </c>
      <c r="M656" s="85" t="s">
        <v>630</v>
      </c>
      <c r="N656" s="128">
        <v>3929</v>
      </c>
      <c r="O656" s="128">
        <f t="shared" si="43"/>
        <v>106083</v>
      </c>
      <c r="P656" s="125" t="s">
        <v>1267</v>
      </c>
      <c r="Q656" s="85" t="s">
        <v>47</v>
      </c>
      <c r="R656" s="214" t="s">
        <v>1869</v>
      </c>
      <c r="S656" s="214" t="s">
        <v>1861</v>
      </c>
      <c r="T656" s="85" t="s">
        <v>1491</v>
      </c>
      <c r="U656" t="s">
        <v>1953</v>
      </c>
      <c r="V656" t="s">
        <v>2813</v>
      </c>
    </row>
    <row r="657" spans="1:22" ht="15.75" thickBot="1" x14ac:dyDescent="0.3">
      <c r="A657" s="82" t="s">
        <v>3278</v>
      </c>
      <c r="B657" s="82" t="str">
        <f t="shared" si="40"/>
        <v>Barraqueiro Transportes, S.A.</v>
      </c>
      <c r="C657" s="82" t="str">
        <f t="shared" si="41"/>
        <v>Barraqueiro Alugueres</v>
      </c>
      <c r="D657" s="83" t="s">
        <v>629</v>
      </c>
      <c r="E657" s="91" t="s">
        <v>1853</v>
      </c>
      <c r="F657" s="124" t="s">
        <v>620</v>
      </c>
      <c r="G657" s="304">
        <v>2009</v>
      </c>
      <c r="H657" s="312" t="s">
        <v>734</v>
      </c>
      <c r="I657" s="307" t="str">
        <f t="shared" si="42"/>
        <v>Pesado de Passageiros M3: III : Gasóleo : E5</v>
      </c>
      <c r="J657" s="125">
        <v>27</v>
      </c>
      <c r="K657" s="125">
        <v>2022</v>
      </c>
      <c r="L657" s="85">
        <v>31.58</v>
      </c>
      <c r="M657" s="85" t="s">
        <v>630</v>
      </c>
      <c r="N657" s="128">
        <v>175</v>
      </c>
      <c r="O657" s="128">
        <f t="shared" si="43"/>
        <v>4725</v>
      </c>
      <c r="P657" s="125" t="s">
        <v>1268</v>
      </c>
      <c r="Q657" s="85" t="s">
        <v>47</v>
      </c>
      <c r="R657" s="214" t="s">
        <v>1869</v>
      </c>
      <c r="S657" s="214" t="s">
        <v>1861</v>
      </c>
      <c r="T657" s="85" t="s">
        <v>1491</v>
      </c>
      <c r="U657" t="s">
        <v>1953</v>
      </c>
      <c r="V657" t="s">
        <v>2813</v>
      </c>
    </row>
    <row r="658" spans="1:22" ht="15.75" thickBot="1" x14ac:dyDescent="0.3">
      <c r="A658" s="82" t="s">
        <v>3278</v>
      </c>
      <c r="B658" s="82" t="str">
        <f t="shared" si="40"/>
        <v>Barraqueiro Transportes, S.A.</v>
      </c>
      <c r="C658" s="82" t="str">
        <f t="shared" si="41"/>
        <v>Barraqueiro Alugueres</v>
      </c>
      <c r="D658" s="83" t="s">
        <v>629</v>
      </c>
      <c r="E658" s="91" t="s">
        <v>1853</v>
      </c>
      <c r="F658" s="124" t="s">
        <v>620</v>
      </c>
      <c r="G658" s="304">
        <v>2009</v>
      </c>
      <c r="H658" s="312" t="s">
        <v>734</v>
      </c>
      <c r="I658" s="307" t="str">
        <f t="shared" si="42"/>
        <v>Pesado de Passageiros M3: III : Gasóleo : E5</v>
      </c>
      <c r="J658" s="125">
        <v>27</v>
      </c>
      <c r="K658" s="125">
        <v>2022</v>
      </c>
      <c r="L658" s="85">
        <v>4191.4260000000004</v>
      </c>
      <c r="M658" s="85" t="s">
        <v>630</v>
      </c>
      <c r="N658" s="128">
        <v>27508</v>
      </c>
      <c r="O658" s="128">
        <f t="shared" si="43"/>
        <v>742716</v>
      </c>
      <c r="P658" s="125" t="s">
        <v>1269</v>
      </c>
      <c r="Q658" s="85" t="s">
        <v>47</v>
      </c>
      <c r="R658" s="214" t="s">
        <v>1869</v>
      </c>
      <c r="S658" s="214" t="s">
        <v>1861</v>
      </c>
      <c r="T658" s="85" t="s">
        <v>1491</v>
      </c>
      <c r="U658" t="s">
        <v>1953</v>
      </c>
      <c r="V658" t="s">
        <v>2813</v>
      </c>
    </row>
    <row r="659" spans="1:22" ht="15.75" thickBot="1" x14ac:dyDescent="0.3">
      <c r="A659" s="82" t="s">
        <v>3278</v>
      </c>
      <c r="B659" s="82" t="str">
        <f t="shared" si="40"/>
        <v>Barraqueiro Transportes, S.A.</v>
      </c>
      <c r="C659" s="82" t="str">
        <f t="shared" si="41"/>
        <v>Barraqueiro Alugueres</v>
      </c>
      <c r="D659" s="83" t="s">
        <v>629</v>
      </c>
      <c r="E659" s="91" t="s">
        <v>1853</v>
      </c>
      <c r="F659" s="124" t="s">
        <v>620</v>
      </c>
      <c r="G659" s="304">
        <v>2009</v>
      </c>
      <c r="H659" s="312" t="s">
        <v>734</v>
      </c>
      <c r="I659" s="307" t="str">
        <f t="shared" si="42"/>
        <v>Pesado de Passageiros M3: III : Gasóleo : E5</v>
      </c>
      <c r="J659" s="125">
        <v>27</v>
      </c>
      <c r="K659" s="125">
        <v>2022</v>
      </c>
      <c r="L659" s="85">
        <v>3142.6000000000004</v>
      </c>
      <c r="M659" s="85" t="s">
        <v>630</v>
      </c>
      <c r="N659" s="128">
        <v>18337</v>
      </c>
      <c r="O659" s="128">
        <f t="shared" si="43"/>
        <v>495099</v>
      </c>
      <c r="P659" s="125" t="s">
        <v>1270</v>
      </c>
      <c r="Q659" s="85" t="s">
        <v>47</v>
      </c>
      <c r="R659" s="214" t="s">
        <v>1869</v>
      </c>
      <c r="S659" s="214" t="s">
        <v>1861</v>
      </c>
      <c r="T659" s="85" t="s">
        <v>1491</v>
      </c>
      <c r="U659" t="s">
        <v>1953</v>
      </c>
      <c r="V659" t="s">
        <v>2813</v>
      </c>
    </row>
    <row r="660" spans="1:22" ht="15.75" thickBot="1" x14ac:dyDescent="0.3">
      <c r="A660" s="82" t="s">
        <v>3278</v>
      </c>
      <c r="B660" s="82" t="str">
        <f t="shared" si="40"/>
        <v>Barraqueiro Transportes, S.A.</v>
      </c>
      <c r="C660" s="82" t="str">
        <f t="shared" si="41"/>
        <v>Barraqueiro Alugueres</v>
      </c>
      <c r="D660" s="83" t="s">
        <v>629</v>
      </c>
      <c r="E660" s="91" t="s">
        <v>1853</v>
      </c>
      <c r="F660" s="124" t="s">
        <v>620</v>
      </c>
      <c r="G660" s="304">
        <v>2009</v>
      </c>
      <c r="H660" s="312" t="s">
        <v>734</v>
      </c>
      <c r="I660" s="307" t="str">
        <f t="shared" si="42"/>
        <v>Pesado de Passageiros M3: III : Gasóleo : E5</v>
      </c>
      <c r="J660" s="125">
        <v>51</v>
      </c>
      <c r="K660" s="125">
        <v>2022</v>
      </c>
      <c r="L660" s="85">
        <v>0</v>
      </c>
      <c r="M660" s="85" t="s">
        <v>630</v>
      </c>
      <c r="N660" s="128">
        <v>0</v>
      </c>
      <c r="O660" s="128">
        <f t="shared" si="43"/>
        <v>0</v>
      </c>
      <c r="P660" s="125" t="s">
        <v>1271</v>
      </c>
      <c r="Q660" s="85" t="s">
        <v>47</v>
      </c>
      <c r="R660" s="214" t="s">
        <v>1869</v>
      </c>
      <c r="S660" s="214" t="s">
        <v>1861</v>
      </c>
      <c r="T660" s="85" t="s">
        <v>1491</v>
      </c>
      <c r="U660" t="s">
        <v>1953</v>
      </c>
      <c r="V660" t="s">
        <v>2813</v>
      </c>
    </row>
    <row r="661" spans="1:22" ht="15.75" thickBot="1" x14ac:dyDescent="0.3">
      <c r="A661" s="82" t="s">
        <v>3278</v>
      </c>
      <c r="B661" s="82" t="str">
        <f t="shared" si="40"/>
        <v>Barraqueiro Transportes, S.A.</v>
      </c>
      <c r="C661" s="82" t="str">
        <f t="shared" si="41"/>
        <v>Barraqueiro Alugueres</v>
      </c>
      <c r="D661" s="83" t="s">
        <v>629</v>
      </c>
      <c r="E661" s="91" t="s">
        <v>1853</v>
      </c>
      <c r="F661" s="124" t="s">
        <v>620</v>
      </c>
      <c r="G661" s="304">
        <v>2009</v>
      </c>
      <c r="H661" s="312" t="s">
        <v>734</v>
      </c>
      <c r="I661" s="307" t="str">
        <f t="shared" si="42"/>
        <v>Pesado de Passageiros M3: III : Gasóleo : E5</v>
      </c>
      <c r="J661" s="125">
        <v>51</v>
      </c>
      <c r="K661" s="125">
        <v>2022</v>
      </c>
      <c r="L661" s="85">
        <v>0</v>
      </c>
      <c r="M661" s="85" t="s">
        <v>630</v>
      </c>
      <c r="N661" s="128">
        <v>0</v>
      </c>
      <c r="O661" s="128">
        <f t="shared" si="43"/>
        <v>0</v>
      </c>
      <c r="P661" s="125" t="s">
        <v>1272</v>
      </c>
      <c r="Q661" s="85" t="s">
        <v>47</v>
      </c>
      <c r="R661" s="214" t="s">
        <v>1869</v>
      </c>
      <c r="S661" s="214" t="s">
        <v>1861</v>
      </c>
      <c r="T661" s="85" t="s">
        <v>1491</v>
      </c>
      <c r="U661" t="s">
        <v>1953</v>
      </c>
      <c r="V661" t="s">
        <v>2813</v>
      </c>
    </row>
    <row r="662" spans="1:22" ht="15.75" thickBot="1" x14ac:dyDescent="0.3">
      <c r="A662" s="82" t="s">
        <v>3278</v>
      </c>
      <c r="B662" s="82" t="str">
        <f t="shared" si="40"/>
        <v>Barraqueiro Transportes, S.A.</v>
      </c>
      <c r="C662" s="82" t="str">
        <f t="shared" si="41"/>
        <v>Barraqueiro Alugueres</v>
      </c>
      <c r="D662" s="83" t="s">
        <v>629</v>
      </c>
      <c r="E662" s="91" t="s">
        <v>1853</v>
      </c>
      <c r="F662" s="124" t="s">
        <v>620</v>
      </c>
      <c r="G662" s="304">
        <v>2010</v>
      </c>
      <c r="H662" s="312" t="s">
        <v>734</v>
      </c>
      <c r="I662" s="307" t="str">
        <f t="shared" si="42"/>
        <v>Pesado de Passageiros M3: III : Gasóleo : E5</v>
      </c>
      <c r="J662" s="125">
        <v>58</v>
      </c>
      <c r="K662" s="125">
        <v>2022</v>
      </c>
      <c r="L662" s="85">
        <v>16364.618000000002</v>
      </c>
      <c r="M662" s="85" t="s">
        <v>630</v>
      </c>
      <c r="N662" s="128">
        <v>49651</v>
      </c>
      <c r="O662" s="128">
        <f t="shared" si="43"/>
        <v>2879758</v>
      </c>
      <c r="P662" s="125" t="s">
        <v>1273</v>
      </c>
      <c r="Q662" s="85" t="s">
        <v>47</v>
      </c>
      <c r="R662" s="214" t="s">
        <v>1869</v>
      </c>
      <c r="S662" s="214" t="s">
        <v>1861</v>
      </c>
      <c r="T662" s="85" t="s">
        <v>1491</v>
      </c>
      <c r="U662" t="s">
        <v>1953</v>
      </c>
      <c r="V662" t="s">
        <v>2813</v>
      </c>
    </row>
    <row r="663" spans="1:22" ht="15.75" thickBot="1" x14ac:dyDescent="0.3">
      <c r="A663" s="82" t="s">
        <v>3278</v>
      </c>
      <c r="B663" s="82" t="str">
        <f t="shared" si="40"/>
        <v>Barraqueiro Transportes, S.A.</v>
      </c>
      <c r="C663" s="82" t="str">
        <f t="shared" si="41"/>
        <v>Barraqueiro Alugueres</v>
      </c>
      <c r="D663" s="83" t="s">
        <v>629</v>
      </c>
      <c r="E663" s="91" t="s">
        <v>1853</v>
      </c>
      <c r="F663" s="124" t="s">
        <v>620</v>
      </c>
      <c r="G663" s="304">
        <v>2011</v>
      </c>
      <c r="H663" s="312" t="s">
        <v>734</v>
      </c>
      <c r="I663" s="307" t="str">
        <f t="shared" si="42"/>
        <v>Pesado de Passageiros M3: III : Gasóleo : E5</v>
      </c>
      <c r="J663" s="125">
        <v>24</v>
      </c>
      <c r="K663" s="125">
        <v>2022</v>
      </c>
      <c r="L663" s="85">
        <v>1752.577</v>
      </c>
      <c r="M663" s="85" t="s">
        <v>630</v>
      </c>
      <c r="N663" s="128">
        <v>8828</v>
      </c>
      <c r="O663" s="128">
        <f t="shared" si="43"/>
        <v>211872</v>
      </c>
      <c r="P663" s="125" t="s">
        <v>1274</v>
      </c>
      <c r="Q663" s="85" t="s">
        <v>47</v>
      </c>
      <c r="R663" s="214" t="s">
        <v>1869</v>
      </c>
      <c r="S663" s="214" t="s">
        <v>1861</v>
      </c>
      <c r="T663" s="85" t="s">
        <v>1491</v>
      </c>
      <c r="U663" t="s">
        <v>1953</v>
      </c>
      <c r="V663" t="s">
        <v>2813</v>
      </c>
    </row>
    <row r="664" spans="1:22" ht="15.75" thickBot="1" x14ac:dyDescent="0.3">
      <c r="A664" s="82" t="s">
        <v>3278</v>
      </c>
      <c r="B664" s="82" t="str">
        <f t="shared" si="40"/>
        <v>Barraqueiro Transportes, S.A.</v>
      </c>
      <c r="C664" s="82" t="str">
        <f t="shared" si="41"/>
        <v>Barraqueiro Alugueres</v>
      </c>
      <c r="D664" s="83" t="s">
        <v>629</v>
      </c>
      <c r="E664" s="91" t="s">
        <v>1853</v>
      </c>
      <c r="F664" s="124" t="s">
        <v>620</v>
      </c>
      <c r="G664" s="304">
        <v>2011</v>
      </c>
      <c r="H664" s="312" t="s">
        <v>734</v>
      </c>
      <c r="I664" s="307" t="str">
        <f t="shared" si="42"/>
        <v>Pesado de Passageiros M3: III : Gasóleo : E5</v>
      </c>
      <c r="J664" s="125">
        <v>27</v>
      </c>
      <c r="K664" s="125">
        <v>2022</v>
      </c>
      <c r="L664" s="85">
        <v>2768.6169999999997</v>
      </c>
      <c r="M664" s="85" t="s">
        <v>630</v>
      </c>
      <c r="N664" s="128">
        <v>15534</v>
      </c>
      <c r="O664" s="128">
        <f t="shared" si="43"/>
        <v>419418</v>
      </c>
      <c r="P664" s="125" t="s">
        <v>1275</v>
      </c>
      <c r="Q664" s="85" t="s">
        <v>47</v>
      </c>
      <c r="R664" s="214" t="s">
        <v>1869</v>
      </c>
      <c r="S664" s="214" t="s">
        <v>1861</v>
      </c>
      <c r="T664" s="85" t="s">
        <v>1491</v>
      </c>
      <c r="U664" t="s">
        <v>1953</v>
      </c>
      <c r="V664" t="s">
        <v>2813</v>
      </c>
    </row>
    <row r="665" spans="1:22" ht="15.75" thickBot="1" x14ac:dyDescent="0.3">
      <c r="A665" s="82" t="s">
        <v>3278</v>
      </c>
      <c r="B665" s="82" t="str">
        <f t="shared" si="40"/>
        <v>Barraqueiro Transportes, S.A.</v>
      </c>
      <c r="C665" s="82" t="str">
        <f t="shared" si="41"/>
        <v>Barraqueiro Alugueres</v>
      </c>
      <c r="D665" s="83" t="s">
        <v>629</v>
      </c>
      <c r="E665" s="91" t="s">
        <v>1853</v>
      </c>
      <c r="F665" s="124" t="s">
        <v>620</v>
      </c>
      <c r="G665" s="304">
        <v>2012</v>
      </c>
      <c r="H665" s="312" t="s">
        <v>734</v>
      </c>
      <c r="I665" s="307" t="str">
        <f t="shared" si="42"/>
        <v>Pesado de Passageiros M3: III : Gasóleo : E5</v>
      </c>
      <c r="J665" s="125">
        <v>63</v>
      </c>
      <c r="K665" s="125">
        <v>2022</v>
      </c>
      <c r="L665" s="85">
        <v>13780.245000000003</v>
      </c>
      <c r="M665" s="85" t="s">
        <v>630</v>
      </c>
      <c r="N665" s="128">
        <v>38315</v>
      </c>
      <c r="O665" s="128">
        <f t="shared" si="43"/>
        <v>2413845</v>
      </c>
      <c r="P665" s="125" t="s">
        <v>1276</v>
      </c>
      <c r="Q665" s="85" t="s">
        <v>47</v>
      </c>
      <c r="R665" s="214" t="s">
        <v>1869</v>
      </c>
      <c r="S665" s="214" t="s">
        <v>1861</v>
      </c>
      <c r="T665" s="85" t="s">
        <v>1491</v>
      </c>
      <c r="U665" t="s">
        <v>1953</v>
      </c>
      <c r="V665" t="s">
        <v>2813</v>
      </c>
    </row>
    <row r="666" spans="1:22" ht="15.75" thickBot="1" x14ac:dyDescent="0.3">
      <c r="A666" s="82" t="s">
        <v>3278</v>
      </c>
      <c r="B666" s="82" t="str">
        <f t="shared" si="40"/>
        <v>Barraqueiro Transportes, S.A.</v>
      </c>
      <c r="C666" s="82" t="str">
        <f t="shared" si="41"/>
        <v>Barraqueiro Alugueres</v>
      </c>
      <c r="D666" s="83" t="s">
        <v>629</v>
      </c>
      <c r="E666" s="91" t="s">
        <v>1853</v>
      </c>
      <c r="F666" s="124" t="s">
        <v>620</v>
      </c>
      <c r="G666" s="304">
        <v>2012</v>
      </c>
      <c r="H666" s="312" t="s">
        <v>734</v>
      </c>
      <c r="I666" s="307" t="str">
        <f t="shared" si="42"/>
        <v>Pesado de Passageiros M3: III : Gasóleo : E5</v>
      </c>
      <c r="J666" s="125">
        <v>34</v>
      </c>
      <c r="K666" s="125">
        <v>2022</v>
      </c>
      <c r="L666" s="85">
        <v>5668.8020000000006</v>
      </c>
      <c r="M666" s="85" t="s">
        <v>630</v>
      </c>
      <c r="N666" s="128">
        <v>16964</v>
      </c>
      <c r="O666" s="128">
        <f t="shared" si="43"/>
        <v>576776</v>
      </c>
      <c r="P666" s="125" t="s">
        <v>1277</v>
      </c>
      <c r="Q666" s="85" t="s">
        <v>47</v>
      </c>
      <c r="R666" s="214" t="s">
        <v>1869</v>
      </c>
      <c r="S666" s="214" t="s">
        <v>1861</v>
      </c>
      <c r="T666" s="85" t="s">
        <v>1491</v>
      </c>
      <c r="U666" t="s">
        <v>1953</v>
      </c>
      <c r="V666" t="s">
        <v>2813</v>
      </c>
    </row>
    <row r="667" spans="1:22" ht="15.75" thickBot="1" x14ac:dyDescent="0.3">
      <c r="A667" s="82" t="s">
        <v>3278</v>
      </c>
      <c r="B667" s="82" t="str">
        <f t="shared" si="40"/>
        <v>Barraqueiro Transportes, S.A.</v>
      </c>
      <c r="C667" s="82" t="str">
        <f t="shared" si="41"/>
        <v>Barraqueiro Alugueres</v>
      </c>
      <c r="D667" s="83" t="s">
        <v>629</v>
      </c>
      <c r="E667" s="91" t="s">
        <v>1853</v>
      </c>
      <c r="F667" s="124" t="s">
        <v>620</v>
      </c>
      <c r="G667" s="304">
        <v>2013</v>
      </c>
      <c r="H667" s="312" t="s">
        <v>733</v>
      </c>
      <c r="I667" s="307" t="str">
        <f t="shared" si="42"/>
        <v>Pesado de Passageiros M3: III : Gasóleo : E6</v>
      </c>
      <c r="J667" s="125">
        <v>34</v>
      </c>
      <c r="K667" s="125">
        <v>2022</v>
      </c>
      <c r="L667" s="85">
        <v>5355.8899999999994</v>
      </c>
      <c r="M667" s="85" t="s">
        <v>630</v>
      </c>
      <c r="N667" s="128">
        <v>16933</v>
      </c>
      <c r="O667" s="128">
        <f t="shared" si="43"/>
        <v>575722</v>
      </c>
      <c r="P667" s="125" t="s">
        <v>1278</v>
      </c>
      <c r="Q667" s="85" t="s">
        <v>47</v>
      </c>
      <c r="R667" s="214" t="s">
        <v>1869</v>
      </c>
      <c r="S667" s="214" t="s">
        <v>1861</v>
      </c>
      <c r="T667" s="85" t="s">
        <v>1491</v>
      </c>
      <c r="U667" t="s">
        <v>1953</v>
      </c>
      <c r="V667" t="s">
        <v>2813</v>
      </c>
    </row>
    <row r="668" spans="1:22" ht="15.75" thickBot="1" x14ac:dyDescent="0.3">
      <c r="A668" s="82" t="s">
        <v>3278</v>
      </c>
      <c r="B668" s="82" t="str">
        <f t="shared" si="40"/>
        <v>Barraqueiro Transportes, S.A.</v>
      </c>
      <c r="C668" s="82" t="str">
        <f t="shared" si="41"/>
        <v>Barraqueiro Alugueres</v>
      </c>
      <c r="D668" s="83" t="s">
        <v>629</v>
      </c>
      <c r="E668" s="91" t="s">
        <v>1853</v>
      </c>
      <c r="F668" s="124" t="s">
        <v>620</v>
      </c>
      <c r="G668" s="304">
        <v>2013</v>
      </c>
      <c r="H668" s="312" t="s">
        <v>733</v>
      </c>
      <c r="I668" s="307" t="str">
        <f t="shared" si="42"/>
        <v>Pesado de Passageiros M3: III : Gasóleo : E6</v>
      </c>
      <c r="J668" s="125">
        <v>34</v>
      </c>
      <c r="K668" s="125">
        <v>2022</v>
      </c>
      <c r="L668" s="85">
        <v>6880.9660000000003</v>
      </c>
      <c r="M668" s="85" t="s">
        <v>630</v>
      </c>
      <c r="N668" s="128">
        <v>22857</v>
      </c>
      <c r="O668" s="128">
        <f t="shared" si="43"/>
        <v>777138</v>
      </c>
      <c r="P668" s="125" t="s">
        <v>1279</v>
      </c>
      <c r="Q668" s="85" t="s">
        <v>47</v>
      </c>
      <c r="R668" s="214" t="s">
        <v>1869</v>
      </c>
      <c r="S668" s="214" t="s">
        <v>1861</v>
      </c>
      <c r="T668" s="85" t="s">
        <v>1491</v>
      </c>
      <c r="U668" t="s">
        <v>1953</v>
      </c>
      <c r="V668" t="s">
        <v>2813</v>
      </c>
    </row>
    <row r="669" spans="1:22" ht="15.75" thickBot="1" x14ac:dyDescent="0.3">
      <c r="A669" s="82" t="s">
        <v>3278</v>
      </c>
      <c r="B669" s="82" t="str">
        <f t="shared" si="40"/>
        <v>Barraqueiro Transportes, S.A.</v>
      </c>
      <c r="C669" s="82" t="str">
        <f t="shared" si="41"/>
        <v>Barraqueiro Alugueres</v>
      </c>
      <c r="D669" s="83" t="s">
        <v>629</v>
      </c>
      <c r="E669" s="91" t="s">
        <v>1853</v>
      </c>
      <c r="F669" s="124" t="s">
        <v>620</v>
      </c>
      <c r="G669" s="304">
        <v>2013</v>
      </c>
      <c r="H669" s="312" t="s">
        <v>733</v>
      </c>
      <c r="I669" s="307" t="str">
        <f t="shared" si="42"/>
        <v>Pesado de Passageiros M3: III : Gasóleo : E6</v>
      </c>
      <c r="J669" s="125">
        <v>55</v>
      </c>
      <c r="K669" s="125">
        <v>2022</v>
      </c>
      <c r="L669" s="85">
        <v>17205.267</v>
      </c>
      <c r="M669" s="85" t="s">
        <v>630</v>
      </c>
      <c r="N669" s="128">
        <v>48715</v>
      </c>
      <c r="O669" s="128">
        <f t="shared" si="43"/>
        <v>2679325</v>
      </c>
      <c r="P669" s="125" t="s">
        <v>1280</v>
      </c>
      <c r="Q669" s="85" t="s">
        <v>47</v>
      </c>
      <c r="R669" s="214" t="s">
        <v>1869</v>
      </c>
      <c r="S669" s="214" t="s">
        <v>1861</v>
      </c>
      <c r="T669" s="85" t="s">
        <v>1491</v>
      </c>
      <c r="U669" t="s">
        <v>1953</v>
      </c>
      <c r="V669" t="s">
        <v>2813</v>
      </c>
    </row>
    <row r="670" spans="1:22" ht="15.75" thickBot="1" x14ac:dyDescent="0.3">
      <c r="A670" s="82" t="s">
        <v>3278</v>
      </c>
      <c r="B670" s="82" t="str">
        <f t="shared" si="40"/>
        <v>Barraqueiro Transportes, S.A.</v>
      </c>
      <c r="C670" s="82" t="str">
        <f t="shared" si="41"/>
        <v>Barraqueiro Alugueres</v>
      </c>
      <c r="D670" s="83" t="s">
        <v>629</v>
      </c>
      <c r="E670" s="91" t="s">
        <v>1853</v>
      </c>
      <c r="F670" s="124" t="s">
        <v>620</v>
      </c>
      <c r="G670" s="304">
        <v>2014</v>
      </c>
      <c r="H670" s="312" t="s">
        <v>733</v>
      </c>
      <c r="I670" s="307" t="str">
        <f t="shared" si="42"/>
        <v>Pesado de Passageiros M3: III : Gasóleo : E6</v>
      </c>
      <c r="J670" s="125">
        <v>41</v>
      </c>
      <c r="K670" s="125">
        <v>2022</v>
      </c>
      <c r="L670" s="85">
        <v>14986.885999999999</v>
      </c>
      <c r="M670" s="85" t="s">
        <v>630</v>
      </c>
      <c r="N670" s="128">
        <v>56138</v>
      </c>
      <c r="O670" s="128">
        <f t="shared" si="43"/>
        <v>2301658</v>
      </c>
      <c r="P670" s="125" t="s">
        <v>1281</v>
      </c>
      <c r="Q670" s="85" t="s">
        <v>47</v>
      </c>
      <c r="R670" s="214" t="s">
        <v>1869</v>
      </c>
      <c r="S670" s="214" t="s">
        <v>1861</v>
      </c>
      <c r="T670" s="85" t="s">
        <v>1491</v>
      </c>
      <c r="U670" t="s">
        <v>1953</v>
      </c>
      <c r="V670" t="s">
        <v>2813</v>
      </c>
    </row>
    <row r="671" spans="1:22" ht="15.75" thickBot="1" x14ac:dyDescent="0.3">
      <c r="A671" s="82" t="s">
        <v>3278</v>
      </c>
      <c r="B671" s="82" t="str">
        <f t="shared" si="40"/>
        <v>Barraqueiro Transportes, S.A.</v>
      </c>
      <c r="C671" s="82" t="str">
        <f t="shared" si="41"/>
        <v>Barraqueiro Alugueres</v>
      </c>
      <c r="D671" s="83" t="s">
        <v>629</v>
      </c>
      <c r="E671" s="91" t="s">
        <v>1853</v>
      </c>
      <c r="F671" s="124" t="s">
        <v>620</v>
      </c>
      <c r="G671" s="304">
        <v>2016</v>
      </c>
      <c r="H671" s="312" t="s">
        <v>733</v>
      </c>
      <c r="I671" s="307" t="str">
        <f t="shared" si="42"/>
        <v>Pesado de Passageiros M3: III : Gasóleo : E6</v>
      </c>
      <c r="J671" s="125">
        <v>53</v>
      </c>
      <c r="K671" s="125">
        <v>2022</v>
      </c>
      <c r="L671" s="85">
        <v>18533.046000000002</v>
      </c>
      <c r="M671" s="85" t="s">
        <v>630</v>
      </c>
      <c r="N671" s="128">
        <v>54584</v>
      </c>
      <c r="O671" s="128">
        <f t="shared" si="43"/>
        <v>2892952</v>
      </c>
      <c r="P671" s="125" t="s">
        <v>1282</v>
      </c>
      <c r="Q671" s="85" t="s">
        <v>47</v>
      </c>
      <c r="R671" s="214" t="s">
        <v>1869</v>
      </c>
      <c r="S671" s="214" t="s">
        <v>1861</v>
      </c>
      <c r="T671" s="85" t="s">
        <v>1491</v>
      </c>
      <c r="U671" t="s">
        <v>1953</v>
      </c>
      <c r="V671" t="s">
        <v>2813</v>
      </c>
    </row>
    <row r="672" spans="1:22" ht="15.75" thickBot="1" x14ac:dyDescent="0.3">
      <c r="A672" s="82" t="s">
        <v>3278</v>
      </c>
      <c r="B672" s="82" t="str">
        <f t="shared" si="40"/>
        <v>Barraqueiro Transportes, S.A.</v>
      </c>
      <c r="C672" s="82" t="str">
        <f t="shared" si="41"/>
        <v>Barraqueiro Alugueres</v>
      </c>
      <c r="D672" s="83" t="s">
        <v>629</v>
      </c>
      <c r="E672" s="91" t="s">
        <v>1853</v>
      </c>
      <c r="F672" s="124" t="s">
        <v>620</v>
      </c>
      <c r="G672" s="304">
        <v>2016</v>
      </c>
      <c r="H672" s="312" t="s">
        <v>733</v>
      </c>
      <c r="I672" s="307" t="str">
        <f t="shared" si="42"/>
        <v>Pesado de Passageiros M3: III : Gasóleo : E6</v>
      </c>
      <c r="J672" s="125">
        <v>53</v>
      </c>
      <c r="K672" s="125">
        <v>2022</v>
      </c>
      <c r="L672" s="85">
        <v>27640.052999999996</v>
      </c>
      <c r="M672" s="85" t="s">
        <v>630</v>
      </c>
      <c r="N672" s="128">
        <v>90340</v>
      </c>
      <c r="O672" s="128">
        <f t="shared" si="43"/>
        <v>4788020</v>
      </c>
      <c r="P672" s="125" t="s">
        <v>1283</v>
      </c>
      <c r="Q672" s="85" t="s">
        <v>47</v>
      </c>
      <c r="R672" s="214" t="s">
        <v>1869</v>
      </c>
      <c r="S672" s="214" t="s">
        <v>1861</v>
      </c>
      <c r="T672" s="85" t="s">
        <v>1491</v>
      </c>
      <c r="U672" t="s">
        <v>1953</v>
      </c>
      <c r="V672" t="s">
        <v>2813</v>
      </c>
    </row>
    <row r="673" spans="1:22" ht="15.75" thickBot="1" x14ac:dyDescent="0.3">
      <c r="A673" s="82" t="s">
        <v>3278</v>
      </c>
      <c r="B673" s="82" t="str">
        <f t="shared" si="40"/>
        <v>Barraqueiro Transportes, S.A.</v>
      </c>
      <c r="C673" s="82" t="str">
        <f t="shared" si="41"/>
        <v>Barraqueiro Alugueres</v>
      </c>
      <c r="D673" s="83" t="s">
        <v>629</v>
      </c>
      <c r="E673" s="91" t="s">
        <v>1853</v>
      </c>
      <c r="F673" s="124" t="s">
        <v>620</v>
      </c>
      <c r="G673" s="304">
        <v>2016</v>
      </c>
      <c r="H673" s="312" t="s">
        <v>733</v>
      </c>
      <c r="I673" s="307" t="str">
        <f t="shared" si="42"/>
        <v>Pesado de Passageiros M3: III : Gasóleo : E6</v>
      </c>
      <c r="J673" s="125">
        <v>53</v>
      </c>
      <c r="K673" s="125">
        <v>2022</v>
      </c>
      <c r="L673" s="85">
        <v>30584.059000000001</v>
      </c>
      <c r="M673" s="85" t="s">
        <v>630</v>
      </c>
      <c r="N673" s="128">
        <v>100781</v>
      </c>
      <c r="O673" s="128">
        <f t="shared" si="43"/>
        <v>5341393</v>
      </c>
      <c r="P673" s="125" t="s">
        <v>1284</v>
      </c>
      <c r="Q673" s="85" t="s">
        <v>47</v>
      </c>
      <c r="R673" s="214" t="s">
        <v>1869</v>
      </c>
      <c r="S673" s="214" t="s">
        <v>1861</v>
      </c>
      <c r="T673" s="85" t="s">
        <v>1491</v>
      </c>
      <c r="U673" t="s">
        <v>1953</v>
      </c>
      <c r="V673" t="s">
        <v>2813</v>
      </c>
    </row>
    <row r="674" spans="1:22" ht="15.75" thickBot="1" x14ac:dyDescent="0.3">
      <c r="A674" s="82" t="s">
        <v>3278</v>
      </c>
      <c r="B674" s="82" t="str">
        <f t="shared" si="40"/>
        <v>Barraqueiro Transportes, S.A.</v>
      </c>
      <c r="C674" s="82" t="str">
        <f t="shared" si="41"/>
        <v>Barraqueiro Alugueres</v>
      </c>
      <c r="D674" s="83" t="s">
        <v>629</v>
      </c>
      <c r="E674" s="91" t="s">
        <v>1853</v>
      </c>
      <c r="F674" s="124" t="s">
        <v>620</v>
      </c>
      <c r="G674" s="304">
        <v>2016</v>
      </c>
      <c r="H674" s="312" t="s">
        <v>733</v>
      </c>
      <c r="I674" s="307" t="str">
        <f t="shared" si="42"/>
        <v>Pesado de Passageiros M3: III : Gasóleo : E6</v>
      </c>
      <c r="J674" s="125">
        <v>53</v>
      </c>
      <c r="K674" s="125">
        <v>2022</v>
      </c>
      <c r="L674" s="85">
        <v>27579.582999999999</v>
      </c>
      <c r="M674" s="85" t="s">
        <v>630</v>
      </c>
      <c r="N674" s="128">
        <v>89412</v>
      </c>
      <c r="O674" s="128">
        <f t="shared" si="43"/>
        <v>4738836</v>
      </c>
      <c r="P674" s="125" t="s">
        <v>1285</v>
      </c>
      <c r="Q674" s="85" t="s">
        <v>47</v>
      </c>
      <c r="R674" s="214" t="s">
        <v>1869</v>
      </c>
      <c r="S674" s="214" t="s">
        <v>1861</v>
      </c>
      <c r="T674" s="85" t="s">
        <v>1491</v>
      </c>
      <c r="U674" t="s">
        <v>1953</v>
      </c>
      <c r="V674" t="s">
        <v>2813</v>
      </c>
    </row>
    <row r="675" spans="1:22" ht="15.75" thickBot="1" x14ac:dyDescent="0.3">
      <c r="A675" s="82" t="s">
        <v>3278</v>
      </c>
      <c r="B675" s="82" t="str">
        <f t="shared" si="40"/>
        <v>Barraqueiro Transportes, S.A.</v>
      </c>
      <c r="C675" s="82" t="str">
        <f t="shared" si="41"/>
        <v>Barraqueiro Alugueres</v>
      </c>
      <c r="D675" s="83" t="s">
        <v>629</v>
      </c>
      <c r="E675" s="91" t="s">
        <v>1853</v>
      </c>
      <c r="F675" s="124" t="s">
        <v>620</v>
      </c>
      <c r="G675" s="304">
        <v>2016</v>
      </c>
      <c r="H675" s="312" t="s">
        <v>733</v>
      </c>
      <c r="I675" s="307" t="str">
        <f t="shared" si="42"/>
        <v>Pesado de Passageiros M3: III : Gasóleo : E6</v>
      </c>
      <c r="J675" s="125">
        <v>53</v>
      </c>
      <c r="K675" s="125">
        <v>2022</v>
      </c>
      <c r="L675" s="85">
        <v>23104.152000000006</v>
      </c>
      <c r="M675" s="85" t="s">
        <v>630</v>
      </c>
      <c r="N675" s="128">
        <v>69282</v>
      </c>
      <c r="O675" s="128">
        <f t="shared" si="43"/>
        <v>3671946</v>
      </c>
      <c r="P675" s="125" t="s">
        <v>1286</v>
      </c>
      <c r="Q675" s="85" t="s">
        <v>47</v>
      </c>
      <c r="R675" s="214" t="s">
        <v>1869</v>
      </c>
      <c r="S675" s="214" t="s">
        <v>1861</v>
      </c>
      <c r="T675" s="85" t="s">
        <v>1491</v>
      </c>
      <c r="U675" t="s">
        <v>1953</v>
      </c>
      <c r="V675" t="s">
        <v>2813</v>
      </c>
    </row>
    <row r="676" spans="1:22" ht="15.75" thickBot="1" x14ac:dyDescent="0.3">
      <c r="A676" s="82" t="s">
        <v>3278</v>
      </c>
      <c r="B676" s="82" t="str">
        <f t="shared" si="40"/>
        <v>Barraqueiro Transportes, S.A.</v>
      </c>
      <c r="C676" s="82" t="str">
        <f t="shared" si="41"/>
        <v>Barraqueiro Alugueres</v>
      </c>
      <c r="D676" s="83" t="s">
        <v>629</v>
      </c>
      <c r="E676" s="91" t="s">
        <v>1853</v>
      </c>
      <c r="F676" s="124" t="s">
        <v>620</v>
      </c>
      <c r="G676" s="304">
        <v>2016</v>
      </c>
      <c r="H676" s="312" t="s">
        <v>733</v>
      </c>
      <c r="I676" s="307" t="str">
        <f t="shared" si="42"/>
        <v>Pesado de Passageiros M3: III : Gasóleo : E6</v>
      </c>
      <c r="J676" s="125">
        <v>19</v>
      </c>
      <c r="K676" s="125">
        <v>2022</v>
      </c>
      <c r="L676" s="85">
        <v>2344.7399999999998</v>
      </c>
      <c r="M676" s="85" t="s">
        <v>630</v>
      </c>
      <c r="N676" s="128">
        <v>14897</v>
      </c>
      <c r="O676" s="128">
        <f t="shared" si="43"/>
        <v>283043</v>
      </c>
      <c r="P676" s="125" t="s">
        <v>1287</v>
      </c>
      <c r="Q676" s="85" t="s">
        <v>47</v>
      </c>
      <c r="R676" s="214" t="s">
        <v>1869</v>
      </c>
      <c r="S676" s="214" t="s">
        <v>1861</v>
      </c>
      <c r="T676" s="85" t="s">
        <v>1491</v>
      </c>
      <c r="U676" t="s">
        <v>1953</v>
      </c>
      <c r="V676" t="s">
        <v>2813</v>
      </c>
    </row>
    <row r="677" spans="1:22" ht="15.75" thickBot="1" x14ac:dyDescent="0.3">
      <c r="A677" s="82" t="s">
        <v>3278</v>
      </c>
      <c r="B677" s="82" t="str">
        <f t="shared" si="40"/>
        <v>Barraqueiro Transportes, S.A.</v>
      </c>
      <c r="C677" s="82" t="str">
        <f t="shared" si="41"/>
        <v>Barraqueiro Alugueres</v>
      </c>
      <c r="D677" s="83" t="s">
        <v>629</v>
      </c>
      <c r="E677" s="91" t="s">
        <v>1853</v>
      </c>
      <c r="F677" s="124" t="s">
        <v>620</v>
      </c>
      <c r="G677" s="304">
        <v>2016</v>
      </c>
      <c r="H677" s="312" t="s">
        <v>733</v>
      </c>
      <c r="I677" s="307" t="str">
        <f t="shared" si="42"/>
        <v>Pesado de Passageiros M3: III : Gasóleo : E6</v>
      </c>
      <c r="J677" s="125">
        <v>40</v>
      </c>
      <c r="K677" s="125">
        <v>2022</v>
      </c>
      <c r="L677" s="85">
        <v>9404.482</v>
      </c>
      <c r="M677" s="85" t="s">
        <v>630</v>
      </c>
      <c r="N677" s="128">
        <v>31877</v>
      </c>
      <c r="O677" s="128">
        <f t="shared" si="43"/>
        <v>1275080</v>
      </c>
      <c r="P677" s="125" t="s">
        <v>1288</v>
      </c>
      <c r="Q677" s="85" t="s">
        <v>47</v>
      </c>
      <c r="R677" s="214" t="s">
        <v>1869</v>
      </c>
      <c r="S677" s="214" t="s">
        <v>1861</v>
      </c>
      <c r="T677" s="85" t="s">
        <v>1491</v>
      </c>
      <c r="U677" t="s">
        <v>1953</v>
      </c>
      <c r="V677" t="s">
        <v>2813</v>
      </c>
    </row>
    <row r="678" spans="1:22" ht="15.75" thickBot="1" x14ac:dyDescent="0.3">
      <c r="A678" s="82" t="s">
        <v>3278</v>
      </c>
      <c r="B678" s="82" t="str">
        <f t="shared" si="40"/>
        <v>Barraqueiro Transportes, S.A.</v>
      </c>
      <c r="C678" s="82" t="str">
        <f t="shared" si="41"/>
        <v>Barraqueiro Alugueres</v>
      </c>
      <c r="D678" s="83" t="s">
        <v>629</v>
      </c>
      <c r="E678" s="91" t="s">
        <v>1853</v>
      </c>
      <c r="F678" s="124" t="s">
        <v>620</v>
      </c>
      <c r="G678" s="304">
        <v>2016</v>
      </c>
      <c r="H678" s="312" t="s">
        <v>733</v>
      </c>
      <c r="I678" s="307" t="str">
        <f t="shared" si="42"/>
        <v>Pesado de Passageiros M3: III : Gasóleo : E6</v>
      </c>
      <c r="J678" s="125">
        <v>40</v>
      </c>
      <c r="K678" s="125">
        <v>2022</v>
      </c>
      <c r="L678" s="85">
        <v>1908.6200000000001</v>
      </c>
      <c r="M678" s="85" t="s">
        <v>630</v>
      </c>
      <c r="N678" s="128">
        <v>5917</v>
      </c>
      <c r="O678" s="128">
        <f t="shared" si="43"/>
        <v>236680</v>
      </c>
      <c r="P678" s="125" t="s">
        <v>1289</v>
      </c>
      <c r="Q678" s="85" t="s">
        <v>47</v>
      </c>
      <c r="R678" s="214" t="s">
        <v>1869</v>
      </c>
      <c r="S678" s="214" t="s">
        <v>1861</v>
      </c>
      <c r="T678" s="85" t="s">
        <v>1491</v>
      </c>
      <c r="U678" t="s">
        <v>1953</v>
      </c>
      <c r="V678" t="s">
        <v>2813</v>
      </c>
    </row>
    <row r="679" spans="1:22" ht="15.75" thickBot="1" x14ac:dyDescent="0.3">
      <c r="A679" s="82" t="s">
        <v>3278</v>
      </c>
      <c r="B679" s="82" t="str">
        <f t="shared" si="40"/>
        <v>Barraqueiro Transportes, S.A.</v>
      </c>
      <c r="C679" s="82" t="str">
        <f t="shared" si="41"/>
        <v>Barraqueiro Alugueres</v>
      </c>
      <c r="D679" s="83" t="s">
        <v>629</v>
      </c>
      <c r="E679" s="91" t="s">
        <v>1853</v>
      </c>
      <c r="F679" s="124" t="s">
        <v>620</v>
      </c>
      <c r="G679" s="304">
        <v>2017</v>
      </c>
      <c r="H679" s="312" t="s">
        <v>733</v>
      </c>
      <c r="I679" s="307" t="str">
        <f t="shared" si="42"/>
        <v>Pesado de Passageiros M3: III : Gasóleo : E6</v>
      </c>
      <c r="J679" s="125">
        <v>55</v>
      </c>
      <c r="K679" s="125">
        <v>2022</v>
      </c>
      <c r="L679" s="85">
        <v>26951.085000000003</v>
      </c>
      <c r="M679" s="85" t="s">
        <v>630</v>
      </c>
      <c r="N679" s="128">
        <v>82010</v>
      </c>
      <c r="O679" s="128">
        <f t="shared" si="43"/>
        <v>4510550</v>
      </c>
      <c r="P679" s="125" t="s">
        <v>1290</v>
      </c>
      <c r="Q679" s="85" t="s">
        <v>47</v>
      </c>
      <c r="R679" s="214" t="s">
        <v>1869</v>
      </c>
      <c r="S679" s="214" t="s">
        <v>1861</v>
      </c>
      <c r="T679" s="85" t="s">
        <v>1491</v>
      </c>
      <c r="U679" t="s">
        <v>1953</v>
      </c>
      <c r="V679" t="s">
        <v>2813</v>
      </c>
    </row>
    <row r="680" spans="1:22" ht="15.75" thickBot="1" x14ac:dyDescent="0.3">
      <c r="A680" s="82" t="s">
        <v>3278</v>
      </c>
      <c r="B680" s="82" t="str">
        <f t="shared" si="40"/>
        <v>Barraqueiro Transportes, S.A.</v>
      </c>
      <c r="C680" s="82" t="str">
        <f t="shared" si="41"/>
        <v>Barraqueiro Alugueres</v>
      </c>
      <c r="D680" s="83" t="s">
        <v>629</v>
      </c>
      <c r="E680" s="91" t="s">
        <v>1853</v>
      </c>
      <c r="F680" s="124" t="s">
        <v>620</v>
      </c>
      <c r="G680" s="304">
        <v>2017</v>
      </c>
      <c r="H680" s="312" t="s">
        <v>733</v>
      </c>
      <c r="I680" s="307" t="str">
        <f t="shared" si="42"/>
        <v>Pesado de Passageiros M3: III : Gasóleo : E6</v>
      </c>
      <c r="J680" s="125">
        <v>39</v>
      </c>
      <c r="K680" s="125">
        <v>2022</v>
      </c>
      <c r="L680" s="85">
        <v>6755.2210000000014</v>
      </c>
      <c r="M680" s="85" t="s">
        <v>630</v>
      </c>
      <c r="N680" s="128">
        <v>25558</v>
      </c>
      <c r="O680" s="128">
        <f t="shared" si="43"/>
        <v>996762</v>
      </c>
      <c r="P680" s="125" t="s">
        <v>1291</v>
      </c>
      <c r="Q680" s="85" t="s">
        <v>47</v>
      </c>
      <c r="R680" s="214" t="s">
        <v>1869</v>
      </c>
      <c r="S680" s="214" t="s">
        <v>1861</v>
      </c>
      <c r="T680" s="85" t="s">
        <v>1491</v>
      </c>
      <c r="U680" t="s">
        <v>1953</v>
      </c>
      <c r="V680" t="s">
        <v>2813</v>
      </c>
    </row>
    <row r="681" spans="1:22" ht="15.75" thickBot="1" x14ac:dyDescent="0.3">
      <c r="A681" s="82" t="s">
        <v>3278</v>
      </c>
      <c r="B681" s="82" t="str">
        <f t="shared" si="40"/>
        <v>Barraqueiro Transportes, S.A.</v>
      </c>
      <c r="C681" s="82" t="str">
        <f t="shared" si="41"/>
        <v>Barraqueiro Alugueres</v>
      </c>
      <c r="D681" s="83" t="s">
        <v>629</v>
      </c>
      <c r="E681" s="91" t="s">
        <v>1853</v>
      </c>
      <c r="F681" s="124" t="s">
        <v>620</v>
      </c>
      <c r="G681" s="304">
        <v>2016</v>
      </c>
      <c r="H681" s="312" t="s">
        <v>733</v>
      </c>
      <c r="I681" s="307" t="str">
        <f t="shared" si="42"/>
        <v>Pesado de Passageiros M3: III : Gasóleo : E6</v>
      </c>
      <c r="J681" s="125">
        <v>55</v>
      </c>
      <c r="K681" s="125">
        <v>2022</v>
      </c>
      <c r="L681" s="85">
        <v>19868.109999999997</v>
      </c>
      <c r="M681" s="85" t="s">
        <v>630</v>
      </c>
      <c r="N681" s="128">
        <v>58651</v>
      </c>
      <c r="O681" s="128">
        <f t="shared" si="43"/>
        <v>3225805</v>
      </c>
      <c r="P681" s="125" t="s">
        <v>1292</v>
      </c>
      <c r="Q681" s="85" t="s">
        <v>47</v>
      </c>
      <c r="R681" s="214" t="s">
        <v>1869</v>
      </c>
      <c r="S681" s="214" t="s">
        <v>1861</v>
      </c>
      <c r="T681" s="85" t="s">
        <v>1491</v>
      </c>
      <c r="U681" t="s">
        <v>1953</v>
      </c>
      <c r="V681" t="s">
        <v>2813</v>
      </c>
    </row>
    <row r="682" spans="1:22" ht="15.75" thickBot="1" x14ac:dyDescent="0.3">
      <c r="A682" s="82" t="s">
        <v>3278</v>
      </c>
      <c r="B682" s="82" t="str">
        <f t="shared" si="40"/>
        <v>Barraqueiro Transportes, S.A.</v>
      </c>
      <c r="C682" s="82" t="str">
        <f t="shared" si="41"/>
        <v>Barraqueiro Alugueres</v>
      </c>
      <c r="D682" s="83" t="s">
        <v>629</v>
      </c>
      <c r="E682" s="91" t="s">
        <v>1853</v>
      </c>
      <c r="F682" s="124" t="s">
        <v>620</v>
      </c>
      <c r="G682" s="304">
        <v>2018</v>
      </c>
      <c r="H682" s="312" t="s">
        <v>733</v>
      </c>
      <c r="I682" s="307" t="str">
        <f t="shared" si="42"/>
        <v>Pesado de Passageiros M3: III : Gasóleo : E6</v>
      </c>
      <c r="J682" s="125">
        <v>39</v>
      </c>
      <c r="K682" s="125">
        <v>2022</v>
      </c>
      <c r="L682" s="85">
        <v>9254.8780000000006</v>
      </c>
      <c r="M682" s="85" t="s">
        <v>630</v>
      </c>
      <c r="N682" s="128">
        <v>33960</v>
      </c>
      <c r="O682" s="128">
        <f t="shared" si="43"/>
        <v>1324440</v>
      </c>
      <c r="P682" s="125" t="s">
        <v>1293</v>
      </c>
      <c r="Q682" s="85" t="s">
        <v>47</v>
      </c>
      <c r="R682" s="214" t="s">
        <v>1869</v>
      </c>
      <c r="S682" s="214" t="s">
        <v>1861</v>
      </c>
      <c r="T682" s="85" t="s">
        <v>1491</v>
      </c>
      <c r="U682" t="s">
        <v>1953</v>
      </c>
      <c r="V682" t="s">
        <v>2813</v>
      </c>
    </row>
    <row r="683" spans="1:22" ht="15.75" thickBot="1" x14ac:dyDescent="0.3">
      <c r="A683" s="82" t="s">
        <v>3278</v>
      </c>
      <c r="B683" s="82" t="str">
        <f t="shared" si="40"/>
        <v>Barraqueiro Transportes, S.A.</v>
      </c>
      <c r="C683" s="82" t="str">
        <f t="shared" si="41"/>
        <v>Barraqueiro Alugueres</v>
      </c>
      <c r="D683" s="83" t="s">
        <v>629</v>
      </c>
      <c r="E683" s="91" t="s">
        <v>1853</v>
      </c>
      <c r="F683" s="124" t="s">
        <v>620</v>
      </c>
      <c r="G683" s="304">
        <v>2018</v>
      </c>
      <c r="H683" s="312" t="s">
        <v>733</v>
      </c>
      <c r="I683" s="307" t="str">
        <f t="shared" si="42"/>
        <v>Pesado de Passageiros M3: III : Gasóleo : E6</v>
      </c>
      <c r="J683" s="125">
        <v>39</v>
      </c>
      <c r="K683" s="125">
        <v>2022</v>
      </c>
      <c r="L683" s="85">
        <v>10930.446000000002</v>
      </c>
      <c r="M683" s="85" t="s">
        <v>630</v>
      </c>
      <c r="N683" s="128">
        <v>40957</v>
      </c>
      <c r="O683" s="128">
        <f t="shared" si="43"/>
        <v>1597323</v>
      </c>
      <c r="P683" s="125" t="s">
        <v>1294</v>
      </c>
      <c r="Q683" s="85" t="s">
        <v>47</v>
      </c>
      <c r="R683" s="214" t="s">
        <v>1869</v>
      </c>
      <c r="S683" s="214" t="s">
        <v>1861</v>
      </c>
      <c r="T683" s="85" t="s">
        <v>1491</v>
      </c>
      <c r="U683" t="s">
        <v>1953</v>
      </c>
      <c r="V683" t="s">
        <v>2813</v>
      </c>
    </row>
    <row r="684" spans="1:22" ht="15.75" thickBot="1" x14ac:dyDescent="0.3">
      <c r="A684" s="82" t="s">
        <v>3278</v>
      </c>
      <c r="B684" s="82" t="str">
        <f t="shared" si="40"/>
        <v>Barraqueiro Transportes, S.A.</v>
      </c>
      <c r="C684" s="82" t="str">
        <f t="shared" si="41"/>
        <v>Barraqueiro Alugueres</v>
      </c>
      <c r="D684" s="83" t="s">
        <v>629</v>
      </c>
      <c r="E684" s="91" t="s">
        <v>1853</v>
      </c>
      <c r="F684" s="124" t="s">
        <v>620</v>
      </c>
      <c r="G684" s="304">
        <v>2018</v>
      </c>
      <c r="H684" s="312" t="s">
        <v>733</v>
      </c>
      <c r="I684" s="307" t="str">
        <f t="shared" si="42"/>
        <v>Pesado de Passageiros M3: III : Gasóleo : E6</v>
      </c>
      <c r="J684" s="125">
        <v>39</v>
      </c>
      <c r="K684" s="125">
        <v>2022</v>
      </c>
      <c r="L684" s="85">
        <v>11618.116999999998</v>
      </c>
      <c r="M684" s="85" t="s">
        <v>630</v>
      </c>
      <c r="N684" s="128">
        <v>43212</v>
      </c>
      <c r="O684" s="128">
        <f t="shared" si="43"/>
        <v>1685268</v>
      </c>
      <c r="P684" s="125" t="s">
        <v>1295</v>
      </c>
      <c r="Q684" s="85" t="s">
        <v>47</v>
      </c>
      <c r="R684" s="214" t="s">
        <v>1869</v>
      </c>
      <c r="S684" s="214" t="s">
        <v>1861</v>
      </c>
      <c r="T684" s="85" t="s">
        <v>1491</v>
      </c>
      <c r="U684" t="s">
        <v>1953</v>
      </c>
      <c r="V684" t="s">
        <v>2813</v>
      </c>
    </row>
    <row r="685" spans="1:22" ht="15.75" thickBot="1" x14ac:dyDescent="0.3">
      <c r="A685" s="82" t="s">
        <v>3278</v>
      </c>
      <c r="B685" s="82" t="str">
        <f t="shared" si="40"/>
        <v>Barraqueiro Transportes, S.A.</v>
      </c>
      <c r="C685" s="82" t="str">
        <f t="shared" si="41"/>
        <v>Barraqueiro Alugueres</v>
      </c>
      <c r="D685" s="83" t="s">
        <v>629</v>
      </c>
      <c r="E685" s="91" t="s">
        <v>1853</v>
      </c>
      <c r="F685" s="124" t="s">
        <v>620</v>
      </c>
      <c r="G685" s="304">
        <v>2019</v>
      </c>
      <c r="H685" s="312" t="s">
        <v>733</v>
      </c>
      <c r="I685" s="307" t="str">
        <f t="shared" si="42"/>
        <v>Pesado de Passageiros M3: III : Gasóleo : E6</v>
      </c>
      <c r="J685" s="125">
        <v>53</v>
      </c>
      <c r="K685" s="125">
        <v>2022</v>
      </c>
      <c r="L685" s="85">
        <v>30418.862000000001</v>
      </c>
      <c r="M685" s="85" t="s">
        <v>630</v>
      </c>
      <c r="N685" s="128">
        <v>122012</v>
      </c>
      <c r="O685" s="128">
        <f t="shared" si="43"/>
        <v>6466636</v>
      </c>
      <c r="P685" s="125" t="s">
        <v>1296</v>
      </c>
      <c r="Q685" s="85" t="s">
        <v>47</v>
      </c>
      <c r="R685" s="214" t="s">
        <v>1869</v>
      </c>
      <c r="S685" s="214" t="s">
        <v>1861</v>
      </c>
      <c r="T685" s="85" t="s">
        <v>1491</v>
      </c>
      <c r="U685" t="s">
        <v>1953</v>
      </c>
      <c r="V685" t="s">
        <v>2813</v>
      </c>
    </row>
    <row r="686" spans="1:22" ht="15.75" thickBot="1" x14ac:dyDescent="0.3">
      <c r="A686" s="82" t="s">
        <v>3278</v>
      </c>
      <c r="B686" s="82" t="str">
        <f t="shared" si="40"/>
        <v>Barraqueiro Transportes, S.A.</v>
      </c>
      <c r="C686" s="82" t="str">
        <f t="shared" si="41"/>
        <v>Barraqueiro Alugueres</v>
      </c>
      <c r="D686" s="83" t="s">
        <v>629</v>
      </c>
      <c r="E686" s="91" t="s">
        <v>1853</v>
      </c>
      <c r="F686" s="124" t="s">
        <v>620</v>
      </c>
      <c r="G686" s="304">
        <v>2019</v>
      </c>
      <c r="H686" s="312" t="s">
        <v>733</v>
      </c>
      <c r="I686" s="307" t="str">
        <f t="shared" si="42"/>
        <v>Pesado de Passageiros M3: III : Gasóleo : E6</v>
      </c>
      <c r="J686" s="125">
        <v>53</v>
      </c>
      <c r="K686" s="125">
        <v>2022</v>
      </c>
      <c r="L686" s="85">
        <v>24557.69</v>
      </c>
      <c r="M686" s="85" t="s">
        <v>630</v>
      </c>
      <c r="N686" s="128">
        <v>96844</v>
      </c>
      <c r="O686" s="128">
        <f t="shared" si="43"/>
        <v>5132732</v>
      </c>
      <c r="P686" s="125" t="s">
        <v>1297</v>
      </c>
      <c r="Q686" s="85" t="s">
        <v>47</v>
      </c>
      <c r="R686" s="214" t="s">
        <v>1869</v>
      </c>
      <c r="S686" s="214" t="s">
        <v>1861</v>
      </c>
      <c r="T686" s="85" t="s">
        <v>1491</v>
      </c>
      <c r="U686" t="s">
        <v>1953</v>
      </c>
      <c r="V686" t="s">
        <v>2813</v>
      </c>
    </row>
    <row r="687" spans="1:22" ht="15.75" thickBot="1" x14ac:dyDescent="0.3">
      <c r="A687" s="82" t="s">
        <v>3278</v>
      </c>
      <c r="B687" s="82" t="str">
        <f t="shared" si="40"/>
        <v>Barraqueiro Transportes, S.A.</v>
      </c>
      <c r="C687" s="82" t="str">
        <f t="shared" si="41"/>
        <v>Barraqueiro Alugueres</v>
      </c>
      <c r="D687" s="83" t="s">
        <v>629</v>
      </c>
      <c r="E687" s="91" t="s">
        <v>1853</v>
      </c>
      <c r="F687" s="124" t="s">
        <v>620</v>
      </c>
      <c r="G687" s="304">
        <v>2019</v>
      </c>
      <c r="H687" s="312" t="s">
        <v>733</v>
      </c>
      <c r="I687" s="307" t="str">
        <f t="shared" si="42"/>
        <v>Pesado de Passageiros M3: III : Gasóleo : E6</v>
      </c>
      <c r="J687" s="125">
        <v>39</v>
      </c>
      <c r="K687" s="125">
        <v>2022</v>
      </c>
      <c r="L687" s="85">
        <v>13070.733</v>
      </c>
      <c r="M687" s="85" t="s">
        <v>630</v>
      </c>
      <c r="N687" s="128">
        <v>48980</v>
      </c>
      <c r="O687" s="128">
        <f t="shared" si="43"/>
        <v>1910220</v>
      </c>
      <c r="P687" s="125" t="s">
        <v>1298</v>
      </c>
      <c r="Q687" s="85" t="s">
        <v>47</v>
      </c>
      <c r="R687" s="214" t="s">
        <v>1869</v>
      </c>
      <c r="S687" s="214" t="s">
        <v>1861</v>
      </c>
      <c r="T687" s="85" t="s">
        <v>1491</v>
      </c>
      <c r="U687" t="s">
        <v>1953</v>
      </c>
      <c r="V687" t="s">
        <v>2813</v>
      </c>
    </row>
    <row r="688" spans="1:22" ht="15.75" thickBot="1" x14ac:dyDescent="0.3">
      <c r="A688" s="82" t="s">
        <v>3278</v>
      </c>
      <c r="B688" s="82" t="str">
        <f t="shared" si="40"/>
        <v>Barraqueiro Transportes, S.A.</v>
      </c>
      <c r="C688" s="82" t="str">
        <f t="shared" si="41"/>
        <v>Barraqueiro Alugueres</v>
      </c>
      <c r="D688" s="83" t="s">
        <v>629</v>
      </c>
      <c r="E688" s="91" t="s">
        <v>1853</v>
      </c>
      <c r="F688" s="124" t="s">
        <v>620</v>
      </c>
      <c r="G688" s="304">
        <v>2019</v>
      </c>
      <c r="H688" s="312" t="s">
        <v>733</v>
      </c>
      <c r="I688" s="307" t="str">
        <f t="shared" si="42"/>
        <v>Pesado de Passageiros M3: III : Gasóleo : E6</v>
      </c>
      <c r="J688" s="125">
        <v>39</v>
      </c>
      <c r="K688" s="125">
        <v>2022</v>
      </c>
      <c r="L688" s="85">
        <v>11473.458999999999</v>
      </c>
      <c r="M688" s="85" t="s">
        <v>630</v>
      </c>
      <c r="N688" s="128">
        <v>39862</v>
      </c>
      <c r="O688" s="128">
        <f t="shared" si="43"/>
        <v>1554618</v>
      </c>
      <c r="P688" s="125" t="s">
        <v>1299</v>
      </c>
      <c r="Q688" s="85" t="s">
        <v>47</v>
      </c>
      <c r="R688" s="214" t="s">
        <v>1869</v>
      </c>
      <c r="S688" s="214" t="s">
        <v>1861</v>
      </c>
      <c r="T688" s="85" t="s">
        <v>1491</v>
      </c>
      <c r="U688" t="s">
        <v>1953</v>
      </c>
      <c r="V688" t="s">
        <v>2813</v>
      </c>
    </row>
    <row r="689" spans="1:22" ht="15.75" thickBot="1" x14ac:dyDescent="0.3">
      <c r="A689" s="82" t="s">
        <v>3278</v>
      </c>
      <c r="B689" s="82" t="str">
        <f t="shared" si="40"/>
        <v>Barraqueiro Transportes, S.A.</v>
      </c>
      <c r="C689" s="82" t="str">
        <f t="shared" si="41"/>
        <v>Barraqueiro Alugueres</v>
      </c>
      <c r="D689" s="83" t="s">
        <v>629</v>
      </c>
      <c r="E689" s="91" t="s">
        <v>1853</v>
      </c>
      <c r="F689" s="124" t="s">
        <v>620</v>
      </c>
      <c r="G689" s="304">
        <v>2019</v>
      </c>
      <c r="H689" s="312" t="s">
        <v>733</v>
      </c>
      <c r="I689" s="307" t="str">
        <f t="shared" si="42"/>
        <v>Pesado de Passageiros M3: III : Gasóleo : E6</v>
      </c>
      <c r="J689" s="125">
        <v>19</v>
      </c>
      <c r="K689" s="125">
        <v>2022</v>
      </c>
      <c r="L689" s="85">
        <v>5494.7029999999986</v>
      </c>
      <c r="M689" s="85" t="s">
        <v>630</v>
      </c>
      <c r="N689" s="128">
        <v>28539</v>
      </c>
      <c r="O689" s="128">
        <f t="shared" si="43"/>
        <v>542241</v>
      </c>
      <c r="P689" s="125" t="s">
        <v>1300</v>
      </c>
      <c r="Q689" s="85" t="s">
        <v>47</v>
      </c>
      <c r="R689" s="214" t="s">
        <v>1869</v>
      </c>
      <c r="S689" s="214" t="s">
        <v>1861</v>
      </c>
      <c r="T689" s="85" t="s">
        <v>1491</v>
      </c>
      <c r="U689" t="s">
        <v>1953</v>
      </c>
      <c r="V689" t="s">
        <v>2813</v>
      </c>
    </row>
    <row r="690" spans="1:22" ht="15.75" thickBot="1" x14ac:dyDescent="0.3">
      <c r="A690" s="82" t="s">
        <v>3278</v>
      </c>
      <c r="B690" s="82" t="str">
        <f t="shared" si="40"/>
        <v>Barraqueiro Transportes, S.A.</v>
      </c>
      <c r="C690" s="82" t="str">
        <f t="shared" si="41"/>
        <v>Barraqueiro Alugueres</v>
      </c>
      <c r="D690" s="83" t="s">
        <v>629</v>
      </c>
      <c r="E690" s="91" t="s">
        <v>1853</v>
      </c>
      <c r="F690" s="124" t="s">
        <v>620</v>
      </c>
      <c r="G690" s="304">
        <v>2020</v>
      </c>
      <c r="H690" s="312" t="s">
        <v>733</v>
      </c>
      <c r="I690" s="307" t="str">
        <f t="shared" si="42"/>
        <v>Pesado de Passageiros M3: III : Gasóleo : E6</v>
      </c>
      <c r="J690" s="125">
        <v>53</v>
      </c>
      <c r="K690" s="125">
        <v>2022</v>
      </c>
      <c r="L690" s="85">
        <v>25161.516999999996</v>
      </c>
      <c r="M690" s="85" t="s">
        <v>630</v>
      </c>
      <c r="N690" s="128">
        <v>100932</v>
      </c>
      <c r="O690" s="128">
        <f t="shared" si="43"/>
        <v>5349396</v>
      </c>
      <c r="P690" s="125" t="s">
        <v>1301</v>
      </c>
      <c r="Q690" s="85" t="s">
        <v>47</v>
      </c>
      <c r="R690" s="214" t="s">
        <v>1869</v>
      </c>
      <c r="S690" s="214" t="s">
        <v>1861</v>
      </c>
      <c r="T690" s="85" t="s">
        <v>1491</v>
      </c>
      <c r="U690" t="s">
        <v>1953</v>
      </c>
      <c r="V690" t="s">
        <v>2813</v>
      </c>
    </row>
    <row r="691" spans="1:22" ht="15.75" thickBot="1" x14ac:dyDescent="0.3">
      <c r="A691" s="82" t="s">
        <v>3278</v>
      </c>
      <c r="B691" s="82" t="str">
        <f t="shared" si="40"/>
        <v>Barraqueiro Transportes, S.A.</v>
      </c>
      <c r="C691" s="82" t="str">
        <f t="shared" si="41"/>
        <v>Barraqueiro Alugueres</v>
      </c>
      <c r="D691" s="83" t="s">
        <v>629</v>
      </c>
      <c r="E691" s="91" t="s">
        <v>1853</v>
      </c>
      <c r="F691" s="124" t="s">
        <v>620</v>
      </c>
      <c r="G691" s="304">
        <v>2020</v>
      </c>
      <c r="H691" s="312" t="s">
        <v>733</v>
      </c>
      <c r="I691" s="307" t="str">
        <f t="shared" si="42"/>
        <v>Pesado de Passageiros M3: III : Gasóleo : E6</v>
      </c>
      <c r="J691" s="125">
        <v>63</v>
      </c>
      <c r="K691" s="125">
        <v>2022</v>
      </c>
      <c r="L691" s="85">
        <v>78692.513999999996</v>
      </c>
      <c r="M691" s="85" t="s">
        <v>630</v>
      </c>
      <c r="N691" s="128">
        <v>264642</v>
      </c>
      <c r="O691" s="128">
        <f t="shared" si="43"/>
        <v>16672446</v>
      </c>
      <c r="P691" s="125" t="s">
        <v>1302</v>
      </c>
      <c r="Q691" s="85" t="s">
        <v>47</v>
      </c>
      <c r="R691" s="214" t="s">
        <v>1869</v>
      </c>
      <c r="S691" s="214" t="s">
        <v>1861</v>
      </c>
      <c r="T691" s="85" t="s">
        <v>1491</v>
      </c>
      <c r="U691" t="s">
        <v>1953</v>
      </c>
      <c r="V691" t="s">
        <v>2813</v>
      </c>
    </row>
    <row r="692" spans="1:22" ht="15.75" thickBot="1" x14ac:dyDescent="0.3">
      <c r="A692" s="82" t="s">
        <v>3278</v>
      </c>
      <c r="B692" s="82" t="str">
        <f t="shared" si="40"/>
        <v>Barraqueiro Transportes, S.A.</v>
      </c>
      <c r="C692" s="82" t="str">
        <f t="shared" si="41"/>
        <v>Barraqueiro Alugueres</v>
      </c>
      <c r="D692" s="83" t="s">
        <v>629</v>
      </c>
      <c r="E692" s="91" t="s">
        <v>1853</v>
      </c>
      <c r="F692" s="124" t="s">
        <v>620</v>
      </c>
      <c r="G692" s="304">
        <v>2020</v>
      </c>
      <c r="H692" s="312" t="s">
        <v>733</v>
      </c>
      <c r="I692" s="307" t="str">
        <f t="shared" si="42"/>
        <v>Pesado de Passageiros M3: III : Gasóleo : E6</v>
      </c>
      <c r="J692" s="125">
        <v>29</v>
      </c>
      <c r="K692" s="125">
        <v>2022</v>
      </c>
      <c r="L692" s="85">
        <v>4804.7290000000003</v>
      </c>
      <c r="M692" s="85" t="s">
        <v>630</v>
      </c>
      <c r="N692" s="128">
        <v>23668</v>
      </c>
      <c r="O692" s="128">
        <f t="shared" si="43"/>
        <v>686372</v>
      </c>
      <c r="P692" s="125" t="s">
        <v>1303</v>
      </c>
      <c r="Q692" s="85" t="s">
        <v>47</v>
      </c>
      <c r="R692" s="214" t="s">
        <v>1869</v>
      </c>
      <c r="S692" s="214" t="s">
        <v>1861</v>
      </c>
      <c r="T692" s="85" t="s">
        <v>1491</v>
      </c>
      <c r="U692" t="s">
        <v>1953</v>
      </c>
      <c r="V692" t="s">
        <v>2813</v>
      </c>
    </row>
    <row r="693" spans="1:22" ht="15.75" thickBot="1" x14ac:dyDescent="0.3">
      <c r="A693" s="82" t="s">
        <v>3278</v>
      </c>
      <c r="B693" s="82" t="str">
        <f t="shared" si="40"/>
        <v>Barraqueiro Transportes, S.A.</v>
      </c>
      <c r="C693" s="82" t="str">
        <f t="shared" si="41"/>
        <v>Barraqueiro Alugueres</v>
      </c>
      <c r="D693" s="83" t="s">
        <v>629</v>
      </c>
      <c r="E693" s="91" t="s">
        <v>1853</v>
      </c>
      <c r="F693" s="124" t="s">
        <v>620</v>
      </c>
      <c r="G693" s="304">
        <v>2020</v>
      </c>
      <c r="H693" s="312" t="s">
        <v>733</v>
      </c>
      <c r="I693" s="307" t="str">
        <f t="shared" si="42"/>
        <v>Pesado de Passageiros M3: III : Gasóleo : E6</v>
      </c>
      <c r="J693" s="125">
        <v>29</v>
      </c>
      <c r="K693" s="125">
        <v>2022</v>
      </c>
      <c r="L693" s="85">
        <v>5770.2780000000002</v>
      </c>
      <c r="M693" s="85" t="s">
        <v>630</v>
      </c>
      <c r="N693" s="128">
        <v>29266</v>
      </c>
      <c r="O693" s="128">
        <f t="shared" si="43"/>
        <v>848714</v>
      </c>
      <c r="P693" s="125" t="s">
        <v>1304</v>
      </c>
      <c r="Q693" s="85" t="s">
        <v>47</v>
      </c>
      <c r="R693" s="214" t="s">
        <v>1869</v>
      </c>
      <c r="S693" s="214" t="s">
        <v>1861</v>
      </c>
      <c r="T693" s="85" t="s">
        <v>1491</v>
      </c>
      <c r="U693" t="s">
        <v>1953</v>
      </c>
      <c r="V693" t="s">
        <v>2813</v>
      </c>
    </row>
    <row r="694" spans="1:22" ht="15.75" thickBot="1" x14ac:dyDescent="0.3">
      <c r="A694" s="82" t="s">
        <v>3278</v>
      </c>
      <c r="B694" s="82" t="str">
        <f t="shared" si="40"/>
        <v>Barraqueiro Transportes, S.A.</v>
      </c>
      <c r="C694" s="82" t="str">
        <f t="shared" si="41"/>
        <v>Barraqueiro Alugueres</v>
      </c>
      <c r="D694" s="83" t="s">
        <v>629</v>
      </c>
      <c r="E694" s="91" t="s">
        <v>1853</v>
      </c>
      <c r="F694" s="124" t="s">
        <v>620</v>
      </c>
      <c r="G694" s="304">
        <v>2009</v>
      </c>
      <c r="H694" s="312" t="s">
        <v>734</v>
      </c>
      <c r="I694" s="307" t="str">
        <f t="shared" si="42"/>
        <v>Pesado de Passageiros M3: III : Gasóleo : E5</v>
      </c>
      <c r="J694" s="125">
        <v>34</v>
      </c>
      <c r="K694" s="125">
        <v>2022</v>
      </c>
      <c r="L694" s="85">
        <v>6053.0450000000001</v>
      </c>
      <c r="M694" s="85" t="s">
        <v>630</v>
      </c>
      <c r="N694" s="128">
        <v>21004</v>
      </c>
      <c r="O694" s="128">
        <f t="shared" si="43"/>
        <v>714136</v>
      </c>
      <c r="P694" s="125" t="s">
        <v>1305</v>
      </c>
      <c r="Q694" s="85" t="s">
        <v>47</v>
      </c>
      <c r="R694" s="214" t="s">
        <v>1869</v>
      </c>
      <c r="S694" s="214" t="s">
        <v>1861</v>
      </c>
      <c r="T694" s="85" t="s">
        <v>1491</v>
      </c>
      <c r="U694" t="s">
        <v>1953</v>
      </c>
      <c r="V694" t="s">
        <v>2813</v>
      </c>
    </row>
    <row r="695" spans="1:22" ht="15.75" thickBot="1" x14ac:dyDescent="0.3">
      <c r="A695" s="82" t="s">
        <v>3278</v>
      </c>
      <c r="B695" s="82" t="str">
        <f t="shared" si="40"/>
        <v>Barraqueiro Transportes, S.A.</v>
      </c>
      <c r="C695" s="82" t="str">
        <f t="shared" si="41"/>
        <v>Barraqueiro Alugueres</v>
      </c>
      <c r="D695" s="83" t="s">
        <v>629</v>
      </c>
      <c r="E695" s="91" t="s">
        <v>1853</v>
      </c>
      <c r="F695" s="124" t="s">
        <v>620</v>
      </c>
      <c r="G695" s="304">
        <v>2014</v>
      </c>
      <c r="H695" s="312" t="s">
        <v>733</v>
      </c>
      <c r="I695" s="307" t="str">
        <f t="shared" si="42"/>
        <v>Pesado de Passageiros M3: III : Gasóleo : E6</v>
      </c>
      <c r="J695" s="125">
        <v>62</v>
      </c>
      <c r="K695" s="125">
        <v>2022</v>
      </c>
      <c r="L695" s="85">
        <v>11974.539999999997</v>
      </c>
      <c r="M695" s="85" t="s">
        <v>630</v>
      </c>
      <c r="N695" s="128">
        <v>29215</v>
      </c>
      <c r="O695" s="128">
        <f t="shared" si="43"/>
        <v>1811330</v>
      </c>
      <c r="P695" s="125" t="s">
        <v>1306</v>
      </c>
      <c r="Q695" s="85" t="s">
        <v>47</v>
      </c>
      <c r="R695" s="214" t="s">
        <v>1869</v>
      </c>
      <c r="S695" s="214" t="s">
        <v>1861</v>
      </c>
      <c r="T695" s="85" t="s">
        <v>1491</v>
      </c>
      <c r="U695" t="s">
        <v>1953</v>
      </c>
      <c r="V695" t="s">
        <v>2813</v>
      </c>
    </row>
    <row r="696" spans="1:22" ht="15.75" thickBot="1" x14ac:dyDescent="0.3">
      <c r="A696" s="82" t="s">
        <v>3278</v>
      </c>
      <c r="B696" s="82" t="str">
        <f t="shared" si="40"/>
        <v>Barraqueiro Transportes, S.A.</v>
      </c>
      <c r="C696" s="82" t="str">
        <f t="shared" si="41"/>
        <v>Barraqueiro Alugueres</v>
      </c>
      <c r="D696" s="83" t="s">
        <v>629</v>
      </c>
      <c r="E696" s="91" t="s">
        <v>1853</v>
      </c>
      <c r="F696" s="124" t="s">
        <v>620</v>
      </c>
      <c r="G696" s="304">
        <v>2019</v>
      </c>
      <c r="H696" s="312" t="s">
        <v>733</v>
      </c>
      <c r="I696" s="307" t="str">
        <f t="shared" si="42"/>
        <v>Pesado de Passageiros M3: III : Gasóleo : E6</v>
      </c>
      <c r="J696" s="125">
        <v>16</v>
      </c>
      <c r="K696" s="125">
        <v>2022</v>
      </c>
      <c r="L696" s="85">
        <v>399.45</v>
      </c>
      <c r="M696" s="85" t="s">
        <v>630</v>
      </c>
      <c r="N696" s="128">
        <v>2348</v>
      </c>
      <c r="O696" s="128">
        <f t="shared" si="43"/>
        <v>37568</v>
      </c>
      <c r="P696" s="125" t="s">
        <v>1307</v>
      </c>
      <c r="Q696" s="85" t="s">
        <v>47</v>
      </c>
      <c r="R696" s="214" t="s">
        <v>1869</v>
      </c>
      <c r="S696" s="214" t="s">
        <v>1861</v>
      </c>
      <c r="T696" s="85" t="s">
        <v>1491</v>
      </c>
      <c r="U696" t="s">
        <v>1953</v>
      </c>
      <c r="V696" t="s">
        <v>2813</v>
      </c>
    </row>
    <row r="697" spans="1:22" ht="15.75" thickBot="1" x14ac:dyDescent="0.3">
      <c r="A697" s="82" t="s">
        <v>3278</v>
      </c>
      <c r="B697" s="82" t="str">
        <f t="shared" si="40"/>
        <v>Barraqueiro Transportes, S.A.</v>
      </c>
      <c r="C697" s="82" t="str">
        <f t="shared" si="41"/>
        <v>Barraqueiro Alugueres</v>
      </c>
      <c r="D697" s="83" t="s">
        <v>629</v>
      </c>
      <c r="E697" s="91" t="s">
        <v>1853</v>
      </c>
      <c r="F697" s="124" t="s">
        <v>620</v>
      </c>
      <c r="G697" s="304">
        <v>2006</v>
      </c>
      <c r="H697" s="312" t="s">
        <v>731</v>
      </c>
      <c r="I697" s="307" t="str">
        <f t="shared" si="42"/>
        <v>Pesado de Passageiros M3: III : Gasóleo : E4</v>
      </c>
      <c r="J697" s="125">
        <v>58</v>
      </c>
      <c r="K697" s="125">
        <v>2022</v>
      </c>
      <c r="L697" s="85">
        <v>4800.585</v>
      </c>
      <c r="M697" s="85" t="s">
        <v>630</v>
      </c>
      <c r="N697" s="128">
        <v>15259</v>
      </c>
      <c r="O697" s="128">
        <f t="shared" si="43"/>
        <v>885022</v>
      </c>
      <c r="P697" s="125" t="s">
        <v>1308</v>
      </c>
      <c r="Q697" s="85" t="s">
        <v>47</v>
      </c>
      <c r="R697" s="214" t="s">
        <v>1869</v>
      </c>
      <c r="S697" s="214" t="s">
        <v>1861</v>
      </c>
      <c r="T697" s="85" t="s">
        <v>1491</v>
      </c>
      <c r="U697" t="s">
        <v>1953</v>
      </c>
      <c r="V697" t="s">
        <v>2813</v>
      </c>
    </row>
    <row r="698" spans="1:22" ht="15.75" thickBot="1" x14ac:dyDescent="0.3">
      <c r="A698" s="82" t="s">
        <v>3278</v>
      </c>
      <c r="B698" s="82" t="str">
        <f t="shared" si="40"/>
        <v>Barraqueiro Transportes, S.A.</v>
      </c>
      <c r="C698" s="82" t="str">
        <f t="shared" si="41"/>
        <v>Barraqueiro Alugueres</v>
      </c>
      <c r="D698" s="83" t="s">
        <v>629</v>
      </c>
      <c r="E698" s="91" t="s">
        <v>1853</v>
      </c>
      <c r="F698" s="124" t="s">
        <v>620</v>
      </c>
      <c r="G698" s="304">
        <v>2004</v>
      </c>
      <c r="H698" s="312" t="s">
        <v>732</v>
      </c>
      <c r="I698" s="307" t="str">
        <f t="shared" si="42"/>
        <v>Pesado de Passageiros M3: III : Gasóleo : E3</v>
      </c>
      <c r="J698" s="125">
        <v>19</v>
      </c>
      <c r="K698" s="125">
        <v>2022</v>
      </c>
      <c r="L698" s="85">
        <v>0</v>
      </c>
      <c r="M698" s="85" t="s">
        <v>630</v>
      </c>
      <c r="N698" s="128">
        <v>0</v>
      </c>
      <c r="O698" s="128">
        <f t="shared" si="43"/>
        <v>0</v>
      </c>
      <c r="P698" s="125" t="s">
        <v>1309</v>
      </c>
      <c r="Q698" s="85" t="s">
        <v>47</v>
      </c>
      <c r="R698" s="214" t="s">
        <v>1869</v>
      </c>
      <c r="S698" s="214" t="s">
        <v>1861</v>
      </c>
      <c r="T698" s="85" t="s">
        <v>1491</v>
      </c>
      <c r="U698" t="s">
        <v>1953</v>
      </c>
      <c r="V698" t="s">
        <v>2813</v>
      </c>
    </row>
    <row r="699" spans="1:22" ht="15.75" thickBot="1" x14ac:dyDescent="0.3">
      <c r="A699" s="82" t="s">
        <v>3278</v>
      </c>
      <c r="B699" s="82" t="str">
        <f t="shared" si="40"/>
        <v>Barraqueiro Transportes, S.A.</v>
      </c>
      <c r="C699" s="82" t="str">
        <f t="shared" si="41"/>
        <v>Barraqueiro Alugueres</v>
      </c>
      <c r="D699" s="83" t="s">
        <v>629</v>
      </c>
      <c r="E699" s="91" t="s">
        <v>1853</v>
      </c>
      <c r="F699" s="124" t="s">
        <v>620</v>
      </c>
      <c r="G699" s="304">
        <v>2015</v>
      </c>
      <c r="H699" s="312" t="s">
        <v>733</v>
      </c>
      <c r="I699" s="307" t="str">
        <f t="shared" si="42"/>
        <v>Pesado de Passageiros M3: III : Gasóleo : E6</v>
      </c>
      <c r="J699" s="125">
        <v>53</v>
      </c>
      <c r="K699" s="125">
        <v>2022</v>
      </c>
      <c r="L699" s="85">
        <v>1899.4940000000001</v>
      </c>
      <c r="M699" s="85" t="s">
        <v>630</v>
      </c>
      <c r="N699" s="128">
        <v>12280</v>
      </c>
      <c r="O699" s="128">
        <f t="shared" si="43"/>
        <v>650840</v>
      </c>
      <c r="P699" s="125" t="s">
        <v>1310</v>
      </c>
      <c r="Q699" s="85" t="s">
        <v>47</v>
      </c>
      <c r="R699" s="214" t="s">
        <v>1869</v>
      </c>
      <c r="S699" s="214" t="s">
        <v>1861</v>
      </c>
      <c r="T699" s="85" t="s">
        <v>1491</v>
      </c>
      <c r="U699" t="s">
        <v>1953</v>
      </c>
      <c r="V699" t="s">
        <v>2813</v>
      </c>
    </row>
    <row r="700" spans="1:22" ht="15.75" thickBot="1" x14ac:dyDescent="0.3">
      <c r="A700" s="82" t="s">
        <v>3278</v>
      </c>
      <c r="B700" s="82" t="str">
        <f t="shared" si="40"/>
        <v>Barraqueiro Transportes, S.A.</v>
      </c>
      <c r="C700" s="82" t="str">
        <f t="shared" si="41"/>
        <v>Barraqueiro Alugueres</v>
      </c>
      <c r="D700" s="83" t="s">
        <v>629</v>
      </c>
      <c r="E700" s="91" t="s">
        <v>1853</v>
      </c>
      <c r="F700" s="124" t="s">
        <v>620</v>
      </c>
      <c r="G700" s="304">
        <v>2004</v>
      </c>
      <c r="H700" s="312" t="s">
        <v>732</v>
      </c>
      <c r="I700" s="307" t="str">
        <f t="shared" si="42"/>
        <v>Pesado de Passageiros M3: III : Gasóleo : E3</v>
      </c>
      <c r="J700" s="125">
        <v>53</v>
      </c>
      <c r="K700" s="125">
        <v>2022</v>
      </c>
      <c r="L700" s="85">
        <v>0</v>
      </c>
      <c r="M700" s="85" t="s">
        <v>630</v>
      </c>
      <c r="N700" s="128">
        <v>0</v>
      </c>
      <c r="O700" s="128">
        <f t="shared" si="43"/>
        <v>0</v>
      </c>
      <c r="P700" s="125" t="s">
        <v>1311</v>
      </c>
      <c r="Q700" s="85" t="s">
        <v>47</v>
      </c>
      <c r="R700" s="214" t="s">
        <v>1869</v>
      </c>
      <c r="S700" s="214" t="s">
        <v>1861</v>
      </c>
      <c r="T700" s="85" t="s">
        <v>1491</v>
      </c>
      <c r="U700" t="s">
        <v>1953</v>
      </c>
      <c r="V700" t="s">
        <v>2813</v>
      </c>
    </row>
    <row r="701" spans="1:22" ht="15.75" thickBot="1" x14ac:dyDescent="0.3">
      <c r="A701" s="82" t="s">
        <v>3278</v>
      </c>
      <c r="B701" s="82" t="str">
        <f t="shared" si="40"/>
        <v>Barraqueiro Transportes, S.A.</v>
      </c>
      <c r="C701" s="82" t="str">
        <f t="shared" si="41"/>
        <v>Barraqueiro Alugueres</v>
      </c>
      <c r="D701" s="83" t="s">
        <v>629</v>
      </c>
      <c r="E701" s="91" t="s">
        <v>1853</v>
      </c>
      <c r="F701" s="124" t="s">
        <v>620</v>
      </c>
      <c r="G701" s="304">
        <v>2004</v>
      </c>
      <c r="H701" s="312" t="s">
        <v>732</v>
      </c>
      <c r="I701" s="307" t="str">
        <f t="shared" si="42"/>
        <v>Pesado de Passageiros M3: III : Gasóleo : E3</v>
      </c>
      <c r="J701" s="125">
        <v>53</v>
      </c>
      <c r="K701" s="125">
        <v>2022</v>
      </c>
      <c r="L701" s="85">
        <v>2193.0839999999998</v>
      </c>
      <c r="M701" s="85" t="s">
        <v>630</v>
      </c>
      <c r="N701" s="128">
        <v>6512</v>
      </c>
      <c r="O701" s="128">
        <f t="shared" si="43"/>
        <v>345136</v>
      </c>
      <c r="P701" s="125" t="s">
        <v>1312</v>
      </c>
      <c r="Q701" s="85" t="s">
        <v>47</v>
      </c>
      <c r="R701" s="214" t="s">
        <v>1869</v>
      </c>
      <c r="S701" s="214" t="s">
        <v>1861</v>
      </c>
      <c r="T701" s="85" t="s">
        <v>1491</v>
      </c>
      <c r="U701" t="s">
        <v>1953</v>
      </c>
      <c r="V701" t="s">
        <v>2813</v>
      </c>
    </row>
    <row r="702" spans="1:22" ht="15.75" thickBot="1" x14ac:dyDescent="0.3">
      <c r="A702" s="82" t="s">
        <v>3278</v>
      </c>
      <c r="B702" s="82" t="str">
        <f t="shared" si="40"/>
        <v>Barraqueiro Transportes, S.A.</v>
      </c>
      <c r="C702" s="82" t="str">
        <f t="shared" si="41"/>
        <v>Barraqueiro Alugueres</v>
      </c>
      <c r="D702" s="83" t="s">
        <v>629</v>
      </c>
      <c r="E702" s="91" t="s">
        <v>1853</v>
      </c>
      <c r="F702" s="124" t="s">
        <v>620</v>
      </c>
      <c r="G702" s="304">
        <v>2004</v>
      </c>
      <c r="H702" s="312" t="s">
        <v>732</v>
      </c>
      <c r="I702" s="307" t="str">
        <f t="shared" si="42"/>
        <v>Pesado de Passageiros M3: III : Gasóleo : E3</v>
      </c>
      <c r="J702" s="125">
        <v>53</v>
      </c>
      <c r="K702" s="125">
        <v>2022</v>
      </c>
      <c r="L702" s="85">
        <v>0</v>
      </c>
      <c r="M702" s="85" t="s">
        <v>630</v>
      </c>
      <c r="N702" s="128">
        <v>0</v>
      </c>
      <c r="O702" s="128">
        <f t="shared" si="43"/>
        <v>0</v>
      </c>
      <c r="P702" s="125" t="s">
        <v>1313</v>
      </c>
      <c r="Q702" s="85" t="s">
        <v>47</v>
      </c>
      <c r="R702" s="214" t="s">
        <v>1869</v>
      </c>
      <c r="S702" s="214" t="s">
        <v>1861</v>
      </c>
      <c r="T702" s="85" t="s">
        <v>1491</v>
      </c>
      <c r="U702" t="s">
        <v>1953</v>
      </c>
      <c r="V702" t="s">
        <v>2813</v>
      </c>
    </row>
    <row r="703" spans="1:22" ht="15.75" thickBot="1" x14ac:dyDescent="0.3">
      <c r="A703" s="82" t="s">
        <v>3278</v>
      </c>
      <c r="B703" s="82" t="str">
        <f t="shared" si="40"/>
        <v>Barraqueiro Transportes, S.A.</v>
      </c>
      <c r="C703" s="82" t="str">
        <f t="shared" si="41"/>
        <v>Barraqueiro Alugueres</v>
      </c>
      <c r="D703" s="83" t="s">
        <v>629</v>
      </c>
      <c r="E703" s="91" t="s">
        <v>1853</v>
      </c>
      <c r="F703" s="124" t="s">
        <v>620</v>
      </c>
      <c r="G703" s="304">
        <v>2004</v>
      </c>
      <c r="H703" s="312" t="s">
        <v>732</v>
      </c>
      <c r="I703" s="307" t="str">
        <f t="shared" si="42"/>
        <v>Pesado de Passageiros M3: III : Gasóleo : E3</v>
      </c>
      <c r="J703" s="125">
        <v>49</v>
      </c>
      <c r="K703" s="125">
        <v>2022</v>
      </c>
      <c r="L703" s="85">
        <v>14208.113000000001</v>
      </c>
      <c r="M703" s="85" t="s">
        <v>630</v>
      </c>
      <c r="N703" s="128">
        <v>45003</v>
      </c>
      <c r="O703" s="128">
        <f t="shared" si="43"/>
        <v>2205147</v>
      </c>
      <c r="P703" s="125" t="s">
        <v>1314</v>
      </c>
      <c r="Q703" s="85" t="s">
        <v>47</v>
      </c>
      <c r="R703" s="214" t="s">
        <v>1869</v>
      </c>
      <c r="S703" s="214" t="s">
        <v>1861</v>
      </c>
      <c r="T703" s="85" t="s">
        <v>1491</v>
      </c>
      <c r="U703" t="s">
        <v>1953</v>
      </c>
      <c r="V703" t="s">
        <v>2813</v>
      </c>
    </row>
    <row r="704" spans="1:22" ht="15.75" thickBot="1" x14ac:dyDescent="0.3">
      <c r="A704" s="82" t="s">
        <v>3278</v>
      </c>
      <c r="B704" s="82" t="str">
        <f t="shared" si="40"/>
        <v>Barraqueiro Transportes, S.A.</v>
      </c>
      <c r="C704" s="82" t="str">
        <f t="shared" si="41"/>
        <v>Barraqueiro Alugueres</v>
      </c>
      <c r="D704" s="83" t="s">
        <v>629</v>
      </c>
      <c r="E704" s="91" t="s">
        <v>1853</v>
      </c>
      <c r="F704" s="124" t="s">
        <v>620</v>
      </c>
      <c r="G704" s="304">
        <v>2005</v>
      </c>
      <c r="H704" s="312" t="s">
        <v>732</v>
      </c>
      <c r="I704" s="307" t="str">
        <f t="shared" si="42"/>
        <v>Pesado de Passageiros M3: III : Gasóleo : E3</v>
      </c>
      <c r="J704" s="125">
        <v>37</v>
      </c>
      <c r="K704" s="125">
        <v>2022</v>
      </c>
      <c r="L704" s="85">
        <v>10290.300000000001</v>
      </c>
      <c r="M704" s="85" t="s">
        <v>630</v>
      </c>
      <c r="N704" s="128">
        <v>29820</v>
      </c>
      <c r="O704" s="128">
        <f t="shared" si="43"/>
        <v>1103340</v>
      </c>
      <c r="P704" s="125" t="s">
        <v>1315</v>
      </c>
      <c r="Q704" s="85" t="s">
        <v>47</v>
      </c>
      <c r="R704" s="214" t="s">
        <v>1869</v>
      </c>
      <c r="S704" s="214" t="s">
        <v>1861</v>
      </c>
      <c r="T704" s="85" t="s">
        <v>1491</v>
      </c>
      <c r="U704" t="s">
        <v>1953</v>
      </c>
      <c r="V704" t="s">
        <v>2813</v>
      </c>
    </row>
    <row r="705" spans="1:22" ht="15.75" thickBot="1" x14ac:dyDescent="0.3">
      <c r="A705" s="82" t="s">
        <v>3278</v>
      </c>
      <c r="B705" s="82" t="str">
        <f t="shared" si="40"/>
        <v>Barraqueiro Transportes, S.A.</v>
      </c>
      <c r="C705" s="82" t="str">
        <f t="shared" si="41"/>
        <v>Barraqueiro Alugueres</v>
      </c>
      <c r="D705" s="83" t="s">
        <v>629</v>
      </c>
      <c r="E705" s="91" t="s">
        <v>1853</v>
      </c>
      <c r="F705" s="124" t="s">
        <v>620</v>
      </c>
      <c r="G705" s="304">
        <v>2006</v>
      </c>
      <c r="H705" s="312" t="s">
        <v>731</v>
      </c>
      <c r="I705" s="307" t="str">
        <f t="shared" si="42"/>
        <v>Pesado de Passageiros M3: III : Gasóleo : E4</v>
      </c>
      <c r="J705" s="125">
        <v>53</v>
      </c>
      <c r="K705" s="125">
        <v>2022</v>
      </c>
      <c r="L705" s="85">
        <v>14041.046</v>
      </c>
      <c r="M705" s="85" t="s">
        <v>630</v>
      </c>
      <c r="N705" s="128">
        <v>35095</v>
      </c>
      <c r="O705" s="128">
        <f t="shared" si="43"/>
        <v>1860035</v>
      </c>
      <c r="P705" s="125" t="s">
        <v>1316</v>
      </c>
      <c r="Q705" s="85" t="s">
        <v>47</v>
      </c>
      <c r="R705" s="214" t="s">
        <v>1869</v>
      </c>
      <c r="S705" s="214" t="s">
        <v>1861</v>
      </c>
      <c r="T705" s="85" t="s">
        <v>1491</v>
      </c>
      <c r="U705" t="s">
        <v>1953</v>
      </c>
      <c r="V705" t="s">
        <v>2813</v>
      </c>
    </row>
    <row r="706" spans="1:22" ht="15.75" thickBot="1" x14ac:dyDescent="0.3">
      <c r="A706" s="82" t="s">
        <v>3278</v>
      </c>
      <c r="B706" s="82" t="str">
        <f t="shared" si="40"/>
        <v>Barraqueiro Transportes, S.A.</v>
      </c>
      <c r="C706" s="82" t="str">
        <f t="shared" si="41"/>
        <v>Barraqueiro Alugueres</v>
      </c>
      <c r="D706" s="83" t="s">
        <v>629</v>
      </c>
      <c r="E706" s="91" t="s">
        <v>1853</v>
      </c>
      <c r="F706" s="124" t="s">
        <v>620</v>
      </c>
      <c r="G706" s="304">
        <v>2006</v>
      </c>
      <c r="H706" s="312" t="s">
        <v>731</v>
      </c>
      <c r="I706" s="307" t="str">
        <f t="shared" si="42"/>
        <v>Pesado de Passageiros M3: III : Gasóleo : E4</v>
      </c>
      <c r="J706" s="125">
        <v>51</v>
      </c>
      <c r="K706" s="125">
        <v>2022</v>
      </c>
      <c r="L706" s="85">
        <v>10960.237000000003</v>
      </c>
      <c r="M706" s="85" t="s">
        <v>630</v>
      </c>
      <c r="N706" s="128">
        <v>32348</v>
      </c>
      <c r="O706" s="128">
        <f t="shared" si="43"/>
        <v>1649748</v>
      </c>
      <c r="P706" s="125" t="s">
        <v>1317</v>
      </c>
      <c r="Q706" s="85" t="s">
        <v>47</v>
      </c>
      <c r="R706" s="214" t="s">
        <v>1869</v>
      </c>
      <c r="S706" s="214" t="s">
        <v>1861</v>
      </c>
      <c r="T706" s="85" t="s">
        <v>1491</v>
      </c>
      <c r="U706" t="s">
        <v>1953</v>
      </c>
      <c r="V706" t="s">
        <v>2813</v>
      </c>
    </row>
    <row r="707" spans="1:22" ht="15.75" thickBot="1" x14ac:dyDescent="0.3">
      <c r="A707" s="82" t="s">
        <v>3278</v>
      </c>
      <c r="B707" s="82" t="str">
        <f t="shared" ref="B707:B750" si="44">LEFT(A707,IFERROR(FIND(" - ",A707)-1,LEN(A707)))</f>
        <v>Barraqueiro Transportes, S.A.</v>
      </c>
      <c r="C707" s="82" t="str">
        <f t="shared" si="41"/>
        <v>Barraqueiro Alugueres</v>
      </c>
      <c r="D707" s="83" t="s">
        <v>629</v>
      </c>
      <c r="E707" s="91" t="s">
        <v>1853</v>
      </c>
      <c r="F707" s="124" t="s">
        <v>620</v>
      </c>
      <c r="G707" s="304">
        <v>2006</v>
      </c>
      <c r="H707" s="312" t="s">
        <v>731</v>
      </c>
      <c r="I707" s="307" t="str">
        <f t="shared" si="42"/>
        <v>Pesado de Passageiros M3: III : Gasóleo : E4</v>
      </c>
      <c r="J707" s="125">
        <v>51</v>
      </c>
      <c r="K707" s="125">
        <v>2022</v>
      </c>
      <c r="L707" s="85">
        <v>3585.84</v>
      </c>
      <c r="M707" s="85" t="s">
        <v>630</v>
      </c>
      <c r="N707" s="128">
        <v>12299</v>
      </c>
      <c r="O707" s="128">
        <f t="shared" si="43"/>
        <v>627249</v>
      </c>
      <c r="P707" s="125" t="s">
        <v>1318</v>
      </c>
      <c r="Q707" s="85" t="s">
        <v>47</v>
      </c>
      <c r="R707" s="214" t="s">
        <v>1869</v>
      </c>
      <c r="S707" s="214" t="s">
        <v>1861</v>
      </c>
      <c r="T707" s="85" t="s">
        <v>1491</v>
      </c>
      <c r="U707" t="s">
        <v>1953</v>
      </c>
      <c r="V707" t="s">
        <v>2813</v>
      </c>
    </row>
    <row r="708" spans="1:22" ht="15.75" thickBot="1" x14ac:dyDescent="0.3">
      <c r="A708" s="82" t="s">
        <v>3278</v>
      </c>
      <c r="B708" s="82" t="str">
        <f t="shared" si="44"/>
        <v>Barraqueiro Transportes, S.A.</v>
      </c>
      <c r="C708" s="82" t="str">
        <f t="shared" ref="C708:C750" si="45">IF(A708=B708,B708,RIGHT(A708,LEN(A708)-LEN(B708)-3))</f>
        <v>Barraqueiro Alugueres</v>
      </c>
      <c r="D708" s="83" t="s">
        <v>629</v>
      </c>
      <c r="E708" s="91" t="s">
        <v>1853</v>
      </c>
      <c r="F708" s="124" t="s">
        <v>620</v>
      </c>
      <c r="G708" s="304">
        <v>2006</v>
      </c>
      <c r="H708" s="312" t="s">
        <v>731</v>
      </c>
      <c r="I708" s="307" t="str">
        <f t="shared" ref="I708:I771" si="46">D708&amp;": "&amp;E708&amp;" : "&amp;F708&amp;" : "&amp;H708</f>
        <v>Pesado de Passageiros M3: III : Gasóleo : E4</v>
      </c>
      <c r="J708" s="125">
        <v>51</v>
      </c>
      <c r="K708" s="125">
        <v>2022</v>
      </c>
      <c r="L708" s="85">
        <v>11794.012000000001</v>
      </c>
      <c r="M708" s="85" t="s">
        <v>630</v>
      </c>
      <c r="N708" s="128">
        <v>34648</v>
      </c>
      <c r="O708" s="128">
        <f t="shared" ref="O708:O771" si="47">N708*J708</f>
        <v>1767048</v>
      </c>
      <c r="P708" s="125" t="s">
        <v>1319</v>
      </c>
      <c r="Q708" s="85" t="s">
        <v>47</v>
      </c>
      <c r="R708" s="214" t="s">
        <v>1869</v>
      </c>
      <c r="S708" s="214" t="s">
        <v>1861</v>
      </c>
      <c r="T708" s="85" t="s">
        <v>1491</v>
      </c>
      <c r="U708" t="s">
        <v>1953</v>
      </c>
      <c r="V708" t="s">
        <v>2813</v>
      </c>
    </row>
    <row r="709" spans="1:22" ht="15.75" thickBot="1" x14ac:dyDescent="0.3">
      <c r="A709" s="82" t="s">
        <v>3278</v>
      </c>
      <c r="B709" s="82" t="str">
        <f t="shared" si="44"/>
        <v>Barraqueiro Transportes, S.A.</v>
      </c>
      <c r="C709" s="82" t="str">
        <f t="shared" si="45"/>
        <v>Barraqueiro Alugueres</v>
      </c>
      <c r="D709" s="83" t="s">
        <v>629</v>
      </c>
      <c r="E709" s="91" t="s">
        <v>1853</v>
      </c>
      <c r="F709" s="124" t="s">
        <v>620</v>
      </c>
      <c r="G709" s="304">
        <v>2006</v>
      </c>
      <c r="H709" s="312" t="s">
        <v>731</v>
      </c>
      <c r="I709" s="307" t="str">
        <f t="shared" si="46"/>
        <v>Pesado de Passageiros M3: III : Gasóleo : E4</v>
      </c>
      <c r="J709" s="125">
        <v>51</v>
      </c>
      <c r="K709" s="125">
        <v>2022</v>
      </c>
      <c r="L709" s="85">
        <v>9899.4290000000001</v>
      </c>
      <c r="M709" s="85" t="s">
        <v>630</v>
      </c>
      <c r="N709" s="128">
        <v>28597</v>
      </c>
      <c r="O709" s="128">
        <f t="shared" si="47"/>
        <v>1458447</v>
      </c>
      <c r="P709" s="125" t="s">
        <v>1320</v>
      </c>
      <c r="Q709" s="85" t="s">
        <v>47</v>
      </c>
      <c r="R709" s="214" t="s">
        <v>1869</v>
      </c>
      <c r="S709" s="214" t="s">
        <v>1861</v>
      </c>
      <c r="T709" s="85" t="s">
        <v>1491</v>
      </c>
      <c r="U709" t="s">
        <v>1953</v>
      </c>
      <c r="V709" t="s">
        <v>2813</v>
      </c>
    </row>
    <row r="710" spans="1:22" ht="15.75" thickBot="1" x14ac:dyDescent="0.3">
      <c r="A710" s="82" t="s">
        <v>3278</v>
      </c>
      <c r="B710" s="82" t="str">
        <f t="shared" si="44"/>
        <v>Barraqueiro Transportes, S.A.</v>
      </c>
      <c r="C710" s="82" t="str">
        <f t="shared" si="45"/>
        <v>Barraqueiro Alugueres</v>
      </c>
      <c r="D710" s="83" t="s">
        <v>629</v>
      </c>
      <c r="E710" s="91" t="s">
        <v>1853</v>
      </c>
      <c r="F710" s="124" t="s">
        <v>620</v>
      </c>
      <c r="G710" s="304">
        <v>2007</v>
      </c>
      <c r="H710" s="312" t="s">
        <v>731</v>
      </c>
      <c r="I710" s="307" t="str">
        <f t="shared" si="46"/>
        <v>Pesado de Passageiros M3: III : Gasóleo : E4</v>
      </c>
      <c r="J710" s="125">
        <v>55</v>
      </c>
      <c r="K710" s="125">
        <v>2022</v>
      </c>
      <c r="L710" s="85">
        <v>11337.277000000002</v>
      </c>
      <c r="M710" s="85" t="s">
        <v>630</v>
      </c>
      <c r="N710" s="128">
        <v>33043</v>
      </c>
      <c r="O710" s="128">
        <f t="shared" si="47"/>
        <v>1817365</v>
      </c>
      <c r="P710" s="125" t="s">
        <v>1321</v>
      </c>
      <c r="Q710" s="85" t="s">
        <v>47</v>
      </c>
      <c r="R710" s="214" t="s">
        <v>1869</v>
      </c>
      <c r="S710" s="214" t="s">
        <v>1861</v>
      </c>
      <c r="T710" s="85" t="s">
        <v>1491</v>
      </c>
      <c r="U710" t="s">
        <v>1953</v>
      </c>
      <c r="V710" t="s">
        <v>2813</v>
      </c>
    </row>
    <row r="711" spans="1:22" ht="15.75" thickBot="1" x14ac:dyDescent="0.3">
      <c r="A711" s="82" t="s">
        <v>3278</v>
      </c>
      <c r="B711" s="82" t="str">
        <f t="shared" si="44"/>
        <v>Barraqueiro Transportes, S.A.</v>
      </c>
      <c r="C711" s="82" t="str">
        <f t="shared" si="45"/>
        <v>Barraqueiro Alugueres</v>
      </c>
      <c r="D711" s="83" t="s">
        <v>629</v>
      </c>
      <c r="E711" s="91" t="s">
        <v>1853</v>
      </c>
      <c r="F711" s="124" t="s">
        <v>620</v>
      </c>
      <c r="G711" s="304">
        <v>2007</v>
      </c>
      <c r="H711" s="312" t="s">
        <v>731</v>
      </c>
      <c r="I711" s="307" t="str">
        <f t="shared" si="46"/>
        <v>Pesado de Passageiros M3: III : Gasóleo : E4</v>
      </c>
      <c r="J711" s="125">
        <v>55</v>
      </c>
      <c r="K711" s="125">
        <v>2022</v>
      </c>
      <c r="L711" s="85">
        <v>12801.24</v>
      </c>
      <c r="M711" s="85" t="s">
        <v>630</v>
      </c>
      <c r="N711" s="128">
        <v>38524</v>
      </c>
      <c r="O711" s="128">
        <f t="shared" si="47"/>
        <v>2118820</v>
      </c>
      <c r="P711" s="125" t="s">
        <v>1322</v>
      </c>
      <c r="Q711" s="85" t="s">
        <v>47</v>
      </c>
      <c r="R711" s="214" t="s">
        <v>1869</v>
      </c>
      <c r="S711" s="214" t="s">
        <v>1861</v>
      </c>
      <c r="T711" s="85" t="s">
        <v>1491</v>
      </c>
      <c r="U711" t="s">
        <v>1953</v>
      </c>
      <c r="V711" t="s">
        <v>2813</v>
      </c>
    </row>
    <row r="712" spans="1:22" ht="15.75" thickBot="1" x14ac:dyDescent="0.3">
      <c r="A712" s="82" t="s">
        <v>3278</v>
      </c>
      <c r="B712" s="82" t="str">
        <f t="shared" si="44"/>
        <v>Barraqueiro Transportes, S.A.</v>
      </c>
      <c r="C712" s="82" t="str">
        <f t="shared" si="45"/>
        <v>Barraqueiro Alugueres</v>
      </c>
      <c r="D712" s="83" t="s">
        <v>629</v>
      </c>
      <c r="E712" s="91" t="s">
        <v>1853</v>
      </c>
      <c r="F712" s="124" t="s">
        <v>620</v>
      </c>
      <c r="G712" s="304">
        <v>2007</v>
      </c>
      <c r="H712" s="312" t="s">
        <v>731</v>
      </c>
      <c r="I712" s="307" t="str">
        <f t="shared" si="46"/>
        <v>Pesado de Passageiros M3: III : Gasóleo : E4</v>
      </c>
      <c r="J712" s="125">
        <v>55</v>
      </c>
      <c r="K712" s="125">
        <v>2022</v>
      </c>
      <c r="L712" s="85">
        <v>14762.460999999999</v>
      </c>
      <c r="M712" s="85" t="s">
        <v>630</v>
      </c>
      <c r="N712" s="128">
        <v>42788</v>
      </c>
      <c r="O712" s="128">
        <f t="shared" si="47"/>
        <v>2353340</v>
      </c>
      <c r="P712" s="125" t="s">
        <v>1323</v>
      </c>
      <c r="Q712" s="85" t="s">
        <v>47</v>
      </c>
      <c r="R712" s="214" t="s">
        <v>1869</v>
      </c>
      <c r="S712" s="214" t="s">
        <v>1861</v>
      </c>
      <c r="T712" s="85" t="s">
        <v>1491</v>
      </c>
      <c r="U712" t="s">
        <v>1953</v>
      </c>
      <c r="V712" t="s">
        <v>2813</v>
      </c>
    </row>
    <row r="713" spans="1:22" ht="15.75" thickBot="1" x14ac:dyDescent="0.3">
      <c r="A713" s="82" t="s">
        <v>3278</v>
      </c>
      <c r="B713" s="82" t="str">
        <f t="shared" si="44"/>
        <v>Barraqueiro Transportes, S.A.</v>
      </c>
      <c r="C713" s="82" t="str">
        <f t="shared" si="45"/>
        <v>Barraqueiro Alugueres</v>
      </c>
      <c r="D713" s="83" t="s">
        <v>629</v>
      </c>
      <c r="E713" s="91" t="s">
        <v>1853</v>
      </c>
      <c r="F713" s="124" t="s">
        <v>620</v>
      </c>
      <c r="G713" s="304">
        <v>2007</v>
      </c>
      <c r="H713" s="312" t="s">
        <v>731</v>
      </c>
      <c r="I713" s="307" t="str">
        <f t="shared" si="46"/>
        <v>Pesado de Passageiros M3: III : Gasóleo : E4</v>
      </c>
      <c r="J713" s="125">
        <v>55</v>
      </c>
      <c r="K713" s="125">
        <v>2022</v>
      </c>
      <c r="L713" s="85">
        <v>14538.562</v>
      </c>
      <c r="M713" s="85" t="s">
        <v>630</v>
      </c>
      <c r="N713" s="128">
        <v>41234</v>
      </c>
      <c r="O713" s="128">
        <f t="shared" si="47"/>
        <v>2267870</v>
      </c>
      <c r="P713" s="125" t="s">
        <v>1324</v>
      </c>
      <c r="Q713" s="85" t="s">
        <v>47</v>
      </c>
      <c r="R713" s="214" t="s">
        <v>1869</v>
      </c>
      <c r="S713" s="214" t="s">
        <v>1861</v>
      </c>
      <c r="T713" s="85" t="s">
        <v>1491</v>
      </c>
      <c r="U713" t="s">
        <v>1953</v>
      </c>
      <c r="V713" t="s">
        <v>2813</v>
      </c>
    </row>
    <row r="714" spans="1:22" ht="15.75" thickBot="1" x14ac:dyDescent="0.3">
      <c r="A714" s="82" t="s">
        <v>3278</v>
      </c>
      <c r="B714" s="82" t="str">
        <f t="shared" si="44"/>
        <v>Barraqueiro Transportes, S.A.</v>
      </c>
      <c r="C714" s="82" t="str">
        <f t="shared" si="45"/>
        <v>Barraqueiro Alugueres</v>
      </c>
      <c r="D714" s="83" t="s">
        <v>629</v>
      </c>
      <c r="E714" s="91" t="s">
        <v>1853</v>
      </c>
      <c r="F714" s="124" t="s">
        <v>620</v>
      </c>
      <c r="G714" s="304">
        <v>2008</v>
      </c>
      <c r="H714" s="312" t="s">
        <v>731</v>
      </c>
      <c r="I714" s="307" t="str">
        <f t="shared" si="46"/>
        <v>Pesado de Passageiros M3: III : Gasóleo : E4</v>
      </c>
      <c r="J714" s="125">
        <v>53</v>
      </c>
      <c r="K714" s="125">
        <v>2022</v>
      </c>
      <c r="L714" s="85">
        <v>14734.53</v>
      </c>
      <c r="M714" s="85" t="s">
        <v>630</v>
      </c>
      <c r="N714" s="128">
        <v>41176</v>
      </c>
      <c r="O714" s="128">
        <f t="shared" si="47"/>
        <v>2182328</v>
      </c>
      <c r="P714" s="125" t="s">
        <v>1325</v>
      </c>
      <c r="Q714" s="85" t="s">
        <v>47</v>
      </c>
      <c r="R714" s="214" t="s">
        <v>1869</v>
      </c>
      <c r="S714" s="214" t="s">
        <v>1861</v>
      </c>
      <c r="T714" s="85" t="s">
        <v>1491</v>
      </c>
      <c r="U714" t="s">
        <v>1953</v>
      </c>
      <c r="V714" t="s">
        <v>2813</v>
      </c>
    </row>
    <row r="715" spans="1:22" ht="15.75" thickBot="1" x14ac:dyDescent="0.3">
      <c r="A715" s="82" t="s">
        <v>3278</v>
      </c>
      <c r="B715" s="82" t="str">
        <f t="shared" si="44"/>
        <v>Barraqueiro Transportes, S.A.</v>
      </c>
      <c r="C715" s="82" t="str">
        <f t="shared" si="45"/>
        <v>Barraqueiro Alugueres</v>
      </c>
      <c r="D715" s="83" t="s">
        <v>629</v>
      </c>
      <c r="E715" s="91" t="s">
        <v>1853</v>
      </c>
      <c r="F715" s="124" t="s">
        <v>620</v>
      </c>
      <c r="G715" s="304">
        <v>2008</v>
      </c>
      <c r="H715" s="312" t="s">
        <v>731</v>
      </c>
      <c r="I715" s="307" t="str">
        <f t="shared" si="46"/>
        <v>Pesado de Passageiros M3: III : Gasóleo : E4</v>
      </c>
      <c r="J715" s="125">
        <v>53</v>
      </c>
      <c r="K715" s="125">
        <v>2022</v>
      </c>
      <c r="L715" s="85">
        <v>13881.819999999998</v>
      </c>
      <c r="M715" s="85" t="s">
        <v>630</v>
      </c>
      <c r="N715" s="128">
        <v>41416</v>
      </c>
      <c r="O715" s="128">
        <f t="shared" si="47"/>
        <v>2195048</v>
      </c>
      <c r="P715" s="125" t="s">
        <v>1326</v>
      </c>
      <c r="Q715" s="85" t="s">
        <v>47</v>
      </c>
      <c r="R715" s="214" t="s">
        <v>1869</v>
      </c>
      <c r="S715" s="214" t="s">
        <v>1861</v>
      </c>
      <c r="T715" s="85" t="s">
        <v>1491</v>
      </c>
      <c r="U715" t="s">
        <v>1953</v>
      </c>
      <c r="V715" t="s">
        <v>2813</v>
      </c>
    </row>
    <row r="716" spans="1:22" ht="15.75" thickBot="1" x14ac:dyDescent="0.3">
      <c r="A716" s="82" t="s">
        <v>3278</v>
      </c>
      <c r="B716" s="82" t="str">
        <f t="shared" si="44"/>
        <v>Barraqueiro Transportes, S.A.</v>
      </c>
      <c r="C716" s="82" t="str">
        <f t="shared" si="45"/>
        <v>Barraqueiro Alugueres</v>
      </c>
      <c r="D716" s="83" t="s">
        <v>629</v>
      </c>
      <c r="E716" s="91" t="s">
        <v>1853</v>
      </c>
      <c r="F716" s="124" t="s">
        <v>620</v>
      </c>
      <c r="G716" s="304">
        <v>2008</v>
      </c>
      <c r="H716" s="312" t="s">
        <v>731</v>
      </c>
      <c r="I716" s="307" t="str">
        <f t="shared" si="46"/>
        <v>Pesado de Passageiros M3: III : Gasóleo : E4</v>
      </c>
      <c r="J716" s="125">
        <v>53</v>
      </c>
      <c r="K716" s="125">
        <v>2022</v>
      </c>
      <c r="L716" s="85">
        <v>19107.637999999999</v>
      </c>
      <c r="M716" s="85" t="s">
        <v>630</v>
      </c>
      <c r="N716" s="128">
        <v>57597</v>
      </c>
      <c r="O716" s="128">
        <f t="shared" si="47"/>
        <v>3052641</v>
      </c>
      <c r="P716" s="125" t="s">
        <v>1327</v>
      </c>
      <c r="Q716" s="85" t="s">
        <v>47</v>
      </c>
      <c r="R716" s="214" t="s">
        <v>1869</v>
      </c>
      <c r="S716" s="214" t="s">
        <v>1861</v>
      </c>
      <c r="T716" s="85" t="s">
        <v>1491</v>
      </c>
      <c r="U716" t="s">
        <v>1953</v>
      </c>
      <c r="V716" t="s">
        <v>2813</v>
      </c>
    </row>
    <row r="717" spans="1:22" ht="15.75" thickBot="1" x14ac:dyDescent="0.3">
      <c r="A717" s="82" t="s">
        <v>3278</v>
      </c>
      <c r="B717" s="82" t="str">
        <f t="shared" si="44"/>
        <v>Barraqueiro Transportes, S.A.</v>
      </c>
      <c r="C717" s="82" t="str">
        <f t="shared" si="45"/>
        <v>Barraqueiro Alugueres</v>
      </c>
      <c r="D717" s="83" t="s">
        <v>629</v>
      </c>
      <c r="E717" s="91" t="s">
        <v>1853</v>
      </c>
      <c r="F717" s="124" t="s">
        <v>620</v>
      </c>
      <c r="G717" s="304">
        <v>2008</v>
      </c>
      <c r="H717" s="312" t="s">
        <v>731</v>
      </c>
      <c r="I717" s="307" t="str">
        <f t="shared" si="46"/>
        <v>Pesado de Passageiros M3: III : Gasóleo : E4</v>
      </c>
      <c r="J717" s="125">
        <v>53</v>
      </c>
      <c r="K717" s="125">
        <v>2022</v>
      </c>
      <c r="L717" s="85">
        <v>0</v>
      </c>
      <c r="M717" s="85" t="s">
        <v>630</v>
      </c>
      <c r="N717" s="128">
        <v>0</v>
      </c>
      <c r="O717" s="128">
        <f t="shared" si="47"/>
        <v>0</v>
      </c>
      <c r="P717" s="125" t="s">
        <v>1328</v>
      </c>
      <c r="Q717" s="85" t="s">
        <v>47</v>
      </c>
      <c r="R717" s="214" t="s">
        <v>1869</v>
      </c>
      <c r="S717" s="214" t="s">
        <v>1861</v>
      </c>
      <c r="T717" s="85" t="s">
        <v>1491</v>
      </c>
      <c r="U717" t="s">
        <v>1953</v>
      </c>
      <c r="V717" t="s">
        <v>2813</v>
      </c>
    </row>
    <row r="718" spans="1:22" ht="15.75" thickBot="1" x14ac:dyDescent="0.3">
      <c r="A718" s="82" t="s">
        <v>3278</v>
      </c>
      <c r="B718" s="82" t="str">
        <f t="shared" si="44"/>
        <v>Barraqueiro Transportes, S.A.</v>
      </c>
      <c r="C718" s="82" t="str">
        <f t="shared" si="45"/>
        <v>Barraqueiro Alugueres</v>
      </c>
      <c r="D718" s="83" t="s">
        <v>629</v>
      </c>
      <c r="E718" s="91" t="s">
        <v>1853</v>
      </c>
      <c r="F718" s="124" t="s">
        <v>620</v>
      </c>
      <c r="G718" s="304">
        <v>2008</v>
      </c>
      <c r="H718" s="312" t="s">
        <v>731</v>
      </c>
      <c r="I718" s="307" t="str">
        <f t="shared" si="46"/>
        <v>Pesado de Passageiros M3: III : Gasóleo : E4</v>
      </c>
      <c r="J718" s="125">
        <v>53</v>
      </c>
      <c r="K718" s="125">
        <v>2022</v>
      </c>
      <c r="L718" s="85">
        <v>10205.735000000001</v>
      </c>
      <c r="M718" s="85" t="s">
        <v>630</v>
      </c>
      <c r="N718" s="128">
        <v>29001</v>
      </c>
      <c r="O718" s="128">
        <f t="shared" si="47"/>
        <v>1537053</v>
      </c>
      <c r="P718" s="125" t="s">
        <v>1329</v>
      </c>
      <c r="Q718" s="85" t="s">
        <v>47</v>
      </c>
      <c r="R718" s="214" t="s">
        <v>1869</v>
      </c>
      <c r="S718" s="214" t="s">
        <v>1861</v>
      </c>
      <c r="T718" s="85" t="s">
        <v>1491</v>
      </c>
      <c r="U718" t="s">
        <v>1953</v>
      </c>
      <c r="V718" t="s">
        <v>2813</v>
      </c>
    </row>
    <row r="719" spans="1:22" ht="15.75" thickBot="1" x14ac:dyDescent="0.3">
      <c r="A719" s="82" t="s">
        <v>3278</v>
      </c>
      <c r="B719" s="82" t="str">
        <f t="shared" si="44"/>
        <v>Barraqueiro Transportes, S.A.</v>
      </c>
      <c r="C719" s="82" t="str">
        <f t="shared" si="45"/>
        <v>Barraqueiro Alugueres</v>
      </c>
      <c r="D719" s="83" t="s">
        <v>629</v>
      </c>
      <c r="E719" s="91" t="s">
        <v>1853</v>
      </c>
      <c r="F719" s="124" t="s">
        <v>620</v>
      </c>
      <c r="G719" s="304">
        <v>2008</v>
      </c>
      <c r="H719" s="312" t="s">
        <v>731</v>
      </c>
      <c r="I719" s="307" t="str">
        <f t="shared" si="46"/>
        <v>Pesado de Passageiros M3: III : Gasóleo : E4</v>
      </c>
      <c r="J719" s="125">
        <v>53</v>
      </c>
      <c r="K719" s="125">
        <v>2022</v>
      </c>
      <c r="L719" s="85">
        <v>17787.803</v>
      </c>
      <c r="M719" s="85" t="s">
        <v>630</v>
      </c>
      <c r="N719" s="128">
        <v>50876</v>
      </c>
      <c r="O719" s="128">
        <f t="shared" si="47"/>
        <v>2696428</v>
      </c>
      <c r="P719" s="125" t="s">
        <v>1330</v>
      </c>
      <c r="Q719" s="85" t="s">
        <v>47</v>
      </c>
      <c r="R719" s="214" t="s">
        <v>1869</v>
      </c>
      <c r="S719" s="214" t="s">
        <v>1861</v>
      </c>
      <c r="T719" s="85" t="s">
        <v>1491</v>
      </c>
      <c r="U719" t="s">
        <v>1953</v>
      </c>
      <c r="V719" t="s">
        <v>2813</v>
      </c>
    </row>
    <row r="720" spans="1:22" ht="15.75" thickBot="1" x14ac:dyDescent="0.3">
      <c r="A720" s="82" t="s">
        <v>3278</v>
      </c>
      <c r="B720" s="82" t="str">
        <f t="shared" si="44"/>
        <v>Barraqueiro Transportes, S.A.</v>
      </c>
      <c r="C720" s="82" t="str">
        <f t="shared" si="45"/>
        <v>Barraqueiro Alugueres</v>
      </c>
      <c r="D720" s="83" t="s">
        <v>629</v>
      </c>
      <c r="E720" s="91" t="s">
        <v>1853</v>
      </c>
      <c r="F720" s="124" t="s">
        <v>620</v>
      </c>
      <c r="G720" s="304">
        <v>2008</v>
      </c>
      <c r="H720" s="312" t="s">
        <v>731</v>
      </c>
      <c r="I720" s="307" t="str">
        <f t="shared" si="46"/>
        <v>Pesado de Passageiros M3: III : Gasóleo : E4</v>
      </c>
      <c r="J720" s="125">
        <v>53</v>
      </c>
      <c r="K720" s="125">
        <v>2022</v>
      </c>
      <c r="L720" s="85">
        <v>19569.421000000002</v>
      </c>
      <c r="M720" s="85" t="s">
        <v>630</v>
      </c>
      <c r="N720" s="128">
        <v>60303</v>
      </c>
      <c r="O720" s="128">
        <f t="shared" si="47"/>
        <v>3196059</v>
      </c>
      <c r="P720" s="125" t="s">
        <v>1331</v>
      </c>
      <c r="Q720" s="85" t="s">
        <v>47</v>
      </c>
      <c r="R720" s="214" t="s">
        <v>1869</v>
      </c>
      <c r="S720" s="214" t="s">
        <v>1861</v>
      </c>
      <c r="T720" s="85" t="s">
        <v>1491</v>
      </c>
      <c r="U720" t="s">
        <v>1953</v>
      </c>
      <c r="V720" t="s">
        <v>2813</v>
      </c>
    </row>
    <row r="721" spans="1:22" ht="15.75" thickBot="1" x14ac:dyDescent="0.3">
      <c r="A721" s="82" t="s">
        <v>3278</v>
      </c>
      <c r="B721" s="82" t="str">
        <f t="shared" si="44"/>
        <v>Barraqueiro Transportes, S.A.</v>
      </c>
      <c r="C721" s="82" t="str">
        <f t="shared" si="45"/>
        <v>Barraqueiro Alugueres</v>
      </c>
      <c r="D721" s="83" t="s">
        <v>629</v>
      </c>
      <c r="E721" s="91" t="s">
        <v>1853</v>
      </c>
      <c r="F721" s="124" t="s">
        <v>620</v>
      </c>
      <c r="G721" s="304">
        <v>2008</v>
      </c>
      <c r="H721" s="312" t="s">
        <v>731</v>
      </c>
      <c r="I721" s="307" t="str">
        <f t="shared" si="46"/>
        <v>Pesado de Passageiros M3: III : Gasóleo : E4</v>
      </c>
      <c r="J721" s="125">
        <v>53</v>
      </c>
      <c r="K721" s="125">
        <v>2022</v>
      </c>
      <c r="L721" s="85">
        <v>12285.554</v>
      </c>
      <c r="M721" s="85" t="s">
        <v>630</v>
      </c>
      <c r="N721" s="128">
        <v>36708</v>
      </c>
      <c r="O721" s="128">
        <f t="shared" si="47"/>
        <v>1945524</v>
      </c>
      <c r="P721" s="125" t="s">
        <v>1332</v>
      </c>
      <c r="Q721" s="85" t="s">
        <v>47</v>
      </c>
      <c r="R721" s="214" t="s">
        <v>1869</v>
      </c>
      <c r="S721" s="214" t="s">
        <v>1861</v>
      </c>
      <c r="T721" s="85" t="s">
        <v>1491</v>
      </c>
      <c r="U721" t="s">
        <v>1953</v>
      </c>
      <c r="V721" t="s">
        <v>2813</v>
      </c>
    </row>
    <row r="722" spans="1:22" ht="15.75" thickBot="1" x14ac:dyDescent="0.3">
      <c r="A722" s="82" t="s">
        <v>3278</v>
      </c>
      <c r="B722" s="82" t="str">
        <f t="shared" si="44"/>
        <v>Barraqueiro Transportes, S.A.</v>
      </c>
      <c r="C722" s="82" t="str">
        <f t="shared" si="45"/>
        <v>Barraqueiro Alugueres</v>
      </c>
      <c r="D722" s="83" t="s">
        <v>629</v>
      </c>
      <c r="E722" s="91" t="s">
        <v>1853</v>
      </c>
      <c r="F722" s="124" t="s">
        <v>620</v>
      </c>
      <c r="G722" s="304">
        <v>2008</v>
      </c>
      <c r="H722" s="312" t="s">
        <v>731</v>
      </c>
      <c r="I722" s="307" t="str">
        <f t="shared" si="46"/>
        <v>Pesado de Passageiros M3: III : Gasóleo : E4</v>
      </c>
      <c r="J722" s="125">
        <v>34</v>
      </c>
      <c r="K722" s="125">
        <v>2022</v>
      </c>
      <c r="L722" s="85">
        <v>13139.721999999998</v>
      </c>
      <c r="M722" s="85" t="s">
        <v>630</v>
      </c>
      <c r="N722" s="128">
        <v>34087</v>
      </c>
      <c r="O722" s="128">
        <f t="shared" si="47"/>
        <v>1158958</v>
      </c>
      <c r="P722" s="125" t="s">
        <v>1333</v>
      </c>
      <c r="Q722" s="85" t="s">
        <v>47</v>
      </c>
      <c r="R722" s="214" t="s">
        <v>1869</v>
      </c>
      <c r="S722" s="214" t="s">
        <v>1861</v>
      </c>
      <c r="T722" s="85" t="s">
        <v>1491</v>
      </c>
      <c r="U722" t="s">
        <v>1953</v>
      </c>
      <c r="V722" t="s">
        <v>2813</v>
      </c>
    </row>
    <row r="723" spans="1:22" ht="15.75" thickBot="1" x14ac:dyDescent="0.3">
      <c r="A723" s="82" t="s">
        <v>3278</v>
      </c>
      <c r="B723" s="82" t="str">
        <f t="shared" si="44"/>
        <v>Barraqueiro Transportes, S.A.</v>
      </c>
      <c r="C723" s="82" t="str">
        <f t="shared" si="45"/>
        <v>Barraqueiro Alugueres</v>
      </c>
      <c r="D723" s="83" t="s">
        <v>629</v>
      </c>
      <c r="E723" s="91" t="s">
        <v>1853</v>
      </c>
      <c r="F723" s="124" t="s">
        <v>620</v>
      </c>
      <c r="G723" s="304">
        <v>2008</v>
      </c>
      <c r="H723" s="312" t="s">
        <v>731</v>
      </c>
      <c r="I723" s="307" t="str">
        <f t="shared" si="46"/>
        <v>Pesado de Passageiros M3: III : Gasóleo : E4</v>
      </c>
      <c r="J723" s="125">
        <v>34</v>
      </c>
      <c r="K723" s="125">
        <v>2022</v>
      </c>
      <c r="L723" s="85">
        <v>15405.339</v>
      </c>
      <c r="M723" s="85" t="s">
        <v>630</v>
      </c>
      <c r="N723" s="128">
        <v>40526</v>
      </c>
      <c r="O723" s="128">
        <f t="shared" si="47"/>
        <v>1377884</v>
      </c>
      <c r="P723" s="125" t="s">
        <v>1334</v>
      </c>
      <c r="Q723" s="85" t="s">
        <v>47</v>
      </c>
      <c r="R723" s="214" t="s">
        <v>1869</v>
      </c>
      <c r="S723" s="214" t="s">
        <v>1861</v>
      </c>
      <c r="T723" s="85" t="s">
        <v>1491</v>
      </c>
      <c r="U723" t="s">
        <v>1953</v>
      </c>
      <c r="V723" t="s">
        <v>2813</v>
      </c>
    </row>
    <row r="724" spans="1:22" ht="15.75" thickBot="1" x14ac:dyDescent="0.3">
      <c r="A724" s="82" t="s">
        <v>3278</v>
      </c>
      <c r="B724" s="82" t="str">
        <f t="shared" si="44"/>
        <v>Barraqueiro Transportes, S.A.</v>
      </c>
      <c r="C724" s="82" t="str">
        <f t="shared" si="45"/>
        <v>Barraqueiro Alugueres</v>
      </c>
      <c r="D724" s="83" t="s">
        <v>629</v>
      </c>
      <c r="E724" s="91" t="s">
        <v>1853</v>
      </c>
      <c r="F724" s="124" t="s">
        <v>620</v>
      </c>
      <c r="G724" s="304">
        <v>2009</v>
      </c>
      <c r="H724" s="312" t="s">
        <v>734</v>
      </c>
      <c r="I724" s="307" t="str">
        <f t="shared" si="46"/>
        <v>Pesado de Passageiros M3: III : Gasóleo : E5</v>
      </c>
      <c r="J724" s="125">
        <v>53</v>
      </c>
      <c r="K724" s="125">
        <v>2022</v>
      </c>
      <c r="L724" s="85">
        <v>25511.771000000001</v>
      </c>
      <c r="M724" s="85" t="s">
        <v>630</v>
      </c>
      <c r="N724" s="128">
        <v>80189</v>
      </c>
      <c r="O724" s="128">
        <f t="shared" si="47"/>
        <v>4250017</v>
      </c>
      <c r="P724" s="125" t="s">
        <v>1335</v>
      </c>
      <c r="Q724" s="85" t="s">
        <v>47</v>
      </c>
      <c r="R724" s="214" t="s">
        <v>1869</v>
      </c>
      <c r="S724" s="214" t="s">
        <v>1861</v>
      </c>
      <c r="T724" s="85" t="s">
        <v>1491</v>
      </c>
      <c r="U724" t="s">
        <v>1953</v>
      </c>
      <c r="V724" t="s">
        <v>2813</v>
      </c>
    </row>
    <row r="725" spans="1:22" ht="15.75" thickBot="1" x14ac:dyDescent="0.3">
      <c r="A725" s="82" t="s">
        <v>3278</v>
      </c>
      <c r="B725" s="82" t="str">
        <f t="shared" si="44"/>
        <v>Barraqueiro Transportes, S.A.</v>
      </c>
      <c r="C725" s="82" t="str">
        <f t="shared" si="45"/>
        <v>Barraqueiro Alugueres</v>
      </c>
      <c r="D725" s="83" t="s">
        <v>629</v>
      </c>
      <c r="E725" s="91" t="s">
        <v>1853</v>
      </c>
      <c r="F725" s="124" t="s">
        <v>620</v>
      </c>
      <c r="G725" s="304">
        <v>2011</v>
      </c>
      <c r="H725" s="312" t="s">
        <v>734</v>
      </c>
      <c r="I725" s="307" t="str">
        <f t="shared" si="46"/>
        <v>Pesado de Passageiros M3: III : Gasóleo : E5</v>
      </c>
      <c r="J725" s="125">
        <v>53</v>
      </c>
      <c r="K725" s="125">
        <v>2022</v>
      </c>
      <c r="L725" s="85">
        <v>22781.541999999998</v>
      </c>
      <c r="M725" s="85" t="s">
        <v>630</v>
      </c>
      <c r="N725" s="128">
        <v>69774</v>
      </c>
      <c r="O725" s="128">
        <f t="shared" si="47"/>
        <v>3698022</v>
      </c>
      <c r="P725" s="125" t="s">
        <v>1336</v>
      </c>
      <c r="Q725" s="85" t="s">
        <v>47</v>
      </c>
      <c r="R725" s="214" t="s">
        <v>1869</v>
      </c>
      <c r="S725" s="214" t="s">
        <v>1861</v>
      </c>
      <c r="T725" s="85" t="s">
        <v>1491</v>
      </c>
      <c r="U725" t="s">
        <v>1953</v>
      </c>
      <c r="V725" t="s">
        <v>2813</v>
      </c>
    </row>
    <row r="726" spans="1:22" ht="15.75" thickBot="1" x14ac:dyDescent="0.3">
      <c r="A726" s="82" t="s">
        <v>3278</v>
      </c>
      <c r="B726" s="82" t="str">
        <f t="shared" si="44"/>
        <v>Barraqueiro Transportes, S.A.</v>
      </c>
      <c r="C726" s="82" t="str">
        <f t="shared" si="45"/>
        <v>Barraqueiro Alugueres</v>
      </c>
      <c r="D726" s="83" t="s">
        <v>629</v>
      </c>
      <c r="E726" s="91" t="s">
        <v>1853</v>
      </c>
      <c r="F726" s="124" t="s">
        <v>620</v>
      </c>
      <c r="G726" s="304">
        <v>2011</v>
      </c>
      <c r="H726" s="312" t="s">
        <v>734</v>
      </c>
      <c r="I726" s="307" t="str">
        <f t="shared" si="46"/>
        <v>Pesado de Passageiros M3: III : Gasóleo : E5</v>
      </c>
      <c r="J726" s="125">
        <v>53</v>
      </c>
      <c r="K726" s="125">
        <v>2022</v>
      </c>
      <c r="L726" s="85">
        <v>19491.171999999999</v>
      </c>
      <c r="M726" s="85" t="s">
        <v>630</v>
      </c>
      <c r="N726" s="128">
        <v>57886</v>
      </c>
      <c r="O726" s="128">
        <f t="shared" si="47"/>
        <v>3067958</v>
      </c>
      <c r="P726" s="125" t="s">
        <v>1337</v>
      </c>
      <c r="Q726" s="85" t="s">
        <v>47</v>
      </c>
      <c r="R726" s="214" t="s">
        <v>1869</v>
      </c>
      <c r="S726" s="214" t="s">
        <v>1861</v>
      </c>
      <c r="T726" s="85" t="s">
        <v>1491</v>
      </c>
      <c r="U726" t="s">
        <v>1953</v>
      </c>
      <c r="V726" t="s">
        <v>2813</v>
      </c>
    </row>
    <row r="727" spans="1:22" ht="15.75" thickBot="1" x14ac:dyDescent="0.3">
      <c r="A727" s="82" t="s">
        <v>3278</v>
      </c>
      <c r="B727" s="82" t="str">
        <f t="shared" si="44"/>
        <v>Barraqueiro Transportes, S.A.</v>
      </c>
      <c r="C727" s="82" t="str">
        <f t="shared" si="45"/>
        <v>Barraqueiro Alugueres</v>
      </c>
      <c r="D727" s="83" t="s">
        <v>629</v>
      </c>
      <c r="E727" s="91" t="s">
        <v>1853</v>
      </c>
      <c r="F727" s="124" t="s">
        <v>620</v>
      </c>
      <c r="G727" s="304">
        <v>2011</v>
      </c>
      <c r="H727" s="312" t="s">
        <v>734</v>
      </c>
      <c r="I727" s="307" t="str">
        <f t="shared" si="46"/>
        <v>Pesado de Passageiros M3: III : Gasóleo : E5</v>
      </c>
      <c r="J727" s="125">
        <v>53</v>
      </c>
      <c r="K727" s="125">
        <v>2022</v>
      </c>
      <c r="L727" s="85">
        <v>19566.760999999999</v>
      </c>
      <c r="M727" s="85" t="s">
        <v>630</v>
      </c>
      <c r="N727" s="128">
        <v>56933</v>
      </c>
      <c r="O727" s="128">
        <f t="shared" si="47"/>
        <v>3017449</v>
      </c>
      <c r="P727" s="125" t="s">
        <v>1338</v>
      </c>
      <c r="Q727" s="85" t="s">
        <v>47</v>
      </c>
      <c r="R727" s="214" t="s">
        <v>1869</v>
      </c>
      <c r="S727" s="214" t="s">
        <v>1861</v>
      </c>
      <c r="T727" s="85" t="s">
        <v>1491</v>
      </c>
      <c r="U727" t="s">
        <v>1953</v>
      </c>
      <c r="V727" t="s">
        <v>2813</v>
      </c>
    </row>
    <row r="728" spans="1:22" ht="15.75" thickBot="1" x14ac:dyDescent="0.3">
      <c r="A728" s="82" t="s">
        <v>3278</v>
      </c>
      <c r="B728" s="82" t="str">
        <f t="shared" si="44"/>
        <v>Barraqueiro Transportes, S.A.</v>
      </c>
      <c r="C728" s="82" t="str">
        <f t="shared" si="45"/>
        <v>Barraqueiro Alugueres</v>
      </c>
      <c r="D728" s="83" t="s">
        <v>629</v>
      </c>
      <c r="E728" s="91" t="s">
        <v>1853</v>
      </c>
      <c r="F728" s="124" t="s">
        <v>620</v>
      </c>
      <c r="G728" s="304">
        <v>2011</v>
      </c>
      <c r="H728" s="312" t="s">
        <v>734</v>
      </c>
      <c r="I728" s="307" t="str">
        <f t="shared" si="46"/>
        <v>Pesado de Passageiros M3: III : Gasóleo : E5</v>
      </c>
      <c r="J728" s="125">
        <v>53</v>
      </c>
      <c r="K728" s="125">
        <v>2022</v>
      </c>
      <c r="L728" s="85">
        <v>20978.825000000001</v>
      </c>
      <c r="M728" s="85" t="s">
        <v>630</v>
      </c>
      <c r="N728" s="128">
        <v>64405</v>
      </c>
      <c r="O728" s="128">
        <f t="shared" si="47"/>
        <v>3413465</v>
      </c>
      <c r="P728" s="125" t="s">
        <v>1339</v>
      </c>
      <c r="Q728" s="85" t="s">
        <v>47</v>
      </c>
      <c r="R728" s="214" t="s">
        <v>1869</v>
      </c>
      <c r="S728" s="214" t="s">
        <v>1861</v>
      </c>
      <c r="T728" s="85" t="s">
        <v>1491</v>
      </c>
      <c r="U728" t="s">
        <v>1953</v>
      </c>
      <c r="V728" t="s">
        <v>2813</v>
      </c>
    </row>
    <row r="729" spans="1:22" ht="15.75" thickBot="1" x14ac:dyDescent="0.3">
      <c r="A729" s="82" t="s">
        <v>3278</v>
      </c>
      <c r="B729" s="82" t="str">
        <f t="shared" si="44"/>
        <v>Barraqueiro Transportes, S.A.</v>
      </c>
      <c r="C729" s="82" t="str">
        <f t="shared" si="45"/>
        <v>Barraqueiro Alugueres</v>
      </c>
      <c r="D729" s="83" t="s">
        <v>629</v>
      </c>
      <c r="E729" s="91" t="s">
        <v>1853</v>
      </c>
      <c r="F729" s="124" t="s">
        <v>620</v>
      </c>
      <c r="G729" s="304">
        <v>2011</v>
      </c>
      <c r="H729" s="312" t="s">
        <v>734</v>
      </c>
      <c r="I729" s="307" t="str">
        <f t="shared" si="46"/>
        <v>Pesado de Passageiros M3: III : Gasóleo : E5</v>
      </c>
      <c r="J729" s="125">
        <v>53</v>
      </c>
      <c r="K729" s="125">
        <v>2022</v>
      </c>
      <c r="L729" s="85">
        <v>16716.853999999999</v>
      </c>
      <c r="M729" s="85" t="s">
        <v>630</v>
      </c>
      <c r="N729" s="128">
        <v>51560</v>
      </c>
      <c r="O729" s="128">
        <f t="shared" si="47"/>
        <v>2732680</v>
      </c>
      <c r="P729" s="125" t="s">
        <v>1340</v>
      </c>
      <c r="Q729" s="85" t="s">
        <v>47</v>
      </c>
      <c r="R729" s="214" t="s">
        <v>1869</v>
      </c>
      <c r="S729" s="214" t="s">
        <v>1861</v>
      </c>
      <c r="T729" s="85" t="s">
        <v>1491</v>
      </c>
      <c r="U729" t="s">
        <v>1953</v>
      </c>
      <c r="V729" t="s">
        <v>2813</v>
      </c>
    </row>
    <row r="730" spans="1:22" ht="15.75" thickBot="1" x14ac:dyDescent="0.3">
      <c r="A730" s="82" t="s">
        <v>3278</v>
      </c>
      <c r="B730" s="82" t="str">
        <f t="shared" si="44"/>
        <v>Barraqueiro Transportes, S.A.</v>
      </c>
      <c r="C730" s="82" t="str">
        <f t="shared" si="45"/>
        <v>Barraqueiro Alugueres</v>
      </c>
      <c r="D730" s="83" t="s">
        <v>629</v>
      </c>
      <c r="E730" s="91" t="s">
        <v>1853</v>
      </c>
      <c r="F730" s="124" t="s">
        <v>620</v>
      </c>
      <c r="G730" s="304">
        <v>2011</v>
      </c>
      <c r="H730" s="312" t="s">
        <v>734</v>
      </c>
      <c r="I730" s="307" t="str">
        <f t="shared" si="46"/>
        <v>Pesado de Passageiros M3: III : Gasóleo : E5</v>
      </c>
      <c r="J730" s="125">
        <v>53</v>
      </c>
      <c r="K730" s="125">
        <v>2022</v>
      </c>
      <c r="L730" s="85">
        <v>15245.787000000002</v>
      </c>
      <c r="M730" s="85" t="s">
        <v>630</v>
      </c>
      <c r="N730" s="128">
        <v>51122</v>
      </c>
      <c r="O730" s="128">
        <f t="shared" si="47"/>
        <v>2709466</v>
      </c>
      <c r="P730" s="125" t="s">
        <v>1341</v>
      </c>
      <c r="Q730" s="85" t="s">
        <v>47</v>
      </c>
      <c r="R730" s="214" t="s">
        <v>1869</v>
      </c>
      <c r="S730" s="214" t="s">
        <v>1861</v>
      </c>
      <c r="T730" s="85" t="s">
        <v>1491</v>
      </c>
      <c r="U730" t="s">
        <v>1953</v>
      </c>
      <c r="V730" t="s">
        <v>2813</v>
      </c>
    </row>
    <row r="731" spans="1:22" ht="15.75" thickBot="1" x14ac:dyDescent="0.3">
      <c r="A731" s="82" t="s">
        <v>3278</v>
      </c>
      <c r="B731" s="82" t="str">
        <f t="shared" si="44"/>
        <v>Barraqueiro Transportes, S.A.</v>
      </c>
      <c r="C731" s="82" t="str">
        <f t="shared" si="45"/>
        <v>Barraqueiro Alugueres</v>
      </c>
      <c r="D731" s="83" t="s">
        <v>629</v>
      </c>
      <c r="E731" s="91" t="s">
        <v>1853</v>
      </c>
      <c r="F731" s="124" t="s">
        <v>620</v>
      </c>
      <c r="G731" s="304">
        <v>2011</v>
      </c>
      <c r="H731" s="312" t="s">
        <v>734</v>
      </c>
      <c r="I731" s="307" t="str">
        <f t="shared" si="46"/>
        <v>Pesado de Passageiros M3: III : Gasóleo : E5</v>
      </c>
      <c r="J731" s="125">
        <v>53</v>
      </c>
      <c r="K731" s="125">
        <v>2022</v>
      </c>
      <c r="L731" s="85">
        <v>24890.617000000002</v>
      </c>
      <c r="M731" s="85" t="s">
        <v>630</v>
      </c>
      <c r="N731" s="128">
        <v>75766</v>
      </c>
      <c r="O731" s="128">
        <f t="shared" si="47"/>
        <v>4015598</v>
      </c>
      <c r="P731" s="125" t="s">
        <v>1342</v>
      </c>
      <c r="Q731" s="85" t="s">
        <v>47</v>
      </c>
      <c r="R731" s="214" t="s">
        <v>1869</v>
      </c>
      <c r="S731" s="214" t="s">
        <v>1861</v>
      </c>
      <c r="T731" s="85" t="s">
        <v>1491</v>
      </c>
      <c r="U731" t="s">
        <v>1953</v>
      </c>
      <c r="V731" t="s">
        <v>2813</v>
      </c>
    </row>
    <row r="732" spans="1:22" ht="15.75" thickBot="1" x14ac:dyDescent="0.3">
      <c r="A732" s="82" t="s">
        <v>3278</v>
      </c>
      <c r="B732" s="82" t="str">
        <f t="shared" si="44"/>
        <v>Barraqueiro Transportes, S.A.</v>
      </c>
      <c r="C732" s="82" t="str">
        <f t="shared" si="45"/>
        <v>Barraqueiro Alugueres</v>
      </c>
      <c r="D732" s="83" t="s">
        <v>629</v>
      </c>
      <c r="E732" s="91" t="s">
        <v>1853</v>
      </c>
      <c r="F732" s="124" t="s">
        <v>620</v>
      </c>
      <c r="G732" s="304">
        <v>2011</v>
      </c>
      <c r="H732" s="312" t="s">
        <v>734</v>
      </c>
      <c r="I732" s="307" t="str">
        <f t="shared" si="46"/>
        <v>Pesado de Passageiros M3: III : Gasóleo : E5</v>
      </c>
      <c r="J732" s="125">
        <v>53</v>
      </c>
      <c r="K732" s="125">
        <v>2022</v>
      </c>
      <c r="L732" s="85">
        <v>22399.293999999998</v>
      </c>
      <c r="M732" s="85" t="s">
        <v>630</v>
      </c>
      <c r="N732" s="128">
        <v>67341</v>
      </c>
      <c r="O732" s="128">
        <f t="shared" si="47"/>
        <v>3569073</v>
      </c>
      <c r="P732" s="125" t="s">
        <v>1343</v>
      </c>
      <c r="Q732" s="85" t="s">
        <v>47</v>
      </c>
      <c r="R732" s="214" t="s">
        <v>1869</v>
      </c>
      <c r="S732" s="214" t="s">
        <v>1861</v>
      </c>
      <c r="T732" s="85" t="s">
        <v>1491</v>
      </c>
      <c r="U732" t="s">
        <v>1953</v>
      </c>
      <c r="V732" t="s">
        <v>2813</v>
      </c>
    </row>
    <row r="733" spans="1:22" ht="15.75" thickBot="1" x14ac:dyDescent="0.3">
      <c r="A733" s="82" t="s">
        <v>3278</v>
      </c>
      <c r="B733" s="82" t="str">
        <f t="shared" si="44"/>
        <v>Barraqueiro Transportes, S.A.</v>
      </c>
      <c r="C733" s="82" t="str">
        <f t="shared" si="45"/>
        <v>Barraqueiro Alugueres</v>
      </c>
      <c r="D733" s="83" t="s">
        <v>629</v>
      </c>
      <c r="E733" s="91" t="s">
        <v>1853</v>
      </c>
      <c r="F733" s="124" t="s">
        <v>620</v>
      </c>
      <c r="G733" s="304">
        <v>2012</v>
      </c>
      <c r="H733" s="312" t="s">
        <v>734</v>
      </c>
      <c r="I733" s="307" t="str">
        <f t="shared" si="46"/>
        <v>Pesado de Passageiros M3: III : Gasóleo : E5</v>
      </c>
      <c r="J733" s="125">
        <v>53</v>
      </c>
      <c r="K733" s="125">
        <v>2022</v>
      </c>
      <c r="L733" s="85">
        <v>16576.670000000002</v>
      </c>
      <c r="M733" s="85" t="s">
        <v>630</v>
      </c>
      <c r="N733" s="128">
        <v>53628</v>
      </c>
      <c r="O733" s="128">
        <f t="shared" si="47"/>
        <v>2842284</v>
      </c>
      <c r="P733" s="125" t="s">
        <v>1344</v>
      </c>
      <c r="Q733" s="85" t="s">
        <v>47</v>
      </c>
      <c r="R733" s="214" t="s">
        <v>1869</v>
      </c>
      <c r="S733" s="214" t="s">
        <v>1861</v>
      </c>
      <c r="T733" s="85" t="s">
        <v>1491</v>
      </c>
      <c r="U733" t="s">
        <v>1953</v>
      </c>
      <c r="V733" t="s">
        <v>2813</v>
      </c>
    </row>
    <row r="734" spans="1:22" ht="15.75" thickBot="1" x14ac:dyDescent="0.3">
      <c r="A734" s="82" t="s">
        <v>3278</v>
      </c>
      <c r="B734" s="82" t="str">
        <f t="shared" si="44"/>
        <v>Barraqueiro Transportes, S.A.</v>
      </c>
      <c r="C734" s="82" t="str">
        <f t="shared" si="45"/>
        <v>Barraqueiro Alugueres</v>
      </c>
      <c r="D734" s="83" t="s">
        <v>629</v>
      </c>
      <c r="E734" s="91" t="s">
        <v>1853</v>
      </c>
      <c r="F734" s="124" t="s">
        <v>620</v>
      </c>
      <c r="G734" s="304">
        <v>2013</v>
      </c>
      <c r="H734" s="312" t="s">
        <v>733</v>
      </c>
      <c r="I734" s="307" t="str">
        <f t="shared" si="46"/>
        <v>Pesado de Passageiros M3: III : Gasóleo : E6</v>
      </c>
      <c r="J734" s="125">
        <v>53</v>
      </c>
      <c r="K734" s="125">
        <v>2022</v>
      </c>
      <c r="L734" s="85">
        <v>24199.774000000001</v>
      </c>
      <c r="M734" s="85" t="s">
        <v>630</v>
      </c>
      <c r="N734" s="128">
        <v>76648</v>
      </c>
      <c r="O734" s="128">
        <f t="shared" si="47"/>
        <v>4062344</v>
      </c>
      <c r="P734" s="125" t="s">
        <v>1345</v>
      </c>
      <c r="Q734" s="85" t="s">
        <v>47</v>
      </c>
      <c r="R734" s="214" t="s">
        <v>1869</v>
      </c>
      <c r="S734" s="214" t="s">
        <v>1861</v>
      </c>
      <c r="T734" s="85" t="s">
        <v>1491</v>
      </c>
      <c r="U734" t="s">
        <v>1953</v>
      </c>
      <c r="V734" t="s">
        <v>2813</v>
      </c>
    </row>
    <row r="735" spans="1:22" ht="15.75" thickBot="1" x14ac:dyDescent="0.3">
      <c r="A735" s="82" t="s">
        <v>3278</v>
      </c>
      <c r="B735" s="82" t="str">
        <f t="shared" si="44"/>
        <v>Barraqueiro Transportes, S.A.</v>
      </c>
      <c r="C735" s="82" t="str">
        <f t="shared" si="45"/>
        <v>Barraqueiro Alugueres</v>
      </c>
      <c r="D735" s="83" t="s">
        <v>629</v>
      </c>
      <c r="E735" s="91" t="s">
        <v>1853</v>
      </c>
      <c r="F735" s="124" t="s">
        <v>620</v>
      </c>
      <c r="G735" s="304">
        <v>2013</v>
      </c>
      <c r="H735" s="312" t="s">
        <v>733</v>
      </c>
      <c r="I735" s="307" t="str">
        <f t="shared" si="46"/>
        <v>Pesado de Passageiros M3: III : Gasóleo : E6</v>
      </c>
      <c r="J735" s="125">
        <v>55</v>
      </c>
      <c r="K735" s="125">
        <v>2022</v>
      </c>
      <c r="L735" s="85">
        <v>26764.061000000002</v>
      </c>
      <c r="M735" s="85" t="s">
        <v>630</v>
      </c>
      <c r="N735" s="128">
        <v>76745</v>
      </c>
      <c r="O735" s="128">
        <f t="shared" si="47"/>
        <v>4220975</v>
      </c>
      <c r="P735" s="125" t="s">
        <v>1346</v>
      </c>
      <c r="Q735" s="85" t="s">
        <v>47</v>
      </c>
      <c r="R735" s="214" t="s">
        <v>1869</v>
      </c>
      <c r="S735" s="214" t="s">
        <v>1861</v>
      </c>
      <c r="T735" s="85" t="s">
        <v>1491</v>
      </c>
      <c r="U735" t="s">
        <v>1953</v>
      </c>
      <c r="V735" t="s">
        <v>2813</v>
      </c>
    </row>
    <row r="736" spans="1:22" ht="15.75" thickBot="1" x14ac:dyDescent="0.3">
      <c r="A736" s="82" t="s">
        <v>3278</v>
      </c>
      <c r="B736" s="82" t="str">
        <f t="shared" si="44"/>
        <v>Barraqueiro Transportes, S.A.</v>
      </c>
      <c r="C736" s="82" t="str">
        <f t="shared" si="45"/>
        <v>Barraqueiro Alugueres</v>
      </c>
      <c r="D736" s="83" t="s">
        <v>629</v>
      </c>
      <c r="E736" s="91" t="s">
        <v>1853</v>
      </c>
      <c r="F736" s="124" t="s">
        <v>620</v>
      </c>
      <c r="G736" s="304">
        <v>2014</v>
      </c>
      <c r="H736" s="312" t="s">
        <v>733</v>
      </c>
      <c r="I736" s="307" t="str">
        <f t="shared" si="46"/>
        <v>Pesado de Passageiros M3: III : Gasóleo : E6</v>
      </c>
      <c r="J736" s="125">
        <v>53</v>
      </c>
      <c r="K736" s="125">
        <v>2022</v>
      </c>
      <c r="L736" s="85">
        <v>49880.796999999999</v>
      </c>
      <c r="M736" s="85" t="s">
        <v>630</v>
      </c>
      <c r="N736" s="128">
        <v>173290</v>
      </c>
      <c r="O736" s="128">
        <f t="shared" si="47"/>
        <v>9184370</v>
      </c>
      <c r="P736" s="125" t="s">
        <v>1347</v>
      </c>
      <c r="Q736" s="85" t="s">
        <v>47</v>
      </c>
      <c r="R736" s="214" t="s">
        <v>1869</v>
      </c>
      <c r="S736" s="214" t="s">
        <v>1861</v>
      </c>
      <c r="T736" s="85" t="s">
        <v>1491</v>
      </c>
      <c r="U736" t="s">
        <v>1953</v>
      </c>
      <c r="V736" t="s">
        <v>2813</v>
      </c>
    </row>
    <row r="737" spans="1:22" ht="15.75" thickBot="1" x14ac:dyDescent="0.3">
      <c r="A737" s="82" t="s">
        <v>3278</v>
      </c>
      <c r="B737" s="82" t="str">
        <f t="shared" si="44"/>
        <v>Barraqueiro Transportes, S.A.</v>
      </c>
      <c r="C737" s="82" t="str">
        <f t="shared" si="45"/>
        <v>Barraqueiro Alugueres</v>
      </c>
      <c r="D737" s="83" t="s">
        <v>629</v>
      </c>
      <c r="E737" s="91" t="s">
        <v>1853</v>
      </c>
      <c r="F737" s="124" t="s">
        <v>620</v>
      </c>
      <c r="G737" s="304">
        <v>2014</v>
      </c>
      <c r="H737" s="312" t="s">
        <v>733</v>
      </c>
      <c r="I737" s="307" t="str">
        <f t="shared" si="46"/>
        <v>Pesado de Passageiros M3: III : Gasóleo : E6</v>
      </c>
      <c r="J737" s="125">
        <v>53</v>
      </c>
      <c r="K737" s="125">
        <v>2022</v>
      </c>
      <c r="L737" s="85">
        <v>42631.003000000004</v>
      </c>
      <c r="M737" s="85" t="s">
        <v>630</v>
      </c>
      <c r="N737" s="128">
        <v>157266</v>
      </c>
      <c r="O737" s="128">
        <f t="shared" si="47"/>
        <v>8335098</v>
      </c>
      <c r="P737" s="125" t="s">
        <v>1348</v>
      </c>
      <c r="Q737" s="85" t="s">
        <v>47</v>
      </c>
      <c r="R737" s="214" t="s">
        <v>1869</v>
      </c>
      <c r="S737" s="214" t="s">
        <v>1861</v>
      </c>
      <c r="T737" s="85" t="s">
        <v>1491</v>
      </c>
      <c r="U737" t="s">
        <v>1953</v>
      </c>
      <c r="V737" t="s">
        <v>2813</v>
      </c>
    </row>
    <row r="738" spans="1:22" ht="15.75" thickBot="1" x14ac:dyDescent="0.3">
      <c r="A738" s="82" t="s">
        <v>3278</v>
      </c>
      <c r="B738" s="82" t="str">
        <f t="shared" si="44"/>
        <v>Barraqueiro Transportes, S.A.</v>
      </c>
      <c r="C738" s="82" t="str">
        <f t="shared" si="45"/>
        <v>Barraqueiro Alugueres</v>
      </c>
      <c r="D738" s="83" t="s">
        <v>629</v>
      </c>
      <c r="E738" s="91" t="s">
        <v>1853</v>
      </c>
      <c r="F738" s="124" t="s">
        <v>620</v>
      </c>
      <c r="G738" s="304">
        <v>2015</v>
      </c>
      <c r="H738" s="312" t="s">
        <v>733</v>
      </c>
      <c r="I738" s="307" t="str">
        <f t="shared" si="46"/>
        <v>Pesado de Passageiros M3: III : Gasóleo : E6</v>
      </c>
      <c r="J738" s="125">
        <v>53</v>
      </c>
      <c r="K738" s="125">
        <v>2022</v>
      </c>
      <c r="L738" s="85">
        <v>32721.629000000001</v>
      </c>
      <c r="M738" s="85" t="s">
        <v>630</v>
      </c>
      <c r="N738" s="128">
        <v>119851</v>
      </c>
      <c r="O738" s="128">
        <f t="shared" si="47"/>
        <v>6352103</v>
      </c>
      <c r="P738" s="125" t="s">
        <v>1349</v>
      </c>
      <c r="Q738" s="85" t="s">
        <v>47</v>
      </c>
      <c r="R738" s="214" t="s">
        <v>1869</v>
      </c>
      <c r="S738" s="214" t="s">
        <v>1861</v>
      </c>
      <c r="T738" s="85" t="s">
        <v>1491</v>
      </c>
      <c r="U738" t="s">
        <v>1953</v>
      </c>
      <c r="V738" t="s">
        <v>2813</v>
      </c>
    </row>
    <row r="739" spans="1:22" ht="15.75" thickBot="1" x14ac:dyDescent="0.3">
      <c r="A739" s="82" t="s">
        <v>3278</v>
      </c>
      <c r="B739" s="82" t="str">
        <f t="shared" si="44"/>
        <v>Barraqueiro Transportes, S.A.</v>
      </c>
      <c r="C739" s="82" t="str">
        <f t="shared" si="45"/>
        <v>Barraqueiro Alugueres</v>
      </c>
      <c r="D739" s="83" t="s">
        <v>629</v>
      </c>
      <c r="E739" s="91" t="s">
        <v>1853</v>
      </c>
      <c r="F739" s="124" t="s">
        <v>620</v>
      </c>
      <c r="G739" s="304">
        <v>2015</v>
      </c>
      <c r="H739" s="312" t="s">
        <v>733</v>
      </c>
      <c r="I739" s="307" t="str">
        <f t="shared" si="46"/>
        <v>Pesado de Passageiros M3: III : Gasóleo : E6</v>
      </c>
      <c r="J739" s="125">
        <v>53</v>
      </c>
      <c r="K739" s="125">
        <v>2022</v>
      </c>
      <c r="L739" s="85">
        <v>38810.126000000004</v>
      </c>
      <c r="M739" s="85" t="s">
        <v>630</v>
      </c>
      <c r="N739" s="128">
        <v>142831</v>
      </c>
      <c r="O739" s="128">
        <f t="shared" si="47"/>
        <v>7570043</v>
      </c>
      <c r="P739" s="125" t="s">
        <v>1350</v>
      </c>
      <c r="Q739" s="85" t="s">
        <v>47</v>
      </c>
      <c r="R739" s="214" t="s">
        <v>1869</v>
      </c>
      <c r="S739" s="214" t="s">
        <v>1861</v>
      </c>
      <c r="T739" s="85" t="s">
        <v>1491</v>
      </c>
      <c r="U739" t="s">
        <v>1953</v>
      </c>
      <c r="V739" t="s">
        <v>2813</v>
      </c>
    </row>
    <row r="740" spans="1:22" ht="15.75" thickBot="1" x14ac:dyDescent="0.3">
      <c r="A740" s="82" t="s">
        <v>3278</v>
      </c>
      <c r="B740" s="82" t="str">
        <f t="shared" si="44"/>
        <v>Barraqueiro Transportes, S.A.</v>
      </c>
      <c r="C740" s="82" t="str">
        <f t="shared" si="45"/>
        <v>Barraqueiro Alugueres</v>
      </c>
      <c r="D740" s="83" t="s">
        <v>629</v>
      </c>
      <c r="E740" s="91" t="s">
        <v>1853</v>
      </c>
      <c r="F740" s="124" t="s">
        <v>620</v>
      </c>
      <c r="G740" s="304">
        <v>2015</v>
      </c>
      <c r="H740" s="312" t="s">
        <v>733</v>
      </c>
      <c r="I740" s="307" t="str">
        <f t="shared" si="46"/>
        <v>Pesado de Passageiros M3: III : Gasóleo : E6</v>
      </c>
      <c r="J740" s="125">
        <v>53</v>
      </c>
      <c r="K740" s="125">
        <v>2022</v>
      </c>
      <c r="L740" s="85">
        <v>59900.791000000005</v>
      </c>
      <c r="M740" s="85" t="s">
        <v>630</v>
      </c>
      <c r="N740" s="128">
        <v>219747</v>
      </c>
      <c r="O740" s="128">
        <f t="shared" si="47"/>
        <v>11646591</v>
      </c>
      <c r="P740" s="125" t="s">
        <v>1351</v>
      </c>
      <c r="Q740" s="85" t="s">
        <v>47</v>
      </c>
      <c r="R740" s="214" t="s">
        <v>1869</v>
      </c>
      <c r="S740" s="214" t="s">
        <v>1861</v>
      </c>
      <c r="T740" s="85" t="s">
        <v>1491</v>
      </c>
      <c r="U740" t="s">
        <v>1953</v>
      </c>
      <c r="V740" t="s">
        <v>2813</v>
      </c>
    </row>
    <row r="741" spans="1:22" ht="15.75" thickBot="1" x14ac:dyDescent="0.3">
      <c r="A741" s="82" t="s">
        <v>3278</v>
      </c>
      <c r="B741" s="82" t="str">
        <f t="shared" si="44"/>
        <v>Barraqueiro Transportes, S.A.</v>
      </c>
      <c r="C741" s="82" t="str">
        <f t="shared" si="45"/>
        <v>Barraqueiro Alugueres</v>
      </c>
      <c r="D741" s="83" t="s">
        <v>629</v>
      </c>
      <c r="E741" s="91" t="s">
        <v>1853</v>
      </c>
      <c r="F741" s="124" t="s">
        <v>620</v>
      </c>
      <c r="G741" s="304">
        <v>2015</v>
      </c>
      <c r="H741" s="312" t="s">
        <v>733</v>
      </c>
      <c r="I741" s="307" t="str">
        <f t="shared" si="46"/>
        <v>Pesado de Passageiros M3: III : Gasóleo : E6</v>
      </c>
      <c r="J741" s="125">
        <v>53</v>
      </c>
      <c r="K741" s="125">
        <v>2022</v>
      </c>
      <c r="L741" s="85">
        <v>48446.445999999996</v>
      </c>
      <c r="M741" s="85" t="s">
        <v>630</v>
      </c>
      <c r="N741" s="128">
        <v>181360</v>
      </c>
      <c r="O741" s="128">
        <f t="shared" si="47"/>
        <v>9612080</v>
      </c>
      <c r="P741" s="125" t="s">
        <v>1352</v>
      </c>
      <c r="Q741" s="85" t="s">
        <v>47</v>
      </c>
      <c r="R741" s="214" t="s">
        <v>1869</v>
      </c>
      <c r="S741" s="214" t="s">
        <v>1861</v>
      </c>
      <c r="T741" s="85" t="s">
        <v>1491</v>
      </c>
      <c r="U741" t="s">
        <v>1953</v>
      </c>
      <c r="V741" t="s">
        <v>2813</v>
      </c>
    </row>
    <row r="742" spans="1:22" ht="15.75" thickBot="1" x14ac:dyDescent="0.3">
      <c r="A742" s="82" t="s">
        <v>3278</v>
      </c>
      <c r="B742" s="82" t="str">
        <f t="shared" si="44"/>
        <v>Barraqueiro Transportes, S.A.</v>
      </c>
      <c r="C742" s="82" t="str">
        <f t="shared" si="45"/>
        <v>Barraqueiro Alugueres</v>
      </c>
      <c r="D742" s="83" t="s">
        <v>629</v>
      </c>
      <c r="E742" s="91" t="s">
        <v>1853</v>
      </c>
      <c r="F742" s="124" t="s">
        <v>620</v>
      </c>
      <c r="G742" s="304">
        <v>2015</v>
      </c>
      <c r="H742" s="312" t="s">
        <v>733</v>
      </c>
      <c r="I742" s="307" t="str">
        <f t="shared" si="46"/>
        <v>Pesado de Passageiros M3: III : Gasóleo : E6</v>
      </c>
      <c r="J742" s="125">
        <v>53</v>
      </c>
      <c r="K742" s="125">
        <v>2022</v>
      </c>
      <c r="L742" s="85">
        <v>47573.140999999989</v>
      </c>
      <c r="M742" s="85" t="s">
        <v>630</v>
      </c>
      <c r="N742" s="128">
        <v>180801</v>
      </c>
      <c r="O742" s="128">
        <f t="shared" si="47"/>
        <v>9582453</v>
      </c>
      <c r="P742" s="125" t="s">
        <v>1353</v>
      </c>
      <c r="Q742" s="85" t="s">
        <v>47</v>
      </c>
      <c r="R742" s="214" t="s">
        <v>1869</v>
      </c>
      <c r="S742" s="214" t="s">
        <v>1861</v>
      </c>
      <c r="T742" s="85" t="s">
        <v>1491</v>
      </c>
      <c r="U742" t="s">
        <v>1953</v>
      </c>
      <c r="V742" t="s">
        <v>2813</v>
      </c>
    </row>
    <row r="743" spans="1:22" ht="15.75" thickBot="1" x14ac:dyDescent="0.3">
      <c r="A743" s="82" t="s">
        <v>3278</v>
      </c>
      <c r="B743" s="82" t="str">
        <f t="shared" si="44"/>
        <v>Barraqueiro Transportes, S.A.</v>
      </c>
      <c r="C743" s="82" t="str">
        <f t="shared" si="45"/>
        <v>Barraqueiro Alugueres</v>
      </c>
      <c r="D743" s="83" t="s">
        <v>629</v>
      </c>
      <c r="E743" s="91" t="s">
        <v>1853</v>
      </c>
      <c r="F743" s="124" t="s">
        <v>620</v>
      </c>
      <c r="G743" s="304">
        <v>2016</v>
      </c>
      <c r="H743" s="312" t="s">
        <v>733</v>
      </c>
      <c r="I743" s="307" t="str">
        <f t="shared" si="46"/>
        <v>Pesado de Passageiros M3: III : Gasóleo : E6</v>
      </c>
      <c r="J743" s="125">
        <v>53</v>
      </c>
      <c r="K743" s="125">
        <v>2022</v>
      </c>
      <c r="L743" s="85">
        <v>32618.466000000004</v>
      </c>
      <c r="M743" s="85" t="s">
        <v>630</v>
      </c>
      <c r="N743" s="128">
        <v>118425</v>
      </c>
      <c r="O743" s="128">
        <f t="shared" si="47"/>
        <v>6276525</v>
      </c>
      <c r="P743" s="125" t="s">
        <v>1354</v>
      </c>
      <c r="Q743" s="85" t="s">
        <v>47</v>
      </c>
      <c r="R743" s="214" t="s">
        <v>1869</v>
      </c>
      <c r="S743" s="214" t="s">
        <v>1861</v>
      </c>
      <c r="T743" s="85" t="s">
        <v>1491</v>
      </c>
      <c r="U743" t="s">
        <v>1953</v>
      </c>
      <c r="V743" t="s">
        <v>2813</v>
      </c>
    </row>
    <row r="744" spans="1:22" ht="15.75" thickBot="1" x14ac:dyDescent="0.3">
      <c r="A744" s="82" t="s">
        <v>3278</v>
      </c>
      <c r="B744" s="82" t="str">
        <f t="shared" si="44"/>
        <v>Barraqueiro Transportes, S.A.</v>
      </c>
      <c r="C744" s="82" t="str">
        <f t="shared" si="45"/>
        <v>Barraqueiro Alugueres</v>
      </c>
      <c r="D744" s="83" t="s">
        <v>629</v>
      </c>
      <c r="E744" s="91" t="s">
        <v>1853</v>
      </c>
      <c r="F744" s="124" t="s">
        <v>620</v>
      </c>
      <c r="G744" s="304">
        <v>2016</v>
      </c>
      <c r="H744" s="312" t="s">
        <v>733</v>
      </c>
      <c r="I744" s="307" t="str">
        <f t="shared" si="46"/>
        <v>Pesado de Passageiros M3: III : Gasóleo : E6</v>
      </c>
      <c r="J744" s="125">
        <v>53</v>
      </c>
      <c r="K744" s="125">
        <v>2022</v>
      </c>
      <c r="L744" s="85">
        <v>29694.453999999998</v>
      </c>
      <c r="M744" s="85" t="s">
        <v>630</v>
      </c>
      <c r="N744" s="128">
        <v>108469</v>
      </c>
      <c r="O744" s="128">
        <f t="shared" si="47"/>
        <v>5748857</v>
      </c>
      <c r="P744" s="125" t="s">
        <v>1355</v>
      </c>
      <c r="Q744" s="85" t="s">
        <v>47</v>
      </c>
      <c r="R744" s="214" t="s">
        <v>1869</v>
      </c>
      <c r="S744" s="214" t="s">
        <v>1861</v>
      </c>
      <c r="T744" s="85" t="s">
        <v>1491</v>
      </c>
      <c r="U744" t="s">
        <v>1953</v>
      </c>
      <c r="V744" t="s">
        <v>2813</v>
      </c>
    </row>
    <row r="745" spans="1:22" ht="15.75" thickBot="1" x14ac:dyDescent="0.3">
      <c r="A745" s="82" t="s">
        <v>3278</v>
      </c>
      <c r="B745" s="82" t="str">
        <f t="shared" si="44"/>
        <v>Barraqueiro Transportes, S.A.</v>
      </c>
      <c r="C745" s="82" t="str">
        <f t="shared" si="45"/>
        <v>Barraqueiro Alugueres</v>
      </c>
      <c r="D745" s="83" t="s">
        <v>629</v>
      </c>
      <c r="E745" s="91" t="s">
        <v>1853</v>
      </c>
      <c r="F745" s="124" t="s">
        <v>620</v>
      </c>
      <c r="G745" s="304">
        <v>2016</v>
      </c>
      <c r="H745" s="312" t="s">
        <v>733</v>
      </c>
      <c r="I745" s="307" t="str">
        <f t="shared" si="46"/>
        <v>Pesado de Passageiros M3: III : Gasóleo : E6</v>
      </c>
      <c r="J745" s="125">
        <v>53</v>
      </c>
      <c r="K745" s="125">
        <v>2022</v>
      </c>
      <c r="L745" s="85">
        <v>31585.492000000002</v>
      </c>
      <c r="M745" s="85" t="s">
        <v>630</v>
      </c>
      <c r="N745" s="128">
        <v>115060</v>
      </c>
      <c r="O745" s="128">
        <f t="shared" si="47"/>
        <v>6098180</v>
      </c>
      <c r="P745" s="125" t="s">
        <v>1356</v>
      </c>
      <c r="Q745" s="85" t="s">
        <v>47</v>
      </c>
      <c r="R745" s="214" t="s">
        <v>1869</v>
      </c>
      <c r="S745" s="214" t="s">
        <v>1861</v>
      </c>
      <c r="T745" s="85" t="s">
        <v>1491</v>
      </c>
      <c r="U745" t="s">
        <v>1953</v>
      </c>
      <c r="V745" t="s">
        <v>2813</v>
      </c>
    </row>
    <row r="746" spans="1:22" ht="15.75" thickBot="1" x14ac:dyDescent="0.3">
      <c r="A746" s="82" t="s">
        <v>3278</v>
      </c>
      <c r="B746" s="82" t="str">
        <f t="shared" si="44"/>
        <v>Barraqueiro Transportes, S.A.</v>
      </c>
      <c r="C746" s="82" t="str">
        <f t="shared" si="45"/>
        <v>Barraqueiro Alugueres</v>
      </c>
      <c r="D746" s="83" t="s">
        <v>629</v>
      </c>
      <c r="E746" s="91" t="s">
        <v>1853</v>
      </c>
      <c r="F746" s="124" t="s">
        <v>620</v>
      </c>
      <c r="G746" s="304">
        <v>2016</v>
      </c>
      <c r="H746" s="312" t="s">
        <v>733</v>
      </c>
      <c r="I746" s="307" t="str">
        <f t="shared" si="46"/>
        <v>Pesado de Passageiros M3: III : Gasóleo : E6</v>
      </c>
      <c r="J746" s="125">
        <v>53</v>
      </c>
      <c r="K746" s="125">
        <v>2022</v>
      </c>
      <c r="L746" s="85">
        <v>37363.274999999994</v>
      </c>
      <c r="M746" s="85" t="s">
        <v>630</v>
      </c>
      <c r="N746" s="128">
        <v>129853</v>
      </c>
      <c r="O746" s="128">
        <f t="shared" si="47"/>
        <v>6882209</v>
      </c>
      <c r="P746" s="125" t="s">
        <v>1357</v>
      </c>
      <c r="Q746" s="85" t="s">
        <v>47</v>
      </c>
      <c r="R746" s="214" t="s">
        <v>1869</v>
      </c>
      <c r="S746" s="214" t="s">
        <v>1861</v>
      </c>
      <c r="T746" s="85" t="s">
        <v>1491</v>
      </c>
      <c r="U746" t="s">
        <v>1953</v>
      </c>
      <c r="V746" t="s">
        <v>2813</v>
      </c>
    </row>
    <row r="747" spans="1:22" ht="15.75" thickBot="1" x14ac:dyDescent="0.3">
      <c r="A747" s="82" t="s">
        <v>3278</v>
      </c>
      <c r="B747" s="82" t="str">
        <f t="shared" si="44"/>
        <v>Barraqueiro Transportes, S.A.</v>
      </c>
      <c r="C747" s="82" t="str">
        <f t="shared" si="45"/>
        <v>Barraqueiro Alugueres</v>
      </c>
      <c r="D747" s="83" t="s">
        <v>629</v>
      </c>
      <c r="E747" s="91" t="s">
        <v>1853</v>
      </c>
      <c r="F747" s="124" t="s">
        <v>620</v>
      </c>
      <c r="G747" s="304">
        <v>2016</v>
      </c>
      <c r="H747" s="312" t="s">
        <v>733</v>
      </c>
      <c r="I747" s="307" t="str">
        <f t="shared" si="46"/>
        <v>Pesado de Passageiros M3: III : Gasóleo : E6</v>
      </c>
      <c r="J747" s="125">
        <v>59</v>
      </c>
      <c r="K747" s="125">
        <v>2022</v>
      </c>
      <c r="L747" s="85">
        <v>5955.6500000000005</v>
      </c>
      <c r="M747" s="85" t="s">
        <v>630</v>
      </c>
      <c r="N747" s="128">
        <v>22415</v>
      </c>
      <c r="O747" s="128">
        <f t="shared" si="47"/>
        <v>1322485</v>
      </c>
      <c r="P747" s="125" t="s">
        <v>1007</v>
      </c>
      <c r="Q747" s="85" t="s">
        <v>47</v>
      </c>
      <c r="R747" s="214" t="s">
        <v>1869</v>
      </c>
      <c r="S747" s="214" t="s">
        <v>1861</v>
      </c>
      <c r="T747" s="85" t="s">
        <v>1491</v>
      </c>
      <c r="U747" t="s">
        <v>1953</v>
      </c>
      <c r="V747" t="s">
        <v>2813</v>
      </c>
    </row>
    <row r="748" spans="1:22" ht="15.75" thickBot="1" x14ac:dyDescent="0.3">
      <c r="A748" s="82" t="s">
        <v>3278</v>
      </c>
      <c r="B748" s="82" t="str">
        <f t="shared" si="44"/>
        <v>Barraqueiro Transportes, S.A.</v>
      </c>
      <c r="C748" s="82" t="str">
        <f t="shared" si="45"/>
        <v>Barraqueiro Alugueres</v>
      </c>
      <c r="D748" s="83" t="s">
        <v>629</v>
      </c>
      <c r="E748" s="91" t="s">
        <v>1853</v>
      </c>
      <c r="F748" s="124" t="s">
        <v>620</v>
      </c>
      <c r="G748" s="304">
        <v>2017</v>
      </c>
      <c r="H748" s="312" t="s">
        <v>733</v>
      </c>
      <c r="I748" s="307" t="str">
        <f t="shared" si="46"/>
        <v>Pesado de Passageiros M3: III : Gasóleo : E6</v>
      </c>
      <c r="J748" s="125">
        <v>57</v>
      </c>
      <c r="K748" s="125">
        <v>2022</v>
      </c>
      <c r="L748" s="85">
        <v>32654.289000000001</v>
      </c>
      <c r="M748" s="85" t="s">
        <v>630</v>
      </c>
      <c r="N748" s="128">
        <v>117038</v>
      </c>
      <c r="O748" s="128">
        <f t="shared" si="47"/>
        <v>6671166</v>
      </c>
      <c r="P748" s="125" t="s">
        <v>1358</v>
      </c>
      <c r="Q748" s="85" t="s">
        <v>47</v>
      </c>
      <c r="R748" s="214" t="s">
        <v>1869</v>
      </c>
      <c r="S748" s="214" t="s">
        <v>1861</v>
      </c>
      <c r="T748" s="85" t="s">
        <v>1491</v>
      </c>
      <c r="U748" t="s">
        <v>1953</v>
      </c>
      <c r="V748" t="s">
        <v>2813</v>
      </c>
    </row>
    <row r="749" spans="1:22" ht="15.75" thickBot="1" x14ac:dyDescent="0.3">
      <c r="A749" s="82" t="s">
        <v>3278</v>
      </c>
      <c r="B749" s="82" t="str">
        <f t="shared" si="44"/>
        <v>Barraqueiro Transportes, S.A.</v>
      </c>
      <c r="C749" s="82" t="str">
        <f t="shared" si="45"/>
        <v>Barraqueiro Alugueres</v>
      </c>
      <c r="D749" s="83" t="s">
        <v>629</v>
      </c>
      <c r="E749" s="91" t="s">
        <v>1853</v>
      </c>
      <c r="F749" s="124" t="s">
        <v>620</v>
      </c>
      <c r="G749" s="304">
        <v>2017</v>
      </c>
      <c r="H749" s="312" t="s">
        <v>733</v>
      </c>
      <c r="I749" s="307" t="str">
        <f t="shared" si="46"/>
        <v>Pesado de Passageiros M3: III : Gasóleo : E6</v>
      </c>
      <c r="J749" s="125">
        <v>57</v>
      </c>
      <c r="K749" s="125">
        <v>2022</v>
      </c>
      <c r="L749" s="85">
        <v>19011.898999999998</v>
      </c>
      <c r="M749" s="85" t="s">
        <v>630</v>
      </c>
      <c r="N749" s="128">
        <v>66747</v>
      </c>
      <c r="O749" s="128">
        <f t="shared" si="47"/>
        <v>3804579</v>
      </c>
      <c r="P749" s="125" t="s">
        <v>1359</v>
      </c>
      <c r="Q749" s="85" t="s">
        <v>47</v>
      </c>
      <c r="R749" s="214" t="s">
        <v>1869</v>
      </c>
      <c r="S749" s="214" t="s">
        <v>1861</v>
      </c>
      <c r="T749" s="85" t="s">
        <v>1491</v>
      </c>
      <c r="U749" t="s">
        <v>1953</v>
      </c>
      <c r="V749" t="s">
        <v>2813</v>
      </c>
    </row>
    <row r="750" spans="1:22" ht="15.75" thickBot="1" x14ac:dyDescent="0.3">
      <c r="A750" s="82" t="s">
        <v>3278</v>
      </c>
      <c r="B750" s="82" t="str">
        <f t="shared" si="44"/>
        <v>Barraqueiro Transportes, S.A.</v>
      </c>
      <c r="C750" s="82" t="str">
        <f t="shared" si="45"/>
        <v>Barraqueiro Alugueres</v>
      </c>
      <c r="D750" s="83" t="s">
        <v>629</v>
      </c>
      <c r="E750" s="91" t="s">
        <v>1853</v>
      </c>
      <c r="F750" s="124" t="s">
        <v>620</v>
      </c>
      <c r="G750" s="304">
        <v>2019</v>
      </c>
      <c r="H750" s="312" t="s">
        <v>733</v>
      </c>
      <c r="I750" s="307" t="str">
        <f t="shared" si="46"/>
        <v>Pesado de Passageiros M3: III : Gasóleo : E6</v>
      </c>
      <c r="J750" s="125">
        <v>63</v>
      </c>
      <c r="K750" s="125">
        <v>2022</v>
      </c>
      <c r="L750" s="85">
        <v>30635.460000000003</v>
      </c>
      <c r="M750" s="85" t="s">
        <v>630</v>
      </c>
      <c r="N750" s="128">
        <v>103022</v>
      </c>
      <c r="O750" s="128">
        <f t="shared" si="47"/>
        <v>6490386</v>
      </c>
      <c r="P750" s="125" t="s">
        <v>1037</v>
      </c>
      <c r="Q750" s="85" t="s">
        <v>47</v>
      </c>
      <c r="R750" s="214" t="s">
        <v>1869</v>
      </c>
      <c r="S750" s="214" t="s">
        <v>1861</v>
      </c>
      <c r="T750" s="85" t="s">
        <v>1491</v>
      </c>
      <c r="U750" t="s">
        <v>1953</v>
      </c>
      <c r="V750" t="s">
        <v>2813</v>
      </c>
    </row>
    <row r="751" spans="1:22" s="283" customFormat="1" ht="15.75" thickBot="1" x14ac:dyDescent="0.3">
      <c r="A751" s="276" t="s">
        <v>4580</v>
      </c>
      <c r="B751" s="276" t="s">
        <v>4580</v>
      </c>
      <c r="C751" s="276" t="s">
        <v>4580</v>
      </c>
      <c r="D751" s="263" t="s">
        <v>629</v>
      </c>
      <c r="E751" s="266" t="s">
        <v>1853</v>
      </c>
      <c r="F751" s="388" t="s">
        <v>620</v>
      </c>
      <c r="G751" s="389">
        <v>1997</v>
      </c>
      <c r="H751" s="352" t="s">
        <v>736</v>
      </c>
      <c r="I751" s="310" t="str">
        <f t="shared" si="46"/>
        <v>Pesado de Passageiros M3: III : Gasóleo : E1</v>
      </c>
      <c r="J751" s="257">
        <v>70</v>
      </c>
      <c r="K751" s="257">
        <v>2022</v>
      </c>
      <c r="L751" s="242">
        <v>2636.36</v>
      </c>
      <c r="M751" s="242" t="s">
        <v>630</v>
      </c>
      <c r="N751" s="243">
        <v>7623</v>
      </c>
      <c r="O751" s="243">
        <f t="shared" si="47"/>
        <v>533610</v>
      </c>
      <c r="P751" s="257" t="s">
        <v>1360</v>
      </c>
      <c r="Q751" s="242" t="s">
        <v>47</v>
      </c>
      <c r="R751" s="283" t="s">
        <v>1869</v>
      </c>
      <c r="S751" s="283" t="s">
        <v>1861</v>
      </c>
      <c r="T751" s="242" t="s">
        <v>1491</v>
      </c>
      <c r="U751" s="283" t="s">
        <v>1953</v>
      </c>
      <c r="V751" s="283" t="s">
        <v>2813</v>
      </c>
    </row>
    <row r="752" spans="1:22" s="283" customFormat="1" ht="15.75" thickBot="1" x14ac:dyDescent="0.3">
      <c r="A752" s="276" t="s">
        <v>4580</v>
      </c>
      <c r="B752" s="276" t="s">
        <v>4580</v>
      </c>
      <c r="C752" s="276" t="s">
        <v>4580</v>
      </c>
      <c r="D752" s="263" t="s">
        <v>629</v>
      </c>
      <c r="E752" s="266" t="s">
        <v>1853</v>
      </c>
      <c r="F752" s="388" t="s">
        <v>620</v>
      </c>
      <c r="G752" s="389">
        <v>1997</v>
      </c>
      <c r="H752" s="352" t="s">
        <v>736</v>
      </c>
      <c r="I752" s="310" t="str">
        <f t="shared" si="46"/>
        <v>Pesado de Passageiros M3: III : Gasóleo : E1</v>
      </c>
      <c r="J752" s="257">
        <v>70</v>
      </c>
      <c r="K752" s="257">
        <v>2022</v>
      </c>
      <c r="L752" s="242">
        <v>270</v>
      </c>
      <c r="M752" s="242" t="s">
        <v>630</v>
      </c>
      <c r="N752" s="243">
        <v>750</v>
      </c>
      <c r="O752" s="243">
        <f t="shared" si="47"/>
        <v>52500</v>
      </c>
      <c r="P752" s="257" t="s">
        <v>1361</v>
      </c>
      <c r="Q752" s="242" t="s">
        <v>47</v>
      </c>
      <c r="R752" s="283" t="s">
        <v>1869</v>
      </c>
      <c r="S752" s="283" t="s">
        <v>1861</v>
      </c>
      <c r="T752" s="242" t="s">
        <v>1491</v>
      </c>
      <c r="U752" s="283" t="s">
        <v>1953</v>
      </c>
      <c r="V752" s="283" t="s">
        <v>2813</v>
      </c>
    </row>
    <row r="753" spans="1:22" s="283" customFormat="1" ht="15.75" thickBot="1" x14ac:dyDescent="0.3">
      <c r="A753" s="276" t="s">
        <v>4580</v>
      </c>
      <c r="B753" s="276" t="s">
        <v>4580</v>
      </c>
      <c r="C753" s="276" t="s">
        <v>4580</v>
      </c>
      <c r="D753" s="263" t="s">
        <v>629</v>
      </c>
      <c r="E753" s="266" t="s">
        <v>1853</v>
      </c>
      <c r="F753" s="388" t="s">
        <v>620</v>
      </c>
      <c r="G753" s="389">
        <v>2007</v>
      </c>
      <c r="H753" s="352" t="s">
        <v>731</v>
      </c>
      <c r="I753" s="310" t="str">
        <f t="shared" si="46"/>
        <v>Pesado de Passageiros M3: III : Gasóleo : E4</v>
      </c>
      <c r="J753" s="257">
        <v>55</v>
      </c>
      <c r="K753" s="257">
        <v>2022</v>
      </c>
      <c r="L753" s="242">
        <v>15612.899999999998</v>
      </c>
      <c r="M753" s="242" t="s">
        <v>630</v>
      </c>
      <c r="N753" s="243">
        <v>45994</v>
      </c>
      <c r="O753" s="243">
        <f t="shared" si="47"/>
        <v>2529670</v>
      </c>
      <c r="P753" s="257" t="s">
        <v>1362</v>
      </c>
      <c r="Q753" s="242" t="s">
        <v>47</v>
      </c>
      <c r="R753" s="283" t="s">
        <v>1869</v>
      </c>
      <c r="S753" s="283" t="s">
        <v>1861</v>
      </c>
      <c r="T753" s="242" t="s">
        <v>1491</v>
      </c>
      <c r="U753" s="283" t="s">
        <v>1953</v>
      </c>
      <c r="V753" s="283" t="s">
        <v>2813</v>
      </c>
    </row>
    <row r="754" spans="1:22" s="283" customFormat="1" ht="15.75" thickBot="1" x14ac:dyDescent="0.3">
      <c r="A754" s="276" t="s">
        <v>4580</v>
      </c>
      <c r="B754" s="276" t="s">
        <v>4580</v>
      </c>
      <c r="C754" s="276" t="s">
        <v>4580</v>
      </c>
      <c r="D754" s="263" t="s">
        <v>629</v>
      </c>
      <c r="E754" s="266" t="s">
        <v>1853</v>
      </c>
      <c r="F754" s="388" t="s">
        <v>620</v>
      </c>
      <c r="G754" s="389">
        <v>1997</v>
      </c>
      <c r="H754" s="352" t="s">
        <v>736</v>
      </c>
      <c r="I754" s="310" t="str">
        <f t="shared" si="46"/>
        <v>Pesado de Passageiros M3: III : Gasóleo : E1</v>
      </c>
      <c r="J754" s="257">
        <v>96</v>
      </c>
      <c r="K754" s="257">
        <v>2022</v>
      </c>
      <c r="L754" s="242">
        <v>6247.9400000000005</v>
      </c>
      <c r="M754" s="242" t="s">
        <v>630</v>
      </c>
      <c r="N754" s="243">
        <v>15785</v>
      </c>
      <c r="O754" s="243">
        <f t="shared" si="47"/>
        <v>1515360</v>
      </c>
      <c r="P754" s="257" t="s">
        <v>1084</v>
      </c>
      <c r="Q754" s="242" t="s">
        <v>47</v>
      </c>
      <c r="R754" s="283" t="s">
        <v>1869</v>
      </c>
      <c r="S754" s="283" t="s">
        <v>1861</v>
      </c>
      <c r="T754" s="242" t="s">
        <v>1491</v>
      </c>
      <c r="U754" s="283" t="s">
        <v>1953</v>
      </c>
      <c r="V754" s="283" t="s">
        <v>2813</v>
      </c>
    </row>
    <row r="755" spans="1:22" s="283" customFormat="1" ht="15.75" thickBot="1" x14ac:dyDescent="0.3">
      <c r="A755" s="276" t="s">
        <v>4580</v>
      </c>
      <c r="B755" s="276" t="s">
        <v>4580</v>
      </c>
      <c r="C755" s="276" t="s">
        <v>4580</v>
      </c>
      <c r="D755" s="263" t="s">
        <v>629</v>
      </c>
      <c r="E755" s="266" t="s">
        <v>1853</v>
      </c>
      <c r="F755" s="388" t="s">
        <v>620</v>
      </c>
      <c r="G755" s="389">
        <v>2008</v>
      </c>
      <c r="H755" s="352" t="s">
        <v>731</v>
      </c>
      <c r="I755" s="310" t="str">
        <f t="shared" si="46"/>
        <v>Pesado de Passageiros M3: III : Gasóleo : E4</v>
      </c>
      <c r="J755" s="257">
        <v>57</v>
      </c>
      <c r="K755" s="257">
        <v>2022</v>
      </c>
      <c r="L755" s="242">
        <v>13427.6</v>
      </c>
      <c r="M755" s="242" t="s">
        <v>630</v>
      </c>
      <c r="N755" s="243">
        <v>41215</v>
      </c>
      <c r="O755" s="243">
        <f t="shared" si="47"/>
        <v>2349255</v>
      </c>
      <c r="P755" s="257" t="s">
        <v>1363</v>
      </c>
      <c r="Q755" s="242" t="s">
        <v>47</v>
      </c>
      <c r="R755" s="283" t="s">
        <v>1869</v>
      </c>
      <c r="S755" s="283" t="s">
        <v>1861</v>
      </c>
      <c r="T755" s="242" t="s">
        <v>1491</v>
      </c>
      <c r="U755" s="283" t="s">
        <v>1953</v>
      </c>
      <c r="V755" s="283" t="s">
        <v>2813</v>
      </c>
    </row>
    <row r="756" spans="1:22" s="283" customFormat="1" ht="15.75" thickBot="1" x14ac:dyDescent="0.3">
      <c r="A756" s="276" t="s">
        <v>4580</v>
      </c>
      <c r="B756" s="276" t="s">
        <v>4580</v>
      </c>
      <c r="C756" s="276" t="s">
        <v>4580</v>
      </c>
      <c r="D756" s="263" t="s">
        <v>629</v>
      </c>
      <c r="E756" s="266" t="s">
        <v>1853</v>
      </c>
      <c r="F756" s="388" t="s">
        <v>620</v>
      </c>
      <c r="G756" s="389">
        <v>2008</v>
      </c>
      <c r="H756" s="352" t="s">
        <v>731</v>
      </c>
      <c r="I756" s="310" t="str">
        <f t="shared" si="46"/>
        <v>Pesado de Passageiros M3: III : Gasóleo : E4</v>
      </c>
      <c r="J756" s="257">
        <v>25</v>
      </c>
      <c r="K756" s="257">
        <v>2022</v>
      </c>
      <c r="L756" s="242">
        <v>2381.5699999999997</v>
      </c>
      <c r="M756" s="242" t="s">
        <v>630</v>
      </c>
      <c r="N756" s="243">
        <v>13721</v>
      </c>
      <c r="O756" s="243">
        <f t="shared" si="47"/>
        <v>343025</v>
      </c>
      <c r="P756" s="257" t="s">
        <v>1364</v>
      </c>
      <c r="Q756" s="242" t="s">
        <v>47</v>
      </c>
      <c r="R756" s="283" t="s">
        <v>1869</v>
      </c>
      <c r="S756" s="283" t="s">
        <v>1861</v>
      </c>
      <c r="T756" s="242" t="s">
        <v>1491</v>
      </c>
      <c r="U756" s="283" t="s">
        <v>1953</v>
      </c>
      <c r="V756" s="283" t="s">
        <v>2813</v>
      </c>
    </row>
    <row r="757" spans="1:22" s="283" customFormat="1" ht="15.75" thickBot="1" x14ac:dyDescent="0.3">
      <c r="A757" s="276" t="s">
        <v>4580</v>
      </c>
      <c r="B757" s="276" t="s">
        <v>4580</v>
      </c>
      <c r="C757" s="276" t="s">
        <v>4580</v>
      </c>
      <c r="D757" s="263" t="s">
        <v>629</v>
      </c>
      <c r="E757" s="266" t="s">
        <v>1853</v>
      </c>
      <c r="F757" s="388" t="s">
        <v>620</v>
      </c>
      <c r="G757" s="389">
        <v>2008</v>
      </c>
      <c r="H757" s="352" t="s">
        <v>731</v>
      </c>
      <c r="I757" s="310" t="str">
        <f t="shared" si="46"/>
        <v>Pesado de Passageiros M3: III : Gasóleo : E4</v>
      </c>
      <c r="J757" s="257">
        <v>25</v>
      </c>
      <c r="K757" s="257">
        <v>2022</v>
      </c>
      <c r="L757" s="242">
        <v>2794.17</v>
      </c>
      <c r="M757" s="242" t="s">
        <v>630</v>
      </c>
      <c r="N757" s="243">
        <v>16549</v>
      </c>
      <c r="O757" s="243">
        <f t="shared" si="47"/>
        <v>413725</v>
      </c>
      <c r="P757" s="257" t="s">
        <v>1365</v>
      </c>
      <c r="Q757" s="242" t="s">
        <v>47</v>
      </c>
      <c r="R757" s="283" t="s">
        <v>1869</v>
      </c>
      <c r="S757" s="283" t="s">
        <v>1861</v>
      </c>
      <c r="T757" s="242" t="s">
        <v>1491</v>
      </c>
      <c r="U757" s="283" t="s">
        <v>1953</v>
      </c>
      <c r="V757" s="283" t="s">
        <v>2813</v>
      </c>
    </row>
    <row r="758" spans="1:22" s="283" customFormat="1" ht="15.75" thickBot="1" x14ac:dyDescent="0.3">
      <c r="A758" s="276" t="s">
        <v>4580</v>
      </c>
      <c r="B758" s="276" t="s">
        <v>4580</v>
      </c>
      <c r="C758" s="276" t="s">
        <v>4580</v>
      </c>
      <c r="D758" s="263" t="s">
        <v>629</v>
      </c>
      <c r="E758" s="266" t="s">
        <v>1853</v>
      </c>
      <c r="F758" s="388" t="s">
        <v>620</v>
      </c>
      <c r="G758" s="389">
        <v>2008</v>
      </c>
      <c r="H758" s="352" t="s">
        <v>731</v>
      </c>
      <c r="I758" s="310" t="str">
        <f t="shared" si="46"/>
        <v>Pesado de Passageiros M3: III : Gasóleo : E4</v>
      </c>
      <c r="J758" s="257">
        <v>25</v>
      </c>
      <c r="K758" s="257">
        <v>2022</v>
      </c>
      <c r="L758" s="242">
        <v>1920.2199999999998</v>
      </c>
      <c r="M758" s="242" t="s">
        <v>630</v>
      </c>
      <c r="N758" s="243">
        <v>11761</v>
      </c>
      <c r="O758" s="243">
        <f t="shared" si="47"/>
        <v>294025</v>
      </c>
      <c r="P758" s="257" t="s">
        <v>1366</v>
      </c>
      <c r="Q758" s="242" t="s">
        <v>47</v>
      </c>
      <c r="R758" s="283" t="s">
        <v>1869</v>
      </c>
      <c r="S758" s="283" t="s">
        <v>1861</v>
      </c>
      <c r="T758" s="242" t="s">
        <v>1491</v>
      </c>
      <c r="U758" s="283" t="s">
        <v>1953</v>
      </c>
      <c r="V758" s="283" t="s">
        <v>2813</v>
      </c>
    </row>
    <row r="759" spans="1:22" s="283" customFormat="1" ht="15.75" thickBot="1" x14ac:dyDescent="0.3">
      <c r="A759" s="276" t="s">
        <v>4580</v>
      </c>
      <c r="B759" s="276" t="s">
        <v>4580</v>
      </c>
      <c r="C759" s="276" t="s">
        <v>4580</v>
      </c>
      <c r="D759" s="263" t="s">
        <v>629</v>
      </c>
      <c r="E759" s="266" t="s">
        <v>1853</v>
      </c>
      <c r="F759" s="388" t="s">
        <v>620</v>
      </c>
      <c r="G759" s="389">
        <v>2008</v>
      </c>
      <c r="H759" s="352" t="s">
        <v>731</v>
      </c>
      <c r="I759" s="310" t="str">
        <f t="shared" si="46"/>
        <v>Pesado de Passageiros M3: III : Gasóleo : E4</v>
      </c>
      <c r="J759" s="257">
        <v>55</v>
      </c>
      <c r="K759" s="257">
        <v>2022</v>
      </c>
      <c r="L759" s="242">
        <v>16561.490000000002</v>
      </c>
      <c r="M759" s="242" t="s">
        <v>630</v>
      </c>
      <c r="N759" s="243">
        <v>48545</v>
      </c>
      <c r="O759" s="243">
        <f t="shared" si="47"/>
        <v>2669975</v>
      </c>
      <c r="P759" s="257" t="s">
        <v>1367</v>
      </c>
      <c r="Q759" s="242" t="s">
        <v>47</v>
      </c>
      <c r="R759" s="283" t="s">
        <v>1869</v>
      </c>
      <c r="S759" s="283" t="s">
        <v>1861</v>
      </c>
      <c r="T759" s="242" t="s">
        <v>1491</v>
      </c>
      <c r="U759" s="283" t="s">
        <v>1953</v>
      </c>
      <c r="V759" s="283" t="s">
        <v>2813</v>
      </c>
    </row>
    <row r="760" spans="1:22" s="283" customFormat="1" ht="15.75" thickBot="1" x14ac:dyDescent="0.3">
      <c r="A760" s="276" t="s">
        <v>4580</v>
      </c>
      <c r="B760" s="276" t="s">
        <v>4580</v>
      </c>
      <c r="C760" s="276" t="s">
        <v>4580</v>
      </c>
      <c r="D760" s="263" t="s">
        <v>629</v>
      </c>
      <c r="E760" s="266" t="s">
        <v>1853</v>
      </c>
      <c r="F760" s="388" t="s">
        <v>620</v>
      </c>
      <c r="G760" s="389">
        <v>1993</v>
      </c>
      <c r="H760" s="352" t="s">
        <v>736</v>
      </c>
      <c r="I760" s="310" t="str">
        <f t="shared" si="46"/>
        <v>Pesado de Passageiros M3: III : Gasóleo : E1</v>
      </c>
      <c r="J760" s="257">
        <v>82</v>
      </c>
      <c r="K760" s="257">
        <v>2022</v>
      </c>
      <c r="L760" s="242">
        <v>2388.9499999999998</v>
      </c>
      <c r="M760" s="242" t="s">
        <v>630</v>
      </c>
      <c r="N760" s="243">
        <v>7220</v>
      </c>
      <c r="O760" s="243">
        <f t="shared" si="47"/>
        <v>592040</v>
      </c>
      <c r="P760" s="257" t="s">
        <v>1368</v>
      </c>
      <c r="Q760" s="242" t="s">
        <v>47</v>
      </c>
      <c r="R760" s="283" t="s">
        <v>1869</v>
      </c>
      <c r="S760" s="283" t="s">
        <v>1861</v>
      </c>
      <c r="T760" s="242" t="s">
        <v>1491</v>
      </c>
      <c r="U760" s="283" t="s">
        <v>1953</v>
      </c>
      <c r="V760" s="283" t="s">
        <v>2813</v>
      </c>
    </row>
    <row r="761" spans="1:22" s="283" customFormat="1" ht="15.75" thickBot="1" x14ac:dyDescent="0.3">
      <c r="A761" s="276" t="s">
        <v>4580</v>
      </c>
      <c r="B761" s="276" t="s">
        <v>4580</v>
      </c>
      <c r="C761" s="276" t="s">
        <v>4580</v>
      </c>
      <c r="D761" s="263" t="s">
        <v>629</v>
      </c>
      <c r="E761" s="266" t="s">
        <v>1853</v>
      </c>
      <c r="F761" s="388" t="s">
        <v>620</v>
      </c>
      <c r="G761" s="389">
        <v>1993</v>
      </c>
      <c r="H761" s="352" t="s">
        <v>736</v>
      </c>
      <c r="I761" s="310" t="str">
        <f t="shared" si="46"/>
        <v>Pesado de Passageiros M3: III : Gasóleo : E1</v>
      </c>
      <c r="J761" s="257">
        <v>82</v>
      </c>
      <c r="K761" s="257">
        <v>2022</v>
      </c>
      <c r="L761" s="242">
        <v>1218.5</v>
      </c>
      <c r="M761" s="242" t="s">
        <v>630</v>
      </c>
      <c r="N761" s="243">
        <v>3796</v>
      </c>
      <c r="O761" s="243">
        <f t="shared" si="47"/>
        <v>311272</v>
      </c>
      <c r="P761" s="257" t="s">
        <v>1369</v>
      </c>
      <c r="Q761" s="242" t="s">
        <v>47</v>
      </c>
      <c r="R761" s="283" t="s">
        <v>1869</v>
      </c>
      <c r="S761" s="283" t="s">
        <v>1861</v>
      </c>
      <c r="T761" s="242" t="s">
        <v>1491</v>
      </c>
      <c r="U761" s="283" t="s">
        <v>1953</v>
      </c>
      <c r="V761" s="283" t="s">
        <v>2813</v>
      </c>
    </row>
    <row r="762" spans="1:22" s="283" customFormat="1" ht="15.75" thickBot="1" x14ac:dyDescent="0.3">
      <c r="A762" s="276" t="s">
        <v>4580</v>
      </c>
      <c r="B762" s="276" t="s">
        <v>4580</v>
      </c>
      <c r="C762" s="276" t="s">
        <v>4580</v>
      </c>
      <c r="D762" s="263" t="s">
        <v>629</v>
      </c>
      <c r="E762" s="266" t="s">
        <v>1853</v>
      </c>
      <c r="F762" s="388" t="s">
        <v>620</v>
      </c>
      <c r="G762" s="389">
        <v>2006</v>
      </c>
      <c r="H762" s="352" t="s">
        <v>731</v>
      </c>
      <c r="I762" s="310" t="str">
        <f t="shared" si="46"/>
        <v>Pesado de Passageiros M3: III : Gasóleo : E4</v>
      </c>
      <c r="J762" s="257">
        <v>94</v>
      </c>
      <c r="K762" s="257">
        <v>2022</v>
      </c>
      <c r="L762" s="242">
        <v>17062.939999999999</v>
      </c>
      <c r="M762" s="242" t="s">
        <v>630</v>
      </c>
      <c r="N762" s="243">
        <v>45960</v>
      </c>
      <c r="O762" s="243">
        <f t="shared" si="47"/>
        <v>4320240</v>
      </c>
      <c r="P762" s="257" t="s">
        <v>1370</v>
      </c>
      <c r="Q762" s="242" t="s">
        <v>47</v>
      </c>
      <c r="R762" s="283" t="s">
        <v>1869</v>
      </c>
      <c r="S762" s="283" t="s">
        <v>1861</v>
      </c>
      <c r="T762" s="242" t="s">
        <v>1491</v>
      </c>
      <c r="U762" s="283" t="s">
        <v>1953</v>
      </c>
      <c r="V762" s="283" t="s">
        <v>2813</v>
      </c>
    </row>
    <row r="763" spans="1:22" s="283" customFormat="1" ht="15.75" thickBot="1" x14ac:dyDescent="0.3">
      <c r="A763" s="276" t="s">
        <v>4580</v>
      </c>
      <c r="B763" s="276" t="s">
        <v>4580</v>
      </c>
      <c r="C763" s="276" t="s">
        <v>4580</v>
      </c>
      <c r="D763" s="263" t="s">
        <v>629</v>
      </c>
      <c r="E763" s="266" t="s">
        <v>1853</v>
      </c>
      <c r="F763" s="388" t="s">
        <v>620</v>
      </c>
      <c r="G763" s="389">
        <v>2010</v>
      </c>
      <c r="H763" s="352" t="s">
        <v>734</v>
      </c>
      <c r="I763" s="310" t="str">
        <f t="shared" si="46"/>
        <v>Pesado de Passageiros M3: III : Gasóleo : E5</v>
      </c>
      <c r="J763" s="257">
        <v>25</v>
      </c>
      <c r="K763" s="257">
        <v>2022</v>
      </c>
      <c r="L763" s="242">
        <v>21335.082999999995</v>
      </c>
      <c r="M763" s="242" t="s">
        <v>630</v>
      </c>
      <c r="N763" s="243">
        <v>63708</v>
      </c>
      <c r="O763" s="243">
        <f t="shared" si="47"/>
        <v>1592700</v>
      </c>
      <c r="P763" s="257" t="s">
        <v>1371</v>
      </c>
      <c r="Q763" s="242" t="s">
        <v>47</v>
      </c>
      <c r="R763" s="283" t="s">
        <v>1869</v>
      </c>
      <c r="S763" s="283" t="s">
        <v>1861</v>
      </c>
      <c r="T763" s="242" t="s">
        <v>1491</v>
      </c>
      <c r="U763" s="283" t="s">
        <v>1953</v>
      </c>
      <c r="V763" s="283" t="s">
        <v>2813</v>
      </c>
    </row>
    <row r="764" spans="1:22" s="283" customFormat="1" ht="15.75" thickBot="1" x14ac:dyDescent="0.3">
      <c r="A764" s="276" t="s">
        <v>4580</v>
      </c>
      <c r="B764" s="276" t="s">
        <v>4580</v>
      </c>
      <c r="C764" s="276" t="s">
        <v>4580</v>
      </c>
      <c r="D764" s="263" t="s">
        <v>629</v>
      </c>
      <c r="E764" s="266" t="s">
        <v>1853</v>
      </c>
      <c r="F764" s="388" t="s">
        <v>620</v>
      </c>
      <c r="G764" s="389">
        <v>2005</v>
      </c>
      <c r="H764" s="352" t="s">
        <v>732</v>
      </c>
      <c r="I764" s="310" t="str">
        <f t="shared" si="46"/>
        <v>Pesado de Passageiros M3: III : Gasóleo : E3</v>
      </c>
      <c r="J764" s="257">
        <v>57</v>
      </c>
      <c r="K764" s="257">
        <v>2022</v>
      </c>
      <c r="L764" s="242">
        <v>17400.14</v>
      </c>
      <c r="M764" s="242" t="s">
        <v>630</v>
      </c>
      <c r="N764" s="243">
        <v>51309</v>
      </c>
      <c r="O764" s="243">
        <f t="shared" si="47"/>
        <v>2924613</v>
      </c>
      <c r="P764" s="257" t="s">
        <v>1372</v>
      </c>
      <c r="Q764" s="242" t="s">
        <v>47</v>
      </c>
      <c r="R764" s="283" t="s">
        <v>1869</v>
      </c>
      <c r="S764" s="283" t="s">
        <v>1861</v>
      </c>
      <c r="T764" s="242" t="s">
        <v>1491</v>
      </c>
      <c r="U764" s="283" t="s">
        <v>1953</v>
      </c>
      <c r="V764" s="283" t="s">
        <v>2813</v>
      </c>
    </row>
    <row r="765" spans="1:22" s="283" customFormat="1" ht="15.75" thickBot="1" x14ac:dyDescent="0.3">
      <c r="A765" s="276" t="s">
        <v>4580</v>
      </c>
      <c r="B765" s="276" t="s">
        <v>4580</v>
      </c>
      <c r="C765" s="276" t="s">
        <v>4580</v>
      </c>
      <c r="D765" s="263" t="s">
        <v>629</v>
      </c>
      <c r="E765" s="266" t="s">
        <v>1853</v>
      </c>
      <c r="F765" s="388" t="s">
        <v>620</v>
      </c>
      <c r="G765" s="389">
        <v>2009</v>
      </c>
      <c r="H765" s="352" t="s">
        <v>734</v>
      </c>
      <c r="I765" s="310" t="str">
        <f t="shared" si="46"/>
        <v>Pesado de Passageiros M3: III : Gasóleo : E5</v>
      </c>
      <c r="J765" s="257">
        <v>53</v>
      </c>
      <c r="K765" s="257">
        <v>2022</v>
      </c>
      <c r="L765" s="242">
        <v>15290.883</v>
      </c>
      <c r="M765" s="242" t="s">
        <v>630</v>
      </c>
      <c r="N765" s="243">
        <v>40852</v>
      </c>
      <c r="O765" s="243">
        <f t="shared" si="47"/>
        <v>2165156</v>
      </c>
      <c r="P765" s="257" t="s">
        <v>1373</v>
      </c>
      <c r="Q765" s="242" t="s">
        <v>47</v>
      </c>
      <c r="R765" s="283" t="s">
        <v>1869</v>
      </c>
      <c r="S765" s="283" t="s">
        <v>1861</v>
      </c>
      <c r="T765" s="242" t="s">
        <v>1491</v>
      </c>
      <c r="U765" s="283" t="s">
        <v>1953</v>
      </c>
      <c r="V765" s="283" t="s">
        <v>2813</v>
      </c>
    </row>
    <row r="766" spans="1:22" s="283" customFormat="1" ht="15.75" thickBot="1" x14ac:dyDescent="0.3">
      <c r="A766" s="276" t="s">
        <v>4580</v>
      </c>
      <c r="B766" s="276" t="s">
        <v>4580</v>
      </c>
      <c r="C766" s="276" t="s">
        <v>4580</v>
      </c>
      <c r="D766" s="263" t="s">
        <v>629</v>
      </c>
      <c r="E766" s="266" t="s">
        <v>1853</v>
      </c>
      <c r="F766" s="388" t="s">
        <v>620</v>
      </c>
      <c r="G766" s="389">
        <v>2009</v>
      </c>
      <c r="H766" s="352" t="s">
        <v>734</v>
      </c>
      <c r="I766" s="310" t="str">
        <f t="shared" si="46"/>
        <v>Pesado de Passageiros M3: III : Gasóleo : E5</v>
      </c>
      <c r="J766" s="257">
        <v>53</v>
      </c>
      <c r="K766" s="257">
        <v>2022</v>
      </c>
      <c r="L766" s="242">
        <v>11439.130000000001</v>
      </c>
      <c r="M766" s="242" t="s">
        <v>630</v>
      </c>
      <c r="N766" s="243">
        <v>31529</v>
      </c>
      <c r="O766" s="243">
        <f t="shared" si="47"/>
        <v>1671037</v>
      </c>
      <c r="P766" s="257" t="s">
        <v>767</v>
      </c>
      <c r="Q766" s="242" t="s">
        <v>47</v>
      </c>
      <c r="R766" s="283" t="s">
        <v>1869</v>
      </c>
      <c r="S766" s="283" t="s">
        <v>1861</v>
      </c>
      <c r="T766" s="242" t="s">
        <v>1491</v>
      </c>
      <c r="U766" s="283" t="s">
        <v>1953</v>
      </c>
      <c r="V766" s="283" t="s">
        <v>2813</v>
      </c>
    </row>
    <row r="767" spans="1:22" s="283" customFormat="1" ht="15.75" thickBot="1" x14ac:dyDescent="0.3">
      <c r="A767" s="276" t="s">
        <v>4580</v>
      </c>
      <c r="B767" s="276" t="s">
        <v>4580</v>
      </c>
      <c r="C767" s="276" t="s">
        <v>4580</v>
      </c>
      <c r="D767" s="263" t="s">
        <v>629</v>
      </c>
      <c r="E767" s="266" t="s">
        <v>1853</v>
      </c>
      <c r="F767" s="388" t="s">
        <v>620</v>
      </c>
      <c r="G767" s="389">
        <v>2009</v>
      </c>
      <c r="H767" s="352" t="s">
        <v>734</v>
      </c>
      <c r="I767" s="310" t="str">
        <f t="shared" si="46"/>
        <v>Pesado de Passageiros M3: III : Gasóleo : E5</v>
      </c>
      <c r="J767" s="257">
        <v>53</v>
      </c>
      <c r="K767" s="257">
        <v>2022</v>
      </c>
      <c r="L767" s="242">
        <v>16414.89</v>
      </c>
      <c r="M767" s="242" t="s">
        <v>630</v>
      </c>
      <c r="N767" s="243">
        <v>44689</v>
      </c>
      <c r="O767" s="243">
        <f t="shared" si="47"/>
        <v>2368517</v>
      </c>
      <c r="P767" s="257" t="s">
        <v>1374</v>
      </c>
      <c r="Q767" s="242" t="s">
        <v>47</v>
      </c>
      <c r="R767" s="283" t="s">
        <v>1869</v>
      </c>
      <c r="S767" s="283" t="s">
        <v>1861</v>
      </c>
      <c r="T767" s="242" t="s">
        <v>1491</v>
      </c>
      <c r="U767" s="283" t="s">
        <v>1953</v>
      </c>
      <c r="V767" s="283" t="s">
        <v>2813</v>
      </c>
    </row>
    <row r="768" spans="1:22" s="283" customFormat="1" ht="15.75" thickBot="1" x14ac:dyDescent="0.3">
      <c r="A768" s="276" t="s">
        <v>4580</v>
      </c>
      <c r="B768" s="276" t="s">
        <v>4580</v>
      </c>
      <c r="C768" s="276" t="s">
        <v>4580</v>
      </c>
      <c r="D768" s="263" t="s">
        <v>629</v>
      </c>
      <c r="E768" s="266" t="s">
        <v>1853</v>
      </c>
      <c r="F768" s="388" t="s">
        <v>620</v>
      </c>
      <c r="G768" s="389">
        <v>2005</v>
      </c>
      <c r="H768" s="352" t="s">
        <v>732</v>
      </c>
      <c r="I768" s="310" t="str">
        <f t="shared" si="46"/>
        <v>Pesado de Passageiros M3: III : Gasóleo : E3</v>
      </c>
      <c r="J768" s="257">
        <v>66</v>
      </c>
      <c r="K768" s="257">
        <v>2022</v>
      </c>
      <c r="L768" s="242">
        <v>20547.02</v>
      </c>
      <c r="M768" s="242" t="s">
        <v>630</v>
      </c>
      <c r="N768" s="243">
        <v>55945</v>
      </c>
      <c r="O768" s="243">
        <f t="shared" si="47"/>
        <v>3692370</v>
      </c>
      <c r="P768" s="257" t="s">
        <v>1375</v>
      </c>
      <c r="Q768" s="242" t="s">
        <v>47</v>
      </c>
      <c r="R768" s="283" t="s">
        <v>1869</v>
      </c>
      <c r="S768" s="283" t="s">
        <v>1861</v>
      </c>
      <c r="T768" s="242" t="s">
        <v>1491</v>
      </c>
      <c r="U768" s="283" t="s">
        <v>1953</v>
      </c>
      <c r="V768" s="283" t="s">
        <v>2813</v>
      </c>
    </row>
    <row r="769" spans="1:22" s="283" customFormat="1" ht="15.75" thickBot="1" x14ac:dyDescent="0.3">
      <c r="A769" s="276" t="s">
        <v>4580</v>
      </c>
      <c r="B769" s="276" t="s">
        <v>4580</v>
      </c>
      <c r="C769" s="276" t="s">
        <v>4580</v>
      </c>
      <c r="D769" s="263" t="s">
        <v>629</v>
      </c>
      <c r="E769" s="266" t="s">
        <v>1853</v>
      </c>
      <c r="F769" s="388" t="s">
        <v>620</v>
      </c>
      <c r="G769" s="389">
        <v>2004</v>
      </c>
      <c r="H769" s="352" t="s">
        <v>732</v>
      </c>
      <c r="I769" s="310" t="str">
        <f t="shared" si="46"/>
        <v>Pesado de Passageiros M3: III : Gasóleo : E3</v>
      </c>
      <c r="J769" s="257">
        <v>69</v>
      </c>
      <c r="K769" s="257">
        <v>2022</v>
      </c>
      <c r="L769" s="242">
        <v>5808.73</v>
      </c>
      <c r="M769" s="242" t="s">
        <v>630</v>
      </c>
      <c r="N769" s="243">
        <v>13090</v>
      </c>
      <c r="O769" s="243">
        <f t="shared" si="47"/>
        <v>903210</v>
      </c>
      <c r="P769" s="257" t="s">
        <v>1376</v>
      </c>
      <c r="Q769" s="242" t="s">
        <v>47</v>
      </c>
      <c r="R769" s="283" t="s">
        <v>1869</v>
      </c>
      <c r="S769" s="283" t="s">
        <v>1861</v>
      </c>
      <c r="T769" s="242" t="s">
        <v>1491</v>
      </c>
      <c r="U769" s="283" t="s">
        <v>1953</v>
      </c>
      <c r="V769" s="283" t="s">
        <v>2813</v>
      </c>
    </row>
    <row r="770" spans="1:22" s="283" customFormat="1" ht="15.75" thickBot="1" x14ac:dyDescent="0.3">
      <c r="A770" s="276" t="s">
        <v>4580</v>
      </c>
      <c r="B770" s="276" t="s">
        <v>4580</v>
      </c>
      <c r="C770" s="276" t="s">
        <v>4580</v>
      </c>
      <c r="D770" s="263" t="s">
        <v>629</v>
      </c>
      <c r="E770" s="266" t="s">
        <v>1853</v>
      </c>
      <c r="F770" s="388" t="s">
        <v>620</v>
      </c>
      <c r="G770" s="389">
        <v>2006</v>
      </c>
      <c r="H770" s="352" t="s">
        <v>731</v>
      </c>
      <c r="I770" s="310" t="str">
        <f t="shared" si="46"/>
        <v>Pesado de Passageiros M3: III : Gasóleo : E4</v>
      </c>
      <c r="J770" s="257">
        <v>65</v>
      </c>
      <c r="K770" s="257">
        <v>2022</v>
      </c>
      <c r="L770" s="242">
        <v>20935.48</v>
      </c>
      <c r="M770" s="242" t="s">
        <v>630</v>
      </c>
      <c r="N770" s="243">
        <v>56432</v>
      </c>
      <c r="O770" s="243">
        <f t="shared" si="47"/>
        <v>3668080</v>
      </c>
      <c r="P770" s="257" t="s">
        <v>1377</v>
      </c>
      <c r="Q770" s="242" t="s">
        <v>47</v>
      </c>
      <c r="R770" s="283" t="s">
        <v>1869</v>
      </c>
      <c r="S770" s="283" t="s">
        <v>1861</v>
      </c>
      <c r="T770" s="242" t="s">
        <v>1491</v>
      </c>
      <c r="U770" s="283" t="s">
        <v>1953</v>
      </c>
      <c r="V770" s="283" t="s">
        <v>2813</v>
      </c>
    </row>
    <row r="771" spans="1:22" s="283" customFormat="1" ht="15.75" thickBot="1" x14ac:dyDescent="0.3">
      <c r="A771" s="276" t="s">
        <v>4580</v>
      </c>
      <c r="B771" s="276" t="s">
        <v>4580</v>
      </c>
      <c r="C771" s="276" t="s">
        <v>4580</v>
      </c>
      <c r="D771" s="263" t="s">
        <v>629</v>
      </c>
      <c r="E771" s="266" t="s">
        <v>1853</v>
      </c>
      <c r="F771" s="388" t="s">
        <v>620</v>
      </c>
      <c r="G771" s="389">
        <v>2004</v>
      </c>
      <c r="H771" s="352" t="s">
        <v>732</v>
      </c>
      <c r="I771" s="310" t="str">
        <f t="shared" si="46"/>
        <v>Pesado de Passageiros M3: III : Gasóleo : E3</v>
      </c>
      <c r="J771" s="257">
        <v>49</v>
      </c>
      <c r="K771" s="257">
        <v>2022</v>
      </c>
      <c r="L771" s="242">
        <v>20202.93</v>
      </c>
      <c r="M771" s="242" t="s">
        <v>630</v>
      </c>
      <c r="N771" s="243">
        <v>59286</v>
      </c>
      <c r="O771" s="243">
        <f t="shared" si="47"/>
        <v>2905014</v>
      </c>
      <c r="P771" s="257" t="s">
        <v>1378</v>
      </c>
      <c r="Q771" s="242" t="s">
        <v>47</v>
      </c>
      <c r="R771" s="283" t="s">
        <v>1869</v>
      </c>
      <c r="S771" s="283" t="s">
        <v>1861</v>
      </c>
      <c r="T771" s="242" t="s">
        <v>1491</v>
      </c>
      <c r="U771" s="283" t="s">
        <v>1953</v>
      </c>
      <c r="V771" s="283" t="s">
        <v>2813</v>
      </c>
    </row>
    <row r="772" spans="1:22" s="283" customFormat="1" ht="15.75" thickBot="1" x14ac:dyDescent="0.3">
      <c r="A772" s="276" t="s">
        <v>4580</v>
      </c>
      <c r="B772" s="276" t="s">
        <v>4580</v>
      </c>
      <c r="C772" s="276" t="s">
        <v>4580</v>
      </c>
      <c r="D772" s="263" t="s">
        <v>629</v>
      </c>
      <c r="E772" s="266" t="s">
        <v>1853</v>
      </c>
      <c r="F772" s="388" t="s">
        <v>620</v>
      </c>
      <c r="G772" s="389">
        <v>1998</v>
      </c>
      <c r="H772" s="352" t="s">
        <v>736</v>
      </c>
      <c r="I772" s="310" t="str">
        <f t="shared" ref="I772:I835" si="48">D772&amp;": "&amp;E772&amp;" : "&amp;F772&amp;" : "&amp;H772</f>
        <v>Pesado de Passageiros M3: III : Gasóleo : E1</v>
      </c>
      <c r="J772" s="257">
        <v>51</v>
      </c>
      <c r="K772" s="257">
        <v>2022</v>
      </c>
      <c r="L772" s="242">
        <v>10378.340000000002</v>
      </c>
      <c r="M772" s="242" t="s">
        <v>630</v>
      </c>
      <c r="N772" s="243">
        <v>27640</v>
      </c>
      <c r="O772" s="243">
        <f t="shared" ref="O772:O835" si="49">N772*J772</f>
        <v>1409640</v>
      </c>
      <c r="P772" s="257" t="s">
        <v>1379</v>
      </c>
      <c r="Q772" s="242" t="s">
        <v>47</v>
      </c>
      <c r="R772" s="283" t="s">
        <v>1869</v>
      </c>
      <c r="S772" s="283" t="s">
        <v>1861</v>
      </c>
      <c r="T772" s="242" t="s">
        <v>1491</v>
      </c>
      <c r="U772" s="283" t="s">
        <v>1953</v>
      </c>
      <c r="V772" s="283" t="s">
        <v>2813</v>
      </c>
    </row>
    <row r="773" spans="1:22" s="283" customFormat="1" ht="15.75" thickBot="1" x14ac:dyDescent="0.3">
      <c r="A773" s="276" t="s">
        <v>4580</v>
      </c>
      <c r="B773" s="276" t="s">
        <v>4580</v>
      </c>
      <c r="C773" s="276" t="s">
        <v>4580</v>
      </c>
      <c r="D773" s="263" t="s">
        <v>629</v>
      </c>
      <c r="E773" s="266" t="s">
        <v>1853</v>
      </c>
      <c r="F773" s="388" t="s">
        <v>620</v>
      </c>
      <c r="G773" s="389">
        <v>1999</v>
      </c>
      <c r="H773" s="352" t="s">
        <v>736</v>
      </c>
      <c r="I773" s="310" t="str">
        <f t="shared" si="48"/>
        <v>Pesado de Passageiros M3: III : Gasóleo : E1</v>
      </c>
      <c r="J773" s="257">
        <v>51</v>
      </c>
      <c r="K773" s="257">
        <v>2022</v>
      </c>
      <c r="L773" s="242">
        <v>8266.89</v>
      </c>
      <c r="M773" s="242" t="s">
        <v>630</v>
      </c>
      <c r="N773" s="243">
        <v>23147</v>
      </c>
      <c r="O773" s="243">
        <f t="shared" si="49"/>
        <v>1180497</v>
      </c>
      <c r="P773" s="257" t="s">
        <v>1380</v>
      </c>
      <c r="Q773" s="242" t="s">
        <v>47</v>
      </c>
      <c r="R773" s="283" t="s">
        <v>1869</v>
      </c>
      <c r="S773" s="283" t="s">
        <v>1861</v>
      </c>
      <c r="T773" s="242" t="s">
        <v>1491</v>
      </c>
      <c r="U773" s="283" t="s">
        <v>1953</v>
      </c>
      <c r="V773" s="283" t="s">
        <v>2813</v>
      </c>
    </row>
    <row r="774" spans="1:22" s="283" customFormat="1" ht="15.75" thickBot="1" x14ac:dyDescent="0.3">
      <c r="A774" s="276" t="s">
        <v>4580</v>
      </c>
      <c r="B774" s="276" t="s">
        <v>4580</v>
      </c>
      <c r="C774" s="276" t="s">
        <v>4580</v>
      </c>
      <c r="D774" s="263" t="s">
        <v>629</v>
      </c>
      <c r="E774" s="266" t="s">
        <v>1853</v>
      </c>
      <c r="F774" s="388" t="s">
        <v>620</v>
      </c>
      <c r="G774" s="389">
        <v>2001</v>
      </c>
      <c r="H774" s="352" t="s">
        <v>732</v>
      </c>
      <c r="I774" s="310" t="str">
        <f t="shared" si="48"/>
        <v>Pesado de Passageiros M3: III : Gasóleo : E3</v>
      </c>
      <c r="J774" s="257">
        <v>55</v>
      </c>
      <c r="K774" s="257">
        <v>2022</v>
      </c>
      <c r="L774" s="242">
        <v>16793.070000000003</v>
      </c>
      <c r="M774" s="242" t="s">
        <v>630</v>
      </c>
      <c r="N774" s="243">
        <v>44912</v>
      </c>
      <c r="O774" s="243">
        <f t="shared" si="49"/>
        <v>2470160</v>
      </c>
      <c r="P774" s="257" t="s">
        <v>1381</v>
      </c>
      <c r="Q774" s="242" t="s">
        <v>47</v>
      </c>
      <c r="R774" s="283" t="s">
        <v>1869</v>
      </c>
      <c r="S774" s="283" t="s">
        <v>1861</v>
      </c>
      <c r="T774" s="242" t="s">
        <v>1491</v>
      </c>
      <c r="U774" s="283" t="s">
        <v>1953</v>
      </c>
      <c r="V774" s="283" t="s">
        <v>2813</v>
      </c>
    </row>
    <row r="775" spans="1:22" s="283" customFormat="1" ht="15.75" thickBot="1" x14ac:dyDescent="0.3">
      <c r="A775" s="276" t="s">
        <v>4580</v>
      </c>
      <c r="B775" s="276" t="s">
        <v>4580</v>
      </c>
      <c r="C775" s="276" t="s">
        <v>4580</v>
      </c>
      <c r="D775" s="263" t="s">
        <v>629</v>
      </c>
      <c r="E775" s="266" t="s">
        <v>1853</v>
      </c>
      <c r="F775" s="388" t="s">
        <v>620</v>
      </c>
      <c r="G775" s="389">
        <v>2002</v>
      </c>
      <c r="H775" s="352" t="s">
        <v>732</v>
      </c>
      <c r="I775" s="310" t="str">
        <f t="shared" si="48"/>
        <v>Pesado de Passageiros M3: III : Gasóleo : E3</v>
      </c>
      <c r="J775" s="257">
        <v>57</v>
      </c>
      <c r="K775" s="257">
        <v>2022</v>
      </c>
      <c r="L775" s="242">
        <v>7996.85</v>
      </c>
      <c r="M775" s="242" t="s">
        <v>630</v>
      </c>
      <c r="N775" s="243">
        <v>21566</v>
      </c>
      <c r="O775" s="243">
        <f t="shared" si="49"/>
        <v>1229262</v>
      </c>
      <c r="P775" s="257" t="s">
        <v>1382</v>
      </c>
      <c r="Q775" s="242" t="s">
        <v>47</v>
      </c>
      <c r="R775" s="283" t="s">
        <v>1869</v>
      </c>
      <c r="S775" s="283" t="s">
        <v>1861</v>
      </c>
      <c r="T775" s="242" t="s">
        <v>1491</v>
      </c>
      <c r="U775" s="283" t="s">
        <v>1953</v>
      </c>
      <c r="V775" s="283" t="s">
        <v>2813</v>
      </c>
    </row>
    <row r="776" spans="1:22" s="283" customFormat="1" ht="15.75" thickBot="1" x14ac:dyDescent="0.3">
      <c r="A776" s="276" t="s">
        <v>4580</v>
      </c>
      <c r="B776" s="276" t="s">
        <v>4580</v>
      </c>
      <c r="C776" s="276" t="s">
        <v>4580</v>
      </c>
      <c r="D776" s="263" t="s">
        <v>629</v>
      </c>
      <c r="E776" s="266" t="s">
        <v>1853</v>
      </c>
      <c r="F776" s="388" t="s">
        <v>620</v>
      </c>
      <c r="G776" s="389">
        <v>1999</v>
      </c>
      <c r="H776" s="352" t="s">
        <v>736</v>
      </c>
      <c r="I776" s="310" t="str">
        <f t="shared" si="48"/>
        <v>Pesado de Passageiros M3: III : Gasóleo : E1</v>
      </c>
      <c r="J776" s="257">
        <v>83</v>
      </c>
      <c r="K776" s="257">
        <v>2022</v>
      </c>
      <c r="L776" s="242">
        <v>12291.969999999998</v>
      </c>
      <c r="M776" s="242" t="s">
        <v>630</v>
      </c>
      <c r="N776" s="243">
        <v>37270</v>
      </c>
      <c r="O776" s="243">
        <f t="shared" si="49"/>
        <v>3093410</v>
      </c>
      <c r="P776" s="257" t="s">
        <v>1383</v>
      </c>
      <c r="Q776" s="242" t="s">
        <v>47</v>
      </c>
      <c r="R776" s="283" t="s">
        <v>1869</v>
      </c>
      <c r="S776" s="283" t="s">
        <v>1861</v>
      </c>
      <c r="T776" s="242" t="s">
        <v>1491</v>
      </c>
      <c r="U776" s="283" t="s">
        <v>1953</v>
      </c>
      <c r="V776" s="283" t="s">
        <v>2813</v>
      </c>
    </row>
    <row r="777" spans="1:22" s="283" customFormat="1" ht="15.75" thickBot="1" x14ac:dyDescent="0.3">
      <c r="A777" s="276" t="s">
        <v>4580</v>
      </c>
      <c r="B777" s="276" t="s">
        <v>4580</v>
      </c>
      <c r="C777" s="276" t="s">
        <v>4580</v>
      </c>
      <c r="D777" s="263" t="s">
        <v>629</v>
      </c>
      <c r="E777" s="266" t="s">
        <v>1853</v>
      </c>
      <c r="F777" s="388" t="s">
        <v>620</v>
      </c>
      <c r="G777" s="389">
        <v>2000</v>
      </c>
      <c r="H777" s="352" t="s">
        <v>735</v>
      </c>
      <c r="I777" s="310" t="str">
        <f t="shared" si="48"/>
        <v>Pesado de Passageiros M3: III : Gasóleo : E2</v>
      </c>
      <c r="J777" s="257">
        <v>51</v>
      </c>
      <c r="K777" s="257">
        <v>2022</v>
      </c>
      <c r="L777" s="242">
        <v>8046.21</v>
      </c>
      <c r="M777" s="242" t="s">
        <v>630</v>
      </c>
      <c r="N777" s="243">
        <v>24305</v>
      </c>
      <c r="O777" s="243">
        <f t="shared" si="49"/>
        <v>1239555</v>
      </c>
      <c r="P777" s="257" t="s">
        <v>1384</v>
      </c>
      <c r="Q777" s="242" t="s">
        <v>47</v>
      </c>
      <c r="R777" s="283" t="s">
        <v>1869</v>
      </c>
      <c r="S777" s="283" t="s">
        <v>1861</v>
      </c>
      <c r="T777" s="242" t="s">
        <v>1491</v>
      </c>
      <c r="U777" s="283" t="s">
        <v>1953</v>
      </c>
      <c r="V777" s="283" t="s">
        <v>2813</v>
      </c>
    </row>
    <row r="778" spans="1:22" s="283" customFormat="1" ht="15.75" thickBot="1" x14ac:dyDescent="0.3">
      <c r="A778" s="276" t="s">
        <v>4580</v>
      </c>
      <c r="B778" s="276" t="s">
        <v>4580</v>
      </c>
      <c r="C778" s="276" t="s">
        <v>4580</v>
      </c>
      <c r="D778" s="263" t="s">
        <v>629</v>
      </c>
      <c r="E778" s="266" t="s">
        <v>1853</v>
      </c>
      <c r="F778" s="388" t="s">
        <v>620</v>
      </c>
      <c r="G778" s="389">
        <v>2004</v>
      </c>
      <c r="H778" s="352" t="s">
        <v>732</v>
      </c>
      <c r="I778" s="310" t="str">
        <f t="shared" si="48"/>
        <v>Pesado de Passageiros M3: III : Gasóleo : E3</v>
      </c>
      <c r="J778" s="257">
        <v>88</v>
      </c>
      <c r="K778" s="257">
        <v>2022</v>
      </c>
      <c r="L778" s="242">
        <v>23091.299999999996</v>
      </c>
      <c r="M778" s="242" t="s">
        <v>630</v>
      </c>
      <c r="N778" s="243">
        <v>56436</v>
      </c>
      <c r="O778" s="243">
        <f t="shared" si="49"/>
        <v>4966368</v>
      </c>
      <c r="P778" s="257" t="s">
        <v>1385</v>
      </c>
      <c r="Q778" s="242" t="s">
        <v>47</v>
      </c>
      <c r="R778" s="283" t="s">
        <v>1869</v>
      </c>
      <c r="S778" s="283" t="s">
        <v>1861</v>
      </c>
      <c r="T778" s="242" t="s">
        <v>1491</v>
      </c>
      <c r="U778" s="283" t="s">
        <v>1953</v>
      </c>
      <c r="V778" s="283" t="s">
        <v>2813</v>
      </c>
    </row>
    <row r="779" spans="1:22" s="283" customFormat="1" ht="15.75" thickBot="1" x14ac:dyDescent="0.3">
      <c r="A779" s="276" t="s">
        <v>4580</v>
      </c>
      <c r="B779" s="276" t="s">
        <v>4580</v>
      </c>
      <c r="C779" s="276" t="s">
        <v>4580</v>
      </c>
      <c r="D779" s="263" t="s">
        <v>629</v>
      </c>
      <c r="E779" s="266" t="s">
        <v>1853</v>
      </c>
      <c r="F779" s="388" t="s">
        <v>620</v>
      </c>
      <c r="G779" s="389">
        <v>2015</v>
      </c>
      <c r="H779" s="352" t="s">
        <v>733</v>
      </c>
      <c r="I779" s="310" t="str">
        <f t="shared" si="48"/>
        <v>Pesado de Passageiros M3: III : Gasóleo : E6</v>
      </c>
      <c r="J779" s="257">
        <v>53</v>
      </c>
      <c r="K779" s="257">
        <v>2022</v>
      </c>
      <c r="L779" s="242">
        <v>612.69000000000005</v>
      </c>
      <c r="M779" s="242" t="s">
        <v>630</v>
      </c>
      <c r="N779" s="243">
        <v>1786</v>
      </c>
      <c r="O779" s="243">
        <f t="shared" si="49"/>
        <v>94658</v>
      </c>
      <c r="P779" s="257" t="s">
        <v>1386</v>
      </c>
      <c r="Q779" s="242" t="s">
        <v>47</v>
      </c>
      <c r="R779" s="283" t="s">
        <v>1869</v>
      </c>
      <c r="S779" s="283" t="s">
        <v>1861</v>
      </c>
      <c r="T779" s="242" t="s">
        <v>1491</v>
      </c>
      <c r="U779" s="283" t="s">
        <v>1953</v>
      </c>
      <c r="V779" s="283" t="s">
        <v>2813</v>
      </c>
    </row>
    <row r="780" spans="1:22" s="283" customFormat="1" ht="15.75" thickBot="1" x14ac:dyDescent="0.3">
      <c r="A780" s="276" t="s">
        <v>4580</v>
      </c>
      <c r="B780" s="276" t="s">
        <v>4580</v>
      </c>
      <c r="C780" s="276" t="s">
        <v>4580</v>
      </c>
      <c r="D780" s="263" t="s">
        <v>629</v>
      </c>
      <c r="E780" s="266" t="s">
        <v>1853</v>
      </c>
      <c r="F780" s="388" t="s">
        <v>620</v>
      </c>
      <c r="G780" s="389">
        <v>2005</v>
      </c>
      <c r="H780" s="352" t="s">
        <v>732</v>
      </c>
      <c r="I780" s="310" t="str">
        <f t="shared" si="48"/>
        <v>Pesado de Passageiros M3: III : Gasóleo : E3</v>
      </c>
      <c r="J780" s="257">
        <v>75</v>
      </c>
      <c r="K780" s="257">
        <v>2022</v>
      </c>
      <c r="L780" s="242">
        <v>16768.46</v>
      </c>
      <c r="M780" s="242" t="s">
        <v>630</v>
      </c>
      <c r="N780" s="243">
        <v>53486</v>
      </c>
      <c r="O780" s="243">
        <f t="shared" si="49"/>
        <v>4011450</v>
      </c>
      <c r="P780" s="257" t="s">
        <v>1387</v>
      </c>
      <c r="Q780" s="242" t="s">
        <v>47</v>
      </c>
      <c r="R780" s="283" t="s">
        <v>1869</v>
      </c>
      <c r="S780" s="283" t="s">
        <v>1861</v>
      </c>
      <c r="T780" s="242" t="s">
        <v>1491</v>
      </c>
      <c r="U780" s="283" t="s">
        <v>1953</v>
      </c>
      <c r="V780" s="283" t="s">
        <v>2813</v>
      </c>
    </row>
    <row r="781" spans="1:22" s="283" customFormat="1" ht="15.75" thickBot="1" x14ac:dyDescent="0.3">
      <c r="A781" s="276" t="s">
        <v>4580</v>
      </c>
      <c r="B781" s="276" t="s">
        <v>4580</v>
      </c>
      <c r="C781" s="276" t="s">
        <v>4580</v>
      </c>
      <c r="D781" s="263" t="s">
        <v>629</v>
      </c>
      <c r="E781" s="266" t="s">
        <v>1853</v>
      </c>
      <c r="F781" s="388" t="s">
        <v>620</v>
      </c>
      <c r="G781" s="389">
        <v>2002</v>
      </c>
      <c r="H781" s="352" t="s">
        <v>732</v>
      </c>
      <c r="I781" s="310" t="str">
        <f t="shared" si="48"/>
        <v>Pesado de Passageiros M3: III : Gasóleo : E3</v>
      </c>
      <c r="J781" s="257">
        <v>97</v>
      </c>
      <c r="K781" s="257">
        <v>2022</v>
      </c>
      <c r="L781" s="242">
        <v>8320.9599999999991</v>
      </c>
      <c r="M781" s="242" t="s">
        <v>630</v>
      </c>
      <c r="N781" s="243">
        <v>20960</v>
      </c>
      <c r="O781" s="243">
        <f t="shared" si="49"/>
        <v>2033120</v>
      </c>
      <c r="P781" s="257" t="s">
        <v>1388</v>
      </c>
      <c r="Q781" s="242" t="s">
        <v>47</v>
      </c>
      <c r="R781" s="283" t="s">
        <v>1869</v>
      </c>
      <c r="S781" s="283" t="s">
        <v>1861</v>
      </c>
      <c r="T781" s="242" t="s">
        <v>1491</v>
      </c>
      <c r="U781" s="283" t="s">
        <v>1953</v>
      </c>
      <c r="V781" s="283" t="s">
        <v>2813</v>
      </c>
    </row>
    <row r="782" spans="1:22" s="283" customFormat="1" ht="15.75" thickBot="1" x14ac:dyDescent="0.3">
      <c r="A782" s="276" t="s">
        <v>4580</v>
      </c>
      <c r="B782" s="276" t="s">
        <v>4580</v>
      </c>
      <c r="C782" s="276" t="s">
        <v>4580</v>
      </c>
      <c r="D782" s="263" t="s">
        <v>629</v>
      </c>
      <c r="E782" s="266" t="s">
        <v>1853</v>
      </c>
      <c r="F782" s="388" t="s">
        <v>620</v>
      </c>
      <c r="G782" s="389">
        <v>2004</v>
      </c>
      <c r="H782" s="352" t="s">
        <v>732</v>
      </c>
      <c r="I782" s="310" t="str">
        <f t="shared" si="48"/>
        <v>Pesado de Passageiros M3: III : Gasóleo : E3</v>
      </c>
      <c r="J782" s="257">
        <v>60</v>
      </c>
      <c r="K782" s="257">
        <v>2022</v>
      </c>
      <c r="L782" s="242">
        <v>1235.43</v>
      </c>
      <c r="M782" s="242" t="s">
        <v>630</v>
      </c>
      <c r="N782" s="243">
        <v>3437</v>
      </c>
      <c r="O782" s="243">
        <f t="shared" si="49"/>
        <v>206220</v>
      </c>
      <c r="P782" s="257" t="s">
        <v>1115</v>
      </c>
      <c r="Q782" s="242" t="s">
        <v>47</v>
      </c>
      <c r="R782" s="283" t="s">
        <v>1869</v>
      </c>
      <c r="S782" s="283" t="s">
        <v>1861</v>
      </c>
      <c r="T782" s="242" t="s">
        <v>1491</v>
      </c>
      <c r="U782" s="283" t="s">
        <v>1953</v>
      </c>
      <c r="V782" s="283" t="s">
        <v>2813</v>
      </c>
    </row>
    <row r="783" spans="1:22" s="283" customFormat="1" ht="15.75" thickBot="1" x14ac:dyDescent="0.3">
      <c r="A783" s="276" t="s">
        <v>4580</v>
      </c>
      <c r="B783" s="276" t="s">
        <v>4580</v>
      </c>
      <c r="C783" s="276" t="s">
        <v>4580</v>
      </c>
      <c r="D783" s="263" t="s">
        <v>629</v>
      </c>
      <c r="E783" s="266" t="s">
        <v>1853</v>
      </c>
      <c r="F783" s="388" t="s">
        <v>620</v>
      </c>
      <c r="G783" s="389">
        <v>2015</v>
      </c>
      <c r="H783" s="352" t="s">
        <v>733</v>
      </c>
      <c r="I783" s="310" t="str">
        <f t="shared" si="48"/>
        <v>Pesado de Passageiros M3: III : Gasóleo : E6</v>
      </c>
      <c r="J783" s="257">
        <v>55</v>
      </c>
      <c r="K783" s="257">
        <v>2022</v>
      </c>
      <c r="L783" s="242">
        <v>7096.16</v>
      </c>
      <c r="M783" s="242" t="s">
        <v>630</v>
      </c>
      <c r="N783" s="243">
        <v>18428</v>
      </c>
      <c r="O783" s="243">
        <f t="shared" si="49"/>
        <v>1013540</v>
      </c>
      <c r="P783" s="257" t="s">
        <v>1389</v>
      </c>
      <c r="Q783" s="242" t="s">
        <v>47</v>
      </c>
      <c r="R783" s="283" t="s">
        <v>1869</v>
      </c>
      <c r="S783" s="283" t="s">
        <v>1861</v>
      </c>
      <c r="T783" s="242" t="s">
        <v>1491</v>
      </c>
      <c r="U783" s="283" t="s">
        <v>1953</v>
      </c>
      <c r="V783" s="283" t="s">
        <v>2813</v>
      </c>
    </row>
    <row r="784" spans="1:22" s="283" customFormat="1" ht="15.75" thickBot="1" x14ac:dyDescent="0.3">
      <c r="A784" s="276" t="s">
        <v>4580</v>
      </c>
      <c r="B784" s="276" t="s">
        <v>4580</v>
      </c>
      <c r="C784" s="276" t="s">
        <v>4580</v>
      </c>
      <c r="D784" s="263" t="s">
        <v>629</v>
      </c>
      <c r="E784" s="266" t="s">
        <v>1853</v>
      </c>
      <c r="F784" s="388" t="s">
        <v>620</v>
      </c>
      <c r="G784" s="389">
        <v>2005</v>
      </c>
      <c r="H784" s="352" t="s">
        <v>732</v>
      </c>
      <c r="I784" s="310" t="str">
        <f t="shared" si="48"/>
        <v>Pesado de Passageiros M3: III : Gasóleo : E3</v>
      </c>
      <c r="J784" s="257">
        <v>69</v>
      </c>
      <c r="K784" s="257">
        <v>2022</v>
      </c>
      <c r="L784" s="242">
        <v>6894</v>
      </c>
      <c r="M784" s="242" t="s">
        <v>630</v>
      </c>
      <c r="N784" s="243">
        <v>14981</v>
      </c>
      <c r="O784" s="243">
        <f t="shared" si="49"/>
        <v>1033689</v>
      </c>
      <c r="P784" s="257" t="s">
        <v>1116</v>
      </c>
      <c r="Q784" s="242" t="s">
        <v>47</v>
      </c>
      <c r="R784" s="283" t="s">
        <v>1869</v>
      </c>
      <c r="S784" s="283" t="s">
        <v>1861</v>
      </c>
      <c r="T784" s="242" t="s">
        <v>1491</v>
      </c>
      <c r="U784" s="283" t="s">
        <v>1953</v>
      </c>
      <c r="V784" s="283" t="s">
        <v>2813</v>
      </c>
    </row>
    <row r="785" spans="1:22" s="283" customFormat="1" ht="15.75" thickBot="1" x14ac:dyDescent="0.3">
      <c r="A785" s="276" t="s">
        <v>4580</v>
      </c>
      <c r="B785" s="276" t="s">
        <v>4580</v>
      </c>
      <c r="C785" s="276" t="s">
        <v>4580</v>
      </c>
      <c r="D785" s="263" t="s">
        <v>629</v>
      </c>
      <c r="E785" s="266" t="s">
        <v>1853</v>
      </c>
      <c r="F785" s="388" t="s">
        <v>620</v>
      </c>
      <c r="G785" s="389">
        <v>2005</v>
      </c>
      <c r="H785" s="352" t="s">
        <v>732</v>
      </c>
      <c r="I785" s="310" t="str">
        <f t="shared" si="48"/>
        <v>Pesado de Passageiros M3: III : Gasóleo : E3</v>
      </c>
      <c r="J785" s="257">
        <v>69</v>
      </c>
      <c r="K785" s="257">
        <v>2022</v>
      </c>
      <c r="L785" s="242">
        <v>9032.659999999998</v>
      </c>
      <c r="M785" s="242" t="s">
        <v>630</v>
      </c>
      <c r="N785" s="243">
        <v>18908</v>
      </c>
      <c r="O785" s="243">
        <f t="shared" si="49"/>
        <v>1304652</v>
      </c>
      <c r="P785" s="257" t="s">
        <v>1117</v>
      </c>
      <c r="Q785" s="242" t="s">
        <v>47</v>
      </c>
      <c r="R785" s="283" t="s">
        <v>1869</v>
      </c>
      <c r="S785" s="283" t="s">
        <v>1861</v>
      </c>
      <c r="T785" s="242" t="s">
        <v>1491</v>
      </c>
      <c r="U785" s="283" t="s">
        <v>1953</v>
      </c>
      <c r="V785" s="283" t="s">
        <v>2813</v>
      </c>
    </row>
    <row r="786" spans="1:22" s="283" customFormat="1" ht="15.75" thickBot="1" x14ac:dyDescent="0.3">
      <c r="A786" s="276" t="s">
        <v>4580</v>
      </c>
      <c r="B786" s="276" t="s">
        <v>4580</v>
      </c>
      <c r="C786" s="276" t="s">
        <v>4580</v>
      </c>
      <c r="D786" s="263" t="s">
        <v>629</v>
      </c>
      <c r="E786" s="266" t="s">
        <v>1853</v>
      </c>
      <c r="F786" s="388" t="s">
        <v>620</v>
      </c>
      <c r="G786" s="389">
        <v>2005</v>
      </c>
      <c r="H786" s="352" t="s">
        <v>732</v>
      </c>
      <c r="I786" s="310" t="str">
        <f t="shared" si="48"/>
        <v>Pesado de Passageiros M3: III : Gasóleo : E3</v>
      </c>
      <c r="J786" s="257">
        <v>69</v>
      </c>
      <c r="K786" s="257">
        <v>2022</v>
      </c>
      <c r="L786" s="242">
        <v>20933.16</v>
      </c>
      <c r="M786" s="242" t="s">
        <v>630</v>
      </c>
      <c r="N786" s="243">
        <v>47393</v>
      </c>
      <c r="O786" s="243">
        <f t="shared" si="49"/>
        <v>3270117</v>
      </c>
      <c r="P786" s="257" t="s">
        <v>1390</v>
      </c>
      <c r="Q786" s="242" t="s">
        <v>47</v>
      </c>
      <c r="R786" s="283" t="s">
        <v>1869</v>
      </c>
      <c r="S786" s="283" t="s">
        <v>1861</v>
      </c>
      <c r="T786" s="242" t="s">
        <v>1491</v>
      </c>
      <c r="U786" s="283" t="s">
        <v>1953</v>
      </c>
      <c r="V786" s="283" t="s">
        <v>2813</v>
      </c>
    </row>
    <row r="787" spans="1:22" s="283" customFormat="1" ht="15.75" thickBot="1" x14ac:dyDescent="0.3">
      <c r="A787" s="276" t="s">
        <v>4580</v>
      </c>
      <c r="B787" s="276" t="s">
        <v>4580</v>
      </c>
      <c r="C787" s="276" t="s">
        <v>4580</v>
      </c>
      <c r="D787" s="263" t="s">
        <v>629</v>
      </c>
      <c r="E787" s="266" t="s">
        <v>1853</v>
      </c>
      <c r="F787" s="388" t="s">
        <v>620</v>
      </c>
      <c r="G787" s="389">
        <v>2005</v>
      </c>
      <c r="H787" s="352" t="s">
        <v>732</v>
      </c>
      <c r="I787" s="310" t="str">
        <f t="shared" si="48"/>
        <v>Pesado de Passageiros M3: III : Gasóleo : E3</v>
      </c>
      <c r="J787" s="257">
        <v>69</v>
      </c>
      <c r="K787" s="257">
        <v>2022</v>
      </c>
      <c r="L787" s="242">
        <v>20458.75</v>
      </c>
      <c r="M787" s="242" t="s">
        <v>630</v>
      </c>
      <c r="N787" s="243">
        <v>44781</v>
      </c>
      <c r="O787" s="243">
        <f t="shared" si="49"/>
        <v>3089889</v>
      </c>
      <c r="P787" s="257" t="s">
        <v>1391</v>
      </c>
      <c r="Q787" s="242" t="s">
        <v>47</v>
      </c>
      <c r="R787" s="283" t="s">
        <v>1869</v>
      </c>
      <c r="S787" s="283" t="s">
        <v>1861</v>
      </c>
      <c r="T787" s="242" t="s">
        <v>1491</v>
      </c>
      <c r="U787" s="283" t="s">
        <v>1953</v>
      </c>
      <c r="V787" s="283" t="s">
        <v>2813</v>
      </c>
    </row>
    <row r="788" spans="1:22" s="283" customFormat="1" ht="15.75" thickBot="1" x14ac:dyDescent="0.3">
      <c r="A788" s="276" t="s">
        <v>4580</v>
      </c>
      <c r="B788" s="276" t="s">
        <v>4580</v>
      </c>
      <c r="C788" s="276" t="s">
        <v>4580</v>
      </c>
      <c r="D788" s="263" t="s">
        <v>629</v>
      </c>
      <c r="E788" s="266" t="s">
        <v>1853</v>
      </c>
      <c r="F788" s="388" t="s">
        <v>620</v>
      </c>
      <c r="G788" s="389">
        <v>2003</v>
      </c>
      <c r="H788" s="352" t="s">
        <v>732</v>
      </c>
      <c r="I788" s="310" t="str">
        <f t="shared" si="48"/>
        <v>Pesado de Passageiros M3: III : Gasóleo : E3</v>
      </c>
      <c r="J788" s="257">
        <v>65</v>
      </c>
      <c r="K788" s="257">
        <v>2022</v>
      </c>
      <c r="L788" s="242">
        <v>19755.523000000001</v>
      </c>
      <c r="M788" s="242" t="s">
        <v>630</v>
      </c>
      <c r="N788" s="243">
        <v>45517</v>
      </c>
      <c r="O788" s="243">
        <f t="shared" si="49"/>
        <v>2958605</v>
      </c>
      <c r="P788" s="257" t="s">
        <v>1392</v>
      </c>
      <c r="Q788" s="242" t="s">
        <v>47</v>
      </c>
      <c r="R788" s="283" t="s">
        <v>1869</v>
      </c>
      <c r="S788" s="283" t="s">
        <v>1861</v>
      </c>
      <c r="T788" s="242" t="s">
        <v>1491</v>
      </c>
      <c r="U788" s="283" t="s">
        <v>1953</v>
      </c>
      <c r="V788" s="283" t="s">
        <v>2813</v>
      </c>
    </row>
    <row r="789" spans="1:22" s="283" customFormat="1" ht="15.75" thickBot="1" x14ac:dyDescent="0.3">
      <c r="A789" s="276" t="s">
        <v>4580</v>
      </c>
      <c r="B789" s="276" t="s">
        <v>4580</v>
      </c>
      <c r="C789" s="276" t="s">
        <v>4580</v>
      </c>
      <c r="D789" s="263" t="s">
        <v>629</v>
      </c>
      <c r="E789" s="266" t="s">
        <v>1853</v>
      </c>
      <c r="F789" s="388" t="s">
        <v>620</v>
      </c>
      <c r="G789" s="389">
        <v>2007</v>
      </c>
      <c r="H789" s="352" t="s">
        <v>731</v>
      </c>
      <c r="I789" s="310" t="str">
        <f t="shared" si="48"/>
        <v>Pesado de Passageiros M3: III : Gasóleo : E4</v>
      </c>
      <c r="J789" s="257">
        <v>83</v>
      </c>
      <c r="K789" s="257">
        <v>2022</v>
      </c>
      <c r="L789" s="242">
        <v>12785.272000000001</v>
      </c>
      <c r="M789" s="242" t="s">
        <v>630</v>
      </c>
      <c r="N789" s="243">
        <v>41364</v>
      </c>
      <c r="O789" s="243">
        <f t="shared" si="49"/>
        <v>3433212</v>
      </c>
      <c r="P789" s="257" t="s">
        <v>1393</v>
      </c>
      <c r="Q789" s="242" t="s">
        <v>47</v>
      </c>
      <c r="R789" s="283" t="s">
        <v>1869</v>
      </c>
      <c r="S789" s="283" t="s">
        <v>1861</v>
      </c>
      <c r="T789" s="242" t="s">
        <v>1491</v>
      </c>
      <c r="U789" s="283" t="s">
        <v>1953</v>
      </c>
      <c r="V789" s="283" t="s">
        <v>2813</v>
      </c>
    </row>
    <row r="790" spans="1:22" s="283" customFormat="1" ht="15.75" thickBot="1" x14ac:dyDescent="0.3">
      <c r="A790" s="276" t="s">
        <v>4580</v>
      </c>
      <c r="B790" s="276" t="s">
        <v>4580</v>
      </c>
      <c r="C790" s="276" t="s">
        <v>4580</v>
      </c>
      <c r="D790" s="263" t="s">
        <v>629</v>
      </c>
      <c r="E790" s="266" t="s">
        <v>1853</v>
      </c>
      <c r="F790" s="388" t="s">
        <v>620</v>
      </c>
      <c r="G790" s="389">
        <v>2007</v>
      </c>
      <c r="H790" s="352" t="s">
        <v>731</v>
      </c>
      <c r="I790" s="310" t="str">
        <f t="shared" si="48"/>
        <v>Pesado de Passageiros M3: III : Gasóleo : E4</v>
      </c>
      <c r="J790" s="257">
        <v>83</v>
      </c>
      <c r="K790" s="257">
        <v>2022</v>
      </c>
      <c r="L790" s="242">
        <v>10119.300000000001</v>
      </c>
      <c r="M790" s="242" t="s">
        <v>630</v>
      </c>
      <c r="N790" s="243">
        <v>32187</v>
      </c>
      <c r="O790" s="243">
        <f t="shared" si="49"/>
        <v>2671521</v>
      </c>
      <c r="P790" s="257" t="s">
        <v>1394</v>
      </c>
      <c r="Q790" s="242" t="s">
        <v>47</v>
      </c>
      <c r="R790" s="283" t="s">
        <v>1869</v>
      </c>
      <c r="S790" s="283" t="s">
        <v>1861</v>
      </c>
      <c r="T790" s="242" t="s">
        <v>1491</v>
      </c>
      <c r="U790" s="283" t="s">
        <v>1953</v>
      </c>
      <c r="V790" s="283" t="s">
        <v>2813</v>
      </c>
    </row>
    <row r="791" spans="1:22" s="283" customFormat="1" ht="15.75" thickBot="1" x14ac:dyDescent="0.3">
      <c r="A791" s="276" t="s">
        <v>4580</v>
      </c>
      <c r="B791" s="276" t="s">
        <v>4580</v>
      </c>
      <c r="C791" s="276" t="s">
        <v>4580</v>
      </c>
      <c r="D791" s="263" t="s">
        <v>629</v>
      </c>
      <c r="E791" s="266" t="s">
        <v>1853</v>
      </c>
      <c r="F791" s="388" t="s">
        <v>620</v>
      </c>
      <c r="G791" s="389">
        <v>2007</v>
      </c>
      <c r="H791" s="352" t="s">
        <v>731</v>
      </c>
      <c r="I791" s="310" t="str">
        <f t="shared" si="48"/>
        <v>Pesado de Passageiros M3: III : Gasóleo : E4</v>
      </c>
      <c r="J791" s="257">
        <v>83</v>
      </c>
      <c r="K791" s="257">
        <v>2022</v>
      </c>
      <c r="L791" s="242">
        <v>15544.1</v>
      </c>
      <c r="M791" s="242" t="s">
        <v>630</v>
      </c>
      <c r="N791" s="243">
        <v>51069</v>
      </c>
      <c r="O791" s="243">
        <f t="shared" si="49"/>
        <v>4238727</v>
      </c>
      <c r="P791" s="257" t="s">
        <v>1395</v>
      </c>
      <c r="Q791" s="242" t="s">
        <v>47</v>
      </c>
      <c r="R791" s="283" t="s">
        <v>1869</v>
      </c>
      <c r="S791" s="283" t="s">
        <v>1861</v>
      </c>
      <c r="T791" s="242" t="s">
        <v>1491</v>
      </c>
      <c r="U791" s="283" t="s">
        <v>1953</v>
      </c>
      <c r="V791" s="283" t="s">
        <v>2813</v>
      </c>
    </row>
    <row r="792" spans="1:22" s="283" customFormat="1" ht="15.75" thickBot="1" x14ac:dyDescent="0.3">
      <c r="A792" s="276" t="s">
        <v>4580</v>
      </c>
      <c r="B792" s="276" t="s">
        <v>4580</v>
      </c>
      <c r="C792" s="276" t="s">
        <v>4580</v>
      </c>
      <c r="D792" s="263" t="s">
        <v>629</v>
      </c>
      <c r="E792" s="266" t="s">
        <v>1853</v>
      </c>
      <c r="F792" s="388" t="s">
        <v>620</v>
      </c>
      <c r="G792" s="389">
        <v>2007</v>
      </c>
      <c r="H792" s="352" t="s">
        <v>731</v>
      </c>
      <c r="I792" s="310" t="str">
        <f t="shared" si="48"/>
        <v>Pesado de Passageiros M3: III : Gasóleo : E4</v>
      </c>
      <c r="J792" s="257">
        <v>83</v>
      </c>
      <c r="K792" s="257">
        <v>2022</v>
      </c>
      <c r="L792" s="242">
        <v>12370.04</v>
      </c>
      <c r="M792" s="242" t="s">
        <v>630</v>
      </c>
      <c r="N792" s="243">
        <v>41081</v>
      </c>
      <c r="O792" s="243">
        <f t="shared" si="49"/>
        <v>3409723</v>
      </c>
      <c r="P792" s="257" t="s">
        <v>1396</v>
      </c>
      <c r="Q792" s="242" t="s">
        <v>47</v>
      </c>
      <c r="R792" s="283" t="s">
        <v>1869</v>
      </c>
      <c r="S792" s="283" t="s">
        <v>1861</v>
      </c>
      <c r="T792" s="242" t="s">
        <v>1491</v>
      </c>
      <c r="U792" s="283" t="s">
        <v>1953</v>
      </c>
      <c r="V792" s="283" t="s">
        <v>2813</v>
      </c>
    </row>
    <row r="793" spans="1:22" s="283" customFormat="1" ht="15.75" thickBot="1" x14ac:dyDescent="0.3">
      <c r="A793" s="276" t="s">
        <v>4580</v>
      </c>
      <c r="B793" s="276" t="s">
        <v>4580</v>
      </c>
      <c r="C793" s="276" t="s">
        <v>4580</v>
      </c>
      <c r="D793" s="263" t="s">
        <v>629</v>
      </c>
      <c r="E793" s="266" t="s">
        <v>1853</v>
      </c>
      <c r="F793" s="388" t="s">
        <v>620</v>
      </c>
      <c r="G793" s="389">
        <v>2004</v>
      </c>
      <c r="H793" s="352" t="s">
        <v>732</v>
      </c>
      <c r="I793" s="310" t="str">
        <f t="shared" si="48"/>
        <v>Pesado de Passageiros M3: III : Gasóleo : E3</v>
      </c>
      <c r="J793" s="257">
        <v>85</v>
      </c>
      <c r="K793" s="257">
        <v>2022</v>
      </c>
      <c r="L793" s="242">
        <v>21322.1</v>
      </c>
      <c r="M793" s="242" t="s">
        <v>630</v>
      </c>
      <c r="N793" s="243">
        <v>61951</v>
      </c>
      <c r="O793" s="243">
        <f t="shared" si="49"/>
        <v>5265835</v>
      </c>
      <c r="P793" s="257" t="s">
        <v>1397</v>
      </c>
      <c r="Q793" s="242" t="s">
        <v>47</v>
      </c>
      <c r="R793" s="283" t="s">
        <v>1869</v>
      </c>
      <c r="S793" s="283" t="s">
        <v>1861</v>
      </c>
      <c r="T793" s="242" t="s">
        <v>1491</v>
      </c>
      <c r="U793" s="283" t="s">
        <v>1953</v>
      </c>
      <c r="V793" s="283" t="s">
        <v>2813</v>
      </c>
    </row>
    <row r="794" spans="1:22" s="283" customFormat="1" ht="15.75" thickBot="1" x14ac:dyDescent="0.3">
      <c r="A794" s="276" t="s">
        <v>4580</v>
      </c>
      <c r="B794" s="276" t="s">
        <v>4580</v>
      </c>
      <c r="C794" s="276" t="s">
        <v>4580</v>
      </c>
      <c r="D794" s="263" t="s">
        <v>629</v>
      </c>
      <c r="E794" s="266" t="s">
        <v>1853</v>
      </c>
      <c r="F794" s="388" t="s">
        <v>620</v>
      </c>
      <c r="G794" s="389">
        <v>2008</v>
      </c>
      <c r="H794" s="352" t="s">
        <v>731</v>
      </c>
      <c r="I794" s="310" t="str">
        <f t="shared" si="48"/>
        <v>Pesado de Passageiros M3: III : Gasóleo : E4</v>
      </c>
      <c r="J794" s="257">
        <v>82</v>
      </c>
      <c r="K794" s="257">
        <v>2022</v>
      </c>
      <c r="L794" s="242">
        <v>7693.2300000000005</v>
      </c>
      <c r="M794" s="242" t="s">
        <v>630</v>
      </c>
      <c r="N794" s="243">
        <v>17614</v>
      </c>
      <c r="O794" s="243">
        <f t="shared" si="49"/>
        <v>1444348</v>
      </c>
      <c r="P794" s="257" t="s">
        <v>805</v>
      </c>
      <c r="Q794" s="242" t="s">
        <v>47</v>
      </c>
      <c r="R794" s="283" t="s">
        <v>1869</v>
      </c>
      <c r="S794" s="283" t="s">
        <v>1861</v>
      </c>
      <c r="T794" s="242" t="s">
        <v>1491</v>
      </c>
      <c r="U794" s="283" t="s">
        <v>1953</v>
      </c>
      <c r="V794" s="283" t="s">
        <v>2813</v>
      </c>
    </row>
    <row r="795" spans="1:22" s="283" customFormat="1" ht="15.75" thickBot="1" x14ac:dyDescent="0.3">
      <c r="A795" s="276" t="s">
        <v>4580</v>
      </c>
      <c r="B795" s="276" t="s">
        <v>4580</v>
      </c>
      <c r="C795" s="276" t="s">
        <v>4580</v>
      </c>
      <c r="D795" s="263" t="s">
        <v>629</v>
      </c>
      <c r="E795" s="266" t="s">
        <v>1853</v>
      </c>
      <c r="F795" s="388" t="s">
        <v>620</v>
      </c>
      <c r="G795" s="389">
        <v>2008</v>
      </c>
      <c r="H795" s="352" t="s">
        <v>731</v>
      </c>
      <c r="I795" s="310" t="str">
        <f t="shared" si="48"/>
        <v>Pesado de Passageiros M3: III : Gasóleo : E4</v>
      </c>
      <c r="J795" s="257">
        <v>27</v>
      </c>
      <c r="K795" s="257">
        <v>2022</v>
      </c>
      <c r="L795" s="242">
        <v>2598.2199999999998</v>
      </c>
      <c r="M795" s="242" t="s">
        <v>630</v>
      </c>
      <c r="N795" s="243">
        <v>13748</v>
      </c>
      <c r="O795" s="243">
        <f t="shared" si="49"/>
        <v>371196</v>
      </c>
      <c r="P795" s="257" t="s">
        <v>1398</v>
      </c>
      <c r="Q795" s="242" t="s">
        <v>47</v>
      </c>
      <c r="R795" s="283" t="s">
        <v>1869</v>
      </c>
      <c r="S795" s="283" t="s">
        <v>1861</v>
      </c>
      <c r="T795" s="242" t="s">
        <v>1491</v>
      </c>
      <c r="U795" s="283" t="s">
        <v>1953</v>
      </c>
      <c r="V795" s="283" t="s">
        <v>2813</v>
      </c>
    </row>
    <row r="796" spans="1:22" s="283" customFormat="1" ht="15.75" thickBot="1" x14ac:dyDescent="0.3">
      <c r="A796" s="276" t="s">
        <v>4580</v>
      </c>
      <c r="B796" s="276" t="s">
        <v>4580</v>
      </c>
      <c r="C796" s="276" t="s">
        <v>4580</v>
      </c>
      <c r="D796" s="263" t="s">
        <v>629</v>
      </c>
      <c r="E796" s="266" t="s">
        <v>1853</v>
      </c>
      <c r="F796" s="388" t="s">
        <v>620</v>
      </c>
      <c r="G796" s="389">
        <v>2001</v>
      </c>
      <c r="H796" s="352" t="s">
        <v>732</v>
      </c>
      <c r="I796" s="310" t="str">
        <f t="shared" si="48"/>
        <v>Pesado de Passageiros M3: III : Gasóleo : E3</v>
      </c>
      <c r="J796" s="257">
        <v>55</v>
      </c>
      <c r="K796" s="257">
        <v>2022</v>
      </c>
      <c r="L796" s="242">
        <v>6450.49</v>
      </c>
      <c r="M796" s="242" t="s">
        <v>630</v>
      </c>
      <c r="N796" s="243">
        <v>17450</v>
      </c>
      <c r="O796" s="243">
        <f t="shared" si="49"/>
        <v>959750</v>
      </c>
      <c r="P796" s="257" t="s">
        <v>1399</v>
      </c>
      <c r="Q796" s="242" t="s">
        <v>47</v>
      </c>
      <c r="R796" s="283" t="s">
        <v>1869</v>
      </c>
      <c r="S796" s="283" t="s">
        <v>1861</v>
      </c>
      <c r="T796" s="242" t="s">
        <v>1491</v>
      </c>
      <c r="U796" s="283" t="s">
        <v>1953</v>
      </c>
      <c r="V796" s="283" t="s">
        <v>2813</v>
      </c>
    </row>
    <row r="797" spans="1:22" s="283" customFormat="1" ht="15.75" thickBot="1" x14ac:dyDescent="0.3">
      <c r="A797" s="276" t="s">
        <v>4580</v>
      </c>
      <c r="B797" s="276" t="s">
        <v>4580</v>
      </c>
      <c r="C797" s="276" t="s">
        <v>4580</v>
      </c>
      <c r="D797" s="263" t="s">
        <v>629</v>
      </c>
      <c r="E797" s="266" t="s">
        <v>1853</v>
      </c>
      <c r="F797" s="388" t="s">
        <v>620</v>
      </c>
      <c r="G797" s="389">
        <v>2000</v>
      </c>
      <c r="H797" s="352" t="s">
        <v>735</v>
      </c>
      <c r="I797" s="310" t="str">
        <f t="shared" si="48"/>
        <v>Pesado de Passageiros M3: III : Gasóleo : E2</v>
      </c>
      <c r="J797" s="257">
        <v>51</v>
      </c>
      <c r="K797" s="257">
        <v>2022</v>
      </c>
      <c r="L797" s="242">
        <v>7695.35</v>
      </c>
      <c r="M797" s="242" t="s">
        <v>630</v>
      </c>
      <c r="N797" s="243">
        <v>24415</v>
      </c>
      <c r="O797" s="243">
        <f t="shared" si="49"/>
        <v>1245165</v>
      </c>
      <c r="P797" s="257" t="s">
        <v>1400</v>
      </c>
      <c r="Q797" s="242" t="s">
        <v>47</v>
      </c>
      <c r="R797" s="283" t="s">
        <v>1869</v>
      </c>
      <c r="S797" s="283" t="s">
        <v>1861</v>
      </c>
      <c r="T797" s="242" t="s">
        <v>1491</v>
      </c>
      <c r="U797" s="283" t="s">
        <v>1953</v>
      </c>
      <c r="V797" s="283" t="s">
        <v>2813</v>
      </c>
    </row>
    <row r="798" spans="1:22" s="283" customFormat="1" ht="15.75" thickBot="1" x14ac:dyDescent="0.3">
      <c r="A798" s="276" t="s">
        <v>4580</v>
      </c>
      <c r="B798" s="276" t="s">
        <v>4580</v>
      </c>
      <c r="C798" s="276" t="s">
        <v>4580</v>
      </c>
      <c r="D798" s="263" t="s">
        <v>629</v>
      </c>
      <c r="E798" s="266" t="s">
        <v>1853</v>
      </c>
      <c r="F798" s="388" t="s">
        <v>620</v>
      </c>
      <c r="G798" s="389">
        <v>2008</v>
      </c>
      <c r="H798" s="352" t="s">
        <v>731</v>
      </c>
      <c r="I798" s="310" t="str">
        <f t="shared" si="48"/>
        <v>Pesado de Passageiros M3: III : Gasóleo : E4</v>
      </c>
      <c r="J798" s="257">
        <v>75</v>
      </c>
      <c r="K798" s="257">
        <v>2022</v>
      </c>
      <c r="L798" s="242">
        <v>20023.730000000003</v>
      </c>
      <c r="M798" s="242" t="s">
        <v>630</v>
      </c>
      <c r="N798" s="243">
        <v>56165</v>
      </c>
      <c r="O798" s="243">
        <f t="shared" si="49"/>
        <v>4212375</v>
      </c>
      <c r="P798" s="257" t="s">
        <v>1401</v>
      </c>
      <c r="Q798" s="242" t="s">
        <v>47</v>
      </c>
      <c r="R798" s="283" t="s">
        <v>1869</v>
      </c>
      <c r="S798" s="283" t="s">
        <v>1861</v>
      </c>
      <c r="T798" s="242" t="s">
        <v>1491</v>
      </c>
      <c r="U798" s="283" t="s">
        <v>1953</v>
      </c>
      <c r="V798" s="283" t="s">
        <v>2813</v>
      </c>
    </row>
    <row r="799" spans="1:22" s="283" customFormat="1" ht="15.75" thickBot="1" x14ac:dyDescent="0.3">
      <c r="A799" s="276" t="s">
        <v>4580</v>
      </c>
      <c r="B799" s="276" t="s">
        <v>4580</v>
      </c>
      <c r="C799" s="276" t="s">
        <v>4580</v>
      </c>
      <c r="D799" s="263" t="s">
        <v>629</v>
      </c>
      <c r="E799" s="266" t="s">
        <v>1853</v>
      </c>
      <c r="F799" s="388" t="s">
        <v>620</v>
      </c>
      <c r="G799" s="389">
        <v>2008</v>
      </c>
      <c r="H799" s="352" t="s">
        <v>731</v>
      </c>
      <c r="I799" s="310" t="str">
        <f t="shared" si="48"/>
        <v>Pesado de Passageiros M3: III : Gasóleo : E4</v>
      </c>
      <c r="J799" s="257">
        <v>75</v>
      </c>
      <c r="K799" s="257">
        <v>2022</v>
      </c>
      <c r="L799" s="242">
        <v>16908.41</v>
      </c>
      <c r="M799" s="242" t="s">
        <v>630</v>
      </c>
      <c r="N799" s="243">
        <v>51974</v>
      </c>
      <c r="O799" s="243">
        <f t="shared" si="49"/>
        <v>3898050</v>
      </c>
      <c r="P799" s="257" t="s">
        <v>1402</v>
      </c>
      <c r="Q799" s="242" t="s">
        <v>47</v>
      </c>
      <c r="R799" s="283" t="s">
        <v>1869</v>
      </c>
      <c r="S799" s="283" t="s">
        <v>1861</v>
      </c>
      <c r="T799" s="242" t="s">
        <v>1491</v>
      </c>
      <c r="U799" s="283" t="s">
        <v>1953</v>
      </c>
      <c r="V799" s="283" t="s">
        <v>2813</v>
      </c>
    </row>
    <row r="800" spans="1:22" s="283" customFormat="1" ht="15.75" thickBot="1" x14ac:dyDescent="0.3">
      <c r="A800" s="276" t="s">
        <v>4580</v>
      </c>
      <c r="B800" s="276" t="s">
        <v>4580</v>
      </c>
      <c r="C800" s="276" t="s">
        <v>4580</v>
      </c>
      <c r="D800" s="263" t="s">
        <v>629</v>
      </c>
      <c r="E800" s="266" t="s">
        <v>1853</v>
      </c>
      <c r="F800" s="388" t="s">
        <v>620</v>
      </c>
      <c r="G800" s="389">
        <v>2011</v>
      </c>
      <c r="H800" s="352" t="s">
        <v>734</v>
      </c>
      <c r="I800" s="310" t="str">
        <f t="shared" si="48"/>
        <v>Pesado de Passageiros M3: III : Gasóleo : E5</v>
      </c>
      <c r="J800" s="257">
        <v>53</v>
      </c>
      <c r="K800" s="257">
        <v>2022</v>
      </c>
      <c r="L800" s="242">
        <v>18907.649999999998</v>
      </c>
      <c r="M800" s="242" t="s">
        <v>630</v>
      </c>
      <c r="N800" s="243">
        <v>57416</v>
      </c>
      <c r="O800" s="243">
        <f t="shared" si="49"/>
        <v>3043048</v>
      </c>
      <c r="P800" s="257" t="s">
        <v>1403</v>
      </c>
      <c r="Q800" s="242" t="s">
        <v>47</v>
      </c>
      <c r="R800" s="283" t="s">
        <v>1869</v>
      </c>
      <c r="S800" s="283" t="s">
        <v>1861</v>
      </c>
      <c r="T800" s="242" t="s">
        <v>1491</v>
      </c>
      <c r="U800" s="283" t="s">
        <v>1953</v>
      </c>
      <c r="V800" s="283" t="s">
        <v>2813</v>
      </c>
    </row>
    <row r="801" spans="1:22" s="283" customFormat="1" ht="15.75" thickBot="1" x14ac:dyDescent="0.3">
      <c r="A801" s="276" t="s">
        <v>4580</v>
      </c>
      <c r="B801" s="276" t="s">
        <v>4580</v>
      </c>
      <c r="C801" s="276" t="s">
        <v>4580</v>
      </c>
      <c r="D801" s="263" t="s">
        <v>629</v>
      </c>
      <c r="E801" s="266" t="s">
        <v>1853</v>
      </c>
      <c r="F801" s="388" t="s">
        <v>620</v>
      </c>
      <c r="G801" s="389">
        <v>1996</v>
      </c>
      <c r="H801" s="352" t="s">
        <v>736</v>
      </c>
      <c r="I801" s="310" t="str">
        <f t="shared" si="48"/>
        <v>Pesado de Passageiros M3: III : Gasóleo : E1</v>
      </c>
      <c r="J801" s="257">
        <v>52</v>
      </c>
      <c r="K801" s="257">
        <v>2022</v>
      </c>
      <c r="L801" s="242">
        <v>3438.91</v>
      </c>
      <c r="M801" s="242" t="s">
        <v>630</v>
      </c>
      <c r="N801" s="243">
        <v>10758</v>
      </c>
      <c r="O801" s="243">
        <f t="shared" si="49"/>
        <v>559416</v>
      </c>
      <c r="P801" s="257" t="s">
        <v>1404</v>
      </c>
      <c r="Q801" s="242" t="s">
        <v>47</v>
      </c>
      <c r="R801" s="283" t="s">
        <v>1869</v>
      </c>
      <c r="S801" s="283" t="s">
        <v>1861</v>
      </c>
      <c r="T801" s="242" t="s">
        <v>1491</v>
      </c>
      <c r="U801" s="283" t="s">
        <v>1953</v>
      </c>
      <c r="V801" s="283" t="s">
        <v>2813</v>
      </c>
    </row>
    <row r="802" spans="1:22" s="283" customFormat="1" ht="15.75" thickBot="1" x14ac:dyDescent="0.3">
      <c r="A802" s="276" t="s">
        <v>4580</v>
      </c>
      <c r="B802" s="276" t="s">
        <v>4580</v>
      </c>
      <c r="C802" s="276" t="s">
        <v>4580</v>
      </c>
      <c r="D802" s="263" t="s">
        <v>629</v>
      </c>
      <c r="E802" s="266" t="s">
        <v>1853</v>
      </c>
      <c r="F802" s="388" t="s">
        <v>620</v>
      </c>
      <c r="G802" s="389">
        <v>1996</v>
      </c>
      <c r="H802" s="352" t="s">
        <v>736</v>
      </c>
      <c r="I802" s="310" t="str">
        <f t="shared" si="48"/>
        <v>Pesado de Passageiros M3: III : Gasóleo : E1</v>
      </c>
      <c r="J802" s="257">
        <v>52</v>
      </c>
      <c r="K802" s="257">
        <v>2022</v>
      </c>
      <c r="L802" s="242">
        <v>6014.0800000000008</v>
      </c>
      <c r="M802" s="242" t="s">
        <v>630</v>
      </c>
      <c r="N802" s="243">
        <v>19024</v>
      </c>
      <c r="O802" s="243">
        <f t="shared" si="49"/>
        <v>989248</v>
      </c>
      <c r="P802" s="257" t="s">
        <v>1405</v>
      </c>
      <c r="Q802" s="242" t="s">
        <v>47</v>
      </c>
      <c r="R802" s="283" t="s">
        <v>1869</v>
      </c>
      <c r="S802" s="283" t="s">
        <v>1861</v>
      </c>
      <c r="T802" s="242" t="s">
        <v>1491</v>
      </c>
      <c r="U802" s="283" t="s">
        <v>1953</v>
      </c>
      <c r="V802" s="283" t="s">
        <v>2813</v>
      </c>
    </row>
    <row r="803" spans="1:22" s="283" customFormat="1" ht="15.75" thickBot="1" x14ac:dyDescent="0.3">
      <c r="A803" s="276" t="s">
        <v>4580</v>
      </c>
      <c r="B803" s="276" t="s">
        <v>4580</v>
      </c>
      <c r="C803" s="276" t="s">
        <v>4580</v>
      </c>
      <c r="D803" s="263" t="s">
        <v>629</v>
      </c>
      <c r="E803" s="266" t="s">
        <v>1853</v>
      </c>
      <c r="F803" s="388" t="s">
        <v>620</v>
      </c>
      <c r="G803" s="389">
        <v>1998</v>
      </c>
      <c r="H803" s="352" t="s">
        <v>736</v>
      </c>
      <c r="I803" s="310" t="str">
        <f t="shared" si="48"/>
        <v>Pesado de Passageiros M3: III : Gasóleo : E1</v>
      </c>
      <c r="J803" s="257">
        <v>70</v>
      </c>
      <c r="K803" s="257">
        <v>2022</v>
      </c>
      <c r="L803" s="242">
        <v>11912.08</v>
      </c>
      <c r="M803" s="242" t="s">
        <v>630</v>
      </c>
      <c r="N803" s="243">
        <v>33918</v>
      </c>
      <c r="O803" s="243">
        <f t="shared" si="49"/>
        <v>2374260</v>
      </c>
      <c r="P803" s="257" t="s">
        <v>1406</v>
      </c>
      <c r="Q803" s="242" t="s">
        <v>47</v>
      </c>
      <c r="R803" s="283" t="s">
        <v>1869</v>
      </c>
      <c r="S803" s="283" t="s">
        <v>1861</v>
      </c>
      <c r="T803" s="242" t="s">
        <v>1491</v>
      </c>
      <c r="U803" s="283" t="s">
        <v>1953</v>
      </c>
      <c r="V803" s="283" t="s">
        <v>2813</v>
      </c>
    </row>
    <row r="804" spans="1:22" s="283" customFormat="1" ht="15.75" thickBot="1" x14ac:dyDescent="0.3">
      <c r="A804" s="276" t="s">
        <v>4580</v>
      </c>
      <c r="B804" s="276" t="s">
        <v>4580</v>
      </c>
      <c r="C804" s="276" t="s">
        <v>4580</v>
      </c>
      <c r="D804" s="263" t="s">
        <v>629</v>
      </c>
      <c r="E804" s="266" t="s">
        <v>1853</v>
      </c>
      <c r="F804" s="388" t="s">
        <v>620</v>
      </c>
      <c r="G804" s="389">
        <v>1998</v>
      </c>
      <c r="H804" s="352" t="s">
        <v>736</v>
      </c>
      <c r="I804" s="310" t="str">
        <f t="shared" si="48"/>
        <v>Pesado de Passageiros M3: III : Gasóleo : E1</v>
      </c>
      <c r="J804" s="257">
        <v>70</v>
      </c>
      <c r="K804" s="257">
        <v>2022</v>
      </c>
      <c r="L804" s="242">
        <v>5763.39</v>
      </c>
      <c r="M804" s="242" t="s">
        <v>630</v>
      </c>
      <c r="N804" s="243">
        <v>16062</v>
      </c>
      <c r="O804" s="243">
        <f t="shared" si="49"/>
        <v>1124340</v>
      </c>
      <c r="P804" s="257" t="s">
        <v>1407</v>
      </c>
      <c r="Q804" s="242" t="s">
        <v>47</v>
      </c>
      <c r="R804" s="283" t="s">
        <v>1869</v>
      </c>
      <c r="S804" s="283" t="s">
        <v>1861</v>
      </c>
      <c r="T804" s="242" t="s">
        <v>1491</v>
      </c>
      <c r="U804" s="283" t="s">
        <v>1953</v>
      </c>
      <c r="V804" s="283" t="s">
        <v>2813</v>
      </c>
    </row>
    <row r="805" spans="1:22" s="283" customFormat="1" ht="15.75" thickBot="1" x14ac:dyDescent="0.3">
      <c r="A805" s="276" t="s">
        <v>4580</v>
      </c>
      <c r="B805" s="276" t="s">
        <v>4580</v>
      </c>
      <c r="C805" s="276" t="s">
        <v>4580</v>
      </c>
      <c r="D805" s="263" t="s">
        <v>629</v>
      </c>
      <c r="E805" s="266" t="s">
        <v>1853</v>
      </c>
      <c r="F805" s="388" t="s">
        <v>620</v>
      </c>
      <c r="G805" s="389">
        <v>2008</v>
      </c>
      <c r="H805" s="352" t="s">
        <v>731</v>
      </c>
      <c r="I805" s="310" t="str">
        <f t="shared" si="48"/>
        <v>Pesado de Passageiros M3: III : Gasóleo : E4</v>
      </c>
      <c r="J805" s="257">
        <v>82</v>
      </c>
      <c r="K805" s="257">
        <v>2022</v>
      </c>
      <c r="L805" s="242">
        <v>16987.819999999996</v>
      </c>
      <c r="M805" s="242" t="s">
        <v>630</v>
      </c>
      <c r="N805" s="243">
        <v>46687</v>
      </c>
      <c r="O805" s="243">
        <f t="shared" si="49"/>
        <v>3828334</v>
      </c>
      <c r="P805" s="257" t="s">
        <v>1408</v>
      </c>
      <c r="Q805" s="242" t="s">
        <v>47</v>
      </c>
      <c r="R805" s="283" t="s">
        <v>1869</v>
      </c>
      <c r="S805" s="283" t="s">
        <v>1861</v>
      </c>
      <c r="T805" s="242" t="s">
        <v>1491</v>
      </c>
      <c r="U805" s="283" t="s">
        <v>1953</v>
      </c>
      <c r="V805" s="283" t="s">
        <v>2813</v>
      </c>
    </row>
    <row r="806" spans="1:22" s="283" customFormat="1" ht="15.75" thickBot="1" x14ac:dyDescent="0.3">
      <c r="A806" s="276" t="s">
        <v>4580</v>
      </c>
      <c r="B806" s="276" t="s">
        <v>4580</v>
      </c>
      <c r="C806" s="276" t="s">
        <v>4580</v>
      </c>
      <c r="D806" s="263" t="s">
        <v>629</v>
      </c>
      <c r="E806" s="266" t="s">
        <v>1853</v>
      </c>
      <c r="F806" s="388" t="s">
        <v>620</v>
      </c>
      <c r="G806" s="389">
        <v>2005</v>
      </c>
      <c r="H806" s="352" t="s">
        <v>732</v>
      </c>
      <c r="I806" s="310" t="str">
        <f t="shared" si="48"/>
        <v>Pesado de Passageiros M3: III : Gasóleo : E3</v>
      </c>
      <c r="J806" s="257">
        <v>86</v>
      </c>
      <c r="K806" s="257">
        <v>2022</v>
      </c>
      <c r="L806" s="242">
        <v>12880.411999999998</v>
      </c>
      <c r="M806" s="242" t="s">
        <v>630</v>
      </c>
      <c r="N806" s="243">
        <v>33670</v>
      </c>
      <c r="O806" s="243">
        <f t="shared" si="49"/>
        <v>2895620</v>
      </c>
      <c r="P806" s="257" t="s">
        <v>1409</v>
      </c>
      <c r="Q806" s="242" t="s">
        <v>47</v>
      </c>
      <c r="R806" s="283" t="s">
        <v>1869</v>
      </c>
      <c r="S806" s="283" t="s">
        <v>1861</v>
      </c>
      <c r="T806" s="242" t="s">
        <v>1491</v>
      </c>
      <c r="U806" s="283" t="s">
        <v>1953</v>
      </c>
      <c r="V806" s="283" t="s">
        <v>2813</v>
      </c>
    </row>
    <row r="807" spans="1:22" s="283" customFormat="1" ht="15.75" thickBot="1" x14ac:dyDescent="0.3">
      <c r="A807" s="276" t="s">
        <v>4580</v>
      </c>
      <c r="B807" s="276" t="s">
        <v>4580</v>
      </c>
      <c r="C807" s="276" t="s">
        <v>4580</v>
      </c>
      <c r="D807" s="263" t="s">
        <v>629</v>
      </c>
      <c r="E807" s="266" t="s">
        <v>1853</v>
      </c>
      <c r="F807" s="388" t="s">
        <v>620</v>
      </c>
      <c r="G807" s="389">
        <v>2005</v>
      </c>
      <c r="H807" s="352" t="s">
        <v>732</v>
      </c>
      <c r="I807" s="310" t="str">
        <f t="shared" si="48"/>
        <v>Pesado de Passageiros M3: III : Gasóleo : E3</v>
      </c>
      <c r="J807" s="257">
        <v>86</v>
      </c>
      <c r="K807" s="257">
        <v>2022</v>
      </c>
      <c r="L807" s="242">
        <v>11282.920000000002</v>
      </c>
      <c r="M807" s="242" t="s">
        <v>630</v>
      </c>
      <c r="N807" s="243">
        <v>30611</v>
      </c>
      <c r="O807" s="243">
        <f t="shared" si="49"/>
        <v>2632546</v>
      </c>
      <c r="P807" s="257" t="s">
        <v>1410</v>
      </c>
      <c r="Q807" s="242" t="s">
        <v>47</v>
      </c>
      <c r="R807" s="283" t="s">
        <v>1869</v>
      </c>
      <c r="S807" s="283" t="s">
        <v>1861</v>
      </c>
      <c r="T807" s="242" t="s">
        <v>1491</v>
      </c>
      <c r="U807" s="283" t="s">
        <v>1953</v>
      </c>
      <c r="V807" s="283" t="s">
        <v>2813</v>
      </c>
    </row>
    <row r="808" spans="1:22" s="283" customFormat="1" ht="15.75" thickBot="1" x14ac:dyDescent="0.3">
      <c r="A808" s="276" t="s">
        <v>4580</v>
      </c>
      <c r="B808" s="276" t="s">
        <v>4580</v>
      </c>
      <c r="C808" s="276" t="s">
        <v>4580</v>
      </c>
      <c r="D808" s="263" t="s">
        <v>629</v>
      </c>
      <c r="E808" s="266" t="s">
        <v>1853</v>
      </c>
      <c r="F808" s="388" t="s">
        <v>620</v>
      </c>
      <c r="G808" s="389">
        <v>2005</v>
      </c>
      <c r="H808" s="352" t="s">
        <v>732</v>
      </c>
      <c r="I808" s="310" t="str">
        <f t="shared" si="48"/>
        <v>Pesado de Passageiros M3: III : Gasóleo : E3</v>
      </c>
      <c r="J808" s="257">
        <v>34</v>
      </c>
      <c r="K808" s="257">
        <v>2022</v>
      </c>
      <c r="L808" s="242">
        <v>6447.1900000000005</v>
      </c>
      <c r="M808" s="242" t="s">
        <v>630</v>
      </c>
      <c r="N808" s="243">
        <v>23130</v>
      </c>
      <c r="O808" s="243">
        <f t="shared" si="49"/>
        <v>786420</v>
      </c>
      <c r="P808" s="257" t="s">
        <v>1411</v>
      </c>
      <c r="Q808" s="242" t="s">
        <v>47</v>
      </c>
      <c r="R808" s="283" t="s">
        <v>1869</v>
      </c>
      <c r="S808" s="283" t="s">
        <v>1861</v>
      </c>
      <c r="T808" s="242" t="s">
        <v>1491</v>
      </c>
      <c r="U808" s="283" t="s">
        <v>1953</v>
      </c>
      <c r="V808" s="283" t="s">
        <v>2813</v>
      </c>
    </row>
    <row r="809" spans="1:22" s="283" customFormat="1" ht="15.75" thickBot="1" x14ac:dyDescent="0.3">
      <c r="A809" s="276" t="s">
        <v>4580</v>
      </c>
      <c r="B809" s="276" t="s">
        <v>4580</v>
      </c>
      <c r="C809" s="276" t="s">
        <v>4580</v>
      </c>
      <c r="D809" s="263" t="s">
        <v>629</v>
      </c>
      <c r="E809" s="266" t="s">
        <v>1853</v>
      </c>
      <c r="F809" s="388" t="s">
        <v>620</v>
      </c>
      <c r="G809" s="389">
        <v>2005</v>
      </c>
      <c r="H809" s="352" t="s">
        <v>732</v>
      </c>
      <c r="I809" s="310" t="str">
        <f t="shared" si="48"/>
        <v>Pesado de Passageiros M3: III : Gasóleo : E3</v>
      </c>
      <c r="J809" s="257">
        <v>34</v>
      </c>
      <c r="K809" s="257">
        <v>2022</v>
      </c>
      <c r="L809" s="242">
        <v>9673.51</v>
      </c>
      <c r="M809" s="242" t="s">
        <v>630</v>
      </c>
      <c r="N809" s="243">
        <v>33303</v>
      </c>
      <c r="O809" s="243">
        <f t="shared" si="49"/>
        <v>1132302</v>
      </c>
      <c r="P809" s="257" t="s">
        <v>1412</v>
      </c>
      <c r="Q809" s="242" t="s">
        <v>47</v>
      </c>
      <c r="R809" s="283" t="s">
        <v>1869</v>
      </c>
      <c r="S809" s="283" t="s">
        <v>1861</v>
      </c>
      <c r="T809" s="242" t="s">
        <v>1491</v>
      </c>
      <c r="U809" s="283" t="s">
        <v>1953</v>
      </c>
      <c r="V809" s="283" t="s">
        <v>2813</v>
      </c>
    </row>
    <row r="810" spans="1:22" s="283" customFormat="1" ht="15.75" thickBot="1" x14ac:dyDescent="0.3">
      <c r="A810" s="276" t="s">
        <v>4580</v>
      </c>
      <c r="B810" s="276" t="s">
        <v>4580</v>
      </c>
      <c r="C810" s="276" t="s">
        <v>4580</v>
      </c>
      <c r="D810" s="263" t="s">
        <v>629</v>
      </c>
      <c r="E810" s="266" t="s">
        <v>1853</v>
      </c>
      <c r="F810" s="388" t="s">
        <v>620</v>
      </c>
      <c r="G810" s="389">
        <v>2001</v>
      </c>
      <c r="H810" s="352" t="s">
        <v>732</v>
      </c>
      <c r="I810" s="310" t="str">
        <f t="shared" si="48"/>
        <v>Pesado de Passageiros M3: III : Gasóleo : E3</v>
      </c>
      <c r="J810" s="257">
        <v>55</v>
      </c>
      <c r="K810" s="257">
        <v>2022</v>
      </c>
      <c r="L810" s="242">
        <v>7827.4400000000005</v>
      </c>
      <c r="M810" s="242" t="s">
        <v>630</v>
      </c>
      <c r="N810" s="243">
        <v>20528</v>
      </c>
      <c r="O810" s="243">
        <f t="shared" si="49"/>
        <v>1129040</v>
      </c>
      <c r="P810" s="257" t="s">
        <v>1413</v>
      </c>
      <c r="Q810" s="242" t="s">
        <v>47</v>
      </c>
      <c r="R810" s="283" t="s">
        <v>1869</v>
      </c>
      <c r="S810" s="283" t="s">
        <v>1861</v>
      </c>
      <c r="T810" s="242" t="s">
        <v>1491</v>
      </c>
      <c r="U810" s="283" t="s">
        <v>1953</v>
      </c>
      <c r="V810" s="283" t="s">
        <v>2813</v>
      </c>
    </row>
    <row r="811" spans="1:22" s="283" customFormat="1" ht="15.75" thickBot="1" x14ac:dyDescent="0.3">
      <c r="A811" s="276" t="s">
        <v>4580</v>
      </c>
      <c r="B811" s="276" t="s">
        <v>4580</v>
      </c>
      <c r="C811" s="276" t="s">
        <v>4580</v>
      </c>
      <c r="D811" s="263" t="s">
        <v>629</v>
      </c>
      <c r="E811" s="266" t="s">
        <v>1853</v>
      </c>
      <c r="F811" s="388" t="s">
        <v>620</v>
      </c>
      <c r="G811" s="389">
        <v>1999</v>
      </c>
      <c r="H811" s="352" t="s">
        <v>736</v>
      </c>
      <c r="I811" s="310" t="str">
        <f t="shared" si="48"/>
        <v>Pesado de Passageiros M3: III : Gasóleo : E1</v>
      </c>
      <c r="J811" s="257">
        <v>51</v>
      </c>
      <c r="K811" s="257">
        <v>2022</v>
      </c>
      <c r="L811" s="242">
        <v>7366.5700000000015</v>
      </c>
      <c r="M811" s="242" t="s">
        <v>630</v>
      </c>
      <c r="N811" s="243">
        <v>19297</v>
      </c>
      <c r="O811" s="243">
        <f t="shared" si="49"/>
        <v>984147</v>
      </c>
      <c r="P811" s="257" t="s">
        <v>1414</v>
      </c>
      <c r="Q811" s="242" t="s">
        <v>47</v>
      </c>
      <c r="R811" s="283" t="s">
        <v>1869</v>
      </c>
      <c r="S811" s="283" t="s">
        <v>1861</v>
      </c>
      <c r="T811" s="242" t="s">
        <v>1491</v>
      </c>
      <c r="U811" s="283" t="s">
        <v>1953</v>
      </c>
      <c r="V811" s="283" t="s">
        <v>2813</v>
      </c>
    </row>
    <row r="812" spans="1:22" s="283" customFormat="1" ht="15.75" thickBot="1" x14ac:dyDescent="0.3">
      <c r="A812" s="276" t="s">
        <v>4580</v>
      </c>
      <c r="B812" s="276" t="s">
        <v>4580</v>
      </c>
      <c r="C812" s="276" t="s">
        <v>4580</v>
      </c>
      <c r="D812" s="263" t="s">
        <v>629</v>
      </c>
      <c r="E812" s="266" t="s">
        <v>1853</v>
      </c>
      <c r="F812" s="388" t="s">
        <v>620</v>
      </c>
      <c r="G812" s="389">
        <v>2000</v>
      </c>
      <c r="H812" s="352" t="s">
        <v>735</v>
      </c>
      <c r="I812" s="310" t="str">
        <f t="shared" si="48"/>
        <v>Pesado de Passageiros M3: III : Gasóleo : E2</v>
      </c>
      <c r="J812" s="257">
        <v>49</v>
      </c>
      <c r="K812" s="257">
        <v>2022</v>
      </c>
      <c r="L812" s="242">
        <v>11768.87</v>
      </c>
      <c r="M812" s="242" t="s">
        <v>630</v>
      </c>
      <c r="N812" s="243">
        <v>32247</v>
      </c>
      <c r="O812" s="243">
        <f t="shared" si="49"/>
        <v>1580103</v>
      </c>
      <c r="P812" s="257" t="s">
        <v>1415</v>
      </c>
      <c r="Q812" s="242" t="s">
        <v>47</v>
      </c>
      <c r="R812" s="283" t="s">
        <v>1869</v>
      </c>
      <c r="S812" s="283" t="s">
        <v>1861</v>
      </c>
      <c r="T812" s="242" t="s">
        <v>1491</v>
      </c>
      <c r="U812" s="283" t="s">
        <v>1953</v>
      </c>
      <c r="V812" s="283" t="s">
        <v>2813</v>
      </c>
    </row>
    <row r="813" spans="1:22" s="283" customFormat="1" ht="15.75" thickBot="1" x14ac:dyDescent="0.3">
      <c r="A813" s="276" t="s">
        <v>4580</v>
      </c>
      <c r="B813" s="276" t="s">
        <v>4580</v>
      </c>
      <c r="C813" s="276" t="s">
        <v>4580</v>
      </c>
      <c r="D813" s="263" t="s">
        <v>629</v>
      </c>
      <c r="E813" s="266" t="s">
        <v>1853</v>
      </c>
      <c r="F813" s="388" t="s">
        <v>620</v>
      </c>
      <c r="G813" s="389">
        <v>2004</v>
      </c>
      <c r="H813" s="352" t="s">
        <v>732</v>
      </c>
      <c r="I813" s="310" t="str">
        <f t="shared" si="48"/>
        <v>Pesado de Passageiros M3: III : Gasóleo : E3</v>
      </c>
      <c r="J813" s="257">
        <v>53</v>
      </c>
      <c r="K813" s="257">
        <v>2022</v>
      </c>
      <c r="L813" s="242">
        <v>17773.616000000002</v>
      </c>
      <c r="M813" s="242" t="s">
        <v>630</v>
      </c>
      <c r="N813" s="243">
        <v>52908</v>
      </c>
      <c r="O813" s="243">
        <f t="shared" si="49"/>
        <v>2804124</v>
      </c>
      <c r="P813" s="257" t="s">
        <v>1416</v>
      </c>
      <c r="Q813" s="242" t="s">
        <v>47</v>
      </c>
      <c r="R813" s="283" t="s">
        <v>1869</v>
      </c>
      <c r="S813" s="283" t="s">
        <v>1861</v>
      </c>
      <c r="T813" s="242" t="s">
        <v>1491</v>
      </c>
      <c r="U813" s="283" t="s">
        <v>1953</v>
      </c>
      <c r="V813" s="283" t="s">
        <v>2813</v>
      </c>
    </row>
    <row r="814" spans="1:22" s="283" customFormat="1" ht="15.75" thickBot="1" x14ac:dyDescent="0.3">
      <c r="A814" s="276" t="s">
        <v>4580</v>
      </c>
      <c r="B814" s="276" t="s">
        <v>4580</v>
      </c>
      <c r="C814" s="276" t="s">
        <v>4580</v>
      </c>
      <c r="D814" s="263" t="s">
        <v>629</v>
      </c>
      <c r="E814" s="266" t="s">
        <v>1853</v>
      </c>
      <c r="F814" s="388" t="s">
        <v>620</v>
      </c>
      <c r="G814" s="389">
        <v>2004</v>
      </c>
      <c r="H814" s="352" t="s">
        <v>732</v>
      </c>
      <c r="I814" s="310" t="str">
        <f t="shared" si="48"/>
        <v>Pesado de Passageiros M3: III : Gasóleo : E3</v>
      </c>
      <c r="J814" s="257">
        <v>53</v>
      </c>
      <c r="K814" s="257">
        <v>2022</v>
      </c>
      <c r="L814" s="242">
        <v>13931.394</v>
      </c>
      <c r="M814" s="242" t="s">
        <v>630</v>
      </c>
      <c r="N814" s="243">
        <v>40879</v>
      </c>
      <c r="O814" s="243">
        <f t="shared" si="49"/>
        <v>2166587</v>
      </c>
      <c r="P814" s="257" t="s">
        <v>1417</v>
      </c>
      <c r="Q814" s="242" t="s">
        <v>47</v>
      </c>
      <c r="R814" s="283" t="s">
        <v>1869</v>
      </c>
      <c r="S814" s="283" t="s">
        <v>1861</v>
      </c>
      <c r="T814" s="242" t="s">
        <v>1491</v>
      </c>
      <c r="U814" s="283" t="s">
        <v>1953</v>
      </c>
      <c r="V814" s="283" t="s">
        <v>2813</v>
      </c>
    </row>
    <row r="815" spans="1:22" s="283" customFormat="1" ht="15.75" thickBot="1" x14ac:dyDescent="0.3">
      <c r="A815" s="276" t="s">
        <v>4580</v>
      </c>
      <c r="B815" s="276" t="s">
        <v>4580</v>
      </c>
      <c r="C815" s="276" t="s">
        <v>4580</v>
      </c>
      <c r="D815" s="263" t="s">
        <v>629</v>
      </c>
      <c r="E815" s="266" t="s">
        <v>1853</v>
      </c>
      <c r="F815" s="388" t="s">
        <v>620</v>
      </c>
      <c r="G815" s="389">
        <v>2004</v>
      </c>
      <c r="H815" s="352" t="s">
        <v>732</v>
      </c>
      <c r="I815" s="310" t="str">
        <f t="shared" si="48"/>
        <v>Pesado de Passageiros M3: III : Gasóleo : E3</v>
      </c>
      <c r="J815" s="257">
        <v>55</v>
      </c>
      <c r="K815" s="257">
        <v>2022</v>
      </c>
      <c r="L815" s="242">
        <v>20623.939999999999</v>
      </c>
      <c r="M815" s="242" t="s">
        <v>630</v>
      </c>
      <c r="N815" s="243">
        <v>55444</v>
      </c>
      <c r="O815" s="243">
        <f t="shared" si="49"/>
        <v>3049420</v>
      </c>
      <c r="P815" s="257" t="s">
        <v>1418</v>
      </c>
      <c r="Q815" s="242" t="s">
        <v>47</v>
      </c>
      <c r="R815" s="283" t="s">
        <v>1869</v>
      </c>
      <c r="S815" s="283" t="s">
        <v>1861</v>
      </c>
      <c r="T815" s="242" t="s">
        <v>1491</v>
      </c>
      <c r="U815" s="283" t="s">
        <v>1953</v>
      </c>
      <c r="V815" s="283" t="s">
        <v>2813</v>
      </c>
    </row>
    <row r="816" spans="1:22" s="283" customFormat="1" ht="15.75" thickBot="1" x14ac:dyDescent="0.3">
      <c r="A816" s="276" t="s">
        <v>4580</v>
      </c>
      <c r="B816" s="276" t="s">
        <v>4580</v>
      </c>
      <c r="C816" s="276" t="s">
        <v>4580</v>
      </c>
      <c r="D816" s="263" t="s">
        <v>629</v>
      </c>
      <c r="E816" s="266" t="s">
        <v>1853</v>
      </c>
      <c r="F816" s="388" t="s">
        <v>620</v>
      </c>
      <c r="G816" s="389">
        <v>2005</v>
      </c>
      <c r="H816" s="352" t="s">
        <v>732</v>
      </c>
      <c r="I816" s="310" t="str">
        <f t="shared" si="48"/>
        <v>Pesado de Passageiros M3: III : Gasóleo : E3</v>
      </c>
      <c r="J816" s="257">
        <v>37</v>
      </c>
      <c r="K816" s="257">
        <v>2022</v>
      </c>
      <c r="L816" s="242">
        <v>9046.1310000000012</v>
      </c>
      <c r="M816" s="242" t="s">
        <v>630</v>
      </c>
      <c r="N816" s="243">
        <v>26063</v>
      </c>
      <c r="O816" s="243">
        <f t="shared" si="49"/>
        <v>964331</v>
      </c>
      <c r="P816" s="257" t="s">
        <v>852</v>
      </c>
      <c r="Q816" s="242" t="s">
        <v>47</v>
      </c>
      <c r="R816" s="283" t="s">
        <v>1869</v>
      </c>
      <c r="S816" s="283" t="s">
        <v>1861</v>
      </c>
      <c r="T816" s="242" t="s">
        <v>1491</v>
      </c>
      <c r="U816" s="283" t="s">
        <v>1953</v>
      </c>
      <c r="V816" s="283" t="s">
        <v>2813</v>
      </c>
    </row>
    <row r="817" spans="1:22" s="283" customFormat="1" ht="15.75" thickBot="1" x14ac:dyDescent="0.3">
      <c r="A817" s="276" t="s">
        <v>4580</v>
      </c>
      <c r="B817" s="276" t="s">
        <v>4580</v>
      </c>
      <c r="C817" s="276" t="s">
        <v>4580</v>
      </c>
      <c r="D817" s="263" t="s">
        <v>629</v>
      </c>
      <c r="E817" s="266" t="s">
        <v>1853</v>
      </c>
      <c r="F817" s="388" t="s">
        <v>620</v>
      </c>
      <c r="G817" s="389">
        <v>2005</v>
      </c>
      <c r="H817" s="352" t="s">
        <v>732</v>
      </c>
      <c r="I817" s="310" t="str">
        <f t="shared" si="48"/>
        <v>Pesado de Passageiros M3: III : Gasóleo : E3</v>
      </c>
      <c r="J817" s="257">
        <v>37</v>
      </c>
      <c r="K817" s="257">
        <v>2022</v>
      </c>
      <c r="L817" s="242">
        <v>9857.1099999999988</v>
      </c>
      <c r="M817" s="242" t="s">
        <v>630</v>
      </c>
      <c r="N817" s="243">
        <v>28079</v>
      </c>
      <c r="O817" s="243">
        <f t="shared" si="49"/>
        <v>1038923</v>
      </c>
      <c r="P817" s="257" t="s">
        <v>854</v>
      </c>
      <c r="Q817" s="242" t="s">
        <v>47</v>
      </c>
      <c r="R817" s="283" t="s">
        <v>1869</v>
      </c>
      <c r="S817" s="283" t="s">
        <v>1861</v>
      </c>
      <c r="T817" s="242" t="s">
        <v>1491</v>
      </c>
      <c r="U817" s="283" t="s">
        <v>1953</v>
      </c>
      <c r="V817" s="283" t="s">
        <v>2813</v>
      </c>
    </row>
    <row r="818" spans="1:22" s="283" customFormat="1" ht="15.75" thickBot="1" x14ac:dyDescent="0.3">
      <c r="A818" s="276" t="s">
        <v>4582</v>
      </c>
      <c r="B818" s="276" t="s">
        <v>4582</v>
      </c>
      <c r="C818" s="276" t="s">
        <v>4582</v>
      </c>
      <c r="D818" s="263" t="s">
        <v>629</v>
      </c>
      <c r="E818" s="266" t="s">
        <v>1853</v>
      </c>
      <c r="F818" s="388" t="s">
        <v>620</v>
      </c>
      <c r="G818" s="389">
        <v>2002</v>
      </c>
      <c r="H818" s="352" t="s">
        <v>732</v>
      </c>
      <c r="I818" s="310" t="str">
        <f t="shared" si="48"/>
        <v>Pesado de Passageiros M3: III : Gasóleo : E3</v>
      </c>
      <c r="J818" s="257">
        <v>55</v>
      </c>
      <c r="K818" s="257">
        <v>2022</v>
      </c>
      <c r="L818" s="242">
        <v>4626.12</v>
      </c>
      <c r="M818" s="242" t="s">
        <v>630</v>
      </c>
      <c r="N818" s="243">
        <v>15896</v>
      </c>
      <c r="O818" s="243">
        <f t="shared" si="49"/>
        <v>874280</v>
      </c>
      <c r="P818" s="257" t="s">
        <v>1419</v>
      </c>
      <c r="Q818" s="242" t="s">
        <v>47</v>
      </c>
      <c r="R818" s="283" t="s">
        <v>1869</v>
      </c>
      <c r="S818" s="283" t="s">
        <v>1861</v>
      </c>
      <c r="T818" s="242" t="s">
        <v>1491</v>
      </c>
      <c r="U818" s="283" t="s">
        <v>1953</v>
      </c>
      <c r="V818" s="283" t="s">
        <v>2813</v>
      </c>
    </row>
    <row r="819" spans="1:22" s="283" customFormat="1" ht="15.75" thickBot="1" x14ac:dyDescent="0.3">
      <c r="A819" s="276" t="s">
        <v>4582</v>
      </c>
      <c r="B819" s="276" t="s">
        <v>4582</v>
      </c>
      <c r="C819" s="276" t="s">
        <v>4582</v>
      </c>
      <c r="D819" s="263" t="s">
        <v>629</v>
      </c>
      <c r="E819" s="266" t="s">
        <v>1853</v>
      </c>
      <c r="F819" s="388" t="s">
        <v>620</v>
      </c>
      <c r="G819" s="389">
        <v>2004</v>
      </c>
      <c r="H819" s="352" t="s">
        <v>732</v>
      </c>
      <c r="I819" s="310" t="str">
        <f t="shared" si="48"/>
        <v>Pesado de Passageiros M3: III : Gasóleo : E3</v>
      </c>
      <c r="J819" s="257">
        <v>53</v>
      </c>
      <c r="K819" s="257">
        <v>2022</v>
      </c>
      <c r="L819" s="242">
        <v>9057.39</v>
      </c>
      <c r="M819" s="242" t="s">
        <v>630</v>
      </c>
      <c r="N819" s="243">
        <v>25654</v>
      </c>
      <c r="O819" s="243">
        <f t="shared" si="49"/>
        <v>1359662</v>
      </c>
      <c r="P819" s="257" t="s">
        <v>1420</v>
      </c>
      <c r="Q819" s="242" t="s">
        <v>47</v>
      </c>
      <c r="R819" s="283" t="s">
        <v>1869</v>
      </c>
      <c r="S819" s="283" t="s">
        <v>1861</v>
      </c>
      <c r="T819" s="242" t="s">
        <v>1491</v>
      </c>
      <c r="U819" s="283" t="s">
        <v>1953</v>
      </c>
      <c r="V819" s="283" t="s">
        <v>2813</v>
      </c>
    </row>
    <row r="820" spans="1:22" s="283" customFormat="1" ht="15.75" thickBot="1" x14ac:dyDescent="0.3">
      <c r="A820" s="276" t="s">
        <v>4582</v>
      </c>
      <c r="B820" s="276" t="s">
        <v>4582</v>
      </c>
      <c r="C820" s="276" t="s">
        <v>4582</v>
      </c>
      <c r="D820" s="263" t="s">
        <v>629</v>
      </c>
      <c r="E820" s="266" t="s">
        <v>1853</v>
      </c>
      <c r="F820" s="388" t="s">
        <v>620</v>
      </c>
      <c r="G820" s="389">
        <v>2006</v>
      </c>
      <c r="H820" s="352" t="s">
        <v>731</v>
      </c>
      <c r="I820" s="310" t="str">
        <f t="shared" si="48"/>
        <v>Pesado de Passageiros M3: III : Gasóleo : E4</v>
      </c>
      <c r="J820" s="257">
        <v>55</v>
      </c>
      <c r="K820" s="257">
        <v>2022</v>
      </c>
      <c r="L820" s="242">
        <v>0</v>
      </c>
      <c r="M820" s="242" t="s">
        <v>630</v>
      </c>
      <c r="N820" s="243">
        <v>0</v>
      </c>
      <c r="O820" s="243">
        <f t="shared" si="49"/>
        <v>0</v>
      </c>
      <c r="P820" s="257" t="s">
        <v>1421</v>
      </c>
      <c r="Q820" s="242" t="s">
        <v>47</v>
      </c>
      <c r="R820" s="283" t="s">
        <v>1869</v>
      </c>
      <c r="S820" s="283" t="s">
        <v>1861</v>
      </c>
      <c r="T820" s="242" t="s">
        <v>1491</v>
      </c>
      <c r="U820" s="283" t="s">
        <v>1953</v>
      </c>
      <c r="V820" s="283" t="s">
        <v>2813</v>
      </c>
    </row>
    <row r="821" spans="1:22" s="283" customFormat="1" ht="15.75" thickBot="1" x14ac:dyDescent="0.3">
      <c r="A821" s="276" t="s">
        <v>4582</v>
      </c>
      <c r="B821" s="276" t="s">
        <v>4582</v>
      </c>
      <c r="C821" s="276" t="s">
        <v>4582</v>
      </c>
      <c r="D821" s="263" t="s">
        <v>629</v>
      </c>
      <c r="E821" s="266" t="s">
        <v>1853</v>
      </c>
      <c r="F821" s="388" t="s">
        <v>620</v>
      </c>
      <c r="G821" s="389">
        <v>2007</v>
      </c>
      <c r="H821" s="352" t="s">
        <v>731</v>
      </c>
      <c r="I821" s="310" t="str">
        <f t="shared" si="48"/>
        <v>Pesado de Passageiros M3: III : Gasóleo : E4</v>
      </c>
      <c r="J821" s="257">
        <v>36</v>
      </c>
      <c r="K821" s="257">
        <v>2022</v>
      </c>
      <c r="L821" s="242">
        <v>3062.1779999999999</v>
      </c>
      <c r="M821" s="242" t="s">
        <v>630</v>
      </c>
      <c r="N821" s="243">
        <v>10069</v>
      </c>
      <c r="O821" s="243">
        <f t="shared" si="49"/>
        <v>362484</v>
      </c>
      <c r="P821" s="257" t="s">
        <v>1422</v>
      </c>
      <c r="Q821" s="242" t="s">
        <v>47</v>
      </c>
      <c r="R821" s="283" t="s">
        <v>1869</v>
      </c>
      <c r="S821" s="283" t="s">
        <v>1861</v>
      </c>
      <c r="T821" s="242" t="s">
        <v>1491</v>
      </c>
      <c r="U821" s="283" t="s">
        <v>1953</v>
      </c>
      <c r="V821" s="283" t="s">
        <v>2813</v>
      </c>
    </row>
    <row r="822" spans="1:22" s="283" customFormat="1" ht="15.75" thickBot="1" x14ac:dyDescent="0.3">
      <c r="A822" s="276" t="s">
        <v>4582</v>
      </c>
      <c r="B822" s="276" t="s">
        <v>4582</v>
      </c>
      <c r="C822" s="276" t="s">
        <v>4582</v>
      </c>
      <c r="D822" s="263" t="s">
        <v>629</v>
      </c>
      <c r="E822" s="266" t="s">
        <v>1853</v>
      </c>
      <c r="F822" s="388" t="s">
        <v>620</v>
      </c>
      <c r="G822" s="389">
        <v>2008</v>
      </c>
      <c r="H822" s="352" t="s">
        <v>731</v>
      </c>
      <c r="I822" s="310" t="str">
        <f t="shared" si="48"/>
        <v>Pesado de Passageiros M3: III : Gasóleo : E4</v>
      </c>
      <c r="J822" s="257">
        <v>21</v>
      </c>
      <c r="K822" s="257">
        <v>2022</v>
      </c>
      <c r="L822" s="242">
        <v>51</v>
      </c>
      <c r="M822" s="242" t="s">
        <v>630</v>
      </c>
      <c r="N822" s="243">
        <v>188</v>
      </c>
      <c r="O822" s="243">
        <f t="shared" si="49"/>
        <v>3948</v>
      </c>
      <c r="P822" s="257" t="s">
        <v>1423</v>
      </c>
      <c r="Q822" s="242" t="s">
        <v>47</v>
      </c>
      <c r="R822" s="283" t="s">
        <v>1869</v>
      </c>
      <c r="S822" s="283" t="s">
        <v>1861</v>
      </c>
      <c r="T822" s="242" t="s">
        <v>1491</v>
      </c>
      <c r="U822" s="283" t="s">
        <v>1953</v>
      </c>
      <c r="V822" s="283" t="s">
        <v>2813</v>
      </c>
    </row>
    <row r="823" spans="1:22" s="283" customFormat="1" ht="15.75" thickBot="1" x14ac:dyDescent="0.3">
      <c r="A823" s="276" t="s">
        <v>4582</v>
      </c>
      <c r="B823" s="276" t="s">
        <v>4582</v>
      </c>
      <c r="C823" s="276" t="s">
        <v>4582</v>
      </c>
      <c r="D823" s="263" t="s">
        <v>629</v>
      </c>
      <c r="E823" s="266" t="s">
        <v>1853</v>
      </c>
      <c r="F823" s="388" t="s">
        <v>620</v>
      </c>
      <c r="G823" s="389">
        <v>2011</v>
      </c>
      <c r="H823" s="352" t="s">
        <v>734</v>
      </c>
      <c r="I823" s="310" t="str">
        <f t="shared" si="48"/>
        <v>Pesado de Passageiros M3: III : Gasóleo : E5</v>
      </c>
      <c r="J823" s="257">
        <v>53</v>
      </c>
      <c r="K823" s="257">
        <v>2022</v>
      </c>
      <c r="L823" s="242">
        <v>9566.42</v>
      </c>
      <c r="M823" s="242" t="s">
        <v>630</v>
      </c>
      <c r="N823" s="243">
        <v>29387</v>
      </c>
      <c r="O823" s="243">
        <f t="shared" si="49"/>
        <v>1557511</v>
      </c>
      <c r="P823" s="257" t="s">
        <v>1424</v>
      </c>
      <c r="Q823" s="242" t="s">
        <v>47</v>
      </c>
      <c r="R823" s="283" t="s">
        <v>1869</v>
      </c>
      <c r="S823" s="283" t="s">
        <v>1861</v>
      </c>
      <c r="T823" s="242" t="s">
        <v>1491</v>
      </c>
      <c r="U823" s="283" t="s">
        <v>1953</v>
      </c>
      <c r="V823" s="283" t="s">
        <v>2813</v>
      </c>
    </row>
    <row r="824" spans="1:22" s="283" customFormat="1" ht="15.75" thickBot="1" x14ac:dyDescent="0.3">
      <c r="A824" s="276" t="s">
        <v>4582</v>
      </c>
      <c r="B824" s="276" t="s">
        <v>4582</v>
      </c>
      <c r="C824" s="276" t="s">
        <v>4582</v>
      </c>
      <c r="D824" s="263" t="s">
        <v>629</v>
      </c>
      <c r="E824" s="266" t="s">
        <v>1853</v>
      </c>
      <c r="F824" s="388" t="s">
        <v>620</v>
      </c>
      <c r="G824" s="389">
        <v>2011</v>
      </c>
      <c r="H824" s="352" t="s">
        <v>734</v>
      </c>
      <c r="I824" s="310" t="str">
        <f t="shared" si="48"/>
        <v>Pesado de Passageiros M3: III : Gasóleo : E5</v>
      </c>
      <c r="J824" s="257">
        <v>53</v>
      </c>
      <c r="K824" s="257">
        <v>2022</v>
      </c>
      <c r="L824" s="242">
        <v>10759.15</v>
      </c>
      <c r="M824" s="242" t="s">
        <v>630</v>
      </c>
      <c r="N824" s="243">
        <v>32554</v>
      </c>
      <c r="O824" s="243">
        <f t="shared" si="49"/>
        <v>1725362</v>
      </c>
      <c r="P824" s="257" t="s">
        <v>1425</v>
      </c>
      <c r="Q824" s="242" t="s">
        <v>47</v>
      </c>
      <c r="R824" s="283" t="s">
        <v>1869</v>
      </c>
      <c r="S824" s="283" t="s">
        <v>1861</v>
      </c>
      <c r="T824" s="242" t="s">
        <v>1491</v>
      </c>
      <c r="U824" s="283" t="s">
        <v>1953</v>
      </c>
      <c r="V824" s="283" t="s">
        <v>2813</v>
      </c>
    </row>
    <row r="825" spans="1:22" s="283" customFormat="1" ht="15.75" thickBot="1" x14ac:dyDescent="0.3">
      <c r="A825" s="276" t="s">
        <v>4582</v>
      </c>
      <c r="B825" s="276" t="s">
        <v>4582</v>
      </c>
      <c r="C825" s="276" t="s">
        <v>4582</v>
      </c>
      <c r="D825" s="263" t="s">
        <v>629</v>
      </c>
      <c r="E825" s="266" t="s">
        <v>1853</v>
      </c>
      <c r="F825" s="388" t="s">
        <v>620</v>
      </c>
      <c r="G825" s="389">
        <v>2011</v>
      </c>
      <c r="H825" s="352" t="s">
        <v>734</v>
      </c>
      <c r="I825" s="310" t="str">
        <f t="shared" si="48"/>
        <v>Pesado de Passageiros M3: III : Gasóleo : E5</v>
      </c>
      <c r="J825" s="257">
        <v>53</v>
      </c>
      <c r="K825" s="257">
        <v>2022</v>
      </c>
      <c r="L825" s="242">
        <v>11748.06</v>
      </c>
      <c r="M825" s="242" t="s">
        <v>630</v>
      </c>
      <c r="N825" s="243">
        <v>36329</v>
      </c>
      <c r="O825" s="243">
        <f t="shared" si="49"/>
        <v>1925437</v>
      </c>
      <c r="P825" s="257" t="s">
        <v>1426</v>
      </c>
      <c r="Q825" s="242" t="s">
        <v>47</v>
      </c>
      <c r="R825" s="283" t="s">
        <v>1869</v>
      </c>
      <c r="S825" s="283" t="s">
        <v>1861</v>
      </c>
      <c r="T825" s="242" t="s">
        <v>1491</v>
      </c>
      <c r="U825" s="283" t="s">
        <v>1953</v>
      </c>
      <c r="V825" s="283" t="s">
        <v>2813</v>
      </c>
    </row>
    <row r="826" spans="1:22" s="283" customFormat="1" ht="15.75" thickBot="1" x14ac:dyDescent="0.3">
      <c r="A826" s="276" t="s">
        <v>4582</v>
      </c>
      <c r="B826" s="276" t="s">
        <v>4582</v>
      </c>
      <c r="C826" s="276" t="s">
        <v>4582</v>
      </c>
      <c r="D826" s="263" t="s">
        <v>629</v>
      </c>
      <c r="E826" s="266" t="s">
        <v>1853</v>
      </c>
      <c r="F826" s="388" t="s">
        <v>620</v>
      </c>
      <c r="G826" s="389">
        <v>2011</v>
      </c>
      <c r="H826" s="352" t="s">
        <v>734</v>
      </c>
      <c r="I826" s="310" t="str">
        <f t="shared" si="48"/>
        <v>Pesado de Passageiros M3: III : Gasóleo : E5</v>
      </c>
      <c r="J826" s="257">
        <v>53</v>
      </c>
      <c r="K826" s="257">
        <v>2022</v>
      </c>
      <c r="L826" s="242">
        <v>9661.5000000000018</v>
      </c>
      <c r="M826" s="242" t="s">
        <v>630</v>
      </c>
      <c r="N826" s="243">
        <v>29129</v>
      </c>
      <c r="O826" s="243">
        <f t="shared" si="49"/>
        <v>1543837</v>
      </c>
      <c r="P826" s="257" t="s">
        <v>1427</v>
      </c>
      <c r="Q826" s="242" t="s">
        <v>47</v>
      </c>
      <c r="R826" s="283" t="s">
        <v>1869</v>
      </c>
      <c r="S826" s="283" t="s">
        <v>1861</v>
      </c>
      <c r="T826" s="242" t="s">
        <v>1491</v>
      </c>
      <c r="U826" s="283" t="s">
        <v>1953</v>
      </c>
      <c r="V826" s="283" t="s">
        <v>2813</v>
      </c>
    </row>
    <row r="827" spans="1:22" s="283" customFormat="1" ht="15.75" thickBot="1" x14ac:dyDescent="0.3">
      <c r="A827" s="276" t="s">
        <v>4582</v>
      </c>
      <c r="B827" s="276" t="s">
        <v>4582</v>
      </c>
      <c r="C827" s="276" t="s">
        <v>4582</v>
      </c>
      <c r="D827" s="263" t="s">
        <v>629</v>
      </c>
      <c r="E827" s="266" t="s">
        <v>1853</v>
      </c>
      <c r="F827" s="388" t="s">
        <v>620</v>
      </c>
      <c r="G827" s="389">
        <v>2011</v>
      </c>
      <c r="H827" s="352" t="s">
        <v>734</v>
      </c>
      <c r="I827" s="310" t="str">
        <f t="shared" si="48"/>
        <v>Pesado de Passageiros M3: III : Gasóleo : E5</v>
      </c>
      <c r="J827" s="257">
        <v>53</v>
      </c>
      <c r="K827" s="257">
        <v>2022</v>
      </c>
      <c r="L827" s="242">
        <v>13771.939000000002</v>
      </c>
      <c r="M827" s="242" t="s">
        <v>630</v>
      </c>
      <c r="N827" s="243">
        <v>42376</v>
      </c>
      <c r="O827" s="243">
        <f t="shared" si="49"/>
        <v>2245928</v>
      </c>
      <c r="P827" s="257" t="s">
        <v>1428</v>
      </c>
      <c r="Q827" s="242" t="s">
        <v>47</v>
      </c>
      <c r="R827" s="283" t="s">
        <v>1869</v>
      </c>
      <c r="S827" s="283" t="s">
        <v>1861</v>
      </c>
      <c r="T827" s="242" t="s">
        <v>1491</v>
      </c>
      <c r="U827" s="283" t="s">
        <v>1953</v>
      </c>
      <c r="V827" s="283" t="s">
        <v>2813</v>
      </c>
    </row>
    <row r="828" spans="1:22" s="283" customFormat="1" ht="15.75" thickBot="1" x14ac:dyDescent="0.3">
      <c r="A828" s="276" t="s">
        <v>4582</v>
      </c>
      <c r="B828" s="276" t="s">
        <v>4582</v>
      </c>
      <c r="C828" s="276" t="s">
        <v>4582</v>
      </c>
      <c r="D828" s="263" t="s">
        <v>629</v>
      </c>
      <c r="E828" s="266" t="s">
        <v>1853</v>
      </c>
      <c r="F828" s="388" t="s">
        <v>620</v>
      </c>
      <c r="G828" s="389">
        <v>2011</v>
      </c>
      <c r="H828" s="352" t="s">
        <v>734</v>
      </c>
      <c r="I828" s="310" t="str">
        <f t="shared" si="48"/>
        <v>Pesado de Passageiros M3: III : Gasóleo : E5</v>
      </c>
      <c r="J828" s="257">
        <v>53</v>
      </c>
      <c r="K828" s="257">
        <v>2022</v>
      </c>
      <c r="L828" s="242">
        <v>9847.08</v>
      </c>
      <c r="M828" s="242" t="s">
        <v>630</v>
      </c>
      <c r="N828" s="243">
        <v>29941</v>
      </c>
      <c r="O828" s="243">
        <f t="shared" si="49"/>
        <v>1586873</v>
      </c>
      <c r="P828" s="257" t="s">
        <v>1429</v>
      </c>
      <c r="Q828" s="242" t="s">
        <v>47</v>
      </c>
      <c r="R828" s="283" t="s">
        <v>1869</v>
      </c>
      <c r="S828" s="283" t="s">
        <v>1861</v>
      </c>
      <c r="T828" s="242" t="s">
        <v>1491</v>
      </c>
      <c r="U828" s="283" t="s">
        <v>1953</v>
      </c>
      <c r="V828" s="283" t="s">
        <v>2813</v>
      </c>
    </row>
    <row r="829" spans="1:22" s="283" customFormat="1" ht="15.75" thickBot="1" x14ac:dyDescent="0.3">
      <c r="A829" s="276" t="s">
        <v>4582</v>
      </c>
      <c r="B829" s="276" t="s">
        <v>4582</v>
      </c>
      <c r="C829" s="276" t="s">
        <v>4582</v>
      </c>
      <c r="D829" s="263" t="s">
        <v>629</v>
      </c>
      <c r="E829" s="266" t="s">
        <v>1853</v>
      </c>
      <c r="F829" s="388" t="s">
        <v>620</v>
      </c>
      <c r="G829" s="389">
        <v>2011</v>
      </c>
      <c r="H829" s="352" t="s">
        <v>734</v>
      </c>
      <c r="I829" s="310" t="str">
        <f t="shared" si="48"/>
        <v>Pesado de Passageiros M3: III : Gasóleo : E5</v>
      </c>
      <c r="J829" s="257">
        <v>19</v>
      </c>
      <c r="K829" s="257">
        <v>2022</v>
      </c>
      <c r="L829" s="242">
        <v>0</v>
      </c>
      <c r="M829" s="242" t="s">
        <v>630</v>
      </c>
      <c r="N829" s="243">
        <v>0</v>
      </c>
      <c r="O829" s="243">
        <f t="shared" si="49"/>
        <v>0</v>
      </c>
      <c r="P829" s="257" t="s">
        <v>1430</v>
      </c>
      <c r="Q829" s="242" t="s">
        <v>47</v>
      </c>
      <c r="R829" s="283" t="s">
        <v>1869</v>
      </c>
      <c r="S829" s="283" t="s">
        <v>1861</v>
      </c>
      <c r="T829" s="242" t="s">
        <v>1491</v>
      </c>
      <c r="U829" s="283" t="s">
        <v>1953</v>
      </c>
      <c r="V829" s="283" t="s">
        <v>2813</v>
      </c>
    </row>
    <row r="830" spans="1:22" s="283" customFormat="1" ht="15.75" thickBot="1" x14ac:dyDescent="0.3">
      <c r="A830" s="276" t="s">
        <v>4582</v>
      </c>
      <c r="B830" s="276" t="s">
        <v>4582</v>
      </c>
      <c r="C830" s="276" t="s">
        <v>4582</v>
      </c>
      <c r="D830" s="263" t="s">
        <v>629</v>
      </c>
      <c r="E830" s="266" t="s">
        <v>1853</v>
      </c>
      <c r="F830" s="388" t="s">
        <v>620</v>
      </c>
      <c r="G830" s="389">
        <v>2013</v>
      </c>
      <c r="H830" s="352" t="s">
        <v>733</v>
      </c>
      <c r="I830" s="310" t="str">
        <f t="shared" si="48"/>
        <v>Pesado de Passageiros M3: III : Gasóleo : E6</v>
      </c>
      <c r="J830" s="257">
        <v>21</v>
      </c>
      <c r="K830" s="257">
        <v>2022</v>
      </c>
      <c r="L830" s="242">
        <v>359.09000000000003</v>
      </c>
      <c r="M830" s="242" t="s">
        <v>630</v>
      </c>
      <c r="N830" s="243">
        <v>2085</v>
      </c>
      <c r="O830" s="243">
        <f t="shared" si="49"/>
        <v>43785</v>
      </c>
      <c r="P830" s="257" t="s">
        <v>1431</v>
      </c>
      <c r="Q830" s="242" t="s">
        <v>47</v>
      </c>
      <c r="R830" s="283" t="s">
        <v>1869</v>
      </c>
      <c r="S830" s="283" t="s">
        <v>1861</v>
      </c>
      <c r="T830" s="242" t="s">
        <v>1491</v>
      </c>
      <c r="U830" s="283" t="s">
        <v>1953</v>
      </c>
      <c r="V830" s="283" t="s">
        <v>2813</v>
      </c>
    </row>
    <row r="831" spans="1:22" s="283" customFormat="1" ht="15.75" thickBot="1" x14ac:dyDescent="0.3">
      <c r="A831" s="276" t="s">
        <v>4582</v>
      </c>
      <c r="B831" s="276" t="s">
        <v>4582</v>
      </c>
      <c r="C831" s="276" t="s">
        <v>4582</v>
      </c>
      <c r="D831" s="263" t="s">
        <v>629</v>
      </c>
      <c r="E831" s="266" t="s">
        <v>1853</v>
      </c>
      <c r="F831" s="388" t="s">
        <v>620</v>
      </c>
      <c r="G831" s="389">
        <v>2015</v>
      </c>
      <c r="H831" s="352" t="s">
        <v>733</v>
      </c>
      <c r="I831" s="310" t="str">
        <f t="shared" si="48"/>
        <v>Pesado de Passageiros M3: III : Gasóleo : E6</v>
      </c>
      <c r="J831" s="257">
        <v>53</v>
      </c>
      <c r="K831" s="257">
        <v>2022</v>
      </c>
      <c r="L831" s="242">
        <v>13159.81</v>
      </c>
      <c r="M831" s="242" t="s">
        <v>630</v>
      </c>
      <c r="N831" s="243">
        <v>45164</v>
      </c>
      <c r="O831" s="243">
        <f t="shared" si="49"/>
        <v>2393692</v>
      </c>
      <c r="P831" s="257" t="s">
        <v>1432</v>
      </c>
      <c r="Q831" s="242" t="s">
        <v>47</v>
      </c>
      <c r="R831" s="283" t="s">
        <v>1869</v>
      </c>
      <c r="S831" s="283" t="s">
        <v>1861</v>
      </c>
      <c r="T831" s="242" t="s">
        <v>1491</v>
      </c>
      <c r="U831" s="283" t="s">
        <v>1953</v>
      </c>
      <c r="V831" s="283" t="s">
        <v>2813</v>
      </c>
    </row>
    <row r="832" spans="1:22" s="283" customFormat="1" ht="15.75" thickBot="1" x14ac:dyDescent="0.3">
      <c r="A832" s="276" t="s">
        <v>4582</v>
      </c>
      <c r="B832" s="276" t="s">
        <v>4582</v>
      </c>
      <c r="C832" s="276" t="s">
        <v>4582</v>
      </c>
      <c r="D832" s="263" t="s">
        <v>629</v>
      </c>
      <c r="E832" s="266" t="s">
        <v>1853</v>
      </c>
      <c r="F832" s="388" t="s">
        <v>620</v>
      </c>
      <c r="G832" s="389">
        <v>2015</v>
      </c>
      <c r="H832" s="352" t="s">
        <v>733</v>
      </c>
      <c r="I832" s="310" t="str">
        <f t="shared" si="48"/>
        <v>Pesado de Passageiros M3: III : Gasóleo : E6</v>
      </c>
      <c r="J832" s="257">
        <v>53</v>
      </c>
      <c r="K832" s="257">
        <v>2022</v>
      </c>
      <c r="L832" s="242">
        <v>14262.480000000001</v>
      </c>
      <c r="M832" s="242" t="s">
        <v>630</v>
      </c>
      <c r="N832" s="243">
        <v>47352</v>
      </c>
      <c r="O832" s="243">
        <f t="shared" si="49"/>
        <v>2509656</v>
      </c>
      <c r="P832" s="257" t="s">
        <v>1433</v>
      </c>
      <c r="Q832" s="242" t="s">
        <v>47</v>
      </c>
      <c r="R832" s="283" t="s">
        <v>1869</v>
      </c>
      <c r="S832" s="283" t="s">
        <v>1861</v>
      </c>
      <c r="T832" s="242" t="s">
        <v>1491</v>
      </c>
      <c r="U832" s="283" t="s">
        <v>1953</v>
      </c>
      <c r="V832" s="283" t="s">
        <v>2813</v>
      </c>
    </row>
    <row r="833" spans="1:22" s="283" customFormat="1" ht="15.75" thickBot="1" x14ac:dyDescent="0.3">
      <c r="A833" s="276" t="s">
        <v>4582</v>
      </c>
      <c r="B833" s="276" t="s">
        <v>4582</v>
      </c>
      <c r="C833" s="276" t="s">
        <v>4582</v>
      </c>
      <c r="D833" s="263" t="s">
        <v>629</v>
      </c>
      <c r="E833" s="266" t="s">
        <v>1853</v>
      </c>
      <c r="F833" s="388" t="s">
        <v>620</v>
      </c>
      <c r="G833" s="389">
        <v>2015</v>
      </c>
      <c r="H833" s="352" t="s">
        <v>733</v>
      </c>
      <c r="I833" s="310" t="str">
        <f t="shared" si="48"/>
        <v>Pesado de Passageiros M3: III : Gasóleo : E6</v>
      </c>
      <c r="J833" s="257">
        <v>53</v>
      </c>
      <c r="K833" s="257">
        <v>2022</v>
      </c>
      <c r="L833" s="242">
        <v>13601.14</v>
      </c>
      <c r="M833" s="242" t="s">
        <v>630</v>
      </c>
      <c r="N833" s="243">
        <v>46797</v>
      </c>
      <c r="O833" s="243">
        <f t="shared" si="49"/>
        <v>2480241</v>
      </c>
      <c r="P833" s="257" t="s">
        <v>1434</v>
      </c>
      <c r="Q833" s="242" t="s">
        <v>47</v>
      </c>
      <c r="R833" s="283" t="s">
        <v>1869</v>
      </c>
      <c r="S833" s="283" t="s">
        <v>1861</v>
      </c>
      <c r="T833" s="242" t="s">
        <v>1491</v>
      </c>
      <c r="U833" s="283" t="s">
        <v>1953</v>
      </c>
      <c r="V833" s="283" t="s">
        <v>2813</v>
      </c>
    </row>
    <row r="834" spans="1:22" s="283" customFormat="1" ht="15.75" thickBot="1" x14ac:dyDescent="0.3">
      <c r="A834" s="276" t="s">
        <v>4582</v>
      </c>
      <c r="B834" s="276" t="s">
        <v>4582</v>
      </c>
      <c r="C834" s="276" t="s">
        <v>4582</v>
      </c>
      <c r="D834" s="263" t="s">
        <v>629</v>
      </c>
      <c r="E834" s="266" t="s">
        <v>1853</v>
      </c>
      <c r="F834" s="388" t="s">
        <v>620</v>
      </c>
      <c r="G834" s="389">
        <v>2015</v>
      </c>
      <c r="H834" s="352" t="s">
        <v>733</v>
      </c>
      <c r="I834" s="310" t="str">
        <f t="shared" si="48"/>
        <v>Pesado de Passageiros M3: III : Gasóleo : E6</v>
      </c>
      <c r="J834" s="257">
        <v>59</v>
      </c>
      <c r="K834" s="257">
        <v>2022</v>
      </c>
      <c r="L834" s="242">
        <v>12887.129000000001</v>
      </c>
      <c r="M834" s="242" t="s">
        <v>630</v>
      </c>
      <c r="N834" s="243">
        <v>37771</v>
      </c>
      <c r="O834" s="243">
        <f t="shared" si="49"/>
        <v>2228489</v>
      </c>
      <c r="P834" s="257" t="s">
        <v>1435</v>
      </c>
      <c r="Q834" s="242" t="s">
        <v>47</v>
      </c>
      <c r="R834" s="283" t="s">
        <v>1869</v>
      </c>
      <c r="S834" s="283" t="s">
        <v>1861</v>
      </c>
      <c r="T834" s="242" t="s">
        <v>1491</v>
      </c>
      <c r="U834" s="283" t="s">
        <v>1953</v>
      </c>
      <c r="V834" s="283" t="s">
        <v>2813</v>
      </c>
    </row>
    <row r="835" spans="1:22" s="283" customFormat="1" ht="15.75" thickBot="1" x14ac:dyDescent="0.3">
      <c r="A835" s="276" t="s">
        <v>4582</v>
      </c>
      <c r="B835" s="276" t="s">
        <v>4582</v>
      </c>
      <c r="C835" s="276" t="s">
        <v>4582</v>
      </c>
      <c r="D835" s="263" t="s">
        <v>629</v>
      </c>
      <c r="E835" s="266" t="s">
        <v>1853</v>
      </c>
      <c r="F835" s="388" t="s">
        <v>620</v>
      </c>
      <c r="G835" s="389">
        <v>2016</v>
      </c>
      <c r="H835" s="352" t="s">
        <v>733</v>
      </c>
      <c r="I835" s="310" t="str">
        <f t="shared" si="48"/>
        <v>Pesado de Passageiros M3: III : Gasóleo : E6</v>
      </c>
      <c r="J835" s="257">
        <v>19</v>
      </c>
      <c r="K835" s="257">
        <v>2022</v>
      </c>
      <c r="L835" s="242">
        <v>873.28</v>
      </c>
      <c r="M835" s="242" t="s">
        <v>630</v>
      </c>
      <c r="N835" s="243">
        <v>4997</v>
      </c>
      <c r="O835" s="243">
        <f t="shared" si="49"/>
        <v>94943</v>
      </c>
      <c r="P835" s="257" t="s">
        <v>1436</v>
      </c>
      <c r="Q835" s="242" t="s">
        <v>47</v>
      </c>
      <c r="R835" s="283" t="s">
        <v>1869</v>
      </c>
      <c r="S835" s="283" t="s">
        <v>1861</v>
      </c>
      <c r="T835" s="242" t="s">
        <v>1491</v>
      </c>
      <c r="U835" s="283" t="s">
        <v>1953</v>
      </c>
      <c r="V835" s="283" t="s">
        <v>2813</v>
      </c>
    </row>
    <row r="836" spans="1:22" s="283" customFormat="1" ht="15.75" thickBot="1" x14ac:dyDescent="0.3">
      <c r="A836" s="276" t="s">
        <v>4582</v>
      </c>
      <c r="B836" s="276" t="s">
        <v>4582</v>
      </c>
      <c r="C836" s="276" t="s">
        <v>4582</v>
      </c>
      <c r="D836" s="263" t="s">
        <v>629</v>
      </c>
      <c r="E836" s="266" t="s">
        <v>1853</v>
      </c>
      <c r="F836" s="388" t="s">
        <v>620</v>
      </c>
      <c r="G836" s="389">
        <v>2016</v>
      </c>
      <c r="H836" s="352" t="s">
        <v>733</v>
      </c>
      <c r="I836" s="310" t="str">
        <f t="shared" ref="I836:I889" si="50">D836&amp;": "&amp;E836&amp;" : "&amp;F836&amp;" : "&amp;H836</f>
        <v>Pesado de Passageiros M3: III : Gasóleo : E6</v>
      </c>
      <c r="J836" s="257">
        <v>57</v>
      </c>
      <c r="K836" s="257">
        <v>2022</v>
      </c>
      <c r="L836" s="242">
        <v>12078.029999999999</v>
      </c>
      <c r="M836" s="242" t="s">
        <v>630</v>
      </c>
      <c r="N836" s="243">
        <v>36692</v>
      </c>
      <c r="O836" s="243">
        <f t="shared" ref="O836:O889" si="51">N836*J836</f>
        <v>2091444</v>
      </c>
      <c r="P836" s="257" t="s">
        <v>1437</v>
      </c>
      <c r="Q836" s="242" t="s">
        <v>47</v>
      </c>
      <c r="R836" s="283" t="s">
        <v>1869</v>
      </c>
      <c r="S836" s="283" t="s">
        <v>1861</v>
      </c>
      <c r="T836" s="242" t="s">
        <v>1491</v>
      </c>
      <c r="U836" s="283" t="s">
        <v>1953</v>
      </c>
      <c r="V836" s="283" t="s">
        <v>2813</v>
      </c>
    </row>
    <row r="837" spans="1:22" s="283" customFormat="1" ht="15.75" thickBot="1" x14ac:dyDescent="0.3">
      <c r="A837" s="276" t="s">
        <v>4582</v>
      </c>
      <c r="B837" s="276" t="s">
        <v>4582</v>
      </c>
      <c r="C837" s="276" t="s">
        <v>4582</v>
      </c>
      <c r="D837" s="263" t="s">
        <v>629</v>
      </c>
      <c r="E837" s="266" t="s">
        <v>1853</v>
      </c>
      <c r="F837" s="388" t="s">
        <v>620</v>
      </c>
      <c r="G837" s="389">
        <v>2016</v>
      </c>
      <c r="H837" s="352" t="s">
        <v>733</v>
      </c>
      <c r="I837" s="310" t="str">
        <f t="shared" si="50"/>
        <v>Pesado de Passageiros M3: III : Gasóleo : E6</v>
      </c>
      <c r="J837" s="257">
        <v>57</v>
      </c>
      <c r="K837" s="257">
        <v>2022</v>
      </c>
      <c r="L837" s="242">
        <v>12786.09</v>
      </c>
      <c r="M837" s="242" t="s">
        <v>630</v>
      </c>
      <c r="N837" s="243">
        <v>43958</v>
      </c>
      <c r="O837" s="243">
        <f t="shared" si="51"/>
        <v>2505606</v>
      </c>
      <c r="P837" s="257" t="s">
        <v>1438</v>
      </c>
      <c r="Q837" s="242" t="s">
        <v>47</v>
      </c>
      <c r="R837" s="283" t="s">
        <v>1869</v>
      </c>
      <c r="S837" s="283" t="s">
        <v>1861</v>
      </c>
      <c r="T837" s="242" t="s">
        <v>1491</v>
      </c>
      <c r="U837" s="283" t="s">
        <v>1953</v>
      </c>
      <c r="V837" s="283" t="s">
        <v>2813</v>
      </c>
    </row>
    <row r="838" spans="1:22" s="283" customFormat="1" ht="15.75" thickBot="1" x14ac:dyDescent="0.3">
      <c r="A838" s="276" t="s">
        <v>4582</v>
      </c>
      <c r="B838" s="276" t="s">
        <v>4582</v>
      </c>
      <c r="C838" s="276" t="s">
        <v>4582</v>
      </c>
      <c r="D838" s="263" t="s">
        <v>629</v>
      </c>
      <c r="E838" s="266" t="s">
        <v>1853</v>
      </c>
      <c r="F838" s="388" t="s">
        <v>620</v>
      </c>
      <c r="G838" s="389">
        <v>2017</v>
      </c>
      <c r="H838" s="352" t="s">
        <v>733</v>
      </c>
      <c r="I838" s="310" t="str">
        <f t="shared" si="50"/>
        <v>Pesado de Passageiros M3: III : Gasóleo : E6</v>
      </c>
      <c r="J838" s="257">
        <v>27</v>
      </c>
      <c r="K838" s="257">
        <v>2022</v>
      </c>
      <c r="L838" s="242">
        <v>3946.6199999999994</v>
      </c>
      <c r="M838" s="242" t="s">
        <v>630</v>
      </c>
      <c r="N838" s="243">
        <v>19234</v>
      </c>
      <c r="O838" s="243">
        <f t="shared" si="51"/>
        <v>519318</v>
      </c>
      <c r="P838" s="257" t="s">
        <v>1439</v>
      </c>
      <c r="Q838" s="242" t="s">
        <v>47</v>
      </c>
      <c r="R838" s="283" t="s">
        <v>1869</v>
      </c>
      <c r="S838" s="283" t="s">
        <v>1861</v>
      </c>
      <c r="T838" s="242" t="s">
        <v>1491</v>
      </c>
      <c r="U838" s="283" t="s">
        <v>1953</v>
      </c>
      <c r="V838" s="283" t="s">
        <v>2813</v>
      </c>
    </row>
    <row r="839" spans="1:22" s="283" customFormat="1" ht="15.75" thickBot="1" x14ac:dyDescent="0.3">
      <c r="A839" s="276" t="s">
        <v>4582</v>
      </c>
      <c r="B839" s="276" t="s">
        <v>4582</v>
      </c>
      <c r="C839" s="276" t="s">
        <v>4582</v>
      </c>
      <c r="D839" s="263" t="s">
        <v>629</v>
      </c>
      <c r="E839" s="266" t="s">
        <v>1853</v>
      </c>
      <c r="F839" s="388" t="s">
        <v>620</v>
      </c>
      <c r="G839" s="389">
        <v>2019</v>
      </c>
      <c r="H839" s="352" t="s">
        <v>733</v>
      </c>
      <c r="I839" s="310" t="str">
        <f t="shared" si="50"/>
        <v>Pesado de Passageiros M3: III : Gasóleo : E6</v>
      </c>
      <c r="J839" s="257">
        <v>19</v>
      </c>
      <c r="K839" s="257">
        <v>2022</v>
      </c>
      <c r="L839" s="242">
        <v>3503.5499999999997</v>
      </c>
      <c r="M839" s="242" t="s">
        <v>630</v>
      </c>
      <c r="N839" s="243">
        <v>23733</v>
      </c>
      <c r="O839" s="243">
        <f t="shared" si="51"/>
        <v>450927</v>
      </c>
      <c r="P839" s="257" t="s">
        <v>1440</v>
      </c>
      <c r="Q839" s="242" t="s">
        <v>47</v>
      </c>
      <c r="R839" s="283" t="s">
        <v>1869</v>
      </c>
      <c r="S839" s="283" t="s">
        <v>1861</v>
      </c>
      <c r="T839" s="242" t="s">
        <v>1491</v>
      </c>
      <c r="U839" s="283" t="s">
        <v>1953</v>
      </c>
      <c r="V839" s="283" t="s">
        <v>2813</v>
      </c>
    </row>
    <row r="840" spans="1:22" s="283" customFormat="1" ht="15.75" thickBot="1" x14ac:dyDescent="0.3">
      <c r="A840" s="276" t="s">
        <v>4582</v>
      </c>
      <c r="B840" s="276" t="s">
        <v>4582</v>
      </c>
      <c r="C840" s="276" t="s">
        <v>4582</v>
      </c>
      <c r="D840" s="263" t="s">
        <v>629</v>
      </c>
      <c r="E840" s="266" t="s">
        <v>1853</v>
      </c>
      <c r="F840" s="388" t="s">
        <v>620</v>
      </c>
      <c r="G840" s="389">
        <v>2019</v>
      </c>
      <c r="H840" s="352" t="s">
        <v>733</v>
      </c>
      <c r="I840" s="310" t="str">
        <f t="shared" si="50"/>
        <v>Pesado de Passageiros M3: III : Gasóleo : E6</v>
      </c>
      <c r="J840" s="257">
        <v>19</v>
      </c>
      <c r="K840" s="257">
        <v>2022</v>
      </c>
      <c r="L840" s="242">
        <v>2837.73</v>
      </c>
      <c r="M840" s="242" t="s">
        <v>630</v>
      </c>
      <c r="N840" s="243">
        <v>21133</v>
      </c>
      <c r="O840" s="243">
        <f t="shared" si="51"/>
        <v>401527</v>
      </c>
      <c r="P840" s="257" t="s">
        <v>1441</v>
      </c>
      <c r="Q840" s="242" t="s">
        <v>47</v>
      </c>
      <c r="R840" s="283" t="s">
        <v>1869</v>
      </c>
      <c r="S840" s="283" t="s">
        <v>1861</v>
      </c>
      <c r="T840" s="242" t="s">
        <v>1491</v>
      </c>
      <c r="U840" s="283" t="s">
        <v>1953</v>
      </c>
      <c r="V840" s="283" t="s">
        <v>2813</v>
      </c>
    </row>
    <row r="841" spans="1:22" s="283" customFormat="1" ht="15.75" thickBot="1" x14ac:dyDescent="0.3">
      <c r="A841" s="276" t="s">
        <v>4582</v>
      </c>
      <c r="B841" s="276" t="s">
        <v>4582</v>
      </c>
      <c r="C841" s="276" t="s">
        <v>4582</v>
      </c>
      <c r="D841" s="263" t="s">
        <v>629</v>
      </c>
      <c r="E841" s="266" t="s">
        <v>1853</v>
      </c>
      <c r="F841" s="388" t="s">
        <v>620</v>
      </c>
      <c r="G841" s="389">
        <v>2019</v>
      </c>
      <c r="H841" s="352" t="s">
        <v>733</v>
      </c>
      <c r="I841" s="310" t="str">
        <f t="shared" si="50"/>
        <v>Pesado de Passageiros M3: III : Gasóleo : E6</v>
      </c>
      <c r="J841" s="257">
        <v>53</v>
      </c>
      <c r="K841" s="257">
        <v>2022</v>
      </c>
      <c r="L841" s="242">
        <v>11244.230000000001</v>
      </c>
      <c r="M841" s="242" t="s">
        <v>630</v>
      </c>
      <c r="N841" s="243">
        <v>43739</v>
      </c>
      <c r="O841" s="243">
        <f t="shared" si="51"/>
        <v>2318167</v>
      </c>
      <c r="P841" s="257" t="s">
        <v>1442</v>
      </c>
      <c r="Q841" s="242" t="s">
        <v>47</v>
      </c>
      <c r="R841" s="283" t="s">
        <v>1869</v>
      </c>
      <c r="S841" s="283" t="s">
        <v>1861</v>
      </c>
      <c r="T841" s="242" t="s">
        <v>1491</v>
      </c>
      <c r="U841" s="283" t="s">
        <v>1953</v>
      </c>
      <c r="V841" s="283" t="s">
        <v>2813</v>
      </c>
    </row>
    <row r="842" spans="1:22" s="283" customFormat="1" ht="15.75" thickBot="1" x14ac:dyDescent="0.3">
      <c r="A842" s="276" t="s">
        <v>4582</v>
      </c>
      <c r="B842" s="276" t="s">
        <v>4582</v>
      </c>
      <c r="C842" s="276" t="s">
        <v>4582</v>
      </c>
      <c r="D842" s="263" t="s">
        <v>629</v>
      </c>
      <c r="E842" s="266" t="s">
        <v>1853</v>
      </c>
      <c r="F842" s="388" t="s">
        <v>620</v>
      </c>
      <c r="G842" s="389">
        <v>2019</v>
      </c>
      <c r="H842" s="352" t="s">
        <v>733</v>
      </c>
      <c r="I842" s="310" t="str">
        <f t="shared" si="50"/>
        <v>Pesado de Passageiros M3: III : Gasóleo : E6</v>
      </c>
      <c r="J842" s="257">
        <v>53</v>
      </c>
      <c r="K842" s="257">
        <v>2022</v>
      </c>
      <c r="L842" s="242">
        <v>12311.795000000002</v>
      </c>
      <c r="M842" s="242" t="s">
        <v>630</v>
      </c>
      <c r="N842" s="243">
        <v>48184</v>
      </c>
      <c r="O842" s="243">
        <f t="shared" si="51"/>
        <v>2553752</v>
      </c>
      <c r="P842" s="257" t="s">
        <v>1443</v>
      </c>
      <c r="Q842" s="242" t="s">
        <v>47</v>
      </c>
      <c r="R842" s="283" t="s">
        <v>1869</v>
      </c>
      <c r="S842" s="283" t="s">
        <v>1861</v>
      </c>
      <c r="T842" s="242" t="s">
        <v>1491</v>
      </c>
      <c r="U842" s="283" t="s">
        <v>1953</v>
      </c>
      <c r="V842" s="283" t="s">
        <v>2813</v>
      </c>
    </row>
    <row r="843" spans="1:22" s="283" customFormat="1" ht="15.75" thickBot="1" x14ac:dyDescent="0.3">
      <c r="A843" s="276" t="s">
        <v>4582</v>
      </c>
      <c r="B843" s="276" t="s">
        <v>4582</v>
      </c>
      <c r="C843" s="276" t="s">
        <v>4582</v>
      </c>
      <c r="D843" s="263" t="s">
        <v>629</v>
      </c>
      <c r="E843" s="266" t="s">
        <v>1853</v>
      </c>
      <c r="F843" s="388" t="s">
        <v>620</v>
      </c>
      <c r="G843" s="389">
        <v>2019</v>
      </c>
      <c r="H843" s="352" t="s">
        <v>733</v>
      </c>
      <c r="I843" s="310" t="str">
        <f t="shared" si="50"/>
        <v>Pesado de Passageiros M3: III : Gasóleo : E6</v>
      </c>
      <c r="J843" s="257">
        <v>53</v>
      </c>
      <c r="K843" s="257">
        <v>2022</v>
      </c>
      <c r="L843" s="242">
        <v>12666.49</v>
      </c>
      <c r="M843" s="242" t="s">
        <v>630</v>
      </c>
      <c r="N843" s="243">
        <v>51353</v>
      </c>
      <c r="O843" s="243">
        <f t="shared" si="51"/>
        <v>2721709</v>
      </c>
      <c r="P843" s="257" t="s">
        <v>1444</v>
      </c>
      <c r="Q843" s="242" t="s">
        <v>47</v>
      </c>
      <c r="R843" s="283" t="s">
        <v>1869</v>
      </c>
      <c r="S843" s="283" t="s">
        <v>1861</v>
      </c>
      <c r="T843" s="242" t="s">
        <v>1491</v>
      </c>
      <c r="U843" s="283" t="s">
        <v>1953</v>
      </c>
      <c r="V843" s="283" t="s">
        <v>2813</v>
      </c>
    </row>
    <row r="844" spans="1:22" s="283" customFormat="1" ht="15.75" thickBot="1" x14ac:dyDescent="0.3">
      <c r="A844" s="276" t="s">
        <v>4582</v>
      </c>
      <c r="B844" s="276" t="s">
        <v>4582</v>
      </c>
      <c r="C844" s="276" t="s">
        <v>4582</v>
      </c>
      <c r="D844" s="263" t="s">
        <v>629</v>
      </c>
      <c r="E844" s="266" t="s">
        <v>1853</v>
      </c>
      <c r="F844" s="388" t="s">
        <v>620</v>
      </c>
      <c r="G844" s="389">
        <v>2019</v>
      </c>
      <c r="H844" s="352" t="s">
        <v>733</v>
      </c>
      <c r="I844" s="310" t="str">
        <f t="shared" si="50"/>
        <v>Pesado de Passageiros M3: III : Gasóleo : E6</v>
      </c>
      <c r="J844" s="257">
        <v>53</v>
      </c>
      <c r="K844" s="257">
        <v>2022</v>
      </c>
      <c r="L844" s="242">
        <v>13616.699999999997</v>
      </c>
      <c r="M844" s="242" t="s">
        <v>630</v>
      </c>
      <c r="N844" s="243">
        <v>52946</v>
      </c>
      <c r="O844" s="243">
        <f t="shared" si="51"/>
        <v>2806138</v>
      </c>
      <c r="P844" s="257" t="s">
        <v>1445</v>
      </c>
      <c r="Q844" s="242" t="s">
        <v>47</v>
      </c>
      <c r="R844" s="283" t="s">
        <v>1869</v>
      </c>
      <c r="S844" s="283" t="s">
        <v>1861</v>
      </c>
      <c r="T844" s="242" t="s">
        <v>1491</v>
      </c>
      <c r="U844" s="283" t="s">
        <v>1953</v>
      </c>
      <c r="V844" s="283" t="s">
        <v>2813</v>
      </c>
    </row>
    <row r="845" spans="1:22" s="283" customFormat="1" ht="15.75" thickBot="1" x14ac:dyDescent="0.3">
      <c r="A845" s="276" t="s">
        <v>4582</v>
      </c>
      <c r="B845" s="276" t="s">
        <v>4582</v>
      </c>
      <c r="C845" s="276" t="s">
        <v>4582</v>
      </c>
      <c r="D845" s="263" t="s">
        <v>629</v>
      </c>
      <c r="E845" s="266" t="s">
        <v>1853</v>
      </c>
      <c r="F845" s="388" t="s">
        <v>620</v>
      </c>
      <c r="G845" s="389">
        <v>2019</v>
      </c>
      <c r="H845" s="352" t="s">
        <v>733</v>
      </c>
      <c r="I845" s="310" t="str">
        <f t="shared" si="50"/>
        <v>Pesado de Passageiros M3: III : Gasóleo : E6</v>
      </c>
      <c r="J845" s="257">
        <v>39</v>
      </c>
      <c r="K845" s="257">
        <v>2022</v>
      </c>
      <c r="L845" s="242">
        <v>8903.8000000000011</v>
      </c>
      <c r="M845" s="242" t="s">
        <v>630</v>
      </c>
      <c r="N845" s="243">
        <v>30965</v>
      </c>
      <c r="O845" s="243">
        <f t="shared" si="51"/>
        <v>1207635</v>
      </c>
      <c r="P845" s="257" t="s">
        <v>1446</v>
      </c>
      <c r="Q845" s="242" t="s">
        <v>47</v>
      </c>
      <c r="R845" s="283" t="s">
        <v>1869</v>
      </c>
      <c r="S845" s="283" t="s">
        <v>1861</v>
      </c>
      <c r="T845" s="242" t="s">
        <v>1491</v>
      </c>
      <c r="U845" s="283" t="s">
        <v>1953</v>
      </c>
      <c r="V845" s="283" t="s">
        <v>2813</v>
      </c>
    </row>
    <row r="846" spans="1:22" s="283" customFormat="1" ht="15.75" thickBot="1" x14ac:dyDescent="0.3">
      <c r="A846" s="276" t="s">
        <v>4582</v>
      </c>
      <c r="B846" s="276" t="s">
        <v>4582</v>
      </c>
      <c r="C846" s="276" t="s">
        <v>4582</v>
      </c>
      <c r="D846" s="263" t="s">
        <v>629</v>
      </c>
      <c r="E846" s="266" t="s">
        <v>1853</v>
      </c>
      <c r="F846" s="388" t="s">
        <v>620</v>
      </c>
      <c r="G846" s="389">
        <v>2019</v>
      </c>
      <c r="H846" s="352" t="s">
        <v>733</v>
      </c>
      <c r="I846" s="310" t="str">
        <f t="shared" si="50"/>
        <v>Pesado de Passageiros M3: III : Gasóleo : E6</v>
      </c>
      <c r="J846" s="257">
        <v>39</v>
      </c>
      <c r="K846" s="257">
        <v>2022</v>
      </c>
      <c r="L846" s="242">
        <v>10223.376</v>
      </c>
      <c r="M846" s="242" t="s">
        <v>630</v>
      </c>
      <c r="N846" s="243">
        <v>36034</v>
      </c>
      <c r="O846" s="243">
        <f t="shared" si="51"/>
        <v>1405326</v>
      </c>
      <c r="P846" s="257" t="s">
        <v>1447</v>
      </c>
      <c r="Q846" s="242" t="s">
        <v>47</v>
      </c>
      <c r="R846" s="283" t="s">
        <v>1869</v>
      </c>
      <c r="S846" s="283" t="s">
        <v>1861</v>
      </c>
      <c r="T846" s="242" t="s">
        <v>1491</v>
      </c>
      <c r="U846" s="283" t="s">
        <v>1953</v>
      </c>
      <c r="V846" s="283" t="s">
        <v>2813</v>
      </c>
    </row>
    <row r="847" spans="1:22" s="283" customFormat="1" ht="15.75" thickBot="1" x14ac:dyDescent="0.3">
      <c r="A847" s="276" t="s">
        <v>4582</v>
      </c>
      <c r="B847" s="276" t="s">
        <v>4582</v>
      </c>
      <c r="C847" s="276" t="s">
        <v>4582</v>
      </c>
      <c r="D847" s="263" t="s">
        <v>629</v>
      </c>
      <c r="E847" s="266" t="s">
        <v>1853</v>
      </c>
      <c r="F847" s="388" t="s">
        <v>620</v>
      </c>
      <c r="G847" s="389">
        <v>2020</v>
      </c>
      <c r="H847" s="352" t="s">
        <v>733</v>
      </c>
      <c r="I847" s="310" t="str">
        <f t="shared" si="50"/>
        <v>Pesado de Passageiros M3: III : Gasóleo : E6</v>
      </c>
      <c r="J847" s="257">
        <v>53</v>
      </c>
      <c r="K847" s="257">
        <v>2022</v>
      </c>
      <c r="L847" s="242">
        <v>10571.279999999999</v>
      </c>
      <c r="M847" s="242" t="s">
        <v>630</v>
      </c>
      <c r="N847" s="243">
        <v>38707</v>
      </c>
      <c r="O847" s="243">
        <f t="shared" si="51"/>
        <v>2051471</v>
      </c>
      <c r="P847" s="257" t="s">
        <v>1448</v>
      </c>
      <c r="Q847" s="242" t="s">
        <v>47</v>
      </c>
      <c r="R847" s="283" t="s">
        <v>1869</v>
      </c>
      <c r="S847" s="283" t="s">
        <v>1861</v>
      </c>
      <c r="T847" s="242" t="s">
        <v>1491</v>
      </c>
      <c r="U847" s="283" t="s">
        <v>1953</v>
      </c>
      <c r="V847" s="283" t="s">
        <v>2813</v>
      </c>
    </row>
    <row r="848" spans="1:22" s="283" customFormat="1" ht="15.75" thickBot="1" x14ac:dyDescent="0.3">
      <c r="A848" s="276" t="s">
        <v>4581</v>
      </c>
      <c r="B848" s="276" t="s">
        <v>4581</v>
      </c>
      <c r="C848" s="276" t="s">
        <v>4581</v>
      </c>
      <c r="D848" s="263" t="s">
        <v>629</v>
      </c>
      <c r="E848" s="266" t="s">
        <v>1951</v>
      </c>
      <c r="F848" s="388" t="s">
        <v>620</v>
      </c>
      <c r="G848" s="389">
        <v>2005</v>
      </c>
      <c r="H848" s="352" t="s">
        <v>732</v>
      </c>
      <c r="I848" s="310" t="str">
        <f t="shared" si="50"/>
        <v>Pesado de Passageiros M3: I : Gasóleo : E3</v>
      </c>
      <c r="J848" s="257">
        <v>21</v>
      </c>
      <c r="K848" s="257">
        <v>2022</v>
      </c>
      <c r="L848" s="242">
        <v>279.16999999999996</v>
      </c>
      <c r="M848" s="242" t="s">
        <v>630</v>
      </c>
      <c r="N848" s="243">
        <v>1480</v>
      </c>
      <c r="O848" s="243">
        <f t="shared" si="51"/>
        <v>31080</v>
      </c>
      <c r="P848" s="257" t="s">
        <v>1449</v>
      </c>
      <c r="Q848" s="242" t="s">
        <v>47</v>
      </c>
      <c r="R848" s="283" t="s">
        <v>1869</v>
      </c>
      <c r="S848" s="283" t="s">
        <v>1861</v>
      </c>
      <c r="T848" s="242" t="s">
        <v>1491</v>
      </c>
      <c r="U848" s="283" t="s">
        <v>1953</v>
      </c>
      <c r="V848" s="283" t="s">
        <v>2813</v>
      </c>
    </row>
    <row r="849" spans="1:22" s="283" customFormat="1" ht="15.75" thickBot="1" x14ac:dyDescent="0.3">
      <c r="A849" s="276" t="s">
        <v>4581</v>
      </c>
      <c r="B849" s="276" t="s">
        <v>4581</v>
      </c>
      <c r="C849" s="276" t="s">
        <v>4581</v>
      </c>
      <c r="D849" s="263" t="s">
        <v>629</v>
      </c>
      <c r="E849" s="266" t="s">
        <v>1951</v>
      </c>
      <c r="F849" s="388" t="s">
        <v>620</v>
      </c>
      <c r="G849" s="389">
        <v>2006</v>
      </c>
      <c r="H849" s="352" t="s">
        <v>731</v>
      </c>
      <c r="I849" s="310" t="str">
        <f t="shared" si="50"/>
        <v>Pesado de Passageiros M3: I : Gasóleo : E4</v>
      </c>
      <c r="J849" s="257">
        <v>19</v>
      </c>
      <c r="K849" s="257">
        <v>2022</v>
      </c>
      <c r="L849" s="242">
        <v>2315.7400000000002</v>
      </c>
      <c r="M849" s="242" t="s">
        <v>630</v>
      </c>
      <c r="N849" s="243">
        <v>13424</v>
      </c>
      <c r="O849" s="243">
        <f t="shared" si="51"/>
        <v>255056</v>
      </c>
      <c r="P849" s="257" t="s">
        <v>1450</v>
      </c>
      <c r="Q849" s="242" t="s">
        <v>47</v>
      </c>
      <c r="R849" s="283" t="s">
        <v>1869</v>
      </c>
      <c r="S849" s="283" t="s">
        <v>1861</v>
      </c>
      <c r="T849" s="242" t="s">
        <v>1491</v>
      </c>
      <c r="U849" s="283" t="s">
        <v>1953</v>
      </c>
      <c r="V849" s="283" t="s">
        <v>2813</v>
      </c>
    </row>
    <row r="850" spans="1:22" s="283" customFormat="1" ht="15.75" thickBot="1" x14ac:dyDescent="0.3">
      <c r="A850" s="276" t="s">
        <v>4581</v>
      </c>
      <c r="B850" s="276" t="s">
        <v>4581</v>
      </c>
      <c r="C850" s="276" t="s">
        <v>4581</v>
      </c>
      <c r="D850" s="263" t="s">
        <v>629</v>
      </c>
      <c r="E850" s="266" t="s">
        <v>1951</v>
      </c>
      <c r="F850" s="388" t="s">
        <v>620</v>
      </c>
      <c r="G850" s="389">
        <v>2007</v>
      </c>
      <c r="H850" s="352" t="s">
        <v>731</v>
      </c>
      <c r="I850" s="310" t="str">
        <f t="shared" si="50"/>
        <v>Pesado de Passageiros M3: I : Gasóleo : E4</v>
      </c>
      <c r="J850" s="257">
        <v>55</v>
      </c>
      <c r="K850" s="257">
        <v>2022</v>
      </c>
      <c r="L850" s="242">
        <v>14595.17</v>
      </c>
      <c r="M850" s="242" t="s">
        <v>630</v>
      </c>
      <c r="N850" s="243">
        <v>40997</v>
      </c>
      <c r="O850" s="243">
        <f t="shared" si="51"/>
        <v>2254835</v>
      </c>
      <c r="P850" s="257" t="s">
        <v>1451</v>
      </c>
      <c r="Q850" s="242" t="s">
        <v>47</v>
      </c>
      <c r="R850" s="283" t="s">
        <v>1869</v>
      </c>
      <c r="S850" s="283" t="s">
        <v>1861</v>
      </c>
      <c r="T850" s="242" t="s">
        <v>1491</v>
      </c>
      <c r="U850" s="283" t="s">
        <v>1953</v>
      </c>
      <c r="V850" s="283" t="s">
        <v>2813</v>
      </c>
    </row>
    <row r="851" spans="1:22" s="283" customFormat="1" ht="15.75" thickBot="1" x14ac:dyDescent="0.3">
      <c r="A851" s="276" t="s">
        <v>4581</v>
      </c>
      <c r="B851" s="276" t="s">
        <v>4581</v>
      </c>
      <c r="C851" s="276" t="s">
        <v>4581</v>
      </c>
      <c r="D851" s="263" t="s">
        <v>629</v>
      </c>
      <c r="E851" s="266" t="s">
        <v>1951</v>
      </c>
      <c r="F851" s="388" t="s">
        <v>620</v>
      </c>
      <c r="G851" s="389">
        <v>2008</v>
      </c>
      <c r="H851" s="352" t="s">
        <v>731</v>
      </c>
      <c r="I851" s="310" t="str">
        <f t="shared" si="50"/>
        <v>Pesado de Passageiros M3: I : Gasóleo : E4</v>
      </c>
      <c r="J851" s="257">
        <v>34</v>
      </c>
      <c r="K851" s="257">
        <v>2022</v>
      </c>
      <c r="L851" s="242">
        <v>11122.499999999998</v>
      </c>
      <c r="M851" s="242" t="s">
        <v>630</v>
      </c>
      <c r="N851" s="243">
        <v>31866</v>
      </c>
      <c r="O851" s="243">
        <f t="shared" si="51"/>
        <v>1083444</v>
      </c>
      <c r="P851" s="257" t="s">
        <v>1452</v>
      </c>
      <c r="Q851" s="242" t="s">
        <v>47</v>
      </c>
      <c r="R851" s="283" t="s">
        <v>1869</v>
      </c>
      <c r="S851" s="283" t="s">
        <v>1861</v>
      </c>
      <c r="T851" s="242" t="s">
        <v>1491</v>
      </c>
      <c r="U851" s="283" t="s">
        <v>1953</v>
      </c>
      <c r="V851" s="283" t="s">
        <v>2813</v>
      </c>
    </row>
    <row r="852" spans="1:22" s="283" customFormat="1" ht="15.75" thickBot="1" x14ac:dyDescent="0.3">
      <c r="A852" s="276" t="s">
        <v>4581</v>
      </c>
      <c r="B852" s="276" t="s">
        <v>4581</v>
      </c>
      <c r="C852" s="276" t="s">
        <v>4581</v>
      </c>
      <c r="D852" s="263" t="s">
        <v>629</v>
      </c>
      <c r="E852" s="266" t="s">
        <v>1951</v>
      </c>
      <c r="F852" s="388" t="s">
        <v>620</v>
      </c>
      <c r="G852" s="389">
        <v>2008</v>
      </c>
      <c r="H852" s="352" t="s">
        <v>731</v>
      </c>
      <c r="I852" s="310" t="str">
        <f t="shared" si="50"/>
        <v>Pesado de Passageiros M3: I : Gasóleo : E4</v>
      </c>
      <c r="J852" s="257">
        <v>34</v>
      </c>
      <c r="K852" s="257">
        <v>2022</v>
      </c>
      <c r="L852" s="242">
        <v>13420.04</v>
      </c>
      <c r="M852" s="242" t="s">
        <v>630</v>
      </c>
      <c r="N852" s="243">
        <v>38922</v>
      </c>
      <c r="O852" s="243">
        <f t="shared" si="51"/>
        <v>1323348</v>
      </c>
      <c r="P852" s="257" t="s">
        <v>1453</v>
      </c>
      <c r="Q852" s="242" t="s">
        <v>47</v>
      </c>
      <c r="R852" s="283" t="s">
        <v>1869</v>
      </c>
      <c r="S852" s="283" t="s">
        <v>1861</v>
      </c>
      <c r="T852" s="242" t="s">
        <v>1491</v>
      </c>
      <c r="U852" s="283" t="s">
        <v>1953</v>
      </c>
      <c r="V852" s="283" t="s">
        <v>2813</v>
      </c>
    </row>
    <row r="853" spans="1:22" s="283" customFormat="1" ht="15.75" thickBot="1" x14ac:dyDescent="0.3">
      <c r="A853" s="276" t="s">
        <v>4581</v>
      </c>
      <c r="B853" s="276" t="s">
        <v>4581</v>
      </c>
      <c r="C853" s="276" t="s">
        <v>4581</v>
      </c>
      <c r="D853" s="263" t="s">
        <v>629</v>
      </c>
      <c r="E853" s="266" t="s">
        <v>1951</v>
      </c>
      <c r="F853" s="388" t="s">
        <v>620</v>
      </c>
      <c r="G853" s="389">
        <v>2008</v>
      </c>
      <c r="H853" s="352" t="s">
        <v>731</v>
      </c>
      <c r="I853" s="310" t="str">
        <f t="shared" si="50"/>
        <v>Pesado de Passageiros M3: I : Gasóleo : E4</v>
      </c>
      <c r="J853" s="257">
        <v>72</v>
      </c>
      <c r="K853" s="257">
        <v>2022</v>
      </c>
      <c r="L853" s="242">
        <v>1422.17</v>
      </c>
      <c r="M853" s="242" t="s">
        <v>630</v>
      </c>
      <c r="N853" s="243">
        <v>3316</v>
      </c>
      <c r="O853" s="243">
        <f t="shared" si="51"/>
        <v>238752</v>
      </c>
      <c r="P853" s="257" t="s">
        <v>1454</v>
      </c>
      <c r="Q853" s="242" t="s">
        <v>47</v>
      </c>
      <c r="R853" s="283" t="s">
        <v>1869</v>
      </c>
      <c r="S853" s="283" t="s">
        <v>1861</v>
      </c>
      <c r="T853" s="242" t="s">
        <v>1491</v>
      </c>
      <c r="U853" s="283" t="s">
        <v>1953</v>
      </c>
      <c r="V853" s="283" t="s">
        <v>2813</v>
      </c>
    </row>
    <row r="854" spans="1:22" s="283" customFormat="1" ht="15.75" thickBot="1" x14ac:dyDescent="0.3">
      <c r="A854" s="276" t="s">
        <v>4581</v>
      </c>
      <c r="B854" s="276" t="s">
        <v>4581</v>
      </c>
      <c r="C854" s="276" t="s">
        <v>4581</v>
      </c>
      <c r="D854" s="263" t="s">
        <v>629</v>
      </c>
      <c r="E854" s="266" t="s">
        <v>1951</v>
      </c>
      <c r="F854" s="388" t="s">
        <v>620</v>
      </c>
      <c r="G854" s="389">
        <v>2009</v>
      </c>
      <c r="H854" s="352" t="s">
        <v>734</v>
      </c>
      <c r="I854" s="310" t="str">
        <f t="shared" si="50"/>
        <v>Pesado de Passageiros M3: I : Gasóleo : E5</v>
      </c>
      <c r="J854" s="257">
        <v>34</v>
      </c>
      <c r="K854" s="257">
        <v>2022</v>
      </c>
      <c r="L854" s="242">
        <v>1130.6500000000001</v>
      </c>
      <c r="M854" s="242" t="s">
        <v>630</v>
      </c>
      <c r="N854" s="243">
        <v>3497</v>
      </c>
      <c r="O854" s="243">
        <f t="shared" si="51"/>
        <v>118898</v>
      </c>
      <c r="P854" s="257" t="s">
        <v>1455</v>
      </c>
      <c r="Q854" s="242" t="s">
        <v>47</v>
      </c>
      <c r="R854" s="283" t="s">
        <v>1869</v>
      </c>
      <c r="S854" s="283" t="s">
        <v>1861</v>
      </c>
      <c r="T854" s="242" t="s">
        <v>1491</v>
      </c>
      <c r="U854" s="283" t="s">
        <v>1953</v>
      </c>
      <c r="V854" s="283" t="s">
        <v>2813</v>
      </c>
    </row>
    <row r="855" spans="1:22" s="283" customFormat="1" ht="15.75" thickBot="1" x14ac:dyDescent="0.3">
      <c r="A855" s="276" t="s">
        <v>4581</v>
      </c>
      <c r="B855" s="276" t="s">
        <v>4581</v>
      </c>
      <c r="C855" s="276" t="s">
        <v>4581</v>
      </c>
      <c r="D855" s="263" t="s">
        <v>629</v>
      </c>
      <c r="E855" s="266" t="s">
        <v>1951</v>
      </c>
      <c r="F855" s="388" t="s">
        <v>620</v>
      </c>
      <c r="G855" s="389">
        <v>2010</v>
      </c>
      <c r="H855" s="352" t="s">
        <v>734</v>
      </c>
      <c r="I855" s="310" t="str">
        <f t="shared" si="50"/>
        <v>Pesado de Passageiros M3: I : Gasóleo : E5</v>
      </c>
      <c r="J855" s="257">
        <v>72</v>
      </c>
      <c r="K855" s="257">
        <v>2022</v>
      </c>
      <c r="L855" s="242">
        <v>6844.5300000000007</v>
      </c>
      <c r="M855" s="242" t="s">
        <v>630</v>
      </c>
      <c r="N855" s="243">
        <v>18484</v>
      </c>
      <c r="O855" s="243">
        <f t="shared" si="51"/>
        <v>1330848</v>
      </c>
      <c r="P855" s="257" t="s">
        <v>1456</v>
      </c>
      <c r="Q855" s="242" t="s">
        <v>47</v>
      </c>
      <c r="R855" s="283" t="s">
        <v>1869</v>
      </c>
      <c r="S855" s="283" t="s">
        <v>1861</v>
      </c>
      <c r="T855" s="242" t="s">
        <v>1491</v>
      </c>
      <c r="U855" s="283" t="s">
        <v>1953</v>
      </c>
      <c r="V855" s="283" t="s">
        <v>2813</v>
      </c>
    </row>
    <row r="856" spans="1:22" s="283" customFormat="1" ht="15.75" thickBot="1" x14ac:dyDescent="0.3">
      <c r="A856" s="276" t="s">
        <v>4581</v>
      </c>
      <c r="B856" s="276" t="s">
        <v>4581</v>
      </c>
      <c r="C856" s="276" t="s">
        <v>4581</v>
      </c>
      <c r="D856" s="263" t="s">
        <v>629</v>
      </c>
      <c r="E856" s="266" t="s">
        <v>1951</v>
      </c>
      <c r="F856" s="388" t="s">
        <v>620</v>
      </c>
      <c r="G856" s="389">
        <v>2010</v>
      </c>
      <c r="H856" s="352" t="s">
        <v>734</v>
      </c>
      <c r="I856" s="310" t="str">
        <f t="shared" si="50"/>
        <v>Pesado de Passageiros M3: I : Gasóleo : E5</v>
      </c>
      <c r="J856" s="257">
        <v>72</v>
      </c>
      <c r="K856" s="257">
        <v>2022</v>
      </c>
      <c r="L856" s="242">
        <v>7057.6600000000008</v>
      </c>
      <c r="M856" s="242" t="s">
        <v>630</v>
      </c>
      <c r="N856" s="243">
        <v>19088</v>
      </c>
      <c r="O856" s="243">
        <f t="shared" si="51"/>
        <v>1374336</v>
      </c>
      <c r="P856" s="257" t="s">
        <v>1457</v>
      </c>
      <c r="Q856" s="242" t="s">
        <v>47</v>
      </c>
      <c r="R856" s="283" t="s">
        <v>1869</v>
      </c>
      <c r="S856" s="283" t="s">
        <v>1861</v>
      </c>
      <c r="T856" s="242" t="s">
        <v>1491</v>
      </c>
      <c r="U856" s="283" t="s">
        <v>1953</v>
      </c>
      <c r="V856" s="283" t="s">
        <v>2813</v>
      </c>
    </row>
    <row r="857" spans="1:22" s="283" customFormat="1" ht="15.75" thickBot="1" x14ac:dyDescent="0.3">
      <c r="A857" s="276" t="s">
        <v>4581</v>
      </c>
      <c r="B857" s="276" t="s">
        <v>4581</v>
      </c>
      <c r="C857" s="276" t="s">
        <v>4581</v>
      </c>
      <c r="D857" s="263" t="s">
        <v>629</v>
      </c>
      <c r="E857" s="266" t="s">
        <v>1951</v>
      </c>
      <c r="F857" s="388" t="s">
        <v>620</v>
      </c>
      <c r="G857" s="389">
        <v>2010</v>
      </c>
      <c r="H857" s="352" t="s">
        <v>734</v>
      </c>
      <c r="I857" s="310" t="str">
        <f t="shared" si="50"/>
        <v>Pesado de Passageiros M3: I : Gasóleo : E5</v>
      </c>
      <c r="J857" s="257">
        <v>72</v>
      </c>
      <c r="K857" s="257">
        <v>2022</v>
      </c>
      <c r="L857" s="242">
        <v>5769.0599999999995</v>
      </c>
      <c r="M857" s="242" t="s">
        <v>630</v>
      </c>
      <c r="N857" s="243">
        <v>15995</v>
      </c>
      <c r="O857" s="243">
        <f t="shared" si="51"/>
        <v>1151640</v>
      </c>
      <c r="P857" s="257" t="s">
        <v>1458</v>
      </c>
      <c r="Q857" s="242" t="s">
        <v>47</v>
      </c>
      <c r="R857" s="283" t="s">
        <v>1869</v>
      </c>
      <c r="S857" s="283" t="s">
        <v>1861</v>
      </c>
      <c r="T857" s="242" t="s">
        <v>1491</v>
      </c>
      <c r="U857" s="283" t="s">
        <v>1953</v>
      </c>
      <c r="V857" s="283" t="s">
        <v>2813</v>
      </c>
    </row>
    <row r="858" spans="1:22" s="283" customFormat="1" ht="15.75" thickBot="1" x14ac:dyDescent="0.3">
      <c r="A858" s="276" t="s">
        <v>4581</v>
      </c>
      <c r="B858" s="276" t="s">
        <v>4581</v>
      </c>
      <c r="C858" s="276" t="s">
        <v>4581</v>
      </c>
      <c r="D858" s="263" t="s">
        <v>629</v>
      </c>
      <c r="E858" s="266" t="s">
        <v>1951</v>
      </c>
      <c r="F858" s="388" t="s">
        <v>620</v>
      </c>
      <c r="G858" s="389">
        <v>2010</v>
      </c>
      <c r="H858" s="352" t="s">
        <v>734</v>
      </c>
      <c r="I858" s="310" t="str">
        <f t="shared" si="50"/>
        <v>Pesado de Passageiros M3: I : Gasóleo : E5</v>
      </c>
      <c r="J858" s="257">
        <v>72</v>
      </c>
      <c r="K858" s="257">
        <v>2022</v>
      </c>
      <c r="L858" s="242">
        <v>2778.95</v>
      </c>
      <c r="M858" s="242" t="s">
        <v>630</v>
      </c>
      <c r="N858" s="243">
        <v>6286</v>
      </c>
      <c r="O858" s="243">
        <f t="shared" si="51"/>
        <v>452592</v>
      </c>
      <c r="P858" s="257" t="s">
        <v>1459</v>
      </c>
      <c r="Q858" s="242" t="s">
        <v>47</v>
      </c>
      <c r="R858" s="283" t="s">
        <v>1869</v>
      </c>
      <c r="S858" s="283" t="s">
        <v>1861</v>
      </c>
      <c r="T858" s="242" t="s">
        <v>1491</v>
      </c>
      <c r="U858" s="283" t="s">
        <v>1953</v>
      </c>
      <c r="V858" s="283" t="s">
        <v>2813</v>
      </c>
    </row>
    <row r="859" spans="1:22" s="283" customFormat="1" ht="15.75" thickBot="1" x14ac:dyDescent="0.3">
      <c r="A859" s="276" t="s">
        <v>4581</v>
      </c>
      <c r="B859" s="276" t="s">
        <v>4581</v>
      </c>
      <c r="C859" s="276" t="s">
        <v>4581</v>
      </c>
      <c r="D859" s="263" t="s">
        <v>629</v>
      </c>
      <c r="E859" s="266" t="s">
        <v>1951</v>
      </c>
      <c r="F859" s="388" t="s">
        <v>620</v>
      </c>
      <c r="G859" s="389">
        <v>2011</v>
      </c>
      <c r="H859" s="352" t="s">
        <v>734</v>
      </c>
      <c r="I859" s="310" t="str">
        <f t="shared" si="50"/>
        <v>Pesado de Passageiros M3: I : Gasóleo : E5</v>
      </c>
      <c r="J859" s="257">
        <v>22</v>
      </c>
      <c r="K859" s="257">
        <v>2022</v>
      </c>
      <c r="L859" s="242">
        <v>1157.6500000000001</v>
      </c>
      <c r="M859" s="242" t="s">
        <v>630</v>
      </c>
      <c r="N859" s="243">
        <v>6630</v>
      </c>
      <c r="O859" s="243">
        <f t="shared" si="51"/>
        <v>145860</v>
      </c>
      <c r="P859" s="257" t="s">
        <v>1460</v>
      </c>
      <c r="Q859" s="242" t="s">
        <v>47</v>
      </c>
      <c r="R859" s="283" t="s">
        <v>1869</v>
      </c>
      <c r="S859" s="283" t="s">
        <v>1861</v>
      </c>
      <c r="T859" s="242" t="s">
        <v>1491</v>
      </c>
      <c r="U859" s="283" t="s">
        <v>1953</v>
      </c>
      <c r="V859" s="283" t="s">
        <v>2813</v>
      </c>
    </row>
    <row r="860" spans="1:22" s="283" customFormat="1" ht="15.75" thickBot="1" x14ac:dyDescent="0.3">
      <c r="A860" s="276" t="s">
        <v>4581</v>
      </c>
      <c r="B860" s="276" t="s">
        <v>4581</v>
      </c>
      <c r="C860" s="276" t="s">
        <v>4581</v>
      </c>
      <c r="D860" s="263" t="s">
        <v>629</v>
      </c>
      <c r="E860" s="266" t="s">
        <v>1951</v>
      </c>
      <c r="F860" s="388" t="s">
        <v>620</v>
      </c>
      <c r="G860" s="389">
        <v>2012</v>
      </c>
      <c r="H860" s="352" t="s">
        <v>734</v>
      </c>
      <c r="I860" s="310" t="str">
        <f t="shared" si="50"/>
        <v>Pesado de Passageiros M3: I : Gasóleo : E5</v>
      </c>
      <c r="J860" s="257">
        <v>72</v>
      </c>
      <c r="K860" s="257">
        <v>2022</v>
      </c>
      <c r="L860" s="242">
        <v>4410.6900000000005</v>
      </c>
      <c r="M860" s="242" t="s">
        <v>630</v>
      </c>
      <c r="N860" s="243">
        <v>12539</v>
      </c>
      <c r="O860" s="243">
        <f t="shared" si="51"/>
        <v>902808</v>
      </c>
      <c r="P860" s="257" t="s">
        <v>1461</v>
      </c>
      <c r="Q860" s="242" t="s">
        <v>47</v>
      </c>
      <c r="R860" s="283" t="s">
        <v>1869</v>
      </c>
      <c r="S860" s="283" t="s">
        <v>1861</v>
      </c>
      <c r="T860" s="242" t="s">
        <v>1491</v>
      </c>
      <c r="U860" s="283" t="s">
        <v>1953</v>
      </c>
      <c r="V860" s="283" t="s">
        <v>2813</v>
      </c>
    </row>
    <row r="861" spans="1:22" s="283" customFormat="1" ht="15.75" thickBot="1" x14ac:dyDescent="0.3">
      <c r="A861" s="276" t="s">
        <v>4581</v>
      </c>
      <c r="B861" s="276" t="s">
        <v>4581</v>
      </c>
      <c r="C861" s="276" t="s">
        <v>4581</v>
      </c>
      <c r="D861" s="263" t="s">
        <v>629</v>
      </c>
      <c r="E861" s="266" t="s">
        <v>1951</v>
      </c>
      <c r="F861" s="388" t="s">
        <v>620</v>
      </c>
      <c r="G861" s="389">
        <v>2012</v>
      </c>
      <c r="H861" s="352" t="s">
        <v>734</v>
      </c>
      <c r="I861" s="310" t="str">
        <f t="shared" si="50"/>
        <v>Pesado de Passageiros M3: I : Gasóleo : E5</v>
      </c>
      <c r="J861" s="257">
        <v>72</v>
      </c>
      <c r="K861" s="257">
        <v>2022</v>
      </c>
      <c r="L861" s="242">
        <v>5006.46</v>
      </c>
      <c r="M861" s="242" t="s">
        <v>630</v>
      </c>
      <c r="N861" s="243">
        <v>14427</v>
      </c>
      <c r="O861" s="243">
        <f t="shared" si="51"/>
        <v>1038744</v>
      </c>
      <c r="P861" s="257" t="s">
        <v>1462</v>
      </c>
      <c r="Q861" s="242" t="s">
        <v>47</v>
      </c>
      <c r="R861" s="283" t="s">
        <v>1869</v>
      </c>
      <c r="S861" s="283" t="s">
        <v>1861</v>
      </c>
      <c r="T861" s="242" t="s">
        <v>1491</v>
      </c>
      <c r="U861" s="283" t="s">
        <v>1953</v>
      </c>
      <c r="V861" s="283" t="s">
        <v>2813</v>
      </c>
    </row>
    <row r="862" spans="1:22" s="283" customFormat="1" ht="15.75" thickBot="1" x14ac:dyDescent="0.3">
      <c r="A862" s="276" t="s">
        <v>4581</v>
      </c>
      <c r="B862" s="276" t="s">
        <v>4581</v>
      </c>
      <c r="C862" s="276" t="s">
        <v>4581</v>
      </c>
      <c r="D862" s="263" t="s">
        <v>629</v>
      </c>
      <c r="E862" s="266" t="s">
        <v>1951</v>
      </c>
      <c r="F862" s="388" t="s">
        <v>620</v>
      </c>
      <c r="G862" s="389">
        <v>2014</v>
      </c>
      <c r="H862" s="352" t="s">
        <v>733</v>
      </c>
      <c r="I862" s="310" t="str">
        <f t="shared" si="50"/>
        <v>Pesado de Passageiros M3: I : Gasóleo : E6</v>
      </c>
      <c r="J862" s="257">
        <v>16</v>
      </c>
      <c r="K862" s="257">
        <v>2022</v>
      </c>
      <c r="L862" s="242">
        <v>4038.5</v>
      </c>
      <c r="M862" s="242" t="s">
        <v>630</v>
      </c>
      <c r="N862" s="243">
        <v>24546</v>
      </c>
      <c r="O862" s="243">
        <f t="shared" si="51"/>
        <v>392736</v>
      </c>
      <c r="P862" s="257" t="s">
        <v>1463</v>
      </c>
      <c r="Q862" s="242" t="s">
        <v>47</v>
      </c>
      <c r="R862" s="283" t="s">
        <v>1869</v>
      </c>
      <c r="S862" s="283" t="s">
        <v>1861</v>
      </c>
      <c r="T862" s="242" t="s">
        <v>1491</v>
      </c>
      <c r="U862" s="283" t="s">
        <v>1953</v>
      </c>
      <c r="V862" s="283" t="s">
        <v>2813</v>
      </c>
    </row>
    <row r="863" spans="1:22" s="283" customFormat="1" ht="15.75" thickBot="1" x14ac:dyDescent="0.3">
      <c r="A863" s="276" t="s">
        <v>4581</v>
      </c>
      <c r="B863" s="276" t="s">
        <v>4581</v>
      </c>
      <c r="C863" s="276" t="s">
        <v>4581</v>
      </c>
      <c r="D863" s="263" t="s">
        <v>629</v>
      </c>
      <c r="E863" s="266" t="s">
        <v>1951</v>
      </c>
      <c r="F863" s="388" t="s">
        <v>620</v>
      </c>
      <c r="G863" s="389">
        <v>2014</v>
      </c>
      <c r="H863" s="352" t="s">
        <v>733</v>
      </c>
      <c r="I863" s="310" t="str">
        <f t="shared" si="50"/>
        <v>Pesado de Passageiros M3: I : Gasóleo : E6</v>
      </c>
      <c r="J863" s="257">
        <v>16</v>
      </c>
      <c r="K863" s="257">
        <v>2022</v>
      </c>
      <c r="L863" s="242">
        <v>3807.1</v>
      </c>
      <c r="M863" s="242" t="s">
        <v>630</v>
      </c>
      <c r="N863" s="243">
        <v>24629</v>
      </c>
      <c r="O863" s="243">
        <f t="shared" si="51"/>
        <v>394064</v>
      </c>
      <c r="P863" s="257" t="s">
        <v>1464</v>
      </c>
      <c r="Q863" s="242" t="s">
        <v>47</v>
      </c>
      <c r="R863" s="283" t="s">
        <v>1869</v>
      </c>
      <c r="S863" s="283" t="s">
        <v>1861</v>
      </c>
      <c r="T863" s="242" t="s">
        <v>1491</v>
      </c>
      <c r="U863" s="283" t="s">
        <v>1953</v>
      </c>
      <c r="V863" s="283" t="s">
        <v>2813</v>
      </c>
    </row>
    <row r="864" spans="1:22" s="283" customFormat="1" ht="15.75" thickBot="1" x14ac:dyDescent="0.3">
      <c r="A864" s="276" t="s">
        <v>4581</v>
      </c>
      <c r="B864" s="276" t="s">
        <v>4581</v>
      </c>
      <c r="C864" s="276" t="s">
        <v>4581</v>
      </c>
      <c r="D864" s="263" t="s">
        <v>629</v>
      </c>
      <c r="E864" s="266" t="s">
        <v>1951</v>
      </c>
      <c r="F864" s="388" t="s">
        <v>620</v>
      </c>
      <c r="G864" s="389">
        <v>2014</v>
      </c>
      <c r="H864" s="352" t="s">
        <v>733</v>
      </c>
      <c r="I864" s="310" t="str">
        <f t="shared" si="50"/>
        <v>Pesado de Passageiros M3: I : Gasóleo : E6</v>
      </c>
      <c r="J864" s="257">
        <v>73</v>
      </c>
      <c r="K864" s="257">
        <v>2022</v>
      </c>
      <c r="L864" s="242">
        <v>13846.400000000001</v>
      </c>
      <c r="M864" s="242" t="s">
        <v>630</v>
      </c>
      <c r="N864" s="243">
        <v>41356</v>
      </c>
      <c r="O864" s="243">
        <f t="shared" si="51"/>
        <v>3018988</v>
      </c>
      <c r="P864" s="257" t="s">
        <v>1465</v>
      </c>
      <c r="Q864" s="242" t="s">
        <v>47</v>
      </c>
      <c r="R864" s="283" t="s">
        <v>1869</v>
      </c>
      <c r="S864" s="283" t="s">
        <v>1861</v>
      </c>
      <c r="T864" s="242" t="s">
        <v>1491</v>
      </c>
      <c r="U864" s="283" t="s">
        <v>1953</v>
      </c>
      <c r="V864" s="283" t="s">
        <v>2813</v>
      </c>
    </row>
    <row r="865" spans="1:22" s="283" customFormat="1" ht="15.75" thickBot="1" x14ac:dyDescent="0.3">
      <c r="A865" s="276" t="s">
        <v>4581</v>
      </c>
      <c r="B865" s="276" t="s">
        <v>4581</v>
      </c>
      <c r="C865" s="276" t="s">
        <v>4581</v>
      </c>
      <c r="D865" s="263" t="s">
        <v>629</v>
      </c>
      <c r="E865" s="266" t="s">
        <v>1951</v>
      </c>
      <c r="F865" s="388" t="s">
        <v>620</v>
      </c>
      <c r="G865" s="389">
        <v>2015</v>
      </c>
      <c r="H865" s="352" t="s">
        <v>733</v>
      </c>
      <c r="I865" s="310" t="str">
        <f t="shared" si="50"/>
        <v>Pesado de Passageiros M3: I : Gasóleo : E6</v>
      </c>
      <c r="J865" s="257">
        <v>22</v>
      </c>
      <c r="K865" s="257">
        <v>2022</v>
      </c>
      <c r="L865" s="242">
        <v>3402.9</v>
      </c>
      <c r="M865" s="242" t="s">
        <v>630</v>
      </c>
      <c r="N865" s="243">
        <v>18691</v>
      </c>
      <c r="O865" s="243">
        <f t="shared" si="51"/>
        <v>411202</v>
      </c>
      <c r="P865" s="257" t="s">
        <v>1466</v>
      </c>
      <c r="Q865" s="242" t="s">
        <v>47</v>
      </c>
      <c r="R865" s="283" t="s">
        <v>1869</v>
      </c>
      <c r="S865" s="283" t="s">
        <v>1861</v>
      </c>
      <c r="T865" s="242" t="s">
        <v>1491</v>
      </c>
      <c r="U865" s="283" t="s">
        <v>1953</v>
      </c>
      <c r="V865" s="283" t="s">
        <v>2813</v>
      </c>
    </row>
    <row r="866" spans="1:22" s="283" customFormat="1" ht="15.75" thickBot="1" x14ac:dyDescent="0.3">
      <c r="A866" s="276" t="s">
        <v>4581</v>
      </c>
      <c r="B866" s="276" t="s">
        <v>4581</v>
      </c>
      <c r="C866" s="276" t="s">
        <v>4581</v>
      </c>
      <c r="D866" s="263" t="s">
        <v>629</v>
      </c>
      <c r="E866" s="266" t="s">
        <v>1951</v>
      </c>
      <c r="F866" s="388" t="s">
        <v>620</v>
      </c>
      <c r="G866" s="389">
        <v>2015</v>
      </c>
      <c r="H866" s="352" t="s">
        <v>733</v>
      </c>
      <c r="I866" s="310" t="str">
        <f t="shared" si="50"/>
        <v>Pesado de Passageiros M3: I : Gasóleo : E6</v>
      </c>
      <c r="J866" s="257">
        <v>73</v>
      </c>
      <c r="K866" s="257">
        <v>2022</v>
      </c>
      <c r="L866" s="242">
        <v>12750.990000000002</v>
      </c>
      <c r="M866" s="242" t="s">
        <v>630</v>
      </c>
      <c r="N866" s="243">
        <v>28559</v>
      </c>
      <c r="O866" s="243">
        <f t="shared" si="51"/>
        <v>2084807</v>
      </c>
      <c r="P866" s="257" t="s">
        <v>1467</v>
      </c>
      <c r="Q866" s="242" t="s">
        <v>47</v>
      </c>
      <c r="R866" s="283" t="s">
        <v>1869</v>
      </c>
      <c r="S866" s="283" t="s">
        <v>1861</v>
      </c>
      <c r="T866" s="242" t="s">
        <v>1491</v>
      </c>
      <c r="U866" s="283" t="s">
        <v>1953</v>
      </c>
      <c r="V866" s="283" t="s">
        <v>2813</v>
      </c>
    </row>
    <row r="867" spans="1:22" s="283" customFormat="1" ht="15.75" thickBot="1" x14ac:dyDescent="0.3">
      <c r="A867" s="276" t="s">
        <v>4581</v>
      </c>
      <c r="B867" s="276" t="s">
        <v>4581</v>
      </c>
      <c r="C867" s="276" t="s">
        <v>4581</v>
      </c>
      <c r="D867" s="263" t="s">
        <v>629</v>
      </c>
      <c r="E867" s="266" t="s">
        <v>1951</v>
      </c>
      <c r="F867" s="388" t="s">
        <v>620</v>
      </c>
      <c r="G867" s="389">
        <v>2015</v>
      </c>
      <c r="H867" s="352" t="s">
        <v>733</v>
      </c>
      <c r="I867" s="310" t="str">
        <f t="shared" si="50"/>
        <v>Pesado de Passageiros M3: I : Gasóleo : E6</v>
      </c>
      <c r="J867" s="257">
        <v>73</v>
      </c>
      <c r="K867" s="257">
        <v>2022</v>
      </c>
      <c r="L867" s="242">
        <v>13227.36</v>
      </c>
      <c r="M867" s="242" t="s">
        <v>630</v>
      </c>
      <c r="N867" s="243">
        <v>30812</v>
      </c>
      <c r="O867" s="243">
        <f t="shared" si="51"/>
        <v>2249276</v>
      </c>
      <c r="P867" s="257" t="s">
        <v>1468</v>
      </c>
      <c r="Q867" s="242" t="s">
        <v>47</v>
      </c>
      <c r="R867" s="283" t="s">
        <v>1869</v>
      </c>
      <c r="S867" s="283" t="s">
        <v>1861</v>
      </c>
      <c r="T867" s="242" t="s">
        <v>1491</v>
      </c>
      <c r="U867" s="283" t="s">
        <v>1953</v>
      </c>
      <c r="V867" s="283" t="s">
        <v>2813</v>
      </c>
    </row>
    <row r="868" spans="1:22" s="283" customFormat="1" ht="15.75" thickBot="1" x14ac:dyDescent="0.3">
      <c r="A868" s="276" t="s">
        <v>4581</v>
      </c>
      <c r="B868" s="276" t="s">
        <v>4581</v>
      </c>
      <c r="C868" s="276" t="s">
        <v>4581</v>
      </c>
      <c r="D868" s="263" t="s">
        <v>629</v>
      </c>
      <c r="E868" s="266" t="s">
        <v>1951</v>
      </c>
      <c r="F868" s="388" t="s">
        <v>620</v>
      </c>
      <c r="G868" s="389">
        <v>2016</v>
      </c>
      <c r="H868" s="352" t="s">
        <v>733</v>
      </c>
      <c r="I868" s="310" t="str">
        <f t="shared" si="50"/>
        <v>Pesado de Passageiros M3: I : Gasóleo : E6</v>
      </c>
      <c r="J868" s="257">
        <v>22</v>
      </c>
      <c r="K868" s="257">
        <v>2022</v>
      </c>
      <c r="L868" s="242">
        <v>2463.62</v>
      </c>
      <c r="M868" s="242" t="s">
        <v>630</v>
      </c>
      <c r="N868" s="243">
        <v>12009</v>
      </c>
      <c r="O868" s="243">
        <f t="shared" si="51"/>
        <v>264198</v>
      </c>
      <c r="P868" s="257" t="s">
        <v>1469</v>
      </c>
      <c r="Q868" s="242" t="s">
        <v>47</v>
      </c>
      <c r="R868" s="283" t="s">
        <v>1869</v>
      </c>
      <c r="S868" s="283" t="s">
        <v>1861</v>
      </c>
      <c r="T868" s="242" t="s">
        <v>1491</v>
      </c>
      <c r="U868" s="283" t="s">
        <v>1953</v>
      </c>
      <c r="V868" s="283" t="s">
        <v>2813</v>
      </c>
    </row>
    <row r="869" spans="1:22" s="283" customFormat="1" ht="15.75" thickBot="1" x14ac:dyDescent="0.3">
      <c r="A869" s="276" t="s">
        <v>4581</v>
      </c>
      <c r="B869" s="276" t="s">
        <v>4581</v>
      </c>
      <c r="C869" s="276" t="s">
        <v>4581</v>
      </c>
      <c r="D869" s="263" t="s">
        <v>629</v>
      </c>
      <c r="E869" s="266" t="s">
        <v>1951</v>
      </c>
      <c r="F869" s="388" t="s">
        <v>620</v>
      </c>
      <c r="G869" s="389">
        <v>2016</v>
      </c>
      <c r="H869" s="352" t="s">
        <v>733</v>
      </c>
      <c r="I869" s="310" t="str">
        <f t="shared" si="50"/>
        <v>Pesado de Passageiros M3: I : Gasóleo : E6</v>
      </c>
      <c r="J869" s="257">
        <v>22</v>
      </c>
      <c r="K869" s="257">
        <v>2022</v>
      </c>
      <c r="L869" s="242">
        <v>2096.29</v>
      </c>
      <c r="M869" s="242" t="s">
        <v>630</v>
      </c>
      <c r="N869" s="243">
        <v>10979</v>
      </c>
      <c r="O869" s="243">
        <f t="shared" si="51"/>
        <v>241538</v>
      </c>
      <c r="P869" s="257" t="s">
        <v>1470</v>
      </c>
      <c r="Q869" s="242" t="s">
        <v>47</v>
      </c>
      <c r="R869" s="283" t="s">
        <v>1869</v>
      </c>
      <c r="S869" s="283" t="s">
        <v>1861</v>
      </c>
      <c r="T869" s="242" t="s">
        <v>1491</v>
      </c>
      <c r="U869" s="283" t="s">
        <v>1953</v>
      </c>
      <c r="V869" s="283" t="s">
        <v>2813</v>
      </c>
    </row>
    <row r="870" spans="1:22" s="283" customFormat="1" ht="15.75" thickBot="1" x14ac:dyDescent="0.3">
      <c r="A870" s="276" t="s">
        <v>4581</v>
      </c>
      <c r="B870" s="276" t="s">
        <v>4581</v>
      </c>
      <c r="C870" s="276" t="s">
        <v>4581</v>
      </c>
      <c r="D870" s="263" t="s">
        <v>629</v>
      </c>
      <c r="E870" s="266" t="s">
        <v>1951</v>
      </c>
      <c r="F870" s="388" t="s">
        <v>620</v>
      </c>
      <c r="G870" s="389">
        <v>2016</v>
      </c>
      <c r="H870" s="352" t="s">
        <v>733</v>
      </c>
      <c r="I870" s="310" t="str">
        <f t="shared" si="50"/>
        <v>Pesado de Passageiros M3: I : Gasóleo : E6</v>
      </c>
      <c r="J870" s="257">
        <v>73</v>
      </c>
      <c r="K870" s="257">
        <v>2022</v>
      </c>
      <c r="L870" s="242">
        <v>12814.020000000002</v>
      </c>
      <c r="M870" s="242" t="s">
        <v>630</v>
      </c>
      <c r="N870" s="243">
        <v>29826</v>
      </c>
      <c r="O870" s="243">
        <f t="shared" si="51"/>
        <v>2177298</v>
      </c>
      <c r="P870" s="257" t="s">
        <v>1471</v>
      </c>
      <c r="Q870" s="242" t="s">
        <v>47</v>
      </c>
      <c r="R870" s="283" t="s">
        <v>1869</v>
      </c>
      <c r="S870" s="283" t="s">
        <v>1861</v>
      </c>
      <c r="T870" s="242" t="s">
        <v>1491</v>
      </c>
      <c r="U870" s="283" t="s">
        <v>1953</v>
      </c>
      <c r="V870" s="283" t="s">
        <v>2813</v>
      </c>
    </row>
    <row r="871" spans="1:22" s="283" customFormat="1" ht="15.75" thickBot="1" x14ac:dyDescent="0.3">
      <c r="A871" s="276" t="s">
        <v>4581</v>
      </c>
      <c r="B871" s="276" t="s">
        <v>4581</v>
      </c>
      <c r="C871" s="276" t="s">
        <v>4581</v>
      </c>
      <c r="D871" s="263" t="s">
        <v>629</v>
      </c>
      <c r="E871" s="266" t="s">
        <v>1951</v>
      </c>
      <c r="F871" s="388" t="s">
        <v>620</v>
      </c>
      <c r="G871" s="389">
        <v>2016</v>
      </c>
      <c r="H871" s="352" t="s">
        <v>733</v>
      </c>
      <c r="I871" s="310" t="str">
        <f t="shared" si="50"/>
        <v>Pesado de Passageiros M3: I : Gasóleo : E6</v>
      </c>
      <c r="J871" s="257">
        <v>73</v>
      </c>
      <c r="K871" s="257">
        <v>2022</v>
      </c>
      <c r="L871" s="242">
        <v>10853.829999999998</v>
      </c>
      <c r="M871" s="242" t="s">
        <v>630</v>
      </c>
      <c r="N871" s="243">
        <v>26351</v>
      </c>
      <c r="O871" s="243">
        <f t="shared" si="51"/>
        <v>1923623</v>
      </c>
      <c r="P871" s="257" t="s">
        <v>1472</v>
      </c>
      <c r="Q871" s="242" t="s">
        <v>47</v>
      </c>
      <c r="R871" s="283" t="s">
        <v>1869</v>
      </c>
      <c r="S871" s="283" t="s">
        <v>1861</v>
      </c>
      <c r="T871" s="242" t="s">
        <v>1491</v>
      </c>
      <c r="U871" s="283" t="s">
        <v>1953</v>
      </c>
      <c r="V871" s="283" t="s">
        <v>2813</v>
      </c>
    </row>
    <row r="872" spans="1:22" s="283" customFormat="1" ht="15.75" thickBot="1" x14ac:dyDescent="0.3">
      <c r="A872" s="276" t="s">
        <v>4581</v>
      </c>
      <c r="B872" s="276" t="s">
        <v>4581</v>
      </c>
      <c r="C872" s="276" t="s">
        <v>4581</v>
      </c>
      <c r="D872" s="263" t="s">
        <v>629</v>
      </c>
      <c r="E872" s="266" t="s">
        <v>1951</v>
      </c>
      <c r="F872" s="388" t="s">
        <v>620</v>
      </c>
      <c r="G872" s="389">
        <v>2017</v>
      </c>
      <c r="H872" s="352" t="s">
        <v>733</v>
      </c>
      <c r="I872" s="310" t="str">
        <f t="shared" si="50"/>
        <v>Pesado de Passageiros M3: I : Gasóleo : E6</v>
      </c>
      <c r="J872" s="257">
        <v>19</v>
      </c>
      <c r="K872" s="257">
        <v>2022</v>
      </c>
      <c r="L872" s="242">
        <v>6720.94</v>
      </c>
      <c r="M872" s="242" t="s">
        <v>630</v>
      </c>
      <c r="N872" s="243">
        <v>45001</v>
      </c>
      <c r="O872" s="243">
        <f t="shared" si="51"/>
        <v>855019</v>
      </c>
      <c r="P872" s="257" t="s">
        <v>1473</v>
      </c>
      <c r="Q872" s="242" t="s">
        <v>47</v>
      </c>
      <c r="R872" s="283" t="s">
        <v>1869</v>
      </c>
      <c r="S872" s="283" t="s">
        <v>1861</v>
      </c>
      <c r="T872" s="242" t="s">
        <v>1491</v>
      </c>
      <c r="U872" s="283" t="s">
        <v>1953</v>
      </c>
      <c r="V872" s="283" t="s">
        <v>2813</v>
      </c>
    </row>
    <row r="873" spans="1:22" s="283" customFormat="1" ht="15.75" thickBot="1" x14ac:dyDescent="0.3">
      <c r="A873" s="276" t="s">
        <v>4581</v>
      </c>
      <c r="B873" s="276" t="s">
        <v>4581</v>
      </c>
      <c r="C873" s="276" t="s">
        <v>4581</v>
      </c>
      <c r="D873" s="263" t="s">
        <v>629</v>
      </c>
      <c r="E873" s="266" t="s">
        <v>1951</v>
      </c>
      <c r="F873" s="388" t="s">
        <v>620</v>
      </c>
      <c r="G873" s="389">
        <v>2017</v>
      </c>
      <c r="H873" s="352" t="s">
        <v>733</v>
      </c>
      <c r="I873" s="310" t="str">
        <f t="shared" si="50"/>
        <v>Pesado de Passageiros M3: I : Gasóleo : E6</v>
      </c>
      <c r="J873" s="257">
        <v>22</v>
      </c>
      <c r="K873" s="257">
        <v>2022</v>
      </c>
      <c r="L873" s="242">
        <v>3964.03</v>
      </c>
      <c r="M873" s="242" t="s">
        <v>630</v>
      </c>
      <c r="N873" s="243">
        <v>16966</v>
      </c>
      <c r="O873" s="243">
        <f t="shared" si="51"/>
        <v>373252</v>
      </c>
      <c r="P873" s="257" t="s">
        <v>1474</v>
      </c>
      <c r="Q873" s="242" t="s">
        <v>47</v>
      </c>
      <c r="R873" s="283" t="s">
        <v>1869</v>
      </c>
      <c r="S873" s="283" t="s">
        <v>1861</v>
      </c>
      <c r="T873" s="242" t="s">
        <v>1491</v>
      </c>
      <c r="U873" s="283" t="s">
        <v>1953</v>
      </c>
      <c r="V873" s="283" t="s">
        <v>2813</v>
      </c>
    </row>
    <row r="874" spans="1:22" s="283" customFormat="1" ht="15.75" thickBot="1" x14ac:dyDescent="0.3">
      <c r="A874" s="276" t="s">
        <v>4581</v>
      </c>
      <c r="B874" s="276" t="s">
        <v>4581</v>
      </c>
      <c r="C874" s="276" t="s">
        <v>4581</v>
      </c>
      <c r="D874" s="263" t="s">
        <v>629</v>
      </c>
      <c r="E874" s="266" t="s">
        <v>1951</v>
      </c>
      <c r="F874" s="388" t="s">
        <v>620</v>
      </c>
      <c r="G874" s="389">
        <v>2017</v>
      </c>
      <c r="H874" s="352" t="s">
        <v>733</v>
      </c>
      <c r="I874" s="310" t="str">
        <f t="shared" si="50"/>
        <v>Pesado de Passageiros M3: I : Gasóleo : E6</v>
      </c>
      <c r="J874" s="257">
        <v>22</v>
      </c>
      <c r="K874" s="257">
        <v>2022</v>
      </c>
      <c r="L874" s="242">
        <v>3391.1000000000004</v>
      </c>
      <c r="M874" s="242" t="s">
        <v>630</v>
      </c>
      <c r="N874" s="243">
        <v>15608</v>
      </c>
      <c r="O874" s="243">
        <f t="shared" si="51"/>
        <v>343376</v>
      </c>
      <c r="P874" s="257" t="s">
        <v>1475</v>
      </c>
      <c r="Q874" s="242" t="s">
        <v>47</v>
      </c>
      <c r="R874" s="283" t="s">
        <v>1869</v>
      </c>
      <c r="S874" s="283" t="s">
        <v>1861</v>
      </c>
      <c r="T874" s="242" t="s">
        <v>1491</v>
      </c>
      <c r="U874" s="283" t="s">
        <v>1953</v>
      </c>
      <c r="V874" s="283" t="s">
        <v>2813</v>
      </c>
    </row>
    <row r="875" spans="1:22" s="283" customFormat="1" ht="15.75" thickBot="1" x14ac:dyDescent="0.3">
      <c r="A875" s="276" t="s">
        <v>4581</v>
      </c>
      <c r="B875" s="276" t="s">
        <v>4581</v>
      </c>
      <c r="C875" s="276" t="s">
        <v>4581</v>
      </c>
      <c r="D875" s="263" t="s">
        <v>629</v>
      </c>
      <c r="E875" s="266" t="s">
        <v>1951</v>
      </c>
      <c r="F875" s="388" t="s">
        <v>620</v>
      </c>
      <c r="G875" s="389">
        <v>2017</v>
      </c>
      <c r="H875" s="352" t="s">
        <v>733</v>
      </c>
      <c r="I875" s="310" t="str">
        <f t="shared" si="50"/>
        <v>Pesado de Passageiros M3: I : Gasóleo : E6</v>
      </c>
      <c r="J875" s="257">
        <v>57</v>
      </c>
      <c r="K875" s="257">
        <v>2022</v>
      </c>
      <c r="L875" s="242">
        <v>20112.010000000002</v>
      </c>
      <c r="M875" s="242" t="s">
        <v>630</v>
      </c>
      <c r="N875" s="243">
        <v>69240</v>
      </c>
      <c r="O875" s="243">
        <f t="shared" si="51"/>
        <v>3946680</v>
      </c>
      <c r="P875" s="257" t="s">
        <v>1476</v>
      </c>
      <c r="Q875" s="242" t="s">
        <v>47</v>
      </c>
      <c r="R875" s="283" t="s">
        <v>1869</v>
      </c>
      <c r="S875" s="283" t="s">
        <v>1861</v>
      </c>
      <c r="T875" s="242" t="s">
        <v>1491</v>
      </c>
      <c r="U875" s="283" t="s">
        <v>1953</v>
      </c>
      <c r="V875" s="283" t="s">
        <v>2813</v>
      </c>
    </row>
    <row r="876" spans="1:22" s="283" customFormat="1" ht="15.75" thickBot="1" x14ac:dyDescent="0.3">
      <c r="A876" s="276" t="s">
        <v>4581</v>
      </c>
      <c r="B876" s="276" t="s">
        <v>4581</v>
      </c>
      <c r="C876" s="276" t="s">
        <v>4581</v>
      </c>
      <c r="D876" s="263" t="s">
        <v>629</v>
      </c>
      <c r="E876" s="266" t="s">
        <v>1951</v>
      </c>
      <c r="F876" s="388" t="s">
        <v>620</v>
      </c>
      <c r="G876" s="389">
        <v>2017</v>
      </c>
      <c r="H876" s="352" t="s">
        <v>733</v>
      </c>
      <c r="I876" s="310" t="str">
        <f t="shared" si="50"/>
        <v>Pesado de Passageiros M3: I : Gasóleo : E6</v>
      </c>
      <c r="J876" s="257">
        <v>73</v>
      </c>
      <c r="K876" s="257">
        <v>2022</v>
      </c>
      <c r="L876" s="242">
        <v>17971.37</v>
      </c>
      <c r="M876" s="242" t="s">
        <v>630</v>
      </c>
      <c r="N876" s="243">
        <v>43952</v>
      </c>
      <c r="O876" s="243">
        <f t="shared" si="51"/>
        <v>3208496</v>
      </c>
      <c r="P876" s="257" t="s">
        <v>1477</v>
      </c>
      <c r="Q876" s="242" t="s">
        <v>47</v>
      </c>
      <c r="R876" s="283" t="s">
        <v>1869</v>
      </c>
      <c r="S876" s="283" t="s">
        <v>1861</v>
      </c>
      <c r="T876" s="242" t="s">
        <v>1491</v>
      </c>
      <c r="U876" s="283" t="s">
        <v>1953</v>
      </c>
      <c r="V876" s="283" t="s">
        <v>2813</v>
      </c>
    </row>
    <row r="877" spans="1:22" s="283" customFormat="1" ht="15.75" thickBot="1" x14ac:dyDescent="0.3">
      <c r="A877" s="276" t="s">
        <v>4581</v>
      </c>
      <c r="B877" s="276" t="s">
        <v>4581</v>
      </c>
      <c r="C877" s="276" t="s">
        <v>4581</v>
      </c>
      <c r="D877" s="263" t="s">
        <v>629</v>
      </c>
      <c r="E877" s="266" t="s">
        <v>1951</v>
      </c>
      <c r="F877" s="388" t="s">
        <v>620</v>
      </c>
      <c r="G877" s="389">
        <v>2017</v>
      </c>
      <c r="H877" s="352" t="s">
        <v>733</v>
      </c>
      <c r="I877" s="310" t="str">
        <f t="shared" si="50"/>
        <v>Pesado de Passageiros M3: I : Gasóleo : E6</v>
      </c>
      <c r="J877" s="257">
        <v>73</v>
      </c>
      <c r="K877" s="257">
        <v>2022</v>
      </c>
      <c r="L877" s="242">
        <v>13943.19</v>
      </c>
      <c r="M877" s="242" t="s">
        <v>630</v>
      </c>
      <c r="N877" s="243">
        <v>33606</v>
      </c>
      <c r="O877" s="243">
        <f t="shared" si="51"/>
        <v>2453238</v>
      </c>
      <c r="P877" s="257" t="s">
        <v>1478</v>
      </c>
      <c r="Q877" s="242" t="s">
        <v>47</v>
      </c>
      <c r="R877" s="283" t="s">
        <v>1869</v>
      </c>
      <c r="S877" s="283" t="s">
        <v>1861</v>
      </c>
      <c r="T877" s="242" t="s">
        <v>1491</v>
      </c>
      <c r="U877" s="283" t="s">
        <v>1953</v>
      </c>
      <c r="V877" s="283" t="s">
        <v>2813</v>
      </c>
    </row>
    <row r="878" spans="1:22" s="283" customFormat="1" ht="15.75" thickBot="1" x14ac:dyDescent="0.3">
      <c r="A878" s="276" t="s">
        <v>4581</v>
      </c>
      <c r="B878" s="276" t="s">
        <v>4581</v>
      </c>
      <c r="C878" s="276" t="s">
        <v>4581</v>
      </c>
      <c r="D878" s="263" t="s">
        <v>629</v>
      </c>
      <c r="E878" s="266" t="s">
        <v>1951</v>
      </c>
      <c r="F878" s="388" t="s">
        <v>620</v>
      </c>
      <c r="G878" s="389">
        <v>2018</v>
      </c>
      <c r="H878" s="352" t="s">
        <v>733</v>
      </c>
      <c r="I878" s="310" t="str">
        <f t="shared" si="50"/>
        <v>Pesado de Passageiros M3: I : Gasóleo : E6</v>
      </c>
      <c r="J878" s="257">
        <v>19</v>
      </c>
      <c r="K878" s="257">
        <v>2022</v>
      </c>
      <c r="L878" s="242">
        <v>6714.15</v>
      </c>
      <c r="M878" s="242" t="s">
        <v>630</v>
      </c>
      <c r="N878" s="243">
        <v>44399</v>
      </c>
      <c r="O878" s="243">
        <f t="shared" si="51"/>
        <v>843581</v>
      </c>
      <c r="P878" s="257" t="s">
        <v>1479</v>
      </c>
      <c r="Q878" s="242" t="s">
        <v>47</v>
      </c>
      <c r="R878" s="283" t="s">
        <v>1869</v>
      </c>
      <c r="S878" s="283" t="s">
        <v>1861</v>
      </c>
      <c r="T878" s="242" t="s">
        <v>1491</v>
      </c>
      <c r="U878" s="283" t="s">
        <v>1953</v>
      </c>
      <c r="V878" s="283" t="s">
        <v>2813</v>
      </c>
    </row>
    <row r="879" spans="1:22" s="283" customFormat="1" ht="15.75" thickBot="1" x14ac:dyDescent="0.3">
      <c r="A879" s="276" t="s">
        <v>4581</v>
      </c>
      <c r="B879" s="276" t="s">
        <v>4581</v>
      </c>
      <c r="C879" s="276" t="s">
        <v>4581</v>
      </c>
      <c r="D879" s="263" t="s">
        <v>629</v>
      </c>
      <c r="E879" s="266" t="s">
        <v>1951</v>
      </c>
      <c r="F879" s="388" t="s">
        <v>620</v>
      </c>
      <c r="G879" s="389">
        <v>2018</v>
      </c>
      <c r="H879" s="352" t="s">
        <v>733</v>
      </c>
      <c r="I879" s="310" t="str">
        <f t="shared" si="50"/>
        <v>Pesado de Passageiros M3: I : Gasóleo : E6</v>
      </c>
      <c r="J879" s="257">
        <v>22</v>
      </c>
      <c r="K879" s="257">
        <v>2022</v>
      </c>
      <c r="L879" s="242">
        <v>5344.23</v>
      </c>
      <c r="M879" s="242" t="s">
        <v>630</v>
      </c>
      <c r="N879" s="243">
        <v>21708</v>
      </c>
      <c r="O879" s="243">
        <f t="shared" si="51"/>
        <v>477576</v>
      </c>
      <c r="P879" s="257" t="s">
        <v>1480</v>
      </c>
      <c r="Q879" s="242" t="s">
        <v>47</v>
      </c>
      <c r="R879" s="283" t="s">
        <v>1869</v>
      </c>
      <c r="S879" s="283" t="s">
        <v>1861</v>
      </c>
      <c r="T879" s="242" t="s">
        <v>1491</v>
      </c>
      <c r="U879" s="283" t="s">
        <v>1953</v>
      </c>
      <c r="V879" s="283" t="s">
        <v>2813</v>
      </c>
    </row>
    <row r="880" spans="1:22" s="283" customFormat="1" ht="15.75" thickBot="1" x14ac:dyDescent="0.3">
      <c r="A880" s="276" t="s">
        <v>4581</v>
      </c>
      <c r="B880" s="276" t="s">
        <v>4581</v>
      </c>
      <c r="C880" s="276" t="s">
        <v>4581</v>
      </c>
      <c r="D880" s="263" t="s">
        <v>629</v>
      </c>
      <c r="E880" s="266" t="s">
        <v>1951</v>
      </c>
      <c r="F880" s="388" t="s">
        <v>620</v>
      </c>
      <c r="G880" s="389">
        <v>2018</v>
      </c>
      <c r="H880" s="352" t="s">
        <v>733</v>
      </c>
      <c r="I880" s="310" t="str">
        <f t="shared" si="50"/>
        <v>Pesado de Passageiros M3: I : Gasóleo : E6</v>
      </c>
      <c r="J880" s="257">
        <v>39</v>
      </c>
      <c r="K880" s="257">
        <v>2022</v>
      </c>
      <c r="L880" s="242">
        <v>16082.58</v>
      </c>
      <c r="M880" s="242" t="s">
        <v>630</v>
      </c>
      <c r="N880" s="243">
        <v>57332</v>
      </c>
      <c r="O880" s="243">
        <f t="shared" si="51"/>
        <v>2235948</v>
      </c>
      <c r="P880" s="257" t="s">
        <v>1481</v>
      </c>
      <c r="Q880" s="242" t="s">
        <v>47</v>
      </c>
      <c r="R880" s="283" t="s">
        <v>1869</v>
      </c>
      <c r="S880" s="283" t="s">
        <v>1861</v>
      </c>
      <c r="T880" s="242" t="s">
        <v>1491</v>
      </c>
      <c r="U880" s="283" t="s">
        <v>1953</v>
      </c>
      <c r="V880" s="283" t="s">
        <v>2813</v>
      </c>
    </row>
    <row r="881" spans="1:22" s="283" customFormat="1" ht="15.75" thickBot="1" x14ac:dyDescent="0.3">
      <c r="A881" s="276" t="s">
        <v>4581</v>
      </c>
      <c r="B881" s="276" t="s">
        <v>4581</v>
      </c>
      <c r="C881" s="276" t="s">
        <v>4581</v>
      </c>
      <c r="D881" s="263" t="s">
        <v>629</v>
      </c>
      <c r="E881" s="266" t="s">
        <v>1951</v>
      </c>
      <c r="F881" s="388" t="s">
        <v>620</v>
      </c>
      <c r="G881" s="389">
        <v>2018</v>
      </c>
      <c r="H881" s="352" t="s">
        <v>733</v>
      </c>
      <c r="I881" s="310" t="str">
        <f t="shared" si="50"/>
        <v>Pesado de Passageiros M3: I : Gasóleo : E6</v>
      </c>
      <c r="J881" s="257">
        <v>73</v>
      </c>
      <c r="K881" s="257">
        <v>2022</v>
      </c>
      <c r="L881" s="242">
        <v>14765.65</v>
      </c>
      <c r="M881" s="242" t="s">
        <v>630</v>
      </c>
      <c r="N881" s="243">
        <v>35680</v>
      </c>
      <c r="O881" s="243">
        <f t="shared" si="51"/>
        <v>2604640</v>
      </c>
      <c r="P881" s="257" t="s">
        <v>1482</v>
      </c>
      <c r="Q881" s="242" t="s">
        <v>47</v>
      </c>
      <c r="R881" s="283" t="s">
        <v>1869</v>
      </c>
      <c r="S881" s="283" t="s">
        <v>1861</v>
      </c>
      <c r="T881" s="242" t="s">
        <v>1491</v>
      </c>
      <c r="U881" s="283" t="s">
        <v>1953</v>
      </c>
      <c r="V881" s="283" t="s">
        <v>2813</v>
      </c>
    </row>
    <row r="882" spans="1:22" s="283" customFormat="1" ht="15.75" thickBot="1" x14ac:dyDescent="0.3">
      <c r="A882" s="276" t="s">
        <v>4581</v>
      </c>
      <c r="B882" s="276" t="s">
        <v>4581</v>
      </c>
      <c r="C882" s="276" t="s">
        <v>4581</v>
      </c>
      <c r="D882" s="263" t="s">
        <v>629</v>
      </c>
      <c r="E882" s="266" t="s">
        <v>1951</v>
      </c>
      <c r="F882" s="388" t="s">
        <v>620</v>
      </c>
      <c r="G882" s="389">
        <v>2018</v>
      </c>
      <c r="H882" s="352" t="s">
        <v>733</v>
      </c>
      <c r="I882" s="310" t="str">
        <f t="shared" si="50"/>
        <v>Pesado de Passageiros M3: I : Gasóleo : E6</v>
      </c>
      <c r="J882" s="257">
        <v>73</v>
      </c>
      <c r="K882" s="257">
        <v>2022</v>
      </c>
      <c r="L882" s="242">
        <v>12547.949999999999</v>
      </c>
      <c r="M882" s="242" t="s">
        <v>630</v>
      </c>
      <c r="N882" s="243">
        <v>29648</v>
      </c>
      <c r="O882" s="243">
        <f t="shared" si="51"/>
        <v>2164304</v>
      </c>
      <c r="P882" s="257" t="s">
        <v>1483</v>
      </c>
      <c r="Q882" s="242" t="s">
        <v>47</v>
      </c>
      <c r="R882" s="283" t="s">
        <v>1869</v>
      </c>
      <c r="S882" s="283" t="s">
        <v>1861</v>
      </c>
      <c r="T882" s="242" t="s">
        <v>1491</v>
      </c>
      <c r="U882" s="283" t="s">
        <v>1953</v>
      </c>
      <c r="V882" s="283" t="s">
        <v>2813</v>
      </c>
    </row>
    <row r="883" spans="1:22" s="283" customFormat="1" ht="15.75" thickBot="1" x14ac:dyDescent="0.3">
      <c r="A883" s="276" t="s">
        <v>4581</v>
      </c>
      <c r="B883" s="276" t="s">
        <v>4581</v>
      </c>
      <c r="C883" s="276" t="s">
        <v>4581</v>
      </c>
      <c r="D883" s="263" t="s">
        <v>629</v>
      </c>
      <c r="E883" s="266" t="s">
        <v>1951</v>
      </c>
      <c r="F883" s="388" t="s">
        <v>620</v>
      </c>
      <c r="G883" s="389">
        <v>2019</v>
      </c>
      <c r="H883" s="352" t="s">
        <v>733</v>
      </c>
      <c r="I883" s="310" t="str">
        <f t="shared" si="50"/>
        <v>Pesado de Passageiros M3: I : Gasóleo : E6</v>
      </c>
      <c r="J883" s="257">
        <v>22</v>
      </c>
      <c r="K883" s="257">
        <v>2022</v>
      </c>
      <c r="L883" s="242">
        <v>6958.7699999999986</v>
      </c>
      <c r="M883" s="242" t="s">
        <v>630</v>
      </c>
      <c r="N883" s="243">
        <v>29309</v>
      </c>
      <c r="O883" s="243">
        <f t="shared" si="51"/>
        <v>644798</v>
      </c>
      <c r="P883" s="257" t="s">
        <v>1484</v>
      </c>
      <c r="Q883" s="242" t="s">
        <v>47</v>
      </c>
      <c r="R883" s="283" t="s">
        <v>1869</v>
      </c>
      <c r="S883" s="283" t="s">
        <v>1861</v>
      </c>
      <c r="T883" s="242" t="s">
        <v>1491</v>
      </c>
      <c r="U883" s="283" t="s">
        <v>1953</v>
      </c>
      <c r="V883" s="283" t="s">
        <v>2813</v>
      </c>
    </row>
    <row r="884" spans="1:22" s="283" customFormat="1" ht="15.75" thickBot="1" x14ac:dyDescent="0.3">
      <c r="A884" s="276" t="s">
        <v>4581</v>
      </c>
      <c r="B884" s="276" t="s">
        <v>4581</v>
      </c>
      <c r="C884" s="276" t="s">
        <v>4581</v>
      </c>
      <c r="D884" s="263" t="s">
        <v>629</v>
      </c>
      <c r="E884" s="266" t="s">
        <v>1951</v>
      </c>
      <c r="F884" s="388" t="s">
        <v>620</v>
      </c>
      <c r="G884" s="389">
        <v>2019</v>
      </c>
      <c r="H884" s="352" t="s">
        <v>733</v>
      </c>
      <c r="I884" s="310" t="str">
        <f t="shared" si="50"/>
        <v>Pesado de Passageiros M3: I : Gasóleo : E6</v>
      </c>
      <c r="J884" s="257">
        <v>22</v>
      </c>
      <c r="K884" s="257">
        <v>2022</v>
      </c>
      <c r="L884" s="242">
        <v>5295.93</v>
      </c>
      <c r="M884" s="242" t="s">
        <v>630</v>
      </c>
      <c r="N884" s="243">
        <v>22723</v>
      </c>
      <c r="O884" s="243">
        <f t="shared" si="51"/>
        <v>499906</v>
      </c>
      <c r="P884" s="257" t="s">
        <v>1485</v>
      </c>
      <c r="Q884" s="242" t="s">
        <v>47</v>
      </c>
      <c r="R884" s="283" t="s">
        <v>1869</v>
      </c>
      <c r="S884" s="283" t="s">
        <v>1861</v>
      </c>
      <c r="T884" s="242" t="s">
        <v>1491</v>
      </c>
      <c r="U884" s="283" t="s">
        <v>1953</v>
      </c>
      <c r="V884" s="283" t="s">
        <v>2813</v>
      </c>
    </row>
    <row r="885" spans="1:22" s="283" customFormat="1" ht="15.75" thickBot="1" x14ac:dyDescent="0.3">
      <c r="A885" s="276" t="s">
        <v>4581</v>
      </c>
      <c r="B885" s="276" t="s">
        <v>4581</v>
      </c>
      <c r="C885" s="276" t="s">
        <v>4581</v>
      </c>
      <c r="D885" s="263" t="s">
        <v>629</v>
      </c>
      <c r="E885" s="266" t="s">
        <v>1951</v>
      </c>
      <c r="F885" s="388" t="s">
        <v>620</v>
      </c>
      <c r="G885" s="389">
        <v>2019</v>
      </c>
      <c r="H885" s="352" t="s">
        <v>733</v>
      </c>
      <c r="I885" s="310" t="str">
        <f t="shared" si="50"/>
        <v>Pesado de Passageiros M3: I : Gasóleo : E6</v>
      </c>
      <c r="J885" s="257">
        <v>73</v>
      </c>
      <c r="K885" s="257">
        <v>2022</v>
      </c>
      <c r="L885" s="242">
        <v>15434.279999999999</v>
      </c>
      <c r="M885" s="242" t="s">
        <v>630</v>
      </c>
      <c r="N885" s="243">
        <v>38573</v>
      </c>
      <c r="O885" s="243">
        <f t="shared" si="51"/>
        <v>2815829</v>
      </c>
      <c r="P885" s="257" t="s">
        <v>1486</v>
      </c>
      <c r="Q885" s="242" t="s">
        <v>47</v>
      </c>
      <c r="R885" s="283" t="s">
        <v>1869</v>
      </c>
      <c r="S885" s="283" t="s">
        <v>1861</v>
      </c>
      <c r="T885" s="242" t="s">
        <v>1491</v>
      </c>
      <c r="U885" s="283" t="s">
        <v>1953</v>
      </c>
      <c r="V885" s="283" t="s">
        <v>2813</v>
      </c>
    </row>
    <row r="886" spans="1:22" s="283" customFormat="1" ht="15.75" thickBot="1" x14ac:dyDescent="0.3">
      <c r="A886" s="276" t="s">
        <v>4581</v>
      </c>
      <c r="B886" s="276" t="s">
        <v>4581</v>
      </c>
      <c r="C886" s="276" t="s">
        <v>4581</v>
      </c>
      <c r="D886" s="263" t="s">
        <v>629</v>
      </c>
      <c r="E886" s="266" t="s">
        <v>1951</v>
      </c>
      <c r="F886" s="388" t="s">
        <v>620</v>
      </c>
      <c r="G886" s="389">
        <v>2019</v>
      </c>
      <c r="H886" s="352" t="s">
        <v>733</v>
      </c>
      <c r="I886" s="310" t="str">
        <f t="shared" si="50"/>
        <v>Pesado de Passageiros M3: I : Gasóleo : E6</v>
      </c>
      <c r="J886" s="257">
        <v>73</v>
      </c>
      <c r="K886" s="257">
        <v>2022</v>
      </c>
      <c r="L886" s="242">
        <v>14751.61</v>
      </c>
      <c r="M886" s="242" t="s">
        <v>630</v>
      </c>
      <c r="N886" s="243">
        <v>37349</v>
      </c>
      <c r="O886" s="243">
        <f t="shared" si="51"/>
        <v>2726477</v>
      </c>
      <c r="P886" s="257" t="s">
        <v>1487</v>
      </c>
      <c r="Q886" s="242" t="s">
        <v>47</v>
      </c>
      <c r="R886" s="283" t="s">
        <v>1869</v>
      </c>
      <c r="S886" s="283" t="s">
        <v>1861</v>
      </c>
      <c r="T886" s="242" t="s">
        <v>1491</v>
      </c>
      <c r="U886" s="283" t="s">
        <v>1953</v>
      </c>
      <c r="V886" s="283" t="s">
        <v>2813</v>
      </c>
    </row>
    <row r="887" spans="1:22" s="283" customFormat="1" ht="15.75" thickBot="1" x14ac:dyDescent="0.3">
      <c r="A887" s="276" t="s">
        <v>4581</v>
      </c>
      <c r="B887" s="276" t="s">
        <v>4581</v>
      </c>
      <c r="C887" s="276" t="s">
        <v>4581</v>
      </c>
      <c r="D887" s="263" t="s">
        <v>629</v>
      </c>
      <c r="E887" s="266" t="s">
        <v>1951</v>
      </c>
      <c r="F887" s="388" t="s">
        <v>620</v>
      </c>
      <c r="G887" s="389">
        <v>1995</v>
      </c>
      <c r="H887" s="352" t="s">
        <v>736</v>
      </c>
      <c r="I887" s="310" t="str">
        <f t="shared" si="50"/>
        <v>Pesado de Passageiros M3: I : Gasóleo : E1</v>
      </c>
      <c r="J887" s="257">
        <v>73</v>
      </c>
      <c r="K887" s="257">
        <v>2022</v>
      </c>
      <c r="L887" s="242">
        <v>0</v>
      </c>
      <c r="M887" s="242" t="s">
        <v>630</v>
      </c>
      <c r="N887" s="243">
        <v>0</v>
      </c>
      <c r="O887" s="243">
        <f t="shared" si="51"/>
        <v>0</v>
      </c>
      <c r="P887" s="257" t="s">
        <v>1488</v>
      </c>
      <c r="Q887" s="242" t="s">
        <v>47</v>
      </c>
      <c r="R887" s="283" t="s">
        <v>1869</v>
      </c>
      <c r="S887" s="283" t="s">
        <v>1861</v>
      </c>
      <c r="T887" s="242" t="s">
        <v>1491</v>
      </c>
      <c r="U887" s="283" t="s">
        <v>1953</v>
      </c>
      <c r="V887" s="283" t="s">
        <v>2813</v>
      </c>
    </row>
    <row r="888" spans="1:22" s="283" customFormat="1" ht="15.75" thickBot="1" x14ac:dyDescent="0.3">
      <c r="A888" s="276" t="s">
        <v>4581</v>
      </c>
      <c r="B888" s="276" t="s">
        <v>4581</v>
      </c>
      <c r="C888" s="276" t="s">
        <v>4581</v>
      </c>
      <c r="D888" s="263" t="s">
        <v>629</v>
      </c>
      <c r="E888" s="266" t="s">
        <v>1951</v>
      </c>
      <c r="F888" s="388" t="s">
        <v>620</v>
      </c>
      <c r="G888" s="389">
        <v>1995</v>
      </c>
      <c r="H888" s="352" t="s">
        <v>736</v>
      </c>
      <c r="I888" s="310" t="str">
        <f t="shared" si="50"/>
        <v>Pesado de Passageiros M3: I : Gasóleo : E1</v>
      </c>
      <c r="J888" s="257">
        <v>73</v>
      </c>
      <c r="K888" s="257">
        <v>2022</v>
      </c>
      <c r="L888" s="242">
        <v>0</v>
      </c>
      <c r="M888" s="242" t="s">
        <v>630</v>
      </c>
      <c r="N888" s="243">
        <v>0</v>
      </c>
      <c r="O888" s="243">
        <f t="shared" si="51"/>
        <v>0</v>
      </c>
      <c r="P888" s="257" t="s">
        <v>1489</v>
      </c>
      <c r="Q888" s="242" t="s">
        <v>47</v>
      </c>
      <c r="R888" s="283" t="s">
        <v>1869</v>
      </c>
      <c r="S888" s="283" t="s">
        <v>1861</v>
      </c>
      <c r="T888" s="242" t="s">
        <v>1491</v>
      </c>
      <c r="U888" s="283" t="s">
        <v>1953</v>
      </c>
      <c r="V888" s="283" t="s">
        <v>2813</v>
      </c>
    </row>
    <row r="889" spans="1:22" s="283" customFormat="1" ht="15.75" thickBot="1" x14ac:dyDescent="0.3">
      <c r="A889" s="276" t="s">
        <v>4581</v>
      </c>
      <c r="B889" s="276" t="s">
        <v>4581</v>
      </c>
      <c r="C889" s="276" t="s">
        <v>4581</v>
      </c>
      <c r="D889" s="263" t="s">
        <v>629</v>
      </c>
      <c r="E889" s="266" t="s">
        <v>1951</v>
      </c>
      <c r="F889" s="388" t="s">
        <v>620</v>
      </c>
      <c r="G889" s="389">
        <v>1996</v>
      </c>
      <c r="H889" s="352" t="s">
        <v>736</v>
      </c>
      <c r="I889" s="310" t="str">
        <f t="shared" si="50"/>
        <v>Pesado de Passageiros M3: I : Gasóleo : E1</v>
      </c>
      <c r="J889" s="257">
        <v>63</v>
      </c>
      <c r="K889" s="257">
        <v>2022</v>
      </c>
      <c r="L889" s="242">
        <v>164.04</v>
      </c>
      <c r="M889" s="242" t="s">
        <v>630</v>
      </c>
      <c r="N889" s="243">
        <v>410</v>
      </c>
      <c r="O889" s="243">
        <f t="shared" si="51"/>
        <v>25830</v>
      </c>
      <c r="P889" s="257" t="s">
        <v>1490</v>
      </c>
      <c r="Q889" s="242" t="s">
        <v>47</v>
      </c>
      <c r="R889" s="283" t="s">
        <v>1869</v>
      </c>
      <c r="S889" s="283" t="s">
        <v>1861</v>
      </c>
      <c r="T889" s="242" t="s">
        <v>1491</v>
      </c>
      <c r="U889" s="283" t="s">
        <v>1953</v>
      </c>
      <c r="V889" s="283" t="s">
        <v>2813</v>
      </c>
    </row>
    <row r="890" spans="1:22" ht="15.75" thickBot="1" x14ac:dyDescent="0.3">
      <c r="A890" s="227" t="s">
        <v>1912</v>
      </c>
      <c r="B890" s="227" t="s">
        <v>1912</v>
      </c>
      <c r="C890" s="227" t="s">
        <v>1912</v>
      </c>
      <c r="D890" s="227" t="s">
        <v>629</v>
      </c>
      <c r="E890" s="248" t="s">
        <v>1853</v>
      </c>
      <c r="F890" s="227" t="s">
        <v>620</v>
      </c>
      <c r="G890" s="250">
        <v>1999</v>
      </c>
      <c r="H890" s="313" t="s">
        <v>735</v>
      </c>
      <c r="I890" s="308" t="str">
        <f t="shared" ref="I890:I899" si="52">D890&amp;": "&amp;E890&amp;" : "&amp;F890&amp;" : "&amp;H890</f>
        <v>Pesado de Passageiros M3: III : Gasóleo : E2</v>
      </c>
      <c r="J890" s="227">
        <v>75</v>
      </c>
      <c r="K890" s="249">
        <v>2022</v>
      </c>
      <c r="L890" s="227">
        <v>8791.668113593767</v>
      </c>
      <c r="M890" s="227" t="s">
        <v>630</v>
      </c>
      <c r="N890" s="227">
        <v>23714</v>
      </c>
      <c r="O890" s="128">
        <f t="shared" ref="O890:O899" si="53">N890*J890</f>
        <v>1778550</v>
      </c>
      <c r="P890" s="250">
        <v>133</v>
      </c>
      <c r="Q890" s="227" t="s">
        <v>47</v>
      </c>
      <c r="R890" s="214" t="s">
        <v>1869</v>
      </c>
      <c r="S890" s="214" t="s">
        <v>1861</v>
      </c>
      <c r="T890" s="227"/>
      <c r="U890" t="s">
        <v>1953</v>
      </c>
      <c r="V890" t="s">
        <v>2813</v>
      </c>
    </row>
    <row r="891" spans="1:22" ht="15.75" thickBot="1" x14ac:dyDescent="0.3">
      <c r="A891" s="227" t="s">
        <v>1912</v>
      </c>
      <c r="B891" s="227" t="s">
        <v>1912</v>
      </c>
      <c r="C891" s="227" t="s">
        <v>1912</v>
      </c>
      <c r="D891" s="227" t="s">
        <v>629</v>
      </c>
      <c r="E891" s="248" t="s">
        <v>1853</v>
      </c>
      <c r="F891" s="227" t="s">
        <v>620</v>
      </c>
      <c r="G891" s="250">
        <v>2000</v>
      </c>
      <c r="H891" s="313" t="s">
        <v>732</v>
      </c>
      <c r="I891" s="308" t="str">
        <f t="shared" si="52"/>
        <v>Pesado de Passageiros M3: III : Gasóleo : E3</v>
      </c>
      <c r="J891" s="227">
        <v>87</v>
      </c>
      <c r="K891" s="249">
        <v>2022</v>
      </c>
      <c r="L891" s="227">
        <v>9870.431485938394</v>
      </c>
      <c r="M891" s="227" t="s">
        <v>630</v>
      </c>
      <c r="N891" s="227">
        <v>23629</v>
      </c>
      <c r="O891" s="128">
        <f t="shared" si="53"/>
        <v>2055723</v>
      </c>
      <c r="P891" s="250">
        <v>154</v>
      </c>
      <c r="Q891" s="227" t="s">
        <v>47</v>
      </c>
      <c r="R891" s="214" t="s">
        <v>1869</v>
      </c>
      <c r="S891" s="214" t="s">
        <v>1861</v>
      </c>
      <c r="T891" s="227"/>
      <c r="U891" t="s">
        <v>1953</v>
      </c>
      <c r="V891" t="s">
        <v>2813</v>
      </c>
    </row>
    <row r="892" spans="1:22" ht="15.75" thickBot="1" x14ac:dyDescent="0.3">
      <c r="A892" s="227" t="s">
        <v>1912</v>
      </c>
      <c r="B892" s="227" t="s">
        <v>1912</v>
      </c>
      <c r="C892" s="227" t="s">
        <v>1912</v>
      </c>
      <c r="D892" s="227" t="s">
        <v>629</v>
      </c>
      <c r="E892" s="248" t="s">
        <v>1853</v>
      </c>
      <c r="F892" s="227" t="s">
        <v>620</v>
      </c>
      <c r="G892" s="250">
        <v>2002</v>
      </c>
      <c r="H892" s="313" t="s">
        <v>732</v>
      </c>
      <c r="I892" s="308" t="str">
        <f t="shared" si="52"/>
        <v>Pesado de Passageiros M3: III : Gasóleo : E3</v>
      </c>
      <c r="J892" s="227">
        <v>50</v>
      </c>
      <c r="K892" s="249">
        <v>2022</v>
      </c>
      <c r="L892" s="227">
        <v>11210.991482690293</v>
      </c>
      <c r="M892" s="227" t="s">
        <v>630</v>
      </c>
      <c r="N892" s="227">
        <v>27255</v>
      </c>
      <c r="O892" s="128">
        <f t="shared" si="53"/>
        <v>1362750</v>
      </c>
      <c r="P892" s="250">
        <v>155</v>
      </c>
      <c r="Q892" s="227" t="s">
        <v>47</v>
      </c>
      <c r="R892" s="214" t="s">
        <v>1869</v>
      </c>
      <c r="S892" s="214" t="s">
        <v>1861</v>
      </c>
      <c r="T892" s="227"/>
      <c r="U892" t="s">
        <v>1953</v>
      </c>
      <c r="V892" t="s">
        <v>2813</v>
      </c>
    </row>
    <row r="893" spans="1:22" ht="15.75" thickBot="1" x14ac:dyDescent="0.3">
      <c r="A893" s="227" t="s">
        <v>1912</v>
      </c>
      <c r="B893" s="227" t="s">
        <v>1912</v>
      </c>
      <c r="C893" s="227" t="s">
        <v>1912</v>
      </c>
      <c r="D893" s="227" t="s">
        <v>629</v>
      </c>
      <c r="E893" s="248" t="s">
        <v>1853</v>
      </c>
      <c r="F893" s="227" t="s">
        <v>620</v>
      </c>
      <c r="G893" s="250">
        <v>2002</v>
      </c>
      <c r="H893" s="313" t="s">
        <v>732</v>
      </c>
      <c r="I893" s="308" t="str">
        <f t="shared" si="52"/>
        <v>Pesado de Passageiros M3: III : Gasóleo : E3</v>
      </c>
      <c r="J893" s="227">
        <v>55</v>
      </c>
      <c r="K893" s="249">
        <v>2022</v>
      </c>
      <c r="L893" s="227">
        <v>9555.5689309192367</v>
      </c>
      <c r="M893" s="227" t="s">
        <v>630</v>
      </c>
      <c r="N893" s="227">
        <v>21800</v>
      </c>
      <c r="O893" s="128">
        <f t="shared" si="53"/>
        <v>1199000</v>
      </c>
      <c r="P893" s="250">
        <v>156</v>
      </c>
      <c r="Q893" s="227" t="s">
        <v>47</v>
      </c>
      <c r="R893" s="214" t="s">
        <v>1869</v>
      </c>
      <c r="S893" s="214" t="s">
        <v>1861</v>
      </c>
      <c r="T893" s="227"/>
      <c r="U893" t="s">
        <v>1953</v>
      </c>
      <c r="V893" t="s">
        <v>2813</v>
      </c>
    </row>
    <row r="894" spans="1:22" ht="15.75" thickBot="1" x14ac:dyDescent="0.3">
      <c r="A894" s="227" t="s">
        <v>1912</v>
      </c>
      <c r="B894" s="227" t="s">
        <v>1912</v>
      </c>
      <c r="C894" s="227" t="s">
        <v>1912</v>
      </c>
      <c r="D894" s="227" t="s">
        <v>1919</v>
      </c>
      <c r="E894" s="248" t="s">
        <v>1853</v>
      </c>
      <c r="F894" s="227" t="s">
        <v>620</v>
      </c>
      <c r="G894" s="250">
        <v>2002</v>
      </c>
      <c r="H894" s="313" t="s">
        <v>732</v>
      </c>
      <c r="I894" s="309" t="s">
        <v>2820</v>
      </c>
      <c r="J894" s="227">
        <v>19</v>
      </c>
      <c r="K894" s="249">
        <v>2022</v>
      </c>
      <c r="L894" s="227">
        <v>1966.0764406262269</v>
      </c>
      <c r="M894" s="227" t="s">
        <v>630</v>
      </c>
      <c r="N894" s="227">
        <v>11981</v>
      </c>
      <c r="O894" s="128">
        <f t="shared" si="53"/>
        <v>227639</v>
      </c>
      <c r="P894" s="250">
        <v>157</v>
      </c>
      <c r="Q894" s="227" t="s">
        <v>47</v>
      </c>
      <c r="R894" s="214" t="s">
        <v>1869</v>
      </c>
      <c r="S894" s="214" t="s">
        <v>1861</v>
      </c>
      <c r="T894" s="227"/>
      <c r="U894" t="s">
        <v>1953</v>
      </c>
      <c r="V894" t="s">
        <v>2813</v>
      </c>
    </row>
    <row r="895" spans="1:22" ht="15.75" thickBot="1" x14ac:dyDescent="0.3">
      <c r="A895" s="227" t="s">
        <v>1912</v>
      </c>
      <c r="B895" s="227" t="s">
        <v>1912</v>
      </c>
      <c r="C895" s="227" t="s">
        <v>1912</v>
      </c>
      <c r="D895" s="227" t="s">
        <v>629</v>
      </c>
      <c r="E895" s="248" t="s">
        <v>1853</v>
      </c>
      <c r="F895" s="227" t="s">
        <v>620</v>
      </c>
      <c r="G895" s="250">
        <v>2003</v>
      </c>
      <c r="H895" s="313" t="s">
        <v>732</v>
      </c>
      <c r="I895" s="308" t="str">
        <f t="shared" si="52"/>
        <v>Pesado de Passageiros M3: III : Gasóleo : E3</v>
      </c>
      <c r="J895" s="227">
        <v>81</v>
      </c>
      <c r="K895" s="249">
        <v>2022</v>
      </c>
      <c r="L895" s="227">
        <v>11266.569211057997</v>
      </c>
      <c r="M895" s="227" t="s">
        <v>630</v>
      </c>
      <c r="N895" s="227">
        <v>26301</v>
      </c>
      <c r="O895" s="128">
        <f t="shared" si="53"/>
        <v>2130381</v>
      </c>
      <c r="P895" s="250">
        <v>159</v>
      </c>
      <c r="Q895" s="227" t="s">
        <v>47</v>
      </c>
      <c r="R895" s="214" t="s">
        <v>1869</v>
      </c>
      <c r="S895" s="214" t="s">
        <v>1861</v>
      </c>
      <c r="T895" s="227"/>
      <c r="U895" t="s">
        <v>1953</v>
      </c>
      <c r="V895" t="s">
        <v>2813</v>
      </c>
    </row>
    <row r="896" spans="1:22" ht="15.75" thickBot="1" x14ac:dyDescent="0.3">
      <c r="A896" s="227" t="s">
        <v>1912</v>
      </c>
      <c r="B896" s="227" t="s">
        <v>1912</v>
      </c>
      <c r="C896" s="227" t="s">
        <v>1912</v>
      </c>
      <c r="D896" s="227" t="s">
        <v>629</v>
      </c>
      <c r="E896" s="248" t="s">
        <v>1853</v>
      </c>
      <c r="F896" s="227" t="s">
        <v>620</v>
      </c>
      <c r="G896" s="250">
        <v>2008</v>
      </c>
      <c r="H896" s="313" t="s">
        <v>734</v>
      </c>
      <c r="I896" s="308" t="str">
        <f t="shared" si="52"/>
        <v>Pesado de Passageiros M3: III : Gasóleo : E5</v>
      </c>
      <c r="J896" s="227">
        <v>27</v>
      </c>
      <c r="K896" s="249">
        <v>2022</v>
      </c>
      <c r="L896" s="227">
        <v>4531.2326990285992</v>
      </c>
      <c r="M896" s="227" t="s">
        <v>630</v>
      </c>
      <c r="N896" s="227">
        <v>25407</v>
      </c>
      <c r="O896" s="128">
        <f t="shared" si="53"/>
        <v>685989</v>
      </c>
      <c r="P896" s="250">
        <v>160</v>
      </c>
      <c r="Q896" s="227" t="s">
        <v>47</v>
      </c>
      <c r="R896" s="214" t="s">
        <v>1869</v>
      </c>
      <c r="S896" s="214" t="s">
        <v>1861</v>
      </c>
      <c r="T896" s="227"/>
      <c r="U896" t="s">
        <v>1953</v>
      </c>
      <c r="V896" t="s">
        <v>2813</v>
      </c>
    </row>
    <row r="897" spans="1:22" ht="15.75" thickBot="1" x14ac:dyDescent="0.3">
      <c r="A897" s="227" t="s">
        <v>1912</v>
      </c>
      <c r="B897" s="227" t="s">
        <v>1912</v>
      </c>
      <c r="C897" s="227" t="s">
        <v>1912</v>
      </c>
      <c r="D897" s="227" t="s">
        <v>629</v>
      </c>
      <c r="E897" s="248" t="s">
        <v>1853</v>
      </c>
      <c r="F897" s="227" t="s">
        <v>620</v>
      </c>
      <c r="G897" s="250">
        <v>2000</v>
      </c>
      <c r="H897" s="313" t="s">
        <v>732</v>
      </c>
      <c r="I897" s="308" t="str">
        <f t="shared" si="52"/>
        <v>Pesado de Passageiros M3: III : Gasóleo : E3</v>
      </c>
      <c r="J897" s="227">
        <v>51</v>
      </c>
      <c r="K897" s="249">
        <v>2022</v>
      </c>
      <c r="L897" s="227">
        <v>7090.1794378271979</v>
      </c>
      <c r="M897" s="227" t="s">
        <v>630</v>
      </c>
      <c r="N897" s="227">
        <v>14293</v>
      </c>
      <c r="O897" s="128">
        <f t="shared" si="53"/>
        <v>728943</v>
      </c>
      <c r="P897" s="250">
        <v>168</v>
      </c>
      <c r="Q897" s="227" t="s">
        <v>47</v>
      </c>
      <c r="R897" s="214" t="s">
        <v>1869</v>
      </c>
      <c r="S897" s="214" t="s">
        <v>1861</v>
      </c>
      <c r="T897" s="227"/>
      <c r="U897" t="s">
        <v>1953</v>
      </c>
      <c r="V897" t="s">
        <v>2813</v>
      </c>
    </row>
    <row r="898" spans="1:22" ht="15.75" thickBot="1" x14ac:dyDescent="0.3">
      <c r="A898" s="227" t="s">
        <v>1912</v>
      </c>
      <c r="B898" s="227" t="s">
        <v>1912</v>
      </c>
      <c r="C898" s="227" t="s">
        <v>1912</v>
      </c>
      <c r="D898" s="227" t="s">
        <v>629</v>
      </c>
      <c r="E898" s="248" t="s">
        <v>1853</v>
      </c>
      <c r="F898" s="227" t="s">
        <v>620</v>
      </c>
      <c r="G898" s="250">
        <v>2007</v>
      </c>
      <c r="H898" s="313" t="s">
        <v>731</v>
      </c>
      <c r="I898" s="308" t="str">
        <f t="shared" si="52"/>
        <v>Pesado de Passageiros M3: III : Gasóleo : E4</v>
      </c>
      <c r="J898" s="227">
        <v>84</v>
      </c>
      <c r="K898" s="249">
        <v>2022</v>
      </c>
      <c r="L898" s="227">
        <v>12252.087734069548</v>
      </c>
      <c r="M898" s="227" t="s">
        <v>630</v>
      </c>
      <c r="N898" s="227">
        <v>35674</v>
      </c>
      <c r="O898" s="128">
        <f t="shared" si="53"/>
        <v>2996616</v>
      </c>
      <c r="P898" s="250">
        <v>171</v>
      </c>
      <c r="Q898" s="227" t="s">
        <v>47</v>
      </c>
      <c r="R898" s="214" t="s">
        <v>1869</v>
      </c>
      <c r="S898" s="214" t="s">
        <v>1861</v>
      </c>
      <c r="T898" s="227"/>
      <c r="U898" t="s">
        <v>1953</v>
      </c>
      <c r="V898" t="s">
        <v>2813</v>
      </c>
    </row>
    <row r="899" spans="1:22" ht="15.75" thickBot="1" x14ac:dyDescent="0.3">
      <c r="A899" s="227" t="s">
        <v>1912</v>
      </c>
      <c r="B899" s="227" t="s">
        <v>1912</v>
      </c>
      <c r="C899" s="227" t="s">
        <v>1912</v>
      </c>
      <c r="D899" s="227" t="s">
        <v>629</v>
      </c>
      <c r="E899" s="248" t="s">
        <v>1853</v>
      </c>
      <c r="F899" s="227" t="s">
        <v>620</v>
      </c>
      <c r="G899" s="250">
        <v>2005</v>
      </c>
      <c r="H899" s="313" t="s">
        <v>731</v>
      </c>
      <c r="I899" s="308" t="str">
        <f t="shared" si="52"/>
        <v>Pesado de Passageiros M3: III : Gasóleo : E4</v>
      </c>
      <c r="J899" s="227">
        <v>81</v>
      </c>
      <c r="K899" s="249">
        <v>2022</v>
      </c>
      <c r="L899" s="227">
        <v>10182.130641566278</v>
      </c>
      <c r="M899" s="227" t="s">
        <v>630</v>
      </c>
      <c r="N899" s="227">
        <v>26514</v>
      </c>
      <c r="O899" s="128">
        <f t="shared" si="53"/>
        <v>2147634</v>
      </c>
      <c r="P899" s="250">
        <v>172</v>
      </c>
      <c r="Q899" s="227" t="s">
        <v>47</v>
      </c>
      <c r="R899" s="214" t="s">
        <v>1869</v>
      </c>
      <c r="S899" s="214" t="s">
        <v>1861</v>
      </c>
      <c r="T899" s="227"/>
      <c r="U899" t="s">
        <v>1953</v>
      </c>
      <c r="V899" t="s">
        <v>2813</v>
      </c>
    </row>
    <row r="900" spans="1:22" ht="15.75" thickBot="1" x14ac:dyDescent="0.3">
      <c r="A900" s="227" t="s">
        <v>1912</v>
      </c>
      <c r="B900" s="227" t="s">
        <v>1912</v>
      </c>
      <c r="C900" s="227" t="s">
        <v>1912</v>
      </c>
      <c r="D900" s="227" t="s">
        <v>629</v>
      </c>
      <c r="E900" s="248" t="s">
        <v>1853</v>
      </c>
      <c r="F900" s="227" t="s">
        <v>620</v>
      </c>
      <c r="G900" s="250">
        <v>2005</v>
      </c>
      <c r="H900" s="313" t="s">
        <v>731</v>
      </c>
      <c r="I900" s="308" t="str">
        <f t="shared" ref="I900:I963" si="54">D900&amp;": "&amp;E900&amp;" : "&amp;F900&amp;" : "&amp;H900</f>
        <v>Pesado de Passageiros M3: III : Gasóleo : E4</v>
      </c>
      <c r="J900" s="227">
        <v>82</v>
      </c>
      <c r="K900" s="249">
        <v>2022</v>
      </c>
      <c r="L900" s="227">
        <v>3351.5910270913369</v>
      </c>
      <c r="M900" s="227" t="s">
        <v>630</v>
      </c>
      <c r="N900" s="227">
        <v>7359</v>
      </c>
      <c r="O900" s="128">
        <f t="shared" ref="O900:O963" si="55">N900*J900</f>
        <v>603438</v>
      </c>
      <c r="P900" s="250">
        <v>173</v>
      </c>
      <c r="Q900" s="227" t="s">
        <v>47</v>
      </c>
      <c r="R900" s="214" t="s">
        <v>1869</v>
      </c>
      <c r="S900" s="214" t="s">
        <v>1861</v>
      </c>
      <c r="T900" s="227"/>
      <c r="U900" t="s">
        <v>1953</v>
      </c>
      <c r="V900" t="s">
        <v>2813</v>
      </c>
    </row>
    <row r="901" spans="1:22" ht="15.75" thickBot="1" x14ac:dyDescent="0.3">
      <c r="A901" s="227" t="s">
        <v>1912</v>
      </c>
      <c r="B901" s="227" t="s">
        <v>1912</v>
      </c>
      <c r="C901" s="227" t="s">
        <v>1912</v>
      </c>
      <c r="D901" s="227" t="s">
        <v>629</v>
      </c>
      <c r="E901" s="248" t="s">
        <v>1853</v>
      </c>
      <c r="F901" s="227" t="s">
        <v>620</v>
      </c>
      <c r="G901" s="250">
        <v>2006</v>
      </c>
      <c r="H901" s="313" t="s">
        <v>731</v>
      </c>
      <c r="I901" s="308" t="str">
        <f t="shared" si="54"/>
        <v>Pesado de Passageiros M3: III : Gasóleo : E4</v>
      </c>
      <c r="J901" s="227">
        <v>82</v>
      </c>
      <c r="K901" s="249">
        <v>2022</v>
      </c>
      <c r="L901" s="227">
        <v>8324.3565413094184</v>
      </c>
      <c r="M901" s="227" t="s">
        <v>630</v>
      </c>
      <c r="N901" s="227">
        <v>25701</v>
      </c>
      <c r="O901" s="128">
        <f t="shared" si="55"/>
        <v>2107482</v>
      </c>
      <c r="P901" s="250">
        <v>174</v>
      </c>
      <c r="Q901" s="227" t="s">
        <v>47</v>
      </c>
      <c r="R901" s="214" t="s">
        <v>1869</v>
      </c>
      <c r="S901" s="214" t="s">
        <v>1861</v>
      </c>
      <c r="T901" s="227"/>
      <c r="U901" t="s">
        <v>1953</v>
      </c>
      <c r="V901" t="s">
        <v>2813</v>
      </c>
    </row>
    <row r="902" spans="1:22" ht="15.75" thickBot="1" x14ac:dyDescent="0.3">
      <c r="A902" s="227" t="s">
        <v>1912</v>
      </c>
      <c r="B902" s="227" t="s">
        <v>1912</v>
      </c>
      <c r="C902" s="227" t="s">
        <v>1912</v>
      </c>
      <c r="D902" s="227" t="s">
        <v>629</v>
      </c>
      <c r="E902" s="248" t="s">
        <v>1853</v>
      </c>
      <c r="F902" s="227" t="s">
        <v>620</v>
      </c>
      <c r="G902" s="250">
        <v>2001</v>
      </c>
      <c r="H902" s="313" t="s">
        <v>732</v>
      </c>
      <c r="I902" s="308" t="str">
        <f t="shared" si="54"/>
        <v>Pesado de Passageiros M3: III : Gasóleo : E3</v>
      </c>
      <c r="J902" s="227">
        <v>51</v>
      </c>
      <c r="K902" s="249">
        <v>2022</v>
      </c>
      <c r="L902" s="227">
        <v>8520.8495351836482</v>
      </c>
      <c r="M902" s="227" t="s">
        <v>630</v>
      </c>
      <c r="N902" s="227">
        <v>21235</v>
      </c>
      <c r="O902" s="128">
        <f t="shared" si="55"/>
        <v>1082985</v>
      </c>
      <c r="P902" s="250">
        <v>175</v>
      </c>
      <c r="Q902" s="227" t="s">
        <v>47</v>
      </c>
      <c r="R902" s="214" t="s">
        <v>1869</v>
      </c>
      <c r="S902" s="214" t="s">
        <v>1861</v>
      </c>
      <c r="T902" s="227"/>
      <c r="U902" t="s">
        <v>1953</v>
      </c>
      <c r="V902" t="s">
        <v>2813</v>
      </c>
    </row>
    <row r="903" spans="1:22" ht="15.75" thickBot="1" x14ac:dyDescent="0.3">
      <c r="A903" s="227" t="s">
        <v>1912</v>
      </c>
      <c r="B903" s="227" t="s">
        <v>1912</v>
      </c>
      <c r="C903" s="227" t="s">
        <v>1912</v>
      </c>
      <c r="D903" s="227" t="s">
        <v>629</v>
      </c>
      <c r="E903" s="248" t="s">
        <v>1853</v>
      </c>
      <c r="F903" s="227" t="s">
        <v>620</v>
      </c>
      <c r="G903" s="250">
        <v>2007</v>
      </c>
      <c r="H903" s="313" t="s">
        <v>731</v>
      </c>
      <c r="I903" s="308" t="str">
        <f t="shared" si="54"/>
        <v>Pesado de Passageiros M3: III : Gasóleo : E4</v>
      </c>
      <c r="J903" s="227">
        <v>81</v>
      </c>
      <c r="K903" s="249">
        <v>2022</v>
      </c>
      <c r="L903" s="227">
        <v>11206.471348456256</v>
      </c>
      <c r="M903" s="227" t="s">
        <v>630</v>
      </c>
      <c r="N903" s="227">
        <v>28926</v>
      </c>
      <c r="O903" s="128">
        <f t="shared" si="55"/>
        <v>2343006</v>
      </c>
      <c r="P903" s="250">
        <v>176</v>
      </c>
      <c r="Q903" s="227" t="s">
        <v>47</v>
      </c>
      <c r="R903" s="214" t="s">
        <v>1869</v>
      </c>
      <c r="S903" s="214" t="s">
        <v>1861</v>
      </c>
      <c r="T903" s="227"/>
      <c r="U903" t="s">
        <v>1953</v>
      </c>
      <c r="V903" t="s">
        <v>2813</v>
      </c>
    </row>
    <row r="904" spans="1:22" ht="15.75" thickBot="1" x14ac:dyDescent="0.3">
      <c r="A904" s="227" t="s">
        <v>1912</v>
      </c>
      <c r="B904" s="227" t="s">
        <v>1912</v>
      </c>
      <c r="C904" s="227" t="s">
        <v>1912</v>
      </c>
      <c r="D904" s="227" t="s">
        <v>629</v>
      </c>
      <c r="E904" s="248" t="s">
        <v>1853</v>
      </c>
      <c r="F904" s="227" t="s">
        <v>620</v>
      </c>
      <c r="G904" s="250">
        <v>2008</v>
      </c>
      <c r="H904" s="313" t="s">
        <v>734</v>
      </c>
      <c r="I904" s="308" t="str">
        <f t="shared" si="54"/>
        <v>Pesado de Passageiros M3: III : Gasóleo : E5</v>
      </c>
      <c r="J904" s="227">
        <v>81</v>
      </c>
      <c r="K904" s="249">
        <v>2022</v>
      </c>
      <c r="L904" s="227">
        <v>12137.443245409164</v>
      </c>
      <c r="M904" s="227" t="s">
        <v>630</v>
      </c>
      <c r="N904" s="227">
        <v>28900</v>
      </c>
      <c r="O904" s="128">
        <f t="shared" si="55"/>
        <v>2340900</v>
      </c>
      <c r="P904" s="250">
        <v>183</v>
      </c>
      <c r="Q904" s="227" t="s">
        <v>47</v>
      </c>
      <c r="R904" s="214" t="s">
        <v>1869</v>
      </c>
      <c r="S904" s="214" t="s">
        <v>1861</v>
      </c>
      <c r="T904" s="227"/>
      <c r="U904" t="s">
        <v>1953</v>
      </c>
      <c r="V904" t="s">
        <v>2813</v>
      </c>
    </row>
    <row r="905" spans="1:22" ht="15.75" thickBot="1" x14ac:dyDescent="0.3">
      <c r="A905" s="227" t="s">
        <v>1912</v>
      </c>
      <c r="B905" s="227" t="s">
        <v>1912</v>
      </c>
      <c r="C905" s="227" t="s">
        <v>1912</v>
      </c>
      <c r="D905" s="227" t="s">
        <v>629</v>
      </c>
      <c r="E905" s="248" t="s">
        <v>1853</v>
      </c>
      <c r="F905" s="227" t="s">
        <v>620</v>
      </c>
      <c r="G905" s="250">
        <v>2009</v>
      </c>
      <c r="H905" s="313" t="s">
        <v>734</v>
      </c>
      <c r="I905" s="308" t="str">
        <f t="shared" si="54"/>
        <v>Pesado de Passageiros M3: III : Gasóleo : E5</v>
      </c>
      <c r="J905" s="227">
        <v>71</v>
      </c>
      <c r="K905" s="249">
        <v>2022</v>
      </c>
      <c r="L905" s="227">
        <v>17486.394806627923</v>
      </c>
      <c r="M905" s="227" t="s">
        <v>630</v>
      </c>
      <c r="N905" s="227">
        <v>45360</v>
      </c>
      <c r="O905" s="128">
        <f t="shared" si="55"/>
        <v>3220560</v>
      </c>
      <c r="P905" s="250">
        <v>184</v>
      </c>
      <c r="Q905" s="227" t="s">
        <v>47</v>
      </c>
      <c r="R905" s="214" t="s">
        <v>1869</v>
      </c>
      <c r="S905" s="214" t="s">
        <v>1861</v>
      </c>
      <c r="T905" s="227"/>
      <c r="U905" t="s">
        <v>1953</v>
      </c>
      <c r="V905" t="s">
        <v>2813</v>
      </c>
    </row>
    <row r="906" spans="1:22" ht="15.75" thickBot="1" x14ac:dyDescent="0.3">
      <c r="A906" s="227" t="s">
        <v>1912</v>
      </c>
      <c r="B906" s="227" t="s">
        <v>1912</v>
      </c>
      <c r="C906" s="227" t="s">
        <v>1912</v>
      </c>
      <c r="D906" s="227" t="s">
        <v>629</v>
      </c>
      <c r="E906" s="248" t="s">
        <v>1853</v>
      </c>
      <c r="F906" s="227" t="s">
        <v>620</v>
      </c>
      <c r="G906" s="250">
        <v>2009</v>
      </c>
      <c r="H906" s="313" t="s">
        <v>734</v>
      </c>
      <c r="I906" s="308" t="str">
        <f t="shared" si="54"/>
        <v>Pesado de Passageiros M3: III : Gasóleo : E5</v>
      </c>
      <c r="J906" s="227">
        <v>50</v>
      </c>
      <c r="K906" s="249">
        <v>2022</v>
      </c>
      <c r="L906" s="227">
        <v>16743.627730026637</v>
      </c>
      <c r="M906" s="227" t="s">
        <v>630</v>
      </c>
      <c r="N906" s="227">
        <v>48881</v>
      </c>
      <c r="O906" s="128">
        <f t="shared" si="55"/>
        <v>2444050</v>
      </c>
      <c r="P906" s="250">
        <v>185</v>
      </c>
      <c r="Q906" s="227" t="s">
        <v>47</v>
      </c>
      <c r="R906" s="214" t="s">
        <v>1869</v>
      </c>
      <c r="S906" s="214" t="s">
        <v>1861</v>
      </c>
      <c r="T906" s="227"/>
      <c r="U906" t="s">
        <v>1953</v>
      </c>
      <c r="V906" t="s">
        <v>2813</v>
      </c>
    </row>
    <row r="907" spans="1:22" ht="15.75" thickBot="1" x14ac:dyDescent="0.3">
      <c r="A907" s="227" t="s">
        <v>1912</v>
      </c>
      <c r="B907" s="227" t="s">
        <v>1912</v>
      </c>
      <c r="C907" s="227" t="s">
        <v>1912</v>
      </c>
      <c r="D907" s="227" t="s">
        <v>629</v>
      </c>
      <c r="E907" s="248" t="s">
        <v>1853</v>
      </c>
      <c r="F907" s="227" t="s">
        <v>620</v>
      </c>
      <c r="G907" s="250">
        <v>1997</v>
      </c>
      <c r="H907" s="313" t="s">
        <v>735</v>
      </c>
      <c r="I907" s="308" t="str">
        <f t="shared" si="54"/>
        <v>Pesado de Passageiros M3: III : Gasóleo : E2</v>
      </c>
      <c r="J907" s="227">
        <v>85</v>
      </c>
      <c r="K907" s="249">
        <v>2022</v>
      </c>
      <c r="L907" s="227">
        <v>8301.5842798697067</v>
      </c>
      <c r="M907" s="227" t="s">
        <v>630</v>
      </c>
      <c r="N907" s="227">
        <v>23319</v>
      </c>
      <c r="O907" s="128">
        <f t="shared" si="55"/>
        <v>1982115</v>
      </c>
      <c r="P907" s="250">
        <v>186</v>
      </c>
      <c r="Q907" s="227" t="s">
        <v>47</v>
      </c>
      <c r="R907" s="214" t="s">
        <v>1869</v>
      </c>
      <c r="S907" s="214" t="s">
        <v>1861</v>
      </c>
      <c r="T907" s="227"/>
      <c r="U907" t="s">
        <v>1953</v>
      </c>
      <c r="V907" t="s">
        <v>2813</v>
      </c>
    </row>
    <row r="908" spans="1:22" ht="15.75" thickBot="1" x14ac:dyDescent="0.3">
      <c r="A908" s="227" t="s">
        <v>1912</v>
      </c>
      <c r="B908" s="227" t="s">
        <v>1912</v>
      </c>
      <c r="C908" s="227" t="s">
        <v>1912</v>
      </c>
      <c r="D908" s="227" t="s">
        <v>629</v>
      </c>
      <c r="E908" s="248" t="s">
        <v>1853</v>
      </c>
      <c r="F908" s="227" t="s">
        <v>620</v>
      </c>
      <c r="G908" s="250">
        <v>2012</v>
      </c>
      <c r="H908" s="313" t="s">
        <v>734</v>
      </c>
      <c r="I908" s="308" t="str">
        <f t="shared" si="54"/>
        <v>Pesado de Passageiros M3: III : Gasóleo : E5</v>
      </c>
      <c r="J908" s="227">
        <v>73</v>
      </c>
      <c r="K908" s="249">
        <v>2022</v>
      </c>
      <c r="L908" s="227">
        <v>6190.4127439671311</v>
      </c>
      <c r="M908" s="227" t="s">
        <v>630</v>
      </c>
      <c r="N908" s="227">
        <v>15343</v>
      </c>
      <c r="O908" s="128">
        <f t="shared" si="55"/>
        <v>1120039</v>
      </c>
      <c r="P908" s="250">
        <v>189</v>
      </c>
      <c r="Q908" s="227" t="s">
        <v>47</v>
      </c>
      <c r="R908" s="214" t="s">
        <v>1869</v>
      </c>
      <c r="S908" s="214" t="s">
        <v>1861</v>
      </c>
      <c r="T908" s="227"/>
      <c r="U908" t="s">
        <v>1953</v>
      </c>
      <c r="V908" t="s">
        <v>2813</v>
      </c>
    </row>
    <row r="909" spans="1:22" ht="15.75" thickBot="1" x14ac:dyDescent="0.3">
      <c r="A909" s="227" t="s">
        <v>1912</v>
      </c>
      <c r="B909" s="227" t="s">
        <v>1912</v>
      </c>
      <c r="C909" s="227" t="s">
        <v>1912</v>
      </c>
      <c r="D909" s="227" t="s">
        <v>629</v>
      </c>
      <c r="E909" s="248" t="s">
        <v>1853</v>
      </c>
      <c r="F909" s="227" t="s">
        <v>620</v>
      </c>
      <c r="G909" s="250">
        <v>1999</v>
      </c>
      <c r="H909" s="313" t="s">
        <v>735</v>
      </c>
      <c r="I909" s="308" t="str">
        <f t="shared" si="54"/>
        <v>Pesado de Passageiros M3: III : Gasóleo : E2</v>
      </c>
      <c r="J909" s="227">
        <v>73</v>
      </c>
      <c r="K909" s="249">
        <v>2022</v>
      </c>
      <c r="L909" s="227">
        <v>11377.328933719067</v>
      </c>
      <c r="M909" s="227" t="s">
        <v>630</v>
      </c>
      <c r="N909" s="227">
        <v>35034</v>
      </c>
      <c r="O909" s="128">
        <f t="shared" si="55"/>
        <v>2557482</v>
      </c>
      <c r="P909" s="250">
        <v>190</v>
      </c>
      <c r="Q909" s="227" t="s">
        <v>47</v>
      </c>
      <c r="R909" s="214" t="s">
        <v>1869</v>
      </c>
      <c r="S909" s="214" t="s">
        <v>1861</v>
      </c>
      <c r="T909" s="227"/>
      <c r="U909" t="s">
        <v>1953</v>
      </c>
      <c r="V909" t="s">
        <v>2813</v>
      </c>
    </row>
    <row r="910" spans="1:22" ht="15.75" thickBot="1" x14ac:dyDescent="0.3">
      <c r="A910" s="227" t="s">
        <v>1912</v>
      </c>
      <c r="B910" s="227" t="s">
        <v>1912</v>
      </c>
      <c r="C910" s="227" t="s">
        <v>1912</v>
      </c>
      <c r="D910" s="227" t="s">
        <v>629</v>
      </c>
      <c r="E910" s="248" t="s">
        <v>1853</v>
      </c>
      <c r="F910" s="227" t="s">
        <v>620</v>
      </c>
      <c r="G910" s="250">
        <v>2001</v>
      </c>
      <c r="H910" s="313" t="s">
        <v>732</v>
      </c>
      <c r="I910" s="308" t="str">
        <f t="shared" si="54"/>
        <v>Pesado de Passageiros M3: III : Gasóleo : E3</v>
      </c>
      <c r="J910" s="227">
        <v>76</v>
      </c>
      <c r="K910" s="249">
        <v>2022</v>
      </c>
      <c r="L910" s="227">
        <v>7621.0533995640944</v>
      </c>
      <c r="M910" s="227" t="s">
        <v>630</v>
      </c>
      <c r="N910" s="227">
        <v>19881</v>
      </c>
      <c r="O910" s="128">
        <f t="shared" si="55"/>
        <v>1510956</v>
      </c>
      <c r="P910" s="250">
        <v>191</v>
      </c>
      <c r="Q910" s="227" t="s">
        <v>47</v>
      </c>
      <c r="R910" s="214" t="s">
        <v>1869</v>
      </c>
      <c r="S910" s="214" t="s">
        <v>1861</v>
      </c>
      <c r="T910" s="227"/>
      <c r="U910" t="s">
        <v>1953</v>
      </c>
      <c r="V910" t="s">
        <v>2813</v>
      </c>
    </row>
    <row r="911" spans="1:22" ht="15.75" thickBot="1" x14ac:dyDescent="0.3">
      <c r="A911" s="227" t="s">
        <v>1912</v>
      </c>
      <c r="B911" s="227" t="s">
        <v>1912</v>
      </c>
      <c r="C911" s="227" t="s">
        <v>1912</v>
      </c>
      <c r="D911" s="227" t="s">
        <v>629</v>
      </c>
      <c r="E911" s="248" t="s">
        <v>1853</v>
      </c>
      <c r="F911" s="227" t="s">
        <v>620</v>
      </c>
      <c r="G911" s="250">
        <v>2012</v>
      </c>
      <c r="H911" s="313" t="s">
        <v>734</v>
      </c>
      <c r="I911" s="308" t="str">
        <f t="shared" si="54"/>
        <v>Pesado de Passageiros M3: III : Gasóleo : E5</v>
      </c>
      <c r="J911" s="227">
        <v>32</v>
      </c>
      <c r="K911" s="249">
        <v>2022</v>
      </c>
      <c r="L911" s="227">
        <v>5167.4350462793573</v>
      </c>
      <c r="M911" s="227" t="s">
        <v>630</v>
      </c>
      <c r="N911" s="227">
        <v>28349</v>
      </c>
      <c r="O911" s="128">
        <f t="shared" si="55"/>
        <v>907168</v>
      </c>
      <c r="P911" s="250">
        <v>192</v>
      </c>
      <c r="Q911" s="227" t="s">
        <v>47</v>
      </c>
      <c r="R911" s="214" t="s">
        <v>1869</v>
      </c>
      <c r="S911" s="214" t="s">
        <v>1861</v>
      </c>
      <c r="T911" s="227"/>
      <c r="U911" t="s">
        <v>1953</v>
      </c>
      <c r="V911" t="s">
        <v>2813</v>
      </c>
    </row>
    <row r="912" spans="1:22" ht="15.75" thickBot="1" x14ac:dyDescent="0.3">
      <c r="A912" s="227" t="s">
        <v>1912</v>
      </c>
      <c r="B912" s="227" t="s">
        <v>1912</v>
      </c>
      <c r="C912" s="227" t="s">
        <v>1912</v>
      </c>
      <c r="D912" s="227" t="s">
        <v>629</v>
      </c>
      <c r="E912" s="248" t="s">
        <v>1853</v>
      </c>
      <c r="F912" s="227" t="s">
        <v>620</v>
      </c>
      <c r="G912" s="250">
        <v>2004</v>
      </c>
      <c r="H912" s="313" t="s">
        <v>732</v>
      </c>
      <c r="I912" s="308" t="str">
        <f t="shared" si="54"/>
        <v>Pesado de Passageiros M3: III : Gasóleo : E3</v>
      </c>
      <c r="J912" s="227">
        <v>19</v>
      </c>
      <c r="K912" s="249">
        <v>2022</v>
      </c>
      <c r="L912" s="227">
        <v>2742.95769403849</v>
      </c>
      <c r="M912" s="227" t="s">
        <v>630</v>
      </c>
      <c r="N912" s="227">
        <v>15512</v>
      </c>
      <c r="O912" s="128">
        <f t="shared" si="55"/>
        <v>294728</v>
      </c>
      <c r="P912" s="250">
        <v>193</v>
      </c>
      <c r="Q912" s="227" t="s">
        <v>47</v>
      </c>
      <c r="R912" s="214" t="s">
        <v>1869</v>
      </c>
      <c r="S912" s="214" t="s">
        <v>1861</v>
      </c>
      <c r="T912" s="227"/>
      <c r="U912" t="s">
        <v>1953</v>
      </c>
      <c r="V912" t="s">
        <v>2813</v>
      </c>
    </row>
    <row r="913" spans="1:22" ht="15.75" thickBot="1" x14ac:dyDescent="0.3">
      <c r="A913" s="227" t="s">
        <v>1912</v>
      </c>
      <c r="B913" s="227" t="s">
        <v>1912</v>
      </c>
      <c r="C913" s="227" t="s">
        <v>1912</v>
      </c>
      <c r="D913" s="227" t="s">
        <v>1919</v>
      </c>
      <c r="E913" s="248" t="s">
        <v>1853</v>
      </c>
      <c r="F913" s="227" t="s">
        <v>620</v>
      </c>
      <c r="G913" s="250">
        <v>2002</v>
      </c>
      <c r="H913" s="313" t="s">
        <v>732</v>
      </c>
      <c r="I913" s="309" t="s">
        <v>2820</v>
      </c>
      <c r="J913" s="227">
        <v>20</v>
      </c>
      <c r="K913" s="249">
        <v>2022</v>
      </c>
      <c r="L913" s="227">
        <v>1205.4305230382943</v>
      </c>
      <c r="M913" s="227" t="s">
        <v>630</v>
      </c>
      <c r="N913" s="227">
        <v>7727</v>
      </c>
      <c r="O913" s="128">
        <f t="shared" si="55"/>
        <v>154540</v>
      </c>
      <c r="P913" s="250">
        <v>194</v>
      </c>
      <c r="Q913" s="227" t="s">
        <v>47</v>
      </c>
      <c r="R913" s="214" t="s">
        <v>1869</v>
      </c>
      <c r="S913" s="214" t="s">
        <v>1861</v>
      </c>
      <c r="T913" s="227"/>
      <c r="U913" t="s">
        <v>1953</v>
      </c>
      <c r="V913" t="s">
        <v>2813</v>
      </c>
    </row>
    <row r="914" spans="1:22" ht="15.75" thickBot="1" x14ac:dyDescent="0.3">
      <c r="A914" s="227" t="s">
        <v>1912</v>
      </c>
      <c r="B914" s="227" t="s">
        <v>1912</v>
      </c>
      <c r="C914" s="227" t="s">
        <v>1912</v>
      </c>
      <c r="D914" s="227" t="s">
        <v>629</v>
      </c>
      <c r="E914" s="248" t="s">
        <v>1853</v>
      </c>
      <c r="F914" s="227" t="s">
        <v>620</v>
      </c>
      <c r="G914" s="250">
        <v>2004</v>
      </c>
      <c r="H914" s="313" t="s">
        <v>732</v>
      </c>
      <c r="I914" s="308" t="str">
        <f t="shared" si="54"/>
        <v>Pesado de Passageiros M3: III : Gasóleo : E3</v>
      </c>
      <c r="J914" s="227">
        <v>54</v>
      </c>
      <c r="K914" s="249">
        <v>2022</v>
      </c>
      <c r="L914" s="227">
        <v>9342.5068001033742</v>
      </c>
      <c r="M914" s="227" t="s">
        <v>630</v>
      </c>
      <c r="N914" s="227">
        <v>23544</v>
      </c>
      <c r="O914" s="128">
        <f t="shared" si="55"/>
        <v>1271376</v>
      </c>
      <c r="P914" s="250">
        <v>195</v>
      </c>
      <c r="Q914" s="227" t="s">
        <v>47</v>
      </c>
      <c r="R914" s="214" t="s">
        <v>1869</v>
      </c>
      <c r="S914" s="214" t="s">
        <v>1861</v>
      </c>
      <c r="T914" s="227"/>
      <c r="U914" t="s">
        <v>1953</v>
      </c>
      <c r="V914" t="s">
        <v>2813</v>
      </c>
    </row>
    <row r="915" spans="1:22" ht="15.75" thickBot="1" x14ac:dyDescent="0.3">
      <c r="A915" s="227" t="s">
        <v>1912</v>
      </c>
      <c r="B915" s="227" t="s">
        <v>1912</v>
      </c>
      <c r="C915" s="227" t="s">
        <v>1912</v>
      </c>
      <c r="D915" s="227" t="s">
        <v>629</v>
      </c>
      <c r="E915" s="248" t="s">
        <v>1853</v>
      </c>
      <c r="F915" s="227" t="s">
        <v>620</v>
      </c>
      <c r="G915" s="250">
        <v>2004</v>
      </c>
      <c r="H915" s="313" t="s">
        <v>732</v>
      </c>
      <c r="I915" s="308" t="str">
        <f t="shared" si="54"/>
        <v>Pesado de Passageiros M3: III : Gasóleo : E3</v>
      </c>
      <c r="J915" s="227">
        <v>54</v>
      </c>
      <c r="K915" s="249">
        <v>2022</v>
      </c>
      <c r="L915" s="227"/>
      <c r="M915" s="227" t="s">
        <v>630</v>
      </c>
      <c r="N915" s="227">
        <v>0</v>
      </c>
      <c r="O915" s="128">
        <f t="shared" si="55"/>
        <v>0</v>
      </c>
      <c r="P915" s="250">
        <v>196</v>
      </c>
      <c r="Q915" s="227" t="s">
        <v>47</v>
      </c>
      <c r="R915" s="214" t="s">
        <v>1869</v>
      </c>
      <c r="S915" s="214" t="s">
        <v>1861</v>
      </c>
      <c r="T915" s="227"/>
      <c r="U915" t="s">
        <v>1953</v>
      </c>
      <c r="V915" t="s">
        <v>2813</v>
      </c>
    </row>
    <row r="916" spans="1:22" ht="15.75" thickBot="1" x14ac:dyDescent="0.3">
      <c r="A916" s="227" t="s">
        <v>1912</v>
      </c>
      <c r="B916" s="227" t="s">
        <v>1912</v>
      </c>
      <c r="C916" s="227" t="s">
        <v>1912</v>
      </c>
      <c r="D916" s="227" t="s">
        <v>629</v>
      </c>
      <c r="E916" s="248" t="s">
        <v>1853</v>
      </c>
      <c r="F916" s="227" t="s">
        <v>620</v>
      </c>
      <c r="G916" s="250">
        <v>1999</v>
      </c>
      <c r="H916" s="313" t="s">
        <v>735</v>
      </c>
      <c r="I916" s="308" t="str">
        <f t="shared" si="54"/>
        <v>Pesado de Passageiros M3: III : Gasóleo : E2</v>
      </c>
      <c r="J916" s="227">
        <v>50</v>
      </c>
      <c r="K916" s="249">
        <v>2022</v>
      </c>
      <c r="L916" s="227">
        <v>13269.095412079887</v>
      </c>
      <c r="M916" s="227" t="s">
        <v>630</v>
      </c>
      <c r="N916" s="227">
        <v>30689</v>
      </c>
      <c r="O916" s="128">
        <f t="shared" si="55"/>
        <v>1534450</v>
      </c>
      <c r="P916" s="250">
        <v>199</v>
      </c>
      <c r="Q916" s="227" t="s">
        <v>47</v>
      </c>
      <c r="R916" s="214" t="s">
        <v>1869</v>
      </c>
      <c r="S916" s="214" t="s">
        <v>1861</v>
      </c>
      <c r="T916" s="227"/>
      <c r="U916" t="s">
        <v>1953</v>
      </c>
      <c r="V916" t="s">
        <v>2813</v>
      </c>
    </row>
    <row r="917" spans="1:22" ht="15.75" thickBot="1" x14ac:dyDescent="0.3">
      <c r="A917" s="227" t="s">
        <v>1912</v>
      </c>
      <c r="B917" s="227" t="s">
        <v>1912</v>
      </c>
      <c r="C917" s="227" t="s">
        <v>1912</v>
      </c>
      <c r="D917" s="227" t="s">
        <v>629</v>
      </c>
      <c r="E917" s="248" t="s">
        <v>1853</v>
      </c>
      <c r="F917" s="227" t="s">
        <v>620</v>
      </c>
      <c r="G917" s="250">
        <v>1999</v>
      </c>
      <c r="H917" s="313" t="s">
        <v>735</v>
      </c>
      <c r="I917" s="308" t="str">
        <f t="shared" si="54"/>
        <v>Pesado de Passageiros M3: III : Gasóleo : E2</v>
      </c>
      <c r="J917" s="227">
        <v>50</v>
      </c>
      <c r="K917" s="249">
        <v>2022</v>
      </c>
      <c r="L917" s="227">
        <v>11720.047031748509</v>
      </c>
      <c r="M917" s="227" t="s">
        <v>630</v>
      </c>
      <c r="N917" s="227">
        <v>31488</v>
      </c>
      <c r="O917" s="128">
        <f t="shared" si="55"/>
        <v>1574400</v>
      </c>
      <c r="P917" s="250">
        <v>200</v>
      </c>
      <c r="Q917" s="227" t="s">
        <v>47</v>
      </c>
      <c r="R917" s="214" t="s">
        <v>1869</v>
      </c>
      <c r="S917" s="214" t="s">
        <v>1861</v>
      </c>
      <c r="T917" s="227"/>
      <c r="U917" t="s">
        <v>1953</v>
      </c>
      <c r="V917" t="s">
        <v>2813</v>
      </c>
    </row>
    <row r="918" spans="1:22" ht="15.75" thickBot="1" x14ac:dyDescent="0.3">
      <c r="A918" s="227" t="s">
        <v>1912</v>
      </c>
      <c r="B918" s="227" t="s">
        <v>1912</v>
      </c>
      <c r="C918" s="227" t="s">
        <v>1912</v>
      </c>
      <c r="D918" s="227" t="s">
        <v>629</v>
      </c>
      <c r="E918" s="248" t="s">
        <v>1853</v>
      </c>
      <c r="F918" s="227" t="s">
        <v>620</v>
      </c>
      <c r="G918" s="250">
        <v>2004</v>
      </c>
      <c r="H918" s="313" t="s">
        <v>732</v>
      </c>
      <c r="I918" s="308" t="str">
        <f t="shared" si="54"/>
        <v>Pesado de Passageiros M3: III : Gasóleo : E3</v>
      </c>
      <c r="J918" s="227">
        <v>54</v>
      </c>
      <c r="K918" s="249">
        <v>2022</v>
      </c>
      <c r="L918" s="227">
        <v>9369.0450648478782</v>
      </c>
      <c r="M918" s="227" t="s">
        <v>630</v>
      </c>
      <c r="N918" s="227">
        <v>23873</v>
      </c>
      <c r="O918" s="128">
        <f t="shared" si="55"/>
        <v>1289142</v>
      </c>
      <c r="P918" s="250">
        <v>201</v>
      </c>
      <c r="Q918" s="227" t="s">
        <v>47</v>
      </c>
      <c r="R918" s="214" t="s">
        <v>1869</v>
      </c>
      <c r="S918" s="214" t="s">
        <v>1861</v>
      </c>
      <c r="T918" s="227"/>
      <c r="U918" t="s">
        <v>1953</v>
      </c>
      <c r="V918" t="s">
        <v>2813</v>
      </c>
    </row>
    <row r="919" spans="1:22" ht="15.75" thickBot="1" x14ac:dyDescent="0.3">
      <c r="A919" s="227" t="s">
        <v>1912</v>
      </c>
      <c r="B919" s="227" t="s">
        <v>1912</v>
      </c>
      <c r="C919" s="227" t="s">
        <v>1912</v>
      </c>
      <c r="D919" s="227" t="s">
        <v>629</v>
      </c>
      <c r="E919" s="248" t="s">
        <v>1853</v>
      </c>
      <c r="F919" s="227" t="s">
        <v>620</v>
      </c>
      <c r="G919" s="250">
        <v>2009</v>
      </c>
      <c r="H919" s="313" t="s">
        <v>734</v>
      </c>
      <c r="I919" s="308" t="str">
        <f t="shared" si="54"/>
        <v>Pesado de Passageiros M3: III : Gasóleo : E5</v>
      </c>
      <c r="J919" s="227">
        <v>36</v>
      </c>
      <c r="K919" s="249">
        <v>2022</v>
      </c>
      <c r="L919" s="227">
        <v>11002.322327958515</v>
      </c>
      <c r="M919" s="227" t="s">
        <v>630</v>
      </c>
      <c r="N919" s="227">
        <v>36632</v>
      </c>
      <c r="O919" s="128">
        <f t="shared" si="55"/>
        <v>1318752</v>
      </c>
      <c r="P919" s="250">
        <v>202</v>
      </c>
      <c r="Q919" s="227" t="s">
        <v>47</v>
      </c>
      <c r="R919" s="214" t="s">
        <v>1869</v>
      </c>
      <c r="S919" s="214" t="s">
        <v>1861</v>
      </c>
      <c r="T919" s="227"/>
      <c r="U919" t="s">
        <v>1953</v>
      </c>
      <c r="V919" t="s">
        <v>2813</v>
      </c>
    </row>
    <row r="920" spans="1:22" ht="15.75" thickBot="1" x14ac:dyDescent="0.3">
      <c r="A920" s="227" t="s">
        <v>1912</v>
      </c>
      <c r="B920" s="227" t="s">
        <v>1912</v>
      </c>
      <c r="C920" s="227" t="s">
        <v>1912</v>
      </c>
      <c r="D920" s="227" t="s">
        <v>629</v>
      </c>
      <c r="E920" s="248" t="s">
        <v>1853</v>
      </c>
      <c r="F920" s="227" t="s">
        <v>620</v>
      </c>
      <c r="G920" s="250">
        <v>2005</v>
      </c>
      <c r="H920" s="313" t="s">
        <v>732</v>
      </c>
      <c r="I920" s="308" t="str">
        <f t="shared" si="54"/>
        <v>Pesado de Passageiros M3: III : Gasóleo : E3</v>
      </c>
      <c r="J920" s="227">
        <v>68</v>
      </c>
      <c r="K920" s="249">
        <v>2022</v>
      </c>
      <c r="L920" s="227">
        <v>16881.343804537792</v>
      </c>
      <c r="M920" s="227" t="s">
        <v>630</v>
      </c>
      <c r="N920" s="227">
        <v>52515</v>
      </c>
      <c r="O920" s="128">
        <f t="shared" si="55"/>
        <v>3571020</v>
      </c>
      <c r="P920" s="250">
        <v>203</v>
      </c>
      <c r="Q920" s="227" t="s">
        <v>47</v>
      </c>
      <c r="R920" s="214" t="s">
        <v>1869</v>
      </c>
      <c r="S920" s="214" t="s">
        <v>1861</v>
      </c>
      <c r="T920" s="227"/>
      <c r="U920" t="s">
        <v>1953</v>
      </c>
      <c r="V920" t="s">
        <v>2813</v>
      </c>
    </row>
    <row r="921" spans="1:22" ht="15.75" thickBot="1" x14ac:dyDescent="0.3">
      <c r="A921" s="227" t="s">
        <v>1912</v>
      </c>
      <c r="B921" s="227" t="s">
        <v>1912</v>
      </c>
      <c r="C921" s="227" t="s">
        <v>1912</v>
      </c>
      <c r="D921" s="227" t="s">
        <v>629</v>
      </c>
      <c r="E921" s="248" t="s">
        <v>1853</v>
      </c>
      <c r="F921" s="227" t="s">
        <v>620</v>
      </c>
      <c r="G921" s="250">
        <v>2003</v>
      </c>
      <c r="H921" s="313" t="s">
        <v>732</v>
      </c>
      <c r="I921" s="308" t="str">
        <f t="shared" si="54"/>
        <v>Pesado de Passageiros M3: III : Gasóleo : E3</v>
      </c>
      <c r="J921" s="227">
        <v>50</v>
      </c>
      <c r="K921" s="249">
        <v>2022</v>
      </c>
      <c r="L921" s="227">
        <v>12301.193174265449</v>
      </c>
      <c r="M921" s="227" t="s">
        <v>630</v>
      </c>
      <c r="N921" s="227">
        <v>31043</v>
      </c>
      <c r="O921" s="128">
        <f t="shared" si="55"/>
        <v>1552150</v>
      </c>
      <c r="P921" s="250">
        <v>204</v>
      </c>
      <c r="Q921" s="227" t="s">
        <v>47</v>
      </c>
      <c r="R921" s="214" t="s">
        <v>1869</v>
      </c>
      <c r="S921" s="214" t="s">
        <v>1861</v>
      </c>
      <c r="T921" s="227"/>
      <c r="U921" t="s">
        <v>1953</v>
      </c>
      <c r="V921" t="s">
        <v>2813</v>
      </c>
    </row>
    <row r="922" spans="1:22" ht="15.75" thickBot="1" x14ac:dyDescent="0.3">
      <c r="A922" s="227" t="s">
        <v>1912</v>
      </c>
      <c r="B922" s="227" t="s">
        <v>1912</v>
      </c>
      <c r="C922" s="227" t="s">
        <v>1912</v>
      </c>
      <c r="D922" s="227" t="s">
        <v>629</v>
      </c>
      <c r="E922" s="248" t="s">
        <v>1853</v>
      </c>
      <c r="F922" s="227" t="s">
        <v>620</v>
      </c>
      <c r="G922" s="250">
        <v>2006</v>
      </c>
      <c r="H922" s="313" t="s">
        <v>731</v>
      </c>
      <c r="I922" s="308" t="str">
        <f t="shared" si="54"/>
        <v>Pesado de Passageiros M3: III : Gasóleo : E4</v>
      </c>
      <c r="J922" s="227">
        <v>50</v>
      </c>
      <c r="K922" s="249">
        <v>2022</v>
      </c>
      <c r="L922" s="227">
        <v>14478.961492434159</v>
      </c>
      <c r="M922" s="227" t="s">
        <v>630</v>
      </c>
      <c r="N922" s="227">
        <v>39738</v>
      </c>
      <c r="O922" s="128">
        <f t="shared" si="55"/>
        <v>1986900</v>
      </c>
      <c r="P922" s="250">
        <v>205</v>
      </c>
      <c r="Q922" s="227" t="s">
        <v>47</v>
      </c>
      <c r="R922" s="214" t="s">
        <v>1869</v>
      </c>
      <c r="S922" s="214" t="s">
        <v>1861</v>
      </c>
      <c r="T922" s="227"/>
      <c r="U922" t="s">
        <v>1953</v>
      </c>
      <c r="V922" t="s">
        <v>2813</v>
      </c>
    </row>
    <row r="923" spans="1:22" ht="15.75" thickBot="1" x14ac:dyDescent="0.3">
      <c r="A923" s="227" t="s">
        <v>1912</v>
      </c>
      <c r="B923" s="227" t="s">
        <v>1912</v>
      </c>
      <c r="C923" s="227" t="s">
        <v>1912</v>
      </c>
      <c r="D923" s="227" t="s">
        <v>629</v>
      </c>
      <c r="E923" s="248" t="s">
        <v>1853</v>
      </c>
      <c r="F923" s="227" t="s">
        <v>620</v>
      </c>
      <c r="G923" s="250">
        <v>2007</v>
      </c>
      <c r="H923" s="313" t="s">
        <v>731</v>
      </c>
      <c r="I923" s="308" t="str">
        <f t="shared" si="54"/>
        <v>Pesado de Passageiros M3: III : Gasóleo : E4</v>
      </c>
      <c r="J923" s="227">
        <v>81</v>
      </c>
      <c r="K923" s="249">
        <v>2022</v>
      </c>
      <c r="L923" s="227">
        <v>10925.232544299221</v>
      </c>
      <c r="M923" s="227" t="s">
        <v>630</v>
      </c>
      <c r="N923" s="227">
        <v>26523</v>
      </c>
      <c r="O923" s="128">
        <f t="shared" si="55"/>
        <v>2148363</v>
      </c>
      <c r="P923" s="250">
        <v>206</v>
      </c>
      <c r="Q923" s="227" t="s">
        <v>47</v>
      </c>
      <c r="R923" s="214" t="s">
        <v>1869</v>
      </c>
      <c r="S923" s="214" t="s">
        <v>1861</v>
      </c>
      <c r="T923" s="227"/>
      <c r="U923" t="s">
        <v>1953</v>
      </c>
      <c r="V923" t="s">
        <v>2813</v>
      </c>
    </row>
    <row r="924" spans="1:22" ht="15.75" thickBot="1" x14ac:dyDescent="0.3">
      <c r="A924" s="227" t="s">
        <v>1912</v>
      </c>
      <c r="B924" s="227" t="s">
        <v>1912</v>
      </c>
      <c r="C924" s="227" t="s">
        <v>1912</v>
      </c>
      <c r="D924" s="227" t="s">
        <v>629</v>
      </c>
      <c r="E924" s="248" t="s">
        <v>1853</v>
      </c>
      <c r="F924" s="227" t="s">
        <v>620</v>
      </c>
      <c r="G924" s="250">
        <v>2009</v>
      </c>
      <c r="H924" s="313" t="s">
        <v>734</v>
      </c>
      <c r="I924" s="308" t="str">
        <f t="shared" si="54"/>
        <v>Pesado de Passageiros M3: III : Gasóleo : E5</v>
      </c>
      <c r="J924" s="227">
        <v>71</v>
      </c>
      <c r="K924" s="249">
        <v>2022</v>
      </c>
      <c r="L924" s="227">
        <v>12448.632083619967</v>
      </c>
      <c r="M924" s="227" t="s">
        <v>630</v>
      </c>
      <c r="N924" s="227">
        <v>32637</v>
      </c>
      <c r="O924" s="128">
        <f t="shared" si="55"/>
        <v>2317227</v>
      </c>
      <c r="P924" s="250">
        <v>207</v>
      </c>
      <c r="Q924" s="227" t="s">
        <v>47</v>
      </c>
      <c r="R924" s="214" t="s">
        <v>1869</v>
      </c>
      <c r="S924" s="214" t="s">
        <v>1861</v>
      </c>
      <c r="T924" s="227"/>
      <c r="U924" t="s">
        <v>1953</v>
      </c>
      <c r="V924" t="s">
        <v>2813</v>
      </c>
    </row>
    <row r="925" spans="1:22" ht="15.75" thickBot="1" x14ac:dyDescent="0.3">
      <c r="A925" s="227" t="s">
        <v>1912</v>
      </c>
      <c r="B925" s="227" t="s">
        <v>1912</v>
      </c>
      <c r="C925" s="227" t="s">
        <v>1912</v>
      </c>
      <c r="D925" s="227" t="s">
        <v>629</v>
      </c>
      <c r="E925" s="248" t="s">
        <v>1853</v>
      </c>
      <c r="F925" s="227" t="s">
        <v>620</v>
      </c>
      <c r="G925" s="250">
        <v>2009</v>
      </c>
      <c r="H925" s="313" t="s">
        <v>734</v>
      </c>
      <c r="I925" s="308" t="str">
        <f t="shared" si="54"/>
        <v>Pesado de Passageiros M3: III : Gasóleo : E5</v>
      </c>
      <c r="J925" s="227">
        <v>50</v>
      </c>
      <c r="K925" s="249">
        <v>2022</v>
      </c>
      <c r="L925" s="227">
        <v>18757.574002325968</v>
      </c>
      <c r="M925" s="227" t="s">
        <v>630</v>
      </c>
      <c r="N925" s="227">
        <v>52286</v>
      </c>
      <c r="O925" s="128">
        <f t="shared" si="55"/>
        <v>2614300</v>
      </c>
      <c r="P925" s="250">
        <v>208</v>
      </c>
      <c r="Q925" s="227" t="s">
        <v>47</v>
      </c>
      <c r="R925" s="214" t="s">
        <v>1869</v>
      </c>
      <c r="S925" s="214" t="s">
        <v>1861</v>
      </c>
      <c r="T925" s="227"/>
      <c r="U925" t="s">
        <v>1953</v>
      </c>
      <c r="V925" t="s">
        <v>2813</v>
      </c>
    </row>
    <row r="926" spans="1:22" ht="15.75" thickBot="1" x14ac:dyDescent="0.3">
      <c r="A926" s="227" t="s">
        <v>1912</v>
      </c>
      <c r="B926" s="227" t="s">
        <v>1912</v>
      </c>
      <c r="C926" s="227" t="s">
        <v>1912</v>
      </c>
      <c r="D926" s="227" t="s">
        <v>629</v>
      </c>
      <c r="E926" s="248" t="s">
        <v>1853</v>
      </c>
      <c r="F926" s="227" t="s">
        <v>620</v>
      </c>
      <c r="G926" s="250">
        <v>2011</v>
      </c>
      <c r="H926" s="313" t="s">
        <v>734</v>
      </c>
      <c r="I926" s="308" t="str">
        <f t="shared" si="54"/>
        <v>Pesado de Passageiros M3: III : Gasóleo : E5</v>
      </c>
      <c r="J926" s="227">
        <v>55</v>
      </c>
      <c r="K926" s="249">
        <v>2022</v>
      </c>
      <c r="L926" s="227">
        <v>22430.735461642449</v>
      </c>
      <c r="M926" s="227" t="s">
        <v>630</v>
      </c>
      <c r="N926" s="227">
        <v>56916</v>
      </c>
      <c r="O926" s="128">
        <f t="shared" si="55"/>
        <v>3130380</v>
      </c>
      <c r="P926" s="250">
        <v>209</v>
      </c>
      <c r="Q926" s="227" t="s">
        <v>47</v>
      </c>
      <c r="R926" s="214" t="s">
        <v>1869</v>
      </c>
      <c r="S926" s="214" t="s">
        <v>1861</v>
      </c>
      <c r="T926" s="227"/>
      <c r="U926" t="s">
        <v>1953</v>
      </c>
      <c r="V926" t="s">
        <v>2813</v>
      </c>
    </row>
    <row r="927" spans="1:22" ht="15.75" thickBot="1" x14ac:dyDescent="0.3">
      <c r="A927" s="227" t="s">
        <v>1912</v>
      </c>
      <c r="B927" s="227" t="s">
        <v>1912</v>
      </c>
      <c r="C927" s="227" t="s">
        <v>1912</v>
      </c>
      <c r="D927" s="227" t="s">
        <v>629</v>
      </c>
      <c r="E927" s="248" t="s">
        <v>1853</v>
      </c>
      <c r="F927" s="227" t="s">
        <v>620</v>
      </c>
      <c r="G927" s="250">
        <v>2012</v>
      </c>
      <c r="H927" s="313" t="s">
        <v>734</v>
      </c>
      <c r="I927" s="308" t="str">
        <f t="shared" si="54"/>
        <v>Pesado de Passageiros M3: III : Gasóleo : E5</v>
      </c>
      <c r="J927" s="227">
        <v>73</v>
      </c>
      <c r="K927" s="249">
        <v>2022</v>
      </c>
      <c r="L927" s="227">
        <v>19147.112391606846</v>
      </c>
      <c r="M927" s="227" t="s">
        <v>630</v>
      </c>
      <c r="N927" s="227">
        <v>46873</v>
      </c>
      <c r="O927" s="128">
        <f t="shared" si="55"/>
        <v>3421729</v>
      </c>
      <c r="P927" s="250">
        <v>211</v>
      </c>
      <c r="Q927" s="227" t="s">
        <v>47</v>
      </c>
      <c r="R927" s="214" t="s">
        <v>1869</v>
      </c>
      <c r="S927" s="214" t="s">
        <v>1861</v>
      </c>
      <c r="T927" s="227"/>
      <c r="U927" t="s">
        <v>1953</v>
      </c>
      <c r="V927" t="s">
        <v>2813</v>
      </c>
    </row>
    <row r="928" spans="1:22" ht="15.75" thickBot="1" x14ac:dyDescent="0.3">
      <c r="A928" s="227" t="s">
        <v>1912</v>
      </c>
      <c r="B928" s="227" t="s">
        <v>1912</v>
      </c>
      <c r="C928" s="227" t="s">
        <v>1912</v>
      </c>
      <c r="D928" s="227" t="s">
        <v>623</v>
      </c>
      <c r="E928" s="251" t="s">
        <v>2231</v>
      </c>
      <c r="F928" s="227" t="s">
        <v>620</v>
      </c>
      <c r="G928" s="250">
        <v>1905</v>
      </c>
      <c r="H928" s="313" t="s">
        <v>731</v>
      </c>
      <c r="I928" s="310" t="s">
        <v>2819</v>
      </c>
      <c r="J928" s="227">
        <v>9</v>
      </c>
      <c r="K928" s="249">
        <v>2022</v>
      </c>
      <c r="L928" s="227">
        <v>1836.7502968195522</v>
      </c>
      <c r="M928" s="227" t="s">
        <v>630</v>
      </c>
      <c r="N928" s="227">
        <v>20354</v>
      </c>
      <c r="O928" s="128">
        <f t="shared" si="55"/>
        <v>183186</v>
      </c>
      <c r="P928" s="250">
        <v>212</v>
      </c>
      <c r="Q928" s="227" t="s">
        <v>47</v>
      </c>
      <c r="R928" s="214" t="s">
        <v>1869</v>
      </c>
      <c r="S928" s="214" t="s">
        <v>1861</v>
      </c>
      <c r="T928" s="227"/>
      <c r="U928" t="s">
        <v>1953</v>
      </c>
      <c r="V928" t="s">
        <v>2813</v>
      </c>
    </row>
    <row r="929" spans="1:22" ht="15.75" thickBot="1" x14ac:dyDescent="0.3">
      <c r="A929" s="227" t="s">
        <v>1912</v>
      </c>
      <c r="B929" s="227" t="s">
        <v>1912</v>
      </c>
      <c r="C929" s="227" t="s">
        <v>1912</v>
      </c>
      <c r="D929" s="227" t="s">
        <v>629</v>
      </c>
      <c r="E929" s="248" t="s">
        <v>1853</v>
      </c>
      <c r="F929" s="227" t="s">
        <v>620</v>
      </c>
      <c r="G929" s="250">
        <v>2011</v>
      </c>
      <c r="H929" s="313" t="s">
        <v>734</v>
      </c>
      <c r="I929" s="308" t="str">
        <f t="shared" si="54"/>
        <v>Pesado de Passageiros M3: III : Gasóleo : E5</v>
      </c>
      <c r="J929" s="227">
        <v>55</v>
      </c>
      <c r="K929" s="249">
        <v>2022</v>
      </c>
      <c r="L929" s="227">
        <v>22304.693227626572</v>
      </c>
      <c r="M929" s="227" t="s">
        <v>630</v>
      </c>
      <c r="N929" s="227">
        <v>63510</v>
      </c>
      <c r="O929" s="128">
        <f t="shared" si="55"/>
        <v>3493050</v>
      </c>
      <c r="P929" s="250">
        <v>213</v>
      </c>
      <c r="Q929" s="227" t="s">
        <v>47</v>
      </c>
      <c r="R929" s="214" t="s">
        <v>1869</v>
      </c>
      <c r="S929" s="214" t="s">
        <v>1861</v>
      </c>
      <c r="T929" s="227"/>
      <c r="U929" t="s">
        <v>1953</v>
      </c>
      <c r="V929" t="s">
        <v>2813</v>
      </c>
    </row>
    <row r="930" spans="1:22" ht="15.75" thickBot="1" x14ac:dyDescent="0.3">
      <c r="A930" s="227" t="s">
        <v>1912</v>
      </c>
      <c r="B930" s="227" t="s">
        <v>1912</v>
      </c>
      <c r="C930" s="227" t="s">
        <v>1912</v>
      </c>
      <c r="D930" s="227" t="s">
        <v>629</v>
      </c>
      <c r="E930" s="248" t="s">
        <v>1853</v>
      </c>
      <c r="F930" s="227" t="s">
        <v>620</v>
      </c>
      <c r="G930" s="250">
        <v>2011</v>
      </c>
      <c r="H930" s="313" t="s">
        <v>734</v>
      </c>
      <c r="I930" s="308" t="str">
        <f t="shared" si="54"/>
        <v>Pesado de Passageiros M3: III : Gasóleo : E5</v>
      </c>
      <c r="J930" s="227">
        <v>55</v>
      </c>
      <c r="K930" s="249">
        <v>2022</v>
      </c>
      <c r="L930" s="227">
        <v>23169.578998609599</v>
      </c>
      <c r="M930" s="227" t="s">
        <v>630</v>
      </c>
      <c r="N930" s="227">
        <v>68412</v>
      </c>
      <c r="O930" s="128">
        <f t="shared" si="55"/>
        <v>3762660</v>
      </c>
      <c r="P930" s="250">
        <v>214</v>
      </c>
      <c r="Q930" s="227" t="s">
        <v>47</v>
      </c>
      <c r="R930" s="214" t="s">
        <v>1869</v>
      </c>
      <c r="S930" s="214" t="s">
        <v>1861</v>
      </c>
      <c r="T930" s="227"/>
      <c r="U930" t="s">
        <v>1953</v>
      </c>
      <c r="V930" t="s">
        <v>2813</v>
      </c>
    </row>
    <row r="931" spans="1:22" ht="15.75" thickBot="1" x14ac:dyDescent="0.3">
      <c r="A931" s="227" t="s">
        <v>1912</v>
      </c>
      <c r="B931" s="227" t="s">
        <v>1912</v>
      </c>
      <c r="C931" s="227" t="s">
        <v>1912</v>
      </c>
      <c r="D931" s="227" t="s">
        <v>629</v>
      </c>
      <c r="E931" s="248" t="s">
        <v>1853</v>
      </c>
      <c r="F931" s="227" t="s">
        <v>620</v>
      </c>
      <c r="G931" s="250">
        <v>2005</v>
      </c>
      <c r="H931" s="313" t="s">
        <v>731</v>
      </c>
      <c r="I931" s="308" t="str">
        <f t="shared" si="54"/>
        <v>Pesado de Passageiros M3: III : Gasóleo : E4</v>
      </c>
      <c r="J931" s="227">
        <v>35</v>
      </c>
      <c r="K931" s="249">
        <v>2022</v>
      </c>
      <c r="L931" s="227">
        <v>13326.929166087923</v>
      </c>
      <c r="M931" s="227" t="s">
        <v>630</v>
      </c>
      <c r="N931" s="227">
        <v>43307</v>
      </c>
      <c r="O931" s="128">
        <f t="shared" si="55"/>
        <v>1515745</v>
      </c>
      <c r="P931" s="250">
        <v>215</v>
      </c>
      <c r="Q931" s="227" t="s">
        <v>47</v>
      </c>
      <c r="R931" s="214" t="s">
        <v>1869</v>
      </c>
      <c r="S931" s="214" t="s">
        <v>1861</v>
      </c>
      <c r="T931" s="227"/>
      <c r="U931" t="s">
        <v>1953</v>
      </c>
      <c r="V931" t="s">
        <v>2813</v>
      </c>
    </row>
    <row r="932" spans="1:22" ht="15.75" thickBot="1" x14ac:dyDescent="0.3">
      <c r="A932" s="227" t="s">
        <v>1912</v>
      </c>
      <c r="B932" s="227" t="s">
        <v>1912</v>
      </c>
      <c r="C932" s="227" t="s">
        <v>1912</v>
      </c>
      <c r="D932" s="227" t="s">
        <v>629</v>
      </c>
      <c r="E932" s="248" t="s">
        <v>1853</v>
      </c>
      <c r="F932" s="227" t="s">
        <v>620</v>
      </c>
      <c r="G932" s="250">
        <v>2010</v>
      </c>
      <c r="H932" s="313" t="s">
        <v>734</v>
      </c>
      <c r="I932" s="308" t="str">
        <f t="shared" si="54"/>
        <v>Pesado de Passageiros M3: III : Gasóleo : E5</v>
      </c>
      <c r="J932" s="227">
        <v>55</v>
      </c>
      <c r="K932" s="249">
        <v>2022</v>
      </c>
      <c r="L932" s="227">
        <v>20841.313578437221</v>
      </c>
      <c r="M932" s="227" t="s">
        <v>630</v>
      </c>
      <c r="N932" s="227">
        <v>56932</v>
      </c>
      <c r="O932" s="128">
        <f t="shared" si="55"/>
        <v>3131260</v>
      </c>
      <c r="P932" s="250">
        <v>216</v>
      </c>
      <c r="Q932" s="227" t="s">
        <v>47</v>
      </c>
      <c r="R932" s="214" t="s">
        <v>1869</v>
      </c>
      <c r="S932" s="214" t="s">
        <v>1861</v>
      </c>
      <c r="T932" s="227"/>
      <c r="U932" t="s">
        <v>1953</v>
      </c>
      <c r="V932" t="s">
        <v>2813</v>
      </c>
    </row>
    <row r="933" spans="1:22" ht="15.75" thickBot="1" x14ac:dyDescent="0.3">
      <c r="A933" s="227" t="s">
        <v>1912</v>
      </c>
      <c r="B933" s="227" t="s">
        <v>1912</v>
      </c>
      <c r="C933" s="227" t="s">
        <v>1912</v>
      </c>
      <c r="D933" s="227" t="s">
        <v>629</v>
      </c>
      <c r="E933" s="248" t="s">
        <v>1853</v>
      </c>
      <c r="F933" s="227" t="s">
        <v>620</v>
      </c>
      <c r="G933" s="250">
        <v>2010</v>
      </c>
      <c r="H933" s="313" t="s">
        <v>734</v>
      </c>
      <c r="I933" s="308" t="str">
        <f t="shared" si="54"/>
        <v>Pesado de Passageiros M3: III : Gasóleo : E5</v>
      </c>
      <c r="J933" s="227">
        <v>55</v>
      </c>
      <c r="K933" s="249">
        <v>2022</v>
      </c>
      <c r="L933" s="227">
        <v>20823.181973113387</v>
      </c>
      <c r="M933" s="227" t="s">
        <v>630</v>
      </c>
      <c r="N933" s="227">
        <v>55257</v>
      </c>
      <c r="O933" s="128">
        <f t="shared" si="55"/>
        <v>3039135</v>
      </c>
      <c r="P933" s="250">
        <v>217</v>
      </c>
      <c r="Q933" s="227" t="s">
        <v>47</v>
      </c>
      <c r="R933" s="214" t="s">
        <v>1869</v>
      </c>
      <c r="S933" s="214" t="s">
        <v>1861</v>
      </c>
      <c r="T933" s="227"/>
      <c r="U933" t="s">
        <v>1953</v>
      </c>
      <c r="V933" t="s">
        <v>2813</v>
      </c>
    </row>
    <row r="934" spans="1:22" ht="15.75" thickBot="1" x14ac:dyDescent="0.3">
      <c r="A934" s="227" t="s">
        <v>1912</v>
      </c>
      <c r="B934" s="227" t="s">
        <v>1912</v>
      </c>
      <c r="C934" s="227" t="s">
        <v>1912</v>
      </c>
      <c r="D934" s="227" t="s">
        <v>629</v>
      </c>
      <c r="E934" s="248" t="s">
        <v>1853</v>
      </c>
      <c r="F934" s="227" t="s">
        <v>620</v>
      </c>
      <c r="G934" s="250">
        <v>2007</v>
      </c>
      <c r="H934" s="313" t="s">
        <v>731</v>
      </c>
      <c r="I934" s="308" t="str">
        <f t="shared" si="54"/>
        <v>Pesado de Passageiros M3: III : Gasóleo : E4</v>
      </c>
      <c r="J934" s="227">
        <v>60</v>
      </c>
      <c r="K934" s="249">
        <v>2022</v>
      </c>
      <c r="L934" s="227">
        <v>9501.1264331232906</v>
      </c>
      <c r="M934" s="227" t="s">
        <v>630</v>
      </c>
      <c r="N934" s="227">
        <v>27577</v>
      </c>
      <c r="O934" s="128">
        <f t="shared" si="55"/>
        <v>1654620</v>
      </c>
      <c r="P934" s="250">
        <v>218</v>
      </c>
      <c r="Q934" s="227" t="s">
        <v>47</v>
      </c>
      <c r="R934" s="214" t="s">
        <v>1869</v>
      </c>
      <c r="S934" s="214" t="s">
        <v>1861</v>
      </c>
      <c r="T934" s="227"/>
      <c r="U934" t="s">
        <v>1953</v>
      </c>
      <c r="V934" t="s">
        <v>2813</v>
      </c>
    </row>
    <row r="935" spans="1:22" ht="15.75" thickBot="1" x14ac:dyDescent="0.3">
      <c r="A935" s="227" t="s">
        <v>1912</v>
      </c>
      <c r="B935" s="227" t="s">
        <v>1912</v>
      </c>
      <c r="C935" s="227" t="s">
        <v>1912</v>
      </c>
      <c r="D935" s="227" t="s">
        <v>629</v>
      </c>
      <c r="E935" s="248" t="s">
        <v>1853</v>
      </c>
      <c r="F935" s="227" t="s">
        <v>620</v>
      </c>
      <c r="G935" s="250">
        <v>2009</v>
      </c>
      <c r="H935" s="313" t="s">
        <v>734</v>
      </c>
      <c r="I935" s="308" t="str">
        <f t="shared" si="54"/>
        <v>Pesado de Passageiros M3: III : Gasóleo : E5</v>
      </c>
      <c r="J935" s="227">
        <v>72</v>
      </c>
      <c r="K935" s="249">
        <v>2022</v>
      </c>
      <c r="L935" s="227">
        <v>13451.920454458501</v>
      </c>
      <c r="M935" s="227" t="s">
        <v>630</v>
      </c>
      <c r="N935" s="227">
        <v>29925</v>
      </c>
      <c r="O935" s="128">
        <f t="shared" si="55"/>
        <v>2154600</v>
      </c>
      <c r="P935" s="250">
        <v>219</v>
      </c>
      <c r="Q935" s="227" t="s">
        <v>47</v>
      </c>
      <c r="R935" s="214" t="s">
        <v>1869</v>
      </c>
      <c r="S935" s="214" t="s">
        <v>1861</v>
      </c>
      <c r="T935" s="227"/>
      <c r="U935" t="s">
        <v>1953</v>
      </c>
      <c r="V935" t="s">
        <v>2813</v>
      </c>
    </row>
    <row r="936" spans="1:22" ht="15.75" thickBot="1" x14ac:dyDescent="0.3">
      <c r="A936" s="227" t="s">
        <v>1912</v>
      </c>
      <c r="B936" s="227" t="s">
        <v>1912</v>
      </c>
      <c r="C936" s="227" t="s">
        <v>1912</v>
      </c>
      <c r="D936" s="227" t="s">
        <v>629</v>
      </c>
      <c r="E936" s="248" t="s">
        <v>1853</v>
      </c>
      <c r="F936" s="227" t="s">
        <v>620</v>
      </c>
      <c r="G936" s="250">
        <v>2013</v>
      </c>
      <c r="H936" s="313" t="s">
        <v>734</v>
      </c>
      <c r="I936" s="308" t="str">
        <f t="shared" si="54"/>
        <v>Pesado de Passageiros M3: III : Gasóleo : E5</v>
      </c>
      <c r="J936" s="227">
        <v>55</v>
      </c>
      <c r="K936" s="249">
        <v>2022</v>
      </c>
      <c r="L936" s="227">
        <v>16795.12874439302</v>
      </c>
      <c r="M936" s="227" t="s">
        <v>630</v>
      </c>
      <c r="N936" s="227">
        <v>50359</v>
      </c>
      <c r="O936" s="128">
        <f t="shared" si="55"/>
        <v>2769745</v>
      </c>
      <c r="P936" s="250">
        <v>220</v>
      </c>
      <c r="Q936" s="227" t="s">
        <v>47</v>
      </c>
      <c r="R936" s="214" t="s">
        <v>1869</v>
      </c>
      <c r="S936" s="214" t="s">
        <v>1861</v>
      </c>
      <c r="T936" s="227"/>
      <c r="U936" t="s">
        <v>1953</v>
      </c>
      <c r="V936" t="s">
        <v>2813</v>
      </c>
    </row>
    <row r="937" spans="1:22" ht="15.75" thickBot="1" x14ac:dyDescent="0.3">
      <c r="A937" s="227" t="s">
        <v>1912</v>
      </c>
      <c r="B937" s="227" t="s">
        <v>1912</v>
      </c>
      <c r="C937" s="227" t="s">
        <v>1912</v>
      </c>
      <c r="D937" s="227" t="s">
        <v>629</v>
      </c>
      <c r="E937" s="248" t="s">
        <v>1853</v>
      </c>
      <c r="F937" s="227" t="s">
        <v>620</v>
      </c>
      <c r="G937" s="250">
        <v>2008</v>
      </c>
      <c r="H937" s="313" t="s">
        <v>734</v>
      </c>
      <c r="I937" s="308" t="str">
        <f t="shared" si="54"/>
        <v>Pesado de Passageiros M3: III : Gasóleo : E5</v>
      </c>
      <c r="J937" s="227">
        <v>26</v>
      </c>
      <c r="K937" s="249">
        <v>2022</v>
      </c>
      <c r="L937" s="227">
        <v>1205.0102265568371</v>
      </c>
      <c r="M937" s="227" t="s">
        <v>630</v>
      </c>
      <c r="N937" s="227">
        <v>5494</v>
      </c>
      <c r="O937" s="128">
        <f t="shared" si="55"/>
        <v>142844</v>
      </c>
      <c r="P937" s="250">
        <v>221</v>
      </c>
      <c r="Q937" s="227" t="s">
        <v>47</v>
      </c>
      <c r="R937" s="214" t="s">
        <v>1869</v>
      </c>
      <c r="S937" s="214" t="s">
        <v>1861</v>
      </c>
      <c r="T937" s="227"/>
      <c r="U937" t="s">
        <v>1953</v>
      </c>
      <c r="V937" t="s">
        <v>2813</v>
      </c>
    </row>
    <row r="938" spans="1:22" ht="15.75" thickBot="1" x14ac:dyDescent="0.3">
      <c r="A938" s="227" t="s">
        <v>1912</v>
      </c>
      <c r="B938" s="227" t="s">
        <v>1912</v>
      </c>
      <c r="C938" s="227" t="s">
        <v>1912</v>
      </c>
      <c r="D938" s="227" t="s">
        <v>629</v>
      </c>
      <c r="E938" s="248" t="s">
        <v>1853</v>
      </c>
      <c r="F938" s="227" t="s">
        <v>620</v>
      </c>
      <c r="G938" s="250">
        <v>2017</v>
      </c>
      <c r="H938" s="313" t="s">
        <v>733</v>
      </c>
      <c r="I938" s="308" t="str">
        <f t="shared" si="54"/>
        <v>Pesado de Passageiros M3: III : Gasóleo : E6</v>
      </c>
      <c r="J938" s="227">
        <v>55</v>
      </c>
      <c r="K938" s="249">
        <v>2022</v>
      </c>
      <c r="L938" s="227">
        <v>43910.761364396902</v>
      </c>
      <c r="M938" s="227" t="s">
        <v>630</v>
      </c>
      <c r="N938" s="227">
        <v>146826</v>
      </c>
      <c r="O938" s="128">
        <f t="shared" si="55"/>
        <v>8075430</v>
      </c>
      <c r="P938" s="250">
        <v>222</v>
      </c>
      <c r="Q938" s="227" t="s">
        <v>47</v>
      </c>
      <c r="R938" s="214" t="s">
        <v>1869</v>
      </c>
      <c r="S938" s="214" t="s">
        <v>1861</v>
      </c>
      <c r="T938" s="227"/>
      <c r="U938" t="s">
        <v>1953</v>
      </c>
      <c r="V938" t="s">
        <v>2813</v>
      </c>
    </row>
    <row r="939" spans="1:22" ht="15.75" thickBot="1" x14ac:dyDescent="0.3">
      <c r="A939" s="227" t="s">
        <v>1912</v>
      </c>
      <c r="B939" s="227" t="s">
        <v>1912</v>
      </c>
      <c r="C939" s="227" t="s">
        <v>1912</v>
      </c>
      <c r="D939" s="227" t="s">
        <v>629</v>
      </c>
      <c r="E939" s="248" t="s">
        <v>1853</v>
      </c>
      <c r="F939" s="227" t="s">
        <v>620</v>
      </c>
      <c r="G939" s="250">
        <v>2017</v>
      </c>
      <c r="H939" s="313" t="s">
        <v>733</v>
      </c>
      <c r="I939" s="308" t="str">
        <f t="shared" si="54"/>
        <v>Pesado de Passageiros M3: III : Gasóleo : E6</v>
      </c>
      <c r="J939" s="227">
        <v>55</v>
      </c>
      <c r="K939" s="249">
        <v>2022</v>
      </c>
      <c r="L939" s="227">
        <v>52057.855443663051</v>
      </c>
      <c r="M939" s="227" t="s">
        <v>630</v>
      </c>
      <c r="N939" s="227">
        <v>172747</v>
      </c>
      <c r="O939" s="128">
        <f t="shared" si="55"/>
        <v>9501085</v>
      </c>
      <c r="P939" s="250">
        <v>223</v>
      </c>
      <c r="Q939" s="227" t="s">
        <v>47</v>
      </c>
      <c r="R939" s="214" t="s">
        <v>1869</v>
      </c>
      <c r="S939" s="214" t="s">
        <v>1861</v>
      </c>
      <c r="T939" s="227"/>
      <c r="U939" t="s">
        <v>1953</v>
      </c>
      <c r="V939" t="s">
        <v>2813</v>
      </c>
    </row>
    <row r="940" spans="1:22" ht="15.75" thickBot="1" x14ac:dyDescent="0.3">
      <c r="A940" s="227" t="s">
        <v>1912</v>
      </c>
      <c r="B940" s="227" t="s">
        <v>1912</v>
      </c>
      <c r="C940" s="227" t="s">
        <v>1912</v>
      </c>
      <c r="D940" s="227" t="s">
        <v>629</v>
      </c>
      <c r="E940" s="248" t="s">
        <v>1853</v>
      </c>
      <c r="F940" s="227" t="s">
        <v>620</v>
      </c>
      <c r="G940" s="250">
        <v>2011</v>
      </c>
      <c r="H940" s="313" t="s">
        <v>734</v>
      </c>
      <c r="I940" s="308" t="str">
        <f t="shared" si="54"/>
        <v>Pesado de Passageiros M3: III : Gasóleo : E5</v>
      </c>
      <c r="J940" s="227">
        <v>55</v>
      </c>
      <c r="K940" s="249">
        <v>2022</v>
      </c>
      <c r="L940" s="227">
        <v>21703.815643709026</v>
      </c>
      <c r="M940" s="227" t="s">
        <v>630</v>
      </c>
      <c r="N940" s="227">
        <v>64377</v>
      </c>
      <c r="O940" s="128">
        <f t="shared" si="55"/>
        <v>3540735</v>
      </c>
      <c r="P940" s="250">
        <v>224</v>
      </c>
      <c r="Q940" s="227" t="s">
        <v>47</v>
      </c>
      <c r="R940" s="214" t="s">
        <v>1869</v>
      </c>
      <c r="S940" s="214" t="s">
        <v>1861</v>
      </c>
      <c r="T940" s="227"/>
      <c r="U940" t="s">
        <v>1953</v>
      </c>
      <c r="V940" t="s">
        <v>2813</v>
      </c>
    </row>
    <row r="941" spans="1:22" ht="15.75" thickBot="1" x14ac:dyDescent="0.3">
      <c r="A941" s="227" t="s">
        <v>1912</v>
      </c>
      <c r="B941" s="227" t="s">
        <v>1912</v>
      </c>
      <c r="C941" s="227" t="s">
        <v>1912</v>
      </c>
      <c r="D941" s="227" t="s">
        <v>629</v>
      </c>
      <c r="E941" s="248" t="s">
        <v>1853</v>
      </c>
      <c r="F941" s="227" t="s">
        <v>620</v>
      </c>
      <c r="G941" s="250">
        <v>2012</v>
      </c>
      <c r="H941" s="313" t="s">
        <v>734</v>
      </c>
      <c r="I941" s="308" t="str">
        <f t="shared" si="54"/>
        <v>Pesado de Passageiros M3: III : Gasóleo : E5</v>
      </c>
      <c r="J941" s="227">
        <v>55</v>
      </c>
      <c r="K941" s="249">
        <v>2022</v>
      </c>
      <c r="L941" s="227">
        <v>21188.442753396448</v>
      </c>
      <c r="M941" s="227" t="s">
        <v>630</v>
      </c>
      <c r="N941" s="227">
        <v>64113</v>
      </c>
      <c r="O941" s="128">
        <f t="shared" si="55"/>
        <v>3526215</v>
      </c>
      <c r="P941" s="250">
        <v>225</v>
      </c>
      <c r="Q941" s="227" t="s">
        <v>47</v>
      </c>
      <c r="R941" s="214" t="s">
        <v>1869</v>
      </c>
      <c r="S941" s="214" t="s">
        <v>1861</v>
      </c>
      <c r="T941" s="227"/>
      <c r="U941" t="s">
        <v>1953</v>
      </c>
      <c r="V941" t="s">
        <v>2813</v>
      </c>
    </row>
    <row r="942" spans="1:22" ht="15.75" thickBot="1" x14ac:dyDescent="0.3">
      <c r="A942" s="227" t="s">
        <v>1912</v>
      </c>
      <c r="B942" s="227" t="s">
        <v>1912</v>
      </c>
      <c r="C942" s="227" t="s">
        <v>1912</v>
      </c>
      <c r="D942" s="227" t="s">
        <v>629</v>
      </c>
      <c r="E942" s="248" t="s">
        <v>1853</v>
      </c>
      <c r="F942" s="227" t="s">
        <v>620</v>
      </c>
      <c r="G942" s="250">
        <v>2018</v>
      </c>
      <c r="H942" s="313" t="s">
        <v>733</v>
      </c>
      <c r="I942" s="308" t="str">
        <f t="shared" si="54"/>
        <v>Pesado de Passageiros M3: III : Gasóleo : E6</v>
      </c>
      <c r="J942" s="227">
        <v>55</v>
      </c>
      <c r="K942" s="249">
        <v>2022</v>
      </c>
      <c r="L942" s="227">
        <v>39915.327980035036</v>
      </c>
      <c r="M942" s="227" t="s">
        <v>630</v>
      </c>
      <c r="N942" s="227">
        <v>139448</v>
      </c>
      <c r="O942" s="128">
        <f t="shared" si="55"/>
        <v>7669640</v>
      </c>
      <c r="P942" s="250">
        <v>226</v>
      </c>
      <c r="Q942" s="227" t="s">
        <v>47</v>
      </c>
      <c r="R942" s="214" t="s">
        <v>1869</v>
      </c>
      <c r="S942" s="214" t="s">
        <v>1861</v>
      </c>
      <c r="T942" s="227"/>
      <c r="U942" t="s">
        <v>1953</v>
      </c>
      <c r="V942" t="s">
        <v>2813</v>
      </c>
    </row>
    <row r="943" spans="1:22" ht="15.75" thickBot="1" x14ac:dyDescent="0.3">
      <c r="A943" s="227" t="s">
        <v>1912</v>
      </c>
      <c r="B943" s="227" t="s">
        <v>1912</v>
      </c>
      <c r="C943" s="227" t="s">
        <v>1912</v>
      </c>
      <c r="D943" s="227" t="s">
        <v>629</v>
      </c>
      <c r="E943" s="248" t="s">
        <v>1853</v>
      </c>
      <c r="F943" s="227" t="s">
        <v>620</v>
      </c>
      <c r="G943" s="250">
        <v>2008</v>
      </c>
      <c r="H943" s="313" t="s">
        <v>734</v>
      </c>
      <c r="I943" s="308" t="str">
        <f t="shared" si="54"/>
        <v>Pesado de Passageiros M3: III : Gasóleo : E5</v>
      </c>
      <c r="J943" s="227">
        <v>92</v>
      </c>
      <c r="K943" s="249">
        <v>2022</v>
      </c>
      <c r="L943" s="227">
        <v>4944.5438425087341</v>
      </c>
      <c r="M943" s="227" t="s">
        <v>630</v>
      </c>
      <c r="N943" s="227">
        <v>10965</v>
      </c>
      <c r="O943" s="128">
        <f t="shared" si="55"/>
        <v>1008780</v>
      </c>
      <c r="P943" s="250">
        <v>227</v>
      </c>
      <c r="Q943" s="227" t="s">
        <v>47</v>
      </c>
      <c r="R943" s="214" t="s">
        <v>1869</v>
      </c>
      <c r="S943" s="214" t="s">
        <v>1861</v>
      </c>
      <c r="T943" s="227"/>
      <c r="U943" t="s">
        <v>1953</v>
      </c>
      <c r="V943" t="s">
        <v>2813</v>
      </c>
    </row>
    <row r="944" spans="1:22" ht="15.75" thickBot="1" x14ac:dyDescent="0.3">
      <c r="A944" s="227" t="s">
        <v>1912</v>
      </c>
      <c r="B944" s="227" t="s">
        <v>1912</v>
      </c>
      <c r="C944" s="227" t="s">
        <v>1912</v>
      </c>
      <c r="D944" s="227" t="s">
        <v>629</v>
      </c>
      <c r="E944" s="248" t="s">
        <v>1853</v>
      </c>
      <c r="F944" s="227" t="s">
        <v>620</v>
      </c>
      <c r="G944" s="250">
        <v>2014</v>
      </c>
      <c r="H944" s="313" t="s">
        <v>734</v>
      </c>
      <c r="I944" s="308" t="str">
        <f t="shared" si="54"/>
        <v>Pesado de Passageiros M3: III : Gasóleo : E5</v>
      </c>
      <c r="J944" s="227">
        <v>55</v>
      </c>
      <c r="K944" s="249">
        <v>2022</v>
      </c>
      <c r="L944" s="227">
        <v>37401.175123564302</v>
      </c>
      <c r="M944" s="227" t="s">
        <v>630</v>
      </c>
      <c r="N944" s="227">
        <v>110418</v>
      </c>
      <c r="O944" s="128">
        <f t="shared" si="55"/>
        <v>6072990</v>
      </c>
      <c r="P944" s="250">
        <v>228</v>
      </c>
      <c r="Q944" s="227" t="s">
        <v>47</v>
      </c>
      <c r="R944" s="214" t="s">
        <v>1869</v>
      </c>
      <c r="S944" s="214" t="s">
        <v>1861</v>
      </c>
      <c r="T944" s="227"/>
      <c r="U944" t="s">
        <v>1953</v>
      </c>
      <c r="V944" t="s">
        <v>2813</v>
      </c>
    </row>
    <row r="945" spans="1:22" ht="15.75" thickBot="1" x14ac:dyDescent="0.3">
      <c r="A945" s="227" t="s">
        <v>1912</v>
      </c>
      <c r="B945" s="227" t="s">
        <v>1912</v>
      </c>
      <c r="C945" s="227" t="s">
        <v>1912</v>
      </c>
      <c r="D945" s="227" t="s">
        <v>629</v>
      </c>
      <c r="E945" s="248" t="s">
        <v>1853</v>
      </c>
      <c r="F945" s="227" t="s">
        <v>620</v>
      </c>
      <c r="G945" s="250">
        <v>2014</v>
      </c>
      <c r="H945" s="313" t="s">
        <v>734</v>
      </c>
      <c r="I945" s="308" t="str">
        <f t="shared" si="54"/>
        <v>Pesado de Passageiros M3: III : Gasóleo : E5</v>
      </c>
      <c r="J945" s="227">
        <v>55</v>
      </c>
      <c r="K945" s="249">
        <v>2022</v>
      </c>
      <c r="L945" s="227">
        <v>44781.997080327448</v>
      </c>
      <c r="M945" s="227" t="s">
        <v>630</v>
      </c>
      <c r="N945" s="227">
        <v>147687</v>
      </c>
      <c r="O945" s="128">
        <f t="shared" si="55"/>
        <v>8122785</v>
      </c>
      <c r="P945" s="250">
        <v>229</v>
      </c>
      <c r="Q945" s="227" t="s">
        <v>47</v>
      </c>
      <c r="R945" s="214" t="s">
        <v>1869</v>
      </c>
      <c r="S945" s="214" t="s">
        <v>1861</v>
      </c>
      <c r="T945" s="227"/>
      <c r="U945" t="s">
        <v>1953</v>
      </c>
      <c r="V945" t="s">
        <v>2813</v>
      </c>
    </row>
    <row r="946" spans="1:22" ht="15.75" thickBot="1" x14ac:dyDescent="0.3">
      <c r="A946" s="227" t="s">
        <v>1912</v>
      </c>
      <c r="B946" s="227" t="s">
        <v>1912</v>
      </c>
      <c r="C946" s="227" t="s">
        <v>1912</v>
      </c>
      <c r="D946" s="227" t="s">
        <v>629</v>
      </c>
      <c r="E946" s="248" t="s">
        <v>1853</v>
      </c>
      <c r="F946" s="227" t="s">
        <v>620</v>
      </c>
      <c r="G946" s="250">
        <v>2014</v>
      </c>
      <c r="H946" s="313" t="s">
        <v>734</v>
      </c>
      <c r="I946" s="308" t="str">
        <f t="shared" si="54"/>
        <v>Pesado de Passageiros M3: III : Gasóleo : E5</v>
      </c>
      <c r="J946" s="227">
        <v>55</v>
      </c>
      <c r="K946" s="249">
        <v>2022</v>
      </c>
      <c r="L946" s="227">
        <v>34226.412159457905</v>
      </c>
      <c r="M946" s="227" t="s">
        <v>630</v>
      </c>
      <c r="N946" s="227">
        <v>109682</v>
      </c>
      <c r="O946" s="128">
        <f t="shared" si="55"/>
        <v>6032510</v>
      </c>
      <c r="P946" s="250">
        <v>230</v>
      </c>
      <c r="Q946" s="227" t="s">
        <v>47</v>
      </c>
      <c r="R946" s="214" t="s">
        <v>1869</v>
      </c>
      <c r="S946" s="214" t="s">
        <v>1861</v>
      </c>
      <c r="T946" s="227"/>
      <c r="U946" t="s">
        <v>1953</v>
      </c>
      <c r="V946" t="s">
        <v>2813</v>
      </c>
    </row>
    <row r="947" spans="1:22" ht="15.75" thickBot="1" x14ac:dyDescent="0.3">
      <c r="A947" s="227" t="s">
        <v>1912</v>
      </c>
      <c r="B947" s="227" t="s">
        <v>1912</v>
      </c>
      <c r="C947" s="227" t="s">
        <v>1912</v>
      </c>
      <c r="D947" s="227" t="s">
        <v>629</v>
      </c>
      <c r="E947" s="248" t="s">
        <v>1853</v>
      </c>
      <c r="F947" s="227" t="s">
        <v>620</v>
      </c>
      <c r="G947" s="250">
        <v>2009</v>
      </c>
      <c r="H947" s="313" t="s">
        <v>734</v>
      </c>
      <c r="I947" s="308" t="str">
        <f t="shared" si="54"/>
        <v>Pesado de Passageiros M3: III : Gasóleo : E5</v>
      </c>
      <c r="J947" s="227">
        <v>25</v>
      </c>
      <c r="K947" s="249">
        <v>2022</v>
      </c>
      <c r="L947" s="227">
        <v>692.26048744289085</v>
      </c>
      <c r="M947" s="227" t="s">
        <v>630</v>
      </c>
      <c r="N947" s="227">
        <v>3545</v>
      </c>
      <c r="O947" s="128">
        <f t="shared" si="55"/>
        <v>88625</v>
      </c>
      <c r="P947" s="250">
        <v>231</v>
      </c>
      <c r="Q947" s="227" t="s">
        <v>47</v>
      </c>
      <c r="R947" s="214" t="s">
        <v>1869</v>
      </c>
      <c r="S947" s="214" t="s">
        <v>1861</v>
      </c>
      <c r="T947" s="227"/>
      <c r="U947" t="s">
        <v>1953</v>
      </c>
      <c r="V947" t="s">
        <v>2813</v>
      </c>
    </row>
    <row r="948" spans="1:22" ht="15.75" thickBot="1" x14ac:dyDescent="0.3">
      <c r="A948" s="227" t="s">
        <v>1912</v>
      </c>
      <c r="B948" s="227" t="s">
        <v>1912</v>
      </c>
      <c r="C948" s="227" t="s">
        <v>1912</v>
      </c>
      <c r="D948" s="227" t="s">
        <v>629</v>
      </c>
      <c r="E948" s="248" t="s">
        <v>1853</v>
      </c>
      <c r="F948" s="227" t="s">
        <v>620</v>
      </c>
      <c r="G948" s="250">
        <v>2008</v>
      </c>
      <c r="H948" s="313" t="s">
        <v>734</v>
      </c>
      <c r="I948" s="308" t="str">
        <f t="shared" si="54"/>
        <v>Pesado de Passageiros M3: III : Gasóleo : E5</v>
      </c>
      <c r="J948" s="227">
        <v>20</v>
      </c>
      <c r="K948" s="249">
        <v>2022</v>
      </c>
      <c r="L948" s="227">
        <v>4385.4459912324783</v>
      </c>
      <c r="M948" s="227" t="s">
        <v>630</v>
      </c>
      <c r="N948" s="227">
        <v>23894</v>
      </c>
      <c r="O948" s="128">
        <f t="shared" si="55"/>
        <v>477880</v>
      </c>
      <c r="P948" s="250">
        <v>232</v>
      </c>
      <c r="Q948" s="227" t="s">
        <v>47</v>
      </c>
      <c r="R948" s="214" t="s">
        <v>1869</v>
      </c>
      <c r="S948" s="214" t="s">
        <v>1861</v>
      </c>
      <c r="T948" s="227"/>
      <c r="U948" t="s">
        <v>1953</v>
      </c>
      <c r="V948" t="s">
        <v>2813</v>
      </c>
    </row>
    <row r="949" spans="1:22" ht="15.75" thickBot="1" x14ac:dyDescent="0.3">
      <c r="A949" s="227" t="s">
        <v>1912</v>
      </c>
      <c r="B949" s="227" t="s">
        <v>1912</v>
      </c>
      <c r="C949" s="227" t="s">
        <v>1912</v>
      </c>
      <c r="D949" s="227" t="s">
        <v>629</v>
      </c>
      <c r="E949" s="248" t="s">
        <v>1853</v>
      </c>
      <c r="F949" s="227" t="s">
        <v>620</v>
      </c>
      <c r="G949" s="250">
        <v>2012</v>
      </c>
      <c r="H949" s="313" t="s">
        <v>734</v>
      </c>
      <c r="I949" s="308" t="str">
        <f t="shared" si="54"/>
        <v>Pesado de Passageiros M3: III : Gasóleo : E5</v>
      </c>
      <c r="J949" s="227">
        <v>35</v>
      </c>
      <c r="K949" s="249">
        <v>2022</v>
      </c>
      <c r="L949" s="227">
        <v>10140.883647418199</v>
      </c>
      <c r="M949" s="227" t="s">
        <v>630</v>
      </c>
      <c r="N949" s="227">
        <v>37959</v>
      </c>
      <c r="O949" s="128">
        <f t="shared" si="55"/>
        <v>1328565</v>
      </c>
      <c r="P949" s="250">
        <v>233</v>
      </c>
      <c r="Q949" s="227" t="s">
        <v>47</v>
      </c>
      <c r="R949" s="214" t="s">
        <v>1869</v>
      </c>
      <c r="S949" s="214" t="s">
        <v>1861</v>
      </c>
      <c r="T949" s="227"/>
      <c r="U949" t="s">
        <v>1953</v>
      </c>
      <c r="V949" t="s">
        <v>2813</v>
      </c>
    </row>
    <row r="950" spans="1:22" ht="15.75" thickBot="1" x14ac:dyDescent="0.3">
      <c r="A950" s="227" t="s">
        <v>1912</v>
      </c>
      <c r="B950" s="227" t="s">
        <v>1912</v>
      </c>
      <c r="C950" s="227" t="s">
        <v>1912</v>
      </c>
      <c r="D950" s="227" t="s">
        <v>629</v>
      </c>
      <c r="E950" s="248" t="s">
        <v>1853</v>
      </c>
      <c r="F950" s="227" t="s">
        <v>620</v>
      </c>
      <c r="G950" s="250">
        <v>2015</v>
      </c>
      <c r="H950" s="313" t="s">
        <v>733</v>
      </c>
      <c r="I950" s="308" t="str">
        <f t="shared" si="54"/>
        <v>Pesado de Passageiros M3: III : Gasóleo : E6</v>
      </c>
      <c r="J950" s="227">
        <v>54</v>
      </c>
      <c r="K950" s="249">
        <v>2022</v>
      </c>
      <c r="L950" s="227">
        <v>20262.691199067074</v>
      </c>
      <c r="M950" s="227" t="s">
        <v>630</v>
      </c>
      <c r="N950" s="227">
        <v>63277</v>
      </c>
      <c r="O950" s="128">
        <f t="shared" si="55"/>
        <v>3416958</v>
      </c>
      <c r="P950" s="250">
        <v>234</v>
      </c>
      <c r="Q950" s="227" t="s">
        <v>47</v>
      </c>
      <c r="R950" s="214" t="s">
        <v>1869</v>
      </c>
      <c r="S950" s="214" t="s">
        <v>1861</v>
      </c>
      <c r="T950" s="227"/>
      <c r="U950" t="s">
        <v>1953</v>
      </c>
      <c r="V950" t="s">
        <v>2813</v>
      </c>
    </row>
    <row r="951" spans="1:22" ht="15.75" thickBot="1" x14ac:dyDescent="0.3">
      <c r="A951" s="227" t="s">
        <v>1912</v>
      </c>
      <c r="B951" s="227" t="s">
        <v>1912</v>
      </c>
      <c r="C951" s="227" t="s">
        <v>1912</v>
      </c>
      <c r="D951" s="227" t="s">
        <v>629</v>
      </c>
      <c r="E951" s="248" t="s">
        <v>1853</v>
      </c>
      <c r="F951" s="227" t="s">
        <v>620</v>
      </c>
      <c r="G951" s="250">
        <v>2015</v>
      </c>
      <c r="H951" s="313" t="s">
        <v>733</v>
      </c>
      <c r="I951" s="308" t="str">
        <f t="shared" si="54"/>
        <v>Pesado de Passageiros M3: III : Gasóleo : E6</v>
      </c>
      <c r="J951" s="227">
        <v>54</v>
      </c>
      <c r="K951" s="249">
        <v>2022</v>
      </c>
      <c r="L951" s="227">
        <v>42458.749983789712</v>
      </c>
      <c r="M951" s="227" t="s">
        <v>630</v>
      </c>
      <c r="N951" s="227">
        <v>149057</v>
      </c>
      <c r="O951" s="128">
        <f t="shared" si="55"/>
        <v>8049078</v>
      </c>
      <c r="P951" s="250">
        <v>235</v>
      </c>
      <c r="Q951" s="227" t="s">
        <v>47</v>
      </c>
      <c r="R951" s="214" t="s">
        <v>1869</v>
      </c>
      <c r="S951" s="214" t="s">
        <v>1861</v>
      </c>
      <c r="T951" s="227"/>
      <c r="U951" t="s">
        <v>1953</v>
      </c>
      <c r="V951" t="s">
        <v>2813</v>
      </c>
    </row>
    <row r="952" spans="1:22" ht="15.75" thickBot="1" x14ac:dyDescent="0.3">
      <c r="A952" s="227" t="s">
        <v>1912</v>
      </c>
      <c r="B952" s="227" t="s">
        <v>1912</v>
      </c>
      <c r="C952" s="227" t="s">
        <v>1912</v>
      </c>
      <c r="D952" s="227" t="s">
        <v>629</v>
      </c>
      <c r="E952" s="248" t="s">
        <v>1853</v>
      </c>
      <c r="F952" s="227" t="s">
        <v>620</v>
      </c>
      <c r="G952" s="250">
        <v>2005</v>
      </c>
      <c r="H952" s="313" t="s">
        <v>731</v>
      </c>
      <c r="I952" s="308" t="str">
        <f t="shared" si="54"/>
        <v>Pesado de Passageiros M3: III : Gasóleo : E4</v>
      </c>
      <c r="J952" s="227">
        <v>35</v>
      </c>
      <c r="K952" s="249">
        <v>2022</v>
      </c>
      <c r="L952" s="227">
        <v>12234.305505401426</v>
      </c>
      <c r="M952" s="227" t="s">
        <v>630</v>
      </c>
      <c r="N952" s="227">
        <v>39756</v>
      </c>
      <c r="O952" s="128">
        <f t="shared" si="55"/>
        <v>1391460</v>
      </c>
      <c r="P952" s="250">
        <v>236</v>
      </c>
      <c r="Q952" s="227" t="s">
        <v>47</v>
      </c>
      <c r="R952" s="214" t="s">
        <v>1869</v>
      </c>
      <c r="S952" s="214" t="s">
        <v>1861</v>
      </c>
      <c r="T952" s="227"/>
      <c r="U952" t="s">
        <v>1953</v>
      </c>
      <c r="V952" t="s">
        <v>2813</v>
      </c>
    </row>
    <row r="953" spans="1:22" ht="15.75" thickBot="1" x14ac:dyDescent="0.3">
      <c r="A953" s="227" t="s">
        <v>1912</v>
      </c>
      <c r="B953" s="227" t="s">
        <v>1912</v>
      </c>
      <c r="C953" s="227" t="s">
        <v>1912</v>
      </c>
      <c r="D953" s="227" t="s">
        <v>629</v>
      </c>
      <c r="E953" s="248" t="s">
        <v>1853</v>
      </c>
      <c r="F953" s="227" t="s">
        <v>620</v>
      </c>
      <c r="G953" s="250">
        <v>2009</v>
      </c>
      <c r="H953" s="313" t="s">
        <v>734</v>
      </c>
      <c r="I953" s="308" t="str">
        <f t="shared" si="54"/>
        <v>Pesado de Passageiros M3: III : Gasóleo : E5</v>
      </c>
      <c r="J953" s="227">
        <v>24</v>
      </c>
      <c r="K953" s="249">
        <v>2022</v>
      </c>
      <c r="L953" s="227">
        <v>5097.8715265199089</v>
      </c>
      <c r="M953" s="227" t="s">
        <v>630</v>
      </c>
      <c r="N953" s="227">
        <v>28845</v>
      </c>
      <c r="O953" s="128">
        <f t="shared" si="55"/>
        <v>692280</v>
      </c>
      <c r="P953" s="250">
        <v>237</v>
      </c>
      <c r="Q953" s="227" t="s">
        <v>47</v>
      </c>
      <c r="R953" s="214" t="s">
        <v>1869</v>
      </c>
      <c r="S953" s="214" t="s">
        <v>1861</v>
      </c>
      <c r="T953" s="227"/>
      <c r="U953" t="s">
        <v>1953</v>
      </c>
      <c r="V953" t="s">
        <v>2813</v>
      </c>
    </row>
    <row r="954" spans="1:22" ht="15.75" thickBot="1" x14ac:dyDescent="0.3">
      <c r="A954" s="227" t="s">
        <v>1912</v>
      </c>
      <c r="B954" s="227" t="s">
        <v>1912</v>
      </c>
      <c r="C954" s="227" t="s">
        <v>1912</v>
      </c>
      <c r="D954" s="227" t="s">
        <v>629</v>
      </c>
      <c r="E954" s="248" t="s">
        <v>1853</v>
      </c>
      <c r="F954" s="227" t="s">
        <v>620</v>
      </c>
      <c r="G954" s="250">
        <v>2009</v>
      </c>
      <c r="H954" s="313" t="s">
        <v>734</v>
      </c>
      <c r="I954" s="308" t="str">
        <f t="shared" si="54"/>
        <v>Pesado de Passageiros M3: III : Gasóleo : E5</v>
      </c>
      <c r="J954" s="227">
        <v>24</v>
      </c>
      <c r="K954" s="249">
        <v>2022</v>
      </c>
      <c r="L954" s="227">
        <v>3762.5285538723033</v>
      </c>
      <c r="M954" s="227" t="s">
        <v>630</v>
      </c>
      <c r="N954" s="227">
        <v>19916</v>
      </c>
      <c r="O954" s="128">
        <f t="shared" si="55"/>
        <v>477984</v>
      </c>
      <c r="P954" s="250">
        <v>238</v>
      </c>
      <c r="Q954" s="227" t="s">
        <v>47</v>
      </c>
      <c r="R954" s="214" t="s">
        <v>1869</v>
      </c>
      <c r="S954" s="214" t="s">
        <v>1861</v>
      </c>
      <c r="T954" s="227"/>
      <c r="U954" t="s">
        <v>1953</v>
      </c>
      <c r="V954" t="s">
        <v>2813</v>
      </c>
    </row>
    <row r="955" spans="1:22" ht="15.75" thickBot="1" x14ac:dyDescent="0.3">
      <c r="A955" s="227" t="s">
        <v>1912</v>
      </c>
      <c r="B955" s="227" t="s">
        <v>1912</v>
      </c>
      <c r="C955" s="227" t="s">
        <v>1912</v>
      </c>
      <c r="D955" s="227" t="s">
        <v>629</v>
      </c>
      <c r="E955" s="248" t="s">
        <v>1853</v>
      </c>
      <c r="F955" s="227" t="s">
        <v>620</v>
      </c>
      <c r="G955" s="250">
        <v>2017</v>
      </c>
      <c r="H955" s="313" t="s">
        <v>733</v>
      </c>
      <c r="I955" s="308" t="str">
        <f t="shared" si="54"/>
        <v>Pesado de Passageiros M3: III : Gasóleo : E6</v>
      </c>
      <c r="J955" s="227">
        <v>53</v>
      </c>
      <c r="K955" s="249">
        <v>2022</v>
      </c>
      <c r="L955" s="227">
        <v>52385.880259666956</v>
      </c>
      <c r="M955" s="227" t="s">
        <v>630</v>
      </c>
      <c r="N955" s="227">
        <v>196765</v>
      </c>
      <c r="O955" s="128">
        <f t="shared" si="55"/>
        <v>10428545</v>
      </c>
      <c r="P955" s="250">
        <v>239</v>
      </c>
      <c r="Q955" s="227" t="s">
        <v>47</v>
      </c>
      <c r="R955" s="214" t="s">
        <v>1869</v>
      </c>
      <c r="S955" s="214" t="s">
        <v>1861</v>
      </c>
      <c r="T955" s="227"/>
      <c r="U955" t="s">
        <v>1953</v>
      </c>
      <c r="V955" t="s">
        <v>2813</v>
      </c>
    </row>
    <row r="956" spans="1:22" ht="15.75" thickBot="1" x14ac:dyDescent="0.3">
      <c r="A956" s="227" t="s">
        <v>1912</v>
      </c>
      <c r="B956" s="227" t="s">
        <v>1912</v>
      </c>
      <c r="C956" s="227" t="s">
        <v>1912</v>
      </c>
      <c r="D956" s="227" t="s">
        <v>629</v>
      </c>
      <c r="E956" s="248" t="s">
        <v>1853</v>
      </c>
      <c r="F956" s="227" t="s">
        <v>620</v>
      </c>
      <c r="G956" s="250">
        <v>2017</v>
      </c>
      <c r="H956" s="313" t="s">
        <v>733</v>
      </c>
      <c r="I956" s="308" t="str">
        <f t="shared" si="54"/>
        <v>Pesado de Passageiros M3: III : Gasóleo : E6</v>
      </c>
      <c r="J956" s="227">
        <v>53</v>
      </c>
      <c r="K956" s="249">
        <v>2022</v>
      </c>
      <c r="L956" s="227">
        <v>42537.173103026667</v>
      </c>
      <c r="M956" s="227" t="s">
        <v>630</v>
      </c>
      <c r="N956" s="227">
        <v>139986</v>
      </c>
      <c r="O956" s="128">
        <f t="shared" si="55"/>
        <v>7419258</v>
      </c>
      <c r="P956" s="250">
        <v>240</v>
      </c>
      <c r="Q956" s="227" t="s">
        <v>47</v>
      </c>
      <c r="R956" s="214" t="s">
        <v>1869</v>
      </c>
      <c r="S956" s="214" t="s">
        <v>1861</v>
      </c>
      <c r="T956" s="227"/>
      <c r="U956" t="s">
        <v>1953</v>
      </c>
      <c r="V956" t="s">
        <v>2813</v>
      </c>
    </row>
    <row r="957" spans="1:22" ht="15.75" thickBot="1" x14ac:dyDescent="0.3">
      <c r="A957" s="227" t="s">
        <v>1912</v>
      </c>
      <c r="B957" s="227" t="s">
        <v>1912</v>
      </c>
      <c r="C957" s="227" t="s">
        <v>1912</v>
      </c>
      <c r="D957" s="227" t="s">
        <v>629</v>
      </c>
      <c r="E957" s="248" t="s">
        <v>1853</v>
      </c>
      <c r="F957" s="227" t="s">
        <v>620</v>
      </c>
      <c r="G957" s="250">
        <v>2007</v>
      </c>
      <c r="H957" s="313" t="s">
        <v>732</v>
      </c>
      <c r="I957" s="308" t="str">
        <f t="shared" si="54"/>
        <v>Pesado de Passageiros M3: III : Gasóleo : E3</v>
      </c>
      <c r="J957" s="227">
        <v>55</v>
      </c>
      <c r="K957" s="249">
        <v>2022</v>
      </c>
      <c r="L957" s="227">
        <v>6609.2757311643363</v>
      </c>
      <c r="M957" s="227" t="s">
        <v>630</v>
      </c>
      <c r="N957" s="227">
        <v>18815</v>
      </c>
      <c r="O957" s="128">
        <f t="shared" si="55"/>
        <v>1034825</v>
      </c>
      <c r="P957" s="250">
        <v>241</v>
      </c>
      <c r="Q957" s="227" t="s">
        <v>47</v>
      </c>
      <c r="R957" s="214" t="s">
        <v>1869</v>
      </c>
      <c r="S957" s="214" t="s">
        <v>1861</v>
      </c>
      <c r="T957" s="227"/>
      <c r="U957" t="s">
        <v>1953</v>
      </c>
      <c r="V957" t="s">
        <v>2813</v>
      </c>
    </row>
    <row r="958" spans="1:22" ht="15.75" thickBot="1" x14ac:dyDescent="0.3">
      <c r="A958" s="227" t="s">
        <v>1912</v>
      </c>
      <c r="B958" s="227" t="s">
        <v>1912</v>
      </c>
      <c r="C958" s="227" t="s">
        <v>1912</v>
      </c>
      <c r="D958" s="227" t="s">
        <v>629</v>
      </c>
      <c r="E958" s="248" t="s">
        <v>1853</v>
      </c>
      <c r="F958" s="227" t="s">
        <v>620</v>
      </c>
      <c r="G958" s="250">
        <v>2004</v>
      </c>
      <c r="H958" s="313" t="s">
        <v>731</v>
      </c>
      <c r="I958" s="308" t="str">
        <f t="shared" si="54"/>
        <v>Pesado de Passageiros M3: III : Gasóleo : E4</v>
      </c>
      <c r="J958" s="227">
        <v>72</v>
      </c>
      <c r="K958" s="249">
        <v>2022</v>
      </c>
      <c r="L958" s="227">
        <v>5630.6041857062692</v>
      </c>
      <c r="M958" s="227" t="s">
        <v>630</v>
      </c>
      <c r="N958" s="227">
        <v>11936</v>
      </c>
      <c r="O958" s="128">
        <f t="shared" si="55"/>
        <v>859392</v>
      </c>
      <c r="P958" s="250">
        <v>5598</v>
      </c>
      <c r="Q958" s="227" t="s">
        <v>47</v>
      </c>
      <c r="R958" s="214" t="s">
        <v>1869</v>
      </c>
      <c r="S958" s="214" t="s">
        <v>1861</v>
      </c>
      <c r="T958" s="227"/>
      <c r="U958" t="s">
        <v>1953</v>
      </c>
      <c r="V958" t="s">
        <v>2813</v>
      </c>
    </row>
    <row r="959" spans="1:22" ht="15.75" thickBot="1" x14ac:dyDescent="0.3">
      <c r="A959" s="227" t="s">
        <v>1912</v>
      </c>
      <c r="B959" s="227" t="s">
        <v>1912</v>
      </c>
      <c r="C959" s="227" t="s">
        <v>1912</v>
      </c>
      <c r="D959" s="227" t="s">
        <v>629</v>
      </c>
      <c r="E959" s="248" t="s">
        <v>1853</v>
      </c>
      <c r="F959" s="227" t="s">
        <v>620</v>
      </c>
      <c r="G959" s="250">
        <v>2018</v>
      </c>
      <c r="H959" s="313" t="s">
        <v>733</v>
      </c>
      <c r="I959" s="308" t="str">
        <f t="shared" si="54"/>
        <v>Pesado de Passageiros M3: III : Gasóleo : E6</v>
      </c>
      <c r="J959" s="227">
        <v>22</v>
      </c>
      <c r="K959" s="249">
        <v>2022</v>
      </c>
      <c r="L959" s="227">
        <v>6439</v>
      </c>
      <c r="M959" s="227" t="s">
        <v>630</v>
      </c>
      <c r="N959" s="227">
        <v>39573</v>
      </c>
      <c r="O959" s="128">
        <f t="shared" si="55"/>
        <v>870606</v>
      </c>
      <c r="P959" s="250">
        <v>402</v>
      </c>
      <c r="Q959" s="227" t="s">
        <v>47</v>
      </c>
      <c r="R959" s="214" t="s">
        <v>1869</v>
      </c>
      <c r="S959" s="214" t="s">
        <v>1861</v>
      </c>
      <c r="T959" s="227"/>
      <c r="U959" t="s">
        <v>1953</v>
      </c>
      <c r="V959" t="s">
        <v>2813</v>
      </c>
    </row>
    <row r="960" spans="1:22" ht="15.75" thickBot="1" x14ac:dyDescent="0.3">
      <c r="A960" s="227" t="s">
        <v>1915</v>
      </c>
      <c r="B960" s="227" t="s">
        <v>1915</v>
      </c>
      <c r="C960" s="227" t="s">
        <v>1915</v>
      </c>
      <c r="D960" s="238" t="s">
        <v>1920</v>
      </c>
      <c r="E960" s="256" t="s">
        <v>2231</v>
      </c>
      <c r="F960" s="227" t="s">
        <v>620</v>
      </c>
      <c r="G960" s="250">
        <v>2006</v>
      </c>
      <c r="H960" s="313" t="s">
        <v>734</v>
      </c>
      <c r="I960" s="308" t="str">
        <f t="shared" si="54"/>
        <v>Pesado de Mercadorias N3: Geral : Gasóleo : E5</v>
      </c>
      <c r="J960" s="227"/>
      <c r="K960" s="249">
        <v>2022</v>
      </c>
      <c r="L960" s="227">
        <v>23556.31</v>
      </c>
      <c r="M960" s="227" t="s">
        <v>630</v>
      </c>
      <c r="N960" s="227">
        <v>58690</v>
      </c>
      <c r="O960" s="128">
        <f t="shared" si="55"/>
        <v>0</v>
      </c>
      <c r="P960" s="250"/>
      <c r="Q960" s="227" t="s">
        <v>2201</v>
      </c>
      <c r="R960" s="214" t="s">
        <v>1869</v>
      </c>
      <c r="S960" s="214" t="s">
        <v>1861</v>
      </c>
      <c r="T960" s="227" t="s">
        <v>1926</v>
      </c>
      <c r="U960" t="s">
        <v>1953</v>
      </c>
      <c r="V960" t="s">
        <v>2813</v>
      </c>
    </row>
    <row r="961" spans="1:22" ht="15.75" thickBot="1" x14ac:dyDescent="0.3">
      <c r="A961" s="227" t="s">
        <v>1915</v>
      </c>
      <c r="B961" s="227" t="s">
        <v>1915</v>
      </c>
      <c r="C961" s="227" t="s">
        <v>1915</v>
      </c>
      <c r="D961" s="238" t="s">
        <v>1920</v>
      </c>
      <c r="E961" s="256" t="s">
        <v>2231</v>
      </c>
      <c r="F961" s="227" t="s">
        <v>620</v>
      </c>
      <c r="G961" s="250">
        <v>2006</v>
      </c>
      <c r="H961" s="313" t="s">
        <v>734</v>
      </c>
      <c r="I961" s="308" t="str">
        <f t="shared" si="54"/>
        <v>Pesado de Mercadorias N3: Geral : Gasóleo : E5</v>
      </c>
      <c r="J961" s="227"/>
      <c r="K961" s="249">
        <v>2022</v>
      </c>
      <c r="L961" s="227">
        <v>32616.01</v>
      </c>
      <c r="M961" s="227" t="s">
        <v>630</v>
      </c>
      <c r="N961" s="227">
        <v>85378</v>
      </c>
      <c r="O961" s="128">
        <f t="shared" si="55"/>
        <v>0</v>
      </c>
      <c r="P961" s="250"/>
      <c r="Q961" s="227" t="s">
        <v>2201</v>
      </c>
      <c r="R961" s="214" t="s">
        <v>1869</v>
      </c>
      <c r="S961" s="214" t="s">
        <v>1861</v>
      </c>
      <c r="T961" s="227" t="s">
        <v>1926</v>
      </c>
      <c r="U961" t="s">
        <v>1953</v>
      </c>
      <c r="V961" t="s">
        <v>2813</v>
      </c>
    </row>
    <row r="962" spans="1:22" ht="15.75" thickBot="1" x14ac:dyDescent="0.3">
      <c r="A962" s="227" t="s">
        <v>1915</v>
      </c>
      <c r="B962" s="227" t="s">
        <v>1915</v>
      </c>
      <c r="C962" s="227" t="s">
        <v>1915</v>
      </c>
      <c r="D962" s="238" t="s">
        <v>1920</v>
      </c>
      <c r="E962" s="256" t="s">
        <v>2231</v>
      </c>
      <c r="F962" s="227" t="s">
        <v>620</v>
      </c>
      <c r="G962" s="250">
        <v>2006</v>
      </c>
      <c r="H962" s="313" t="s">
        <v>734</v>
      </c>
      <c r="I962" s="308" t="str">
        <f t="shared" si="54"/>
        <v>Pesado de Mercadorias N3: Geral : Gasóleo : E5</v>
      </c>
      <c r="J962" s="227"/>
      <c r="K962" s="249">
        <v>2022</v>
      </c>
      <c r="L962" s="227">
        <v>30134.25</v>
      </c>
      <c r="M962" s="227" t="s">
        <v>630</v>
      </c>
      <c r="N962" s="227">
        <v>88844</v>
      </c>
      <c r="O962" s="128">
        <f t="shared" si="55"/>
        <v>0</v>
      </c>
      <c r="P962" s="250"/>
      <c r="Q962" s="227" t="s">
        <v>2201</v>
      </c>
      <c r="R962" s="214" t="s">
        <v>1869</v>
      </c>
      <c r="S962" s="214" t="s">
        <v>1861</v>
      </c>
      <c r="T962" s="227" t="s">
        <v>1926</v>
      </c>
      <c r="U962" t="s">
        <v>1953</v>
      </c>
      <c r="V962" t="s">
        <v>2813</v>
      </c>
    </row>
    <row r="963" spans="1:22" ht="15.75" thickBot="1" x14ac:dyDescent="0.3">
      <c r="A963" s="227" t="s">
        <v>1915</v>
      </c>
      <c r="B963" s="227" t="s">
        <v>1915</v>
      </c>
      <c r="C963" s="227" t="s">
        <v>1915</v>
      </c>
      <c r="D963" s="238" t="s">
        <v>1920</v>
      </c>
      <c r="E963" s="256" t="s">
        <v>2231</v>
      </c>
      <c r="F963" s="227" t="s">
        <v>620</v>
      </c>
      <c r="G963" s="250">
        <v>2006</v>
      </c>
      <c r="H963" s="313" t="s">
        <v>734</v>
      </c>
      <c r="I963" s="308" t="str">
        <f t="shared" si="54"/>
        <v>Pesado de Mercadorias N3: Geral : Gasóleo : E5</v>
      </c>
      <c r="J963" s="227"/>
      <c r="K963" s="249">
        <v>2022</v>
      </c>
      <c r="L963" s="227">
        <v>27937.86</v>
      </c>
      <c r="M963" s="227" t="s">
        <v>630</v>
      </c>
      <c r="N963" s="227">
        <v>73553</v>
      </c>
      <c r="O963" s="128">
        <f t="shared" si="55"/>
        <v>0</v>
      </c>
      <c r="P963" s="250"/>
      <c r="Q963" s="227" t="s">
        <v>2201</v>
      </c>
      <c r="R963" s="214" t="s">
        <v>1869</v>
      </c>
      <c r="S963" s="214" t="s">
        <v>1861</v>
      </c>
      <c r="T963" s="227" t="s">
        <v>1926</v>
      </c>
      <c r="U963" t="s">
        <v>1953</v>
      </c>
      <c r="V963" t="s">
        <v>2813</v>
      </c>
    </row>
    <row r="964" spans="1:22" ht="15.75" thickBot="1" x14ac:dyDescent="0.3">
      <c r="A964" s="227" t="s">
        <v>1915</v>
      </c>
      <c r="B964" s="227" t="s">
        <v>1915</v>
      </c>
      <c r="C964" s="227" t="s">
        <v>1915</v>
      </c>
      <c r="D964" s="238" t="s">
        <v>1920</v>
      </c>
      <c r="E964" s="256" t="s">
        <v>2231</v>
      </c>
      <c r="F964" s="227" t="s">
        <v>620</v>
      </c>
      <c r="G964" s="250">
        <v>2006</v>
      </c>
      <c r="H964" s="313" t="s">
        <v>734</v>
      </c>
      <c r="I964" s="308" t="str">
        <f t="shared" ref="I964:I1027" si="56">D964&amp;": "&amp;E964&amp;" : "&amp;F964&amp;" : "&amp;H964</f>
        <v>Pesado de Mercadorias N3: Geral : Gasóleo : E5</v>
      </c>
      <c r="J964" s="227"/>
      <c r="K964" s="249">
        <v>2022</v>
      </c>
      <c r="L964" s="227">
        <v>26916.9</v>
      </c>
      <c r="M964" s="227" t="s">
        <v>630</v>
      </c>
      <c r="N964" s="227">
        <v>70820</v>
      </c>
      <c r="O964" s="128">
        <f t="shared" ref="O964:O1027" si="57">N964*J964</f>
        <v>0</v>
      </c>
      <c r="P964" s="250"/>
      <c r="Q964" s="227" t="s">
        <v>2201</v>
      </c>
      <c r="R964" s="214" t="s">
        <v>1869</v>
      </c>
      <c r="S964" s="214" t="s">
        <v>1861</v>
      </c>
      <c r="T964" s="227" t="s">
        <v>1926</v>
      </c>
      <c r="U964" t="s">
        <v>1953</v>
      </c>
      <c r="V964" t="s">
        <v>2813</v>
      </c>
    </row>
    <row r="965" spans="1:22" ht="15.75" thickBot="1" x14ac:dyDescent="0.3">
      <c r="A965" s="227" t="s">
        <v>1915</v>
      </c>
      <c r="B965" s="227" t="s">
        <v>1915</v>
      </c>
      <c r="C965" s="227" t="s">
        <v>1915</v>
      </c>
      <c r="D965" s="238" t="s">
        <v>1920</v>
      </c>
      <c r="E965" s="256" t="s">
        <v>2231</v>
      </c>
      <c r="F965" s="227" t="s">
        <v>620</v>
      </c>
      <c r="G965" s="250">
        <v>2006</v>
      </c>
      <c r="H965" s="313" t="s">
        <v>734</v>
      </c>
      <c r="I965" s="308" t="str">
        <f t="shared" si="56"/>
        <v>Pesado de Mercadorias N3: Geral : Gasóleo : E5</v>
      </c>
      <c r="J965" s="227"/>
      <c r="K965" s="249">
        <v>2022</v>
      </c>
      <c r="L965" s="227">
        <v>45062.02</v>
      </c>
      <c r="M965" s="227" t="s">
        <v>630</v>
      </c>
      <c r="N965" s="227">
        <v>119576</v>
      </c>
      <c r="O965" s="128">
        <f t="shared" si="57"/>
        <v>0</v>
      </c>
      <c r="P965" s="250"/>
      <c r="Q965" s="227" t="s">
        <v>2201</v>
      </c>
      <c r="R965" s="214" t="s">
        <v>1869</v>
      </c>
      <c r="S965" s="214" t="s">
        <v>1861</v>
      </c>
      <c r="T965" s="227" t="s">
        <v>1926</v>
      </c>
      <c r="U965" t="s">
        <v>1953</v>
      </c>
      <c r="V965" t="s">
        <v>2813</v>
      </c>
    </row>
    <row r="966" spans="1:22" ht="15.75" thickBot="1" x14ac:dyDescent="0.3">
      <c r="A966" s="227" t="s">
        <v>1915</v>
      </c>
      <c r="B966" s="227" t="s">
        <v>1915</v>
      </c>
      <c r="C966" s="227" t="s">
        <v>1915</v>
      </c>
      <c r="D966" s="238" t="s">
        <v>1920</v>
      </c>
      <c r="E966" s="256" t="s">
        <v>2231</v>
      </c>
      <c r="F966" s="227" t="s">
        <v>620</v>
      </c>
      <c r="G966" s="250">
        <v>2006</v>
      </c>
      <c r="H966" s="313" t="s">
        <v>734</v>
      </c>
      <c r="I966" s="308" t="str">
        <f t="shared" si="56"/>
        <v>Pesado de Mercadorias N3: Geral : Gasóleo : E5</v>
      </c>
      <c r="J966" s="227"/>
      <c r="K966" s="249">
        <v>2022</v>
      </c>
      <c r="L966" s="227">
        <v>25490.65</v>
      </c>
      <c r="M966" s="227" t="s">
        <v>630</v>
      </c>
      <c r="N966" s="227">
        <v>64281</v>
      </c>
      <c r="O966" s="128">
        <f t="shared" si="57"/>
        <v>0</v>
      </c>
      <c r="P966" s="250"/>
      <c r="Q966" s="227" t="s">
        <v>2201</v>
      </c>
      <c r="R966" s="214" t="s">
        <v>1869</v>
      </c>
      <c r="S966" s="214" t="s">
        <v>1861</v>
      </c>
      <c r="T966" s="227" t="s">
        <v>1926</v>
      </c>
      <c r="U966" t="s">
        <v>1953</v>
      </c>
      <c r="V966" t="s">
        <v>2813</v>
      </c>
    </row>
    <row r="967" spans="1:22" ht="15.75" thickBot="1" x14ac:dyDescent="0.3">
      <c r="A967" s="227" t="s">
        <v>1915</v>
      </c>
      <c r="B967" s="227" t="s">
        <v>1915</v>
      </c>
      <c r="C967" s="227" t="s">
        <v>1915</v>
      </c>
      <c r="D967" s="238" t="s">
        <v>1920</v>
      </c>
      <c r="E967" s="256" t="s">
        <v>2231</v>
      </c>
      <c r="F967" s="227" t="s">
        <v>620</v>
      </c>
      <c r="G967" s="250">
        <v>2006</v>
      </c>
      <c r="H967" s="313" t="s">
        <v>732</v>
      </c>
      <c r="I967" s="308" t="str">
        <f t="shared" si="56"/>
        <v>Pesado de Mercadorias N3: Geral : Gasóleo : E3</v>
      </c>
      <c r="J967" s="227"/>
      <c r="K967" s="249">
        <v>2022</v>
      </c>
      <c r="L967" s="227">
        <v>2272.38</v>
      </c>
      <c r="M967" s="227" t="s">
        <v>630</v>
      </c>
      <c r="N967" s="227">
        <v>8821</v>
      </c>
      <c r="O967" s="128">
        <f t="shared" si="57"/>
        <v>0</v>
      </c>
      <c r="P967" s="250"/>
      <c r="Q967" s="227" t="s">
        <v>2201</v>
      </c>
      <c r="R967" s="214" t="s">
        <v>1869</v>
      </c>
      <c r="S967" s="214" t="s">
        <v>1861</v>
      </c>
      <c r="T967" s="227" t="s">
        <v>1926</v>
      </c>
      <c r="U967" t="s">
        <v>1953</v>
      </c>
      <c r="V967" t="s">
        <v>2813</v>
      </c>
    </row>
    <row r="968" spans="1:22" ht="15.75" thickBot="1" x14ac:dyDescent="0.3">
      <c r="A968" s="227" t="s">
        <v>1915</v>
      </c>
      <c r="B968" s="227" t="s">
        <v>1915</v>
      </c>
      <c r="C968" s="227" t="s">
        <v>1915</v>
      </c>
      <c r="D968" s="238" t="s">
        <v>1920</v>
      </c>
      <c r="E968" s="256" t="s">
        <v>2231</v>
      </c>
      <c r="F968" s="227" t="s">
        <v>620</v>
      </c>
      <c r="G968" s="250">
        <v>2006</v>
      </c>
      <c r="H968" s="313" t="s">
        <v>732</v>
      </c>
      <c r="I968" s="308" t="str">
        <f t="shared" si="56"/>
        <v>Pesado de Mercadorias N3: Geral : Gasóleo : E3</v>
      </c>
      <c r="J968" s="227"/>
      <c r="K968" s="249">
        <v>2022</v>
      </c>
      <c r="L968" s="227">
        <v>18027.53</v>
      </c>
      <c r="M968" s="227" t="s">
        <v>630</v>
      </c>
      <c r="N968" s="227">
        <v>72450</v>
      </c>
      <c r="O968" s="128">
        <f t="shared" si="57"/>
        <v>0</v>
      </c>
      <c r="P968" s="250"/>
      <c r="Q968" s="227" t="s">
        <v>2201</v>
      </c>
      <c r="R968" s="214" t="s">
        <v>1869</v>
      </c>
      <c r="S968" s="214" t="s">
        <v>1861</v>
      </c>
      <c r="T968" s="227" t="s">
        <v>1926</v>
      </c>
      <c r="U968" t="s">
        <v>1953</v>
      </c>
      <c r="V968" t="s">
        <v>2813</v>
      </c>
    </row>
    <row r="969" spans="1:22" ht="15.75" thickBot="1" x14ac:dyDescent="0.3">
      <c r="A969" s="227" t="s">
        <v>1915</v>
      </c>
      <c r="B969" s="227" t="s">
        <v>1915</v>
      </c>
      <c r="C969" s="227" t="s">
        <v>1915</v>
      </c>
      <c r="D969" s="238" t="s">
        <v>1920</v>
      </c>
      <c r="E969" s="256" t="s">
        <v>2231</v>
      </c>
      <c r="F969" s="227" t="s">
        <v>620</v>
      </c>
      <c r="G969" s="250">
        <v>2006</v>
      </c>
      <c r="H969" s="313" t="s">
        <v>732</v>
      </c>
      <c r="I969" s="308" t="str">
        <f t="shared" si="56"/>
        <v>Pesado de Mercadorias N3: Geral : Gasóleo : E3</v>
      </c>
      <c r="J969" s="227"/>
      <c r="K969" s="249">
        <v>2022</v>
      </c>
      <c r="L969" s="227">
        <v>10457.629999999999</v>
      </c>
      <c r="M969" s="227" t="s">
        <v>630</v>
      </c>
      <c r="N969" s="227">
        <v>36136</v>
      </c>
      <c r="O969" s="128">
        <f t="shared" si="57"/>
        <v>0</v>
      </c>
      <c r="P969" s="250"/>
      <c r="Q969" s="227" t="s">
        <v>2201</v>
      </c>
      <c r="R969" s="214" t="s">
        <v>1869</v>
      </c>
      <c r="S969" s="214" t="s">
        <v>1861</v>
      </c>
      <c r="T969" s="227" t="s">
        <v>1926</v>
      </c>
      <c r="U969" t="s">
        <v>1953</v>
      </c>
      <c r="V969" t="s">
        <v>2813</v>
      </c>
    </row>
    <row r="970" spans="1:22" ht="15.75" thickBot="1" x14ac:dyDescent="0.3">
      <c r="A970" s="227" t="s">
        <v>1915</v>
      </c>
      <c r="B970" s="227" t="s">
        <v>1915</v>
      </c>
      <c r="C970" s="227" t="s">
        <v>1915</v>
      </c>
      <c r="D970" s="238" t="s">
        <v>1920</v>
      </c>
      <c r="E970" s="256" t="s">
        <v>2231</v>
      </c>
      <c r="F970" s="227" t="s">
        <v>620</v>
      </c>
      <c r="G970" s="250">
        <v>2006</v>
      </c>
      <c r="H970" s="313" t="s">
        <v>732</v>
      </c>
      <c r="I970" s="308" t="str">
        <f t="shared" si="56"/>
        <v>Pesado de Mercadorias N3: Geral : Gasóleo : E3</v>
      </c>
      <c r="J970" s="227"/>
      <c r="K970" s="249">
        <v>2022</v>
      </c>
      <c r="L970" s="227">
        <v>39225.339999999997</v>
      </c>
      <c r="M970" s="227" t="s">
        <v>630</v>
      </c>
      <c r="N970" s="227">
        <v>101829</v>
      </c>
      <c r="O970" s="128">
        <f t="shared" si="57"/>
        <v>0</v>
      </c>
      <c r="P970" s="250"/>
      <c r="Q970" s="227" t="s">
        <v>2201</v>
      </c>
      <c r="R970" s="214" t="s">
        <v>1869</v>
      </c>
      <c r="S970" s="214" t="s">
        <v>1861</v>
      </c>
      <c r="T970" s="227" t="s">
        <v>1926</v>
      </c>
      <c r="U970" t="s">
        <v>1953</v>
      </c>
      <c r="V970" t="s">
        <v>2813</v>
      </c>
    </row>
    <row r="971" spans="1:22" ht="15.75" thickBot="1" x14ac:dyDescent="0.3">
      <c r="A971" s="227" t="s">
        <v>1915</v>
      </c>
      <c r="B971" s="227" t="s">
        <v>1915</v>
      </c>
      <c r="C971" s="227" t="s">
        <v>1915</v>
      </c>
      <c r="D971" s="238" t="s">
        <v>1920</v>
      </c>
      <c r="E971" s="256" t="s">
        <v>2231</v>
      </c>
      <c r="F971" s="227" t="s">
        <v>620</v>
      </c>
      <c r="G971" s="250">
        <v>2006</v>
      </c>
      <c r="H971" s="313" t="s">
        <v>732</v>
      </c>
      <c r="I971" s="308" t="str">
        <f t="shared" si="56"/>
        <v>Pesado de Mercadorias N3: Geral : Gasóleo : E3</v>
      </c>
      <c r="J971" s="227"/>
      <c r="K971" s="249">
        <v>2022</v>
      </c>
      <c r="L971" s="227">
        <v>29949.53</v>
      </c>
      <c r="M971" s="227" t="s">
        <v>630</v>
      </c>
      <c r="N971" s="227">
        <v>71817</v>
      </c>
      <c r="O971" s="128">
        <f t="shared" si="57"/>
        <v>0</v>
      </c>
      <c r="P971" s="250"/>
      <c r="Q971" s="227" t="s">
        <v>2201</v>
      </c>
      <c r="R971" s="214" t="s">
        <v>1869</v>
      </c>
      <c r="S971" s="214" t="s">
        <v>1861</v>
      </c>
      <c r="T971" s="227" t="s">
        <v>1926</v>
      </c>
      <c r="U971" t="s">
        <v>1953</v>
      </c>
      <c r="V971" t="s">
        <v>2813</v>
      </c>
    </row>
    <row r="972" spans="1:22" ht="15.75" thickBot="1" x14ac:dyDescent="0.3">
      <c r="A972" s="227" t="s">
        <v>1915</v>
      </c>
      <c r="B972" s="227" t="s">
        <v>1915</v>
      </c>
      <c r="C972" s="227" t="s">
        <v>1915</v>
      </c>
      <c r="D972" s="238" t="s">
        <v>1920</v>
      </c>
      <c r="E972" s="256" t="s">
        <v>2231</v>
      </c>
      <c r="F972" s="227" t="s">
        <v>620</v>
      </c>
      <c r="G972" s="250">
        <v>2006</v>
      </c>
      <c r="H972" s="313" t="s">
        <v>732</v>
      </c>
      <c r="I972" s="308" t="str">
        <f t="shared" si="56"/>
        <v>Pesado de Mercadorias N3: Geral : Gasóleo : E3</v>
      </c>
      <c r="J972" s="227"/>
      <c r="K972" s="249">
        <v>2022</v>
      </c>
      <c r="L972" s="227">
        <v>40815.43</v>
      </c>
      <c r="M972" s="227" t="s">
        <v>630</v>
      </c>
      <c r="N972" s="227">
        <v>109312</v>
      </c>
      <c r="O972" s="128">
        <f t="shared" si="57"/>
        <v>0</v>
      </c>
      <c r="P972" s="250"/>
      <c r="Q972" s="227" t="s">
        <v>2201</v>
      </c>
      <c r="R972" s="214" t="s">
        <v>1869</v>
      </c>
      <c r="S972" s="214" t="s">
        <v>1861</v>
      </c>
      <c r="T972" s="227" t="s">
        <v>1926</v>
      </c>
      <c r="U972" t="s">
        <v>1953</v>
      </c>
      <c r="V972" t="s">
        <v>2813</v>
      </c>
    </row>
    <row r="973" spans="1:22" ht="15.75" thickBot="1" x14ac:dyDescent="0.3">
      <c r="A973" s="227" t="s">
        <v>1915</v>
      </c>
      <c r="B973" s="227" t="s">
        <v>1915</v>
      </c>
      <c r="C973" s="227" t="s">
        <v>1915</v>
      </c>
      <c r="D973" s="238" t="s">
        <v>1920</v>
      </c>
      <c r="E973" s="256" t="s">
        <v>2231</v>
      </c>
      <c r="F973" s="227" t="s">
        <v>620</v>
      </c>
      <c r="G973" s="250">
        <v>2006</v>
      </c>
      <c r="H973" s="313" t="s">
        <v>732</v>
      </c>
      <c r="I973" s="308" t="str">
        <f t="shared" si="56"/>
        <v>Pesado de Mercadorias N3: Geral : Gasóleo : E3</v>
      </c>
      <c r="J973" s="227"/>
      <c r="K973" s="249">
        <v>2022</v>
      </c>
      <c r="L973" s="227">
        <v>28912.15</v>
      </c>
      <c r="M973" s="227" t="s">
        <v>630</v>
      </c>
      <c r="N973" s="227">
        <v>72503</v>
      </c>
      <c r="O973" s="128">
        <f t="shared" si="57"/>
        <v>0</v>
      </c>
      <c r="P973" s="250"/>
      <c r="Q973" s="227" t="s">
        <v>2201</v>
      </c>
      <c r="R973" s="214" t="s">
        <v>1869</v>
      </c>
      <c r="S973" s="214" t="s">
        <v>1861</v>
      </c>
      <c r="T973" s="227" t="s">
        <v>1926</v>
      </c>
      <c r="U973" t="s">
        <v>1953</v>
      </c>
      <c r="V973" t="s">
        <v>2813</v>
      </c>
    </row>
    <row r="974" spans="1:22" ht="15.75" thickBot="1" x14ac:dyDescent="0.3">
      <c r="A974" s="227" t="s">
        <v>1915</v>
      </c>
      <c r="B974" s="227" t="s">
        <v>1915</v>
      </c>
      <c r="C974" s="227" t="s">
        <v>1915</v>
      </c>
      <c r="D974" s="238" t="s">
        <v>1920</v>
      </c>
      <c r="E974" s="256" t="s">
        <v>2231</v>
      </c>
      <c r="F974" s="227" t="s">
        <v>620</v>
      </c>
      <c r="G974" s="250">
        <v>2006</v>
      </c>
      <c r="H974" s="313" t="s">
        <v>732</v>
      </c>
      <c r="I974" s="308" t="str">
        <f t="shared" si="56"/>
        <v>Pesado de Mercadorias N3: Geral : Gasóleo : E3</v>
      </c>
      <c r="J974" s="227"/>
      <c r="K974" s="249">
        <v>2022</v>
      </c>
      <c r="L974" s="227">
        <v>36269.879999999997</v>
      </c>
      <c r="M974" s="227" t="s">
        <v>630</v>
      </c>
      <c r="N974" s="227">
        <v>94574</v>
      </c>
      <c r="O974" s="128">
        <f t="shared" si="57"/>
        <v>0</v>
      </c>
      <c r="P974" s="250"/>
      <c r="Q974" s="227" t="s">
        <v>2201</v>
      </c>
      <c r="R974" s="214" t="s">
        <v>1869</v>
      </c>
      <c r="S974" s="214" t="s">
        <v>1861</v>
      </c>
      <c r="T974" s="227" t="s">
        <v>1926</v>
      </c>
      <c r="U974" t="s">
        <v>1953</v>
      </c>
      <c r="V974" t="s">
        <v>2813</v>
      </c>
    </row>
    <row r="975" spans="1:22" ht="15.75" thickBot="1" x14ac:dyDescent="0.3">
      <c r="A975" s="227" t="s">
        <v>1915</v>
      </c>
      <c r="B975" s="227" t="s">
        <v>1915</v>
      </c>
      <c r="C975" s="227" t="s">
        <v>1915</v>
      </c>
      <c r="D975" s="238" t="s">
        <v>1920</v>
      </c>
      <c r="E975" s="256" t="s">
        <v>2231</v>
      </c>
      <c r="F975" s="227" t="s">
        <v>620</v>
      </c>
      <c r="G975" s="250">
        <v>2006</v>
      </c>
      <c r="H975" s="313" t="s">
        <v>732</v>
      </c>
      <c r="I975" s="308" t="str">
        <f t="shared" si="56"/>
        <v>Pesado de Mercadorias N3: Geral : Gasóleo : E3</v>
      </c>
      <c r="J975" s="227"/>
      <c r="K975" s="249">
        <v>2022</v>
      </c>
      <c r="L975" s="227">
        <v>12974.44</v>
      </c>
      <c r="M975" s="227" t="s">
        <v>630</v>
      </c>
      <c r="N975" s="227">
        <v>33338</v>
      </c>
      <c r="O975" s="128">
        <f t="shared" si="57"/>
        <v>0</v>
      </c>
      <c r="P975" s="250"/>
      <c r="Q975" s="227" t="s">
        <v>2201</v>
      </c>
      <c r="R975" s="214" t="s">
        <v>1869</v>
      </c>
      <c r="S975" s="214" t="s">
        <v>1861</v>
      </c>
      <c r="T975" s="227" t="s">
        <v>1926</v>
      </c>
      <c r="U975" t="s">
        <v>1953</v>
      </c>
      <c r="V975" t="s">
        <v>2813</v>
      </c>
    </row>
    <row r="976" spans="1:22" ht="15.75" thickBot="1" x14ac:dyDescent="0.3">
      <c r="A976" s="227" t="s">
        <v>1915</v>
      </c>
      <c r="B976" s="227" t="s">
        <v>1915</v>
      </c>
      <c r="C976" s="227" t="s">
        <v>1915</v>
      </c>
      <c r="D976" s="238" t="s">
        <v>1920</v>
      </c>
      <c r="E976" s="256" t="s">
        <v>2231</v>
      </c>
      <c r="F976" s="227" t="s">
        <v>620</v>
      </c>
      <c r="G976" s="250">
        <v>2006</v>
      </c>
      <c r="H976" s="313" t="s">
        <v>732</v>
      </c>
      <c r="I976" s="308" t="str">
        <f t="shared" si="56"/>
        <v>Pesado de Mercadorias N3: Geral : Gasóleo : E3</v>
      </c>
      <c r="J976" s="227"/>
      <c r="K976" s="249">
        <v>2022</v>
      </c>
      <c r="L976" s="227">
        <v>32258.03</v>
      </c>
      <c r="M976" s="227" t="s">
        <v>630</v>
      </c>
      <c r="N976" s="227">
        <v>78764</v>
      </c>
      <c r="O976" s="128">
        <f t="shared" si="57"/>
        <v>0</v>
      </c>
      <c r="P976" s="250"/>
      <c r="Q976" s="227" t="s">
        <v>2201</v>
      </c>
      <c r="R976" s="214" t="s">
        <v>1869</v>
      </c>
      <c r="S976" s="214" t="s">
        <v>1861</v>
      </c>
      <c r="T976" s="227" t="s">
        <v>1926</v>
      </c>
      <c r="U976" t="s">
        <v>1953</v>
      </c>
      <c r="V976" t="s">
        <v>2813</v>
      </c>
    </row>
    <row r="977" spans="1:22" ht="15.75" thickBot="1" x14ac:dyDescent="0.3">
      <c r="A977" s="227" t="s">
        <v>1915</v>
      </c>
      <c r="B977" s="227" t="s">
        <v>1915</v>
      </c>
      <c r="C977" s="227" t="s">
        <v>1915</v>
      </c>
      <c r="D977" s="238" t="s">
        <v>1920</v>
      </c>
      <c r="E977" s="256" t="s">
        <v>2231</v>
      </c>
      <c r="F977" s="227" t="s">
        <v>620</v>
      </c>
      <c r="G977" s="250">
        <v>2006</v>
      </c>
      <c r="H977" s="313" t="s">
        <v>732</v>
      </c>
      <c r="I977" s="308" t="str">
        <f t="shared" si="56"/>
        <v>Pesado de Mercadorias N3: Geral : Gasóleo : E3</v>
      </c>
      <c r="J977" s="227"/>
      <c r="K977" s="249">
        <v>2022</v>
      </c>
      <c r="L977" s="227">
        <v>25062.13</v>
      </c>
      <c r="M977" s="227" t="s">
        <v>630</v>
      </c>
      <c r="N977" s="227">
        <v>65194</v>
      </c>
      <c r="O977" s="128">
        <f t="shared" si="57"/>
        <v>0</v>
      </c>
      <c r="P977" s="250"/>
      <c r="Q977" s="227" t="s">
        <v>2201</v>
      </c>
      <c r="R977" s="214" t="s">
        <v>1869</v>
      </c>
      <c r="S977" s="214" t="s">
        <v>1861</v>
      </c>
      <c r="T977" s="227" t="s">
        <v>1926</v>
      </c>
      <c r="U977" t="s">
        <v>1953</v>
      </c>
      <c r="V977" t="s">
        <v>2813</v>
      </c>
    </row>
    <row r="978" spans="1:22" ht="15.75" thickBot="1" x14ac:dyDescent="0.3">
      <c r="A978" s="227" t="s">
        <v>1915</v>
      </c>
      <c r="B978" s="227" t="s">
        <v>1915</v>
      </c>
      <c r="C978" s="227" t="s">
        <v>1915</v>
      </c>
      <c r="D978" s="238" t="s">
        <v>1920</v>
      </c>
      <c r="E978" s="256" t="s">
        <v>2231</v>
      </c>
      <c r="F978" s="227" t="s">
        <v>620</v>
      </c>
      <c r="G978" s="250">
        <v>2007</v>
      </c>
      <c r="H978" s="313" t="s">
        <v>734</v>
      </c>
      <c r="I978" s="308" t="str">
        <f t="shared" si="56"/>
        <v>Pesado de Mercadorias N3: Geral : Gasóleo : E5</v>
      </c>
      <c r="J978" s="227"/>
      <c r="K978" s="249">
        <v>2022</v>
      </c>
      <c r="L978" s="227">
        <v>26558.63</v>
      </c>
      <c r="M978" s="227" t="s">
        <v>630</v>
      </c>
      <c r="N978" s="227">
        <v>66794</v>
      </c>
      <c r="O978" s="128">
        <f t="shared" si="57"/>
        <v>0</v>
      </c>
      <c r="P978" s="250"/>
      <c r="Q978" s="227" t="s">
        <v>2201</v>
      </c>
      <c r="R978" s="214" t="s">
        <v>1869</v>
      </c>
      <c r="S978" s="214" t="s">
        <v>1861</v>
      </c>
      <c r="T978" s="227" t="s">
        <v>1926</v>
      </c>
      <c r="U978" t="s">
        <v>1953</v>
      </c>
      <c r="V978" t="s">
        <v>2813</v>
      </c>
    </row>
    <row r="979" spans="1:22" ht="15.75" thickBot="1" x14ac:dyDescent="0.3">
      <c r="A979" s="227" t="s">
        <v>1915</v>
      </c>
      <c r="B979" s="227" t="s">
        <v>1915</v>
      </c>
      <c r="C979" s="227" t="s">
        <v>1915</v>
      </c>
      <c r="D979" s="238" t="s">
        <v>1920</v>
      </c>
      <c r="E979" s="256" t="s">
        <v>2231</v>
      </c>
      <c r="F979" s="227" t="s">
        <v>620</v>
      </c>
      <c r="G979" s="250">
        <v>2007</v>
      </c>
      <c r="H979" s="313" t="s">
        <v>734</v>
      </c>
      <c r="I979" s="308" t="str">
        <f t="shared" si="56"/>
        <v>Pesado de Mercadorias N3: Geral : Gasóleo : E5</v>
      </c>
      <c r="J979" s="227"/>
      <c r="K979" s="249">
        <v>2022</v>
      </c>
      <c r="L979" s="227">
        <v>37720.53</v>
      </c>
      <c r="M979" s="227" t="s">
        <v>630</v>
      </c>
      <c r="N979" s="227">
        <v>97627</v>
      </c>
      <c r="O979" s="128">
        <f t="shared" si="57"/>
        <v>0</v>
      </c>
      <c r="P979" s="250"/>
      <c r="Q979" s="227" t="s">
        <v>2201</v>
      </c>
      <c r="R979" s="214" t="s">
        <v>1869</v>
      </c>
      <c r="S979" s="214" t="s">
        <v>1861</v>
      </c>
      <c r="T979" s="227" t="s">
        <v>1926</v>
      </c>
      <c r="U979" t="s">
        <v>1953</v>
      </c>
      <c r="V979" t="s">
        <v>2813</v>
      </c>
    </row>
    <row r="980" spans="1:22" ht="15.75" thickBot="1" x14ac:dyDescent="0.3">
      <c r="A980" s="227" t="s">
        <v>1915</v>
      </c>
      <c r="B980" s="227" t="s">
        <v>1915</v>
      </c>
      <c r="C980" s="227" t="s">
        <v>1915</v>
      </c>
      <c r="D980" s="238" t="s">
        <v>1920</v>
      </c>
      <c r="E980" s="256" t="s">
        <v>2231</v>
      </c>
      <c r="F980" s="227" t="s">
        <v>620</v>
      </c>
      <c r="G980" s="250">
        <v>2007</v>
      </c>
      <c r="H980" s="313" t="s">
        <v>734</v>
      </c>
      <c r="I980" s="308" t="str">
        <f t="shared" si="56"/>
        <v>Pesado de Mercadorias N3: Geral : Gasóleo : E5</v>
      </c>
      <c r="J980" s="227"/>
      <c r="K980" s="249">
        <v>2022</v>
      </c>
      <c r="L980" s="227">
        <v>5893.35</v>
      </c>
      <c r="M980" s="227" t="s">
        <v>630</v>
      </c>
      <c r="N980" s="227">
        <v>14671</v>
      </c>
      <c r="O980" s="128">
        <f t="shared" si="57"/>
        <v>0</v>
      </c>
      <c r="P980" s="250"/>
      <c r="Q980" s="227" t="s">
        <v>2201</v>
      </c>
      <c r="R980" s="214" t="s">
        <v>1869</v>
      </c>
      <c r="S980" s="214" t="s">
        <v>1861</v>
      </c>
      <c r="T980" s="227" t="s">
        <v>1926</v>
      </c>
      <c r="U980" t="s">
        <v>1953</v>
      </c>
      <c r="V980" t="s">
        <v>2813</v>
      </c>
    </row>
    <row r="981" spans="1:22" ht="15.75" thickBot="1" x14ac:dyDescent="0.3">
      <c r="A981" s="227" t="s">
        <v>1915</v>
      </c>
      <c r="B981" s="227" t="s">
        <v>1915</v>
      </c>
      <c r="C981" s="227" t="s">
        <v>1915</v>
      </c>
      <c r="D981" s="238" t="s">
        <v>1920</v>
      </c>
      <c r="E981" s="256" t="s">
        <v>2231</v>
      </c>
      <c r="F981" s="227" t="s">
        <v>620</v>
      </c>
      <c r="G981" s="250">
        <v>2007</v>
      </c>
      <c r="H981" s="313" t="s">
        <v>734</v>
      </c>
      <c r="I981" s="308" t="str">
        <f t="shared" si="56"/>
        <v>Pesado de Mercadorias N3: Geral : Gasóleo : E5</v>
      </c>
      <c r="J981" s="227"/>
      <c r="K981" s="249">
        <v>2022</v>
      </c>
      <c r="L981" s="227">
        <v>17733.89</v>
      </c>
      <c r="M981" s="227" t="s">
        <v>630</v>
      </c>
      <c r="N981" s="227">
        <v>38392</v>
      </c>
      <c r="O981" s="128">
        <f t="shared" si="57"/>
        <v>0</v>
      </c>
      <c r="P981" s="250"/>
      <c r="Q981" s="227" t="s">
        <v>2201</v>
      </c>
      <c r="R981" s="214" t="s">
        <v>1869</v>
      </c>
      <c r="S981" s="214" t="s">
        <v>1861</v>
      </c>
      <c r="T981" s="227" t="s">
        <v>1926</v>
      </c>
      <c r="U981" t="s">
        <v>1953</v>
      </c>
      <c r="V981" t="s">
        <v>2813</v>
      </c>
    </row>
    <row r="982" spans="1:22" ht="15.75" thickBot="1" x14ac:dyDescent="0.3">
      <c r="A982" s="227" t="s">
        <v>1915</v>
      </c>
      <c r="B982" s="227" t="s">
        <v>1915</v>
      </c>
      <c r="C982" s="227" t="s">
        <v>1915</v>
      </c>
      <c r="D982" s="238" t="s">
        <v>1920</v>
      </c>
      <c r="E982" s="256" t="s">
        <v>2231</v>
      </c>
      <c r="F982" s="227" t="s">
        <v>620</v>
      </c>
      <c r="G982" s="250">
        <v>2007</v>
      </c>
      <c r="H982" s="313" t="s">
        <v>734</v>
      </c>
      <c r="I982" s="308" t="str">
        <f t="shared" si="56"/>
        <v>Pesado de Mercadorias N3: Geral : Gasóleo : E5</v>
      </c>
      <c r="J982" s="227"/>
      <c r="K982" s="249">
        <v>2022</v>
      </c>
      <c r="L982" s="227">
        <v>31097.119999999999</v>
      </c>
      <c r="M982" s="227" t="s">
        <v>630</v>
      </c>
      <c r="N982" s="227">
        <v>74509</v>
      </c>
      <c r="O982" s="128">
        <f t="shared" si="57"/>
        <v>0</v>
      </c>
      <c r="P982" s="250"/>
      <c r="Q982" s="227" t="s">
        <v>2201</v>
      </c>
      <c r="R982" s="214" t="s">
        <v>1869</v>
      </c>
      <c r="S982" s="214" t="s">
        <v>1861</v>
      </c>
      <c r="T982" s="227" t="s">
        <v>1926</v>
      </c>
      <c r="U982" t="s">
        <v>1953</v>
      </c>
      <c r="V982" t="s">
        <v>2813</v>
      </c>
    </row>
    <row r="983" spans="1:22" ht="15.75" thickBot="1" x14ac:dyDescent="0.3">
      <c r="A983" s="227" t="s">
        <v>1915</v>
      </c>
      <c r="B983" s="227" t="s">
        <v>1915</v>
      </c>
      <c r="C983" s="227" t="s">
        <v>1915</v>
      </c>
      <c r="D983" s="238" t="s">
        <v>1920</v>
      </c>
      <c r="E983" s="256" t="s">
        <v>2231</v>
      </c>
      <c r="F983" s="227" t="s">
        <v>620</v>
      </c>
      <c r="G983" s="250">
        <v>2007</v>
      </c>
      <c r="H983" s="313" t="s">
        <v>734</v>
      </c>
      <c r="I983" s="308" t="str">
        <f t="shared" si="56"/>
        <v>Pesado de Mercadorias N3: Geral : Gasóleo : E5</v>
      </c>
      <c r="J983" s="227"/>
      <c r="K983" s="249">
        <v>2022</v>
      </c>
      <c r="L983" s="227">
        <v>21416.54</v>
      </c>
      <c r="M983" s="227" t="s">
        <v>630</v>
      </c>
      <c r="N983" s="227">
        <v>53136</v>
      </c>
      <c r="O983" s="128">
        <f t="shared" si="57"/>
        <v>0</v>
      </c>
      <c r="P983" s="250"/>
      <c r="Q983" s="227" t="s">
        <v>2201</v>
      </c>
      <c r="R983" s="214" t="s">
        <v>1869</v>
      </c>
      <c r="S983" s="214" t="s">
        <v>1861</v>
      </c>
      <c r="T983" s="227" t="s">
        <v>1926</v>
      </c>
      <c r="U983" t="s">
        <v>1953</v>
      </c>
      <c r="V983" t="s">
        <v>2813</v>
      </c>
    </row>
    <row r="984" spans="1:22" ht="15.75" thickBot="1" x14ac:dyDescent="0.3">
      <c r="A984" s="227" t="s">
        <v>1915</v>
      </c>
      <c r="B984" s="227" t="s">
        <v>1915</v>
      </c>
      <c r="C984" s="227" t="s">
        <v>1915</v>
      </c>
      <c r="D984" s="238" t="s">
        <v>1920</v>
      </c>
      <c r="E984" s="256" t="s">
        <v>2231</v>
      </c>
      <c r="F984" s="227" t="s">
        <v>620</v>
      </c>
      <c r="G984" s="250">
        <v>2007</v>
      </c>
      <c r="H984" s="313" t="s">
        <v>734</v>
      </c>
      <c r="I984" s="308" t="str">
        <f t="shared" si="56"/>
        <v>Pesado de Mercadorias N3: Geral : Gasóleo : E5</v>
      </c>
      <c r="J984" s="227"/>
      <c r="K984" s="249">
        <v>2022</v>
      </c>
      <c r="L984" s="227">
        <v>24576.14</v>
      </c>
      <c r="M984" s="227" t="s">
        <v>630</v>
      </c>
      <c r="N984" s="227">
        <v>60793</v>
      </c>
      <c r="O984" s="128">
        <f t="shared" si="57"/>
        <v>0</v>
      </c>
      <c r="P984" s="250"/>
      <c r="Q984" s="227" t="s">
        <v>2201</v>
      </c>
      <c r="R984" s="214" t="s">
        <v>1869</v>
      </c>
      <c r="S984" s="214" t="s">
        <v>1861</v>
      </c>
      <c r="T984" s="227" t="s">
        <v>1926</v>
      </c>
      <c r="U984" t="s">
        <v>1953</v>
      </c>
      <c r="V984" t="s">
        <v>2813</v>
      </c>
    </row>
    <row r="985" spans="1:22" ht="15.75" thickBot="1" x14ac:dyDescent="0.3">
      <c r="A985" s="227" t="s">
        <v>1915</v>
      </c>
      <c r="B985" s="227" t="s">
        <v>1915</v>
      </c>
      <c r="C985" s="227" t="s">
        <v>1915</v>
      </c>
      <c r="D985" s="238" t="s">
        <v>1920</v>
      </c>
      <c r="E985" s="256" t="s">
        <v>2231</v>
      </c>
      <c r="F985" s="227" t="s">
        <v>620</v>
      </c>
      <c r="G985" s="250">
        <v>2007</v>
      </c>
      <c r="H985" s="313" t="s">
        <v>734</v>
      </c>
      <c r="I985" s="308" t="str">
        <f t="shared" si="56"/>
        <v>Pesado de Mercadorias N3: Geral : Gasóleo : E5</v>
      </c>
      <c r="J985" s="227"/>
      <c r="K985" s="249">
        <v>2022</v>
      </c>
      <c r="L985" s="227">
        <v>34934.839999999997</v>
      </c>
      <c r="M985" s="227" t="s">
        <v>630</v>
      </c>
      <c r="N985" s="227">
        <v>85410</v>
      </c>
      <c r="O985" s="128">
        <f t="shared" si="57"/>
        <v>0</v>
      </c>
      <c r="P985" s="250"/>
      <c r="Q985" s="227" t="s">
        <v>2201</v>
      </c>
      <c r="R985" s="214" t="s">
        <v>1869</v>
      </c>
      <c r="S985" s="214" t="s">
        <v>1861</v>
      </c>
      <c r="T985" s="227" t="s">
        <v>1926</v>
      </c>
      <c r="U985" t="s">
        <v>1953</v>
      </c>
      <c r="V985" t="s">
        <v>2813</v>
      </c>
    </row>
    <row r="986" spans="1:22" ht="15.75" thickBot="1" x14ac:dyDescent="0.3">
      <c r="A986" s="227" t="s">
        <v>1915</v>
      </c>
      <c r="B986" s="227" t="s">
        <v>1915</v>
      </c>
      <c r="C986" s="227" t="s">
        <v>1915</v>
      </c>
      <c r="D986" s="238" t="s">
        <v>1920</v>
      </c>
      <c r="E986" s="256" t="s">
        <v>2231</v>
      </c>
      <c r="F986" s="227" t="s">
        <v>620</v>
      </c>
      <c r="G986" s="250">
        <v>2007</v>
      </c>
      <c r="H986" s="313" t="s">
        <v>734</v>
      </c>
      <c r="I986" s="308" t="str">
        <f t="shared" si="56"/>
        <v>Pesado de Mercadorias N3: Geral : Gasóleo : E5</v>
      </c>
      <c r="J986" s="227"/>
      <c r="K986" s="249">
        <v>2022</v>
      </c>
      <c r="L986" s="227">
        <v>28830.63</v>
      </c>
      <c r="M986" s="227" t="s">
        <v>630</v>
      </c>
      <c r="N986" s="227">
        <v>65714</v>
      </c>
      <c r="O986" s="128">
        <f t="shared" si="57"/>
        <v>0</v>
      </c>
      <c r="P986" s="250"/>
      <c r="Q986" s="227" t="s">
        <v>2201</v>
      </c>
      <c r="R986" s="214" t="s">
        <v>1869</v>
      </c>
      <c r="S986" s="214" t="s">
        <v>1861</v>
      </c>
      <c r="T986" s="227" t="s">
        <v>1926</v>
      </c>
      <c r="U986" t="s">
        <v>1953</v>
      </c>
      <c r="V986" t="s">
        <v>2813</v>
      </c>
    </row>
    <row r="987" spans="1:22" ht="15.75" thickBot="1" x14ac:dyDescent="0.3">
      <c r="A987" s="227" t="s">
        <v>1915</v>
      </c>
      <c r="B987" s="227" t="s">
        <v>1915</v>
      </c>
      <c r="C987" s="227" t="s">
        <v>1915</v>
      </c>
      <c r="D987" s="238" t="s">
        <v>1920</v>
      </c>
      <c r="E987" s="256" t="s">
        <v>2231</v>
      </c>
      <c r="F987" s="227" t="s">
        <v>620</v>
      </c>
      <c r="G987" s="250">
        <v>2007</v>
      </c>
      <c r="H987" s="313" t="s">
        <v>734</v>
      </c>
      <c r="I987" s="308" t="str">
        <f t="shared" si="56"/>
        <v>Pesado de Mercadorias N3: Geral : Gasóleo : E5</v>
      </c>
      <c r="J987" s="227"/>
      <c r="K987" s="249">
        <v>2022</v>
      </c>
      <c r="L987" s="227">
        <v>27707.63</v>
      </c>
      <c r="M987" s="227" t="s">
        <v>630</v>
      </c>
      <c r="N987" s="227">
        <v>70613</v>
      </c>
      <c r="O987" s="128">
        <f t="shared" si="57"/>
        <v>0</v>
      </c>
      <c r="P987" s="250"/>
      <c r="Q987" s="227" t="s">
        <v>2201</v>
      </c>
      <c r="R987" s="214" t="s">
        <v>1869</v>
      </c>
      <c r="S987" s="214" t="s">
        <v>1861</v>
      </c>
      <c r="T987" s="227" t="s">
        <v>1926</v>
      </c>
      <c r="U987" t="s">
        <v>1953</v>
      </c>
      <c r="V987" t="s">
        <v>2813</v>
      </c>
    </row>
    <row r="988" spans="1:22" ht="15.75" thickBot="1" x14ac:dyDescent="0.3">
      <c r="A988" s="227" t="s">
        <v>1915</v>
      </c>
      <c r="B988" s="227" t="s">
        <v>1915</v>
      </c>
      <c r="C988" s="227" t="s">
        <v>1915</v>
      </c>
      <c r="D988" s="238" t="s">
        <v>1920</v>
      </c>
      <c r="E988" s="256" t="s">
        <v>2231</v>
      </c>
      <c r="F988" s="227" t="s">
        <v>620</v>
      </c>
      <c r="G988" s="250">
        <v>2009</v>
      </c>
      <c r="H988" s="313" t="s">
        <v>734</v>
      </c>
      <c r="I988" s="308" t="str">
        <f t="shared" si="56"/>
        <v>Pesado de Mercadorias N3: Geral : Gasóleo : E5</v>
      </c>
      <c r="J988" s="227"/>
      <c r="K988" s="249">
        <v>2022</v>
      </c>
      <c r="L988" s="227">
        <v>20307.29</v>
      </c>
      <c r="M988" s="227" t="s">
        <v>630</v>
      </c>
      <c r="N988" s="227">
        <v>50469</v>
      </c>
      <c r="O988" s="128">
        <f t="shared" si="57"/>
        <v>0</v>
      </c>
      <c r="P988" s="250"/>
      <c r="Q988" s="227" t="s">
        <v>2201</v>
      </c>
      <c r="R988" s="214" t="s">
        <v>1869</v>
      </c>
      <c r="S988" s="214" t="s">
        <v>1861</v>
      </c>
      <c r="T988" s="227" t="s">
        <v>1926</v>
      </c>
      <c r="U988" t="s">
        <v>1953</v>
      </c>
      <c r="V988" t="s">
        <v>2813</v>
      </c>
    </row>
    <row r="989" spans="1:22" ht="15.75" thickBot="1" x14ac:dyDescent="0.3">
      <c r="A989" s="227" t="s">
        <v>1915</v>
      </c>
      <c r="B989" s="227" t="s">
        <v>1915</v>
      </c>
      <c r="C989" s="227" t="s">
        <v>1915</v>
      </c>
      <c r="D989" s="238" t="s">
        <v>1920</v>
      </c>
      <c r="E989" s="256" t="s">
        <v>2231</v>
      </c>
      <c r="F989" s="227" t="s">
        <v>620</v>
      </c>
      <c r="G989" s="250">
        <v>2013</v>
      </c>
      <c r="H989" s="313" t="s">
        <v>734</v>
      </c>
      <c r="I989" s="308" t="str">
        <f t="shared" si="56"/>
        <v>Pesado de Mercadorias N3: Geral : Gasóleo : E5</v>
      </c>
      <c r="J989" s="227"/>
      <c r="K989" s="249">
        <v>2022</v>
      </c>
      <c r="L989" s="227">
        <v>18901.63</v>
      </c>
      <c r="M989" s="227" t="s">
        <v>630</v>
      </c>
      <c r="N989" s="227">
        <v>54042</v>
      </c>
      <c r="O989" s="128">
        <f t="shared" si="57"/>
        <v>0</v>
      </c>
      <c r="P989" s="250"/>
      <c r="Q989" s="227" t="s">
        <v>2201</v>
      </c>
      <c r="R989" s="214" t="s">
        <v>1869</v>
      </c>
      <c r="S989" s="214" t="s">
        <v>1861</v>
      </c>
      <c r="T989" s="227" t="s">
        <v>1926</v>
      </c>
      <c r="U989" t="s">
        <v>1953</v>
      </c>
      <c r="V989" t="s">
        <v>2813</v>
      </c>
    </row>
    <row r="990" spans="1:22" ht="15.75" thickBot="1" x14ac:dyDescent="0.3">
      <c r="A990" s="227" t="s">
        <v>1915</v>
      </c>
      <c r="B990" s="227" t="s">
        <v>1915</v>
      </c>
      <c r="C990" s="227" t="s">
        <v>1915</v>
      </c>
      <c r="D990" s="238" t="s">
        <v>1920</v>
      </c>
      <c r="E990" s="256" t="s">
        <v>2231</v>
      </c>
      <c r="F990" s="227" t="s">
        <v>620</v>
      </c>
      <c r="G990" s="250">
        <v>2013</v>
      </c>
      <c r="H990" s="313" t="s">
        <v>734</v>
      </c>
      <c r="I990" s="308" t="str">
        <f t="shared" si="56"/>
        <v>Pesado de Mercadorias N3: Geral : Gasóleo : E5</v>
      </c>
      <c r="J990" s="227"/>
      <c r="K990" s="249">
        <v>2022</v>
      </c>
      <c r="L990" s="227">
        <v>24196.68</v>
      </c>
      <c r="M990" s="227" t="s">
        <v>630</v>
      </c>
      <c r="N990" s="227">
        <v>63399</v>
      </c>
      <c r="O990" s="128">
        <f t="shared" si="57"/>
        <v>0</v>
      </c>
      <c r="P990" s="250"/>
      <c r="Q990" s="227" t="s">
        <v>2201</v>
      </c>
      <c r="R990" s="214" t="s">
        <v>1869</v>
      </c>
      <c r="S990" s="214" t="s">
        <v>1861</v>
      </c>
      <c r="T990" s="227" t="s">
        <v>1926</v>
      </c>
      <c r="U990" t="s">
        <v>1953</v>
      </c>
      <c r="V990" t="s">
        <v>2813</v>
      </c>
    </row>
    <row r="991" spans="1:22" ht="15.75" thickBot="1" x14ac:dyDescent="0.3">
      <c r="A991" s="227" t="s">
        <v>1915</v>
      </c>
      <c r="B991" s="227" t="s">
        <v>1915</v>
      </c>
      <c r="C991" s="227" t="s">
        <v>1915</v>
      </c>
      <c r="D991" s="238" t="s">
        <v>1920</v>
      </c>
      <c r="E991" s="256" t="s">
        <v>2231</v>
      </c>
      <c r="F991" s="227" t="s">
        <v>620</v>
      </c>
      <c r="G991" s="250">
        <v>2013</v>
      </c>
      <c r="H991" s="313" t="s">
        <v>734</v>
      </c>
      <c r="I991" s="308" t="str">
        <f t="shared" si="56"/>
        <v>Pesado de Mercadorias N3: Geral : Gasóleo : E5</v>
      </c>
      <c r="J991" s="227"/>
      <c r="K991" s="249">
        <v>2022</v>
      </c>
      <c r="L991" s="227">
        <v>35042.129999999997</v>
      </c>
      <c r="M991" s="227" t="s">
        <v>630</v>
      </c>
      <c r="N991" s="227">
        <v>87587</v>
      </c>
      <c r="O991" s="128">
        <f t="shared" si="57"/>
        <v>0</v>
      </c>
      <c r="P991" s="250"/>
      <c r="Q991" s="227" t="s">
        <v>2201</v>
      </c>
      <c r="R991" s="214" t="s">
        <v>1869</v>
      </c>
      <c r="S991" s="214" t="s">
        <v>1861</v>
      </c>
      <c r="T991" s="227" t="s">
        <v>1926</v>
      </c>
      <c r="U991" t="s">
        <v>1953</v>
      </c>
      <c r="V991" t="s">
        <v>2813</v>
      </c>
    </row>
    <row r="992" spans="1:22" ht="15.75" thickBot="1" x14ac:dyDescent="0.3">
      <c r="A992" s="227" t="s">
        <v>1915</v>
      </c>
      <c r="B992" s="227" t="s">
        <v>1915</v>
      </c>
      <c r="C992" s="227" t="s">
        <v>1915</v>
      </c>
      <c r="D992" s="238" t="s">
        <v>1920</v>
      </c>
      <c r="E992" s="256" t="s">
        <v>2231</v>
      </c>
      <c r="F992" s="227" t="s">
        <v>620</v>
      </c>
      <c r="G992" s="250">
        <v>2013</v>
      </c>
      <c r="H992" s="313" t="s">
        <v>734</v>
      </c>
      <c r="I992" s="308" t="str">
        <f t="shared" si="56"/>
        <v>Pesado de Mercadorias N3: Geral : Gasóleo : E5</v>
      </c>
      <c r="J992" s="227"/>
      <c r="K992" s="249">
        <v>2022</v>
      </c>
      <c r="L992" s="227">
        <v>45611.16</v>
      </c>
      <c r="M992" s="227" t="s">
        <v>630</v>
      </c>
      <c r="N992" s="227">
        <v>121376</v>
      </c>
      <c r="O992" s="128">
        <f t="shared" si="57"/>
        <v>0</v>
      </c>
      <c r="P992" s="250"/>
      <c r="Q992" s="227" t="s">
        <v>2201</v>
      </c>
      <c r="R992" s="214" t="s">
        <v>1869</v>
      </c>
      <c r="S992" s="214" t="s">
        <v>1861</v>
      </c>
      <c r="T992" s="227" t="s">
        <v>1926</v>
      </c>
      <c r="U992" t="s">
        <v>1953</v>
      </c>
      <c r="V992" t="s">
        <v>2813</v>
      </c>
    </row>
    <row r="993" spans="1:22" ht="15.75" thickBot="1" x14ac:dyDescent="0.3">
      <c r="A993" s="227" t="s">
        <v>1915</v>
      </c>
      <c r="B993" s="227" t="s">
        <v>1915</v>
      </c>
      <c r="C993" s="227" t="s">
        <v>1915</v>
      </c>
      <c r="D993" s="238" t="s">
        <v>1920</v>
      </c>
      <c r="E993" s="256" t="s">
        <v>2231</v>
      </c>
      <c r="F993" s="227" t="s">
        <v>620</v>
      </c>
      <c r="G993" s="250">
        <v>2013</v>
      </c>
      <c r="H993" s="313" t="s">
        <v>734</v>
      </c>
      <c r="I993" s="308" t="str">
        <f t="shared" si="56"/>
        <v>Pesado de Mercadorias N3: Geral : Gasóleo : E5</v>
      </c>
      <c r="J993" s="227"/>
      <c r="K993" s="249">
        <v>2022</v>
      </c>
      <c r="L993" s="227">
        <v>32504.98</v>
      </c>
      <c r="M993" s="227" t="s">
        <v>630</v>
      </c>
      <c r="N993" s="227">
        <v>88347</v>
      </c>
      <c r="O993" s="128">
        <f t="shared" si="57"/>
        <v>0</v>
      </c>
      <c r="P993" s="250"/>
      <c r="Q993" s="227" t="s">
        <v>2201</v>
      </c>
      <c r="R993" s="214" t="s">
        <v>1869</v>
      </c>
      <c r="S993" s="214" t="s">
        <v>1861</v>
      </c>
      <c r="T993" s="227" t="s">
        <v>1926</v>
      </c>
      <c r="U993" t="s">
        <v>1953</v>
      </c>
      <c r="V993" t="s">
        <v>2813</v>
      </c>
    </row>
    <row r="994" spans="1:22" ht="15.75" thickBot="1" x14ac:dyDescent="0.3">
      <c r="A994" s="227" t="s">
        <v>1915</v>
      </c>
      <c r="B994" s="227" t="s">
        <v>1915</v>
      </c>
      <c r="C994" s="227" t="s">
        <v>1915</v>
      </c>
      <c r="D994" s="238" t="s">
        <v>1920</v>
      </c>
      <c r="E994" s="256" t="s">
        <v>2231</v>
      </c>
      <c r="F994" s="227" t="s">
        <v>620</v>
      </c>
      <c r="G994" s="250">
        <v>2013</v>
      </c>
      <c r="H994" s="313" t="s">
        <v>734</v>
      </c>
      <c r="I994" s="308" t="str">
        <f t="shared" si="56"/>
        <v>Pesado de Mercadorias N3: Geral : Gasóleo : E5</v>
      </c>
      <c r="J994" s="227"/>
      <c r="K994" s="249">
        <v>2022</v>
      </c>
      <c r="L994" s="227">
        <v>33374.04</v>
      </c>
      <c r="M994" s="227" t="s">
        <v>630</v>
      </c>
      <c r="N994" s="227">
        <v>90146</v>
      </c>
      <c r="O994" s="128">
        <f t="shared" si="57"/>
        <v>0</v>
      </c>
      <c r="P994" s="250"/>
      <c r="Q994" s="227" t="s">
        <v>2201</v>
      </c>
      <c r="R994" s="214" t="s">
        <v>1869</v>
      </c>
      <c r="S994" s="214" t="s">
        <v>1861</v>
      </c>
      <c r="T994" s="227" t="s">
        <v>1926</v>
      </c>
      <c r="U994" t="s">
        <v>1953</v>
      </c>
      <c r="V994" t="s">
        <v>2813</v>
      </c>
    </row>
    <row r="995" spans="1:22" ht="15.75" thickBot="1" x14ac:dyDescent="0.3">
      <c r="A995" s="227" t="s">
        <v>1915</v>
      </c>
      <c r="B995" s="227" t="s">
        <v>1915</v>
      </c>
      <c r="C995" s="227" t="s">
        <v>1915</v>
      </c>
      <c r="D995" s="238" t="s">
        <v>1920</v>
      </c>
      <c r="E995" s="256" t="s">
        <v>2231</v>
      </c>
      <c r="F995" s="227" t="s">
        <v>620</v>
      </c>
      <c r="G995" s="250">
        <v>2013</v>
      </c>
      <c r="H995" s="313" t="s">
        <v>734</v>
      </c>
      <c r="I995" s="308" t="str">
        <f t="shared" si="56"/>
        <v>Pesado de Mercadorias N3: Geral : Gasóleo : E5</v>
      </c>
      <c r="J995" s="227"/>
      <c r="K995" s="249">
        <v>2022</v>
      </c>
      <c r="L995" s="227">
        <v>38494.870000000003</v>
      </c>
      <c r="M995" s="227" t="s">
        <v>630</v>
      </c>
      <c r="N995" s="227">
        <v>104045</v>
      </c>
      <c r="O995" s="128">
        <f t="shared" si="57"/>
        <v>0</v>
      </c>
      <c r="P995" s="250"/>
      <c r="Q995" s="227" t="s">
        <v>2201</v>
      </c>
      <c r="R995" s="214" t="s">
        <v>1869</v>
      </c>
      <c r="S995" s="214" t="s">
        <v>1861</v>
      </c>
      <c r="T995" s="227" t="s">
        <v>1926</v>
      </c>
      <c r="U995" t="s">
        <v>1953</v>
      </c>
      <c r="V995" t="s">
        <v>2813</v>
      </c>
    </row>
    <row r="996" spans="1:22" ht="15.75" thickBot="1" x14ac:dyDescent="0.3">
      <c r="A996" s="227" t="s">
        <v>1915</v>
      </c>
      <c r="B996" s="227" t="s">
        <v>1915</v>
      </c>
      <c r="C996" s="227" t="s">
        <v>1915</v>
      </c>
      <c r="D996" s="238" t="s">
        <v>1920</v>
      </c>
      <c r="E996" s="256" t="s">
        <v>2231</v>
      </c>
      <c r="F996" s="227" t="s">
        <v>620</v>
      </c>
      <c r="G996" s="250">
        <v>2014</v>
      </c>
      <c r="H996" s="313" t="s">
        <v>733</v>
      </c>
      <c r="I996" s="308" t="str">
        <f t="shared" si="56"/>
        <v>Pesado de Mercadorias N3: Geral : Gasóleo : E6</v>
      </c>
      <c r="J996" s="227"/>
      <c r="K996" s="249">
        <v>2022</v>
      </c>
      <c r="L996" s="227">
        <v>43915.68</v>
      </c>
      <c r="M996" s="227" t="s">
        <v>630</v>
      </c>
      <c r="N996" s="227">
        <v>113492</v>
      </c>
      <c r="O996" s="128">
        <f t="shared" si="57"/>
        <v>0</v>
      </c>
      <c r="P996" s="250"/>
      <c r="Q996" s="227" t="s">
        <v>2201</v>
      </c>
      <c r="R996" s="214" t="s">
        <v>1869</v>
      </c>
      <c r="S996" s="214" t="s">
        <v>1861</v>
      </c>
      <c r="T996" s="227" t="s">
        <v>1926</v>
      </c>
      <c r="U996" t="s">
        <v>1953</v>
      </c>
      <c r="V996" t="s">
        <v>2813</v>
      </c>
    </row>
    <row r="997" spans="1:22" ht="15.75" thickBot="1" x14ac:dyDescent="0.3">
      <c r="A997" s="227" t="s">
        <v>1915</v>
      </c>
      <c r="B997" s="227" t="s">
        <v>1915</v>
      </c>
      <c r="C997" s="227" t="s">
        <v>1915</v>
      </c>
      <c r="D997" s="238" t="s">
        <v>1920</v>
      </c>
      <c r="E997" s="256" t="s">
        <v>2231</v>
      </c>
      <c r="F997" s="227" t="s">
        <v>620</v>
      </c>
      <c r="G997" s="250">
        <v>2014</v>
      </c>
      <c r="H997" s="313" t="s">
        <v>733</v>
      </c>
      <c r="I997" s="308" t="str">
        <f t="shared" si="56"/>
        <v>Pesado de Mercadorias N3: Geral : Gasóleo : E6</v>
      </c>
      <c r="J997" s="227"/>
      <c r="K997" s="249">
        <v>2022</v>
      </c>
      <c r="L997" s="227">
        <v>29523.98</v>
      </c>
      <c r="M997" s="227" t="s">
        <v>630</v>
      </c>
      <c r="N997" s="227">
        <v>81630</v>
      </c>
      <c r="O997" s="128">
        <f t="shared" si="57"/>
        <v>0</v>
      </c>
      <c r="P997" s="250"/>
      <c r="Q997" s="227" t="s">
        <v>2201</v>
      </c>
      <c r="R997" s="214" t="s">
        <v>1869</v>
      </c>
      <c r="S997" s="214" t="s">
        <v>1861</v>
      </c>
      <c r="T997" s="227" t="s">
        <v>1926</v>
      </c>
      <c r="U997" t="s">
        <v>1953</v>
      </c>
      <c r="V997" t="s">
        <v>2813</v>
      </c>
    </row>
    <row r="998" spans="1:22" ht="15.75" thickBot="1" x14ac:dyDescent="0.3">
      <c r="A998" s="227" t="s">
        <v>1915</v>
      </c>
      <c r="B998" s="227" t="s">
        <v>1915</v>
      </c>
      <c r="C998" s="227" t="s">
        <v>1915</v>
      </c>
      <c r="D998" s="238" t="s">
        <v>1920</v>
      </c>
      <c r="E998" s="256" t="s">
        <v>2231</v>
      </c>
      <c r="F998" s="227" t="s">
        <v>620</v>
      </c>
      <c r="G998" s="250">
        <v>2014</v>
      </c>
      <c r="H998" s="313" t="s">
        <v>733</v>
      </c>
      <c r="I998" s="308" t="str">
        <f t="shared" si="56"/>
        <v>Pesado de Mercadorias N3: Geral : Gasóleo : E6</v>
      </c>
      <c r="J998" s="227"/>
      <c r="K998" s="249">
        <v>2022</v>
      </c>
      <c r="L998" s="227">
        <v>36725.620000000003</v>
      </c>
      <c r="M998" s="227" t="s">
        <v>630</v>
      </c>
      <c r="N998" s="227">
        <v>96001</v>
      </c>
      <c r="O998" s="128">
        <f t="shared" si="57"/>
        <v>0</v>
      </c>
      <c r="P998" s="250"/>
      <c r="Q998" s="227" t="s">
        <v>2201</v>
      </c>
      <c r="R998" s="214" t="s">
        <v>1869</v>
      </c>
      <c r="S998" s="214" t="s">
        <v>1861</v>
      </c>
      <c r="T998" s="227" t="s">
        <v>1926</v>
      </c>
      <c r="U998" t="s">
        <v>1953</v>
      </c>
      <c r="V998" t="s">
        <v>2813</v>
      </c>
    </row>
    <row r="999" spans="1:22" ht="15.75" thickBot="1" x14ac:dyDescent="0.3">
      <c r="A999" s="227" t="s">
        <v>1915</v>
      </c>
      <c r="B999" s="227" t="s">
        <v>1915</v>
      </c>
      <c r="C999" s="227" t="s">
        <v>1915</v>
      </c>
      <c r="D999" s="238" t="s">
        <v>1920</v>
      </c>
      <c r="E999" s="256" t="s">
        <v>2231</v>
      </c>
      <c r="F999" s="227" t="s">
        <v>620</v>
      </c>
      <c r="G999" s="250">
        <v>2014</v>
      </c>
      <c r="H999" s="313" t="s">
        <v>731</v>
      </c>
      <c r="I999" s="308" t="str">
        <f t="shared" si="56"/>
        <v>Pesado de Mercadorias N3: Geral : Gasóleo : E4</v>
      </c>
      <c r="J999" s="227"/>
      <c r="K999" s="249">
        <v>2022</v>
      </c>
      <c r="L999" s="227">
        <v>31189</v>
      </c>
      <c r="M999" s="227" t="s">
        <v>630</v>
      </c>
      <c r="N999" s="227">
        <v>83191</v>
      </c>
      <c r="O999" s="128">
        <f t="shared" si="57"/>
        <v>0</v>
      </c>
      <c r="P999" s="250"/>
      <c r="Q999" s="227" t="s">
        <v>2201</v>
      </c>
      <c r="R999" s="214" t="s">
        <v>1869</v>
      </c>
      <c r="S999" s="214" t="s">
        <v>1861</v>
      </c>
      <c r="T999" s="227" t="s">
        <v>1926</v>
      </c>
      <c r="U999" t="s">
        <v>1953</v>
      </c>
      <c r="V999" t="s">
        <v>2813</v>
      </c>
    </row>
    <row r="1000" spans="1:22" ht="15.75" thickBot="1" x14ac:dyDescent="0.3">
      <c r="A1000" s="227" t="s">
        <v>1915</v>
      </c>
      <c r="B1000" s="227" t="s">
        <v>1915</v>
      </c>
      <c r="C1000" s="227" t="s">
        <v>1915</v>
      </c>
      <c r="D1000" s="238" t="s">
        <v>1920</v>
      </c>
      <c r="E1000" s="256" t="s">
        <v>2231</v>
      </c>
      <c r="F1000" s="227" t="s">
        <v>620</v>
      </c>
      <c r="G1000" s="250">
        <v>2014</v>
      </c>
      <c r="H1000" s="313" t="s">
        <v>733</v>
      </c>
      <c r="I1000" s="308" t="str">
        <f t="shared" si="56"/>
        <v>Pesado de Mercadorias N3: Geral : Gasóleo : E6</v>
      </c>
      <c r="J1000" s="227"/>
      <c r="K1000" s="249">
        <v>2022</v>
      </c>
      <c r="L1000" s="227">
        <v>32368.25</v>
      </c>
      <c r="M1000" s="227" t="s">
        <v>630</v>
      </c>
      <c r="N1000" s="227">
        <v>84921</v>
      </c>
      <c r="O1000" s="128">
        <f t="shared" si="57"/>
        <v>0</v>
      </c>
      <c r="P1000" s="250"/>
      <c r="Q1000" s="227" t="s">
        <v>2201</v>
      </c>
      <c r="R1000" s="214" t="s">
        <v>1869</v>
      </c>
      <c r="S1000" s="214" t="s">
        <v>1861</v>
      </c>
      <c r="T1000" s="227" t="s">
        <v>1926</v>
      </c>
      <c r="U1000" t="s">
        <v>1953</v>
      </c>
      <c r="V1000" t="s">
        <v>2813</v>
      </c>
    </row>
    <row r="1001" spans="1:22" ht="15.75" thickBot="1" x14ac:dyDescent="0.3">
      <c r="A1001" s="227" t="s">
        <v>1915</v>
      </c>
      <c r="B1001" s="227" t="s">
        <v>1915</v>
      </c>
      <c r="C1001" s="227" t="s">
        <v>1915</v>
      </c>
      <c r="D1001" s="238" t="s">
        <v>1920</v>
      </c>
      <c r="E1001" s="256" t="s">
        <v>2231</v>
      </c>
      <c r="F1001" s="227" t="s">
        <v>620</v>
      </c>
      <c r="G1001" s="250">
        <v>2014</v>
      </c>
      <c r="H1001" s="313" t="s">
        <v>734</v>
      </c>
      <c r="I1001" s="308" t="str">
        <f t="shared" si="56"/>
        <v>Pesado de Mercadorias N3: Geral : Gasóleo : E5</v>
      </c>
      <c r="J1001" s="227"/>
      <c r="K1001" s="249">
        <v>2022</v>
      </c>
      <c r="L1001" s="227">
        <v>30319.53</v>
      </c>
      <c r="M1001" s="227" t="s">
        <v>630</v>
      </c>
      <c r="N1001" s="227">
        <v>85382</v>
      </c>
      <c r="O1001" s="128">
        <f t="shared" si="57"/>
        <v>0</v>
      </c>
      <c r="P1001" s="250"/>
      <c r="Q1001" s="227" t="s">
        <v>2201</v>
      </c>
      <c r="R1001" s="214" t="s">
        <v>1869</v>
      </c>
      <c r="S1001" s="214" t="s">
        <v>1861</v>
      </c>
      <c r="T1001" s="227" t="s">
        <v>1926</v>
      </c>
      <c r="U1001" t="s">
        <v>1953</v>
      </c>
      <c r="V1001" t="s">
        <v>2813</v>
      </c>
    </row>
    <row r="1002" spans="1:22" ht="15.75" thickBot="1" x14ac:dyDescent="0.3">
      <c r="A1002" s="227" t="s">
        <v>1915</v>
      </c>
      <c r="B1002" s="227" t="s">
        <v>1915</v>
      </c>
      <c r="C1002" s="227" t="s">
        <v>1915</v>
      </c>
      <c r="D1002" s="238" t="s">
        <v>1920</v>
      </c>
      <c r="E1002" s="256" t="s">
        <v>2231</v>
      </c>
      <c r="F1002" s="227" t="s">
        <v>620</v>
      </c>
      <c r="G1002" s="250">
        <v>2014</v>
      </c>
      <c r="H1002" s="313" t="s">
        <v>734</v>
      </c>
      <c r="I1002" s="308" t="str">
        <f t="shared" si="56"/>
        <v>Pesado de Mercadorias N3: Geral : Gasóleo : E5</v>
      </c>
      <c r="J1002" s="227"/>
      <c r="K1002" s="249">
        <v>2022</v>
      </c>
      <c r="L1002" s="227">
        <v>41886.949999999997</v>
      </c>
      <c r="M1002" s="227" t="s">
        <v>630</v>
      </c>
      <c r="N1002" s="227">
        <v>115760</v>
      </c>
      <c r="O1002" s="128">
        <f t="shared" si="57"/>
        <v>0</v>
      </c>
      <c r="P1002" s="250"/>
      <c r="Q1002" s="227" t="s">
        <v>2201</v>
      </c>
      <c r="R1002" s="214" t="s">
        <v>1869</v>
      </c>
      <c r="S1002" s="214" t="s">
        <v>1861</v>
      </c>
      <c r="T1002" s="227" t="s">
        <v>1926</v>
      </c>
      <c r="U1002" t="s">
        <v>1953</v>
      </c>
      <c r="V1002" t="s">
        <v>2813</v>
      </c>
    </row>
    <row r="1003" spans="1:22" ht="15.75" thickBot="1" x14ac:dyDescent="0.3">
      <c r="A1003" s="227" t="s">
        <v>1915</v>
      </c>
      <c r="B1003" s="227" t="s">
        <v>1915</v>
      </c>
      <c r="C1003" s="227" t="s">
        <v>1915</v>
      </c>
      <c r="D1003" s="238" t="s">
        <v>1920</v>
      </c>
      <c r="E1003" s="256" t="s">
        <v>2231</v>
      </c>
      <c r="F1003" s="227" t="s">
        <v>620</v>
      </c>
      <c r="G1003" s="250">
        <v>2014</v>
      </c>
      <c r="H1003" s="313" t="s">
        <v>734</v>
      </c>
      <c r="I1003" s="308" t="str">
        <f t="shared" si="56"/>
        <v>Pesado de Mercadorias N3: Geral : Gasóleo : E5</v>
      </c>
      <c r="J1003" s="227"/>
      <c r="K1003" s="249">
        <v>2022</v>
      </c>
      <c r="L1003" s="227">
        <v>43645.97</v>
      </c>
      <c r="M1003" s="227" t="s">
        <v>630</v>
      </c>
      <c r="N1003" s="227">
        <v>122270</v>
      </c>
      <c r="O1003" s="128">
        <f t="shared" si="57"/>
        <v>0</v>
      </c>
      <c r="P1003" s="250"/>
      <c r="Q1003" s="227" t="s">
        <v>2201</v>
      </c>
      <c r="R1003" s="214" t="s">
        <v>1869</v>
      </c>
      <c r="S1003" s="214" t="s">
        <v>1861</v>
      </c>
      <c r="T1003" s="227" t="s">
        <v>1926</v>
      </c>
      <c r="U1003" t="s">
        <v>1953</v>
      </c>
      <c r="V1003" t="s">
        <v>2813</v>
      </c>
    </row>
    <row r="1004" spans="1:22" ht="15.75" thickBot="1" x14ac:dyDescent="0.3">
      <c r="A1004" s="227" t="s">
        <v>1915</v>
      </c>
      <c r="B1004" s="227" t="s">
        <v>1915</v>
      </c>
      <c r="C1004" s="227" t="s">
        <v>1915</v>
      </c>
      <c r="D1004" s="238" t="s">
        <v>1920</v>
      </c>
      <c r="E1004" s="256" t="s">
        <v>2231</v>
      </c>
      <c r="F1004" s="227" t="s">
        <v>620</v>
      </c>
      <c r="G1004" s="250">
        <v>2014</v>
      </c>
      <c r="H1004" s="313" t="s">
        <v>734</v>
      </c>
      <c r="I1004" s="308" t="str">
        <f t="shared" si="56"/>
        <v>Pesado de Mercadorias N3: Geral : Gasóleo : E5</v>
      </c>
      <c r="J1004" s="227"/>
      <c r="K1004" s="249">
        <v>2022</v>
      </c>
      <c r="L1004" s="227">
        <v>21526.47</v>
      </c>
      <c r="M1004" s="227" t="s">
        <v>630</v>
      </c>
      <c r="N1004" s="227">
        <v>53117</v>
      </c>
      <c r="O1004" s="128">
        <f t="shared" si="57"/>
        <v>0</v>
      </c>
      <c r="P1004" s="250"/>
      <c r="Q1004" s="227" t="s">
        <v>2201</v>
      </c>
      <c r="R1004" s="214" t="s">
        <v>1869</v>
      </c>
      <c r="S1004" s="214" t="s">
        <v>1861</v>
      </c>
      <c r="T1004" s="227" t="s">
        <v>1926</v>
      </c>
      <c r="U1004" t="s">
        <v>1953</v>
      </c>
      <c r="V1004" t="s">
        <v>2813</v>
      </c>
    </row>
    <row r="1005" spans="1:22" ht="15.75" thickBot="1" x14ac:dyDescent="0.3">
      <c r="A1005" s="227" t="s">
        <v>1915</v>
      </c>
      <c r="B1005" s="227" t="s">
        <v>1915</v>
      </c>
      <c r="C1005" s="227" t="s">
        <v>1915</v>
      </c>
      <c r="D1005" s="238" t="s">
        <v>1920</v>
      </c>
      <c r="E1005" s="256" t="s">
        <v>2231</v>
      </c>
      <c r="F1005" s="227" t="s">
        <v>620</v>
      </c>
      <c r="G1005" s="250">
        <v>2014</v>
      </c>
      <c r="H1005" s="313" t="s">
        <v>734</v>
      </c>
      <c r="I1005" s="308" t="str">
        <f t="shared" si="56"/>
        <v>Pesado de Mercadorias N3: Geral : Gasóleo : E5</v>
      </c>
      <c r="J1005" s="227"/>
      <c r="K1005" s="249">
        <v>2022</v>
      </c>
      <c r="L1005" s="227">
        <v>37256.81</v>
      </c>
      <c r="M1005" s="227" t="s">
        <v>630</v>
      </c>
      <c r="N1005" s="227">
        <v>108298</v>
      </c>
      <c r="O1005" s="128">
        <f t="shared" si="57"/>
        <v>0</v>
      </c>
      <c r="P1005" s="250"/>
      <c r="Q1005" s="227" t="s">
        <v>2201</v>
      </c>
      <c r="R1005" s="214" t="s">
        <v>1869</v>
      </c>
      <c r="S1005" s="214" t="s">
        <v>1861</v>
      </c>
      <c r="T1005" s="227" t="s">
        <v>1926</v>
      </c>
      <c r="U1005" t="s">
        <v>1953</v>
      </c>
      <c r="V1005" t="s">
        <v>2813</v>
      </c>
    </row>
    <row r="1006" spans="1:22" ht="15.75" thickBot="1" x14ac:dyDescent="0.3">
      <c r="A1006" s="227" t="s">
        <v>1915</v>
      </c>
      <c r="B1006" s="227" t="s">
        <v>1915</v>
      </c>
      <c r="C1006" s="227" t="s">
        <v>1915</v>
      </c>
      <c r="D1006" s="238" t="s">
        <v>1920</v>
      </c>
      <c r="E1006" s="256" t="s">
        <v>2231</v>
      </c>
      <c r="F1006" s="227" t="s">
        <v>620</v>
      </c>
      <c r="G1006" s="250">
        <v>2014</v>
      </c>
      <c r="H1006" s="313" t="s">
        <v>732</v>
      </c>
      <c r="I1006" s="308" t="str">
        <f t="shared" si="56"/>
        <v>Pesado de Mercadorias N3: Geral : Gasóleo : E3</v>
      </c>
      <c r="J1006" s="227"/>
      <c r="K1006" s="249">
        <v>2022</v>
      </c>
      <c r="L1006" s="227">
        <v>16835.689999999999</v>
      </c>
      <c r="M1006" s="227" t="s">
        <v>630</v>
      </c>
      <c r="N1006" s="227">
        <v>60269</v>
      </c>
      <c r="O1006" s="128">
        <f t="shared" si="57"/>
        <v>0</v>
      </c>
      <c r="P1006" s="250"/>
      <c r="Q1006" s="227" t="s">
        <v>2201</v>
      </c>
      <c r="R1006" s="214" t="s">
        <v>1869</v>
      </c>
      <c r="S1006" s="214" t="s">
        <v>1861</v>
      </c>
      <c r="T1006" s="227" t="s">
        <v>1926</v>
      </c>
      <c r="U1006" t="s">
        <v>1953</v>
      </c>
      <c r="V1006" t="s">
        <v>2813</v>
      </c>
    </row>
    <row r="1007" spans="1:22" ht="15.75" thickBot="1" x14ac:dyDescent="0.3">
      <c r="A1007" s="227" t="s">
        <v>1915</v>
      </c>
      <c r="B1007" s="227" t="s">
        <v>1915</v>
      </c>
      <c r="C1007" s="227" t="s">
        <v>1915</v>
      </c>
      <c r="D1007" s="238" t="s">
        <v>1920</v>
      </c>
      <c r="E1007" s="256" t="s">
        <v>2231</v>
      </c>
      <c r="F1007" s="227" t="s">
        <v>620</v>
      </c>
      <c r="G1007" s="250">
        <v>2014</v>
      </c>
      <c r="H1007" s="313" t="s">
        <v>731</v>
      </c>
      <c r="I1007" s="308" t="str">
        <f t="shared" si="56"/>
        <v>Pesado de Mercadorias N3: Geral : Gasóleo : E4</v>
      </c>
      <c r="J1007" s="227"/>
      <c r="K1007" s="249">
        <v>2022</v>
      </c>
      <c r="L1007" s="227">
        <v>7346.45</v>
      </c>
      <c r="M1007" s="227" t="s">
        <v>630</v>
      </c>
      <c r="N1007" s="227">
        <v>28182</v>
      </c>
      <c r="O1007" s="128">
        <f t="shared" si="57"/>
        <v>0</v>
      </c>
      <c r="P1007" s="250"/>
      <c r="Q1007" s="227" t="s">
        <v>2201</v>
      </c>
      <c r="R1007" s="214" t="s">
        <v>1869</v>
      </c>
      <c r="S1007" s="214" t="s">
        <v>1861</v>
      </c>
      <c r="T1007" s="227" t="s">
        <v>1926</v>
      </c>
      <c r="U1007" t="s">
        <v>1953</v>
      </c>
      <c r="V1007" t="s">
        <v>2813</v>
      </c>
    </row>
    <row r="1008" spans="1:22" ht="15.75" thickBot="1" x14ac:dyDescent="0.3">
      <c r="A1008" s="227" t="s">
        <v>1915</v>
      </c>
      <c r="B1008" s="227" t="s">
        <v>1915</v>
      </c>
      <c r="C1008" s="227" t="s">
        <v>1915</v>
      </c>
      <c r="D1008" s="238" t="s">
        <v>1920</v>
      </c>
      <c r="E1008" s="256" t="s">
        <v>2231</v>
      </c>
      <c r="F1008" s="227" t="s">
        <v>620</v>
      </c>
      <c r="G1008" s="250">
        <v>2014</v>
      </c>
      <c r="H1008" s="313" t="s">
        <v>734</v>
      </c>
      <c r="I1008" s="308" t="str">
        <f t="shared" si="56"/>
        <v>Pesado de Mercadorias N3: Geral : Gasóleo : E5</v>
      </c>
      <c r="J1008" s="227"/>
      <c r="K1008" s="249">
        <v>2022</v>
      </c>
      <c r="L1008" s="227">
        <v>24257.19</v>
      </c>
      <c r="M1008" s="227" t="s">
        <v>630</v>
      </c>
      <c r="N1008" s="227">
        <v>66232</v>
      </c>
      <c r="O1008" s="128">
        <f t="shared" si="57"/>
        <v>0</v>
      </c>
      <c r="P1008" s="250"/>
      <c r="Q1008" s="227" t="s">
        <v>2201</v>
      </c>
      <c r="R1008" s="214" t="s">
        <v>1869</v>
      </c>
      <c r="S1008" s="214" t="s">
        <v>1861</v>
      </c>
      <c r="T1008" s="227" t="s">
        <v>1926</v>
      </c>
      <c r="U1008" t="s">
        <v>1953</v>
      </c>
      <c r="V1008" t="s">
        <v>2813</v>
      </c>
    </row>
    <row r="1009" spans="1:22" ht="15.75" thickBot="1" x14ac:dyDescent="0.3">
      <c r="A1009" s="227" t="s">
        <v>1915</v>
      </c>
      <c r="B1009" s="227" t="s">
        <v>1915</v>
      </c>
      <c r="C1009" s="227" t="s">
        <v>1915</v>
      </c>
      <c r="D1009" s="238" t="s">
        <v>1920</v>
      </c>
      <c r="E1009" s="256" t="s">
        <v>2231</v>
      </c>
      <c r="F1009" s="227" t="s">
        <v>620</v>
      </c>
      <c r="G1009" s="250">
        <v>2014</v>
      </c>
      <c r="H1009" s="313" t="s">
        <v>734</v>
      </c>
      <c r="I1009" s="308" t="str">
        <f t="shared" si="56"/>
        <v>Pesado de Mercadorias N3: Geral : Gasóleo : E5</v>
      </c>
      <c r="J1009" s="227"/>
      <c r="K1009" s="249">
        <v>2022</v>
      </c>
      <c r="L1009" s="227">
        <v>29844.57</v>
      </c>
      <c r="M1009" s="227" t="s">
        <v>630</v>
      </c>
      <c r="N1009" s="227">
        <v>82095</v>
      </c>
      <c r="O1009" s="128">
        <f t="shared" si="57"/>
        <v>0</v>
      </c>
      <c r="P1009" s="250"/>
      <c r="Q1009" s="227" t="s">
        <v>2201</v>
      </c>
      <c r="R1009" s="214" t="s">
        <v>1869</v>
      </c>
      <c r="S1009" s="214" t="s">
        <v>1861</v>
      </c>
      <c r="T1009" s="227" t="s">
        <v>1926</v>
      </c>
      <c r="U1009" t="s">
        <v>1953</v>
      </c>
      <c r="V1009" t="s">
        <v>2813</v>
      </c>
    </row>
    <row r="1010" spans="1:22" ht="15.75" thickBot="1" x14ac:dyDescent="0.3">
      <c r="A1010" s="227" t="s">
        <v>1915</v>
      </c>
      <c r="B1010" s="227" t="s">
        <v>1915</v>
      </c>
      <c r="C1010" s="227" t="s">
        <v>1915</v>
      </c>
      <c r="D1010" s="238" t="s">
        <v>1920</v>
      </c>
      <c r="E1010" s="256" t="s">
        <v>2231</v>
      </c>
      <c r="F1010" s="227" t="s">
        <v>620</v>
      </c>
      <c r="G1010" s="250">
        <v>2014</v>
      </c>
      <c r="H1010" s="313" t="s">
        <v>733</v>
      </c>
      <c r="I1010" s="308" t="str">
        <f t="shared" si="56"/>
        <v>Pesado de Mercadorias N3: Geral : Gasóleo : E6</v>
      </c>
      <c r="J1010" s="227"/>
      <c r="K1010" s="249">
        <v>2022</v>
      </c>
      <c r="L1010" s="227">
        <v>33088.959999999999</v>
      </c>
      <c r="M1010" s="227" t="s">
        <v>630</v>
      </c>
      <c r="N1010" s="227">
        <v>88230</v>
      </c>
      <c r="O1010" s="128">
        <f t="shared" si="57"/>
        <v>0</v>
      </c>
      <c r="P1010" s="250"/>
      <c r="Q1010" s="227" t="s">
        <v>2201</v>
      </c>
      <c r="R1010" s="214" t="s">
        <v>1869</v>
      </c>
      <c r="S1010" s="214" t="s">
        <v>1861</v>
      </c>
      <c r="T1010" s="227" t="s">
        <v>1926</v>
      </c>
      <c r="U1010" t="s">
        <v>1953</v>
      </c>
      <c r="V1010" t="s">
        <v>2813</v>
      </c>
    </row>
    <row r="1011" spans="1:22" ht="15.75" thickBot="1" x14ac:dyDescent="0.3">
      <c r="A1011" s="227" t="s">
        <v>1915</v>
      </c>
      <c r="B1011" s="227" t="s">
        <v>1915</v>
      </c>
      <c r="C1011" s="227" t="s">
        <v>1915</v>
      </c>
      <c r="D1011" s="238" t="s">
        <v>1920</v>
      </c>
      <c r="E1011" s="256" t="s">
        <v>2231</v>
      </c>
      <c r="F1011" s="227" t="s">
        <v>620</v>
      </c>
      <c r="G1011" s="250">
        <v>2014</v>
      </c>
      <c r="H1011" s="313" t="s">
        <v>733</v>
      </c>
      <c r="I1011" s="308" t="str">
        <f t="shared" si="56"/>
        <v>Pesado de Mercadorias N3: Geral : Gasóleo : E6</v>
      </c>
      <c r="J1011" s="227"/>
      <c r="K1011" s="249">
        <v>2022</v>
      </c>
      <c r="L1011" s="227">
        <v>49719.1</v>
      </c>
      <c r="M1011" s="227" t="s">
        <v>630</v>
      </c>
      <c r="N1011" s="227">
        <v>142605</v>
      </c>
      <c r="O1011" s="128">
        <f t="shared" si="57"/>
        <v>0</v>
      </c>
      <c r="P1011" s="250"/>
      <c r="Q1011" s="227" t="s">
        <v>2201</v>
      </c>
      <c r="R1011" s="214" t="s">
        <v>1869</v>
      </c>
      <c r="S1011" s="214" t="s">
        <v>1861</v>
      </c>
      <c r="T1011" s="227" t="s">
        <v>1926</v>
      </c>
      <c r="U1011" t="s">
        <v>1953</v>
      </c>
      <c r="V1011" t="s">
        <v>2813</v>
      </c>
    </row>
    <row r="1012" spans="1:22" ht="15.75" thickBot="1" x14ac:dyDescent="0.3">
      <c r="A1012" s="227" t="s">
        <v>1915</v>
      </c>
      <c r="B1012" s="227" t="s">
        <v>1915</v>
      </c>
      <c r="C1012" s="227" t="s">
        <v>1915</v>
      </c>
      <c r="D1012" s="238" t="s">
        <v>1920</v>
      </c>
      <c r="E1012" s="256" t="s">
        <v>2231</v>
      </c>
      <c r="F1012" s="227" t="s">
        <v>620</v>
      </c>
      <c r="G1012" s="250">
        <v>2014</v>
      </c>
      <c r="H1012" s="313" t="s">
        <v>733</v>
      </c>
      <c r="I1012" s="308" t="str">
        <f t="shared" si="56"/>
        <v>Pesado de Mercadorias N3: Geral : Gasóleo : E6</v>
      </c>
      <c r="J1012" s="227"/>
      <c r="K1012" s="249">
        <v>2022</v>
      </c>
      <c r="L1012" s="227">
        <v>13751.94</v>
      </c>
      <c r="M1012" s="227" t="s">
        <v>630</v>
      </c>
      <c r="N1012" s="227">
        <v>32952</v>
      </c>
      <c r="O1012" s="128">
        <f t="shared" si="57"/>
        <v>0</v>
      </c>
      <c r="P1012" s="250"/>
      <c r="Q1012" s="227" t="s">
        <v>2201</v>
      </c>
      <c r="R1012" s="214" t="s">
        <v>1869</v>
      </c>
      <c r="S1012" s="214" t="s">
        <v>1861</v>
      </c>
      <c r="T1012" s="227" t="s">
        <v>1926</v>
      </c>
      <c r="U1012" t="s">
        <v>1953</v>
      </c>
      <c r="V1012" t="s">
        <v>2813</v>
      </c>
    </row>
    <row r="1013" spans="1:22" ht="15.75" thickBot="1" x14ac:dyDescent="0.3">
      <c r="A1013" s="227" t="s">
        <v>1915</v>
      </c>
      <c r="B1013" s="227" t="s">
        <v>1915</v>
      </c>
      <c r="C1013" s="227" t="s">
        <v>1915</v>
      </c>
      <c r="D1013" s="238" t="s">
        <v>1920</v>
      </c>
      <c r="E1013" s="256" t="s">
        <v>2231</v>
      </c>
      <c r="F1013" s="227" t="s">
        <v>620</v>
      </c>
      <c r="G1013" s="250">
        <v>2014</v>
      </c>
      <c r="H1013" s="313" t="s">
        <v>733</v>
      </c>
      <c r="I1013" s="308" t="str">
        <f t="shared" si="56"/>
        <v>Pesado de Mercadorias N3: Geral : Gasóleo : E6</v>
      </c>
      <c r="J1013" s="227"/>
      <c r="K1013" s="249">
        <v>2022</v>
      </c>
      <c r="L1013" s="227">
        <v>25193.86</v>
      </c>
      <c r="M1013" s="227" t="s">
        <v>630</v>
      </c>
      <c r="N1013" s="227">
        <v>64439</v>
      </c>
      <c r="O1013" s="128">
        <f t="shared" si="57"/>
        <v>0</v>
      </c>
      <c r="P1013" s="250"/>
      <c r="Q1013" s="227" t="s">
        <v>2201</v>
      </c>
      <c r="R1013" s="214" t="s">
        <v>1869</v>
      </c>
      <c r="S1013" s="214" t="s">
        <v>1861</v>
      </c>
      <c r="T1013" s="227" t="s">
        <v>1926</v>
      </c>
      <c r="U1013" t="s">
        <v>1953</v>
      </c>
      <c r="V1013" t="s">
        <v>2813</v>
      </c>
    </row>
    <row r="1014" spans="1:22" ht="15.75" thickBot="1" x14ac:dyDescent="0.3">
      <c r="A1014" s="227" t="s">
        <v>1915</v>
      </c>
      <c r="B1014" s="227" t="s">
        <v>1915</v>
      </c>
      <c r="C1014" s="227" t="s">
        <v>1915</v>
      </c>
      <c r="D1014" s="238" t="s">
        <v>1920</v>
      </c>
      <c r="E1014" s="256" t="s">
        <v>2231</v>
      </c>
      <c r="F1014" s="227" t="s">
        <v>620</v>
      </c>
      <c r="G1014" s="250">
        <v>2014</v>
      </c>
      <c r="H1014" s="313" t="s">
        <v>733</v>
      </c>
      <c r="I1014" s="308" t="str">
        <f t="shared" si="56"/>
        <v>Pesado de Mercadorias N3: Geral : Gasóleo : E6</v>
      </c>
      <c r="J1014" s="227"/>
      <c r="K1014" s="249">
        <v>2022</v>
      </c>
      <c r="L1014" s="227">
        <v>29751.17</v>
      </c>
      <c r="M1014" s="227" t="s">
        <v>630</v>
      </c>
      <c r="N1014" s="227">
        <v>80398</v>
      </c>
      <c r="O1014" s="128">
        <f t="shared" si="57"/>
        <v>0</v>
      </c>
      <c r="P1014" s="250"/>
      <c r="Q1014" s="227" t="s">
        <v>2201</v>
      </c>
      <c r="R1014" s="214" t="s">
        <v>1869</v>
      </c>
      <c r="S1014" s="214" t="s">
        <v>1861</v>
      </c>
      <c r="T1014" s="227" t="s">
        <v>1926</v>
      </c>
      <c r="U1014" t="s">
        <v>1953</v>
      </c>
      <c r="V1014" t="s">
        <v>2813</v>
      </c>
    </row>
    <row r="1015" spans="1:22" ht="15.75" thickBot="1" x14ac:dyDescent="0.3">
      <c r="A1015" s="227" t="s">
        <v>1915</v>
      </c>
      <c r="B1015" s="227" t="s">
        <v>1915</v>
      </c>
      <c r="C1015" s="227" t="s">
        <v>1915</v>
      </c>
      <c r="D1015" s="238" t="s">
        <v>1920</v>
      </c>
      <c r="E1015" s="256" t="s">
        <v>2231</v>
      </c>
      <c r="F1015" s="227" t="s">
        <v>620</v>
      </c>
      <c r="G1015" s="250">
        <v>2014</v>
      </c>
      <c r="H1015" s="313" t="s">
        <v>733</v>
      </c>
      <c r="I1015" s="308" t="str">
        <f t="shared" si="56"/>
        <v>Pesado de Mercadorias N3: Geral : Gasóleo : E6</v>
      </c>
      <c r="J1015" s="227"/>
      <c r="K1015" s="249">
        <v>2022</v>
      </c>
      <c r="L1015" s="227">
        <v>28625.51</v>
      </c>
      <c r="M1015" s="227" t="s">
        <v>630</v>
      </c>
      <c r="N1015" s="227">
        <v>80648</v>
      </c>
      <c r="O1015" s="128">
        <f t="shared" si="57"/>
        <v>0</v>
      </c>
      <c r="P1015" s="250"/>
      <c r="Q1015" s="227" t="s">
        <v>2201</v>
      </c>
      <c r="R1015" s="214" t="s">
        <v>1869</v>
      </c>
      <c r="S1015" s="214" t="s">
        <v>1861</v>
      </c>
      <c r="T1015" s="227" t="s">
        <v>1926</v>
      </c>
      <c r="U1015" t="s">
        <v>1953</v>
      </c>
      <c r="V1015" t="s">
        <v>2813</v>
      </c>
    </row>
    <row r="1016" spans="1:22" ht="15.75" thickBot="1" x14ac:dyDescent="0.3">
      <c r="A1016" s="227" t="s">
        <v>1915</v>
      </c>
      <c r="B1016" s="227" t="s">
        <v>1915</v>
      </c>
      <c r="C1016" s="227" t="s">
        <v>1915</v>
      </c>
      <c r="D1016" s="238" t="s">
        <v>1920</v>
      </c>
      <c r="E1016" s="256" t="s">
        <v>2231</v>
      </c>
      <c r="F1016" s="227" t="s">
        <v>620</v>
      </c>
      <c r="G1016" s="250">
        <v>2014</v>
      </c>
      <c r="H1016" s="313" t="s">
        <v>733</v>
      </c>
      <c r="I1016" s="308" t="str">
        <f t="shared" si="56"/>
        <v>Pesado de Mercadorias N3: Geral : Gasóleo : E6</v>
      </c>
      <c r="J1016" s="227"/>
      <c r="K1016" s="249">
        <v>2022</v>
      </c>
      <c r="L1016" s="227">
        <v>17353.830000000002</v>
      </c>
      <c r="M1016" s="227" t="s">
        <v>630</v>
      </c>
      <c r="N1016" s="227">
        <v>46344</v>
      </c>
      <c r="O1016" s="128">
        <f t="shared" si="57"/>
        <v>0</v>
      </c>
      <c r="P1016" s="250"/>
      <c r="Q1016" s="227" t="s">
        <v>2201</v>
      </c>
      <c r="R1016" s="214" t="s">
        <v>1869</v>
      </c>
      <c r="S1016" s="214" t="s">
        <v>1861</v>
      </c>
      <c r="T1016" s="227" t="s">
        <v>1926</v>
      </c>
      <c r="U1016" t="s">
        <v>1953</v>
      </c>
      <c r="V1016" t="s">
        <v>2813</v>
      </c>
    </row>
    <row r="1017" spans="1:22" ht="15.75" thickBot="1" x14ac:dyDescent="0.3">
      <c r="A1017" s="227" t="s">
        <v>1915</v>
      </c>
      <c r="B1017" s="227" t="s">
        <v>1915</v>
      </c>
      <c r="C1017" s="227" t="s">
        <v>1915</v>
      </c>
      <c r="D1017" s="238" t="s">
        <v>1920</v>
      </c>
      <c r="E1017" s="256" t="s">
        <v>2231</v>
      </c>
      <c r="F1017" s="227" t="s">
        <v>620</v>
      </c>
      <c r="G1017" s="250">
        <v>2014</v>
      </c>
      <c r="H1017" s="313" t="s">
        <v>733</v>
      </c>
      <c r="I1017" s="308" t="str">
        <f t="shared" si="56"/>
        <v>Pesado de Mercadorias N3: Geral : Gasóleo : E6</v>
      </c>
      <c r="J1017" s="227"/>
      <c r="K1017" s="249">
        <v>2022</v>
      </c>
      <c r="L1017" s="227">
        <v>40430.65</v>
      </c>
      <c r="M1017" s="227" t="s">
        <v>630</v>
      </c>
      <c r="N1017" s="227">
        <v>104875</v>
      </c>
      <c r="O1017" s="128">
        <f t="shared" si="57"/>
        <v>0</v>
      </c>
      <c r="P1017" s="250"/>
      <c r="Q1017" s="227" t="s">
        <v>2201</v>
      </c>
      <c r="R1017" s="214" t="s">
        <v>1869</v>
      </c>
      <c r="S1017" s="214" t="s">
        <v>1861</v>
      </c>
      <c r="T1017" s="227" t="s">
        <v>1926</v>
      </c>
      <c r="U1017" t="s">
        <v>1953</v>
      </c>
      <c r="V1017" t="s">
        <v>2813</v>
      </c>
    </row>
    <row r="1018" spans="1:22" ht="15.75" thickBot="1" x14ac:dyDescent="0.3">
      <c r="A1018" s="227" t="s">
        <v>1915</v>
      </c>
      <c r="B1018" s="227" t="s">
        <v>1915</v>
      </c>
      <c r="C1018" s="227" t="s">
        <v>1915</v>
      </c>
      <c r="D1018" s="238" t="s">
        <v>1920</v>
      </c>
      <c r="E1018" s="256" t="s">
        <v>2231</v>
      </c>
      <c r="F1018" s="227" t="s">
        <v>620</v>
      </c>
      <c r="G1018" s="250">
        <v>2014</v>
      </c>
      <c r="H1018" s="313" t="s">
        <v>734</v>
      </c>
      <c r="I1018" s="308" t="str">
        <f t="shared" si="56"/>
        <v>Pesado de Mercadorias N3: Geral : Gasóleo : E5</v>
      </c>
      <c r="J1018" s="227"/>
      <c r="K1018" s="249">
        <v>2022</v>
      </c>
      <c r="L1018" s="227">
        <v>15228.12</v>
      </c>
      <c r="M1018" s="227" t="s">
        <v>630</v>
      </c>
      <c r="N1018" s="227">
        <v>53713</v>
      </c>
      <c r="O1018" s="128">
        <f t="shared" si="57"/>
        <v>0</v>
      </c>
      <c r="P1018" s="250"/>
      <c r="Q1018" s="227" t="s">
        <v>2201</v>
      </c>
      <c r="R1018" s="214" t="s">
        <v>1869</v>
      </c>
      <c r="S1018" s="214" t="s">
        <v>1861</v>
      </c>
      <c r="T1018" s="227" t="s">
        <v>1926</v>
      </c>
      <c r="U1018" t="s">
        <v>1953</v>
      </c>
      <c r="V1018" t="s">
        <v>2813</v>
      </c>
    </row>
    <row r="1019" spans="1:22" ht="15.75" thickBot="1" x14ac:dyDescent="0.3">
      <c r="A1019" s="227" t="s">
        <v>1915</v>
      </c>
      <c r="B1019" s="227" t="s">
        <v>1915</v>
      </c>
      <c r="C1019" s="227" t="s">
        <v>1915</v>
      </c>
      <c r="D1019" s="238" t="s">
        <v>1920</v>
      </c>
      <c r="E1019" s="256" t="s">
        <v>2231</v>
      </c>
      <c r="F1019" s="227" t="s">
        <v>620</v>
      </c>
      <c r="G1019" s="250">
        <v>2015</v>
      </c>
      <c r="H1019" s="313" t="s">
        <v>734</v>
      </c>
      <c r="I1019" s="308" t="str">
        <f t="shared" si="56"/>
        <v>Pesado de Mercadorias N3: Geral : Gasóleo : E5</v>
      </c>
      <c r="J1019" s="227"/>
      <c r="K1019" s="249">
        <v>2022</v>
      </c>
      <c r="L1019" s="227">
        <v>32229.16</v>
      </c>
      <c r="M1019" s="227" t="s">
        <v>630</v>
      </c>
      <c r="N1019" s="227">
        <v>78161</v>
      </c>
      <c r="O1019" s="128">
        <f t="shared" si="57"/>
        <v>0</v>
      </c>
      <c r="P1019" s="250"/>
      <c r="Q1019" s="227" t="s">
        <v>2201</v>
      </c>
      <c r="R1019" s="214" t="s">
        <v>1869</v>
      </c>
      <c r="S1019" s="214" t="s">
        <v>1861</v>
      </c>
      <c r="T1019" s="227" t="s">
        <v>1926</v>
      </c>
      <c r="U1019" t="s">
        <v>1953</v>
      </c>
      <c r="V1019" t="s">
        <v>2813</v>
      </c>
    </row>
    <row r="1020" spans="1:22" ht="15.75" thickBot="1" x14ac:dyDescent="0.3">
      <c r="A1020" s="227" t="s">
        <v>1915</v>
      </c>
      <c r="B1020" s="227" t="s">
        <v>1915</v>
      </c>
      <c r="C1020" s="227" t="s">
        <v>1915</v>
      </c>
      <c r="D1020" s="238" t="s">
        <v>1920</v>
      </c>
      <c r="E1020" s="256" t="s">
        <v>2231</v>
      </c>
      <c r="F1020" s="227" t="s">
        <v>620</v>
      </c>
      <c r="G1020" s="250">
        <v>2015</v>
      </c>
      <c r="H1020" s="313" t="s">
        <v>734</v>
      </c>
      <c r="I1020" s="308" t="str">
        <f t="shared" si="56"/>
        <v>Pesado de Mercadorias N3: Geral : Gasóleo : E5</v>
      </c>
      <c r="J1020" s="227"/>
      <c r="K1020" s="249">
        <v>2022</v>
      </c>
      <c r="L1020" s="227">
        <v>15257.91</v>
      </c>
      <c r="M1020" s="227" t="s">
        <v>630</v>
      </c>
      <c r="N1020" s="227">
        <v>40423</v>
      </c>
      <c r="O1020" s="128">
        <f t="shared" si="57"/>
        <v>0</v>
      </c>
      <c r="P1020" s="250"/>
      <c r="Q1020" s="227" t="s">
        <v>2201</v>
      </c>
      <c r="R1020" s="214" t="s">
        <v>1869</v>
      </c>
      <c r="S1020" s="214" t="s">
        <v>1861</v>
      </c>
      <c r="T1020" s="227" t="s">
        <v>1926</v>
      </c>
      <c r="U1020" t="s">
        <v>1953</v>
      </c>
      <c r="V1020" t="s">
        <v>2813</v>
      </c>
    </row>
    <row r="1021" spans="1:22" ht="15.75" thickBot="1" x14ac:dyDescent="0.3">
      <c r="A1021" s="227" t="s">
        <v>1915</v>
      </c>
      <c r="B1021" s="227" t="s">
        <v>1915</v>
      </c>
      <c r="C1021" s="227" t="s">
        <v>1915</v>
      </c>
      <c r="D1021" s="238" t="s">
        <v>1920</v>
      </c>
      <c r="E1021" s="256" t="s">
        <v>2231</v>
      </c>
      <c r="F1021" s="227" t="s">
        <v>620</v>
      </c>
      <c r="G1021" s="250">
        <v>2015</v>
      </c>
      <c r="H1021" s="313" t="s">
        <v>734</v>
      </c>
      <c r="I1021" s="308" t="str">
        <f t="shared" si="56"/>
        <v>Pesado de Mercadorias N3: Geral : Gasóleo : E5</v>
      </c>
      <c r="J1021" s="227"/>
      <c r="K1021" s="249">
        <v>2022</v>
      </c>
      <c r="L1021" s="227">
        <v>23821.97</v>
      </c>
      <c r="M1021" s="227" t="s">
        <v>630</v>
      </c>
      <c r="N1021" s="227">
        <v>61976</v>
      </c>
      <c r="O1021" s="128">
        <f t="shared" si="57"/>
        <v>0</v>
      </c>
      <c r="P1021" s="250"/>
      <c r="Q1021" s="227" t="s">
        <v>2201</v>
      </c>
      <c r="R1021" s="214" t="s">
        <v>1869</v>
      </c>
      <c r="S1021" s="214" t="s">
        <v>1861</v>
      </c>
      <c r="T1021" s="227" t="s">
        <v>1926</v>
      </c>
      <c r="U1021" t="s">
        <v>1953</v>
      </c>
      <c r="V1021" t="s">
        <v>2813</v>
      </c>
    </row>
    <row r="1022" spans="1:22" ht="15.75" thickBot="1" x14ac:dyDescent="0.3">
      <c r="A1022" s="227" t="s">
        <v>1915</v>
      </c>
      <c r="B1022" s="227" t="s">
        <v>1915</v>
      </c>
      <c r="C1022" s="227" t="s">
        <v>1915</v>
      </c>
      <c r="D1022" s="238" t="s">
        <v>1920</v>
      </c>
      <c r="E1022" s="256" t="s">
        <v>2231</v>
      </c>
      <c r="F1022" s="227" t="s">
        <v>620</v>
      </c>
      <c r="G1022" s="250">
        <v>2015</v>
      </c>
      <c r="H1022" s="313" t="s">
        <v>734</v>
      </c>
      <c r="I1022" s="308" t="str">
        <f t="shared" si="56"/>
        <v>Pesado de Mercadorias N3: Geral : Gasóleo : E5</v>
      </c>
      <c r="J1022" s="227"/>
      <c r="K1022" s="249">
        <v>2022</v>
      </c>
      <c r="L1022" s="227">
        <v>10774.02</v>
      </c>
      <c r="M1022" s="227" t="s">
        <v>630</v>
      </c>
      <c r="N1022" s="227">
        <v>26525</v>
      </c>
      <c r="O1022" s="128">
        <f t="shared" si="57"/>
        <v>0</v>
      </c>
      <c r="P1022" s="250"/>
      <c r="Q1022" s="227" t="s">
        <v>2201</v>
      </c>
      <c r="R1022" s="214" t="s">
        <v>1869</v>
      </c>
      <c r="S1022" s="214" t="s">
        <v>1861</v>
      </c>
      <c r="T1022" s="227" t="s">
        <v>1926</v>
      </c>
      <c r="U1022" t="s">
        <v>1953</v>
      </c>
      <c r="V1022" t="s">
        <v>2813</v>
      </c>
    </row>
    <row r="1023" spans="1:22" ht="15.75" thickBot="1" x14ac:dyDescent="0.3">
      <c r="A1023" s="227" t="s">
        <v>1915</v>
      </c>
      <c r="B1023" s="227" t="s">
        <v>1915</v>
      </c>
      <c r="C1023" s="227" t="s">
        <v>1915</v>
      </c>
      <c r="D1023" s="238" t="s">
        <v>1920</v>
      </c>
      <c r="E1023" s="256" t="s">
        <v>2231</v>
      </c>
      <c r="F1023" s="227" t="s">
        <v>620</v>
      </c>
      <c r="G1023" s="250">
        <v>2015</v>
      </c>
      <c r="H1023" s="313" t="s">
        <v>734</v>
      </c>
      <c r="I1023" s="308" t="str">
        <f t="shared" si="56"/>
        <v>Pesado de Mercadorias N3: Geral : Gasóleo : E5</v>
      </c>
      <c r="J1023" s="227"/>
      <c r="K1023" s="249">
        <v>2022</v>
      </c>
      <c r="L1023" s="227">
        <v>22037.37</v>
      </c>
      <c r="M1023" s="227" t="s">
        <v>630</v>
      </c>
      <c r="N1023" s="227">
        <v>56681</v>
      </c>
      <c r="O1023" s="128">
        <f t="shared" si="57"/>
        <v>0</v>
      </c>
      <c r="P1023" s="250"/>
      <c r="Q1023" s="227" t="s">
        <v>2201</v>
      </c>
      <c r="R1023" s="214" t="s">
        <v>1869</v>
      </c>
      <c r="S1023" s="214" t="s">
        <v>1861</v>
      </c>
      <c r="T1023" s="227" t="s">
        <v>1926</v>
      </c>
      <c r="U1023" t="s">
        <v>1953</v>
      </c>
      <c r="V1023" t="s">
        <v>2813</v>
      </c>
    </row>
    <row r="1024" spans="1:22" ht="15.75" thickBot="1" x14ac:dyDescent="0.3">
      <c r="A1024" s="227" t="s">
        <v>1915</v>
      </c>
      <c r="B1024" s="227" t="s">
        <v>1915</v>
      </c>
      <c r="C1024" s="227" t="s">
        <v>1915</v>
      </c>
      <c r="D1024" s="238" t="s">
        <v>1920</v>
      </c>
      <c r="E1024" s="256" t="s">
        <v>2231</v>
      </c>
      <c r="F1024" s="227" t="s">
        <v>620</v>
      </c>
      <c r="G1024" s="250">
        <v>2015</v>
      </c>
      <c r="H1024" s="313" t="s">
        <v>733</v>
      </c>
      <c r="I1024" s="308" t="str">
        <f t="shared" si="56"/>
        <v>Pesado de Mercadorias N3: Geral : Gasóleo : E6</v>
      </c>
      <c r="J1024" s="227"/>
      <c r="K1024" s="249">
        <v>2022</v>
      </c>
      <c r="L1024" s="227">
        <v>27136.38</v>
      </c>
      <c r="M1024" s="227" t="s">
        <v>630</v>
      </c>
      <c r="N1024" s="227">
        <v>84442</v>
      </c>
      <c r="O1024" s="128">
        <f t="shared" si="57"/>
        <v>0</v>
      </c>
      <c r="P1024" s="250"/>
      <c r="Q1024" s="227" t="s">
        <v>2201</v>
      </c>
      <c r="R1024" s="214" t="s">
        <v>1869</v>
      </c>
      <c r="S1024" s="214" t="s">
        <v>1861</v>
      </c>
      <c r="T1024" s="227" t="s">
        <v>1926</v>
      </c>
      <c r="U1024" t="s">
        <v>1953</v>
      </c>
      <c r="V1024" t="s">
        <v>2813</v>
      </c>
    </row>
    <row r="1025" spans="1:22" ht="15.75" thickBot="1" x14ac:dyDescent="0.3">
      <c r="A1025" s="227" t="s">
        <v>1915</v>
      </c>
      <c r="B1025" s="227" t="s">
        <v>1915</v>
      </c>
      <c r="C1025" s="227" t="s">
        <v>1915</v>
      </c>
      <c r="D1025" s="238" t="s">
        <v>1920</v>
      </c>
      <c r="E1025" s="256" t="s">
        <v>2231</v>
      </c>
      <c r="F1025" s="227" t="s">
        <v>620</v>
      </c>
      <c r="G1025" s="250">
        <v>2015</v>
      </c>
      <c r="H1025" s="313" t="s">
        <v>733</v>
      </c>
      <c r="I1025" s="308" t="str">
        <f t="shared" si="56"/>
        <v>Pesado de Mercadorias N3: Geral : Gasóleo : E6</v>
      </c>
      <c r="J1025" s="227"/>
      <c r="K1025" s="249">
        <v>2022</v>
      </c>
      <c r="L1025" s="227">
        <v>16062.84</v>
      </c>
      <c r="M1025" s="227" t="s">
        <v>630</v>
      </c>
      <c r="N1025" s="227">
        <v>39053</v>
      </c>
      <c r="O1025" s="128">
        <f t="shared" si="57"/>
        <v>0</v>
      </c>
      <c r="P1025" s="250"/>
      <c r="Q1025" s="227" t="s">
        <v>2201</v>
      </c>
      <c r="R1025" s="214" t="s">
        <v>1869</v>
      </c>
      <c r="S1025" s="214" t="s">
        <v>1861</v>
      </c>
      <c r="T1025" s="227" t="s">
        <v>1926</v>
      </c>
      <c r="U1025" t="s">
        <v>1953</v>
      </c>
      <c r="V1025" t="s">
        <v>2813</v>
      </c>
    </row>
    <row r="1026" spans="1:22" ht="15.75" thickBot="1" x14ac:dyDescent="0.3">
      <c r="A1026" s="227" t="s">
        <v>1915</v>
      </c>
      <c r="B1026" s="227" t="s">
        <v>1915</v>
      </c>
      <c r="C1026" s="227" t="s">
        <v>1915</v>
      </c>
      <c r="D1026" s="238" t="s">
        <v>1920</v>
      </c>
      <c r="E1026" s="256" t="s">
        <v>2231</v>
      </c>
      <c r="F1026" s="227" t="s">
        <v>620</v>
      </c>
      <c r="G1026" s="250">
        <v>2015</v>
      </c>
      <c r="H1026" s="313" t="s">
        <v>733</v>
      </c>
      <c r="I1026" s="308" t="str">
        <f t="shared" si="56"/>
        <v>Pesado de Mercadorias N3: Geral : Gasóleo : E6</v>
      </c>
      <c r="J1026" s="227"/>
      <c r="K1026" s="249">
        <v>2022</v>
      </c>
      <c r="L1026" s="227">
        <v>24554.43</v>
      </c>
      <c r="M1026" s="227" t="s">
        <v>630</v>
      </c>
      <c r="N1026" s="227">
        <v>62522</v>
      </c>
      <c r="O1026" s="128">
        <f t="shared" si="57"/>
        <v>0</v>
      </c>
      <c r="P1026" s="250"/>
      <c r="Q1026" s="227" t="s">
        <v>2201</v>
      </c>
      <c r="R1026" s="214" t="s">
        <v>1869</v>
      </c>
      <c r="S1026" s="214" t="s">
        <v>1861</v>
      </c>
      <c r="T1026" s="227" t="s">
        <v>1926</v>
      </c>
      <c r="U1026" t="s">
        <v>1953</v>
      </c>
      <c r="V1026" t="s">
        <v>2813</v>
      </c>
    </row>
    <row r="1027" spans="1:22" ht="15.75" thickBot="1" x14ac:dyDescent="0.3">
      <c r="A1027" s="227" t="s">
        <v>1915</v>
      </c>
      <c r="B1027" s="227" t="s">
        <v>1915</v>
      </c>
      <c r="C1027" s="227" t="s">
        <v>1915</v>
      </c>
      <c r="D1027" s="238" t="s">
        <v>1920</v>
      </c>
      <c r="E1027" s="256" t="s">
        <v>2231</v>
      </c>
      <c r="F1027" s="227" t="s">
        <v>620</v>
      </c>
      <c r="G1027" s="250">
        <v>2015</v>
      </c>
      <c r="H1027" s="313" t="s">
        <v>733</v>
      </c>
      <c r="I1027" s="308" t="str">
        <f t="shared" si="56"/>
        <v>Pesado de Mercadorias N3: Geral : Gasóleo : E6</v>
      </c>
      <c r="J1027" s="227"/>
      <c r="K1027" s="249">
        <v>2022</v>
      </c>
      <c r="L1027" s="227">
        <v>36558.519999999997</v>
      </c>
      <c r="M1027" s="227" t="s">
        <v>630</v>
      </c>
      <c r="N1027" s="227">
        <v>93022</v>
      </c>
      <c r="O1027" s="128">
        <f t="shared" si="57"/>
        <v>0</v>
      </c>
      <c r="P1027" s="250"/>
      <c r="Q1027" s="227" t="s">
        <v>2201</v>
      </c>
      <c r="R1027" s="214" t="s">
        <v>1869</v>
      </c>
      <c r="S1027" s="214" t="s">
        <v>1861</v>
      </c>
      <c r="T1027" s="227" t="s">
        <v>1926</v>
      </c>
      <c r="U1027" t="s">
        <v>1953</v>
      </c>
      <c r="V1027" t="s">
        <v>2813</v>
      </c>
    </row>
    <row r="1028" spans="1:22" ht="15.75" thickBot="1" x14ac:dyDescent="0.3">
      <c r="A1028" s="227" t="s">
        <v>1915</v>
      </c>
      <c r="B1028" s="227" t="s">
        <v>1915</v>
      </c>
      <c r="C1028" s="227" t="s">
        <v>1915</v>
      </c>
      <c r="D1028" s="238" t="s">
        <v>1920</v>
      </c>
      <c r="E1028" s="256" t="s">
        <v>2231</v>
      </c>
      <c r="F1028" s="227" t="s">
        <v>620</v>
      </c>
      <c r="G1028" s="250">
        <v>2015</v>
      </c>
      <c r="H1028" s="313" t="s">
        <v>733</v>
      </c>
      <c r="I1028" s="308" t="str">
        <f t="shared" ref="I1028:I1091" si="58">D1028&amp;": "&amp;E1028&amp;" : "&amp;F1028&amp;" : "&amp;H1028</f>
        <v>Pesado de Mercadorias N3: Geral : Gasóleo : E6</v>
      </c>
      <c r="J1028" s="227"/>
      <c r="K1028" s="249">
        <v>2022</v>
      </c>
      <c r="L1028" s="227">
        <v>43701.99</v>
      </c>
      <c r="M1028" s="227" t="s">
        <v>630</v>
      </c>
      <c r="N1028" s="227">
        <v>117726</v>
      </c>
      <c r="O1028" s="128">
        <f t="shared" ref="O1028:O1091" si="59">N1028*J1028</f>
        <v>0</v>
      </c>
      <c r="P1028" s="250"/>
      <c r="Q1028" s="227" t="s">
        <v>2201</v>
      </c>
      <c r="R1028" s="214" t="s">
        <v>1869</v>
      </c>
      <c r="S1028" s="214" t="s">
        <v>1861</v>
      </c>
      <c r="T1028" s="227" t="s">
        <v>1926</v>
      </c>
      <c r="U1028" t="s">
        <v>1953</v>
      </c>
      <c r="V1028" t="s">
        <v>2813</v>
      </c>
    </row>
    <row r="1029" spans="1:22" ht="15.75" thickBot="1" x14ac:dyDescent="0.3">
      <c r="A1029" s="227" t="s">
        <v>1915</v>
      </c>
      <c r="B1029" s="227" t="s">
        <v>1915</v>
      </c>
      <c r="C1029" s="227" t="s">
        <v>1915</v>
      </c>
      <c r="D1029" s="238" t="s">
        <v>1920</v>
      </c>
      <c r="E1029" s="256" t="s">
        <v>2231</v>
      </c>
      <c r="F1029" s="227" t="s">
        <v>620</v>
      </c>
      <c r="G1029" s="250">
        <v>2015</v>
      </c>
      <c r="H1029" s="313" t="s">
        <v>733</v>
      </c>
      <c r="I1029" s="308" t="str">
        <f t="shared" si="58"/>
        <v>Pesado de Mercadorias N3: Geral : Gasóleo : E6</v>
      </c>
      <c r="J1029" s="227"/>
      <c r="K1029" s="249">
        <v>2022</v>
      </c>
      <c r="L1029" s="227">
        <v>31647.16</v>
      </c>
      <c r="M1029" s="227" t="s">
        <v>630</v>
      </c>
      <c r="N1029" s="227">
        <v>84479</v>
      </c>
      <c r="O1029" s="128">
        <f t="shared" si="59"/>
        <v>0</v>
      </c>
      <c r="P1029" s="250"/>
      <c r="Q1029" s="227" t="s">
        <v>2201</v>
      </c>
      <c r="R1029" s="214" t="s">
        <v>1869</v>
      </c>
      <c r="S1029" s="214" t="s">
        <v>1861</v>
      </c>
      <c r="T1029" s="227" t="s">
        <v>1926</v>
      </c>
      <c r="U1029" t="s">
        <v>1953</v>
      </c>
      <c r="V1029" t="s">
        <v>2813</v>
      </c>
    </row>
    <row r="1030" spans="1:22" ht="15.75" thickBot="1" x14ac:dyDescent="0.3">
      <c r="A1030" s="227" t="s">
        <v>1915</v>
      </c>
      <c r="B1030" s="227" t="s">
        <v>1915</v>
      </c>
      <c r="C1030" s="227" t="s">
        <v>1915</v>
      </c>
      <c r="D1030" s="238" t="s">
        <v>1920</v>
      </c>
      <c r="E1030" s="256" t="s">
        <v>2231</v>
      </c>
      <c r="F1030" s="227" t="s">
        <v>620</v>
      </c>
      <c r="G1030" s="250">
        <v>2015</v>
      </c>
      <c r="H1030" s="313" t="s">
        <v>733</v>
      </c>
      <c r="I1030" s="308" t="str">
        <f t="shared" si="58"/>
        <v>Pesado de Mercadorias N3: Geral : Gasóleo : E6</v>
      </c>
      <c r="J1030" s="227"/>
      <c r="K1030" s="249">
        <v>2022</v>
      </c>
      <c r="L1030" s="227">
        <v>47851.81</v>
      </c>
      <c r="M1030" s="227" t="s">
        <v>630</v>
      </c>
      <c r="N1030" s="227">
        <v>130829</v>
      </c>
      <c r="O1030" s="128">
        <f t="shared" si="59"/>
        <v>0</v>
      </c>
      <c r="P1030" s="250"/>
      <c r="Q1030" s="227" t="s">
        <v>2201</v>
      </c>
      <c r="R1030" s="214" t="s">
        <v>1869</v>
      </c>
      <c r="S1030" s="214" t="s">
        <v>1861</v>
      </c>
      <c r="T1030" s="227" t="s">
        <v>1926</v>
      </c>
      <c r="U1030" t="s">
        <v>1953</v>
      </c>
      <c r="V1030" t="s">
        <v>2813</v>
      </c>
    </row>
    <row r="1031" spans="1:22" ht="15.75" thickBot="1" x14ac:dyDescent="0.3">
      <c r="A1031" s="227" t="s">
        <v>1915</v>
      </c>
      <c r="B1031" s="227" t="s">
        <v>1915</v>
      </c>
      <c r="C1031" s="227" t="s">
        <v>1915</v>
      </c>
      <c r="D1031" s="238" t="s">
        <v>1920</v>
      </c>
      <c r="E1031" s="256" t="s">
        <v>2231</v>
      </c>
      <c r="F1031" s="227" t="s">
        <v>620</v>
      </c>
      <c r="G1031" s="250">
        <v>2015</v>
      </c>
      <c r="H1031" s="313" t="s">
        <v>733</v>
      </c>
      <c r="I1031" s="308" t="str">
        <f t="shared" si="58"/>
        <v>Pesado de Mercadorias N3: Geral : Gasóleo : E6</v>
      </c>
      <c r="J1031" s="227"/>
      <c r="K1031" s="249">
        <v>2022</v>
      </c>
      <c r="L1031" s="227">
        <v>52142.21</v>
      </c>
      <c r="M1031" s="227" t="s">
        <v>630</v>
      </c>
      <c r="N1031" s="227">
        <v>143891</v>
      </c>
      <c r="O1031" s="128">
        <f t="shared" si="59"/>
        <v>0</v>
      </c>
      <c r="P1031" s="250"/>
      <c r="Q1031" s="227" t="s">
        <v>2201</v>
      </c>
      <c r="R1031" s="214" t="s">
        <v>1869</v>
      </c>
      <c r="S1031" s="214" t="s">
        <v>1861</v>
      </c>
      <c r="T1031" s="227" t="s">
        <v>1926</v>
      </c>
      <c r="U1031" t="s">
        <v>1953</v>
      </c>
      <c r="V1031" t="s">
        <v>2813</v>
      </c>
    </row>
    <row r="1032" spans="1:22" ht="15.75" thickBot="1" x14ac:dyDescent="0.3">
      <c r="A1032" s="227" t="s">
        <v>1915</v>
      </c>
      <c r="B1032" s="227" t="s">
        <v>1915</v>
      </c>
      <c r="C1032" s="227" t="s">
        <v>1915</v>
      </c>
      <c r="D1032" s="238" t="s">
        <v>1920</v>
      </c>
      <c r="E1032" s="256" t="s">
        <v>2231</v>
      </c>
      <c r="F1032" s="227" t="s">
        <v>620</v>
      </c>
      <c r="G1032" s="250">
        <v>2015</v>
      </c>
      <c r="H1032" s="313" t="s">
        <v>733</v>
      </c>
      <c r="I1032" s="308" t="str">
        <f t="shared" si="58"/>
        <v>Pesado de Mercadorias N3: Geral : Gasóleo : E6</v>
      </c>
      <c r="J1032" s="227"/>
      <c r="K1032" s="249">
        <v>2022</v>
      </c>
      <c r="L1032" s="227">
        <v>40549.47</v>
      </c>
      <c r="M1032" s="227" t="s">
        <v>630</v>
      </c>
      <c r="N1032" s="227">
        <v>115526</v>
      </c>
      <c r="O1032" s="128">
        <f t="shared" si="59"/>
        <v>0</v>
      </c>
      <c r="P1032" s="250"/>
      <c r="Q1032" s="227" t="s">
        <v>2201</v>
      </c>
      <c r="R1032" s="214" t="s">
        <v>1869</v>
      </c>
      <c r="S1032" s="214" t="s">
        <v>1861</v>
      </c>
      <c r="T1032" s="227" t="s">
        <v>1926</v>
      </c>
      <c r="U1032" t="s">
        <v>1953</v>
      </c>
      <c r="V1032" t="s">
        <v>2813</v>
      </c>
    </row>
    <row r="1033" spans="1:22" ht="15.75" thickBot="1" x14ac:dyDescent="0.3">
      <c r="A1033" s="227" t="s">
        <v>1915</v>
      </c>
      <c r="B1033" s="227" t="s">
        <v>1915</v>
      </c>
      <c r="C1033" s="227" t="s">
        <v>1915</v>
      </c>
      <c r="D1033" s="238" t="s">
        <v>1920</v>
      </c>
      <c r="E1033" s="256" t="s">
        <v>2231</v>
      </c>
      <c r="F1033" s="227" t="s">
        <v>620</v>
      </c>
      <c r="G1033" s="250">
        <v>2015</v>
      </c>
      <c r="H1033" s="313" t="s">
        <v>733</v>
      </c>
      <c r="I1033" s="308" t="str">
        <f t="shared" si="58"/>
        <v>Pesado de Mercadorias N3: Geral : Gasóleo : E6</v>
      </c>
      <c r="J1033" s="227"/>
      <c r="K1033" s="249">
        <v>2022</v>
      </c>
      <c r="L1033" s="227">
        <v>45318.63</v>
      </c>
      <c r="M1033" s="227" t="s">
        <v>630</v>
      </c>
      <c r="N1033" s="227">
        <v>125077</v>
      </c>
      <c r="O1033" s="128">
        <f t="shared" si="59"/>
        <v>0</v>
      </c>
      <c r="P1033" s="250"/>
      <c r="Q1033" s="227" t="s">
        <v>2201</v>
      </c>
      <c r="R1033" s="214" t="s">
        <v>1869</v>
      </c>
      <c r="S1033" s="214" t="s">
        <v>1861</v>
      </c>
      <c r="T1033" s="227" t="s">
        <v>1926</v>
      </c>
      <c r="U1033" t="s">
        <v>1953</v>
      </c>
      <c r="V1033" t="s">
        <v>2813</v>
      </c>
    </row>
    <row r="1034" spans="1:22" ht="15.75" thickBot="1" x14ac:dyDescent="0.3">
      <c r="A1034" s="227" t="s">
        <v>1915</v>
      </c>
      <c r="B1034" s="227" t="s">
        <v>1915</v>
      </c>
      <c r="C1034" s="227" t="s">
        <v>1915</v>
      </c>
      <c r="D1034" s="238" t="s">
        <v>1920</v>
      </c>
      <c r="E1034" s="256" t="s">
        <v>2231</v>
      </c>
      <c r="F1034" s="227" t="s">
        <v>620</v>
      </c>
      <c r="G1034" s="250">
        <v>2015</v>
      </c>
      <c r="H1034" s="313" t="s">
        <v>733</v>
      </c>
      <c r="I1034" s="308" t="str">
        <f t="shared" si="58"/>
        <v>Pesado de Mercadorias N3: Geral : Gasóleo : E6</v>
      </c>
      <c r="J1034" s="227"/>
      <c r="K1034" s="249">
        <v>2022</v>
      </c>
      <c r="L1034" s="227">
        <v>51270.17</v>
      </c>
      <c r="M1034" s="227" t="s">
        <v>630</v>
      </c>
      <c r="N1034" s="227">
        <v>146021</v>
      </c>
      <c r="O1034" s="128">
        <f t="shared" si="59"/>
        <v>0</v>
      </c>
      <c r="P1034" s="250"/>
      <c r="Q1034" s="227" t="s">
        <v>2201</v>
      </c>
      <c r="R1034" s="214" t="s">
        <v>1869</v>
      </c>
      <c r="S1034" s="214" t="s">
        <v>1861</v>
      </c>
      <c r="T1034" s="227" t="s">
        <v>1926</v>
      </c>
      <c r="U1034" t="s">
        <v>1953</v>
      </c>
      <c r="V1034" t="s">
        <v>2813</v>
      </c>
    </row>
    <row r="1035" spans="1:22" ht="15.75" thickBot="1" x14ac:dyDescent="0.3">
      <c r="A1035" s="227" t="s">
        <v>1915</v>
      </c>
      <c r="B1035" s="227" t="s">
        <v>1915</v>
      </c>
      <c r="C1035" s="227" t="s">
        <v>1915</v>
      </c>
      <c r="D1035" s="238" t="s">
        <v>1920</v>
      </c>
      <c r="E1035" s="256" t="s">
        <v>2231</v>
      </c>
      <c r="F1035" s="227" t="s">
        <v>620</v>
      </c>
      <c r="G1035" s="250">
        <v>2015</v>
      </c>
      <c r="H1035" s="313" t="s">
        <v>733</v>
      </c>
      <c r="I1035" s="308" t="str">
        <f t="shared" si="58"/>
        <v>Pesado de Mercadorias N3: Geral : Gasóleo : E6</v>
      </c>
      <c r="J1035" s="227"/>
      <c r="K1035" s="249">
        <v>2022</v>
      </c>
      <c r="L1035" s="227">
        <v>8125.29</v>
      </c>
      <c r="M1035" s="227" t="s">
        <v>630</v>
      </c>
      <c r="N1035" s="227">
        <v>17051</v>
      </c>
      <c r="O1035" s="128">
        <f t="shared" si="59"/>
        <v>0</v>
      </c>
      <c r="P1035" s="250"/>
      <c r="Q1035" s="227" t="s">
        <v>2201</v>
      </c>
      <c r="R1035" s="214" t="s">
        <v>1869</v>
      </c>
      <c r="S1035" s="214" t="s">
        <v>1861</v>
      </c>
      <c r="T1035" s="227" t="s">
        <v>1926</v>
      </c>
      <c r="U1035" t="s">
        <v>1953</v>
      </c>
      <c r="V1035" t="s">
        <v>2813</v>
      </c>
    </row>
    <row r="1036" spans="1:22" ht="15.75" thickBot="1" x14ac:dyDescent="0.3">
      <c r="A1036" s="227" t="s">
        <v>1915</v>
      </c>
      <c r="B1036" s="227" t="s">
        <v>1915</v>
      </c>
      <c r="C1036" s="227" t="s">
        <v>1915</v>
      </c>
      <c r="D1036" s="238" t="s">
        <v>1920</v>
      </c>
      <c r="E1036" s="256" t="s">
        <v>2231</v>
      </c>
      <c r="F1036" s="227" t="s">
        <v>620</v>
      </c>
      <c r="G1036" s="250">
        <v>2015</v>
      </c>
      <c r="H1036" s="313" t="s">
        <v>733</v>
      </c>
      <c r="I1036" s="308" t="str">
        <f t="shared" si="58"/>
        <v>Pesado de Mercadorias N3: Geral : Gasóleo : E6</v>
      </c>
      <c r="J1036" s="227"/>
      <c r="K1036" s="249">
        <v>2022</v>
      </c>
      <c r="L1036" s="227">
        <v>47318.09</v>
      </c>
      <c r="M1036" s="227" t="s">
        <v>630</v>
      </c>
      <c r="N1036" s="227">
        <v>135029</v>
      </c>
      <c r="O1036" s="128">
        <f t="shared" si="59"/>
        <v>0</v>
      </c>
      <c r="P1036" s="250"/>
      <c r="Q1036" s="227" t="s">
        <v>2201</v>
      </c>
      <c r="R1036" s="214" t="s">
        <v>1869</v>
      </c>
      <c r="S1036" s="214" t="s">
        <v>1861</v>
      </c>
      <c r="T1036" s="227" t="s">
        <v>1926</v>
      </c>
      <c r="U1036" t="s">
        <v>1953</v>
      </c>
      <c r="V1036" t="s">
        <v>2813</v>
      </c>
    </row>
    <row r="1037" spans="1:22" ht="15.75" thickBot="1" x14ac:dyDescent="0.3">
      <c r="A1037" s="227" t="s">
        <v>1915</v>
      </c>
      <c r="B1037" s="227" t="s">
        <v>1915</v>
      </c>
      <c r="C1037" s="227" t="s">
        <v>1915</v>
      </c>
      <c r="D1037" s="238" t="s">
        <v>1920</v>
      </c>
      <c r="E1037" s="256" t="s">
        <v>2231</v>
      </c>
      <c r="F1037" s="227" t="s">
        <v>620</v>
      </c>
      <c r="G1037" s="250">
        <v>2015</v>
      </c>
      <c r="H1037" s="313" t="s">
        <v>733</v>
      </c>
      <c r="I1037" s="308" t="str">
        <f t="shared" si="58"/>
        <v>Pesado de Mercadorias N3: Geral : Gasóleo : E6</v>
      </c>
      <c r="J1037" s="227"/>
      <c r="K1037" s="249">
        <v>2022</v>
      </c>
      <c r="L1037" s="227">
        <v>51107.47</v>
      </c>
      <c r="M1037" s="227" t="s">
        <v>630</v>
      </c>
      <c r="N1037" s="227">
        <v>139527</v>
      </c>
      <c r="O1037" s="128">
        <f t="shared" si="59"/>
        <v>0</v>
      </c>
      <c r="P1037" s="250"/>
      <c r="Q1037" s="227" t="s">
        <v>2201</v>
      </c>
      <c r="R1037" s="214" t="s">
        <v>1869</v>
      </c>
      <c r="S1037" s="214" t="s">
        <v>1861</v>
      </c>
      <c r="T1037" s="227" t="s">
        <v>1926</v>
      </c>
      <c r="U1037" t="s">
        <v>1953</v>
      </c>
      <c r="V1037" t="s">
        <v>2813</v>
      </c>
    </row>
    <row r="1038" spans="1:22" ht="15.75" thickBot="1" x14ac:dyDescent="0.3">
      <c r="A1038" s="227" t="s">
        <v>1915</v>
      </c>
      <c r="B1038" s="227" t="s">
        <v>1915</v>
      </c>
      <c r="C1038" s="227" t="s">
        <v>1915</v>
      </c>
      <c r="D1038" s="238" t="s">
        <v>1920</v>
      </c>
      <c r="E1038" s="256" t="s">
        <v>2231</v>
      </c>
      <c r="F1038" s="227" t="s">
        <v>620</v>
      </c>
      <c r="G1038" s="250">
        <v>2015</v>
      </c>
      <c r="H1038" s="313" t="s">
        <v>733</v>
      </c>
      <c r="I1038" s="308" t="str">
        <f t="shared" si="58"/>
        <v>Pesado de Mercadorias N3: Geral : Gasóleo : E6</v>
      </c>
      <c r="J1038" s="227"/>
      <c r="K1038" s="249">
        <v>2022</v>
      </c>
      <c r="L1038" s="227">
        <v>42330.46</v>
      </c>
      <c r="M1038" s="227" t="s">
        <v>630</v>
      </c>
      <c r="N1038" s="227">
        <v>111805</v>
      </c>
      <c r="O1038" s="128">
        <f t="shared" si="59"/>
        <v>0</v>
      </c>
      <c r="P1038" s="250"/>
      <c r="Q1038" s="227" t="s">
        <v>2201</v>
      </c>
      <c r="R1038" s="214" t="s">
        <v>1869</v>
      </c>
      <c r="S1038" s="214" t="s">
        <v>1861</v>
      </c>
      <c r="T1038" s="227" t="s">
        <v>1926</v>
      </c>
      <c r="U1038" t="s">
        <v>1953</v>
      </c>
      <c r="V1038" t="s">
        <v>2813</v>
      </c>
    </row>
    <row r="1039" spans="1:22" ht="15.75" thickBot="1" x14ac:dyDescent="0.3">
      <c r="A1039" s="227" t="s">
        <v>1915</v>
      </c>
      <c r="B1039" s="227" t="s">
        <v>1915</v>
      </c>
      <c r="C1039" s="227" t="s">
        <v>1915</v>
      </c>
      <c r="D1039" s="238" t="s">
        <v>1920</v>
      </c>
      <c r="E1039" s="256" t="s">
        <v>2231</v>
      </c>
      <c r="F1039" s="227" t="s">
        <v>620</v>
      </c>
      <c r="G1039" s="250">
        <v>2015</v>
      </c>
      <c r="H1039" s="313" t="s">
        <v>733</v>
      </c>
      <c r="I1039" s="308" t="str">
        <f t="shared" si="58"/>
        <v>Pesado de Mercadorias N3: Geral : Gasóleo : E6</v>
      </c>
      <c r="J1039" s="227"/>
      <c r="K1039" s="249">
        <v>2022</v>
      </c>
      <c r="L1039" s="227">
        <v>31734.799999999999</v>
      </c>
      <c r="M1039" s="227" t="s">
        <v>630</v>
      </c>
      <c r="N1039" s="227">
        <v>87440</v>
      </c>
      <c r="O1039" s="128">
        <f t="shared" si="59"/>
        <v>0</v>
      </c>
      <c r="P1039" s="250"/>
      <c r="Q1039" s="227" t="s">
        <v>2201</v>
      </c>
      <c r="R1039" s="214" t="s">
        <v>1869</v>
      </c>
      <c r="S1039" s="214" t="s">
        <v>1861</v>
      </c>
      <c r="T1039" s="227" t="s">
        <v>1926</v>
      </c>
      <c r="U1039" t="s">
        <v>1953</v>
      </c>
      <c r="V1039" t="s">
        <v>2813</v>
      </c>
    </row>
    <row r="1040" spans="1:22" ht="15.75" thickBot="1" x14ac:dyDescent="0.3">
      <c r="A1040" s="227" t="s">
        <v>1915</v>
      </c>
      <c r="B1040" s="227" t="s">
        <v>1915</v>
      </c>
      <c r="C1040" s="227" t="s">
        <v>1915</v>
      </c>
      <c r="D1040" s="238" t="s">
        <v>1920</v>
      </c>
      <c r="E1040" s="256" t="s">
        <v>2231</v>
      </c>
      <c r="F1040" s="227" t="s">
        <v>620</v>
      </c>
      <c r="G1040" s="250">
        <v>2015</v>
      </c>
      <c r="H1040" s="313" t="s">
        <v>733</v>
      </c>
      <c r="I1040" s="308" t="str">
        <f t="shared" si="58"/>
        <v>Pesado de Mercadorias N3: Geral : Gasóleo : E6</v>
      </c>
      <c r="J1040" s="227"/>
      <c r="K1040" s="249">
        <v>2022</v>
      </c>
      <c r="L1040" s="227">
        <v>53598.64</v>
      </c>
      <c r="M1040" s="227" t="s">
        <v>630</v>
      </c>
      <c r="N1040" s="227">
        <v>143777</v>
      </c>
      <c r="O1040" s="128">
        <f t="shared" si="59"/>
        <v>0</v>
      </c>
      <c r="P1040" s="250"/>
      <c r="Q1040" s="227" t="s">
        <v>2201</v>
      </c>
      <c r="R1040" s="214" t="s">
        <v>1869</v>
      </c>
      <c r="S1040" s="214" t="s">
        <v>1861</v>
      </c>
      <c r="T1040" s="227" t="s">
        <v>1926</v>
      </c>
      <c r="U1040" t="s">
        <v>1953</v>
      </c>
      <c r="V1040" t="s">
        <v>2813</v>
      </c>
    </row>
    <row r="1041" spans="1:22" ht="15.75" thickBot="1" x14ac:dyDescent="0.3">
      <c r="A1041" s="227" t="s">
        <v>1915</v>
      </c>
      <c r="B1041" s="227" t="s">
        <v>1915</v>
      </c>
      <c r="C1041" s="227" t="s">
        <v>1915</v>
      </c>
      <c r="D1041" s="238" t="s">
        <v>1920</v>
      </c>
      <c r="E1041" s="256" t="s">
        <v>2231</v>
      </c>
      <c r="F1041" s="227" t="s">
        <v>620</v>
      </c>
      <c r="G1041" s="250">
        <v>2015</v>
      </c>
      <c r="H1041" s="313" t="s">
        <v>733</v>
      </c>
      <c r="I1041" s="308" t="str">
        <f t="shared" si="58"/>
        <v>Pesado de Mercadorias N3: Geral : Gasóleo : E6</v>
      </c>
      <c r="J1041" s="227"/>
      <c r="K1041" s="249">
        <v>2022</v>
      </c>
      <c r="L1041" s="227">
        <v>36846.730000000003</v>
      </c>
      <c r="M1041" s="227" t="s">
        <v>630</v>
      </c>
      <c r="N1041" s="227">
        <v>102473</v>
      </c>
      <c r="O1041" s="128">
        <f t="shared" si="59"/>
        <v>0</v>
      </c>
      <c r="P1041" s="250"/>
      <c r="Q1041" s="227" t="s">
        <v>2201</v>
      </c>
      <c r="R1041" s="214" t="s">
        <v>1869</v>
      </c>
      <c r="S1041" s="214" t="s">
        <v>1861</v>
      </c>
      <c r="T1041" s="227" t="s">
        <v>1926</v>
      </c>
      <c r="U1041" t="s">
        <v>1953</v>
      </c>
      <c r="V1041" t="s">
        <v>2813</v>
      </c>
    </row>
    <row r="1042" spans="1:22" ht="15.75" thickBot="1" x14ac:dyDescent="0.3">
      <c r="A1042" s="227" t="s">
        <v>1915</v>
      </c>
      <c r="B1042" s="227" t="s">
        <v>1915</v>
      </c>
      <c r="C1042" s="227" t="s">
        <v>1915</v>
      </c>
      <c r="D1042" s="238" t="s">
        <v>1920</v>
      </c>
      <c r="E1042" s="256" t="s">
        <v>2231</v>
      </c>
      <c r="F1042" s="227" t="s">
        <v>620</v>
      </c>
      <c r="G1042" s="250">
        <v>2015</v>
      </c>
      <c r="H1042" s="313" t="s">
        <v>733</v>
      </c>
      <c r="I1042" s="308" t="str">
        <f t="shared" si="58"/>
        <v>Pesado de Mercadorias N3: Geral : Gasóleo : E6</v>
      </c>
      <c r="J1042" s="227"/>
      <c r="K1042" s="249">
        <v>2022</v>
      </c>
      <c r="L1042" s="227">
        <v>31244.09</v>
      </c>
      <c r="M1042" s="227" t="s">
        <v>630</v>
      </c>
      <c r="N1042" s="227">
        <v>85697</v>
      </c>
      <c r="O1042" s="128">
        <f t="shared" si="59"/>
        <v>0</v>
      </c>
      <c r="P1042" s="250"/>
      <c r="Q1042" s="227" t="s">
        <v>2201</v>
      </c>
      <c r="R1042" s="214" t="s">
        <v>1869</v>
      </c>
      <c r="S1042" s="214" t="s">
        <v>1861</v>
      </c>
      <c r="T1042" s="227" t="s">
        <v>1926</v>
      </c>
      <c r="U1042" t="s">
        <v>1953</v>
      </c>
      <c r="V1042" t="s">
        <v>2813</v>
      </c>
    </row>
    <row r="1043" spans="1:22" ht="15.75" thickBot="1" x14ac:dyDescent="0.3">
      <c r="A1043" s="227" t="s">
        <v>1915</v>
      </c>
      <c r="B1043" s="227" t="s">
        <v>1915</v>
      </c>
      <c r="C1043" s="227" t="s">
        <v>1915</v>
      </c>
      <c r="D1043" s="238" t="s">
        <v>1920</v>
      </c>
      <c r="E1043" s="256" t="s">
        <v>2231</v>
      </c>
      <c r="F1043" s="227" t="s">
        <v>620</v>
      </c>
      <c r="G1043" s="250">
        <v>2015</v>
      </c>
      <c r="H1043" s="313" t="s">
        <v>733</v>
      </c>
      <c r="I1043" s="308" t="str">
        <f t="shared" si="58"/>
        <v>Pesado de Mercadorias N3: Geral : Gasóleo : E6</v>
      </c>
      <c r="J1043" s="227"/>
      <c r="K1043" s="249">
        <v>2022</v>
      </c>
      <c r="L1043" s="227">
        <v>41030.82</v>
      </c>
      <c r="M1043" s="227" t="s">
        <v>630</v>
      </c>
      <c r="N1043" s="227">
        <v>105984</v>
      </c>
      <c r="O1043" s="128">
        <f t="shared" si="59"/>
        <v>0</v>
      </c>
      <c r="P1043" s="250"/>
      <c r="Q1043" s="227" t="s">
        <v>2201</v>
      </c>
      <c r="R1043" s="214" t="s">
        <v>1869</v>
      </c>
      <c r="S1043" s="214" t="s">
        <v>1861</v>
      </c>
      <c r="T1043" s="227" t="s">
        <v>1926</v>
      </c>
      <c r="U1043" t="s">
        <v>1953</v>
      </c>
      <c r="V1043" t="s">
        <v>2813</v>
      </c>
    </row>
    <row r="1044" spans="1:22" ht="15.75" thickBot="1" x14ac:dyDescent="0.3">
      <c r="A1044" s="227" t="s">
        <v>1915</v>
      </c>
      <c r="B1044" s="227" t="s">
        <v>1915</v>
      </c>
      <c r="C1044" s="227" t="s">
        <v>1915</v>
      </c>
      <c r="D1044" s="238" t="s">
        <v>1920</v>
      </c>
      <c r="E1044" s="256" t="s">
        <v>2231</v>
      </c>
      <c r="F1044" s="227" t="s">
        <v>620</v>
      </c>
      <c r="G1044" s="250">
        <v>2015</v>
      </c>
      <c r="H1044" s="313" t="s">
        <v>733</v>
      </c>
      <c r="I1044" s="308" t="str">
        <f t="shared" si="58"/>
        <v>Pesado de Mercadorias N3: Geral : Gasóleo : E6</v>
      </c>
      <c r="J1044" s="227"/>
      <c r="K1044" s="249">
        <v>2022</v>
      </c>
      <c r="L1044" s="227">
        <v>35345.72</v>
      </c>
      <c r="M1044" s="227" t="s">
        <v>630</v>
      </c>
      <c r="N1044" s="227">
        <v>99128</v>
      </c>
      <c r="O1044" s="128">
        <f t="shared" si="59"/>
        <v>0</v>
      </c>
      <c r="P1044" s="250"/>
      <c r="Q1044" s="227" t="s">
        <v>2201</v>
      </c>
      <c r="R1044" s="214" t="s">
        <v>1869</v>
      </c>
      <c r="S1044" s="214" t="s">
        <v>1861</v>
      </c>
      <c r="T1044" s="227" t="s">
        <v>1926</v>
      </c>
      <c r="U1044" t="s">
        <v>1953</v>
      </c>
      <c r="V1044" t="s">
        <v>2813</v>
      </c>
    </row>
    <row r="1045" spans="1:22" ht="15.75" thickBot="1" x14ac:dyDescent="0.3">
      <c r="A1045" s="227" t="s">
        <v>1915</v>
      </c>
      <c r="B1045" s="227" t="s">
        <v>1915</v>
      </c>
      <c r="C1045" s="227" t="s">
        <v>1915</v>
      </c>
      <c r="D1045" s="238" t="s">
        <v>1920</v>
      </c>
      <c r="E1045" s="256" t="s">
        <v>2231</v>
      </c>
      <c r="F1045" s="227" t="s">
        <v>620</v>
      </c>
      <c r="G1045" s="250">
        <v>2015</v>
      </c>
      <c r="H1045" s="313" t="s">
        <v>734</v>
      </c>
      <c r="I1045" s="308" t="str">
        <f t="shared" si="58"/>
        <v>Pesado de Mercadorias N3: Geral : Gasóleo : E5</v>
      </c>
      <c r="J1045" s="227"/>
      <c r="K1045" s="249">
        <v>2022</v>
      </c>
      <c r="L1045" s="227">
        <v>18307.63</v>
      </c>
      <c r="M1045" s="227" t="s">
        <v>630</v>
      </c>
      <c r="N1045" s="227">
        <v>44465</v>
      </c>
      <c r="O1045" s="128">
        <f t="shared" si="59"/>
        <v>0</v>
      </c>
      <c r="P1045" s="250"/>
      <c r="Q1045" s="227" t="s">
        <v>2201</v>
      </c>
      <c r="R1045" s="214" t="s">
        <v>1869</v>
      </c>
      <c r="S1045" s="214" t="s">
        <v>1861</v>
      </c>
      <c r="T1045" s="227" t="s">
        <v>1926</v>
      </c>
      <c r="U1045" t="s">
        <v>1953</v>
      </c>
      <c r="V1045" t="s">
        <v>2813</v>
      </c>
    </row>
    <row r="1046" spans="1:22" ht="15.75" thickBot="1" x14ac:dyDescent="0.3">
      <c r="A1046" s="227" t="s">
        <v>1915</v>
      </c>
      <c r="B1046" s="227" t="s">
        <v>1915</v>
      </c>
      <c r="C1046" s="227" t="s">
        <v>1915</v>
      </c>
      <c r="D1046" s="238" t="s">
        <v>1920</v>
      </c>
      <c r="E1046" s="256" t="s">
        <v>2231</v>
      </c>
      <c r="F1046" s="227" t="s">
        <v>620</v>
      </c>
      <c r="G1046" s="250">
        <v>2015</v>
      </c>
      <c r="H1046" s="313" t="s">
        <v>734</v>
      </c>
      <c r="I1046" s="308" t="str">
        <f t="shared" si="58"/>
        <v>Pesado de Mercadorias N3: Geral : Gasóleo : E5</v>
      </c>
      <c r="J1046" s="227"/>
      <c r="K1046" s="249">
        <v>2022</v>
      </c>
      <c r="L1046" s="227">
        <v>28952.55</v>
      </c>
      <c r="M1046" s="227" t="s">
        <v>630</v>
      </c>
      <c r="N1046" s="227">
        <v>74479</v>
      </c>
      <c r="O1046" s="128">
        <f t="shared" si="59"/>
        <v>0</v>
      </c>
      <c r="P1046" s="250"/>
      <c r="Q1046" s="227" t="s">
        <v>2201</v>
      </c>
      <c r="R1046" s="214" t="s">
        <v>1869</v>
      </c>
      <c r="S1046" s="214" t="s">
        <v>1861</v>
      </c>
      <c r="T1046" s="227" t="s">
        <v>1926</v>
      </c>
      <c r="U1046" t="s">
        <v>1953</v>
      </c>
      <c r="V1046" t="s">
        <v>2813</v>
      </c>
    </row>
    <row r="1047" spans="1:22" ht="15.75" thickBot="1" x14ac:dyDescent="0.3">
      <c r="A1047" s="227" t="s">
        <v>1915</v>
      </c>
      <c r="B1047" s="227" t="s">
        <v>1915</v>
      </c>
      <c r="C1047" s="227" t="s">
        <v>1915</v>
      </c>
      <c r="D1047" s="238" t="s">
        <v>1920</v>
      </c>
      <c r="E1047" s="256" t="s">
        <v>2231</v>
      </c>
      <c r="F1047" s="227" t="s">
        <v>620</v>
      </c>
      <c r="G1047" s="250">
        <v>2015</v>
      </c>
      <c r="H1047" s="313" t="s">
        <v>734</v>
      </c>
      <c r="I1047" s="308" t="str">
        <f t="shared" si="58"/>
        <v>Pesado de Mercadorias N3: Geral : Gasóleo : E5</v>
      </c>
      <c r="J1047" s="227"/>
      <c r="K1047" s="249">
        <v>2022</v>
      </c>
      <c r="L1047" s="227">
        <v>27117.11</v>
      </c>
      <c r="M1047" s="227" t="s">
        <v>630</v>
      </c>
      <c r="N1047" s="227">
        <v>72008</v>
      </c>
      <c r="O1047" s="128">
        <f t="shared" si="59"/>
        <v>0</v>
      </c>
      <c r="P1047" s="250"/>
      <c r="Q1047" s="227" t="s">
        <v>2201</v>
      </c>
      <c r="R1047" s="214" t="s">
        <v>1869</v>
      </c>
      <c r="S1047" s="214" t="s">
        <v>1861</v>
      </c>
      <c r="T1047" s="227" t="s">
        <v>1926</v>
      </c>
      <c r="U1047" t="s">
        <v>1953</v>
      </c>
      <c r="V1047" t="s">
        <v>2813</v>
      </c>
    </row>
    <row r="1048" spans="1:22" ht="15.75" thickBot="1" x14ac:dyDescent="0.3">
      <c r="A1048" s="227" t="s">
        <v>1915</v>
      </c>
      <c r="B1048" s="227" t="s">
        <v>1915</v>
      </c>
      <c r="C1048" s="227" t="s">
        <v>1915</v>
      </c>
      <c r="D1048" s="238" t="s">
        <v>1920</v>
      </c>
      <c r="E1048" s="256" t="s">
        <v>2231</v>
      </c>
      <c r="F1048" s="227" t="s">
        <v>620</v>
      </c>
      <c r="G1048" s="250">
        <v>2015</v>
      </c>
      <c r="H1048" s="313" t="s">
        <v>734</v>
      </c>
      <c r="I1048" s="308" t="str">
        <f t="shared" si="58"/>
        <v>Pesado de Mercadorias N3: Geral : Gasóleo : E5</v>
      </c>
      <c r="J1048" s="227"/>
      <c r="K1048" s="249">
        <v>2022</v>
      </c>
      <c r="L1048" s="227">
        <v>20334.419999999998</v>
      </c>
      <c r="M1048" s="227" t="s">
        <v>630</v>
      </c>
      <c r="N1048" s="227">
        <v>50953</v>
      </c>
      <c r="O1048" s="128">
        <f t="shared" si="59"/>
        <v>0</v>
      </c>
      <c r="P1048" s="250"/>
      <c r="Q1048" s="227" t="s">
        <v>2201</v>
      </c>
      <c r="R1048" s="214" t="s">
        <v>1869</v>
      </c>
      <c r="S1048" s="214" t="s">
        <v>1861</v>
      </c>
      <c r="T1048" s="227" t="s">
        <v>1926</v>
      </c>
      <c r="U1048" t="s">
        <v>1953</v>
      </c>
      <c r="V1048" t="s">
        <v>2813</v>
      </c>
    </row>
    <row r="1049" spans="1:22" ht="15.75" thickBot="1" x14ac:dyDescent="0.3">
      <c r="A1049" s="227" t="s">
        <v>1915</v>
      </c>
      <c r="B1049" s="227" t="s">
        <v>1915</v>
      </c>
      <c r="C1049" s="227" t="s">
        <v>1915</v>
      </c>
      <c r="D1049" s="238" t="s">
        <v>1920</v>
      </c>
      <c r="E1049" s="256" t="s">
        <v>2231</v>
      </c>
      <c r="F1049" s="227" t="s">
        <v>620</v>
      </c>
      <c r="G1049" s="250">
        <v>2015</v>
      </c>
      <c r="H1049" s="313" t="s">
        <v>733</v>
      </c>
      <c r="I1049" s="308" t="str">
        <f t="shared" si="58"/>
        <v>Pesado de Mercadorias N3: Geral : Gasóleo : E6</v>
      </c>
      <c r="J1049" s="227"/>
      <c r="K1049" s="249">
        <v>2022</v>
      </c>
      <c r="L1049" s="227">
        <v>27117.45</v>
      </c>
      <c r="M1049" s="227" t="s">
        <v>630</v>
      </c>
      <c r="N1049" s="227">
        <v>72360</v>
      </c>
      <c r="O1049" s="128">
        <f t="shared" si="59"/>
        <v>0</v>
      </c>
      <c r="P1049" s="250"/>
      <c r="Q1049" s="227" t="s">
        <v>2201</v>
      </c>
      <c r="R1049" s="214" t="s">
        <v>1869</v>
      </c>
      <c r="S1049" s="214" t="s">
        <v>1861</v>
      </c>
      <c r="T1049" s="227" t="s">
        <v>1926</v>
      </c>
      <c r="U1049" t="s">
        <v>1953</v>
      </c>
      <c r="V1049" t="s">
        <v>2813</v>
      </c>
    </row>
    <row r="1050" spans="1:22" ht="15.75" thickBot="1" x14ac:dyDescent="0.3">
      <c r="A1050" s="227" t="s">
        <v>1915</v>
      </c>
      <c r="B1050" s="227" t="s">
        <v>1915</v>
      </c>
      <c r="C1050" s="227" t="s">
        <v>1915</v>
      </c>
      <c r="D1050" s="238" t="s">
        <v>1920</v>
      </c>
      <c r="E1050" s="256" t="s">
        <v>2231</v>
      </c>
      <c r="F1050" s="227" t="s">
        <v>620</v>
      </c>
      <c r="G1050" s="250">
        <v>2015</v>
      </c>
      <c r="H1050" s="313" t="s">
        <v>733</v>
      </c>
      <c r="I1050" s="308" t="str">
        <f t="shared" si="58"/>
        <v>Pesado de Mercadorias N3: Geral : Gasóleo : E6</v>
      </c>
      <c r="J1050" s="227"/>
      <c r="K1050" s="249">
        <v>2022</v>
      </c>
      <c r="L1050" s="227">
        <v>35225.83</v>
      </c>
      <c r="M1050" s="227" t="s">
        <v>630</v>
      </c>
      <c r="N1050" s="227">
        <v>76441</v>
      </c>
      <c r="O1050" s="128">
        <f t="shared" si="59"/>
        <v>0</v>
      </c>
      <c r="P1050" s="250"/>
      <c r="Q1050" s="227" t="s">
        <v>2201</v>
      </c>
      <c r="R1050" s="214" t="s">
        <v>1869</v>
      </c>
      <c r="S1050" s="214" t="s">
        <v>1861</v>
      </c>
      <c r="T1050" s="227" t="s">
        <v>1926</v>
      </c>
      <c r="U1050" t="s">
        <v>1953</v>
      </c>
      <c r="V1050" t="s">
        <v>2813</v>
      </c>
    </row>
    <row r="1051" spans="1:22" ht="15.75" thickBot="1" x14ac:dyDescent="0.3">
      <c r="A1051" s="227" t="s">
        <v>1915</v>
      </c>
      <c r="B1051" s="227" t="s">
        <v>1915</v>
      </c>
      <c r="C1051" s="227" t="s">
        <v>1915</v>
      </c>
      <c r="D1051" s="238" t="s">
        <v>1920</v>
      </c>
      <c r="E1051" s="256" t="s">
        <v>2231</v>
      </c>
      <c r="F1051" s="227" t="s">
        <v>620</v>
      </c>
      <c r="G1051" s="250">
        <v>2016</v>
      </c>
      <c r="H1051" s="313" t="s">
        <v>733</v>
      </c>
      <c r="I1051" s="308" t="str">
        <f t="shared" si="58"/>
        <v>Pesado de Mercadorias N3: Geral : Gasóleo : E6</v>
      </c>
      <c r="J1051" s="227"/>
      <c r="K1051" s="249">
        <v>2022</v>
      </c>
      <c r="L1051" s="227">
        <v>34115.43</v>
      </c>
      <c r="M1051" s="227" t="s">
        <v>630</v>
      </c>
      <c r="N1051" s="227">
        <v>95482</v>
      </c>
      <c r="O1051" s="128">
        <f t="shared" si="59"/>
        <v>0</v>
      </c>
      <c r="P1051" s="250"/>
      <c r="Q1051" s="227" t="s">
        <v>2201</v>
      </c>
      <c r="R1051" s="214" t="s">
        <v>1869</v>
      </c>
      <c r="S1051" s="214" t="s">
        <v>1861</v>
      </c>
      <c r="T1051" s="227" t="s">
        <v>1926</v>
      </c>
      <c r="U1051" t="s">
        <v>1953</v>
      </c>
      <c r="V1051" t="s">
        <v>2813</v>
      </c>
    </row>
    <row r="1052" spans="1:22" ht="15.75" thickBot="1" x14ac:dyDescent="0.3">
      <c r="A1052" s="227" t="s">
        <v>1915</v>
      </c>
      <c r="B1052" s="227" t="s">
        <v>1915</v>
      </c>
      <c r="C1052" s="227" t="s">
        <v>1915</v>
      </c>
      <c r="D1052" s="238" t="s">
        <v>1920</v>
      </c>
      <c r="E1052" s="256" t="s">
        <v>2231</v>
      </c>
      <c r="F1052" s="227" t="s">
        <v>620</v>
      </c>
      <c r="G1052" s="250">
        <v>2016</v>
      </c>
      <c r="H1052" s="313" t="s">
        <v>733</v>
      </c>
      <c r="I1052" s="308" t="str">
        <f t="shared" si="58"/>
        <v>Pesado de Mercadorias N3: Geral : Gasóleo : E6</v>
      </c>
      <c r="J1052" s="227"/>
      <c r="K1052" s="249">
        <v>2022</v>
      </c>
      <c r="L1052" s="227">
        <v>35353.230000000003</v>
      </c>
      <c r="M1052" s="227" t="s">
        <v>630</v>
      </c>
      <c r="N1052" s="227">
        <v>95197</v>
      </c>
      <c r="O1052" s="128">
        <f t="shared" si="59"/>
        <v>0</v>
      </c>
      <c r="P1052" s="250"/>
      <c r="Q1052" s="227" t="s">
        <v>2201</v>
      </c>
      <c r="R1052" s="214" t="s">
        <v>1869</v>
      </c>
      <c r="S1052" s="214" t="s">
        <v>1861</v>
      </c>
      <c r="T1052" s="227" t="s">
        <v>1926</v>
      </c>
      <c r="U1052" t="s">
        <v>1953</v>
      </c>
      <c r="V1052" t="s">
        <v>2813</v>
      </c>
    </row>
    <row r="1053" spans="1:22" ht="15.75" thickBot="1" x14ac:dyDescent="0.3">
      <c r="A1053" s="227" t="s">
        <v>1915</v>
      </c>
      <c r="B1053" s="227" t="s">
        <v>1915</v>
      </c>
      <c r="C1053" s="227" t="s">
        <v>1915</v>
      </c>
      <c r="D1053" s="238" t="s">
        <v>1920</v>
      </c>
      <c r="E1053" s="256" t="s">
        <v>2231</v>
      </c>
      <c r="F1053" s="227" t="s">
        <v>620</v>
      </c>
      <c r="G1053" s="250">
        <v>2016</v>
      </c>
      <c r="H1053" s="313" t="s">
        <v>733</v>
      </c>
      <c r="I1053" s="308" t="str">
        <f t="shared" si="58"/>
        <v>Pesado de Mercadorias N3: Geral : Gasóleo : E6</v>
      </c>
      <c r="J1053" s="227"/>
      <c r="K1053" s="249">
        <v>2022</v>
      </c>
      <c r="L1053" s="227">
        <v>18533.28</v>
      </c>
      <c r="M1053" s="227" t="s">
        <v>630</v>
      </c>
      <c r="N1053" s="227">
        <v>48554</v>
      </c>
      <c r="O1053" s="128">
        <f t="shared" si="59"/>
        <v>0</v>
      </c>
      <c r="P1053" s="250"/>
      <c r="Q1053" s="227" t="s">
        <v>2201</v>
      </c>
      <c r="R1053" s="214" t="s">
        <v>1869</v>
      </c>
      <c r="S1053" s="214" t="s">
        <v>1861</v>
      </c>
      <c r="T1053" s="227" t="s">
        <v>1926</v>
      </c>
      <c r="U1053" t="s">
        <v>1953</v>
      </c>
      <c r="V1053" t="s">
        <v>2813</v>
      </c>
    </row>
    <row r="1054" spans="1:22" ht="15.75" thickBot="1" x14ac:dyDescent="0.3">
      <c r="A1054" s="227" t="s">
        <v>1915</v>
      </c>
      <c r="B1054" s="227" t="s">
        <v>1915</v>
      </c>
      <c r="C1054" s="227" t="s">
        <v>1915</v>
      </c>
      <c r="D1054" s="238" t="s">
        <v>1920</v>
      </c>
      <c r="E1054" s="256" t="s">
        <v>2231</v>
      </c>
      <c r="F1054" s="227" t="s">
        <v>620</v>
      </c>
      <c r="G1054" s="250">
        <v>2016</v>
      </c>
      <c r="H1054" s="313" t="s">
        <v>733</v>
      </c>
      <c r="I1054" s="308" t="str">
        <f t="shared" si="58"/>
        <v>Pesado de Mercadorias N3: Geral : Gasóleo : E6</v>
      </c>
      <c r="J1054" s="227"/>
      <c r="K1054" s="249">
        <v>2022</v>
      </c>
      <c r="L1054" s="227">
        <v>42020.63</v>
      </c>
      <c r="M1054" s="227" t="s">
        <v>630</v>
      </c>
      <c r="N1054" s="227">
        <v>112588</v>
      </c>
      <c r="O1054" s="128">
        <f t="shared" si="59"/>
        <v>0</v>
      </c>
      <c r="P1054" s="250"/>
      <c r="Q1054" s="227" t="s">
        <v>2201</v>
      </c>
      <c r="R1054" s="214" t="s">
        <v>1869</v>
      </c>
      <c r="S1054" s="214" t="s">
        <v>1861</v>
      </c>
      <c r="T1054" s="227" t="s">
        <v>1926</v>
      </c>
      <c r="U1054" t="s">
        <v>1953</v>
      </c>
      <c r="V1054" t="s">
        <v>2813</v>
      </c>
    </row>
    <row r="1055" spans="1:22" ht="15.75" thickBot="1" x14ac:dyDescent="0.3">
      <c r="A1055" s="227" t="s">
        <v>1915</v>
      </c>
      <c r="B1055" s="227" t="s">
        <v>1915</v>
      </c>
      <c r="C1055" s="227" t="s">
        <v>1915</v>
      </c>
      <c r="D1055" s="238" t="s">
        <v>1920</v>
      </c>
      <c r="E1055" s="256" t="s">
        <v>2231</v>
      </c>
      <c r="F1055" s="227" t="s">
        <v>620</v>
      </c>
      <c r="G1055" s="250">
        <v>2016</v>
      </c>
      <c r="H1055" s="313" t="s">
        <v>734</v>
      </c>
      <c r="I1055" s="308" t="str">
        <f t="shared" si="58"/>
        <v>Pesado de Mercadorias N3: Geral : Gasóleo : E5</v>
      </c>
      <c r="J1055" s="227"/>
      <c r="K1055" s="249">
        <v>2022</v>
      </c>
      <c r="L1055" s="227">
        <v>28039.48</v>
      </c>
      <c r="M1055" s="227" t="s">
        <v>630</v>
      </c>
      <c r="N1055" s="227">
        <v>69079</v>
      </c>
      <c r="O1055" s="128">
        <f t="shared" si="59"/>
        <v>0</v>
      </c>
      <c r="P1055" s="250"/>
      <c r="Q1055" s="227" t="s">
        <v>2201</v>
      </c>
      <c r="R1055" s="214" t="s">
        <v>1869</v>
      </c>
      <c r="S1055" s="214" t="s">
        <v>1861</v>
      </c>
      <c r="T1055" s="227" t="s">
        <v>1926</v>
      </c>
      <c r="U1055" t="s">
        <v>1953</v>
      </c>
      <c r="V1055" t="s">
        <v>2813</v>
      </c>
    </row>
    <row r="1056" spans="1:22" ht="15.75" thickBot="1" x14ac:dyDescent="0.3">
      <c r="A1056" s="227" t="s">
        <v>1915</v>
      </c>
      <c r="B1056" s="227" t="s">
        <v>1915</v>
      </c>
      <c r="C1056" s="227" t="s">
        <v>1915</v>
      </c>
      <c r="D1056" s="238" t="s">
        <v>1920</v>
      </c>
      <c r="E1056" s="256" t="s">
        <v>2231</v>
      </c>
      <c r="F1056" s="227" t="s">
        <v>620</v>
      </c>
      <c r="G1056" s="250">
        <v>2016</v>
      </c>
      <c r="H1056" s="313" t="s">
        <v>734</v>
      </c>
      <c r="I1056" s="308" t="str">
        <f t="shared" si="58"/>
        <v>Pesado de Mercadorias N3: Geral : Gasóleo : E5</v>
      </c>
      <c r="J1056" s="227"/>
      <c r="K1056" s="249">
        <v>2022</v>
      </c>
      <c r="L1056" s="227">
        <v>30827.85</v>
      </c>
      <c r="M1056" s="227" t="s">
        <v>630</v>
      </c>
      <c r="N1056" s="227">
        <v>80633</v>
      </c>
      <c r="O1056" s="128">
        <f t="shared" si="59"/>
        <v>0</v>
      </c>
      <c r="P1056" s="250"/>
      <c r="Q1056" s="227" t="s">
        <v>2201</v>
      </c>
      <c r="R1056" s="214" t="s">
        <v>1869</v>
      </c>
      <c r="S1056" s="214" t="s">
        <v>1861</v>
      </c>
      <c r="T1056" s="227" t="s">
        <v>1926</v>
      </c>
      <c r="U1056" t="s">
        <v>1953</v>
      </c>
      <c r="V1056" t="s">
        <v>2813</v>
      </c>
    </row>
    <row r="1057" spans="1:22" ht="15.75" thickBot="1" x14ac:dyDescent="0.3">
      <c r="A1057" s="227" t="s">
        <v>1915</v>
      </c>
      <c r="B1057" s="227" t="s">
        <v>1915</v>
      </c>
      <c r="C1057" s="227" t="s">
        <v>1915</v>
      </c>
      <c r="D1057" s="238" t="s">
        <v>1920</v>
      </c>
      <c r="E1057" s="256" t="s">
        <v>2231</v>
      </c>
      <c r="F1057" s="227" t="s">
        <v>620</v>
      </c>
      <c r="G1057" s="250">
        <v>2016</v>
      </c>
      <c r="H1057" s="313" t="s">
        <v>734</v>
      </c>
      <c r="I1057" s="308" t="str">
        <f t="shared" si="58"/>
        <v>Pesado de Mercadorias N3: Geral : Gasóleo : E5</v>
      </c>
      <c r="J1057" s="227"/>
      <c r="K1057" s="249">
        <v>2022</v>
      </c>
      <c r="L1057" s="227">
        <v>38342.44</v>
      </c>
      <c r="M1057" s="227" t="s">
        <v>630</v>
      </c>
      <c r="N1057" s="227">
        <v>94992</v>
      </c>
      <c r="O1057" s="128">
        <f t="shared" si="59"/>
        <v>0</v>
      </c>
      <c r="P1057" s="250"/>
      <c r="Q1057" s="227" t="s">
        <v>2201</v>
      </c>
      <c r="R1057" s="214" t="s">
        <v>1869</v>
      </c>
      <c r="S1057" s="214" t="s">
        <v>1861</v>
      </c>
      <c r="T1057" s="227" t="s">
        <v>1926</v>
      </c>
      <c r="U1057" t="s">
        <v>1953</v>
      </c>
      <c r="V1057" t="s">
        <v>2813</v>
      </c>
    </row>
    <row r="1058" spans="1:22" ht="15.75" thickBot="1" x14ac:dyDescent="0.3">
      <c r="A1058" s="227" t="s">
        <v>1915</v>
      </c>
      <c r="B1058" s="227" t="s">
        <v>1915</v>
      </c>
      <c r="C1058" s="227" t="s">
        <v>1915</v>
      </c>
      <c r="D1058" s="238" t="s">
        <v>1920</v>
      </c>
      <c r="E1058" s="256" t="s">
        <v>2231</v>
      </c>
      <c r="F1058" s="227" t="s">
        <v>620</v>
      </c>
      <c r="G1058" s="250">
        <v>2016</v>
      </c>
      <c r="H1058" s="313" t="s">
        <v>734</v>
      </c>
      <c r="I1058" s="308" t="str">
        <f t="shared" si="58"/>
        <v>Pesado de Mercadorias N3: Geral : Gasóleo : E5</v>
      </c>
      <c r="J1058" s="227"/>
      <c r="K1058" s="249">
        <v>2022</v>
      </c>
      <c r="L1058" s="227">
        <v>31387.24</v>
      </c>
      <c r="M1058" s="227" t="s">
        <v>630</v>
      </c>
      <c r="N1058" s="227">
        <v>81110</v>
      </c>
      <c r="O1058" s="128">
        <f t="shared" si="59"/>
        <v>0</v>
      </c>
      <c r="P1058" s="250"/>
      <c r="Q1058" s="227" t="s">
        <v>2201</v>
      </c>
      <c r="R1058" s="214" t="s">
        <v>1869</v>
      </c>
      <c r="S1058" s="214" t="s">
        <v>1861</v>
      </c>
      <c r="T1058" s="227" t="s">
        <v>1926</v>
      </c>
      <c r="U1058" t="s">
        <v>1953</v>
      </c>
      <c r="V1058" t="s">
        <v>2813</v>
      </c>
    </row>
    <row r="1059" spans="1:22" ht="15.75" thickBot="1" x14ac:dyDescent="0.3">
      <c r="A1059" s="227" t="s">
        <v>1915</v>
      </c>
      <c r="B1059" s="227" t="s">
        <v>1915</v>
      </c>
      <c r="C1059" s="227" t="s">
        <v>1915</v>
      </c>
      <c r="D1059" s="238" t="s">
        <v>1920</v>
      </c>
      <c r="E1059" s="256" t="s">
        <v>2231</v>
      </c>
      <c r="F1059" s="227" t="s">
        <v>620</v>
      </c>
      <c r="G1059" s="250">
        <v>2016</v>
      </c>
      <c r="H1059" s="313" t="s">
        <v>734</v>
      </c>
      <c r="I1059" s="308" t="str">
        <f t="shared" si="58"/>
        <v>Pesado de Mercadorias N3: Geral : Gasóleo : E5</v>
      </c>
      <c r="J1059" s="227"/>
      <c r="K1059" s="249">
        <v>2022</v>
      </c>
      <c r="L1059" s="227">
        <v>23144.05</v>
      </c>
      <c r="M1059" s="227" t="s">
        <v>630</v>
      </c>
      <c r="N1059" s="227">
        <v>61555</v>
      </c>
      <c r="O1059" s="128">
        <f t="shared" si="59"/>
        <v>0</v>
      </c>
      <c r="P1059" s="250"/>
      <c r="Q1059" s="227" t="s">
        <v>2201</v>
      </c>
      <c r="R1059" s="214" t="s">
        <v>1869</v>
      </c>
      <c r="S1059" s="214" t="s">
        <v>1861</v>
      </c>
      <c r="T1059" s="227" t="s">
        <v>1926</v>
      </c>
      <c r="U1059" t="s">
        <v>1953</v>
      </c>
      <c r="V1059" t="s">
        <v>2813</v>
      </c>
    </row>
    <row r="1060" spans="1:22" ht="15.75" thickBot="1" x14ac:dyDescent="0.3">
      <c r="A1060" s="227" t="s">
        <v>1915</v>
      </c>
      <c r="B1060" s="227" t="s">
        <v>1915</v>
      </c>
      <c r="C1060" s="227" t="s">
        <v>1915</v>
      </c>
      <c r="D1060" s="238" t="s">
        <v>1920</v>
      </c>
      <c r="E1060" s="256" t="s">
        <v>2231</v>
      </c>
      <c r="F1060" s="227" t="s">
        <v>620</v>
      </c>
      <c r="G1060" s="250">
        <v>2016</v>
      </c>
      <c r="H1060" s="313" t="s">
        <v>734</v>
      </c>
      <c r="I1060" s="308" t="str">
        <f t="shared" si="58"/>
        <v>Pesado de Mercadorias N3: Geral : Gasóleo : E5</v>
      </c>
      <c r="J1060" s="227"/>
      <c r="K1060" s="249">
        <v>2022</v>
      </c>
      <c r="L1060" s="227">
        <v>30668.58</v>
      </c>
      <c r="M1060" s="227" t="s">
        <v>630</v>
      </c>
      <c r="N1060" s="227">
        <v>70661</v>
      </c>
      <c r="O1060" s="128">
        <f t="shared" si="59"/>
        <v>0</v>
      </c>
      <c r="P1060" s="250"/>
      <c r="Q1060" s="227" t="s">
        <v>2201</v>
      </c>
      <c r="R1060" s="214" t="s">
        <v>1869</v>
      </c>
      <c r="S1060" s="214" t="s">
        <v>1861</v>
      </c>
      <c r="T1060" s="227" t="s">
        <v>1926</v>
      </c>
      <c r="U1060" t="s">
        <v>1953</v>
      </c>
      <c r="V1060" t="s">
        <v>2813</v>
      </c>
    </row>
    <row r="1061" spans="1:22" ht="15.75" thickBot="1" x14ac:dyDescent="0.3">
      <c r="A1061" s="227" t="s">
        <v>1915</v>
      </c>
      <c r="B1061" s="227" t="s">
        <v>1915</v>
      </c>
      <c r="C1061" s="227" t="s">
        <v>1915</v>
      </c>
      <c r="D1061" s="238" t="s">
        <v>1920</v>
      </c>
      <c r="E1061" s="256" t="s">
        <v>2231</v>
      </c>
      <c r="F1061" s="227" t="s">
        <v>620</v>
      </c>
      <c r="G1061" s="250">
        <v>2016</v>
      </c>
      <c r="H1061" s="313" t="s">
        <v>734</v>
      </c>
      <c r="I1061" s="308" t="str">
        <f t="shared" si="58"/>
        <v>Pesado de Mercadorias N3: Geral : Gasóleo : E5</v>
      </c>
      <c r="J1061" s="227"/>
      <c r="K1061" s="249">
        <v>2022</v>
      </c>
      <c r="L1061" s="227">
        <v>24350.560000000001</v>
      </c>
      <c r="M1061" s="227" t="s">
        <v>630</v>
      </c>
      <c r="N1061" s="227">
        <v>58630</v>
      </c>
      <c r="O1061" s="128">
        <f t="shared" si="59"/>
        <v>0</v>
      </c>
      <c r="P1061" s="250"/>
      <c r="Q1061" s="227" t="s">
        <v>2201</v>
      </c>
      <c r="R1061" s="214" t="s">
        <v>1869</v>
      </c>
      <c r="S1061" s="214" t="s">
        <v>1861</v>
      </c>
      <c r="T1061" s="227" t="s">
        <v>1926</v>
      </c>
      <c r="U1061" t="s">
        <v>1953</v>
      </c>
      <c r="V1061" t="s">
        <v>2813</v>
      </c>
    </row>
    <row r="1062" spans="1:22" ht="15.75" thickBot="1" x14ac:dyDescent="0.3">
      <c r="A1062" s="227" t="s">
        <v>1915</v>
      </c>
      <c r="B1062" s="227" t="s">
        <v>1915</v>
      </c>
      <c r="C1062" s="227" t="s">
        <v>1915</v>
      </c>
      <c r="D1062" s="238" t="s">
        <v>1920</v>
      </c>
      <c r="E1062" s="256" t="s">
        <v>2231</v>
      </c>
      <c r="F1062" s="227" t="s">
        <v>620</v>
      </c>
      <c r="G1062" s="250">
        <v>2016</v>
      </c>
      <c r="H1062" s="313" t="s">
        <v>734</v>
      </c>
      <c r="I1062" s="308" t="str">
        <f t="shared" si="58"/>
        <v>Pesado de Mercadorias N3: Geral : Gasóleo : E5</v>
      </c>
      <c r="J1062" s="227"/>
      <c r="K1062" s="249">
        <v>2022</v>
      </c>
      <c r="L1062" s="227">
        <v>21892.37</v>
      </c>
      <c r="M1062" s="227" t="s">
        <v>630</v>
      </c>
      <c r="N1062" s="227">
        <v>55897</v>
      </c>
      <c r="O1062" s="128">
        <f t="shared" si="59"/>
        <v>0</v>
      </c>
      <c r="P1062" s="250"/>
      <c r="Q1062" s="227" t="s">
        <v>2201</v>
      </c>
      <c r="R1062" s="214" t="s">
        <v>1869</v>
      </c>
      <c r="S1062" s="214" t="s">
        <v>1861</v>
      </c>
      <c r="T1062" s="227" t="s">
        <v>1926</v>
      </c>
      <c r="U1062" t="s">
        <v>1953</v>
      </c>
      <c r="V1062" t="s">
        <v>2813</v>
      </c>
    </row>
    <row r="1063" spans="1:22" ht="15.75" thickBot="1" x14ac:dyDescent="0.3">
      <c r="A1063" s="227" t="s">
        <v>1915</v>
      </c>
      <c r="B1063" s="227" t="s">
        <v>1915</v>
      </c>
      <c r="C1063" s="227" t="s">
        <v>1915</v>
      </c>
      <c r="D1063" s="238" t="s">
        <v>1920</v>
      </c>
      <c r="E1063" s="256" t="s">
        <v>2231</v>
      </c>
      <c r="F1063" s="227" t="s">
        <v>620</v>
      </c>
      <c r="G1063" s="250">
        <v>2016</v>
      </c>
      <c r="H1063" s="313" t="s">
        <v>734</v>
      </c>
      <c r="I1063" s="308" t="str">
        <f t="shared" si="58"/>
        <v>Pesado de Mercadorias N3: Geral : Gasóleo : E5</v>
      </c>
      <c r="J1063" s="227"/>
      <c r="K1063" s="249">
        <v>2022</v>
      </c>
      <c r="L1063" s="227">
        <v>11833.79</v>
      </c>
      <c r="M1063" s="227" t="s">
        <v>630</v>
      </c>
      <c r="N1063" s="227">
        <v>30014</v>
      </c>
      <c r="O1063" s="128">
        <f t="shared" si="59"/>
        <v>0</v>
      </c>
      <c r="P1063" s="250"/>
      <c r="Q1063" s="227" t="s">
        <v>2201</v>
      </c>
      <c r="R1063" s="214" t="s">
        <v>1869</v>
      </c>
      <c r="S1063" s="214" t="s">
        <v>1861</v>
      </c>
      <c r="T1063" s="227" t="s">
        <v>1926</v>
      </c>
      <c r="U1063" t="s">
        <v>1953</v>
      </c>
      <c r="V1063" t="s">
        <v>2813</v>
      </c>
    </row>
    <row r="1064" spans="1:22" ht="15.75" thickBot="1" x14ac:dyDescent="0.3">
      <c r="A1064" s="227" t="s">
        <v>1915</v>
      </c>
      <c r="B1064" s="227" t="s">
        <v>1915</v>
      </c>
      <c r="C1064" s="227" t="s">
        <v>1915</v>
      </c>
      <c r="D1064" s="238" t="s">
        <v>1920</v>
      </c>
      <c r="E1064" s="256" t="s">
        <v>2231</v>
      </c>
      <c r="F1064" s="227" t="s">
        <v>620</v>
      </c>
      <c r="G1064" s="250">
        <v>2016</v>
      </c>
      <c r="H1064" s="313" t="s">
        <v>733</v>
      </c>
      <c r="I1064" s="308" t="str">
        <f t="shared" si="58"/>
        <v>Pesado de Mercadorias N3: Geral : Gasóleo : E6</v>
      </c>
      <c r="J1064" s="227"/>
      <c r="K1064" s="249">
        <v>2022</v>
      </c>
      <c r="L1064" s="227">
        <v>48507.68</v>
      </c>
      <c r="M1064" s="227" t="s">
        <v>630</v>
      </c>
      <c r="N1064" s="227">
        <v>144160</v>
      </c>
      <c r="O1064" s="128">
        <f t="shared" si="59"/>
        <v>0</v>
      </c>
      <c r="P1064" s="250"/>
      <c r="Q1064" s="227" t="s">
        <v>2201</v>
      </c>
      <c r="R1064" s="214" t="s">
        <v>1869</v>
      </c>
      <c r="S1064" s="214" t="s">
        <v>1861</v>
      </c>
      <c r="T1064" s="227" t="s">
        <v>1926</v>
      </c>
      <c r="U1064" t="s">
        <v>1953</v>
      </c>
      <c r="V1064" t="s">
        <v>2813</v>
      </c>
    </row>
    <row r="1065" spans="1:22" ht="15.75" thickBot="1" x14ac:dyDescent="0.3">
      <c r="A1065" s="227" t="s">
        <v>1915</v>
      </c>
      <c r="B1065" s="227" t="s">
        <v>1915</v>
      </c>
      <c r="C1065" s="227" t="s">
        <v>1915</v>
      </c>
      <c r="D1065" s="238" t="s">
        <v>1920</v>
      </c>
      <c r="E1065" s="256" t="s">
        <v>2231</v>
      </c>
      <c r="F1065" s="227" t="s">
        <v>620</v>
      </c>
      <c r="G1065" s="250">
        <v>2016</v>
      </c>
      <c r="H1065" s="313" t="s">
        <v>733</v>
      </c>
      <c r="I1065" s="308" t="str">
        <f t="shared" si="58"/>
        <v>Pesado de Mercadorias N3: Geral : Gasóleo : E6</v>
      </c>
      <c r="J1065" s="227"/>
      <c r="K1065" s="249">
        <v>2022</v>
      </c>
      <c r="L1065" s="227">
        <v>46088.639999999999</v>
      </c>
      <c r="M1065" s="227" t="s">
        <v>630</v>
      </c>
      <c r="N1065" s="227">
        <v>127390</v>
      </c>
      <c r="O1065" s="128">
        <f t="shared" si="59"/>
        <v>0</v>
      </c>
      <c r="P1065" s="250"/>
      <c r="Q1065" s="227" t="s">
        <v>2201</v>
      </c>
      <c r="R1065" s="214" t="s">
        <v>1869</v>
      </c>
      <c r="S1065" s="214" t="s">
        <v>1861</v>
      </c>
      <c r="T1065" s="227" t="s">
        <v>1926</v>
      </c>
      <c r="U1065" t="s">
        <v>1953</v>
      </c>
      <c r="V1065" t="s">
        <v>2813</v>
      </c>
    </row>
    <row r="1066" spans="1:22" ht="15.75" thickBot="1" x14ac:dyDescent="0.3">
      <c r="A1066" s="227" t="s">
        <v>1915</v>
      </c>
      <c r="B1066" s="227" t="s">
        <v>1915</v>
      </c>
      <c r="C1066" s="227" t="s">
        <v>1915</v>
      </c>
      <c r="D1066" s="238" t="s">
        <v>1920</v>
      </c>
      <c r="E1066" s="256" t="s">
        <v>2231</v>
      </c>
      <c r="F1066" s="227" t="s">
        <v>620</v>
      </c>
      <c r="G1066" s="250">
        <v>2016</v>
      </c>
      <c r="H1066" s="313" t="s">
        <v>733</v>
      </c>
      <c r="I1066" s="308" t="str">
        <f t="shared" si="58"/>
        <v>Pesado de Mercadorias N3: Geral : Gasóleo : E6</v>
      </c>
      <c r="J1066" s="227"/>
      <c r="K1066" s="249">
        <v>2022</v>
      </c>
      <c r="L1066" s="227">
        <v>52366.58</v>
      </c>
      <c r="M1066" s="227" t="s">
        <v>630</v>
      </c>
      <c r="N1066" s="227">
        <v>147408</v>
      </c>
      <c r="O1066" s="128">
        <f t="shared" si="59"/>
        <v>0</v>
      </c>
      <c r="P1066" s="250"/>
      <c r="Q1066" s="227" t="s">
        <v>2201</v>
      </c>
      <c r="R1066" s="214" t="s">
        <v>1869</v>
      </c>
      <c r="S1066" s="214" t="s">
        <v>1861</v>
      </c>
      <c r="T1066" s="227" t="s">
        <v>1926</v>
      </c>
      <c r="U1066" t="s">
        <v>1953</v>
      </c>
      <c r="V1066" t="s">
        <v>2813</v>
      </c>
    </row>
    <row r="1067" spans="1:22" ht="15.75" thickBot="1" x14ac:dyDescent="0.3">
      <c r="A1067" s="227" t="s">
        <v>1915</v>
      </c>
      <c r="B1067" s="227" t="s">
        <v>1915</v>
      </c>
      <c r="C1067" s="227" t="s">
        <v>1915</v>
      </c>
      <c r="D1067" s="238" t="s">
        <v>1920</v>
      </c>
      <c r="E1067" s="256" t="s">
        <v>2231</v>
      </c>
      <c r="F1067" s="227" t="s">
        <v>620</v>
      </c>
      <c r="G1067" s="250">
        <v>2016</v>
      </c>
      <c r="H1067" s="313" t="s">
        <v>733</v>
      </c>
      <c r="I1067" s="308" t="str">
        <f t="shared" si="58"/>
        <v>Pesado de Mercadorias N3: Geral : Gasóleo : E6</v>
      </c>
      <c r="J1067" s="227"/>
      <c r="K1067" s="249">
        <v>2022</v>
      </c>
      <c r="L1067" s="227">
        <v>42959.09</v>
      </c>
      <c r="M1067" s="227" t="s">
        <v>630</v>
      </c>
      <c r="N1067" s="227">
        <v>121682</v>
      </c>
      <c r="O1067" s="128">
        <f t="shared" si="59"/>
        <v>0</v>
      </c>
      <c r="P1067" s="250"/>
      <c r="Q1067" s="227" t="s">
        <v>2201</v>
      </c>
      <c r="R1067" s="214" t="s">
        <v>1869</v>
      </c>
      <c r="S1067" s="214" t="s">
        <v>1861</v>
      </c>
      <c r="T1067" s="227" t="s">
        <v>1926</v>
      </c>
      <c r="U1067" t="s">
        <v>1953</v>
      </c>
      <c r="V1067" t="s">
        <v>2813</v>
      </c>
    </row>
    <row r="1068" spans="1:22" ht="15.75" thickBot="1" x14ac:dyDescent="0.3">
      <c r="A1068" s="227" t="s">
        <v>1915</v>
      </c>
      <c r="B1068" s="227" t="s">
        <v>1915</v>
      </c>
      <c r="C1068" s="227" t="s">
        <v>1915</v>
      </c>
      <c r="D1068" s="238" t="s">
        <v>1920</v>
      </c>
      <c r="E1068" s="256" t="s">
        <v>2231</v>
      </c>
      <c r="F1068" s="227" t="s">
        <v>620</v>
      </c>
      <c r="G1068" s="250">
        <v>2016</v>
      </c>
      <c r="H1068" s="313" t="s">
        <v>733</v>
      </c>
      <c r="I1068" s="308" t="str">
        <f t="shared" si="58"/>
        <v>Pesado de Mercadorias N3: Geral : Gasóleo : E6</v>
      </c>
      <c r="J1068" s="227"/>
      <c r="K1068" s="249">
        <v>2022</v>
      </c>
      <c r="L1068" s="227">
        <v>38298.269999999997</v>
      </c>
      <c r="M1068" s="227" t="s">
        <v>630</v>
      </c>
      <c r="N1068" s="227">
        <v>106134</v>
      </c>
      <c r="O1068" s="128">
        <f t="shared" si="59"/>
        <v>0</v>
      </c>
      <c r="P1068" s="250"/>
      <c r="Q1068" s="227" t="s">
        <v>2201</v>
      </c>
      <c r="R1068" s="214" t="s">
        <v>1869</v>
      </c>
      <c r="S1068" s="214" t="s">
        <v>1861</v>
      </c>
      <c r="T1068" s="227" t="s">
        <v>1926</v>
      </c>
      <c r="U1068" t="s">
        <v>1953</v>
      </c>
      <c r="V1068" t="s">
        <v>2813</v>
      </c>
    </row>
    <row r="1069" spans="1:22" ht="15.75" thickBot="1" x14ac:dyDescent="0.3">
      <c r="A1069" s="227" t="s">
        <v>1915</v>
      </c>
      <c r="B1069" s="227" t="s">
        <v>1915</v>
      </c>
      <c r="C1069" s="227" t="s">
        <v>1915</v>
      </c>
      <c r="D1069" s="238" t="s">
        <v>1920</v>
      </c>
      <c r="E1069" s="256" t="s">
        <v>2231</v>
      </c>
      <c r="F1069" s="227" t="s">
        <v>620</v>
      </c>
      <c r="G1069" s="250">
        <v>2016</v>
      </c>
      <c r="H1069" s="313" t="s">
        <v>733</v>
      </c>
      <c r="I1069" s="308" t="str">
        <f t="shared" si="58"/>
        <v>Pesado de Mercadorias N3: Geral : Gasóleo : E6</v>
      </c>
      <c r="J1069" s="227"/>
      <c r="K1069" s="249">
        <v>2022</v>
      </c>
      <c r="L1069" s="227">
        <v>45004.45</v>
      </c>
      <c r="M1069" s="227" t="s">
        <v>630</v>
      </c>
      <c r="N1069" s="227">
        <v>118458</v>
      </c>
      <c r="O1069" s="128">
        <f t="shared" si="59"/>
        <v>0</v>
      </c>
      <c r="P1069" s="250"/>
      <c r="Q1069" s="227" t="s">
        <v>2201</v>
      </c>
      <c r="R1069" s="214" t="s">
        <v>1869</v>
      </c>
      <c r="S1069" s="214" t="s">
        <v>1861</v>
      </c>
      <c r="T1069" s="227" t="s">
        <v>1926</v>
      </c>
      <c r="U1069" t="s">
        <v>1953</v>
      </c>
      <c r="V1069" t="s">
        <v>2813</v>
      </c>
    </row>
    <row r="1070" spans="1:22" ht="15.75" thickBot="1" x14ac:dyDescent="0.3">
      <c r="A1070" s="227" t="s">
        <v>1915</v>
      </c>
      <c r="B1070" s="227" t="s">
        <v>1915</v>
      </c>
      <c r="C1070" s="227" t="s">
        <v>1915</v>
      </c>
      <c r="D1070" s="238" t="s">
        <v>1920</v>
      </c>
      <c r="E1070" s="256" t="s">
        <v>2231</v>
      </c>
      <c r="F1070" s="227" t="s">
        <v>620</v>
      </c>
      <c r="G1070" s="250">
        <v>2016</v>
      </c>
      <c r="H1070" s="313" t="s">
        <v>733</v>
      </c>
      <c r="I1070" s="308" t="str">
        <f t="shared" si="58"/>
        <v>Pesado de Mercadorias N3: Geral : Gasóleo : E6</v>
      </c>
      <c r="J1070" s="227"/>
      <c r="K1070" s="249">
        <v>2022</v>
      </c>
      <c r="L1070" s="227">
        <v>32004.74</v>
      </c>
      <c r="M1070" s="227" t="s">
        <v>630</v>
      </c>
      <c r="N1070" s="227">
        <v>86475</v>
      </c>
      <c r="O1070" s="128">
        <f t="shared" si="59"/>
        <v>0</v>
      </c>
      <c r="P1070" s="250"/>
      <c r="Q1070" s="227" t="s">
        <v>2201</v>
      </c>
      <c r="R1070" s="214" t="s">
        <v>1869</v>
      </c>
      <c r="S1070" s="214" t="s">
        <v>1861</v>
      </c>
      <c r="T1070" s="227" t="s">
        <v>1926</v>
      </c>
      <c r="U1070" t="s">
        <v>1953</v>
      </c>
      <c r="V1070" t="s">
        <v>2813</v>
      </c>
    </row>
    <row r="1071" spans="1:22" ht="15.75" thickBot="1" x14ac:dyDescent="0.3">
      <c r="A1071" s="227" t="s">
        <v>1915</v>
      </c>
      <c r="B1071" s="227" t="s">
        <v>1915</v>
      </c>
      <c r="C1071" s="227" t="s">
        <v>1915</v>
      </c>
      <c r="D1071" s="238" t="s">
        <v>1920</v>
      </c>
      <c r="E1071" s="256" t="s">
        <v>2231</v>
      </c>
      <c r="F1071" s="227" t="s">
        <v>620</v>
      </c>
      <c r="G1071" s="250">
        <v>2016</v>
      </c>
      <c r="H1071" s="313" t="s">
        <v>733</v>
      </c>
      <c r="I1071" s="308" t="str">
        <f t="shared" si="58"/>
        <v>Pesado de Mercadorias N3: Geral : Gasóleo : E6</v>
      </c>
      <c r="J1071" s="227"/>
      <c r="K1071" s="249">
        <v>2022</v>
      </c>
      <c r="L1071" s="227">
        <v>25654.01</v>
      </c>
      <c r="M1071" s="227" t="s">
        <v>630</v>
      </c>
      <c r="N1071" s="227">
        <v>71888</v>
      </c>
      <c r="O1071" s="128">
        <f t="shared" si="59"/>
        <v>0</v>
      </c>
      <c r="P1071" s="250"/>
      <c r="Q1071" s="227" t="s">
        <v>2201</v>
      </c>
      <c r="R1071" s="214" t="s">
        <v>1869</v>
      </c>
      <c r="S1071" s="214" t="s">
        <v>1861</v>
      </c>
      <c r="T1071" s="227" t="s">
        <v>1926</v>
      </c>
      <c r="U1071" t="s">
        <v>1953</v>
      </c>
      <c r="V1071" t="s">
        <v>2813</v>
      </c>
    </row>
    <row r="1072" spans="1:22" ht="15.75" thickBot="1" x14ac:dyDescent="0.3">
      <c r="A1072" s="227" t="s">
        <v>1915</v>
      </c>
      <c r="B1072" s="227" t="s">
        <v>1915</v>
      </c>
      <c r="C1072" s="227" t="s">
        <v>1915</v>
      </c>
      <c r="D1072" s="238" t="s">
        <v>1920</v>
      </c>
      <c r="E1072" s="256" t="s">
        <v>2231</v>
      </c>
      <c r="F1072" s="227" t="s">
        <v>620</v>
      </c>
      <c r="G1072" s="250">
        <v>2016</v>
      </c>
      <c r="H1072" s="313" t="s">
        <v>733</v>
      </c>
      <c r="I1072" s="308" t="str">
        <f t="shared" si="58"/>
        <v>Pesado de Mercadorias N3: Geral : Gasóleo : E6</v>
      </c>
      <c r="J1072" s="227"/>
      <c r="K1072" s="249">
        <v>2022</v>
      </c>
      <c r="L1072" s="227">
        <v>53786.49</v>
      </c>
      <c r="M1072" s="227" t="s">
        <v>630</v>
      </c>
      <c r="N1072" s="227">
        <v>140290</v>
      </c>
      <c r="O1072" s="128">
        <f t="shared" si="59"/>
        <v>0</v>
      </c>
      <c r="P1072" s="250"/>
      <c r="Q1072" s="227" t="s">
        <v>2201</v>
      </c>
      <c r="R1072" s="214" t="s">
        <v>1869</v>
      </c>
      <c r="S1072" s="214" t="s">
        <v>1861</v>
      </c>
      <c r="T1072" s="227" t="s">
        <v>1926</v>
      </c>
      <c r="U1072" t="s">
        <v>1953</v>
      </c>
      <c r="V1072" t="s">
        <v>2813</v>
      </c>
    </row>
    <row r="1073" spans="1:22" ht="15.75" thickBot="1" x14ac:dyDescent="0.3">
      <c r="A1073" s="227" t="s">
        <v>1915</v>
      </c>
      <c r="B1073" s="227" t="s">
        <v>1915</v>
      </c>
      <c r="C1073" s="227" t="s">
        <v>1915</v>
      </c>
      <c r="D1073" s="238" t="s">
        <v>1920</v>
      </c>
      <c r="E1073" s="256" t="s">
        <v>2231</v>
      </c>
      <c r="F1073" s="227" t="s">
        <v>620</v>
      </c>
      <c r="G1073" s="250">
        <v>2016</v>
      </c>
      <c r="H1073" s="313" t="s">
        <v>733</v>
      </c>
      <c r="I1073" s="308" t="str">
        <f t="shared" si="58"/>
        <v>Pesado de Mercadorias N3: Geral : Gasóleo : E6</v>
      </c>
      <c r="J1073" s="227"/>
      <c r="K1073" s="249">
        <v>2022</v>
      </c>
      <c r="L1073" s="227">
        <v>47155.97</v>
      </c>
      <c r="M1073" s="227" t="s">
        <v>630</v>
      </c>
      <c r="N1073" s="227">
        <v>132738</v>
      </c>
      <c r="O1073" s="128">
        <f t="shared" si="59"/>
        <v>0</v>
      </c>
      <c r="P1073" s="250"/>
      <c r="Q1073" s="227" t="s">
        <v>2201</v>
      </c>
      <c r="R1073" s="214" t="s">
        <v>1869</v>
      </c>
      <c r="S1073" s="214" t="s">
        <v>1861</v>
      </c>
      <c r="T1073" s="227" t="s">
        <v>1926</v>
      </c>
      <c r="U1073" t="s">
        <v>1953</v>
      </c>
      <c r="V1073" t="s">
        <v>2813</v>
      </c>
    </row>
    <row r="1074" spans="1:22" ht="15.75" thickBot="1" x14ac:dyDescent="0.3">
      <c r="A1074" s="227" t="s">
        <v>1915</v>
      </c>
      <c r="B1074" s="227" t="s">
        <v>1915</v>
      </c>
      <c r="C1074" s="227" t="s">
        <v>1915</v>
      </c>
      <c r="D1074" s="238" t="s">
        <v>1920</v>
      </c>
      <c r="E1074" s="256" t="s">
        <v>2231</v>
      </c>
      <c r="F1074" s="227" t="s">
        <v>620</v>
      </c>
      <c r="G1074" s="250">
        <v>2016</v>
      </c>
      <c r="H1074" s="313" t="s">
        <v>733</v>
      </c>
      <c r="I1074" s="308" t="str">
        <f t="shared" si="58"/>
        <v>Pesado de Mercadorias N3: Geral : Gasóleo : E6</v>
      </c>
      <c r="J1074" s="227"/>
      <c r="K1074" s="249">
        <v>2022</v>
      </c>
      <c r="L1074" s="227">
        <v>43797.48</v>
      </c>
      <c r="M1074" s="227" t="s">
        <v>630</v>
      </c>
      <c r="N1074" s="227">
        <v>122723</v>
      </c>
      <c r="O1074" s="128">
        <f t="shared" si="59"/>
        <v>0</v>
      </c>
      <c r="P1074" s="250"/>
      <c r="Q1074" s="227" t="s">
        <v>2201</v>
      </c>
      <c r="R1074" s="214" t="s">
        <v>1869</v>
      </c>
      <c r="S1074" s="214" t="s">
        <v>1861</v>
      </c>
      <c r="T1074" s="227" t="s">
        <v>1926</v>
      </c>
      <c r="U1074" t="s">
        <v>1953</v>
      </c>
      <c r="V1074" t="s">
        <v>2813</v>
      </c>
    </row>
    <row r="1075" spans="1:22" ht="15.75" thickBot="1" x14ac:dyDescent="0.3">
      <c r="A1075" s="227" t="s">
        <v>1915</v>
      </c>
      <c r="B1075" s="227" t="s">
        <v>1915</v>
      </c>
      <c r="C1075" s="227" t="s">
        <v>1915</v>
      </c>
      <c r="D1075" s="238" t="s">
        <v>1920</v>
      </c>
      <c r="E1075" s="256" t="s">
        <v>2231</v>
      </c>
      <c r="F1075" s="227" t="s">
        <v>620</v>
      </c>
      <c r="G1075" s="250">
        <v>2016</v>
      </c>
      <c r="H1075" s="313" t="s">
        <v>733</v>
      </c>
      <c r="I1075" s="308" t="str">
        <f t="shared" si="58"/>
        <v>Pesado de Mercadorias N3: Geral : Gasóleo : E6</v>
      </c>
      <c r="J1075" s="227"/>
      <c r="K1075" s="249">
        <v>2022</v>
      </c>
      <c r="L1075" s="227">
        <v>35324.28</v>
      </c>
      <c r="M1075" s="227" t="s">
        <v>630</v>
      </c>
      <c r="N1075" s="227">
        <v>100333</v>
      </c>
      <c r="O1075" s="128">
        <f t="shared" si="59"/>
        <v>0</v>
      </c>
      <c r="P1075" s="250"/>
      <c r="Q1075" s="227" t="s">
        <v>2201</v>
      </c>
      <c r="R1075" s="214" t="s">
        <v>1869</v>
      </c>
      <c r="S1075" s="214" t="s">
        <v>1861</v>
      </c>
      <c r="T1075" s="227" t="s">
        <v>1926</v>
      </c>
      <c r="U1075" t="s">
        <v>1953</v>
      </c>
      <c r="V1075" t="s">
        <v>2813</v>
      </c>
    </row>
    <row r="1076" spans="1:22" ht="15.75" thickBot="1" x14ac:dyDescent="0.3">
      <c r="A1076" s="227" t="s">
        <v>1915</v>
      </c>
      <c r="B1076" s="227" t="s">
        <v>1915</v>
      </c>
      <c r="C1076" s="227" t="s">
        <v>1915</v>
      </c>
      <c r="D1076" s="238" t="s">
        <v>1920</v>
      </c>
      <c r="E1076" s="256" t="s">
        <v>2231</v>
      </c>
      <c r="F1076" s="227" t="s">
        <v>620</v>
      </c>
      <c r="G1076" s="250">
        <v>2016</v>
      </c>
      <c r="H1076" s="313" t="s">
        <v>733</v>
      </c>
      <c r="I1076" s="308" t="str">
        <f t="shared" si="58"/>
        <v>Pesado de Mercadorias N3: Geral : Gasóleo : E6</v>
      </c>
      <c r="J1076" s="227"/>
      <c r="K1076" s="249">
        <v>2022</v>
      </c>
      <c r="L1076" s="227">
        <v>47140.06</v>
      </c>
      <c r="M1076" s="227" t="s">
        <v>630</v>
      </c>
      <c r="N1076" s="227">
        <v>130213</v>
      </c>
      <c r="O1076" s="128">
        <f t="shared" si="59"/>
        <v>0</v>
      </c>
      <c r="P1076" s="250"/>
      <c r="Q1076" s="227" t="s">
        <v>2201</v>
      </c>
      <c r="R1076" s="214" t="s">
        <v>1869</v>
      </c>
      <c r="S1076" s="214" t="s">
        <v>1861</v>
      </c>
      <c r="T1076" s="227" t="s">
        <v>1926</v>
      </c>
      <c r="U1076" t="s">
        <v>1953</v>
      </c>
      <c r="V1076" t="s">
        <v>2813</v>
      </c>
    </row>
    <row r="1077" spans="1:22" ht="15.75" thickBot="1" x14ac:dyDescent="0.3">
      <c r="A1077" s="227" t="s">
        <v>1915</v>
      </c>
      <c r="B1077" s="227" t="s">
        <v>1915</v>
      </c>
      <c r="C1077" s="227" t="s">
        <v>1915</v>
      </c>
      <c r="D1077" s="238" t="s">
        <v>1920</v>
      </c>
      <c r="E1077" s="256" t="s">
        <v>2231</v>
      </c>
      <c r="F1077" s="227" t="s">
        <v>620</v>
      </c>
      <c r="G1077" s="250">
        <v>2016</v>
      </c>
      <c r="H1077" s="313" t="s">
        <v>733</v>
      </c>
      <c r="I1077" s="308" t="str">
        <f t="shared" si="58"/>
        <v>Pesado de Mercadorias N3: Geral : Gasóleo : E6</v>
      </c>
      <c r="J1077" s="227"/>
      <c r="K1077" s="249">
        <v>2022</v>
      </c>
      <c r="L1077" s="227">
        <v>4846.13</v>
      </c>
      <c r="M1077" s="227" t="s">
        <v>630</v>
      </c>
      <c r="N1077" s="227">
        <v>13672</v>
      </c>
      <c r="O1077" s="128">
        <f t="shared" si="59"/>
        <v>0</v>
      </c>
      <c r="P1077" s="250"/>
      <c r="Q1077" s="227" t="s">
        <v>2201</v>
      </c>
      <c r="R1077" s="214" t="s">
        <v>1869</v>
      </c>
      <c r="S1077" s="214" t="s">
        <v>1861</v>
      </c>
      <c r="T1077" s="227" t="s">
        <v>1926</v>
      </c>
      <c r="U1077" t="s">
        <v>1953</v>
      </c>
      <c r="V1077" t="s">
        <v>2813</v>
      </c>
    </row>
    <row r="1078" spans="1:22" ht="15.75" thickBot="1" x14ac:dyDescent="0.3">
      <c r="A1078" s="227" t="s">
        <v>1915</v>
      </c>
      <c r="B1078" s="227" t="s">
        <v>1915</v>
      </c>
      <c r="C1078" s="227" t="s">
        <v>1915</v>
      </c>
      <c r="D1078" s="238" t="s">
        <v>1920</v>
      </c>
      <c r="E1078" s="256" t="s">
        <v>2231</v>
      </c>
      <c r="F1078" s="227" t="s">
        <v>620</v>
      </c>
      <c r="G1078" s="250">
        <v>2016</v>
      </c>
      <c r="H1078" s="313" t="s">
        <v>733</v>
      </c>
      <c r="I1078" s="308" t="str">
        <f t="shared" si="58"/>
        <v>Pesado de Mercadorias N3: Geral : Gasóleo : E6</v>
      </c>
      <c r="J1078" s="227"/>
      <c r="K1078" s="249">
        <v>2022</v>
      </c>
      <c r="L1078" s="227">
        <v>37385.61</v>
      </c>
      <c r="M1078" s="227" t="s">
        <v>630</v>
      </c>
      <c r="N1078" s="227">
        <v>100320</v>
      </c>
      <c r="O1078" s="128">
        <f t="shared" si="59"/>
        <v>0</v>
      </c>
      <c r="P1078" s="250"/>
      <c r="Q1078" s="227" t="s">
        <v>2201</v>
      </c>
      <c r="R1078" s="214" t="s">
        <v>1869</v>
      </c>
      <c r="S1078" s="214" t="s">
        <v>1861</v>
      </c>
      <c r="T1078" s="227" t="s">
        <v>1926</v>
      </c>
      <c r="U1078" t="s">
        <v>1953</v>
      </c>
      <c r="V1078" t="s">
        <v>2813</v>
      </c>
    </row>
    <row r="1079" spans="1:22" ht="15.75" thickBot="1" x14ac:dyDescent="0.3">
      <c r="A1079" s="227" t="s">
        <v>1915</v>
      </c>
      <c r="B1079" s="227" t="s">
        <v>1915</v>
      </c>
      <c r="C1079" s="227" t="s">
        <v>1915</v>
      </c>
      <c r="D1079" s="238" t="s">
        <v>1920</v>
      </c>
      <c r="E1079" s="256" t="s">
        <v>2231</v>
      </c>
      <c r="F1079" s="227" t="s">
        <v>620</v>
      </c>
      <c r="G1079" s="250">
        <v>2016</v>
      </c>
      <c r="H1079" s="313" t="s">
        <v>733</v>
      </c>
      <c r="I1079" s="308" t="str">
        <f t="shared" si="58"/>
        <v>Pesado de Mercadorias N3: Geral : Gasóleo : E6</v>
      </c>
      <c r="J1079" s="227"/>
      <c r="K1079" s="249">
        <v>2022</v>
      </c>
      <c r="L1079" s="227">
        <v>52791.57</v>
      </c>
      <c r="M1079" s="227" t="s">
        <v>630</v>
      </c>
      <c r="N1079" s="227">
        <v>154429</v>
      </c>
      <c r="O1079" s="128">
        <f t="shared" si="59"/>
        <v>0</v>
      </c>
      <c r="P1079" s="250"/>
      <c r="Q1079" s="227" t="s">
        <v>2201</v>
      </c>
      <c r="R1079" s="214" t="s">
        <v>1869</v>
      </c>
      <c r="S1079" s="214" t="s">
        <v>1861</v>
      </c>
      <c r="T1079" s="227" t="s">
        <v>1926</v>
      </c>
      <c r="U1079" t="s">
        <v>1953</v>
      </c>
      <c r="V1079" t="s">
        <v>2813</v>
      </c>
    </row>
    <row r="1080" spans="1:22" ht="15.75" thickBot="1" x14ac:dyDescent="0.3">
      <c r="A1080" s="227" t="s">
        <v>1915</v>
      </c>
      <c r="B1080" s="227" t="s">
        <v>1915</v>
      </c>
      <c r="C1080" s="227" t="s">
        <v>1915</v>
      </c>
      <c r="D1080" s="238" t="s">
        <v>1920</v>
      </c>
      <c r="E1080" s="256" t="s">
        <v>2231</v>
      </c>
      <c r="F1080" s="227" t="s">
        <v>620</v>
      </c>
      <c r="G1080" s="250">
        <v>2016</v>
      </c>
      <c r="H1080" s="313" t="s">
        <v>733</v>
      </c>
      <c r="I1080" s="308" t="str">
        <f t="shared" si="58"/>
        <v>Pesado de Mercadorias N3: Geral : Gasóleo : E6</v>
      </c>
      <c r="J1080" s="227"/>
      <c r="K1080" s="249">
        <v>2022</v>
      </c>
      <c r="L1080" s="227">
        <v>42610.69</v>
      </c>
      <c r="M1080" s="227" t="s">
        <v>630</v>
      </c>
      <c r="N1080" s="227">
        <v>122143</v>
      </c>
      <c r="O1080" s="128">
        <f t="shared" si="59"/>
        <v>0</v>
      </c>
      <c r="P1080" s="250"/>
      <c r="Q1080" s="227" t="s">
        <v>2201</v>
      </c>
      <c r="R1080" s="214" t="s">
        <v>1869</v>
      </c>
      <c r="S1080" s="214" t="s">
        <v>1861</v>
      </c>
      <c r="T1080" s="227" t="s">
        <v>1926</v>
      </c>
      <c r="U1080" t="s">
        <v>1953</v>
      </c>
      <c r="V1080" t="s">
        <v>2813</v>
      </c>
    </row>
    <row r="1081" spans="1:22" ht="15.75" thickBot="1" x14ac:dyDescent="0.3">
      <c r="A1081" s="227" t="s">
        <v>1915</v>
      </c>
      <c r="B1081" s="227" t="s">
        <v>1915</v>
      </c>
      <c r="C1081" s="227" t="s">
        <v>1915</v>
      </c>
      <c r="D1081" s="238" t="s">
        <v>1920</v>
      </c>
      <c r="E1081" s="256" t="s">
        <v>2231</v>
      </c>
      <c r="F1081" s="227" t="s">
        <v>620</v>
      </c>
      <c r="G1081" s="250">
        <v>2016</v>
      </c>
      <c r="H1081" s="313" t="s">
        <v>733</v>
      </c>
      <c r="I1081" s="308" t="str">
        <f t="shared" si="58"/>
        <v>Pesado de Mercadorias N3: Geral : Gasóleo : E6</v>
      </c>
      <c r="J1081" s="227"/>
      <c r="K1081" s="249">
        <v>2022</v>
      </c>
      <c r="L1081" s="227">
        <v>42111.48</v>
      </c>
      <c r="M1081" s="227" t="s">
        <v>630</v>
      </c>
      <c r="N1081" s="227">
        <v>119395</v>
      </c>
      <c r="O1081" s="128">
        <f t="shared" si="59"/>
        <v>0</v>
      </c>
      <c r="P1081" s="250"/>
      <c r="Q1081" s="227" t="s">
        <v>2201</v>
      </c>
      <c r="R1081" s="214" t="s">
        <v>1869</v>
      </c>
      <c r="S1081" s="214" t="s">
        <v>1861</v>
      </c>
      <c r="T1081" s="227" t="s">
        <v>1926</v>
      </c>
      <c r="U1081" t="s">
        <v>1953</v>
      </c>
      <c r="V1081" t="s">
        <v>2813</v>
      </c>
    </row>
    <row r="1082" spans="1:22" ht="15.75" thickBot="1" x14ac:dyDescent="0.3">
      <c r="A1082" s="227" t="s">
        <v>1915</v>
      </c>
      <c r="B1082" s="227" t="s">
        <v>1915</v>
      </c>
      <c r="C1082" s="227" t="s">
        <v>1915</v>
      </c>
      <c r="D1082" s="238" t="s">
        <v>1920</v>
      </c>
      <c r="E1082" s="256" t="s">
        <v>2231</v>
      </c>
      <c r="F1082" s="227" t="s">
        <v>620</v>
      </c>
      <c r="G1082" s="250">
        <v>2016</v>
      </c>
      <c r="H1082" s="313" t="s">
        <v>733</v>
      </c>
      <c r="I1082" s="308" t="str">
        <f t="shared" si="58"/>
        <v>Pesado de Mercadorias N3: Geral : Gasóleo : E6</v>
      </c>
      <c r="J1082" s="227"/>
      <c r="K1082" s="249">
        <v>2022</v>
      </c>
      <c r="L1082" s="227">
        <v>52248.42</v>
      </c>
      <c r="M1082" s="227" t="s">
        <v>630</v>
      </c>
      <c r="N1082" s="227">
        <v>143961</v>
      </c>
      <c r="O1082" s="128">
        <f t="shared" si="59"/>
        <v>0</v>
      </c>
      <c r="P1082" s="250"/>
      <c r="Q1082" s="227" t="s">
        <v>2201</v>
      </c>
      <c r="R1082" s="214" t="s">
        <v>1869</v>
      </c>
      <c r="S1082" s="214" t="s">
        <v>1861</v>
      </c>
      <c r="T1082" s="227" t="s">
        <v>1926</v>
      </c>
      <c r="U1082" t="s">
        <v>1953</v>
      </c>
      <c r="V1082" t="s">
        <v>2813</v>
      </c>
    </row>
    <row r="1083" spans="1:22" ht="15.75" thickBot="1" x14ac:dyDescent="0.3">
      <c r="A1083" s="227" t="s">
        <v>1915</v>
      </c>
      <c r="B1083" s="227" t="s">
        <v>1915</v>
      </c>
      <c r="C1083" s="227" t="s">
        <v>1915</v>
      </c>
      <c r="D1083" s="238" t="s">
        <v>1920</v>
      </c>
      <c r="E1083" s="256" t="s">
        <v>2231</v>
      </c>
      <c r="F1083" s="227" t="s">
        <v>620</v>
      </c>
      <c r="G1083" s="250">
        <v>2016</v>
      </c>
      <c r="H1083" s="313" t="s">
        <v>733</v>
      </c>
      <c r="I1083" s="308" t="str">
        <f t="shared" si="58"/>
        <v>Pesado de Mercadorias N3: Geral : Gasóleo : E6</v>
      </c>
      <c r="J1083" s="227"/>
      <c r="K1083" s="249">
        <v>2022</v>
      </c>
      <c r="L1083" s="227">
        <v>30918.03</v>
      </c>
      <c r="M1083" s="227" t="s">
        <v>630</v>
      </c>
      <c r="N1083" s="227">
        <v>82078</v>
      </c>
      <c r="O1083" s="128">
        <f t="shared" si="59"/>
        <v>0</v>
      </c>
      <c r="P1083" s="250"/>
      <c r="Q1083" s="227" t="s">
        <v>2201</v>
      </c>
      <c r="R1083" s="214" t="s">
        <v>1869</v>
      </c>
      <c r="S1083" s="214" t="s">
        <v>1861</v>
      </c>
      <c r="T1083" s="227" t="s">
        <v>1926</v>
      </c>
      <c r="U1083" t="s">
        <v>1953</v>
      </c>
      <c r="V1083" t="s">
        <v>2813</v>
      </c>
    </row>
    <row r="1084" spans="1:22" ht="15.75" thickBot="1" x14ac:dyDescent="0.3">
      <c r="A1084" s="227" t="s">
        <v>1915</v>
      </c>
      <c r="B1084" s="227" t="s">
        <v>1915</v>
      </c>
      <c r="C1084" s="227" t="s">
        <v>1915</v>
      </c>
      <c r="D1084" s="238" t="s">
        <v>1920</v>
      </c>
      <c r="E1084" s="256" t="s">
        <v>2231</v>
      </c>
      <c r="F1084" s="227" t="s">
        <v>620</v>
      </c>
      <c r="G1084" s="250">
        <v>2016</v>
      </c>
      <c r="H1084" s="313" t="s">
        <v>733</v>
      </c>
      <c r="I1084" s="308" t="str">
        <f t="shared" si="58"/>
        <v>Pesado de Mercadorias N3: Geral : Gasóleo : E6</v>
      </c>
      <c r="J1084" s="227"/>
      <c r="K1084" s="249">
        <v>2022</v>
      </c>
      <c r="L1084" s="227">
        <v>30340.75</v>
      </c>
      <c r="M1084" s="227" t="s">
        <v>630</v>
      </c>
      <c r="N1084" s="227">
        <v>79421</v>
      </c>
      <c r="O1084" s="128">
        <f t="shared" si="59"/>
        <v>0</v>
      </c>
      <c r="P1084" s="250"/>
      <c r="Q1084" s="227" t="s">
        <v>2201</v>
      </c>
      <c r="R1084" s="214" t="s">
        <v>1869</v>
      </c>
      <c r="S1084" s="214" t="s">
        <v>1861</v>
      </c>
      <c r="T1084" s="227" t="s">
        <v>1926</v>
      </c>
      <c r="U1084" t="s">
        <v>1953</v>
      </c>
      <c r="V1084" t="s">
        <v>2813</v>
      </c>
    </row>
    <row r="1085" spans="1:22" ht="15.75" thickBot="1" x14ac:dyDescent="0.3">
      <c r="A1085" s="227" t="s">
        <v>1915</v>
      </c>
      <c r="B1085" s="227" t="s">
        <v>1915</v>
      </c>
      <c r="C1085" s="227" t="s">
        <v>1915</v>
      </c>
      <c r="D1085" s="238" t="s">
        <v>1920</v>
      </c>
      <c r="E1085" s="256" t="s">
        <v>2231</v>
      </c>
      <c r="F1085" s="227" t="s">
        <v>620</v>
      </c>
      <c r="G1085" s="250">
        <v>2016</v>
      </c>
      <c r="H1085" s="313" t="s">
        <v>733</v>
      </c>
      <c r="I1085" s="308" t="str">
        <f t="shared" si="58"/>
        <v>Pesado de Mercadorias N3: Geral : Gasóleo : E6</v>
      </c>
      <c r="J1085" s="227"/>
      <c r="K1085" s="249">
        <v>2022</v>
      </c>
      <c r="L1085" s="227">
        <v>55905.14</v>
      </c>
      <c r="M1085" s="227" t="s">
        <v>630</v>
      </c>
      <c r="N1085" s="227">
        <v>149718</v>
      </c>
      <c r="O1085" s="128">
        <f t="shared" si="59"/>
        <v>0</v>
      </c>
      <c r="P1085" s="250"/>
      <c r="Q1085" s="227" t="s">
        <v>2201</v>
      </c>
      <c r="R1085" s="214" t="s">
        <v>1869</v>
      </c>
      <c r="S1085" s="214" t="s">
        <v>1861</v>
      </c>
      <c r="T1085" s="227" t="s">
        <v>1926</v>
      </c>
      <c r="U1085" t="s">
        <v>1953</v>
      </c>
      <c r="V1085" t="s">
        <v>2813</v>
      </c>
    </row>
    <row r="1086" spans="1:22" ht="15.75" thickBot="1" x14ac:dyDescent="0.3">
      <c r="A1086" s="227" t="s">
        <v>1915</v>
      </c>
      <c r="B1086" s="227" t="s">
        <v>1915</v>
      </c>
      <c r="C1086" s="227" t="s">
        <v>1915</v>
      </c>
      <c r="D1086" s="238" t="s">
        <v>1920</v>
      </c>
      <c r="E1086" s="256" t="s">
        <v>2231</v>
      </c>
      <c r="F1086" s="227" t="s">
        <v>620</v>
      </c>
      <c r="G1086" s="250">
        <v>2016</v>
      </c>
      <c r="H1086" s="313" t="s">
        <v>733</v>
      </c>
      <c r="I1086" s="308" t="str">
        <f t="shared" si="58"/>
        <v>Pesado de Mercadorias N3: Geral : Gasóleo : E6</v>
      </c>
      <c r="J1086" s="227"/>
      <c r="K1086" s="249">
        <v>2022</v>
      </c>
      <c r="L1086" s="227">
        <v>34425.050000000003</v>
      </c>
      <c r="M1086" s="227" t="s">
        <v>630</v>
      </c>
      <c r="N1086" s="227">
        <v>92650</v>
      </c>
      <c r="O1086" s="128">
        <f t="shared" si="59"/>
        <v>0</v>
      </c>
      <c r="P1086" s="250"/>
      <c r="Q1086" s="227" t="s">
        <v>2201</v>
      </c>
      <c r="R1086" s="214" t="s">
        <v>1869</v>
      </c>
      <c r="S1086" s="214" t="s">
        <v>1861</v>
      </c>
      <c r="T1086" s="227" t="s">
        <v>1926</v>
      </c>
      <c r="U1086" t="s">
        <v>1953</v>
      </c>
      <c r="V1086" t="s">
        <v>2813</v>
      </c>
    </row>
    <row r="1087" spans="1:22" ht="15.75" thickBot="1" x14ac:dyDescent="0.3">
      <c r="A1087" s="227" t="s">
        <v>1915</v>
      </c>
      <c r="B1087" s="227" t="s">
        <v>1915</v>
      </c>
      <c r="C1087" s="227" t="s">
        <v>1915</v>
      </c>
      <c r="D1087" s="238" t="s">
        <v>1920</v>
      </c>
      <c r="E1087" s="256" t="s">
        <v>2231</v>
      </c>
      <c r="F1087" s="227" t="s">
        <v>620</v>
      </c>
      <c r="G1087" s="250">
        <v>2018</v>
      </c>
      <c r="H1087" s="313" t="s">
        <v>733</v>
      </c>
      <c r="I1087" s="308" t="str">
        <f t="shared" si="58"/>
        <v>Pesado de Mercadorias N3: Geral : Gasóleo : E6</v>
      </c>
      <c r="J1087" s="227"/>
      <c r="K1087" s="249">
        <v>2022</v>
      </c>
      <c r="L1087" s="227">
        <v>55806.85</v>
      </c>
      <c r="M1087" s="227" t="s">
        <v>630</v>
      </c>
      <c r="N1087" s="227">
        <v>142108</v>
      </c>
      <c r="O1087" s="128">
        <f t="shared" si="59"/>
        <v>0</v>
      </c>
      <c r="P1087" s="250"/>
      <c r="Q1087" s="227" t="s">
        <v>2201</v>
      </c>
      <c r="R1087" s="214" t="s">
        <v>1869</v>
      </c>
      <c r="S1087" s="214" t="s">
        <v>1861</v>
      </c>
      <c r="T1087" s="227" t="s">
        <v>1926</v>
      </c>
      <c r="U1087" t="s">
        <v>1953</v>
      </c>
      <c r="V1087" t="s">
        <v>2813</v>
      </c>
    </row>
    <row r="1088" spans="1:22" ht="15.75" thickBot="1" x14ac:dyDescent="0.3">
      <c r="A1088" s="227" t="s">
        <v>1915</v>
      </c>
      <c r="B1088" s="227" t="s">
        <v>1915</v>
      </c>
      <c r="C1088" s="227" t="s">
        <v>1915</v>
      </c>
      <c r="D1088" s="238" t="s">
        <v>1920</v>
      </c>
      <c r="E1088" s="256" t="s">
        <v>2231</v>
      </c>
      <c r="F1088" s="227" t="s">
        <v>620</v>
      </c>
      <c r="G1088" s="250">
        <v>2018</v>
      </c>
      <c r="H1088" s="313" t="s">
        <v>733</v>
      </c>
      <c r="I1088" s="308" t="str">
        <f t="shared" si="58"/>
        <v>Pesado de Mercadorias N3: Geral : Gasóleo : E6</v>
      </c>
      <c r="J1088" s="227"/>
      <c r="K1088" s="249">
        <v>2022</v>
      </c>
      <c r="L1088" s="227">
        <v>42967.15</v>
      </c>
      <c r="M1088" s="227" t="s">
        <v>630</v>
      </c>
      <c r="N1088" s="227">
        <v>108249</v>
      </c>
      <c r="O1088" s="128">
        <f t="shared" si="59"/>
        <v>0</v>
      </c>
      <c r="P1088" s="250"/>
      <c r="Q1088" s="227" t="s">
        <v>2201</v>
      </c>
      <c r="R1088" s="214" t="s">
        <v>1869</v>
      </c>
      <c r="S1088" s="214" t="s">
        <v>1861</v>
      </c>
      <c r="T1088" s="227" t="s">
        <v>1926</v>
      </c>
      <c r="U1088" t="s">
        <v>1953</v>
      </c>
      <c r="V1088" t="s">
        <v>2813</v>
      </c>
    </row>
    <row r="1089" spans="1:22" ht="15.75" thickBot="1" x14ac:dyDescent="0.3">
      <c r="A1089" s="227" t="s">
        <v>1915</v>
      </c>
      <c r="B1089" s="227" t="s">
        <v>1915</v>
      </c>
      <c r="C1089" s="227" t="s">
        <v>1915</v>
      </c>
      <c r="D1089" s="238" t="s">
        <v>1920</v>
      </c>
      <c r="E1089" s="256" t="s">
        <v>2231</v>
      </c>
      <c r="F1089" s="227" t="s">
        <v>620</v>
      </c>
      <c r="G1089" s="250">
        <v>2018</v>
      </c>
      <c r="H1089" s="313" t="s">
        <v>733</v>
      </c>
      <c r="I1089" s="308" t="str">
        <f t="shared" si="58"/>
        <v>Pesado de Mercadorias N3: Geral : Gasóleo : E6</v>
      </c>
      <c r="J1089" s="227"/>
      <c r="K1089" s="249">
        <v>2022</v>
      </c>
      <c r="L1089" s="227">
        <v>56929.19</v>
      </c>
      <c r="M1089" s="227" t="s">
        <v>630</v>
      </c>
      <c r="N1089" s="227">
        <v>142049</v>
      </c>
      <c r="O1089" s="128">
        <f t="shared" si="59"/>
        <v>0</v>
      </c>
      <c r="P1089" s="250"/>
      <c r="Q1089" s="227" t="s">
        <v>2201</v>
      </c>
      <c r="R1089" s="214" t="s">
        <v>1869</v>
      </c>
      <c r="S1089" s="214" t="s">
        <v>1861</v>
      </c>
      <c r="T1089" s="227" t="s">
        <v>1926</v>
      </c>
      <c r="U1089" t="s">
        <v>1953</v>
      </c>
      <c r="V1089" t="s">
        <v>2813</v>
      </c>
    </row>
    <row r="1090" spans="1:22" ht="15.75" thickBot="1" x14ac:dyDescent="0.3">
      <c r="A1090" s="227" t="s">
        <v>1915</v>
      </c>
      <c r="B1090" s="227" t="s">
        <v>1915</v>
      </c>
      <c r="C1090" s="227" t="s">
        <v>1915</v>
      </c>
      <c r="D1090" s="238" t="s">
        <v>1920</v>
      </c>
      <c r="E1090" s="256" t="s">
        <v>2231</v>
      </c>
      <c r="F1090" s="227" t="s">
        <v>620</v>
      </c>
      <c r="G1090" s="250">
        <v>2018</v>
      </c>
      <c r="H1090" s="313" t="s">
        <v>733</v>
      </c>
      <c r="I1090" s="308" t="str">
        <f t="shared" si="58"/>
        <v>Pesado de Mercadorias N3: Geral : Gasóleo : E6</v>
      </c>
      <c r="J1090" s="227"/>
      <c r="K1090" s="249">
        <v>2022</v>
      </c>
      <c r="L1090" s="227">
        <v>47981.61</v>
      </c>
      <c r="M1090" s="227" t="s">
        <v>630</v>
      </c>
      <c r="N1090" s="227">
        <v>127161</v>
      </c>
      <c r="O1090" s="128">
        <f t="shared" si="59"/>
        <v>0</v>
      </c>
      <c r="P1090" s="250"/>
      <c r="Q1090" s="227" t="s">
        <v>2201</v>
      </c>
      <c r="R1090" s="214" t="s">
        <v>1869</v>
      </c>
      <c r="S1090" s="214" t="s">
        <v>1861</v>
      </c>
      <c r="T1090" s="227" t="s">
        <v>1926</v>
      </c>
      <c r="U1090" t="s">
        <v>1953</v>
      </c>
      <c r="V1090" t="s">
        <v>2813</v>
      </c>
    </row>
    <row r="1091" spans="1:22" ht="15.75" thickBot="1" x14ac:dyDescent="0.3">
      <c r="A1091" s="227" t="s">
        <v>1915</v>
      </c>
      <c r="B1091" s="227" t="s">
        <v>1915</v>
      </c>
      <c r="C1091" s="227" t="s">
        <v>1915</v>
      </c>
      <c r="D1091" s="238" t="s">
        <v>1920</v>
      </c>
      <c r="E1091" s="256" t="s">
        <v>2231</v>
      </c>
      <c r="F1091" s="227" t="s">
        <v>620</v>
      </c>
      <c r="G1091" s="250">
        <v>2018</v>
      </c>
      <c r="H1091" s="313" t="s">
        <v>733</v>
      </c>
      <c r="I1091" s="308" t="str">
        <f t="shared" si="58"/>
        <v>Pesado de Mercadorias N3: Geral : Gasóleo : E6</v>
      </c>
      <c r="J1091" s="227"/>
      <c r="K1091" s="249">
        <v>2022</v>
      </c>
      <c r="L1091" s="227">
        <v>23867.18</v>
      </c>
      <c r="M1091" s="227" t="s">
        <v>630</v>
      </c>
      <c r="N1091" s="227">
        <v>77998</v>
      </c>
      <c r="O1091" s="128">
        <f t="shared" si="59"/>
        <v>0</v>
      </c>
      <c r="P1091" s="250"/>
      <c r="Q1091" s="227" t="s">
        <v>2201</v>
      </c>
      <c r="R1091" s="214" t="s">
        <v>1869</v>
      </c>
      <c r="S1091" s="214" t="s">
        <v>1861</v>
      </c>
      <c r="T1091" s="227" t="s">
        <v>1926</v>
      </c>
      <c r="U1091" t="s">
        <v>1953</v>
      </c>
      <c r="V1091" t="s">
        <v>2813</v>
      </c>
    </row>
    <row r="1092" spans="1:22" ht="15.75" thickBot="1" x14ac:dyDescent="0.3">
      <c r="A1092" s="227" t="s">
        <v>1915</v>
      </c>
      <c r="B1092" s="227" t="s">
        <v>1915</v>
      </c>
      <c r="C1092" s="227" t="s">
        <v>1915</v>
      </c>
      <c r="D1092" s="238" t="s">
        <v>1920</v>
      </c>
      <c r="E1092" s="256" t="s">
        <v>2231</v>
      </c>
      <c r="F1092" s="227" t="s">
        <v>620</v>
      </c>
      <c r="G1092" s="250">
        <v>2018</v>
      </c>
      <c r="H1092" s="313" t="s">
        <v>733</v>
      </c>
      <c r="I1092" s="308" t="str">
        <f t="shared" ref="I1092:I1155" si="60">D1092&amp;": "&amp;E1092&amp;" : "&amp;F1092&amp;" : "&amp;H1092</f>
        <v>Pesado de Mercadorias N3: Geral : Gasóleo : E6</v>
      </c>
      <c r="J1092" s="227"/>
      <c r="K1092" s="249">
        <v>2022</v>
      </c>
      <c r="L1092" s="227">
        <v>18939.939999999999</v>
      </c>
      <c r="M1092" s="227" t="s">
        <v>630</v>
      </c>
      <c r="N1092" s="227">
        <v>61904</v>
      </c>
      <c r="O1092" s="128">
        <f t="shared" ref="O1092:O1155" si="61">N1092*J1092</f>
        <v>0</v>
      </c>
      <c r="P1092" s="250"/>
      <c r="Q1092" s="227" t="s">
        <v>2201</v>
      </c>
      <c r="R1092" s="214" t="s">
        <v>1869</v>
      </c>
      <c r="S1092" s="214" t="s">
        <v>1861</v>
      </c>
      <c r="T1092" s="227" t="s">
        <v>1926</v>
      </c>
      <c r="U1092" t="s">
        <v>1953</v>
      </c>
      <c r="V1092" t="s">
        <v>2813</v>
      </c>
    </row>
    <row r="1093" spans="1:22" ht="15.75" thickBot="1" x14ac:dyDescent="0.3">
      <c r="A1093" s="227" t="s">
        <v>1915</v>
      </c>
      <c r="B1093" s="227" t="s">
        <v>1915</v>
      </c>
      <c r="C1093" s="227" t="s">
        <v>1915</v>
      </c>
      <c r="D1093" s="238" t="s">
        <v>1920</v>
      </c>
      <c r="E1093" s="256" t="s">
        <v>2231</v>
      </c>
      <c r="F1093" s="227" t="s">
        <v>620</v>
      </c>
      <c r="G1093" s="250">
        <v>2018</v>
      </c>
      <c r="H1093" s="313" t="s">
        <v>733</v>
      </c>
      <c r="I1093" s="308" t="str">
        <f t="shared" si="60"/>
        <v>Pesado de Mercadorias N3: Geral : Gasóleo : E6</v>
      </c>
      <c r="J1093" s="227"/>
      <c r="K1093" s="249">
        <v>2022</v>
      </c>
      <c r="L1093" s="227">
        <v>23377.46</v>
      </c>
      <c r="M1093" s="227" t="s">
        <v>630</v>
      </c>
      <c r="N1093" s="227">
        <v>72853</v>
      </c>
      <c r="O1093" s="128">
        <f t="shared" si="61"/>
        <v>0</v>
      </c>
      <c r="P1093" s="250"/>
      <c r="Q1093" s="227" t="s">
        <v>2201</v>
      </c>
      <c r="R1093" s="214" t="s">
        <v>1869</v>
      </c>
      <c r="S1093" s="214" t="s">
        <v>1861</v>
      </c>
      <c r="T1093" s="227" t="s">
        <v>1926</v>
      </c>
      <c r="U1093" t="s">
        <v>1953</v>
      </c>
      <c r="V1093" t="s">
        <v>2813</v>
      </c>
    </row>
    <row r="1094" spans="1:22" ht="15.75" thickBot="1" x14ac:dyDescent="0.3">
      <c r="A1094" s="227" t="s">
        <v>1915</v>
      </c>
      <c r="B1094" s="227" t="s">
        <v>1915</v>
      </c>
      <c r="C1094" s="227" t="s">
        <v>1915</v>
      </c>
      <c r="D1094" s="238" t="s">
        <v>1920</v>
      </c>
      <c r="E1094" s="256" t="s">
        <v>2231</v>
      </c>
      <c r="F1094" s="227" t="s">
        <v>620</v>
      </c>
      <c r="G1094" s="250">
        <v>2018</v>
      </c>
      <c r="H1094" s="313" t="s">
        <v>733</v>
      </c>
      <c r="I1094" s="308" t="str">
        <f t="shared" si="60"/>
        <v>Pesado de Mercadorias N3: Geral : Gasóleo : E6</v>
      </c>
      <c r="J1094" s="227"/>
      <c r="K1094" s="249">
        <v>2022</v>
      </c>
      <c r="L1094" s="227">
        <v>18985.310000000001</v>
      </c>
      <c r="M1094" s="227" t="s">
        <v>630</v>
      </c>
      <c r="N1094" s="227">
        <v>58131</v>
      </c>
      <c r="O1094" s="128">
        <f t="shared" si="61"/>
        <v>0</v>
      </c>
      <c r="P1094" s="250"/>
      <c r="Q1094" s="227" t="s">
        <v>2201</v>
      </c>
      <c r="R1094" s="214" t="s">
        <v>1869</v>
      </c>
      <c r="S1094" s="214" t="s">
        <v>1861</v>
      </c>
      <c r="T1094" s="227" t="s">
        <v>1926</v>
      </c>
      <c r="U1094" t="s">
        <v>1953</v>
      </c>
      <c r="V1094" t="s">
        <v>2813</v>
      </c>
    </row>
    <row r="1095" spans="1:22" ht="15.75" thickBot="1" x14ac:dyDescent="0.3">
      <c r="A1095" s="227" t="s">
        <v>1915</v>
      </c>
      <c r="B1095" s="227" t="s">
        <v>1915</v>
      </c>
      <c r="C1095" s="227" t="s">
        <v>1915</v>
      </c>
      <c r="D1095" s="238" t="s">
        <v>1920</v>
      </c>
      <c r="E1095" s="256" t="s">
        <v>2231</v>
      </c>
      <c r="F1095" s="227" t="s">
        <v>620</v>
      </c>
      <c r="G1095" s="250">
        <v>2018</v>
      </c>
      <c r="H1095" s="313" t="s">
        <v>733</v>
      </c>
      <c r="I1095" s="308" t="str">
        <f t="shared" si="60"/>
        <v>Pesado de Mercadorias N3: Geral : Gasóleo : E6</v>
      </c>
      <c r="J1095" s="227"/>
      <c r="K1095" s="249">
        <v>2022</v>
      </c>
      <c r="L1095" s="227">
        <v>23860.68</v>
      </c>
      <c r="M1095" s="227" t="s">
        <v>630</v>
      </c>
      <c r="N1095" s="227">
        <v>75030</v>
      </c>
      <c r="O1095" s="128">
        <f t="shared" si="61"/>
        <v>0</v>
      </c>
      <c r="P1095" s="250"/>
      <c r="Q1095" s="227" t="s">
        <v>2201</v>
      </c>
      <c r="R1095" s="214" t="s">
        <v>1869</v>
      </c>
      <c r="S1095" s="214" t="s">
        <v>1861</v>
      </c>
      <c r="T1095" s="227" t="s">
        <v>1926</v>
      </c>
      <c r="U1095" t="s">
        <v>1953</v>
      </c>
      <c r="V1095" t="s">
        <v>2813</v>
      </c>
    </row>
    <row r="1096" spans="1:22" ht="15.75" thickBot="1" x14ac:dyDescent="0.3">
      <c r="A1096" s="227" t="s">
        <v>1915</v>
      </c>
      <c r="B1096" s="227" t="s">
        <v>1915</v>
      </c>
      <c r="C1096" s="227" t="s">
        <v>1915</v>
      </c>
      <c r="D1096" s="238" t="s">
        <v>1920</v>
      </c>
      <c r="E1096" s="256" t="s">
        <v>2231</v>
      </c>
      <c r="F1096" s="227" t="s">
        <v>620</v>
      </c>
      <c r="G1096" s="250">
        <v>2018</v>
      </c>
      <c r="H1096" s="313" t="s">
        <v>733</v>
      </c>
      <c r="I1096" s="308" t="str">
        <f t="shared" si="60"/>
        <v>Pesado de Mercadorias N3: Geral : Gasóleo : E6</v>
      </c>
      <c r="J1096" s="227"/>
      <c r="K1096" s="249">
        <v>2022</v>
      </c>
      <c r="L1096" s="227">
        <v>35507.440000000002</v>
      </c>
      <c r="M1096" s="227" t="s">
        <v>630</v>
      </c>
      <c r="N1096" s="227">
        <v>100018</v>
      </c>
      <c r="O1096" s="128">
        <f t="shared" si="61"/>
        <v>0</v>
      </c>
      <c r="P1096" s="250"/>
      <c r="Q1096" s="227" t="s">
        <v>2201</v>
      </c>
      <c r="R1096" s="214" t="s">
        <v>1869</v>
      </c>
      <c r="S1096" s="214" t="s">
        <v>1861</v>
      </c>
      <c r="T1096" s="227" t="s">
        <v>1926</v>
      </c>
      <c r="U1096" t="s">
        <v>1953</v>
      </c>
      <c r="V1096" t="s">
        <v>2813</v>
      </c>
    </row>
    <row r="1097" spans="1:22" ht="15.75" thickBot="1" x14ac:dyDescent="0.3">
      <c r="A1097" s="227" t="s">
        <v>1915</v>
      </c>
      <c r="B1097" s="227" t="s">
        <v>1915</v>
      </c>
      <c r="C1097" s="227" t="s">
        <v>1915</v>
      </c>
      <c r="D1097" s="238" t="s">
        <v>1920</v>
      </c>
      <c r="E1097" s="256" t="s">
        <v>2231</v>
      </c>
      <c r="F1097" s="227" t="s">
        <v>620</v>
      </c>
      <c r="G1097" s="250">
        <v>2018</v>
      </c>
      <c r="H1097" s="313" t="s">
        <v>733</v>
      </c>
      <c r="I1097" s="308" t="str">
        <f t="shared" si="60"/>
        <v>Pesado de Mercadorias N3: Geral : Gasóleo : E6</v>
      </c>
      <c r="J1097" s="227"/>
      <c r="K1097" s="249">
        <v>2022</v>
      </c>
      <c r="L1097" s="227">
        <v>42894.15</v>
      </c>
      <c r="M1097" s="227" t="s">
        <v>630</v>
      </c>
      <c r="N1097" s="227">
        <v>128297</v>
      </c>
      <c r="O1097" s="128">
        <f t="shared" si="61"/>
        <v>0</v>
      </c>
      <c r="P1097" s="250"/>
      <c r="Q1097" s="227" t="s">
        <v>2201</v>
      </c>
      <c r="R1097" s="214" t="s">
        <v>1869</v>
      </c>
      <c r="S1097" s="214" t="s">
        <v>1861</v>
      </c>
      <c r="T1097" s="227" t="s">
        <v>1926</v>
      </c>
      <c r="U1097" t="s">
        <v>1953</v>
      </c>
      <c r="V1097" t="s">
        <v>2813</v>
      </c>
    </row>
    <row r="1098" spans="1:22" ht="15.75" thickBot="1" x14ac:dyDescent="0.3">
      <c r="A1098" s="227" t="s">
        <v>1915</v>
      </c>
      <c r="B1098" s="227" t="s">
        <v>1915</v>
      </c>
      <c r="C1098" s="227" t="s">
        <v>1915</v>
      </c>
      <c r="D1098" s="238" t="s">
        <v>1920</v>
      </c>
      <c r="E1098" s="256" t="s">
        <v>2231</v>
      </c>
      <c r="F1098" s="227" t="s">
        <v>620</v>
      </c>
      <c r="G1098" s="250">
        <v>2018</v>
      </c>
      <c r="H1098" s="313" t="s">
        <v>733</v>
      </c>
      <c r="I1098" s="308" t="str">
        <f t="shared" si="60"/>
        <v>Pesado de Mercadorias N3: Geral : Gasóleo : E6</v>
      </c>
      <c r="J1098" s="227"/>
      <c r="K1098" s="249">
        <v>2022</v>
      </c>
      <c r="L1098" s="227">
        <v>52041.21</v>
      </c>
      <c r="M1098" s="227" t="s">
        <v>630</v>
      </c>
      <c r="N1098" s="227">
        <v>148445</v>
      </c>
      <c r="O1098" s="128">
        <f t="shared" si="61"/>
        <v>0</v>
      </c>
      <c r="P1098" s="250"/>
      <c r="Q1098" s="227" t="s">
        <v>2201</v>
      </c>
      <c r="R1098" s="214" t="s">
        <v>1869</v>
      </c>
      <c r="S1098" s="214" t="s">
        <v>1861</v>
      </c>
      <c r="T1098" s="227" t="s">
        <v>1926</v>
      </c>
      <c r="U1098" t="s">
        <v>1953</v>
      </c>
      <c r="V1098" t="s">
        <v>2813</v>
      </c>
    </row>
    <row r="1099" spans="1:22" ht="15.75" thickBot="1" x14ac:dyDescent="0.3">
      <c r="A1099" s="227" t="s">
        <v>1915</v>
      </c>
      <c r="B1099" s="227" t="s">
        <v>1915</v>
      </c>
      <c r="C1099" s="227" t="s">
        <v>1915</v>
      </c>
      <c r="D1099" s="238" t="s">
        <v>1920</v>
      </c>
      <c r="E1099" s="256" t="s">
        <v>2231</v>
      </c>
      <c r="F1099" s="227" t="s">
        <v>620</v>
      </c>
      <c r="G1099" s="250">
        <v>2018</v>
      </c>
      <c r="H1099" s="313" t="s">
        <v>733</v>
      </c>
      <c r="I1099" s="308" t="str">
        <f t="shared" si="60"/>
        <v>Pesado de Mercadorias N3: Geral : Gasóleo : E6</v>
      </c>
      <c r="J1099" s="227"/>
      <c r="K1099" s="249">
        <v>2022</v>
      </c>
      <c r="L1099" s="227">
        <v>50651.85</v>
      </c>
      <c r="M1099" s="227" t="s">
        <v>630</v>
      </c>
      <c r="N1099" s="227">
        <v>143205</v>
      </c>
      <c r="O1099" s="128">
        <f t="shared" si="61"/>
        <v>0</v>
      </c>
      <c r="P1099" s="250"/>
      <c r="Q1099" s="227" t="s">
        <v>2201</v>
      </c>
      <c r="R1099" s="214" t="s">
        <v>1869</v>
      </c>
      <c r="S1099" s="214" t="s">
        <v>1861</v>
      </c>
      <c r="T1099" s="227" t="s">
        <v>1926</v>
      </c>
      <c r="U1099" t="s">
        <v>1953</v>
      </c>
      <c r="V1099" t="s">
        <v>2813</v>
      </c>
    </row>
    <row r="1100" spans="1:22" ht="15.75" thickBot="1" x14ac:dyDescent="0.3">
      <c r="A1100" s="227" t="s">
        <v>1915</v>
      </c>
      <c r="B1100" s="227" t="s">
        <v>1915</v>
      </c>
      <c r="C1100" s="227" t="s">
        <v>1915</v>
      </c>
      <c r="D1100" s="238" t="s">
        <v>1920</v>
      </c>
      <c r="E1100" s="256" t="s">
        <v>2231</v>
      </c>
      <c r="F1100" s="227" t="s">
        <v>620</v>
      </c>
      <c r="G1100" s="250">
        <v>2018</v>
      </c>
      <c r="H1100" s="313" t="s">
        <v>733</v>
      </c>
      <c r="I1100" s="308" t="str">
        <f t="shared" si="60"/>
        <v>Pesado de Mercadorias N3: Geral : Gasóleo : E6</v>
      </c>
      <c r="J1100" s="227"/>
      <c r="K1100" s="249">
        <v>2022</v>
      </c>
      <c r="L1100" s="227">
        <v>21724.77</v>
      </c>
      <c r="M1100" s="227" t="s">
        <v>630</v>
      </c>
      <c r="N1100" s="227">
        <v>69133</v>
      </c>
      <c r="O1100" s="128">
        <f t="shared" si="61"/>
        <v>0</v>
      </c>
      <c r="P1100" s="250"/>
      <c r="Q1100" s="227" t="s">
        <v>2201</v>
      </c>
      <c r="R1100" s="214" t="s">
        <v>1869</v>
      </c>
      <c r="S1100" s="214" t="s">
        <v>1861</v>
      </c>
      <c r="T1100" s="227" t="s">
        <v>1926</v>
      </c>
      <c r="U1100" t="s">
        <v>1953</v>
      </c>
      <c r="V1100" t="s">
        <v>2813</v>
      </c>
    </row>
    <row r="1101" spans="1:22" ht="15.75" thickBot="1" x14ac:dyDescent="0.3">
      <c r="A1101" s="227" t="s">
        <v>1915</v>
      </c>
      <c r="B1101" s="227" t="s">
        <v>1915</v>
      </c>
      <c r="C1101" s="227" t="s">
        <v>1915</v>
      </c>
      <c r="D1101" s="238" t="s">
        <v>1920</v>
      </c>
      <c r="E1101" s="256" t="s">
        <v>2231</v>
      </c>
      <c r="F1101" s="227" t="s">
        <v>620</v>
      </c>
      <c r="G1101" s="250">
        <v>2019</v>
      </c>
      <c r="H1101" s="313" t="s">
        <v>733</v>
      </c>
      <c r="I1101" s="308" t="str">
        <f t="shared" si="60"/>
        <v>Pesado de Mercadorias N3: Geral : Gasóleo : E6</v>
      </c>
      <c r="J1101" s="227"/>
      <c r="K1101" s="249">
        <v>2022</v>
      </c>
      <c r="L1101" s="227">
        <v>30400.84</v>
      </c>
      <c r="M1101" s="227" t="s">
        <v>630</v>
      </c>
      <c r="N1101" s="227">
        <v>86848</v>
      </c>
      <c r="O1101" s="128">
        <f t="shared" si="61"/>
        <v>0</v>
      </c>
      <c r="P1101" s="250"/>
      <c r="Q1101" s="227" t="s">
        <v>2201</v>
      </c>
      <c r="R1101" s="214" t="s">
        <v>1869</v>
      </c>
      <c r="S1101" s="214" t="s">
        <v>1861</v>
      </c>
      <c r="T1101" s="227" t="s">
        <v>1926</v>
      </c>
      <c r="U1101" t="s">
        <v>1953</v>
      </c>
      <c r="V1101" t="s">
        <v>2813</v>
      </c>
    </row>
    <row r="1102" spans="1:22" ht="15.75" thickBot="1" x14ac:dyDescent="0.3">
      <c r="A1102" s="227" t="s">
        <v>1915</v>
      </c>
      <c r="B1102" s="227" t="s">
        <v>1915</v>
      </c>
      <c r="C1102" s="227" t="s">
        <v>1915</v>
      </c>
      <c r="D1102" s="238" t="s">
        <v>1920</v>
      </c>
      <c r="E1102" s="256" t="s">
        <v>2231</v>
      </c>
      <c r="F1102" s="227" t="s">
        <v>620</v>
      </c>
      <c r="G1102" s="250">
        <v>2019</v>
      </c>
      <c r="H1102" s="313" t="s">
        <v>733</v>
      </c>
      <c r="I1102" s="308" t="str">
        <f t="shared" si="60"/>
        <v>Pesado de Mercadorias N3: Geral : Gasóleo : E6</v>
      </c>
      <c r="J1102" s="227"/>
      <c r="K1102" s="249">
        <v>2022</v>
      </c>
      <c r="L1102" s="227">
        <v>49567.14</v>
      </c>
      <c r="M1102" s="227" t="s">
        <v>630</v>
      </c>
      <c r="N1102" s="227">
        <v>137044</v>
      </c>
      <c r="O1102" s="128">
        <f t="shared" si="61"/>
        <v>0</v>
      </c>
      <c r="P1102" s="250"/>
      <c r="Q1102" s="227" t="s">
        <v>2201</v>
      </c>
      <c r="R1102" s="214" t="s">
        <v>1869</v>
      </c>
      <c r="S1102" s="214" t="s">
        <v>1861</v>
      </c>
      <c r="T1102" s="227" t="s">
        <v>1926</v>
      </c>
      <c r="U1102" t="s">
        <v>1953</v>
      </c>
      <c r="V1102" t="s">
        <v>2813</v>
      </c>
    </row>
    <row r="1103" spans="1:22" ht="15.75" thickBot="1" x14ac:dyDescent="0.3">
      <c r="A1103" s="227" t="s">
        <v>1915</v>
      </c>
      <c r="B1103" s="227" t="s">
        <v>1915</v>
      </c>
      <c r="C1103" s="227" t="s">
        <v>1915</v>
      </c>
      <c r="D1103" s="238" t="s">
        <v>1920</v>
      </c>
      <c r="E1103" s="256" t="s">
        <v>2231</v>
      </c>
      <c r="F1103" s="227" t="s">
        <v>620</v>
      </c>
      <c r="G1103" s="250">
        <v>2019</v>
      </c>
      <c r="H1103" s="313" t="s">
        <v>733</v>
      </c>
      <c r="I1103" s="308" t="str">
        <f t="shared" si="60"/>
        <v>Pesado de Mercadorias N3: Geral : Gasóleo : E6</v>
      </c>
      <c r="J1103" s="227"/>
      <c r="K1103" s="249">
        <v>2022</v>
      </c>
      <c r="L1103" s="227">
        <v>37268.76</v>
      </c>
      <c r="M1103" s="227" t="s">
        <v>630</v>
      </c>
      <c r="N1103" s="227">
        <v>104114</v>
      </c>
      <c r="O1103" s="128">
        <f t="shared" si="61"/>
        <v>0</v>
      </c>
      <c r="P1103" s="250"/>
      <c r="Q1103" s="227" t="s">
        <v>2201</v>
      </c>
      <c r="R1103" s="214" t="s">
        <v>1869</v>
      </c>
      <c r="S1103" s="214" t="s">
        <v>1861</v>
      </c>
      <c r="T1103" s="227" t="s">
        <v>1926</v>
      </c>
      <c r="U1103" t="s">
        <v>1953</v>
      </c>
      <c r="V1103" t="s">
        <v>2813</v>
      </c>
    </row>
    <row r="1104" spans="1:22" ht="15.75" thickBot="1" x14ac:dyDescent="0.3">
      <c r="A1104" s="227" t="s">
        <v>1915</v>
      </c>
      <c r="B1104" s="227" t="s">
        <v>1915</v>
      </c>
      <c r="C1104" s="227" t="s">
        <v>1915</v>
      </c>
      <c r="D1104" s="238" t="s">
        <v>1920</v>
      </c>
      <c r="E1104" s="256" t="s">
        <v>2231</v>
      </c>
      <c r="F1104" s="227" t="s">
        <v>620</v>
      </c>
      <c r="G1104" s="250">
        <v>2019</v>
      </c>
      <c r="H1104" s="313" t="s">
        <v>733</v>
      </c>
      <c r="I1104" s="308" t="str">
        <f t="shared" si="60"/>
        <v>Pesado de Mercadorias N3: Geral : Gasóleo : E6</v>
      </c>
      <c r="J1104" s="227"/>
      <c r="K1104" s="249">
        <v>2022</v>
      </c>
      <c r="L1104" s="227">
        <v>39630.26</v>
      </c>
      <c r="M1104" s="227" t="s">
        <v>630</v>
      </c>
      <c r="N1104" s="227">
        <v>121301</v>
      </c>
      <c r="O1104" s="128">
        <f t="shared" si="61"/>
        <v>0</v>
      </c>
      <c r="P1104" s="250"/>
      <c r="Q1104" s="227" t="s">
        <v>2201</v>
      </c>
      <c r="R1104" s="214" t="s">
        <v>1869</v>
      </c>
      <c r="S1104" s="214" t="s">
        <v>1861</v>
      </c>
      <c r="T1104" s="227" t="s">
        <v>1926</v>
      </c>
      <c r="U1104" t="s">
        <v>1953</v>
      </c>
      <c r="V1104" t="s">
        <v>2813</v>
      </c>
    </row>
    <row r="1105" spans="1:22" ht="15.75" thickBot="1" x14ac:dyDescent="0.3">
      <c r="A1105" s="227" t="s">
        <v>1915</v>
      </c>
      <c r="B1105" s="227" t="s">
        <v>1915</v>
      </c>
      <c r="C1105" s="227" t="s">
        <v>1915</v>
      </c>
      <c r="D1105" s="238" t="s">
        <v>1920</v>
      </c>
      <c r="E1105" s="256" t="s">
        <v>2231</v>
      </c>
      <c r="F1105" s="227" t="s">
        <v>620</v>
      </c>
      <c r="G1105" s="250">
        <v>2019</v>
      </c>
      <c r="H1105" s="313" t="s">
        <v>733</v>
      </c>
      <c r="I1105" s="308" t="str">
        <f t="shared" si="60"/>
        <v>Pesado de Mercadorias N3: Geral : Gasóleo : E6</v>
      </c>
      <c r="J1105" s="227"/>
      <c r="K1105" s="249">
        <v>2022</v>
      </c>
      <c r="L1105" s="227">
        <v>30014.94</v>
      </c>
      <c r="M1105" s="227" t="s">
        <v>630</v>
      </c>
      <c r="N1105" s="227">
        <v>82866</v>
      </c>
      <c r="O1105" s="128">
        <f t="shared" si="61"/>
        <v>0</v>
      </c>
      <c r="P1105" s="250"/>
      <c r="Q1105" s="227" t="s">
        <v>2201</v>
      </c>
      <c r="R1105" s="214" t="s">
        <v>1869</v>
      </c>
      <c r="S1105" s="214" t="s">
        <v>1861</v>
      </c>
      <c r="T1105" s="227" t="s">
        <v>1926</v>
      </c>
      <c r="U1105" t="s">
        <v>1953</v>
      </c>
      <c r="V1105" t="s">
        <v>2813</v>
      </c>
    </row>
    <row r="1106" spans="1:22" ht="15.75" thickBot="1" x14ac:dyDescent="0.3">
      <c r="A1106" s="227" t="s">
        <v>1915</v>
      </c>
      <c r="B1106" s="227" t="s">
        <v>1915</v>
      </c>
      <c r="C1106" s="227" t="s">
        <v>1915</v>
      </c>
      <c r="D1106" s="238" t="s">
        <v>1920</v>
      </c>
      <c r="E1106" s="256" t="s">
        <v>2231</v>
      </c>
      <c r="F1106" s="227" t="s">
        <v>620</v>
      </c>
      <c r="G1106" s="250">
        <v>2019</v>
      </c>
      <c r="H1106" s="313" t="s">
        <v>733</v>
      </c>
      <c r="I1106" s="308" t="str">
        <f t="shared" si="60"/>
        <v>Pesado de Mercadorias N3: Geral : Gasóleo : E6</v>
      </c>
      <c r="J1106" s="227"/>
      <c r="K1106" s="249">
        <v>2022</v>
      </c>
      <c r="L1106" s="227">
        <v>34476.65</v>
      </c>
      <c r="M1106" s="227" t="s">
        <v>630</v>
      </c>
      <c r="N1106" s="227">
        <v>102848</v>
      </c>
      <c r="O1106" s="128">
        <f t="shared" si="61"/>
        <v>0</v>
      </c>
      <c r="P1106" s="250"/>
      <c r="Q1106" s="227" t="s">
        <v>2201</v>
      </c>
      <c r="R1106" s="214" t="s">
        <v>1869</v>
      </c>
      <c r="S1106" s="214" t="s">
        <v>1861</v>
      </c>
      <c r="T1106" s="227" t="s">
        <v>1926</v>
      </c>
      <c r="U1106" t="s">
        <v>1953</v>
      </c>
      <c r="V1106" t="s">
        <v>2813</v>
      </c>
    </row>
    <row r="1107" spans="1:22" ht="15.75" thickBot="1" x14ac:dyDescent="0.3">
      <c r="A1107" s="227" t="s">
        <v>1915</v>
      </c>
      <c r="B1107" s="227" t="s">
        <v>1915</v>
      </c>
      <c r="C1107" s="227" t="s">
        <v>1915</v>
      </c>
      <c r="D1107" s="238" t="s">
        <v>1920</v>
      </c>
      <c r="E1107" s="256" t="s">
        <v>2231</v>
      </c>
      <c r="F1107" s="227" t="s">
        <v>620</v>
      </c>
      <c r="G1107" s="250">
        <v>2019</v>
      </c>
      <c r="H1107" s="313" t="s">
        <v>733</v>
      </c>
      <c r="I1107" s="308" t="str">
        <f t="shared" si="60"/>
        <v>Pesado de Mercadorias N3: Geral : Gasóleo : E6</v>
      </c>
      <c r="J1107" s="227"/>
      <c r="K1107" s="249">
        <v>2022</v>
      </c>
      <c r="L1107" s="227">
        <v>31174.28</v>
      </c>
      <c r="M1107" s="227" t="s">
        <v>630</v>
      </c>
      <c r="N1107" s="227">
        <v>97326</v>
      </c>
      <c r="O1107" s="128">
        <f t="shared" si="61"/>
        <v>0</v>
      </c>
      <c r="P1107" s="250"/>
      <c r="Q1107" s="227" t="s">
        <v>2201</v>
      </c>
      <c r="R1107" s="214" t="s">
        <v>1869</v>
      </c>
      <c r="S1107" s="214" t="s">
        <v>1861</v>
      </c>
      <c r="T1107" s="227" t="s">
        <v>1926</v>
      </c>
      <c r="U1107" t="s">
        <v>1953</v>
      </c>
      <c r="V1107" t="s">
        <v>2813</v>
      </c>
    </row>
    <row r="1108" spans="1:22" ht="15.75" thickBot="1" x14ac:dyDescent="0.3">
      <c r="A1108" s="227" t="s">
        <v>1915</v>
      </c>
      <c r="B1108" s="227" t="s">
        <v>1915</v>
      </c>
      <c r="C1108" s="227" t="s">
        <v>1915</v>
      </c>
      <c r="D1108" s="238" t="s">
        <v>1920</v>
      </c>
      <c r="E1108" s="256" t="s">
        <v>2231</v>
      </c>
      <c r="F1108" s="227" t="s">
        <v>620</v>
      </c>
      <c r="G1108" s="250">
        <v>2019</v>
      </c>
      <c r="H1108" s="313" t="s">
        <v>733</v>
      </c>
      <c r="I1108" s="308" t="str">
        <f t="shared" si="60"/>
        <v>Pesado de Mercadorias N3: Geral : Gasóleo : E6</v>
      </c>
      <c r="J1108" s="227"/>
      <c r="K1108" s="249">
        <v>2022</v>
      </c>
      <c r="L1108" s="227">
        <v>29077.19</v>
      </c>
      <c r="M1108" s="227" t="s">
        <v>630</v>
      </c>
      <c r="N1108" s="227">
        <v>79894</v>
      </c>
      <c r="O1108" s="128">
        <f t="shared" si="61"/>
        <v>0</v>
      </c>
      <c r="P1108" s="250"/>
      <c r="Q1108" s="227" t="s">
        <v>2201</v>
      </c>
      <c r="R1108" s="214" t="s">
        <v>1869</v>
      </c>
      <c r="S1108" s="214" t="s">
        <v>1861</v>
      </c>
      <c r="T1108" s="227" t="s">
        <v>1926</v>
      </c>
      <c r="U1108" t="s">
        <v>1953</v>
      </c>
      <c r="V1108" t="s">
        <v>2813</v>
      </c>
    </row>
    <row r="1109" spans="1:22" ht="15.75" thickBot="1" x14ac:dyDescent="0.3">
      <c r="A1109" s="227" t="s">
        <v>1915</v>
      </c>
      <c r="B1109" s="227" t="s">
        <v>1915</v>
      </c>
      <c r="C1109" s="227" t="s">
        <v>1915</v>
      </c>
      <c r="D1109" s="238" t="s">
        <v>1920</v>
      </c>
      <c r="E1109" s="256" t="s">
        <v>2231</v>
      </c>
      <c r="F1109" s="227" t="s">
        <v>620</v>
      </c>
      <c r="G1109" s="250">
        <v>2019</v>
      </c>
      <c r="H1109" s="313" t="s">
        <v>733</v>
      </c>
      <c r="I1109" s="308" t="str">
        <f t="shared" si="60"/>
        <v>Pesado de Mercadorias N3: Geral : Gasóleo : E6</v>
      </c>
      <c r="J1109" s="227"/>
      <c r="K1109" s="249">
        <v>2022</v>
      </c>
      <c r="L1109" s="227">
        <v>43483.41</v>
      </c>
      <c r="M1109" s="227" t="s">
        <v>630</v>
      </c>
      <c r="N1109" s="227">
        <v>122274</v>
      </c>
      <c r="O1109" s="128">
        <f t="shared" si="61"/>
        <v>0</v>
      </c>
      <c r="P1109" s="250"/>
      <c r="Q1109" s="227" t="s">
        <v>2201</v>
      </c>
      <c r="R1109" s="214" t="s">
        <v>1869</v>
      </c>
      <c r="S1109" s="214" t="s">
        <v>1861</v>
      </c>
      <c r="T1109" s="227" t="s">
        <v>1926</v>
      </c>
      <c r="U1109" t="s">
        <v>1953</v>
      </c>
      <c r="V1109" t="s">
        <v>2813</v>
      </c>
    </row>
    <row r="1110" spans="1:22" ht="15.75" thickBot="1" x14ac:dyDescent="0.3">
      <c r="A1110" s="227" t="s">
        <v>1915</v>
      </c>
      <c r="B1110" s="227" t="s">
        <v>1915</v>
      </c>
      <c r="C1110" s="227" t="s">
        <v>1915</v>
      </c>
      <c r="D1110" s="238" t="s">
        <v>1920</v>
      </c>
      <c r="E1110" s="256" t="s">
        <v>2231</v>
      </c>
      <c r="F1110" s="227" t="s">
        <v>620</v>
      </c>
      <c r="G1110" s="250">
        <v>2019</v>
      </c>
      <c r="H1110" s="313" t="s">
        <v>733</v>
      </c>
      <c r="I1110" s="308" t="str">
        <f t="shared" si="60"/>
        <v>Pesado de Mercadorias N3: Geral : Gasóleo : E6</v>
      </c>
      <c r="J1110" s="227"/>
      <c r="K1110" s="249">
        <v>2022</v>
      </c>
      <c r="L1110" s="227">
        <v>38926.01</v>
      </c>
      <c r="M1110" s="227" t="s">
        <v>630</v>
      </c>
      <c r="N1110" s="227">
        <v>108951</v>
      </c>
      <c r="O1110" s="128">
        <f t="shared" si="61"/>
        <v>0</v>
      </c>
      <c r="P1110" s="250"/>
      <c r="Q1110" s="227" t="s">
        <v>2201</v>
      </c>
      <c r="R1110" s="214" t="s">
        <v>1869</v>
      </c>
      <c r="S1110" s="214" t="s">
        <v>1861</v>
      </c>
      <c r="T1110" s="227" t="s">
        <v>1926</v>
      </c>
      <c r="U1110" t="s">
        <v>1953</v>
      </c>
      <c r="V1110" t="s">
        <v>2813</v>
      </c>
    </row>
    <row r="1111" spans="1:22" ht="15.75" thickBot="1" x14ac:dyDescent="0.3">
      <c r="A1111" s="227" t="s">
        <v>1915</v>
      </c>
      <c r="B1111" s="227" t="s">
        <v>1915</v>
      </c>
      <c r="C1111" s="227" t="s">
        <v>1915</v>
      </c>
      <c r="D1111" s="238" t="s">
        <v>1920</v>
      </c>
      <c r="E1111" s="256" t="s">
        <v>2231</v>
      </c>
      <c r="F1111" s="227" t="s">
        <v>620</v>
      </c>
      <c r="G1111" s="250">
        <v>2019</v>
      </c>
      <c r="H1111" s="313" t="s">
        <v>733</v>
      </c>
      <c r="I1111" s="308" t="str">
        <f t="shared" si="60"/>
        <v>Pesado de Mercadorias N3: Geral : Gasóleo : E6</v>
      </c>
      <c r="J1111" s="227"/>
      <c r="K1111" s="249">
        <v>2022</v>
      </c>
      <c r="L1111" s="227">
        <v>16835.05</v>
      </c>
      <c r="M1111" s="227" t="s">
        <v>630</v>
      </c>
      <c r="N1111" s="227">
        <v>52462</v>
      </c>
      <c r="O1111" s="128">
        <f t="shared" si="61"/>
        <v>0</v>
      </c>
      <c r="P1111" s="250"/>
      <c r="Q1111" s="227" t="s">
        <v>2201</v>
      </c>
      <c r="R1111" s="214" t="s">
        <v>1869</v>
      </c>
      <c r="S1111" s="214" t="s">
        <v>1861</v>
      </c>
      <c r="T1111" s="227" t="s">
        <v>1926</v>
      </c>
      <c r="U1111" t="s">
        <v>1953</v>
      </c>
      <c r="V1111" t="s">
        <v>2813</v>
      </c>
    </row>
    <row r="1112" spans="1:22" ht="15.75" thickBot="1" x14ac:dyDescent="0.3">
      <c r="A1112" s="227" t="s">
        <v>1915</v>
      </c>
      <c r="B1112" s="227" t="s">
        <v>1915</v>
      </c>
      <c r="C1112" s="227" t="s">
        <v>1915</v>
      </c>
      <c r="D1112" s="238" t="s">
        <v>1920</v>
      </c>
      <c r="E1112" s="256" t="s">
        <v>2231</v>
      </c>
      <c r="F1112" s="227" t="s">
        <v>620</v>
      </c>
      <c r="G1112" s="250">
        <v>2019</v>
      </c>
      <c r="H1112" s="313" t="s">
        <v>733</v>
      </c>
      <c r="I1112" s="308" t="str">
        <f t="shared" si="60"/>
        <v>Pesado de Mercadorias N3: Geral : Gasóleo : E6</v>
      </c>
      <c r="J1112" s="227"/>
      <c r="K1112" s="249">
        <v>2022</v>
      </c>
      <c r="L1112" s="227">
        <v>20057.73</v>
      </c>
      <c r="M1112" s="227" t="s">
        <v>630</v>
      </c>
      <c r="N1112" s="227">
        <v>63273</v>
      </c>
      <c r="O1112" s="128">
        <f t="shared" si="61"/>
        <v>0</v>
      </c>
      <c r="P1112" s="250"/>
      <c r="Q1112" s="227" t="s">
        <v>2201</v>
      </c>
      <c r="R1112" s="214" t="s">
        <v>1869</v>
      </c>
      <c r="S1112" s="214" t="s">
        <v>1861</v>
      </c>
      <c r="T1112" s="227" t="s">
        <v>1926</v>
      </c>
      <c r="U1112" t="s">
        <v>1953</v>
      </c>
      <c r="V1112" t="s">
        <v>2813</v>
      </c>
    </row>
    <row r="1113" spans="1:22" ht="15.75" thickBot="1" x14ac:dyDescent="0.3">
      <c r="A1113" s="227" t="s">
        <v>1915</v>
      </c>
      <c r="B1113" s="227" t="s">
        <v>1915</v>
      </c>
      <c r="C1113" s="227" t="s">
        <v>1915</v>
      </c>
      <c r="D1113" s="238" t="s">
        <v>1920</v>
      </c>
      <c r="E1113" s="256" t="s">
        <v>2231</v>
      </c>
      <c r="F1113" s="227" t="s">
        <v>620</v>
      </c>
      <c r="G1113" s="250">
        <v>2019</v>
      </c>
      <c r="H1113" s="313" t="s">
        <v>733</v>
      </c>
      <c r="I1113" s="308" t="str">
        <f t="shared" si="60"/>
        <v>Pesado de Mercadorias N3: Geral : Gasóleo : E6</v>
      </c>
      <c r="J1113" s="227"/>
      <c r="K1113" s="249">
        <v>2022</v>
      </c>
      <c r="L1113" s="227">
        <v>20260.62</v>
      </c>
      <c r="M1113" s="227" t="s">
        <v>630</v>
      </c>
      <c r="N1113" s="227">
        <v>66218</v>
      </c>
      <c r="O1113" s="128">
        <f t="shared" si="61"/>
        <v>0</v>
      </c>
      <c r="P1113" s="250"/>
      <c r="Q1113" s="227" t="s">
        <v>2201</v>
      </c>
      <c r="R1113" s="214" t="s">
        <v>1869</v>
      </c>
      <c r="S1113" s="214" t="s">
        <v>1861</v>
      </c>
      <c r="T1113" s="227" t="s">
        <v>1926</v>
      </c>
      <c r="U1113" t="s">
        <v>1953</v>
      </c>
      <c r="V1113" t="s">
        <v>2813</v>
      </c>
    </row>
    <row r="1114" spans="1:22" ht="15.75" thickBot="1" x14ac:dyDescent="0.3">
      <c r="A1114" s="227" t="s">
        <v>1915</v>
      </c>
      <c r="B1114" s="227" t="s">
        <v>1915</v>
      </c>
      <c r="C1114" s="227" t="s">
        <v>1915</v>
      </c>
      <c r="D1114" s="238" t="s">
        <v>1920</v>
      </c>
      <c r="E1114" s="256" t="s">
        <v>2231</v>
      </c>
      <c r="F1114" s="227" t="s">
        <v>620</v>
      </c>
      <c r="G1114" s="250">
        <v>2019</v>
      </c>
      <c r="H1114" s="313" t="s">
        <v>733</v>
      </c>
      <c r="I1114" s="308" t="str">
        <f t="shared" si="60"/>
        <v>Pesado de Mercadorias N3: Geral : Gasóleo : E6</v>
      </c>
      <c r="J1114" s="227"/>
      <c r="K1114" s="249">
        <v>2022</v>
      </c>
      <c r="L1114" s="227">
        <v>44556.2</v>
      </c>
      <c r="M1114" s="227" t="s">
        <v>630</v>
      </c>
      <c r="N1114" s="227">
        <v>118469</v>
      </c>
      <c r="O1114" s="128">
        <f t="shared" si="61"/>
        <v>0</v>
      </c>
      <c r="P1114" s="250"/>
      <c r="Q1114" s="227" t="s">
        <v>2201</v>
      </c>
      <c r="R1114" s="214" t="s">
        <v>1869</v>
      </c>
      <c r="S1114" s="214" t="s">
        <v>1861</v>
      </c>
      <c r="T1114" s="227" t="s">
        <v>1926</v>
      </c>
      <c r="U1114" t="s">
        <v>1953</v>
      </c>
      <c r="V1114" t="s">
        <v>2813</v>
      </c>
    </row>
    <row r="1115" spans="1:22" ht="15.75" thickBot="1" x14ac:dyDescent="0.3">
      <c r="A1115" s="227" t="s">
        <v>1915</v>
      </c>
      <c r="B1115" s="227" t="s">
        <v>1915</v>
      </c>
      <c r="C1115" s="227" t="s">
        <v>1915</v>
      </c>
      <c r="D1115" s="238" t="s">
        <v>1920</v>
      </c>
      <c r="E1115" s="256" t="s">
        <v>2231</v>
      </c>
      <c r="F1115" s="227" t="s">
        <v>620</v>
      </c>
      <c r="G1115" s="250">
        <v>2019</v>
      </c>
      <c r="H1115" s="313" t="s">
        <v>733</v>
      </c>
      <c r="I1115" s="308" t="str">
        <f t="shared" si="60"/>
        <v>Pesado de Mercadorias N3: Geral : Gasóleo : E6</v>
      </c>
      <c r="J1115" s="227"/>
      <c r="K1115" s="249">
        <v>2022</v>
      </c>
      <c r="L1115" s="227">
        <v>47030.42</v>
      </c>
      <c r="M1115" s="227" t="s">
        <v>630</v>
      </c>
      <c r="N1115" s="227">
        <v>118742</v>
      </c>
      <c r="O1115" s="128">
        <f t="shared" si="61"/>
        <v>0</v>
      </c>
      <c r="P1115" s="250"/>
      <c r="Q1115" s="227" t="s">
        <v>2201</v>
      </c>
      <c r="R1115" s="214" t="s">
        <v>1869</v>
      </c>
      <c r="S1115" s="214" t="s">
        <v>1861</v>
      </c>
      <c r="T1115" s="227" t="s">
        <v>1926</v>
      </c>
      <c r="U1115" t="s">
        <v>1953</v>
      </c>
      <c r="V1115" t="s">
        <v>2813</v>
      </c>
    </row>
    <row r="1116" spans="1:22" ht="15.75" thickBot="1" x14ac:dyDescent="0.3">
      <c r="A1116" s="227" t="s">
        <v>1915</v>
      </c>
      <c r="B1116" s="227" t="s">
        <v>1915</v>
      </c>
      <c r="C1116" s="227" t="s">
        <v>1915</v>
      </c>
      <c r="D1116" s="238" t="s">
        <v>1920</v>
      </c>
      <c r="E1116" s="256" t="s">
        <v>2231</v>
      </c>
      <c r="F1116" s="227" t="s">
        <v>620</v>
      </c>
      <c r="G1116" s="250">
        <v>2019</v>
      </c>
      <c r="H1116" s="313" t="s">
        <v>733</v>
      </c>
      <c r="I1116" s="308" t="str">
        <f t="shared" si="60"/>
        <v>Pesado de Mercadorias N3: Geral : Gasóleo : E6</v>
      </c>
      <c r="J1116" s="227"/>
      <c r="K1116" s="249">
        <v>2022</v>
      </c>
      <c r="L1116" s="227">
        <v>42513.1</v>
      </c>
      <c r="M1116" s="227" t="s">
        <v>630</v>
      </c>
      <c r="N1116" s="227">
        <v>111534</v>
      </c>
      <c r="O1116" s="128">
        <f t="shared" si="61"/>
        <v>0</v>
      </c>
      <c r="P1116" s="250"/>
      <c r="Q1116" s="227" t="s">
        <v>2201</v>
      </c>
      <c r="R1116" s="214" t="s">
        <v>1869</v>
      </c>
      <c r="S1116" s="214" t="s">
        <v>1861</v>
      </c>
      <c r="T1116" s="227" t="s">
        <v>1926</v>
      </c>
      <c r="U1116" t="s">
        <v>1953</v>
      </c>
      <c r="V1116" t="s">
        <v>2813</v>
      </c>
    </row>
    <row r="1117" spans="1:22" ht="15.75" thickBot="1" x14ac:dyDescent="0.3">
      <c r="A1117" s="227" t="s">
        <v>1915</v>
      </c>
      <c r="B1117" s="227" t="s">
        <v>1915</v>
      </c>
      <c r="C1117" s="227" t="s">
        <v>1915</v>
      </c>
      <c r="D1117" s="238" t="s">
        <v>1920</v>
      </c>
      <c r="E1117" s="256" t="s">
        <v>2231</v>
      </c>
      <c r="F1117" s="227" t="s">
        <v>620</v>
      </c>
      <c r="G1117" s="250">
        <v>2020</v>
      </c>
      <c r="H1117" s="313" t="s">
        <v>733</v>
      </c>
      <c r="I1117" s="308" t="str">
        <f t="shared" si="60"/>
        <v>Pesado de Mercadorias N3: Geral : Gasóleo : E6</v>
      </c>
      <c r="J1117" s="227"/>
      <c r="K1117" s="249">
        <v>2022</v>
      </c>
      <c r="L1117" s="227">
        <v>43684.480000000003</v>
      </c>
      <c r="M1117" s="227" t="s">
        <v>630</v>
      </c>
      <c r="N1117" s="227">
        <v>124428</v>
      </c>
      <c r="O1117" s="128">
        <f t="shared" si="61"/>
        <v>0</v>
      </c>
      <c r="P1117" s="250"/>
      <c r="Q1117" s="227" t="s">
        <v>2201</v>
      </c>
      <c r="R1117" s="214" t="s">
        <v>1869</v>
      </c>
      <c r="S1117" s="214" t="s">
        <v>1861</v>
      </c>
      <c r="T1117" s="227" t="s">
        <v>1926</v>
      </c>
      <c r="U1117" t="s">
        <v>1953</v>
      </c>
      <c r="V1117" t="s">
        <v>2813</v>
      </c>
    </row>
    <row r="1118" spans="1:22" ht="15.75" thickBot="1" x14ac:dyDescent="0.3">
      <c r="A1118" s="227" t="s">
        <v>1915</v>
      </c>
      <c r="B1118" s="227" t="s">
        <v>1915</v>
      </c>
      <c r="C1118" s="227" t="s">
        <v>1915</v>
      </c>
      <c r="D1118" s="238" t="s">
        <v>1920</v>
      </c>
      <c r="E1118" s="256" t="s">
        <v>2231</v>
      </c>
      <c r="F1118" s="227" t="s">
        <v>620</v>
      </c>
      <c r="G1118" s="250">
        <v>2020</v>
      </c>
      <c r="H1118" s="313" t="s">
        <v>733</v>
      </c>
      <c r="I1118" s="308" t="str">
        <f t="shared" si="60"/>
        <v>Pesado de Mercadorias N3: Geral : Gasóleo : E6</v>
      </c>
      <c r="J1118" s="227"/>
      <c r="K1118" s="249">
        <v>2022</v>
      </c>
      <c r="L1118" s="227">
        <v>31781.98</v>
      </c>
      <c r="M1118" s="227" t="s">
        <v>630</v>
      </c>
      <c r="N1118" s="227">
        <v>87413</v>
      </c>
      <c r="O1118" s="128">
        <f t="shared" si="61"/>
        <v>0</v>
      </c>
      <c r="P1118" s="250"/>
      <c r="Q1118" s="227" t="s">
        <v>2201</v>
      </c>
      <c r="R1118" s="214" t="s">
        <v>1869</v>
      </c>
      <c r="S1118" s="214" t="s">
        <v>1861</v>
      </c>
      <c r="T1118" s="227" t="s">
        <v>1926</v>
      </c>
      <c r="U1118" t="s">
        <v>1953</v>
      </c>
      <c r="V1118" t="s">
        <v>2813</v>
      </c>
    </row>
    <row r="1119" spans="1:22" ht="15.75" thickBot="1" x14ac:dyDescent="0.3">
      <c r="A1119" s="227" t="s">
        <v>1915</v>
      </c>
      <c r="B1119" s="227" t="s">
        <v>1915</v>
      </c>
      <c r="C1119" s="227" t="s">
        <v>1915</v>
      </c>
      <c r="D1119" s="238" t="s">
        <v>1920</v>
      </c>
      <c r="E1119" s="256" t="s">
        <v>2231</v>
      </c>
      <c r="F1119" s="227" t="s">
        <v>620</v>
      </c>
      <c r="G1119" s="250">
        <v>2020</v>
      </c>
      <c r="H1119" s="313" t="s">
        <v>733</v>
      </c>
      <c r="I1119" s="308" t="str">
        <f t="shared" si="60"/>
        <v>Pesado de Mercadorias N3: Geral : Gasóleo : E6</v>
      </c>
      <c r="J1119" s="227"/>
      <c r="K1119" s="249">
        <v>2022</v>
      </c>
      <c r="L1119" s="227">
        <v>49960.46</v>
      </c>
      <c r="M1119" s="227" t="s">
        <v>630</v>
      </c>
      <c r="N1119" s="227">
        <v>137220</v>
      </c>
      <c r="O1119" s="128">
        <f t="shared" si="61"/>
        <v>0</v>
      </c>
      <c r="P1119" s="250"/>
      <c r="Q1119" s="227" t="s">
        <v>2201</v>
      </c>
      <c r="R1119" s="214" t="s">
        <v>1869</v>
      </c>
      <c r="S1119" s="214" t="s">
        <v>1861</v>
      </c>
      <c r="T1119" s="227" t="s">
        <v>1926</v>
      </c>
      <c r="U1119" t="s">
        <v>1953</v>
      </c>
      <c r="V1119" t="s">
        <v>2813</v>
      </c>
    </row>
    <row r="1120" spans="1:22" ht="15.75" thickBot="1" x14ac:dyDescent="0.3">
      <c r="A1120" s="227" t="s">
        <v>1915</v>
      </c>
      <c r="B1120" s="227" t="s">
        <v>1915</v>
      </c>
      <c r="C1120" s="227" t="s">
        <v>1915</v>
      </c>
      <c r="D1120" s="238" t="s">
        <v>1920</v>
      </c>
      <c r="E1120" s="256" t="s">
        <v>2231</v>
      </c>
      <c r="F1120" s="227" t="s">
        <v>620</v>
      </c>
      <c r="G1120" s="250">
        <v>2020</v>
      </c>
      <c r="H1120" s="313" t="s">
        <v>733</v>
      </c>
      <c r="I1120" s="308" t="str">
        <f t="shared" si="60"/>
        <v>Pesado de Mercadorias N3: Geral : Gasóleo : E6</v>
      </c>
      <c r="J1120" s="227"/>
      <c r="K1120" s="249">
        <v>2022</v>
      </c>
      <c r="L1120" s="227">
        <v>47950.85</v>
      </c>
      <c r="M1120" s="227" t="s">
        <v>630</v>
      </c>
      <c r="N1120" s="227">
        <v>134613</v>
      </c>
      <c r="O1120" s="128">
        <f t="shared" si="61"/>
        <v>0</v>
      </c>
      <c r="P1120" s="250"/>
      <c r="Q1120" s="227" t="s">
        <v>2201</v>
      </c>
      <c r="R1120" s="214" t="s">
        <v>1869</v>
      </c>
      <c r="S1120" s="214" t="s">
        <v>1861</v>
      </c>
      <c r="T1120" s="227" t="s">
        <v>1926</v>
      </c>
      <c r="U1120" t="s">
        <v>1953</v>
      </c>
      <c r="V1120" t="s">
        <v>2813</v>
      </c>
    </row>
    <row r="1121" spans="1:22" ht="15.75" thickBot="1" x14ac:dyDescent="0.3">
      <c r="A1121" s="227" t="s">
        <v>1915</v>
      </c>
      <c r="B1121" s="227" t="s">
        <v>1915</v>
      </c>
      <c r="C1121" s="227" t="s">
        <v>1915</v>
      </c>
      <c r="D1121" s="238" t="s">
        <v>1920</v>
      </c>
      <c r="E1121" s="256" t="s">
        <v>2231</v>
      </c>
      <c r="F1121" s="227" t="s">
        <v>620</v>
      </c>
      <c r="G1121" s="250">
        <v>2020</v>
      </c>
      <c r="H1121" s="313" t="s">
        <v>733</v>
      </c>
      <c r="I1121" s="308" t="str">
        <f t="shared" si="60"/>
        <v>Pesado de Mercadorias N3: Geral : Gasóleo : E6</v>
      </c>
      <c r="J1121" s="227"/>
      <c r="K1121" s="249">
        <v>2022</v>
      </c>
      <c r="L1121" s="227">
        <v>50382.21</v>
      </c>
      <c r="M1121" s="227" t="s">
        <v>630</v>
      </c>
      <c r="N1121" s="227">
        <v>130439</v>
      </c>
      <c r="O1121" s="128">
        <f t="shared" si="61"/>
        <v>0</v>
      </c>
      <c r="P1121" s="250"/>
      <c r="Q1121" s="227" t="s">
        <v>2201</v>
      </c>
      <c r="R1121" s="214" t="s">
        <v>1869</v>
      </c>
      <c r="S1121" s="214" t="s">
        <v>1861</v>
      </c>
      <c r="T1121" s="227" t="s">
        <v>1926</v>
      </c>
      <c r="U1121" t="s">
        <v>1953</v>
      </c>
      <c r="V1121" t="s">
        <v>2813</v>
      </c>
    </row>
    <row r="1122" spans="1:22" ht="15.75" thickBot="1" x14ac:dyDescent="0.3">
      <c r="A1122" s="227" t="s">
        <v>1915</v>
      </c>
      <c r="B1122" s="227" t="s">
        <v>1915</v>
      </c>
      <c r="C1122" s="227" t="s">
        <v>1915</v>
      </c>
      <c r="D1122" s="238" t="s">
        <v>1920</v>
      </c>
      <c r="E1122" s="256" t="s">
        <v>2231</v>
      </c>
      <c r="F1122" s="227" t="s">
        <v>620</v>
      </c>
      <c r="G1122" s="250">
        <v>2020</v>
      </c>
      <c r="H1122" s="313" t="s">
        <v>733</v>
      </c>
      <c r="I1122" s="308" t="str">
        <f t="shared" si="60"/>
        <v>Pesado de Mercadorias N3: Geral : Gasóleo : E6</v>
      </c>
      <c r="J1122" s="227"/>
      <c r="K1122" s="249">
        <v>2022</v>
      </c>
      <c r="L1122" s="227">
        <v>49641.31</v>
      </c>
      <c r="M1122" s="227" t="s">
        <v>630</v>
      </c>
      <c r="N1122" s="227">
        <v>140469</v>
      </c>
      <c r="O1122" s="128">
        <f t="shared" si="61"/>
        <v>0</v>
      </c>
      <c r="P1122" s="250"/>
      <c r="Q1122" s="227" t="s">
        <v>2201</v>
      </c>
      <c r="R1122" s="214" t="s">
        <v>1869</v>
      </c>
      <c r="S1122" s="214" t="s">
        <v>1861</v>
      </c>
      <c r="T1122" s="227" t="s">
        <v>1926</v>
      </c>
      <c r="U1122" t="s">
        <v>1953</v>
      </c>
      <c r="V1122" t="s">
        <v>2813</v>
      </c>
    </row>
    <row r="1123" spans="1:22" ht="15.75" thickBot="1" x14ac:dyDescent="0.3">
      <c r="A1123" s="227" t="s">
        <v>1915</v>
      </c>
      <c r="B1123" s="227" t="s">
        <v>1915</v>
      </c>
      <c r="C1123" s="227" t="s">
        <v>1915</v>
      </c>
      <c r="D1123" s="238" t="s">
        <v>1920</v>
      </c>
      <c r="E1123" s="256" t="s">
        <v>2231</v>
      </c>
      <c r="F1123" s="227" t="s">
        <v>620</v>
      </c>
      <c r="G1123" s="250">
        <v>2020</v>
      </c>
      <c r="H1123" s="313" t="s">
        <v>733</v>
      </c>
      <c r="I1123" s="308" t="str">
        <f t="shared" si="60"/>
        <v>Pesado de Mercadorias N3: Geral : Gasóleo : E6</v>
      </c>
      <c r="J1123" s="227"/>
      <c r="K1123" s="249">
        <v>2022</v>
      </c>
      <c r="L1123" s="227">
        <v>47936.21</v>
      </c>
      <c r="M1123" s="227" t="s">
        <v>630</v>
      </c>
      <c r="N1123" s="227">
        <v>136213</v>
      </c>
      <c r="O1123" s="128">
        <f t="shared" si="61"/>
        <v>0</v>
      </c>
      <c r="P1123" s="250"/>
      <c r="Q1123" s="227" t="s">
        <v>2201</v>
      </c>
      <c r="R1123" s="214" t="s">
        <v>1869</v>
      </c>
      <c r="S1123" s="214" t="s">
        <v>1861</v>
      </c>
      <c r="T1123" s="227" t="s">
        <v>1926</v>
      </c>
      <c r="U1123" t="s">
        <v>1953</v>
      </c>
      <c r="V1123" t="s">
        <v>2813</v>
      </c>
    </row>
    <row r="1124" spans="1:22" ht="15.75" thickBot="1" x14ac:dyDescent="0.3">
      <c r="A1124" s="227" t="s">
        <v>1915</v>
      </c>
      <c r="B1124" s="227" t="s">
        <v>1915</v>
      </c>
      <c r="C1124" s="227" t="s">
        <v>1915</v>
      </c>
      <c r="D1124" s="238" t="s">
        <v>1920</v>
      </c>
      <c r="E1124" s="256" t="s">
        <v>2231</v>
      </c>
      <c r="F1124" s="227" t="s">
        <v>620</v>
      </c>
      <c r="G1124" s="250">
        <v>2020</v>
      </c>
      <c r="H1124" s="313" t="s">
        <v>733</v>
      </c>
      <c r="I1124" s="308" t="str">
        <f t="shared" si="60"/>
        <v>Pesado de Mercadorias N3: Geral : Gasóleo : E6</v>
      </c>
      <c r="J1124" s="227"/>
      <c r="K1124" s="249">
        <v>2022</v>
      </c>
      <c r="L1124" s="227">
        <v>55211.49</v>
      </c>
      <c r="M1124" s="227" t="s">
        <v>630</v>
      </c>
      <c r="N1124" s="227">
        <v>148342</v>
      </c>
      <c r="O1124" s="128">
        <f t="shared" si="61"/>
        <v>0</v>
      </c>
      <c r="P1124" s="250"/>
      <c r="Q1124" s="227" t="s">
        <v>2201</v>
      </c>
      <c r="R1124" s="214" t="s">
        <v>1869</v>
      </c>
      <c r="S1124" s="214" t="s">
        <v>1861</v>
      </c>
      <c r="T1124" s="227" t="s">
        <v>1926</v>
      </c>
      <c r="U1124" t="s">
        <v>1953</v>
      </c>
      <c r="V1124" t="s">
        <v>2813</v>
      </c>
    </row>
    <row r="1125" spans="1:22" ht="15.75" thickBot="1" x14ac:dyDescent="0.3">
      <c r="A1125" s="227" t="s">
        <v>1915</v>
      </c>
      <c r="B1125" s="227" t="s">
        <v>1915</v>
      </c>
      <c r="C1125" s="227" t="s">
        <v>1915</v>
      </c>
      <c r="D1125" s="238" t="s">
        <v>1920</v>
      </c>
      <c r="E1125" s="256" t="s">
        <v>2231</v>
      </c>
      <c r="F1125" s="227" t="s">
        <v>620</v>
      </c>
      <c r="G1125" s="250">
        <v>2020</v>
      </c>
      <c r="H1125" s="313" t="s">
        <v>733</v>
      </c>
      <c r="I1125" s="308" t="str">
        <f t="shared" si="60"/>
        <v>Pesado de Mercadorias N3: Geral : Gasóleo : E6</v>
      </c>
      <c r="J1125" s="227"/>
      <c r="K1125" s="249">
        <v>2022</v>
      </c>
      <c r="L1125" s="227">
        <v>59270.92</v>
      </c>
      <c r="M1125" s="227" t="s">
        <v>630</v>
      </c>
      <c r="N1125" s="227">
        <v>165004</v>
      </c>
      <c r="O1125" s="128">
        <f t="shared" si="61"/>
        <v>0</v>
      </c>
      <c r="P1125" s="250"/>
      <c r="Q1125" s="227" t="s">
        <v>2201</v>
      </c>
      <c r="R1125" s="214" t="s">
        <v>1869</v>
      </c>
      <c r="S1125" s="214" t="s">
        <v>1861</v>
      </c>
      <c r="T1125" s="227" t="s">
        <v>1926</v>
      </c>
      <c r="U1125" t="s">
        <v>1953</v>
      </c>
      <c r="V1125" t="s">
        <v>2813</v>
      </c>
    </row>
    <row r="1126" spans="1:22" ht="15.75" thickBot="1" x14ac:dyDescent="0.3">
      <c r="A1126" s="227" t="s">
        <v>1915</v>
      </c>
      <c r="B1126" s="227" t="s">
        <v>1915</v>
      </c>
      <c r="C1126" s="227" t="s">
        <v>1915</v>
      </c>
      <c r="D1126" s="238" t="s">
        <v>1920</v>
      </c>
      <c r="E1126" s="256" t="s">
        <v>2231</v>
      </c>
      <c r="F1126" s="227" t="s">
        <v>620</v>
      </c>
      <c r="G1126" s="250">
        <v>2020</v>
      </c>
      <c r="H1126" s="313" t="s">
        <v>733</v>
      </c>
      <c r="I1126" s="308" t="str">
        <f t="shared" si="60"/>
        <v>Pesado de Mercadorias N3: Geral : Gasóleo : E6</v>
      </c>
      <c r="J1126" s="227"/>
      <c r="K1126" s="249">
        <v>2022</v>
      </c>
      <c r="L1126" s="227">
        <v>41006.120000000003</v>
      </c>
      <c r="M1126" s="227" t="s">
        <v>630</v>
      </c>
      <c r="N1126" s="227">
        <v>110910</v>
      </c>
      <c r="O1126" s="128">
        <f t="shared" si="61"/>
        <v>0</v>
      </c>
      <c r="P1126" s="250"/>
      <c r="Q1126" s="227" t="s">
        <v>2201</v>
      </c>
      <c r="R1126" s="214" t="s">
        <v>1869</v>
      </c>
      <c r="S1126" s="214" t="s">
        <v>1861</v>
      </c>
      <c r="T1126" s="227" t="s">
        <v>1926</v>
      </c>
      <c r="U1126" t="s">
        <v>1953</v>
      </c>
      <c r="V1126" t="s">
        <v>2813</v>
      </c>
    </row>
    <row r="1127" spans="1:22" ht="15.75" thickBot="1" x14ac:dyDescent="0.3">
      <c r="A1127" s="227" t="s">
        <v>1915</v>
      </c>
      <c r="B1127" s="227" t="s">
        <v>1915</v>
      </c>
      <c r="C1127" s="227" t="s">
        <v>1915</v>
      </c>
      <c r="D1127" s="238" t="s">
        <v>1920</v>
      </c>
      <c r="E1127" s="256" t="s">
        <v>2231</v>
      </c>
      <c r="F1127" s="227" t="s">
        <v>620</v>
      </c>
      <c r="G1127" s="250">
        <v>2020</v>
      </c>
      <c r="H1127" s="313" t="s">
        <v>733</v>
      </c>
      <c r="I1127" s="308" t="str">
        <f t="shared" si="60"/>
        <v>Pesado de Mercadorias N3: Geral : Gasóleo : E6</v>
      </c>
      <c r="J1127" s="227"/>
      <c r="K1127" s="249">
        <v>2022</v>
      </c>
      <c r="L1127" s="227">
        <v>52798.66</v>
      </c>
      <c r="M1127" s="227" t="s">
        <v>630</v>
      </c>
      <c r="N1127" s="227">
        <v>141944</v>
      </c>
      <c r="O1127" s="128">
        <f t="shared" si="61"/>
        <v>0</v>
      </c>
      <c r="P1127" s="250"/>
      <c r="Q1127" s="227" t="s">
        <v>2201</v>
      </c>
      <c r="R1127" s="214" t="s">
        <v>1869</v>
      </c>
      <c r="S1127" s="214" t="s">
        <v>1861</v>
      </c>
      <c r="T1127" s="227" t="s">
        <v>1926</v>
      </c>
      <c r="U1127" t="s">
        <v>1953</v>
      </c>
      <c r="V1127" t="s">
        <v>2813</v>
      </c>
    </row>
    <row r="1128" spans="1:22" ht="15.75" thickBot="1" x14ac:dyDescent="0.3">
      <c r="A1128" s="227" t="s">
        <v>1915</v>
      </c>
      <c r="B1128" s="227" t="s">
        <v>1915</v>
      </c>
      <c r="C1128" s="227" t="s">
        <v>1915</v>
      </c>
      <c r="D1128" s="238" t="s">
        <v>1920</v>
      </c>
      <c r="E1128" s="256" t="s">
        <v>2231</v>
      </c>
      <c r="F1128" s="227" t="s">
        <v>620</v>
      </c>
      <c r="G1128" s="250">
        <v>2020</v>
      </c>
      <c r="H1128" s="313" t="s">
        <v>733</v>
      </c>
      <c r="I1128" s="308" t="str">
        <f t="shared" si="60"/>
        <v>Pesado de Mercadorias N3: Geral : Gasóleo : E6</v>
      </c>
      <c r="J1128" s="227"/>
      <c r="K1128" s="249">
        <v>2022</v>
      </c>
      <c r="L1128" s="227">
        <v>54947.35</v>
      </c>
      <c r="M1128" s="227" t="s">
        <v>630</v>
      </c>
      <c r="N1128" s="227">
        <v>148237</v>
      </c>
      <c r="O1128" s="128">
        <f t="shared" si="61"/>
        <v>0</v>
      </c>
      <c r="P1128" s="250"/>
      <c r="Q1128" s="227" t="s">
        <v>2201</v>
      </c>
      <c r="R1128" s="214" t="s">
        <v>1869</v>
      </c>
      <c r="S1128" s="214" t="s">
        <v>1861</v>
      </c>
      <c r="T1128" s="227" t="s">
        <v>1926</v>
      </c>
      <c r="U1128" t="s">
        <v>1953</v>
      </c>
      <c r="V1128" t="s">
        <v>2813</v>
      </c>
    </row>
    <row r="1129" spans="1:22" ht="15.75" thickBot="1" x14ac:dyDescent="0.3">
      <c r="A1129" s="227" t="s">
        <v>1915</v>
      </c>
      <c r="B1129" s="227" t="s">
        <v>1915</v>
      </c>
      <c r="C1129" s="227" t="s">
        <v>1915</v>
      </c>
      <c r="D1129" s="238" t="s">
        <v>1920</v>
      </c>
      <c r="E1129" s="256" t="s">
        <v>2231</v>
      </c>
      <c r="F1129" s="227" t="s">
        <v>620</v>
      </c>
      <c r="G1129" s="250">
        <v>2020</v>
      </c>
      <c r="H1129" s="313" t="s">
        <v>733</v>
      </c>
      <c r="I1129" s="308" t="str">
        <f t="shared" si="60"/>
        <v>Pesado de Mercadorias N3: Geral : Gasóleo : E6</v>
      </c>
      <c r="J1129" s="227"/>
      <c r="K1129" s="249">
        <v>2022</v>
      </c>
      <c r="L1129" s="227">
        <v>24883.17</v>
      </c>
      <c r="M1129" s="227" t="s">
        <v>630</v>
      </c>
      <c r="N1129" s="227">
        <v>69517</v>
      </c>
      <c r="O1129" s="128">
        <f t="shared" si="61"/>
        <v>0</v>
      </c>
      <c r="P1129" s="250"/>
      <c r="Q1129" s="227" t="s">
        <v>2201</v>
      </c>
      <c r="R1129" s="214" t="s">
        <v>1869</v>
      </c>
      <c r="S1129" s="214" t="s">
        <v>1861</v>
      </c>
      <c r="T1129" s="227" t="s">
        <v>1926</v>
      </c>
      <c r="U1129" t="s">
        <v>1953</v>
      </c>
      <c r="V1129" t="s">
        <v>2813</v>
      </c>
    </row>
    <row r="1130" spans="1:22" ht="15.75" thickBot="1" x14ac:dyDescent="0.3">
      <c r="A1130" s="227" t="s">
        <v>1915</v>
      </c>
      <c r="B1130" s="227" t="s">
        <v>1915</v>
      </c>
      <c r="C1130" s="227" t="s">
        <v>1915</v>
      </c>
      <c r="D1130" s="238" t="s">
        <v>1920</v>
      </c>
      <c r="E1130" s="256" t="s">
        <v>2231</v>
      </c>
      <c r="F1130" s="227" t="s">
        <v>620</v>
      </c>
      <c r="G1130" s="250">
        <v>2020</v>
      </c>
      <c r="H1130" s="313" t="s">
        <v>733</v>
      </c>
      <c r="I1130" s="308" t="str">
        <f t="shared" si="60"/>
        <v>Pesado de Mercadorias N3: Geral : Gasóleo : E6</v>
      </c>
      <c r="J1130" s="227"/>
      <c r="K1130" s="249">
        <v>2022</v>
      </c>
      <c r="L1130" s="227">
        <v>47981.35</v>
      </c>
      <c r="M1130" s="227" t="s">
        <v>630</v>
      </c>
      <c r="N1130" s="227">
        <v>136069</v>
      </c>
      <c r="O1130" s="128">
        <f t="shared" si="61"/>
        <v>0</v>
      </c>
      <c r="P1130" s="250"/>
      <c r="Q1130" s="227" t="s">
        <v>2201</v>
      </c>
      <c r="R1130" s="214" t="s">
        <v>1869</v>
      </c>
      <c r="S1130" s="214" t="s">
        <v>1861</v>
      </c>
      <c r="T1130" s="227" t="s">
        <v>1926</v>
      </c>
      <c r="U1130" t="s">
        <v>1953</v>
      </c>
      <c r="V1130" t="s">
        <v>2813</v>
      </c>
    </row>
    <row r="1131" spans="1:22" ht="15.75" thickBot="1" x14ac:dyDescent="0.3">
      <c r="A1131" s="227" t="s">
        <v>1915</v>
      </c>
      <c r="B1131" s="227" t="s">
        <v>1915</v>
      </c>
      <c r="C1131" s="227" t="s">
        <v>1915</v>
      </c>
      <c r="D1131" s="238" t="s">
        <v>1920</v>
      </c>
      <c r="E1131" s="256" t="s">
        <v>2231</v>
      </c>
      <c r="F1131" s="227" t="s">
        <v>620</v>
      </c>
      <c r="G1131" s="250">
        <v>2020</v>
      </c>
      <c r="H1131" s="313" t="s">
        <v>733</v>
      </c>
      <c r="I1131" s="308" t="str">
        <f t="shared" si="60"/>
        <v>Pesado de Mercadorias N3: Geral : Gasóleo : E6</v>
      </c>
      <c r="J1131" s="227"/>
      <c r="K1131" s="249">
        <v>2022</v>
      </c>
      <c r="L1131" s="227">
        <v>46768.81</v>
      </c>
      <c r="M1131" s="227" t="s">
        <v>630</v>
      </c>
      <c r="N1131" s="227">
        <v>131482</v>
      </c>
      <c r="O1131" s="128">
        <f t="shared" si="61"/>
        <v>0</v>
      </c>
      <c r="P1131" s="250"/>
      <c r="Q1131" s="227" t="s">
        <v>2201</v>
      </c>
      <c r="R1131" s="214" t="s">
        <v>1869</v>
      </c>
      <c r="S1131" s="214" t="s">
        <v>1861</v>
      </c>
      <c r="T1131" s="227" t="s">
        <v>1926</v>
      </c>
      <c r="U1131" t="s">
        <v>1953</v>
      </c>
      <c r="V1131" t="s">
        <v>2813</v>
      </c>
    </row>
    <row r="1132" spans="1:22" ht="15.75" thickBot="1" x14ac:dyDescent="0.3">
      <c r="A1132" s="227" t="s">
        <v>1915</v>
      </c>
      <c r="B1132" s="227" t="s">
        <v>1915</v>
      </c>
      <c r="C1132" s="227" t="s">
        <v>1915</v>
      </c>
      <c r="D1132" s="238" t="s">
        <v>1920</v>
      </c>
      <c r="E1132" s="256" t="s">
        <v>2231</v>
      </c>
      <c r="F1132" s="227" t="s">
        <v>620</v>
      </c>
      <c r="G1132" s="250">
        <v>2020</v>
      </c>
      <c r="H1132" s="313" t="s">
        <v>733</v>
      </c>
      <c r="I1132" s="308" t="str">
        <f t="shared" si="60"/>
        <v>Pesado de Mercadorias N3: Geral : Gasóleo : E6</v>
      </c>
      <c r="J1132" s="227"/>
      <c r="K1132" s="249">
        <v>2022</v>
      </c>
      <c r="L1132" s="227">
        <v>40306.89</v>
      </c>
      <c r="M1132" s="227" t="s">
        <v>630</v>
      </c>
      <c r="N1132" s="227">
        <v>122440</v>
      </c>
      <c r="O1132" s="128">
        <f t="shared" si="61"/>
        <v>0</v>
      </c>
      <c r="P1132" s="250"/>
      <c r="Q1132" s="227" t="s">
        <v>2201</v>
      </c>
      <c r="R1132" s="214" t="s">
        <v>1869</v>
      </c>
      <c r="S1132" s="214" t="s">
        <v>1861</v>
      </c>
      <c r="T1132" s="227" t="s">
        <v>1926</v>
      </c>
      <c r="U1132" t="s">
        <v>1953</v>
      </c>
      <c r="V1132" t="s">
        <v>2813</v>
      </c>
    </row>
    <row r="1133" spans="1:22" ht="15.75" thickBot="1" x14ac:dyDescent="0.3">
      <c r="A1133" s="227" t="s">
        <v>1915</v>
      </c>
      <c r="B1133" s="227" t="s">
        <v>1915</v>
      </c>
      <c r="C1133" s="227" t="s">
        <v>1915</v>
      </c>
      <c r="D1133" s="238" t="s">
        <v>1920</v>
      </c>
      <c r="E1133" s="256" t="s">
        <v>2231</v>
      </c>
      <c r="F1133" s="227" t="s">
        <v>620</v>
      </c>
      <c r="G1133" s="250">
        <v>2020</v>
      </c>
      <c r="H1133" s="313" t="s">
        <v>733</v>
      </c>
      <c r="I1133" s="308" t="str">
        <f t="shared" si="60"/>
        <v>Pesado de Mercadorias N3: Geral : Gasóleo : E6</v>
      </c>
      <c r="J1133" s="227"/>
      <c r="K1133" s="249">
        <v>2022</v>
      </c>
      <c r="L1133" s="227">
        <v>42461.91</v>
      </c>
      <c r="M1133" s="227" t="s">
        <v>630</v>
      </c>
      <c r="N1133" s="227">
        <v>120902</v>
      </c>
      <c r="O1133" s="128">
        <f t="shared" si="61"/>
        <v>0</v>
      </c>
      <c r="P1133" s="250"/>
      <c r="Q1133" s="227" t="s">
        <v>2201</v>
      </c>
      <c r="R1133" s="214" t="s">
        <v>1869</v>
      </c>
      <c r="S1133" s="214" t="s">
        <v>1861</v>
      </c>
      <c r="T1133" s="227" t="s">
        <v>1926</v>
      </c>
      <c r="U1133" t="s">
        <v>1953</v>
      </c>
      <c r="V1133" t="s">
        <v>2813</v>
      </c>
    </row>
    <row r="1134" spans="1:22" ht="15.75" thickBot="1" x14ac:dyDescent="0.3">
      <c r="A1134" s="227" t="s">
        <v>1915</v>
      </c>
      <c r="B1134" s="227" t="s">
        <v>1915</v>
      </c>
      <c r="C1134" s="227" t="s">
        <v>1915</v>
      </c>
      <c r="D1134" s="238" t="s">
        <v>1920</v>
      </c>
      <c r="E1134" s="256" t="s">
        <v>2231</v>
      </c>
      <c r="F1134" s="227" t="s">
        <v>620</v>
      </c>
      <c r="G1134" s="250">
        <v>2021</v>
      </c>
      <c r="H1134" s="313" t="s">
        <v>733</v>
      </c>
      <c r="I1134" s="308" t="str">
        <f t="shared" si="60"/>
        <v>Pesado de Mercadorias N3: Geral : Gasóleo : E6</v>
      </c>
      <c r="J1134" s="227"/>
      <c r="K1134" s="249">
        <v>2022</v>
      </c>
      <c r="L1134" s="227">
        <v>36866.199999999997</v>
      </c>
      <c r="M1134" s="227" t="s">
        <v>630</v>
      </c>
      <c r="N1134" s="227">
        <v>80507</v>
      </c>
      <c r="O1134" s="128">
        <f t="shared" si="61"/>
        <v>0</v>
      </c>
      <c r="P1134" s="250"/>
      <c r="Q1134" s="227" t="s">
        <v>2201</v>
      </c>
      <c r="R1134" s="214" t="s">
        <v>1869</v>
      </c>
      <c r="S1134" s="214" t="s">
        <v>1861</v>
      </c>
      <c r="T1134" s="227" t="s">
        <v>1926</v>
      </c>
      <c r="U1134" t="s">
        <v>1953</v>
      </c>
      <c r="V1134" t="s">
        <v>2813</v>
      </c>
    </row>
    <row r="1135" spans="1:22" ht="15.75" thickBot="1" x14ac:dyDescent="0.3">
      <c r="A1135" s="227" t="s">
        <v>1915</v>
      </c>
      <c r="B1135" s="227" t="s">
        <v>1915</v>
      </c>
      <c r="C1135" s="227" t="s">
        <v>1915</v>
      </c>
      <c r="D1135" s="238" t="s">
        <v>1920</v>
      </c>
      <c r="E1135" s="256" t="s">
        <v>2231</v>
      </c>
      <c r="F1135" s="227" t="s">
        <v>620</v>
      </c>
      <c r="G1135" s="250">
        <v>2021</v>
      </c>
      <c r="H1135" s="313" t="s">
        <v>733</v>
      </c>
      <c r="I1135" s="308" t="str">
        <f t="shared" si="60"/>
        <v>Pesado de Mercadorias N3: Geral : Gasóleo : E6</v>
      </c>
      <c r="J1135" s="227"/>
      <c r="K1135" s="249">
        <v>2022</v>
      </c>
      <c r="L1135" s="227">
        <v>40751.67</v>
      </c>
      <c r="M1135" s="227" t="s">
        <v>630</v>
      </c>
      <c r="N1135" s="227">
        <v>85999</v>
      </c>
      <c r="O1135" s="128">
        <f t="shared" si="61"/>
        <v>0</v>
      </c>
      <c r="P1135" s="250"/>
      <c r="Q1135" s="227" t="s">
        <v>2201</v>
      </c>
      <c r="R1135" s="214" t="s">
        <v>1869</v>
      </c>
      <c r="S1135" s="214" t="s">
        <v>1861</v>
      </c>
      <c r="T1135" s="227" t="s">
        <v>1926</v>
      </c>
      <c r="U1135" t="s">
        <v>1953</v>
      </c>
      <c r="V1135" t="s">
        <v>2813</v>
      </c>
    </row>
    <row r="1136" spans="1:22" ht="15.75" thickBot="1" x14ac:dyDescent="0.3">
      <c r="A1136" s="227" t="s">
        <v>1915</v>
      </c>
      <c r="B1136" s="227" t="s">
        <v>1915</v>
      </c>
      <c r="C1136" s="227" t="s">
        <v>1915</v>
      </c>
      <c r="D1136" s="238" t="s">
        <v>1920</v>
      </c>
      <c r="E1136" s="256" t="s">
        <v>2231</v>
      </c>
      <c r="F1136" s="227" t="s">
        <v>620</v>
      </c>
      <c r="G1136" s="250">
        <v>2021</v>
      </c>
      <c r="H1136" s="313" t="s">
        <v>733</v>
      </c>
      <c r="I1136" s="308" t="str">
        <f t="shared" si="60"/>
        <v>Pesado de Mercadorias N3: Geral : Gasóleo : E6</v>
      </c>
      <c r="J1136" s="227"/>
      <c r="K1136" s="249">
        <v>2022</v>
      </c>
      <c r="L1136" s="227">
        <v>42136.56</v>
      </c>
      <c r="M1136" s="227" t="s">
        <v>630</v>
      </c>
      <c r="N1136" s="227">
        <v>95003</v>
      </c>
      <c r="O1136" s="128">
        <f t="shared" si="61"/>
        <v>0</v>
      </c>
      <c r="P1136" s="250"/>
      <c r="Q1136" s="227" t="s">
        <v>2201</v>
      </c>
      <c r="R1136" s="214" t="s">
        <v>1869</v>
      </c>
      <c r="S1136" s="214" t="s">
        <v>1861</v>
      </c>
      <c r="T1136" s="227" t="s">
        <v>1926</v>
      </c>
      <c r="U1136" t="s">
        <v>1953</v>
      </c>
      <c r="V1136" t="s">
        <v>2813</v>
      </c>
    </row>
    <row r="1137" spans="1:22" ht="15.75" thickBot="1" x14ac:dyDescent="0.3">
      <c r="A1137" s="227" t="s">
        <v>1915</v>
      </c>
      <c r="B1137" s="227" t="s">
        <v>1915</v>
      </c>
      <c r="C1137" s="227" t="s">
        <v>1915</v>
      </c>
      <c r="D1137" s="238" t="s">
        <v>1920</v>
      </c>
      <c r="E1137" s="256" t="s">
        <v>2231</v>
      </c>
      <c r="F1137" s="227" t="s">
        <v>620</v>
      </c>
      <c r="G1137" s="250">
        <v>2021</v>
      </c>
      <c r="H1137" s="313" t="s">
        <v>733</v>
      </c>
      <c r="I1137" s="308" t="str">
        <f t="shared" si="60"/>
        <v>Pesado de Mercadorias N3: Geral : Gasóleo : E6</v>
      </c>
      <c r="J1137" s="227"/>
      <c r="K1137" s="249">
        <v>2022</v>
      </c>
      <c r="L1137" s="227">
        <v>32037.66</v>
      </c>
      <c r="M1137" s="227" t="s">
        <v>630</v>
      </c>
      <c r="N1137" s="227">
        <v>65454</v>
      </c>
      <c r="O1137" s="128">
        <f t="shared" si="61"/>
        <v>0</v>
      </c>
      <c r="P1137" s="250"/>
      <c r="Q1137" s="227" t="s">
        <v>2201</v>
      </c>
      <c r="R1137" s="214" t="s">
        <v>1869</v>
      </c>
      <c r="S1137" s="214" t="s">
        <v>1861</v>
      </c>
      <c r="T1137" s="227" t="s">
        <v>1926</v>
      </c>
      <c r="U1137" t="s">
        <v>1953</v>
      </c>
      <c r="V1137" t="s">
        <v>2813</v>
      </c>
    </row>
    <row r="1138" spans="1:22" ht="15.75" thickBot="1" x14ac:dyDescent="0.3">
      <c r="A1138" s="227" t="s">
        <v>1915</v>
      </c>
      <c r="B1138" s="227" t="s">
        <v>1915</v>
      </c>
      <c r="C1138" s="227" t="s">
        <v>1915</v>
      </c>
      <c r="D1138" s="238" t="s">
        <v>1920</v>
      </c>
      <c r="E1138" s="256" t="s">
        <v>2231</v>
      </c>
      <c r="F1138" s="227" t="s">
        <v>620</v>
      </c>
      <c r="G1138" s="250">
        <v>2021</v>
      </c>
      <c r="H1138" s="313" t="s">
        <v>733</v>
      </c>
      <c r="I1138" s="308" t="str">
        <f t="shared" si="60"/>
        <v>Pesado de Mercadorias N3: Geral : Gasóleo : E6</v>
      </c>
      <c r="J1138" s="227"/>
      <c r="K1138" s="249">
        <v>2022</v>
      </c>
      <c r="L1138" s="227">
        <v>32247.25</v>
      </c>
      <c r="M1138" s="227" t="s">
        <v>630</v>
      </c>
      <c r="N1138" s="227">
        <v>70161</v>
      </c>
      <c r="O1138" s="128">
        <f t="shared" si="61"/>
        <v>0</v>
      </c>
      <c r="P1138" s="250"/>
      <c r="Q1138" s="227" t="s">
        <v>2201</v>
      </c>
      <c r="R1138" s="214" t="s">
        <v>1869</v>
      </c>
      <c r="S1138" s="214" t="s">
        <v>1861</v>
      </c>
      <c r="T1138" s="227" t="s">
        <v>1926</v>
      </c>
      <c r="U1138" t="s">
        <v>1953</v>
      </c>
      <c r="V1138" t="s">
        <v>2813</v>
      </c>
    </row>
    <row r="1139" spans="1:22" ht="15.75" thickBot="1" x14ac:dyDescent="0.3">
      <c r="A1139" s="227" t="s">
        <v>1915</v>
      </c>
      <c r="B1139" s="227" t="s">
        <v>1915</v>
      </c>
      <c r="C1139" s="227" t="s">
        <v>1915</v>
      </c>
      <c r="D1139" s="238" t="s">
        <v>1920</v>
      </c>
      <c r="E1139" s="256" t="s">
        <v>2231</v>
      </c>
      <c r="F1139" s="227" t="s">
        <v>620</v>
      </c>
      <c r="G1139" s="250">
        <v>2021</v>
      </c>
      <c r="H1139" s="313" t="s">
        <v>733</v>
      </c>
      <c r="I1139" s="308" t="str">
        <f t="shared" si="60"/>
        <v>Pesado de Mercadorias N3: Geral : Gasóleo : E6</v>
      </c>
      <c r="J1139" s="227"/>
      <c r="K1139" s="249">
        <v>2022</v>
      </c>
      <c r="L1139" s="227">
        <v>35889.68</v>
      </c>
      <c r="M1139" s="227" t="s">
        <v>630</v>
      </c>
      <c r="N1139" s="227">
        <v>81071</v>
      </c>
      <c r="O1139" s="128">
        <f t="shared" si="61"/>
        <v>0</v>
      </c>
      <c r="P1139" s="250"/>
      <c r="Q1139" s="227" t="s">
        <v>2201</v>
      </c>
      <c r="R1139" s="214" t="s">
        <v>1869</v>
      </c>
      <c r="S1139" s="214" t="s">
        <v>1861</v>
      </c>
      <c r="T1139" s="227" t="s">
        <v>1926</v>
      </c>
      <c r="U1139" t="s">
        <v>1953</v>
      </c>
      <c r="V1139" t="s">
        <v>2813</v>
      </c>
    </row>
    <row r="1140" spans="1:22" ht="15.75" thickBot="1" x14ac:dyDescent="0.3">
      <c r="A1140" s="227" t="s">
        <v>1915</v>
      </c>
      <c r="B1140" s="227" t="s">
        <v>1915</v>
      </c>
      <c r="C1140" s="227" t="s">
        <v>1915</v>
      </c>
      <c r="D1140" s="238" t="s">
        <v>1920</v>
      </c>
      <c r="E1140" s="256" t="s">
        <v>2231</v>
      </c>
      <c r="F1140" s="227" t="s">
        <v>620</v>
      </c>
      <c r="G1140" s="250">
        <v>2021</v>
      </c>
      <c r="H1140" s="313" t="s">
        <v>733</v>
      </c>
      <c r="I1140" s="308" t="str">
        <f t="shared" si="60"/>
        <v>Pesado de Mercadorias N3: Geral : Gasóleo : E6</v>
      </c>
      <c r="J1140" s="227"/>
      <c r="K1140" s="249">
        <v>2022</v>
      </c>
      <c r="L1140" s="227">
        <v>37471.050000000003</v>
      </c>
      <c r="M1140" s="227" t="s">
        <v>630</v>
      </c>
      <c r="N1140" s="227">
        <v>79667</v>
      </c>
      <c r="O1140" s="128">
        <f t="shared" si="61"/>
        <v>0</v>
      </c>
      <c r="P1140" s="250"/>
      <c r="Q1140" s="227" t="s">
        <v>2201</v>
      </c>
      <c r="R1140" s="214" t="s">
        <v>1869</v>
      </c>
      <c r="S1140" s="214" t="s">
        <v>1861</v>
      </c>
      <c r="T1140" s="227" t="s">
        <v>1926</v>
      </c>
      <c r="U1140" t="s">
        <v>1953</v>
      </c>
      <c r="V1140" t="s">
        <v>2813</v>
      </c>
    </row>
    <row r="1141" spans="1:22" ht="15.75" thickBot="1" x14ac:dyDescent="0.3">
      <c r="A1141" s="227" t="s">
        <v>1915</v>
      </c>
      <c r="B1141" s="227" t="s">
        <v>1915</v>
      </c>
      <c r="C1141" s="227" t="s">
        <v>1915</v>
      </c>
      <c r="D1141" s="238" t="s">
        <v>1920</v>
      </c>
      <c r="E1141" s="256" t="s">
        <v>2231</v>
      </c>
      <c r="F1141" s="227" t="s">
        <v>620</v>
      </c>
      <c r="G1141" s="250">
        <v>2021</v>
      </c>
      <c r="H1141" s="313" t="s">
        <v>733</v>
      </c>
      <c r="I1141" s="308" t="str">
        <f t="shared" si="60"/>
        <v>Pesado de Mercadorias N3: Geral : Gasóleo : E6</v>
      </c>
      <c r="J1141" s="227"/>
      <c r="K1141" s="249">
        <v>2022</v>
      </c>
      <c r="L1141" s="227">
        <v>18703.13</v>
      </c>
      <c r="M1141" s="227" t="s">
        <v>630</v>
      </c>
      <c r="N1141" s="227">
        <v>42464</v>
      </c>
      <c r="O1141" s="128">
        <f t="shared" si="61"/>
        <v>0</v>
      </c>
      <c r="P1141" s="250"/>
      <c r="Q1141" s="227" t="s">
        <v>2201</v>
      </c>
      <c r="R1141" s="214" t="s">
        <v>1869</v>
      </c>
      <c r="S1141" s="214" t="s">
        <v>1861</v>
      </c>
      <c r="T1141" s="227" t="s">
        <v>1926</v>
      </c>
      <c r="U1141" t="s">
        <v>1953</v>
      </c>
      <c r="V1141" t="s">
        <v>2813</v>
      </c>
    </row>
    <row r="1142" spans="1:22" ht="15.75" thickBot="1" x14ac:dyDescent="0.3">
      <c r="A1142" s="227" t="s">
        <v>1915</v>
      </c>
      <c r="B1142" s="227" t="s">
        <v>1915</v>
      </c>
      <c r="C1142" s="227" t="s">
        <v>1915</v>
      </c>
      <c r="D1142" s="238" t="s">
        <v>1920</v>
      </c>
      <c r="E1142" s="256" t="s">
        <v>2231</v>
      </c>
      <c r="F1142" s="227" t="s">
        <v>620</v>
      </c>
      <c r="G1142" s="250">
        <v>2021</v>
      </c>
      <c r="H1142" s="313" t="s">
        <v>733</v>
      </c>
      <c r="I1142" s="308" t="str">
        <f t="shared" si="60"/>
        <v>Pesado de Mercadorias N3: Geral : Gasóleo : E6</v>
      </c>
      <c r="J1142" s="227"/>
      <c r="K1142" s="249">
        <v>2022</v>
      </c>
      <c r="L1142" s="227">
        <v>23630.86</v>
      </c>
      <c r="M1142" s="227" t="s">
        <v>630</v>
      </c>
      <c r="N1142" s="227">
        <v>54541</v>
      </c>
      <c r="O1142" s="128">
        <f t="shared" si="61"/>
        <v>0</v>
      </c>
      <c r="P1142" s="250"/>
      <c r="Q1142" s="227" t="s">
        <v>2201</v>
      </c>
      <c r="R1142" s="214" t="s">
        <v>1869</v>
      </c>
      <c r="S1142" s="214" t="s">
        <v>1861</v>
      </c>
      <c r="T1142" s="227" t="s">
        <v>1926</v>
      </c>
      <c r="U1142" t="s">
        <v>1953</v>
      </c>
      <c r="V1142" t="s">
        <v>2813</v>
      </c>
    </row>
    <row r="1143" spans="1:22" ht="15.75" thickBot="1" x14ac:dyDescent="0.3">
      <c r="A1143" s="227" t="s">
        <v>1915</v>
      </c>
      <c r="B1143" s="227" t="s">
        <v>1915</v>
      </c>
      <c r="C1143" s="227" t="s">
        <v>1915</v>
      </c>
      <c r="D1143" s="238" t="s">
        <v>1920</v>
      </c>
      <c r="E1143" s="256" t="s">
        <v>2231</v>
      </c>
      <c r="F1143" s="227" t="s">
        <v>620</v>
      </c>
      <c r="G1143" s="250">
        <v>2021</v>
      </c>
      <c r="H1143" s="313" t="s">
        <v>733</v>
      </c>
      <c r="I1143" s="308" t="str">
        <f t="shared" si="60"/>
        <v>Pesado de Mercadorias N3: Geral : Gasóleo : E6</v>
      </c>
      <c r="J1143" s="227"/>
      <c r="K1143" s="249">
        <v>2022</v>
      </c>
      <c r="L1143" s="227">
        <v>34819.879999999997</v>
      </c>
      <c r="M1143" s="227" t="s">
        <v>630</v>
      </c>
      <c r="N1143" s="227">
        <v>73443</v>
      </c>
      <c r="O1143" s="128">
        <f t="shared" si="61"/>
        <v>0</v>
      </c>
      <c r="P1143" s="250"/>
      <c r="Q1143" s="227" t="s">
        <v>2201</v>
      </c>
      <c r="R1143" s="214" t="s">
        <v>1869</v>
      </c>
      <c r="S1143" s="214" t="s">
        <v>1861</v>
      </c>
      <c r="T1143" s="227" t="s">
        <v>1926</v>
      </c>
      <c r="U1143" t="s">
        <v>1953</v>
      </c>
      <c r="V1143" t="s">
        <v>2813</v>
      </c>
    </row>
    <row r="1144" spans="1:22" ht="15.75" thickBot="1" x14ac:dyDescent="0.3">
      <c r="A1144" s="227" t="s">
        <v>1915</v>
      </c>
      <c r="B1144" s="227" t="s">
        <v>1915</v>
      </c>
      <c r="C1144" s="227" t="s">
        <v>1915</v>
      </c>
      <c r="D1144" s="238" t="s">
        <v>1920</v>
      </c>
      <c r="E1144" s="256" t="s">
        <v>2231</v>
      </c>
      <c r="F1144" s="227" t="s">
        <v>620</v>
      </c>
      <c r="G1144" s="250">
        <v>2022</v>
      </c>
      <c r="H1144" s="313" t="s">
        <v>733</v>
      </c>
      <c r="I1144" s="308" t="str">
        <f t="shared" si="60"/>
        <v>Pesado de Mercadorias N3: Geral : Gasóleo : E6</v>
      </c>
      <c r="J1144" s="227"/>
      <c r="K1144" s="249">
        <v>2022</v>
      </c>
      <c r="L1144" s="227">
        <v>37863.839999999997</v>
      </c>
      <c r="M1144" s="227" t="s">
        <v>630</v>
      </c>
      <c r="N1144" s="227">
        <v>85600</v>
      </c>
      <c r="O1144" s="128">
        <f t="shared" si="61"/>
        <v>0</v>
      </c>
      <c r="P1144" s="250"/>
      <c r="Q1144" s="227" t="s">
        <v>2201</v>
      </c>
      <c r="R1144" s="214" t="s">
        <v>1869</v>
      </c>
      <c r="S1144" s="214" t="s">
        <v>1861</v>
      </c>
      <c r="T1144" s="227" t="s">
        <v>1926</v>
      </c>
      <c r="U1144" t="s">
        <v>1953</v>
      </c>
      <c r="V1144" t="s">
        <v>2813</v>
      </c>
    </row>
    <row r="1145" spans="1:22" ht="15.75" thickBot="1" x14ac:dyDescent="0.3">
      <c r="A1145" s="227" t="s">
        <v>1915</v>
      </c>
      <c r="B1145" s="227" t="s">
        <v>1915</v>
      </c>
      <c r="C1145" s="227" t="s">
        <v>1915</v>
      </c>
      <c r="D1145" s="238" t="s">
        <v>1920</v>
      </c>
      <c r="E1145" s="256" t="s">
        <v>2231</v>
      </c>
      <c r="F1145" s="227" t="s">
        <v>620</v>
      </c>
      <c r="G1145" s="250">
        <v>2022</v>
      </c>
      <c r="H1145" s="313" t="s">
        <v>733</v>
      </c>
      <c r="I1145" s="308" t="str">
        <f t="shared" si="60"/>
        <v>Pesado de Mercadorias N3: Geral : Gasóleo : E6</v>
      </c>
      <c r="J1145" s="227"/>
      <c r="K1145" s="249">
        <v>2022</v>
      </c>
      <c r="L1145" s="227">
        <v>34097.11</v>
      </c>
      <c r="M1145" s="227" t="s">
        <v>630</v>
      </c>
      <c r="N1145" s="227">
        <v>73933</v>
      </c>
      <c r="O1145" s="128">
        <f t="shared" si="61"/>
        <v>0</v>
      </c>
      <c r="P1145" s="250"/>
      <c r="Q1145" s="227" t="s">
        <v>2201</v>
      </c>
      <c r="R1145" s="214" t="s">
        <v>1869</v>
      </c>
      <c r="S1145" s="214" t="s">
        <v>1861</v>
      </c>
      <c r="T1145" s="227" t="s">
        <v>1926</v>
      </c>
      <c r="U1145" t="s">
        <v>1953</v>
      </c>
      <c r="V1145" t="s">
        <v>2813</v>
      </c>
    </row>
    <row r="1146" spans="1:22" ht="15.75" thickBot="1" x14ac:dyDescent="0.3">
      <c r="A1146" s="227" t="s">
        <v>1915</v>
      </c>
      <c r="B1146" s="227" t="s">
        <v>1915</v>
      </c>
      <c r="C1146" s="227" t="s">
        <v>1915</v>
      </c>
      <c r="D1146" s="238" t="s">
        <v>1920</v>
      </c>
      <c r="E1146" s="256" t="s">
        <v>2231</v>
      </c>
      <c r="F1146" s="227" t="s">
        <v>620</v>
      </c>
      <c r="G1146" s="250">
        <v>2022</v>
      </c>
      <c r="H1146" s="313" t="s">
        <v>733</v>
      </c>
      <c r="I1146" s="308" t="str">
        <f t="shared" si="60"/>
        <v>Pesado de Mercadorias N3: Geral : Gasóleo : E6</v>
      </c>
      <c r="J1146" s="227"/>
      <c r="K1146" s="249">
        <v>2022</v>
      </c>
      <c r="L1146" s="227">
        <v>35218.42</v>
      </c>
      <c r="M1146" s="227" t="s">
        <v>630</v>
      </c>
      <c r="N1146" s="227">
        <v>80735</v>
      </c>
      <c r="O1146" s="128">
        <f t="shared" si="61"/>
        <v>0</v>
      </c>
      <c r="P1146" s="250"/>
      <c r="Q1146" s="227" t="s">
        <v>2201</v>
      </c>
      <c r="R1146" s="214" t="s">
        <v>1869</v>
      </c>
      <c r="S1146" s="214" t="s">
        <v>1861</v>
      </c>
      <c r="T1146" s="227" t="s">
        <v>1926</v>
      </c>
      <c r="U1146" t="s">
        <v>1953</v>
      </c>
      <c r="V1146" t="s">
        <v>2813</v>
      </c>
    </row>
    <row r="1147" spans="1:22" ht="15.75" thickBot="1" x14ac:dyDescent="0.3">
      <c r="A1147" s="227" t="s">
        <v>1915</v>
      </c>
      <c r="B1147" s="227" t="s">
        <v>1915</v>
      </c>
      <c r="C1147" s="227" t="s">
        <v>1915</v>
      </c>
      <c r="D1147" s="238" t="s">
        <v>1920</v>
      </c>
      <c r="E1147" s="256" t="s">
        <v>2231</v>
      </c>
      <c r="F1147" s="227" t="s">
        <v>620</v>
      </c>
      <c r="G1147" s="250">
        <v>2022</v>
      </c>
      <c r="H1147" s="313" t="s">
        <v>733</v>
      </c>
      <c r="I1147" s="308" t="str">
        <f t="shared" si="60"/>
        <v>Pesado de Mercadorias N3: Geral : Gasóleo : E6</v>
      </c>
      <c r="J1147" s="227"/>
      <c r="K1147" s="249">
        <v>2022</v>
      </c>
      <c r="L1147" s="227">
        <v>25066.02</v>
      </c>
      <c r="M1147" s="227" t="s">
        <v>630</v>
      </c>
      <c r="N1147" s="227">
        <v>52285</v>
      </c>
      <c r="O1147" s="128">
        <f t="shared" si="61"/>
        <v>0</v>
      </c>
      <c r="P1147" s="250"/>
      <c r="Q1147" s="227" t="s">
        <v>2201</v>
      </c>
      <c r="R1147" s="214" t="s">
        <v>1869</v>
      </c>
      <c r="S1147" s="214" t="s">
        <v>1861</v>
      </c>
      <c r="T1147" s="227" t="s">
        <v>1926</v>
      </c>
      <c r="U1147" t="s">
        <v>1953</v>
      </c>
      <c r="V1147" t="s">
        <v>2813</v>
      </c>
    </row>
    <row r="1148" spans="1:22" ht="15.75" thickBot="1" x14ac:dyDescent="0.3">
      <c r="A1148" s="227" t="s">
        <v>1915</v>
      </c>
      <c r="B1148" s="227" t="s">
        <v>1915</v>
      </c>
      <c r="C1148" s="227" t="s">
        <v>1915</v>
      </c>
      <c r="D1148" s="238" t="s">
        <v>1920</v>
      </c>
      <c r="E1148" s="256" t="s">
        <v>2231</v>
      </c>
      <c r="F1148" s="227" t="s">
        <v>620</v>
      </c>
      <c r="G1148" s="250">
        <v>2022</v>
      </c>
      <c r="H1148" s="313" t="s">
        <v>733</v>
      </c>
      <c r="I1148" s="308" t="str">
        <f t="shared" si="60"/>
        <v>Pesado de Mercadorias N3: Geral : Gasóleo : E6</v>
      </c>
      <c r="J1148" s="227"/>
      <c r="K1148" s="249">
        <v>2022</v>
      </c>
      <c r="L1148" s="227">
        <v>22129.8</v>
      </c>
      <c r="M1148" s="227" t="s">
        <v>630</v>
      </c>
      <c r="N1148" s="227">
        <v>81504</v>
      </c>
      <c r="O1148" s="128">
        <f t="shared" si="61"/>
        <v>0</v>
      </c>
      <c r="P1148" s="250"/>
      <c r="Q1148" s="227" t="s">
        <v>2201</v>
      </c>
      <c r="R1148" s="214" t="s">
        <v>1869</v>
      </c>
      <c r="S1148" s="214" t="s">
        <v>1861</v>
      </c>
      <c r="T1148" s="227" t="s">
        <v>1926</v>
      </c>
      <c r="U1148" t="s">
        <v>1953</v>
      </c>
      <c r="V1148" t="s">
        <v>2813</v>
      </c>
    </row>
    <row r="1149" spans="1:22" ht="15.75" thickBot="1" x14ac:dyDescent="0.3">
      <c r="A1149" s="227" t="s">
        <v>1915</v>
      </c>
      <c r="B1149" s="227" t="s">
        <v>1915</v>
      </c>
      <c r="C1149" s="227" t="s">
        <v>1915</v>
      </c>
      <c r="D1149" s="238" t="s">
        <v>1920</v>
      </c>
      <c r="E1149" s="256" t="s">
        <v>2231</v>
      </c>
      <c r="F1149" s="227" t="s">
        <v>620</v>
      </c>
      <c r="G1149" s="250">
        <v>2022</v>
      </c>
      <c r="H1149" s="313" t="s">
        <v>733</v>
      </c>
      <c r="I1149" s="308" t="str">
        <f t="shared" si="60"/>
        <v>Pesado de Mercadorias N3: Geral : Gasóleo : E6</v>
      </c>
      <c r="J1149" s="227"/>
      <c r="K1149" s="249">
        <v>2022</v>
      </c>
      <c r="L1149" s="227">
        <v>18770.18</v>
      </c>
      <c r="M1149" s="227" t="s">
        <v>630</v>
      </c>
      <c r="N1149" s="227">
        <v>69097</v>
      </c>
      <c r="O1149" s="128">
        <f t="shared" si="61"/>
        <v>0</v>
      </c>
      <c r="P1149" s="250"/>
      <c r="Q1149" s="227" t="s">
        <v>2201</v>
      </c>
      <c r="R1149" s="214" t="s">
        <v>1869</v>
      </c>
      <c r="S1149" s="214" t="s">
        <v>1861</v>
      </c>
      <c r="T1149" s="227" t="s">
        <v>1926</v>
      </c>
      <c r="U1149" t="s">
        <v>1953</v>
      </c>
      <c r="V1149" t="s">
        <v>2813</v>
      </c>
    </row>
    <row r="1150" spans="1:22" ht="15.75" thickBot="1" x14ac:dyDescent="0.3">
      <c r="A1150" s="227" t="s">
        <v>1915</v>
      </c>
      <c r="B1150" s="227" t="s">
        <v>1915</v>
      </c>
      <c r="C1150" s="227" t="s">
        <v>1915</v>
      </c>
      <c r="D1150" s="238" t="s">
        <v>1920</v>
      </c>
      <c r="E1150" s="256" t="s">
        <v>2231</v>
      </c>
      <c r="F1150" s="227" t="s">
        <v>620</v>
      </c>
      <c r="G1150" s="250">
        <v>2022</v>
      </c>
      <c r="H1150" s="313" t="s">
        <v>733</v>
      </c>
      <c r="I1150" s="308" t="str">
        <f t="shared" si="60"/>
        <v>Pesado de Mercadorias N3: Geral : Gasóleo : E6</v>
      </c>
      <c r="J1150" s="227"/>
      <c r="K1150" s="249">
        <v>2022</v>
      </c>
      <c r="L1150" s="227">
        <v>42946.39</v>
      </c>
      <c r="M1150" s="227" t="s">
        <v>630</v>
      </c>
      <c r="N1150" s="227">
        <v>113659</v>
      </c>
      <c r="O1150" s="128">
        <f t="shared" si="61"/>
        <v>0</v>
      </c>
      <c r="P1150" s="250"/>
      <c r="Q1150" s="227" t="s">
        <v>2201</v>
      </c>
      <c r="R1150" s="214" t="s">
        <v>1869</v>
      </c>
      <c r="S1150" s="214" t="s">
        <v>1861</v>
      </c>
      <c r="T1150" s="227" t="s">
        <v>1926</v>
      </c>
      <c r="U1150" t="s">
        <v>1953</v>
      </c>
      <c r="V1150" t="s">
        <v>2813</v>
      </c>
    </row>
    <row r="1151" spans="1:22" ht="15.75" thickBot="1" x14ac:dyDescent="0.3">
      <c r="A1151" s="227" t="s">
        <v>1915</v>
      </c>
      <c r="B1151" s="227" t="s">
        <v>1915</v>
      </c>
      <c r="C1151" s="227" t="s">
        <v>1915</v>
      </c>
      <c r="D1151" s="238" t="s">
        <v>1920</v>
      </c>
      <c r="E1151" s="256" t="s">
        <v>2231</v>
      </c>
      <c r="F1151" s="227" t="s">
        <v>620</v>
      </c>
      <c r="G1151" s="250">
        <v>2022</v>
      </c>
      <c r="H1151" s="313" t="s">
        <v>733</v>
      </c>
      <c r="I1151" s="308" t="str">
        <f t="shared" si="60"/>
        <v>Pesado de Mercadorias N3: Geral : Gasóleo : E6</v>
      </c>
      <c r="J1151" s="227"/>
      <c r="K1151" s="249">
        <v>2022</v>
      </c>
      <c r="L1151" s="227">
        <v>16059.03</v>
      </c>
      <c r="M1151" s="227" t="s">
        <v>630</v>
      </c>
      <c r="N1151" s="227">
        <v>43123</v>
      </c>
      <c r="O1151" s="128">
        <f t="shared" si="61"/>
        <v>0</v>
      </c>
      <c r="P1151" s="250"/>
      <c r="Q1151" s="227" t="s">
        <v>2201</v>
      </c>
      <c r="R1151" s="214" t="s">
        <v>1869</v>
      </c>
      <c r="S1151" s="214" t="s">
        <v>1861</v>
      </c>
      <c r="T1151" s="227" t="s">
        <v>1926</v>
      </c>
      <c r="U1151" t="s">
        <v>1953</v>
      </c>
      <c r="V1151" t="s">
        <v>2813</v>
      </c>
    </row>
    <row r="1152" spans="1:22" ht="15.75" thickBot="1" x14ac:dyDescent="0.3">
      <c r="A1152" s="227" t="s">
        <v>1915</v>
      </c>
      <c r="B1152" s="227" t="s">
        <v>1915</v>
      </c>
      <c r="C1152" s="227" t="s">
        <v>1915</v>
      </c>
      <c r="D1152" s="238" t="s">
        <v>1920</v>
      </c>
      <c r="E1152" s="256" t="s">
        <v>2231</v>
      </c>
      <c r="F1152" s="227" t="s">
        <v>620</v>
      </c>
      <c r="G1152" s="250">
        <v>2022</v>
      </c>
      <c r="H1152" s="313" t="s">
        <v>733</v>
      </c>
      <c r="I1152" s="308" t="str">
        <f t="shared" si="60"/>
        <v>Pesado de Mercadorias N3: Geral : Gasóleo : E6</v>
      </c>
      <c r="J1152" s="227"/>
      <c r="K1152" s="249">
        <v>2022</v>
      </c>
      <c r="L1152" s="227">
        <v>30250.32</v>
      </c>
      <c r="M1152" s="227" t="s">
        <v>630</v>
      </c>
      <c r="N1152" s="227">
        <v>75189</v>
      </c>
      <c r="O1152" s="128">
        <f t="shared" si="61"/>
        <v>0</v>
      </c>
      <c r="P1152" s="250"/>
      <c r="Q1152" s="227" t="s">
        <v>2201</v>
      </c>
      <c r="R1152" s="214" t="s">
        <v>1869</v>
      </c>
      <c r="S1152" s="214" t="s">
        <v>1861</v>
      </c>
      <c r="T1152" s="227" t="s">
        <v>1926</v>
      </c>
      <c r="U1152" t="s">
        <v>1953</v>
      </c>
      <c r="V1152" t="s">
        <v>2813</v>
      </c>
    </row>
    <row r="1153" spans="1:22" ht="15.75" thickBot="1" x14ac:dyDescent="0.3">
      <c r="A1153" s="227" t="s">
        <v>1915</v>
      </c>
      <c r="B1153" s="227" t="s">
        <v>1915</v>
      </c>
      <c r="C1153" s="227" t="s">
        <v>1915</v>
      </c>
      <c r="D1153" s="238" t="s">
        <v>1920</v>
      </c>
      <c r="E1153" s="256" t="s">
        <v>2231</v>
      </c>
      <c r="F1153" s="227" t="s">
        <v>620</v>
      </c>
      <c r="G1153" s="250">
        <v>2022</v>
      </c>
      <c r="H1153" s="313" t="s">
        <v>733</v>
      </c>
      <c r="I1153" s="308" t="str">
        <f t="shared" si="60"/>
        <v>Pesado de Mercadorias N3: Geral : Gasóleo : E6</v>
      </c>
      <c r="J1153" s="227"/>
      <c r="K1153" s="249">
        <v>2022</v>
      </c>
      <c r="L1153" s="227">
        <v>27107.360000000001</v>
      </c>
      <c r="M1153" s="227" t="s">
        <v>630</v>
      </c>
      <c r="N1153" s="227">
        <v>58977</v>
      </c>
      <c r="O1153" s="128">
        <f t="shared" si="61"/>
        <v>0</v>
      </c>
      <c r="P1153" s="250"/>
      <c r="Q1153" s="227" t="s">
        <v>2201</v>
      </c>
      <c r="R1153" s="214" t="s">
        <v>1869</v>
      </c>
      <c r="S1153" s="214" t="s">
        <v>1861</v>
      </c>
      <c r="T1153" s="227" t="s">
        <v>1926</v>
      </c>
      <c r="U1153" t="s">
        <v>1953</v>
      </c>
      <c r="V1153" t="s">
        <v>2813</v>
      </c>
    </row>
    <row r="1154" spans="1:22" ht="15.75" thickBot="1" x14ac:dyDescent="0.3">
      <c r="A1154" s="227" t="s">
        <v>1915</v>
      </c>
      <c r="B1154" s="227" t="s">
        <v>1915</v>
      </c>
      <c r="C1154" s="227" t="s">
        <v>1915</v>
      </c>
      <c r="D1154" s="238" t="s">
        <v>1920</v>
      </c>
      <c r="E1154" s="256" t="s">
        <v>2231</v>
      </c>
      <c r="F1154" s="227" t="s">
        <v>620</v>
      </c>
      <c r="G1154" s="250">
        <v>2022</v>
      </c>
      <c r="H1154" s="313" t="s">
        <v>733</v>
      </c>
      <c r="I1154" s="308" t="str">
        <f t="shared" si="60"/>
        <v>Pesado de Mercadorias N3: Geral : Gasóleo : E6</v>
      </c>
      <c r="J1154" s="227"/>
      <c r="K1154" s="249">
        <v>2022</v>
      </c>
      <c r="L1154" s="227">
        <v>26473.81</v>
      </c>
      <c r="M1154" s="227" t="s">
        <v>630</v>
      </c>
      <c r="N1154" s="227">
        <v>66758</v>
      </c>
      <c r="O1154" s="128">
        <f t="shared" si="61"/>
        <v>0</v>
      </c>
      <c r="P1154" s="250"/>
      <c r="Q1154" s="227" t="s">
        <v>2201</v>
      </c>
      <c r="R1154" s="214" t="s">
        <v>1869</v>
      </c>
      <c r="S1154" s="214" t="s">
        <v>1861</v>
      </c>
      <c r="T1154" s="227" t="s">
        <v>1926</v>
      </c>
      <c r="U1154" t="s">
        <v>1953</v>
      </c>
      <c r="V1154" t="s">
        <v>2813</v>
      </c>
    </row>
    <row r="1155" spans="1:22" ht="15.75" thickBot="1" x14ac:dyDescent="0.3">
      <c r="A1155" s="227" t="s">
        <v>1915</v>
      </c>
      <c r="B1155" s="227" t="s">
        <v>1915</v>
      </c>
      <c r="C1155" s="227" t="s">
        <v>1915</v>
      </c>
      <c r="D1155" s="238" t="s">
        <v>1920</v>
      </c>
      <c r="E1155" s="256" t="s">
        <v>2231</v>
      </c>
      <c r="F1155" s="227" t="s">
        <v>620</v>
      </c>
      <c r="G1155" s="250">
        <v>2022</v>
      </c>
      <c r="H1155" s="313" t="s">
        <v>733</v>
      </c>
      <c r="I1155" s="308" t="str">
        <f t="shared" si="60"/>
        <v>Pesado de Mercadorias N3: Geral : Gasóleo : E6</v>
      </c>
      <c r="J1155" s="227"/>
      <c r="K1155" s="249">
        <v>2022</v>
      </c>
      <c r="L1155" s="227">
        <v>38745.89</v>
      </c>
      <c r="M1155" s="227" t="s">
        <v>630</v>
      </c>
      <c r="N1155" s="227">
        <v>101623</v>
      </c>
      <c r="O1155" s="128">
        <f t="shared" si="61"/>
        <v>0</v>
      </c>
      <c r="P1155" s="250"/>
      <c r="Q1155" s="227" t="s">
        <v>2201</v>
      </c>
      <c r="R1155" s="214" t="s">
        <v>1869</v>
      </c>
      <c r="S1155" s="214" t="s">
        <v>1861</v>
      </c>
      <c r="T1155" s="227" t="s">
        <v>1926</v>
      </c>
      <c r="U1155" t="s">
        <v>1953</v>
      </c>
      <c r="V1155" t="s">
        <v>2813</v>
      </c>
    </row>
    <row r="1156" spans="1:22" ht="15.75" thickBot="1" x14ac:dyDescent="0.3">
      <c r="A1156" s="227" t="s">
        <v>1915</v>
      </c>
      <c r="B1156" s="227" t="s">
        <v>1915</v>
      </c>
      <c r="C1156" s="227" t="s">
        <v>1915</v>
      </c>
      <c r="D1156" s="238" t="s">
        <v>1920</v>
      </c>
      <c r="E1156" s="256" t="s">
        <v>2231</v>
      </c>
      <c r="F1156" s="227" t="s">
        <v>620</v>
      </c>
      <c r="G1156" s="250">
        <v>2023</v>
      </c>
      <c r="H1156" s="313" t="s">
        <v>733</v>
      </c>
      <c r="I1156" s="308" t="str">
        <f t="shared" ref="I1156:I1219" si="62">D1156&amp;": "&amp;E1156&amp;" : "&amp;F1156&amp;" : "&amp;H1156</f>
        <v>Pesado de Mercadorias N3: Geral : Gasóleo : E6</v>
      </c>
      <c r="J1156" s="227"/>
      <c r="K1156" s="249">
        <v>2022</v>
      </c>
      <c r="L1156" s="227">
        <v>5778.36</v>
      </c>
      <c r="M1156" s="227" t="s">
        <v>630</v>
      </c>
      <c r="N1156" s="227">
        <v>13256</v>
      </c>
      <c r="O1156" s="128">
        <f t="shared" ref="O1156:O1219" si="63">N1156*J1156</f>
        <v>0</v>
      </c>
      <c r="P1156" s="250"/>
      <c r="Q1156" s="227" t="s">
        <v>2201</v>
      </c>
      <c r="R1156" s="214" t="s">
        <v>1869</v>
      </c>
      <c r="S1156" s="214" t="s">
        <v>1861</v>
      </c>
      <c r="T1156" s="227" t="s">
        <v>1926</v>
      </c>
      <c r="U1156" t="s">
        <v>1953</v>
      </c>
      <c r="V1156" t="s">
        <v>2813</v>
      </c>
    </row>
    <row r="1157" spans="1:22" ht="15.75" thickBot="1" x14ac:dyDescent="0.3">
      <c r="A1157" s="227" t="s">
        <v>1915</v>
      </c>
      <c r="B1157" s="227" t="s">
        <v>1915</v>
      </c>
      <c r="C1157" s="227" t="s">
        <v>1915</v>
      </c>
      <c r="D1157" s="238" t="s">
        <v>1920</v>
      </c>
      <c r="E1157" s="256" t="s">
        <v>2231</v>
      </c>
      <c r="F1157" s="227" t="s">
        <v>620</v>
      </c>
      <c r="G1157" s="250">
        <v>2023</v>
      </c>
      <c r="H1157" s="313" t="s">
        <v>733</v>
      </c>
      <c r="I1157" s="308" t="str">
        <f t="shared" si="62"/>
        <v>Pesado de Mercadorias N3: Geral : Gasóleo : E6</v>
      </c>
      <c r="J1157" s="227"/>
      <c r="K1157" s="249">
        <v>2022</v>
      </c>
      <c r="L1157" s="227">
        <v>8214.09</v>
      </c>
      <c r="M1157" s="227" t="s">
        <v>630</v>
      </c>
      <c r="N1157" s="227">
        <v>19168</v>
      </c>
      <c r="O1157" s="128">
        <f t="shared" si="63"/>
        <v>0</v>
      </c>
      <c r="P1157" s="250"/>
      <c r="Q1157" s="227" t="s">
        <v>2201</v>
      </c>
      <c r="R1157" s="214" t="s">
        <v>1869</v>
      </c>
      <c r="S1157" s="214" t="s">
        <v>1861</v>
      </c>
      <c r="T1157" s="227" t="s">
        <v>1926</v>
      </c>
      <c r="U1157" t="s">
        <v>1953</v>
      </c>
      <c r="V1157" t="s">
        <v>2813</v>
      </c>
    </row>
    <row r="1158" spans="1:22" ht="15.75" thickBot="1" x14ac:dyDescent="0.3">
      <c r="A1158" s="227" t="s">
        <v>1915</v>
      </c>
      <c r="B1158" s="227" t="s">
        <v>1915</v>
      </c>
      <c r="C1158" s="227" t="s">
        <v>1915</v>
      </c>
      <c r="D1158" s="238" t="s">
        <v>1920</v>
      </c>
      <c r="E1158" s="256" t="s">
        <v>2231</v>
      </c>
      <c r="F1158" s="227" t="s">
        <v>620</v>
      </c>
      <c r="G1158" s="250">
        <v>2023</v>
      </c>
      <c r="H1158" s="313" t="s">
        <v>733</v>
      </c>
      <c r="I1158" s="308" t="str">
        <f t="shared" si="62"/>
        <v>Pesado de Mercadorias N3: Geral : Gasóleo : E6</v>
      </c>
      <c r="J1158" s="227"/>
      <c r="K1158" s="249">
        <v>2022</v>
      </c>
      <c r="L1158" s="227">
        <v>25730.79</v>
      </c>
      <c r="M1158" s="227" t="s">
        <v>630</v>
      </c>
      <c r="N1158" s="227">
        <v>69574</v>
      </c>
      <c r="O1158" s="128">
        <f t="shared" si="63"/>
        <v>0</v>
      </c>
      <c r="P1158" s="250"/>
      <c r="Q1158" s="227" t="s">
        <v>2201</v>
      </c>
      <c r="R1158" s="214" t="s">
        <v>1869</v>
      </c>
      <c r="S1158" s="214" t="s">
        <v>1861</v>
      </c>
      <c r="T1158" s="227" t="s">
        <v>1926</v>
      </c>
      <c r="U1158" t="s">
        <v>1953</v>
      </c>
      <c r="V1158" t="s">
        <v>2813</v>
      </c>
    </row>
    <row r="1159" spans="1:22" ht="15.75" thickBot="1" x14ac:dyDescent="0.3">
      <c r="A1159" s="227" t="s">
        <v>1915</v>
      </c>
      <c r="B1159" s="227" t="s">
        <v>1915</v>
      </c>
      <c r="C1159" s="227" t="s">
        <v>1915</v>
      </c>
      <c r="D1159" s="238" t="s">
        <v>1920</v>
      </c>
      <c r="E1159" s="256" t="s">
        <v>2231</v>
      </c>
      <c r="F1159" s="227" t="s">
        <v>620</v>
      </c>
      <c r="G1159" s="250">
        <v>2023</v>
      </c>
      <c r="H1159" s="313" t="s">
        <v>733</v>
      </c>
      <c r="I1159" s="308" t="str">
        <f t="shared" si="62"/>
        <v>Pesado de Mercadorias N3: Geral : Gasóleo : E6</v>
      </c>
      <c r="J1159" s="227"/>
      <c r="K1159" s="249">
        <v>2022</v>
      </c>
      <c r="L1159" s="227">
        <v>13483.96</v>
      </c>
      <c r="M1159" s="227" t="s">
        <v>630</v>
      </c>
      <c r="N1159" s="227">
        <v>37355</v>
      </c>
      <c r="O1159" s="128">
        <f t="shared" si="63"/>
        <v>0</v>
      </c>
      <c r="P1159" s="250"/>
      <c r="Q1159" s="227" t="s">
        <v>2201</v>
      </c>
      <c r="R1159" s="214" t="s">
        <v>1869</v>
      </c>
      <c r="S1159" s="214" t="s">
        <v>1861</v>
      </c>
      <c r="T1159" s="227" t="s">
        <v>1926</v>
      </c>
      <c r="U1159" t="s">
        <v>1953</v>
      </c>
      <c r="V1159" t="s">
        <v>2813</v>
      </c>
    </row>
    <row r="1160" spans="1:22" ht="15.75" thickBot="1" x14ac:dyDescent="0.3">
      <c r="A1160" s="227" t="s">
        <v>1915</v>
      </c>
      <c r="B1160" s="227" t="s">
        <v>1915</v>
      </c>
      <c r="C1160" s="227" t="s">
        <v>1915</v>
      </c>
      <c r="D1160" s="238" t="s">
        <v>1920</v>
      </c>
      <c r="E1160" s="256" t="s">
        <v>2231</v>
      </c>
      <c r="F1160" s="227" t="s">
        <v>620</v>
      </c>
      <c r="G1160" s="250">
        <v>2023</v>
      </c>
      <c r="H1160" s="313" t="s">
        <v>733</v>
      </c>
      <c r="I1160" s="308" t="str">
        <f t="shared" si="62"/>
        <v>Pesado de Mercadorias N3: Geral : Gasóleo : E6</v>
      </c>
      <c r="J1160" s="227"/>
      <c r="K1160" s="249">
        <v>2022</v>
      </c>
      <c r="L1160" s="227">
        <v>14035.75</v>
      </c>
      <c r="M1160" s="227" t="s">
        <v>630</v>
      </c>
      <c r="N1160" s="227">
        <v>41171</v>
      </c>
      <c r="O1160" s="128">
        <f t="shared" si="63"/>
        <v>0</v>
      </c>
      <c r="P1160" s="250"/>
      <c r="Q1160" s="227" t="s">
        <v>2201</v>
      </c>
      <c r="R1160" s="214" t="s">
        <v>1869</v>
      </c>
      <c r="S1160" s="214" t="s">
        <v>1861</v>
      </c>
      <c r="T1160" s="227" t="s">
        <v>1926</v>
      </c>
      <c r="U1160" t="s">
        <v>1953</v>
      </c>
      <c r="V1160" t="s">
        <v>2813</v>
      </c>
    </row>
    <row r="1161" spans="1:22" ht="15.75" thickBot="1" x14ac:dyDescent="0.3">
      <c r="A1161" s="227" t="s">
        <v>1915</v>
      </c>
      <c r="B1161" s="227" t="s">
        <v>1915</v>
      </c>
      <c r="C1161" s="227" t="s">
        <v>1915</v>
      </c>
      <c r="D1161" s="238" t="s">
        <v>1920</v>
      </c>
      <c r="E1161" s="256" t="s">
        <v>2231</v>
      </c>
      <c r="F1161" s="227" t="s">
        <v>620</v>
      </c>
      <c r="G1161" s="250">
        <v>2023</v>
      </c>
      <c r="H1161" s="313" t="s">
        <v>733</v>
      </c>
      <c r="I1161" s="308" t="str">
        <f t="shared" si="62"/>
        <v>Pesado de Mercadorias N3: Geral : Gasóleo : E6</v>
      </c>
      <c r="J1161" s="227"/>
      <c r="K1161" s="249">
        <v>2022</v>
      </c>
      <c r="L1161" s="227">
        <v>23269.47</v>
      </c>
      <c r="M1161" s="227" t="s">
        <v>630</v>
      </c>
      <c r="N1161" s="227">
        <v>65916</v>
      </c>
      <c r="O1161" s="128">
        <f t="shared" si="63"/>
        <v>0</v>
      </c>
      <c r="P1161" s="250"/>
      <c r="Q1161" s="227" t="s">
        <v>2201</v>
      </c>
      <c r="R1161" s="214" t="s">
        <v>1869</v>
      </c>
      <c r="S1161" s="214" t="s">
        <v>1861</v>
      </c>
      <c r="T1161" s="227" t="s">
        <v>1926</v>
      </c>
      <c r="U1161" t="s">
        <v>1953</v>
      </c>
      <c r="V1161" t="s">
        <v>2813</v>
      </c>
    </row>
    <row r="1162" spans="1:22" ht="15.75" thickBot="1" x14ac:dyDescent="0.3">
      <c r="A1162" s="227" t="s">
        <v>1915</v>
      </c>
      <c r="B1162" s="227" t="s">
        <v>1915</v>
      </c>
      <c r="C1162" s="227" t="s">
        <v>1915</v>
      </c>
      <c r="D1162" s="238" t="s">
        <v>1920</v>
      </c>
      <c r="E1162" s="256" t="s">
        <v>2231</v>
      </c>
      <c r="F1162" s="227" t="s">
        <v>620</v>
      </c>
      <c r="G1162" s="250">
        <v>2023</v>
      </c>
      <c r="H1162" s="313" t="s">
        <v>733</v>
      </c>
      <c r="I1162" s="308" t="str">
        <f t="shared" si="62"/>
        <v>Pesado de Mercadorias N3: Geral : Gasóleo : E6</v>
      </c>
      <c r="J1162" s="227"/>
      <c r="K1162" s="249">
        <v>2022</v>
      </c>
      <c r="L1162" s="227">
        <v>16901.96</v>
      </c>
      <c r="M1162" s="227" t="s">
        <v>630</v>
      </c>
      <c r="N1162" s="227">
        <v>44931</v>
      </c>
      <c r="O1162" s="128">
        <f t="shared" si="63"/>
        <v>0</v>
      </c>
      <c r="P1162" s="250"/>
      <c r="Q1162" s="227" t="s">
        <v>2201</v>
      </c>
      <c r="R1162" s="214" t="s">
        <v>1869</v>
      </c>
      <c r="S1162" s="214" t="s">
        <v>1861</v>
      </c>
      <c r="T1162" s="227" t="s">
        <v>1926</v>
      </c>
      <c r="U1162" t="s">
        <v>1953</v>
      </c>
      <c r="V1162" t="s">
        <v>2813</v>
      </c>
    </row>
    <row r="1163" spans="1:22" ht="15.75" thickBot="1" x14ac:dyDescent="0.3">
      <c r="A1163" s="227" t="s">
        <v>1915</v>
      </c>
      <c r="B1163" s="227" t="s">
        <v>1915</v>
      </c>
      <c r="C1163" s="227" t="s">
        <v>1915</v>
      </c>
      <c r="D1163" s="238" t="s">
        <v>1920</v>
      </c>
      <c r="E1163" s="256" t="s">
        <v>2231</v>
      </c>
      <c r="F1163" s="227" t="s">
        <v>620</v>
      </c>
      <c r="G1163" s="250">
        <v>2023</v>
      </c>
      <c r="H1163" s="313" t="s">
        <v>733</v>
      </c>
      <c r="I1163" s="308" t="str">
        <f t="shared" si="62"/>
        <v>Pesado de Mercadorias N3: Geral : Gasóleo : E6</v>
      </c>
      <c r="J1163" s="227"/>
      <c r="K1163" s="249">
        <v>2022</v>
      </c>
      <c r="L1163" s="227">
        <v>12760.95</v>
      </c>
      <c r="M1163" s="227" t="s">
        <v>630</v>
      </c>
      <c r="N1163" s="227">
        <v>35069</v>
      </c>
      <c r="O1163" s="128">
        <f t="shared" si="63"/>
        <v>0</v>
      </c>
      <c r="P1163" s="250"/>
      <c r="Q1163" s="227" t="s">
        <v>2201</v>
      </c>
      <c r="R1163" s="214" t="s">
        <v>1869</v>
      </c>
      <c r="S1163" s="214" t="s">
        <v>1861</v>
      </c>
      <c r="T1163" s="227" t="s">
        <v>1926</v>
      </c>
      <c r="U1163" t="s">
        <v>1953</v>
      </c>
      <c r="V1163" t="s">
        <v>2813</v>
      </c>
    </row>
    <row r="1164" spans="1:22" ht="15.75" thickBot="1" x14ac:dyDescent="0.3">
      <c r="A1164" t="s">
        <v>1916</v>
      </c>
      <c r="B1164" t="s">
        <v>1916</v>
      </c>
      <c r="C1164" t="s">
        <v>1916</v>
      </c>
      <c r="D1164" t="s">
        <v>629</v>
      </c>
      <c r="E1164" s="248" t="s">
        <v>1853</v>
      </c>
      <c r="F1164" t="s">
        <v>620</v>
      </c>
      <c r="G1164" s="89">
        <v>1996</v>
      </c>
      <c r="H1164" s="312" t="s">
        <v>736</v>
      </c>
      <c r="I1164" s="308" t="str">
        <f t="shared" si="62"/>
        <v>Pesado de Passageiros M3: III : Gasóleo : E1</v>
      </c>
      <c r="J1164" s="125">
        <v>54</v>
      </c>
      <c r="K1164" s="253">
        <v>2022</v>
      </c>
      <c r="L1164" s="85">
        <v>2662.3</v>
      </c>
      <c r="M1164" s="85" t="s">
        <v>630</v>
      </c>
      <c r="N1164" s="128">
        <v>8682</v>
      </c>
      <c r="O1164" s="128">
        <f t="shared" si="63"/>
        <v>468828</v>
      </c>
      <c r="P1164" s="89">
        <v>8103</v>
      </c>
      <c r="Q1164" t="s">
        <v>47</v>
      </c>
      <c r="R1164" s="214" t="s">
        <v>1869</v>
      </c>
      <c r="S1164" s="214" t="s">
        <v>1861</v>
      </c>
      <c r="U1164" t="s">
        <v>1953</v>
      </c>
      <c r="V1164" t="s">
        <v>2813</v>
      </c>
    </row>
    <row r="1165" spans="1:22" ht="15.75" thickBot="1" x14ac:dyDescent="0.3">
      <c r="A1165" t="s">
        <v>1916</v>
      </c>
      <c r="B1165" t="s">
        <v>1916</v>
      </c>
      <c r="C1165" t="s">
        <v>1916</v>
      </c>
      <c r="D1165" t="s">
        <v>629</v>
      </c>
      <c r="E1165" s="248" t="s">
        <v>1853</v>
      </c>
      <c r="F1165" t="s">
        <v>620</v>
      </c>
      <c r="G1165" s="89">
        <v>2004</v>
      </c>
      <c r="H1165" s="312" t="s">
        <v>732</v>
      </c>
      <c r="I1165" s="308" t="str">
        <f t="shared" si="62"/>
        <v>Pesado de Passageiros M3: III : Gasóleo : E3</v>
      </c>
      <c r="J1165" s="125">
        <v>67</v>
      </c>
      <c r="K1165" s="253">
        <v>2022</v>
      </c>
      <c r="L1165" s="85">
        <v>11342.400000000001</v>
      </c>
      <c r="M1165" s="85" t="s">
        <v>630</v>
      </c>
      <c r="N1165" s="128">
        <v>37938</v>
      </c>
      <c r="O1165" s="128">
        <f t="shared" si="63"/>
        <v>2541846</v>
      </c>
      <c r="P1165" s="89">
        <v>8105</v>
      </c>
      <c r="Q1165" t="s">
        <v>47</v>
      </c>
      <c r="R1165" s="214" t="s">
        <v>1869</v>
      </c>
      <c r="S1165" s="214" t="s">
        <v>1861</v>
      </c>
      <c r="U1165" t="s">
        <v>1953</v>
      </c>
      <c r="V1165" t="s">
        <v>2813</v>
      </c>
    </row>
    <row r="1166" spans="1:22" ht="15.75" thickBot="1" x14ac:dyDescent="0.3">
      <c r="A1166" t="s">
        <v>1916</v>
      </c>
      <c r="B1166" t="s">
        <v>1916</v>
      </c>
      <c r="C1166" t="s">
        <v>1916</v>
      </c>
      <c r="D1166" t="s">
        <v>629</v>
      </c>
      <c r="E1166" s="248" t="s">
        <v>1853</v>
      </c>
      <c r="F1166" t="s">
        <v>620</v>
      </c>
      <c r="G1166" s="89">
        <v>2005</v>
      </c>
      <c r="H1166" s="312" t="s">
        <v>732</v>
      </c>
      <c r="I1166" s="308" t="str">
        <f t="shared" si="62"/>
        <v>Pesado de Passageiros M3: III : Gasóleo : E3</v>
      </c>
      <c r="J1166" s="125">
        <v>69</v>
      </c>
      <c r="K1166" s="253">
        <v>2022</v>
      </c>
      <c r="L1166" s="85">
        <v>12404.099999999999</v>
      </c>
      <c r="M1166" s="85" t="s">
        <v>630</v>
      </c>
      <c r="N1166" s="128">
        <v>43831</v>
      </c>
      <c r="O1166" s="128">
        <f t="shared" si="63"/>
        <v>3024339</v>
      </c>
      <c r="P1166" s="89">
        <v>8106</v>
      </c>
      <c r="Q1166" t="s">
        <v>47</v>
      </c>
      <c r="R1166" s="214" t="s">
        <v>1869</v>
      </c>
      <c r="S1166" s="214" t="s">
        <v>1861</v>
      </c>
      <c r="U1166" t="s">
        <v>1953</v>
      </c>
      <c r="V1166" t="s">
        <v>2813</v>
      </c>
    </row>
    <row r="1167" spans="1:22" ht="15.75" thickBot="1" x14ac:dyDescent="0.3">
      <c r="A1167" t="s">
        <v>1916</v>
      </c>
      <c r="B1167" t="s">
        <v>1916</v>
      </c>
      <c r="C1167" t="s">
        <v>1916</v>
      </c>
      <c r="D1167" t="s">
        <v>629</v>
      </c>
      <c r="E1167" s="248" t="s">
        <v>1853</v>
      </c>
      <c r="F1167" t="s">
        <v>620</v>
      </c>
      <c r="G1167" s="89">
        <v>2004</v>
      </c>
      <c r="H1167" s="312" t="s">
        <v>732</v>
      </c>
      <c r="I1167" s="308" t="str">
        <f t="shared" si="62"/>
        <v>Pesado de Passageiros M3: III : Gasóleo : E3</v>
      </c>
      <c r="J1167" s="125">
        <v>69</v>
      </c>
      <c r="K1167" s="253">
        <v>2022</v>
      </c>
      <c r="L1167" s="85">
        <v>15485.5</v>
      </c>
      <c r="M1167" s="85" t="s">
        <v>630</v>
      </c>
      <c r="N1167" s="128">
        <v>50962</v>
      </c>
      <c r="O1167" s="128">
        <f t="shared" si="63"/>
        <v>3516378</v>
      </c>
      <c r="P1167" s="89">
        <v>8107</v>
      </c>
      <c r="Q1167" t="s">
        <v>47</v>
      </c>
      <c r="R1167" s="214" t="s">
        <v>1869</v>
      </c>
      <c r="S1167" s="214" t="s">
        <v>1861</v>
      </c>
      <c r="U1167" t="s">
        <v>1953</v>
      </c>
      <c r="V1167" t="s">
        <v>2813</v>
      </c>
    </row>
    <row r="1168" spans="1:22" ht="15.75" thickBot="1" x14ac:dyDescent="0.3">
      <c r="A1168" t="s">
        <v>1916</v>
      </c>
      <c r="B1168" t="s">
        <v>1916</v>
      </c>
      <c r="C1168" t="s">
        <v>1916</v>
      </c>
      <c r="D1168" t="s">
        <v>629</v>
      </c>
      <c r="E1168" s="248" t="s">
        <v>1853</v>
      </c>
      <c r="F1168" t="s">
        <v>620</v>
      </c>
      <c r="G1168" s="89">
        <v>2005</v>
      </c>
      <c r="H1168" s="312" t="s">
        <v>732</v>
      </c>
      <c r="I1168" s="308" t="str">
        <f t="shared" si="62"/>
        <v>Pesado de Passageiros M3: III : Gasóleo : E3</v>
      </c>
      <c r="J1168" s="125">
        <v>69</v>
      </c>
      <c r="K1168" s="253">
        <v>2022</v>
      </c>
      <c r="L1168" s="85">
        <v>15256.999999999998</v>
      </c>
      <c r="M1168" s="85" t="s">
        <v>630</v>
      </c>
      <c r="N1168" s="128">
        <v>52693</v>
      </c>
      <c r="O1168" s="128">
        <f t="shared" si="63"/>
        <v>3635817</v>
      </c>
      <c r="P1168" s="89">
        <v>8108</v>
      </c>
      <c r="Q1168" t="s">
        <v>47</v>
      </c>
      <c r="R1168" s="214" t="s">
        <v>1869</v>
      </c>
      <c r="S1168" s="214" t="s">
        <v>1861</v>
      </c>
      <c r="U1168" t="s">
        <v>1953</v>
      </c>
      <c r="V1168" t="s">
        <v>2813</v>
      </c>
    </row>
    <row r="1169" spans="1:22" ht="15.75" thickBot="1" x14ac:dyDescent="0.3">
      <c r="A1169" t="s">
        <v>1916</v>
      </c>
      <c r="B1169" t="s">
        <v>1916</v>
      </c>
      <c r="C1169" t="s">
        <v>1916</v>
      </c>
      <c r="D1169" t="s">
        <v>629</v>
      </c>
      <c r="E1169" s="248" t="s">
        <v>1853</v>
      </c>
      <c r="F1169" t="s">
        <v>620</v>
      </c>
      <c r="G1169" s="89">
        <v>2004</v>
      </c>
      <c r="H1169" s="312" t="s">
        <v>732</v>
      </c>
      <c r="I1169" s="308" t="str">
        <f t="shared" si="62"/>
        <v>Pesado de Passageiros M3: III : Gasóleo : E3</v>
      </c>
      <c r="J1169" s="125">
        <v>69</v>
      </c>
      <c r="K1169" s="253">
        <v>2022</v>
      </c>
      <c r="L1169" s="85">
        <v>14058</v>
      </c>
      <c r="M1169" s="85" t="s">
        <v>630</v>
      </c>
      <c r="N1169" s="128">
        <v>44163</v>
      </c>
      <c r="O1169" s="128">
        <f t="shared" si="63"/>
        <v>3047247</v>
      </c>
      <c r="P1169" s="89">
        <v>8109</v>
      </c>
      <c r="Q1169" t="s">
        <v>47</v>
      </c>
      <c r="R1169" s="214" t="s">
        <v>1869</v>
      </c>
      <c r="S1169" s="214" t="s">
        <v>1861</v>
      </c>
      <c r="U1169" t="s">
        <v>1953</v>
      </c>
      <c r="V1169" t="s">
        <v>2813</v>
      </c>
    </row>
    <row r="1170" spans="1:22" ht="15.75" thickBot="1" x14ac:dyDescent="0.3">
      <c r="A1170" t="s">
        <v>1916</v>
      </c>
      <c r="B1170" t="s">
        <v>1916</v>
      </c>
      <c r="C1170" t="s">
        <v>1916</v>
      </c>
      <c r="D1170" t="s">
        <v>629</v>
      </c>
      <c r="E1170" s="248" t="s">
        <v>1853</v>
      </c>
      <c r="F1170" t="s">
        <v>620</v>
      </c>
      <c r="G1170" s="89">
        <v>1994</v>
      </c>
      <c r="H1170" s="312" t="s">
        <v>736</v>
      </c>
      <c r="I1170" s="308" t="str">
        <f t="shared" si="62"/>
        <v>Pesado de Passageiros M3: III : Gasóleo : E1</v>
      </c>
      <c r="J1170" s="125">
        <v>50</v>
      </c>
      <c r="K1170" s="253">
        <v>2022</v>
      </c>
      <c r="L1170" s="85">
        <v>0</v>
      </c>
      <c r="M1170" s="85" t="s">
        <v>630</v>
      </c>
      <c r="N1170" s="128">
        <v>0</v>
      </c>
      <c r="O1170" s="128">
        <f t="shared" si="63"/>
        <v>0</v>
      </c>
      <c r="P1170" s="89">
        <v>8110</v>
      </c>
      <c r="Q1170" t="s">
        <v>47</v>
      </c>
      <c r="R1170" s="214" t="s">
        <v>1869</v>
      </c>
      <c r="S1170" s="214" t="s">
        <v>1861</v>
      </c>
      <c r="U1170" t="s">
        <v>1953</v>
      </c>
      <c r="V1170" t="s">
        <v>2813</v>
      </c>
    </row>
    <row r="1171" spans="1:22" ht="15.75" thickBot="1" x14ac:dyDescent="0.3">
      <c r="A1171" t="s">
        <v>1916</v>
      </c>
      <c r="B1171" t="s">
        <v>1916</v>
      </c>
      <c r="C1171" t="s">
        <v>1916</v>
      </c>
      <c r="D1171" t="s">
        <v>629</v>
      </c>
      <c r="E1171" s="248" t="s">
        <v>1853</v>
      </c>
      <c r="F1171" t="s">
        <v>620</v>
      </c>
      <c r="G1171" s="89">
        <v>2010</v>
      </c>
      <c r="H1171" s="312" t="s">
        <v>734</v>
      </c>
      <c r="I1171" s="308" t="str">
        <f t="shared" si="62"/>
        <v>Pesado de Passageiros M3: III : Gasóleo : E5</v>
      </c>
      <c r="J1171" s="125">
        <v>31</v>
      </c>
      <c r="K1171" s="253">
        <v>2022</v>
      </c>
      <c r="L1171" s="85">
        <v>9350.5</v>
      </c>
      <c r="M1171" s="85" t="s">
        <v>630</v>
      </c>
      <c r="N1171" s="128">
        <v>37768</v>
      </c>
      <c r="O1171" s="128">
        <f t="shared" si="63"/>
        <v>1170808</v>
      </c>
      <c r="P1171" s="89">
        <v>8111</v>
      </c>
      <c r="Q1171" t="s">
        <v>47</v>
      </c>
      <c r="R1171" s="214" t="s">
        <v>1869</v>
      </c>
      <c r="S1171" s="214" t="s">
        <v>1861</v>
      </c>
      <c r="U1171" t="s">
        <v>1953</v>
      </c>
      <c r="V1171" t="s">
        <v>2813</v>
      </c>
    </row>
    <row r="1172" spans="1:22" ht="15.75" thickBot="1" x14ac:dyDescent="0.3">
      <c r="A1172" t="s">
        <v>1916</v>
      </c>
      <c r="B1172" t="s">
        <v>1916</v>
      </c>
      <c r="C1172" t="s">
        <v>1916</v>
      </c>
      <c r="D1172" t="s">
        <v>629</v>
      </c>
      <c r="E1172" s="248" t="s">
        <v>1853</v>
      </c>
      <c r="F1172" t="s">
        <v>620</v>
      </c>
      <c r="G1172" s="89">
        <v>2010</v>
      </c>
      <c r="H1172" s="312" t="s">
        <v>734</v>
      </c>
      <c r="I1172" s="308" t="str">
        <f t="shared" si="62"/>
        <v>Pesado de Passageiros M3: III : Gasóleo : E5</v>
      </c>
      <c r="J1172" s="125">
        <v>31</v>
      </c>
      <c r="K1172" s="253">
        <v>2022</v>
      </c>
      <c r="L1172" s="85">
        <v>7047.5999999999995</v>
      </c>
      <c r="M1172" s="85" t="s">
        <v>630</v>
      </c>
      <c r="N1172" s="128">
        <v>27433</v>
      </c>
      <c r="O1172" s="128">
        <f t="shared" si="63"/>
        <v>850423</v>
      </c>
      <c r="P1172" s="89">
        <v>8112</v>
      </c>
      <c r="Q1172" t="s">
        <v>47</v>
      </c>
      <c r="R1172" s="214" t="s">
        <v>1869</v>
      </c>
      <c r="S1172" s="214" t="s">
        <v>1861</v>
      </c>
      <c r="U1172" t="s">
        <v>1953</v>
      </c>
      <c r="V1172" t="s">
        <v>2813</v>
      </c>
    </row>
    <row r="1173" spans="1:22" ht="15.75" thickBot="1" x14ac:dyDescent="0.3">
      <c r="A1173" t="s">
        <v>1916</v>
      </c>
      <c r="B1173" t="s">
        <v>1916</v>
      </c>
      <c r="C1173" t="s">
        <v>1916</v>
      </c>
      <c r="D1173" t="s">
        <v>629</v>
      </c>
      <c r="E1173" s="248" t="s">
        <v>1853</v>
      </c>
      <c r="F1173" t="s">
        <v>620</v>
      </c>
      <c r="G1173" s="89">
        <v>2010</v>
      </c>
      <c r="H1173" s="312" t="s">
        <v>734</v>
      </c>
      <c r="I1173" s="308" t="str">
        <f t="shared" si="62"/>
        <v>Pesado de Passageiros M3: III : Gasóleo : E5</v>
      </c>
      <c r="J1173" s="125">
        <v>31</v>
      </c>
      <c r="K1173" s="253">
        <v>2022</v>
      </c>
      <c r="L1173" s="85">
        <v>6535.9000000000005</v>
      </c>
      <c r="M1173" s="85" t="s">
        <v>630</v>
      </c>
      <c r="N1173" s="128">
        <v>21118</v>
      </c>
      <c r="O1173" s="128">
        <f t="shared" si="63"/>
        <v>654658</v>
      </c>
      <c r="P1173" s="89">
        <v>8113</v>
      </c>
      <c r="Q1173" t="s">
        <v>47</v>
      </c>
      <c r="R1173" s="214" t="s">
        <v>1869</v>
      </c>
      <c r="S1173" s="214" t="s">
        <v>1861</v>
      </c>
      <c r="U1173" t="s">
        <v>1953</v>
      </c>
      <c r="V1173" t="s">
        <v>2813</v>
      </c>
    </row>
    <row r="1174" spans="1:22" ht="15.75" thickBot="1" x14ac:dyDescent="0.3">
      <c r="A1174" t="s">
        <v>1916</v>
      </c>
      <c r="B1174" t="s">
        <v>1916</v>
      </c>
      <c r="C1174" t="s">
        <v>1916</v>
      </c>
      <c r="D1174" t="s">
        <v>629</v>
      </c>
      <c r="E1174" s="248" t="s">
        <v>1853</v>
      </c>
      <c r="F1174" t="s">
        <v>620</v>
      </c>
      <c r="G1174" s="89">
        <v>2010</v>
      </c>
      <c r="H1174" s="312" t="s">
        <v>734</v>
      </c>
      <c r="I1174" s="308" t="str">
        <f t="shared" si="62"/>
        <v>Pesado de Passageiros M3: III : Gasóleo : E5</v>
      </c>
      <c r="J1174" s="125">
        <v>31</v>
      </c>
      <c r="K1174" s="253">
        <v>2022</v>
      </c>
      <c r="L1174" s="85">
        <v>7973.4</v>
      </c>
      <c r="M1174" s="85" t="s">
        <v>630</v>
      </c>
      <c r="N1174" s="128">
        <v>31469</v>
      </c>
      <c r="O1174" s="128">
        <f t="shared" si="63"/>
        <v>975539</v>
      </c>
      <c r="P1174" s="89">
        <v>8114</v>
      </c>
      <c r="Q1174" t="s">
        <v>47</v>
      </c>
      <c r="R1174" s="214" t="s">
        <v>1869</v>
      </c>
      <c r="S1174" s="214" t="s">
        <v>1861</v>
      </c>
      <c r="U1174" t="s">
        <v>1953</v>
      </c>
      <c r="V1174" t="s">
        <v>2813</v>
      </c>
    </row>
    <row r="1175" spans="1:22" ht="15.75" thickBot="1" x14ac:dyDescent="0.3">
      <c r="A1175" t="s">
        <v>1916</v>
      </c>
      <c r="B1175" t="s">
        <v>1916</v>
      </c>
      <c r="C1175" t="s">
        <v>1916</v>
      </c>
      <c r="D1175" t="s">
        <v>629</v>
      </c>
      <c r="E1175" s="248" t="s">
        <v>1853</v>
      </c>
      <c r="F1175" t="s">
        <v>620</v>
      </c>
      <c r="G1175" s="89">
        <v>2010</v>
      </c>
      <c r="H1175" s="312" t="s">
        <v>734</v>
      </c>
      <c r="I1175" s="308" t="str">
        <f t="shared" si="62"/>
        <v>Pesado de Passageiros M3: III : Gasóleo : E5</v>
      </c>
      <c r="J1175" s="125">
        <v>31</v>
      </c>
      <c r="K1175" s="253">
        <v>2022</v>
      </c>
      <c r="L1175" s="85">
        <v>3259.7999999999997</v>
      </c>
      <c r="M1175" s="85" t="s">
        <v>630</v>
      </c>
      <c r="N1175" s="128">
        <v>12648</v>
      </c>
      <c r="O1175" s="128">
        <f t="shared" si="63"/>
        <v>392088</v>
      </c>
      <c r="P1175" s="89">
        <v>8115</v>
      </c>
      <c r="Q1175" t="s">
        <v>47</v>
      </c>
      <c r="R1175" s="214" t="s">
        <v>1869</v>
      </c>
      <c r="S1175" s="214" t="s">
        <v>1861</v>
      </c>
      <c r="U1175" t="s">
        <v>1953</v>
      </c>
      <c r="V1175" t="s">
        <v>2813</v>
      </c>
    </row>
    <row r="1176" spans="1:22" ht="15.75" thickBot="1" x14ac:dyDescent="0.3">
      <c r="A1176" t="s">
        <v>1916</v>
      </c>
      <c r="B1176" t="s">
        <v>1916</v>
      </c>
      <c r="C1176" t="s">
        <v>1916</v>
      </c>
      <c r="D1176" t="s">
        <v>629</v>
      </c>
      <c r="E1176" s="248" t="s">
        <v>1853</v>
      </c>
      <c r="F1176" t="s">
        <v>620</v>
      </c>
      <c r="G1176" s="89">
        <v>2007</v>
      </c>
      <c r="H1176" s="312" t="s">
        <v>731</v>
      </c>
      <c r="I1176" s="308" t="str">
        <f t="shared" si="62"/>
        <v>Pesado de Passageiros M3: III : Gasóleo : E4</v>
      </c>
      <c r="J1176" s="125">
        <v>55</v>
      </c>
      <c r="K1176" s="253">
        <v>2022</v>
      </c>
      <c r="L1176" s="85">
        <v>8086.0000000000009</v>
      </c>
      <c r="M1176" s="85" t="s">
        <v>630</v>
      </c>
      <c r="N1176" s="128">
        <v>25873</v>
      </c>
      <c r="O1176" s="128">
        <f t="shared" si="63"/>
        <v>1423015</v>
      </c>
      <c r="P1176" s="89">
        <v>8117</v>
      </c>
      <c r="Q1176" t="s">
        <v>47</v>
      </c>
      <c r="R1176" s="214" t="s">
        <v>1869</v>
      </c>
      <c r="S1176" s="214" t="s">
        <v>1861</v>
      </c>
      <c r="U1176" t="s">
        <v>1953</v>
      </c>
      <c r="V1176" t="s">
        <v>2813</v>
      </c>
    </row>
    <row r="1177" spans="1:22" ht="15.75" thickBot="1" x14ac:dyDescent="0.3">
      <c r="A1177" t="s">
        <v>1916</v>
      </c>
      <c r="B1177" t="s">
        <v>1916</v>
      </c>
      <c r="C1177" t="s">
        <v>1916</v>
      </c>
      <c r="D1177" t="s">
        <v>629</v>
      </c>
      <c r="E1177" s="248" t="s">
        <v>1853</v>
      </c>
      <c r="F1177" t="s">
        <v>620</v>
      </c>
      <c r="G1177" s="89">
        <v>2004</v>
      </c>
      <c r="H1177" s="312" t="s">
        <v>732</v>
      </c>
      <c r="I1177" s="308" t="str">
        <f t="shared" si="62"/>
        <v>Pesado de Passageiros M3: III : Gasóleo : E3</v>
      </c>
      <c r="J1177" s="125">
        <v>107</v>
      </c>
      <c r="K1177" s="253">
        <v>2022</v>
      </c>
      <c r="L1177" s="85">
        <v>20116.099999999999</v>
      </c>
      <c r="M1177" s="85" t="s">
        <v>630</v>
      </c>
      <c r="N1177" s="128">
        <v>57175</v>
      </c>
      <c r="O1177" s="128">
        <f t="shared" si="63"/>
        <v>6117725</v>
      </c>
      <c r="P1177" s="89">
        <v>8118</v>
      </c>
      <c r="Q1177" t="s">
        <v>47</v>
      </c>
      <c r="R1177" s="214" t="s">
        <v>1869</v>
      </c>
      <c r="S1177" s="214" t="s">
        <v>1861</v>
      </c>
      <c r="U1177" t="s">
        <v>1953</v>
      </c>
      <c r="V1177" t="s">
        <v>2813</v>
      </c>
    </row>
    <row r="1178" spans="1:22" ht="15.75" thickBot="1" x14ac:dyDescent="0.3">
      <c r="A1178" t="s">
        <v>1916</v>
      </c>
      <c r="B1178" t="s">
        <v>1916</v>
      </c>
      <c r="C1178" t="s">
        <v>1916</v>
      </c>
      <c r="D1178" t="s">
        <v>629</v>
      </c>
      <c r="E1178" s="248" t="s">
        <v>1853</v>
      </c>
      <c r="F1178" t="s">
        <v>620</v>
      </c>
      <c r="G1178" s="89">
        <v>2000</v>
      </c>
      <c r="H1178" s="312" t="s">
        <v>735</v>
      </c>
      <c r="I1178" s="308" t="str">
        <f t="shared" si="62"/>
        <v>Pesado de Passageiros M3: III : Gasóleo : E2</v>
      </c>
      <c r="J1178" s="125">
        <v>52</v>
      </c>
      <c r="K1178" s="253">
        <v>2022</v>
      </c>
      <c r="L1178" s="85">
        <v>18785.2</v>
      </c>
      <c r="M1178" s="85" t="s">
        <v>630</v>
      </c>
      <c r="N1178" s="128">
        <v>51366</v>
      </c>
      <c r="O1178" s="128">
        <f t="shared" si="63"/>
        <v>2671032</v>
      </c>
      <c r="P1178" s="89">
        <v>8119</v>
      </c>
      <c r="Q1178" t="s">
        <v>47</v>
      </c>
      <c r="R1178" s="214" t="s">
        <v>1869</v>
      </c>
      <c r="S1178" s="214" t="s">
        <v>1861</v>
      </c>
      <c r="U1178" t="s">
        <v>1953</v>
      </c>
      <c r="V1178" t="s">
        <v>2813</v>
      </c>
    </row>
    <row r="1179" spans="1:22" ht="15.75" thickBot="1" x14ac:dyDescent="0.3">
      <c r="A1179" t="s">
        <v>1916</v>
      </c>
      <c r="B1179" t="s">
        <v>1916</v>
      </c>
      <c r="C1179" t="s">
        <v>1916</v>
      </c>
      <c r="D1179" t="s">
        <v>629</v>
      </c>
      <c r="E1179" s="248" t="s">
        <v>1853</v>
      </c>
      <c r="F1179" t="s">
        <v>620</v>
      </c>
      <c r="G1179" s="89">
        <v>2003</v>
      </c>
      <c r="H1179" s="312" t="s">
        <v>732</v>
      </c>
      <c r="I1179" s="308" t="str">
        <f t="shared" si="62"/>
        <v>Pesado de Passageiros M3: III : Gasóleo : E3</v>
      </c>
      <c r="J1179" s="125">
        <v>73</v>
      </c>
      <c r="K1179" s="253">
        <v>2022</v>
      </c>
      <c r="L1179" s="85">
        <v>13875.999999999998</v>
      </c>
      <c r="M1179" s="85" t="s">
        <v>630</v>
      </c>
      <c r="N1179" s="128">
        <v>41998</v>
      </c>
      <c r="O1179" s="128">
        <f t="shared" si="63"/>
        <v>3065854</v>
      </c>
      <c r="P1179" s="89">
        <v>8120</v>
      </c>
      <c r="Q1179" t="s">
        <v>47</v>
      </c>
      <c r="R1179" s="214" t="s">
        <v>1869</v>
      </c>
      <c r="S1179" s="214" t="s">
        <v>1861</v>
      </c>
      <c r="U1179" t="s">
        <v>1953</v>
      </c>
      <c r="V1179" t="s">
        <v>2813</v>
      </c>
    </row>
    <row r="1180" spans="1:22" ht="15.75" thickBot="1" x14ac:dyDescent="0.3">
      <c r="A1180" t="s">
        <v>1916</v>
      </c>
      <c r="B1180" t="s">
        <v>1916</v>
      </c>
      <c r="C1180" t="s">
        <v>1916</v>
      </c>
      <c r="D1180" t="s">
        <v>629</v>
      </c>
      <c r="E1180" s="248" t="s">
        <v>1853</v>
      </c>
      <c r="F1180" t="s">
        <v>620</v>
      </c>
      <c r="G1180" s="89">
        <v>2005</v>
      </c>
      <c r="H1180" s="312" t="s">
        <v>732</v>
      </c>
      <c r="I1180" s="308" t="str">
        <f t="shared" si="62"/>
        <v>Pesado de Passageiros M3: III : Gasóleo : E3</v>
      </c>
      <c r="J1180" s="125">
        <v>74</v>
      </c>
      <c r="K1180" s="253">
        <v>2022</v>
      </c>
      <c r="L1180" s="85">
        <v>15430.900000000001</v>
      </c>
      <c r="M1180" s="85" t="s">
        <v>630</v>
      </c>
      <c r="N1180" s="128">
        <v>50054</v>
      </c>
      <c r="O1180" s="128">
        <f t="shared" si="63"/>
        <v>3703996</v>
      </c>
      <c r="P1180" s="89">
        <v>8121</v>
      </c>
      <c r="Q1180" t="s">
        <v>47</v>
      </c>
      <c r="R1180" s="214" t="s">
        <v>1869</v>
      </c>
      <c r="S1180" s="214" t="s">
        <v>1861</v>
      </c>
      <c r="U1180" t="s">
        <v>1953</v>
      </c>
      <c r="V1180" t="s">
        <v>2813</v>
      </c>
    </row>
    <row r="1181" spans="1:22" ht="15.75" thickBot="1" x14ac:dyDescent="0.3">
      <c r="A1181" t="s">
        <v>1916</v>
      </c>
      <c r="B1181" t="s">
        <v>1916</v>
      </c>
      <c r="C1181" t="s">
        <v>1916</v>
      </c>
      <c r="D1181" t="s">
        <v>629</v>
      </c>
      <c r="E1181" s="248" t="s">
        <v>1853</v>
      </c>
      <c r="F1181" t="s">
        <v>620</v>
      </c>
      <c r="G1181" s="89">
        <v>2003</v>
      </c>
      <c r="H1181" s="312" t="s">
        <v>732</v>
      </c>
      <c r="I1181" s="308" t="str">
        <f t="shared" si="62"/>
        <v>Pesado de Passageiros M3: III : Gasóleo : E3</v>
      </c>
      <c r="J1181" s="125">
        <v>73</v>
      </c>
      <c r="K1181" s="253">
        <v>2022</v>
      </c>
      <c r="L1181" s="85">
        <v>15892.4</v>
      </c>
      <c r="M1181" s="85" t="s">
        <v>630</v>
      </c>
      <c r="N1181" s="128">
        <v>52325</v>
      </c>
      <c r="O1181" s="128">
        <f t="shared" si="63"/>
        <v>3819725</v>
      </c>
      <c r="P1181" s="89">
        <v>8122</v>
      </c>
      <c r="Q1181" t="s">
        <v>47</v>
      </c>
      <c r="R1181" s="214" t="s">
        <v>1869</v>
      </c>
      <c r="S1181" s="214" t="s">
        <v>1861</v>
      </c>
      <c r="U1181" t="s">
        <v>1953</v>
      </c>
      <c r="V1181" t="s">
        <v>2813</v>
      </c>
    </row>
    <row r="1182" spans="1:22" ht="15.75" thickBot="1" x14ac:dyDescent="0.3">
      <c r="A1182" t="s">
        <v>1916</v>
      </c>
      <c r="B1182" t="s">
        <v>1916</v>
      </c>
      <c r="C1182" t="s">
        <v>1916</v>
      </c>
      <c r="D1182" t="s">
        <v>629</v>
      </c>
      <c r="E1182" s="248" t="s">
        <v>1853</v>
      </c>
      <c r="F1182" t="s">
        <v>620</v>
      </c>
      <c r="G1182" s="89">
        <v>2008</v>
      </c>
      <c r="H1182" s="312" t="s">
        <v>731</v>
      </c>
      <c r="I1182" s="308" t="str">
        <f t="shared" si="62"/>
        <v>Pesado de Passageiros M3: III : Gasóleo : E4</v>
      </c>
      <c r="J1182" s="125">
        <v>80</v>
      </c>
      <c r="K1182" s="253">
        <v>2022</v>
      </c>
      <c r="L1182" s="85">
        <v>12742.5</v>
      </c>
      <c r="M1182" s="85" t="s">
        <v>630</v>
      </c>
      <c r="N1182" s="128">
        <v>40031</v>
      </c>
      <c r="O1182" s="128">
        <f t="shared" si="63"/>
        <v>3202480</v>
      </c>
      <c r="P1182" s="89">
        <v>8123</v>
      </c>
      <c r="Q1182" t="s">
        <v>47</v>
      </c>
      <c r="R1182" s="214" t="s">
        <v>1869</v>
      </c>
      <c r="S1182" s="214" t="s">
        <v>1861</v>
      </c>
      <c r="U1182" t="s">
        <v>1953</v>
      </c>
      <c r="V1182" t="s">
        <v>2813</v>
      </c>
    </row>
    <row r="1183" spans="1:22" ht="15.75" thickBot="1" x14ac:dyDescent="0.3">
      <c r="A1183" t="s">
        <v>1916</v>
      </c>
      <c r="B1183" t="s">
        <v>1916</v>
      </c>
      <c r="C1183" t="s">
        <v>1916</v>
      </c>
      <c r="D1183" t="s">
        <v>629</v>
      </c>
      <c r="E1183" s="248" t="s">
        <v>1853</v>
      </c>
      <c r="F1183" t="s">
        <v>620</v>
      </c>
      <c r="G1183" s="89">
        <v>2011</v>
      </c>
      <c r="H1183" s="312" t="s">
        <v>734</v>
      </c>
      <c r="I1183" s="308" t="str">
        <f t="shared" si="62"/>
        <v>Pesado de Passageiros M3: III : Gasóleo : E5</v>
      </c>
      <c r="J1183" s="125">
        <v>46</v>
      </c>
      <c r="K1183" s="253">
        <v>2022</v>
      </c>
      <c r="L1183" s="85">
        <v>16709.3</v>
      </c>
      <c r="M1183" s="85" t="s">
        <v>630</v>
      </c>
      <c r="N1183" s="128">
        <v>50178</v>
      </c>
      <c r="O1183" s="128">
        <f t="shared" si="63"/>
        <v>2308188</v>
      </c>
      <c r="P1183" s="89">
        <v>8124</v>
      </c>
      <c r="Q1183" t="s">
        <v>47</v>
      </c>
      <c r="R1183" s="214" t="s">
        <v>1869</v>
      </c>
      <c r="S1183" s="214" t="s">
        <v>1861</v>
      </c>
      <c r="U1183" t="s">
        <v>1953</v>
      </c>
      <c r="V1183" t="s">
        <v>2813</v>
      </c>
    </row>
    <row r="1184" spans="1:22" ht="15.75" thickBot="1" x14ac:dyDescent="0.3">
      <c r="A1184" t="s">
        <v>1916</v>
      </c>
      <c r="B1184" t="s">
        <v>1916</v>
      </c>
      <c r="C1184" t="s">
        <v>1916</v>
      </c>
      <c r="D1184" t="s">
        <v>629</v>
      </c>
      <c r="E1184" s="248" t="s">
        <v>1853</v>
      </c>
      <c r="F1184" t="s">
        <v>620</v>
      </c>
      <c r="G1184" s="89">
        <v>2011</v>
      </c>
      <c r="H1184" s="312" t="s">
        <v>734</v>
      </c>
      <c r="I1184" s="308" t="str">
        <f t="shared" si="62"/>
        <v>Pesado de Passageiros M3: III : Gasóleo : E5</v>
      </c>
      <c r="J1184" s="125">
        <v>46</v>
      </c>
      <c r="K1184" s="253">
        <v>2022</v>
      </c>
      <c r="L1184" s="85">
        <v>18687.599999999999</v>
      </c>
      <c r="M1184" s="85" t="s">
        <v>630</v>
      </c>
      <c r="N1184" s="128">
        <v>51182</v>
      </c>
      <c r="O1184" s="128">
        <f t="shared" si="63"/>
        <v>2354372</v>
      </c>
      <c r="P1184" s="89">
        <v>8125</v>
      </c>
      <c r="Q1184" t="s">
        <v>47</v>
      </c>
      <c r="R1184" s="214" t="s">
        <v>1869</v>
      </c>
      <c r="S1184" s="214" t="s">
        <v>1861</v>
      </c>
      <c r="U1184" t="s">
        <v>1953</v>
      </c>
      <c r="V1184" t="s">
        <v>2813</v>
      </c>
    </row>
    <row r="1185" spans="1:22" ht="15.75" thickBot="1" x14ac:dyDescent="0.3">
      <c r="A1185" t="s">
        <v>1916</v>
      </c>
      <c r="B1185" t="s">
        <v>1916</v>
      </c>
      <c r="C1185" t="s">
        <v>1916</v>
      </c>
      <c r="D1185" t="s">
        <v>629</v>
      </c>
      <c r="E1185" s="248" t="s">
        <v>1853</v>
      </c>
      <c r="F1185" t="s">
        <v>620</v>
      </c>
      <c r="G1185" s="89">
        <v>2012</v>
      </c>
      <c r="H1185" s="312" t="s">
        <v>734</v>
      </c>
      <c r="I1185" s="308" t="str">
        <f t="shared" si="62"/>
        <v>Pesado de Passageiros M3: III : Gasóleo : E5</v>
      </c>
      <c r="J1185" s="125">
        <v>46</v>
      </c>
      <c r="K1185" s="253">
        <v>2022</v>
      </c>
      <c r="L1185" s="85">
        <v>17942.199999999997</v>
      </c>
      <c r="M1185" s="85" t="s">
        <v>630</v>
      </c>
      <c r="N1185" s="128">
        <v>54857</v>
      </c>
      <c r="O1185" s="128">
        <f t="shared" si="63"/>
        <v>2523422</v>
      </c>
      <c r="P1185" s="89">
        <v>8126</v>
      </c>
      <c r="Q1185" t="s">
        <v>47</v>
      </c>
      <c r="R1185" s="214" t="s">
        <v>1869</v>
      </c>
      <c r="S1185" s="214" t="s">
        <v>1861</v>
      </c>
      <c r="U1185" t="s">
        <v>1953</v>
      </c>
      <c r="V1185" t="s">
        <v>2813</v>
      </c>
    </row>
    <row r="1186" spans="1:22" ht="15.75" thickBot="1" x14ac:dyDescent="0.3">
      <c r="A1186" t="s">
        <v>1916</v>
      </c>
      <c r="B1186" t="s">
        <v>1916</v>
      </c>
      <c r="C1186" t="s">
        <v>1916</v>
      </c>
      <c r="D1186" t="s">
        <v>629</v>
      </c>
      <c r="E1186" s="248" t="s">
        <v>1853</v>
      </c>
      <c r="F1186" t="s">
        <v>620</v>
      </c>
      <c r="G1186" s="89">
        <v>2011</v>
      </c>
      <c r="H1186" s="312" t="s">
        <v>734</v>
      </c>
      <c r="I1186" s="308" t="str">
        <f t="shared" si="62"/>
        <v>Pesado de Passageiros M3: III : Gasóleo : E5</v>
      </c>
      <c r="J1186" s="125">
        <v>46</v>
      </c>
      <c r="K1186" s="253">
        <v>2022</v>
      </c>
      <c r="L1186" s="85">
        <v>19359.899999999998</v>
      </c>
      <c r="M1186" s="85" t="s">
        <v>630</v>
      </c>
      <c r="N1186" s="128">
        <v>52933</v>
      </c>
      <c r="O1186" s="128">
        <f t="shared" si="63"/>
        <v>2434918</v>
      </c>
      <c r="P1186" s="89">
        <v>8127</v>
      </c>
      <c r="Q1186" t="s">
        <v>47</v>
      </c>
      <c r="R1186" s="214" t="s">
        <v>1869</v>
      </c>
      <c r="S1186" s="214" t="s">
        <v>1861</v>
      </c>
      <c r="U1186" t="s">
        <v>1953</v>
      </c>
      <c r="V1186" t="s">
        <v>2813</v>
      </c>
    </row>
    <row r="1187" spans="1:22" ht="15.75" thickBot="1" x14ac:dyDescent="0.3">
      <c r="A1187" t="s">
        <v>1916</v>
      </c>
      <c r="B1187" t="s">
        <v>1916</v>
      </c>
      <c r="C1187" t="s">
        <v>1916</v>
      </c>
      <c r="D1187" t="s">
        <v>629</v>
      </c>
      <c r="E1187" s="248" t="s">
        <v>1853</v>
      </c>
      <c r="F1187" t="s">
        <v>620</v>
      </c>
      <c r="G1187" s="89">
        <v>2007</v>
      </c>
      <c r="H1187" s="312" t="s">
        <v>731</v>
      </c>
      <c r="I1187" s="308" t="str">
        <f t="shared" si="62"/>
        <v>Pesado de Passageiros M3: III : Gasóleo : E4</v>
      </c>
      <c r="J1187" s="125">
        <v>94</v>
      </c>
      <c r="K1187" s="253">
        <v>2022</v>
      </c>
      <c r="L1187" s="85">
        <v>13368.1</v>
      </c>
      <c r="M1187" s="85" t="s">
        <v>630</v>
      </c>
      <c r="N1187" s="128">
        <v>36847</v>
      </c>
      <c r="O1187" s="128">
        <f t="shared" si="63"/>
        <v>3463618</v>
      </c>
      <c r="P1187" s="89">
        <v>8129</v>
      </c>
      <c r="Q1187" t="s">
        <v>47</v>
      </c>
      <c r="R1187" s="214" t="s">
        <v>1869</v>
      </c>
      <c r="S1187" s="214" t="s">
        <v>1861</v>
      </c>
      <c r="U1187" t="s">
        <v>1953</v>
      </c>
      <c r="V1187" t="s">
        <v>2813</v>
      </c>
    </row>
    <row r="1188" spans="1:22" ht="15.75" thickBot="1" x14ac:dyDescent="0.3">
      <c r="A1188" t="s">
        <v>1916</v>
      </c>
      <c r="B1188" t="s">
        <v>1916</v>
      </c>
      <c r="C1188" t="s">
        <v>1916</v>
      </c>
      <c r="D1188" t="s">
        <v>629</v>
      </c>
      <c r="E1188" s="248" t="s">
        <v>1853</v>
      </c>
      <c r="F1188" t="s">
        <v>620</v>
      </c>
      <c r="G1188" s="89">
        <v>2009</v>
      </c>
      <c r="H1188" s="312" t="s">
        <v>734</v>
      </c>
      <c r="I1188" s="308" t="str">
        <f t="shared" si="62"/>
        <v>Pesado de Passageiros M3: III : Gasóleo : E5</v>
      </c>
      <c r="J1188" s="125">
        <v>122</v>
      </c>
      <c r="K1188" s="253">
        <v>2022</v>
      </c>
      <c r="L1188" s="85">
        <v>10745.7</v>
      </c>
      <c r="M1188" s="85" t="s">
        <v>630</v>
      </c>
      <c r="N1188" s="128">
        <v>31937</v>
      </c>
      <c r="O1188" s="128">
        <f t="shared" si="63"/>
        <v>3896314</v>
      </c>
      <c r="P1188" s="89">
        <v>8132</v>
      </c>
      <c r="Q1188" t="s">
        <v>47</v>
      </c>
      <c r="R1188" s="214" t="s">
        <v>1869</v>
      </c>
      <c r="S1188" s="214" t="s">
        <v>1861</v>
      </c>
      <c r="U1188" t="s">
        <v>1953</v>
      </c>
      <c r="V1188" t="s">
        <v>2813</v>
      </c>
    </row>
    <row r="1189" spans="1:22" ht="15.75" thickBot="1" x14ac:dyDescent="0.3">
      <c r="A1189" t="s">
        <v>1916</v>
      </c>
      <c r="B1189" t="s">
        <v>1916</v>
      </c>
      <c r="C1189" t="s">
        <v>1916</v>
      </c>
      <c r="D1189" t="s">
        <v>629</v>
      </c>
      <c r="E1189" s="248" t="s">
        <v>1853</v>
      </c>
      <c r="F1189" t="s">
        <v>620</v>
      </c>
      <c r="G1189" s="89">
        <v>2018</v>
      </c>
      <c r="H1189" s="312" t="s">
        <v>733</v>
      </c>
      <c r="I1189" s="308" t="str">
        <f t="shared" si="62"/>
        <v>Pesado de Passageiros M3: III : Gasóleo : E6</v>
      </c>
      <c r="J1189" s="125">
        <v>32</v>
      </c>
      <c r="K1189" s="253">
        <v>2022</v>
      </c>
      <c r="L1189" s="85">
        <v>7220.8</v>
      </c>
      <c r="M1189" s="85" t="s">
        <v>630</v>
      </c>
      <c r="N1189" s="128">
        <v>48312</v>
      </c>
      <c r="O1189" s="128">
        <f t="shared" si="63"/>
        <v>1545984</v>
      </c>
      <c r="P1189" s="89">
        <v>8133</v>
      </c>
      <c r="Q1189" t="s">
        <v>47</v>
      </c>
      <c r="R1189" s="214" t="s">
        <v>1869</v>
      </c>
      <c r="S1189" s="214" t="s">
        <v>1861</v>
      </c>
      <c r="U1189" t="s">
        <v>1953</v>
      </c>
      <c r="V1189" t="s">
        <v>2813</v>
      </c>
    </row>
    <row r="1190" spans="1:22" ht="15.75" thickBot="1" x14ac:dyDescent="0.3">
      <c r="A1190" t="s">
        <v>1916</v>
      </c>
      <c r="B1190" t="s">
        <v>1916</v>
      </c>
      <c r="C1190" t="s">
        <v>1916</v>
      </c>
      <c r="D1190" t="s">
        <v>629</v>
      </c>
      <c r="E1190" s="248" t="s">
        <v>1853</v>
      </c>
      <c r="F1190" t="s">
        <v>620</v>
      </c>
      <c r="G1190" s="89">
        <v>2009</v>
      </c>
      <c r="H1190" s="312" t="s">
        <v>731</v>
      </c>
      <c r="I1190" s="308" t="str">
        <f t="shared" si="62"/>
        <v>Pesado de Passageiros M3: III : Gasóleo : E4</v>
      </c>
      <c r="J1190" s="125">
        <v>22</v>
      </c>
      <c r="K1190" s="253">
        <v>2022</v>
      </c>
      <c r="L1190" s="85">
        <v>3932.4</v>
      </c>
      <c r="M1190" s="85" t="s">
        <v>630</v>
      </c>
      <c r="N1190" s="128">
        <v>25607</v>
      </c>
      <c r="O1190" s="128">
        <f t="shared" si="63"/>
        <v>563354</v>
      </c>
      <c r="P1190" s="89">
        <v>8134</v>
      </c>
      <c r="Q1190" t="s">
        <v>47</v>
      </c>
      <c r="R1190" s="214" t="s">
        <v>1869</v>
      </c>
      <c r="S1190" s="214" t="s">
        <v>1861</v>
      </c>
      <c r="U1190" t="s">
        <v>1953</v>
      </c>
      <c r="V1190" t="s">
        <v>2813</v>
      </c>
    </row>
    <row r="1191" spans="1:22" ht="15.75" thickBot="1" x14ac:dyDescent="0.3">
      <c r="A1191" t="s">
        <v>1916</v>
      </c>
      <c r="B1191" t="s">
        <v>1916</v>
      </c>
      <c r="C1191" t="s">
        <v>1916</v>
      </c>
      <c r="D1191" t="s">
        <v>629</v>
      </c>
      <c r="E1191" s="248" t="s">
        <v>1853</v>
      </c>
      <c r="F1191" t="s">
        <v>620</v>
      </c>
      <c r="G1191" s="89">
        <v>2001</v>
      </c>
      <c r="H1191" s="312" t="s">
        <v>735</v>
      </c>
      <c r="I1191" s="308" t="str">
        <f t="shared" si="62"/>
        <v>Pesado de Passageiros M3: III : Gasóleo : E2</v>
      </c>
      <c r="J1191" s="125">
        <v>55</v>
      </c>
      <c r="K1191" s="253">
        <v>2022</v>
      </c>
      <c r="L1191" s="85">
        <v>14001.4</v>
      </c>
      <c r="M1191" s="85" t="s">
        <v>630</v>
      </c>
      <c r="N1191" s="128">
        <v>41785</v>
      </c>
      <c r="O1191" s="128">
        <f t="shared" si="63"/>
        <v>2298175</v>
      </c>
      <c r="P1191" s="89">
        <v>8135</v>
      </c>
      <c r="Q1191" t="s">
        <v>47</v>
      </c>
      <c r="R1191" s="214" t="s">
        <v>1869</v>
      </c>
      <c r="S1191" s="214" t="s">
        <v>1861</v>
      </c>
      <c r="U1191" t="s">
        <v>1953</v>
      </c>
      <c r="V1191" t="s">
        <v>2813</v>
      </c>
    </row>
    <row r="1192" spans="1:22" ht="15.75" thickBot="1" x14ac:dyDescent="0.3">
      <c r="A1192" t="s">
        <v>1916</v>
      </c>
      <c r="B1192" t="s">
        <v>1916</v>
      </c>
      <c r="C1192" t="s">
        <v>1916</v>
      </c>
      <c r="D1192" t="s">
        <v>629</v>
      </c>
      <c r="E1192" s="248" t="s">
        <v>1853</v>
      </c>
      <c r="F1192" t="s">
        <v>620</v>
      </c>
      <c r="G1192" s="89">
        <v>2006</v>
      </c>
      <c r="H1192" s="312" t="s">
        <v>732</v>
      </c>
      <c r="I1192" s="308" t="str">
        <f t="shared" si="62"/>
        <v>Pesado de Passageiros M3: III : Gasóleo : E3</v>
      </c>
      <c r="J1192" s="125">
        <v>74</v>
      </c>
      <c r="K1192" s="253">
        <v>2022</v>
      </c>
      <c r="L1192" s="85">
        <v>10385.200000000003</v>
      </c>
      <c r="M1192" s="85" t="s">
        <v>630</v>
      </c>
      <c r="N1192" s="128">
        <v>32572</v>
      </c>
      <c r="O1192" s="128">
        <f t="shared" si="63"/>
        <v>2410328</v>
      </c>
      <c r="P1192" s="89">
        <v>8136</v>
      </c>
      <c r="Q1192" t="s">
        <v>47</v>
      </c>
      <c r="R1192" s="214" t="s">
        <v>1869</v>
      </c>
      <c r="S1192" s="214" t="s">
        <v>1861</v>
      </c>
      <c r="U1192" t="s">
        <v>1953</v>
      </c>
      <c r="V1192" t="s">
        <v>2813</v>
      </c>
    </row>
    <row r="1193" spans="1:22" ht="15.75" thickBot="1" x14ac:dyDescent="0.3">
      <c r="A1193" t="s">
        <v>1916</v>
      </c>
      <c r="B1193" t="s">
        <v>1916</v>
      </c>
      <c r="C1193" t="s">
        <v>1916</v>
      </c>
      <c r="D1193" t="s">
        <v>629</v>
      </c>
      <c r="E1193" s="248" t="s">
        <v>1853</v>
      </c>
      <c r="F1193" t="s">
        <v>620</v>
      </c>
      <c r="G1193" s="89">
        <v>2002</v>
      </c>
      <c r="H1193" s="312" t="s">
        <v>732</v>
      </c>
      <c r="I1193" s="308" t="str">
        <f t="shared" si="62"/>
        <v>Pesado de Passageiros M3: III : Gasóleo : E3</v>
      </c>
      <c r="J1193" s="125">
        <v>71</v>
      </c>
      <c r="K1193" s="253">
        <v>2022</v>
      </c>
      <c r="L1193" s="85">
        <v>21076.7</v>
      </c>
      <c r="M1193" s="85" t="s">
        <v>630</v>
      </c>
      <c r="N1193" s="128">
        <v>68158</v>
      </c>
      <c r="O1193" s="128">
        <f t="shared" si="63"/>
        <v>4839218</v>
      </c>
      <c r="P1193" s="89">
        <v>8137</v>
      </c>
      <c r="Q1193" t="s">
        <v>47</v>
      </c>
      <c r="R1193" s="214" t="s">
        <v>1869</v>
      </c>
      <c r="S1193" s="214" t="s">
        <v>1861</v>
      </c>
      <c r="U1193" t="s">
        <v>1953</v>
      </c>
      <c r="V1193" t="s">
        <v>2813</v>
      </c>
    </row>
    <row r="1194" spans="1:22" ht="15.75" thickBot="1" x14ac:dyDescent="0.3">
      <c r="A1194" t="s">
        <v>1916</v>
      </c>
      <c r="B1194" t="s">
        <v>1916</v>
      </c>
      <c r="C1194" t="s">
        <v>1916</v>
      </c>
      <c r="D1194" t="s">
        <v>629</v>
      </c>
      <c r="E1194" s="248" t="s">
        <v>1853</v>
      </c>
      <c r="F1194" t="s">
        <v>620</v>
      </c>
      <c r="G1194" s="89">
        <v>2002</v>
      </c>
      <c r="H1194" s="312" t="s">
        <v>732</v>
      </c>
      <c r="I1194" s="308" t="str">
        <f t="shared" si="62"/>
        <v>Pesado de Passageiros M3: III : Gasóleo : E3</v>
      </c>
      <c r="J1194" s="125">
        <v>84</v>
      </c>
      <c r="K1194" s="253">
        <v>2022</v>
      </c>
      <c r="L1194" s="85">
        <v>12199.2</v>
      </c>
      <c r="M1194" s="85" t="s">
        <v>630</v>
      </c>
      <c r="N1194" s="128">
        <v>38199</v>
      </c>
      <c r="O1194" s="128">
        <f t="shared" si="63"/>
        <v>3208716</v>
      </c>
      <c r="P1194" s="89">
        <v>8138</v>
      </c>
      <c r="Q1194" t="s">
        <v>47</v>
      </c>
      <c r="R1194" s="214" t="s">
        <v>1869</v>
      </c>
      <c r="S1194" s="214" t="s">
        <v>1861</v>
      </c>
      <c r="U1194" t="s">
        <v>1953</v>
      </c>
      <c r="V1194" t="s">
        <v>2813</v>
      </c>
    </row>
    <row r="1195" spans="1:22" ht="15.75" thickBot="1" x14ac:dyDescent="0.3">
      <c r="A1195" t="s">
        <v>1916</v>
      </c>
      <c r="B1195" t="s">
        <v>1916</v>
      </c>
      <c r="C1195" t="s">
        <v>1916</v>
      </c>
      <c r="D1195" t="s">
        <v>629</v>
      </c>
      <c r="E1195" s="248" t="s">
        <v>1853</v>
      </c>
      <c r="F1195" t="s">
        <v>620</v>
      </c>
      <c r="G1195" s="89">
        <v>2002</v>
      </c>
      <c r="H1195" s="312" t="s">
        <v>732</v>
      </c>
      <c r="I1195" s="308" t="str">
        <f t="shared" si="62"/>
        <v>Pesado de Passageiros M3: III : Gasóleo : E3</v>
      </c>
      <c r="J1195" s="125">
        <v>83</v>
      </c>
      <c r="K1195" s="253">
        <v>2022</v>
      </c>
      <c r="L1195" s="85">
        <v>13460.3</v>
      </c>
      <c r="M1195" s="85" t="s">
        <v>630</v>
      </c>
      <c r="N1195" s="128">
        <v>39864</v>
      </c>
      <c r="O1195" s="128">
        <f t="shared" si="63"/>
        <v>3308712</v>
      </c>
      <c r="P1195" s="89">
        <v>8139</v>
      </c>
      <c r="Q1195" t="s">
        <v>47</v>
      </c>
      <c r="R1195" s="214" t="s">
        <v>1869</v>
      </c>
      <c r="S1195" s="214" t="s">
        <v>1861</v>
      </c>
      <c r="U1195" t="s">
        <v>1953</v>
      </c>
      <c r="V1195" t="s">
        <v>2813</v>
      </c>
    </row>
    <row r="1196" spans="1:22" ht="15.75" thickBot="1" x14ac:dyDescent="0.3">
      <c r="A1196" t="s">
        <v>1916</v>
      </c>
      <c r="B1196" t="s">
        <v>1916</v>
      </c>
      <c r="C1196" t="s">
        <v>1916</v>
      </c>
      <c r="D1196" t="s">
        <v>629</v>
      </c>
      <c r="E1196" s="248" t="s">
        <v>1853</v>
      </c>
      <c r="F1196" t="s">
        <v>620</v>
      </c>
      <c r="G1196" s="89">
        <v>2002</v>
      </c>
      <c r="H1196" s="312" t="s">
        <v>732</v>
      </c>
      <c r="I1196" s="308" t="str">
        <f t="shared" si="62"/>
        <v>Pesado de Passageiros M3: III : Gasóleo : E3</v>
      </c>
      <c r="J1196" s="125">
        <v>82</v>
      </c>
      <c r="K1196" s="253">
        <v>2022</v>
      </c>
      <c r="L1196" s="85">
        <v>9897.4</v>
      </c>
      <c r="M1196" s="85" t="s">
        <v>630</v>
      </c>
      <c r="N1196" s="128">
        <v>31671</v>
      </c>
      <c r="O1196" s="128">
        <f t="shared" si="63"/>
        <v>2597022</v>
      </c>
      <c r="P1196" s="89">
        <v>8140</v>
      </c>
      <c r="Q1196" t="s">
        <v>47</v>
      </c>
      <c r="R1196" s="214" t="s">
        <v>1869</v>
      </c>
      <c r="S1196" s="214" t="s">
        <v>1861</v>
      </c>
      <c r="U1196" t="s">
        <v>1953</v>
      </c>
      <c r="V1196" t="s">
        <v>2813</v>
      </c>
    </row>
    <row r="1197" spans="1:22" ht="15.75" thickBot="1" x14ac:dyDescent="0.3">
      <c r="A1197" t="s">
        <v>1916</v>
      </c>
      <c r="B1197" t="s">
        <v>1916</v>
      </c>
      <c r="C1197" t="s">
        <v>1916</v>
      </c>
      <c r="D1197" t="s">
        <v>629</v>
      </c>
      <c r="E1197" s="248" t="s">
        <v>1853</v>
      </c>
      <c r="F1197" t="s">
        <v>620</v>
      </c>
      <c r="G1197" s="89">
        <v>2012</v>
      </c>
      <c r="H1197" s="312" t="s">
        <v>734</v>
      </c>
      <c r="I1197" s="308" t="str">
        <f t="shared" si="62"/>
        <v>Pesado de Passageiros M3: III : Gasóleo : E5</v>
      </c>
      <c r="J1197" s="125">
        <v>61</v>
      </c>
      <c r="K1197" s="253">
        <v>2022</v>
      </c>
      <c r="L1197" s="85">
        <v>15105.600000000002</v>
      </c>
      <c r="M1197" s="85" t="s">
        <v>630</v>
      </c>
      <c r="N1197" s="128">
        <v>49458</v>
      </c>
      <c r="O1197" s="128">
        <f t="shared" si="63"/>
        <v>3016938</v>
      </c>
      <c r="P1197" s="89">
        <v>8141</v>
      </c>
      <c r="Q1197" t="s">
        <v>47</v>
      </c>
      <c r="R1197" s="214" t="s">
        <v>1869</v>
      </c>
      <c r="S1197" s="214" t="s">
        <v>1861</v>
      </c>
      <c r="U1197" t="s">
        <v>1953</v>
      </c>
      <c r="V1197" t="s">
        <v>2813</v>
      </c>
    </row>
    <row r="1198" spans="1:22" ht="15.75" thickBot="1" x14ac:dyDescent="0.3">
      <c r="A1198" t="s">
        <v>1916</v>
      </c>
      <c r="B1198" t="s">
        <v>1916</v>
      </c>
      <c r="C1198" t="s">
        <v>1916</v>
      </c>
      <c r="D1198" t="s">
        <v>629</v>
      </c>
      <c r="E1198" s="248" t="s">
        <v>1853</v>
      </c>
      <c r="F1198" t="s">
        <v>620</v>
      </c>
      <c r="G1198" s="89">
        <v>2012</v>
      </c>
      <c r="H1198" s="312" t="s">
        <v>734</v>
      </c>
      <c r="I1198" s="308" t="str">
        <f t="shared" si="62"/>
        <v>Pesado de Passageiros M3: III : Gasóleo : E5</v>
      </c>
      <c r="J1198" s="125">
        <v>61</v>
      </c>
      <c r="K1198" s="253">
        <v>2022</v>
      </c>
      <c r="L1198" s="85">
        <v>7076.5000000000009</v>
      </c>
      <c r="M1198" s="85" t="s">
        <v>630</v>
      </c>
      <c r="N1198" s="128">
        <v>23502</v>
      </c>
      <c r="O1198" s="128">
        <f t="shared" si="63"/>
        <v>1433622</v>
      </c>
      <c r="P1198" s="89">
        <v>8142</v>
      </c>
      <c r="Q1198" t="s">
        <v>47</v>
      </c>
      <c r="R1198" s="214" t="s">
        <v>1869</v>
      </c>
      <c r="S1198" s="214" t="s">
        <v>1861</v>
      </c>
      <c r="U1198" t="s">
        <v>1953</v>
      </c>
      <c r="V1198" t="s">
        <v>2813</v>
      </c>
    </row>
    <row r="1199" spans="1:22" ht="15.75" thickBot="1" x14ac:dyDescent="0.3">
      <c r="A1199" t="s">
        <v>1916</v>
      </c>
      <c r="B1199" t="s">
        <v>1916</v>
      </c>
      <c r="C1199" t="s">
        <v>1916</v>
      </c>
      <c r="D1199" t="s">
        <v>629</v>
      </c>
      <c r="E1199" s="248" t="s">
        <v>1853</v>
      </c>
      <c r="F1199" t="s">
        <v>620</v>
      </c>
      <c r="G1199" s="89">
        <v>2012</v>
      </c>
      <c r="H1199" s="312" t="s">
        <v>734</v>
      </c>
      <c r="I1199" s="308" t="str">
        <f t="shared" si="62"/>
        <v>Pesado de Passageiros M3: III : Gasóleo : E5</v>
      </c>
      <c r="J1199" s="125">
        <v>61</v>
      </c>
      <c r="K1199" s="253">
        <v>2022</v>
      </c>
      <c r="L1199" s="85">
        <v>18873</v>
      </c>
      <c r="M1199" s="85" t="s">
        <v>630</v>
      </c>
      <c r="N1199" s="128">
        <v>63689</v>
      </c>
      <c r="O1199" s="128">
        <f t="shared" si="63"/>
        <v>3885029</v>
      </c>
      <c r="P1199" s="89">
        <v>8143</v>
      </c>
      <c r="Q1199" t="s">
        <v>47</v>
      </c>
      <c r="R1199" s="214" t="s">
        <v>1869</v>
      </c>
      <c r="S1199" s="214" t="s">
        <v>1861</v>
      </c>
      <c r="U1199" t="s">
        <v>1953</v>
      </c>
      <c r="V1199" t="s">
        <v>2813</v>
      </c>
    </row>
    <row r="1200" spans="1:22" ht="15.75" thickBot="1" x14ac:dyDescent="0.3">
      <c r="A1200" t="s">
        <v>1916</v>
      </c>
      <c r="B1200" t="s">
        <v>1916</v>
      </c>
      <c r="C1200" t="s">
        <v>1916</v>
      </c>
      <c r="D1200" t="s">
        <v>629</v>
      </c>
      <c r="E1200" s="248" t="s">
        <v>1853</v>
      </c>
      <c r="F1200" t="s">
        <v>620</v>
      </c>
      <c r="G1200" s="89">
        <v>2012</v>
      </c>
      <c r="H1200" s="312" t="s">
        <v>734</v>
      </c>
      <c r="I1200" s="308" t="str">
        <f t="shared" si="62"/>
        <v>Pesado de Passageiros M3: III : Gasóleo : E5</v>
      </c>
      <c r="J1200" s="125">
        <v>61</v>
      </c>
      <c r="K1200" s="253">
        <v>2022</v>
      </c>
      <c r="L1200" s="85">
        <v>13030.800000000001</v>
      </c>
      <c r="M1200" s="85" t="s">
        <v>630</v>
      </c>
      <c r="N1200" s="128">
        <v>43558</v>
      </c>
      <c r="O1200" s="128">
        <f t="shared" si="63"/>
        <v>2657038</v>
      </c>
      <c r="P1200" s="89">
        <v>8144</v>
      </c>
      <c r="Q1200" t="s">
        <v>47</v>
      </c>
      <c r="R1200" s="214" t="s">
        <v>1869</v>
      </c>
      <c r="S1200" s="214" t="s">
        <v>1861</v>
      </c>
      <c r="U1200" t="s">
        <v>1953</v>
      </c>
      <c r="V1200" t="s">
        <v>2813</v>
      </c>
    </row>
    <row r="1201" spans="1:22" ht="15.75" thickBot="1" x14ac:dyDescent="0.3">
      <c r="A1201" t="s">
        <v>1916</v>
      </c>
      <c r="B1201" t="s">
        <v>1916</v>
      </c>
      <c r="C1201" t="s">
        <v>1916</v>
      </c>
      <c r="D1201" t="s">
        <v>629</v>
      </c>
      <c r="E1201" s="248" t="s">
        <v>1853</v>
      </c>
      <c r="F1201" t="s">
        <v>620</v>
      </c>
      <c r="G1201" s="89">
        <v>2004</v>
      </c>
      <c r="H1201" s="312" t="s">
        <v>732</v>
      </c>
      <c r="I1201" s="308" t="str">
        <f t="shared" si="62"/>
        <v>Pesado de Passageiros M3: III : Gasóleo : E3</v>
      </c>
      <c r="J1201" s="125">
        <v>54</v>
      </c>
      <c r="K1201" s="253">
        <v>2022</v>
      </c>
      <c r="L1201" s="85">
        <v>12892.2</v>
      </c>
      <c r="M1201" s="85" t="s">
        <v>630</v>
      </c>
      <c r="N1201" s="128">
        <v>37520</v>
      </c>
      <c r="O1201" s="128">
        <f t="shared" si="63"/>
        <v>2026080</v>
      </c>
      <c r="P1201" s="89">
        <v>8145</v>
      </c>
      <c r="Q1201" t="s">
        <v>47</v>
      </c>
      <c r="R1201" s="214" t="s">
        <v>1869</v>
      </c>
      <c r="S1201" s="214" t="s">
        <v>1861</v>
      </c>
      <c r="U1201" t="s">
        <v>1953</v>
      </c>
      <c r="V1201" t="s">
        <v>2813</v>
      </c>
    </row>
    <row r="1202" spans="1:22" ht="15.75" thickBot="1" x14ac:dyDescent="0.3">
      <c r="A1202" t="s">
        <v>1916</v>
      </c>
      <c r="B1202" t="s">
        <v>1916</v>
      </c>
      <c r="C1202" t="s">
        <v>1916</v>
      </c>
      <c r="D1202" t="s">
        <v>629</v>
      </c>
      <c r="E1202" s="248" t="s">
        <v>1853</v>
      </c>
      <c r="F1202" t="s">
        <v>620</v>
      </c>
      <c r="G1202" s="89">
        <v>2004</v>
      </c>
      <c r="H1202" s="312" t="s">
        <v>735</v>
      </c>
      <c r="I1202" s="308" t="str">
        <f t="shared" si="62"/>
        <v>Pesado de Passageiros M3: III : Gasóleo : E2</v>
      </c>
      <c r="J1202" s="125">
        <v>51</v>
      </c>
      <c r="K1202" s="253">
        <v>2022</v>
      </c>
      <c r="L1202" s="85">
        <v>11304.9</v>
      </c>
      <c r="M1202" s="85" t="s">
        <v>630</v>
      </c>
      <c r="N1202" s="128">
        <v>29791</v>
      </c>
      <c r="O1202" s="128">
        <f t="shared" si="63"/>
        <v>1519341</v>
      </c>
      <c r="P1202" s="89">
        <v>8146</v>
      </c>
      <c r="Q1202" t="s">
        <v>47</v>
      </c>
      <c r="R1202" s="214" t="s">
        <v>1869</v>
      </c>
      <c r="S1202" s="214" t="s">
        <v>1861</v>
      </c>
      <c r="U1202" t="s">
        <v>1953</v>
      </c>
      <c r="V1202" t="s">
        <v>2813</v>
      </c>
    </row>
    <row r="1203" spans="1:22" ht="15.75" thickBot="1" x14ac:dyDescent="0.3">
      <c r="A1203" t="s">
        <v>1916</v>
      </c>
      <c r="B1203" t="s">
        <v>1916</v>
      </c>
      <c r="C1203" t="s">
        <v>1916</v>
      </c>
      <c r="D1203" t="s">
        <v>629</v>
      </c>
      <c r="E1203" s="248" t="s">
        <v>1853</v>
      </c>
      <c r="F1203" t="s">
        <v>620</v>
      </c>
      <c r="G1203" s="89">
        <v>2004</v>
      </c>
      <c r="H1203" s="312" t="s">
        <v>732</v>
      </c>
      <c r="I1203" s="308" t="str">
        <f t="shared" si="62"/>
        <v>Pesado de Passageiros M3: III : Gasóleo : E3</v>
      </c>
      <c r="J1203" s="125">
        <v>51</v>
      </c>
      <c r="K1203" s="253">
        <v>2022</v>
      </c>
      <c r="L1203" s="85">
        <v>23993.7</v>
      </c>
      <c r="M1203" s="85" t="s">
        <v>630</v>
      </c>
      <c r="N1203" s="128">
        <v>67446</v>
      </c>
      <c r="O1203" s="128">
        <f t="shared" si="63"/>
        <v>3439746</v>
      </c>
      <c r="P1203" s="89">
        <v>8147</v>
      </c>
      <c r="Q1203" t="s">
        <v>47</v>
      </c>
      <c r="R1203" s="214" t="s">
        <v>1869</v>
      </c>
      <c r="S1203" s="214" t="s">
        <v>1861</v>
      </c>
      <c r="U1203" t="s">
        <v>1953</v>
      </c>
      <c r="V1203" t="s">
        <v>2813</v>
      </c>
    </row>
    <row r="1204" spans="1:22" ht="15.75" thickBot="1" x14ac:dyDescent="0.3">
      <c r="A1204" t="s">
        <v>1916</v>
      </c>
      <c r="B1204" t="s">
        <v>1916</v>
      </c>
      <c r="C1204" t="s">
        <v>1916</v>
      </c>
      <c r="D1204" t="s">
        <v>629</v>
      </c>
      <c r="E1204" s="248" t="s">
        <v>1853</v>
      </c>
      <c r="F1204" t="s">
        <v>620</v>
      </c>
      <c r="G1204" s="89">
        <v>2003</v>
      </c>
      <c r="H1204" s="312" t="s">
        <v>732</v>
      </c>
      <c r="I1204" s="308" t="str">
        <f t="shared" si="62"/>
        <v>Pesado de Passageiros M3: III : Gasóleo : E3</v>
      </c>
      <c r="J1204" s="125">
        <v>53</v>
      </c>
      <c r="K1204" s="253">
        <v>2022</v>
      </c>
      <c r="L1204" s="85">
        <v>20058.199999999997</v>
      </c>
      <c r="M1204" s="85" t="s">
        <v>630</v>
      </c>
      <c r="N1204" s="128">
        <v>51335</v>
      </c>
      <c r="O1204" s="128">
        <f t="shared" si="63"/>
        <v>2720755</v>
      </c>
      <c r="P1204" s="89">
        <v>8148</v>
      </c>
      <c r="Q1204" t="s">
        <v>47</v>
      </c>
      <c r="R1204" s="214" t="s">
        <v>1869</v>
      </c>
      <c r="S1204" s="214" t="s">
        <v>1861</v>
      </c>
      <c r="U1204" t="s">
        <v>1953</v>
      </c>
      <c r="V1204" t="s">
        <v>2813</v>
      </c>
    </row>
    <row r="1205" spans="1:22" ht="15.75" thickBot="1" x14ac:dyDescent="0.3">
      <c r="A1205" t="s">
        <v>1916</v>
      </c>
      <c r="B1205" t="s">
        <v>1916</v>
      </c>
      <c r="C1205" t="s">
        <v>1916</v>
      </c>
      <c r="D1205" t="s">
        <v>629</v>
      </c>
      <c r="E1205" s="248" t="s">
        <v>1853</v>
      </c>
      <c r="F1205" t="s">
        <v>620</v>
      </c>
      <c r="G1205" s="89">
        <v>2003</v>
      </c>
      <c r="H1205" s="312" t="s">
        <v>734</v>
      </c>
      <c r="I1205" s="308" t="str">
        <f t="shared" si="62"/>
        <v>Pesado de Passageiros M3: III : Gasóleo : E5</v>
      </c>
      <c r="J1205" s="125">
        <v>60</v>
      </c>
      <c r="K1205" s="253">
        <v>2022</v>
      </c>
      <c r="L1205" s="85">
        <v>17525.2</v>
      </c>
      <c r="M1205" s="85" t="s">
        <v>630</v>
      </c>
      <c r="N1205" s="128">
        <v>56779</v>
      </c>
      <c r="O1205" s="128">
        <f t="shared" si="63"/>
        <v>3406740</v>
      </c>
      <c r="P1205" s="89">
        <v>8149</v>
      </c>
      <c r="Q1205" t="s">
        <v>47</v>
      </c>
      <c r="R1205" s="214" t="s">
        <v>1869</v>
      </c>
      <c r="S1205" s="214" t="s">
        <v>1861</v>
      </c>
      <c r="U1205" t="s">
        <v>1953</v>
      </c>
      <c r="V1205" t="s">
        <v>2813</v>
      </c>
    </row>
    <row r="1206" spans="1:22" ht="15.75" thickBot="1" x14ac:dyDescent="0.3">
      <c r="A1206" t="s">
        <v>1916</v>
      </c>
      <c r="B1206" t="s">
        <v>1916</v>
      </c>
      <c r="C1206" t="s">
        <v>1916</v>
      </c>
      <c r="D1206" t="s">
        <v>629</v>
      </c>
      <c r="E1206" s="248" t="s">
        <v>1853</v>
      </c>
      <c r="F1206" t="s">
        <v>620</v>
      </c>
      <c r="G1206" s="89">
        <v>2003</v>
      </c>
      <c r="H1206" s="312" t="s">
        <v>732</v>
      </c>
      <c r="I1206" s="308" t="str">
        <f t="shared" si="62"/>
        <v>Pesado de Passageiros M3: III : Gasóleo : E3</v>
      </c>
      <c r="J1206" s="125">
        <v>50</v>
      </c>
      <c r="K1206" s="253">
        <v>2022</v>
      </c>
      <c r="L1206" s="85">
        <v>23142.900000000005</v>
      </c>
      <c r="M1206" s="85" t="s">
        <v>630</v>
      </c>
      <c r="N1206" s="128">
        <v>69345</v>
      </c>
      <c r="O1206" s="128">
        <f t="shared" si="63"/>
        <v>3467250</v>
      </c>
      <c r="P1206" s="89">
        <v>8150</v>
      </c>
      <c r="Q1206" t="s">
        <v>47</v>
      </c>
      <c r="R1206" s="214" t="s">
        <v>1869</v>
      </c>
      <c r="S1206" s="214" t="s">
        <v>1861</v>
      </c>
      <c r="U1206" t="s">
        <v>1953</v>
      </c>
      <c r="V1206" t="s">
        <v>2813</v>
      </c>
    </row>
    <row r="1207" spans="1:22" ht="15.75" thickBot="1" x14ac:dyDescent="0.3">
      <c r="A1207" t="s">
        <v>1916</v>
      </c>
      <c r="B1207" t="s">
        <v>1916</v>
      </c>
      <c r="C1207" t="s">
        <v>1916</v>
      </c>
      <c r="D1207" t="s">
        <v>629</v>
      </c>
      <c r="E1207" s="248" t="s">
        <v>1853</v>
      </c>
      <c r="F1207" t="s">
        <v>620</v>
      </c>
      <c r="G1207" s="89">
        <v>2003</v>
      </c>
      <c r="H1207" s="312" t="s">
        <v>732</v>
      </c>
      <c r="I1207" s="308" t="str">
        <f t="shared" si="62"/>
        <v>Pesado de Passageiros M3: III : Gasóleo : E3</v>
      </c>
      <c r="J1207" s="125">
        <v>50</v>
      </c>
      <c r="K1207" s="253">
        <v>2022</v>
      </c>
      <c r="L1207" s="85">
        <v>19656.900000000001</v>
      </c>
      <c r="M1207" s="85" t="s">
        <v>630</v>
      </c>
      <c r="N1207" s="128">
        <v>58576</v>
      </c>
      <c r="O1207" s="128">
        <f t="shared" si="63"/>
        <v>2928800</v>
      </c>
      <c r="P1207" s="89">
        <v>8151</v>
      </c>
      <c r="Q1207" t="s">
        <v>47</v>
      </c>
      <c r="R1207" s="214" t="s">
        <v>1869</v>
      </c>
      <c r="S1207" s="214" t="s">
        <v>1861</v>
      </c>
      <c r="U1207" t="s">
        <v>1953</v>
      </c>
      <c r="V1207" t="s">
        <v>2813</v>
      </c>
    </row>
    <row r="1208" spans="1:22" ht="15.75" thickBot="1" x14ac:dyDescent="0.3">
      <c r="A1208" t="s">
        <v>1916</v>
      </c>
      <c r="B1208" t="s">
        <v>1916</v>
      </c>
      <c r="C1208" t="s">
        <v>1916</v>
      </c>
      <c r="D1208" t="s">
        <v>629</v>
      </c>
      <c r="E1208" s="248" t="s">
        <v>1853</v>
      </c>
      <c r="F1208" t="s">
        <v>620</v>
      </c>
      <c r="G1208" s="89">
        <v>2012</v>
      </c>
      <c r="H1208" s="312" t="s">
        <v>734</v>
      </c>
      <c r="I1208" s="308" t="str">
        <f t="shared" si="62"/>
        <v>Pesado de Passageiros M3: III : Gasóleo : E5</v>
      </c>
      <c r="J1208" s="125">
        <v>81</v>
      </c>
      <c r="K1208" s="253">
        <v>2022</v>
      </c>
      <c r="L1208" s="85">
        <v>10500.199999999999</v>
      </c>
      <c r="M1208" s="85" t="s">
        <v>630</v>
      </c>
      <c r="N1208" s="128">
        <v>32648</v>
      </c>
      <c r="O1208" s="128">
        <f t="shared" si="63"/>
        <v>2644488</v>
      </c>
      <c r="P1208" s="89">
        <v>8152</v>
      </c>
      <c r="Q1208" t="s">
        <v>47</v>
      </c>
      <c r="R1208" s="214" t="s">
        <v>1869</v>
      </c>
      <c r="S1208" s="214" t="s">
        <v>1861</v>
      </c>
      <c r="U1208" t="s">
        <v>1953</v>
      </c>
      <c r="V1208" t="s">
        <v>2813</v>
      </c>
    </row>
    <row r="1209" spans="1:22" ht="15.75" thickBot="1" x14ac:dyDescent="0.3">
      <c r="A1209" t="s">
        <v>1916</v>
      </c>
      <c r="B1209" t="s">
        <v>1916</v>
      </c>
      <c r="C1209" t="s">
        <v>1916</v>
      </c>
      <c r="D1209" t="s">
        <v>629</v>
      </c>
      <c r="E1209" s="248" t="s">
        <v>1853</v>
      </c>
      <c r="F1209" t="s">
        <v>620</v>
      </c>
      <c r="G1209" s="89">
        <v>2012</v>
      </c>
      <c r="H1209" s="312" t="s">
        <v>734</v>
      </c>
      <c r="I1209" s="308" t="str">
        <f t="shared" si="62"/>
        <v>Pesado de Passageiros M3: III : Gasóleo : E5</v>
      </c>
      <c r="J1209" s="125">
        <v>60</v>
      </c>
      <c r="K1209" s="253">
        <v>2022</v>
      </c>
      <c r="L1209" s="85">
        <v>11673.599999999999</v>
      </c>
      <c r="M1209" s="85" t="s">
        <v>630</v>
      </c>
      <c r="N1209" s="128">
        <v>42631</v>
      </c>
      <c r="O1209" s="128">
        <f t="shared" si="63"/>
        <v>2557860</v>
      </c>
      <c r="P1209" s="89">
        <v>8153</v>
      </c>
      <c r="Q1209" t="s">
        <v>47</v>
      </c>
      <c r="R1209" s="214" t="s">
        <v>1869</v>
      </c>
      <c r="S1209" s="214" t="s">
        <v>1861</v>
      </c>
      <c r="U1209" t="s">
        <v>1953</v>
      </c>
      <c r="V1209" t="s">
        <v>2813</v>
      </c>
    </row>
    <row r="1210" spans="1:22" ht="15.75" thickBot="1" x14ac:dyDescent="0.3">
      <c r="A1210" t="s">
        <v>1916</v>
      </c>
      <c r="B1210" t="s">
        <v>1916</v>
      </c>
      <c r="C1210" t="s">
        <v>1916</v>
      </c>
      <c r="D1210" t="s">
        <v>629</v>
      </c>
      <c r="E1210" s="248" t="s">
        <v>1853</v>
      </c>
      <c r="F1210" t="s">
        <v>620</v>
      </c>
      <c r="G1210" s="89">
        <v>2012</v>
      </c>
      <c r="H1210" s="312" t="s">
        <v>734</v>
      </c>
      <c r="I1210" s="308" t="str">
        <f t="shared" si="62"/>
        <v>Pesado de Passageiros M3: III : Gasóleo : E5</v>
      </c>
      <c r="J1210" s="125">
        <v>80</v>
      </c>
      <c r="K1210" s="253">
        <v>2022</v>
      </c>
      <c r="L1210" s="85">
        <v>19224.400000000001</v>
      </c>
      <c r="M1210" s="85" t="s">
        <v>630</v>
      </c>
      <c r="N1210" s="128">
        <v>69442</v>
      </c>
      <c r="O1210" s="128">
        <f t="shared" si="63"/>
        <v>5555360</v>
      </c>
      <c r="P1210" s="89">
        <v>8154</v>
      </c>
      <c r="Q1210" t="s">
        <v>47</v>
      </c>
      <c r="R1210" s="214" t="s">
        <v>1869</v>
      </c>
      <c r="S1210" s="214" t="s">
        <v>1861</v>
      </c>
      <c r="U1210" t="s">
        <v>1953</v>
      </c>
      <c r="V1210" t="s">
        <v>2813</v>
      </c>
    </row>
    <row r="1211" spans="1:22" ht="15.75" thickBot="1" x14ac:dyDescent="0.3">
      <c r="A1211" t="s">
        <v>1916</v>
      </c>
      <c r="B1211" t="s">
        <v>1916</v>
      </c>
      <c r="C1211" t="s">
        <v>1916</v>
      </c>
      <c r="D1211" t="s">
        <v>629</v>
      </c>
      <c r="E1211" s="248" t="s">
        <v>1853</v>
      </c>
      <c r="F1211" t="s">
        <v>620</v>
      </c>
      <c r="G1211" s="89">
        <v>2012</v>
      </c>
      <c r="H1211" s="312" t="s">
        <v>734</v>
      </c>
      <c r="I1211" s="308" t="str">
        <f t="shared" si="62"/>
        <v>Pesado de Passageiros M3: III : Gasóleo : E5</v>
      </c>
      <c r="J1211" s="125">
        <v>81</v>
      </c>
      <c r="K1211" s="253">
        <v>2022</v>
      </c>
      <c r="L1211" s="85">
        <v>14748.7</v>
      </c>
      <c r="M1211" s="85" t="s">
        <v>630</v>
      </c>
      <c r="N1211" s="128">
        <v>47467</v>
      </c>
      <c r="O1211" s="128">
        <f t="shared" si="63"/>
        <v>3844827</v>
      </c>
      <c r="P1211" s="89">
        <v>8155</v>
      </c>
      <c r="Q1211" t="s">
        <v>47</v>
      </c>
      <c r="R1211" s="214" t="s">
        <v>1869</v>
      </c>
      <c r="S1211" s="214" t="s">
        <v>1861</v>
      </c>
      <c r="U1211" t="s">
        <v>1953</v>
      </c>
      <c r="V1211" t="s">
        <v>2813</v>
      </c>
    </row>
    <row r="1212" spans="1:22" ht="15.75" thickBot="1" x14ac:dyDescent="0.3">
      <c r="A1212" t="s">
        <v>1916</v>
      </c>
      <c r="B1212" t="s">
        <v>1916</v>
      </c>
      <c r="C1212" t="s">
        <v>1916</v>
      </c>
      <c r="D1212" t="s">
        <v>629</v>
      </c>
      <c r="E1212" s="248" t="s">
        <v>1853</v>
      </c>
      <c r="F1212" t="s">
        <v>620</v>
      </c>
      <c r="G1212" s="89">
        <v>2012</v>
      </c>
      <c r="H1212" s="312" t="s">
        <v>734</v>
      </c>
      <c r="I1212" s="308" t="str">
        <f t="shared" si="62"/>
        <v>Pesado de Passageiros M3: III : Gasóleo : E5</v>
      </c>
      <c r="J1212" s="125">
        <v>81</v>
      </c>
      <c r="K1212" s="253">
        <v>2022</v>
      </c>
      <c r="L1212" s="85">
        <v>13498.7</v>
      </c>
      <c r="M1212" s="85" t="s">
        <v>630</v>
      </c>
      <c r="N1212" s="128">
        <v>44468</v>
      </c>
      <c r="O1212" s="128">
        <f t="shared" si="63"/>
        <v>3601908</v>
      </c>
      <c r="P1212" s="89">
        <v>8156</v>
      </c>
      <c r="Q1212" t="s">
        <v>47</v>
      </c>
      <c r="R1212" s="214" t="s">
        <v>1869</v>
      </c>
      <c r="S1212" s="214" t="s">
        <v>1861</v>
      </c>
      <c r="U1212" t="s">
        <v>1953</v>
      </c>
      <c r="V1212" t="s">
        <v>2813</v>
      </c>
    </row>
    <row r="1213" spans="1:22" ht="15.75" thickBot="1" x14ac:dyDescent="0.3">
      <c r="A1213" t="s">
        <v>1916</v>
      </c>
      <c r="B1213" t="s">
        <v>1916</v>
      </c>
      <c r="C1213" t="s">
        <v>1916</v>
      </c>
      <c r="D1213" t="s">
        <v>629</v>
      </c>
      <c r="E1213" s="248" t="s">
        <v>1853</v>
      </c>
      <c r="F1213" t="s">
        <v>620</v>
      </c>
      <c r="G1213" s="89">
        <v>2012</v>
      </c>
      <c r="H1213" s="312" t="s">
        <v>734</v>
      </c>
      <c r="I1213" s="308" t="str">
        <f t="shared" si="62"/>
        <v>Pesado de Passageiros M3: III : Gasóleo : E5</v>
      </c>
      <c r="J1213" s="125">
        <v>81</v>
      </c>
      <c r="K1213" s="253">
        <v>2022</v>
      </c>
      <c r="L1213" s="85">
        <v>12820.4</v>
      </c>
      <c r="M1213" s="85" t="s">
        <v>630</v>
      </c>
      <c r="N1213" s="128">
        <v>48803</v>
      </c>
      <c r="O1213" s="128">
        <f t="shared" si="63"/>
        <v>3953043</v>
      </c>
      <c r="P1213" s="89">
        <v>8157</v>
      </c>
      <c r="Q1213" t="s">
        <v>47</v>
      </c>
      <c r="R1213" s="214" t="s">
        <v>1869</v>
      </c>
      <c r="S1213" s="214" t="s">
        <v>1861</v>
      </c>
      <c r="U1213" t="s">
        <v>1953</v>
      </c>
      <c r="V1213" t="s">
        <v>2813</v>
      </c>
    </row>
    <row r="1214" spans="1:22" ht="15.75" thickBot="1" x14ac:dyDescent="0.3">
      <c r="A1214" t="s">
        <v>1916</v>
      </c>
      <c r="B1214" t="s">
        <v>1916</v>
      </c>
      <c r="C1214" t="s">
        <v>1916</v>
      </c>
      <c r="D1214" t="s">
        <v>629</v>
      </c>
      <c r="E1214" s="248" t="s">
        <v>1853</v>
      </c>
      <c r="F1214" t="s">
        <v>620</v>
      </c>
      <c r="G1214" s="89">
        <v>2012</v>
      </c>
      <c r="H1214" s="312" t="s">
        <v>734</v>
      </c>
      <c r="I1214" s="308" t="str">
        <f t="shared" si="62"/>
        <v>Pesado de Passageiros M3: III : Gasóleo : E5</v>
      </c>
      <c r="J1214" s="125">
        <v>81</v>
      </c>
      <c r="K1214" s="253">
        <v>2022</v>
      </c>
      <c r="L1214" s="85">
        <v>15356.7</v>
      </c>
      <c r="M1214" s="85" t="s">
        <v>630</v>
      </c>
      <c r="N1214" s="128">
        <v>53526</v>
      </c>
      <c r="O1214" s="128">
        <f t="shared" si="63"/>
        <v>4335606</v>
      </c>
      <c r="P1214" s="89">
        <v>8158</v>
      </c>
      <c r="Q1214" t="s">
        <v>47</v>
      </c>
      <c r="R1214" s="214" t="s">
        <v>1869</v>
      </c>
      <c r="S1214" s="214" t="s">
        <v>1861</v>
      </c>
      <c r="U1214" t="s">
        <v>1953</v>
      </c>
      <c r="V1214" t="s">
        <v>2813</v>
      </c>
    </row>
    <row r="1215" spans="1:22" ht="15.75" thickBot="1" x14ac:dyDescent="0.3">
      <c r="A1215" t="s">
        <v>1916</v>
      </c>
      <c r="B1215" t="s">
        <v>1916</v>
      </c>
      <c r="C1215" t="s">
        <v>1916</v>
      </c>
      <c r="D1215" t="s">
        <v>629</v>
      </c>
      <c r="E1215" s="248" t="s">
        <v>1853</v>
      </c>
      <c r="F1215" t="s">
        <v>620</v>
      </c>
      <c r="G1215" s="89">
        <v>2012</v>
      </c>
      <c r="H1215" s="312" t="s">
        <v>734</v>
      </c>
      <c r="I1215" s="308" t="str">
        <f t="shared" si="62"/>
        <v>Pesado de Passageiros M3: III : Gasóleo : E5</v>
      </c>
      <c r="J1215" s="125">
        <v>81</v>
      </c>
      <c r="K1215" s="253">
        <v>2022</v>
      </c>
      <c r="L1215" s="85">
        <v>12577</v>
      </c>
      <c r="M1215" s="85" t="s">
        <v>630</v>
      </c>
      <c r="N1215" s="128">
        <v>45240</v>
      </c>
      <c r="O1215" s="128">
        <f t="shared" si="63"/>
        <v>3664440</v>
      </c>
      <c r="P1215" s="89">
        <v>8159</v>
      </c>
      <c r="Q1215" t="s">
        <v>47</v>
      </c>
      <c r="R1215" s="214" t="s">
        <v>1869</v>
      </c>
      <c r="S1215" s="214" t="s">
        <v>1861</v>
      </c>
      <c r="U1215" t="s">
        <v>1953</v>
      </c>
      <c r="V1215" t="s">
        <v>2813</v>
      </c>
    </row>
    <row r="1216" spans="1:22" ht="15.75" thickBot="1" x14ac:dyDescent="0.3">
      <c r="A1216" t="s">
        <v>1916</v>
      </c>
      <c r="B1216" t="s">
        <v>1916</v>
      </c>
      <c r="C1216" t="s">
        <v>1916</v>
      </c>
      <c r="D1216" t="s">
        <v>629</v>
      </c>
      <c r="E1216" s="248" t="s">
        <v>1853</v>
      </c>
      <c r="F1216" t="s">
        <v>620</v>
      </c>
      <c r="G1216" s="89">
        <v>2012</v>
      </c>
      <c r="H1216" s="312" t="s">
        <v>734</v>
      </c>
      <c r="I1216" s="308" t="str">
        <f t="shared" si="62"/>
        <v>Pesado de Passageiros M3: III : Gasóleo : E5</v>
      </c>
      <c r="J1216" s="125">
        <v>81</v>
      </c>
      <c r="K1216" s="253">
        <v>2022</v>
      </c>
      <c r="L1216" s="85">
        <v>14430.5</v>
      </c>
      <c r="M1216" s="85" t="s">
        <v>630</v>
      </c>
      <c r="N1216" s="128">
        <v>48852</v>
      </c>
      <c r="O1216" s="128">
        <f t="shared" si="63"/>
        <v>3957012</v>
      </c>
      <c r="P1216" s="89">
        <v>8160</v>
      </c>
      <c r="Q1216" t="s">
        <v>47</v>
      </c>
      <c r="R1216" s="214" t="s">
        <v>1869</v>
      </c>
      <c r="S1216" s="214" t="s">
        <v>1861</v>
      </c>
      <c r="U1216" t="s">
        <v>1953</v>
      </c>
      <c r="V1216" t="s">
        <v>2813</v>
      </c>
    </row>
    <row r="1217" spans="1:22" ht="15.75" thickBot="1" x14ac:dyDescent="0.3">
      <c r="A1217" t="s">
        <v>1916</v>
      </c>
      <c r="B1217" t="s">
        <v>1916</v>
      </c>
      <c r="C1217" t="s">
        <v>1916</v>
      </c>
      <c r="D1217" t="s">
        <v>629</v>
      </c>
      <c r="E1217" s="248" t="s">
        <v>1853</v>
      </c>
      <c r="F1217" t="s">
        <v>620</v>
      </c>
      <c r="G1217" s="89">
        <v>2012</v>
      </c>
      <c r="H1217" s="312" t="s">
        <v>734</v>
      </c>
      <c r="I1217" s="308" t="str">
        <f t="shared" si="62"/>
        <v>Pesado de Passageiros M3: III : Gasóleo : E5</v>
      </c>
      <c r="J1217" s="125">
        <v>81</v>
      </c>
      <c r="K1217" s="253">
        <v>2022</v>
      </c>
      <c r="L1217" s="85">
        <v>15056.9</v>
      </c>
      <c r="M1217" s="85" t="s">
        <v>630</v>
      </c>
      <c r="N1217" s="128">
        <v>52872</v>
      </c>
      <c r="O1217" s="128">
        <f t="shared" si="63"/>
        <v>4282632</v>
      </c>
      <c r="P1217" s="89">
        <v>8162</v>
      </c>
      <c r="Q1217" t="s">
        <v>47</v>
      </c>
      <c r="R1217" s="214" t="s">
        <v>1869</v>
      </c>
      <c r="S1217" s="214" t="s">
        <v>1861</v>
      </c>
      <c r="U1217" t="s">
        <v>1953</v>
      </c>
      <c r="V1217" t="s">
        <v>2813</v>
      </c>
    </row>
    <row r="1218" spans="1:22" ht="15.75" thickBot="1" x14ac:dyDescent="0.3">
      <c r="A1218" t="s">
        <v>1916</v>
      </c>
      <c r="B1218" t="s">
        <v>1916</v>
      </c>
      <c r="C1218" t="s">
        <v>1916</v>
      </c>
      <c r="D1218" t="s">
        <v>629</v>
      </c>
      <c r="E1218" s="248" t="s">
        <v>1853</v>
      </c>
      <c r="F1218" t="s">
        <v>620</v>
      </c>
      <c r="G1218" s="89">
        <v>2008</v>
      </c>
      <c r="H1218" s="312" t="s">
        <v>731</v>
      </c>
      <c r="I1218" s="308" t="str">
        <f t="shared" si="62"/>
        <v>Pesado de Passageiros M3: III : Gasóleo : E4</v>
      </c>
      <c r="J1218" s="125">
        <v>107</v>
      </c>
      <c r="K1218" s="253">
        <v>2022</v>
      </c>
      <c r="L1218" s="85">
        <v>5112.8</v>
      </c>
      <c r="M1218" s="85" t="s">
        <v>630</v>
      </c>
      <c r="N1218" s="128">
        <v>12772</v>
      </c>
      <c r="O1218" s="128">
        <f t="shared" si="63"/>
        <v>1366604</v>
      </c>
      <c r="P1218" s="89">
        <v>8163</v>
      </c>
      <c r="Q1218" t="s">
        <v>47</v>
      </c>
      <c r="R1218" s="214" t="s">
        <v>1869</v>
      </c>
      <c r="S1218" s="214" t="s">
        <v>1861</v>
      </c>
      <c r="U1218" t="s">
        <v>1953</v>
      </c>
      <c r="V1218" t="s">
        <v>2813</v>
      </c>
    </row>
    <row r="1219" spans="1:22" ht="15.75" thickBot="1" x14ac:dyDescent="0.3">
      <c r="A1219" t="s">
        <v>1916</v>
      </c>
      <c r="B1219" t="s">
        <v>1916</v>
      </c>
      <c r="C1219" t="s">
        <v>1916</v>
      </c>
      <c r="D1219" t="s">
        <v>629</v>
      </c>
      <c r="E1219" s="248" t="s">
        <v>1853</v>
      </c>
      <c r="F1219" t="s">
        <v>620</v>
      </c>
      <c r="G1219" s="89">
        <v>2008</v>
      </c>
      <c r="H1219" s="312" t="s">
        <v>731</v>
      </c>
      <c r="I1219" s="308" t="str">
        <f t="shared" si="62"/>
        <v>Pesado de Passageiros M3: III : Gasóleo : E4</v>
      </c>
      <c r="J1219" s="125">
        <v>107</v>
      </c>
      <c r="K1219" s="253">
        <v>2022</v>
      </c>
      <c r="L1219" s="85">
        <v>4956.8999999999996</v>
      </c>
      <c r="M1219" s="85" t="s">
        <v>630</v>
      </c>
      <c r="N1219" s="128">
        <v>12918</v>
      </c>
      <c r="O1219" s="128">
        <f t="shared" si="63"/>
        <v>1382226</v>
      </c>
      <c r="P1219" s="89">
        <v>8164</v>
      </c>
      <c r="Q1219" t="s">
        <v>47</v>
      </c>
      <c r="R1219" s="214" t="s">
        <v>1869</v>
      </c>
      <c r="S1219" s="214" t="s">
        <v>1861</v>
      </c>
      <c r="U1219" t="s">
        <v>1953</v>
      </c>
      <c r="V1219" t="s">
        <v>2813</v>
      </c>
    </row>
    <row r="1220" spans="1:22" ht="15.75" thickBot="1" x14ac:dyDescent="0.3">
      <c r="A1220" t="s">
        <v>1916</v>
      </c>
      <c r="B1220" t="s">
        <v>1916</v>
      </c>
      <c r="C1220" t="s">
        <v>1916</v>
      </c>
      <c r="D1220" t="s">
        <v>629</v>
      </c>
      <c r="E1220" s="248" t="s">
        <v>1853</v>
      </c>
      <c r="F1220" t="s">
        <v>620</v>
      </c>
      <c r="G1220" s="89">
        <v>2009</v>
      </c>
      <c r="H1220" s="312" t="s">
        <v>731</v>
      </c>
      <c r="I1220" s="308" t="str">
        <f t="shared" ref="I1220:I1283" si="64">D1220&amp;": "&amp;E1220&amp;" : "&amp;F1220&amp;" : "&amp;H1220</f>
        <v>Pesado de Passageiros M3: III : Gasóleo : E4</v>
      </c>
      <c r="J1220" s="125">
        <v>107</v>
      </c>
      <c r="K1220" s="253">
        <v>2022</v>
      </c>
      <c r="L1220" s="85">
        <v>3057.2</v>
      </c>
      <c r="M1220" s="85" t="s">
        <v>630</v>
      </c>
      <c r="N1220" s="128">
        <v>8016</v>
      </c>
      <c r="O1220" s="128">
        <f t="shared" ref="O1220:O1283" si="65">N1220*J1220</f>
        <v>857712</v>
      </c>
      <c r="P1220" s="89">
        <v>8165</v>
      </c>
      <c r="Q1220" t="s">
        <v>47</v>
      </c>
      <c r="R1220" s="214" t="s">
        <v>1869</v>
      </c>
      <c r="S1220" s="214" t="s">
        <v>1861</v>
      </c>
      <c r="U1220" t="s">
        <v>1953</v>
      </c>
      <c r="V1220" t="s">
        <v>2813</v>
      </c>
    </row>
    <row r="1221" spans="1:22" ht="15.75" thickBot="1" x14ac:dyDescent="0.3">
      <c r="A1221" t="s">
        <v>1916</v>
      </c>
      <c r="B1221" t="s">
        <v>1916</v>
      </c>
      <c r="C1221" t="s">
        <v>1916</v>
      </c>
      <c r="D1221" t="s">
        <v>629</v>
      </c>
      <c r="E1221" s="248" t="s">
        <v>1853</v>
      </c>
      <c r="F1221" t="s">
        <v>620</v>
      </c>
      <c r="G1221" s="89">
        <v>2008</v>
      </c>
      <c r="H1221" s="312" t="s">
        <v>731</v>
      </c>
      <c r="I1221" s="308" t="str">
        <f t="shared" si="64"/>
        <v>Pesado de Passageiros M3: III : Gasóleo : E4</v>
      </c>
      <c r="J1221" s="125">
        <v>75</v>
      </c>
      <c r="K1221" s="253">
        <v>2022</v>
      </c>
      <c r="L1221" s="85">
        <v>3871.8</v>
      </c>
      <c r="M1221" s="85" t="s">
        <v>630</v>
      </c>
      <c r="N1221" s="128">
        <v>10975</v>
      </c>
      <c r="O1221" s="128">
        <f t="shared" si="65"/>
        <v>823125</v>
      </c>
      <c r="P1221" s="89">
        <v>8166</v>
      </c>
      <c r="Q1221" t="s">
        <v>47</v>
      </c>
      <c r="R1221" s="214" t="s">
        <v>1869</v>
      </c>
      <c r="S1221" s="214" t="s">
        <v>1861</v>
      </c>
      <c r="U1221" t="s">
        <v>1953</v>
      </c>
      <c r="V1221" t="s">
        <v>2813</v>
      </c>
    </row>
    <row r="1222" spans="1:22" ht="15.75" thickBot="1" x14ac:dyDescent="0.3">
      <c r="A1222" t="s">
        <v>1916</v>
      </c>
      <c r="B1222" t="s">
        <v>1916</v>
      </c>
      <c r="C1222" t="s">
        <v>1916</v>
      </c>
      <c r="D1222" t="s">
        <v>629</v>
      </c>
      <c r="E1222" s="248" t="s">
        <v>1853</v>
      </c>
      <c r="F1222" t="s">
        <v>620</v>
      </c>
      <c r="G1222" s="89">
        <v>2008</v>
      </c>
      <c r="H1222" s="312" t="s">
        <v>731</v>
      </c>
      <c r="I1222" s="308" t="str">
        <f t="shared" si="64"/>
        <v>Pesado de Passageiros M3: III : Gasóleo : E4</v>
      </c>
      <c r="J1222" s="125">
        <v>72</v>
      </c>
      <c r="K1222" s="253">
        <v>2022</v>
      </c>
      <c r="L1222" s="85">
        <v>2729.5</v>
      </c>
      <c r="M1222" s="85" t="s">
        <v>630</v>
      </c>
      <c r="N1222" s="128">
        <v>5897</v>
      </c>
      <c r="O1222" s="128">
        <f t="shared" si="65"/>
        <v>424584</v>
      </c>
      <c r="P1222" s="89">
        <v>8167</v>
      </c>
      <c r="Q1222" t="s">
        <v>47</v>
      </c>
      <c r="R1222" s="214" t="s">
        <v>1869</v>
      </c>
      <c r="S1222" s="214" t="s">
        <v>1861</v>
      </c>
      <c r="U1222" t="s">
        <v>1953</v>
      </c>
      <c r="V1222" t="s">
        <v>2813</v>
      </c>
    </row>
    <row r="1223" spans="1:22" ht="15.75" thickBot="1" x14ac:dyDescent="0.3">
      <c r="A1223" t="s">
        <v>1916</v>
      </c>
      <c r="B1223" t="s">
        <v>1916</v>
      </c>
      <c r="C1223" t="s">
        <v>1916</v>
      </c>
      <c r="D1223" t="s">
        <v>629</v>
      </c>
      <c r="E1223" s="248" t="s">
        <v>1853</v>
      </c>
      <c r="F1223" t="s">
        <v>620</v>
      </c>
      <c r="G1223" s="89">
        <v>2009</v>
      </c>
      <c r="H1223" s="312" t="s">
        <v>731</v>
      </c>
      <c r="I1223" s="308" t="str">
        <f t="shared" si="64"/>
        <v>Pesado de Passageiros M3: III : Gasóleo : E4</v>
      </c>
      <c r="J1223" s="125">
        <v>92</v>
      </c>
      <c r="K1223" s="253">
        <v>2022</v>
      </c>
      <c r="L1223" s="85">
        <v>1537</v>
      </c>
      <c r="M1223" s="85" t="s">
        <v>630</v>
      </c>
      <c r="N1223" s="128">
        <v>3850</v>
      </c>
      <c r="O1223" s="128">
        <f t="shared" si="65"/>
        <v>354200</v>
      </c>
      <c r="P1223" s="89">
        <v>8168</v>
      </c>
      <c r="Q1223" t="s">
        <v>47</v>
      </c>
      <c r="R1223" s="214" t="s">
        <v>1869</v>
      </c>
      <c r="S1223" s="214" t="s">
        <v>1861</v>
      </c>
      <c r="U1223" t="s">
        <v>1953</v>
      </c>
      <c r="V1223" t="s">
        <v>2813</v>
      </c>
    </row>
    <row r="1224" spans="1:22" ht="15.75" thickBot="1" x14ac:dyDescent="0.3">
      <c r="A1224" t="s">
        <v>1916</v>
      </c>
      <c r="B1224" t="s">
        <v>1916</v>
      </c>
      <c r="C1224" t="s">
        <v>1916</v>
      </c>
      <c r="D1224" t="s">
        <v>629</v>
      </c>
      <c r="E1224" s="248" t="s">
        <v>1853</v>
      </c>
      <c r="F1224" t="s">
        <v>620</v>
      </c>
      <c r="G1224" s="89">
        <v>2008</v>
      </c>
      <c r="H1224" s="312" t="s">
        <v>731</v>
      </c>
      <c r="I1224" s="308" t="str">
        <f t="shared" si="64"/>
        <v>Pesado de Passageiros M3: III : Gasóleo : E4</v>
      </c>
      <c r="J1224" s="125">
        <v>104</v>
      </c>
      <c r="K1224" s="253">
        <v>2022</v>
      </c>
      <c r="L1224" s="85">
        <v>0</v>
      </c>
      <c r="M1224" s="85" t="s">
        <v>630</v>
      </c>
      <c r="N1224" s="128">
        <v>0</v>
      </c>
      <c r="O1224" s="128">
        <f t="shared" si="65"/>
        <v>0</v>
      </c>
      <c r="P1224" s="89">
        <v>8169</v>
      </c>
      <c r="Q1224" t="s">
        <v>47</v>
      </c>
      <c r="R1224" s="214" t="s">
        <v>1869</v>
      </c>
      <c r="S1224" s="214" t="s">
        <v>1861</v>
      </c>
      <c r="U1224" t="s">
        <v>1953</v>
      </c>
      <c r="V1224" t="s">
        <v>2813</v>
      </c>
    </row>
    <row r="1225" spans="1:22" ht="15.75" thickBot="1" x14ac:dyDescent="0.3">
      <c r="A1225" t="s">
        <v>1916</v>
      </c>
      <c r="B1225" t="s">
        <v>1916</v>
      </c>
      <c r="C1225" t="s">
        <v>1916</v>
      </c>
      <c r="D1225" t="s">
        <v>629</v>
      </c>
      <c r="E1225" s="248" t="s">
        <v>1853</v>
      </c>
      <c r="F1225" t="s">
        <v>620</v>
      </c>
      <c r="G1225" s="89">
        <v>1990</v>
      </c>
      <c r="H1225" s="312" t="s">
        <v>2230</v>
      </c>
      <c r="I1225" s="308" t="str">
        <f t="shared" si="64"/>
        <v>Pesado de Passageiros M3: III : Gasóleo : E0</v>
      </c>
      <c r="J1225" s="125">
        <v>80</v>
      </c>
      <c r="K1225" s="253">
        <v>2022</v>
      </c>
      <c r="L1225" s="85">
        <v>0</v>
      </c>
      <c r="M1225" s="85" t="s">
        <v>630</v>
      </c>
      <c r="N1225" s="128">
        <v>209</v>
      </c>
      <c r="O1225" s="128">
        <f t="shared" si="65"/>
        <v>16720</v>
      </c>
      <c r="P1225" s="89">
        <v>8171</v>
      </c>
      <c r="Q1225" t="s">
        <v>47</v>
      </c>
      <c r="R1225" s="214" t="s">
        <v>3640</v>
      </c>
      <c r="S1225" s="214" t="s">
        <v>3105</v>
      </c>
      <c r="U1225" t="s">
        <v>1953</v>
      </c>
      <c r="V1225" t="s">
        <v>2813</v>
      </c>
    </row>
    <row r="1226" spans="1:22" ht="15.75" thickBot="1" x14ac:dyDescent="0.3">
      <c r="A1226" t="s">
        <v>1916</v>
      </c>
      <c r="B1226" t="s">
        <v>1916</v>
      </c>
      <c r="C1226" t="s">
        <v>1916</v>
      </c>
      <c r="D1226" t="s">
        <v>629</v>
      </c>
      <c r="E1226" s="248" t="s">
        <v>1853</v>
      </c>
      <c r="F1226" t="s">
        <v>620</v>
      </c>
      <c r="G1226" s="89">
        <v>1993</v>
      </c>
      <c r="H1226" s="312" t="s">
        <v>736</v>
      </c>
      <c r="I1226" s="308" t="str">
        <f t="shared" si="64"/>
        <v>Pesado de Passageiros M3: III : Gasóleo : E1</v>
      </c>
      <c r="J1226" s="125">
        <v>80</v>
      </c>
      <c r="K1226" s="253">
        <v>2022</v>
      </c>
      <c r="L1226" s="85">
        <v>11914.699999999999</v>
      </c>
      <c r="M1226" s="85" t="s">
        <v>630</v>
      </c>
      <c r="N1226" s="128">
        <v>39149</v>
      </c>
      <c r="O1226" s="128">
        <f t="shared" si="65"/>
        <v>3131920</v>
      </c>
      <c r="P1226" s="89">
        <v>8179</v>
      </c>
      <c r="Q1226" t="s">
        <v>47</v>
      </c>
      <c r="R1226" s="214" t="s">
        <v>1869</v>
      </c>
      <c r="S1226" s="214" t="s">
        <v>1861</v>
      </c>
      <c r="U1226" t="s">
        <v>1953</v>
      </c>
      <c r="V1226" t="s">
        <v>2813</v>
      </c>
    </row>
    <row r="1227" spans="1:22" ht="15.75" thickBot="1" x14ac:dyDescent="0.3">
      <c r="A1227" t="s">
        <v>1916</v>
      </c>
      <c r="B1227" t="s">
        <v>1916</v>
      </c>
      <c r="C1227" t="s">
        <v>1916</v>
      </c>
      <c r="D1227" t="s">
        <v>629</v>
      </c>
      <c r="E1227" s="248" t="s">
        <v>1853</v>
      </c>
      <c r="F1227" t="s">
        <v>620</v>
      </c>
      <c r="G1227" s="89">
        <v>2005</v>
      </c>
      <c r="H1227" s="312" t="s">
        <v>732</v>
      </c>
      <c r="I1227" s="308" t="str">
        <f t="shared" si="64"/>
        <v>Pesado de Passageiros M3: III : Gasóleo : E3</v>
      </c>
      <c r="J1227" s="125">
        <v>24</v>
      </c>
      <c r="K1227" s="253">
        <v>2022</v>
      </c>
      <c r="L1227" s="85">
        <v>759.6</v>
      </c>
      <c r="M1227" s="85" t="s">
        <v>630</v>
      </c>
      <c r="N1227" s="128">
        <v>4239</v>
      </c>
      <c r="O1227" s="128">
        <f t="shared" si="65"/>
        <v>101736</v>
      </c>
      <c r="P1227" s="89">
        <v>8180</v>
      </c>
      <c r="Q1227" t="s">
        <v>47</v>
      </c>
      <c r="R1227" s="214" t="s">
        <v>1869</v>
      </c>
      <c r="S1227" s="214" t="s">
        <v>1861</v>
      </c>
      <c r="U1227" t="s">
        <v>1953</v>
      </c>
      <c r="V1227" t="s">
        <v>2813</v>
      </c>
    </row>
    <row r="1228" spans="1:22" ht="15.75" thickBot="1" x14ac:dyDescent="0.3">
      <c r="A1228" t="s">
        <v>1916</v>
      </c>
      <c r="B1228" t="s">
        <v>1916</v>
      </c>
      <c r="C1228" t="s">
        <v>1916</v>
      </c>
      <c r="D1228" t="s">
        <v>629</v>
      </c>
      <c r="E1228" s="248" t="s">
        <v>1853</v>
      </c>
      <c r="F1228" t="s">
        <v>620</v>
      </c>
      <c r="G1228" s="89">
        <v>2005</v>
      </c>
      <c r="H1228" s="312" t="s">
        <v>732</v>
      </c>
      <c r="I1228" s="308" t="str">
        <f t="shared" si="64"/>
        <v>Pesado de Passageiros M3: III : Gasóleo : E3</v>
      </c>
      <c r="J1228" s="125">
        <v>24</v>
      </c>
      <c r="K1228" s="253">
        <v>2022</v>
      </c>
      <c r="L1228" s="85">
        <v>9431</v>
      </c>
      <c r="M1228" s="85" t="s">
        <v>630</v>
      </c>
      <c r="N1228" s="128">
        <v>54480</v>
      </c>
      <c r="O1228" s="128">
        <f t="shared" si="65"/>
        <v>1307520</v>
      </c>
      <c r="P1228" s="89">
        <v>8181</v>
      </c>
      <c r="Q1228" t="s">
        <v>47</v>
      </c>
      <c r="R1228" s="214" t="s">
        <v>1869</v>
      </c>
      <c r="S1228" s="214" t="s">
        <v>1861</v>
      </c>
      <c r="U1228" t="s">
        <v>1953</v>
      </c>
      <c r="V1228" t="s">
        <v>2813</v>
      </c>
    </row>
    <row r="1229" spans="1:22" ht="15.75" thickBot="1" x14ac:dyDescent="0.3">
      <c r="A1229" t="s">
        <v>1916</v>
      </c>
      <c r="B1229" t="s">
        <v>1916</v>
      </c>
      <c r="C1229" t="s">
        <v>1916</v>
      </c>
      <c r="D1229" t="s">
        <v>629</v>
      </c>
      <c r="E1229" s="248" t="s">
        <v>1853</v>
      </c>
      <c r="F1229" t="s">
        <v>620</v>
      </c>
      <c r="G1229" s="89">
        <v>1998</v>
      </c>
      <c r="H1229" s="312" t="s">
        <v>735</v>
      </c>
      <c r="I1229" s="308" t="str">
        <f t="shared" si="64"/>
        <v>Pesado de Passageiros M3: III : Gasóleo : E2</v>
      </c>
      <c r="J1229" s="125">
        <v>107</v>
      </c>
      <c r="K1229" s="253">
        <v>2022</v>
      </c>
      <c r="L1229" s="85">
        <v>377.9</v>
      </c>
      <c r="M1229" s="85" t="s">
        <v>630</v>
      </c>
      <c r="N1229" s="128">
        <v>1181</v>
      </c>
      <c r="O1229" s="128">
        <f t="shared" si="65"/>
        <v>126367</v>
      </c>
      <c r="P1229" s="89">
        <v>8182</v>
      </c>
      <c r="Q1229" t="s">
        <v>47</v>
      </c>
      <c r="R1229" s="214" t="s">
        <v>1869</v>
      </c>
      <c r="S1229" s="214" t="s">
        <v>1861</v>
      </c>
      <c r="U1229" t="s">
        <v>1953</v>
      </c>
      <c r="V1229" t="s">
        <v>2813</v>
      </c>
    </row>
    <row r="1230" spans="1:22" ht="15.75" thickBot="1" x14ac:dyDescent="0.3">
      <c r="A1230" t="s">
        <v>1916</v>
      </c>
      <c r="B1230" t="s">
        <v>1916</v>
      </c>
      <c r="C1230" t="s">
        <v>1916</v>
      </c>
      <c r="D1230" t="s">
        <v>629</v>
      </c>
      <c r="E1230" s="248" t="s">
        <v>1853</v>
      </c>
      <c r="F1230" t="s">
        <v>620</v>
      </c>
      <c r="G1230" s="89">
        <v>2008</v>
      </c>
      <c r="H1230" s="312" t="s">
        <v>731</v>
      </c>
      <c r="I1230" s="308" t="str">
        <f t="shared" si="64"/>
        <v>Pesado de Passageiros M3: III : Gasóleo : E4</v>
      </c>
      <c r="J1230" s="125">
        <v>53</v>
      </c>
      <c r="K1230" s="253">
        <v>2022</v>
      </c>
      <c r="L1230" s="85">
        <v>7211.3</v>
      </c>
      <c r="M1230" s="85" t="s">
        <v>630</v>
      </c>
      <c r="N1230" s="128">
        <v>25533</v>
      </c>
      <c r="O1230" s="128">
        <f t="shared" si="65"/>
        <v>1353249</v>
      </c>
      <c r="P1230" s="89">
        <v>8183</v>
      </c>
      <c r="Q1230" t="s">
        <v>47</v>
      </c>
      <c r="R1230" s="214" t="s">
        <v>1869</v>
      </c>
      <c r="S1230" s="214" t="s">
        <v>1861</v>
      </c>
      <c r="U1230" t="s">
        <v>1953</v>
      </c>
      <c r="V1230" t="s">
        <v>2813</v>
      </c>
    </row>
    <row r="1231" spans="1:22" ht="15.75" thickBot="1" x14ac:dyDescent="0.3">
      <c r="A1231" t="s">
        <v>1916</v>
      </c>
      <c r="B1231" t="s">
        <v>1916</v>
      </c>
      <c r="C1231" t="s">
        <v>1916</v>
      </c>
      <c r="D1231" t="s">
        <v>629</v>
      </c>
      <c r="E1231" s="248" t="s">
        <v>1853</v>
      </c>
      <c r="F1231" t="s">
        <v>620</v>
      </c>
      <c r="G1231" s="89">
        <v>2009</v>
      </c>
      <c r="H1231" s="312" t="s">
        <v>731</v>
      </c>
      <c r="I1231" s="308" t="str">
        <f t="shared" si="64"/>
        <v>Pesado de Passageiros M3: III : Gasóleo : E4</v>
      </c>
      <c r="J1231" s="125">
        <v>32</v>
      </c>
      <c r="K1231" s="253">
        <v>2022</v>
      </c>
      <c r="L1231" s="85">
        <v>2902.7</v>
      </c>
      <c r="M1231" s="85" t="s">
        <v>630</v>
      </c>
      <c r="N1231" s="128">
        <v>17238</v>
      </c>
      <c r="O1231" s="128">
        <f t="shared" si="65"/>
        <v>551616</v>
      </c>
      <c r="P1231" s="89">
        <v>8184</v>
      </c>
      <c r="Q1231" t="s">
        <v>47</v>
      </c>
      <c r="R1231" s="214" t="s">
        <v>1869</v>
      </c>
      <c r="S1231" s="214" t="s">
        <v>1861</v>
      </c>
      <c r="U1231" t="s">
        <v>1953</v>
      </c>
      <c r="V1231" t="s">
        <v>2813</v>
      </c>
    </row>
    <row r="1232" spans="1:22" ht="15.75" thickBot="1" x14ac:dyDescent="0.3">
      <c r="A1232" t="s">
        <v>1916</v>
      </c>
      <c r="B1232" t="s">
        <v>1916</v>
      </c>
      <c r="C1232" t="s">
        <v>1916</v>
      </c>
      <c r="D1232" t="s">
        <v>629</v>
      </c>
      <c r="E1232" s="248" t="s">
        <v>1853</v>
      </c>
      <c r="F1232" t="s">
        <v>620</v>
      </c>
      <c r="G1232" s="89">
        <v>2009</v>
      </c>
      <c r="H1232" s="312" t="s">
        <v>731</v>
      </c>
      <c r="I1232" s="308" t="str">
        <f t="shared" si="64"/>
        <v>Pesado de Passageiros M3: III : Gasóleo : E4</v>
      </c>
      <c r="J1232" s="125">
        <v>32</v>
      </c>
      <c r="K1232" s="253">
        <v>2022</v>
      </c>
      <c r="L1232" s="85">
        <v>4491.7000000000007</v>
      </c>
      <c r="M1232" s="85" t="s">
        <v>630</v>
      </c>
      <c r="N1232" s="128">
        <v>31059</v>
      </c>
      <c r="O1232" s="128">
        <f t="shared" si="65"/>
        <v>993888</v>
      </c>
      <c r="P1232" s="89">
        <v>8185</v>
      </c>
      <c r="Q1232" t="s">
        <v>47</v>
      </c>
      <c r="R1232" s="214" t="s">
        <v>1869</v>
      </c>
      <c r="S1232" s="214" t="s">
        <v>1861</v>
      </c>
      <c r="U1232" t="s">
        <v>1953</v>
      </c>
      <c r="V1232" t="s">
        <v>2813</v>
      </c>
    </row>
    <row r="1233" spans="1:22" ht="15.75" thickBot="1" x14ac:dyDescent="0.3">
      <c r="A1233" t="s">
        <v>1916</v>
      </c>
      <c r="B1233" t="s">
        <v>1916</v>
      </c>
      <c r="C1233" t="s">
        <v>1916</v>
      </c>
      <c r="D1233" t="s">
        <v>629</v>
      </c>
      <c r="E1233" s="248" t="s">
        <v>1853</v>
      </c>
      <c r="F1233" t="s">
        <v>620</v>
      </c>
      <c r="G1233" s="89">
        <v>2009</v>
      </c>
      <c r="H1233" s="312" t="s">
        <v>731</v>
      </c>
      <c r="I1233" s="308" t="str">
        <f t="shared" si="64"/>
        <v>Pesado de Passageiros M3: III : Gasóleo : E4</v>
      </c>
      <c r="J1233" s="125">
        <v>32</v>
      </c>
      <c r="K1233" s="253">
        <v>2022</v>
      </c>
      <c r="L1233" s="85">
        <v>5684.2999999999993</v>
      </c>
      <c r="M1233" s="85" t="s">
        <v>630</v>
      </c>
      <c r="N1233" s="128">
        <v>38455</v>
      </c>
      <c r="O1233" s="128">
        <f t="shared" si="65"/>
        <v>1230560</v>
      </c>
      <c r="P1233" s="89">
        <v>8186</v>
      </c>
      <c r="Q1233" t="s">
        <v>47</v>
      </c>
      <c r="R1233" s="214" t="s">
        <v>1869</v>
      </c>
      <c r="S1233" s="214" t="s">
        <v>1861</v>
      </c>
      <c r="U1233" t="s">
        <v>1953</v>
      </c>
      <c r="V1233" t="s">
        <v>2813</v>
      </c>
    </row>
    <row r="1234" spans="1:22" ht="15.75" thickBot="1" x14ac:dyDescent="0.3">
      <c r="A1234" t="s">
        <v>1916</v>
      </c>
      <c r="B1234" t="s">
        <v>1916</v>
      </c>
      <c r="C1234" t="s">
        <v>1916</v>
      </c>
      <c r="D1234" t="s">
        <v>629</v>
      </c>
      <c r="E1234" s="248" t="s">
        <v>1853</v>
      </c>
      <c r="F1234" t="s">
        <v>620</v>
      </c>
      <c r="G1234" s="89">
        <v>2009</v>
      </c>
      <c r="H1234" s="312" t="s">
        <v>731</v>
      </c>
      <c r="I1234" s="308" t="str">
        <f t="shared" si="64"/>
        <v>Pesado de Passageiros M3: III : Gasóleo : E4</v>
      </c>
      <c r="J1234" s="125">
        <v>31</v>
      </c>
      <c r="K1234" s="253">
        <v>2022</v>
      </c>
      <c r="L1234" s="85">
        <v>7228.4</v>
      </c>
      <c r="M1234" s="85" t="s">
        <v>630</v>
      </c>
      <c r="N1234" s="128">
        <v>48865</v>
      </c>
      <c r="O1234" s="128">
        <f t="shared" si="65"/>
        <v>1514815</v>
      </c>
      <c r="P1234" s="89">
        <v>8187</v>
      </c>
      <c r="Q1234" t="s">
        <v>47</v>
      </c>
      <c r="R1234" s="214" t="s">
        <v>1869</v>
      </c>
      <c r="S1234" s="214" t="s">
        <v>1861</v>
      </c>
      <c r="U1234" t="s">
        <v>1953</v>
      </c>
      <c r="V1234" t="s">
        <v>2813</v>
      </c>
    </row>
    <row r="1235" spans="1:22" ht="15.75" thickBot="1" x14ac:dyDescent="0.3">
      <c r="A1235" t="s">
        <v>1916</v>
      </c>
      <c r="B1235" t="s">
        <v>1916</v>
      </c>
      <c r="C1235" t="s">
        <v>1916</v>
      </c>
      <c r="D1235" t="s">
        <v>629</v>
      </c>
      <c r="E1235" s="248" t="s">
        <v>1853</v>
      </c>
      <c r="F1235" t="s">
        <v>620</v>
      </c>
      <c r="G1235" s="89">
        <v>2011</v>
      </c>
      <c r="H1235" s="312" t="s">
        <v>734</v>
      </c>
      <c r="I1235" s="308" t="str">
        <f t="shared" si="64"/>
        <v>Pesado de Passageiros M3: III : Gasóleo : E5</v>
      </c>
      <c r="J1235" s="125">
        <v>33</v>
      </c>
      <c r="K1235" s="253">
        <v>2022</v>
      </c>
      <c r="L1235" s="85">
        <v>6336.2</v>
      </c>
      <c r="M1235" s="85" t="s">
        <v>630</v>
      </c>
      <c r="N1235" s="128">
        <v>32144</v>
      </c>
      <c r="O1235" s="128">
        <f t="shared" si="65"/>
        <v>1060752</v>
      </c>
      <c r="P1235" s="89">
        <v>8188</v>
      </c>
      <c r="Q1235" t="s">
        <v>47</v>
      </c>
      <c r="R1235" s="214" t="s">
        <v>1869</v>
      </c>
      <c r="S1235" s="214" t="s">
        <v>1861</v>
      </c>
      <c r="U1235" t="s">
        <v>1953</v>
      </c>
      <c r="V1235" t="s">
        <v>2813</v>
      </c>
    </row>
    <row r="1236" spans="1:22" ht="15.75" thickBot="1" x14ac:dyDescent="0.3">
      <c r="A1236" t="s">
        <v>1916</v>
      </c>
      <c r="B1236" t="s">
        <v>1916</v>
      </c>
      <c r="C1236" t="s">
        <v>1916</v>
      </c>
      <c r="D1236" t="s">
        <v>629</v>
      </c>
      <c r="E1236" s="248" t="s">
        <v>1853</v>
      </c>
      <c r="F1236" t="s">
        <v>620</v>
      </c>
      <c r="G1236" s="89">
        <v>2000</v>
      </c>
      <c r="H1236" s="312" t="s">
        <v>735</v>
      </c>
      <c r="I1236" s="308" t="str">
        <f t="shared" si="64"/>
        <v>Pesado de Passageiros M3: III : Gasóleo : E2</v>
      </c>
      <c r="J1236" s="125">
        <v>65</v>
      </c>
      <c r="K1236" s="253">
        <v>2022</v>
      </c>
      <c r="L1236" s="85">
        <v>14199.5</v>
      </c>
      <c r="M1236" s="85" t="s">
        <v>630</v>
      </c>
      <c r="N1236" s="128">
        <v>40143</v>
      </c>
      <c r="O1236" s="128">
        <f t="shared" si="65"/>
        <v>2609295</v>
      </c>
      <c r="P1236" s="89">
        <v>8189</v>
      </c>
      <c r="Q1236" t="s">
        <v>47</v>
      </c>
      <c r="R1236" s="214" t="s">
        <v>1869</v>
      </c>
      <c r="S1236" s="214" t="s">
        <v>1861</v>
      </c>
      <c r="U1236" t="s">
        <v>1953</v>
      </c>
      <c r="V1236" t="s">
        <v>2813</v>
      </c>
    </row>
    <row r="1237" spans="1:22" ht="15.75" thickBot="1" x14ac:dyDescent="0.3">
      <c r="A1237" t="s">
        <v>1916</v>
      </c>
      <c r="B1237" t="s">
        <v>1916</v>
      </c>
      <c r="C1237" t="s">
        <v>1916</v>
      </c>
      <c r="D1237" t="s">
        <v>629</v>
      </c>
      <c r="E1237" s="248" t="s">
        <v>1853</v>
      </c>
      <c r="F1237" t="s">
        <v>620</v>
      </c>
      <c r="G1237" s="89">
        <v>2001</v>
      </c>
      <c r="H1237" s="312" t="s">
        <v>735</v>
      </c>
      <c r="I1237" s="308" t="str">
        <f t="shared" si="64"/>
        <v>Pesado de Passageiros M3: III : Gasóleo : E2</v>
      </c>
      <c r="J1237" s="125">
        <v>68</v>
      </c>
      <c r="K1237" s="253">
        <v>2022</v>
      </c>
      <c r="L1237" s="85">
        <v>7297.6</v>
      </c>
      <c r="M1237" s="85" t="s">
        <v>630</v>
      </c>
      <c r="N1237" s="128">
        <v>22794</v>
      </c>
      <c r="O1237" s="128">
        <f t="shared" si="65"/>
        <v>1549992</v>
      </c>
      <c r="P1237" s="89">
        <v>8190</v>
      </c>
      <c r="Q1237" t="s">
        <v>47</v>
      </c>
      <c r="R1237" s="214" t="s">
        <v>1869</v>
      </c>
      <c r="S1237" s="214" t="s">
        <v>1861</v>
      </c>
      <c r="U1237" t="s">
        <v>1953</v>
      </c>
      <c r="V1237" t="s">
        <v>2813</v>
      </c>
    </row>
    <row r="1238" spans="1:22" ht="15.75" thickBot="1" x14ac:dyDescent="0.3">
      <c r="A1238" t="s">
        <v>1916</v>
      </c>
      <c r="B1238" t="s">
        <v>1916</v>
      </c>
      <c r="C1238" t="s">
        <v>1916</v>
      </c>
      <c r="D1238" t="s">
        <v>629</v>
      </c>
      <c r="E1238" s="248" t="s">
        <v>1853</v>
      </c>
      <c r="F1238" t="s">
        <v>620</v>
      </c>
      <c r="G1238" s="89">
        <v>2015</v>
      </c>
      <c r="H1238" s="312" t="s">
        <v>733</v>
      </c>
      <c r="I1238" s="308" t="str">
        <f t="shared" si="64"/>
        <v>Pesado de Passageiros M3: III : Gasóleo : E6</v>
      </c>
      <c r="J1238" s="125">
        <v>27</v>
      </c>
      <c r="K1238" s="253">
        <v>2022</v>
      </c>
      <c r="L1238" s="85">
        <v>0</v>
      </c>
      <c r="M1238" s="85" t="s">
        <v>630</v>
      </c>
      <c r="N1238" s="128">
        <v>0</v>
      </c>
      <c r="O1238" s="128">
        <f t="shared" si="65"/>
        <v>0</v>
      </c>
      <c r="P1238" s="89">
        <v>8192</v>
      </c>
      <c r="Q1238" t="s">
        <v>47</v>
      </c>
      <c r="R1238" s="214" t="s">
        <v>1869</v>
      </c>
      <c r="S1238" s="214" t="s">
        <v>1861</v>
      </c>
      <c r="U1238" t="s">
        <v>1953</v>
      </c>
      <c r="V1238" t="s">
        <v>2813</v>
      </c>
    </row>
    <row r="1239" spans="1:22" ht="15.75" thickBot="1" x14ac:dyDescent="0.3">
      <c r="A1239" t="s">
        <v>1916</v>
      </c>
      <c r="B1239" t="s">
        <v>1916</v>
      </c>
      <c r="C1239" t="s">
        <v>1916</v>
      </c>
      <c r="D1239" t="s">
        <v>629</v>
      </c>
      <c r="E1239" s="248" t="s">
        <v>1853</v>
      </c>
      <c r="F1239" t="s">
        <v>620</v>
      </c>
      <c r="G1239" s="89">
        <v>2015</v>
      </c>
      <c r="H1239" s="312" t="s">
        <v>733</v>
      </c>
      <c r="I1239" s="308" t="str">
        <f t="shared" si="64"/>
        <v>Pesado de Passageiros M3: III : Gasóleo : E6</v>
      </c>
      <c r="J1239" s="125">
        <v>27</v>
      </c>
      <c r="K1239" s="253">
        <v>2022</v>
      </c>
      <c r="L1239" s="85">
        <v>0</v>
      </c>
      <c r="M1239" s="85" t="s">
        <v>630</v>
      </c>
      <c r="N1239" s="128">
        <v>0</v>
      </c>
      <c r="O1239" s="128">
        <f t="shared" si="65"/>
        <v>0</v>
      </c>
      <c r="P1239" s="89">
        <v>8193</v>
      </c>
      <c r="Q1239" t="s">
        <v>47</v>
      </c>
      <c r="R1239" s="214" t="s">
        <v>1869</v>
      </c>
      <c r="S1239" s="214" t="s">
        <v>1861</v>
      </c>
      <c r="U1239" t="s">
        <v>1953</v>
      </c>
      <c r="V1239" t="s">
        <v>2813</v>
      </c>
    </row>
    <row r="1240" spans="1:22" ht="15.75" thickBot="1" x14ac:dyDescent="0.3">
      <c r="A1240" t="s">
        <v>1916</v>
      </c>
      <c r="B1240" t="s">
        <v>1916</v>
      </c>
      <c r="C1240" t="s">
        <v>1916</v>
      </c>
      <c r="D1240" t="s">
        <v>629</v>
      </c>
      <c r="E1240" s="248" t="s">
        <v>1853</v>
      </c>
      <c r="F1240" t="s">
        <v>620</v>
      </c>
      <c r="G1240" s="89">
        <v>2019</v>
      </c>
      <c r="H1240" s="312" t="s">
        <v>733</v>
      </c>
      <c r="I1240" s="308" t="str">
        <f t="shared" si="64"/>
        <v>Pesado de Passageiros M3: III : Gasóleo : E6</v>
      </c>
      <c r="J1240" s="125">
        <v>72</v>
      </c>
      <c r="K1240" s="253">
        <v>2022</v>
      </c>
      <c r="L1240" s="85">
        <v>0</v>
      </c>
      <c r="M1240" s="85" t="s">
        <v>630</v>
      </c>
      <c r="N1240" s="128">
        <v>0</v>
      </c>
      <c r="O1240" s="128">
        <f t="shared" si="65"/>
        <v>0</v>
      </c>
      <c r="P1240" s="89">
        <v>8197</v>
      </c>
      <c r="Q1240" t="s">
        <v>47</v>
      </c>
      <c r="R1240" s="214" t="s">
        <v>1869</v>
      </c>
      <c r="S1240" s="214" t="s">
        <v>1861</v>
      </c>
      <c r="U1240" t="s">
        <v>1953</v>
      </c>
      <c r="V1240" t="s">
        <v>2813</v>
      </c>
    </row>
    <row r="1241" spans="1:22" ht="15.75" thickBot="1" x14ac:dyDescent="0.3">
      <c r="A1241" t="s">
        <v>1916</v>
      </c>
      <c r="B1241" t="s">
        <v>1916</v>
      </c>
      <c r="C1241" t="s">
        <v>1916</v>
      </c>
      <c r="D1241" t="s">
        <v>629</v>
      </c>
      <c r="E1241" s="248" t="s">
        <v>1853</v>
      </c>
      <c r="F1241" t="s">
        <v>620</v>
      </c>
      <c r="G1241" s="89">
        <v>2001</v>
      </c>
      <c r="H1241" s="312" t="s">
        <v>735</v>
      </c>
      <c r="I1241" s="308" t="str">
        <f t="shared" si="64"/>
        <v>Pesado de Passageiros M3: III : Gasóleo : E2</v>
      </c>
      <c r="J1241" s="125">
        <v>71</v>
      </c>
      <c r="K1241" s="253">
        <v>2022</v>
      </c>
      <c r="L1241" s="85">
        <v>6900.5000000000009</v>
      </c>
      <c r="M1241" s="85" t="s">
        <v>630</v>
      </c>
      <c r="N1241" s="128">
        <v>18908</v>
      </c>
      <c r="O1241" s="128">
        <f t="shared" si="65"/>
        <v>1342468</v>
      </c>
      <c r="P1241" s="89">
        <v>8198</v>
      </c>
      <c r="Q1241" t="s">
        <v>47</v>
      </c>
      <c r="R1241" s="214" t="s">
        <v>1869</v>
      </c>
      <c r="S1241" s="214" t="s">
        <v>1861</v>
      </c>
      <c r="U1241" t="s">
        <v>1953</v>
      </c>
      <c r="V1241" t="s">
        <v>2813</v>
      </c>
    </row>
    <row r="1242" spans="1:22" ht="15.75" thickBot="1" x14ac:dyDescent="0.3">
      <c r="A1242" t="s">
        <v>1916</v>
      </c>
      <c r="B1242" t="s">
        <v>1916</v>
      </c>
      <c r="C1242" t="s">
        <v>1916</v>
      </c>
      <c r="D1242" t="s">
        <v>629</v>
      </c>
      <c r="E1242" s="248" t="s">
        <v>1853</v>
      </c>
      <c r="F1242" t="s">
        <v>620</v>
      </c>
      <c r="G1242" s="89">
        <v>1997</v>
      </c>
      <c r="H1242" s="312" t="s">
        <v>735</v>
      </c>
      <c r="I1242" s="308" t="str">
        <f t="shared" si="64"/>
        <v>Pesado de Passageiros M3: III : Gasóleo : E2</v>
      </c>
      <c r="J1242" s="125">
        <v>52</v>
      </c>
      <c r="K1242" s="253">
        <v>2022</v>
      </c>
      <c r="L1242" s="85">
        <v>1255.1999999999998</v>
      </c>
      <c r="M1242" s="85" t="s">
        <v>630</v>
      </c>
      <c r="N1242" s="128">
        <v>3659</v>
      </c>
      <c r="O1242" s="128">
        <f t="shared" si="65"/>
        <v>190268</v>
      </c>
      <c r="P1242" s="89">
        <v>8221</v>
      </c>
      <c r="Q1242" t="s">
        <v>47</v>
      </c>
      <c r="R1242" s="214" t="s">
        <v>1869</v>
      </c>
      <c r="S1242" s="214" t="s">
        <v>1861</v>
      </c>
      <c r="U1242" t="s">
        <v>1953</v>
      </c>
      <c r="V1242" t="s">
        <v>2813</v>
      </c>
    </row>
    <row r="1243" spans="1:22" ht="15.75" thickBot="1" x14ac:dyDescent="0.3">
      <c r="A1243" t="s">
        <v>1916</v>
      </c>
      <c r="B1243" t="s">
        <v>1916</v>
      </c>
      <c r="C1243" t="s">
        <v>1916</v>
      </c>
      <c r="D1243" t="s">
        <v>629</v>
      </c>
      <c r="E1243" s="248" t="s">
        <v>1853</v>
      </c>
      <c r="F1243" t="s">
        <v>620</v>
      </c>
      <c r="G1243" s="89">
        <v>1997</v>
      </c>
      <c r="H1243" s="312" t="s">
        <v>735</v>
      </c>
      <c r="I1243" s="308" t="str">
        <f t="shared" si="64"/>
        <v>Pesado de Passageiros M3: III : Gasóleo : E2</v>
      </c>
      <c r="J1243" s="125">
        <v>52</v>
      </c>
      <c r="K1243" s="253">
        <v>2022</v>
      </c>
      <c r="L1243" s="85">
        <v>2185.6999999999998</v>
      </c>
      <c r="M1243" s="85" t="s">
        <v>630</v>
      </c>
      <c r="N1243" s="128">
        <v>7190</v>
      </c>
      <c r="O1243" s="128">
        <f t="shared" si="65"/>
        <v>373880</v>
      </c>
      <c r="P1243" s="89">
        <v>8222</v>
      </c>
      <c r="Q1243" t="s">
        <v>47</v>
      </c>
      <c r="R1243" s="214" t="s">
        <v>1869</v>
      </c>
      <c r="S1243" s="214" t="s">
        <v>1861</v>
      </c>
      <c r="U1243" t="s">
        <v>1953</v>
      </c>
      <c r="V1243" t="s">
        <v>2813</v>
      </c>
    </row>
    <row r="1244" spans="1:22" ht="15.75" thickBot="1" x14ac:dyDescent="0.3">
      <c r="A1244" t="s">
        <v>1916</v>
      </c>
      <c r="B1244" t="s">
        <v>1916</v>
      </c>
      <c r="C1244" t="s">
        <v>1916</v>
      </c>
      <c r="D1244" t="s">
        <v>629</v>
      </c>
      <c r="E1244" s="248" t="s">
        <v>1853</v>
      </c>
      <c r="F1244" t="s">
        <v>620</v>
      </c>
      <c r="G1244" s="89">
        <v>2001</v>
      </c>
      <c r="H1244" s="312" t="s">
        <v>735</v>
      </c>
      <c r="I1244" s="308" t="str">
        <f t="shared" si="64"/>
        <v>Pesado de Passageiros M3: III : Gasóleo : E2</v>
      </c>
      <c r="J1244" s="125">
        <v>52</v>
      </c>
      <c r="K1244" s="253">
        <v>2022</v>
      </c>
      <c r="L1244" s="85">
        <v>20121.400000000001</v>
      </c>
      <c r="M1244" s="85" t="s">
        <v>630</v>
      </c>
      <c r="N1244" s="128">
        <v>59448</v>
      </c>
      <c r="O1244" s="128">
        <f t="shared" si="65"/>
        <v>3091296</v>
      </c>
      <c r="P1244" s="89">
        <v>8223</v>
      </c>
      <c r="Q1244" t="s">
        <v>47</v>
      </c>
      <c r="R1244" s="214" t="s">
        <v>1869</v>
      </c>
      <c r="S1244" s="214" t="s">
        <v>1861</v>
      </c>
      <c r="U1244" t="s">
        <v>1953</v>
      </c>
      <c r="V1244" t="s">
        <v>2813</v>
      </c>
    </row>
    <row r="1245" spans="1:22" ht="15.75" thickBot="1" x14ac:dyDescent="0.3">
      <c r="A1245" t="s">
        <v>1916</v>
      </c>
      <c r="B1245" t="s">
        <v>1916</v>
      </c>
      <c r="C1245" t="s">
        <v>1916</v>
      </c>
      <c r="D1245" t="s">
        <v>629</v>
      </c>
      <c r="E1245" s="248" t="s">
        <v>1853</v>
      </c>
      <c r="F1245" t="s">
        <v>620</v>
      </c>
      <c r="G1245" s="89">
        <v>1999</v>
      </c>
      <c r="H1245" s="312" t="s">
        <v>735</v>
      </c>
      <c r="I1245" s="308" t="str">
        <f t="shared" si="64"/>
        <v>Pesado de Passageiros M3: III : Gasóleo : E2</v>
      </c>
      <c r="J1245" s="125">
        <v>51</v>
      </c>
      <c r="K1245" s="253">
        <v>2022</v>
      </c>
      <c r="L1245" s="85">
        <v>16411.599999999999</v>
      </c>
      <c r="M1245" s="85" t="s">
        <v>630</v>
      </c>
      <c r="N1245" s="128">
        <v>50422</v>
      </c>
      <c r="O1245" s="128">
        <f t="shared" si="65"/>
        <v>2571522</v>
      </c>
      <c r="P1245" s="89">
        <v>8224</v>
      </c>
      <c r="Q1245" t="s">
        <v>47</v>
      </c>
      <c r="R1245" s="214" t="s">
        <v>1869</v>
      </c>
      <c r="S1245" s="214" t="s">
        <v>1861</v>
      </c>
      <c r="U1245" t="s">
        <v>1953</v>
      </c>
      <c r="V1245" t="s">
        <v>2813</v>
      </c>
    </row>
    <row r="1246" spans="1:22" ht="15.75" thickBot="1" x14ac:dyDescent="0.3">
      <c r="A1246" t="s">
        <v>1916</v>
      </c>
      <c r="B1246" t="s">
        <v>1916</v>
      </c>
      <c r="C1246" t="s">
        <v>1916</v>
      </c>
      <c r="D1246" t="s">
        <v>629</v>
      </c>
      <c r="E1246" s="248" t="s">
        <v>1853</v>
      </c>
      <c r="F1246" t="s">
        <v>620</v>
      </c>
      <c r="G1246" s="89">
        <v>1999</v>
      </c>
      <c r="H1246" s="312" t="s">
        <v>735</v>
      </c>
      <c r="I1246" s="308" t="str">
        <f t="shared" si="64"/>
        <v>Pesado de Passageiros M3: III : Gasóleo : E2</v>
      </c>
      <c r="J1246" s="125">
        <v>53</v>
      </c>
      <c r="K1246" s="253">
        <v>2022</v>
      </c>
      <c r="L1246" s="85">
        <v>5240.0999999999995</v>
      </c>
      <c r="M1246" s="85" t="s">
        <v>630</v>
      </c>
      <c r="N1246" s="128">
        <v>16495</v>
      </c>
      <c r="O1246" s="128">
        <f t="shared" si="65"/>
        <v>874235</v>
      </c>
      <c r="P1246" s="89">
        <v>8225</v>
      </c>
      <c r="Q1246" t="s">
        <v>47</v>
      </c>
      <c r="R1246" s="214" t="s">
        <v>1869</v>
      </c>
      <c r="S1246" s="214" t="s">
        <v>1861</v>
      </c>
      <c r="U1246" t="s">
        <v>1953</v>
      </c>
      <c r="V1246" t="s">
        <v>2813</v>
      </c>
    </row>
    <row r="1247" spans="1:22" ht="15.75" thickBot="1" x14ac:dyDescent="0.3">
      <c r="A1247" t="s">
        <v>1916</v>
      </c>
      <c r="B1247" t="s">
        <v>1916</v>
      </c>
      <c r="C1247" t="s">
        <v>1916</v>
      </c>
      <c r="D1247" t="s">
        <v>629</v>
      </c>
      <c r="E1247" s="248" t="s">
        <v>1853</v>
      </c>
      <c r="F1247" t="s">
        <v>620</v>
      </c>
      <c r="G1247" s="89">
        <v>1999</v>
      </c>
      <c r="H1247" s="312" t="s">
        <v>735</v>
      </c>
      <c r="I1247" s="308" t="str">
        <f t="shared" si="64"/>
        <v>Pesado de Passageiros M3: III : Gasóleo : E2</v>
      </c>
      <c r="J1247" s="125">
        <v>50</v>
      </c>
      <c r="K1247" s="253">
        <v>2022</v>
      </c>
      <c r="L1247" s="85">
        <v>9677.9000000000015</v>
      </c>
      <c r="M1247" s="85" t="s">
        <v>630</v>
      </c>
      <c r="N1247" s="128">
        <v>28956</v>
      </c>
      <c r="O1247" s="128">
        <f t="shared" si="65"/>
        <v>1447800</v>
      </c>
      <c r="P1247" s="89">
        <v>8227</v>
      </c>
      <c r="Q1247" t="s">
        <v>47</v>
      </c>
      <c r="R1247" s="214" t="s">
        <v>1869</v>
      </c>
      <c r="S1247" s="214" t="s">
        <v>1861</v>
      </c>
      <c r="U1247" t="s">
        <v>1953</v>
      </c>
      <c r="V1247" t="s">
        <v>2813</v>
      </c>
    </row>
    <row r="1248" spans="1:22" ht="15.75" thickBot="1" x14ac:dyDescent="0.3">
      <c r="A1248" t="s">
        <v>1916</v>
      </c>
      <c r="B1248" t="s">
        <v>1916</v>
      </c>
      <c r="C1248" t="s">
        <v>1916</v>
      </c>
      <c r="D1248" t="s">
        <v>629</v>
      </c>
      <c r="E1248" s="248" t="s">
        <v>1853</v>
      </c>
      <c r="F1248" t="s">
        <v>620</v>
      </c>
      <c r="G1248" s="89">
        <v>2001</v>
      </c>
      <c r="H1248" s="312" t="s">
        <v>735</v>
      </c>
      <c r="I1248" s="308" t="str">
        <f t="shared" si="64"/>
        <v>Pesado de Passageiros M3: III : Gasóleo : E2</v>
      </c>
      <c r="J1248" s="125">
        <v>55</v>
      </c>
      <c r="K1248" s="253">
        <v>2022</v>
      </c>
      <c r="L1248" s="85">
        <v>14263.8</v>
      </c>
      <c r="M1248" s="85" t="s">
        <v>630</v>
      </c>
      <c r="N1248" s="128">
        <v>45477</v>
      </c>
      <c r="O1248" s="128">
        <f t="shared" si="65"/>
        <v>2501235</v>
      </c>
      <c r="P1248" s="89">
        <v>8228</v>
      </c>
      <c r="Q1248" t="s">
        <v>47</v>
      </c>
      <c r="R1248" s="214" t="s">
        <v>1869</v>
      </c>
      <c r="S1248" s="214" t="s">
        <v>1861</v>
      </c>
      <c r="U1248" t="s">
        <v>1953</v>
      </c>
      <c r="V1248" t="s">
        <v>2813</v>
      </c>
    </row>
    <row r="1249" spans="1:22" ht="15.75" thickBot="1" x14ac:dyDescent="0.3">
      <c r="A1249" t="s">
        <v>1916</v>
      </c>
      <c r="B1249" t="s">
        <v>1916</v>
      </c>
      <c r="C1249" t="s">
        <v>1916</v>
      </c>
      <c r="D1249" t="s">
        <v>629</v>
      </c>
      <c r="E1249" s="248" t="s">
        <v>1853</v>
      </c>
      <c r="F1249" t="s">
        <v>620</v>
      </c>
      <c r="G1249" s="89">
        <v>2001</v>
      </c>
      <c r="H1249" s="312" t="s">
        <v>735</v>
      </c>
      <c r="I1249" s="308" t="str">
        <f t="shared" si="64"/>
        <v>Pesado de Passageiros M3: III : Gasóleo : E2</v>
      </c>
      <c r="J1249" s="125">
        <v>55</v>
      </c>
      <c r="K1249" s="253">
        <v>2022</v>
      </c>
      <c r="L1249" s="85">
        <v>9394.1</v>
      </c>
      <c r="M1249" s="85" t="s">
        <v>630</v>
      </c>
      <c r="N1249" s="128">
        <v>27998</v>
      </c>
      <c r="O1249" s="128">
        <f t="shared" si="65"/>
        <v>1539890</v>
      </c>
      <c r="P1249" s="89">
        <v>8229</v>
      </c>
      <c r="Q1249" t="s">
        <v>47</v>
      </c>
      <c r="R1249" s="214" t="s">
        <v>1869</v>
      </c>
      <c r="S1249" s="214" t="s">
        <v>1861</v>
      </c>
      <c r="U1249" t="s">
        <v>1953</v>
      </c>
      <c r="V1249" t="s">
        <v>2813</v>
      </c>
    </row>
    <row r="1250" spans="1:22" ht="15.75" thickBot="1" x14ac:dyDescent="0.3">
      <c r="A1250" t="s">
        <v>1916</v>
      </c>
      <c r="B1250" t="s">
        <v>1916</v>
      </c>
      <c r="C1250" t="s">
        <v>1916</v>
      </c>
      <c r="D1250" t="s">
        <v>629</v>
      </c>
      <c r="E1250" s="248" t="s">
        <v>1853</v>
      </c>
      <c r="F1250" t="s">
        <v>620</v>
      </c>
      <c r="G1250" s="89">
        <v>1997</v>
      </c>
      <c r="H1250" s="312" t="s">
        <v>735</v>
      </c>
      <c r="I1250" s="308" t="str">
        <f t="shared" si="64"/>
        <v>Pesado de Passageiros M3: III : Gasóleo : E2</v>
      </c>
      <c r="J1250" s="125">
        <v>52</v>
      </c>
      <c r="K1250" s="253">
        <v>2022</v>
      </c>
      <c r="L1250" s="85">
        <v>0</v>
      </c>
      <c r="M1250" s="85" t="s">
        <v>630</v>
      </c>
      <c r="N1250" s="128">
        <v>0</v>
      </c>
      <c r="O1250" s="128">
        <f t="shared" si="65"/>
        <v>0</v>
      </c>
      <c r="P1250" s="89">
        <v>8230</v>
      </c>
      <c r="Q1250" t="s">
        <v>47</v>
      </c>
      <c r="R1250" s="214" t="s">
        <v>1869</v>
      </c>
      <c r="S1250" s="214" t="s">
        <v>1861</v>
      </c>
      <c r="U1250" t="s">
        <v>1953</v>
      </c>
      <c r="V1250" t="s">
        <v>2813</v>
      </c>
    </row>
    <row r="1251" spans="1:22" ht="15.75" thickBot="1" x14ac:dyDescent="0.3">
      <c r="A1251" t="s">
        <v>1916</v>
      </c>
      <c r="B1251" t="s">
        <v>1916</v>
      </c>
      <c r="C1251" t="s">
        <v>1916</v>
      </c>
      <c r="D1251" t="s">
        <v>629</v>
      </c>
      <c r="E1251" s="248" t="s">
        <v>1853</v>
      </c>
      <c r="F1251" t="s">
        <v>620</v>
      </c>
      <c r="G1251" s="89">
        <v>2009</v>
      </c>
      <c r="H1251" s="312" t="s">
        <v>731</v>
      </c>
      <c r="I1251" s="308" t="str">
        <f t="shared" si="64"/>
        <v>Pesado de Passageiros M3: III : Gasóleo : E4</v>
      </c>
      <c r="J1251" s="125">
        <v>57</v>
      </c>
      <c r="K1251" s="253">
        <v>2022</v>
      </c>
      <c r="L1251" s="85">
        <v>23636.1</v>
      </c>
      <c r="M1251" s="85" t="s">
        <v>630</v>
      </c>
      <c r="N1251" s="128">
        <v>74346</v>
      </c>
      <c r="O1251" s="128">
        <f t="shared" si="65"/>
        <v>4237722</v>
      </c>
      <c r="P1251" s="89">
        <v>8235</v>
      </c>
      <c r="Q1251" t="s">
        <v>47</v>
      </c>
      <c r="R1251" s="214" t="s">
        <v>1869</v>
      </c>
      <c r="S1251" s="214" t="s">
        <v>1861</v>
      </c>
      <c r="U1251" t="s">
        <v>1953</v>
      </c>
      <c r="V1251" t="s">
        <v>2813</v>
      </c>
    </row>
    <row r="1252" spans="1:22" ht="15.75" thickBot="1" x14ac:dyDescent="0.3">
      <c r="A1252" t="s">
        <v>1916</v>
      </c>
      <c r="B1252" t="s">
        <v>1916</v>
      </c>
      <c r="C1252" t="s">
        <v>1916</v>
      </c>
      <c r="D1252" t="s">
        <v>629</v>
      </c>
      <c r="E1252" s="248" t="s">
        <v>1853</v>
      </c>
      <c r="F1252" t="s">
        <v>620</v>
      </c>
      <c r="G1252" s="89">
        <v>2009</v>
      </c>
      <c r="H1252" s="312" t="s">
        <v>731</v>
      </c>
      <c r="I1252" s="308" t="str">
        <f t="shared" si="64"/>
        <v>Pesado de Passageiros M3: III : Gasóleo : E4</v>
      </c>
      <c r="J1252" s="125">
        <v>57</v>
      </c>
      <c r="K1252" s="253">
        <v>2022</v>
      </c>
      <c r="L1252" s="85">
        <v>15435.2</v>
      </c>
      <c r="M1252" s="85" t="s">
        <v>630</v>
      </c>
      <c r="N1252" s="128">
        <v>46527</v>
      </c>
      <c r="O1252" s="128">
        <f t="shared" si="65"/>
        <v>2652039</v>
      </c>
      <c r="P1252" s="89">
        <v>8236</v>
      </c>
      <c r="Q1252" t="s">
        <v>47</v>
      </c>
      <c r="R1252" s="214" t="s">
        <v>1869</v>
      </c>
      <c r="S1252" s="214" t="s">
        <v>1861</v>
      </c>
      <c r="U1252" t="s">
        <v>1953</v>
      </c>
      <c r="V1252" t="s">
        <v>2813</v>
      </c>
    </row>
    <row r="1253" spans="1:22" ht="15.75" thickBot="1" x14ac:dyDescent="0.3">
      <c r="A1253" t="s">
        <v>1916</v>
      </c>
      <c r="B1253" t="s">
        <v>1916</v>
      </c>
      <c r="C1253" t="s">
        <v>1916</v>
      </c>
      <c r="D1253" t="s">
        <v>629</v>
      </c>
      <c r="E1253" s="248" t="s">
        <v>1853</v>
      </c>
      <c r="F1253" t="s">
        <v>620</v>
      </c>
      <c r="G1253" s="89">
        <v>2009</v>
      </c>
      <c r="H1253" s="312" t="s">
        <v>731</v>
      </c>
      <c r="I1253" s="308" t="str">
        <f t="shared" si="64"/>
        <v>Pesado de Passageiros M3: III : Gasóleo : E4</v>
      </c>
      <c r="J1253" s="125">
        <v>57</v>
      </c>
      <c r="K1253" s="253">
        <v>2022</v>
      </c>
      <c r="L1253" s="85">
        <v>16997.599999999999</v>
      </c>
      <c r="M1253" s="85" t="s">
        <v>630</v>
      </c>
      <c r="N1253" s="128">
        <v>50617</v>
      </c>
      <c r="O1253" s="128">
        <f t="shared" si="65"/>
        <v>2885169</v>
      </c>
      <c r="P1253" s="89">
        <v>8237</v>
      </c>
      <c r="Q1253" t="s">
        <v>47</v>
      </c>
      <c r="R1253" s="214" t="s">
        <v>1869</v>
      </c>
      <c r="S1253" s="214" t="s">
        <v>1861</v>
      </c>
      <c r="U1253" t="s">
        <v>1953</v>
      </c>
      <c r="V1253" t="s">
        <v>2813</v>
      </c>
    </row>
    <row r="1254" spans="1:22" ht="15.75" thickBot="1" x14ac:dyDescent="0.3">
      <c r="A1254" t="s">
        <v>1916</v>
      </c>
      <c r="B1254" t="s">
        <v>1916</v>
      </c>
      <c r="C1254" t="s">
        <v>1916</v>
      </c>
      <c r="D1254" t="s">
        <v>629</v>
      </c>
      <c r="E1254" s="248" t="s">
        <v>1853</v>
      </c>
      <c r="F1254" t="s">
        <v>620</v>
      </c>
      <c r="G1254" s="89">
        <v>2009</v>
      </c>
      <c r="H1254" s="312" t="s">
        <v>731</v>
      </c>
      <c r="I1254" s="308" t="str">
        <f t="shared" si="64"/>
        <v>Pesado de Passageiros M3: III : Gasóleo : E4</v>
      </c>
      <c r="J1254" s="125">
        <v>51</v>
      </c>
      <c r="K1254" s="253">
        <v>2022</v>
      </c>
      <c r="L1254" s="85">
        <v>17949.7</v>
      </c>
      <c r="M1254" s="85" t="s">
        <v>630</v>
      </c>
      <c r="N1254" s="128">
        <v>59458</v>
      </c>
      <c r="O1254" s="128">
        <f t="shared" si="65"/>
        <v>3032358</v>
      </c>
      <c r="P1254" s="89">
        <v>8238</v>
      </c>
      <c r="Q1254" t="s">
        <v>47</v>
      </c>
      <c r="R1254" s="214" t="s">
        <v>1869</v>
      </c>
      <c r="S1254" s="214" t="s">
        <v>1861</v>
      </c>
      <c r="U1254" t="s">
        <v>1953</v>
      </c>
      <c r="V1254" t="s">
        <v>2813</v>
      </c>
    </row>
    <row r="1255" spans="1:22" ht="15.75" thickBot="1" x14ac:dyDescent="0.3">
      <c r="A1255" t="s">
        <v>1916</v>
      </c>
      <c r="B1255" t="s">
        <v>1916</v>
      </c>
      <c r="C1255" t="s">
        <v>1916</v>
      </c>
      <c r="D1255" t="s">
        <v>629</v>
      </c>
      <c r="E1255" s="248" t="s">
        <v>1853</v>
      </c>
      <c r="F1255" t="s">
        <v>620</v>
      </c>
      <c r="G1255" s="89">
        <v>1997</v>
      </c>
      <c r="H1255" s="312" t="s">
        <v>735</v>
      </c>
      <c r="I1255" s="308" t="str">
        <f t="shared" si="64"/>
        <v>Pesado de Passageiros M3: III : Gasóleo : E2</v>
      </c>
      <c r="J1255" s="125">
        <v>52</v>
      </c>
      <c r="K1255" s="253">
        <v>2022</v>
      </c>
      <c r="L1255" s="85">
        <v>0</v>
      </c>
      <c r="M1255" s="85" t="s">
        <v>630</v>
      </c>
      <c r="N1255" s="128">
        <v>0</v>
      </c>
      <c r="O1255" s="128">
        <f t="shared" si="65"/>
        <v>0</v>
      </c>
      <c r="P1255" s="89">
        <v>8240</v>
      </c>
      <c r="Q1255" t="s">
        <v>47</v>
      </c>
      <c r="R1255" s="214" t="s">
        <v>1869</v>
      </c>
      <c r="S1255" s="214" t="s">
        <v>1861</v>
      </c>
      <c r="U1255" t="s">
        <v>1953</v>
      </c>
      <c r="V1255" t="s">
        <v>2813</v>
      </c>
    </row>
    <row r="1256" spans="1:22" ht="15.75" thickBot="1" x14ac:dyDescent="0.3">
      <c r="A1256" t="s">
        <v>1916</v>
      </c>
      <c r="B1256" t="s">
        <v>1916</v>
      </c>
      <c r="C1256" t="s">
        <v>1916</v>
      </c>
      <c r="D1256" t="s">
        <v>629</v>
      </c>
      <c r="E1256" s="248" t="s">
        <v>1853</v>
      </c>
      <c r="F1256" t="s">
        <v>620</v>
      </c>
      <c r="G1256" s="89">
        <v>2001</v>
      </c>
      <c r="H1256" s="312" t="s">
        <v>735</v>
      </c>
      <c r="I1256" s="308" t="str">
        <f t="shared" si="64"/>
        <v>Pesado de Passageiros M3: III : Gasóleo : E2</v>
      </c>
      <c r="J1256" s="125">
        <v>55</v>
      </c>
      <c r="K1256" s="253">
        <v>2022</v>
      </c>
      <c r="L1256" s="85">
        <v>14078.099999999999</v>
      </c>
      <c r="M1256" s="85" t="s">
        <v>630</v>
      </c>
      <c r="N1256" s="128">
        <v>46513</v>
      </c>
      <c r="O1256" s="128">
        <f t="shared" si="65"/>
        <v>2558215</v>
      </c>
      <c r="P1256" s="89">
        <v>8241</v>
      </c>
      <c r="Q1256" t="s">
        <v>47</v>
      </c>
      <c r="R1256" s="214" t="s">
        <v>1869</v>
      </c>
      <c r="S1256" s="214" t="s">
        <v>1861</v>
      </c>
      <c r="U1256" t="s">
        <v>1953</v>
      </c>
      <c r="V1256" t="s">
        <v>2813</v>
      </c>
    </row>
    <row r="1257" spans="1:22" ht="15.75" thickBot="1" x14ac:dyDescent="0.3">
      <c r="A1257" t="s">
        <v>1916</v>
      </c>
      <c r="B1257" t="s">
        <v>1916</v>
      </c>
      <c r="C1257" t="s">
        <v>1916</v>
      </c>
      <c r="D1257" t="s">
        <v>629</v>
      </c>
      <c r="E1257" s="248" t="s">
        <v>1853</v>
      </c>
      <c r="F1257" t="s">
        <v>620</v>
      </c>
      <c r="G1257" s="89">
        <v>2009</v>
      </c>
      <c r="H1257" s="312" t="s">
        <v>731</v>
      </c>
      <c r="I1257" s="308" t="str">
        <f t="shared" si="64"/>
        <v>Pesado de Passageiros M3: III : Gasóleo : E4</v>
      </c>
      <c r="J1257" s="125">
        <v>55</v>
      </c>
      <c r="K1257" s="253">
        <v>2022</v>
      </c>
      <c r="L1257" s="85">
        <v>24817.8</v>
      </c>
      <c r="M1257" s="85" t="s">
        <v>630</v>
      </c>
      <c r="N1257" s="128">
        <v>87082</v>
      </c>
      <c r="O1257" s="128">
        <f t="shared" si="65"/>
        <v>4789510</v>
      </c>
      <c r="P1257" s="89">
        <v>8242</v>
      </c>
      <c r="Q1257" t="s">
        <v>47</v>
      </c>
      <c r="R1257" s="214" t="s">
        <v>1869</v>
      </c>
      <c r="S1257" s="214" t="s">
        <v>1861</v>
      </c>
      <c r="U1257" t="s">
        <v>1953</v>
      </c>
      <c r="V1257" t="s">
        <v>2813</v>
      </c>
    </row>
    <row r="1258" spans="1:22" ht="15.75" thickBot="1" x14ac:dyDescent="0.3">
      <c r="A1258" t="s">
        <v>1916</v>
      </c>
      <c r="B1258" t="s">
        <v>1916</v>
      </c>
      <c r="C1258" t="s">
        <v>1916</v>
      </c>
      <c r="D1258" t="s">
        <v>629</v>
      </c>
      <c r="E1258" s="248" t="s">
        <v>1853</v>
      </c>
      <c r="F1258" t="s">
        <v>620</v>
      </c>
      <c r="G1258" s="89">
        <v>2009</v>
      </c>
      <c r="H1258" s="312" t="s">
        <v>731</v>
      </c>
      <c r="I1258" s="308" t="str">
        <f t="shared" si="64"/>
        <v>Pesado de Passageiros M3: III : Gasóleo : E4</v>
      </c>
      <c r="J1258" s="125">
        <v>55</v>
      </c>
      <c r="K1258" s="253">
        <v>2022</v>
      </c>
      <c r="L1258" s="85">
        <v>24085.699999999997</v>
      </c>
      <c r="M1258" s="85" t="s">
        <v>630</v>
      </c>
      <c r="N1258" s="128">
        <v>77346</v>
      </c>
      <c r="O1258" s="128">
        <f t="shared" si="65"/>
        <v>4254030</v>
      </c>
      <c r="P1258" s="89">
        <v>8243</v>
      </c>
      <c r="Q1258" t="s">
        <v>47</v>
      </c>
      <c r="R1258" s="214" t="s">
        <v>1869</v>
      </c>
      <c r="S1258" s="214" t="s">
        <v>1861</v>
      </c>
      <c r="U1258" t="s">
        <v>1953</v>
      </c>
      <c r="V1258" t="s">
        <v>2813</v>
      </c>
    </row>
    <row r="1259" spans="1:22" ht="15.75" thickBot="1" x14ac:dyDescent="0.3">
      <c r="A1259" t="s">
        <v>1916</v>
      </c>
      <c r="B1259" t="s">
        <v>1916</v>
      </c>
      <c r="C1259" t="s">
        <v>1916</v>
      </c>
      <c r="D1259" t="s">
        <v>629</v>
      </c>
      <c r="E1259" s="248" t="s">
        <v>1853</v>
      </c>
      <c r="F1259" t="s">
        <v>620</v>
      </c>
      <c r="G1259" s="89">
        <v>2008</v>
      </c>
      <c r="H1259" s="312" t="s">
        <v>731</v>
      </c>
      <c r="I1259" s="308" t="str">
        <f t="shared" si="64"/>
        <v>Pesado de Passageiros M3: III : Gasóleo : E4</v>
      </c>
      <c r="J1259" s="125">
        <v>57</v>
      </c>
      <c r="K1259" s="253">
        <v>2022</v>
      </c>
      <c r="L1259" s="85">
        <v>16450.3</v>
      </c>
      <c r="M1259" s="85" t="s">
        <v>630</v>
      </c>
      <c r="N1259" s="128">
        <v>49168</v>
      </c>
      <c r="O1259" s="128">
        <f t="shared" si="65"/>
        <v>2802576</v>
      </c>
      <c r="P1259" s="89">
        <v>8244</v>
      </c>
      <c r="Q1259" t="s">
        <v>47</v>
      </c>
      <c r="R1259" s="214" t="s">
        <v>1869</v>
      </c>
      <c r="S1259" s="214" t="s">
        <v>1861</v>
      </c>
      <c r="U1259" t="s">
        <v>1953</v>
      </c>
      <c r="V1259" t="s">
        <v>2813</v>
      </c>
    </row>
    <row r="1260" spans="1:22" ht="15.75" thickBot="1" x14ac:dyDescent="0.3">
      <c r="A1260" t="s">
        <v>1916</v>
      </c>
      <c r="B1260" t="s">
        <v>1916</v>
      </c>
      <c r="C1260" t="s">
        <v>1916</v>
      </c>
      <c r="D1260" t="s">
        <v>629</v>
      </c>
      <c r="E1260" s="248" t="s">
        <v>1853</v>
      </c>
      <c r="F1260" t="s">
        <v>620</v>
      </c>
      <c r="G1260" s="89">
        <v>2011</v>
      </c>
      <c r="H1260" s="312" t="s">
        <v>734</v>
      </c>
      <c r="I1260" s="308" t="str">
        <f t="shared" si="64"/>
        <v>Pesado de Passageiros M3: III : Gasóleo : E5</v>
      </c>
      <c r="J1260" s="125">
        <v>55</v>
      </c>
      <c r="K1260" s="253">
        <v>2022</v>
      </c>
      <c r="L1260" s="85">
        <v>29308.199999999997</v>
      </c>
      <c r="M1260" s="85" t="s">
        <v>630</v>
      </c>
      <c r="N1260" s="128">
        <v>101138</v>
      </c>
      <c r="O1260" s="128">
        <f t="shared" si="65"/>
        <v>5562590</v>
      </c>
      <c r="P1260" s="89">
        <v>8245</v>
      </c>
      <c r="Q1260" t="s">
        <v>47</v>
      </c>
      <c r="R1260" s="214" t="s">
        <v>1869</v>
      </c>
      <c r="S1260" s="214" t="s">
        <v>1861</v>
      </c>
      <c r="U1260" t="s">
        <v>1953</v>
      </c>
      <c r="V1260" t="s">
        <v>2813</v>
      </c>
    </row>
    <row r="1261" spans="1:22" ht="15.75" thickBot="1" x14ac:dyDescent="0.3">
      <c r="A1261" t="s">
        <v>1916</v>
      </c>
      <c r="B1261" t="s">
        <v>1916</v>
      </c>
      <c r="C1261" t="s">
        <v>1916</v>
      </c>
      <c r="D1261" t="s">
        <v>629</v>
      </c>
      <c r="E1261" s="248" t="s">
        <v>1853</v>
      </c>
      <c r="F1261" t="s">
        <v>620</v>
      </c>
      <c r="G1261" s="89">
        <v>2016</v>
      </c>
      <c r="H1261" s="312" t="s">
        <v>733</v>
      </c>
      <c r="I1261" s="308" t="str">
        <f t="shared" si="64"/>
        <v>Pesado de Passageiros M3: III : Gasóleo : E6</v>
      </c>
      <c r="J1261" s="125">
        <v>55</v>
      </c>
      <c r="K1261" s="253">
        <v>2022</v>
      </c>
      <c r="L1261" s="85">
        <v>43781.599999999999</v>
      </c>
      <c r="M1261" s="85" t="s">
        <v>630</v>
      </c>
      <c r="N1261" s="128">
        <v>157282</v>
      </c>
      <c r="O1261" s="128">
        <f t="shared" si="65"/>
        <v>8650510</v>
      </c>
      <c r="P1261" s="89">
        <v>8246</v>
      </c>
      <c r="Q1261" t="s">
        <v>47</v>
      </c>
      <c r="R1261" s="214" t="s">
        <v>1869</v>
      </c>
      <c r="S1261" s="214" t="s">
        <v>1861</v>
      </c>
      <c r="U1261" t="s">
        <v>1953</v>
      </c>
      <c r="V1261" t="s">
        <v>2813</v>
      </c>
    </row>
    <row r="1262" spans="1:22" ht="15.75" thickBot="1" x14ac:dyDescent="0.3">
      <c r="A1262" t="s">
        <v>1916</v>
      </c>
      <c r="B1262" t="s">
        <v>1916</v>
      </c>
      <c r="C1262" t="s">
        <v>1916</v>
      </c>
      <c r="D1262" t="s">
        <v>629</v>
      </c>
      <c r="E1262" s="248" t="s">
        <v>1853</v>
      </c>
      <c r="F1262" t="s">
        <v>620</v>
      </c>
      <c r="G1262" s="89">
        <v>2016</v>
      </c>
      <c r="H1262" s="312" t="s">
        <v>733</v>
      </c>
      <c r="I1262" s="308" t="str">
        <f t="shared" si="64"/>
        <v>Pesado de Passageiros M3: III : Gasóleo : E6</v>
      </c>
      <c r="J1262" s="125">
        <v>55</v>
      </c>
      <c r="K1262" s="253">
        <v>2022</v>
      </c>
      <c r="L1262" s="85">
        <v>40356.700000000004</v>
      </c>
      <c r="M1262" s="85" t="s">
        <v>630</v>
      </c>
      <c r="N1262" s="128">
        <v>145626</v>
      </c>
      <c r="O1262" s="128">
        <f t="shared" si="65"/>
        <v>8009430</v>
      </c>
      <c r="P1262" s="89">
        <v>8247</v>
      </c>
      <c r="Q1262" t="s">
        <v>47</v>
      </c>
      <c r="R1262" s="214" t="s">
        <v>1869</v>
      </c>
      <c r="S1262" s="214" t="s">
        <v>1861</v>
      </c>
      <c r="U1262" t="s">
        <v>1953</v>
      </c>
      <c r="V1262" t="s">
        <v>2813</v>
      </c>
    </row>
    <row r="1263" spans="1:22" ht="15.75" thickBot="1" x14ac:dyDescent="0.3">
      <c r="A1263" t="s">
        <v>1916</v>
      </c>
      <c r="B1263" t="s">
        <v>1916</v>
      </c>
      <c r="C1263" t="s">
        <v>1916</v>
      </c>
      <c r="D1263" t="s">
        <v>629</v>
      </c>
      <c r="E1263" s="248" t="s">
        <v>1853</v>
      </c>
      <c r="F1263" t="s">
        <v>620</v>
      </c>
      <c r="G1263" s="89">
        <v>2016</v>
      </c>
      <c r="H1263" s="312" t="s">
        <v>733</v>
      </c>
      <c r="I1263" s="308" t="str">
        <f t="shared" si="64"/>
        <v>Pesado de Passageiros M3: III : Gasóleo : E6</v>
      </c>
      <c r="J1263" s="125">
        <v>55</v>
      </c>
      <c r="K1263" s="253">
        <v>2022</v>
      </c>
      <c r="L1263" s="85">
        <v>38512.600000000006</v>
      </c>
      <c r="M1263" s="85" t="s">
        <v>630</v>
      </c>
      <c r="N1263" s="128">
        <v>146599</v>
      </c>
      <c r="O1263" s="128">
        <f t="shared" si="65"/>
        <v>8062945</v>
      </c>
      <c r="P1263" s="89">
        <v>8248</v>
      </c>
      <c r="Q1263" t="s">
        <v>47</v>
      </c>
      <c r="R1263" s="214" t="s">
        <v>1869</v>
      </c>
      <c r="S1263" s="214" t="s">
        <v>1861</v>
      </c>
      <c r="U1263" t="s">
        <v>1953</v>
      </c>
      <c r="V1263" t="s">
        <v>2813</v>
      </c>
    </row>
    <row r="1264" spans="1:22" ht="15.75" thickBot="1" x14ac:dyDescent="0.3">
      <c r="A1264" t="s">
        <v>1916</v>
      </c>
      <c r="B1264" t="s">
        <v>1916</v>
      </c>
      <c r="C1264" t="s">
        <v>1916</v>
      </c>
      <c r="D1264" t="s">
        <v>629</v>
      </c>
      <c r="E1264" s="248" t="s">
        <v>1853</v>
      </c>
      <c r="F1264" t="s">
        <v>620</v>
      </c>
      <c r="G1264" s="89">
        <v>2016</v>
      </c>
      <c r="H1264" s="312" t="s">
        <v>733</v>
      </c>
      <c r="I1264" s="308" t="str">
        <f t="shared" si="64"/>
        <v>Pesado de Passageiros M3: III : Gasóleo : E6</v>
      </c>
      <c r="J1264" s="125">
        <v>55</v>
      </c>
      <c r="K1264" s="253">
        <v>2022</v>
      </c>
      <c r="L1264" s="85">
        <v>46647.1</v>
      </c>
      <c r="M1264" s="85" t="s">
        <v>630</v>
      </c>
      <c r="N1264" s="128">
        <v>171163</v>
      </c>
      <c r="O1264" s="128">
        <f t="shared" si="65"/>
        <v>9413965</v>
      </c>
      <c r="P1264" s="89">
        <v>8249</v>
      </c>
      <c r="Q1264" t="s">
        <v>47</v>
      </c>
      <c r="R1264" s="214" t="s">
        <v>1869</v>
      </c>
      <c r="S1264" s="214" t="s">
        <v>1861</v>
      </c>
      <c r="U1264" t="s">
        <v>1953</v>
      </c>
      <c r="V1264" t="s">
        <v>2813</v>
      </c>
    </row>
    <row r="1265" spans="1:22" ht="15.75" thickBot="1" x14ac:dyDescent="0.3">
      <c r="A1265" t="s">
        <v>1916</v>
      </c>
      <c r="B1265" t="s">
        <v>1916</v>
      </c>
      <c r="C1265" t="s">
        <v>1916</v>
      </c>
      <c r="D1265" t="s">
        <v>629</v>
      </c>
      <c r="E1265" s="248" t="s">
        <v>1853</v>
      </c>
      <c r="F1265" t="s">
        <v>620</v>
      </c>
      <c r="G1265" s="89">
        <v>2014</v>
      </c>
      <c r="H1265" s="312" t="s">
        <v>734</v>
      </c>
      <c r="I1265" s="308" t="str">
        <f t="shared" si="64"/>
        <v>Pesado de Passageiros M3: III : Gasóleo : E5</v>
      </c>
      <c r="J1265" s="125">
        <v>55</v>
      </c>
      <c r="K1265" s="253">
        <v>2022</v>
      </c>
      <c r="L1265" s="85">
        <v>38063.9</v>
      </c>
      <c r="M1265" s="85" t="s">
        <v>630</v>
      </c>
      <c r="N1265" s="128">
        <v>129613</v>
      </c>
      <c r="O1265" s="128">
        <f t="shared" si="65"/>
        <v>7128715</v>
      </c>
      <c r="P1265" s="89">
        <v>8250</v>
      </c>
      <c r="Q1265" t="s">
        <v>47</v>
      </c>
      <c r="R1265" s="214" t="s">
        <v>1869</v>
      </c>
      <c r="S1265" s="214" t="s">
        <v>1861</v>
      </c>
      <c r="U1265" t="s">
        <v>1953</v>
      </c>
      <c r="V1265" t="s">
        <v>2813</v>
      </c>
    </row>
    <row r="1266" spans="1:22" ht="15.75" thickBot="1" x14ac:dyDescent="0.3">
      <c r="A1266" t="s">
        <v>1916</v>
      </c>
      <c r="B1266" t="s">
        <v>1916</v>
      </c>
      <c r="C1266" t="s">
        <v>1916</v>
      </c>
      <c r="D1266" t="s">
        <v>629</v>
      </c>
      <c r="E1266" s="248" t="s">
        <v>1853</v>
      </c>
      <c r="F1266" t="s">
        <v>620</v>
      </c>
      <c r="G1266" s="89">
        <v>2019</v>
      </c>
      <c r="H1266" s="312" t="s">
        <v>733</v>
      </c>
      <c r="I1266" s="308" t="str">
        <f t="shared" si="64"/>
        <v>Pesado de Passageiros M3: III : Gasóleo : E6</v>
      </c>
      <c r="J1266" s="125">
        <v>55</v>
      </c>
      <c r="K1266" s="253">
        <v>2022</v>
      </c>
      <c r="L1266" s="85">
        <v>39549.1</v>
      </c>
      <c r="M1266" s="85" t="s">
        <v>630</v>
      </c>
      <c r="N1266" s="128">
        <v>159961</v>
      </c>
      <c r="O1266" s="128">
        <f t="shared" si="65"/>
        <v>8797855</v>
      </c>
      <c r="P1266" s="89">
        <v>8251</v>
      </c>
      <c r="Q1266" t="s">
        <v>47</v>
      </c>
      <c r="R1266" s="214" t="s">
        <v>1869</v>
      </c>
      <c r="S1266" s="214" t="s">
        <v>1861</v>
      </c>
      <c r="U1266" t="s">
        <v>1953</v>
      </c>
      <c r="V1266" t="s">
        <v>2813</v>
      </c>
    </row>
    <row r="1267" spans="1:22" ht="15.75" thickBot="1" x14ac:dyDescent="0.3">
      <c r="A1267" t="s">
        <v>1916</v>
      </c>
      <c r="B1267" t="s">
        <v>1916</v>
      </c>
      <c r="C1267" t="s">
        <v>1916</v>
      </c>
      <c r="D1267" t="s">
        <v>629</v>
      </c>
      <c r="E1267" s="248" t="s">
        <v>1853</v>
      </c>
      <c r="F1267" t="s">
        <v>620</v>
      </c>
      <c r="G1267" s="89">
        <v>2016</v>
      </c>
      <c r="H1267" s="312" t="s">
        <v>733</v>
      </c>
      <c r="I1267" s="308" t="str">
        <f t="shared" si="64"/>
        <v>Pesado de Passageiros M3: III : Gasóleo : E6</v>
      </c>
      <c r="J1267" s="125">
        <v>55</v>
      </c>
      <c r="K1267" s="253">
        <v>2022</v>
      </c>
      <c r="L1267" s="85">
        <v>19457.7</v>
      </c>
      <c r="M1267" s="85" t="s">
        <v>630</v>
      </c>
      <c r="N1267" s="128">
        <v>66662</v>
      </c>
      <c r="O1267" s="128">
        <f t="shared" si="65"/>
        <v>3666410</v>
      </c>
      <c r="P1267" s="89">
        <v>8252</v>
      </c>
      <c r="Q1267" t="s">
        <v>47</v>
      </c>
      <c r="R1267" s="214" t="s">
        <v>1869</v>
      </c>
      <c r="S1267" s="214" t="s">
        <v>1861</v>
      </c>
      <c r="U1267" t="s">
        <v>1953</v>
      </c>
      <c r="V1267" t="s">
        <v>2813</v>
      </c>
    </row>
    <row r="1268" spans="1:22" ht="15.75" thickBot="1" x14ac:dyDescent="0.3">
      <c r="A1268" t="s">
        <v>1916</v>
      </c>
      <c r="B1268" t="s">
        <v>1916</v>
      </c>
      <c r="C1268" t="s">
        <v>1916</v>
      </c>
      <c r="D1268" t="s">
        <v>629</v>
      </c>
      <c r="E1268" s="248" t="s">
        <v>1853</v>
      </c>
      <c r="F1268" t="s">
        <v>620</v>
      </c>
      <c r="G1268" s="89">
        <v>2006</v>
      </c>
      <c r="H1268" s="312" t="s">
        <v>732</v>
      </c>
      <c r="I1268" s="308" t="str">
        <f t="shared" si="64"/>
        <v>Pesado de Passageiros M3: III : Gasóleo : E3</v>
      </c>
      <c r="J1268" s="125">
        <v>51</v>
      </c>
      <c r="K1268" s="253">
        <v>2022</v>
      </c>
      <c r="L1268" s="85">
        <v>20684.8</v>
      </c>
      <c r="M1268" s="85" t="s">
        <v>630</v>
      </c>
      <c r="N1268" s="128">
        <v>61480</v>
      </c>
      <c r="O1268" s="128">
        <f t="shared" si="65"/>
        <v>3135480</v>
      </c>
      <c r="P1268" s="89">
        <v>8301</v>
      </c>
      <c r="Q1268" t="s">
        <v>47</v>
      </c>
      <c r="R1268" s="214" t="s">
        <v>1869</v>
      </c>
      <c r="S1268" s="214" t="s">
        <v>1861</v>
      </c>
      <c r="U1268" t="s">
        <v>1953</v>
      </c>
      <c r="V1268" t="s">
        <v>2813</v>
      </c>
    </row>
    <row r="1269" spans="1:22" ht="15.75" thickBot="1" x14ac:dyDescent="0.3">
      <c r="A1269" t="s">
        <v>1916</v>
      </c>
      <c r="B1269" t="s">
        <v>1916</v>
      </c>
      <c r="C1269" t="s">
        <v>1916</v>
      </c>
      <c r="D1269" t="s">
        <v>629</v>
      </c>
      <c r="E1269" s="248" t="s">
        <v>1853</v>
      </c>
      <c r="F1269" t="s">
        <v>620</v>
      </c>
      <c r="G1269" s="89">
        <v>2003</v>
      </c>
      <c r="H1269" s="312" t="s">
        <v>732</v>
      </c>
      <c r="I1269" s="308" t="str">
        <f t="shared" si="64"/>
        <v>Pesado de Passageiros M3: III : Gasóleo : E3</v>
      </c>
      <c r="J1269" s="125">
        <v>51</v>
      </c>
      <c r="K1269" s="253">
        <v>2022</v>
      </c>
      <c r="L1269" s="85">
        <v>17975.600000000002</v>
      </c>
      <c r="M1269" s="85" t="s">
        <v>630</v>
      </c>
      <c r="N1269" s="128">
        <v>55046</v>
      </c>
      <c r="O1269" s="128">
        <f t="shared" si="65"/>
        <v>2807346</v>
      </c>
      <c r="P1269" s="89">
        <v>8302</v>
      </c>
      <c r="Q1269" t="s">
        <v>47</v>
      </c>
      <c r="R1269" s="214" t="s">
        <v>1869</v>
      </c>
      <c r="S1269" s="214" t="s">
        <v>1861</v>
      </c>
      <c r="U1269" t="s">
        <v>1953</v>
      </c>
      <c r="V1269" t="s">
        <v>2813</v>
      </c>
    </row>
    <row r="1270" spans="1:22" ht="15.75" thickBot="1" x14ac:dyDescent="0.3">
      <c r="A1270" t="s">
        <v>1916</v>
      </c>
      <c r="B1270" t="s">
        <v>1916</v>
      </c>
      <c r="C1270" t="s">
        <v>1916</v>
      </c>
      <c r="D1270" t="s">
        <v>629</v>
      </c>
      <c r="E1270" s="248" t="s">
        <v>1853</v>
      </c>
      <c r="F1270" t="s">
        <v>620</v>
      </c>
      <c r="G1270" s="89">
        <v>2006</v>
      </c>
      <c r="H1270" s="312" t="s">
        <v>732</v>
      </c>
      <c r="I1270" s="308" t="str">
        <f t="shared" si="64"/>
        <v>Pesado de Passageiros M3: III : Gasóleo : E3</v>
      </c>
      <c r="J1270" s="125">
        <v>79</v>
      </c>
      <c r="K1270" s="253">
        <v>2022</v>
      </c>
      <c r="L1270" s="85">
        <v>9699.5</v>
      </c>
      <c r="M1270" s="85" t="s">
        <v>630</v>
      </c>
      <c r="N1270" s="128">
        <v>32191</v>
      </c>
      <c r="O1270" s="128">
        <f t="shared" si="65"/>
        <v>2543089</v>
      </c>
      <c r="P1270" s="89">
        <v>8303</v>
      </c>
      <c r="Q1270" t="s">
        <v>47</v>
      </c>
      <c r="R1270" s="214" t="s">
        <v>1869</v>
      </c>
      <c r="S1270" s="214" t="s">
        <v>1861</v>
      </c>
      <c r="U1270" t="s">
        <v>1953</v>
      </c>
      <c r="V1270" t="s">
        <v>2813</v>
      </c>
    </row>
    <row r="1271" spans="1:22" ht="15.75" thickBot="1" x14ac:dyDescent="0.3">
      <c r="A1271" t="s">
        <v>1916</v>
      </c>
      <c r="B1271" t="s">
        <v>1916</v>
      </c>
      <c r="C1271" t="s">
        <v>1916</v>
      </c>
      <c r="D1271" t="s">
        <v>629</v>
      </c>
      <c r="E1271" s="248" t="s">
        <v>1853</v>
      </c>
      <c r="F1271" t="s">
        <v>620</v>
      </c>
      <c r="G1271" s="89">
        <v>2002</v>
      </c>
      <c r="H1271" s="312" t="s">
        <v>732</v>
      </c>
      <c r="I1271" s="308" t="str">
        <f t="shared" si="64"/>
        <v>Pesado de Passageiros M3: III : Gasóleo : E3</v>
      </c>
      <c r="J1271" s="125">
        <v>79</v>
      </c>
      <c r="K1271" s="253">
        <v>2022</v>
      </c>
      <c r="L1271" s="85">
        <v>12350.099999999999</v>
      </c>
      <c r="M1271" s="85" t="s">
        <v>630</v>
      </c>
      <c r="N1271" s="128">
        <v>41427</v>
      </c>
      <c r="O1271" s="128">
        <f t="shared" si="65"/>
        <v>3272733</v>
      </c>
      <c r="P1271" s="89">
        <v>8304</v>
      </c>
      <c r="Q1271" t="s">
        <v>47</v>
      </c>
      <c r="R1271" s="214" t="s">
        <v>1869</v>
      </c>
      <c r="S1271" s="214" t="s">
        <v>1861</v>
      </c>
      <c r="U1271" t="s">
        <v>1953</v>
      </c>
      <c r="V1271" t="s">
        <v>2813</v>
      </c>
    </row>
    <row r="1272" spans="1:22" ht="15.75" thickBot="1" x14ac:dyDescent="0.3">
      <c r="A1272" t="s">
        <v>1916</v>
      </c>
      <c r="B1272" t="s">
        <v>1916</v>
      </c>
      <c r="C1272" t="s">
        <v>1916</v>
      </c>
      <c r="D1272" t="s">
        <v>629</v>
      </c>
      <c r="E1272" s="248" t="s">
        <v>1853</v>
      </c>
      <c r="F1272" t="s">
        <v>620</v>
      </c>
      <c r="G1272" s="89">
        <v>2003</v>
      </c>
      <c r="H1272" s="312" t="s">
        <v>732</v>
      </c>
      <c r="I1272" s="308" t="str">
        <f t="shared" si="64"/>
        <v>Pesado de Passageiros M3: III : Gasóleo : E3</v>
      </c>
      <c r="J1272" s="125">
        <v>72</v>
      </c>
      <c r="K1272" s="253">
        <v>2022</v>
      </c>
      <c r="L1272" s="85">
        <v>9332.4000000000015</v>
      </c>
      <c r="M1272" s="85" t="s">
        <v>630</v>
      </c>
      <c r="N1272" s="128">
        <v>30569</v>
      </c>
      <c r="O1272" s="128">
        <f t="shared" si="65"/>
        <v>2200968</v>
      </c>
      <c r="P1272" s="89">
        <v>8305</v>
      </c>
      <c r="Q1272" t="s">
        <v>47</v>
      </c>
      <c r="R1272" s="214" t="s">
        <v>1869</v>
      </c>
      <c r="S1272" s="214" t="s">
        <v>1861</v>
      </c>
      <c r="U1272" t="s">
        <v>1953</v>
      </c>
      <c r="V1272" t="s">
        <v>2813</v>
      </c>
    </row>
    <row r="1273" spans="1:22" ht="15.75" thickBot="1" x14ac:dyDescent="0.3">
      <c r="A1273" t="s">
        <v>1916</v>
      </c>
      <c r="B1273" t="s">
        <v>1916</v>
      </c>
      <c r="C1273" t="s">
        <v>1916</v>
      </c>
      <c r="D1273" t="s">
        <v>629</v>
      </c>
      <c r="E1273" s="248" t="s">
        <v>1853</v>
      </c>
      <c r="F1273" t="s">
        <v>620</v>
      </c>
      <c r="G1273" s="89">
        <v>2000</v>
      </c>
      <c r="H1273" s="312" t="s">
        <v>735</v>
      </c>
      <c r="I1273" s="308" t="str">
        <f t="shared" si="64"/>
        <v>Pesado de Passageiros M3: III : Gasóleo : E2</v>
      </c>
      <c r="J1273" s="125">
        <v>69</v>
      </c>
      <c r="K1273" s="253">
        <v>2022</v>
      </c>
      <c r="L1273" s="85">
        <v>12952.300000000001</v>
      </c>
      <c r="M1273" s="85" t="s">
        <v>630</v>
      </c>
      <c r="N1273" s="128">
        <v>37446</v>
      </c>
      <c r="O1273" s="128">
        <f t="shared" si="65"/>
        <v>2583774</v>
      </c>
      <c r="P1273" s="89">
        <v>8306</v>
      </c>
      <c r="Q1273" t="s">
        <v>47</v>
      </c>
      <c r="R1273" s="214" t="s">
        <v>1869</v>
      </c>
      <c r="S1273" s="214" t="s">
        <v>1861</v>
      </c>
      <c r="U1273" t="s">
        <v>1953</v>
      </c>
      <c r="V1273" t="s">
        <v>2813</v>
      </c>
    </row>
    <row r="1274" spans="1:22" ht="15.75" thickBot="1" x14ac:dyDescent="0.3">
      <c r="A1274" t="s">
        <v>1916</v>
      </c>
      <c r="B1274" t="s">
        <v>1916</v>
      </c>
      <c r="C1274" t="s">
        <v>1916</v>
      </c>
      <c r="D1274" t="s">
        <v>629</v>
      </c>
      <c r="E1274" s="248" t="s">
        <v>1853</v>
      </c>
      <c r="F1274" t="s">
        <v>620</v>
      </c>
      <c r="G1274" s="89">
        <v>2005</v>
      </c>
      <c r="H1274" s="312" t="s">
        <v>732</v>
      </c>
      <c r="I1274" s="308" t="str">
        <f t="shared" si="64"/>
        <v>Pesado de Passageiros M3: III : Gasóleo : E3</v>
      </c>
      <c r="J1274" s="125">
        <v>68</v>
      </c>
      <c r="K1274" s="253">
        <v>2022</v>
      </c>
      <c r="L1274" s="85">
        <v>16009.9</v>
      </c>
      <c r="M1274" s="85" t="s">
        <v>630</v>
      </c>
      <c r="N1274" s="128">
        <v>49576</v>
      </c>
      <c r="O1274" s="128">
        <f t="shared" si="65"/>
        <v>3371168</v>
      </c>
      <c r="P1274" s="89">
        <v>8307</v>
      </c>
      <c r="Q1274" t="s">
        <v>47</v>
      </c>
      <c r="R1274" s="214" t="s">
        <v>1869</v>
      </c>
      <c r="S1274" s="214" t="s">
        <v>1861</v>
      </c>
      <c r="U1274" t="s">
        <v>1953</v>
      </c>
      <c r="V1274" t="s">
        <v>2813</v>
      </c>
    </row>
    <row r="1275" spans="1:22" ht="15.75" thickBot="1" x14ac:dyDescent="0.3">
      <c r="A1275" t="s">
        <v>1916</v>
      </c>
      <c r="B1275" t="s">
        <v>1916</v>
      </c>
      <c r="C1275" t="s">
        <v>1916</v>
      </c>
      <c r="D1275" t="s">
        <v>629</v>
      </c>
      <c r="E1275" s="248" t="s">
        <v>1853</v>
      </c>
      <c r="F1275" t="s">
        <v>620</v>
      </c>
      <c r="G1275" s="89">
        <v>1997</v>
      </c>
      <c r="H1275" s="312" t="s">
        <v>736</v>
      </c>
      <c r="I1275" s="308" t="str">
        <f t="shared" si="64"/>
        <v>Pesado de Passageiros M3: III : Gasóleo : E1</v>
      </c>
      <c r="J1275" s="125">
        <v>75</v>
      </c>
      <c r="K1275" s="253">
        <v>2022</v>
      </c>
      <c r="L1275" s="85">
        <v>10793.9</v>
      </c>
      <c r="M1275" s="85" t="s">
        <v>630</v>
      </c>
      <c r="N1275" s="128">
        <v>34714</v>
      </c>
      <c r="O1275" s="128">
        <f t="shared" si="65"/>
        <v>2603550</v>
      </c>
      <c r="P1275" s="89">
        <v>8308</v>
      </c>
      <c r="Q1275" t="s">
        <v>47</v>
      </c>
      <c r="R1275" s="214" t="s">
        <v>1869</v>
      </c>
      <c r="S1275" s="214" t="s">
        <v>1861</v>
      </c>
      <c r="U1275" t="s">
        <v>1953</v>
      </c>
      <c r="V1275" t="s">
        <v>2813</v>
      </c>
    </row>
    <row r="1276" spans="1:22" ht="15.75" thickBot="1" x14ac:dyDescent="0.3">
      <c r="A1276" t="s">
        <v>1916</v>
      </c>
      <c r="B1276" t="s">
        <v>1916</v>
      </c>
      <c r="C1276" t="s">
        <v>1916</v>
      </c>
      <c r="D1276" t="s">
        <v>629</v>
      </c>
      <c r="E1276" s="248" t="s">
        <v>1853</v>
      </c>
      <c r="F1276" t="s">
        <v>620</v>
      </c>
      <c r="G1276" s="89">
        <v>1999</v>
      </c>
      <c r="H1276" s="312" t="s">
        <v>735</v>
      </c>
      <c r="I1276" s="308" t="str">
        <f t="shared" si="64"/>
        <v>Pesado de Passageiros M3: III : Gasóleo : E2</v>
      </c>
      <c r="J1276" s="125">
        <v>83</v>
      </c>
      <c r="K1276" s="253">
        <v>2022</v>
      </c>
      <c r="L1276" s="85">
        <v>19789.300000000003</v>
      </c>
      <c r="M1276" s="85" t="s">
        <v>630</v>
      </c>
      <c r="N1276" s="128">
        <v>63665</v>
      </c>
      <c r="O1276" s="128">
        <f t="shared" si="65"/>
        <v>5284195</v>
      </c>
      <c r="P1276" s="89">
        <v>8309</v>
      </c>
      <c r="Q1276" t="s">
        <v>47</v>
      </c>
      <c r="R1276" s="214" t="s">
        <v>1869</v>
      </c>
      <c r="S1276" s="214" t="s">
        <v>1861</v>
      </c>
      <c r="U1276" t="s">
        <v>1953</v>
      </c>
      <c r="V1276" t="s">
        <v>2813</v>
      </c>
    </row>
    <row r="1277" spans="1:22" ht="15.75" thickBot="1" x14ac:dyDescent="0.3">
      <c r="A1277" t="s">
        <v>1916</v>
      </c>
      <c r="B1277" t="s">
        <v>1916</v>
      </c>
      <c r="C1277" t="s">
        <v>1916</v>
      </c>
      <c r="D1277" t="s">
        <v>629</v>
      </c>
      <c r="E1277" s="248" t="s">
        <v>1853</v>
      </c>
      <c r="F1277" t="s">
        <v>620</v>
      </c>
      <c r="G1277" s="89">
        <v>2001</v>
      </c>
      <c r="H1277" s="312" t="s">
        <v>735</v>
      </c>
      <c r="I1277" s="308" t="str">
        <f t="shared" si="64"/>
        <v>Pesado de Passageiros M3: III : Gasóleo : E2</v>
      </c>
      <c r="J1277" s="125">
        <v>68</v>
      </c>
      <c r="K1277" s="253">
        <v>2022</v>
      </c>
      <c r="L1277" s="85">
        <v>14886.500000000004</v>
      </c>
      <c r="M1277" s="85" t="s">
        <v>630</v>
      </c>
      <c r="N1277" s="128">
        <v>53294</v>
      </c>
      <c r="O1277" s="128">
        <f t="shared" si="65"/>
        <v>3623992</v>
      </c>
      <c r="P1277" s="89">
        <v>8310</v>
      </c>
      <c r="Q1277" t="s">
        <v>47</v>
      </c>
      <c r="R1277" s="214" t="s">
        <v>1869</v>
      </c>
      <c r="S1277" s="214" t="s">
        <v>1861</v>
      </c>
      <c r="U1277" t="s">
        <v>1953</v>
      </c>
      <c r="V1277" t="s">
        <v>2813</v>
      </c>
    </row>
    <row r="1278" spans="1:22" ht="15.75" thickBot="1" x14ac:dyDescent="0.3">
      <c r="A1278" t="s">
        <v>1916</v>
      </c>
      <c r="B1278" t="s">
        <v>1916</v>
      </c>
      <c r="C1278" t="s">
        <v>1916</v>
      </c>
      <c r="D1278" t="s">
        <v>629</v>
      </c>
      <c r="E1278" s="248" t="s">
        <v>1853</v>
      </c>
      <c r="F1278" t="s">
        <v>620</v>
      </c>
      <c r="G1278" s="89">
        <v>2003</v>
      </c>
      <c r="H1278" s="312" t="s">
        <v>732</v>
      </c>
      <c r="I1278" s="308" t="str">
        <f t="shared" si="64"/>
        <v>Pesado de Passageiros M3: III : Gasóleo : E3</v>
      </c>
      <c r="J1278" s="125">
        <v>50</v>
      </c>
      <c r="K1278" s="253">
        <v>2022</v>
      </c>
      <c r="L1278" s="85">
        <v>14297.499999999998</v>
      </c>
      <c r="M1278" s="85" t="s">
        <v>630</v>
      </c>
      <c r="N1278" s="128">
        <v>44272</v>
      </c>
      <c r="O1278" s="128">
        <f t="shared" si="65"/>
        <v>2213600</v>
      </c>
      <c r="P1278" s="89">
        <v>8312</v>
      </c>
      <c r="Q1278" t="s">
        <v>47</v>
      </c>
      <c r="R1278" s="214" t="s">
        <v>1869</v>
      </c>
      <c r="S1278" s="214" t="s">
        <v>1861</v>
      </c>
      <c r="U1278" t="s">
        <v>1953</v>
      </c>
      <c r="V1278" t="s">
        <v>2813</v>
      </c>
    </row>
    <row r="1279" spans="1:22" ht="15.75" thickBot="1" x14ac:dyDescent="0.3">
      <c r="A1279" t="s">
        <v>1916</v>
      </c>
      <c r="B1279" t="s">
        <v>1916</v>
      </c>
      <c r="C1279" t="s">
        <v>1916</v>
      </c>
      <c r="D1279" t="s">
        <v>629</v>
      </c>
      <c r="E1279" s="248" t="s">
        <v>1853</v>
      </c>
      <c r="F1279" t="s">
        <v>620</v>
      </c>
      <c r="G1279" s="89">
        <v>1997</v>
      </c>
      <c r="H1279" s="312" t="s">
        <v>735</v>
      </c>
      <c r="I1279" s="308" t="str">
        <f t="shared" si="64"/>
        <v>Pesado de Passageiros M3: III : Gasóleo : E2</v>
      </c>
      <c r="J1279" s="125">
        <v>51</v>
      </c>
      <c r="K1279" s="253">
        <v>2022</v>
      </c>
      <c r="L1279" s="85">
        <v>0</v>
      </c>
      <c r="M1279" s="85" t="s">
        <v>630</v>
      </c>
      <c r="N1279" s="128">
        <v>0</v>
      </c>
      <c r="O1279" s="128">
        <f t="shared" si="65"/>
        <v>0</v>
      </c>
      <c r="P1279" s="89">
        <v>8313</v>
      </c>
      <c r="Q1279" t="s">
        <v>47</v>
      </c>
      <c r="R1279" s="214" t="s">
        <v>1869</v>
      </c>
      <c r="S1279" s="214" t="s">
        <v>1861</v>
      </c>
      <c r="U1279" t="s">
        <v>1953</v>
      </c>
      <c r="V1279" t="s">
        <v>2813</v>
      </c>
    </row>
    <row r="1280" spans="1:22" ht="15.75" thickBot="1" x14ac:dyDescent="0.3">
      <c r="A1280" t="s">
        <v>1916</v>
      </c>
      <c r="B1280" t="s">
        <v>1916</v>
      </c>
      <c r="C1280" t="s">
        <v>1916</v>
      </c>
      <c r="D1280" t="s">
        <v>629</v>
      </c>
      <c r="E1280" s="248" t="s">
        <v>1853</v>
      </c>
      <c r="F1280" t="s">
        <v>620</v>
      </c>
      <c r="G1280" s="89">
        <v>2002</v>
      </c>
      <c r="H1280" s="312" t="s">
        <v>732</v>
      </c>
      <c r="I1280" s="308" t="str">
        <f t="shared" si="64"/>
        <v>Pesado de Passageiros M3: III : Gasóleo : E3</v>
      </c>
      <c r="J1280" s="125">
        <v>70</v>
      </c>
      <c r="K1280" s="253">
        <v>2022</v>
      </c>
      <c r="L1280" s="85">
        <v>16161.300000000001</v>
      </c>
      <c r="M1280" s="85" t="s">
        <v>630</v>
      </c>
      <c r="N1280" s="128">
        <v>48287</v>
      </c>
      <c r="O1280" s="128">
        <f t="shared" si="65"/>
        <v>3380090</v>
      </c>
      <c r="P1280" s="89">
        <v>8314</v>
      </c>
      <c r="Q1280" t="s">
        <v>47</v>
      </c>
      <c r="R1280" s="214" t="s">
        <v>1869</v>
      </c>
      <c r="S1280" s="214" t="s">
        <v>1861</v>
      </c>
      <c r="U1280" t="s">
        <v>1953</v>
      </c>
      <c r="V1280" t="s">
        <v>2813</v>
      </c>
    </row>
    <row r="1281" spans="1:22" ht="15.75" thickBot="1" x14ac:dyDescent="0.3">
      <c r="A1281" t="s">
        <v>1916</v>
      </c>
      <c r="B1281" t="s">
        <v>1916</v>
      </c>
      <c r="C1281" t="s">
        <v>1916</v>
      </c>
      <c r="D1281" t="s">
        <v>629</v>
      </c>
      <c r="E1281" s="248" t="s">
        <v>1853</v>
      </c>
      <c r="F1281" t="s">
        <v>620</v>
      </c>
      <c r="G1281" s="89">
        <v>2009</v>
      </c>
      <c r="H1281" s="312" t="s">
        <v>731</v>
      </c>
      <c r="I1281" s="308" t="str">
        <f t="shared" si="64"/>
        <v>Pesado de Passageiros M3: III : Gasóleo : E4</v>
      </c>
      <c r="J1281" s="125">
        <v>31</v>
      </c>
      <c r="K1281" s="253">
        <v>2022</v>
      </c>
      <c r="L1281" s="85">
        <v>8919.9</v>
      </c>
      <c r="M1281" s="85" t="s">
        <v>630</v>
      </c>
      <c r="N1281" s="128">
        <v>54058</v>
      </c>
      <c r="O1281" s="128">
        <f t="shared" si="65"/>
        <v>1675798</v>
      </c>
      <c r="P1281" s="89">
        <v>8315</v>
      </c>
      <c r="Q1281" t="s">
        <v>47</v>
      </c>
      <c r="R1281" s="214" t="s">
        <v>1869</v>
      </c>
      <c r="S1281" s="214" t="s">
        <v>1861</v>
      </c>
      <c r="U1281" t="s">
        <v>1953</v>
      </c>
      <c r="V1281" t="s">
        <v>2813</v>
      </c>
    </row>
    <row r="1282" spans="1:22" ht="15.75" thickBot="1" x14ac:dyDescent="0.3">
      <c r="A1282" t="s">
        <v>1916</v>
      </c>
      <c r="B1282" t="s">
        <v>1916</v>
      </c>
      <c r="C1282" t="s">
        <v>1916</v>
      </c>
      <c r="D1282" t="s">
        <v>629</v>
      </c>
      <c r="E1282" s="248" t="s">
        <v>1853</v>
      </c>
      <c r="F1282" t="s">
        <v>620</v>
      </c>
      <c r="G1282" s="89">
        <v>2009</v>
      </c>
      <c r="H1282" s="312" t="s">
        <v>731</v>
      </c>
      <c r="I1282" s="308" t="str">
        <f t="shared" si="64"/>
        <v>Pesado de Passageiros M3: III : Gasóleo : E4</v>
      </c>
      <c r="J1282" s="125">
        <v>53</v>
      </c>
      <c r="K1282" s="253">
        <v>2022</v>
      </c>
      <c r="L1282" s="85">
        <v>11926.800000000001</v>
      </c>
      <c r="M1282" s="85" t="s">
        <v>630</v>
      </c>
      <c r="N1282" s="128">
        <v>42797</v>
      </c>
      <c r="O1282" s="128">
        <f t="shared" si="65"/>
        <v>2268241</v>
      </c>
      <c r="P1282" s="89">
        <v>8316</v>
      </c>
      <c r="Q1282" t="s">
        <v>47</v>
      </c>
      <c r="R1282" s="214" t="s">
        <v>1869</v>
      </c>
      <c r="S1282" s="214" t="s">
        <v>1861</v>
      </c>
      <c r="U1282" t="s">
        <v>1953</v>
      </c>
      <c r="V1282" t="s">
        <v>2813</v>
      </c>
    </row>
    <row r="1283" spans="1:22" ht="15.75" thickBot="1" x14ac:dyDescent="0.3">
      <c r="A1283" t="s">
        <v>1916</v>
      </c>
      <c r="B1283" t="s">
        <v>1916</v>
      </c>
      <c r="C1283" t="s">
        <v>1916</v>
      </c>
      <c r="D1283" t="s">
        <v>629</v>
      </c>
      <c r="E1283" s="248" t="s">
        <v>1853</v>
      </c>
      <c r="F1283" t="s">
        <v>620</v>
      </c>
      <c r="G1283" s="89">
        <v>2009</v>
      </c>
      <c r="H1283" s="312" t="s">
        <v>731</v>
      </c>
      <c r="I1283" s="308" t="str">
        <f t="shared" si="64"/>
        <v>Pesado de Passageiros M3: III : Gasóleo : E4</v>
      </c>
      <c r="J1283" s="125">
        <v>31</v>
      </c>
      <c r="K1283" s="253">
        <v>2022</v>
      </c>
      <c r="L1283" s="85">
        <v>6967.5000000000009</v>
      </c>
      <c r="M1283" s="85" t="s">
        <v>630</v>
      </c>
      <c r="N1283" s="128">
        <v>45974</v>
      </c>
      <c r="O1283" s="128">
        <f t="shared" si="65"/>
        <v>1425194</v>
      </c>
      <c r="P1283" s="89">
        <v>8317</v>
      </c>
      <c r="Q1283" t="s">
        <v>47</v>
      </c>
      <c r="R1283" s="214" t="s">
        <v>1869</v>
      </c>
      <c r="S1283" s="214" t="s">
        <v>1861</v>
      </c>
      <c r="U1283" t="s">
        <v>1953</v>
      </c>
      <c r="V1283" t="s">
        <v>2813</v>
      </c>
    </row>
    <row r="1284" spans="1:22" ht="15.75" thickBot="1" x14ac:dyDescent="0.3">
      <c r="A1284" t="s">
        <v>1916</v>
      </c>
      <c r="B1284" t="s">
        <v>1916</v>
      </c>
      <c r="C1284" t="s">
        <v>1916</v>
      </c>
      <c r="D1284" t="s">
        <v>629</v>
      </c>
      <c r="E1284" s="248" t="s">
        <v>1853</v>
      </c>
      <c r="F1284" t="s">
        <v>620</v>
      </c>
      <c r="G1284" s="89">
        <v>2009</v>
      </c>
      <c r="H1284" s="312" t="s">
        <v>731</v>
      </c>
      <c r="I1284" s="308" t="str">
        <f t="shared" ref="I1284:I1347" si="66">D1284&amp;": "&amp;E1284&amp;" : "&amp;F1284&amp;" : "&amp;H1284</f>
        <v>Pesado de Passageiros M3: III : Gasóleo : E4</v>
      </c>
      <c r="J1284" s="125">
        <v>31</v>
      </c>
      <c r="K1284" s="253">
        <v>2022</v>
      </c>
      <c r="L1284" s="85">
        <v>3090.7</v>
      </c>
      <c r="M1284" s="85" t="s">
        <v>630</v>
      </c>
      <c r="N1284" s="128">
        <v>19929</v>
      </c>
      <c r="O1284" s="128">
        <f t="shared" ref="O1284:O1347" si="67">N1284*J1284</f>
        <v>617799</v>
      </c>
      <c r="P1284" s="89">
        <v>8318</v>
      </c>
      <c r="Q1284" t="s">
        <v>47</v>
      </c>
      <c r="R1284" s="214" t="s">
        <v>1869</v>
      </c>
      <c r="S1284" s="214" t="s">
        <v>1861</v>
      </c>
      <c r="U1284" t="s">
        <v>1953</v>
      </c>
      <c r="V1284" t="s">
        <v>2813</v>
      </c>
    </row>
    <row r="1285" spans="1:22" ht="15.75" thickBot="1" x14ac:dyDescent="0.3">
      <c r="A1285" t="s">
        <v>1916</v>
      </c>
      <c r="B1285" t="s">
        <v>1916</v>
      </c>
      <c r="C1285" t="s">
        <v>1916</v>
      </c>
      <c r="D1285" t="s">
        <v>629</v>
      </c>
      <c r="E1285" s="248" t="s">
        <v>1853</v>
      </c>
      <c r="F1285" t="s">
        <v>620</v>
      </c>
      <c r="G1285" s="89">
        <v>2011</v>
      </c>
      <c r="H1285" s="312" t="s">
        <v>734</v>
      </c>
      <c r="I1285" s="308" t="str">
        <f t="shared" si="66"/>
        <v>Pesado de Passageiros M3: III : Gasóleo : E5</v>
      </c>
      <c r="J1285" s="125">
        <v>32</v>
      </c>
      <c r="K1285" s="253">
        <v>2022</v>
      </c>
      <c r="L1285" s="85">
        <v>9069.9999999999982</v>
      </c>
      <c r="M1285" s="85" t="s">
        <v>630</v>
      </c>
      <c r="N1285" s="128">
        <v>52950</v>
      </c>
      <c r="O1285" s="128">
        <f t="shared" si="67"/>
        <v>1694400</v>
      </c>
      <c r="P1285" s="89">
        <v>8319</v>
      </c>
      <c r="Q1285" t="s">
        <v>47</v>
      </c>
      <c r="R1285" s="214" t="s">
        <v>1869</v>
      </c>
      <c r="S1285" s="214" t="s">
        <v>1861</v>
      </c>
      <c r="U1285" t="s">
        <v>1953</v>
      </c>
      <c r="V1285" t="s">
        <v>2813</v>
      </c>
    </row>
    <row r="1286" spans="1:22" ht="15.75" thickBot="1" x14ac:dyDescent="0.3">
      <c r="A1286" t="s">
        <v>1916</v>
      </c>
      <c r="B1286" t="s">
        <v>1916</v>
      </c>
      <c r="C1286" t="s">
        <v>1916</v>
      </c>
      <c r="D1286" t="s">
        <v>629</v>
      </c>
      <c r="E1286" s="248" t="s">
        <v>1853</v>
      </c>
      <c r="F1286" t="s">
        <v>620</v>
      </c>
      <c r="G1286" s="89">
        <v>1999</v>
      </c>
      <c r="H1286" s="312" t="s">
        <v>735</v>
      </c>
      <c r="I1286" s="308" t="str">
        <f t="shared" si="66"/>
        <v>Pesado de Passageiros M3: III : Gasóleo : E2</v>
      </c>
      <c r="J1286" s="125">
        <v>75</v>
      </c>
      <c r="K1286" s="253">
        <v>2022</v>
      </c>
      <c r="L1286" s="85">
        <v>11269.1</v>
      </c>
      <c r="M1286" s="85" t="s">
        <v>630</v>
      </c>
      <c r="N1286" s="128">
        <v>38582</v>
      </c>
      <c r="O1286" s="128">
        <f t="shared" si="67"/>
        <v>2893650</v>
      </c>
      <c r="P1286" s="89">
        <v>8320</v>
      </c>
      <c r="Q1286" t="s">
        <v>47</v>
      </c>
      <c r="R1286" s="214" t="s">
        <v>1869</v>
      </c>
      <c r="S1286" s="214" t="s">
        <v>1861</v>
      </c>
      <c r="U1286" t="s">
        <v>1953</v>
      </c>
      <c r="V1286" t="s">
        <v>2813</v>
      </c>
    </row>
    <row r="1287" spans="1:22" ht="15.75" thickBot="1" x14ac:dyDescent="0.3">
      <c r="A1287" t="s">
        <v>1916</v>
      </c>
      <c r="B1287" t="s">
        <v>1916</v>
      </c>
      <c r="C1287" t="s">
        <v>1916</v>
      </c>
      <c r="D1287" t="s">
        <v>629</v>
      </c>
      <c r="E1287" s="248" t="s">
        <v>1853</v>
      </c>
      <c r="F1287" t="s">
        <v>620</v>
      </c>
      <c r="G1287" s="89">
        <v>2000</v>
      </c>
      <c r="H1287" s="312" t="s">
        <v>735</v>
      </c>
      <c r="I1287" s="308" t="str">
        <f t="shared" si="66"/>
        <v>Pesado de Passageiros M3: III : Gasóleo : E2</v>
      </c>
      <c r="J1287" s="125">
        <v>70</v>
      </c>
      <c r="K1287" s="253">
        <v>2022</v>
      </c>
      <c r="L1287" s="85">
        <v>14576.2</v>
      </c>
      <c r="M1287" s="85" t="s">
        <v>630</v>
      </c>
      <c r="N1287" s="128">
        <v>44183</v>
      </c>
      <c r="O1287" s="128">
        <f t="shared" si="67"/>
        <v>3092810</v>
      </c>
      <c r="P1287" s="89">
        <v>8321</v>
      </c>
      <c r="Q1287" t="s">
        <v>47</v>
      </c>
      <c r="R1287" s="214" t="s">
        <v>1869</v>
      </c>
      <c r="S1287" s="214" t="s">
        <v>1861</v>
      </c>
      <c r="U1287" t="s">
        <v>1953</v>
      </c>
      <c r="V1287" t="s">
        <v>2813</v>
      </c>
    </row>
    <row r="1288" spans="1:22" ht="15.75" thickBot="1" x14ac:dyDescent="0.3">
      <c r="A1288" t="s">
        <v>1916</v>
      </c>
      <c r="B1288" t="s">
        <v>1916</v>
      </c>
      <c r="C1288" t="s">
        <v>1916</v>
      </c>
      <c r="D1288" t="s">
        <v>629</v>
      </c>
      <c r="E1288" s="248" t="s">
        <v>1853</v>
      </c>
      <c r="F1288" t="s">
        <v>620</v>
      </c>
      <c r="G1288" s="89">
        <v>2011</v>
      </c>
      <c r="H1288" s="312" t="s">
        <v>734</v>
      </c>
      <c r="I1288" s="308" t="str">
        <f t="shared" si="66"/>
        <v>Pesado de Passageiros M3: III : Gasóleo : E5</v>
      </c>
      <c r="J1288" s="125">
        <v>32</v>
      </c>
      <c r="K1288" s="253">
        <v>2022</v>
      </c>
      <c r="L1288" s="85">
        <v>7213.6999999999989</v>
      </c>
      <c r="M1288" s="85" t="s">
        <v>630</v>
      </c>
      <c r="N1288" s="128">
        <v>46829</v>
      </c>
      <c r="O1288" s="128">
        <f t="shared" si="67"/>
        <v>1498528</v>
      </c>
      <c r="P1288" s="89">
        <v>8322</v>
      </c>
      <c r="Q1288" t="s">
        <v>47</v>
      </c>
      <c r="R1288" s="214" t="s">
        <v>1869</v>
      </c>
      <c r="S1288" s="214" t="s">
        <v>1861</v>
      </c>
      <c r="U1288" t="s">
        <v>1953</v>
      </c>
      <c r="V1288" t="s">
        <v>2813</v>
      </c>
    </row>
    <row r="1289" spans="1:22" ht="15.75" thickBot="1" x14ac:dyDescent="0.3">
      <c r="A1289" t="s">
        <v>1916</v>
      </c>
      <c r="B1289" t="s">
        <v>1916</v>
      </c>
      <c r="C1289" t="s">
        <v>1916</v>
      </c>
      <c r="D1289" t="s">
        <v>629</v>
      </c>
      <c r="E1289" s="248" t="s">
        <v>1853</v>
      </c>
      <c r="F1289" t="s">
        <v>620</v>
      </c>
      <c r="G1289" s="89">
        <v>2006</v>
      </c>
      <c r="H1289" s="312" t="s">
        <v>732</v>
      </c>
      <c r="I1289" s="308" t="str">
        <f t="shared" si="66"/>
        <v>Pesado de Passageiros M3: III : Gasóleo : E3</v>
      </c>
      <c r="J1289" s="125">
        <v>79</v>
      </c>
      <c r="K1289" s="253">
        <v>2022</v>
      </c>
      <c r="L1289" s="85">
        <v>14330.5</v>
      </c>
      <c r="M1289" s="85" t="s">
        <v>630</v>
      </c>
      <c r="N1289" s="128">
        <v>53238</v>
      </c>
      <c r="O1289" s="128">
        <f t="shared" si="67"/>
        <v>4205802</v>
      </c>
      <c r="P1289" s="89">
        <v>8323</v>
      </c>
      <c r="Q1289" t="s">
        <v>47</v>
      </c>
      <c r="R1289" s="214" t="s">
        <v>1869</v>
      </c>
      <c r="S1289" s="214" t="s">
        <v>1861</v>
      </c>
      <c r="U1289" t="s">
        <v>1953</v>
      </c>
      <c r="V1289" t="s">
        <v>2813</v>
      </c>
    </row>
    <row r="1290" spans="1:22" ht="15.75" thickBot="1" x14ac:dyDescent="0.3">
      <c r="A1290" t="s">
        <v>1916</v>
      </c>
      <c r="B1290" t="s">
        <v>1916</v>
      </c>
      <c r="C1290" t="s">
        <v>1916</v>
      </c>
      <c r="D1290" t="s">
        <v>629</v>
      </c>
      <c r="E1290" s="248" t="s">
        <v>1853</v>
      </c>
      <c r="F1290" t="s">
        <v>620</v>
      </c>
      <c r="G1290" s="89">
        <v>2006</v>
      </c>
      <c r="H1290" s="312" t="s">
        <v>732</v>
      </c>
      <c r="I1290" s="308" t="str">
        <f t="shared" si="66"/>
        <v>Pesado de Passageiros M3: III : Gasóleo : E3</v>
      </c>
      <c r="J1290" s="125">
        <v>79</v>
      </c>
      <c r="K1290" s="253">
        <v>2022</v>
      </c>
      <c r="L1290" s="85">
        <v>15636.5</v>
      </c>
      <c r="M1290" s="85" t="s">
        <v>630</v>
      </c>
      <c r="N1290" s="128">
        <v>52887</v>
      </c>
      <c r="O1290" s="128">
        <f t="shared" si="67"/>
        <v>4178073</v>
      </c>
      <c r="P1290" s="89">
        <v>8324</v>
      </c>
      <c r="Q1290" t="s">
        <v>47</v>
      </c>
      <c r="R1290" s="214" t="s">
        <v>1869</v>
      </c>
      <c r="S1290" s="214" t="s">
        <v>1861</v>
      </c>
      <c r="U1290" t="s">
        <v>1953</v>
      </c>
      <c r="V1290" t="s">
        <v>2813</v>
      </c>
    </row>
    <row r="1291" spans="1:22" ht="15.75" thickBot="1" x14ac:dyDescent="0.3">
      <c r="A1291" t="s">
        <v>1916</v>
      </c>
      <c r="B1291" t="s">
        <v>1916</v>
      </c>
      <c r="C1291" t="s">
        <v>1916</v>
      </c>
      <c r="D1291" t="s">
        <v>629</v>
      </c>
      <c r="E1291" s="248" t="s">
        <v>1853</v>
      </c>
      <c r="F1291" t="s">
        <v>620</v>
      </c>
      <c r="G1291" s="89">
        <v>2006</v>
      </c>
      <c r="H1291" s="312" t="s">
        <v>732</v>
      </c>
      <c r="I1291" s="308" t="str">
        <f t="shared" si="66"/>
        <v>Pesado de Passageiros M3: III : Gasóleo : E3</v>
      </c>
      <c r="J1291" s="125">
        <v>79</v>
      </c>
      <c r="K1291" s="253">
        <v>2022</v>
      </c>
      <c r="L1291" s="85">
        <v>12319.999999999998</v>
      </c>
      <c r="M1291" s="85" t="s">
        <v>630</v>
      </c>
      <c r="N1291" s="128">
        <v>38040</v>
      </c>
      <c r="O1291" s="128">
        <f t="shared" si="67"/>
        <v>3005160</v>
      </c>
      <c r="P1291" s="89">
        <v>8325</v>
      </c>
      <c r="Q1291" t="s">
        <v>47</v>
      </c>
      <c r="R1291" s="214" t="s">
        <v>1869</v>
      </c>
      <c r="S1291" s="214" t="s">
        <v>1861</v>
      </c>
      <c r="U1291" t="s">
        <v>1953</v>
      </c>
      <c r="V1291" t="s">
        <v>2813</v>
      </c>
    </row>
    <row r="1292" spans="1:22" ht="15.75" thickBot="1" x14ac:dyDescent="0.3">
      <c r="A1292" t="s">
        <v>1916</v>
      </c>
      <c r="B1292" t="s">
        <v>1916</v>
      </c>
      <c r="C1292" t="s">
        <v>1916</v>
      </c>
      <c r="D1292" t="s">
        <v>629</v>
      </c>
      <c r="E1292" s="248" t="s">
        <v>1853</v>
      </c>
      <c r="F1292" t="s">
        <v>620</v>
      </c>
      <c r="G1292" s="89">
        <v>2006</v>
      </c>
      <c r="H1292" s="312" t="s">
        <v>732</v>
      </c>
      <c r="I1292" s="308" t="str">
        <f t="shared" si="66"/>
        <v>Pesado de Passageiros M3: III : Gasóleo : E3</v>
      </c>
      <c r="J1292" s="125">
        <v>78</v>
      </c>
      <c r="K1292" s="253">
        <v>2022</v>
      </c>
      <c r="L1292" s="85">
        <v>10377.399999999998</v>
      </c>
      <c r="M1292" s="85" t="s">
        <v>630</v>
      </c>
      <c r="N1292" s="128">
        <v>31191</v>
      </c>
      <c r="O1292" s="128">
        <f t="shared" si="67"/>
        <v>2432898</v>
      </c>
      <c r="P1292" s="89">
        <v>8326</v>
      </c>
      <c r="Q1292" t="s">
        <v>47</v>
      </c>
      <c r="R1292" s="214" t="s">
        <v>1869</v>
      </c>
      <c r="S1292" s="214" t="s">
        <v>1861</v>
      </c>
      <c r="U1292" t="s">
        <v>1953</v>
      </c>
      <c r="V1292" t="s">
        <v>2813</v>
      </c>
    </row>
    <row r="1293" spans="1:22" ht="15.75" thickBot="1" x14ac:dyDescent="0.3">
      <c r="A1293" t="s">
        <v>1916</v>
      </c>
      <c r="B1293" t="s">
        <v>1916</v>
      </c>
      <c r="C1293" t="s">
        <v>1916</v>
      </c>
      <c r="D1293" t="s">
        <v>629</v>
      </c>
      <c r="E1293" s="248" t="s">
        <v>1853</v>
      </c>
      <c r="F1293" t="s">
        <v>620</v>
      </c>
      <c r="G1293" s="89">
        <v>2006</v>
      </c>
      <c r="H1293" s="312" t="s">
        <v>732</v>
      </c>
      <c r="I1293" s="308" t="str">
        <f t="shared" si="66"/>
        <v>Pesado de Passageiros M3: III : Gasóleo : E3</v>
      </c>
      <c r="J1293" s="125">
        <v>78</v>
      </c>
      <c r="K1293" s="253">
        <v>2022</v>
      </c>
      <c r="L1293" s="85">
        <v>10713.9</v>
      </c>
      <c r="M1293" s="85" t="s">
        <v>630</v>
      </c>
      <c r="N1293" s="128">
        <v>30568</v>
      </c>
      <c r="O1293" s="128">
        <f t="shared" si="67"/>
        <v>2384304</v>
      </c>
      <c r="P1293" s="89">
        <v>8327</v>
      </c>
      <c r="Q1293" t="s">
        <v>47</v>
      </c>
      <c r="R1293" s="214" t="s">
        <v>1869</v>
      </c>
      <c r="S1293" s="214" t="s">
        <v>1861</v>
      </c>
      <c r="U1293" t="s">
        <v>1953</v>
      </c>
      <c r="V1293" t="s">
        <v>2813</v>
      </c>
    </row>
    <row r="1294" spans="1:22" ht="15.75" thickBot="1" x14ac:dyDescent="0.3">
      <c r="A1294" t="s">
        <v>1916</v>
      </c>
      <c r="B1294" t="s">
        <v>1916</v>
      </c>
      <c r="C1294" t="s">
        <v>1916</v>
      </c>
      <c r="D1294" t="s">
        <v>629</v>
      </c>
      <c r="E1294" s="248" t="s">
        <v>1853</v>
      </c>
      <c r="F1294" t="s">
        <v>620</v>
      </c>
      <c r="G1294" s="89">
        <v>2004</v>
      </c>
      <c r="H1294" s="312" t="s">
        <v>732</v>
      </c>
      <c r="I1294" s="308" t="str">
        <f t="shared" si="66"/>
        <v>Pesado de Passageiros M3: III : Gasóleo : E3</v>
      </c>
      <c r="J1294" s="125">
        <v>68</v>
      </c>
      <c r="K1294" s="253">
        <v>2022</v>
      </c>
      <c r="L1294" s="85">
        <v>27384.2</v>
      </c>
      <c r="M1294" s="85" t="s">
        <v>630</v>
      </c>
      <c r="N1294" s="128">
        <v>95144</v>
      </c>
      <c r="O1294" s="128">
        <f t="shared" si="67"/>
        <v>6469792</v>
      </c>
      <c r="P1294" s="89">
        <v>8328</v>
      </c>
      <c r="Q1294" t="s">
        <v>47</v>
      </c>
      <c r="R1294" s="214" t="s">
        <v>1869</v>
      </c>
      <c r="S1294" s="214" t="s">
        <v>1861</v>
      </c>
      <c r="U1294" t="s">
        <v>1953</v>
      </c>
      <c r="V1294" t="s">
        <v>2813</v>
      </c>
    </row>
    <row r="1295" spans="1:22" ht="15.75" thickBot="1" x14ac:dyDescent="0.3">
      <c r="A1295" t="s">
        <v>1916</v>
      </c>
      <c r="B1295" t="s">
        <v>1916</v>
      </c>
      <c r="C1295" t="s">
        <v>1916</v>
      </c>
      <c r="D1295" t="s">
        <v>629</v>
      </c>
      <c r="E1295" s="248" t="s">
        <v>1853</v>
      </c>
      <c r="F1295" t="s">
        <v>620</v>
      </c>
      <c r="G1295" s="89">
        <v>2003</v>
      </c>
      <c r="H1295" s="312" t="s">
        <v>732</v>
      </c>
      <c r="I1295" s="308" t="str">
        <f t="shared" si="66"/>
        <v>Pesado de Passageiros M3: III : Gasóleo : E3</v>
      </c>
      <c r="J1295" s="125">
        <v>70</v>
      </c>
      <c r="K1295" s="253">
        <v>2022</v>
      </c>
      <c r="L1295" s="85">
        <v>14380.399999999998</v>
      </c>
      <c r="M1295" s="85" t="s">
        <v>630</v>
      </c>
      <c r="N1295" s="128">
        <v>44943</v>
      </c>
      <c r="O1295" s="128">
        <f t="shared" si="67"/>
        <v>3146010</v>
      </c>
      <c r="P1295" s="89">
        <v>8329</v>
      </c>
      <c r="Q1295" t="s">
        <v>47</v>
      </c>
      <c r="R1295" s="214" t="s">
        <v>1869</v>
      </c>
      <c r="S1295" s="214" t="s">
        <v>1861</v>
      </c>
      <c r="U1295" t="s">
        <v>1953</v>
      </c>
      <c r="V1295" t="s">
        <v>2813</v>
      </c>
    </row>
    <row r="1296" spans="1:22" ht="15.75" thickBot="1" x14ac:dyDescent="0.3">
      <c r="A1296" t="s">
        <v>1916</v>
      </c>
      <c r="B1296" t="s">
        <v>1916</v>
      </c>
      <c r="C1296" t="s">
        <v>1916</v>
      </c>
      <c r="D1296" t="s">
        <v>629</v>
      </c>
      <c r="E1296" s="248" t="s">
        <v>1853</v>
      </c>
      <c r="F1296" t="s">
        <v>620</v>
      </c>
      <c r="G1296" s="89">
        <v>1987</v>
      </c>
      <c r="H1296" s="312" t="s">
        <v>2230</v>
      </c>
      <c r="I1296" s="308" t="str">
        <f t="shared" si="66"/>
        <v>Pesado de Passageiros M3: III : Gasóleo : E0</v>
      </c>
      <c r="J1296" s="125">
        <v>88</v>
      </c>
      <c r="K1296" s="253">
        <v>2022</v>
      </c>
      <c r="L1296" s="85">
        <v>0</v>
      </c>
      <c r="M1296" s="85" t="s">
        <v>630</v>
      </c>
      <c r="N1296" s="128">
        <v>0</v>
      </c>
      <c r="O1296" s="128">
        <f t="shared" si="67"/>
        <v>0</v>
      </c>
      <c r="P1296" s="89">
        <v>8330</v>
      </c>
      <c r="Q1296" t="s">
        <v>47</v>
      </c>
      <c r="R1296" s="214" t="s">
        <v>1869</v>
      </c>
      <c r="S1296" s="214" t="s">
        <v>1861</v>
      </c>
      <c r="U1296" t="s">
        <v>1953</v>
      </c>
      <c r="V1296" t="s">
        <v>2813</v>
      </c>
    </row>
    <row r="1297" spans="1:22" ht="15.75" thickBot="1" x14ac:dyDescent="0.3">
      <c r="A1297" t="s">
        <v>1916</v>
      </c>
      <c r="B1297" t="s">
        <v>1916</v>
      </c>
      <c r="C1297" t="s">
        <v>1916</v>
      </c>
      <c r="D1297" t="s">
        <v>629</v>
      </c>
      <c r="E1297" s="248" t="s">
        <v>1853</v>
      </c>
      <c r="F1297" t="s">
        <v>620</v>
      </c>
      <c r="G1297" s="89">
        <v>2002</v>
      </c>
      <c r="H1297" s="312" t="s">
        <v>732</v>
      </c>
      <c r="I1297" s="308" t="str">
        <f t="shared" si="66"/>
        <v>Pesado de Passageiros M3: III : Gasóleo : E3</v>
      </c>
      <c r="J1297" s="125">
        <v>72</v>
      </c>
      <c r="K1297" s="253">
        <v>2022</v>
      </c>
      <c r="L1297" s="85">
        <v>10403.1</v>
      </c>
      <c r="M1297" s="85" t="s">
        <v>630</v>
      </c>
      <c r="N1297" s="128">
        <v>33139</v>
      </c>
      <c r="O1297" s="128">
        <f t="shared" si="67"/>
        <v>2386008</v>
      </c>
      <c r="P1297" s="89">
        <v>8331</v>
      </c>
      <c r="Q1297" t="s">
        <v>47</v>
      </c>
      <c r="R1297" s="214" t="s">
        <v>1869</v>
      </c>
      <c r="S1297" s="214" t="s">
        <v>1861</v>
      </c>
      <c r="U1297" t="s">
        <v>1953</v>
      </c>
      <c r="V1297" t="s">
        <v>2813</v>
      </c>
    </row>
    <row r="1298" spans="1:22" ht="15.75" thickBot="1" x14ac:dyDescent="0.3">
      <c r="A1298" t="s">
        <v>1916</v>
      </c>
      <c r="B1298" t="s">
        <v>1916</v>
      </c>
      <c r="C1298" t="s">
        <v>1916</v>
      </c>
      <c r="D1298" t="s">
        <v>629</v>
      </c>
      <c r="E1298" s="248" t="s">
        <v>1853</v>
      </c>
      <c r="F1298" t="s">
        <v>620</v>
      </c>
      <c r="G1298" s="89">
        <v>2021</v>
      </c>
      <c r="H1298" s="312" t="s">
        <v>733</v>
      </c>
      <c r="I1298" s="308" t="str">
        <f t="shared" si="66"/>
        <v>Pesado de Passageiros M3: III : Gasóleo : E6</v>
      </c>
      <c r="J1298" s="125">
        <v>27</v>
      </c>
      <c r="K1298" s="253">
        <v>2022</v>
      </c>
      <c r="L1298" s="85">
        <v>2349.6</v>
      </c>
      <c r="M1298" s="85" t="s">
        <v>630</v>
      </c>
      <c r="N1298" s="128">
        <v>14815</v>
      </c>
      <c r="O1298" s="128">
        <f t="shared" si="67"/>
        <v>400005</v>
      </c>
      <c r="P1298" s="89">
        <v>8332</v>
      </c>
      <c r="Q1298" t="s">
        <v>47</v>
      </c>
      <c r="R1298" s="214" t="s">
        <v>1869</v>
      </c>
      <c r="S1298" s="214" t="s">
        <v>1861</v>
      </c>
      <c r="U1298" t="s">
        <v>1953</v>
      </c>
      <c r="V1298" t="s">
        <v>2813</v>
      </c>
    </row>
    <row r="1299" spans="1:22" ht="15.75" thickBot="1" x14ac:dyDescent="0.3">
      <c r="A1299" t="s">
        <v>1916</v>
      </c>
      <c r="B1299" t="s">
        <v>1916</v>
      </c>
      <c r="C1299" t="s">
        <v>1916</v>
      </c>
      <c r="D1299" t="s">
        <v>629</v>
      </c>
      <c r="E1299" s="248" t="s">
        <v>1853</v>
      </c>
      <c r="F1299" t="s">
        <v>620</v>
      </c>
      <c r="G1299" s="89">
        <v>2008</v>
      </c>
      <c r="H1299" s="312" t="s">
        <v>731</v>
      </c>
      <c r="I1299" s="308" t="str">
        <f t="shared" si="66"/>
        <v>Pesado de Passageiros M3: III : Gasóleo : E4</v>
      </c>
      <c r="J1299" s="125">
        <v>106</v>
      </c>
      <c r="K1299" s="253">
        <v>2022</v>
      </c>
      <c r="L1299" s="85">
        <v>3015.3</v>
      </c>
      <c r="M1299" s="85" t="s">
        <v>630</v>
      </c>
      <c r="N1299" s="128">
        <v>7811</v>
      </c>
      <c r="O1299" s="128">
        <f t="shared" si="67"/>
        <v>827966</v>
      </c>
      <c r="P1299" s="89">
        <v>8333</v>
      </c>
      <c r="Q1299" t="s">
        <v>47</v>
      </c>
      <c r="R1299" s="214" t="s">
        <v>1869</v>
      </c>
      <c r="S1299" s="214" t="s">
        <v>1861</v>
      </c>
      <c r="U1299" t="s">
        <v>1953</v>
      </c>
      <c r="V1299" t="s">
        <v>2813</v>
      </c>
    </row>
    <row r="1300" spans="1:22" ht="15.75" thickBot="1" x14ac:dyDescent="0.3">
      <c r="A1300" t="s">
        <v>1916</v>
      </c>
      <c r="B1300" t="s">
        <v>1916</v>
      </c>
      <c r="C1300" t="s">
        <v>1916</v>
      </c>
      <c r="D1300" t="s">
        <v>629</v>
      </c>
      <c r="E1300" s="248" t="s">
        <v>1853</v>
      </c>
      <c r="F1300" t="s">
        <v>620</v>
      </c>
      <c r="G1300" s="89">
        <v>1989</v>
      </c>
      <c r="H1300" s="312" t="s">
        <v>2230</v>
      </c>
      <c r="I1300" s="308" t="str">
        <f t="shared" si="66"/>
        <v>Pesado de Passageiros M3: III : Gasóleo : E0</v>
      </c>
      <c r="J1300" s="125">
        <v>93</v>
      </c>
      <c r="K1300" s="253">
        <v>2022</v>
      </c>
      <c r="L1300" s="85">
        <v>8498.9000000000015</v>
      </c>
      <c r="M1300" s="85" t="s">
        <v>630</v>
      </c>
      <c r="N1300" s="128">
        <v>22829</v>
      </c>
      <c r="O1300" s="128">
        <f t="shared" si="67"/>
        <v>2123097</v>
      </c>
      <c r="P1300" s="89">
        <v>8334</v>
      </c>
      <c r="Q1300" t="s">
        <v>47</v>
      </c>
      <c r="R1300" s="214" t="s">
        <v>1869</v>
      </c>
      <c r="S1300" s="214" t="s">
        <v>1861</v>
      </c>
      <c r="U1300" t="s">
        <v>1953</v>
      </c>
      <c r="V1300" t="s">
        <v>2813</v>
      </c>
    </row>
    <row r="1301" spans="1:22" ht="15.75" thickBot="1" x14ac:dyDescent="0.3">
      <c r="A1301" t="s">
        <v>1916</v>
      </c>
      <c r="B1301" t="s">
        <v>1916</v>
      </c>
      <c r="C1301" t="s">
        <v>1916</v>
      </c>
      <c r="D1301" t="s">
        <v>629</v>
      </c>
      <c r="E1301" s="248" t="s">
        <v>1853</v>
      </c>
      <c r="F1301" t="s">
        <v>620</v>
      </c>
      <c r="G1301" s="89">
        <v>2001</v>
      </c>
      <c r="H1301" s="312" t="s">
        <v>736</v>
      </c>
      <c r="I1301" s="308" t="str">
        <f t="shared" si="66"/>
        <v>Pesado de Passageiros M3: III : Gasóleo : E1</v>
      </c>
      <c r="J1301" s="125">
        <v>50</v>
      </c>
      <c r="K1301" s="253">
        <v>2022</v>
      </c>
      <c r="L1301" s="85">
        <v>470</v>
      </c>
      <c r="M1301" s="85" t="s">
        <v>630</v>
      </c>
      <c r="N1301" s="128">
        <v>1902</v>
      </c>
      <c r="O1301" s="128">
        <f t="shared" si="67"/>
        <v>95100</v>
      </c>
      <c r="P1301" s="89">
        <v>8335</v>
      </c>
      <c r="Q1301" t="s">
        <v>47</v>
      </c>
      <c r="R1301" s="214" t="s">
        <v>1869</v>
      </c>
      <c r="S1301" s="214" t="s">
        <v>1861</v>
      </c>
      <c r="U1301" t="s">
        <v>1953</v>
      </c>
      <c r="V1301" t="s">
        <v>2813</v>
      </c>
    </row>
    <row r="1302" spans="1:22" ht="15.75" thickBot="1" x14ac:dyDescent="0.3">
      <c r="A1302" t="s">
        <v>1916</v>
      </c>
      <c r="B1302" t="s">
        <v>1916</v>
      </c>
      <c r="C1302" t="s">
        <v>1916</v>
      </c>
      <c r="D1302" t="s">
        <v>629</v>
      </c>
      <c r="E1302" s="248" t="s">
        <v>1853</v>
      </c>
      <c r="F1302" t="s">
        <v>620</v>
      </c>
      <c r="G1302" s="89">
        <v>2004</v>
      </c>
      <c r="H1302" s="312" t="s">
        <v>732</v>
      </c>
      <c r="I1302" s="308" t="str">
        <f t="shared" si="66"/>
        <v>Pesado de Passageiros M3: III : Gasóleo : E3</v>
      </c>
      <c r="J1302" s="125">
        <v>92</v>
      </c>
      <c r="K1302" s="253">
        <v>2022</v>
      </c>
      <c r="L1302" s="85">
        <v>11836</v>
      </c>
      <c r="M1302" s="85" t="s">
        <v>630</v>
      </c>
      <c r="N1302" s="128">
        <v>29002</v>
      </c>
      <c r="O1302" s="128">
        <f t="shared" si="67"/>
        <v>2668184</v>
      </c>
      <c r="P1302" s="89">
        <v>8336</v>
      </c>
      <c r="Q1302" t="s">
        <v>47</v>
      </c>
      <c r="R1302" s="214" t="s">
        <v>1869</v>
      </c>
      <c r="S1302" s="214" t="s">
        <v>1861</v>
      </c>
      <c r="U1302" t="s">
        <v>1953</v>
      </c>
      <c r="V1302" t="s">
        <v>2813</v>
      </c>
    </row>
    <row r="1303" spans="1:22" ht="15.75" thickBot="1" x14ac:dyDescent="0.3">
      <c r="A1303" t="s">
        <v>1916</v>
      </c>
      <c r="B1303" t="s">
        <v>1916</v>
      </c>
      <c r="C1303" t="s">
        <v>1916</v>
      </c>
      <c r="D1303" t="s">
        <v>629</v>
      </c>
      <c r="E1303" s="248" t="s">
        <v>1853</v>
      </c>
      <c r="F1303" t="s">
        <v>620</v>
      </c>
      <c r="G1303" s="89">
        <v>2011</v>
      </c>
      <c r="H1303" s="312" t="s">
        <v>731</v>
      </c>
      <c r="I1303" s="308" t="str">
        <f t="shared" si="66"/>
        <v>Pesado de Passageiros M3: III : Gasóleo : E4</v>
      </c>
      <c r="J1303" s="125">
        <v>70</v>
      </c>
      <c r="K1303" s="253">
        <v>2022</v>
      </c>
      <c r="L1303" s="85">
        <v>4480.0999999999995</v>
      </c>
      <c r="M1303" s="85" t="s">
        <v>630</v>
      </c>
      <c r="N1303" s="128">
        <v>12743</v>
      </c>
      <c r="O1303" s="128">
        <f t="shared" si="67"/>
        <v>892010</v>
      </c>
      <c r="P1303" s="89">
        <v>8337</v>
      </c>
      <c r="Q1303" t="s">
        <v>47</v>
      </c>
      <c r="R1303" s="214" t="s">
        <v>1869</v>
      </c>
      <c r="S1303" s="214" t="s">
        <v>1861</v>
      </c>
      <c r="U1303" t="s">
        <v>1953</v>
      </c>
      <c r="V1303" t="s">
        <v>2813</v>
      </c>
    </row>
    <row r="1304" spans="1:22" ht="15.75" thickBot="1" x14ac:dyDescent="0.3">
      <c r="A1304" t="s">
        <v>1916</v>
      </c>
      <c r="B1304" t="s">
        <v>1916</v>
      </c>
      <c r="C1304" t="s">
        <v>1916</v>
      </c>
      <c r="D1304" t="s">
        <v>629</v>
      </c>
      <c r="E1304" s="248" t="s">
        <v>1853</v>
      </c>
      <c r="F1304" t="s">
        <v>620</v>
      </c>
      <c r="G1304" s="89">
        <v>2010</v>
      </c>
      <c r="H1304" s="312" t="s">
        <v>731</v>
      </c>
      <c r="I1304" s="308" t="str">
        <f t="shared" si="66"/>
        <v>Pesado de Passageiros M3: III : Gasóleo : E4</v>
      </c>
      <c r="J1304" s="125">
        <v>116</v>
      </c>
      <c r="K1304" s="253">
        <v>2022</v>
      </c>
      <c r="L1304" s="85">
        <v>5694.5</v>
      </c>
      <c r="M1304" s="85" t="s">
        <v>630</v>
      </c>
      <c r="N1304" s="128">
        <v>16646</v>
      </c>
      <c r="O1304" s="128">
        <f t="shared" si="67"/>
        <v>1930936</v>
      </c>
      <c r="P1304" s="89">
        <v>8338</v>
      </c>
      <c r="Q1304" t="s">
        <v>47</v>
      </c>
      <c r="R1304" s="214" t="s">
        <v>1869</v>
      </c>
      <c r="S1304" s="214" t="s">
        <v>1861</v>
      </c>
      <c r="U1304" t="s">
        <v>1953</v>
      </c>
      <c r="V1304" t="s">
        <v>2813</v>
      </c>
    </row>
    <row r="1305" spans="1:22" ht="15.75" thickBot="1" x14ac:dyDescent="0.3">
      <c r="A1305" t="s">
        <v>1916</v>
      </c>
      <c r="B1305" t="s">
        <v>1916</v>
      </c>
      <c r="C1305" t="s">
        <v>1916</v>
      </c>
      <c r="D1305" t="s">
        <v>629</v>
      </c>
      <c r="E1305" s="248" t="s">
        <v>1853</v>
      </c>
      <c r="F1305" t="s">
        <v>620</v>
      </c>
      <c r="G1305" s="89">
        <v>2008</v>
      </c>
      <c r="H1305" s="312" t="s">
        <v>731</v>
      </c>
      <c r="I1305" s="308" t="str">
        <f t="shared" si="66"/>
        <v>Pesado de Passageiros M3: III : Gasóleo : E4</v>
      </c>
      <c r="J1305" s="125">
        <v>85</v>
      </c>
      <c r="K1305" s="253">
        <v>2022</v>
      </c>
      <c r="L1305" s="85">
        <v>4119.7</v>
      </c>
      <c r="M1305" s="85" t="s">
        <v>630</v>
      </c>
      <c r="N1305" s="128">
        <v>13432</v>
      </c>
      <c r="O1305" s="128">
        <f t="shared" si="67"/>
        <v>1141720</v>
      </c>
      <c r="P1305" s="89">
        <v>8339</v>
      </c>
      <c r="Q1305" t="s">
        <v>47</v>
      </c>
      <c r="R1305" s="214" t="s">
        <v>1869</v>
      </c>
      <c r="S1305" s="214" t="s">
        <v>1861</v>
      </c>
      <c r="U1305" t="s">
        <v>1953</v>
      </c>
      <c r="V1305" t="s">
        <v>2813</v>
      </c>
    </row>
    <row r="1306" spans="1:22" ht="15.75" thickBot="1" x14ac:dyDescent="0.3">
      <c r="A1306" t="s">
        <v>1916</v>
      </c>
      <c r="B1306" t="s">
        <v>1916</v>
      </c>
      <c r="C1306" t="s">
        <v>1916</v>
      </c>
      <c r="D1306" t="s">
        <v>629</v>
      </c>
      <c r="E1306" s="248" t="s">
        <v>1853</v>
      </c>
      <c r="F1306" t="s">
        <v>620</v>
      </c>
      <c r="G1306" s="89">
        <v>2008</v>
      </c>
      <c r="H1306" s="312" t="s">
        <v>731</v>
      </c>
      <c r="I1306" s="308" t="str">
        <f t="shared" si="66"/>
        <v>Pesado de Passageiros M3: III : Gasóleo : E4</v>
      </c>
      <c r="J1306" s="125">
        <v>57</v>
      </c>
      <c r="K1306" s="253">
        <v>2022</v>
      </c>
      <c r="L1306" s="85">
        <v>0</v>
      </c>
      <c r="M1306" s="85" t="s">
        <v>630</v>
      </c>
      <c r="N1306" s="128">
        <v>0</v>
      </c>
      <c r="O1306" s="128">
        <f t="shared" si="67"/>
        <v>0</v>
      </c>
      <c r="P1306" s="89">
        <v>8340</v>
      </c>
      <c r="Q1306" t="s">
        <v>47</v>
      </c>
      <c r="R1306" s="214" t="s">
        <v>1869</v>
      </c>
      <c r="S1306" s="214" t="s">
        <v>1861</v>
      </c>
      <c r="U1306" t="s">
        <v>1953</v>
      </c>
      <c r="V1306" t="s">
        <v>2813</v>
      </c>
    </row>
    <row r="1307" spans="1:22" ht="15.75" thickBot="1" x14ac:dyDescent="0.3">
      <c r="A1307" t="s">
        <v>1916</v>
      </c>
      <c r="B1307" t="s">
        <v>1916</v>
      </c>
      <c r="C1307" t="s">
        <v>1916</v>
      </c>
      <c r="D1307" t="s">
        <v>629</v>
      </c>
      <c r="E1307" s="248" t="s">
        <v>1853</v>
      </c>
      <c r="F1307" t="s">
        <v>620</v>
      </c>
      <c r="G1307" s="89">
        <v>2005</v>
      </c>
      <c r="H1307" s="312" t="s">
        <v>732</v>
      </c>
      <c r="I1307" s="308" t="str">
        <f t="shared" si="66"/>
        <v>Pesado de Passageiros M3: III : Gasóleo : E3</v>
      </c>
      <c r="J1307" s="125">
        <v>93</v>
      </c>
      <c r="K1307" s="253">
        <v>2022</v>
      </c>
      <c r="L1307" s="85">
        <v>17863.5</v>
      </c>
      <c r="M1307" s="85" t="s">
        <v>630</v>
      </c>
      <c r="N1307" s="128">
        <v>53719</v>
      </c>
      <c r="O1307" s="128">
        <f t="shared" si="67"/>
        <v>4995867</v>
      </c>
      <c r="P1307" s="89">
        <v>8341</v>
      </c>
      <c r="Q1307" t="s">
        <v>47</v>
      </c>
      <c r="R1307" s="214" t="s">
        <v>1869</v>
      </c>
      <c r="S1307" s="214" t="s">
        <v>1861</v>
      </c>
      <c r="U1307" t="s">
        <v>1953</v>
      </c>
      <c r="V1307" t="s">
        <v>2813</v>
      </c>
    </row>
    <row r="1308" spans="1:22" ht="15.75" thickBot="1" x14ac:dyDescent="0.3">
      <c r="A1308" t="s">
        <v>1916</v>
      </c>
      <c r="B1308" t="s">
        <v>1916</v>
      </c>
      <c r="C1308" t="s">
        <v>1916</v>
      </c>
      <c r="D1308" t="s">
        <v>629</v>
      </c>
      <c r="E1308" s="248" t="s">
        <v>1853</v>
      </c>
      <c r="F1308" t="s">
        <v>620</v>
      </c>
      <c r="G1308" s="89">
        <v>1990</v>
      </c>
      <c r="H1308" s="312" t="s">
        <v>2230</v>
      </c>
      <c r="I1308" s="308" t="str">
        <f t="shared" si="66"/>
        <v>Pesado de Passageiros M3: III : Gasóleo : E0</v>
      </c>
      <c r="J1308" s="125">
        <v>93</v>
      </c>
      <c r="K1308" s="253">
        <v>2022</v>
      </c>
      <c r="L1308" s="85">
        <v>7468.5999999999995</v>
      </c>
      <c r="M1308" s="85" t="s">
        <v>630</v>
      </c>
      <c r="N1308" s="128">
        <v>23507</v>
      </c>
      <c r="O1308" s="128">
        <f t="shared" si="67"/>
        <v>2186151</v>
      </c>
      <c r="P1308" s="89">
        <v>8342</v>
      </c>
      <c r="Q1308" t="s">
        <v>47</v>
      </c>
      <c r="R1308" s="214" t="s">
        <v>1869</v>
      </c>
      <c r="S1308" s="214" t="s">
        <v>1861</v>
      </c>
      <c r="U1308" t="s">
        <v>1953</v>
      </c>
      <c r="V1308" t="s">
        <v>2813</v>
      </c>
    </row>
    <row r="1309" spans="1:22" ht="15.75" thickBot="1" x14ac:dyDescent="0.3">
      <c r="A1309" t="s">
        <v>1916</v>
      </c>
      <c r="B1309" t="s">
        <v>1916</v>
      </c>
      <c r="C1309" t="s">
        <v>1916</v>
      </c>
      <c r="D1309" t="s">
        <v>629</v>
      </c>
      <c r="E1309" s="248" t="s">
        <v>1853</v>
      </c>
      <c r="F1309" t="s">
        <v>620</v>
      </c>
      <c r="G1309" s="89">
        <v>2008</v>
      </c>
      <c r="H1309" s="312" t="s">
        <v>731</v>
      </c>
      <c r="I1309" s="308" t="str">
        <f t="shared" si="66"/>
        <v>Pesado de Passageiros M3: III : Gasóleo : E4</v>
      </c>
      <c r="J1309" s="125">
        <v>57</v>
      </c>
      <c r="K1309" s="253">
        <v>2022</v>
      </c>
      <c r="L1309" s="85">
        <v>360.9</v>
      </c>
      <c r="M1309" s="85" t="s">
        <v>630</v>
      </c>
      <c r="N1309" s="128">
        <v>0</v>
      </c>
      <c r="O1309" s="128">
        <f t="shared" si="67"/>
        <v>0</v>
      </c>
      <c r="P1309" s="89">
        <v>8343</v>
      </c>
      <c r="Q1309" t="s">
        <v>47</v>
      </c>
      <c r="R1309" s="214" t="s">
        <v>1869</v>
      </c>
      <c r="S1309" s="214" t="s">
        <v>1861</v>
      </c>
      <c r="U1309" t="s">
        <v>1953</v>
      </c>
      <c r="V1309" t="s">
        <v>2813</v>
      </c>
    </row>
    <row r="1310" spans="1:22" ht="15.75" thickBot="1" x14ac:dyDescent="0.3">
      <c r="A1310" t="s">
        <v>1916</v>
      </c>
      <c r="B1310" t="s">
        <v>1916</v>
      </c>
      <c r="C1310" t="s">
        <v>1916</v>
      </c>
      <c r="D1310" t="s">
        <v>629</v>
      </c>
      <c r="E1310" s="248" t="s">
        <v>1853</v>
      </c>
      <c r="F1310" t="s">
        <v>620</v>
      </c>
      <c r="G1310" s="89">
        <v>2009</v>
      </c>
      <c r="H1310" s="312" t="s">
        <v>731</v>
      </c>
      <c r="I1310" s="308" t="str">
        <f t="shared" si="66"/>
        <v>Pesado de Passageiros M3: III : Gasóleo : E4</v>
      </c>
      <c r="J1310" s="125">
        <v>100</v>
      </c>
      <c r="K1310" s="253">
        <v>2022</v>
      </c>
      <c r="L1310" s="85">
        <v>133.19999999999999</v>
      </c>
      <c r="M1310" s="85" t="s">
        <v>630</v>
      </c>
      <c r="N1310" s="128">
        <v>0</v>
      </c>
      <c r="O1310" s="128">
        <f t="shared" si="67"/>
        <v>0</v>
      </c>
      <c r="P1310" s="89">
        <v>8344</v>
      </c>
      <c r="Q1310" t="s">
        <v>47</v>
      </c>
      <c r="R1310" s="214" t="s">
        <v>1869</v>
      </c>
      <c r="S1310" s="214" t="s">
        <v>1861</v>
      </c>
      <c r="U1310" t="s">
        <v>1953</v>
      </c>
      <c r="V1310" t="s">
        <v>2813</v>
      </c>
    </row>
    <row r="1311" spans="1:22" ht="15.75" thickBot="1" x14ac:dyDescent="0.3">
      <c r="A1311" t="s">
        <v>1916</v>
      </c>
      <c r="B1311" t="s">
        <v>1916</v>
      </c>
      <c r="C1311" t="s">
        <v>1916</v>
      </c>
      <c r="D1311" t="s">
        <v>629</v>
      </c>
      <c r="E1311" s="248" t="s">
        <v>1853</v>
      </c>
      <c r="F1311" t="s">
        <v>620</v>
      </c>
      <c r="G1311" s="89">
        <v>2015</v>
      </c>
      <c r="H1311" s="312" t="s">
        <v>733</v>
      </c>
      <c r="I1311" s="308" t="str">
        <f t="shared" si="66"/>
        <v>Pesado de Passageiros M3: III : Gasóleo : E6</v>
      </c>
      <c r="J1311" s="125">
        <v>22</v>
      </c>
      <c r="K1311" s="253">
        <v>2022</v>
      </c>
      <c r="L1311" s="85">
        <v>157</v>
      </c>
      <c r="M1311" s="85" t="s">
        <v>630</v>
      </c>
      <c r="N1311" s="128">
        <v>56</v>
      </c>
      <c r="O1311" s="128">
        <f t="shared" si="67"/>
        <v>1232</v>
      </c>
      <c r="P1311" s="89">
        <v>8345</v>
      </c>
      <c r="Q1311" t="s">
        <v>47</v>
      </c>
      <c r="R1311" s="214" t="s">
        <v>1869</v>
      </c>
      <c r="S1311" s="214" t="s">
        <v>1861</v>
      </c>
      <c r="U1311" t="s">
        <v>1953</v>
      </c>
      <c r="V1311" t="s">
        <v>2813</v>
      </c>
    </row>
    <row r="1312" spans="1:22" ht="15.75" thickBot="1" x14ac:dyDescent="0.3">
      <c r="A1312" t="s">
        <v>1916</v>
      </c>
      <c r="B1312" t="s">
        <v>1916</v>
      </c>
      <c r="C1312" t="s">
        <v>1916</v>
      </c>
      <c r="D1312" t="s">
        <v>629</v>
      </c>
      <c r="E1312" s="248" t="s">
        <v>1853</v>
      </c>
      <c r="F1312" t="s">
        <v>620</v>
      </c>
      <c r="G1312" s="89">
        <v>2009</v>
      </c>
      <c r="H1312" s="312" t="s">
        <v>731</v>
      </c>
      <c r="I1312" s="308" t="str">
        <f t="shared" si="66"/>
        <v>Pesado de Passageiros M3: III : Gasóleo : E4</v>
      </c>
      <c r="J1312" s="125">
        <v>100</v>
      </c>
      <c r="K1312" s="253">
        <v>2022</v>
      </c>
      <c r="L1312" s="85">
        <v>2530.1</v>
      </c>
      <c r="M1312" s="85" t="s">
        <v>630</v>
      </c>
      <c r="N1312" s="128">
        <v>6889</v>
      </c>
      <c r="O1312" s="128">
        <f t="shared" si="67"/>
        <v>688900</v>
      </c>
      <c r="P1312" s="89">
        <v>8347</v>
      </c>
      <c r="Q1312" t="s">
        <v>47</v>
      </c>
      <c r="R1312" s="214" t="s">
        <v>1869</v>
      </c>
      <c r="S1312" s="214" t="s">
        <v>1861</v>
      </c>
      <c r="U1312" t="s">
        <v>1953</v>
      </c>
      <c r="V1312" t="s">
        <v>2813</v>
      </c>
    </row>
    <row r="1313" spans="1:22" ht="15.75" thickBot="1" x14ac:dyDescent="0.3">
      <c r="A1313" t="s">
        <v>1916</v>
      </c>
      <c r="B1313" t="s">
        <v>1916</v>
      </c>
      <c r="C1313" t="s">
        <v>1916</v>
      </c>
      <c r="D1313" t="s">
        <v>629</v>
      </c>
      <c r="E1313" s="248" t="s">
        <v>1853</v>
      </c>
      <c r="F1313" t="s">
        <v>620</v>
      </c>
      <c r="G1313" s="89">
        <v>2004</v>
      </c>
      <c r="H1313" s="312" t="s">
        <v>732</v>
      </c>
      <c r="I1313" s="308" t="str">
        <f t="shared" si="66"/>
        <v>Pesado de Passageiros M3: III : Gasóleo : E3</v>
      </c>
      <c r="J1313" s="125">
        <v>106</v>
      </c>
      <c r="K1313" s="253">
        <v>2022</v>
      </c>
      <c r="L1313" s="85">
        <v>13265.7</v>
      </c>
      <c r="M1313" s="85" t="s">
        <v>630</v>
      </c>
      <c r="N1313" s="128">
        <v>31058</v>
      </c>
      <c r="O1313" s="128">
        <f t="shared" si="67"/>
        <v>3292148</v>
      </c>
      <c r="P1313" s="89">
        <v>8348</v>
      </c>
      <c r="Q1313" t="s">
        <v>47</v>
      </c>
      <c r="R1313" s="214" t="s">
        <v>1869</v>
      </c>
      <c r="S1313" s="214" t="s">
        <v>1861</v>
      </c>
      <c r="U1313" t="s">
        <v>1953</v>
      </c>
      <c r="V1313" t="s">
        <v>2813</v>
      </c>
    </row>
    <row r="1314" spans="1:22" ht="15.75" thickBot="1" x14ac:dyDescent="0.3">
      <c r="A1314" t="s">
        <v>1916</v>
      </c>
      <c r="B1314" t="s">
        <v>1916</v>
      </c>
      <c r="C1314" t="s">
        <v>1916</v>
      </c>
      <c r="D1314" t="s">
        <v>629</v>
      </c>
      <c r="E1314" s="248" t="s">
        <v>1853</v>
      </c>
      <c r="F1314" t="s">
        <v>620</v>
      </c>
      <c r="G1314" s="89">
        <v>2009</v>
      </c>
      <c r="H1314" s="312" t="s">
        <v>731</v>
      </c>
      <c r="I1314" s="308" t="str">
        <f t="shared" si="66"/>
        <v>Pesado de Passageiros M3: III : Gasóleo : E4</v>
      </c>
      <c r="J1314" s="125">
        <v>100</v>
      </c>
      <c r="K1314" s="253">
        <v>2022</v>
      </c>
      <c r="L1314" s="85">
        <v>0</v>
      </c>
      <c r="M1314" s="85" t="s">
        <v>630</v>
      </c>
      <c r="N1314" s="128">
        <v>0</v>
      </c>
      <c r="O1314" s="128">
        <f t="shared" si="67"/>
        <v>0</v>
      </c>
      <c r="P1314" s="89">
        <v>8349</v>
      </c>
      <c r="Q1314" t="s">
        <v>47</v>
      </c>
      <c r="R1314" s="214" t="s">
        <v>1869</v>
      </c>
      <c r="S1314" s="214" t="s">
        <v>1861</v>
      </c>
      <c r="U1314" t="s">
        <v>1953</v>
      </c>
      <c r="V1314" t="s">
        <v>2813</v>
      </c>
    </row>
    <row r="1315" spans="1:22" ht="15.75" thickBot="1" x14ac:dyDescent="0.3">
      <c r="A1315" t="s">
        <v>1916</v>
      </c>
      <c r="B1315" t="s">
        <v>1916</v>
      </c>
      <c r="C1315" t="s">
        <v>1916</v>
      </c>
      <c r="D1315" t="s">
        <v>629</v>
      </c>
      <c r="E1315" s="248" t="s">
        <v>1853</v>
      </c>
      <c r="F1315" t="s">
        <v>620</v>
      </c>
      <c r="G1315" s="89">
        <v>2003</v>
      </c>
      <c r="H1315" s="312" t="s">
        <v>732</v>
      </c>
      <c r="I1315" s="308" t="str">
        <f t="shared" si="66"/>
        <v>Pesado de Passageiros M3: III : Gasóleo : E3</v>
      </c>
      <c r="J1315" s="125">
        <v>72</v>
      </c>
      <c r="K1315" s="253">
        <v>2022</v>
      </c>
      <c r="L1315" s="85">
        <v>19474.899999999998</v>
      </c>
      <c r="M1315" s="85" t="s">
        <v>630</v>
      </c>
      <c r="N1315" s="128">
        <v>65766</v>
      </c>
      <c r="O1315" s="128">
        <f t="shared" si="67"/>
        <v>4735152</v>
      </c>
      <c r="P1315" s="89">
        <v>8350</v>
      </c>
      <c r="Q1315" t="s">
        <v>47</v>
      </c>
      <c r="R1315" s="214" t="s">
        <v>1869</v>
      </c>
      <c r="S1315" s="214" t="s">
        <v>1861</v>
      </c>
      <c r="U1315" t="s">
        <v>1953</v>
      </c>
      <c r="V1315" t="s">
        <v>2813</v>
      </c>
    </row>
    <row r="1316" spans="1:22" ht="15.75" thickBot="1" x14ac:dyDescent="0.3">
      <c r="A1316" t="s">
        <v>1916</v>
      </c>
      <c r="B1316" t="s">
        <v>1916</v>
      </c>
      <c r="C1316" t="s">
        <v>1916</v>
      </c>
      <c r="D1316" t="s">
        <v>629</v>
      </c>
      <c r="E1316" s="248" t="s">
        <v>1853</v>
      </c>
      <c r="F1316" t="s">
        <v>620</v>
      </c>
      <c r="G1316" s="89">
        <v>2008</v>
      </c>
      <c r="H1316" s="312" t="s">
        <v>731</v>
      </c>
      <c r="I1316" s="308" t="str">
        <f t="shared" si="66"/>
        <v>Pesado de Passageiros M3: III : Gasóleo : E4</v>
      </c>
      <c r="J1316" s="125">
        <v>83</v>
      </c>
      <c r="K1316" s="253">
        <v>2022</v>
      </c>
      <c r="L1316" s="85">
        <v>19423.3</v>
      </c>
      <c r="M1316" s="85" t="s">
        <v>630</v>
      </c>
      <c r="N1316" s="128">
        <v>61024</v>
      </c>
      <c r="O1316" s="128">
        <f t="shared" si="67"/>
        <v>5064992</v>
      </c>
      <c r="P1316" s="89">
        <v>8351</v>
      </c>
      <c r="Q1316" t="s">
        <v>47</v>
      </c>
      <c r="R1316" s="214" t="s">
        <v>1869</v>
      </c>
      <c r="S1316" s="214" t="s">
        <v>1861</v>
      </c>
      <c r="U1316" t="s">
        <v>1953</v>
      </c>
      <c r="V1316" t="s">
        <v>2813</v>
      </c>
    </row>
    <row r="1317" spans="1:22" ht="15.75" thickBot="1" x14ac:dyDescent="0.3">
      <c r="A1317" t="s">
        <v>1916</v>
      </c>
      <c r="B1317" t="s">
        <v>1916</v>
      </c>
      <c r="C1317" t="s">
        <v>1916</v>
      </c>
      <c r="D1317" t="s">
        <v>629</v>
      </c>
      <c r="E1317" s="248" t="s">
        <v>1853</v>
      </c>
      <c r="F1317" t="s">
        <v>620</v>
      </c>
      <c r="G1317" s="89">
        <v>2009</v>
      </c>
      <c r="H1317" s="312" t="s">
        <v>731</v>
      </c>
      <c r="I1317" s="308" t="str">
        <f t="shared" si="66"/>
        <v>Pesado de Passageiros M3: III : Gasóleo : E4</v>
      </c>
      <c r="J1317" s="125">
        <v>100</v>
      </c>
      <c r="K1317" s="253">
        <v>2022</v>
      </c>
      <c r="L1317" s="85">
        <v>3481.9</v>
      </c>
      <c r="M1317" s="85" t="s">
        <v>630</v>
      </c>
      <c r="N1317" s="128">
        <v>7366</v>
      </c>
      <c r="O1317" s="128">
        <f t="shared" si="67"/>
        <v>736600</v>
      </c>
      <c r="P1317" s="89">
        <v>8352</v>
      </c>
      <c r="Q1317" t="s">
        <v>47</v>
      </c>
      <c r="R1317" s="214" t="s">
        <v>1869</v>
      </c>
      <c r="S1317" s="214" t="s">
        <v>1861</v>
      </c>
      <c r="U1317" t="s">
        <v>1953</v>
      </c>
      <c r="V1317" t="s">
        <v>2813</v>
      </c>
    </row>
    <row r="1318" spans="1:22" ht="15.75" thickBot="1" x14ac:dyDescent="0.3">
      <c r="A1318" t="s">
        <v>1916</v>
      </c>
      <c r="B1318" t="s">
        <v>1916</v>
      </c>
      <c r="C1318" t="s">
        <v>1916</v>
      </c>
      <c r="D1318" t="s">
        <v>629</v>
      </c>
      <c r="E1318" s="248" t="s">
        <v>1853</v>
      </c>
      <c r="F1318" t="s">
        <v>620</v>
      </c>
      <c r="G1318" s="89">
        <v>2009</v>
      </c>
      <c r="H1318" s="312" t="s">
        <v>731</v>
      </c>
      <c r="I1318" s="308" t="str">
        <f t="shared" si="66"/>
        <v>Pesado de Passageiros M3: III : Gasóleo : E4</v>
      </c>
      <c r="J1318" s="125">
        <v>21</v>
      </c>
      <c r="K1318" s="253">
        <v>2022</v>
      </c>
      <c r="L1318" s="85">
        <v>3617.1000000000004</v>
      </c>
      <c r="M1318" s="85" t="s">
        <v>630</v>
      </c>
      <c r="N1318" s="128">
        <v>22804</v>
      </c>
      <c r="O1318" s="128">
        <f t="shared" si="67"/>
        <v>478884</v>
      </c>
      <c r="P1318" s="89">
        <v>8353</v>
      </c>
      <c r="Q1318" t="s">
        <v>47</v>
      </c>
      <c r="R1318" s="214" t="s">
        <v>1869</v>
      </c>
      <c r="S1318" s="214" t="s">
        <v>1861</v>
      </c>
      <c r="U1318" t="s">
        <v>1953</v>
      </c>
      <c r="V1318" t="s">
        <v>2813</v>
      </c>
    </row>
    <row r="1319" spans="1:22" ht="15.75" thickBot="1" x14ac:dyDescent="0.3">
      <c r="A1319" t="s">
        <v>1916</v>
      </c>
      <c r="B1319" t="s">
        <v>1916</v>
      </c>
      <c r="C1319" t="s">
        <v>1916</v>
      </c>
      <c r="D1319" t="s">
        <v>629</v>
      </c>
      <c r="E1319" s="248" t="s">
        <v>1853</v>
      </c>
      <c r="F1319" t="s">
        <v>620</v>
      </c>
      <c r="G1319" s="89">
        <v>1989</v>
      </c>
      <c r="H1319" s="312" t="s">
        <v>2230</v>
      </c>
      <c r="I1319" s="308" t="str">
        <f t="shared" si="66"/>
        <v>Pesado de Passageiros M3: III : Gasóleo : E0</v>
      </c>
      <c r="J1319" s="125">
        <v>80</v>
      </c>
      <c r="K1319" s="253">
        <v>2022</v>
      </c>
      <c r="L1319" s="85">
        <v>110.4</v>
      </c>
      <c r="M1319" s="85" t="s">
        <v>630</v>
      </c>
      <c r="N1319" s="128">
        <v>0</v>
      </c>
      <c r="O1319" s="128">
        <f t="shared" si="67"/>
        <v>0</v>
      </c>
      <c r="P1319" s="89">
        <v>8354</v>
      </c>
      <c r="Q1319" t="s">
        <v>47</v>
      </c>
      <c r="R1319" s="214" t="s">
        <v>1869</v>
      </c>
      <c r="S1319" s="214" t="s">
        <v>1861</v>
      </c>
      <c r="U1319" t="s">
        <v>1953</v>
      </c>
      <c r="V1319" t="s">
        <v>2813</v>
      </c>
    </row>
    <row r="1320" spans="1:22" ht="15.75" thickBot="1" x14ac:dyDescent="0.3">
      <c r="A1320" t="s">
        <v>1916</v>
      </c>
      <c r="B1320" t="s">
        <v>1916</v>
      </c>
      <c r="C1320" t="s">
        <v>1916</v>
      </c>
      <c r="D1320" t="s">
        <v>629</v>
      </c>
      <c r="E1320" s="248" t="s">
        <v>1853</v>
      </c>
      <c r="F1320" t="s">
        <v>620</v>
      </c>
      <c r="G1320" s="89">
        <v>2002</v>
      </c>
      <c r="H1320" s="312" t="s">
        <v>732</v>
      </c>
      <c r="I1320" s="308" t="str">
        <f t="shared" si="66"/>
        <v>Pesado de Passageiros M3: III : Gasóleo : E3</v>
      </c>
      <c r="J1320" s="125">
        <v>76</v>
      </c>
      <c r="K1320" s="253">
        <v>2022</v>
      </c>
      <c r="L1320" s="85">
        <v>15269.800000000001</v>
      </c>
      <c r="M1320" s="85" t="s">
        <v>630</v>
      </c>
      <c r="N1320" s="128">
        <v>52351</v>
      </c>
      <c r="O1320" s="128">
        <f t="shared" si="67"/>
        <v>3978676</v>
      </c>
      <c r="P1320" s="89">
        <v>8355</v>
      </c>
      <c r="Q1320" t="s">
        <v>47</v>
      </c>
      <c r="R1320" s="214" t="s">
        <v>1869</v>
      </c>
      <c r="S1320" s="214" t="s">
        <v>1861</v>
      </c>
      <c r="U1320" t="s">
        <v>1953</v>
      </c>
      <c r="V1320" t="s">
        <v>2813</v>
      </c>
    </row>
    <row r="1321" spans="1:22" ht="15.75" thickBot="1" x14ac:dyDescent="0.3">
      <c r="A1321" t="s">
        <v>1916</v>
      </c>
      <c r="B1321" t="s">
        <v>1916</v>
      </c>
      <c r="C1321" t="s">
        <v>1916</v>
      </c>
      <c r="D1321" t="s">
        <v>629</v>
      </c>
      <c r="E1321" s="248" t="s">
        <v>1853</v>
      </c>
      <c r="F1321" t="s">
        <v>620</v>
      </c>
      <c r="G1321" s="89">
        <v>1991</v>
      </c>
      <c r="H1321" s="312" t="s">
        <v>2230</v>
      </c>
      <c r="I1321" s="308" t="str">
        <f t="shared" si="66"/>
        <v>Pesado de Passageiros M3: III : Gasóleo : E0</v>
      </c>
      <c r="J1321" s="125">
        <v>70</v>
      </c>
      <c r="K1321" s="253">
        <v>2022</v>
      </c>
      <c r="L1321" s="85">
        <v>6970.9</v>
      </c>
      <c r="M1321" s="85" t="s">
        <v>630</v>
      </c>
      <c r="N1321" s="128">
        <v>22151</v>
      </c>
      <c r="O1321" s="128">
        <f t="shared" si="67"/>
        <v>1550570</v>
      </c>
      <c r="P1321" s="89">
        <v>8356</v>
      </c>
      <c r="Q1321" t="s">
        <v>47</v>
      </c>
      <c r="R1321" s="214" t="s">
        <v>1869</v>
      </c>
      <c r="S1321" s="214" t="s">
        <v>1861</v>
      </c>
      <c r="U1321" t="s">
        <v>1953</v>
      </c>
      <c r="V1321" t="s">
        <v>2813</v>
      </c>
    </row>
    <row r="1322" spans="1:22" ht="15.75" thickBot="1" x14ac:dyDescent="0.3">
      <c r="A1322" t="s">
        <v>1916</v>
      </c>
      <c r="B1322" t="s">
        <v>1916</v>
      </c>
      <c r="C1322" t="s">
        <v>1916</v>
      </c>
      <c r="D1322" t="s">
        <v>629</v>
      </c>
      <c r="E1322" s="248" t="s">
        <v>1853</v>
      </c>
      <c r="F1322" t="s">
        <v>620</v>
      </c>
      <c r="G1322" s="89">
        <v>2005</v>
      </c>
      <c r="H1322" s="312" t="s">
        <v>732</v>
      </c>
      <c r="I1322" s="308" t="str">
        <f t="shared" si="66"/>
        <v>Pesado de Passageiros M3: III : Gasóleo : E3</v>
      </c>
      <c r="J1322" s="125">
        <v>73</v>
      </c>
      <c r="K1322" s="253">
        <v>2022</v>
      </c>
      <c r="L1322" s="85">
        <v>13790</v>
      </c>
      <c r="M1322" s="85" t="s">
        <v>630</v>
      </c>
      <c r="N1322" s="128">
        <v>47614</v>
      </c>
      <c r="O1322" s="128">
        <f t="shared" si="67"/>
        <v>3475822</v>
      </c>
      <c r="P1322" s="89">
        <v>8357</v>
      </c>
      <c r="Q1322" t="s">
        <v>47</v>
      </c>
      <c r="R1322" s="214" t="s">
        <v>1869</v>
      </c>
      <c r="S1322" s="214" t="s">
        <v>1861</v>
      </c>
      <c r="U1322" t="s">
        <v>1953</v>
      </c>
      <c r="V1322" t="s">
        <v>2813</v>
      </c>
    </row>
    <row r="1323" spans="1:22" ht="15.75" thickBot="1" x14ac:dyDescent="0.3">
      <c r="A1323" t="s">
        <v>1916</v>
      </c>
      <c r="B1323" t="s">
        <v>1916</v>
      </c>
      <c r="C1323" t="s">
        <v>1916</v>
      </c>
      <c r="D1323" t="s">
        <v>629</v>
      </c>
      <c r="E1323" s="248" t="s">
        <v>1853</v>
      </c>
      <c r="F1323" t="s">
        <v>620</v>
      </c>
      <c r="G1323" s="89">
        <v>2003</v>
      </c>
      <c r="H1323" s="312" t="s">
        <v>732</v>
      </c>
      <c r="I1323" s="308" t="str">
        <f t="shared" si="66"/>
        <v>Pesado de Passageiros M3: III : Gasóleo : E3</v>
      </c>
      <c r="J1323" s="125">
        <v>72</v>
      </c>
      <c r="K1323" s="253">
        <v>2022</v>
      </c>
      <c r="L1323" s="85">
        <v>15945.8</v>
      </c>
      <c r="M1323" s="85" t="s">
        <v>630</v>
      </c>
      <c r="N1323" s="128">
        <v>63433</v>
      </c>
      <c r="O1323" s="128">
        <f t="shared" si="67"/>
        <v>4567176</v>
      </c>
      <c r="P1323" s="89">
        <v>8358</v>
      </c>
      <c r="Q1323" t="s">
        <v>47</v>
      </c>
      <c r="R1323" s="214" t="s">
        <v>1869</v>
      </c>
      <c r="S1323" s="214" t="s">
        <v>1861</v>
      </c>
      <c r="U1323" t="s">
        <v>1953</v>
      </c>
      <c r="V1323" t="s">
        <v>2813</v>
      </c>
    </row>
    <row r="1324" spans="1:22" ht="15.75" thickBot="1" x14ac:dyDescent="0.3">
      <c r="A1324" t="s">
        <v>1916</v>
      </c>
      <c r="B1324" t="s">
        <v>1916</v>
      </c>
      <c r="C1324" t="s">
        <v>1916</v>
      </c>
      <c r="D1324" t="s">
        <v>629</v>
      </c>
      <c r="E1324" s="248" t="s">
        <v>1853</v>
      </c>
      <c r="F1324" t="s">
        <v>620</v>
      </c>
      <c r="G1324" s="89">
        <v>2001</v>
      </c>
      <c r="H1324" s="312" t="s">
        <v>735</v>
      </c>
      <c r="I1324" s="308" t="str">
        <f t="shared" si="66"/>
        <v>Pesado de Passageiros M3: III : Gasóleo : E2</v>
      </c>
      <c r="J1324" s="125">
        <v>51</v>
      </c>
      <c r="K1324" s="253">
        <v>2022</v>
      </c>
      <c r="L1324" s="85">
        <v>11010.7</v>
      </c>
      <c r="M1324" s="85" t="s">
        <v>630</v>
      </c>
      <c r="N1324" s="128">
        <v>27088</v>
      </c>
      <c r="O1324" s="128">
        <f t="shared" si="67"/>
        <v>1381488</v>
      </c>
      <c r="P1324" s="89">
        <v>8359</v>
      </c>
      <c r="Q1324" t="s">
        <v>47</v>
      </c>
      <c r="R1324" s="214" t="s">
        <v>1869</v>
      </c>
      <c r="S1324" s="214" t="s">
        <v>1861</v>
      </c>
      <c r="U1324" t="s">
        <v>1953</v>
      </c>
      <c r="V1324" t="s">
        <v>2813</v>
      </c>
    </row>
    <row r="1325" spans="1:22" ht="15.75" thickBot="1" x14ac:dyDescent="0.3">
      <c r="A1325" t="s">
        <v>1916</v>
      </c>
      <c r="B1325" t="s">
        <v>1916</v>
      </c>
      <c r="C1325" t="s">
        <v>1916</v>
      </c>
      <c r="D1325" t="s">
        <v>629</v>
      </c>
      <c r="E1325" s="248" t="s">
        <v>1853</v>
      </c>
      <c r="F1325" t="s">
        <v>620</v>
      </c>
      <c r="G1325" s="89">
        <v>2009</v>
      </c>
      <c r="H1325" s="312" t="s">
        <v>734</v>
      </c>
      <c r="I1325" s="308" t="str">
        <f t="shared" si="66"/>
        <v>Pesado de Passageiros M3: III : Gasóleo : E5</v>
      </c>
      <c r="J1325" s="125">
        <v>85</v>
      </c>
      <c r="K1325" s="253">
        <v>2022</v>
      </c>
      <c r="L1325" s="85">
        <v>15479.400000000003</v>
      </c>
      <c r="M1325" s="85" t="s">
        <v>630</v>
      </c>
      <c r="N1325" s="128">
        <v>50338</v>
      </c>
      <c r="O1325" s="128">
        <f t="shared" si="67"/>
        <v>4278730</v>
      </c>
      <c r="P1325" s="89">
        <v>8360</v>
      </c>
      <c r="Q1325" t="s">
        <v>47</v>
      </c>
      <c r="R1325" s="214" t="s">
        <v>1869</v>
      </c>
      <c r="S1325" s="214" t="s">
        <v>1861</v>
      </c>
      <c r="U1325" t="s">
        <v>1953</v>
      </c>
      <c r="V1325" t="s">
        <v>2813</v>
      </c>
    </row>
    <row r="1326" spans="1:22" ht="15.75" thickBot="1" x14ac:dyDescent="0.3">
      <c r="A1326" t="s">
        <v>1916</v>
      </c>
      <c r="B1326" t="s">
        <v>1916</v>
      </c>
      <c r="C1326" t="s">
        <v>1916</v>
      </c>
      <c r="D1326" t="s">
        <v>629</v>
      </c>
      <c r="E1326" s="248" t="s">
        <v>1853</v>
      </c>
      <c r="F1326" t="s">
        <v>620</v>
      </c>
      <c r="G1326" s="89">
        <v>2009</v>
      </c>
      <c r="H1326" s="312" t="s">
        <v>731</v>
      </c>
      <c r="I1326" s="308" t="str">
        <f t="shared" si="66"/>
        <v>Pesado de Passageiros M3: III : Gasóleo : E4</v>
      </c>
      <c r="J1326" s="125">
        <v>84</v>
      </c>
      <c r="K1326" s="253">
        <v>2022</v>
      </c>
      <c r="L1326" s="85">
        <v>17679.399999999998</v>
      </c>
      <c r="M1326" s="85" t="s">
        <v>630</v>
      </c>
      <c r="N1326" s="128">
        <v>53622</v>
      </c>
      <c r="O1326" s="128">
        <f t="shared" si="67"/>
        <v>4504248</v>
      </c>
      <c r="P1326" s="89">
        <v>8361</v>
      </c>
      <c r="Q1326" t="s">
        <v>47</v>
      </c>
      <c r="R1326" s="214" t="s">
        <v>1869</v>
      </c>
      <c r="S1326" s="214" t="s">
        <v>1861</v>
      </c>
      <c r="U1326" t="s">
        <v>1953</v>
      </c>
      <c r="V1326" t="s">
        <v>2813</v>
      </c>
    </row>
    <row r="1327" spans="1:22" ht="15.75" thickBot="1" x14ac:dyDescent="0.3">
      <c r="A1327" t="s">
        <v>1916</v>
      </c>
      <c r="B1327" t="s">
        <v>1916</v>
      </c>
      <c r="C1327" t="s">
        <v>1916</v>
      </c>
      <c r="D1327" t="s">
        <v>629</v>
      </c>
      <c r="E1327" s="248" t="s">
        <v>1853</v>
      </c>
      <c r="F1327" t="s">
        <v>620</v>
      </c>
      <c r="G1327" s="89">
        <v>2006</v>
      </c>
      <c r="H1327" s="312" t="s">
        <v>732</v>
      </c>
      <c r="I1327" s="308" t="str">
        <f t="shared" si="66"/>
        <v>Pesado de Passageiros M3: III : Gasóleo : E3</v>
      </c>
      <c r="J1327" s="125">
        <v>72</v>
      </c>
      <c r="K1327" s="253">
        <v>2022</v>
      </c>
      <c r="L1327" s="85">
        <v>15973.7</v>
      </c>
      <c r="M1327" s="85" t="s">
        <v>630</v>
      </c>
      <c r="N1327" s="128">
        <v>50270</v>
      </c>
      <c r="O1327" s="128">
        <f t="shared" si="67"/>
        <v>3619440</v>
      </c>
      <c r="P1327" s="89">
        <v>8362</v>
      </c>
      <c r="Q1327" t="s">
        <v>47</v>
      </c>
      <c r="R1327" s="214" t="s">
        <v>1869</v>
      </c>
      <c r="S1327" s="214" t="s">
        <v>1861</v>
      </c>
      <c r="U1327" t="s">
        <v>1953</v>
      </c>
      <c r="V1327" t="s">
        <v>2813</v>
      </c>
    </row>
    <row r="1328" spans="1:22" ht="15.75" thickBot="1" x14ac:dyDescent="0.3">
      <c r="A1328" t="s">
        <v>1916</v>
      </c>
      <c r="B1328" t="s">
        <v>1916</v>
      </c>
      <c r="C1328" t="s">
        <v>1916</v>
      </c>
      <c r="D1328" t="s">
        <v>629</v>
      </c>
      <c r="E1328" s="248" t="s">
        <v>1853</v>
      </c>
      <c r="F1328" t="s">
        <v>620</v>
      </c>
      <c r="G1328" s="89">
        <v>2018</v>
      </c>
      <c r="H1328" s="312" t="s">
        <v>733</v>
      </c>
      <c r="I1328" s="308" t="str">
        <f t="shared" si="66"/>
        <v>Pesado de Passageiros M3: III : Gasóleo : E6</v>
      </c>
      <c r="J1328" s="125">
        <v>30</v>
      </c>
      <c r="K1328" s="253">
        <v>2022</v>
      </c>
      <c r="L1328" s="85">
        <v>7487.2999999999993</v>
      </c>
      <c r="M1328" s="85" t="s">
        <v>630</v>
      </c>
      <c r="N1328" s="128">
        <v>43136</v>
      </c>
      <c r="O1328" s="128">
        <f t="shared" si="67"/>
        <v>1294080</v>
      </c>
      <c r="P1328" s="89">
        <v>8363</v>
      </c>
      <c r="Q1328" t="s">
        <v>47</v>
      </c>
      <c r="R1328" s="214" t="s">
        <v>1869</v>
      </c>
      <c r="S1328" s="214" t="s">
        <v>1861</v>
      </c>
      <c r="U1328" t="s">
        <v>1953</v>
      </c>
      <c r="V1328" t="s">
        <v>2813</v>
      </c>
    </row>
    <row r="1329" spans="1:22" ht="15.75" thickBot="1" x14ac:dyDescent="0.3">
      <c r="A1329" t="s">
        <v>1916</v>
      </c>
      <c r="B1329" t="s">
        <v>1916</v>
      </c>
      <c r="C1329" t="s">
        <v>1916</v>
      </c>
      <c r="D1329" t="s">
        <v>629</v>
      </c>
      <c r="E1329" s="248" t="s">
        <v>1853</v>
      </c>
      <c r="F1329" t="s">
        <v>620</v>
      </c>
      <c r="G1329" s="89">
        <v>2008</v>
      </c>
      <c r="H1329" s="312" t="s">
        <v>731</v>
      </c>
      <c r="I1329" s="308" t="str">
        <f t="shared" si="66"/>
        <v>Pesado de Passageiros M3: III : Gasóleo : E4</v>
      </c>
      <c r="J1329" s="125">
        <v>75</v>
      </c>
      <c r="K1329" s="253">
        <v>2022</v>
      </c>
      <c r="L1329" s="85">
        <v>0</v>
      </c>
      <c r="M1329" s="85" t="s">
        <v>630</v>
      </c>
      <c r="N1329" s="128">
        <v>0</v>
      </c>
      <c r="O1329" s="128">
        <f t="shared" si="67"/>
        <v>0</v>
      </c>
      <c r="P1329" s="89">
        <v>8364</v>
      </c>
      <c r="Q1329" t="s">
        <v>47</v>
      </c>
      <c r="R1329" s="214" t="s">
        <v>1869</v>
      </c>
      <c r="S1329" s="214" t="s">
        <v>1861</v>
      </c>
      <c r="U1329" t="s">
        <v>1953</v>
      </c>
      <c r="V1329" t="s">
        <v>2813</v>
      </c>
    </row>
    <row r="1330" spans="1:22" ht="15.75" thickBot="1" x14ac:dyDescent="0.3">
      <c r="A1330" t="s">
        <v>1916</v>
      </c>
      <c r="B1330" t="s">
        <v>1916</v>
      </c>
      <c r="C1330" t="s">
        <v>1916</v>
      </c>
      <c r="D1330" t="s">
        <v>629</v>
      </c>
      <c r="E1330" s="248" t="s">
        <v>1853</v>
      </c>
      <c r="F1330" t="s">
        <v>620</v>
      </c>
      <c r="G1330" s="89">
        <v>2007</v>
      </c>
      <c r="H1330" s="312" t="s">
        <v>731</v>
      </c>
      <c r="I1330" s="308" t="str">
        <f t="shared" si="66"/>
        <v>Pesado de Passageiros M3: III : Gasóleo : E4</v>
      </c>
      <c r="J1330" s="125">
        <v>121</v>
      </c>
      <c r="K1330" s="253">
        <v>2022</v>
      </c>
      <c r="L1330" s="85">
        <v>11624.8</v>
      </c>
      <c r="M1330" s="85" t="s">
        <v>630</v>
      </c>
      <c r="N1330" s="128">
        <v>32121</v>
      </c>
      <c r="O1330" s="128">
        <f t="shared" si="67"/>
        <v>3886641</v>
      </c>
      <c r="P1330" s="89">
        <v>8365</v>
      </c>
      <c r="Q1330" t="s">
        <v>47</v>
      </c>
      <c r="R1330" s="214" t="s">
        <v>1869</v>
      </c>
      <c r="S1330" s="214" t="s">
        <v>1861</v>
      </c>
      <c r="U1330" t="s">
        <v>1953</v>
      </c>
      <c r="V1330" t="s">
        <v>2813</v>
      </c>
    </row>
    <row r="1331" spans="1:22" ht="15.75" thickBot="1" x14ac:dyDescent="0.3">
      <c r="A1331" t="s">
        <v>1916</v>
      </c>
      <c r="B1331" t="s">
        <v>1916</v>
      </c>
      <c r="C1331" t="s">
        <v>1916</v>
      </c>
      <c r="D1331" t="s">
        <v>629</v>
      </c>
      <c r="E1331" s="248" t="s">
        <v>1853</v>
      </c>
      <c r="F1331" t="s">
        <v>620</v>
      </c>
      <c r="G1331" s="89">
        <v>2019</v>
      </c>
      <c r="H1331" s="312" t="s">
        <v>733</v>
      </c>
      <c r="I1331" s="308" t="str">
        <f t="shared" si="66"/>
        <v>Pesado de Passageiros M3: III : Gasóleo : E6</v>
      </c>
      <c r="J1331" s="125">
        <v>53</v>
      </c>
      <c r="K1331" s="253">
        <v>2022</v>
      </c>
      <c r="L1331" s="85">
        <v>7776.9000000000015</v>
      </c>
      <c r="M1331" s="85" t="s">
        <v>630</v>
      </c>
      <c r="N1331" s="128">
        <v>28656</v>
      </c>
      <c r="O1331" s="128">
        <f t="shared" si="67"/>
        <v>1518768</v>
      </c>
      <c r="P1331" s="89">
        <v>8367</v>
      </c>
      <c r="Q1331" t="s">
        <v>47</v>
      </c>
      <c r="R1331" s="214" t="s">
        <v>1869</v>
      </c>
      <c r="S1331" s="214" t="s">
        <v>1861</v>
      </c>
      <c r="U1331" t="s">
        <v>1953</v>
      </c>
      <c r="V1331" t="s">
        <v>2813</v>
      </c>
    </row>
    <row r="1332" spans="1:22" ht="15.75" thickBot="1" x14ac:dyDescent="0.3">
      <c r="A1332" t="s">
        <v>1916</v>
      </c>
      <c r="B1332" t="s">
        <v>1916</v>
      </c>
      <c r="C1332" t="s">
        <v>1916</v>
      </c>
      <c r="D1332" t="s">
        <v>629</v>
      </c>
      <c r="E1332" s="248" t="s">
        <v>1853</v>
      </c>
      <c r="F1332" t="s">
        <v>620</v>
      </c>
      <c r="G1332" s="89">
        <v>2001</v>
      </c>
      <c r="H1332" s="312" t="s">
        <v>735</v>
      </c>
      <c r="I1332" s="308" t="str">
        <f t="shared" si="66"/>
        <v>Pesado de Passageiros M3: III : Gasóleo : E2</v>
      </c>
      <c r="J1332" s="125">
        <v>55</v>
      </c>
      <c r="K1332" s="253">
        <v>2022</v>
      </c>
      <c r="L1332" s="85">
        <v>23056.9</v>
      </c>
      <c r="M1332" s="85" t="s">
        <v>630</v>
      </c>
      <c r="N1332" s="128">
        <v>72903</v>
      </c>
      <c r="O1332" s="128">
        <f t="shared" si="67"/>
        <v>4009665</v>
      </c>
      <c r="P1332" s="89">
        <v>8369</v>
      </c>
      <c r="Q1332" t="s">
        <v>47</v>
      </c>
      <c r="R1332" s="214" t="s">
        <v>1869</v>
      </c>
      <c r="S1332" s="214" t="s">
        <v>1861</v>
      </c>
      <c r="U1332" t="s">
        <v>1953</v>
      </c>
      <c r="V1332" t="s">
        <v>2813</v>
      </c>
    </row>
    <row r="1333" spans="1:22" ht="15.75" thickBot="1" x14ac:dyDescent="0.3">
      <c r="A1333" t="s">
        <v>1916</v>
      </c>
      <c r="B1333" t="s">
        <v>1916</v>
      </c>
      <c r="C1333" t="s">
        <v>1916</v>
      </c>
      <c r="D1333" t="s">
        <v>629</v>
      </c>
      <c r="E1333" s="248" t="s">
        <v>1853</v>
      </c>
      <c r="F1333" t="s">
        <v>620</v>
      </c>
      <c r="G1333" s="89">
        <v>2009</v>
      </c>
      <c r="H1333" s="312" t="s">
        <v>731</v>
      </c>
      <c r="I1333" s="308" t="str">
        <f t="shared" si="66"/>
        <v>Pesado de Passageiros M3: III : Gasóleo : E4</v>
      </c>
      <c r="J1333" s="125">
        <v>100</v>
      </c>
      <c r="K1333" s="253">
        <v>2022</v>
      </c>
      <c r="L1333" s="85">
        <v>0</v>
      </c>
      <c r="M1333" s="85" t="s">
        <v>630</v>
      </c>
      <c r="N1333" s="128">
        <v>0</v>
      </c>
      <c r="O1333" s="128">
        <f t="shared" si="67"/>
        <v>0</v>
      </c>
      <c r="P1333" s="89">
        <v>8370</v>
      </c>
      <c r="Q1333" t="s">
        <v>47</v>
      </c>
      <c r="R1333" s="214" t="s">
        <v>1869</v>
      </c>
      <c r="S1333" s="214" t="s">
        <v>1861</v>
      </c>
      <c r="U1333" t="s">
        <v>1953</v>
      </c>
      <c r="V1333" t="s">
        <v>2813</v>
      </c>
    </row>
    <row r="1334" spans="1:22" ht="15.75" thickBot="1" x14ac:dyDescent="0.3">
      <c r="A1334" t="s">
        <v>1916</v>
      </c>
      <c r="B1334" t="s">
        <v>1916</v>
      </c>
      <c r="C1334" t="s">
        <v>1916</v>
      </c>
      <c r="D1334" t="s">
        <v>629</v>
      </c>
      <c r="E1334" s="248" t="s">
        <v>1853</v>
      </c>
      <c r="F1334" t="s">
        <v>620</v>
      </c>
      <c r="G1334" s="89">
        <v>2009</v>
      </c>
      <c r="H1334" s="312" t="s">
        <v>731</v>
      </c>
      <c r="I1334" s="308" t="str">
        <f t="shared" si="66"/>
        <v>Pesado de Passageiros M3: III : Gasóleo : E4</v>
      </c>
      <c r="J1334" s="125">
        <v>100</v>
      </c>
      <c r="K1334" s="253">
        <v>2022</v>
      </c>
      <c r="L1334" s="85">
        <v>249.5</v>
      </c>
      <c r="M1334" s="85" t="s">
        <v>630</v>
      </c>
      <c r="N1334" s="128">
        <v>0</v>
      </c>
      <c r="O1334" s="128">
        <f t="shared" si="67"/>
        <v>0</v>
      </c>
      <c r="P1334" s="89">
        <v>8371</v>
      </c>
      <c r="Q1334" t="s">
        <v>47</v>
      </c>
      <c r="R1334" s="214" t="s">
        <v>1869</v>
      </c>
      <c r="S1334" s="214" t="s">
        <v>1861</v>
      </c>
      <c r="U1334" t="s">
        <v>1953</v>
      </c>
      <c r="V1334" t="s">
        <v>2813</v>
      </c>
    </row>
    <row r="1335" spans="1:22" ht="15.75" thickBot="1" x14ac:dyDescent="0.3">
      <c r="A1335" t="s">
        <v>1916</v>
      </c>
      <c r="B1335" t="s">
        <v>1916</v>
      </c>
      <c r="C1335" t="s">
        <v>1916</v>
      </c>
      <c r="D1335" t="s">
        <v>629</v>
      </c>
      <c r="E1335" s="248" t="s">
        <v>1853</v>
      </c>
      <c r="F1335" t="s">
        <v>620</v>
      </c>
      <c r="G1335" s="89">
        <v>2008</v>
      </c>
      <c r="H1335" s="312" t="s">
        <v>731</v>
      </c>
      <c r="I1335" s="308" t="str">
        <f t="shared" si="66"/>
        <v>Pesado de Passageiros M3: III : Gasóleo : E4</v>
      </c>
      <c r="J1335" s="125">
        <v>57</v>
      </c>
      <c r="K1335" s="253">
        <v>2022</v>
      </c>
      <c r="L1335" s="85">
        <v>0</v>
      </c>
      <c r="M1335" s="85" t="s">
        <v>630</v>
      </c>
      <c r="N1335" s="128">
        <v>0</v>
      </c>
      <c r="O1335" s="128">
        <f t="shared" si="67"/>
        <v>0</v>
      </c>
      <c r="P1335" s="89">
        <v>8372</v>
      </c>
      <c r="Q1335" t="s">
        <v>47</v>
      </c>
      <c r="R1335" s="214" t="s">
        <v>1869</v>
      </c>
      <c r="S1335" s="214" t="s">
        <v>1861</v>
      </c>
      <c r="U1335" t="s">
        <v>1953</v>
      </c>
      <c r="V1335" t="s">
        <v>2813</v>
      </c>
    </row>
    <row r="1336" spans="1:22" ht="15.75" thickBot="1" x14ac:dyDescent="0.3">
      <c r="A1336" t="s">
        <v>1916</v>
      </c>
      <c r="B1336" t="s">
        <v>1916</v>
      </c>
      <c r="C1336" t="s">
        <v>1916</v>
      </c>
      <c r="D1336" t="s">
        <v>629</v>
      </c>
      <c r="E1336" s="248" t="s">
        <v>1853</v>
      </c>
      <c r="F1336" t="s">
        <v>620</v>
      </c>
      <c r="G1336" s="89">
        <v>1991</v>
      </c>
      <c r="H1336" s="312" t="s">
        <v>2230</v>
      </c>
      <c r="I1336" s="308" t="str">
        <f t="shared" si="66"/>
        <v>Pesado de Passageiros M3: III : Gasóleo : E0</v>
      </c>
      <c r="J1336" s="125">
        <v>80</v>
      </c>
      <c r="K1336" s="253">
        <v>2022</v>
      </c>
      <c r="L1336" s="85">
        <v>0</v>
      </c>
      <c r="M1336" s="85" t="s">
        <v>630</v>
      </c>
      <c r="N1336" s="128">
        <v>0</v>
      </c>
      <c r="O1336" s="128">
        <f t="shared" si="67"/>
        <v>0</v>
      </c>
      <c r="P1336" s="89">
        <v>8374</v>
      </c>
      <c r="Q1336" t="s">
        <v>47</v>
      </c>
      <c r="R1336" s="214" t="s">
        <v>1869</v>
      </c>
      <c r="S1336" s="214" t="s">
        <v>1861</v>
      </c>
      <c r="U1336" t="s">
        <v>1953</v>
      </c>
      <c r="V1336" t="s">
        <v>2813</v>
      </c>
    </row>
    <row r="1337" spans="1:22" ht="15.75" thickBot="1" x14ac:dyDescent="0.3">
      <c r="A1337" t="s">
        <v>1916</v>
      </c>
      <c r="B1337" t="s">
        <v>1916</v>
      </c>
      <c r="C1337" t="s">
        <v>1916</v>
      </c>
      <c r="D1337" t="s">
        <v>629</v>
      </c>
      <c r="E1337" s="248" t="s">
        <v>1853</v>
      </c>
      <c r="F1337" t="s">
        <v>620</v>
      </c>
      <c r="G1337" s="89">
        <v>2009</v>
      </c>
      <c r="H1337" s="312" t="s">
        <v>731</v>
      </c>
      <c r="I1337" s="308" t="str">
        <f t="shared" si="66"/>
        <v>Pesado de Passageiros M3: III : Gasóleo : E4</v>
      </c>
      <c r="J1337" s="125">
        <v>71</v>
      </c>
      <c r="K1337" s="253">
        <v>2022</v>
      </c>
      <c r="L1337" s="85">
        <v>4201.6000000000004</v>
      </c>
      <c r="M1337" s="85" t="s">
        <v>630</v>
      </c>
      <c r="N1337" s="128">
        <v>11160</v>
      </c>
      <c r="O1337" s="128">
        <f t="shared" si="67"/>
        <v>792360</v>
      </c>
      <c r="P1337" s="89">
        <v>8375</v>
      </c>
      <c r="Q1337" t="s">
        <v>47</v>
      </c>
      <c r="R1337" s="214" t="s">
        <v>1869</v>
      </c>
      <c r="S1337" s="214" t="s">
        <v>1861</v>
      </c>
      <c r="U1337" t="s">
        <v>1953</v>
      </c>
      <c r="V1337" t="s">
        <v>2813</v>
      </c>
    </row>
    <row r="1338" spans="1:22" ht="15.75" thickBot="1" x14ac:dyDescent="0.3">
      <c r="A1338" t="s">
        <v>1916</v>
      </c>
      <c r="B1338" t="s">
        <v>1916</v>
      </c>
      <c r="C1338" t="s">
        <v>1916</v>
      </c>
      <c r="D1338" t="s">
        <v>629</v>
      </c>
      <c r="E1338" s="248" t="s">
        <v>1853</v>
      </c>
      <c r="F1338" t="s">
        <v>620</v>
      </c>
      <c r="G1338" s="89">
        <v>2009</v>
      </c>
      <c r="H1338" s="312" t="s">
        <v>731</v>
      </c>
      <c r="I1338" s="308" t="str">
        <f t="shared" si="66"/>
        <v>Pesado de Passageiros M3: III : Gasóleo : E4</v>
      </c>
      <c r="J1338" s="125">
        <v>84</v>
      </c>
      <c r="K1338" s="253">
        <v>2022</v>
      </c>
      <c r="L1338" s="85">
        <v>2244.3000000000002</v>
      </c>
      <c r="M1338" s="85" t="s">
        <v>630</v>
      </c>
      <c r="N1338" s="128">
        <v>5911</v>
      </c>
      <c r="O1338" s="128">
        <f t="shared" si="67"/>
        <v>496524</v>
      </c>
      <c r="P1338" s="89">
        <v>8376</v>
      </c>
      <c r="Q1338" t="s">
        <v>47</v>
      </c>
      <c r="R1338" s="214" t="s">
        <v>1869</v>
      </c>
      <c r="S1338" s="214" t="s">
        <v>1861</v>
      </c>
      <c r="U1338" t="s">
        <v>1953</v>
      </c>
      <c r="V1338" t="s">
        <v>2813</v>
      </c>
    </row>
    <row r="1339" spans="1:22" ht="15.75" thickBot="1" x14ac:dyDescent="0.3">
      <c r="A1339" t="s">
        <v>1916</v>
      </c>
      <c r="B1339" t="s">
        <v>1916</v>
      </c>
      <c r="C1339" t="s">
        <v>1916</v>
      </c>
      <c r="D1339" t="s">
        <v>629</v>
      </c>
      <c r="E1339" s="248" t="s">
        <v>1853</v>
      </c>
      <c r="F1339" t="s">
        <v>620</v>
      </c>
      <c r="G1339" s="89">
        <v>2009</v>
      </c>
      <c r="H1339" s="312" t="s">
        <v>731</v>
      </c>
      <c r="I1339" s="308" t="str">
        <f t="shared" si="66"/>
        <v>Pesado de Passageiros M3: III : Gasóleo : E4</v>
      </c>
      <c r="J1339" s="125">
        <v>98</v>
      </c>
      <c r="K1339" s="253">
        <v>2022</v>
      </c>
      <c r="L1339" s="85">
        <v>5377</v>
      </c>
      <c r="M1339" s="85" t="s">
        <v>630</v>
      </c>
      <c r="N1339" s="128">
        <v>12263</v>
      </c>
      <c r="O1339" s="128">
        <f t="shared" si="67"/>
        <v>1201774</v>
      </c>
      <c r="P1339" s="89">
        <v>8377</v>
      </c>
      <c r="Q1339" t="s">
        <v>47</v>
      </c>
      <c r="R1339" s="214" t="s">
        <v>1869</v>
      </c>
      <c r="S1339" s="214" t="s">
        <v>1861</v>
      </c>
      <c r="U1339" t="s">
        <v>1953</v>
      </c>
      <c r="V1339" t="s">
        <v>2813</v>
      </c>
    </row>
    <row r="1340" spans="1:22" ht="15.75" thickBot="1" x14ac:dyDescent="0.3">
      <c r="A1340" t="s">
        <v>1916</v>
      </c>
      <c r="B1340" t="s">
        <v>1916</v>
      </c>
      <c r="C1340" t="s">
        <v>1916</v>
      </c>
      <c r="D1340" t="s">
        <v>629</v>
      </c>
      <c r="E1340" s="248" t="s">
        <v>1853</v>
      </c>
      <c r="F1340" t="s">
        <v>620</v>
      </c>
      <c r="G1340" s="89">
        <v>2008</v>
      </c>
      <c r="H1340" s="312" t="s">
        <v>731</v>
      </c>
      <c r="I1340" s="308" t="str">
        <f t="shared" si="66"/>
        <v>Pesado de Passageiros M3: III : Gasóleo : E4</v>
      </c>
      <c r="J1340" s="125">
        <v>57</v>
      </c>
      <c r="K1340" s="253">
        <v>2022</v>
      </c>
      <c r="L1340" s="85">
        <v>0</v>
      </c>
      <c r="M1340" s="85" t="s">
        <v>630</v>
      </c>
      <c r="N1340" s="128">
        <v>0</v>
      </c>
      <c r="O1340" s="128">
        <f t="shared" si="67"/>
        <v>0</v>
      </c>
      <c r="P1340" s="89">
        <v>8378</v>
      </c>
      <c r="Q1340" t="s">
        <v>47</v>
      </c>
      <c r="R1340" s="214" t="s">
        <v>1869</v>
      </c>
      <c r="S1340" s="214" t="s">
        <v>1861</v>
      </c>
      <c r="U1340" t="s">
        <v>1953</v>
      </c>
      <c r="V1340" t="s">
        <v>2813</v>
      </c>
    </row>
    <row r="1341" spans="1:22" ht="15.75" thickBot="1" x14ac:dyDescent="0.3">
      <c r="A1341" t="s">
        <v>1916</v>
      </c>
      <c r="B1341" t="s">
        <v>1916</v>
      </c>
      <c r="C1341" t="s">
        <v>1916</v>
      </c>
      <c r="D1341" t="s">
        <v>629</v>
      </c>
      <c r="E1341" s="248" t="s">
        <v>1853</v>
      </c>
      <c r="F1341" t="s">
        <v>620</v>
      </c>
      <c r="G1341" s="89">
        <v>2009</v>
      </c>
      <c r="H1341" s="312" t="s">
        <v>731</v>
      </c>
      <c r="I1341" s="308" t="str">
        <f t="shared" si="66"/>
        <v>Pesado de Passageiros M3: III : Gasóleo : E4</v>
      </c>
      <c r="J1341" s="125">
        <v>81</v>
      </c>
      <c r="K1341" s="253">
        <v>2022</v>
      </c>
      <c r="L1341" s="85">
        <v>1454.9</v>
      </c>
      <c r="M1341" s="85" t="s">
        <v>630</v>
      </c>
      <c r="N1341" s="128">
        <v>3618</v>
      </c>
      <c r="O1341" s="128">
        <f t="shared" si="67"/>
        <v>293058</v>
      </c>
      <c r="P1341" s="89">
        <v>8379</v>
      </c>
      <c r="Q1341" t="s">
        <v>47</v>
      </c>
      <c r="R1341" s="214" t="s">
        <v>1869</v>
      </c>
      <c r="S1341" s="214" t="s">
        <v>1861</v>
      </c>
      <c r="U1341" t="s">
        <v>1953</v>
      </c>
      <c r="V1341" t="s">
        <v>2813</v>
      </c>
    </row>
    <row r="1342" spans="1:22" ht="15.75" thickBot="1" x14ac:dyDescent="0.3">
      <c r="A1342" t="s">
        <v>1916</v>
      </c>
      <c r="B1342" t="s">
        <v>1916</v>
      </c>
      <c r="C1342" t="s">
        <v>1916</v>
      </c>
      <c r="D1342" t="s">
        <v>629</v>
      </c>
      <c r="E1342" s="248" t="s">
        <v>1853</v>
      </c>
      <c r="F1342" t="s">
        <v>620</v>
      </c>
      <c r="G1342" s="89">
        <v>1996</v>
      </c>
      <c r="H1342" s="312" t="s">
        <v>735</v>
      </c>
      <c r="I1342" s="308" t="str">
        <f t="shared" si="66"/>
        <v>Pesado de Passageiros M3: III : Gasóleo : E2</v>
      </c>
      <c r="J1342" s="125">
        <v>72</v>
      </c>
      <c r="K1342" s="253">
        <v>2022</v>
      </c>
      <c r="L1342" s="85">
        <v>12606.599999999999</v>
      </c>
      <c r="M1342" s="85" t="s">
        <v>630</v>
      </c>
      <c r="N1342" s="128">
        <v>41616</v>
      </c>
      <c r="O1342" s="128">
        <f t="shared" si="67"/>
        <v>2996352</v>
      </c>
      <c r="P1342" s="89">
        <v>8380</v>
      </c>
      <c r="Q1342" t="s">
        <v>47</v>
      </c>
      <c r="R1342" s="214" t="s">
        <v>1869</v>
      </c>
      <c r="S1342" s="214" t="s">
        <v>1861</v>
      </c>
      <c r="U1342" t="s">
        <v>1953</v>
      </c>
      <c r="V1342" t="s">
        <v>2813</v>
      </c>
    </row>
    <row r="1343" spans="1:22" ht="15.75" thickBot="1" x14ac:dyDescent="0.3">
      <c r="A1343" t="s">
        <v>1916</v>
      </c>
      <c r="B1343" t="s">
        <v>1916</v>
      </c>
      <c r="C1343" t="s">
        <v>1916</v>
      </c>
      <c r="D1343" t="s">
        <v>629</v>
      </c>
      <c r="E1343" s="248" t="s">
        <v>1853</v>
      </c>
      <c r="F1343" t="s">
        <v>620</v>
      </c>
      <c r="G1343" s="89">
        <v>1993</v>
      </c>
      <c r="H1343" s="312" t="s">
        <v>736</v>
      </c>
      <c r="I1343" s="308" t="str">
        <f t="shared" si="66"/>
        <v>Pesado de Passageiros M3: III : Gasóleo : E1</v>
      </c>
      <c r="J1343" s="125">
        <v>70</v>
      </c>
      <c r="K1343" s="253">
        <v>2022</v>
      </c>
      <c r="L1343" s="85">
        <v>14364.5</v>
      </c>
      <c r="M1343" s="85" t="s">
        <v>630</v>
      </c>
      <c r="N1343" s="128">
        <v>42416</v>
      </c>
      <c r="O1343" s="128">
        <f t="shared" si="67"/>
        <v>2969120</v>
      </c>
      <c r="P1343" s="89">
        <v>8381</v>
      </c>
      <c r="Q1343" t="s">
        <v>47</v>
      </c>
      <c r="R1343" s="214" t="s">
        <v>1869</v>
      </c>
      <c r="S1343" s="214" t="s">
        <v>1861</v>
      </c>
      <c r="U1343" t="s">
        <v>1953</v>
      </c>
      <c r="V1343" t="s">
        <v>2813</v>
      </c>
    </row>
    <row r="1344" spans="1:22" ht="15.75" thickBot="1" x14ac:dyDescent="0.3">
      <c r="A1344" t="s">
        <v>1916</v>
      </c>
      <c r="B1344" t="s">
        <v>1916</v>
      </c>
      <c r="C1344" t="s">
        <v>1916</v>
      </c>
      <c r="D1344" t="s">
        <v>629</v>
      </c>
      <c r="E1344" s="248" t="s">
        <v>1853</v>
      </c>
      <c r="F1344" t="s">
        <v>620</v>
      </c>
      <c r="G1344" s="89">
        <v>1993</v>
      </c>
      <c r="H1344" s="312" t="s">
        <v>736</v>
      </c>
      <c r="I1344" s="308" t="str">
        <f t="shared" si="66"/>
        <v>Pesado de Passageiros M3: III : Gasóleo : E1</v>
      </c>
      <c r="J1344" s="125">
        <v>71</v>
      </c>
      <c r="K1344" s="253">
        <v>2022</v>
      </c>
      <c r="L1344" s="85">
        <v>0</v>
      </c>
      <c r="M1344" s="85" t="s">
        <v>630</v>
      </c>
      <c r="N1344" s="128">
        <v>0</v>
      </c>
      <c r="O1344" s="128">
        <f t="shared" si="67"/>
        <v>0</v>
      </c>
      <c r="P1344" s="89">
        <v>8382</v>
      </c>
      <c r="Q1344" t="s">
        <v>47</v>
      </c>
      <c r="R1344" s="214" t="s">
        <v>1869</v>
      </c>
      <c r="S1344" s="214" t="s">
        <v>1861</v>
      </c>
      <c r="U1344" t="s">
        <v>1953</v>
      </c>
      <c r="V1344" t="s">
        <v>2813</v>
      </c>
    </row>
    <row r="1345" spans="1:22" ht="15.75" thickBot="1" x14ac:dyDescent="0.3">
      <c r="A1345" t="s">
        <v>1916</v>
      </c>
      <c r="B1345" t="s">
        <v>1916</v>
      </c>
      <c r="C1345" t="s">
        <v>1916</v>
      </c>
      <c r="D1345" t="s">
        <v>629</v>
      </c>
      <c r="E1345" s="248" t="s">
        <v>1853</v>
      </c>
      <c r="F1345" t="s">
        <v>620</v>
      </c>
      <c r="G1345" s="89">
        <v>2008</v>
      </c>
      <c r="H1345" s="312" t="s">
        <v>731</v>
      </c>
      <c r="I1345" s="308" t="str">
        <f t="shared" si="66"/>
        <v>Pesado de Passageiros M3: III : Gasóleo : E4</v>
      </c>
      <c r="J1345" s="125">
        <v>70</v>
      </c>
      <c r="K1345" s="253">
        <v>2022</v>
      </c>
      <c r="L1345" s="85">
        <v>7591.3</v>
      </c>
      <c r="M1345" s="85" t="s">
        <v>630</v>
      </c>
      <c r="N1345" s="128">
        <v>24572</v>
      </c>
      <c r="O1345" s="128">
        <f t="shared" si="67"/>
        <v>1720040</v>
      </c>
      <c r="P1345" s="89">
        <v>8383</v>
      </c>
      <c r="Q1345" t="s">
        <v>47</v>
      </c>
      <c r="R1345" s="214" t="s">
        <v>1869</v>
      </c>
      <c r="S1345" s="214" t="s">
        <v>1861</v>
      </c>
      <c r="U1345" t="s">
        <v>1953</v>
      </c>
      <c r="V1345" t="s">
        <v>2813</v>
      </c>
    </row>
    <row r="1346" spans="1:22" ht="15.75" thickBot="1" x14ac:dyDescent="0.3">
      <c r="A1346" t="s">
        <v>1916</v>
      </c>
      <c r="B1346" t="s">
        <v>1916</v>
      </c>
      <c r="C1346" t="s">
        <v>1916</v>
      </c>
      <c r="D1346" t="s">
        <v>629</v>
      </c>
      <c r="E1346" s="248" t="s">
        <v>1853</v>
      </c>
      <c r="F1346" t="s">
        <v>620</v>
      </c>
      <c r="G1346" s="89">
        <v>2009</v>
      </c>
      <c r="H1346" s="312" t="s">
        <v>734</v>
      </c>
      <c r="I1346" s="308" t="str">
        <f t="shared" si="66"/>
        <v>Pesado de Passageiros M3: III : Gasóleo : E5</v>
      </c>
      <c r="J1346" s="125">
        <v>71</v>
      </c>
      <c r="K1346" s="253">
        <v>2022</v>
      </c>
      <c r="L1346" s="85">
        <v>352.7</v>
      </c>
      <c r="M1346" s="85" t="s">
        <v>630</v>
      </c>
      <c r="N1346" s="128">
        <v>0</v>
      </c>
      <c r="O1346" s="128">
        <f t="shared" si="67"/>
        <v>0</v>
      </c>
      <c r="P1346" s="89">
        <v>8384</v>
      </c>
      <c r="Q1346" t="s">
        <v>47</v>
      </c>
      <c r="R1346" s="214" t="s">
        <v>1869</v>
      </c>
      <c r="S1346" s="214" t="s">
        <v>1861</v>
      </c>
      <c r="U1346" t="s">
        <v>1953</v>
      </c>
      <c r="V1346" t="s">
        <v>2813</v>
      </c>
    </row>
    <row r="1347" spans="1:22" ht="15.75" thickBot="1" x14ac:dyDescent="0.3">
      <c r="A1347" t="s">
        <v>1916</v>
      </c>
      <c r="B1347" t="s">
        <v>1916</v>
      </c>
      <c r="C1347" t="s">
        <v>1916</v>
      </c>
      <c r="D1347" t="s">
        <v>629</v>
      </c>
      <c r="E1347" s="248" t="s">
        <v>1853</v>
      </c>
      <c r="F1347" t="s">
        <v>620</v>
      </c>
      <c r="G1347" s="89">
        <v>2007</v>
      </c>
      <c r="H1347" s="312" t="s">
        <v>731</v>
      </c>
      <c r="I1347" s="308" t="str">
        <f t="shared" si="66"/>
        <v>Pesado de Passageiros M3: III : Gasóleo : E4</v>
      </c>
      <c r="J1347" s="125">
        <v>74</v>
      </c>
      <c r="K1347" s="253">
        <v>2022</v>
      </c>
      <c r="L1347" s="85">
        <v>0</v>
      </c>
      <c r="M1347" s="85" t="s">
        <v>630</v>
      </c>
      <c r="N1347" s="128">
        <v>0</v>
      </c>
      <c r="O1347" s="128">
        <f t="shared" si="67"/>
        <v>0</v>
      </c>
      <c r="P1347" s="89">
        <v>8385</v>
      </c>
      <c r="Q1347" t="s">
        <v>47</v>
      </c>
      <c r="R1347" s="214" t="s">
        <v>1869</v>
      </c>
      <c r="S1347" s="214" t="s">
        <v>1861</v>
      </c>
      <c r="U1347" t="s">
        <v>1953</v>
      </c>
      <c r="V1347" t="s">
        <v>2813</v>
      </c>
    </row>
    <row r="1348" spans="1:22" ht="15.75" thickBot="1" x14ac:dyDescent="0.3">
      <c r="A1348" t="s">
        <v>1916</v>
      </c>
      <c r="B1348" t="s">
        <v>1916</v>
      </c>
      <c r="C1348" t="s">
        <v>1916</v>
      </c>
      <c r="D1348" t="s">
        <v>629</v>
      </c>
      <c r="E1348" s="248" t="s">
        <v>1853</v>
      </c>
      <c r="F1348" t="s">
        <v>620</v>
      </c>
      <c r="G1348" s="89">
        <v>2006</v>
      </c>
      <c r="H1348" s="312" t="s">
        <v>731</v>
      </c>
      <c r="I1348" s="308" t="str">
        <f t="shared" ref="I1348:I1411" si="68">D1348&amp;": "&amp;E1348&amp;" : "&amp;F1348&amp;" : "&amp;H1348</f>
        <v>Pesado de Passageiros M3: III : Gasóleo : E4</v>
      </c>
      <c r="J1348" s="125">
        <v>70</v>
      </c>
      <c r="K1348" s="253">
        <v>2022</v>
      </c>
      <c r="L1348" s="85">
        <v>2290.4</v>
      </c>
      <c r="M1348" s="85" t="s">
        <v>630</v>
      </c>
      <c r="N1348" s="128">
        <v>6354</v>
      </c>
      <c r="O1348" s="128">
        <f t="shared" ref="O1348:O1411" si="69">N1348*J1348</f>
        <v>444780</v>
      </c>
      <c r="P1348" s="89">
        <v>8386</v>
      </c>
      <c r="Q1348" t="s">
        <v>47</v>
      </c>
      <c r="R1348" s="214" t="s">
        <v>1869</v>
      </c>
      <c r="S1348" s="214" t="s">
        <v>1861</v>
      </c>
      <c r="U1348" t="s">
        <v>1953</v>
      </c>
      <c r="V1348" t="s">
        <v>2813</v>
      </c>
    </row>
    <row r="1349" spans="1:22" ht="15.75" thickBot="1" x14ac:dyDescent="0.3">
      <c r="A1349" t="s">
        <v>1916</v>
      </c>
      <c r="B1349" t="s">
        <v>1916</v>
      </c>
      <c r="C1349" t="s">
        <v>1916</v>
      </c>
      <c r="D1349" t="s">
        <v>629</v>
      </c>
      <c r="E1349" s="248" t="s">
        <v>1853</v>
      </c>
      <c r="F1349" t="s">
        <v>620</v>
      </c>
      <c r="G1349" s="89">
        <v>1998</v>
      </c>
      <c r="H1349" s="312" t="s">
        <v>736</v>
      </c>
      <c r="I1349" s="308" t="str">
        <f t="shared" si="68"/>
        <v>Pesado de Passageiros M3: III : Gasóleo : E1</v>
      </c>
      <c r="J1349" s="125">
        <v>70</v>
      </c>
      <c r="K1349" s="253">
        <v>2022</v>
      </c>
      <c r="L1349" s="85">
        <v>17379.300000000003</v>
      </c>
      <c r="M1349" s="85" t="s">
        <v>630</v>
      </c>
      <c r="N1349" s="128">
        <v>58673</v>
      </c>
      <c r="O1349" s="128">
        <f t="shared" si="69"/>
        <v>4107110</v>
      </c>
      <c r="P1349" s="89">
        <v>8387</v>
      </c>
      <c r="Q1349" t="s">
        <v>47</v>
      </c>
      <c r="R1349" s="214" t="s">
        <v>1869</v>
      </c>
      <c r="S1349" s="214" t="s">
        <v>1861</v>
      </c>
      <c r="U1349" t="s">
        <v>1953</v>
      </c>
      <c r="V1349" t="s">
        <v>2813</v>
      </c>
    </row>
    <row r="1350" spans="1:22" ht="15.75" thickBot="1" x14ac:dyDescent="0.3">
      <c r="A1350" t="s">
        <v>1916</v>
      </c>
      <c r="B1350" t="s">
        <v>1916</v>
      </c>
      <c r="C1350" t="s">
        <v>1916</v>
      </c>
      <c r="D1350" t="s">
        <v>629</v>
      </c>
      <c r="E1350" s="248" t="s">
        <v>1853</v>
      </c>
      <c r="F1350" t="s">
        <v>620</v>
      </c>
      <c r="G1350" s="89">
        <v>2009</v>
      </c>
      <c r="H1350" s="312" t="s">
        <v>731</v>
      </c>
      <c r="I1350" s="308" t="str">
        <f t="shared" si="68"/>
        <v>Pesado de Passageiros M3: III : Gasóleo : E4</v>
      </c>
      <c r="J1350" s="125">
        <v>53</v>
      </c>
      <c r="K1350" s="253">
        <v>2022</v>
      </c>
      <c r="L1350" s="85">
        <v>851.9</v>
      </c>
      <c r="M1350" s="85" t="s">
        <v>630</v>
      </c>
      <c r="N1350" s="128">
        <v>2758</v>
      </c>
      <c r="O1350" s="128">
        <f t="shared" si="69"/>
        <v>146174</v>
      </c>
      <c r="P1350" s="89">
        <v>8388</v>
      </c>
      <c r="Q1350" t="s">
        <v>47</v>
      </c>
      <c r="R1350" s="214" t="s">
        <v>1869</v>
      </c>
      <c r="S1350" s="214" t="s">
        <v>1861</v>
      </c>
      <c r="U1350" t="s">
        <v>1953</v>
      </c>
      <c r="V1350" t="s">
        <v>2813</v>
      </c>
    </row>
    <row r="1351" spans="1:22" ht="15.75" thickBot="1" x14ac:dyDescent="0.3">
      <c r="A1351" t="s">
        <v>1916</v>
      </c>
      <c r="B1351" t="s">
        <v>1916</v>
      </c>
      <c r="C1351" t="s">
        <v>1916</v>
      </c>
      <c r="D1351" t="s">
        <v>629</v>
      </c>
      <c r="E1351" s="248" t="s">
        <v>1853</v>
      </c>
      <c r="F1351" t="s">
        <v>620</v>
      </c>
      <c r="G1351" s="89">
        <v>2007</v>
      </c>
      <c r="H1351" s="312" t="s">
        <v>731</v>
      </c>
      <c r="I1351" s="308" t="str">
        <f t="shared" si="68"/>
        <v>Pesado de Passageiros M3: III : Gasóleo : E4</v>
      </c>
      <c r="J1351" s="125">
        <v>94</v>
      </c>
      <c r="K1351" s="253">
        <v>2022</v>
      </c>
      <c r="L1351" s="85">
        <v>225.1</v>
      </c>
      <c r="M1351" s="85" t="s">
        <v>630</v>
      </c>
      <c r="N1351" s="128">
        <v>0</v>
      </c>
      <c r="O1351" s="128">
        <f t="shared" si="69"/>
        <v>0</v>
      </c>
      <c r="P1351" s="89">
        <v>8389</v>
      </c>
      <c r="Q1351" t="s">
        <v>47</v>
      </c>
      <c r="R1351" s="214" t="s">
        <v>1869</v>
      </c>
      <c r="S1351" s="214" t="s">
        <v>1861</v>
      </c>
      <c r="U1351" t="s">
        <v>1953</v>
      </c>
      <c r="V1351" t="s">
        <v>2813</v>
      </c>
    </row>
    <row r="1352" spans="1:22" ht="15.75" thickBot="1" x14ac:dyDescent="0.3">
      <c r="A1352" t="s">
        <v>1916</v>
      </c>
      <c r="B1352" t="s">
        <v>1916</v>
      </c>
      <c r="C1352" t="s">
        <v>1916</v>
      </c>
      <c r="D1352" t="s">
        <v>629</v>
      </c>
      <c r="E1352" s="248" t="s">
        <v>1853</v>
      </c>
      <c r="F1352" t="s">
        <v>620</v>
      </c>
      <c r="G1352" s="89">
        <v>1996</v>
      </c>
      <c r="H1352" s="312" t="s">
        <v>736</v>
      </c>
      <c r="I1352" s="308" t="str">
        <f t="shared" si="68"/>
        <v>Pesado de Passageiros M3: III : Gasóleo : E1</v>
      </c>
      <c r="J1352" s="125">
        <v>74</v>
      </c>
      <c r="K1352" s="253">
        <v>2022</v>
      </c>
      <c r="L1352" s="85">
        <v>9073.9</v>
      </c>
      <c r="M1352" s="85" t="s">
        <v>630</v>
      </c>
      <c r="N1352" s="128">
        <v>26413</v>
      </c>
      <c r="O1352" s="128">
        <f t="shared" si="69"/>
        <v>1954562</v>
      </c>
      <c r="P1352" s="89">
        <v>8394</v>
      </c>
      <c r="Q1352" t="s">
        <v>47</v>
      </c>
      <c r="R1352" s="214" t="s">
        <v>1869</v>
      </c>
      <c r="S1352" s="214" t="s">
        <v>1861</v>
      </c>
      <c r="U1352" t="s">
        <v>1953</v>
      </c>
      <c r="V1352" t="s">
        <v>2813</v>
      </c>
    </row>
    <row r="1353" spans="1:22" ht="15.75" thickBot="1" x14ac:dyDescent="0.3">
      <c r="A1353" t="s">
        <v>1916</v>
      </c>
      <c r="B1353" t="s">
        <v>1916</v>
      </c>
      <c r="C1353" t="s">
        <v>1916</v>
      </c>
      <c r="D1353" t="s">
        <v>629</v>
      </c>
      <c r="E1353" s="248" t="s">
        <v>1853</v>
      </c>
      <c r="F1353" t="s">
        <v>620</v>
      </c>
      <c r="G1353" s="89">
        <v>1995</v>
      </c>
      <c r="H1353" s="312" t="s">
        <v>736</v>
      </c>
      <c r="I1353" s="308" t="str">
        <f t="shared" si="68"/>
        <v>Pesado de Passageiros M3: III : Gasóleo : E1</v>
      </c>
      <c r="J1353" s="125">
        <v>71</v>
      </c>
      <c r="K1353" s="253">
        <v>2022</v>
      </c>
      <c r="L1353" s="85">
        <v>9182.4</v>
      </c>
      <c r="M1353" s="85" t="s">
        <v>630</v>
      </c>
      <c r="N1353" s="128">
        <v>33606</v>
      </c>
      <c r="O1353" s="128">
        <f t="shared" si="69"/>
        <v>2386026</v>
      </c>
      <c r="P1353" s="89">
        <v>8395</v>
      </c>
      <c r="Q1353" t="s">
        <v>47</v>
      </c>
      <c r="R1353" s="214" t="s">
        <v>1869</v>
      </c>
      <c r="S1353" s="214" t="s">
        <v>1861</v>
      </c>
      <c r="U1353" t="s">
        <v>1953</v>
      </c>
      <c r="V1353" t="s">
        <v>2813</v>
      </c>
    </row>
    <row r="1354" spans="1:22" ht="15.75" thickBot="1" x14ac:dyDescent="0.3">
      <c r="A1354" t="s">
        <v>1916</v>
      </c>
      <c r="B1354" t="s">
        <v>1916</v>
      </c>
      <c r="C1354" t="s">
        <v>1916</v>
      </c>
      <c r="D1354" t="s">
        <v>629</v>
      </c>
      <c r="E1354" s="248" t="s">
        <v>1853</v>
      </c>
      <c r="F1354" t="s">
        <v>620</v>
      </c>
      <c r="G1354" s="89">
        <v>1998</v>
      </c>
      <c r="H1354" s="312" t="s">
        <v>735</v>
      </c>
      <c r="I1354" s="308" t="str">
        <f t="shared" si="68"/>
        <v>Pesado de Passageiros M3: III : Gasóleo : E2</v>
      </c>
      <c r="J1354" s="125">
        <v>65</v>
      </c>
      <c r="K1354" s="253">
        <v>2022</v>
      </c>
      <c r="L1354" s="85">
        <v>8326.4</v>
      </c>
      <c r="M1354" s="85" t="s">
        <v>630</v>
      </c>
      <c r="N1354" s="128">
        <v>23687</v>
      </c>
      <c r="O1354" s="128">
        <f t="shared" si="69"/>
        <v>1539655</v>
      </c>
      <c r="P1354" s="89">
        <v>8396</v>
      </c>
      <c r="Q1354" t="s">
        <v>47</v>
      </c>
      <c r="R1354" s="214" t="s">
        <v>1869</v>
      </c>
      <c r="S1354" s="214" t="s">
        <v>1861</v>
      </c>
      <c r="U1354" t="s">
        <v>1953</v>
      </c>
      <c r="V1354" t="s">
        <v>2813</v>
      </c>
    </row>
    <row r="1355" spans="1:22" ht="15.75" thickBot="1" x14ac:dyDescent="0.3">
      <c r="A1355" t="s">
        <v>1916</v>
      </c>
      <c r="B1355" t="s">
        <v>1916</v>
      </c>
      <c r="C1355" t="s">
        <v>1916</v>
      </c>
      <c r="D1355" t="s">
        <v>629</v>
      </c>
      <c r="E1355" s="248" t="s">
        <v>1853</v>
      </c>
      <c r="F1355" t="s">
        <v>620</v>
      </c>
      <c r="G1355" s="89">
        <v>2008</v>
      </c>
      <c r="H1355" s="312" t="s">
        <v>731</v>
      </c>
      <c r="I1355" s="308" t="str">
        <f t="shared" si="68"/>
        <v>Pesado de Passageiros M3: III : Gasóleo : E4</v>
      </c>
      <c r="J1355" s="125">
        <v>51</v>
      </c>
      <c r="K1355" s="253">
        <v>2022</v>
      </c>
      <c r="L1355" s="85">
        <v>6174.5999999999995</v>
      </c>
      <c r="M1355" s="85" t="s">
        <v>630</v>
      </c>
      <c r="N1355" s="128">
        <v>25177</v>
      </c>
      <c r="O1355" s="128">
        <f t="shared" si="69"/>
        <v>1284027</v>
      </c>
      <c r="P1355" s="89">
        <v>8397</v>
      </c>
      <c r="Q1355" t="s">
        <v>47</v>
      </c>
      <c r="R1355" s="214" t="s">
        <v>1869</v>
      </c>
      <c r="S1355" s="214" t="s">
        <v>1861</v>
      </c>
      <c r="U1355" t="s">
        <v>1953</v>
      </c>
      <c r="V1355" t="s">
        <v>2813</v>
      </c>
    </row>
    <row r="1356" spans="1:22" ht="15.75" thickBot="1" x14ac:dyDescent="0.3">
      <c r="A1356" t="s">
        <v>1916</v>
      </c>
      <c r="B1356" t="s">
        <v>1916</v>
      </c>
      <c r="C1356" t="s">
        <v>1916</v>
      </c>
      <c r="D1356" t="s">
        <v>629</v>
      </c>
      <c r="E1356" s="248" t="s">
        <v>1853</v>
      </c>
      <c r="F1356" t="s">
        <v>620</v>
      </c>
      <c r="G1356" s="89">
        <v>2009</v>
      </c>
      <c r="H1356" s="312" t="s">
        <v>731</v>
      </c>
      <c r="I1356" s="308" t="str">
        <f t="shared" si="68"/>
        <v>Pesado de Passageiros M3: III : Gasóleo : E4</v>
      </c>
      <c r="J1356" s="125">
        <v>78</v>
      </c>
      <c r="K1356" s="253">
        <v>2022</v>
      </c>
      <c r="L1356" s="85">
        <v>11955.6</v>
      </c>
      <c r="M1356" s="85" t="s">
        <v>630</v>
      </c>
      <c r="N1356" s="128">
        <v>44201</v>
      </c>
      <c r="O1356" s="128">
        <f t="shared" si="69"/>
        <v>3447678</v>
      </c>
      <c r="P1356" s="89">
        <v>8399</v>
      </c>
      <c r="Q1356" t="s">
        <v>47</v>
      </c>
      <c r="R1356" s="214" t="s">
        <v>1869</v>
      </c>
      <c r="S1356" s="214" t="s">
        <v>1861</v>
      </c>
      <c r="U1356" t="s">
        <v>1953</v>
      </c>
      <c r="V1356" t="s">
        <v>2813</v>
      </c>
    </row>
    <row r="1357" spans="1:22" ht="15.75" thickBot="1" x14ac:dyDescent="0.3">
      <c r="A1357" t="s">
        <v>1916</v>
      </c>
      <c r="B1357" t="s">
        <v>1916</v>
      </c>
      <c r="C1357" t="s">
        <v>1916</v>
      </c>
      <c r="D1357" t="s">
        <v>629</v>
      </c>
      <c r="E1357" s="248" t="s">
        <v>1853</v>
      </c>
      <c r="F1357" t="s">
        <v>620</v>
      </c>
      <c r="G1357" s="89">
        <v>1996</v>
      </c>
      <c r="H1357" s="312" t="s">
        <v>736</v>
      </c>
      <c r="I1357" s="308" t="str">
        <f t="shared" si="68"/>
        <v>Pesado de Passageiros M3: III : Gasóleo : E1</v>
      </c>
      <c r="J1357" s="125">
        <v>51</v>
      </c>
      <c r="K1357" s="253">
        <v>2022</v>
      </c>
      <c r="L1357" s="85">
        <v>11255.300000000003</v>
      </c>
      <c r="M1357" s="85" t="s">
        <v>630</v>
      </c>
      <c r="N1357" s="128">
        <v>38741</v>
      </c>
      <c r="O1357" s="128">
        <f t="shared" si="69"/>
        <v>1975791</v>
      </c>
      <c r="P1357" s="89">
        <v>8405</v>
      </c>
      <c r="Q1357" t="s">
        <v>47</v>
      </c>
      <c r="R1357" s="214" t="s">
        <v>1869</v>
      </c>
      <c r="S1357" s="214" t="s">
        <v>1861</v>
      </c>
      <c r="U1357" t="s">
        <v>1953</v>
      </c>
      <c r="V1357" t="s">
        <v>2813</v>
      </c>
    </row>
    <row r="1358" spans="1:22" ht="15.75" thickBot="1" x14ac:dyDescent="0.3">
      <c r="A1358" t="s">
        <v>1916</v>
      </c>
      <c r="B1358" t="s">
        <v>1916</v>
      </c>
      <c r="C1358" t="s">
        <v>1916</v>
      </c>
      <c r="D1358" t="s">
        <v>629</v>
      </c>
      <c r="E1358" s="248" t="s">
        <v>1853</v>
      </c>
      <c r="F1358" t="s">
        <v>620</v>
      </c>
      <c r="G1358" s="89">
        <v>1997</v>
      </c>
      <c r="H1358" s="312" t="s">
        <v>735</v>
      </c>
      <c r="I1358" s="308" t="str">
        <f t="shared" si="68"/>
        <v>Pesado de Passageiros M3: III : Gasóleo : E2</v>
      </c>
      <c r="J1358" s="125">
        <v>51</v>
      </c>
      <c r="K1358" s="253">
        <v>2022</v>
      </c>
      <c r="L1358" s="85">
        <v>15159.6</v>
      </c>
      <c r="M1358" s="85" t="s">
        <v>630</v>
      </c>
      <c r="N1358" s="128">
        <v>52027</v>
      </c>
      <c r="O1358" s="128">
        <f t="shared" si="69"/>
        <v>2653377</v>
      </c>
      <c r="P1358" s="89">
        <v>8407</v>
      </c>
      <c r="Q1358" t="s">
        <v>47</v>
      </c>
      <c r="R1358" s="214" t="s">
        <v>1869</v>
      </c>
      <c r="S1358" s="214" t="s">
        <v>1861</v>
      </c>
      <c r="U1358" t="s">
        <v>1953</v>
      </c>
      <c r="V1358" t="s">
        <v>2813</v>
      </c>
    </row>
    <row r="1359" spans="1:22" ht="15.75" thickBot="1" x14ac:dyDescent="0.3">
      <c r="A1359" t="s">
        <v>1916</v>
      </c>
      <c r="B1359" t="s">
        <v>1916</v>
      </c>
      <c r="C1359" t="s">
        <v>1916</v>
      </c>
      <c r="D1359" t="s">
        <v>629</v>
      </c>
      <c r="E1359" s="248" t="s">
        <v>1853</v>
      </c>
      <c r="F1359" t="s">
        <v>620</v>
      </c>
      <c r="G1359" s="89">
        <v>1997</v>
      </c>
      <c r="H1359" s="312" t="s">
        <v>735</v>
      </c>
      <c r="I1359" s="308" t="str">
        <f t="shared" si="68"/>
        <v>Pesado de Passageiros M3: III : Gasóleo : E2</v>
      </c>
      <c r="J1359" s="125">
        <v>51</v>
      </c>
      <c r="K1359" s="253">
        <v>2022</v>
      </c>
      <c r="L1359" s="85">
        <v>13683.1</v>
      </c>
      <c r="M1359" s="85" t="s">
        <v>630</v>
      </c>
      <c r="N1359" s="128">
        <v>42398</v>
      </c>
      <c r="O1359" s="128">
        <f t="shared" si="69"/>
        <v>2162298</v>
      </c>
      <c r="P1359" s="89">
        <v>8408</v>
      </c>
      <c r="Q1359" t="s">
        <v>47</v>
      </c>
      <c r="R1359" s="214" t="s">
        <v>1869</v>
      </c>
      <c r="S1359" s="214" t="s">
        <v>1861</v>
      </c>
      <c r="U1359" t="s">
        <v>1953</v>
      </c>
      <c r="V1359" t="s">
        <v>2813</v>
      </c>
    </row>
    <row r="1360" spans="1:22" ht="15.75" thickBot="1" x14ac:dyDescent="0.3">
      <c r="A1360" t="s">
        <v>1916</v>
      </c>
      <c r="B1360" t="s">
        <v>1916</v>
      </c>
      <c r="C1360" t="s">
        <v>1916</v>
      </c>
      <c r="D1360" t="s">
        <v>629</v>
      </c>
      <c r="E1360" s="248" t="s">
        <v>1853</v>
      </c>
      <c r="F1360" t="s">
        <v>620</v>
      </c>
      <c r="G1360" s="89">
        <v>1997</v>
      </c>
      <c r="H1360" s="312" t="s">
        <v>735</v>
      </c>
      <c r="I1360" s="308" t="str">
        <f t="shared" si="68"/>
        <v>Pesado de Passageiros M3: III : Gasóleo : E2</v>
      </c>
      <c r="J1360" s="125">
        <v>51</v>
      </c>
      <c r="K1360" s="253">
        <v>2022</v>
      </c>
      <c r="L1360" s="85">
        <v>12752.699999999999</v>
      </c>
      <c r="M1360" s="85" t="s">
        <v>630</v>
      </c>
      <c r="N1360" s="128">
        <v>46995</v>
      </c>
      <c r="O1360" s="128">
        <f t="shared" si="69"/>
        <v>2396745</v>
      </c>
      <c r="P1360" s="89">
        <v>8409</v>
      </c>
      <c r="Q1360" t="s">
        <v>47</v>
      </c>
      <c r="R1360" s="214" t="s">
        <v>1869</v>
      </c>
      <c r="S1360" s="214" t="s">
        <v>1861</v>
      </c>
      <c r="U1360" t="s">
        <v>1953</v>
      </c>
      <c r="V1360" t="s">
        <v>2813</v>
      </c>
    </row>
    <row r="1361" spans="1:22" ht="15.75" thickBot="1" x14ac:dyDescent="0.3">
      <c r="A1361" t="s">
        <v>1916</v>
      </c>
      <c r="B1361" t="s">
        <v>1916</v>
      </c>
      <c r="C1361" t="s">
        <v>1916</v>
      </c>
      <c r="D1361" t="s">
        <v>629</v>
      </c>
      <c r="E1361" s="248" t="s">
        <v>1853</v>
      </c>
      <c r="F1361" t="s">
        <v>620</v>
      </c>
      <c r="G1361" s="89">
        <v>1997</v>
      </c>
      <c r="H1361" s="312" t="s">
        <v>735</v>
      </c>
      <c r="I1361" s="308" t="str">
        <f t="shared" si="68"/>
        <v>Pesado de Passageiros M3: III : Gasóleo : E2</v>
      </c>
      <c r="J1361" s="125">
        <v>53</v>
      </c>
      <c r="K1361" s="253">
        <v>2022</v>
      </c>
      <c r="L1361" s="85">
        <v>7435</v>
      </c>
      <c r="M1361" s="85" t="s">
        <v>630</v>
      </c>
      <c r="N1361" s="128">
        <v>25349</v>
      </c>
      <c r="O1361" s="128">
        <f t="shared" si="69"/>
        <v>1343497</v>
      </c>
      <c r="P1361" s="89">
        <v>8410</v>
      </c>
      <c r="Q1361" t="s">
        <v>47</v>
      </c>
      <c r="R1361" s="214" t="s">
        <v>1869</v>
      </c>
      <c r="S1361" s="214" t="s">
        <v>1861</v>
      </c>
      <c r="U1361" t="s">
        <v>1953</v>
      </c>
      <c r="V1361" t="s">
        <v>2813</v>
      </c>
    </row>
    <row r="1362" spans="1:22" ht="15.75" thickBot="1" x14ac:dyDescent="0.3">
      <c r="A1362" t="s">
        <v>1916</v>
      </c>
      <c r="B1362" t="s">
        <v>1916</v>
      </c>
      <c r="C1362" t="s">
        <v>1916</v>
      </c>
      <c r="D1362" t="s">
        <v>629</v>
      </c>
      <c r="E1362" s="248" t="s">
        <v>1853</v>
      </c>
      <c r="F1362" t="s">
        <v>620</v>
      </c>
      <c r="G1362" s="89">
        <v>1998</v>
      </c>
      <c r="H1362" s="312" t="s">
        <v>735</v>
      </c>
      <c r="I1362" s="308" t="str">
        <f t="shared" si="68"/>
        <v>Pesado de Passageiros M3: III : Gasóleo : E2</v>
      </c>
      <c r="J1362" s="125">
        <v>53</v>
      </c>
      <c r="K1362" s="253">
        <v>2022</v>
      </c>
      <c r="L1362" s="85">
        <v>7956.7999999999993</v>
      </c>
      <c r="M1362" s="85" t="s">
        <v>630</v>
      </c>
      <c r="N1362" s="128">
        <v>27136</v>
      </c>
      <c r="O1362" s="128">
        <f t="shared" si="69"/>
        <v>1438208</v>
      </c>
      <c r="P1362" s="89">
        <v>8411</v>
      </c>
      <c r="Q1362" t="s">
        <v>47</v>
      </c>
      <c r="R1362" s="214" t="s">
        <v>1869</v>
      </c>
      <c r="S1362" s="214" t="s">
        <v>1861</v>
      </c>
      <c r="U1362" t="s">
        <v>1953</v>
      </c>
      <c r="V1362" t="s">
        <v>2813</v>
      </c>
    </row>
    <row r="1363" spans="1:22" ht="15.75" thickBot="1" x14ac:dyDescent="0.3">
      <c r="A1363" t="s">
        <v>1916</v>
      </c>
      <c r="B1363" t="s">
        <v>1916</v>
      </c>
      <c r="C1363" t="s">
        <v>1916</v>
      </c>
      <c r="D1363" t="s">
        <v>629</v>
      </c>
      <c r="E1363" s="248" t="s">
        <v>1853</v>
      </c>
      <c r="F1363" t="s">
        <v>620</v>
      </c>
      <c r="G1363" s="89">
        <v>2000</v>
      </c>
      <c r="H1363" s="312" t="s">
        <v>735</v>
      </c>
      <c r="I1363" s="308" t="str">
        <f t="shared" si="68"/>
        <v>Pesado de Passageiros M3: III : Gasóleo : E2</v>
      </c>
      <c r="J1363" s="125">
        <v>51</v>
      </c>
      <c r="K1363" s="253">
        <v>2022</v>
      </c>
      <c r="L1363" s="85">
        <v>19263.8</v>
      </c>
      <c r="M1363" s="85" t="s">
        <v>630</v>
      </c>
      <c r="N1363" s="128">
        <v>64982</v>
      </c>
      <c r="O1363" s="128">
        <f t="shared" si="69"/>
        <v>3314082</v>
      </c>
      <c r="P1363" s="89">
        <v>8412</v>
      </c>
      <c r="Q1363" t="s">
        <v>47</v>
      </c>
      <c r="R1363" s="214" t="s">
        <v>1869</v>
      </c>
      <c r="S1363" s="214" t="s">
        <v>1861</v>
      </c>
      <c r="U1363" t="s">
        <v>1953</v>
      </c>
      <c r="V1363" t="s">
        <v>2813</v>
      </c>
    </row>
    <row r="1364" spans="1:22" ht="15.75" thickBot="1" x14ac:dyDescent="0.3">
      <c r="A1364" t="s">
        <v>1916</v>
      </c>
      <c r="B1364" t="s">
        <v>1916</v>
      </c>
      <c r="C1364" t="s">
        <v>1916</v>
      </c>
      <c r="D1364" t="s">
        <v>629</v>
      </c>
      <c r="E1364" s="248" t="s">
        <v>1853</v>
      </c>
      <c r="F1364" t="s">
        <v>620</v>
      </c>
      <c r="G1364" s="89">
        <v>2000</v>
      </c>
      <c r="H1364" s="312" t="s">
        <v>735</v>
      </c>
      <c r="I1364" s="308" t="str">
        <f t="shared" si="68"/>
        <v>Pesado de Passageiros M3: III : Gasóleo : E2</v>
      </c>
      <c r="J1364" s="125">
        <v>51</v>
      </c>
      <c r="K1364" s="253">
        <v>2022</v>
      </c>
      <c r="L1364" s="85">
        <v>20096.2</v>
      </c>
      <c r="M1364" s="85" t="s">
        <v>630</v>
      </c>
      <c r="N1364" s="128">
        <v>60365</v>
      </c>
      <c r="O1364" s="128">
        <f t="shared" si="69"/>
        <v>3078615</v>
      </c>
      <c r="P1364" s="89">
        <v>8413</v>
      </c>
      <c r="Q1364" t="s">
        <v>47</v>
      </c>
      <c r="R1364" s="214" t="s">
        <v>1869</v>
      </c>
      <c r="S1364" s="214" t="s">
        <v>1861</v>
      </c>
      <c r="U1364" t="s">
        <v>1953</v>
      </c>
      <c r="V1364" t="s">
        <v>2813</v>
      </c>
    </row>
    <row r="1365" spans="1:22" ht="15.75" thickBot="1" x14ac:dyDescent="0.3">
      <c r="A1365" t="s">
        <v>1916</v>
      </c>
      <c r="B1365" t="s">
        <v>1916</v>
      </c>
      <c r="C1365" t="s">
        <v>1916</v>
      </c>
      <c r="D1365" t="s">
        <v>629</v>
      </c>
      <c r="E1365" s="248" t="s">
        <v>1853</v>
      </c>
      <c r="F1365" t="s">
        <v>620</v>
      </c>
      <c r="G1365" s="89">
        <v>2001</v>
      </c>
      <c r="H1365" s="312" t="s">
        <v>735</v>
      </c>
      <c r="I1365" s="308" t="str">
        <f t="shared" si="68"/>
        <v>Pesado de Passageiros M3: III : Gasóleo : E2</v>
      </c>
      <c r="J1365" s="125">
        <v>55</v>
      </c>
      <c r="K1365" s="253">
        <v>2022</v>
      </c>
      <c r="L1365" s="85">
        <v>13770.899999999998</v>
      </c>
      <c r="M1365" s="85" t="s">
        <v>630</v>
      </c>
      <c r="N1365" s="128">
        <v>32157</v>
      </c>
      <c r="O1365" s="128">
        <f t="shared" si="69"/>
        <v>1768635</v>
      </c>
      <c r="P1365" s="89">
        <v>8416</v>
      </c>
      <c r="Q1365" t="s">
        <v>47</v>
      </c>
      <c r="R1365" s="214" t="s">
        <v>1869</v>
      </c>
      <c r="S1365" s="214" t="s">
        <v>1861</v>
      </c>
      <c r="U1365" t="s">
        <v>1953</v>
      </c>
      <c r="V1365" t="s">
        <v>2813</v>
      </c>
    </row>
    <row r="1366" spans="1:22" ht="15.75" thickBot="1" x14ac:dyDescent="0.3">
      <c r="A1366" t="s">
        <v>1916</v>
      </c>
      <c r="B1366" t="s">
        <v>1916</v>
      </c>
      <c r="C1366" t="s">
        <v>1916</v>
      </c>
      <c r="D1366" t="s">
        <v>629</v>
      </c>
      <c r="E1366" s="248" t="s">
        <v>1853</v>
      </c>
      <c r="F1366" t="s">
        <v>620</v>
      </c>
      <c r="G1366" s="89">
        <v>2001</v>
      </c>
      <c r="H1366" s="312" t="s">
        <v>735</v>
      </c>
      <c r="I1366" s="308" t="str">
        <f t="shared" si="68"/>
        <v>Pesado de Passageiros M3: III : Gasóleo : E2</v>
      </c>
      <c r="J1366" s="125">
        <v>55</v>
      </c>
      <c r="K1366" s="253">
        <v>2022</v>
      </c>
      <c r="L1366" s="85">
        <v>18177.399999999998</v>
      </c>
      <c r="M1366" s="85" t="s">
        <v>630</v>
      </c>
      <c r="N1366" s="128">
        <v>60230</v>
      </c>
      <c r="O1366" s="128">
        <f t="shared" si="69"/>
        <v>3312650</v>
      </c>
      <c r="P1366" s="89">
        <v>8417</v>
      </c>
      <c r="Q1366" t="s">
        <v>47</v>
      </c>
      <c r="R1366" s="214" t="s">
        <v>1869</v>
      </c>
      <c r="S1366" s="214" t="s">
        <v>1861</v>
      </c>
      <c r="U1366" t="s">
        <v>1953</v>
      </c>
      <c r="V1366" t="s">
        <v>2813</v>
      </c>
    </row>
    <row r="1367" spans="1:22" ht="15.75" thickBot="1" x14ac:dyDescent="0.3">
      <c r="A1367" t="s">
        <v>1916</v>
      </c>
      <c r="B1367" t="s">
        <v>1916</v>
      </c>
      <c r="C1367" t="s">
        <v>1916</v>
      </c>
      <c r="D1367" t="s">
        <v>629</v>
      </c>
      <c r="E1367" s="248" t="s">
        <v>1853</v>
      </c>
      <c r="F1367" t="s">
        <v>620</v>
      </c>
      <c r="G1367" s="89">
        <v>2001</v>
      </c>
      <c r="H1367" s="312" t="s">
        <v>735</v>
      </c>
      <c r="I1367" s="308" t="str">
        <f t="shared" si="68"/>
        <v>Pesado de Passageiros M3: III : Gasóleo : E2</v>
      </c>
      <c r="J1367" s="125">
        <v>55</v>
      </c>
      <c r="K1367" s="253">
        <v>2022</v>
      </c>
      <c r="L1367" s="85">
        <v>15630.599999999999</v>
      </c>
      <c r="M1367" s="85" t="s">
        <v>630</v>
      </c>
      <c r="N1367" s="128">
        <v>53065</v>
      </c>
      <c r="O1367" s="128">
        <f t="shared" si="69"/>
        <v>2918575</v>
      </c>
      <c r="P1367" s="89">
        <v>8418</v>
      </c>
      <c r="Q1367" t="s">
        <v>47</v>
      </c>
      <c r="R1367" s="214" t="s">
        <v>1869</v>
      </c>
      <c r="S1367" s="214" t="s">
        <v>1861</v>
      </c>
      <c r="U1367" t="s">
        <v>1953</v>
      </c>
      <c r="V1367" t="s">
        <v>2813</v>
      </c>
    </row>
    <row r="1368" spans="1:22" ht="15.75" thickBot="1" x14ac:dyDescent="0.3">
      <c r="A1368" t="s">
        <v>1916</v>
      </c>
      <c r="B1368" t="s">
        <v>1916</v>
      </c>
      <c r="C1368" t="s">
        <v>1916</v>
      </c>
      <c r="D1368" t="s">
        <v>629</v>
      </c>
      <c r="E1368" s="248" t="s">
        <v>1853</v>
      </c>
      <c r="F1368" t="s">
        <v>620</v>
      </c>
      <c r="G1368" s="89">
        <v>1999</v>
      </c>
      <c r="H1368" s="312" t="s">
        <v>735</v>
      </c>
      <c r="I1368" s="308" t="str">
        <f t="shared" si="68"/>
        <v>Pesado de Passageiros M3: III : Gasóleo : E2</v>
      </c>
      <c r="J1368" s="125">
        <v>51</v>
      </c>
      <c r="K1368" s="253">
        <v>2022</v>
      </c>
      <c r="L1368" s="85">
        <v>16979.900000000001</v>
      </c>
      <c r="M1368" s="85" t="s">
        <v>630</v>
      </c>
      <c r="N1368" s="128">
        <v>47456</v>
      </c>
      <c r="O1368" s="128">
        <f t="shared" si="69"/>
        <v>2420256</v>
      </c>
      <c r="P1368" s="89">
        <v>8420</v>
      </c>
      <c r="Q1368" t="s">
        <v>47</v>
      </c>
      <c r="R1368" s="214" t="s">
        <v>1869</v>
      </c>
      <c r="S1368" s="214" t="s">
        <v>1861</v>
      </c>
      <c r="U1368" t="s">
        <v>1953</v>
      </c>
      <c r="V1368" t="s">
        <v>2813</v>
      </c>
    </row>
    <row r="1369" spans="1:22" ht="15.75" thickBot="1" x14ac:dyDescent="0.3">
      <c r="A1369" t="s">
        <v>1916</v>
      </c>
      <c r="B1369" t="s">
        <v>1916</v>
      </c>
      <c r="C1369" t="s">
        <v>1916</v>
      </c>
      <c r="D1369" t="s">
        <v>629</v>
      </c>
      <c r="E1369" s="248" t="s">
        <v>1853</v>
      </c>
      <c r="F1369" t="s">
        <v>620</v>
      </c>
      <c r="G1369" s="89">
        <v>2001</v>
      </c>
      <c r="H1369" s="312" t="s">
        <v>735</v>
      </c>
      <c r="I1369" s="308" t="str">
        <f t="shared" si="68"/>
        <v>Pesado de Passageiros M3: III : Gasóleo : E2</v>
      </c>
      <c r="J1369" s="125">
        <v>52</v>
      </c>
      <c r="K1369" s="253">
        <v>2022</v>
      </c>
      <c r="L1369" s="85">
        <v>11127.499999999998</v>
      </c>
      <c r="M1369" s="85" t="s">
        <v>630</v>
      </c>
      <c r="N1369" s="128">
        <v>33923</v>
      </c>
      <c r="O1369" s="128">
        <f t="shared" si="69"/>
        <v>1763996</v>
      </c>
      <c r="P1369" s="89">
        <v>8422</v>
      </c>
      <c r="Q1369" t="s">
        <v>47</v>
      </c>
      <c r="R1369" s="214" t="s">
        <v>1869</v>
      </c>
      <c r="S1369" s="214" t="s">
        <v>1861</v>
      </c>
      <c r="U1369" t="s">
        <v>1953</v>
      </c>
      <c r="V1369" t="s">
        <v>2813</v>
      </c>
    </row>
    <row r="1370" spans="1:22" ht="15.75" thickBot="1" x14ac:dyDescent="0.3">
      <c r="A1370" t="s">
        <v>1916</v>
      </c>
      <c r="B1370" t="s">
        <v>1916</v>
      </c>
      <c r="C1370" t="s">
        <v>1916</v>
      </c>
      <c r="D1370" t="s">
        <v>629</v>
      </c>
      <c r="E1370" s="248" t="s">
        <v>1853</v>
      </c>
      <c r="F1370" t="s">
        <v>620</v>
      </c>
      <c r="G1370" s="89">
        <v>2001</v>
      </c>
      <c r="H1370" s="312" t="s">
        <v>735</v>
      </c>
      <c r="I1370" s="308" t="str">
        <f t="shared" si="68"/>
        <v>Pesado de Passageiros M3: III : Gasóleo : E2</v>
      </c>
      <c r="J1370" s="125">
        <v>53</v>
      </c>
      <c r="K1370" s="253">
        <v>2022</v>
      </c>
      <c r="L1370" s="85">
        <v>19059.3</v>
      </c>
      <c r="M1370" s="85" t="s">
        <v>630</v>
      </c>
      <c r="N1370" s="128">
        <v>59984</v>
      </c>
      <c r="O1370" s="128">
        <f t="shared" si="69"/>
        <v>3179152</v>
      </c>
      <c r="P1370" s="89">
        <v>8423</v>
      </c>
      <c r="Q1370" t="s">
        <v>47</v>
      </c>
      <c r="R1370" s="214" t="s">
        <v>1869</v>
      </c>
      <c r="S1370" s="214" t="s">
        <v>1861</v>
      </c>
      <c r="U1370" t="s">
        <v>1953</v>
      </c>
      <c r="V1370" t="s">
        <v>2813</v>
      </c>
    </row>
    <row r="1371" spans="1:22" ht="15.75" thickBot="1" x14ac:dyDescent="0.3">
      <c r="A1371" t="s">
        <v>1916</v>
      </c>
      <c r="B1371" t="s">
        <v>1916</v>
      </c>
      <c r="C1371" t="s">
        <v>1916</v>
      </c>
      <c r="D1371" t="s">
        <v>629</v>
      </c>
      <c r="E1371" s="248" t="s">
        <v>1853</v>
      </c>
      <c r="F1371" t="s">
        <v>620</v>
      </c>
      <c r="G1371" s="89">
        <v>2009</v>
      </c>
      <c r="H1371" s="312" t="s">
        <v>731</v>
      </c>
      <c r="I1371" s="308" t="str">
        <f t="shared" si="68"/>
        <v>Pesado de Passageiros M3: III : Gasóleo : E4</v>
      </c>
      <c r="J1371" s="125">
        <v>55</v>
      </c>
      <c r="K1371" s="253">
        <v>2022</v>
      </c>
      <c r="L1371" s="85">
        <v>18211.099999999999</v>
      </c>
      <c r="M1371" s="85" t="s">
        <v>630</v>
      </c>
      <c r="N1371" s="128">
        <v>58895</v>
      </c>
      <c r="O1371" s="128">
        <f t="shared" si="69"/>
        <v>3239225</v>
      </c>
      <c r="P1371" s="89">
        <v>8429</v>
      </c>
      <c r="Q1371" t="s">
        <v>47</v>
      </c>
      <c r="R1371" s="214" t="s">
        <v>1869</v>
      </c>
      <c r="S1371" s="214" t="s">
        <v>1861</v>
      </c>
      <c r="U1371" t="s">
        <v>1953</v>
      </c>
      <c r="V1371" t="s">
        <v>2813</v>
      </c>
    </row>
    <row r="1372" spans="1:22" ht="15.75" thickBot="1" x14ac:dyDescent="0.3">
      <c r="A1372" t="s">
        <v>1916</v>
      </c>
      <c r="B1372" t="s">
        <v>1916</v>
      </c>
      <c r="C1372" t="s">
        <v>1916</v>
      </c>
      <c r="D1372" t="s">
        <v>629</v>
      </c>
      <c r="E1372" s="248" t="s">
        <v>1853</v>
      </c>
      <c r="F1372" t="s">
        <v>620</v>
      </c>
      <c r="G1372" s="89">
        <v>2009</v>
      </c>
      <c r="H1372" s="312" t="s">
        <v>731</v>
      </c>
      <c r="I1372" s="308" t="str">
        <f t="shared" si="68"/>
        <v>Pesado de Passageiros M3: III : Gasóleo : E4</v>
      </c>
      <c r="J1372" s="125">
        <v>55</v>
      </c>
      <c r="K1372" s="253">
        <v>2022</v>
      </c>
      <c r="L1372" s="85">
        <v>31123.600000000002</v>
      </c>
      <c r="M1372" s="85" t="s">
        <v>630</v>
      </c>
      <c r="N1372" s="128">
        <v>78620</v>
      </c>
      <c r="O1372" s="128">
        <f t="shared" si="69"/>
        <v>4324100</v>
      </c>
      <c r="P1372" s="89">
        <v>8432</v>
      </c>
      <c r="Q1372" t="s">
        <v>47</v>
      </c>
      <c r="R1372" s="214" t="s">
        <v>1869</v>
      </c>
      <c r="S1372" s="214" t="s">
        <v>1861</v>
      </c>
      <c r="U1372" t="s">
        <v>1953</v>
      </c>
      <c r="V1372" t="s">
        <v>2813</v>
      </c>
    </row>
    <row r="1373" spans="1:22" ht="15.75" thickBot="1" x14ac:dyDescent="0.3">
      <c r="A1373" t="s">
        <v>1916</v>
      </c>
      <c r="B1373" t="s">
        <v>1916</v>
      </c>
      <c r="C1373" t="s">
        <v>1916</v>
      </c>
      <c r="D1373" t="s">
        <v>629</v>
      </c>
      <c r="E1373" s="248" t="s">
        <v>1853</v>
      </c>
      <c r="F1373" t="s">
        <v>620</v>
      </c>
      <c r="G1373" s="89">
        <v>2009</v>
      </c>
      <c r="H1373" s="312" t="s">
        <v>731</v>
      </c>
      <c r="I1373" s="308" t="str">
        <f t="shared" si="68"/>
        <v>Pesado de Passageiros M3: III : Gasóleo : E4</v>
      </c>
      <c r="J1373" s="125">
        <v>55</v>
      </c>
      <c r="K1373" s="253">
        <v>2022</v>
      </c>
      <c r="L1373" s="85">
        <v>21353.600000000002</v>
      </c>
      <c r="M1373" s="85" t="s">
        <v>630</v>
      </c>
      <c r="N1373" s="128">
        <v>61858</v>
      </c>
      <c r="O1373" s="128">
        <f t="shared" si="69"/>
        <v>3402190</v>
      </c>
      <c r="P1373" s="89">
        <v>8433</v>
      </c>
      <c r="Q1373" t="s">
        <v>47</v>
      </c>
      <c r="R1373" s="214" t="s">
        <v>1869</v>
      </c>
      <c r="S1373" s="214" t="s">
        <v>1861</v>
      </c>
      <c r="U1373" t="s">
        <v>1953</v>
      </c>
      <c r="V1373" t="s">
        <v>2813</v>
      </c>
    </row>
    <row r="1374" spans="1:22" ht="15.75" thickBot="1" x14ac:dyDescent="0.3">
      <c r="A1374" t="s">
        <v>1916</v>
      </c>
      <c r="B1374" t="s">
        <v>1916</v>
      </c>
      <c r="C1374" t="s">
        <v>1916</v>
      </c>
      <c r="D1374" t="s">
        <v>629</v>
      </c>
      <c r="E1374" s="248" t="s">
        <v>1853</v>
      </c>
      <c r="F1374" t="s">
        <v>620</v>
      </c>
      <c r="G1374" s="89">
        <v>2009</v>
      </c>
      <c r="H1374" s="312" t="s">
        <v>731</v>
      </c>
      <c r="I1374" s="308" t="str">
        <f t="shared" si="68"/>
        <v>Pesado de Passageiros M3: III : Gasóleo : E4</v>
      </c>
      <c r="J1374" s="125">
        <v>55</v>
      </c>
      <c r="K1374" s="253">
        <v>2022</v>
      </c>
      <c r="L1374" s="85">
        <v>27876.9</v>
      </c>
      <c r="M1374" s="85" t="s">
        <v>630</v>
      </c>
      <c r="N1374" s="128">
        <v>82092</v>
      </c>
      <c r="O1374" s="128">
        <f t="shared" si="69"/>
        <v>4515060</v>
      </c>
      <c r="P1374" s="89">
        <v>8434</v>
      </c>
      <c r="Q1374" t="s">
        <v>47</v>
      </c>
      <c r="R1374" s="214" t="s">
        <v>1869</v>
      </c>
      <c r="S1374" s="214" t="s">
        <v>1861</v>
      </c>
      <c r="U1374" t="s">
        <v>1953</v>
      </c>
      <c r="V1374" t="s">
        <v>2813</v>
      </c>
    </row>
    <row r="1375" spans="1:22" ht="15.75" thickBot="1" x14ac:dyDescent="0.3">
      <c r="A1375" t="s">
        <v>1916</v>
      </c>
      <c r="B1375" t="s">
        <v>1916</v>
      </c>
      <c r="C1375" t="s">
        <v>1916</v>
      </c>
      <c r="D1375" t="s">
        <v>629</v>
      </c>
      <c r="E1375" s="248" t="s">
        <v>1853</v>
      </c>
      <c r="F1375" t="s">
        <v>620</v>
      </c>
      <c r="G1375" s="89">
        <v>1997</v>
      </c>
      <c r="H1375" s="312" t="s">
        <v>735</v>
      </c>
      <c r="I1375" s="308" t="str">
        <f t="shared" si="68"/>
        <v>Pesado de Passageiros M3: III : Gasóleo : E2</v>
      </c>
      <c r="J1375" s="125">
        <v>52</v>
      </c>
      <c r="K1375" s="253">
        <v>2022</v>
      </c>
      <c r="L1375" s="85">
        <v>8797.4</v>
      </c>
      <c r="M1375" s="85" t="s">
        <v>630</v>
      </c>
      <c r="N1375" s="128">
        <v>28137</v>
      </c>
      <c r="O1375" s="128">
        <f t="shared" si="69"/>
        <v>1463124</v>
      </c>
      <c r="P1375" s="89">
        <v>8435</v>
      </c>
      <c r="Q1375" t="s">
        <v>47</v>
      </c>
      <c r="R1375" s="214" t="s">
        <v>1869</v>
      </c>
      <c r="S1375" s="214" t="s">
        <v>1861</v>
      </c>
      <c r="U1375" t="s">
        <v>1953</v>
      </c>
      <c r="V1375" t="s">
        <v>2813</v>
      </c>
    </row>
    <row r="1376" spans="1:22" ht="15.75" thickBot="1" x14ac:dyDescent="0.3">
      <c r="A1376" t="s">
        <v>1916</v>
      </c>
      <c r="B1376" t="s">
        <v>1916</v>
      </c>
      <c r="C1376" t="s">
        <v>1916</v>
      </c>
      <c r="D1376" t="s">
        <v>629</v>
      </c>
      <c r="E1376" s="248" t="s">
        <v>1853</v>
      </c>
      <c r="F1376" t="s">
        <v>620</v>
      </c>
      <c r="G1376" s="89">
        <v>1997</v>
      </c>
      <c r="H1376" s="312" t="s">
        <v>735</v>
      </c>
      <c r="I1376" s="308" t="str">
        <f t="shared" si="68"/>
        <v>Pesado de Passageiros M3: III : Gasóleo : E2</v>
      </c>
      <c r="J1376" s="125">
        <v>52</v>
      </c>
      <c r="K1376" s="253">
        <v>2022</v>
      </c>
      <c r="L1376" s="85">
        <v>10172.599999999999</v>
      </c>
      <c r="M1376" s="85" t="s">
        <v>630</v>
      </c>
      <c r="N1376" s="128">
        <v>36383</v>
      </c>
      <c r="O1376" s="128">
        <f t="shared" si="69"/>
        <v>1891916</v>
      </c>
      <c r="P1376" s="89">
        <v>8436</v>
      </c>
      <c r="Q1376" t="s">
        <v>47</v>
      </c>
      <c r="R1376" s="214" t="s">
        <v>1869</v>
      </c>
      <c r="S1376" s="214" t="s">
        <v>1861</v>
      </c>
      <c r="U1376" t="s">
        <v>1953</v>
      </c>
      <c r="V1376" t="s">
        <v>2813</v>
      </c>
    </row>
    <row r="1377" spans="1:22" ht="15.75" thickBot="1" x14ac:dyDescent="0.3">
      <c r="A1377" t="s">
        <v>1916</v>
      </c>
      <c r="B1377" t="s">
        <v>1916</v>
      </c>
      <c r="C1377" t="s">
        <v>1916</v>
      </c>
      <c r="D1377" t="s">
        <v>629</v>
      </c>
      <c r="E1377" s="248" t="s">
        <v>1853</v>
      </c>
      <c r="F1377" t="s">
        <v>620</v>
      </c>
      <c r="G1377" s="89">
        <v>2008</v>
      </c>
      <c r="H1377" s="312" t="s">
        <v>731</v>
      </c>
      <c r="I1377" s="308" t="str">
        <f t="shared" si="68"/>
        <v>Pesado de Passageiros M3: III : Gasóleo : E4</v>
      </c>
      <c r="J1377" s="125">
        <v>53</v>
      </c>
      <c r="K1377" s="253">
        <v>2022</v>
      </c>
      <c r="L1377" s="85">
        <v>22680.5</v>
      </c>
      <c r="M1377" s="85" t="s">
        <v>630</v>
      </c>
      <c r="N1377" s="128">
        <v>79614</v>
      </c>
      <c r="O1377" s="128">
        <f t="shared" si="69"/>
        <v>4219542</v>
      </c>
      <c r="P1377" s="89">
        <v>8437</v>
      </c>
      <c r="Q1377" t="s">
        <v>47</v>
      </c>
      <c r="R1377" s="214" t="s">
        <v>1869</v>
      </c>
      <c r="S1377" s="214" t="s">
        <v>1861</v>
      </c>
      <c r="U1377" t="s">
        <v>1953</v>
      </c>
      <c r="V1377" t="s">
        <v>2813</v>
      </c>
    </row>
    <row r="1378" spans="1:22" ht="15.75" thickBot="1" x14ac:dyDescent="0.3">
      <c r="A1378" t="s">
        <v>1916</v>
      </c>
      <c r="B1378" t="s">
        <v>1916</v>
      </c>
      <c r="C1378" t="s">
        <v>1916</v>
      </c>
      <c r="D1378" t="s">
        <v>629</v>
      </c>
      <c r="E1378" s="248" t="s">
        <v>1853</v>
      </c>
      <c r="F1378" t="s">
        <v>620</v>
      </c>
      <c r="G1378" s="89">
        <v>2008</v>
      </c>
      <c r="H1378" s="312" t="s">
        <v>731</v>
      </c>
      <c r="I1378" s="308" t="str">
        <f t="shared" si="68"/>
        <v>Pesado de Passageiros M3: III : Gasóleo : E4</v>
      </c>
      <c r="J1378" s="125">
        <v>53</v>
      </c>
      <c r="K1378" s="253">
        <v>2022</v>
      </c>
      <c r="L1378" s="85">
        <v>40000.100000000006</v>
      </c>
      <c r="M1378" s="85" t="s">
        <v>630</v>
      </c>
      <c r="N1378" s="128">
        <v>124426</v>
      </c>
      <c r="O1378" s="128">
        <f t="shared" si="69"/>
        <v>6594578</v>
      </c>
      <c r="P1378" s="89">
        <v>8438</v>
      </c>
      <c r="Q1378" t="s">
        <v>47</v>
      </c>
      <c r="R1378" s="214" t="s">
        <v>1869</v>
      </c>
      <c r="S1378" s="214" t="s">
        <v>1861</v>
      </c>
      <c r="U1378" t="s">
        <v>1953</v>
      </c>
      <c r="V1378" t="s">
        <v>2813</v>
      </c>
    </row>
    <row r="1379" spans="1:22" ht="15.75" thickBot="1" x14ac:dyDescent="0.3">
      <c r="A1379" t="s">
        <v>1916</v>
      </c>
      <c r="B1379" t="s">
        <v>1916</v>
      </c>
      <c r="C1379" t="s">
        <v>1916</v>
      </c>
      <c r="D1379" t="s">
        <v>629</v>
      </c>
      <c r="E1379" s="248" t="s">
        <v>1853</v>
      </c>
      <c r="F1379" t="s">
        <v>620</v>
      </c>
      <c r="G1379" s="89">
        <v>2001</v>
      </c>
      <c r="H1379" s="312" t="s">
        <v>735</v>
      </c>
      <c r="I1379" s="308" t="str">
        <f t="shared" si="68"/>
        <v>Pesado de Passageiros M3: III : Gasóleo : E2</v>
      </c>
      <c r="J1379" s="125">
        <v>55</v>
      </c>
      <c r="K1379" s="253">
        <v>2022</v>
      </c>
      <c r="L1379" s="85">
        <v>14249.800000000001</v>
      </c>
      <c r="M1379" s="85" t="s">
        <v>630</v>
      </c>
      <c r="N1379" s="128">
        <v>44012</v>
      </c>
      <c r="O1379" s="128">
        <f t="shared" si="69"/>
        <v>2420660</v>
      </c>
      <c r="P1379" s="89">
        <v>8439</v>
      </c>
      <c r="Q1379" t="s">
        <v>47</v>
      </c>
      <c r="R1379" s="214" t="s">
        <v>1869</v>
      </c>
      <c r="S1379" s="214" t="s">
        <v>1861</v>
      </c>
      <c r="U1379" t="s">
        <v>1953</v>
      </c>
      <c r="V1379" t="s">
        <v>2813</v>
      </c>
    </row>
    <row r="1380" spans="1:22" ht="15.75" thickBot="1" x14ac:dyDescent="0.3">
      <c r="A1380" t="s">
        <v>1916</v>
      </c>
      <c r="B1380" t="s">
        <v>1916</v>
      </c>
      <c r="C1380" t="s">
        <v>1916</v>
      </c>
      <c r="D1380" t="s">
        <v>629</v>
      </c>
      <c r="E1380" s="248" t="s">
        <v>1853</v>
      </c>
      <c r="F1380" t="s">
        <v>620</v>
      </c>
      <c r="G1380" s="89">
        <v>2009</v>
      </c>
      <c r="H1380" s="312" t="s">
        <v>731</v>
      </c>
      <c r="I1380" s="308" t="str">
        <f t="shared" si="68"/>
        <v>Pesado de Passageiros M3: III : Gasóleo : E4</v>
      </c>
      <c r="J1380" s="125">
        <v>53</v>
      </c>
      <c r="K1380" s="253">
        <v>2022</v>
      </c>
      <c r="L1380" s="85">
        <v>20689.8</v>
      </c>
      <c r="M1380" s="85" t="s">
        <v>630</v>
      </c>
      <c r="N1380" s="128">
        <v>68739</v>
      </c>
      <c r="O1380" s="128">
        <f t="shared" si="69"/>
        <v>3643167</v>
      </c>
      <c r="P1380" s="89">
        <v>8440</v>
      </c>
      <c r="Q1380" t="s">
        <v>47</v>
      </c>
      <c r="R1380" s="214" t="s">
        <v>1869</v>
      </c>
      <c r="S1380" s="214" t="s">
        <v>1861</v>
      </c>
      <c r="U1380" t="s">
        <v>1953</v>
      </c>
      <c r="V1380" t="s">
        <v>2813</v>
      </c>
    </row>
    <row r="1381" spans="1:22" ht="15.75" thickBot="1" x14ac:dyDescent="0.3">
      <c r="A1381" t="s">
        <v>1916</v>
      </c>
      <c r="B1381" t="s">
        <v>1916</v>
      </c>
      <c r="C1381" t="s">
        <v>1916</v>
      </c>
      <c r="D1381" t="s">
        <v>629</v>
      </c>
      <c r="E1381" s="248" t="s">
        <v>1853</v>
      </c>
      <c r="F1381" t="s">
        <v>620</v>
      </c>
      <c r="G1381" s="89">
        <v>2009</v>
      </c>
      <c r="H1381" s="312" t="s">
        <v>731</v>
      </c>
      <c r="I1381" s="308" t="str">
        <f t="shared" si="68"/>
        <v>Pesado de Passageiros M3: III : Gasóleo : E4</v>
      </c>
      <c r="J1381" s="125">
        <v>53</v>
      </c>
      <c r="K1381" s="253">
        <v>2022</v>
      </c>
      <c r="L1381" s="85">
        <v>25155.1</v>
      </c>
      <c r="M1381" s="85" t="s">
        <v>630</v>
      </c>
      <c r="N1381" s="128">
        <v>91864</v>
      </c>
      <c r="O1381" s="128">
        <f t="shared" si="69"/>
        <v>4868792</v>
      </c>
      <c r="P1381" s="89">
        <v>8441</v>
      </c>
      <c r="Q1381" t="s">
        <v>47</v>
      </c>
      <c r="R1381" s="214" t="s">
        <v>1869</v>
      </c>
      <c r="S1381" s="214" t="s">
        <v>1861</v>
      </c>
      <c r="U1381" t="s">
        <v>1953</v>
      </c>
      <c r="V1381" t="s">
        <v>2813</v>
      </c>
    </row>
    <row r="1382" spans="1:22" ht="15.75" thickBot="1" x14ac:dyDescent="0.3">
      <c r="A1382" t="s">
        <v>1916</v>
      </c>
      <c r="B1382" t="s">
        <v>1916</v>
      </c>
      <c r="C1382" t="s">
        <v>1916</v>
      </c>
      <c r="D1382" t="s">
        <v>629</v>
      </c>
      <c r="E1382" s="248" t="s">
        <v>1853</v>
      </c>
      <c r="F1382" t="s">
        <v>620</v>
      </c>
      <c r="G1382" s="89">
        <v>2009</v>
      </c>
      <c r="H1382" s="312" t="s">
        <v>731</v>
      </c>
      <c r="I1382" s="308" t="str">
        <f t="shared" si="68"/>
        <v>Pesado de Passageiros M3: III : Gasóleo : E4</v>
      </c>
      <c r="J1382" s="125">
        <v>53</v>
      </c>
      <c r="K1382" s="253">
        <v>2022</v>
      </c>
      <c r="L1382" s="85">
        <v>17447.8</v>
      </c>
      <c r="M1382" s="85" t="s">
        <v>630</v>
      </c>
      <c r="N1382" s="128">
        <v>61307</v>
      </c>
      <c r="O1382" s="128">
        <f t="shared" si="69"/>
        <v>3249271</v>
      </c>
      <c r="P1382" s="89">
        <v>8442</v>
      </c>
      <c r="Q1382" t="s">
        <v>47</v>
      </c>
      <c r="R1382" s="214" t="s">
        <v>1869</v>
      </c>
      <c r="S1382" s="214" t="s">
        <v>1861</v>
      </c>
      <c r="U1382" t="s">
        <v>1953</v>
      </c>
      <c r="V1382" t="s">
        <v>2813</v>
      </c>
    </row>
    <row r="1383" spans="1:22" ht="15.75" thickBot="1" x14ac:dyDescent="0.3">
      <c r="A1383" t="s">
        <v>1916</v>
      </c>
      <c r="B1383" t="s">
        <v>1916</v>
      </c>
      <c r="C1383" t="s">
        <v>1916</v>
      </c>
      <c r="D1383" t="s">
        <v>629</v>
      </c>
      <c r="E1383" s="248" t="s">
        <v>1853</v>
      </c>
      <c r="F1383" t="s">
        <v>620</v>
      </c>
      <c r="G1383" s="89">
        <v>2009</v>
      </c>
      <c r="H1383" s="312" t="s">
        <v>731</v>
      </c>
      <c r="I1383" s="308" t="str">
        <f t="shared" si="68"/>
        <v>Pesado de Passageiros M3: III : Gasóleo : E4</v>
      </c>
      <c r="J1383" s="125">
        <v>53</v>
      </c>
      <c r="K1383" s="253">
        <v>2022</v>
      </c>
      <c r="L1383" s="85">
        <v>19521.100000000002</v>
      </c>
      <c r="M1383" s="85" t="s">
        <v>630</v>
      </c>
      <c r="N1383" s="128">
        <v>66205</v>
      </c>
      <c r="O1383" s="128">
        <f t="shared" si="69"/>
        <v>3508865</v>
      </c>
      <c r="P1383" s="89">
        <v>8443</v>
      </c>
      <c r="Q1383" t="s">
        <v>47</v>
      </c>
      <c r="R1383" s="214" t="s">
        <v>1869</v>
      </c>
      <c r="S1383" s="214" t="s">
        <v>1861</v>
      </c>
      <c r="U1383" t="s">
        <v>1953</v>
      </c>
      <c r="V1383" t="s">
        <v>2813</v>
      </c>
    </row>
    <row r="1384" spans="1:22" ht="15.75" thickBot="1" x14ac:dyDescent="0.3">
      <c r="A1384" t="s">
        <v>1916</v>
      </c>
      <c r="B1384" t="s">
        <v>1916</v>
      </c>
      <c r="C1384" t="s">
        <v>1916</v>
      </c>
      <c r="D1384" t="s">
        <v>629</v>
      </c>
      <c r="E1384" s="248" t="s">
        <v>1853</v>
      </c>
      <c r="F1384" t="s">
        <v>620</v>
      </c>
      <c r="G1384" s="89">
        <v>2009</v>
      </c>
      <c r="H1384" s="312" t="s">
        <v>731</v>
      </c>
      <c r="I1384" s="308" t="str">
        <f t="shared" si="68"/>
        <v>Pesado de Passageiros M3: III : Gasóleo : E4</v>
      </c>
      <c r="J1384" s="125">
        <v>53</v>
      </c>
      <c r="K1384" s="253">
        <v>2022</v>
      </c>
      <c r="L1384" s="85">
        <v>21845.7</v>
      </c>
      <c r="M1384" s="85" t="s">
        <v>630</v>
      </c>
      <c r="N1384" s="128">
        <v>69212</v>
      </c>
      <c r="O1384" s="128">
        <f t="shared" si="69"/>
        <v>3668236</v>
      </c>
      <c r="P1384" s="89">
        <v>8444</v>
      </c>
      <c r="Q1384" t="s">
        <v>47</v>
      </c>
      <c r="R1384" s="214" t="s">
        <v>1869</v>
      </c>
      <c r="S1384" s="214" t="s">
        <v>1861</v>
      </c>
      <c r="U1384" t="s">
        <v>1953</v>
      </c>
      <c r="V1384" t="s">
        <v>2813</v>
      </c>
    </row>
    <row r="1385" spans="1:22" ht="15.75" thickBot="1" x14ac:dyDescent="0.3">
      <c r="A1385" t="s">
        <v>1916</v>
      </c>
      <c r="B1385" t="s">
        <v>1916</v>
      </c>
      <c r="C1385" t="s">
        <v>1916</v>
      </c>
      <c r="D1385" t="s">
        <v>629</v>
      </c>
      <c r="E1385" s="248" t="s">
        <v>1853</v>
      </c>
      <c r="F1385" t="s">
        <v>620</v>
      </c>
      <c r="G1385" s="89">
        <v>2009</v>
      </c>
      <c r="H1385" s="312" t="s">
        <v>731</v>
      </c>
      <c r="I1385" s="308" t="str">
        <f t="shared" si="68"/>
        <v>Pesado de Passageiros M3: III : Gasóleo : E4</v>
      </c>
      <c r="J1385" s="125">
        <v>53</v>
      </c>
      <c r="K1385" s="253">
        <v>2022</v>
      </c>
      <c r="L1385" s="85">
        <v>18311.2</v>
      </c>
      <c r="M1385" s="85" t="s">
        <v>630</v>
      </c>
      <c r="N1385" s="128">
        <v>58268</v>
      </c>
      <c r="O1385" s="128">
        <f t="shared" si="69"/>
        <v>3088204</v>
      </c>
      <c r="P1385" s="89">
        <v>8445</v>
      </c>
      <c r="Q1385" t="s">
        <v>47</v>
      </c>
      <c r="R1385" s="214" t="s">
        <v>1869</v>
      </c>
      <c r="S1385" s="214" t="s">
        <v>1861</v>
      </c>
      <c r="U1385" t="s">
        <v>1953</v>
      </c>
      <c r="V1385" t="s">
        <v>2813</v>
      </c>
    </row>
    <row r="1386" spans="1:22" ht="15.75" thickBot="1" x14ac:dyDescent="0.3">
      <c r="A1386" t="s">
        <v>1916</v>
      </c>
      <c r="B1386" t="s">
        <v>1916</v>
      </c>
      <c r="C1386" t="s">
        <v>1916</v>
      </c>
      <c r="D1386" t="s">
        <v>629</v>
      </c>
      <c r="E1386" s="248" t="s">
        <v>1853</v>
      </c>
      <c r="F1386" t="s">
        <v>620</v>
      </c>
      <c r="G1386" s="89">
        <v>2009</v>
      </c>
      <c r="H1386" s="312" t="s">
        <v>731</v>
      </c>
      <c r="I1386" s="308" t="str">
        <f t="shared" si="68"/>
        <v>Pesado de Passageiros M3: III : Gasóleo : E4</v>
      </c>
      <c r="J1386" s="125">
        <v>53</v>
      </c>
      <c r="K1386" s="253">
        <v>2022</v>
      </c>
      <c r="L1386" s="85">
        <v>21718.2</v>
      </c>
      <c r="M1386" s="85" t="s">
        <v>630</v>
      </c>
      <c r="N1386" s="128">
        <v>71542</v>
      </c>
      <c r="O1386" s="128">
        <f t="shared" si="69"/>
        <v>3791726</v>
      </c>
      <c r="P1386" s="89">
        <v>8446</v>
      </c>
      <c r="Q1386" t="s">
        <v>47</v>
      </c>
      <c r="R1386" s="214" t="s">
        <v>1869</v>
      </c>
      <c r="S1386" s="214" t="s">
        <v>1861</v>
      </c>
      <c r="U1386" t="s">
        <v>1953</v>
      </c>
      <c r="V1386" t="s">
        <v>2813</v>
      </c>
    </row>
    <row r="1387" spans="1:22" ht="15.75" thickBot="1" x14ac:dyDescent="0.3">
      <c r="A1387" t="s">
        <v>1916</v>
      </c>
      <c r="B1387" t="s">
        <v>1916</v>
      </c>
      <c r="C1387" t="s">
        <v>1916</v>
      </c>
      <c r="D1387" t="s">
        <v>629</v>
      </c>
      <c r="E1387" s="248" t="s">
        <v>1853</v>
      </c>
      <c r="F1387" t="s">
        <v>620</v>
      </c>
      <c r="G1387" s="89">
        <v>2017</v>
      </c>
      <c r="H1387" s="312" t="s">
        <v>733</v>
      </c>
      <c r="I1387" s="308" t="str">
        <f t="shared" si="68"/>
        <v>Pesado de Passageiros M3: III : Gasóleo : E6</v>
      </c>
      <c r="J1387" s="125">
        <v>53</v>
      </c>
      <c r="K1387" s="253">
        <v>2022</v>
      </c>
      <c r="L1387" s="85">
        <v>39551.299999999996</v>
      </c>
      <c r="M1387" s="85" t="s">
        <v>630</v>
      </c>
      <c r="N1387" s="128">
        <v>154091</v>
      </c>
      <c r="O1387" s="128">
        <f t="shared" si="69"/>
        <v>8166823</v>
      </c>
      <c r="P1387" s="89">
        <v>8447</v>
      </c>
      <c r="Q1387" t="s">
        <v>47</v>
      </c>
      <c r="R1387" s="214" t="s">
        <v>1869</v>
      </c>
      <c r="S1387" s="214" t="s">
        <v>1861</v>
      </c>
      <c r="U1387" t="s">
        <v>1953</v>
      </c>
      <c r="V1387" t="s">
        <v>2813</v>
      </c>
    </row>
    <row r="1388" spans="1:22" ht="15.75" thickBot="1" x14ac:dyDescent="0.3">
      <c r="A1388" t="s">
        <v>1916</v>
      </c>
      <c r="B1388" t="s">
        <v>1916</v>
      </c>
      <c r="C1388" t="s">
        <v>1916</v>
      </c>
      <c r="D1388" t="s">
        <v>629</v>
      </c>
      <c r="E1388" s="248" t="s">
        <v>1853</v>
      </c>
      <c r="F1388" t="s">
        <v>620</v>
      </c>
      <c r="G1388" s="89">
        <v>2017</v>
      </c>
      <c r="H1388" s="312" t="s">
        <v>733</v>
      </c>
      <c r="I1388" s="308" t="str">
        <f t="shared" si="68"/>
        <v>Pesado de Passageiros M3: III : Gasóleo : E6</v>
      </c>
      <c r="J1388" s="125">
        <v>53</v>
      </c>
      <c r="K1388" s="253">
        <v>2022</v>
      </c>
      <c r="L1388" s="85">
        <v>50427.299999999988</v>
      </c>
      <c r="M1388" s="85" t="s">
        <v>630</v>
      </c>
      <c r="N1388" s="128">
        <v>166299</v>
      </c>
      <c r="O1388" s="128">
        <f t="shared" si="69"/>
        <v>8813847</v>
      </c>
      <c r="P1388" s="89">
        <v>8448</v>
      </c>
      <c r="Q1388" t="s">
        <v>47</v>
      </c>
      <c r="R1388" s="214" t="s">
        <v>1869</v>
      </c>
      <c r="S1388" s="214" t="s">
        <v>1861</v>
      </c>
      <c r="U1388" t="s">
        <v>1953</v>
      </c>
      <c r="V1388" t="s">
        <v>2813</v>
      </c>
    </row>
    <row r="1389" spans="1:22" ht="15.75" thickBot="1" x14ac:dyDescent="0.3">
      <c r="A1389" t="s">
        <v>1916</v>
      </c>
      <c r="B1389" t="s">
        <v>1916</v>
      </c>
      <c r="C1389" t="s">
        <v>1916</v>
      </c>
      <c r="D1389" t="s">
        <v>629</v>
      </c>
      <c r="E1389" s="248" t="s">
        <v>1853</v>
      </c>
      <c r="F1389" t="s">
        <v>620</v>
      </c>
      <c r="G1389" s="89">
        <v>2017</v>
      </c>
      <c r="H1389" s="312" t="s">
        <v>733</v>
      </c>
      <c r="I1389" s="308" t="str">
        <f t="shared" si="68"/>
        <v>Pesado de Passageiros M3: III : Gasóleo : E6</v>
      </c>
      <c r="J1389" s="125">
        <v>53</v>
      </c>
      <c r="K1389" s="253">
        <v>2022</v>
      </c>
      <c r="L1389" s="85">
        <v>49009.700000000004</v>
      </c>
      <c r="M1389" s="85" t="s">
        <v>630</v>
      </c>
      <c r="N1389" s="128">
        <v>177745</v>
      </c>
      <c r="O1389" s="128">
        <f t="shared" si="69"/>
        <v>9420485</v>
      </c>
      <c r="P1389" s="89">
        <v>8449</v>
      </c>
      <c r="Q1389" t="s">
        <v>47</v>
      </c>
      <c r="R1389" s="214" t="s">
        <v>1869</v>
      </c>
      <c r="S1389" s="214" t="s">
        <v>1861</v>
      </c>
      <c r="U1389" t="s">
        <v>1953</v>
      </c>
      <c r="V1389" t="s">
        <v>2813</v>
      </c>
    </row>
    <row r="1390" spans="1:22" ht="15.75" thickBot="1" x14ac:dyDescent="0.3">
      <c r="A1390" t="s">
        <v>1916</v>
      </c>
      <c r="B1390" t="s">
        <v>1916</v>
      </c>
      <c r="C1390" t="s">
        <v>1916</v>
      </c>
      <c r="D1390" t="s">
        <v>629</v>
      </c>
      <c r="E1390" s="248" t="s">
        <v>1853</v>
      </c>
      <c r="F1390" t="s">
        <v>620</v>
      </c>
      <c r="G1390" s="89">
        <v>2017</v>
      </c>
      <c r="H1390" s="312" t="s">
        <v>733</v>
      </c>
      <c r="I1390" s="308" t="str">
        <f t="shared" si="68"/>
        <v>Pesado de Passageiros M3: III : Gasóleo : E6</v>
      </c>
      <c r="J1390" s="125">
        <v>53</v>
      </c>
      <c r="K1390" s="253">
        <v>2022</v>
      </c>
      <c r="L1390" s="85">
        <v>46965.599999999999</v>
      </c>
      <c r="M1390" s="85" t="s">
        <v>630</v>
      </c>
      <c r="N1390" s="128">
        <v>167136</v>
      </c>
      <c r="O1390" s="128">
        <f t="shared" si="69"/>
        <v>8858208</v>
      </c>
      <c r="P1390" s="89">
        <v>8450</v>
      </c>
      <c r="Q1390" t="s">
        <v>47</v>
      </c>
      <c r="R1390" s="214" t="s">
        <v>1869</v>
      </c>
      <c r="S1390" s="214" t="s">
        <v>1861</v>
      </c>
      <c r="U1390" t="s">
        <v>1953</v>
      </c>
      <c r="V1390" t="s">
        <v>2813</v>
      </c>
    </row>
    <row r="1391" spans="1:22" ht="15.75" thickBot="1" x14ac:dyDescent="0.3">
      <c r="A1391" t="s">
        <v>1916</v>
      </c>
      <c r="B1391" t="s">
        <v>1916</v>
      </c>
      <c r="C1391" t="s">
        <v>1916</v>
      </c>
      <c r="D1391" t="s">
        <v>629</v>
      </c>
      <c r="E1391" s="248" t="s">
        <v>1853</v>
      </c>
      <c r="F1391" t="s">
        <v>620</v>
      </c>
      <c r="G1391" s="89">
        <v>2001</v>
      </c>
      <c r="H1391" s="312" t="s">
        <v>735</v>
      </c>
      <c r="I1391" s="308" t="str">
        <f t="shared" si="68"/>
        <v>Pesado de Passageiros M3: III : Gasóleo : E2</v>
      </c>
      <c r="J1391" s="125">
        <v>55</v>
      </c>
      <c r="K1391" s="253">
        <v>2022</v>
      </c>
      <c r="L1391" s="85">
        <v>25652.799999999999</v>
      </c>
      <c r="M1391" s="85" t="s">
        <v>630</v>
      </c>
      <c r="N1391" s="128">
        <v>69293</v>
      </c>
      <c r="O1391" s="128">
        <f t="shared" si="69"/>
        <v>3811115</v>
      </c>
      <c r="P1391" s="89">
        <v>8451</v>
      </c>
      <c r="Q1391" t="s">
        <v>47</v>
      </c>
      <c r="R1391" s="214" t="s">
        <v>1869</v>
      </c>
      <c r="S1391" s="214" t="s">
        <v>1861</v>
      </c>
      <c r="U1391" t="s">
        <v>1953</v>
      </c>
      <c r="V1391" t="s">
        <v>2813</v>
      </c>
    </row>
    <row r="1392" spans="1:22" ht="15.75" thickBot="1" x14ac:dyDescent="0.3">
      <c r="A1392" t="s">
        <v>1916</v>
      </c>
      <c r="B1392" t="s">
        <v>1916</v>
      </c>
      <c r="C1392" t="s">
        <v>1916</v>
      </c>
      <c r="D1392" t="s">
        <v>629</v>
      </c>
      <c r="E1392" s="248" t="s">
        <v>1853</v>
      </c>
      <c r="F1392" t="s">
        <v>620</v>
      </c>
      <c r="G1392" s="89">
        <v>2001</v>
      </c>
      <c r="H1392" s="312" t="s">
        <v>735</v>
      </c>
      <c r="I1392" s="308" t="str">
        <f t="shared" si="68"/>
        <v>Pesado de Passageiros M3: III : Gasóleo : E2</v>
      </c>
      <c r="J1392" s="125">
        <v>55</v>
      </c>
      <c r="K1392" s="253">
        <v>2022</v>
      </c>
      <c r="L1392" s="85">
        <v>12889.1</v>
      </c>
      <c r="M1392" s="85" t="s">
        <v>630</v>
      </c>
      <c r="N1392" s="128">
        <v>36311</v>
      </c>
      <c r="O1392" s="128">
        <f t="shared" si="69"/>
        <v>1997105</v>
      </c>
      <c r="P1392" s="89">
        <v>8452</v>
      </c>
      <c r="Q1392" t="s">
        <v>47</v>
      </c>
      <c r="R1392" s="214" t="s">
        <v>1869</v>
      </c>
      <c r="S1392" s="214" t="s">
        <v>1861</v>
      </c>
      <c r="U1392" t="s">
        <v>1953</v>
      </c>
      <c r="V1392" t="s">
        <v>2813</v>
      </c>
    </row>
    <row r="1393" spans="1:22" ht="15.75" thickBot="1" x14ac:dyDescent="0.3">
      <c r="A1393" t="s">
        <v>1916</v>
      </c>
      <c r="B1393" t="s">
        <v>1916</v>
      </c>
      <c r="C1393" t="s">
        <v>1916</v>
      </c>
      <c r="D1393" t="s">
        <v>629</v>
      </c>
      <c r="E1393" s="248" t="s">
        <v>1853</v>
      </c>
      <c r="F1393" t="s">
        <v>620</v>
      </c>
      <c r="G1393" s="89">
        <v>2001</v>
      </c>
      <c r="H1393" s="312" t="s">
        <v>735</v>
      </c>
      <c r="I1393" s="308" t="str">
        <f t="shared" si="68"/>
        <v>Pesado de Passageiros M3: III : Gasóleo : E2</v>
      </c>
      <c r="J1393" s="125">
        <v>57</v>
      </c>
      <c r="K1393" s="253">
        <v>2022</v>
      </c>
      <c r="L1393" s="85">
        <v>14297</v>
      </c>
      <c r="M1393" s="85" t="s">
        <v>630</v>
      </c>
      <c r="N1393" s="128">
        <v>46283</v>
      </c>
      <c r="O1393" s="128">
        <f t="shared" si="69"/>
        <v>2638131</v>
      </c>
      <c r="P1393" s="89">
        <v>8453</v>
      </c>
      <c r="Q1393" t="s">
        <v>47</v>
      </c>
      <c r="R1393" s="214" t="s">
        <v>1869</v>
      </c>
      <c r="S1393" s="214" t="s">
        <v>1861</v>
      </c>
      <c r="U1393" t="s">
        <v>1953</v>
      </c>
      <c r="V1393" t="s">
        <v>2813</v>
      </c>
    </row>
    <row r="1394" spans="1:22" ht="15.75" thickBot="1" x14ac:dyDescent="0.3">
      <c r="A1394" t="s">
        <v>1916</v>
      </c>
      <c r="B1394" t="s">
        <v>1916</v>
      </c>
      <c r="C1394" t="s">
        <v>1916</v>
      </c>
      <c r="D1394" t="s">
        <v>629</v>
      </c>
      <c r="E1394" s="248" t="s">
        <v>1853</v>
      </c>
      <c r="F1394" t="s">
        <v>620</v>
      </c>
      <c r="G1394" s="89">
        <v>2001</v>
      </c>
      <c r="H1394" s="312" t="s">
        <v>735</v>
      </c>
      <c r="I1394" s="308" t="str">
        <f t="shared" si="68"/>
        <v>Pesado de Passageiros M3: III : Gasóleo : E2</v>
      </c>
      <c r="J1394" s="125">
        <v>55</v>
      </c>
      <c r="K1394" s="253">
        <v>2022</v>
      </c>
      <c r="L1394" s="85">
        <v>15410.300000000001</v>
      </c>
      <c r="M1394" s="85" t="s">
        <v>630</v>
      </c>
      <c r="N1394" s="128">
        <v>44275</v>
      </c>
      <c r="O1394" s="128">
        <f t="shared" si="69"/>
        <v>2435125</v>
      </c>
      <c r="P1394" s="89">
        <v>8454</v>
      </c>
      <c r="Q1394" t="s">
        <v>47</v>
      </c>
      <c r="R1394" s="214" t="s">
        <v>1869</v>
      </c>
      <c r="S1394" s="214" t="s">
        <v>1861</v>
      </c>
      <c r="U1394" t="s">
        <v>1953</v>
      </c>
      <c r="V1394" t="s">
        <v>2813</v>
      </c>
    </row>
    <row r="1395" spans="1:22" ht="15.75" thickBot="1" x14ac:dyDescent="0.3">
      <c r="A1395" t="s">
        <v>1916</v>
      </c>
      <c r="B1395" t="s">
        <v>1916</v>
      </c>
      <c r="C1395" t="s">
        <v>1916</v>
      </c>
      <c r="D1395" t="s">
        <v>629</v>
      </c>
      <c r="E1395" s="248" t="s">
        <v>1853</v>
      </c>
      <c r="F1395" t="s">
        <v>620</v>
      </c>
      <c r="G1395" s="89">
        <v>2016</v>
      </c>
      <c r="H1395" s="312" t="s">
        <v>733</v>
      </c>
      <c r="I1395" s="308" t="str">
        <f t="shared" si="68"/>
        <v>Pesado de Passageiros M3: III : Gasóleo : E6</v>
      </c>
      <c r="J1395" s="125">
        <v>54</v>
      </c>
      <c r="K1395" s="253">
        <v>2022</v>
      </c>
      <c r="L1395" s="85">
        <v>18640.399999999998</v>
      </c>
      <c r="M1395" s="85" t="s">
        <v>630</v>
      </c>
      <c r="N1395" s="128">
        <v>65986</v>
      </c>
      <c r="O1395" s="128">
        <f t="shared" si="69"/>
        <v>3563244</v>
      </c>
      <c r="P1395" s="89">
        <v>8455</v>
      </c>
      <c r="Q1395" t="s">
        <v>47</v>
      </c>
      <c r="R1395" s="214" t="s">
        <v>1869</v>
      </c>
      <c r="S1395" s="214" t="s">
        <v>1861</v>
      </c>
      <c r="U1395" t="s">
        <v>1953</v>
      </c>
      <c r="V1395" t="s">
        <v>2813</v>
      </c>
    </row>
    <row r="1396" spans="1:22" ht="15.75" thickBot="1" x14ac:dyDescent="0.3">
      <c r="A1396" t="s">
        <v>1916</v>
      </c>
      <c r="B1396" t="s">
        <v>1916</v>
      </c>
      <c r="C1396" t="s">
        <v>1916</v>
      </c>
      <c r="D1396" t="s">
        <v>629</v>
      </c>
      <c r="E1396" s="248" t="s">
        <v>1853</v>
      </c>
      <c r="F1396" t="s">
        <v>620</v>
      </c>
      <c r="G1396" s="89">
        <v>2016</v>
      </c>
      <c r="H1396" s="312" t="s">
        <v>733</v>
      </c>
      <c r="I1396" s="308" t="str">
        <f t="shared" si="68"/>
        <v>Pesado de Passageiros M3: III : Gasóleo : E6</v>
      </c>
      <c r="J1396" s="125">
        <v>54</v>
      </c>
      <c r="K1396" s="253">
        <v>2022</v>
      </c>
      <c r="L1396" s="85">
        <v>22674.6</v>
      </c>
      <c r="M1396" s="85" t="s">
        <v>630</v>
      </c>
      <c r="N1396" s="128">
        <v>78078</v>
      </c>
      <c r="O1396" s="128">
        <f t="shared" si="69"/>
        <v>4216212</v>
      </c>
      <c r="P1396" s="89">
        <v>8456</v>
      </c>
      <c r="Q1396" t="s">
        <v>47</v>
      </c>
      <c r="R1396" s="214" t="s">
        <v>1869</v>
      </c>
      <c r="S1396" s="214" t="s">
        <v>1861</v>
      </c>
      <c r="U1396" t="s">
        <v>1953</v>
      </c>
      <c r="V1396" t="s">
        <v>2813</v>
      </c>
    </row>
    <row r="1397" spans="1:22" ht="15.75" thickBot="1" x14ac:dyDescent="0.3">
      <c r="A1397" t="s">
        <v>1916</v>
      </c>
      <c r="B1397" t="s">
        <v>1916</v>
      </c>
      <c r="C1397" t="s">
        <v>1916</v>
      </c>
      <c r="D1397" t="s">
        <v>629</v>
      </c>
      <c r="E1397" s="248" t="s">
        <v>1853</v>
      </c>
      <c r="F1397" t="s">
        <v>620</v>
      </c>
      <c r="G1397" s="89">
        <v>2002</v>
      </c>
      <c r="H1397" s="312" t="s">
        <v>732</v>
      </c>
      <c r="I1397" s="308" t="str">
        <f t="shared" si="68"/>
        <v>Pesado de Passageiros M3: III : Gasóleo : E3</v>
      </c>
      <c r="J1397" s="125">
        <v>52</v>
      </c>
      <c r="K1397" s="253">
        <v>2022</v>
      </c>
      <c r="L1397" s="85">
        <v>6649</v>
      </c>
      <c r="M1397" s="85" t="s">
        <v>630</v>
      </c>
      <c r="N1397" s="128">
        <v>19923</v>
      </c>
      <c r="O1397" s="128">
        <f t="shared" si="69"/>
        <v>1035996</v>
      </c>
      <c r="P1397" s="89">
        <v>8457</v>
      </c>
      <c r="Q1397" t="s">
        <v>47</v>
      </c>
      <c r="R1397" s="214" t="s">
        <v>1869</v>
      </c>
      <c r="S1397" s="214" t="s">
        <v>1861</v>
      </c>
      <c r="U1397" t="s">
        <v>1953</v>
      </c>
      <c r="V1397" t="s">
        <v>2813</v>
      </c>
    </row>
    <row r="1398" spans="1:22" ht="15.75" thickBot="1" x14ac:dyDescent="0.3">
      <c r="A1398" t="s">
        <v>1916</v>
      </c>
      <c r="B1398" t="s">
        <v>1916</v>
      </c>
      <c r="C1398" t="s">
        <v>1916</v>
      </c>
      <c r="D1398" t="s">
        <v>629</v>
      </c>
      <c r="E1398" s="248" t="s">
        <v>1853</v>
      </c>
      <c r="F1398" t="s">
        <v>620</v>
      </c>
      <c r="G1398" s="89">
        <v>2001</v>
      </c>
      <c r="H1398" s="312" t="s">
        <v>735</v>
      </c>
      <c r="I1398" s="308" t="str">
        <f t="shared" si="68"/>
        <v>Pesado de Passageiros M3: III : Gasóleo : E2</v>
      </c>
      <c r="J1398" s="125">
        <v>50</v>
      </c>
      <c r="K1398" s="253">
        <v>2022</v>
      </c>
      <c r="L1398" s="85">
        <v>4382.3</v>
      </c>
      <c r="M1398" s="85" t="s">
        <v>630</v>
      </c>
      <c r="N1398" s="128">
        <v>11648</v>
      </c>
      <c r="O1398" s="128">
        <f t="shared" si="69"/>
        <v>582400</v>
      </c>
      <c r="P1398" s="89">
        <v>8458</v>
      </c>
      <c r="Q1398" t="s">
        <v>47</v>
      </c>
      <c r="R1398" s="214" t="s">
        <v>1869</v>
      </c>
      <c r="S1398" s="214" t="s">
        <v>1861</v>
      </c>
      <c r="U1398" t="s">
        <v>1953</v>
      </c>
      <c r="V1398" t="s">
        <v>2813</v>
      </c>
    </row>
    <row r="1399" spans="1:22" ht="15.75" thickBot="1" x14ac:dyDescent="0.3">
      <c r="A1399" t="s">
        <v>1916</v>
      </c>
      <c r="B1399" t="s">
        <v>1916</v>
      </c>
      <c r="C1399" t="s">
        <v>1916</v>
      </c>
      <c r="D1399" t="s">
        <v>629</v>
      </c>
      <c r="E1399" s="248" t="s">
        <v>1853</v>
      </c>
      <c r="F1399" t="s">
        <v>620</v>
      </c>
      <c r="G1399" s="89">
        <v>2001</v>
      </c>
      <c r="H1399" s="312" t="s">
        <v>735</v>
      </c>
      <c r="I1399" s="308" t="str">
        <f t="shared" si="68"/>
        <v>Pesado de Passageiros M3: III : Gasóleo : E2</v>
      </c>
      <c r="J1399" s="125">
        <v>50</v>
      </c>
      <c r="K1399" s="253">
        <v>2022</v>
      </c>
      <c r="L1399" s="85">
        <v>7762.7000000000007</v>
      </c>
      <c r="M1399" s="85" t="s">
        <v>630</v>
      </c>
      <c r="N1399" s="128">
        <v>20928</v>
      </c>
      <c r="O1399" s="128">
        <f t="shared" si="69"/>
        <v>1046400</v>
      </c>
      <c r="P1399" s="89">
        <v>8459</v>
      </c>
      <c r="Q1399" t="s">
        <v>47</v>
      </c>
      <c r="R1399" s="214" t="s">
        <v>1869</v>
      </c>
      <c r="S1399" s="214" t="s">
        <v>1861</v>
      </c>
      <c r="U1399" t="s">
        <v>1953</v>
      </c>
      <c r="V1399" t="s">
        <v>2813</v>
      </c>
    </row>
    <row r="1400" spans="1:22" ht="15.75" thickBot="1" x14ac:dyDescent="0.3">
      <c r="A1400" t="s">
        <v>1916</v>
      </c>
      <c r="B1400" t="s">
        <v>1916</v>
      </c>
      <c r="C1400" t="s">
        <v>1916</v>
      </c>
      <c r="D1400" t="s">
        <v>629</v>
      </c>
      <c r="E1400" s="248" t="s">
        <v>1853</v>
      </c>
      <c r="F1400" t="s">
        <v>620</v>
      </c>
      <c r="G1400" s="89">
        <v>2022</v>
      </c>
      <c r="H1400" s="312" t="s">
        <v>732</v>
      </c>
      <c r="I1400" s="308" t="str">
        <f t="shared" si="68"/>
        <v>Pesado de Passageiros M3: III : Gasóleo : E3</v>
      </c>
      <c r="J1400" s="125">
        <v>61</v>
      </c>
      <c r="K1400" s="253">
        <v>2022</v>
      </c>
      <c r="L1400" s="85">
        <v>7658.1</v>
      </c>
      <c r="M1400" s="85" t="s">
        <v>630</v>
      </c>
      <c r="N1400" s="128">
        <v>18350</v>
      </c>
      <c r="O1400" s="128">
        <f t="shared" si="69"/>
        <v>1119350</v>
      </c>
      <c r="P1400" s="89">
        <v>8460</v>
      </c>
      <c r="Q1400" t="s">
        <v>47</v>
      </c>
      <c r="R1400" s="214" t="s">
        <v>1869</v>
      </c>
      <c r="S1400" s="214" t="s">
        <v>1861</v>
      </c>
      <c r="U1400" t="s">
        <v>1953</v>
      </c>
      <c r="V1400" t="s">
        <v>2813</v>
      </c>
    </row>
    <row r="1401" spans="1:22" ht="15.75" thickBot="1" x14ac:dyDescent="0.3">
      <c r="A1401" t="s">
        <v>1916</v>
      </c>
      <c r="B1401" t="s">
        <v>1916</v>
      </c>
      <c r="C1401" t="s">
        <v>1916</v>
      </c>
      <c r="D1401" t="s">
        <v>629</v>
      </c>
      <c r="E1401" s="248" t="s">
        <v>1853</v>
      </c>
      <c r="F1401" t="s">
        <v>620</v>
      </c>
      <c r="G1401" s="89">
        <v>2018</v>
      </c>
      <c r="H1401" s="312" t="s">
        <v>733</v>
      </c>
      <c r="I1401" s="308" t="str">
        <f t="shared" si="68"/>
        <v>Pesado de Passageiros M3: III : Gasóleo : E6</v>
      </c>
      <c r="J1401" s="125">
        <v>55</v>
      </c>
      <c r="K1401" s="253">
        <v>2022</v>
      </c>
      <c r="L1401" s="85">
        <v>0</v>
      </c>
      <c r="M1401" s="85" t="s">
        <v>630</v>
      </c>
      <c r="N1401" s="128">
        <v>0</v>
      </c>
      <c r="O1401" s="128">
        <f t="shared" si="69"/>
        <v>0</v>
      </c>
      <c r="P1401" s="89">
        <v>8461</v>
      </c>
      <c r="Q1401" t="s">
        <v>47</v>
      </c>
      <c r="R1401" s="214" t="s">
        <v>1869</v>
      </c>
      <c r="S1401" s="214" t="s">
        <v>1861</v>
      </c>
      <c r="U1401" t="s">
        <v>1953</v>
      </c>
      <c r="V1401" t="s">
        <v>2813</v>
      </c>
    </row>
    <row r="1402" spans="1:22" ht="15.75" thickBot="1" x14ac:dyDescent="0.3">
      <c r="A1402" t="s">
        <v>1916</v>
      </c>
      <c r="B1402" t="s">
        <v>1916</v>
      </c>
      <c r="C1402" t="s">
        <v>1916</v>
      </c>
      <c r="D1402" t="s">
        <v>629</v>
      </c>
      <c r="E1402" s="248" t="s">
        <v>1853</v>
      </c>
      <c r="F1402" t="s">
        <v>620</v>
      </c>
      <c r="G1402" s="89">
        <v>2009</v>
      </c>
      <c r="H1402" s="312" t="s">
        <v>734</v>
      </c>
      <c r="I1402" s="308" t="str">
        <f t="shared" si="68"/>
        <v>Pesado de Passageiros M3: III : Gasóleo : E5</v>
      </c>
      <c r="J1402" s="125">
        <v>84</v>
      </c>
      <c r="K1402" s="253">
        <v>2022</v>
      </c>
      <c r="L1402" s="85">
        <v>9785</v>
      </c>
      <c r="M1402" s="85" t="s">
        <v>630</v>
      </c>
      <c r="N1402" s="128">
        <v>31491</v>
      </c>
      <c r="O1402" s="128">
        <f t="shared" si="69"/>
        <v>2645244</v>
      </c>
      <c r="P1402" s="89">
        <v>8500</v>
      </c>
      <c r="Q1402" t="s">
        <v>47</v>
      </c>
      <c r="R1402" s="214" t="s">
        <v>1869</v>
      </c>
      <c r="S1402" s="214" t="s">
        <v>1861</v>
      </c>
      <c r="U1402" t="s">
        <v>1953</v>
      </c>
      <c r="V1402" t="s">
        <v>2813</v>
      </c>
    </row>
    <row r="1403" spans="1:22" ht="15.75" thickBot="1" x14ac:dyDescent="0.3">
      <c r="A1403" t="s">
        <v>1916</v>
      </c>
      <c r="B1403" t="s">
        <v>1916</v>
      </c>
      <c r="C1403" t="s">
        <v>1916</v>
      </c>
      <c r="D1403" t="s">
        <v>629</v>
      </c>
      <c r="E1403" s="248" t="s">
        <v>1853</v>
      </c>
      <c r="F1403" t="s">
        <v>620</v>
      </c>
      <c r="G1403" s="89">
        <v>2010</v>
      </c>
      <c r="H1403" s="312" t="s">
        <v>734</v>
      </c>
      <c r="I1403" s="308" t="str">
        <f t="shared" si="68"/>
        <v>Pesado de Passageiros M3: III : Gasóleo : E5</v>
      </c>
      <c r="J1403" s="125">
        <v>86</v>
      </c>
      <c r="K1403" s="253">
        <v>2022</v>
      </c>
      <c r="L1403" s="85">
        <v>12860.400000000001</v>
      </c>
      <c r="M1403" s="85" t="s">
        <v>630</v>
      </c>
      <c r="N1403" s="128">
        <v>35936</v>
      </c>
      <c r="O1403" s="128">
        <f t="shared" si="69"/>
        <v>3090496</v>
      </c>
      <c r="P1403" s="89">
        <v>8501</v>
      </c>
      <c r="Q1403" t="s">
        <v>47</v>
      </c>
      <c r="R1403" s="214" t="s">
        <v>1869</v>
      </c>
      <c r="S1403" s="214" t="s">
        <v>1861</v>
      </c>
      <c r="U1403" t="s">
        <v>1953</v>
      </c>
      <c r="V1403" t="s">
        <v>2813</v>
      </c>
    </row>
    <row r="1404" spans="1:22" ht="15.75" thickBot="1" x14ac:dyDescent="0.3">
      <c r="A1404" t="s">
        <v>1916</v>
      </c>
      <c r="B1404" t="s">
        <v>1916</v>
      </c>
      <c r="C1404" t="s">
        <v>1916</v>
      </c>
      <c r="D1404" t="s">
        <v>629</v>
      </c>
      <c r="E1404" s="248" t="s">
        <v>1853</v>
      </c>
      <c r="F1404" t="s">
        <v>620</v>
      </c>
      <c r="G1404" s="89">
        <v>2006</v>
      </c>
      <c r="H1404" s="312" t="s">
        <v>732</v>
      </c>
      <c r="I1404" s="308" t="str">
        <f t="shared" si="68"/>
        <v>Pesado de Passageiros M3: III : Gasóleo : E3</v>
      </c>
      <c r="J1404" s="125">
        <v>78</v>
      </c>
      <c r="K1404" s="253">
        <v>2022</v>
      </c>
      <c r="L1404" s="85">
        <v>15831.9</v>
      </c>
      <c r="M1404" s="85" t="s">
        <v>630</v>
      </c>
      <c r="N1404" s="128">
        <v>45415</v>
      </c>
      <c r="O1404" s="128">
        <f t="shared" si="69"/>
        <v>3542370</v>
      </c>
      <c r="P1404" s="89">
        <v>8502</v>
      </c>
      <c r="Q1404" t="s">
        <v>47</v>
      </c>
      <c r="R1404" s="214" t="s">
        <v>1869</v>
      </c>
      <c r="S1404" s="214" t="s">
        <v>1861</v>
      </c>
      <c r="U1404" t="s">
        <v>1953</v>
      </c>
      <c r="V1404" t="s">
        <v>2813</v>
      </c>
    </row>
    <row r="1405" spans="1:22" ht="15.75" thickBot="1" x14ac:dyDescent="0.3">
      <c r="A1405" t="s">
        <v>1916</v>
      </c>
      <c r="B1405" t="s">
        <v>1916</v>
      </c>
      <c r="C1405" t="s">
        <v>1916</v>
      </c>
      <c r="D1405" t="s">
        <v>629</v>
      </c>
      <c r="E1405" s="248" t="s">
        <v>1853</v>
      </c>
      <c r="F1405" t="s">
        <v>620</v>
      </c>
      <c r="G1405" s="89">
        <v>2008</v>
      </c>
      <c r="H1405" s="312" t="s">
        <v>731</v>
      </c>
      <c r="I1405" s="308" t="str">
        <f t="shared" si="68"/>
        <v>Pesado de Passageiros M3: III : Gasóleo : E4</v>
      </c>
      <c r="J1405" s="125">
        <v>23</v>
      </c>
      <c r="K1405" s="253">
        <v>2022</v>
      </c>
      <c r="L1405" s="85">
        <v>6569.8000000000011</v>
      </c>
      <c r="M1405" s="85" t="s">
        <v>630</v>
      </c>
      <c r="N1405" s="128">
        <v>39428</v>
      </c>
      <c r="O1405" s="128">
        <f t="shared" si="69"/>
        <v>906844</v>
      </c>
      <c r="P1405" s="89">
        <v>8503</v>
      </c>
      <c r="Q1405" t="s">
        <v>47</v>
      </c>
      <c r="R1405" s="214" t="s">
        <v>1869</v>
      </c>
      <c r="S1405" s="214" t="s">
        <v>1861</v>
      </c>
      <c r="U1405" t="s">
        <v>1953</v>
      </c>
      <c r="V1405" t="s">
        <v>2813</v>
      </c>
    </row>
    <row r="1406" spans="1:22" ht="15.75" thickBot="1" x14ac:dyDescent="0.3">
      <c r="A1406" t="s">
        <v>1916</v>
      </c>
      <c r="B1406" t="s">
        <v>1916</v>
      </c>
      <c r="C1406" t="s">
        <v>1916</v>
      </c>
      <c r="D1406" t="s">
        <v>629</v>
      </c>
      <c r="E1406" s="248" t="s">
        <v>1853</v>
      </c>
      <c r="F1406" t="s">
        <v>620</v>
      </c>
      <c r="G1406" s="89">
        <v>2006</v>
      </c>
      <c r="H1406" s="312" t="s">
        <v>731</v>
      </c>
      <c r="I1406" s="308" t="str">
        <f t="shared" si="68"/>
        <v>Pesado de Passageiros M3: III : Gasóleo : E4</v>
      </c>
      <c r="J1406" s="125">
        <v>80</v>
      </c>
      <c r="K1406" s="253">
        <v>2022</v>
      </c>
      <c r="L1406" s="85">
        <v>15842.810000000001</v>
      </c>
      <c r="M1406" s="85" t="s">
        <v>630</v>
      </c>
      <c r="N1406" s="128">
        <v>47664</v>
      </c>
      <c r="O1406" s="128">
        <f t="shared" si="69"/>
        <v>3813120</v>
      </c>
      <c r="P1406" s="89">
        <v>8504</v>
      </c>
      <c r="Q1406" t="s">
        <v>47</v>
      </c>
      <c r="R1406" s="214" t="s">
        <v>1869</v>
      </c>
      <c r="S1406" s="214" t="s">
        <v>1861</v>
      </c>
      <c r="U1406" t="s">
        <v>1953</v>
      </c>
      <c r="V1406" t="s">
        <v>2813</v>
      </c>
    </row>
    <row r="1407" spans="1:22" ht="15.75" thickBot="1" x14ac:dyDescent="0.3">
      <c r="A1407" t="s">
        <v>1916</v>
      </c>
      <c r="B1407" t="s">
        <v>1916</v>
      </c>
      <c r="C1407" t="s">
        <v>1916</v>
      </c>
      <c r="D1407" t="s">
        <v>629</v>
      </c>
      <c r="E1407" s="248" t="s">
        <v>1853</v>
      </c>
      <c r="F1407" t="s">
        <v>620</v>
      </c>
      <c r="G1407" s="89">
        <v>2019</v>
      </c>
      <c r="H1407" s="312" t="s">
        <v>733</v>
      </c>
      <c r="I1407" s="308" t="str">
        <f t="shared" si="68"/>
        <v>Pesado de Passageiros M3: III : Gasóleo : E6</v>
      </c>
      <c r="J1407" s="125">
        <v>53</v>
      </c>
      <c r="K1407" s="253">
        <v>2022</v>
      </c>
      <c r="L1407" s="85">
        <v>9248</v>
      </c>
      <c r="M1407" s="85" t="s">
        <v>630</v>
      </c>
      <c r="N1407" s="128">
        <v>34707</v>
      </c>
      <c r="O1407" s="128">
        <f t="shared" si="69"/>
        <v>1839471</v>
      </c>
      <c r="P1407" s="89">
        <v>8505</v>
      </c>
      <c r="Q1407" t="s">
        <v>47</v>
      </c>
      <c r="R1407" s="214" t="s">
        <v>1869</v>
      </c>
      <c r="S1407" s="214" t="s">
        <v>1861</v>
      </c>
      <c r="U1407" t="s">
        <v>1953</v>
      </c>
      <c r="V1407" t="s">
        <v>2813</v>
      </c>
    </row>
    <row r="1408" spans="1:22" ht="15.75" thickBot="1" x14ac:dyDescent="0.3">
      <c r="A1408" t="s">
        <v>1916</v>
      </c>
      <c r="B1408" t="s">
        <v>1916</v>
      </c>
      <c r="C1408" t="s">
        <v>1916</v>
      </c>
      <c r="D1408" t="s">
        <v>629</v>
      </c>
      <c r="E1408" s="248" t="s">
        <v>1853</v>
      </c>
      <c r="F1408" t="s">
        <v>620</v>
      </c>
      <c r="G1408" s="89">
        <v>2006</v>
      </c>
      <c r="H1408" s="312" t="s">
        <v>732</v>
      </c>
      <c r="I1408" s="308" t="str">
        <f t="shared" si="68"/>
        <v>Pesado de Passageiros M3: III : Gasóleo : E3</v>
      </c>
      <c r="J1408" s="125">
        <v>74</v>
      </c>
      <c r="K1408" s="253">
        <v>2022</v>
      </c>
      <c r="L1408" s="85">
        <v>12052</v>
      </c>
      <c r="M1408" s="85" t="s">
        <v>630</v>
      </c>
      <c r="N1408" s="128">
        <v>35847</v>
      </c>
      <c r="O1408" s="128">
        <f t="shared" si="69"/>
        <v>2652678</v>
      </c>
      <c r="P1408" s="89">
        <v>8506</v>
      </c>
      <c r="Q1408" t="s">
        <v>47</v>
      </c>
      <c r="R1408" s="214" t="s">
        <v>1869</v>
      </c>
      <c r="S1408" s="214" t="s">
        <v>1861</v>
      </c>
      <c r="U1408" t="s">
        <v>1953</v>
      </c>
      <c r="V1408" t="s">
        <v>2813</v>
      </c>
    </row>
    <row r="1409" spans="1:22" ht="15.75" thickBot="1" x14ac:dyDescent="0.3">
      <c r="A1409" t="s">
        <v>1916</v>
      </c>
      <c r="B1409" t="s">
        <v>1916</v>
      </c>
      <c r="C1409" t="s">
        <v>1916</v>
      </c>
      <c r="D1409" t="s">
        <v>629</v>
      </c>
      <c r="E1409" s="248" t="s">
        <v>1853</v>
      </c>
      <c r="F1409" t="s">
        <v>620</v>
      </c>
      <c r="G1409" s="89">
        <v>2010</v>
      </c>
      <c r="H1409" s="312" t="s">
        <v>731</v>
      </c>
      <c r="I1409" s="308" t="str">
        <f t="shared" si="68"/>
        <v>Pesado de Passageiros M3: III : Gasóleo : E4</v>
      </c>
      <c r="J1409" s="125">
        <v>53</v>
      </c>
      <c r="K1409" s="253">
        <v>2022</v>
      </c>
      <c r="L1409" s="85">
        <v>2608.4</v>
      </c>
      <c r="M1409" s="85" t="s">
        <v>630</v>
      </c>
      <c r="N1409" s="128">
        <v>5420</v>
      </c>
      <c r="O1409" s="128">
        <f t="shared" si="69"/>
        <v>287260</v>
      </c>
      <c r="P1409" s="89">
        <v>8507</v>
      </c>
      <c r="Q1409" t="s">
        <v>47</v>
      </c>
      <c r="R1409" s="214" t="s">
        <v>1869</v>
      </c>
      <c r="S1409" s="214" t="s">
        <v>1861</v>
      </c>
      <c r="U1409" t="s">
        <v>1953</v>
      </c>
      <c r="V1409" t="s">
        <v>2813</v>
      </c>
    </row>
    <row r="1410" spans="1:22" ht="15.75" thickBot="1" x14ac:dyDescent="0.3">
      <c r="A1410" t="s">
        <v>1916</v>
      </c>
      <c r="B1410" t="s">
        <v>1916</v>
      </c>
      <c r="C1410" t="s">
        <v>1916</v>
      </c>
      <c r="D1410" t="s">
        <v>629</v>
      </c>
      <c r="E1410" s="248" t="s">
        <v>1853</v>
      </c>
      <c r="F1410" t="s">
        <v>620</v>
      </c>
      <c r="G1410" s="89">
        <v>2008</v>
      </c>
      <c r="H1410" s="312" t="s">
        <v>731</v>
      </c>
      <c r="I1410" s="308" t="str">
        <f t="shared" si="68"/>
        <v>Pesado de Passageiros M3: III : Gasóleo : E4</v>
      </c>
      <c r="J1410" s="125">
        <v>69</v>
      </c>
      <c r="K1410" s="253">
        <v>2022</v>
      </c>
      <c r="L1410" s="85">
        <v>1642.3000000000002</v>
      </c>
      <c r="M1410" s="85" t="s">
        <v>630</v>
      </c>
      <c r="N1410" s="128">
        <v>4244</v>
      </c>
      <c r="O1410" s="128">
        <f t="shared" si="69"/>
        <v>292836</v>
      </c>
      <c r="P1410" s="89">
        <v>8508</v>
      </c>
      <c r="Q1410" t="s">
        <v>47</v>
      </c>
      <c r="R1410" s="214" t="s">
        <v>1869</v>
      </c>
      <c r="S1410" s="214" t="s">
        <v>1861</v>
      </c>
      <c r="U1410" t="s">
        <v>1953</v>
      </c>
      <c r="V1410" t="s">
        <v>2813</v>
      </c>
    </row>
    <row r="1411" spans="1:22" ht="15.75" thickBot="1" x14ac:dyDescent="0.3">
      <c r="A1411" t="s">
        <v>1916</v>
      </c>
      <c r="B1411" t="s">
        <v>1916</v>
      </c>
      <c r="C1411" t="s">
        <v>1916</v>
      </c>
      <c r="D1411" t="s">
        <v>629</v>
      </c>
      <c r="E1411" s="248" t="s">
        <v>1853</v>
      </c>
      <c r="F1411" t="s">
        <v>620</v>
      </c>
      <c r="G1411" s="89">
        <v>2008</v>
      </c>
      <c r="H1411" s="312" t="s">
        <v>731</v>
      </c>
      <c r="I1411" s="308" t="str">
        <f t="shared" si="68"/>
        <v>Pesado de Passageiros M3: III : Gasóleo : E4</v>
      </c>
      <c r="J1411" s="125">
        <v>88</v>
      </c>
      <c r="K1411" s="253">
        <v>2022</v>
      </c>
      <c r="L1411" s="85">
        <v>2533.1999999999998</v>
      </c>
      <c r="M1411" s="85" t="s">
        <v>630</v>
      </c>
      <c r="N1411" s="128">
        <v>6515</v>
      </c>
      <c r="O1411" s="128">
        <f t="shared" si="69"/>
        <v>573320</v>
      </c>
      <c r="P1411" s="89">
        <v>8511</v>
      </c>
      <c r="Q1411" t="s">
        <v>47</v>
      </c>
      <c r="R1411" s="214" t="s">
        <v>1869</v>
      </c>
      <c r="S1411" s="214" t="s">
        <v>1861</v>
      </c>
      <c r="U1411" t="s">
        <v>1953</v>
      </c>
      <c r="V1411" t="s">
        <v>2813</v>
      </c>
    </row>
    <row r="1412" spans="1:22" ht="15.75" thickBot="1" x14ac:dyDescent="0.3">
      <c r="A1412" t="s">
        <v>1916</v>
      </c>
      <c r="B1412" t="s">
        <v>1916</v>
      </c>
      <c r="C1412" t="s">
        <v>1916</v>
      </c>
      <c r="D1412" t="s">
        <v>629</v>
      </c>
      <c r="E1412" s="248" t="s">
        <v>1853</v>
      </c>
      <c r="F1412" t="s">
        <v>620</v>
      </c>
      <c r="G1412" s="89">
        <v>2007</v>
      </c>
      <c r="H1412" s="312" t="s">
        <v>731</v>
      </c>
      <c r="I1412" s="308" t="str">
        <f t="shared" ref="I1412:I1475" si="70">D1412&amp;": "&amp;E1412&amp;" : "&amp;F1412&amp;" : "&amp;H1412</f>
        <v>Pesado de Passageiros M3: III : Gasóleo : E4</v>
      </c>
      <c r="J1412" s="125">
        <v>81</v>
      </c>
      <c r="K1412" s="253">
        <v>2022</v>
      </c>
      <c r="L1412" s="85">
        <v>2283</v>
      </c>
      <c r="M1412" s="85" t="s">
        <v>630</v>
      </c>
      <c r="N1412" s="128">
        <v>6122</v>
      </c>
      <c r="O1412" s="128">
        <f t="shared" ref="O1412:O1475" si="71">N1412*J1412</f>
        <v>495882</v>
      </c>
      <c r="P1412" s="89">
        <v>8513</v>
      </c>
      <c r="Q1412" t="s">
        <v>47</v>
      </c>
      <c r="R1412" s="214" t="s">
        <v>1869</v>
      </c>
      <c r="S1412" s="214" t="s">
        <v>1861</v>
      </c>
      <c r="U1412" t="s">
        <v>1953</v>
      </c>
      <c r="V1412" t="s">
        <v>2813</v>
      </c>
    </row>
    <row r="1413" spans="1:22" ht="15.75" thickBot="1" x14ac:dyDescent="0.3">
      <c r="A1413" t="s">
        <v>1916</v>
      </c>
      <c r="B1413" t="s">
        <v>1916</v>
      </c>
      <c r="C1413" t="s">
        <v>1916</v>
      </c>
      <c r="D1413" t="s">
        <v>629</v>
      </c>
      <c r="E1413" s="248" t="s">
        <v>1853</v>
      </c>
      <c r="F1413" t="s">
        <v>620</v>
      </c>
      <c r="G1413" s="89">
        <v>2007</v>
      </c>
      <c r="H1413" s="312" t="s">
        <v>731</v>
      </c>
      <c r="I1413" s="308" t="str">
        <f t="shared" si="70"/>
        <v>Pesado de Passageiros M3: III : Gasóleo : E4</v>
      </c>
      <c r="J1413" s="125">
        <v>76</v>
      </c>
      <c r="K1413" s="253">
        <v>2022</v>
      </c>
      <c r="L1413" s="85">
        <v>216</v>
      </c>
      <c r="M1413" s="85" t="s">
        <v>630</v>
      </c>
      <c r="N1413" s="128">
        <v>0</v>
      </c>
      <c r="O1413" s="128">
        <f t="shared" si="71"/>
        <v>0</v>
      </c>
      <c r="P1413" s="89">
        <v>8515</v>
      </c>
      <c r="Q1413" t="s">
        <v>47</v>
      </c>
      <c r="R1413" s="214" t="s">
        <v>1869</v>
      </c>
      <c r="S1413" s="214" t="s">
        <v>1861</v>
      </c>
      <c r="U1413" t="s">
        <v>1953</v>
      </c>
      <c r="V1413" t="s">
        <v>2813</v>
      </c>
    </row>
    <row r="1414" spans="1:22" ht="15.75" thickBot="1" x14ac:dyDescent="0.3">
      <c r="A1414" t="s">
        <v>1916</v>
      </c>
      <c r="B1414" t="s">
        <v>1916</v>
      </c>
      <c r="C1414" t="s">
        <v>1916</v>
      </c>
      <c r="D1414" t="s">
        <v>629</v>
      </c>
      <c r="E1414" s="248" t="s">
        <v>1853</v>
      </c>
      <c r="F1414" t="s">
        <v>620</v>
      </c>
      <c r="G1414" s="89">
        <v>2009</v>
      </c>
      <c r="H1414" s="312" t="s">
        <v>731</v>
      </c>
      <c r="I1414" s="308" t="str">
        <f t="shared" si="70"/>
        <v>Pesado de Passageiros M3: III : Gasóleo : E4</v>
      </c>
      <c r="J1414" s="125">
        <v>84</v>
      </c>
      <c r="K1414" s="253">
        <v>2022</v>
      </c>
      <c r="L1414" s="85">
        <v>0</v>
      </c>
      <c r="M1414" s="85" t="s">
        <v>630</v>
      </c>
      <c r="N1414" s="128">
        <v>0</v>
      </c>
      <c r="O1414" s="128">
        <f t="shared" si="71"/>
        <v>0</v>
      </c>
      <c r="P1414" s="89">
        <v>8516</v>
      </c>
      <c r="Q1414" t="s">
        <v>47</v>
      </c>
      <c r="R1414" s="214" t="s">
        <v>1869</v>
      </c>
      <c r="S1414" s="214" t="s">
        <v>1861</v>
      </c>
      <c r="U1414" t="s">
        <v>1953</v>
      </c>
      <c r="V1414" t="s">
        <v>2813</v>
      </c>
    </row>
    <row r="1415" spans="1:22" ht="15.75" thickBot="1" x14ac:dyDescent="0.3">
      <c r="A1415" t="s">
        <v>1916</v>
      </c>
      <c r="B1415" t="s">
        <v>1916</v>
      </c>
      <c r="C1415" t="s">
        <v>1916</v>
      </c>
      <c r="D1415" t="s">
        <v>629</v>
      </c>
      <c r="E1415" s="248" t="s">
        <v>1853</v>
      </c>
      <c r="F1415" t="s">
        <v>620</v>
      </c>
      <c r="G1415" s="89">
        <v>2008</v>
      </c>
      <c r="H1415" s="312" t="s">
        <v>731</v>
      </c>
      <c r="I1415" s="308" t="str">
        <f t="shared" si="70"/>
        <v>Pesado de Passageiros M3: III : Gasóleo : E4</v>
      </c>
      <c r="J1415" s="125">
        <v>55</v>
      </c>
      <c r="K1415" s="253">
        <v>2022</v>
      </c>
      <c r="L1415" s="85">
        <v>3606.3</v>
      </c>
      <c r="M1415" s="85" t="s">
        <v>630</v>
      </c>
      <c r="N1415" s="128">
        <v>12568</v>
      </c>
      <c r="O1415" s="128">
        <f t="shared" si="71"/>
        <v>691240</v>
      </c>
      <c r="P1415" s="89">
        <v>8517</v>
      </c>
      <c r="Q1415" t="s">
        <v>47</v>
      </c>
      <c r="R1415" s="214" t="s">
        <v>1869</v>
      </c>
      <c r="S1415" s="214" t="s">
        <v>1861</v>
      </c>
      <c r="U1415" t="s">
        <v>1953</v>
      </c>
      <c r="V1415" t="s">
        <v>2813</v>
      </c>
    </row>
    <row r="1416" spans="1:22" ht="15.75" thickBot="1" x14ac:dyDescent="0.3">
      <c r="A1416" t="s">
        <v>1916</v>
      </c>
      <c r="B1416" t="s">
        <v>1916</v>
      </c>
      <c r="C1416" t="s">
        <v>1916</v>
      </c>
      <c r="D1416" t="s">
        <v>629</v>
      </c>
      <c r="E1416" s="248" t="s">
        <v>1853</v>
      </c>
      <c r="F1416" t="s">
        <v>620</v>
      </c>
      <c r="G1416" s="89">
        <v>2008</v>
      </c>
      <c r="H1416" s="312" t="s">
        <v>731</v>
      </c>
      <c r="I1416" s="308" t="str">
        <f t="shared" si="70"/>
        <v>Pesado de Passageiros M3: III : Gasóleo : E4</v>
      </c>
      <c r="J1416" s="125">
        <v>93</v>
      </c>
      <c r="K1416" s="253">
        <v>2022</v>
      </c>
      <c r="L1416" s="85">
        <v>3411.3</v>
      </c>
      <c r="M1416" s="85" t="s">
        <v>630</v>
      </c>
      <c r="N1416" s="128">
        <v>7752</v>
      </c>
      <c r="O1416" s="128">
        <f t="shared" si="71"/>
        <v>720936</v>
      </c>
      <c r="P1416" s="89">
        <v>8518</v>
      </c>
      <c r="Q1416" t="s">
        <v>47</v>
      </c>
      <c r="R1416" s="214" t="s">
        <v>1869</v>
      </c>
      <c r="S1416" s="214" t="s">
        <v>1861</v>
      </c>
      <c r="U1416" t="s">
        <v>1953</v>
      </c>
      <c r="V1416" t="s">
        <v>2813</v>
      </c>
    </row>
    <row r="1417" spans="1:22" ht="15.75" thickBot="1" x14ac:dyDescent="0.3">
      <c r="A1417" t="s">
        <v>1916</v>
      </c>
      <c r="B1417" t="s">
        <v>1916</v>
      </c>
      <c r="C1417" t="s">
        <v>1916</v>
      </c>
      <c r="D1417" t="s">
        <v>629</v>
      </c>
      <c r="E1417" s="248" t="s">
        <v>1853</v>
      </c>
      <c r="F1417" t="s">
        <v>620</v>
      </c>
      <c r="G1417" s="89">
        <v>2007</v>
      </c>
      <c r="H1417" s="312" t="s">
        <v>731</v>
      </c>
      <c r="I1417" s="308" t="str">
        <f t="shared" si="70"/>
        <v>Pesado de Passageiros M3: III : Gasóleo : E4</v>
      </c>
      <c r="J1417" s="125">
        <v>49</v>
      </c>
      <c r="K1417" s="253">
        <v>2022</v>
      </c>
      <c r="L1417" s="85">
        <v>5178.8</v>
      </c>
      <c r="M1417" s="85" t="s">
        <v>630</v>
      </c>
      <c r="N1417" s="128">
        <v>15333</v>
      </c>
      <c r="O1417" s="128">
        <f t="shared" si="71"/>
        <v>751317</v>
      </c>
      <c r="P1417" s="89">
        <v>8519</v>
      </c>
      <c r="Q1417" t="s">
        <v>47</v>
      </c>
      <c r="R1417" s="214" t="s">
        <v>1869</v>
      </c>
      <c r="S1417" s="214" t="s">
        <v>1861</v>
      </c>
      <c r="U1417" t="s">
        <v>1953</v>
      </c>
      <c r="V1417" t="s">
        <v>2813</v>
      </c>
    </row>
    <row r="1418" spans="1:22" ht="15.75" thickBot="1" x14ac:dyDescent="0.3">
      <c r="A1418" t="s">
        <v>1916</v>
      </c>
      <c r="B1418" t="s">
        <v>1916</v>
      </c>
      <c r="C1418" t="s">
        <v>1916</v>
      </c>
      <c r="D1418" t="s">
        <v>629</v>
      </c>
      <c r="E1418" s="248" t="s">
        <v>1853</v>
      </c>
      <c r="F1418" t="s">
        <v>620</v>
      </c>
      <c r="G1418" s="89">
        <v>2009</v>
      </c>
      <c r="H1418" s="312" t="s">
        <v>731</v>
      </c>
      <c r="I1418" s="308" t="str">
        <f t="shared" si="70"/>
        <v>Pesado de Passageiros M3: III : Gasóleo : E4</v>
      </c>
      <c r="J1418" s="125">
        <v>53</v>
      </c>
      <c r="K1418" s="253">
        <v>2022</v>
      </c>
      <c r="L1418" s="85">
        <v>1097.5</v>
      </c>
      <c r="M1418" s="85" t="s">
        <v>630</v>
      </c>
      <c r="N1418" s="128">
        <v>4026</v>
      </c>
      <c r="O1418" s="128">
        <f t="shared" si="71"/>
        <v>213378</v>
      </c>
      <c r="P1418" s="89">
        <v>8520</v>
      </c>
      <c r="Q1418" t="s">
        <v>47</v>
      </c>
      <c r="R1418" s="214" t="s">
        <v>1869</v>
      </c>
      <c r="S1418" s="214" t="s">
        <v>1861</v>
      </c>
      <c r="U1418" t="s">
        <v>1953</v>
      </c>
      <c r="V1418" t="s">
        <v>2813</v>
      </c>
    </row>
    <row r="1419" spans="1:22" ht="15.75" thickBot="1" x14ac:dyDescent="0.3">
      <c r="A1419" t="s">
        <v>1916</v>
      </c>
      <c r="B1419" t="s">
        <v>1916</v>
      </c>
      <c r="C1419" t="s">
        <v>1916</v>
      </c>
      <c r="D1419" t="s">
        <v>629</v>
      </c>
      <c r="E1419" s="248" t="s">
        <v>1853</v>
      </c>
      <c r="F1419" t="s">
        <v>620</v>
      </c>
      <c r="G1419" s="89">
        <v>2008</v>
      </c>
      <c r="H1419" s="312" t="s">
        <v>731</v>
      </c>
      <c r="I1419" s="308" t="str">
        <f t="shared" si="70"/>
        <v>Pesado de Passageiros M3: III : Gasóleo : E4</v>
      </c>
      <c r="J1419" s="125">
        <v>71</v>
      </c>
      <c r="K1419" s="253">
        <v>2022</v>
      </c>
      <c r="L1419" s="85">
        <v>6222.5</v>
      </c>
      <c r="M1419" s="85" t="s">
        <v>630</v>
      </c>
      <c r="N1419" s="128">
        <v>19634</v>
      </c>
      <c r="O1419" s="128">
        <f t="shared" si="71"/>
        <v>1394014</v>
      </c>
      <c r="P1419" s="89">
        <v>8521</v>
      </c>
      <c r="Q1419" t="s">
        <v>47</v>
      </c>
      <c r="R1419" s="214" t="s">
        <v>1869</v>
      </c>
      <c r="S1419" s="214" t="s">
        <v>1861</v>
      </c>
      <c r="U1419" t="s">
        <v>1953</v>
      </c>
      <c r="V1419" t="s">
        <v>2813</v>
      </c>
    </row>
    <row r="1420" spans="1:22" ht="15.75" thickBot="1" x14ac:dyDescent="0.3">
      <c r="A1420" t="s">
        <v>1916</v>
      </c>
      <c r="B1420" t="s">
        <v>1916</v>
      </c>
      <c r="C1420" t="s">
        <v>1916</v>
      </c>
      <c r="D1420" t="s">
        <v>629</v>
      </c>
      <c r="E1420" s="248" t="s">
        <v>1853</v>
      </c>
      <c r="F1420" t="s">
        <v>620</v>
      </c>
      <c r="G1420" s="89">
        <v>2008</v>
      </c>
      <c r="H1420" s="312" t="s">
        <v>731</v>
      </c>
      <c r="I1420" s="308" t="str">
        <f t="shared" si="70"/>
        <v>Pesado de Passageiros M3: III : Gasóleo : E4</v>
      </c>
      <c r="J1420" s="125">
        <v>89</v>
      </c>
      <c r="K1420" s="253">
        <v>2022</v>
      </c>
      <c r="L1420" s="85">
        <v>2650.1</v>
      </c>
      <c r="M1420" s="85" t="s">
        <v>630</v>
      </c>
      <c r="N1420" s="128">
        <v>7482</v>
      </c>
      <c r="O1420" s="128">
        <f t="shared" si="71"/>
        <v>665898</v>
      </c>
      <c r="P1420" s="89">
        <v>8522</v>
      </c>
      <c r="Q1420" t="s">
        <v>47</v>
      </c>
      <c r="R1420" s="214" t="s">
        <v>1869</v>
      </c>
      <c r="S1420" s="214" t="s">
        <v>1861</v>
      </c>
      <c r="U1420" t="s">
        <v>1953</v>
      </c>
      <c r="V1420" t="s">
        <v>2813</v>
      </c>
    </row>
    <row r="1421" spans="1:22" ht="15.75" thickBot="1" x14ac:dyDescent="0.3">
      <c r="A1421" t="s">
        <v>1916</v>
      </c>
      <c r="B1421" t="s">
        <v>1916</v>
      </c>
      <c r="C1421" t="s">
        <v>1916</v>
      </c>
      <c r="D1421" t="s">
        <v>629</v>
      </c>
      <c r="E1421" s="248" t="s">
        <v>1853</v>
      </c>
      <c r="F1421" t="s">
        <v>620</v>
      </c>
      <c r="G1421" s="89">
        <v>2008</v>
      </c>
      <c r="H1421" s="312" t="s">
        <v>731</v>
      </c>
      <c r="I1421" s="308" t="str">
        <f t="shared" si="70"/>
        <v>Pesado de Passageiros M3: III : Gasóleo : E4</v>
      </c>
      <c r="J1421" s="125">
        <v>70</v>
      </c>
      <c r="K1421" s="253">
        <v>2022</v>
      </c>
      <c r="L1421" s="85">
        <v>3945.1</v>
      </c>
      <c r="M1421" s="85" t="s">
        <v>630</v>
      </c>
      <c r="N1421" s="128">
        <v>12184</v>
      </c>
      <c r="O1421" s="128">
        <f t="shared" si="71"/>
        <v>852880</v>
      </c>
      <c r="P1421" s="89">
        <v>8523</v>
      </c>
      <c r="Q1421" t="s">
        <v>47</v>
      </c>
      <c r="R1421" s="214" t="s">
        <v>1869</v>
      </c>
      <c r="S1421" s="214" t="s">
        <v>1861</v>
      </c>
      <c r="U1421" t="s">
        <v>1953</v>
      </c>
      <c r="V1421" t="s">
        <v>2813</v>
      </c>
    </row>
    <row r="1422" spans="1:22" ht="15.75" thickBot="1" x14ac:dyDescent="0.3">
      <c r="A1422" t="s">
        <v>1916</v>
      </c>
      <c r="B1422" t="s">
        <v>1916</v>
      </c>
      <c r="C1422" t="s">
        <v>1916</v>
      </c>
      <c r="D1422" t="s">
        <v>629</v>
      </c>
      <c r="E1422" s="248" t="s">
        <v>1853</v>
      </c>
      <c r="F1422" t="s">
        <v>620</v>
      </c>
      <c r="G1422" s="89">
        <v>2007</v>
      </c>
      <c r="H1422" s="312" t="s">
        <v>731</v>
      </c>
      <c r="I1422" s="308" t="str">
        <f t="shared" si="70"/>
        <v>Pesado de Passageiros M3: III : Gasóleo : E4</v>
      </c>
      <c r="J1422" s="125">
        <v>69</v>
      </c>
      <c r="K1422" s="253">
        <v>2022</v>
      </c>
      <c r="L1422" s="85">
        <v>0</v>
      </c>
      <c r="M1422" s="85" t="s">
        <v>630</v>
      </c>
      <c r="N1422" s="128">
        <v>0</v>
      </c>
      <c r="O1422" s="128">
        <f t="shared" si="71"/>
        <v>0</v>
      </c>
      <c r="P1422" s="89">
        <v>8524</v>
      </c>
      <c r="Q1422" t="s">
        <v>47</v>
      </c>
      <c r="R1422" s="214" t="s">
        <v>1869</v>
      </c>
      <c r="S1422" s="214" t="s">
        <v>1861</v>
      </c>
      <c r="U1422" t="s">
        <v>1953</v>
      </c>
      <c r="V1422" t="s">
        <v>2813</v>
      </c>
    </row>
    <row r="1423" spans="1:22" ht="15.75" thickBot="1" x14ac:dyDescent="0.3">
      <c r="A1423" t="s">
        <v>1916</v>
      </c>
      <c r="B1423" t="s">
        <v>1916</v>
      </c>
      <c r="C1423" t="s">
        <v>1916</v>
      </c>
      <c r="D1423" t="s">
        <v>629</v>
      </c>
      <c r="E1423" s="248" t="s">
        <v>1853</v>
      </c>
      <c r="F1423" t="s">
        <v>620</v>
      </c>
      <c r="G1423" s="89">
        <v>2009</v>
      </c>
      <c r="H1423" s="312" t="s">
        <v>731</v>
      </c>
      <c r="I1423" s="308" t="str">
        <f t="shared" si="70"/>
        <v>Pesado de Passageiros M3: III : Gasóleo : E4</v>
      </c>
      <c r="J1423" s="125">
        <v>52</v>
      </c>
      <c r="K1423" s="253">
        <v>2022</v>
      </c>
      <c r="L1423" s="85">
        <v>120.8</v>
      </c>
      <c r="M1423" s="85" t="s">
        <v>630</v>
      </c>
      <c r="N1423" s="128">
        <v>0</v>
      </c>
      <c r="O1423" s="128">
        <f t="shared" si="71"/>
        <v>0</v>
      </c>
      <c r="P1423" s="89">
        <v>8525</v>
      </c>
      <c r="Q1423" t="s">
        <v>47</v>
      </c>
      <c r="R1423" s="214" t="s">
        <v>1869</v>
      </c>
      <c r="S1423" s="214" t="s">
        <v>1861</v>
      </c>
      <c r="U1423" t="s">
        <v>1953</v>
      </c>
      <c r="V1423" t="s">
        <v>2813</v>
      </c>
    </row>
    <row r="1424" spans="1:22" ht="15.75" thickBot="1" x14ac:dyDescent="0.3">
      <c r="A1424" t="s">
        <v>1916</v>
      </c>
      <c r="B1424" t="s">
        <v>1916</v>
      </c>
      <c r="C1424" t="s">
        <v>1916</v>
      </c>
      <c r="D1424" t="s">
        <v>629</v>
      </c>
      <c r="E1424" s="248" t="s">
        <v>1853</v>
      </c>
      <c r="F1424" t="s">
        <v>620</v>
      </c>
      <c r="G1424" s="89">
        <v>2013</v>
      </c>
      <c r="H1424" s="312" t="s">
        <v>734</v>
      </c>
      <c r="I1424" s="308" t="str">
        <f t="shared" si="70"/>
        <v>Pesado de Passageiros M3: III : Gasóleo : E5</v>
      </c>
      <c r="J1424" s="125">
        <v>80</v>
      </c>
      <c r="K1424" s="253">
        <v>2022</v>
      </c>
      <c r="L1424" s="85">
        <v>0</v>
      </c>
      <c r="M1424" s="85" t="s">
        <v>630</v>
      </c>
      <c r="N1424" s="128">
        <v>0</v>
      </c>
      <c r="O1424" s="128">
        <f t="shared" si="71"/>
        <v>0</v>
      </c>
      <c r="P1424" s="89">
        <v>8526</v>
      </c>
      <c r="Q1424" t="s">
        <v>47</v>
      </c>
      <c r="R1424" s="214" t="s">
        <v>1869</v>
      </c>
      <c r="S1424" s="214" t="s">
        <v>1861</v>
      </c>
      <c r="U1424" t="s">
        <v>1953</v>
      </c>
      <c r="V1424" t="s">
        <v>2813</v>
      </c>
    </row>
    <row r="1425" spans="1:22" ht="15.75" thickBot="1" x14ac:dyDescent="0.3">
      <c r="A1425" t="s">
        <v>1916</v>
      </c>
      <c r="B1425" t="s">
        <v>1916</v>
      </c>
      <c r="C1425" t="s">
        <v>1916</v>
      </c>
      <c r="D1425" t="s">
        <v>629</v>
      </c>
      <c r="E1425" s="248" t="s">
        <v>1853</v>
      </c>
      <c r="F1425" t="s">
        <v>620</v>
      </c>
      <c r="G1425" s="89">
        <v>2013</v>
      </c>
      <c r="H1425" s="312" t="s">
        <v>734</v>
      </c>
      <c r="I1425" s="308" t="str">
        <f t="shared" si="70"/>
        <v>Pesado de Passageiros M3: III : Gasóleo : E5</v>
      </c>
      <c r="J1425" s="125">
        <v>80</v>
      </c>
      <c r="K1425" s="253">
        <v>2022</v>
      </c>
      <c r="L1425" s="85">
        <v>0</v>
      </c>
      <c r="M1425" s="85" t="s">
        <v>630</v>
      </c>
      <c r="N1425" s="128">
        <v>0</v>
      </c>
      <c r="O1425" s="128">
        <f t="shared" si="71"/>
        <v>0</v>
      </c>
      <c r="P1425" s="89">
        <v>8527</v>
      </c>
      <c r="Q1425" t="s">
        <v>47</v>
      </c>
      <c r="R1425" s="214" t="s">
        <v>1869</v>
      </c>
      <c r="S1425" s="214" t="s">
        <v>1861</v>
      </c>
      <c r="U1425" t="s">
        <v>1953</v>
      </c>
      <c r="V1425" t="s">
        <v>2813</v>
      </c>
    </row>
    <row r="1426" spans="1:22" ht="15.75" thickBot="1" x14ac:dyDescent="0.3">
      <c r="A1426" t="s">
        <v>1916</v>
      </c>
      <c r="B1426" t="s">
        <v>1916</v>
      </c>
      <c r="C1426" t="s">
        <v>1916</v>
      </c>
      <c r="D1426" t="s">
        <v>629</v>
      </c>
      <c r="E1426" s="248" t="s">
        <v>1853</v>
      </c>
      <c r="F1426" t="s">
        <v>620</v>
      </c>
      <c r="G1426" s="89">
        <v>2013</v>
      </c>
      <c r="H1426" s="312" t="s">
        <v>734</v>
      </c>
      <c r="I1426" s="308" t="str">
        <f t="shared" si="70"/>
        <v>Pesado de Passageiros M3: III : Gasóleo : E5</v>
      </c>
      <c r="J1426" s="125">
        <v>90</v>
      </c>
      <c r="K1426" s="253">
        <v>2022</v>
      </c>
      <c r="L1426" s="85">
        <v>191.7</v>
      </c>
      <c r="M1426" s="85" t="s">
        <v>630</v>
      </c>
      <c r="N1426" s="128">
        <v>0</v>
      </c>
      <c r="O1426" s="128">
        <f t="shared" si="71"/>
        <v>0</v>
      </c>
      <c r="P1426" s="89">
        <v>8528</v>
      </c>
      <c r="Q1426" t="s">
        <v>47</v>
      </c>
      <c r="R1426" s="214" t="s">
        <v>1869</v>
      </c>
      <c r="S1426" s="214" t="s">
        <v>1861</v>
      </c>
      <c r="U1426" t="s">
        <v>1953</v>
      </c>
      <c r="V1426" t="s">
        <v>2813</v>
      </c>
    </row>
    <row r="1427" spans="1:22" ht="15.75" thickBot="1" x14ac:dyDescent="0.3">
      <c r="A1427" t="s">
        <v>1916</v>
      </c>
      <c r="B1427" t="s">
        <v>1916</v>
      </c>
      <c r="C1427" t="s">
        <v>1916</v>
      </c>
      <c r="D1427" t="s">
        <v>629</v>
      </c>
      <c r="E1427" s="248" t="s">
        <v>1853</v>
      </c>
      <c r="F1427" t="s">
        <v>620</v>
      </c>
      <c r="G1427" s="89">
        <v>2013</v>
      </c>
      <c r="H1427" s="312" t="s">
        <v>734</v>
      </c>
      <c r="I1427" s="308" t="str">
        <f t="shared" si="70"/>
        <v>Pesado de Passageiros M3: III : Gasóleo : E5</v>
      </c>
      <c r="J1427" s="125">
        <v>90</v>
      </c>
      <c r="K1427" s="253">
        <v>2022</v>
      </c>
      <c r="L1427" s="85">
        <v>0</v>
      </c>
      <c r="M1427" s="85" t="s">
        <v>630</v>
      </c>
      <c r="N1427" s="128">
        <v>0</v>
      </c>
      <c r="O1427" s="128">
        <f t="shared" si="71"/>
        <v>0</v>
      </c>
      <c r="P1427" s="89">
        <v>8529</v>
      </c>
      <c r="Q1427" t="s">
        <v>47</v>
      </c>
      <c r="R1427" s="214" t="s">
        <v>1869</v>
      </c>
      <c r="S1427" s="214" t="s">
        <v>1861</v>
      </c>
      <c r="U1427" t="s">
        <v>1953</v>
      </c>
      <c r="V1427" t="s">
        <v>2813</v>
      </c>
    </row>
    <row r="1428" spans="1:22" ht="15.75" thickBot="1" x14ac:dyDescent="0.3">
      <c r="A1428" t="s">
        <v>1916</v>
      </c>
      <c r="B1428" t="s">
        <v>1916</v>
      </c>
      <c r="C1428" t="s">
        <v>1916</v>
      </c>
      <c r="D1428" t="s">
        <v>629</v>
      </c>
      <c r="E1428" s="248" t="s">
        <v>1853</v>
      </c>
      <c r="F1428" t="s">
        <v>620</v>
      </c>
      <c r="G1428" s="89">
        <v>2005</v>
      </c>
      <c r="H1428" s="312" t="s">
        <v>732</v>
      </c>
      <c r="I1428" s="308" t="str">
        <f t="shared" si="70"/>
        <v>Pesado de Passageiros M3: III : Gasóleo : E3</v>
      </c>
      <c r="J1428" s="125">
        <v>24</v>
      </c>
      <c r="K1428" s="253">
        <v>2022</v>
      </c>
      <c r="L1428" s="85">
        <v>1285.3</v>
      </c>
      <c r="M1428" s="85" t="s">
        <v>630</v>
      </c>
      <c r="N1428" s="128">
        <v>6694</v>
      </c>
      <c r="O1428" s="128">
        <f t="shared" si="71"/>
        <v>160656</v>
      </c>
      <c r="P1428" s="89">
        <v>8571</v>
      </c>
      <c r="Q1428" t="s">
        <v>47</v>
      </c>
      <c r="R1428" s="214" t="s">
        <v>1869</v>
      </c>
      <c r="S1428" s="214" t="s">
        <v>1861</v>
      </c>
      <c r="U1428" t="s">
        <v>1953</v>
      </c>
      <c r="V1428" t="s">
        <v>2813</v>
      </c>
    </row>
    <row r="1429" spans="1:22" ht="15.75" thickBot="1" x14ac:dyDescent="0.3">
      <c r="A1429" t="s">
        <v>1916</v>
      </c>
      <c r="B1429" t="s">
        <v>1916</v>
      </c>
      <c r="C1429" t="s">
        <v>1916</v>
      </c>
      <c r="D1429" t="s">
        <v>629</v>
      </c>
      <c r="E1429" s="248" t="s">
        <v>1853</v>
      </c>
      <c r="F1429" t="s">
        <v>620</v>
      </c>
      <c r="G1429" s="89">
        <v>1995</v>
      </c>
      <c r="H1429" s="312" t="s">
        <v>736</v>
      </c>
      <c r="I1429" s="308" t="str">
        <f t="shared" si="70"/>
        <v>Pesado de Passageiros M3: III : Gasóleo : E1</v>
      </c>
      <c r="J1429" s="125">
        <v>75</v>
      </c>
      <c r="K1429" s="253">
        <v>2022</v>
      </c>
      <c r="L1429" s="85">
        <v>10709.5</v>
      </c>
      <c r="M1429" s="85" t="s">
        <v>630</v>
      </c>
      <c r="N1429" s="128">
        <v>36005</v>
      </c>
      <c r="O1429" s="128">
        <f t="shared" si="71"/>
        <v>2700375</v>
      </c>
      <c r="P1429" s="89">
        <v>8575</v>
      </c>
      <c r="Q1429" t="s">
        <v>47</v>
      </c>
      <c r="R1429" s="214" t="s">
        <v>1869</v>
      </c>
      <c r="S1429" s="214" t="s">
        <v>1861</v>
      </c>
      <c r="U1429" t="s">
        <v>1953</v>
      </c>
      <c r="V1429" t="s">
        <v>2813</v>
      </c>
    </row>
    <row r="1430" spans="1:22" ht="15.75" thickBot="1" x14ac:dyDescent="0.3">
      <c r="A1430" t="s">
        <v>1916</v>
      </c>
      <c r="B1430" t="s">
        <v>1916</v>
      </c>
      <c r="C1430" t="s">
        <v>1916</v>
      </c>
      <c r="D1430" t="s">
        <v>629</v>
      </c>
      <c r="E1430" s="248" t="s">
        <v>1853</v>
      </c>
      <c r="F1430" t="s">
        <v>620</v>
      </c>
      <c r="G1430" s="89">
        <v>2007</v>
      </c>
      <c r="H1430" s="312" t="s">
        <v>731</v>
      </c>
      <c r="I1430" s="308" t="str">
        <f t="shared" si="70"/>
        <v>Pesado de Passageiros M3: III : Gasóleo : E4</v>
      </c>
      <c r="J1430" s="125">
        <v>29</v>
      </c>
      <c r="K1430" s="253">
        <v>2022</v>
      </c>
      <c r="L1430" s="85">
        <v>5359.2000000000007</v>
      </c>
      <c r="M1430" s="85" t="s">
        <v>630</v>
      </c>
      <c r="N1430" s="128">
        <v>31180</v>
      </c>
      <c r="O1430" s="128">
        <f t="shared" si="71"/>
        <v>904220</v>
      </c>
      <c r="P1430" s="89">
        <v>8577</v>
      </c>
      <c r="Q1430" t="s">
        <v>47</v>
      </c>
      <c r="R1430" s="214" t="s">
        <v>1869</v>
      </c>
      <c r="S1430" s="214" t="s">
        <v>1861</v>
      </c>
      <c r="U1430" t="s">
        <v>1953</v>
      </c>
      <c r="V1430" t="s">
        <v>2813</v>
      </c>
    </row>
    <row r="1431" spans="1:22" ht="15.75" thickBot="1" x14ac:dyDescent="0.3">
      <c r="A1431" t="s">
        <v>1916</v>
      </c>
      <c r="B1431" t="s">
        <v>1916</v>
      </c>
      <c r="C1431" t="s">
        <v>1916</v>
      </c>
      <c r="D1431" t="s">
        <v>629</v>
      </c>
      <c r="E1431" s="248" t="s">
        <v>1853</v>
      </c>
      <c r="F1431" t="s">
        <v>620</v>
      </c>
      <c r="G1431" s="89">
        <v>2007</v>
      </c>
      <c r="H1431" s="312" t="s">
        <v>731</v>
      </c>
      <c r="I1431" s="308" t="str">
        <f t="shared" si="70"/>
        <v>Pesado de Passageiros M3: III : Gasóleo : E4</v>
      </c>
      <c r="J1431" s="125">
        <v>29</v>
      </c>
      <c r="K1431" s="253">
        <v>2022</v>
      </c>
      <c r="L1431" s="85">
        <v>4870.5</v>
      </c>
      <c r="M1431" s="85" t="s">
        <v>630</v>
      </c>
      <c r="N1431" s="128">
        <v>30467</v>
      </c>
      <c r="O1431" s="128">
        <f t="shared" si="71"/>
        <v>883543</v>
      </c>
      <c r="P1431" s="89">
        <v>8578</v>
      </c>
      <c r="Q1431" t="s">
        <v>47</v>
      </c>
      <c r="R1431" s="214" t="s">
        <v>1869</v>
      </c>
      <c r="S1431" s="214" t="s">
        <v>1861</v>
      </c>
      <c r="U1431" t="s">
        <v>1953</v>
      </c>
      <c r="V1431" t="s">
        <v>2813</v>
      </c>
    </row>
    <row r="1432" spans="1:22" ht="15.75" thickBot="1" x14ac:dyDescent="0.3">
      <c r="A1432" t="s">
        <v>1916</v>
      </c>
      <c r="B1432" t="s">
        <v>1916</v>
      </c>
      <c r="C1432" t="s">
        <v>1916</v>
      </c>
      <c r="D1432" t="s">
        <v>629</v>
      </c>
      <c r="E1432" s="248" t="s">
        <v>1853</v>
      </c>
      <c r="F1432" t="s">
        <v>620</v>
      </c>
      <c r="G1432" s="89">
        <v>1995</v>
      </c>
      <c r="H1432" s="312" t="s">
        <v>736</v>
      </c>
      <c r="I1432" s="308" t="str">
        <f t="shared" si="70"/>
        <v>Pesado de Passageiros M3: III : Gasóleo : E1</v>
      </c>
      <c r="J1432" s="125">
        <v>71</v>
      </c>
      <c r="K1432" s="253">
        <v>2022</v>
      </c>
      <c r="L1432" s="85">
        <v>2046.6999999999998</v>
      </c>
      <c r="M1432" s="85" t="s">
        <v>630</v>
      </c>
      <c r="N1432" s="128">
        <v>6164</v>
      </c>
      <c r="O1432" s="128">
        <f t="shared" si="71"/>
        <v>437644</v>
      </c>
      <c r="P1432" s="89">
        <v>8579</v>
      </c>
      <c r="Q1432" t="s">
        <v>47</v>
      </c>
      <c r="R1432" s="214" t="s">
        <v>1869</v>
      </c>
      <c r="S1432" s="214" t="s">
        <v>1861</v>
      </c>
      <c r="U1432" t="s">
        <v>1953</v>
      </c>
      <c r="V1432" t="s">
        <v>2813</v>
      </c>
    </row>
    <row r="1433" spans="1:22" ht="15.75" thickBot="1" x14ac:dyDescent="0.3">
      <c r="A1433" t="s">
        <v>1916</v>
      </c>
      <c r="B1433" t="s">
        <v>1916</v>
      </c>
      <c r="C1433" t="s">
        <v>1916</v>
      </c>
      <c r="D1433" t="s">
        <v>629</v>
      </c>
      <c r="E1433" s="248" t="s">
        <v>1853</v>
      </c>
      <c r="F1433" t="s">
        <v>620</v>
      </c>
      <c r="G1433" s="89">
        <v>2009</v>
      </c>
      <c r="H1433" s="312" t="s">
        <v>731</v>
      </c>
      <c r="I1433" s="308" t="str">
        <f t="shared" si="70"/>
        <v>Pesado de Passageiros M3: III : Gasóleo : E4</v>
      </c>
      <c r="J1433" s="125">
        <v>32</v>
      </c>
      <c r="K1433" s="253">
        <v>2022</v>
      </c>
      <c r="L1433" s="85">
        <v>4030.7</v>
      </c>
      <c r="M1433" s="85" t="s">
        <v>630</v>
      </c>
      <c r="N1433" s="128">
        <v>26010</v>
      </c>
      <c r="O1433" s="128">
        <f t="shared" si="71"/>
        <v>832320</v>
      </c>
      <c r="P1433" s="89">
        <v>8580</v>
      </c>
      <c r="Q1433" t="s">
        <v>47</v>
      </c>
      <c r="R1433" s="214" t="s">
        <v>1869</v>
      </c>
      <c r="S1433" s="214" t="s">
        <v>1861</v>
      </c>
      <c r="U1433" t="s">
        <v>1953</v>
      </c>
      <c r="V1433" t="s">
        <v>2813</v>
      </c>
    </row>
    <row r="1434" spans="1:22" ht="15.75" thickBot="1" x14ac:dyDescent="0.3">
      <c r="A1434" t="s">
        <v>1916</v>
      </c>
      <c r="B1434" t="s">
        <v>1916</v>
      </c>
      <c r="C1434" t="s">
        <v>1916</v>
      </c>
      <c r="D1434" t="s">
        <v>629</v>
      </c>
      <c r="E1434" s="248" t="s">
        <v>1853</v>
      </c>
      <c r="F1434" t="s">
        <v>620</v>
      </c>
      <c r="G1434" s="89">
        <v>2009</v>
      </c>
      <c r="H1434" s="312" t="s">
        <v>731</v>
      </c>
      <c r="I1434" s="308" t="str">
        <f t="shared" si="70"/>
        <v>Pesado de Passageiros M3: III : Gasóleo : E4</v>
      </c>
      <c r="J1434" s="125">
        <v>32</v>
      </c>
      <c r="K1434" s="253">
        <v>2022</v>
      </c>
      <c r="L1434" s="85">
        <v>5950.2999999999993</v>
      </c>
      <c r="M1434" s="85" t="s">
        <v>630</v>
      </c>
      <c r="N1434" s="128">
        <v>39236</v>
      </c>
      <c r="O1434" s="128">
        <f t="shared" si="71"/>
        <v>1255552</v>
      </c>
      <c r="P1434" s="89">
        <v>8581</v>
      </c>
      <c r="Q1434" t="s">
        <v>47</v>
      </c>
      <c r="R1434" s="214" t="s">
        <v>1869</v>
      </c>
      <c r="S1434" s="214" t="s">
        <v>1861</v>
      </c>
      <c r="U1434" t="s">
        <v>1953</v>
      </c>
      <c r="V1434" t="s">
        <v>2813</v>
      </c>
    </row>
    <row r="1435" spans="1:22" ht="15.75" thickBot="1" x14ac:dyDescent="0.3">
      <c r="A1435" t="s">
        <v>1916</v>
      </c>
      <c r="B1435" t="s">
        <v>1916</v>
      </c>
      <c r="C1435" t="s">
        <v>1916</v>
      </c>
      <c r="D1435" t="s">
        <v>629</v>
      </c>
      <c r="E1435" s="248" t="s">
        <v>1853</v>
      </c>
      <c r="F1435" t="s">
        <v>620</v>
      </c>
      <c r="G1435" s="89">
        <v>2011</v>
      </c>
      <c r="H1435" s="312" t="s">
        <v>734</v>
      </c>
      <c r="I1435" s="308" t="str">
        <f t="shared" si="70"/>
        <v>Pesado de Passageiros M3: III : Gasóleo : E5</v>
      </c>
      <c r="J1435" s="125">
        <v>33</v>
      </c>
      <c r="K1435" s="253">
        <v>2022</v>
      </c>
      <c r="L1435" s="85">
        <v>4996.9000000000005</v>
      </c>
      <c r="M1435" s="85" t="s">
        <v>630</v>
      </c>
      <c r="N1435" s="128">
        <v>34621</v>
      </c>
      <c r="O1435" s="128">
        <f t="shared" si="71"/>
        <v>1142493</v>
      </c>
      <c r="P1435" s="89">
        <v>8582</v>
      </c>
      <c r="Q1435" t="s">
        <v>47</v>
      </c>
      <c r="R1435" s="214" t="s">
        <v>1869</v>
      </c>
      <c r="S1435" s="214" t="s">
        <v>1861</v>
      </c>
      <c r="U1435" t="s">
        <v>1953</v>
      </c>
      <c r="V1435" t="s">
        <v>2813</v>
      </c>
    </row>
    <row r="1436" spans="1:22" ht="15.75" thickBot="1" x14ac:dyDescent="0.3">
      <c r="A1436" t="s">
        <v>1916</v>
      </c>
      <c r="B1436" t="s">
        <v>1916</v>
      </c>
      <c r="C1436" t="s">
        <v>1916</v>
      </c>
      <c r="D1436" t="s">
        <v>629</v>
      </c>
      <c r="E1436" s="248" t="s">
        <v>1853</v>
      </c>
      <c r="F1436" t="s">
        <v>620</v>
      </c>
      <c r="G1436" s="89">
        <v>2011</v>
      </c>
      <c r="H1436" s="312" t="s">
        <v>734</v>
      </c>
      <c r="I1436" s="308" t="str">
        <f t="shared" si="70"/>
        <v>Pesado de Passageiros M3: III : Gasóleo : E5</v>
      </c>
      <c r="J1436" s="125">
        <v>31</v>
      </c>
      <c r="K1436" s="253">
        <v>2022</v>
      </c>
      <c r="L1436" s="85">
        <v>4131</v>
      </c>
      <c r="M1436" s="85" t="s">
        <v>630</v>
      </c>
      <c r="N1436" s="128">
        <v>26344</v>
      </c>
      <c r="O1436" s="128">
        <f t="shared" si="71"/>
        <v>816664</v>
      </c>
      <c r="P1436" s="89">
        <v>8583</v>
      </c>
      <c r="Q1436" t="s">
        <v>47</v>
      </c>
      <c r="R1436" s="214" t="s">
        <v>1869</v>
      </c>
      <c r="S1436" s="214" t="s">
        <v>1861</v>
      </c>
      <c r="U1436" t="s">
        <v>1953</v>
      </c>
      <c r="V1436" t="s">
        <v>2813</v>
      </c>
    </row>
    <row r="1437" spans="1:22" ht="15.75" thickBot="1" x14ac:dyDescent="0.3">
      <c r="A1437" t="s">
        <v>1916</v>
      </c>
      <c r="B1437" t="s">
        <v>1916</v>
      </c>
      <c r="C1437" t="s">
        <v>1916</v>
      </c>
      <c r="D1437" t="s">
        <v>629</v>
      </c>
      <c r="E1437" s="248" t="s">
        <v>1853</v>
      </c>
      <c r="F1437" t="s">
        <v>620</v>
      </c>
      <c r="G1437" s="89">
        <v>1998</v>
      </c>
      <c r="H1437" s="312" t="s">
        <v>735</v>
      </c>
      <c r="I1437" s="308" t="str">
        <f t="shared" si="70"/>
        <v>Pesado de Passageiros M3: III : Gasóleo : E2</v>
      </c>
      <c r="J1437" s="125">
        <v>66</v>
      </c>
      <c r="K1437" s="253">
        <v>2022</v>
      </c>
      <c r="L1437" s="85">
        <v>7094.6</v>
      </c>
      <c r="M1437" s="85" t="s">
        <v>630</v>
      </c>
      <c r="N1437" s="128">
        <v>20850</v>
      </c>
      <c r="O1437" s="128">
        <f t="shared" si="71"/>
        <v>1376100</v>
      </c>
      <c r="P1437" s="89">
        <v>8584</v>
      </c>
      <c r="Q1437" t="s">
        <v>47</v>
      </c>
      <c r="R1437" s="214" t="s">
        <v>1869</v>
      </c>
      <c r="S1437" s="214" t="s">
        <v>1861</v>
      </c>
      <c r="U1437" t="s">
        <v>1953</v>
      </c>
      <c r="V1437" t="s">
        <v>2813</v>
      </c>
    </row>
    <row r="1438" spans="1:22" ht="15.75" thickBot="1" x14ac:dyDescent="0.3">
      <c r="A1438" t="s">
        <v>1916</v>
      </c>
      <c r="B1438" t="s">
        <v>1916</v>
      </c>
      <c r="C1438" t="s">
        <v>1916</v>
      </c>
      <c r="D1438" t="s">
        <v>629</v>
      </c>
      <c r="E1438" s="248" t="s">
        <v>1853</v>
      </c>
      <c r="F1438" t="s">
        <v>620</v>
      </c>
      <c r="G1438" s="89">
        <v>2002</v>
      </c>
      <c r="H1438" s="312" t="s">
        <v>732</v>
      </c>
      <c r="I1438" s="308" t="str">
        <f t="shared" si="70"/>
        <v>Pesado de Passageiros M3: III : Gasóleo : E3</v>
      </c>
      <c r="J1438" s="125">
        <v>67</v>
      </c>
      <c r="K1438" s="253">
        <v>2022</v>
      </c>
      <c r="L1438" s="85">
        <v>12383.499999999998</v>
      </c>
      <c r="M1438" s="85" t="s">
        <v>630</v>
      </c>
      <c r="N1438" s="128">
        <v>36636</v>
      </c>
      <c r="O1438" s="128">
        <f t="shared" si="71"/>
        <v>2454612</v>
      </c>
      <c r="P1438" s="89">
        <v>8585</v>
      </c>
      <c r="Q1438" t="s">
        <v>47</v>
      </c>
      <c r="R1438" s="214" t="s">
        <v>1869</v>
      </c>
      <c r="S1438" s="214" t="s">
        <v>1861</v>
      </c>
      <c r="U1438" t="s">
        <v>1953</v>
      </c>
      <c r="V1438" t="s">
        <v>2813</v>
      </c>
    </row>
    <row r="1439" spans="1:22" ht="15.75" thickBot="1" x14ac:dyDescent="0.3">
      <c r="A1439" t="s">
        <v>1916</v>
      </c>
      <c r="B1439" t="s">
        <v>1916</v>
      </c>
      <c r="C1439" t="s">
        <v>1916</v>
      </c>
      <c r="D1439" t="s">
        <v>629</v>
      </c>
      <c r="E1439" s="248" t="s">
        <v>1853</v>
      </c>
      <c r="F1439" t="s">
        <v>620</v>
      </c>
      <c r="G1439" s="89">
        <v>1996</v>
      </c>
      <c r="H1439" s="312" t="s">
        <v>735</v>
      </c>
      <c r="I1439" s="308" t="str">
        <f t="shared" si="70"/>
        <v>Pesado de Passageiros M3: III : Gasóleo : E2</v>
      </c>
      <c r="J1439" s="125">
        <v>53</v>
      </c>
      <c r="K1439" s="253">
        <v>2022</v>
      </c>
      <c r="L1439" s="85">
        <v>9142.6999999999989</v>
      </c>
      <c r="M1439" s="85" t="s">
        <v>630</v>
      </c>
      <c r="N1439" s="128">
        <v>29057</v>
      </c>
      <c r="O1439" s="128">
        <f t="shared" si="71"/>
        <v>1540021</v>
      </c>
      <c r="P1439" s="89">
        <v>8587</v>
      </c>
      <c r="Q1439" t="s">
        <v>47</v>
      </c>
      <c r="R1439" s="214" t="s">
        <v>1869</v>
      </c>
      <c r="S1439" s="214" t="s">
        <v>1861</v>
      </c>
      <c r="U1439" t="s">
        <v>1953</v>
      </c>
      <c r="V1439" t="s">
        <v>2813</v>
      </c>
    </row>
    <row r="1440" spans="1:22" ht="15.75" thickBot="1" x14ac:dyDescent="0.3">
      <c r="A1440" t="s">
        <v>1916</v>
      </c>
      <c r="B1440" t="s">
        <v>1916</v>
      </c>
      <c r="C1440" t="s">
        <v>1916</v>
      </c>
      <c r="D1440" t="s">
        <v>629</v>
      </c>
      <c r="E1440" s="248" t="s">
        <v>1853</v>
      </c>
      <c r="F1440" t="s">
        <v>620</v>
      </c>
      <c r="G1440" s="89">
        <v>2014</v>
      </c>
      <c r="H1440" s="312" t="s">
        <v>734</v>
      </c>
      <c r="I1440" s="308" t="str">
        <f t="shared" si="70"/>
        <v>Pesado de Passageiros M3: III : Gasóleo : E5</v>
      </c>
      <c r="J1440" s="125">
        <v>38</v>
      </c>
      <c r="K1440" s="253">
        <v>2022</v>
      </c>
      <c r="L1440" s="85">
        <v>9190.3000000000011</v>
      </c>
      <c r="M1440" s="85" t="s">
        <v>630</v>
      </c>
      <c r="N1440" s="128">
        <v>49205</v>
      </c>
      <c r="O1440" s="128">
        <f t="shared" si="71"/>
        <v>1869790</v>
      </c>
      <c r="P1440" s="89">
        <v>8588</v>
      </c>
      <c r="Q1440" t="s">
        <v>47</v>
      </c>
      <c r="R1440" s="214" t="s">
        <v>1869</v>
      </c>
      <c r="S1440" s="214" t="s">
        <v>1861</v>
      </c>
      <c r="U1440" t="s">
        <v>1953</v>
      </c>
      <c r="V1440" t="s">
        <v>2813</v>
      </c>
    </row>
    <row r="1441" spans="1:22" ht="15.75" thickBot="1" x14ac:dyDescent="0.3">
      <c r="A1441" t="s">
        <v>1916</v>
      </c>
      <c r="B1441" t="s">
        <v>1916</v>
      </c>
      <c r="C1441" t="s">
        <v>1916</v>
      </c>
      <c r="D1441" t="s">
        <v>629</v>
      </c>
      <c r="E1441" s="248" t="s">
        <v>1853</v>
      </c>
      <c r="F1441" t="s">
        <v>620</v>
      </c>
      <c r="G1441" s="89">
        <v>2002</v>
      </c>
      <c r="H1441" s="312" t="s">
        <v>732</v>
      </c>
      <c r="I1441" s="308" t="str">
        <f t="shared" si="70"/>
        <v>Pesado de Passageiros M3: III : Gasóleo : E3</v>
      </c>
      <c r="J1441" s="125">
        <v>69</v>
      </c>
      <c r="K1441" s="253">
        <v>2022</v>
      </c>
      <c r="L1441" s="85">
        <v>12110.300000000001</v>
      </c>
      <c r="M1441" s="85" t="s">
        <v>630</v>
      </c>
      <c r="N1441" s="128">
        <v>37929</v>
      </c>
      <c r="O1441" s="128">
        <f t="shared" si="71"/>
        <v>2617101</v>
      </c>
      <c r="P1441" s="89">
        <v>8590</v>
      </c>
      <c r="Q1441" t="s">
        <v>47</v>
      </c>
      <c r="R1441" s="214" t="s">
        <v>1869</v>
      </c>
      <c r="S1441" s="214" t="s">
        <v>1861</v>
      </c>
      <c r="U1441" t="s">
        <v>1953</v>
      </c>
      <c r="V1441" t="s">
        <v>2813</v>
      </c>
    </row>
    <row r="1442" spans="1:22" ht="15.75" thickBot="1" x14ac:dyDescent="0.3">
      <c r="A1442" t="s">
        <v>1916</v>
      </c>
      <c r="B1442" t="s">
        <v>1916</v>
      </c>
      <c r="C1442" t="s">
        <v>1916</v>
      </c>
      <c r="D1442" t="s">
        <v>629</v>
      </c>
      <c r="E1442" s="248" t="s">
        <v>1853</v>
      </c>
      <c r="F1442" t="s">
        <v>620</v>
      </c>
      <c r="G1442" s="89">
        <v>2004</v>
      </c>
      <c r="H1442" s="312" t="s">
        <v>732</v>
      </c>
      <c r="I1442" s="308" t="str">
        <f t="shared" si="70"/>
        <v>Pesado de Passageiros M3: III : Gasóleo : E3</v>
      </c>
      <c r="J1442" s="125">
        <v>69</v>
      </c>
      <c r="K1442" s="253">
        <v>2022</v>
      </c>
      <c r="L1442" s="85">
        <v>10548.1</v>
      </c>
      <c r="M1442" s="85" t="s">
        <v>630</v>
      </c>
      <c r="N1442" s="128">
        <v>32213</v>
      </c>
      <c r="O1442" s="128">
        <f t="shared" si="71"/>
        <v>2222697</v>
      </c>
      <c r="P1442" s="89">
        <v>8591</v>
      </c>
      <c r="Q1442" t="s">
        <v>47</v>
      </c>
      <c r="R1442" s="214" t="s">
        <v>1869</v>
      </c>
      <c r="S1442" s="214" t="s">
        <v>1861</v>
      </c>
      <c r="U1442" t="s">
        <v>1953</v>
      </c>
      <c r="V1442" t="s">
        <v>2813</v>
      </c>
    </row>
    <row r="1443" spans="1:22" ht="15.75" thickBot="1" x14ac:dyDescent="0.3">
      <c r="A1443" t="s">
        <v>1916</v>
      </c>
      <c r="B1443" t="s">
        <v>1916</v>
      </c>
      <c r="C1443" t="s">
        <v>1916</v>
      </c>
      <c r="D1443" t="s">
        <v>629</v>
      </c>
      <c r="E1443" s="248" t="s">
        <v>1853</v>
      </c>
      <c r="F1443" t="s">
        <v>620</v>
      </c>
      <c r="G1443" s="89">
        <v>2003</v>
      </c>
      <c r="H1443" s="312" t="s">
        <v>732</v>
      </c>
      <c r="I1443" s="308" t="str">
        <f t="shared" si="70"/>
        <v>Pesado de Passageiros M3: III : Gasóleo : E3</v>
      </c>
      <c r="J1443" s="125">
        <v>71</v>
      </c>
      <c r="K1443" s="253">
        <v>2022</v>
      </c>
      <c r="L1443" s="85">
        <v>10939.099999999999</v>
      </c>
      <c r="M1443" s="85" t="s">
        <v>630</v>
      </c>
      <c r="N1443" s="128">
        <v>35408</v>
      </c>
      <c r="O1443" s="128">
        <f t="shared" si="71"/>
        <v>2513968</v>
      </c>
      <c r="P1443" s="89">
        <v>8592</v>
      </c>
      <c r="Q1443" t="s">
        <v>47</v>
      </c>
      <c r="R1443" s="214" t="s">
        <v>1869</v>
      </c>
      <c r="S1443" s="214" t="s">
        <v>1861</v>
      </c>
      <c r="U1443" t="s">
        <v>1953</v>
      </c>
      <c r="V1443" t="s">
        <v>2813</v>
      </c>
    </row>
    <row r="1444" spans="1:22" ht="15.75" thickBot="1" x14ac:dyDescent="0.3">
      <c r="A1444" t="s">
        <v>1916</v>
      </c>
      <c r="B1444" t="s">
        <v>1916</v>
      </c>
      <c r="C1444" t="s">
        <v>1916</v>
      </c>
      <c r="D1444" t="s">
        <v>629</v>
      </c>
      <c r="E1444" s="248" t="s">
        <v>1853</v>
      </c>
      <c r="F1444" t="s">
        <v>620</v>
      </c>
      <c r="G1444" s="89">
        <v>2004</v>
      </c>
      <c r="H1444" s="312" t="s">
        <v>732</v>
      </c>
      <c r="I1444" s="308" t="str">
        <f t="shared" si="70"/>
        <v>Pesado de Passageiros M3: III : Gasóleo : E3</v>
      </c>
      <c r="J1444" s="125">
        <v>93</v>
      </c>
      <c r="K1444" s="253">
        <v>2022</v>
      </c>
      <c r="L1444" s="85">
        <v>12167.300000000001</v>
      </c>
      <c r="M1444" s="85" t="s">
        <v>630</v>
      </c>
      <c r="N1444" s="128">
        <v>29785</v>
      </c>
      <c r="O1444" s="128">
        <f t="shared" si="71"/>
        <v>2770005</v>
      </c>
      <c r="P1444" s="89">
        <v>8593</v>
      </c>
      <c r="Q1444" t="s">
        <v>47</v>
      </c>
      <c r="R1444" s="214" t="s">
        <v>1869</v>
      </c>
      <c r="S1444" s="214" t="s">
        <v>1861</v>
      </c>
      <c r="U1444" t="s">
        <v>1953</v>
      </c>
      <c r="V1444" t="s">
        <v>2813</v>
      </c>
    </row>
    <row r="1445" spans="1:22" ht="15.75" thickBot="1" x14ac:dyDescent="0.3">
      <c r="A1445" t="s">
        <v>1916</v>
      </c>
      <c r="B1445" t="s">
        <v>1916</v>
      </c>
      <c r="C1445" t="s">
        <v>1916</v>
      </c>
      <c r="D1445" t="s">
        <v>629</v>
      </c>
      <c r="E1445" s="248" t="s">
        <v>1853</v>
      </c>
      <c r="F1445" t="s">
        <v>620</v>
      </c>
      <c r="G1445" s="89">
        <v>1994</v>
      </c>
      <c r="H1445" s="312" t="s">
        <v>736</v>
      </c>
      <c r="I1445" s="308" t="str">
        <f t="shared" si="70"/>
        <v>Pesado de Passageiros M3: III : Gasóleo : E1</v>
      </c>
      <c r="J1445" s="125">
        <v>50</v>
      </c>
      <c r="K1445" s="253">
        <v>2022</v>
      </c>
      <c r="L1445" s="85">
        <v>4163.5</v>
      </c>
      <c r="M1445" s="85" t="s">
        <v>630</v>
      </c>
      <c r="N1445" s="128">
        <v>11692</v>
      </c>
      <c r="O1445" s="128">
        <f t="shared" si="71"/>
        <v>584600</v>
      </c>
      <c r="P1445" s="89">
        <v>8594</v>
      </c>
      <c r="Q1445" t="s">
        <v>47</v>
      </c>
      <c r="R1445" s="214" t="s">
        <v>1869</v>
      </c>
      <c r="S1445" s="214" t="s">
        <v>1861</v>
      </c>
      <c r="U1445" t="s">
        <v>1953</v>
      </c>
      <c r="V1445" t="s">
        <v>2813</v>
      </c>
    </row>
    <row r="1446" spans="1:22" ht="15.75" thickBot="1" x14ac:dyDescent="0.3">
      <c r="A1446" t="s">
        <v>1916</v>
      </c>
      <c r="B1446" t="s">
        <v>1916</v>
      </c>
      <c r="C1446" t="s">
        <v>1916</v>
      </c>
      <c r="D1446" t="s">
        <v>629</v>
      </c>
      <c r="E1446" s="248" t="s">
        <v>1853</v>
      </c>
      <c r="F1446" t="s">
        <v>620</v>
      </c>
      <c r="G1446" s="89">
        <v>2004</v>
      </c>
      <c r="H1446" s="312" t="s">
        <v>732</v>
      </c>
      <c r="I1446" s="308" t="str">
        <f t="shared" si="70"/>
        <v>Pesado de Passageiros M3: III : Gasóleo : E3</v>
      </c>
      <c r="J1446" s="125">
        <v>107</v>
      </c>
      <c r="K1446" s="253">
        <v>2022</v>
      </c>
      <c r="L1446" s="85">
        <v>13390.199999999999</v>
      </c>
      <c r="M1446" s="85" t="s">
        <v>630</v>
      </c>
      <c r="N1446" s="128">
        <v>32532</v>
      </c>
      <c r="O1446" s="128">
        <f t="shared" si="71"/>
        <v>3480924</v>
      </c>
      <c r="P1446" s="89">
        <v>8595</v>
      </c>
      <c r="Q1446" t="s">
        <v>47</v>
      </c>
      <c r="R1446" s="214" t="s">
        <v>1869</v>
      </c>
      <c r="S1446" s="214" t="s">
        <v>1861</v>
      </c>
      <c r="U1446" t="s">
        <v>1953</v>
      </c>
      <c r="V1446" t="s">
        <v>2813</v>
      </c>
    </row>
    <row r="1447" spans="1:22" ht="15.75" thickBot="1" x14ac:dyDescent="0.3">
      <c r="A1447" t="s">
        <v>1916</v>
      </c>
      <c r="B1447" t="s">
        <v>1916</v>
      </c>
      <c r="C1447" t="s">
        <v>1916</v>
      </c>
      <c r="D1447" t="s">
        <v>629</v>
      </c>
      <c r="E1447" s="248" t="s">
        <v>1853</v>
      </c>
      <c r="F1447" t="s">
        <v>620</v>
      </c>
      <c r="G1447" s="89">
        <v>2016</v>
      </c>
      <c r="H1447" s="312" t="s">
        <v>733</v>
      </c>
      <c r="I1447" s="308" t="str">
        <f t="shared" si="70"/>
        <v>Pesado de Passageiros M3: III : Gasóleo : E6</v>
      </c>
      <c r="J1447" s="125">
        <v>32</v>
      </c>
      <c r="K1447" s="253">
        <v>2022</v>
      </c>
      <c r="L1447" s="85">
        <v>11621.8</v>
      </c>
      <c r="M1447" s="85" t="s">
        <v>630</v>
      </c>
      <c r="N1447" s="128">
        <v>75579</v>
      </c>
      <c r="O1447" s="128">
        <f t="shared" si="71"/>
        <v>2418528</v>
      </c>
      <c r="P1447" s="89">
        <v>8596</v>
      </c>
      <c r="Q1447" t="s">
        <v>47</v>
      </c>
      <c r="R1447" s="214" t="s">
        <v>1869</v>
      </c>
      <c r="S1447" s="214" t="s">
        <v>1861</v>
      </c>
      <c r="U1447" t="s">
        <v>1953</v>
      </c>
      <c r="V1447" t="s">
        <v>2813</v>
      </c>
    </row>
    <row r="1448" spans="1:22" ht="15.75" thickBot="1" x14ac:dyDescent="0.3">
      <c r="A1448" t="s">
        <v>1916</v>
      </c>
      <c r="B1448" t="s">
        <v>1916</v>
      </c>
      <c r="C1448" t="s">
        <v>1916</v>
      </c>
      <c r="D1448" t="s">
        <v>629</v>
      </c>
      <c r="E1448" s="248" t="s">
        <v>1853</v>
      </c>
      <c r="F1448" t="s">
        <v>620</v>
      </c>
      <c r="G1448" s="89">
        <v>2008</v>
      </c>
      <c r="H1448" s="312" t="s">
        <v>731</v>
      </c>
      <c r="I1448" s="308" t="str">
        <f t="shared" si="70"/>
        <v>Pesado de Passageiros M3: III : Gasóleo : E4</v>
      </c>
      <c r="J1448" s="125">
        <v>86</v>
      </c>
      <c r="K1448" s="253">
        <v>2022</v>
      </c>
      <c r="L1448" s="85">
        <v>13102.9</v>
      </c>
      <c r="M1448" s="85" t="s">
        <v>630</v>
      </c>
      <c r="N1448" s="128">
        <v>37129</v>
      </c>
      <c r="O1448" s="128">
        <f t="shared" si="71"/>
        <v>3193094</v>
      </c>
      <c r="P1448" s="89">
        <v>8597</v>
      </c>
      <c r="Q1448" t="s">
        <v>47</v>
      </c>
      <c r="R1448" s="214" t="s">
        <v>1869</v>
      </c>
      <c r="S1448" s="214" t="s">
        <v>1861</v>
      </c>
      <c r="U1448" t="s">
        <v>1953</v>
      </c>
      <c r="V1448" t="s">
        <v>2813</v>
      </c>
    </row>
    <row r="1449" spans="1:22" ht="15.75" thickBot="1" x14ac:dyDescent="0.3">
      <c r="A1449" t="s">
        <v>1916</v>
      </c>
      <c r="B1449" t="s">
        <v>1916</v>
      </c>
      <c r="C1449" t="s">
        <v>1916</v>
      </c>
      <c r="D1449" t="s">
        <v>629</v>
      </c>
      <c r="E1449" s="248" t="s">
        <v>1853</v>
      </c>
      <c r="F1449" t="s">
        <v>620</v>
      </c>
      <c r="G1449" s="89">
        <v>2006</v>
      </c>
      <c r="H1449" s="312" t="s">
        <v>732</v>
      </c>
      <c r="I1449" s="308" t="str">
        <f t="shared" si="70"/>
        <v>Pesado de Passageiros M3: III : Gasóleo : E3</v>
      </c>
      <c r="J1449" s="125">
        <v>100</v>
      </c>
      <c r="K1449" s="253">
        <v>2022</v>
      </c>
      <c r="L1449" s="85">
        <v>12661</v>
      </c>
      <c r="M1449" s="85" t="s">
        <v>630</v>
      </c>
      <c r="N1449" s="128">
        <v>32944</v>
      </c>
      <c r="O1449" s="128">
        <f t="shared" si="71"/>
        <v>3294400</v>
      </c>
      <c r="P1449" s="89">
        <v>8598</v>
      </c>
      <c r="Q1449" t="s">
        <v>47</v>
      </c>
      <c r="R1449" s="214" t="s">
        <v>1869</v>
      </c>
      <c r="S1449" s="214" t="s">
        <v>1861</v>
      </c>
      <c r="U1449" t="s">
        <v>1953</v>
      </c>
      <c r="V1449" t="s">
        <v>2813</v>
      </c>
    </row>
    <row r="1450" spans="1:22" ht="15.75" thickBot="1" x14ac:dyDescent="0.3">
      <c r="A1450" t="s">
        <v>1916</v>
      </c>
      <c r="B1450" t="s">
        <v>1916</v>
      </c>
      <c r="C1450" t="s">
        <v>1916</v>
      </c>
      <c r="D1450" t="s">
        <v>629</v>
      </c>
      <c r="E1450" s="248" t="s">
        <v>1853</v>
      </c>
      <c r="F1450" t="s">
        <v>620</v>
      </c>
      <c r="G1450" s="89">
        <v>2003</v>
      </c>
      <c r="H1450" s="312" t="s">
        <v>732</v>
      </c>
      <c r="I1450" s="308" t="str">
        <f t="shared" si="70"/>
        <v>Pesado de Passageiros M3: III : Gasóleo : E3</v>
      </c>
      <c r="J1450" s="125">
        <v>73</v>
      </c>
      <c r="K1450" s="253">
        <v>2022</v>
      </c>
      <c r="L1450" s="85">
        <v>11491.5</v>
      </c>
      <c r="M1450" s="85" t="s">
        <v>630</v>
      </c>
      <c r="N1450" s="128">
        <v>34770</v>
      </c>
      <c r="O1450" s="128">
        <f t="shared" si="71"/>
        <v>2538210</v>
      </c>
      <c r="P1450" s="89">
        <v>8599</v>
      </c>
      <c r="Q1450" t="s">
        <v>47</v>
      </c>
      <c r="R1450" s="214" t="s">
        <v>1869</v>
      </c>
      <c r="S1450" s="214" t="s">
        <v>1861</v>
      </c>
      <c r="U1450" t="s">
        <v>1953</v>
      </c>
      <c r="V1450" t="s">
        <v>2813</v>
      </c>
    </row>
    <row r="1451" spans="1:22" ht="15.75" thickBot="1" x14ac:dyDescent="0.3">
      <c r="A1451" t="s">
        <v>1916</v>
      </c>
      <c r="B1451" t="s">
        <v>1916</v>
      </c>
      <c r="C1451" t="s">
        <v>1916</v>
      </c>
      <c r="D1451" t="s">
        <v>629</v>
      </c>
      <c r="E1451" s="248" t="s">
        <v>1853</v>
      </c>
      <c r="F1451" t="s">
        <v>620</v>
      </c>
      <c r="G1451" s="89">
        <v>1996</v>
      </c>
      <c r="H1451" s="312" t="s">
        <v>736</v>
      </c>
      <c r="I1451" s="308" t="str">
        <f t="shared" si="70"/>
        <v>Pesado de Passageiros M3: III : Gasóleo : E1</v>
      </c>
      <c r="J1451" s="125">
        <v>52</v>
      </c>
      <c r="K1451" s="253">
        <v>2022</v>
      </c>
      <c r="L1451" s="85">
        <v>3148.6</v>
      </c>
      <c r="M1451" s="85" t="s">
        <v>630</v>
      </c>
      <c r="N1451" s="128">
        <v>7736</v>
      </c>
      <c r="O1451" s="128">
        <f t="shared" si="71"/>
        <v>402272</v>
      </c>
      <c r="P1451" s="89">
        <v>8605</v>
      </c>
      <c r="Q1451" t="s">
        <v>47</v>
      </c>
      <c r="R1451" s="214" t="s">
        <v>1869</v>
      </c>
      <c r="S1451" s="214" t="s">
        <v>1861</v>
      </c>
      <c r="U1451" t="s">
        <v>1953</v>
      </c>
      <c r="V1451" t="s">
        <v>2813</v>
      </c>
    </row>
    <row r="1452" spans="1:22" ht="15.75" thickBot="1" x14ac:dyDescent="0.3">
      <c r="A1452" t="s">
        <v>1916</v>
      </c>
      <c r="B1452" t="s">
        <v>1916</v>
      </c>
      <c r="C1452" t="s">
        <v>1916</v>
      </c>
      <c r="D1452" t="s">
        <v>629</v>
      </c>
      <c r="E1452" s="248" t="s">
        <v>1853</v>
      </c>
      <c r="F1452" t="s">
        <v>620</v>
      </c>
      <c r="G1452" s="89">
        <v>1997</v>
      </c>
      <c r="H1452" s="312" t="s">
        <v>735</v>
      </c>
      <c r="I1452" s="308" t="str">
        <f t="shared" si="70"/>
        <v>Pesado de Passageiros M3: III : Gasóleo : E2</v>
      </c>
      <c r="J1452" s="125">
        <v>53</v>
      </c>
      <c r="K1452" s="253">
        <v>2022</v>
      </c>
      <c r="L1452" s="85">
        <v>4827.1000000000004</v>
      </c>
      <c r="M1452" s="85" t="s">
        <v>630</v>
      </c>
      <c r="N1452" s="128">
        <v>14922</v>
      </c>
      <c r="O1452" s="128">
        <f t="shared" si="71"/>
        <v>790866</v>
      </c>
      <c r="P1452" s="89">
        <v>8607</v>
      </c>
      <c r="Q1452" t="s">
        <v>47</v>
      </c>
      <c r="R1452" s="214" t="s">
        <v>1869</v>
      </c>
      <c r="S1452" s="214" t="s">
        <v>1861</v>
      </c>
      <c r="U1452" t="s">
        <v>1953</v>
      </c>
      <c r="V1452" t="s">
        <v>2813</v>
      </c>
    </row>
    <row r="1453" spans="1:22" ht="15.75" thickBot="1" x14ac:dyDescent="0.3">
      <c r="A1453" t="s">
        <v>1916</v>
      </c>
      <c r="B1453" t="s">
        <v>1916</v>
      </c>
      <c r="C1453" t="s">
        <v>1916</v>
      </c>
      <c r="D1453" t="s">
        <v>629</v>
      </c>
      <c r="E1453" s="248" t="s">
        <v>1853</v>
      </c>
      <c r="F1453" t="s">
        <v>620</v>
      </c>
      <c r="G1453" s="89">
        <v>1997</v>
      </c>
      <c r="H1453" s="312" t="s">
        <v>735</v>
      </c>
      <c r="I1453" s="308" t="str">
        <f t="shared" si="70"/>
        <v>Pesado de Passageiros M3: III : Gasóleo : E2</v>
      </c>
      <c r="J1453" s="125">
        <v>53</v>
      </c>
      <c r="K1453" s="253">
        <v>2022</v>
      </c>
      <c r="L1453" s="85">
        <v>7045.3</v>
      </c>
      <c r="M1453" s="85" t="s">
        <v>630</v>
      </c>
      <c r="N1453" s="128">
        <v>22796</v>
      </c>
      <c r="O1453" s="128">
        <f t="shared" si="71"/>
        <v>1208188</v>
      </c>
      <c r="P1453" s="89">
        <v>8608</v>
      </c>
      <c r="Q1453" t="s">
        <v>47</v>
      </c>
      <c r="R1453" s="214" t="s">
        <v>1869</v>
      </c>
      <c r="S1453" s="214" t="s">
        <v>1861</v>
      </c>
      <c r="U1453" t="s">
        <v>1953</v>
      </c>
      <c r="V1453" t="s">
        <v>2813</v>
      </c>
    </row>
    <row r="1454" spans="1:22" ht="15.75" thickBot="1" x14ac:dyDescent="0.3">
      <c r="A1454" t="s">
        <v>1916</v>
      </c>
      <c r="B1454" t="s">
        <v>1916</v>
      </c>
      <c r="C1454" t="s">
        <v>1916</v>
      </c>
      <c r="D1454" t="s">
        <v>629</v>
      </c>
      <c r="E1454" s="248" t="s">
        <v>1853</v>
      </c>
      <c r="F1454" t="s">
        <v>620</v>
      </c>
      <c r="G1454" s="89">
        <v>1999</v>
      </c>
      <c r="H1454" s="312" t="s">
        <v>735</v>
      </c>
      <c r="I1454" s="308" t="str">
        <f t="shared" si="70"/>
        <v>Pesado de Passageiros M3: III : Gasóleo : E2</v>
      </c>
      <c r="J1454" s="125">
        <v>53</v>
      </c>
      <c r="K1454" s="253">
        <v>2022</v>
      </c>
      <c r="L1454" s="85">
        <v>0</v>
      </c>
      <c r="M1454" s="85" t="s">
        <v>630</v>
      </c>
      <c r="N1454" s="128">
        <v>188</v>
      </c>
      <c r="O1454" s="128">
        <f t="shared" si="71"/>
        <v>9964</v>
      </c>
      <c r="P1454" s="89">
        <v>8609</v>
      </c>
      <c r="Q1454" t="s">
        <v>47</v>
      </c>
      <c r="R1454" s="214" t="s">
        <v>3640</v>
      </c>
      <c r="S1454" s="214" t="s">
        <v>3105</v>
      </c>
      <c r="U1454" t="s">
        <v>1953</v>
      </c>
      <c r="V1454" t="s">
        <v>2813</v>
      </c>
    </row>
    <row r="1455" spans="1:22" ht="15.75" thickBot="1" x14ac:dyDescent="0.3">
      <c r="A1455" t="s">
        <v>1916</v>
      </c>
      <c r="B1455" t="s">
        <v>1916</v>
      </c>
      <c r="C1455" t="s">
        <v>1916</v>
      </c>
      <c r="D1455" t="s">
        <v>629</v>
      </c>
      <c r="E1455" s="248" t="s">
        <v>1853</v>
      </c>
      <c r="F1455" t="s">
        <v>620</v>
      </c>
      <c r="G1455" s="89">
        <v>2000</v>
      </c>
      <c r="H1455" s="312" t="s">
        <v>735</v>
      </c>
      <c r="I1455" s="308" t="str">
        <f t="shared" si="70"/>
        <v>Pesado de Passageiros M3: III : Gasóleo : E2</v>
      </c>
      <c r="J1455" s="125">
        <v>52</v>
      </c>
      <c r="K1455" s="253">
        <v>2022</v>
      </c>
      <c r="L1455" s="85">
        <v>14080.699999999999</v>
      </c>
      <c r="M1455" s="85" t="s">
        <v>630</v>
      </c>
      <c r="N1455" s="128">
        <v>43024</v>
      </c>
      <c r="O1455" s="128">
        <f t="shared" si="71"/>
        <v>2237248</v>
      </c>
      <c r="P1455" s="89">
        <v>8612</v>
      </c>
      <c r="Q1455" t="s">
        <v>47</v>
      </c>
      <c r="R1455" s="214" t="s">
        <v>1869</v>
      </c>
      <c r="S1455" s="214" t="s">
        <v>1861</v>
      </c>
      <c r="U1455" t="s">
        <v>1953</v>
      </c>
      <c r="V1455" t="s">
        <v>2813</v>
      </c>
    </row>
    <row r="1456" spans="1:22" ht="15.75" thickBot="1" x14ac:dyDescent="0.3">
      <c r="A1456" t="s">
        <v>1916</v>
      </c>
      <c r="B1456" t="s">
        <v>1916</v>
      </c>
      <c r="C1456" t="s">
        <v>1916</v>
      </c>
      <c r="D1456" t="s">
        <v>629</v>
      </c>
      <c r="E1456" s="248" t="s">
        <v>1853</v>
      </c>
      <c r="F1456" t="s">
        <v>620</v>
      </c>
      <c r="G1456" s="89">
        <v>2001</v>
      </c>
      <c r="H1456" s="312" t="s">
        <v>735</v>
      </c>
      <c r="I1456" s="308" t="str">
        <f t="shared" si="70"/>
        <v>Pesado de Passageiros M3: III : Gasóleo : E2</v>
      </c>
      <c r="J1456" s="125">
        <v>56</v>
      </c>
      <c r="K1456" s="253">
        <v>2022</v>
      </c>
      <c r="L1456" s="85">
        <v>21358.6</v>
      </c>
      <c r="M1456" s="85" t="s">
        <v>630</v>
      </c>
      <c r="N1456" s="128">
        <v>68499</v>
      </c>
      <c r="O1456" s="128">
        <f t="shared" si="71"/>
        <v>3835944</v>
      </c>
      <c r="P1456" s="89">
        <v>8614</v>
      </c>
      <c r="Q1456" t="s">
        <v>47</v>
      </c>
      <c r="R1456" s="214" t="s">
        <v>1869</v>
      </c>
      <c r="S1456" s="214" t="s">
        <v>1861</v>
      </c>
      <c r="U1456" t="s">
        <v>1953</v>
      </c>
      <c r="V1456" t="s">
        <v>2813</v>
      </c>
    </row>
    <row r="1457" spans="1:22" ht="15.75" thickBot="1" x14ac:dyDescent="0.3">
      <c r="A1457" t="s">
        <v>1916</v>
      </c>
      <c r="B1457" t="s">
        <v>1916</v>
      </c>
      <c r="C1457" t="s">
        <v>1916</v>
      </c>
      <c r="D1457" t="s">
        <v>629</v>
      </c>
      <c r="E1457" s="248" t="s">
        <v>1853</v>
      </c>
      <c r="F1457" t="s">
        <v>620</v>
      </c>
      <c r="G1457" s="89">
        <v>2001</v>
      </c>
      <c r="H1457" s="312" t="s">
        <v>735</v>
      </c>
      <c r="I1457" s="308" t="str">
        <f t="shared" si="70"/>
        <v>Pesado de Passageiros M3: III : Gasóleo : E2</v>
      </c>
      <c r="J1457" s="125">
        <v>56</v>
      </c>
      <c r="K1457" s="253">
        <v>2022</v>
      </c>
      <c r="L1457" s="85">
        <v>16232.900000000001</v>
      </c>
      <c r="M1457" s="85" t="s">
        <v>630</v>
      </c>
      <c r="N1457" s="128">
        <v>46793</v>
      </c>
      <c r="O1457" s="128">
        <f t="shared" si="71"/>
        <v>2620408</v>
      </c>
      <c r="P1457" s="89">
        <v>8615</v>
      </c>
      <c r="Q1457" t="s">
        <v>47</v>
      </c>
      <c r="R1457" s="214" t="s">
        <v>1869</v>
      </c>
      <c r="S1457" s="214" t="s">
        <v>1861</v>
      </c>
      <c r="U1457" t="s">
        <v>1953</v>
      </c>
      <c r="V1457" t="s">
        <v>2813</v>
      </c>
    </row>
    <row r="1458" spans="1:22" ht="15.75" thickBot="1" x14ac:dyDescent="0.3">
      <c r="A1458" t="s">
        <v>1916</v>
      </c>
      <c r="B1458" t="s">
        <v>1916</v>
      </c>
      <c r="C1458" t="s">
        <v>1916</v>
      </c>
      <c r="D1458" t="s">
        <v>629</v>
      </c>
      <c r="E1458" s="248" t="s">
        <v>1853</v>
      </c>
      <c r="F1458" t="s">
        <v>620</v>
      </c>
      <c r="G1458" s="89">
        <v>2001</v>
      </c>
      <c r="H1458" s="312" t="s">
        <v>735</v>
      </c>
      <c r="I1458" s="308" t="str">
        <f t="shared" si="70"/>
        <v>Pesado de Passageiros M3: III : Gasóleo : E2</v>
      </c>
      <c r="J1458" s="125">
        <v>56</v>
      </c>
      <c r="K1458" s="253">
        <v>2022</v>
      </c>
      <c r="L1458" s="85">
        <v>18371.100000000002</v>
      </c>
      <c r="M1458" s="85" t="s">
        <v>630</v>
      </c>
      <c r="N1458" s="128">
        <v>58919</v>
      </c>
      <c r="O1458" s="128">
        <f t="shared" si="71"/>
        <v>3299464</v>
      </c>
      <c r="P1458" s="89">
        <v>8616</v>
      </c>
      <c r="Q1458" t="s">
        <v>47</v>
      </c>
      <c r="R1458" s="214" t="s">
        <v>1869</v>
      </c>
      <c r="S1458" s="214" t="s">
        <v>1861</v>
      </c>
      <c r="U1458" t="s">
        <v>1953</v>
      </c>
      <c r="V1458" t="s">
        <v>2813</v>
      </c>
    </row>
    <row r="1459" spans="1:22" ht="15.75" thickBot="1" x14ac:dyDescent="0.3">
      <c r="A1459" t="s">
        <v>1916</v>
      </c>
      <c r="B1459" t="s">
        <v>1916</v>
      </c>
      <c r="C1459" t="s">
        <v>1916</v>
      </c>
      <c r="D1459" t="s">
        <v>629</v>
      </c>
      <c r="E1459" s="248" t="s">
        <v>1853</v>
      </c>
      <c r="F1459" t="s">
        <v>620</v>
      </c>
      <c r="G1459" s="89">
        <v>1999</v>
      </c>
      <c r="H1459" s="312" t="s">
        <v>735</v>
      </c>
      <c r="I1459" s="308" t="str">
        <f t="shared" si="70"/>
        <v>Pesado de Passageiros M3: III : Gasóleo : E2</v>
      </c>
      <c r="J1459" s="125">
        <v>52</v>
      </c>
      <c r="K1459" s="253">
        <v>2022</v>
      </c>
      <c r="L1459" s="85">
        <v>73.8</v>
      </c>
      <c r="M1459" s="85" t="s">
        <v>630</v>
      </c>
      <c r="N1459" s="128">
        <v>14</v>
      </c>
      <c r="O1459" s="128">
        <f t="shared" si="71"/>
        <v>728</v>
      </c>
      <c r="P1459" s="89">
        <v>8618</v>
      </c>
      <c r="Q1459" t="s">
        <v>47</v>
      </c>
      <c r="R1459" s="214" t="s">
        <v>1869</v>
      </c>
      <c r="S1459" s="214" t="s">
        <v>1861</v>
      </c>
      <c r="U1459" t="s">
        <v>1953</v>
      </c>
      <c r="V1459" t="s">
        <v>2813</v>
      </c>
    </row>
    <row r="1460" spans="1:22" ht="15.75" thickBot="1" x14ac:dyDescent="0.3">
      <c r="A1460" t="s">
        <v>1916</v>
      </c>
      <c r="B1460" t="s">
        <v>1916</v>
      </c>
      <c r="C1460" t="s">
        <v>1916</v>
      </c>
      <c r="D1460" t="s">
        <v>629</v>
      </c>
      <c r="E1460" s="248" t="s">
        <v>1853</v>
      </c>
      <c r="F1460" t="s">
        <v>620</v>
      </c>
      <c r="G1460" s="89">
        <v>1999</v>
      </c>
      <c r="H1460" s="312" t="s">
        <v>735</v>
      </c>
      <c r="I1460" s="308" t="str">
        <f t="shared" si="70"/>
        <v>Pesado de Passageiros M3: III : Gasóleo : E2</v>
      </c>
      <c r="J1460" s="125">
        <v>50</v>
      </c>
      <c r="K1460" s="253">
        <v>2022</v>
      </c>
      <c r="L1460" s="85">
        <v>16362.799999999997</v>
      </c>
      <c r="M1460" s="85" t="s">
        <v>630</v>
      </c>
      <c r="N1460" s="128">
        <v>49728</v>
      </c>
      <c r="O1460" s="128">
        <f t="shared" si="71"/>
        <v>2486400</v>
      </c>
      <c r="P1460" s="89">
        <v>8619</v>
      </c>
      <c r="Q1460" t="s">
        <v>47</v>
      </c>
      <c r="R1460" s="214" t="s">
        <v>1869</v>
      </c>
      <c r="S1460" s="214" t="s">
        <v>1861</v>
      </c>
      <c r="U1460" t="s">
        <v>1953</v>
      </c>
      <c r="V1460" t="s">
        <v>2813</v>
      </c>
    </row>
    <row r="1461" spans="1:22" ht="15.75" thickBot="1" x14ac:dyDescent="0.3">
      <c r="A1461" t="s">
        <v>1916</v>
      </c>
      <c r="B1461" t="s">
        <v>1916</v>
      </c>
      <c r="C1461" t="s">
        <v>1916</v>
      </c>
      <c r="D1461" t="s">
        <v>629</v>
      </c>
      <c r="E1461" s="248" t="s">
        <v>1853</v>
      </c>
      <c r="F1461" t="s">
        <v>620</v>
      </c>
      <c r="G1461" s="89">
        <v>2001</v>
      </c>
      <c r="H1461" s="312" t="s">
        <v>735</v>
      </c>
      <c r="I1461" s="308" t="str">
        <f t="shared" si="70"/>
        <v>Pesado de Passageiros M3: III : Gasóleo : E2</v>
      </c>
      <c r="J1461" s="125">
        <v>53</v>
      </c>
      <c r="K1461" s="253">
        <v>2022</v>
      </c>
      <c r="L1461" s="85">
        <v>18575.599999999999</v>
      </c>
      <c r="M1461" s="85" t="s">
        <v>630</v>
      </c>
      <c r="N1461" s="128">
        <v>53191</v>
      </c>
      <c r="O1461" s="128">
        <f t="shared" si="71"/>
        <v>2819123</v>
      </c>
      <c r="P1461" s="89">
        <v>8620</v>
      </c>
      <c r="Q1461" t="s">
        <v>47</v>
      </c>
      <c r="R1461" s="214" t="s">
        <v>1869</v>
      </c>
      <c r="S1461" s="214" t="s">
        <v>1861</v>
      </c>
      <c r="U1461" t="s">
        <v>1953</v>
      </c>
      <c r="V1461" t="s">
        <v>2813</v>
      </c>
    </row>
    <row r="1462" spans="1:22" ht="15.75" thickBot="1" x14ac:dyDescent="0.3">
      <c r="A1462" t="s">
        <v>1916</v>
      </c>
      <c r="B1462" t="s">
        <v>1916</v>
      </c>
      <c r="C1462" t="s">
        <v>1916</v>
      </c>
      <c r="D1462" t="s">
        <v>629</v>
      </c>
      <c r="E1462" s="248" t="s">
        <v>1853</v>
      </c>
      <c r="F1462" t="s">
        <v>620</v>
      </c>
      <c r="G1462" s="89">
        <v>2001</v>
      </c>
      <c r="H1462" s="312" t="s">
        <v>735</v>
      </c>
      <c r="I1462" s="308" t="str">
        <f t="shared" si="70"/>
        <v>Pesado de Passageiros M3: III : Gasóleo : E2</v>
      </c>
      <c r="J1462" s="125">
        <v>55</v>
      </c>
      <c r="K1462" s="253">
        <v>2022</v>
      </c>
      <c r="L1462" s="85">
        <v>13646.599999999999</v>
      </c>
      <c r="M1462" s="85" t="s">
        <v>630</v>
      </c>
      <c r="N1462" s="128">
        <v>41125</v>
      </c>
      <c r="O1462" s="128">
        <f t="shared" si="71"/>
        <v>2261875</v>
      </c>
      <c r="P1462" s="89">
        <v>8621</v>
      </c>
      <c r="Q1462" t="s">
        <v>47</v>
      </c>
      <c r="R1462" s="214" t="s">
        <v>1869</v>
      </c>
      <c r="S1462" s="214" t="s">
        <v>1861</v>
      </c>
      <c r="U1462" t="s">
        <v>1953</v>
      </c>
      <c r="V1462" t="s">
        <v>2813</v>
      </c>
    </row>
    <row r="1463" spans="1:22" ht="15.75" thickBot="1" x14ac:dyDescent="0.3">
      <c r="A1463" t="s">
        <v>1916</v>
      </c>
      <c r="B1463" t="s">
        <v>1916</v>
      </c>
      <c r="C1463" t="s">
        <v>1916</v>
      </c>
      <c r="D1463" t="s">
        <v>629</v>
      </c>
      <c r="E1463" s="248" t="s">
        <v>1853</v>
      </c>
      <c r="F1463" t="s">
        <v>620</v>
      </c>
      <c r="G1463" s="89">
        <v>2008</v>
      </c>
      <c r="H1463" s="312" t="s">
        <v>731</v>
      </c>
      <c r="I1463" s="308" t="str">
        <f t="shared" si="70"/>
        <v>Pesado de Passageiros M3: III : Gasóleo : E4</v>
      </c>
      <c r="J1463" s="125">
        <v>56</v>
      </c>
      <c r="K1463" s="253">
        <v>2022</v>
      </c>
      <c r="L1463" s="85">
        <v>27974.799999999999</v>
      </c>
      <c r="M1463" s="85" t="s">
        <v>630</v>
      </c>
      <c r="N1463" s="128">
        <v>84220</v>
      </c>
      <c r="O1463" s="128">
        <f t="shared" si="71"/>
        <v>4716320</v>
      </c>
      <c r="P1463" s="89">
        <v>8623</v>
      </c>
      <c r="Q1463" t="s">
        <v>47</v>
      </c>
      <c r="R1463" s="214" t="s">
        <v>1869</v>
      </c>
      <c r="S1463" s="214" t="s">
        <v>1861</v>
      </c>
      <c r="U1463" t="s">
        <v>1953</v>
      </c>
      <c r="V1463" t="s">
        <v>2813</v>
      </c>
    </row>
    <row r="1464" spans="1:22" ht="15.75" thickBot="1" x14ac:dyDescent="0.3">
      <c r="A1464" t="s">
        <v>1916</v>
      </c>
      <c r="B1464" t="s">
        <v>1916</v>
      </c>
      <c r="C1464" t="s">
        <v>1916</v>
      </c>
      <c r="D1464" t="s">
        <v>629</v>
      </c>
      <c r="E1464" s="248" t="s">
        <v>1853</v>
      </c>
      <c r="F1464" t="s">
        <v>620</v>
      </c>
      <c r="G1464" s="89">
        <v>2008</v>
      </c>
      <c r="H1464" s="312" t="s">
        <v>731</v>
      </c>
      <c r="I1464" s="308" t="str">
        <f t="shared" si="70"/>
        <v>Pesado de Passageiros M3: III : Gasóleo : E4</v>
      </c>
      <c r="J1464" s="125">
        <v>56</v>
      </c>
      <c r="K1464" s="253">
        <v>2022</v>
      </c>
      <c r="L1464" s="85">
        <v>19201.100000000002</v>
      </c>
      <c r="M1464" s="85" t="s">
        <v>630</v>
      </c>
      <c r="N1464" s="128">
        <v>56592</v>
      </c>
      <c r="O1464" s="128">
        <f t="shared" si="71"/>
        <v>3169152</v>
      </c>
      <c r="P1464" s="89">
        <v>8625</v>
      </c>
      <c r="Q1464" t="s">
        <v>47</v>
      </c>
      <c r="R1464" s="214" t="s">
        <v>1869</v>
      </c>
      <c r="S1464" s="214" t="s">
        <v>1861</v>
      </c>
      <c r="U1464" t="s">
        <v>1953</v>
      </c>
      <c r="V1464" t="s">
        <v>2813</v>
      </c>
    </row>
    <row r="1465" spans="1:22" ht="15.75" thickBot="1" x14ac:dyDescent="0.3">
      <c r="A1465" t="s">
        <v>1916</v>
      </c>
      <c r="B1465" t="s">
        <v>1916</v>
      </c>
      <c r="C1465" t="s">
        <v>1916</v>
      </c>
      <c r="D1465" t="s">
        <v>629</v>
      </c>
      <c r="E1465" s="248" t="s">
        <v>1853</v>
      </c>
      <c r="F1465" t="s">
        <v>620</v>
      </c>
      <c r="G1465" s="89">
        <v>2008</v>
      </c>
      <c r="H1465" s="312" t="s">
        <v>731</v>
      </c>
      <c r="I1465" s="308" t="str">
        <f t="shared" si="70"/>
        <v>Pesado de Passageiros M3: III : Gasóleo : E4</v>
      </c>
      <c r="J1465" s="125">
        <v>56</v>
      </c>
      <c r="K1465" s="253">
        <v>2022</v>
      </c>
      <c r="L1465" s="85">
        <v>18306.3</v>
      </c>
      <c r="M1465" s="85" t="s">
        <v>630</v>
      </c>
      <c r="N1465" s="128">
        <v>49290</v>
      </c>
      <c r="O1465" s="128">
        <f t="shared" si="71"/>
        <v>2760240</v>
      </c>
      <c r="P1465" s="89">
        <v>8626</v>
      </c>
      <c r="Q1465" t="s">
        <v>47</v>
      </c>
      <c r="R1465" s="214" t="s">
        <v>1869</v>
      </c>
      <c r="S1465" s="214" t="s">
        <v>1861</v>
      </c>
      <c r="U1465" t="s">
        <v>1953</v>
      </c>
      <c r="V1465" t="s">
        <v>2813</v>
      </c>
    </row>
    <row r="1466" spans="1:22" ht="15.75" thickBot="1" x14ac:dyDescent="0.3">
      <c r="A1466" t="s">
        <v>1916</v>
      </c>
      <c r="B1466" t="s">
        <v>1916</v>
      </c>
      <c r="C1466" t="s">
        <v>1916</v>
      </c>
      <c r="D1466" t="s">
        <v>629</v>
      </c>
      <c r="E1466" s="248" t="s">
        <v>1853</v>
      </c>
      <c r="F1466" t="s">
        <v>620</v>
      </c>
      <c r="G1466" s="89">
        <v>2009</v>
      </c>
      <c r="H1466" s="312" t="s">
        <v>731</v>
      </c>
      <c r="I1466" s="308" t="str">
        <f t="shared" si="70"/>
        <v>Pesado de Passageiros M3: III : Gasóleo : E4</v>
      </c>
      <c r="J1466" s="125">
        <v>56</v>
      </c>
      <c r="K1466" s="253">
        <v>2022</v>
      </c>
      <c r="L1466" s="85">
        <v>12278.199999999999</v>
      </c>
      <c r="M1466" s="85" t="s">
        <v>630</v>
      </c>
      <c r="N1466" s="128">
        <v>28241</v>
      </c>
      <c r="O1466" s="128">
        <f t="shared" si="71"/>
        <v>1581496</v>
      </c>
      <c r="P1466" s="89">
        <v>8628</v>
      </c>
      <c r="Q1466" t="s">
        <v>47</v>
      </c>
      <c r="R1466" s="214" t="s">
        <v>1869</v>
      </c>
      <c r="S1466" s="214" t="s">
        <v>1861</v>
      </c>
      <c r="U1466" t="s">
        <v>1953</v>
      </c>
      <c r="V1466" t="s">
        <v>2813</v>
      </c>
    </row>
    <row r="1467" spans="1:22" ht="15.75" thickBot="1" x14ac:dyDescent="0.3">
      <c r="A1467" t="s">
        <v>1916</v>
      </c>
      <c r="B1467" t="s">
        <v>1916</v>
      </c>
      <c r="C1467" t="s">
        <v>1916</v>
      </c>
      <c r="D1467" t="s">
        <v>629</v>
      </c>
      <c r="E1467" s="248" t="s">
        <v>1853</v>
      </c>
      <c r="F1467" t="s">
        <v>620</v>
      </c>
      <c r="G1467" s="89">
        <v>2009</v>
      </c>
      <c r="H1467" s="312" t="s">
        <v>731</v>
      </c>
      <c r="I1467" s="308" t="str">
        <f t="shared" si="70"/>
        <v>Pesado de Passageiros M3: III : Gasóleo : E4</v>
      </c>
      <c r="J1467" s="125">
        <v>56</v>
      </c>
      <c r="K1467" s="253">
        <v>2022</v>
      </c>
      <c r="L1467" s="85">
        <v>26189.299999999996</v>
      </c>
      <c r="M1467" s="85" t="s">
        <v>630</v>
      </c>
      <c r="N1467" s="128">
        <v>86940</v>
      </c>
      <c r="O1467" s="128">
        <f t="shared" si="71"/>
        <v>4868640</v>
      </c>
      <c r="P1467" s="89">
        <v>8629</v>
      </c>
      <c r="Q1467" t="s">
        <v>47</v>
      </c>
      <c r="R1467" s="214" t="s">
        <v>1869</v>
      </c>
      <c r="S1467" s="214" t="s">
        <v>1861</v>
      </c>
      <c r="U1467" t="s">
        <v>1953</v>
      </c>
      <c r="V1467" t="s">
        <v>2813</v>
      </c>
    </row>
    <row r="1468" spans="1:22" ht="15.75" thickBot="1" x14ac:dyDescent="0.3">
      <c r="A1468" t="s">
        <v>1916</v>
      </c>
      <c r="B1468" t="s">
        <v>1916</v>
      </c>
      <c r="C1468" t="s">
        <v>1916</v>
      </c>
      <c r="D1468" t="s">
        <v>629</v>
      </c>
      <c r="E1468" s="248" t="s">
        <v>1853</v>
      </c>
      <c r="F1468" t="s">
        <v>620</v>
      </c>
      <c r="G1468" s="89">
        <v>2009</v>
      </c>
      <c r="H1468" s="312" t="s">
        <v>731</v>
      </c>
      <c r="I1468" s="308" t="str">
        <f t="shared" si="70"/>
        <v>Pesado de Passageiros M3: III : Gasóleo : E4</v>
      </c>
      <c r="J1468" s="125">
        <v>56</v>
      </c>
      <c r="K1468" s="253">
        <v>2022</v>
      </c>
      <c r="L1468" s="85">
        <v>28879.500000000004</v>
      </c>
      <c r="M1468" s="85" t="s">
        <v>630</v>
      </c>
      <c r="N1468" s="128">
        <v>91214</v>
      </c>
      <c r="O1468" s="128">
        <f t="shared" si="71"/>
        <v>5107984</v>
      </c>
      <c r="P1468" s="89">
        <v>8630</v>
      </c>
      <c r="Q1468" t="s">
        <v>47</v>
      </c>
      <c r="R1468" s="214" t="s">
        <v>1869</v>
      </c>
      <c r="S1468" s="214" t="s">
        <v>1861</v>
      </c>
      <c r="U1468" t="s">
        <v>1953</v>
      </c>
      <c r="V1468" t="s">
        <v>2813</v>
      </c>
    </row>
    <row r="1469" spans="1:22" ht="15.75" thickBot="1" x14ac:dyDescent="0.3">
      <c r="A1469" t="s">
        <v>1916</v>
      </c>
      <c r="B1469" t="s">
        <v>1916</v>
      </c>
      <c r="C1469" t="s">
        <v>1916</v>
      </c>
      <c r="D1469" t="s">
        <v>629</v>
      </c>
      <c r="E1469" s="248" t="s">
        <v>1853</v>
      </c>
      <c r="F1469" t="s">
        <v>620</v>
      </c>
      <c r="G1469" s="89">
        <v>2009</v>
      </c>
      <c r="H1469" s="312" t="s">
        <v>731</v>
      </c>
      <c r="I1469" s="308" t="str">
        <f t="shared" si="70"/>
        <v>Pesado de Passageiros M3: III : Gasóleo : E4</v>
      </c>
      <c r="J1469" s="125">
        <v>56</v>
      </c>
      <c r="K1469" s="253">
        <v>2022</v>
      </c>
      <c r="L1469" s="85">
        <v>14539.7</v>
      </c>
      <c r="M1469" s="85" t="s">
        <v>630</v>
      </c>
      <c r="N1469" s="128">
        <v>40361</v>
      </c>
      <c r="O1469" s="128">
        <f t="shared" si="71"/>
        <v>2260216</v>
      </c>
      <c r="P1469" s="89">
        <v>8631</v>
      </c>
      <c r="Q1469" t="s">
        <v>47</v>
      </c>
      <c r="R1469" s="214" t="s">
        <v>1869</v>
      </c>
      <c r="S1469" s="214" t="s">
        <v>1861</v>
      </c>
      <c r="U1469" t="s">
        <v>1953</v>
      </c>
      <c r="V1469" t="s">
        <v>2813</v>
      </c>
    </row>
    <row r="1470" spans="1:22" ht="15.75" thickBot="1" x14ac:dyDescent="0.3">
      <c r="A1470" t="s">
        <v>1916</v>
      </c>
      <c r="B1470" t="s">
        <v>1916</v>
      </c>
      <c r="C1470" t="s">
        <v>1916</v>
      </c>
      <c r="D1470" t="s">
        <v>629</v>
      </c>
      <c r="E1470" s="248" t="s">
        <v>1853</v>
      </c>
      <c r="F1470" t="s">
        <v>620</v>
      </c>
      <c r="G1470" s="89">
        <v>2009</v>
      </c>
      <c r="H1470" s="312" t="s">
        <v>731</v>
      </c>
      <c r="I1470" s="308" t="str">
        <f t="shared" si="70"/>
        <v>Pesado de Passageiros M3: III : Gasóleo : E4</v>
      </c>
      <c r="J1470" s="125">
        <v>58</v>
      </c>
      <c r="K1470" s="253">
        <v>2022</v>
      </c>
      <c r="L1470" s="85">
        <v>17494.3</v>
      </c>
      <c r="M1470" s="85" t="s">
        <v>630</v>
      </c>
      <c r="N1470" s="128">
        <v>56947</v>
      </c>
      <c r="O1470" s="128">
        <f t="shared" si="71"/>
        <v>3302926</v>
      </c>
      <c r="P1470" s="89">
        <v>8632</v>
      </c>
      <c r="Q1470" t="s">
        <v>47</v>
      </c>
      <c r="R1470" s="214" t="s">
        <v>1869</v>
      </c>
      <c r="S1470" s="214" t="s">
        <v>1861</v>
      </c>
      <c r="U1470" t="s">
        <v>1953</v>
      </c>
      <c r="V1470" t="s">
        <v>2813</v>
      </c>
    </row>
    <row r="1471" spans="1:22" ht="15.75" thickBot="1" x14ac:dyDescent="0.3">
      <c r="A1471" t="s">
        <v>1916</v>
      </c>
      <c r="B1471" t="s">
        <v>1916</v>
      </c>
      <c r="C1471" t="s">
        <v>1916</v>
      </c>
      <c r="D1471" t="s">
        <v>629</v>
      </c>
      <c r="E1471" s="248" t="s">
        <v>1853</v>
      </c>
      <c r="F1471" t="s">
        <v>620</v>
      </c>
      <c r="G1471" s="89">
        <v>2009</v>
      </c>
      <c r="H1471" s="312" t="s">
        <v>731</v>
      </c>
      <c r="I1471" s="308" t="str">
        <f t="shared" si="70"/>
        <v>Pesado de Passageiros M3: III : Gasóleo : E4</v>
      </c>
      <c r="J1471" s="125">
        <v>58</v>
      </c>
      <c r="K1471" s="253">
        <v>2022</v>
      </c>
      <c r="L1471" s="85">
        <v>37261.600000000006</v>
      </c>
      <c r="M1471" s="85" t="s">
        <v>630</v>
      </c>
      <c r="N1471" s="128">
        <v>118591</v>
      </c>
      <c r="O1471" s="128">
        <f t="shared" si="71"/>
        <v>6878278</v>
      </c>
      <c r="P1471" s="89">
        <v>8633</v>
      </c>
      <c r="Q1471" t="s">
        <v>47</v>
      </c>
      <c r="R1471" s="214" t="s">
        <v>1869</v>
      </c>
      <c r="S1471" s="214" t="s">
        <v>1861</v>
      </c>
      <c r="U1471" t="s">
        <v>1953</v>
      </c>
      <c r="V1471" t="s">
        <v>2813</v>
      </c>
    </row>
    <row r="1472" spans="1:22" ht="15.75" thickBot="1" x14ac:dyDescent="0.3">
      <c r="A1472" t="s">
        <v>1916</v>
      </c>
      <c r="B1472" t="s">
        <v>1916</v>
      </c>
      <c r="C1472" t="s">
        <v>1916</v>
      </c>
      <c r="D1472" t="s">
        <v>629</v>
      </c>
      <c r="E1472" s="248" t="s">
        <v>1853</v>
      </c>
      <c r="F1472" t="s">
        <v>620</v>
      </c>
      <c r="G1472" s="89">
        <v>2009</v>
      </c>
      <c r="H1472" s="312" t="s">
        <v>731</v>
      </c>
      <c r="I1472" s="308" t="str">
        <f t="shared" si="70"/>
        <v>Pesado de Passageiros M3: III : Gasóleo : E4</v>
      </c>
      <c r="J1472" s="125">
        <v>58</v>
      </c>
      <c r="K1472" s="253">
        <v>2022</v>
      </c>
      <c r="L1472" s="85">
        <v>13284.800000000001</v>
      </c>
      <c r="M1472" s="85" t="s">
        <v>630</v>
      </c>
      <c r="N1472" s="128">
        <v>38642</v>
      </c>
      <c r="O1472" s="128">
        <f t="shared" si="71"/>
        <v>2241236</v>
      </c>
      <c r="P1472" s="89">
        <v>8634</v>
      </c>
      <c r="Q1472" t="s">
        <v>47</v>
      </c>
      <c r="R1472" s="214" t="s">
        <v>1869</v>
      </c>
      <c r="S1472" s="214" t="s">
        <v>1861</v>
      </c>
      <c r="U1472" t="s">
        <v>1953</v>
      </c>
      <c r="V1472" t="s">
        <v>2813</v>
      </c>
    </row>
    <row r="1473" spans="1:22" ht="15.75" thickBot="1" x14ac:dyDescent="0.3">
      <c r="A1473" t="s">
        <v>1916</v>
      </c>
      <c r="B1473" t="s">
        <v>1916</v>
      </c>
      <c r="C1473" t="s">
        <v>1916</v>
      </c>
      <c r="D1473" t="s">
        <v>629</v>
      </c>
      <c r="E1473" s="248" t="s">
        <v>1853</v>
      </c>
      <c r="F1473" t="s">
        <v>620</v>
      </c>
      <c r="G1473" s="89">
        <v>1997</v>
      </c>
      <c r="H1473" s="312" t="s">
        <v>735</v>
      </c>
      <c r="I1473" s="308" t="str">
        <f t="shared" si="70"/>
        <v>Pesado de Passageiros M3: III : Gasóleo : E2</v>
      </c>
      <c r="J1473" s="125">
        <v>53</v>
      </c>
      <c r="K1473" s="253">
        <v>2022</v>
      </c>
      <c r="L1473" s="85">
        <v>3998.8</v>
      </c>
      <c r="M1473" s="85" t="s">
        <v>630</v>
      </c>
      <c r="N1473" s="128">
        <v>13040</v>
      </c>
      <c r="O1473" s="128">
        <f t="shared" si="71"/>
        <v>691120</v>
      </c>
      <c r="P1473" s="89">
        <v>8635</v>
      </c>
      <c r="Q1473" t="s">
        <v>47</v>
      </c>
      <c r="R1473" s="214" t="s">
        <v>1869</v>
      </c>
      <c r="S1473" s="214" t="s">
        <v>1861</v>
      </c>
      <c r="U1473" t="s">
        <v>1953</v>
      </c>
      <c r="V1473" t="s">
        <v>2813</v>
      </c>
    </row>
    <row r="1474" spans="1:22" ht="15.75" thickBot="1" x14ac:dyDescent="0.3">
      <c r="A1474" t="s">
        <v>1916</v>
      </c>
      <c r="B1474" t="s">
        <v>1916</v>
      </c>
      <c r="C1474" t="s">
        <v>1916</v>
      </c>
      <c r="D1474" t="s">
        <v>629</v>
      </c>
      <c r="E1474" s="248" t="s">
        <v>1853</v>
      </c>
      <c r="F1474" t="s">
        <v>620</v>
      </c>
      <c r="G1474" s="89">
        <v>2009</v>
      </c>
      <c r="H1474" s="312" t="s">
        <v>731</v>
      </c>
      <c r="I1474" s="308" t="str">
        <f t="shared" si="70"/>
        <v>Pesado de Passageiros M3: III : Gasóleo : E4</v>
      </c>
      <c r="J1474" s="125">
        <v>53</v>
      </c>
      <c r="K1474" s="253">
        <v>2022</v>
      </c>
      <c r="L1474" s="85">
        <v>18186.800000000003</v>
      </c>
      <c r="M1474" s="85" t="s">
        <v>630</v>
      </c>
      <c r="N1474" s="128">
        <v>58272</v>
      </c>
      <c r="O1474" s="128">
        <f t="shared" si="71"/>
        <v>3088416</v>
      </c>
      <c r="P1474" s="89">
        <v>8636</v>
      </c>
      <c r="Q1474" t="s">
        <v>47</v>
      </c>
      <c r="R1474" s="214" t="s">
        <v>1869</v>
      </c>
      <c r="S1474" s="214" t="s">
        <v>1861</v>
      </c>
      <c r="U1474" t="s">
        <v>1953</v>
      </c>
      <c r="V1474" t="s">
        <v>2813</v>
      </c>
    </row>
    <row r="1475" spans="1:22" ht="15.75" thickBot="1" x14ac:dyDescent="0.3">
      <c r="A1475" t="s">
        <v>1916</v>
      </c>
      <c r="B1475" t="s">
        <v>1916</v>
      </c>
      <c r="C1475" t="s">
        <v>1916</v>
      </c>
      <c r="D1475" t="s">
        <v>629</v>
      </c>
      <c r="E1475" s="248" t="s">
        <v>1853</v>
      </c>
      <c r="F1475" t="s">
        <v>620</v>
      </c>
      <c r="G1475" s="89">
        <v>2004</v>
      </c>
      <c r="H1475" s="312" t="s">
        <v>732</v>
      </c>
      <c r="I1475" s="308" t="str">
        <f t="shared" si="70"/>
        <v>Pesado de Passageiros M3: III : Gasóleo : E3</v>
      </c>
      <c r="J1475" s="125">
        <v>51</v>
      </c>
      <c r="K1475" s="253">
        <v>2022</v>
      </c>
      <c r="L1475" s="85">
        <v>18831</v>
      </c>
      <c r="M1475" s="85" t="s">
        <v>630</v>
      </c>
      <c r="N1475" s="128">
        <v>61407</v>
      </c>
      <c r="O1475" s="128">
        <f t="shared" si="71"/>
        <v>3131757</v>
      </c>
      <c r="P1475" s="89">
        <v>8637</v>
      </c>
      <c r="Q1475" t="s">
        <v>47</v>
      </c>
      <c r="R1475" s="214" t="s">
        <v>1869</v>
      </c>
      <c r="S1475" s="214" t="s">
        <v>1861</v>
      </c>
      <c r="U1475" t="s">
        <v>1953</v>
      </c>
      <c r="V1475" t="s">
        <v>2813</v>
      </c>
    </row>
    <row r="1476" spans="1:22" ht="15.75" thickBot="1" x14ac:dyDescent="0.3">
      <c r="A1476" t="s">
        <v>1916</v>
      </c>
      <c r="B1476" t="s">
        <v>1916</v>
      </c>
      <c r="C1476" t="s">
        <v>1916</v>
      </c>
      <c r="D1476" t="s">
        <v>629</v>
      </c>
      <c r="E1476" s="248" t="s">
        <v>1853</v>
      </c>
      <c r="F1476" t="s">
        <v>620</v>
      </c>
      <c r="G1476" s="89">
        <v>2016</v>
      </c>
      <c r="H1476" s="312" t="s">
        <v>733</v>
      </c>
      <c r="I1476" s="308" t="str">
        <f t="shared" ref="I1476:I1539" si="72">D1476&amp;": "&amp;E1476&amp;" : "&amp;F1476&amp;" : "&amp;H1476</f>
        <v>Pesado de Passageiros M3: III : Gasóleo : E6</v>
      </c>
      <c r="J1476" s="125">
        <v>55</v>
      </c>
      <c r="K1476" s="253">
        <v>2022</v>
      </c>
      <c r="L1476" s="85">
        <v>44411.599999999991</v>
      </c>
      <c r="M1476" s="85" t="s">
        <v>630</v>
      </c>
      <c r="N1476" s="128">
        <v>156387</v>
      </c>
      <c r="O1476" s="128">
        <f t="shared" ref="O1476:O1539" si="73">N1476*J1476</f>
        <v>8601285</v>
      </c>
      <c r="P1476" s="89">
        <v>8638</v>
      </c>
      <c r="Q1476" t="s">
        <v>47</v>
      </c>
      <c r="R1476" s="214" t="s">
        <v>1869</v>
      </c>
      <c r="S1476" s="214" t="s">
        <v>1861</v>
      </c>
      <c r="U1476" t="s">
        <v>1953</v>
      </c>
      <c r="V1476" t="s">
        <v>2813</v>
      </c>
    </row>
    <row r="1477" spans="1:22" ht="15.75" thickBot="1" x14ac:dyDescent="0.3">
      <c r="A1477" t="s">
        <v>1916</v>
      </c>
      <c r="B1477" t="s">
        <v>1916</v>
      </c>
      <c r="C1477" t="s">
        <v>1916</v>
      </c>
      <c r="D1477" t="s">
        <v>629</v>
      </c>
      <c r="E1477" s="248" t="s">
        <v>1853</v>
      </c>
      <c r="F1477" t="s">
        <v>620</v>
      </c>
      <c r="G1477" s="89">
        <v>2016</v>
      </c>
      <c r="H1477" s="312" t="s">
        <v>733</v>
      </c>
      <c r="I1477" s="308" t="str">
        <f t="shared" si="72"/>
        <v>Pesado de Passageiros M3: III : Gasóleo : E6</v>
      </c>
      <c r="J1477" s="125">
        <v>55</v>
      </c>
      <c r="K1477" s="253">
        <v>2022</v>
      </c>
      <c r="L1477" s="85">
        <v>31511.699999999997</v>
      </c>
      <c r="M1477" s="85" t="s">
        <v>630</v>
      </c>
      <c r="N1477" s="128">
        <v>108679</v>
      </c>
      <c r="O1477" s="128">
        <f t="shared" si="73"/>
        <v>5977345</v>
      </c>
      <c r="P1477" s="89">
        <v>8639</v>
      </c>
      <c r="Q1477" t="s">
        <v>47</v>
      </c>
      <c r="R1477" s="214" t="s">
        <v>1869</v>
      </c>
      <c r="S1477" s="214" t="s">
        <v>1861</v>
      </c>
      <c r="U1477" t="s">
        <v>1953</v>
      </c>
      <c r="V1477" t="s">
        <v>2813</v>
      </c>
    </row>
    <row r="1478" spans="1:22" ht="15.75" thickBot="1" x14ac:dyDescent="0.3">
      <c r="A1478" t="s">
        <v>1916</v>
      </c>
      <c r="B1478" t="s">
        <v>1916</v>
      </c>
      <c r="C1478" t="s">
        <v>1916</v>
      </c>
      <c r="D1478" t="s">
        <v>629</v>
      </c>
      <c r="E1478" s="248" t="s">
        <v>1853</v>
      </c>
      <c r="F1478" t="s">
        <v>620</v>
      </c>
      <c r="G1478" s="89">
        <v>2016</v>
      </c>
      <c r="H1478" s="312" t="s">
        <v>733</v>
      </c>
      <c r="I1478" s="308" t="str">
        <f t="shared" si="72"/>
        <v>Pesado de Passageiros M3: III : Gasóleo : E6</v>
      </c>
      <c r="J1478" s="125">
        <v>55</v>
      </c>
      <c r="K1478" s="253">
        <v>2022</v>
      </c>
      <c r="L1478" s="85">
        <v>37409.5</v>
      </c>
      <c r="M1478" s="85" t="s">
        <v>630</v>
      </c>
      <c r="N1478" s="128">
        <v>132199</v>
      </c>
      <c r="O1478" s="128">
        <f t="shared" si="73"/>
        <v>7270945</v>
      </c>
      <c r="P1478" s="89">
        <v>8640</v>
      </c>
      <c r="Q1478" t="s">
        <v>47</v>
      </c>
      <c r="R1478" s="214" t="s">
        <v>1869</v>
      </c>
      <c r="S1478" s="214" t="s">
        <v>1861</v>
      </c>
      <c r="U1478" t="s">
        <v>1953</v>
      </c>
      <c r="V1478" t="s">
        <v>2813</v>
      </c>
    </row>
    <row r="1479" spans="1:22" ht="15.75" thickBot="1" x14ac:dyDescent="0.3">
      <c r="A1479" t="s">
        <v>1916</v>
      </c>
      <c r="B1479" t="s">
        <v>1916</v>
      </c>
      <c r="C1479" t="s">
        <v>1916</v>
      </c>
      <c r="D1479" t="s">
        <v>629</v>
      </c>
      <c r="E1479" s="248" t="s">
        <v>1853</v>
      </c>
      <c r="F1479" t="s">
        <v>620</v>
      </c>
      <c r="G1479" s="89">
        <v>2016</v>
      </c>
      <c r="H1479" s="312" t="s">
        <v>733</v>
      </c>
      <c r="I1479" s="308" t="str">
        <f t="shared" si="72"/>
        <v>Pesado de Passageiros M3: III : Gasóleo : E6</v>
      </c>
      <c r="J1479" s="125">
        <v>55</v>
      </c>
      <c r="K1479" s="253">
        <v>2022</v>
      </c>
      <c r="L1479" s="85">
        <v>37789.899999999994</v>
      </c>
      <c r="M1479" s="85" t="s">
        <v>630</v>
      </c>
      <c r="N1479" s="128">
        <v>134253</v>
      </c>
      <c r="O1479" s="128">
        <f t="shared" si="73"/>
        <v>7383915</v>
      </c>
      <c r="P1479" s="89">
        <v>8641</v>
      </c>
      <c r="Q1479" t="s">
        <v>47</v>
      </c>
      <c r="R1479" s="214" t="s">
        <v>1869</v>
      </c>
      <c r="S1479" s="214" t="s">
        <v>1861</v>
      </c>
      <c r="U1479" t="s">
        <v>1953</v>
      </c>
      <c r="V1479" t="s">
        <v>2813</v>
      </c>
    </row>
    <row r="1480" spans="1:22" ht="15.75" thickBot="1" x14ac:dyDescent="0.3">
      <c r="A1480" t="s">
        <v>1916</v>
      </c>
      <c r="B1480" t="s">
        <v>1916</v>
      </c>
      <c r="C1480" t="s">
        <v>1916</v>
      </c>
      <c r="D1480" t="s">
        <v>629</v>
      </c>
      <c r="E1480" s="248" t="s">
        <v>1853</v>
      </c>
      <c r="F1480" t="s">
        <v>620</v>
      </c>
      <c r="G1480" s="89">
        <v>2016</v>
      </c>
      <c r="H1480" s="312" t="s">
        <v>733</v>
      </c>
      <c r="I1480" s="308" t="str">
        <f t="shared" si="72"/>
        <v>Pesado de Passageiros M3: III : Gasóleo : E6</v>
      </c>
      <c r="J1480" s="125">
        <v>55</v>
      </c>
      <c r="K1480" s="253">
        <v>2022</v>
      </c>
      <c r="L1480" s="85">
        <v>44941.2</v>
      </c>
      <c r="M1480" s="85" t="s">
        <v>630</v>
      </c>
      <c r="N1480" s="128">
        <v>145617</v>
      </c>
      <c r="O1480" s="128">
        <f t="shared" si="73"/>
        <v>8008935</v>
      </c>
      <c r="P1480" s="89">
        <v>8642</v>
      </c>
      <c r="Q1480" t="s">
        <v>47</v>
      </c>
      <c r="R1480" s="214" t="s">
        <v>1869</v>
      </c>
      <c r="S1480" s="214" t="s">
        <v>1861</v>
      </c>
      <c r="U1480" t="s">
        <v>1953</v>
      </c>
      <c r="V1480" t="s">
        <v>2813</v>
      </c>
    </row>
    <row r="1481" spans="1:22" ht="15.75" thickBot="1" x14ac:dyDescent="0.3">
      <c r="A1481" t="s">
        <v>1916</v>
      </c>
      <c r="B1481" t="s">
        <v>1916</v>
      </c>
      <c r="C1481" t="s">
        <v>1916</v>
      </c>
      <c r="D1481" t="s">
        <v>629</v>
      </c>
      <c r="E1481" s="248" t="s">
        <v>1853</v>
      </c>
      <c r="F1481" t="s">
        <v>620</v>
      </c>
      <c r="G1481" s="89">
        <v>2016</v>
      </c>
      <c r="H1481" s="312" t="s">
        <v>733</v>
      </c>
      <c r="I1481" s="308" t="str">
        <f t="shared" si="72"/>
        <v>Pesado de Passageiros M3: III : Gasóleo : E6</v>
      </c>
      <c r="J1481" s="125">
        <v>55</v>
      </c>
      <c r="K1481" s="253">
        <v>2022</v>
      </c>
      <c r="L1481" s="85">
        <v>44203.1</v>
      </c>
      <c r="M1481" s="85" t="s">
        <v>630</v>
      </c>
      <c r="N1481" s="128">
        <v>157371</v>
      </c>
      <c r="O1481" s="128">
        <f t="shared" si="73"/>
        <v>8655405</v>
      </c>
      <c r="P1481" s="89">
        <v>8643</v>
      </c>
      <c r="Q1481" t="s">
        <v>47</v>
      </c>
      <c r="R1481" s="214" t="s">
        <v>1869</v>
      </c>
      <c r="S1481" s="214" t="s">
        <v>1861</v>
      </c>
      <c r="U1481" t="s">
        <v>1953</v>
      </c>
      <c r="V1481" t="s">
        <v>2813</v>
      </c>
    </row>
    <row r="1482" spans="1:22" ht="15.75" thickBot="1" x14ac:dyDescent="0.3">
      <c r="A1482" t="s">
        <v>1916</v>
      </c>
      <c r="B1482" t="s">
        <v>1916</v>
      </c>
      <c r="C1482" t="s">
        <v>1916</v>
      </c>
      <c r="D1482" t="s">
        <v>629</v>
      </c>
      <c r="E1482" s="248" t="s">
        <v>1853</v>
      </c>
      <c r="F1482" t="s">
        <v>620</v>
      </c>
      <c r="G1482" s="89">
        <v>2017</v>
      </c>
      <c r="H1482" s="312" t="s">
        <v>733</v>
      </c>
      <c r="I1482" s="308" t="str">
        <f t="shared" si="72"/>
        <v>Pesado de Passageiros M3: III : Gasóleo : E6</v>
      </c>
      <c r="J1482" s="125">
        <v>55</v>
      </c>
      <c r="K1482" s="253">
        <v>2022</v>
      </c>
      <c r="L1482" s="85">
        <v>25150.2</v>
      </c>
      <c r="M1482" s="85" t="s">
        <v>630</v>
      </c>
      <c r="N1482" s="128">
        <v>87002</v>
      </c>
      <c r="O1482" s="128">
        <f t="shared" si="73"/>
        <v>4785110</v>
      </c>
      <c r="P1482" s="89">
        <v>8644</v>
      </c>
      <c r="Q1482" t="s">
        <v>47</v>
      </c>
      <c r="R1482" s="214" t="s">
        <v>1869</v>
      </c>
      <c r="S1482" s="214" t="s">
        <v>1861</v>
      </c>
      <c r="U1482" t="s">
        <v>1953</v>
      </c>
      <c r="V1482" t="s">
        <v>2813</v>
      </c>
    </row>
    <row r="1483" spans="1:22" ht="15.75" thickBot="1" x14ac:dyDescent="0.3">
      <c r="A1483" t="s">
        <v>1916</v>
      </c>
      <c r="B1483" t="s">
        <v>1916</v>
      </c>
      <c r="C1483" t="s">
        <v>1916</v>
      </c>
      <c r="D1483" t="s">
        <v>629</v>
      </c>
      <c r="E1483" s="248" t="s">
        <v>1853</v>
      </c>
      <c r="F1483" t="s">
        <v>620</v>
      </c>
      <c r="G1483" s="89">
        <v>2017</v>
      </c>
      <c r="H1483" s="312" t="s">
        <v>733</v>
      </c>
      <c r="I1483" s="308" t="str">
        <f t="shared" si="72"/>
        <v>Pesado de Passageiros M3: III : Gasóleo : E6</v>
      </c>
      <c r="J1483" s="125">
        <v>55</v>
      </c>
      <c r="K1483" s="253">
        <v>2022</v>
      </c>
      <c r="L1483" s="85">
        <v>45502.299999999996</v>
      </c>
      <c r="M1483" s="85" t="s">
        <v>630</v>
      </c>
      <c r="N1483" s="128">
        <v>165301</v>
      </c>
      <c r="O1483" s="128">
        <f t="shared" si="73"/>
        <v>9091555</v>
      </c>
      <c r="P1483" s="89">
        <v>8645</v>
      </c>
      <c r="Q1483" t="s">
        <v>47</v>
      </c>
      <c r="R1483" s="214" t="s">
        <v>1869</v>
      </c>
      <c r="S1483" s="214" t="s">
        <v>1861</v>
      </c>
      <c r="U1483" t="s">
        <v>1953</v>
      </c>
      <c r="V1483" t="s">
        <v>2813</v>
      </c>
    </row>
    <row r="1484" spans="1:22" ht="15.75" thickBot="1" x14ac:dyDescent="0.3">
      <c r="A1484" t="s">
        <v>1916</v>
      </c>
      <c r="B1484" t="s">
        <v>1916</v>
      </c>
      <c r="C1484" t="s">
        <v>1916</v>
      </c>
      <c r="D1484" t="s">
        <v>629</v>
      </c>
      <c r="E1484" s="248" t="s">
        <v>1853</v>
      </c>
      <c r="F1484" t="s">
        <v>620</v>
      </c>
      <c r="G1484" s="89">
        <v>2017</v>
      </c>
      <c r="H1484" s="312" t="s">
        <v>733</v>
      </c>
      <c r="I1484" s="308" t="str">
        <f t="shared" si="72"/>
        <v>Pesado de Passageiros M3: III : Gasóleo : E6</v>
      </c>
      <c r="J1484" s="125">
        <v>55</v>
      </c>
      <c r="K1484" s="253">
        <v>2022</v>
      </c>
      <c r="L1484" s="85">
        <v>42645.899999999994</v>
      </c>
      <c r="M1484" s="85" t="s">
        <v>630</v>
      </c>
      <c r="N1484" s="128">
        <v>139195</v>
      </c>
      <c r="O1484" s="128">
        <f t="shared" si="73"/>
        <v>7655725</v>
      </c>
      <c r="P1484" s="89">
        <v>8646</v>
      </c>
      <c r="Q1484" t="s">
        <v>47</v>
      </c>
      <c r="R1484" s="214" t="s">
        <v>1869</v>
      </c>
      <c r="S1484" s="214" t="s">
        <v>1861</v>
      </c>
      <c r="U1484" t="s">
        <v>1953</v>
      </c>
      <c r="V1484" t="s">
        <v>2813</v>
      </c>
    </row>
    <row r="1485" spans="1:22" ht="15.75" thickBot="1" x14ac:dyDescent="0.3">
      <c r="A1485" t="s">
        <v>1916</v>
      </c>
      <c r="B1485" t="s">
        <v>1916</v>
      </c>
      <c r="C1485" t="s">
        <v>1916</v>
      </c>
      <c r="D1485" t="s">
        <v>629</v>
      </c>
      <c r="E1485" s="248" t="s">
        <v>1853</v>
      </c>
      <c r="F1485" t="s">
        <v>620</v>
      </c>
      <c r="G1485" s="89">
        <v>2017</v>
      </c>
      <c r="H1485" s="312" t="s">
        <v>733</v>
      </c>
      <c r="I1485" s="308" t="str">
        <f t="shared" si="72"/>
        <v>Pesado de Passageiros M3: III : Gasóleo : E6</v>
      </c>
      <c r="J1485" s="125">
        <v>55</v>
      </c>
      <c r="K1485" s="253">
        <v>2022</v>
      </c>
      <c r="L1485" s="85">
        <v>43498.9</v>
      </c>
      <c r="M1485" s="85" t="s">
        <v>630</v>
      </c>
      <c r="N1485" s="128">
        <v>162291</v>
      </c>
      <c r="O1485" s="128">
        <f t="shared" si="73"/>
        <v>8926005</v>
      </c>
      <c r="P1485" s="89">
        <v>8647</v>
      </c>
      <c r="Q1485" t="s">
        <v>47</v>
      </c>
      <c r="R1485" s="214" t="s">
        <v>1869</v>
      </c>
      <c r="S1485" s="214" t="s">
        <v>1861</v>
      </c>
      <c r="U1485" t="s">
        <v>1953</v>
      </c>
      <c r="V1485" t="s">
        <v>2813</v>
      </c>
    </row>
    <row r="1486" spans="1:22" ht="15.75" thickBot="1" x14ac:dyDescent="0.3">
      <c r="A1486" t="s">
        <v>1916</v>
      </c>
      <c r="B1486" t="s">
        <v>1916</v>
      </c>
      <c r="C1486" t="s">
        <v>1916</v>
      </c>
      <c r="D1486" t="s">
        <v>629</v>
      </c>
      <c r="E1486" s="248" t="s">
        <v>1853</v>
      </c>
      <c r="F1486" t="s">
        <v>620</v>
      </c>
      <c r="G1486" s="89">
        <v>2013</v>
      </c>
      <c r="H1486" s="312" t="s">
        <v>734</v>
      </c>
      <c r="I1486" s="308" t="str">
        <f t="shared" si="72"/>
        <v>Pesado de Passageiros M3: III : Gasóleo : E5</v>
      </c>
      <c r="J1486" s="125">
        <v>55</v>
      </c>
      <c r="K1486" s="253">
        <v>2022</v>
      </c>
      <c r="L1486" s="85">
        <v>27305.199999999997</v>
      </c>
      <c r="M1486" s="85" t="s">
        <v>630</v>
      </c>
      <c r="N1486" s="128">
        <v>83763</v>
      </c>
      <c r="O1486" s="128">
        <f t="shared" si="73"/>
        <v>4606965</v>
      </c>
      <c r="P1486" s="89">
        <v>8648</v>
      </c>
      <c r="Q1486" t="s">
        <v>47</v>
      </c>
      <c r="R1486" s="214" t="s">
        <v>1869</v>
      </c>
      <c r="S1486" s="214" t="s">
        <v>1861</v>
      </c>
      <c r="U1486" t="s">
        <v>1953</v>
      </c>
      <c r="V1486" t="s">
        <v>2813</v>
      </c>
    </row>
    <row r="1487" spans="1:22" ht="15.75" thickBot="1" x14ac:dyDescent="0.3">
      <c r="A1487" t="s">
        <v>1916</v>
      </c>
      <c r="B1487" t="s">
        <v>1916</v>
      </c>
      <c r="C1487" t="s">
        <v>1916</v>
      </c>
      <c r="D1487" t="s">
        <v>629</v>
      </c>
      <c r="E1487" s="248" t="s">
        <v>1853</v>
      </c>
      <c r="F1487" t="s">
        <v>620</v>
      </c>
      <c r="G1487" s="89">
        <v>2013</v>
      </c>
      <c r="H1487" s="312" t="s">
        <v>734</v>
      </c>
      <c r="I1487" s="308" t="str">
        <f t="shared" si="72"/>
        <v>Pesado de Passageiros M3: III : Gasóleo : E5</v>
      </c>
      <c r="J1487" s="125">
        <v>55</v>
      </c>
      <c r="K1487" s="253">
        <v>2022</v>
      </c>
      <c r="L1487" s="85">
        <v>26986.7</v>
      </c>
      <c r="M1487" s="85" t="s">
        <v>630</v>
      </c>
      <c r="N1487" s="128">
        <v>88554</v>
      </c>
      <c r="O1487" s="128">
        <f t="shared" si="73"/>
        <v>4870470</v>
      </c>
      <c r="P1487" s="89">
        <v>8649</v>
      </c>
      <c r="Q1487" t="s">
        <v>47</v>
      </c>
      <c r="R1487" s="214" t="s">
        <v>1869</v>
      </c>
      <c r="S1487" s="214" t="s">
        <v>1861</v>
      </c>
      <c r="U1487" t="s">
        <v>1953</v>
      </c>
      <c r="V1487" t="s">
        <v>2813</v>
      </c>
    </row>
    <row r="1488" spans="1:22" ht="15.75" thickBot="1" x14ac:dyDescent="0.3">
      <c r="A1488" t="s">
        <v>1916</v>
      </c>
      <c r="B1488" t="s">
        <v>1916</v>
      </c>
      <c r="C1488" t="s">
        <v>1916</v>
      </c>
      <c r="D1488" t="s">
        <v>629</v>
      </c>
      <c r="E1488" s="248" t="s">
        <v>1853</v>
      </c>
      <c r="F1488" t="s">
        <v>620</v>
      </c>
      <c r="G1488" s="89">
        <v>2008</v>
      </c>
      <c r="H1488" s="312" t="s">
        <v>731</v>
      </c>
      <c r="I1488" s="308" t="str">
        <f t="shared" si="72"/>
        <v>Pesado de Passageiros M3: III : Gasóleo : E4</v>
      </c>
      <c r="J1488" s="125">
        <v>67</v>
      </c>
      <c r="K1488" s="253">
        <v>2022</v>
      </c>
      <c r="L1488" s="85">
        <v>25045.8</v>
      </c>
      <c r="M1488" s="85" t="s">
        <v>630</v>
      </c>
      <c r="N1488" s="128">
        <v>83808</v>
      </c>
      <c r="O1488" s="128">
        <f t="shared" si="73"/>
        <v>5615136</v>
      </c>
      <c r="P1488" s="89">
        <v>8650</v>
      </c>
      <c r="Q1488" t="s">
        <v>47</v>
      </c>
      <c r="R1488" s="214" t="s">
        <v>1869</v>
      </c>
      <c r="S1488" s="214" t="s">
        <v>1861</v>
      </c>
      <c r="U1488" t="s">
        <v>1953</v>
      </c>
      <c r="V1488" t="s">
        <v>2813</v>
      </c>
    </row>
    <row r="1489" spans="1:22" ht="15.75" thickBot="1" x14ac:dyDescent="0.3">
      <c r="A1489" t="s">
        <v>1916</v>
      </c>
      <c r="B1489" t="s">
        <v>1916</v>
      </c>
      <c r="C1489" t="s">
        <v>1916</v>
      </c>
      <c r="D1489" t="s">
        <v>629</v>
      </c>
      <c r="E1489" s="248" t="s">
        <v>1853</v>
      </c>
      <c r="F1489" t="s">
        <v>620</v>
      </c>
      <c r="G1489" s="89">
        <v>2016</v>
      </c>
      <c r="H1489" s="312" t="s">
        <v>733</v>
      </c>
      <c r="I1489" s="308" t="str">
        <f t="shared" si="72"/>
        <v>Pesado de Passageiros M3: III : Gasóleo : E6</v>
      </c>
      <c r="J1489" s="125">
        <v>54</v>
      </c>
      <c r="K1489" s="253">
        <v>2022</v>
      </c>
      <c r="L1489" s="85">
        <v>25785.699999999997</v>
      </c>
      <c r="M1489" s="85" t="s">
        <v>630</v>
      </c>
      <c r="N1489" s="128">
        <v>86448</v>
      </c>
      <c r="O1489" s="128">
        <f t="shared" si="73"/>
        <v>4668192</v>
      </c>
      <c r="P1489" s="89">
        <v>8651</v>
      </c>
      <c r="Q1489" t="s">
        <v>47</v>
      </c>
      <c r="R1489" s="214" t="s">
        <v>1869</v>
      </c>
      <c r="S1489" s="214" t="s">
        <v>1861</v>
      </c>
      <c r="U1489" t="s">
        <v>1953</v>
      </c>
      <c r="V1489" t="s">
        <v>2813</v>
      </c>
    </row>
    <row r="1490" spans="1:22" ht="15.75" thickBot="1" x14ac:dyDescent="0.3">
      <c r="A1490" t="s">
        <v>1916</v>
      </c>
      <c r="B1490" t="s">
        <v>1916</v>
      </c>
      <c r="C1490" t="s">
        <v>1916</v>
      </c>
      <c r="D1490" t="s">
        <v>629</v>
      </c>
      <c r="E1490" s="248" t="s">
        <v>1853</v>
      </c>
      <c r="F1490" t="s">
        <v>620</v>
      </c>
      <c r="G1490" s="89">
        <v>2016</v>
      </c>
      <c r="H1490" s="312" t="s">
        <v>733</v>
      </c>
      <c r="I1490" s="308" t="str">
        <f t="shared" si="72"/>
        <v>Pesado de Passageiros M3: III : Gasóleo : E6</v>
      </c>
      <c r="J1490" s="125">
        <v>54</v>
      </c>
      <c r="K1490" s="253">
        <v>2022</v>
      </c>
      <c r="L1490" s="85">
        <v>27951.7</v>
      </c>
      <c r="M1490" s="85" t="s">
        <v>630</v>
      </c>
      <c r="N1490" s="128">
        <v>101013</v>
      </c>
      <c r="O1490" s="128">
        <f t="shared" si="73"/>
        <v>5454702</v>
      </c>
      <c r="P1490" s="89">
        <v>8652</v>
      </c>
      <c r="Q1490" t="s">
        <v>47</v>
      </c>
      <c r="R1490" s="214" t="s">
        <v>1869</v>
      </c>
      <c r="S1490" s="214" t="s">
        <v>1861</v>
      </c>
      <c r="U1490" t="s">
        <v>1953</v>
      </c>
      <c r="V1490" t="s">
        <v>2813</v>
      </c>
    </row>
    <row r="1491" spans="1:22" ht="15.75" thickBot="1" x14ac:dyDescent="0.3">
      <c r="A1491" t="s">
        <v>1916</v>
      </c>
      <c r="B1491" t="s">
        <v>1916</v>
      </c>
      <c r="C1491" t="s">
        <v>1916</v>
      </c>
      <c r="D1491" t="s">
        <v>629</v>
      </c>
      <c r="E1491" s="248" t="s">
        <v>1853</v>
      </c>
      <c r="F1491" t="s">
        <v>620</v>
      </c>
      <c r="G1491" s="89">
        <v>1999</v>
      </c>
      <c r="H1491" s="312" t="s">
        <v>735</v>
      </c>
      <c r="I1491" s="308" t="str">
        <f t="shared" si="72"/>
        <v>Pesado de Passageiros M3: III : Gasóleo : E2</v>
      </c>
      <c r="J1491" s="125">
        <v>65</v>
      </c>
      <c r="K1491" s="253">
        <v>2022</v>
      </c>
      <c r="L1491" s="85">
        <v>0</v>
      </c>
      <c r="M1491" s="85" t="s">
        <v>630</v>
      </c>
      <c r="N1491" s="128">
        <v>0</v>
      </c>
      <c r="O1491" s="128">
        <f t="shared" si="73"/>
        <v>0</v>
      </c>
      <c r="P1491" s="89">
        <v>8700</v>
      </c>
      <c r="Q1491" t="s">
        <v>47</v>
      </c>
      <c r="R1491" s="214" t="s">
        <v>1869</v>
      </c>
      <c r="S1491" s="214" t="s">
        <v>1861</v>
      </c>
      <c r="U1491" t="s">
        <v>1953</v>
      </c>
      <c r="V1491" t="s">
        <v>2813</v>
      </c>
    </row>
    <row r="1492" spans="1:22" ht="15.75" thickBot="1" x14ac:dyDescent="0.3">
      <c r="A1492" t="s">
        <v>1916</v>
      </c>
      <c r="B1492" t="s">
        <v>1916</v>
      </c>
      <c r="C1492" t="s">
        <v>1916</v>
      </c>
      <c r="D1492" t="s">
        <v>629</v>
      </c>
      <c r="E1492" s="248" t="s">
        <v>1853</v>
      </c>
      <c r="F1492" t="s">
        <v>620</v>
      </c>
      <c r="G1492" s="89">
        <v>2008</v>
      </c>
      <c r="H1492" s="312" t="s">
        <v>731</v>
      </c>
      <c r="I1492" s="308" t="str">
        <f t="shared" si="72"/>
        <v>Pesado de Passageiros M3: III : Gasóleo : E4</v>
      </c>
      <c r="J1492" s="125">
        <v>51</v>
      </c>
      <c r="K1492" s="253">
        <v>2022</v>
      </c>
      <c r="L1492" s="85">
        <v>6342.4</v>
      </c>
      <c r="M1492" s="85" t="s">
        <v>630</v>
      </c>
      <c r="N1492" s="128">
        <v>27972</v>
      </c>
      <c r="O1492" s="128">
        <f t="shared" si="73"/>
        <v>1426572</v>
      </c>
      <c r="P1492" s="89">
        <v>8701</v>
      </c>
      <c r="Q1492" t="s">
        <v>47</v>
      </c>
      <c r="R1492" s="214" t="s">
        <v>1869</v>
      </c>
      <c r="S1492" s="214" t="s">
        <v>1861</v>
      </c>
      <c r="U1492" t="s">
        <v>1953</v>
      </c>
      <c r="V1492" t="s">
        <v>2813</v>
      </c>
    </row>
    <row r="1493" spans="1:22" ht="15.75" thickBot="1" x14ac:dyDescent="0.3">
      <c r="A1493" t="s">
        <v>1916</v>
      </c>
      <c r="B1493" t="s">
        <v>1916</v>
      </c>
      <c r="C1493" t="s">
        <v>1916</v>
      </c>
      <c r="D1493" t="s">
        <v>629</v>
      </c>
      <c r="E1493" s="248" t="s">
        <v>1853</v>
      </c>
      <c r="F1493" t="s">
        <v>620</v>
      </c>
      <c r="G1493" s="89">
        <v>2008</v>
      </c>
      <c r="H1493" s="312" t="s">
        <v>731</v>
      </c>
      <c r="I1493" s="308" t="str">
        <f t="shared" si="72"/>
        <v>Pesado de Passageiros M3: III : Gasóleo : E4</v>
      </c>
      <c r="J1493" s="125">
        <v>51</v>
      </c>
      <c r="K1493" s="253">
        <v>2022</v>
      </c>
      <c r="L1493" s="85">
        <v>9083.7000000000007</v>
      </c>
      <c r="M1493" s="85" t="s">
        <v>630</v>
      </c>
      <c r="N1493" s="128">
        <v>41118</v>
      </c>
      <c r="O1493" s="128">
        <f t="shared" si="73"/>
        <v>2097018</v>
      </c>
      <c r="P1493" s="89">
        <v>8702</v>
      </c>
      <c r="Q1493" t="s">
        <v>47</v>
      </c>
      <c r="R1493" s="214" t="s">
        <v>1869</v>
      </c>
      <c r="S1493" s="214" t="s">
        <v>1861</v>
      </c>
      <c r="U1493" t="s">
        <v>1953</v>
      </c>
      <c r="V1493" t="s">
        <v>2813</v>
      </c>
    </row>
    <row r="1494" spans="1:22" ht="15.75" thickBot="1" x14ac:dyDescent="0.3">
      <c r="A1494" t="s">
        <v>1916</v>
      </c>
      <c r="B1494" t="s">
        <v>1916</v>
      </c>
      <c r="C1494" t="s">
        <v>1916</v>
      </c>
      <c r="D1494" t="s">
        <v>629</v>
      </c>
      <c r="E1494" s="248" t="s">
        <v>1853</v>
      </c>
      <c r="F1494" t="s">
        <v>620</v>
      </c>
      <c r="G1494" s="89">
        <v>2009</v>
      </c>
      <c r="H1494" s="312" t="s">
        <v>731</v>
      </c>
      <c r="I1494" s="308" t="str">
        <f t="shared" si="72"/>
        <v>Pesado de Passageiros M3: III : Gasóleo : E4</v>
      </c>
      <c r="J1494" s="125">
        <v>31</v>
      </c>
      <c r="K1494" s="253">
        <v>2022</v>
      </c>
      <c r="L1494" s="85">
        <v>7171.0999999999995</v>
      </c>
      <c r="M1494" s="85" t="s">
        <v>630</v>
      </c>
      <c r="N1494" s="128">
        <v>54393</v>
      </c>
      <c r="O1494" s="128">
        <f t="shared" si="73"/>
        <v>1686183</v>
      </c>
      <c r="P1494" s="89">
        <v>8703</v>
      </c>
      <c r="Q1494" t="s">
        <v>47</v>
      </c>
      <c r="R1494" s="214" t="s">
        <v>1869</v>
      </c>
      <c r="S1494" s="214" t="s">
        <v>1861</v>
      </c>
      <c r="U1494" t="s">
        <v>1953</v>
      </c>
      <c r="V1494" t="s">
        <v>2813</v>
      </c>
    </row>
    <row r="1495" spans="1:22" ht="15.75" thickBot="1" x14ac:dyDescent="0.3">
      <c r="A1495" t="s">
        <v>1916</v>
      </c>
      <c r="B1495" t="s">
        <v>1916</v>
      </c>
      <c r="C1495" t="s">
        <v>1916</v>
      </c>
      <c r="D1495" t="s">
        <v>629</v>
      </c>
      <c r="E1495" s="248" t="s">
        <v>1853</v>
      </c>
      <c r="F1495" t="s">
        <v>620</v>
      </c>
      <c r="G1495" s="89">
        <v>2009</v>
      </c>
      <c r="H1495" s="312" t="s">
        <v>734</v>
      </c>
      <c r="I1495" s="308" t="str">
        <f t="shared" si="72"/>
        <v>Pesado de Passageiros M3: III : Gasóleo : E5</v>
      </c>
      <c r="J1495" s="125">
        <v>31</v>
      </c>
      <c r="K1495" s="253">
        <v>2022</v>
      </c>
      <c r="L1495" s="85">
        <v>7807.4000000000005</v>
      </c>
      <c r="M1495" s="85" t="s">
        <v>630</v>
      </c>
      <c r="N1495" s="128">
        <v>53237</v>
      </c>
      <c r="O1495" s="128">
        <f t="shared" si="73"/>
        <v>1650347</v>
      </c>
      <c r="P1495" s="89">
        <v>8704</v>
      </c>
      <c r="Q1495" t="s">
        <v>47</v>
      </c>
      <c r="R1495" s="214" t="s">
        <v>1869</v>
      </c>
      <c r="S1495" s="214" t="s">
        <v>1861</v>
      </c>
      <c r="U1495" t="s">
        <v>1953</v>
      </c>
      <c r="V1495" t="s">
        <v>2813</v>
      </c>
    </row>
    <row r="1496" spans="1:22" ht="15.75" thickBot="1" x14ac:dyDescent="0.3">
      <c r="A1496" t="s">
        <v>1916</v>
      </c>
      <c r="B1496" t="s">
        <v>1916</v>
      </c>
      <c r="C1496" t="s">
        <v>1916</v>
      </c>
      <c r="D1496" t="s">
        <v>629</v>
      </c>
      <c r="E1496" s="248" t="s">
        <v>1853</v>
      </c>
      <c r="F1496" t="s">
        <v>620</v>
      </c>
      <c r="G1496" s="89">
        <v>1999</v>
      </c>
      <c r="H1496" s="312" t="s">
        <v>735</v>
      </c>
      <c r="I1496" s="308" t="str">
        <f t="shared" si="72"/>
        <v>Pesado de Passageiros M3: III : Gasóleo : E2</v>
      </c>
      <c r="J1496" s="125">
        <v>73</v>
      </c>
      <c r="K1496" s="253">
        <v>2022</v>
      </c>
      <c r="L1496" s="85">
        <v>15611.199999999999</v>
      </c>
      <c r="M1496" s="85" t="s">
        <v>630</v>
      </c>
      <c r="N1496" s="128">
        <v>53731</v>
      </c>
      <c r="O1496" s="128">
        <f t="shared" si="73"/>
        <v>3922363</v>
      </c>
      <c r="P1496" s="89">
        <v>8705</v>
      </c>
      <c r="Q1496" t="s">
        <v>47</v>
      </c>
      <c r="R1496" s="214" t="s">
        <v>1869</v>
      </c>
      <c r="S1496" s="214" t="s">
        <v>1861</v>
      </c>
      <c r="U1496" t="s">
        <v>1953</v>
      </c>
      <c r="V1496" t="s">
        <v>2813</v>
      </c>
    </row>
    <row r="1497" spans="1:22" ht="15.75" thickBot="1" x14ac:dyDescent="0.3">
      <c r="A1497" t="s">
        <v>1916</v>
      </c>
      <c r="B1497" t="s">
        <v>1916</v>
      </c>
      <c r="C1497" t="s">
        <v>1916</v>
      </c>
      <c r="D1497" t="s">
        <v>629</v>
      </c>
      <c r="E1497" s="248" t="s">
        <v>1853</v>
      </c>
      <c r="F1497" t="s">
        <v>620</v>
      </c>
      <c r="G1497" s="89">
        <v>2001</v>
      </c>
      <c r="H1497" s="312" t="s">
        <v>735</v>
      </c>
      <c r="I1497" s="308" t="str">
        <f t="shared" si="72"/>
        <v>Pesado de Passageiros M3: III : Gasóleo : E2</v>
      </c>
      <c r="J1497" s="125">
        <v>69</v>
      </c>
      <c r="K1497" s="253">
        <v>2022</v>
      </c>
      <c r="L1497" s="85">
        <v>13401.300000000001</v>
      </c>
      <c r="M1497" s="85" t="s">
        <v>630</v>
      </c>
      <c r="N1497" s="128">
        <v>43866</v>
      </c>
      <c r="O1497" s="128">
        <f t="shared" si="73"/>
        <v>3026754</v>
      </c>
      <c r="P1497" s="89">
        <v>8706</v>
      </c>
      <c r="Q1497" t="s">
        <v>47</v>
      </c>
      <c r="R1497" s="214" t="s">
        <v>1869</v>
      </c>
      <c r="S1497" s="214" t="s">
        <v>1861</v>
      </c>
      <c r="U1497" t="s">
        <v>1953</v>
      </c>
      <c r="V1497" t="s">
        <v>2813</v>
      </c>
    </row>
    <row r="1498" spans="1:22" ht="15.75" thickBot="1" x14ac:dyDescent="0.3">
      <c r="A1498" t="s">
        <v>1916</v>
      </c>
      <c r="B1498" t="s">
        <v>1916</v>
      </c>
      <c r="C1498" t="s">
        <v>1916</v>
      </c>
      <c r="D1498" t="s">
        <v>629</v>
      </c>
      <c r="E1498" s="248" t="s">
        <v>1853</v>
      </c>
      <c r="F1498" t="s">
        <v>620</v>
      </c>
      <c r="G1498" s="89">
        <v>2001</v>
      </c>
      <c r="H1498" s="312" t="s">
        <v>735</v>
      </c>
      <c r="I1498" s="308" t="str">
        <f t="shared" si="72"/>
        <v>Pesado de Passageiros M3: III : Gasóleo : E2</v>
      </c>
      <c r="J1498" s="125">
        <v>84</v>
      </c>
      <c r="K1498" s="253">
        <v>2022</v>
      </c>
      <c r="L1498" s="85">
        <v>12369.699999999999</v>
      </c>
      <c r="M1498" s="85" t="s">
        <v>630</v>
      </c>
      <c r="N1498" s="128">
        <v>42585</v>
      </c>
      <c r="O1498" s="128">
        <f t="shared" si="73"/>
        <v>3577140</v>
      </c>
      <c r="P1498" s="89">
        <v>8707</v>
      </c>
      <c r="Q1498" t="s">
        <v>47</v>
      </c>
      <c r="R1498" s="214" t="s">
        <v>1869</v>
      </c>
      <c r="S1498" s="214" t="s">
        <v>1861</v>
      </c>
      <c r="U1498" t="s">
        <v>1953</v>
      </c>
      <c r="V1498" t="s">
        <v>2813</v>
      </c>
    </row>
    <row r="1499" spans="1:22" ht="15.75" thickBot="1" x14ac:dyDescent="0.3">
      <c r="A1499" t="s">
        <v>1916</v>
      </c>
      <c r="B1499" t="s">
        <v>1916</v>
      </c>
      <c r="C1499" t="s">
        <v>1916</v>
      </c>
      <c r="D1499" t="s">
        <v>629</v>
      </c>
      <c r="E1499" s="248" t="s">
        <v>1853</v>
      </c>
      <c r="F1499" t="s">
        <v>620</v>
      </c>
      <c r="G1499" s="89">
        <v>2014</v>
      </c>
      <c r="H1499" s="312" t="s">
        <v>734</v>
      </c>
      <c r="I1499" s="308" t="str">
        <f t="shared" si="72"/>
        <v>Pesado de Passageiros M3: III : Gasóleo : E5</v>
      </c>
      <c r="J1499" s="125">
        <v>37</v>
      </c>
      <c r="K1499" s="253">
        <v>2022</v>
      </c>
      <c r="L1499" s="85">
        <v>8923.4</v>
      </c>
      <c r="M1499" s="85" t="s">
        <v>630</v>
      </c>
      <c r="N1499" s="128">
        <v>54250</v>
      </c>
      <c r="O1499" s="128">
        <f t="shared" si="73"/>
        <v>2007250</v>
      </c>
      <c r="P1499" s="89">
        <v>8710</v>
      </c>
      <c r="Q1499" t="s">
        <v>47</v>
      </c>
      <c r="R1499" s="214" t="s">
        <v>1869</v>
      </c>
      <c r="S1499" s="214" t="s">
        <v>1861</v>
      </c>
      <c r="U1499" t="s">
        <v>1953</v>
      </c>
      <c r="V1499" t="s">
        <v>2813</v>
      </c>
    </row>
    <row r="1500" spans="1:22" ht="15.75" thickBot="1" x14ac:dyDescent="0.3">
      <c r="A1500" t="s">
        <v>1916</v>
      </c>
      <c r="B1500" t="s">
        <v>1916</v>
      </c>
      <c r="C1500" t="s">
        <v>1916</v>
      </c>
      <c r="D1500" t="s">
        <v>629</v>
      </c>
      <c r="E1500" s="248" t="s">
        <v>1853</v>
      </c>
      <c r="F1500" t="s">
        <v>620</v>
      </c>
      <c r="G1500" s="89">
        <v>2001</v>
      </c>
      <c r="H1500" s="312" t="s">
        <v>735</v>
      </c>
      <c r="I1500" s="308" t="str">
        <f t="shared" si="72"/>
        <v>Pesado de Passageiros M3: III : Gasóleo : E2</v>
      </c>
      <c r="J1500" s="125">
        <v>49</v>
      </c>
      <c r="K1500" s="253">
        <v>2022</v>
      </c>
      <c r="L1500" s="85">
        <v>14892.8</v>
      </c>
      <c r="M1500" s="85" t="s">
        <v>630</v>
      </c>
      <c r="N1500" s="128">
        <v>46128</v>
      </c>
      <c r="O1500" s="128">
        <f t="shared" si="73"/>
        <v>2260272</v>
      </c>
      <c r="P1500" s="89">
        <v>8712</v>
      </c>
      <c r="Q1500" t="s">
        <v>47</v>
      </c>
      <c r="R1500" s="214" t="s">
        <v>1869</v>
      </c>
      <c r="S1500" s="214" t="s">
        <v>1861</v>
      </c>
      <c r="U1500" t="s">
        <v>1953</v>
      </c>
      <c r="V1500" t="s">
        <v>2813</v>
      </c>
    </row>
    <row r="1501" spans="1:22" ht="15.75" thickBot="1" x14ac:dyDescent="0.3">
      <c r="A1501" t="s">
        <v>1916</v>
      </c>
      <c r="B1501" t="s">
        <v>1916</v>
      </c>
      <c r="C1501" t="s">
        <v>1916</v>
      </c>
      <c r="D1501" t="s">
        <v>629</v>
      </c>
      <c r="E1501" s="248" t="s">
        <v>1853</v>
      </c>
      <c r="F1501" t="s">
        <v>620</v>
      </c>
      <c r="G1501" s="89">
        <v>2003</v>
      </c>
      <c r="H1501" s="312" t="s">
        <v>732</v>
      </c>
      <c r="I1501" s="308" t="str">
        <f t="shared" si="72"/>
        <v>Pesado de Passageiros M3: III : Gasóleo : E3</v>
      </c>
      <c r="J1501" s="125">
        <v>71</v>
      </c>
      <c r="K1501" s="253">
        <v>2022</v>
      </c>
      <c r="L1501" s="85">
        <v>30102.199999999997</v>
      </c>
      <c r="M1501" s="85" t="s">
        <v>630</v>
      </c>
      <c r="N1501" s="128">
        <v>105824</v>
      </c>
      <c r="O1501" s="128">
        <f t="shared" si="73"/>
        <v>7513504</v>
      </c>
      <c r="P1501" s="89">
        <v>8713</v>
      </c>
      <c r="Q1501" t="s">
        <v>47</v>
      </c>
      <c r="R1501" s="214" t="s">
        <v>1869</v>
      </c>
      <c r="S1501" s="214" t="s">
        <v>1861</v>
      </c>
      <c r="U1501" t="s">
        <v>1953</v>
      </c>
      <c r="V1501" t="s">
        <v>2813</v>
      </c>
    </row>
    <row r="1502" spans="1:22" ht="15.75" thickBot="1" x14ac:dyDescent="0.3">
      <c r="A1502" t="s">
        <v>1916</v>
      </c>
      <c r="B1502" t="s">
        <v>1916</v>
      </c>
      <c r="C1502" t="s">
        <v>1916</v>
      </c>
      <c r="D1502" t="s">
        <v>629</v>
      </c>
      <c r="E1502" s="248" t="s">
        <v>1853</v>
      </c>
      <c r="F1502" t="s">
        <v>620</v>
      </c>
      <c r="G1502" s="89">
        <v>2005</v>
      </c>
      <c r="H1502" s="312" t="s">
        <v>732</v>
      </c>
      <c r="I1502" s="308" t="str">
        <f t="shared" si="72"/>
        <v>Pesado de Passageiros M3: III : Gasóleo : E3</v>
      </c>
      <c r="J1502" s="125">
        <v>92</v>
      </c>
      <c r="K1502" s="253">
        <v>2022</v>
      </c>
      <c r="L1502" s="85">
        <v>11852</v>
      </c>
      <c r="M1502" s="85" t="s">
        <v>630</v>
      </c>
      <c r="N1502" s="128">
        <v>28037</v>
      </c>
      <c r="O1502" s="128">
        <f t="shared" si="73"/>
        <v>2579404</v>
      </c>
      <c r="P1502" s="89">
        <v>8714</v>
      </c>
      <c r="Q1502" t="s">
        <v>47</v>
      </c>
      <c r="R1502" s="214" t="s">
        <v>1869</v>
      </c>
      <c r="S1502" s="214" t="s">
        <v>1861</v>
      </c>
      <c r="U1502" t="s">
        <v>1953</v>
      </c>
      <c r="V1502" t="s">
        <v>2813</v>
      </c>
    </row>
    <row r="1503" spans="1:22" ht="15.75" thickBot="1" x14ac:dyDescent="0.3">
      <c r="A1503" t="s">
        <v>1916</v>
      </c>
      <c r="B1503" t="s">
        <v>1916</v>
      </c>
      <c r="C1503" t="s">
        <v>1916</v>
      </c>
      <c r="D1503" t="s">
        <v>629</v>
      </c>
      <c r="E1503" s="248" t="s">
        <v>1853</v>
      </c>
      <c r="F1503" t="s">
        <v>620</v>
      </c>
      <c r="G1503" s="89">
        <v>2004</v>
      </c>
      <c r="H1503" s="312" t="s">
        <v>732</v>
      </c>
      <c r="I1503" s="308" t="str">
        <f t="shared" si="72"/>
        <v>Pesado de Passageiros M3: III : Gasóleo : E3</v>
      </c>
      <c r="J1503" s="125">
        <v>92</v>
      </c>
      <c r="K1503" s="253">
        <v>2022</v>
      </c>
      <c r="L1503" s="85">
        <v>9089.6</v>
      </c>
      <c r="M1503" s="85" t="s">
        <v>630</v>
      </c>
      <c r="N1503" s="128">
        <v>28848</v>
      </c>
      <c r="O1503" s="128">
        <f t="shared" si="73"/>
        <v>2654016</v>
      </c>
      <c r="P1503" s="89">
        <v>8715</v>
      </c>
      <c r="Q1503" t="s">
        <v>47</v>
      </c>
      <c r="R1503" s="214" t="s">
        <v>1869</v>
      </c>
      <c r="S1503" s="214" t="s">
        <v>1861</v>
      </c>
      <c r="U1503" t="s">
        <v>1953</v>
      </c>
      <c r="V1503" t="s">
        <v>2813</v>
      </c>
    </row>
    <row r="1504" spans="1:22" ht="15.75" thickBot="1" x14ac:dyDescent="0.3">
      <c r="A1504" t="s">
        <v>1916</v>
      </c>
      <c r="B1504" t="s">
        <v>1916</v>
      </c>
      <c r="C1504" t="s">
        <v>1916</v>
      </c>
      <c r="D1504" t="s">
        <v>629</v>
      </c>
      <c r="E1504" s="248" t="s">
        <v>1853</v>
      </c>
      <c r="F1504" t="s">
        <v>620</v>
      </c>
      <c r="G1504" s="89">
        <v>2002</v>
      </c>
      <c r="H1504" s="312" t="s">
        <v>732</v>
      </c>
      <c r="I1504" s="308" t="str">
        <f t="shared" si="72"/>
        <v>Pesado de Passageiros M3: III : Gasóleo : E3</v>
      </c>
      <c r="J1504" s="125">
        <v>85</v>
      </c>
      <c r="K1504" s="253">
        <v>2022</v>
      </c>
      <c r="L1504" s="85">
        <v>13173.199999999999</v>
      </c>
      <c r="M1504" s="85" t="s">
        <v>630</v>
      </c>
      <c r="N1504" s="128">
        <v>41887</v>
      </c>
      <c r="O1504" s="128">
        <f t="shared" si="73"/>
        <v>3560395</v>
      </c>
      <c r="P1504" s="89">
        <v>8716</v>
      </c>
      <c r="Q1504" t="s">
        <v>47</v>
      </c>
      <c r="R1504" s="214" t="s">
        <v>1869</v>
      </c>
      <c r="S1504" s="214" t="s">
        <v>1861</v>
      </c>
      <c r="U1504" t="s">
        <v>1953</v>
      </c>
      <c r="V1504" t="s">
        <v>2813</v>
      </c>
    </row>
    <row r="1505" spans="1:22" ht="15.75" thickBot="1" x14ac:dyDescent="0.3">
      <c r="A1505" t="s">
        <v>1916</v>
      </c>
      <c r="B1505" t="s">
        <v>1916</v>
      </c>
      <c r="C1505" t="s">
        <v>1916</v>
      </c>
      <c r="D1505" t="s">
        <v>629</v>
      </c>
      <c r="E1505" s="248" t="s">
        <v>1853</v>
      </c>
      <c r="F1505" t="s">
        <v>620</v>
      </c>
      <c r="G1505" s="89">
        <v>2016</v>
      </c>
      <c r="H1505" s="312" t="s">
        <v>733</v>
      </c>
      <c r="I1505" s="308" t="str">
        <f t="shared" si="72"/>
        <v>Pesado de Passageiros M3: III : Gasóleo : E6</v>
      </c>
      <c r="J1505" s="125">
        <v>31</v>
      </c>
      <c r="K1505" s="253">
        <v>2022</v>
      </c>
      <c r="L1505" s="85">
        <v>8584.4</v>
      </c>
      <c r="M1505" s="85" t="s">
        <v>630</v>
      </c>
      <c r="N1505" s="128">
        <v>52027</v>
      </c>
      <c r="O1505" s="128">
        <f t="shared" si="73"/>
        <v>1612837</v>
      </c>
      <c r="P1505" s="89">
        <v>8718</v>
      </c>
      <c r="Q1505" t="s">
        <v>47</v>
      </c>
      <c r="R1505" s="214" t="s">
        <v>1869</v>
      </c>
      <c r="S1505" s="214" t="s">
        <v>1861</v>
      </c>
      <c r="U1505" t="s">
        <v>1953</v>
      </c>
      <c r="V1505" t="s">
        <v>2813</v>
      </c>
    </row>
    <row r="1506" spans="1:22" ht="15.75" thickBot="1" x14ac:dyDescent="0.3">
      <c r="A1506" t="s">
        <v>1916</v>
      </c>
      <c r="B1506" t="s">
        <v>1916</v>
      </c>
      <c r="C1506" t="s">
        <v>1916</v>
      </c>
      <c r="D1506" t="s">
        <v>629</v>
      </c>
      <c r="E1506" s="248" t="s">
        <v>1853</v>
      </c>
      <c r="F1506" t="s">
        <v>620</v>
      </c>
      <c r="G1506" s="89">
        <v>2000</v>
      </c>
      <c r="H1506" s="312" t="s">
        <v>735</v>
      </c>
      <c r="I1506" s="308" t="str">
        <f t="shared" si="72"/>
        <v>Pesado de Passageiros M3: III : Gasóleo : E2</v>
      </c>
      <c r="J1506" s="125">
        <v>51</v>
      </c>
      <c r="K1506" s="253">
        <v>2022</v>
      </c>
      <c r="L1506" s="85">
        <v>17011.599999999999</v>
      </c>
      <c r="M1506" s="85" t="s">
        <v>630</v>
      </c>
      <c r="N1506" s="128">
        <v>53911</v>
      </c>
      <c r="O1506" s="128">
        <f t="shared" si="73"/>
        <v>2749461</v>
      </c>
      <c r="P1506" s="89">
        <v>8719</v>
      </c>
      <c r="Q1506" t="s">
        <v>47</v>
      </c>
      <c r="R1506" s="214" t="s">
        <v>1869</v>
      </c>
      <c r="S1506" s="214" t="s">
        <v>1861</v>
      </c>
      <c r="U1506" t="s">
        <v>1953</v>
      </c>
      <c r="V1506" t="s">
        <v>2813</v>
      </c>
    </row>
    <row r="1507" spans="1:22" ht="15.75" thickBot="1" x14ac:dyDescent="0.3">
      <c r="A1507" t="s">
        <v>1916</v>
      </c>
      <c r="B1507" t="s">
        <v>1916</v>
      </c>
      <c r="C1507" t="s">
        <v>1916</v>
      </c>
      <c r="D1507" t="s">
        <v>629</v>
      </c>
      <c r="E1507" s="248" t="s">
        <v>1853</v>
      </c>
      <c r="F1507" t="s">
        <v>620</v>
      </c>
      <c r="G1507" s="89">
        <v>2008</v>
      </c>
      <c r="H1507" s="312" t="s">
        <v>731</v>
      </c>
      <c r="I1507" s="308" t="str">
        <f t="shared" si="72"/>
        <v>Pesado de Passageiros M3: III : Gasóleo : E4</v>
      </c>
      <c r="J1507" s="125">
        <v>79</v>
      </c>
      <c r="K1507" s="253">
        <v>2022</v>
      </c>
      <c r="L1507" s="85">
        <v>13499.599999999999</v>
      </c>
      <c r="M1507" s="85" t="s">
        <v>630</v>
      </c>
      <c r="N1507" s="128">
        <v>39815</v>
      </c>
      <c r="O1507" s="128">
        <f t="shared" si="73"/>
        <v>3145385</v>
      </c>
      <c r="P1507" s="89">
        <v>8720</v>
      </c>
      <c r="Q1507" t="s">
        <v>47</v>
      </c>
      <c r="R1507" s="214" t="s">
        <v>1869</v>
      </c>
      <c r="S1507" s="214" t="s">
        <v>1861</v>
      </c>
      <c r="U1507" t="s">
        <v>1953</v>
      </c>
      <c r="V1507" t="s">
        <v>2813</v>
      </c>
    </row>
    <row r="1508" spans="1:22" ht="15.75" thickBot="1" x14ac:dyDescent="0.3">
      <c r="A1508" t="s">
        <v>1916</v>
      </c>
      <c r="B1508" t="s">
        <v>1916</v>
      </c>
      <c r="C1508" t="s">
        <v>1916</v>
      </c>
      <c r="D1508" t="s">
        <v>629</v>
      </c>
      <c r="E1508" s="248" t="s">
        <v>1853</v>
      </c>
      <c r="F1508" t="s">
        <v>620</v>
      </c>
      <c r="G1508" s="89">
        <v>2003</v>
      </c>
      <c r="H1508" s="312" t="s">
        <v>732</v>
      </c>
      <c r="I1508" s="308" t="str">
        <f t="shared" si="72"/>
        <v>Pesado de Passageiros M3: III : Gasóleo : E3</v>
      </c>
      <c r="J1508" s="125">
        <v>72</v>
      </c>
      <c r="K1508" s="253">
        <v>2022</v>
      </c>
      <c r="L1508" s="85">
        <v>16343.1</v>
      </c>
      <c r="M1508" s="85" t="s">
        <v>630</v>
      </c>
      <c r="N1508" s="128">
        <v>45972</v>
      </c>
      <c r="O1508" s="128">
        <f t="shared" si="73"/>
        <v>3309984</v>
      </c>
      <c r="P1508" s="89">
        <v>8721</v>
      </c>
      <c r="Q1508" t="s">
        <v>47</v>
      </c>
      <c r="R1508" s="214" t="s">
        <v>1869</v>
      </c>
      <c r="S1508" s="214" t="s">
        <v>1861</v>
      </c>
      <c r="U1508" t="s">
        <v>1953</v>
      </c>
      <c r="V1508" t="s">
        <v>2813</v>
      </c>
    </row>
    <row r="1509" spans="1:22" ht="15.75" thickBot="1" x14ac:dyDescent="0.3">
      <c r="A1509" t="s">
        <v>1916</v>
      </c>
      <c r="B1509" t="s">
        <v>1916</v>
      </c>
      <c r="C1509" t="s">
        <v>1916</v>
      </c>
      <c r="D1509" t="s">
        <v>629</v>
      </c>
      <c r="E1509" s="248" t="s">
        <v>1853</v>
      </c>
      <c r="F1509" t="s">
        <v>620</v>
      </c>
      <c r="G1509" s="89">
        <v>2008</v>
      </c>
      <c r="H1509" s="312" t="s">
        <v>731</v>
      </c>
      <c r="I1509" s="308" t="str">
        <f t="shared" si="72"/>
        <v>Pesado de Passageiros M3: III : Gasóleo : E4</v>
      </c>
      <c r="J1509" s="125">
        <v>46</v>
      </c>
      <c r="K1509" s="253">
        <v>2022</v>
      </c>
      <c r="L1509" s="85">
        <v>9728.3999999999978</v>
      </c>
      <c r="M1509" s="85" t="s">
        <v>630</v>
      </c>
      <c r="N1509" s="128">
        <v>34897</v>
      </c>
      <c r="O1509" s="128">
        <f t="shared" si="73"/>
        <v>1605262</v>
      </c>
      <c r="P1509" s="89">
        <v>8722</v>
      </c>
      <c r="Q1509" t="s">
        <v>47</v>
      </c>
      <c r="R1509" s="214" t="s">
        <v>1869</v>
      </c>
      <c r="S1509" s="214" t="s">
        <v>1861</v>
      </c>
      <c r="U1509" t="s">
        <v>1953</v>
      </c>
      <c r="V1509" t="s">
        <v>2813</v>
      </c>
    </row>
    <row r="1510" spans="1:22" ht="15.75" thickBot="1" x14ac:dyDescent="0.3">
      <c r="A1510" t="s">
        <v>1916</v>
      </c>
      <c r="B1510" t="s">
        <v>1916</v>
      </c>
      <c r="C1510" t="s">
        <v>1916</v>
      </c>
      <c r="D1510" t="s">
        <v>629</v>
      </c>
      <c r="E1510" s="248" t="s">
        <v>1853</v>
      </c>
      <c r="F1510" t="s">
        <v>620</v>
      </c>
      <c r="G1510" s="89">
        <v>2004</v>
      </c>
      <c r="H1510" s="312" t="s">
        <v>732</v>
      </c>
      <c r="I1510" s="308" t="str">
        <f t="shared" si="72"/>
        <v>Pesado de Passageiros M3: III : Gasóleo : E3</v>
      </c>
      <c r="J1510" s="125">
        <v>73</v>
      </c>
      <c r="K1510" s="253">
        <v>2022</v>
      </c>
      <c r="L1510" s="85">
        <v>15818.599999999999</v>
      </c>
      <c r="M1510" s="85" t="s">
        <v>630</v>
      </c>
      <c r="N1510" s="128">
        <v>50869</v>
      </c>
      <c r="O1510" s="128">
        <f t="shared" si="73"/>
        <v>3713437</v>
      </c>
      <c r="P1510" s="89">
        <v>8723</v>
      </c>
      <c r="Q1510" t="s">
        <v>47</v>
      </c>
      <c r="R1510" s="214" t="s">
        <v>1869</v>
      </c>
      <c r="S1510" s="214" t="s">
        <v>1861</v>
      </c>
      <c r="U1510" t="s">
        <v>1953</v>
      </c>
      <c r="V1510" t="s">
        <v>2813</v>
      </c>
    </row>
    <row r="1511" spans="1:22" ht="15.75" thickBot="1" x14ac:dyDescent="0.3">
      <c r="A1511" t="s">
        <v>1916</v>
      </c>
      <c r="B1511" t="s">
        <v>1916</v>
      </c>
      <c r="C1511" t="s">
        <v>1916</v>
      </c>
      <c r="D1511" t="s">
        <v>629</v>
      </c>
      <c r="E1511" s="248" t="s">
        <v>1853</v>
      </c>
      <c r="F1511" t="s">
        <v>620</v>
      </c>
      <c r="G1511" s="89">
        <v>2001</v>
      </c>
      <c r="H1511" s="312" t="s">
        <v>735</v>
      </c>
      <c r="I1511" s="308" t="str">
        <f t="shared" si="72"/>
        <v>Pesado de Passageiros M3: III : Gasóleo : E2</v>
      </c>
      <c r="J1511" s="125">
        <v>55</v>
      </c>
      <c r="K1511" s="253">
        <v>2022</v>
      </c>
      <c r="L1511" s="85">
        <v>14897.2</v>
      </c>
      <c r="M1511" s="85" t="s">
        <v>630</v>
      </c>
      <c r="N1511" s="128">
        <v>45408</v>
      </c>
      <c r="O1511" s="128">
        <f t="shared" si="73"/>
        <v>2497440</v>
      </c>
      <c r="P1511" s="89">
        <v>8726</v>
      </c>
      <c r="Q1511" t="s">
        <v>47</v>
      </c>
      <c r="R1511" s="214" t="s">
        <v>1869</v>
      </c>
      <c r="S1511" s="214" t="s">
        <v>1861</v>
      </c>
      <c r="U1511" t="s">
        <v>1953</v>
      </c>
      <c r="V1511" t="s">
        <v>2813</v>
      </c>
    </row>
    <row r="1512" spans="1:22" ht="15.75" thickBot="1" x14ac:dyDescent="0.3">
      <c r="A1512" t="s">
        <v>1916</v>
      </c>
      <c r="B1512" t="s">
        <v>1916</v>
      </c>
      <c r="C1512" t="s">
        <v>1916</v>
      </c>
      <c r="D1512" t="s">
        <v>629</v>
      </c>
      <c r="E1512" s="248" t="s">
        <v>1853</v>
      </c>
      <c r="F1512" t="s">
        <v>620</v>
      </c>
      <c r="G1512" s="89">
        <v>2009</v>
      </c>
      <c r="H1512" s="312" t="s">
        <v>731</v>
      </c>
      <c r="I1512" s="308" t="str">
        <f t="shared" si="72"/>
        <v>Pesado de Passageiros M3: III : Gasóleo : E4</v>
      </c>
      <c r="J1512" s="125">
        <v>85</v>
      </c>
      <c r="K1512" s="253">
        <v>2022</v>
      </c>
      <c r="L1512" s="85">
        <v>17552.3</v>
      </c>
      <c r="M1512" s="85" t="s">
        <v>630</v>
      </c>
      <c r="N1512" s="128">
        <v>63128</v>
      </c>
      <c r="O1512" s="128">
        <f t="shared" si="73"/>
        <v>5365880</v>
      </c>
      <c r="P1512" s="89">
        <v>8727</v>
      </c>
      <c r="Q1512" t="s">
        <v>47</v>
      </c>
      <c r="R1512" s="214" t="s">
        <v>1869</v>
      </c>
      <c r="S1512" s="214" t="s">
        <v>1861</v>
      </c>
      <c r="U1512" t="s">
        <v>1953</v>
      </c>
      <c r="V1512" t="s">
        <v>2813</v>
      </c>
    </row>
    <row r="1513" spans="1:22" ht="15.75" thickBot="1" x14ac:dyDescent="0.3">
      <c r="A1513" t="s">
        <v>1916</v>
      </c>
      <c r="B1513" t="s">
        <v>1916</v>
      </c>
      <c r="C1513" t="s">
        <v>1916</v>
      </c>
      <c r="D1513" t="s">
        <v>629</v>
      </c>
      <c r="E1513" s="248" t="s">
        <v>1853</v>
      </c>
      <c r="F1513" t="s">
        <v>620</v>
      </c>
      <c r="G1513" s="89">
        <v>2008</v>
      </c>
      <c r="H1513" s="312" t="s">
        <v>731</v>
      </c>
      <c r="I1513" s="308" t="str">
        <f t="shared" si="72"/>
        <v>Pesado de Passageiros M3: III : Gasóleo : E4</v>
      </c>
      <c r="J1513" s="125">
        <v>46</v>
      </c>
      <c r="K1513" s="253">
        <v>2022</v>
      </c>
      <c r="L1513" s="85">
        <v>3346.6000000000004</v>
      </c>
      <c r="M1513" s="85" t="s">
        <v>630</v>
      </c>
      <c r="N1513" s="128">
        <v>13464</v>
      </c>
      <c r="O1513" s="128">
        <f t="shared" si="73"/>
        <v>619344</v>
      </c>
      <c r="P1513" s="89">
        <v>8728</v>
      </c>
      <c r="Q1513" t="s">
        <v>47</v>
      </c>
      <c r="R1513" s="214" t="s">
        <v>1869</v>
      </c>
      <c r="S1513" s="214" t="s">
        <v>1861</v>
      </c>
      <c r="U1513" t="s">
        <v>1953</v>
      </c>
      <c r="V1513" t="s">
        <v>2813</v>
      </c>
    </row>
    <row r="1514" spans="1:22" ht="15.75" thickBot="1" x14ac:dyDescent="0.3">
      <c r="A1514" t="s">
        <v>1916</v>
      </c>
      <c r="B1514" t="s">
        <v>1916</v>
      </c>
      <c r="C1514" t="s">
        <v>1916</v>
      </c>
      <c r="D1514" t="s">
        <v>629</v>
      </c>
      <c r="E1514" s="248" t="s">
        <v>1853</v>
      </c>
      <c r="F1514" t="s">
        <v>620</v>
      </c>
      <c r="G1514" s="89">
        <v>2012</v>
      </c>
      <c r="H1514" s="312" t="s">
        <v>734</v>
      </c>
      <c r="I1514" s="308" t="str">
        <f t="shared" si="72"/>
        <v>Pesado de Passageiros M3: III : Gasóleo : E5</v>
      </c>
      <c r="J1514" s="125">
        <v>49</v>
      </c>
      <c r="K1514" s="253">
        <v>2022</v>
      </c>
      <c r="L1514" s="85">
        <v>13293.599999999999</v>
      </c>
      <c r="M1514" s="85" t="s">
        <v>630</v>
      </c>
      <c r="N1514" s="128">
        <v>39456</v>
      </c>
      <c r="O1514" s="128">
        <f t="shared" si="73"/>
        <v>1933344</v>
      </c>
      <c r="P1514" s="89">
        <v>8729</v>
      </c>
      <c r="Q1514" t="s">
        <v>47</v>
      </c>
      <c r="R1514" s="214" t="s">
        <v>1869</v>
      </c>
      <c r="S1514" s="214" t="s">
        <v>1861</v>
      </c>
      <c r="U1514" t="s">
        <v>1953</v>
      </c>
      <c r="V1514" t="s">
        <v>2813</v>
      </c>
    </row>
    <row r="1515" spans="1:22" ht="15.75" thickBot="1" x14ac:dyDescent="0.3">
      <c r="A1515" t="s">
        <v>1916</v>
      </c>
      <c r="B1515" t="s">
        <v>1916</v>
      </c>
      <c r="C1515" t="s">
        <v>1916</v>
      </c>
      <c r="D1515" t="s">
        <v>629</v>
      </c>
      <c r="E1515" s="248" t="s">
        <v>1853</v>
      </c>
      <c r="F1515" t="s">
        <v>620</v>
      </c>
      <c r="G1515" s="89">
        <v>2007</v>
      </c>
      <c r="H1515" s="312" t="s">
        <v>731</v>
      </c>
      <c r="I1515" s="308" t="str">
        <f t="shared" si="72"/>
        <v>Pesado de Passageiros M3: III : Gasóleo : E4</v>
      </c>
      <c r="J1515" s="125">
        <v>72</v>
      </c>
      <c r="K1515" s="253">
        <v>2022</v>
      </c>
      <c r="L1515" s="85">
        <v>19079.400000000001</v>
      </c>
      <c r="M1515" s="85" t="s">
        <v>630</v>
      </c>
      <c r="N1515" s="128">
        <v>54888</v>
      </c>
      <c r="O1515" s="128">
        <f t="shared" si="73"/>
        <v>3951936</v>
      </c>
      <c r="P1515" s="89">
        <v>8730</v>
      </c>
      <c r="Q1515" t="s">
        <v>47</v>
      </c>
      <c r="R1515" s="214" t="s">
        <v>1869</v>
      </c>
      <c r="S1515" s="214" t="s">
        <v>1861</v>
      </c>
      <c r="U1515" t="s">
        <v>1953</v>
      </c>
      <c r="V1515" t="s">
        <v>2813</v>
      </c>
    </row>
    <row r="1516" spans="1:22" ht="15.75" thickBot="1" x14ac:dyDescent="0.3">
      <c r="A1516" t="s">
        <v>1916</v>
      </c>
      <c r="B1516" t="s">
        <v>1916</v>
      </c>
      <c r="C1516" t="s">
        <v>1916</v>
      </c>
      <c r="D1516" t="s">
        <v>629</v>
      </c>
      <c r="E1516" s="248" t="s">
        <v>1853</v>
      </c>
      <c r="F1516" t="s">
        <v>620</v>
      </c>
      <c r="G1516" s="89">
        <v>2006</v>
      </c>
      <c r="H1516" s="312" t="s">
        <v>732</v>
      </c>
      <c r="I1516" s="308" t="str">
        <f t="shared" si="72"/>
        <v>Pesado de Passageiros M3: III : Gasóleo : E3</v>
      </c>
      <c r="J1516" s="125">
        <v>95</v>
      </c>
      <c r="K1516" s="253">
        <v>2022</v>
      </c>
      <c r="L1516" s="85">
        <v>21146.200000000004</v>
      </c>
      <c r="M1516" s="85" t="s">
        <v>630</v>
      </c>
      <c r="N1516" s="128">
        <v>72894</v>
      </c>
      <c r="O1516" s="128">
        <f t="shared" si="73"/>
        <v>6924930</v>
      </c>
      <c r="P1516" s="89">
        <v>8731</v>
      </c>
      <c r="Q1516" t="s">
        <v>47</v>
      </c>
      <c r="R1516" s="214" t="s">
        <v>1869</v>
      </c>
      <c r="S1516" s="214" t="s">
        <v>1861</v>
      </c>
      <c r="U1516" t="s">
        <v>1953</v>
      </c>
      <c r="V1516" t="s">
        <v>2813</v>
      </c>
    </row>
    <row r="1517" spans="1:22" ht="15.75" thickBot="1" x14ac:dyDescent="0.3">
      <c r="A1517" t="s">
        <v>1916</v>
      </c>
      <c r="B1517" t="s">
        <v>1916</v>
      </c>
      <c r="C1517" t="s">
        <v>1916</v>
      </c>
      <c r="D1517" t="s">
        <v>629</v>
      </c>
      <c r="E1517" s="248" t="s">
        <v>1853</v>
      </c>
      <c r="F1517" t="s">
        <v>620</v>
      </c>
      <c r="G1517" s="89">
        <v>2018</v>
      </c>
      <c r="H1517" s="312" t="s">
        <v>733</v>
      </c>
      <c r="I1517" s="308" t="str">
        <f t="shared" si="72"/>
        <v>Pesado de Passageiros M3: III : Gasóleo : E6</v>
      </c>
      <c r="J1517" s="125">
        <v>31</v>
      </c>
      <c r="K1517" s="253">
        <v>2022</v>
      </c>
      <c r="L1517" s="85">
        <v>11535.9</v>
      </c>
      <c r="M1517" s="85" t="s">
        <v>630</v>
      </c>
      <c r="N1517" s="128">
        <v>71546</v>
      </c>
      <c r="O1517" s="128">
        <f t="shared" si="73"/>
        <v>2217926</v>
      </c>
      <c r="P1517" s="89">
        <v>8732</v>
      </c>
      <c r="Q1517" t="s">
        <v>47</v>
      </c>
      <c r="R1517" s="214" t="s">
        <v>1869</v>
      </c>
      <c r="S1517" s="214" t="s">
        <v>1861</v>
      </c>
      <c r="U1517" t="s">
        <v>1953</v>
      </c>
      <c r="V1517" t="s">
        <v>2813</v>
      </c>
    </row>
    <row r="1518" spans="1:22" ht="15.75" thickBot="1" x14ac:dyDescent="0.3">
      <c r="A1518" t="s">
        <v>1916</v>
      </c>
      <c r="B1518" t="s">
        <v>1916</v>
      </c>
      <c r="C1518" t="s">
        <v>1916</v>
      </c>
      <c r="D1518" t="s">
        <v>629</v>
      </c>
      <c r="E1518" s="248" t="s">
        <v>1853</v>
      </c>
      <c r="F1518" t="s">
        <v>620</v>
      </c>
      <c r="G1518" s="89">
        <v>2007</v>
      </c>
      <c r="H1518" s="312" t="s">
        <v>731</v>
      </c>
      <c r="I1518" s="308" t="str">
        <f t="shared" si="72"/>
        <v>Pesado de Passageiros M3: III : Gasóleo : E4</v>
      </c>
      <c r="J1518" s="125">
        <v>33</v>
      </c>
      <c r="K1518" s="253">
        <v>2022</v>
      </c>
      <c r="L1518" s="85">
        <v>0</v>
      </c>
      <c r="M1518" s="85" t="s">
        <v>630</v>
      </c>
      <c r="N1518" s="128">
        <v>0</v>
      </c>
      <c r="O1518" s="128">
        <f t="shared" si="73"/>
        <v>0</v>
      </c>
      <c r="P1518" s="89">
        <v>8733</v>
      </c>
      <c r="Q1518" t="s">
        <v>47</v>
      </c>
      <c r="R1518" s="214" t="s">
        <v>1869</v>
      </c>
      <c r="S1518" s="214" t="s">
        <v>1861</v>
      </c>
      <c r="U1518" t="s">
        <v>1953</v>
      </c>
      <c r="V1518" t="s">
        <v>2813</v>
      </c>
    </row>
    <row r="1519" spans="1:22" ht="15.75" thickBot="1" x14ac:dyDescent="0.3">
      <c r="A1519" t="s">
        <v>1916</v>
      </c>
      <c r="B1519" t="s">
        <v>1916</v>
      </c>
      <c r="C1519" t="s">
        <v>1916</v>
      </c>
      <c r="D1519" t="s">
        <v>629</v>
      </c>
      <c r="E1519" s="248" t="s">
        <v>1853</v>
      </c>
      <c r="F1519" t="s">
        <v>620</v>
      </c>
      <c r="G1519" s="89">
        <v>2001</v>
      </c>
      <c r="H1519" s="312" t="s">
        <v>735</v>
      </c>
      <c r="I1519" s="308" t="str">
        <f t="shared" si="72"/>
        <v>Pesado de Passageiros M3: III : Gasóleo : E2</v>
      </c>
      <c r="J1519" s="125">
        <v>55</v>
      </c>
      <c r="K1519" s="253">
        <v>2022</v>
      </c>
      <c r="L1519" s="85">
        <v>17235.3</v>
      </c>
      <c r="M1519" s="85" t="s">
        <v>630</v>
      </c>
      <c r="N1519" s="128">
        <v>56603</v>
      </c>
      <c r="O1519" s="128">
        <f t="shared" si="73"/>
        <v>3113165</v>
      </c>
      <c r="P1519" s="89">
        <v>8734</v>
      </c>
      <c r="Q1519" t="s">
        <v>47</v>
      </c>
      <c r="R1519" s="214" t="s">
        <v>1869</v>
      </c>
      <c r="S1519" s="214" t="s">
        <v>1861</v>
      </c>
      <c r="U1519" t="s">
        <v>1953</v>
      </c>
      <c r="V1519" t="s">
        <v>2813</v>
      </c>
    </row>
    <row r="1520" spans="1:22" ht="15.75" thickBot="1" x14ac:dyDescent="0.3">
      <c r="A1520" t="s">
        <v>1916</v>
      </c>
      <c r="B1520" t="s">
        <v>1916</v>
      </c>
      <c r="C1520" t="s">
        <v>1916</v>
      </c>
      <c r="D1520" t="s">
        <v>629</v>
      </c>
      <c r="E1520" s="248" t="s">
        <v>1853</v>
      </c>
      <c r="F1520" t="s">
        <v>620</v>
      </c>
      <c r="G1520" s="89">
        <v>2007</v>
      </c>
      <c r="H1520" s="312" t="s">
        <v>731</v>
      </c>
      <c r="I1520" s="308" t="str">
        <f t="shared" si="72"/>
        <v>Pesado de Passageiros M3: III : Gasóleo : E4</v>
      </c>
      <c r="J1520" s="125">
        <v>54</v>
      </c>
      <c r="K1520" s="253">
        <v>2022</v>
      </c>
      <c r="L1520" s="85">
        <v>18440.2</v>
      </c>
      <c r="M1520" s="85" t="s">
        <v>630</v>
      </c>
      <c r="N1520" s="128">
        <v>55017</v>
      </c>
      <c r="O1520" s="128">
        <f t="shared" si="73"/>
        <v>2970918</v>
      </c>
      <c r="P1520" s="89">
        <v>8736</v>
      </c>
      <c r="Q1520" t="s">
        <v>47</v>
      </c>
      <c r="R1520" s="214" t="s">
        <v>1869</v>
      </c>
      <c r="S1520" s="214" t="s">
        <v>1861</v>
      </c>
      <c r="U1520" t="s">
        <v>1953</v>
      </c>
      <c r="V1520" t="s">
        <v>2813</v>
      </c>
    </row>
    <row r="1521" spans="1:22" ht="15.75" thickBot="1" x14ac:dyDescent="0.3">
      <c r="A1521" t="s">
        <v>1916</v>
      </c>
      <c r="B1521" t="s">
        <v>1916</v>
      </c>
      <c r="C1521" t="s">
        <v>1916</v>
      </c>
      <c r="D1521" t="s">
        <v>629</v>
      </c>
      <c r="E1521" s="248" t="s">
        <v>1853</v>
      </c>
      <c r="F1521" t="s">
        <v>620</v>
      </c>
      <c r="G1521" s="89">
        <v>1997</v>
      </c>
      <c r="H1521" s="312" t="s">
        <v>735</v>
      </c>
      <c r="I1521" s="308" t="str">
        <f t="shared" si="72"/>
        <v>Pesado de Passageiros M3: III : Gasóleo : E2</v>
      </c>
      <c r="J1521" s="125">
        <f>44+36</f>
        <v>80</v>
      </c>
      <c r="K1521" s="253">
        <v>2022</v>
      </c>
      <c r="L1521" s="85">
        <v>165.8</v>
      </c>
      <c r="M1521" s="85" t="s">
        <v>630</v>
      </c>
      <c r="N1521" s="128">
        <v>60</v>
      </c>
      <c r="O1521" s="128">
        <f t="shared" si="73"/>
        <v>4800</v>
      </c>
      <c r="P1521" s="89">
        <v>8737</v>
      </c>
      <c r="Q1521" t="s">
        <v>47</v>
      </c>
      <c r="R1521" s="214" t="s">
        <v>1869</v>
      </c>
      <c r="S1521" s="214" t="s">
        <v>1861</v>
      </c>
      <c r="U1521" t="s">
        <v>1953</v>
      </c>
      <c r="V1521" t="s">
        <v>2813</v>
      </c>
    </row>
    <row r="1522" spans="1:22" ht="15.75" thickBot="1" x14ac:dyDescent="0.3">
      <c r="A1522" t="s">
        <v>1916</v>
      </c>
      <c r="B1522" t="s">
        <v>1916</v>
      </c>
      <c r="C1522" t="s">
        <v>1916</v>
      </c>
      <c r="D1522" t="s">
        <v>629</v>
      </c>
      <c r="E1522" s="248" t="s">
        <v>1853</v>
      </c>
      <c r="F1522" t="s">
        <v>620</v>
      </c>
      <c r="G1522" s="89">
        <v>2002</v>
      </c>
      <c r="H1522" s="312" t="s">
        <v>732</v>
      </c>
      <c r="I1522" s="308" t="str">
        <f t="shared" si="72"/>
        <v>Pesado de Passageiros M3: III : Gasóleo : E3</v>
      </c>
      <c r="J1522" s="125">
        <f>46+17</f>
        <v>63</v>
      </c>
      <c r="K1522" s="253">
        <v>2022</v>
      </c>
      <c r="L1522" s="85">
        <v>11753.699999999999</v>
      </c>
      <c r="M1522" s="85" t="s">
        <v>630</v>
      </c>
      <c r="N1522" s="128">
        <v>35511</v>
      </c>
      <c r="O1522" s="128">
        <f t="shared" si="73"/>
        <v>2237193</v>
      </c>
      <c r="P1522" s="89">
        <v>8747</v>
      </c>
      <c r="Q1522" t="s">
        <v>47</v>
      </c>
      <c r="R1522" s="214" t="s">
        <v>1869</v>
      </c>
      <c r="S1522" s="214" t="s">
        <v>1861</v>
      </c>
      <c r="U1522" t="s">
        <v>1953</v>
      </c>
      <c r="V1522" t="s">
        <v>2813</v>
      </c>
    </row>
    <row r="1523" spans="1:22" ht="15.75" thickBot="1" x14ac:dyDescent="0.3">
      <c r="A1523" t="s">
        <v>1916</v>
      </c>
      <c r="B1523" t="s">
        <v>1916</v>
      </c>
      <c r="C1523" t="s">
        <v>1916</v>
      </c>
      <c r="D1523" t="s">
        <v>629</v>
      </c>
      <c r="E1523" s="248" t="s">
        <v>1853</v>
      </c>
      <c r="F1523" t="s">
        <v>620</v>
      </c>
      <c r="G1523" s="89">
        <v>2002</v>
      </c>
      <c r="H1523" s="312" t="s">
        <v>732</v>
      </c>
      <c r="I1523" s="308" t="str">
        <f t="shared" si="72"/>
        <v>Pesado de Passageiros M3: III : Gasóleo : E3</v>
      </c>
      <c r="J1523" s="125">
        <v>83</v>
      </c>
      <c r="K1523" s="253">
        <v>2022</v>
      </c>
      <c r="L1523" s="85">
        <v>15354.9</v>
      </c>
      <c r="M1523" s="85" t="s">
        <v>630</v>
      </c>
      <c r="N1523" s="128">
        <v>47769</v>
      </c>
      <c r="O1523" s="128">
        <f t="shared" si="73"/>
        <v>3964827</v>
      </c>
      <c r="P1523" s="89">
        <v>8748</v>
      </c>
      <c r="Q1523" t="s">
        <v>47</v>
      </c>
      <c r="R1523" s="214" t="s">
        <v>1869</v>
      </c>
      <c r="S1523" s="214" t="s">
        <v>1861</v>
      </c>
      <c r="U1523" t="s">
        <v>1953</v>
      </c>
      <c r="V1523" t="s">
        <v>2813</v>
      </c>
    </row>
    <row r="1524" spans="1:22" ht="15.75" thickBot="1" x14ac:dyDescent="0.3">
      <c r="A1524" t="s">
        <v>1916</v>
      </c>
      <c r="B1524" t="s">
        <v>1916</v>
      </c>
      <c r="C1524" t="s">
        <v>1916</v>
      </c>
      <c r="D1524" t="s">
        <v>629</v>
      </c>
      <c r="E1524" s="248" t="s">
        <v>1853</v>
      </c>
      <c r="F1524" t="s">
        <v>620</v>
      </c>
      <c r="G1524" s="89">
        <v>2002</v>
      </c>
      <c r="H1524" s="312" t="s">
        <v>732</v>
      </c>
      <c r="I1524" s="308" t="str">
        <f t="shared" si="72"/>
        <v>Pesado de Passageiros M3: III : Gasóleo : E3</v>
      </c>
      <c r="J1524" s="125">
        <v>57</v>
      </c>
      <c r="K1524" s="253">
        <v>2022</v>
      </c>
      <c r="L1524" s="85">
        <v>17168.100000000002</v>
      </c>
      <c r="M1524" s="85" t="s">
        <v>630</v>
      </c>
      <c r="N1524" s="128">
        <v>54282</v>
      </c>
      <c r="O1524" s="128">
        <f t="shared" si="73"/>
        <v>3094074</v>
      </c>
      <c r="P1524" s="89">
        <v>8750</v>
      </c>
      <c r="Q1524" t="s">
        <v>47</v>
      </c>
      <c r="R1524" s="214" t="s">
        <v>1869</v>
      </c>
      <c r="S1524" s="214" t="s">
        <v>1861</v>
      </c>
      <c r="U1524" t="s">
        <v>1953</v>
      </c>
      <c r="V1524" t="s">
        <v>2813</v>
      </c>
    </row>
    <row r="1525" spans="1:22" ht="15.75" thickBot="1" x14ac:dyDescent="0.3">
      <c r="A1525" t="s">
        <v>1916</v>
      </c>
      <c r="B1525" t="s">
        <v>1916</v>
      </c>
      <c r="C1525" t="s">
        <v>1916</v>
      </c>
      <c r="D1525" t="s">
        <v>629</v>
      </c>
      <c r="E1525" s="248" t="s">
        <v>1853</v>
      </c>
      <c r="F1525" t="s">
        <v>620</v>
      </c>
      <c r="G1525" s="89">
        <v>2008</v>
      </c>
      <c r="H1525" s="312" t="s">
        <v>731</v>
      </c>
      <c r="I1525" s="308" t="str">
        <f t="shared" si="72"/>
        <v>Pesado de Passageiros M3: III : Gasóleo : E4</v>
      </c>
      <c r="J1525" s="125">
        <v>35</v>
      </c>
      <c r="K1525" s="253">
        <v>2022</v>
      </c>
      <c r="L1525" s="85">
        <v>13436.1</v>
      </c>
      <c r="M1525" s="85" t="s">
        <v>630</v>
      </c>
      <c r="N1525" s="128">
        <v>58661</v>
      </c>
      <c r="O1525" s="128">
        <f t="shared" si="73"/>
        <v>2053135</v>
      </c>
      <c r="P1525" s="89">
        <v>8751</v>
      </c>
      <c r="Q1525" t="s">
        <v>47</v>
      </c>
      <c r="R1525" s="214" t="s">
        <v>1869</v>
      </c>
      <c r="S1525" s="214" t="s">
        <v>1861</v>
      </c>
      <c r="U1525" t="s">
        <v>1953</v>
      </c>
      <c r="V1525" t="s">
        <v>2813</v>
      </c>
    </row>
    <row r="1526" spans="1:22" ht="15.75" thickBot="1" x14ac:dyDescent="0.3">
      <c r="A1526" t="s">
        <v>1916</v>
      </c>
      <c r="B1526" t="s">
        <v>1916</v>
      </c>
      <c r="C1526" t="s">
        <v>1916</v>
      </c>
      <c r="D1526" t="s">
        <v>629</v>
      </c>
      <c r="E1526" s="248" t="s">
        <v>1853</v>
      </c>
      <c r="F1526" t="s">
        <v>620</v>
      </c>
      <c r="G1526" s="89">
        <v>2002</v>
      </c>
      <c r="H1526" s="312" t="s">
        <v>732</v>
      </c>
      <c r="I1526" s="308" t="str">
        <f t="shared" si="72"/>
        <v>Pesado de Passageiros M3: III : Gasóleo : E3</v>
      </c>
      <c r="J1526" s="125">
        <v>84</v>
      </c>
      <c r="K1526" s="253">
        <v>2022</v>
      </c>
      <c r="L1526" s="85">
        <v>11733.599999999999</v>
      </c>
      <c r="M1526" s="85" t="s">
        <v>630</v>
      </c>
      <c r="N1526" s="128">
        <v>33363</v>
      </c>
      <c r="O1526" s="128">
        <f t="shared" si="73"/>
        <v>2802492</v>
      </c>
      <c r="P1526" s="89">
        <v>8753</v>
      </c>
      <c r="Q1526" t="s">
        <v>47</v>
      </c>
      <c r="R1526" s="214" t="s">
        <v>1869</v>
      </c>
      <c r="S1526" s="214" t="s">
        <v>1861</v>
      </c>
      <c r="U1526" t="s">
        <v>1953</v>
      </c>
      <c r="V1526" t="s">
        <v>2813</v>
      </c>
    </row>
    <row r="1527" spans="1:22" ht="15.75" thickBot="1" x14ac:dyDescent="0.3">
      <c r="A1527" t="s">
        <v>1916</v>
      </c>
      <c r="B1527" t="s">
        <v>1916</v>
      </c>
      <c r="C1527" t="s">
        <v>1916</v>
      </c>
      <c r="D1527" t="s">
        <v>629</v>
      </c>
      <c r="E1527" s="248" t="s">
        <v>1853</v>
      </c>
      <c r="F1527" t="s">
        <v>620</v>
      </c>
      <c r="G1527" s="89">
        <v>2002</v>
      </c>
      <c r="H1527" s="312" t="s">
        <v>732</v>
      </c>
      <c r="I1527" s="308" t="str">
        <f t="shared" si="72"/>
        <v>Pesado de Passageiros M3: III : Gasóleo : E3</v>
      </c>
      <c r="J1527" s="125">
        <v>68</v>
      </c>
      <c r="K1527" s="253">
        <v>2022</v>
      </c>
      <c r="L1527" s="85">
        <v>16779.800000000003</v>
      </c>
      <c r="M1527" s="85" t="s">
        <v>630</v>
      </c>
      <c r="N1527" s="128">
        <v>50367</v>
      </c>
      <c r="O1527" s="128">
        <f t="shared" si="73"/>
        <v>3424956</v>
      </c>
      <c r="P1527" s="89">
        <v>8754</v>
      </c>
      <c r="Q1527" t="s">
        <v>47</v>
      </c>
      <c r="R1527" s="214" t="s">
        <v>1869</v>
      </c>
      <c r="S1527" s="214" t="s">
        <v>1861</v>
      </c>
      <c r="U1527" t="s">
        <v>1953</v>
      </c>
      <c r="V1527" t="s">
        <v>2813</v>
      </c>
    </row>
    <row r="1528" spans="1:22" ht="15.75" thickBot="1" x14ac:dyDescent="0.3">
      <c r="A1528" t="s">
        <v>1916</v>
      </c>
      <c r="B1528" t="s">
        <v>1916</v>
      </c>
      <c r="C1528" t="s">
        <v>1916</v>
      </c>
      <c r="D1528" t="s">
        <v>629</v>
      </c>
      <c r="E1528" s="248" t="s">
        <v>1853</v>
      </c>
      <c r="F1528" t="s">
        <v>620</v>
      </c>
      <c r="G1528" s="89">
        <v>2002</v>
      </c>
      <c r="H1528" s="312" t="s">
        <v>732</v>
      </c>
      <c r="I1528" s="308" t="str">
        <f t="shared" si="72"/>
        <v>Pesado de Passageiros M3: III : Gasóleo : E3</v>
      </c>
      <c r="J1528" s="125">
        <v>74</v>
      </c>
      <c r="K1528" s="253">
        <v>2022</v>
      </c>
      <c r="L1528" s="85">
        <v>19398.8</v>
      </c>
      <c r="M1528" s="85" t="s">
        <v>630</v>
      </c>
      <c r="N1528" s="128">
        <v>63964</v>
      </c>
      <c r="O1528" s="128">
        <f t="shared" si="73"/>
        <v>4733336</v>
      </c>
      <c r="P1528" s="89">
        <v>8755</v>
      </c>
      <c r="Q1528" t="s">
        <v>47</v>
      </c>
      <c r="R1528" s="214" t="s">
        <v>1869</v>
      </c>
      <c r="S1528" s="214" t="s">
        <v>1861</v>
      </c>
      <c r="U1528" t="s">
        <v>1953</v>
      </c>
      <c r="V1528" t="s">
        <v>2813</v>
      </c>
    </row>
    <row r="1529" spans="1:22" ht="15.75" thickBot="1" x14ac:dyDescent="0.3">
      <c r="A1529" t="s">
        <v>1916</v>
      </c>
      <c r="B1529" t="s">
        <v>1916</v>
      </c>
      <c r="C1529" t="s">
        <v>1916</v>
      </c>
      <c r="D1529" t="s">
        <v>629</v>
      </c>
      <c r="E1529" s="248" t="s">
        <v>1853</v>
      </c>
      <c r="F1529" t="s">
        <v>620</v>
      </c>
      <c r="G1529" s="89">
        <v>2002</v>
      </c>
      <c r="H1529" s="312" t="s">
        <v>732</v>
      </c>
      <c r="I1529" s="308" t="str">
        <f t="shared" si="72"/>
        <v>Pesado de Passageiros M3: III : Gasóleo : E3</v>
      </c>
      <c r="J1529" s="125">
        <v>54</v>
      </c>
      <c r="K1529" s="253">
        <v>2022</v>
      </c>
      <c r="L1529" s="85">
        <v>10672.199999999999</v>
      </c>
      <c r="M1529" s="85" t="s">
        <v>630</v>
      </c>
      <c r="N1529" s="128">
        <v>34915</v>
      </c>
      <c r="O1529" s="128">
        <f t="shared" si="73"/>
        <v>1885410</v>
      </c>
      <c r="P1529" s="89">
        <v>8756</v>
      </c>
      <c r="Q1529" t="s">
        <v>47</v>
      </c>
      <c r="R1529" s="214" t="s">
        <v>1869</v>
      </c>
      <c r="S1529" s="214" t="s">
        <v>1861</v>
      </c>
      <c r="U1529" t="s">
        <v>1953</v>
      </c>
      <c r="V1529" t="s">
        <v>2813</v>
      </c>
    </row>
    <row r="1530" spans="1:22" ht="15.75" thickBot="1" x14ac:dyDescent="0.3">
      <c r="A1530" t="s">
        <v>1916</v>
      </c>
      <c r="B1530" t="s">
        <v>1916</v>
      </c>
      <c r="C1530" t="s">
        <v>1916</v>
      </c>
      <c r="D1530" t="s">
        <v>629</v>
      </c>
      <c r="E1530" s="248" t="s">
        <v>1853</v>
      </c>
      <c r="F1530" t="s">
        <v>620</v>
      </c>
      <c r="G1530" s="89">
        <v>2002</v>
      </c>
      <c r="H1530" s="312" t="s">
        <v>732</v>
      </c>
      <c r="I1530" s="308" t="str">
        <f t="shared" si="72"/>
        <v>Pesado de Passageiros M3: III : Gasóleo : E3</v>
      </c>
      <c r="J1530" s="125">
        <v>67</v>
      </c>
      <c r="K1530" s="253">
        <v>2022</v>
      </c>
      <c r="L1530" s="85">
        <v>22393</v>
      </c>
      <c r="M1530" s="85" t="s">
        <v>630</v>
      </c>
      <c r="N1530" s="128">
        <v>75348</v>
      </c>
      <c r="O1530" s="128">
        <f t="shared" si="73"/>
        <v>5048316</v>
      </c>
      <c r="P1530" s="89">
        <v>8757</v>
      </c>
      <c r="Q1530" t="s">
        <v>47</v>
      </c>
      <c r="R1530" s="214" t="s">
        <v>1869</v>
      </c>
      <c r="S1530" s="214" t="s">
        <v>1861</v>
      </c>
      <c r="U1530" t="s">
        <v>1953</v>
      </c>
      <c r="V1530" t="s">
        <v>2813</v>
      </c>
    </row>
    <row r="1531" spans="1:22" ht="15.75" thickBot="1" x14ac:dyDescent="0.3">
      <c r="A1531" t="s">
        <v>1916</v>
      </c>
      <c r="B1531" t="s">
        <v>1916</v>
      </c>
      <c r="C1531" t="s">
        <v>1916</v>
      </c>
      <c r="D1531" t="s">
        <v>629</v>
      </c>
      <c r="E1531" s="248" t="s">
        <v>1853</v>
      </c>
      <c r="F1531" t="s">
        <v>620</v>
      </c>
      <c r="G1531" s="89">
        <v>2016</v>
      </c>
      <c r="H1531" s="312" t="s">
        <v>733</v>
      </c>
      <c r="I1531" s="308" t="str">
        <f t="shared" si="72"/>
        <v>Pesado de Passageiros M3: III : Gasóleo : E6</v>
      </c>
      <c r="J1531" s="125">
        <v>65</v>
      </c>
      <c r="K1531" s="253">
        <v>2022</v>
      </c>
      <c r="L1531" s="85">
        <v>3660.3999999999996</v>
      </c>
      <c r="M1531" s="85" t="s">
        <v>630</v>
      </c>
      <c r="N1531" s="128">
        <v>7883</v>
      </c>
      <c r="O1531" s="128">
        <f t="shared" si="73"/>
        <v>512395</v>
      </c>
      <c r="P1531" s="89">
        <v>8758</v>
      </c>
      <c r="Q1531" t="s">
        <v>47</v>
      </c>
      <c r="R1531" s="214" t="s">
        <v>1869</v>
      </c>
      <c r="S1531" s="214" t="s">
        <v>1861</v>
      </c>
      <c r="U1531" t="s">
        <v>1953</v>
      </c>
      <c r="V1531" t="s">
        <v>2813</v>
      </c>
    </row>
    <row r="1532" spans="1:22" ht="15.75" thickBot="1" x14ac:dyDescent="0.3">
      <c r="A1532" t="s">
        <v>1916</v>
      </c>
      <c r="B1532" t="s">
        <v>1916</v>
      </c>
      <c r="C1532" t="s">
        <v>1916</v>
      </c>
      <c r="D1532" t="s">
        <v>629</v>
      </c>
      <c r="E1532" s="248" t="s">
        <v>1853</v>
      </c>
      <c r="F1532" t="s">
        <v>620</v>
      </c>
      <c r="G1532" s="89">
        <v>2016</v>
      </c>
      <c r="H1532" s="312" t="s">
        <v>733</v>
      </c>
      <c r="I1532" s="308" t="str">
        <f t="shared" si="72"/>
        <v>Pesado de Passageiros M3: III : Gasóleo : E6</v>
      </c>
      <c r="J1532" s="125">
        <v>65</v>
      </c>
      <c r="K1532" s="253">
        <v>2022</v>
      </c>
      <c r="L1532" s="85">
        <v>6310.4</v>
      </c>
      <c r="M1532" s="85" t="s">
        <v>630</v>
      </c>
      <c r="N1532" s="128">
        <v>17672</v>
      </c>
      <c r="O1532" s="128">
        <f t="shared" si="73"/>
        <v>1148680</v>
      </c>
      <c r="P1532" s="89">
        <v>8759</v>
      </c>
      <c r="Q1532" t="s">
        <v>47</v>
      </c>
      <c r="R1532" s="214" t="s">
        <v>1869</v>
      </c>
      <c r="S1532" s="214" t="s">
        <v>1861</v>
      </c>
      <c r="U1532" t="s">
        <v>1953</v>
      </c>
      <c r="V1532" t="s">
        <v>2813</v>
      </c>
    </row>
    <row r="1533" spans="1:22" ht="15.75" thickBot="1" x14ac:dyDescent="0.3">
      <c r="A1533" t="s">
        <v>1916</v>
      </c>
      <c r="B1533" t="s">
        <v>1916</v>
      </c>
      <c r="C1533" t="s">
        <v>1916</v>
      </c>
      <c r="D1533" t="s">
        <v>629</v>
      </c>
      <c r="E1533" s="248" t="s">
        <v>1853</v>
      </c>
      <c r="F1533" t="s">
        <v>620</v>
      </c>
      <c r="G1533" s="89">
        <v>2008</v>
      </c>
      <c r="H1533" s="312" t="s">
        <v>731</v>
      </c>
      <c r="I1533" s="308" t="str">
        <f t="shared" si="72"/>
        <v>Pesado de Passageiros M3: III : Gasóleo : E4</v>
      </c>
      <c r="J1533" s="125">
        <v>66</v>
      </c>
      <c r="K1533" s="253">
        <v>2022</v>
      </c>
      <c r="L1533" s="85">
        <v>5792.49</v>
      </c>
      <c r="M1533" s="85" t="s">
        <v>630</v>
      </c>
      <c r="N1533" s="128">
        <v>20638</v>
      </c>
      <c r="O1533" s="128">
        <f t="shared" si="73"/>
        <v>1362108</v>
      </c>
      <c r="P1533" s="89">
        <v>8760</v>
      </c>
      <c r="Q1533" t="s">
        <v>47</v>
      </c>
      <c r="R1533" s="214" t="s">
        <v>1869</v>
      </c>
      <c r="S1533" s="214" t="s">
        <v>1861</v>
      </c>
      <c r="U1533" t="s">
        <v>1953</v>
      </c>
      <c r="V1533" t="s">
        <v>2813</v>
      </c>
    </row>
    <row r="1534" spans="1:22" ht="15.75" thickBot="1" x14ac:dyDescent="0.3">
      <c r="A1534" t="s">
        <v>1916</v>
      </c>
      <c r="B1534" t="s">
        <v>1916</v>
      </c>
      <c r="C1534" t="s">
        <v>1916</v>
      </c>
      <c r="D1534" t="s">
        <v>629</v>
      </c>
      <c r="E1534" s="248" t="s">
        <v>1853</v>
      </c>
      <c r="F1534" t="s">
        <v>620</v>
      </c>
      <c r="G1534" s="89">
        <v>2008</v>
      </c>
      <c r="H1534" s="312" t="s">
        <v>731</v>
      </c>
      <c r="I1534" s="308" t="str">
        <f t="shared" si="72"/>
        <v>Pesado de Passageiros M3: III : Gasóleo : E4</v>
      </c>
      <c r="J1534" s="125">
        <v>91</v>
      </c>
      <c r="K1534" s="253">
        <v>2022</v>
      </c>
      <c r="L1534" s="85">
        <v>0</v>
      </c>
      <c r="M1534" s="85" t="s">
        <v>630</v>
      </c>
      <c r="N1534" s="128">
        <v>0</v>
      </c>
      <c r="O1534" s="128">
        <f t="shared" si="73"/>
        <v>0</v>
      </c>
      <c r="P1534" s="89">
        <v>8761</v>
      </c>
      <c r="Q1534" t="s">
        <v>47</v>
      </c>
      <c r="R1534" s="214" t="s">
        <v>1869</v>
      </c>
      <c r="S1534" s="214" t="s">
        <v>1861</v>
      </c>
      <c r="U1534" t="s">
        <v>1953</v>
      </c>
      <c r="V1534" t="s">
        <v>2813</v>
      </c>
    </row>
    <row r="1535" spans="1:22" ht="15.75" thickBot="1" x14ac:dyDescent="0.3">
      <c r="A1535" t="s">
        <v>1916</v>
      </c>
      <c r="B1535" t="s">
        <v>1916</v>
      </c>
      <c r="C1535" t="s">
        <v>1916</v>
      </c>
      <c r="D1535" t="s">
        <v>629</v>
      </c>
      <c r="E1535" s="248" t="s">
        <v>1853</v>
      </c>
      <c r="F1535" t="s">
        <v>620</v>
      </c>
      <c r="G1535" s="89">
        <v>2010</v>
      </c>
      <c r="H1535" s="312" t="s">
        <v>731</v>
      </c>
      <c r="I1535" s="308" t="str">
        <f t="shared" si="72"/>
        <v>Pesado de Passageiros M3: III : Gasóleo : E4</v>
      </c>
      <c r="J1535" s="125">
        <v>53</v>
      </c>
      <c r="K1535" s="253">
        <v>2022</v>
      </c>
      <c r="L1535" s="85">
        <v>0</v>
      </c>
      <c r="M1535" s="85" t="s">
        <v>630</v>
      </c>
      <c r="N1535" s="128">
        <v>0</v>
      </c>
      <c r="O1535" s="128">
        <f t="shared" si="73"/>
        <v>0</v>
      </c>
      <c r="P1535" s="89">
        <v>8762</v>
      </c>
      <c r="Q1535" t="s">
        <v>47</v>
      </c>
      <c r="R1535" s="214" t="s">
        <v>1869</v>
      </c>
      <c r="S1535" s="214" t="s">
        <v>1861</v>
      </c>
      <c r="U1535" t="s">
        <v>1953</v>
      </c>
      <c r="V1535" t="s">
        <v>2813</v>
      </c>
    </row>
    <row r="1536" spans="1:22" ht="15.75" thickBot="1" x14ac:dyDescent="0.3">
      <c r="A1536" t="s">
        <v>1916</v>
      </c>
      <c r="B1536" t="s">
        <v>1916</v>
      </c>
      <c r="C1536" t="s">
        <v>1916</v>
      </c>
      <c r="D1536" t="s">
        <v>629</v>
      </c>
      <c r="E1536" s="248" t="s">
        <v>1853</v>
      </c>
      <c r="F1536" t="s">
        <v>620</v>
      </c>
      <c r="G1536" s="89">
        <v>2007</v>
      </c>
      <c r="H1536" s="312" t="s">
        <v>731</v>
      </c>
      <c r="I1536" s="308" t="str">
        <f t="shared" si="72"/>
        <v>Pesado de Passageiros M3: III : Gasóleo : E4</v>
      </c>
      <c r="J1536" s="125">
        <v>97</v>
      </c>
      <c r="K1536" s="253">
        <v>2022</v>
      </c>
      <c r="L1536" s="85">
        <v>0</v>
      </c>
      <c r="M1536" s="85" t="s">
        <v>630</v>
      </c>
      <c r="N1536" s="128">
        <v>0</v>
      </c>
      <c r="O1536" s="128">
        <f t="shared" si="73"/>
        <v>0</v>
      </c>
      <c r="P1536" s="89">
        <v>8764</v>
      </c>
      <c r="Q1536" t="s">
        <v>47</v>
      </c>
      <c r="R1536" s="214" t="s">
        <v>1869</v>
      </c>
      <c r="S1536" s="214" t="s">
        <v>1861</v>
      </c>
      <c r="U1536" t="s">
        <v>1953</v>
      </c>
      <c r="V1536" t="s">
        <v>2813</v>
      </c>
    </row>
    <row r="1537" spans="1:22" ht="15.75" thickBot="1" x14ac:dyDescent="0.3">
      <c r="A1537" t="s">
        <v>1916</v>
      </c>
      <c r="B1537" t="s">
        <v>1916</v>
      </c>
      <c r="C1537" t="s">
        <v>1916</v>
      </c>
      <c r="D1537" t="s">
        <v>629</v>
      </c>
      <c r="E1537" s="248" t="s">
        <v>1853</v>
      </c>
      <c r="F1537" t="s">
        <v>620</v>
      </c>
      <c r="G1537" s="89">
        <v>2013</v>
      </c>
      <c r="H1537" s="312" t="s">
        <v>734</v>
      </c>
      <c r="I1537" s="308" t="str">
        <f t="shared" si="72"/>
        <v>Pesado de Passageiros M3: III : Gasóleo : E5</v>
      </c>
      <c r="J1537" s="125">
        <v>80</v>
      </c>
      <c r="K1537" s="253">
        <v>2022</v>
      </c>
      <c r="L1537" s="85">
        <v>0</v>
      </c>
      <c r="M1537" s="85" t="s">
        <v>630</v>
      </c>
      <c r="N1537" s="128">
        <v>0</v>
      </c>
      <c r="O1537" s="128">
        <f t="shared" si="73"/>
        <v>0</v>
      </c>
      <c r="P1537" s="89">
        <v>8765</v>
      </c>
      <c r="Q1537" t="s">
        <v>47</v>
      </c>
      <c r="R1537" s="214" t="s">
        <v>1869</v>
      </c>
      <c r="S1537" s="214" t="s">
        <v>1861</v>
      </c>
      <c r="U1537" t="s">
        <v>1953</v>
      </c>
      <c r="V1537" t="s">
        <v>2813</v>
      </c>
    </row>
    <row r="1538" spans="1:22" ht="15.75" thickBot="1" x14ac:dyDescent="0.3">
      <c r="A1538" t="s">
        <v>1916</v>
      </c>
      <c r="B1538" t="s">
        <v>1916</v>
      </c>
      <c r="C1538" t="s">
        <v>1916</v>
      </c>
      <c r="D1538" t="s">
        <v>629</v>
      </c>
      <c r="E1538" s="248" t="s">
        <v>1853</v>
      </c>
      <c r="F1538" t="s">
        <v>620</v>
      </c>
      <c r="G1538" s="89">
        <v>2013</v>
      </c>
      <c r="H1538" s="312" t="s">
        <v>734</v>
      </c>
      <c r="I1538" s="308" t="str">
        <f t="shared" si="72"/>
        <v>Pesado de Passageiros M3: III : Gasóleo : E5</v>
      </c>
      <c r="J1538" s="125">
        <v>80</v>
      </c>
      <c r="K1538" s="253">
        <v>2022</v>
      </c>
      <c r="L1538" s="85">
        <v>0</v>
      </c>
      <c r="M1538" s="85" t="s">
        <v>630</v>
      </c>
      <c r="N1538" s="128">
        <v>0</v>
      </c>
      <c r="O1538" s="128">
        <f t="shared" si="73"/>
        <v>0</v>
      </c>
      <c r="P1538" s="89">
        <v>8766</v>
      </c>
      <c r="Q1538" t="s">
        <v>47</v>
      </c>
      <c r="R1538" s="214" t="s">
        <v>1869</v>
      </c>
      <c r="S1538" s="214" t="s">
        <v>1861</v>
      </c>
      <c r="U1538" t="s">
        <v>1953</v>
      </c>
      <c r="V1538" t="s">
        <v>2813</v>
      </c>
    </row>
    <row r="1539" spans="1:22" ht="15.75" thickBot="1" x14ac:dyDescent="0.3">
      <c r="A1539" t="s">
        <v>1916</v>
      </c>
      <c r="B1539" t="s">
        <v>1916</v>
      </c>
      <c r="C1539" t="s">
        <v>1916</v>
      </c>
      <c r="D1539" t="s">
        <v>629</v>
      </c>
      <c r="E1539" s="248" t="s">
        <v>1853</v>
      </c>
      <c r="F1539" t="s">
        <v>620</v>
      </c>
      <c r="G1539" s="89">
        <v>2014</v>
      </c>
      <c r="H1539" s="312" t="s">
        <v>734</v>
      </c>
      <c r="I1539" s="308" t="str">
        <f t="shared" si="72"/>
        <v>Pesado de Passageiros M3: III : Gasóleo : E5</v>
      </c>
      <c r="J1539" s="125">
        <v>80</v>
      </c>
      <c r="K1539" s="253">
        <v>2022</v>
      </c>
      <c r="L1539" s="85">
        <v>0</v>
      </c>
      <c r="M1539" s="85" t="s">
        <v>630</v>
      </c>
      <c r="N1539" s="128">
        <v>0</v>
      </c>
      <c r="O1539" s="128">
        <f t="shared" si="73"/>
        <v>0</v>
      </c>
      <c r="P1539" s="89">
        <v>8767</v>
      </c>
      <c r="Q1539" t="s">
        <v>47</v>
      </c>
      <c r="R1539" s="214" t="s">
        <v>1869</v>
      </c>
      <c r="S1539" s="214" t="s">
        <v>1861</v>
      </c>
      <c r="U1539" t="s">
        <v>1953</v>
      </c>
      <c r="V1539" t="s">
        <v>2813</v>
      </c>
    </row>
    <row r="1540" spans="1:22" ht="15.75" thickBot="1" x14ac:dyDescent="0.3">
      <c r="A1540" t="s">
        <v>1916</v>
      </c>
      <c r="B1540" t="s">
        <v>1916</v>
      </c>
      <c r="C1540" t="s">
        <v>1916</v>
      </c>
      <c r="D1540" t="s">
        <v>629</v>
      </c>
      <c r="E1540" s="248" t="s">
        <v>1853</v>
      </c>
      <c r="F1540" t="s">
        <v>620</v>
      </c>
      <c r="G1540" s="89">
        <v>2014</v>
      </c>
      <c r="H1540" s="312" t="s">
        <v>734</v>
      </c>
      <c r="I1540" s="308" t="str">
        <f t="shared" ref="I1540:I1603" si="74">D1540&amp;": "&amp;E1540&amp;" : "&amp;F1540&amp;" : "&amp;H1540</f>
        <v>Pesado de Passageiros M3: III : Gasóleo : E5</v>
      </c>
      <c r="J1540" s="125">
        <v>80</v>
      </c>
      <c r="K1540" s="253">
        <v>2022</v>
      </c>
      <c r="L1540" s="85">
        <v>0</v>
      </c>
      <c r="M1540" s="85" t="s">
        <v>630</v>
      </c>
      <c r="N1540" s="128">
        <v>0</v>
      </c>
      <c r="O1540" s="128">
        <f t="shared" ref="O1540:O1603" si="75">N1540*J1540</f>
        <v>0</v>
      </c>
      <c r="P1540" s="89">
        <v>8768</v>
      </c>
      <c r="Q1540" t="s">
        <v>47</v>
      </c>
      <c r="R1540" s="214" t="s">
        <v>1869</v>
      </c>
      <c r="S1540" s="214" t="s">
        <v>1861</v>
      </c>
      <c r="U1540" t="s">
        <v>1953</v>
      </c>
      <c r="V1540" t="s">
        <v>2813</v>
      </c>
    </row>
    <row r="1541" spans="1:22" ht="15.75" thickBot="1" x14ac:dyDescent="0.3">
      <c r="A1541" t="s">
        <v>1916</v>
      </c>
      <c r="B1541" t="s">
        <v>1916</v>
      </c>
      <c r="C1541" t="s">
        <v>1916</v>
      </c>
      <c r="D1541" t="s">
        <v>629</v>
      </c>
      <c r="E1541" s="248" t="s">
        <v>1853</v>
      </c>
      <c r="F1541" t="s">
        <v>620</v>
      </c>
      <c r="G1541" s="89">
        <v>2014</v>
      </c>
      <c r="H1541" s="312" t="s">
        <v>734</v>
      </c>
      <c r="I1541" s="308" t="str">
        <f t="shared" si="74"/>
        <v>Pesado de Passageiros M3: III : Gasóleo : E5</v>
      </c>
      <c r="J1541" s="125">
        <v>80</v>
      </c>
      <c r="K1541" s="253">
        <v>2022</v>
      </c>
      <c r="L1541" s="85">
        <v>0</v>
      </c>
      <c r="M1541" s="85" t="s">
        <v>630</v>
      </c>
      <c r="N1541" s="128">
        <v>0</v>
      </c>
      <c r="O1541" s="128">
        <f t="shared" si="75"/>
        <v>0</v>
      </c>
      <c r="P1541" s="89">
        <v>8769</v>
      </c>
      <c r="Q1541" t="s">
        <v>47</v>
      </c>
      <c r="R1541" s="214" t="s">
        <v>1869</v>
      </c>
      <c r="S1541" s="214" t="s">
        <v>1861</v>
      </c>
      <c r="U1541" t="s">
        <v>1953</v>
      </c>
      <c r="V1541" t="s">
        <v>2813</v>
      </c>
    </row>
    <row r="1542" spans="1:22" ht="15.75" thickBot="1" x14ac:dyDescent="0.3">
      <c r="A1542" t="s">
        <v>1916</v>
      </c>
      <c r="B1542" t="s">
        <v>1916</v>
      </c>
      <c r="C1542" t="s">
        <v>1916</v>
      </c>
      <c r="D1542" t="s">
        <v>629</v>
      </c>
      <c r="E1542" s="248" t="s">
        <v>1853</v>
      </c>
      <c r="F1542" t="s">
        <v>620</v>
      </c>
      <c r="G1542" s="89">
        <v>2013</v>
      </c>
      <c r="H1542" s="312" t="s">
        <v>734</v>
      </c>
      <c r="I1542" s="308" t="str">
        <f t="shared" si="74"/>
        <v>Pesado de Passageiros M3: III : Gasóleo : E5</v>
      </c>
      <c r="J1542" s="125">
        <v>80</v>
      </c>
      <c r="K1542" s="253">
        <v>2022</v>
      </c>
      <c r="L1542" s="85">
        <v>0</v>
      </c>
      <c r="M1542" s="85" t="s">
        <v>630</v>
      </c>
      <c r="N1542" s="128">
        <v>0</v>
      </c>
      <c r="O1542" s="128">
        <f t="shared" si="75"/>
        <v>0</v>
      </c>
      <c r="P1542" s="89">
        <v>8770</v>
      </c>
      <c r="Q1542" t="s">
        <v>47</v>
      </c>
      <c r="R1542" s="214" t="s">
        <v>1869</v>
      </c>
      <c r="S1542" s="214" t="s">
        <v>1861</v>
      </c>
      <c r="U1542" t="s">
        <v>1953</v>
      </c>
      <c r="V1542" t="s">
        <v>2813</v>
      </c>
    </row>
    <row r="1543" spans="1:22" ht="15.75" thickBot="1" x14ac:dyDescent="0.3">
      <c r="A1543" t="s">
        <v>1916</v>
      </c>
      <c r="B1543" t="s">
        <v>1916</v>
      </c>
      <c r="C1543" t="s">
        <v>1916</v>
      </c>
      <c r="D1543" t="s">
        <v>629</v>
      </c>
      <c r="E1543" s="248" t="s">
        <v>1853</v>
      </c>
      <c r="F1543" t="s">
        <v>620</v>
      </c>
      <c r="G1543" s="89">
        <v>2014</v>
      </c>
      <c r="H1543" s="312" t="s">
        <v>734</v>
      </c>
      <c r="I1543" s="308" t="str">
        <f t="shared" si="74"/>
        <v>Pesado de Passageiros M3: III : Gasóleo : E5</v>
      </c>
      <c r="J1543" s="125">
        <v>80</v>
      </c>
      <c r="K1543" s="253">
        <v>2022</v>
      </c>
      <c r="L1543" s="85">
        <v>0</v>
      </c>
      <c r="M1543" s="85" t="s">
        <v>630</v>
      </c>
      <c r="N1543" s="128">
        <v>0</v>
      </c>
      <c r="O1543" s="128">
        <f t="shared" si="75"/>
        <v>0</v>
      </c>
      <c r="P1543" s="89">
        <v>8771</v>
      </c>
      <c r="Q1543" t="s">
        <v>47</v>
      </c>
      <c r="R1543" s="214" t="s">
        <v>1869</v>
      </c>
      <c r="S1543" s="214" t="s">
        <v>1861</v>
      </c>
      <c r="U1543" t="s">
        <v>1953</v>
      </c>
      <c r="V1543" t="s">
        <v>2813</v>
      </c>
    </row>
    <row r="1544" spans="1:22" ht="15.75" thickBot="1" x14ac:dyDescent="0.3">
      <c r="A1544" t="s">
        <v>1916</v>
      </c>
      <c r="B1544" t="s">
        <v>1916</v>
      </c>
      <c r="C1544" t="s">
        <v>1916</v>
      </c>
      <c r="D1544" t="s">
        <v>629</v>
      </c>
      <c r="E1544" s="248" t="s">
        <v>1853</v>
      </c>
      <c r="F1544" t="s">
        <v>620</v>
      </c>
      <c r="G1544" s="89">
        <v>2013</v>
      </c>
      <c r="H1544" s="312" t="s">
        <v>734</v>
      </c>
      <c r="I1544" s="308" t="str">
        <f t="shared" si="74"/>
        <v>Pesado de Passageiros M3: III : Gasóleo : E5</v>
      </c>
      <c r="J1544" s="125">
        <v>90</v>
      </c>
      <c r="K1544" s="253">
        <v>2022</v>
      </c>
      <c r="L1544" s="85">
        <v>0</v>
      </c>
      <c r="M1544" s="85" t="s">
        <v>630</v>
      </c>
      <c r="N1544" s="128">
        <v>0</v>
      </c>
      <c r="O1544" s="128">
        <f t="shared" si="75"/>
        <v>0</v>
      </c>
      <c r="P1544" s="89">
        <v>8772</v>
      </c>
      <c r="Q1544" t="s">
        <v>47</v>
      </c>
      <c r="R1544" s="214" t="s">
        <v>1869</v>
      </c>
      <c r="S1544" s="214" t="s">
        <v>1861</v>
      </c>
      <c r="U1544" t="s">
        <v>1953</v>
      </c>
      <c r="V1544" t="s">
        <v>2813</v>
      </c>
    </row>
    <row r="1545" spans="1:22" ht="15.75" thickBot="1" x14ac:dyDescent="0.3">
      <c r="A1545" t="s">
        <v>1916</v>
      </c>
      <c r="B1545" t="s">
        <v>1916</v>
      </c>
      <c r="C1545" t="s">
        <v>1916</v>
      </c>
      <c r="D1545" t="s">
        <v>629</v>
      </c>
      <c r="E1545" s="248" t="s">
        <v>1853</v>
      </c>
      <c r="F1545" t="s">
        <v>620</v>
      </c>
      <c r="G1545" s="89">
        <v>2013</v>
      </c>
      <c r="H1545" s="312" t="s">
        <v>734</v>
      </c>
      <c r="I1545" s="308" t="str">
        <f t="shared" si="74"/>
        <v>Pesado de Passageiros M3: III : Gasóleo : E5</v>
      </c>
      <c r="J1545" s="125">
        <v>90</v>
      </c>
      <c r="K1545" s="253">
        <v>2022</v>
      </c>
      <c r="L1545" s="85">
        <v>0</v>
      </c>
      <c r="M1545" s="85" t="s">
        <v>630</v>
      </c>
      <c r="N1545" s="128">
        <v>0</v>
      </c>
      <c r="O1545" s="128">
        <f t="shared" si="75"/>
        <v>0</v>
      </c>
      <c r="P1545" s="89">
        <v>8773</v>
      </c>
      <c r="Q1545" t="s">
        <v>47</v>
      </c>
      <c r="R1545" s="214" t="s">
        <v>1869</v>
      </c>
      <c r="S1545" s="214" t="s">
        <v>1861</v>
      </c>
      <c r="U1545" t="s">
        <v>1953</v>
      </c>
      <c r="V1545" t="s">
        <v>2813</v>
      </c>
    </row>
    <row r="1546" spans="1:22" ht="15.75" thickBot="1" x14ac:dyDescent="0.3">
      <c r="A1546" t="s">
        <v>1916</v>
      </c>
      <c r="B1546" t="s">
        <v>1916</v>
      </c>
      <c r="C1546" t="s">
        <v>1916</v>
      </c>
      <c r="D1546" t="s">
        <v>629</v>
      </c>
      <c r="E1546" s="248" t="s">
        <v>1853</v>
      </c>
      <c r="F1546" t="s">
        <v>620</v>
      </c>
      <c r="G1546" s="89">
        <v>2014</v>
      </c>
      <c r="H1546" s="312" t="s">
        <v>734</v>
      </c>
      <c r="I1546" s="308" t="str">
        <f t="shared" si="74"/>
        <v>Pesado de Passageiros M3: III : Gasóleo : E5</v>
      </c>
      <c r="J1546" s="125">
        <v>80</v>
      </c>
      <c r="K1546" s="253">
        <v>2022</v>
      </c>
      <c r="L1546" s="85">
        <v>0</v>
      </c>
      <c r="M1546" s="85" t="s">
        <v>630</v>
      </c>
      <c r="N1546" s="128">
        <v>0</v>
      </c>
      <c r="O1546" s="128">
        <f t="shared" si="75"/>
        <v>0</v>
      </c>
      <c r="P1546" s="89">
        <v>8774</v>
      </c>
      <c r="Q1546" t="s">
        <v>47</v>
      </c>
      <c r="R1546" s="214" t="s">
        <v>1869</v>
      </c>
      <c r="S1546" s="214" t="s">
        <v>1861</v>
      </c>
      <c r="U1546" t="s">
        <v>1953</v>
      </c>
      <c r="V1546" t="s">
        <v>2813</v>
      </c>
    </row>
    <row r="1547" spans="1:22" ht="15.75" thickBot="1" x14ac:dyDescent="0.3">
      <c r="A1547" t="s">
        <v>1916</v>
      </c>
      <c r="B1547" t="s">
        <v>1916</v>
      </c>
      <c r="C1547" t="s">
        <v>1916</v>
      </c>
      <c r="D1547" t="s">
        <v>629</v>
      </c>
      <c r="E1547" s="248" t="s">
        <v>1853</v>
      </c>
      <c r="F1547" t="s">
        <v>620</v>
      </c>
      <c r="G1547" s="89">
        <v>2006</v>
      </c>
      <c r="H1547" s="312" t="s">
        <v>732</v>
      </c>
      <c r="I1547" s="308" t="str">
        <f t="shared" si="74"/>
        <v>Pesado de Passageiros M3: III : Gasóleo : E3</v>
      </c>
      <c r="J1547" s="125">
        <v>75</v>
      </c>
      <c r="K1547" s="253">
        <v>2022</v>
      </c>
      <c r="L1547" s="85">
        <v>0</v>
      </c>
      <c r="M1547" s="85" t="s">
        <v>630</v>
      </c>
      <c r="N1547" s="128">
        <v>0</v>
      </c>
      <c r="O1547" s="128">
        <f t="shared" si="75"/>
        <v>0</v>
      </c>
      <c r="P1547" s="89">
        <v>8775</v>
      </c>
      <c r="Q1547" t="s">
        <v>47</v>
      </c>
      <c r="R1547" s="214" t="s">
        <v>1869</v>
      </c>
      <c r="S1547" s="214" t="s">
        <v>1861</v>
      </c>
      <c r="U1547" t="s">
        <v>1953</v>
      </c>
      <c r="V1547" t="s">
        <v>2813</v>
      </c>
    </row>
    <row r="1548" spans="1:22" ht="15.75" thickBot="1" x14ac:dyDescent="0.3">
      <c r="A1548" t="s">
        <v>1916</v>
      </c>
      <c r="B1548" t="s">
        <v>1916</v>
      </c>
      <c r="C1548" t="s">
        <v>1916</v>
      </c>
      <c r="D1548" t="s">
        <v>629</v>
      </c>
      <c r="E1548" s="248" t="s">
        <v>1853</v>
      </c>
      <c r="F1548" t="s">
        <v>620</v>
      </c>
      <c r="G1548" s="89">
        <v>2007</v>
      </c>
      <c r="H1548" s="312" t="s">
        <v>731</v>
      </c>
      <c r="I1548" s="308" t="str">
        <f t="shared" si="74"/>
        <v>Pesado de Passageiros M3: III : Gasóleo : E4</v>
      </c>
      <c r="J1548" s="125">
        <v>104</v>
      </c>
      <c r="K1548" s="253">
        <v>2022</v>
      </c>
      <c r="L1548" s="85">
        <v>0</v>
      </c>
      <c r="M1548" s="85" t="s">
        <v>630</v>
      </c>
      <c r="N1548" s="128">
        <v>0</v>
      </c>
      <c r="O1548" s="128">
        <f t="shared" si="75"/>
        <v>0</v>
      </c>
      <c r="P1548" s="89">
        <v>8776</v>
      </c>
      <c r="Q1548" t="s">
        <v>47</v>
      </c>
      <c r="R1548" s="214" t="s">
        <v>1869</v>
      </c>
      <c r="S1548" s="214" t="s">
        <v>1861</v>
      </c>
      <c r="U1548" t="s">
        <v>1953</v>
      </c>
      <c r="V1548" t="s">
        <v>2813</v>
      </c>
    </row>
    <row r="1549" spans="1:22" ht="15.75" thickBot="1" x14ac:dyDescent="0.3">
      <c r="A1549" t="s">
        <v>1916</v>
      </c>
      <c r="B1549" t="s">
        <v>1916</v>
      </c>
      <c r="C1549" t="s">
        <v>1916</v>
      </c>
      <c r="D1549" t="s">
        <v>629</v>
      </c>
      <c r="E1549" s="248" t="s">
        <v>1853</v>
      </c>
      <c r="F1549" t="s">
        <v>620</v>
      </c>
      <c r="G1549" s="89">
        <v>2007</v>
      </c>
      <c r="H1549" s="312" t="s">
        <v>731</v>
      </c>
      <c r="I1549" s="308" t="str">
        <f t="shared" si="74"/>
        <v>Pesado de Passageiros M3: III : Gasóleo : E4</v>
      </c>
      <c r="J1549" s="125">
        <v>107</v>
      </c>
      <c r="K1549" s="253">
        <v>2022</v>
      </c>
      <c r="L1549" s="85">
        <v>0</v>
      </c>
      <c r="M1549" s="85" t="s">
        <v>630</v>
      </c>
      <c r="N1549" s="128">
        <v>0</v>
      </c>
      <c r="O1549" s="128">
        <f t="shared" si="75"/>
        <v>0</v>
      </c>
      <c r="P1549" s="89">
        <v>8777</v>
      </c>
      <c r="Q1549" t="s">
        <v>47</v>
      </c>
      <c r="R1549" s="214" t="s">
        <v>1869</v>
      </c>
      <c r="S1549" s="214" t="s">
        <v>1861</v>
      </c>
      <c r="U1549" t="s">
        <v>1953</v>
      </c>
      <c r="V1549" t="s">
        <v>2813</v>
      </c>
    </row>
    <row r="1550" spans="1:22" ht="15.75" thickBot="1" x14ac:dyDescent="0.3">
      <c r="A1550" t="s">
        <v>1916</v>
      </c>
      <c r="B1550" t="s">
        <v>1916</v>
      </c>
      <c r="C1550" t="s">
        <v>1916</v>
      </c>
      <c r="D1550" t="s">
        <v>629</v>
      </c>
      <c r="E1550" s="248" t="s">
        <v>1853</v>
      </c>
      <c r="F1550" t="s">
        <v>620</v>
      </c>
      <c r="G1550" s="89">
        <v>2007</v>
      </c>
      <c r="H1550" s="312" t="s">
        <v>731</v>
      </c>
      <c r="I1550" s="308" t="str">
        <f t="shared" si="74"/>
        <v>Pesado de Passageiros M3: III : Gasóleo : E4</v>
      </c>
      <c r="J1550" s="125">
        <v>110</v>
      </c>
      <c r="K1550" s="253">
        <v>2022</v>
      </c>
      <c r="L1550" s="85">
        <v>0</v>
      </c>
      <c r="M1550" s="85" t="s">
        <v>630</v>
      </c>
      <c r="N1550" s="128">
        <v>0</v>
      </c>
      <c r="O1550" s="128">
        <f t="shared" si="75"/>
        <v>0</v>
      </c>
      <c r="P1550" s="89">
        <v>8778</v>
      </c>
      <c r="Q1550" t="s">
        <v>47</v>
      </c>
      <c r="R1550" s="214" t="s">
        <v>1869</v>
      </c>
      <c r="S1550" s="214" t="s">
        <v>1861</v>
      </c>
      <c r="U1550" t="s">
        <v>1953</v>
      </c>
      <c r="V1550" t="s">
        <v>2813</v>
      </c>
    </row>
    <row r="1551" spans="1:22" ht="15.75" thickBot="1" x14ac:dyDescent="0.3">
      <c r="A1551" t="s">
        <v>1916</v>
      </c>
      <c r="B1551" t="s">
        <v>1916</v>
      </c>
      <c r="C1551" t="s">
        <v>1916</v>
      </c>
      <c r="D1551" t="s">
        <v>629</v>
      </c>
      <c r="E1551" s="248" t="s">
        <v>1853</v>
      </c>
      <c r="F1551" t="s">
        <v>620</v>
      </c>
      <c r="G1551" s="89">
        <v>2008</v>
      </c>
      <c r="H1551" s="312" t="s">
        <v>731</v>
      </c>
      <c r="I1551" s="308" t="str">
        <f t="shared" si="74"/>
        <v>Pesado de Passageiros M3: III : Gasóleo : E4</v>
      </c>
      <c r="J1551" s="125">
        <v>107</v>
      </c>
      <c r="K1551" s="253">
        <v>2022</v>
      </c>
      <c r="L1551" s="85">
        <v>0</v>
      </c>
      <c r="M1551" s="85" t="s">
        <v>630</v>
      </c>
      <c r="N1551" s="128">
        <v>0</v>
      </c>
      <c r="O1551" s="128">
        <f t="shared" si="75"/>
        <v>0</v>
      </c>
      <c r="P1551" s="89">
        <v>8779</v>
      </c>
      <c r="Q1551" t="s">
        <v>47</v>
      </c>
      <c r="R1551" s="214" t="s">
        <v>1869</v>
      </c>
      <c r="S1551" s="214" t="s">
        <v>1861</v>
      </c>
      <c r="U1551" t="s">
        <v>1953</v>
      </c>
      <c r="V1551" t="s">
        <v>2813</v>
      </c>
    </row>
    <row r="1552" spans="1:22" ht="15.75" thickBot="1" x14ac:dyDescent="0.3">
      <c r="A1552" t="s">
        <v>1916</v>
      </c>
      <c r="B1552" t="s">
        <v>1916</v>
      </c>
      <c r="C1552" t="s">
        <v>1916</v>
      </c>
      <c r="D1552" t="s">
        <v>629</v>
      </c>
      <c r="E1552" s="248" t="s">
        <v>1853</v>
      </c>
      <c r="F1552" t="s">
        <v>620</v>
      </c>
      <c r="G1552" s="89">
        <v>2002</v>
      </c>
      <c r="H1552" s="312" t="s">
        <v>732</v>
      </c>
      <c r="I1552" s="308" t="str">
        <f t="shared" si="74"/>
        <v>Pesado de Passageiros M3: III : Gasóleo : E3</v>
      </c>
      <c r="J1552" s="125">
        <v>61</v>
      </c>
      <c r="K1552" s="253">
        <v>2022</v>
      </c>
      <c r="L1552" s="85">
        <v>0</v>
      </c>
      <c r="M1552" s="85" t="s">
        <v>630</v>
      </c>
      <c r="N1552" s="128">
        <v>0</v>
      </c>
      <c r="O1552" s="128">
        <f t="shared" si="75"/>
        <v>0</v>
      </c>
      <c r="P1552" s="89">
        <v>8780</v>
      </c>
      <c r="Q1552" t="s">
        <v>47</v>
      </c>
      <c r="R1552" s="214" t="s">
        <v>1869</v>
      </c>
      <c r="S1552" s="214" t="s">
        <v>1861</v>
      </c>
      <c r="U1552" t="s">
        <v>1953</v>
      </c>
      <c r="V1552" t="s">
        <v>2813</v>
      </c>
    </row>
    <row r="1553" spans="1:22" ht="15.75" thickBot="1" x14ac:dyDescent="0.3">
      <c r="A1553" t="s">
        <v>1916</v>
      </c>
      <c r="B1553" t="s">
        <v>1916</v>
      </c>
      <c r="C1553" t="s">
        <v>1916</v>
      </c>
      <c r="D1553" t="s">
        <v>629</v>
      </c>
      <c r="E1553" s="248" t="s">
        <v>1853</v>
      </c>
      <c r="F1553" t="s">
        <v>620</v>
      </c>
      <c r="G1553" s="89">
        <v>1993</v>
      </c>
      <c r="H1553" s="312" t="s">
        <v>736</v>
      </c>
      <c r="I1553" s="308" t="str">
        <f t="shared" si="74"/>
        <v>Pesado de Passageiros M3: III : Gasóleo : E1</v>
      </c>
      <c r="J1553" s="125">
        <v>70</v>
      </c>
      <c r="K1553" s="253">
        <v>2022</v>
      </c>
      <c r="L1553" s="85">
        <v>15735.4</v>
      </c>
      <c r="M1553" s="85" t="s">
        <v>630</v>
      </c>
      <c r="N1553" s="128">
        <v>50019</v>
      </c>
      <c r="O1553" s="128">
        <f t="shared" si="75"/>
        <v>3501330</v>
      </c>
      <c r="P1553" s="89">
        <v>8788</v>
      </c>
      <c r="Q1553" t="s">
        <v>47</v>
      </c>
      <c r="R1553" s="214" t="s">
        <v>1869</v>
      </c>
      <c r="S1553" s="214" t="s">
        <v>1861</v>
      </c>
      <c r="U1553" t="s">
        <v>1953</v>
      </c>
      <c r="V1553" t="s">
        <v>2813</v>
      </c>
    </row>
    <row r="1554" spans="1:22" ht="15.75" thickBot="1" x14ac:dyDescent="0.3">
      <c r="A1554" t="s">
        <v>1916</v>
      </c>
      <c r="B1554" t="s">
        <v>1916</v>
      </c>
      <c r="C1554" t="s">
        <v>1916</v>
      </c>
      <c r="D1554" t="s">
        <v>629</v>
      </c>
      <c r="E1554" s="248" t="s">
        <v>1853</v>
      </c>
      <c r="F1554" t="s">
        <v>620</v>
      </c>
      <c r="G1554" s="89">
        <v>1996</v>
      </c>
      <c r="H1554" s="312" t="s">
        <v>736</v>
      </c>
      <c r="I1554" s="308" t="str">
        <f t="shared" si="74"/>
        <v>Pesado de Passageiros M3: III : Gasóleo : E1</v>
      </c>
      <c r="J1554" s="125">
        <v>107</v>
      </c>
      <c r="K1554" s="253">
        <v>2022</v>
      </c>
      <c r="L1554" s="85">
        <v>0</v>
      </c>
      <c r="M1554" s="85" t="s">
        <v>630</v>
      </c>
      <c r="N1554" s="128">
        <v>0</v>
      </c>
      <c r="O1554" s="128">
        <f t="shared" si="75"/>
        <v>0</v>
      </c>
      <c r="P1554" s="89">
        <v>8793</v>
      </c>
      <c r="Q1554" t="s">
        <v>47</v>
      </c>
      <c r="R1554" s="214" t="s">
        <v>1869</v>
      </c>
      <c r="S1554" s="214" t="s">
        <v>1861</v>
      </c>
      <c r="U1554" t="s">
        <v>1953</v>
      </c>
      <c r="V1554" t="s">
        <v>2813</v>
      </c>
    </row>
    <row r="1555" spans="1:22" ht="15.75" thickBot="1" x14ac:dyDescent="0.3">
      <c r="A1555" t="s">
        <v>1916</v>
      </c>
      <c r="B1555" t="s">
        <v>1916</v>
      </c>
      <c r="C1555" t="s">
        <v>1916</v>
      </c>
      <c r="D1555" t="s">
        <v>629</v>
      </c>
      <c r="E1555" s="248" t="s">
        <v>1853</v>
      </c>
      <c r="F1555" t="s">
        <v>620</v>
      </c>
      <c r="G1555" s="89">
        <v>1994</v>
      </c>
      <c r="H1555" s="312" t="s">
        <v>736</v>
      </c>
      <c r="I1555" s="308" t="str">
        <f t="shared" si="74"/>
        <v>Pesado de Passageiros M3: III : Gasóleo : E1</v>
      </c>
      <c r="J1555" s="125">
        <v>68</v>
      </c>
      <c r="K1555" s="253">
        <v>2022</v>
      </c>
      <c r="L1555" s="85">
        <v>12414.699999999999</v>
      </c>
      <c r="M1555" s="85" t="s">
        <v>630</v>
      </c>
      <c r="N1555" s="128">
        <v>39838</v>
      </c>
      <c r="O1555" s="128">
        <f t="shared" si="75"/>
        <v>2708984</v>
      </c>
      <c r="P1555" s="89">
        <v>8794</v>
      </c>
      <c r="Q1555" t="s">
        <v>47</v>
      </c>
      <c r="R1555" s="214" t="s">
        <v>1869</v>
      </c>
      <c r="S1555" s="214" t="s">
        <v>1861</v>
      </c>
      <c r="U1555" t="s">
        <v>1953</v>
      </c>
      <c r="V1555" t="s">
        <v>2813</v>
      </c>
    </row>
    <row r="1556" spans="1:22" ht="15.75" thickBot="1" x14ac:dyDescent="0.3">
      <c r="A1556" t="s">
        <v>1916</v>
      </c>
      <c r="B1556" t="s">
        <v>1916</v>
      </c>
      <c r="C1556" t="s">
        <v>1916</v>
      </c>
      <c r="D1556" t="s">
        <v>629</v>
      </c>
      <c r="E1556" s="248" t="s">
        <v>1853</v>
      </c>
      <c r="F1556" t="s">
        <v>620</v>
      </c>
      <c r="G1556" s="89">
        <v>1996</v>
      </c>
      <c r="H1556" s="312" t="s">
        <v>735</v>
      </c>
      <c r="I1556" s="308" t="str">
        <f t="shared" si="74"/>
        <v>Pesado de Passageiros M3: III : Gasóleo : E2</v>
      </c>
      <c r="J1556" s="125">
        <v>70</v>
      </c>
      <c r="K1556" s="253">
        <v>2022</v>
      </c>
      <c r="L1556" s="85">
        <v>8850.9000000000015</v>
      </c>
      <c r="M1556" s="85" t="s">
        <v>630</v>
      </c>
      <c r="N1556" s="128">
        <v>28678</v>
      </c>
      <c r="O1556" s="128">
        <f t="shared" si="75"/>
        <v>2007460</v>
      </c>
      <c r="P1556" s="89">
        <v>8797</v>
      </c>
      <c r="Q1556" t="s">
        <v>47</v>
      </c>
      <c r="R1556" s="214" t="s">
        <v>1869</v>
      </c>
      <c r="S1556" s="214" t="s">
        <v>1861</v>
      </c>
      <c r="U1556" t="s">
        <v>1953</v>
      </c>
      <c r="V1556" t="s">
        <v>2813</v>
      </c>
    </row>
    <row r="1557" spans="1:22" ht="15.75" thickBot="1" x14ac:dyDescent="0.3">
      <c r="A1557" t="s">
        <v>1916</v>
      </c>
      <c r="B1557" t="s">
        <v>1916</v>
      </c>
      <c r="C1557" t="s">
        <v>1916</v>
      </c>
      <c r="D1557" t="s">
        <v>629</v>
      </c>
      <c r="E1557" s="248" t="s">
        <v>1853</v>
      </c>
      <c r="F1557" t="s">
        <v>620</v>
      </c>
      <c r="G1557" s="89">
        <v>1997</v>
      </c>
      <c r="H1557" s="312" t="s">
        <v>735</v>
      </c>
      <c r="I1557" s="308" t="str">
        <f t="shared" si="74"/>
        <v>Pesado de Passageiros M3: III : Gasóleo : E2</v>
      </c>
      <c r="J1557" s="125">
        <v>65</v>
      </c>
      <c r="K1557" s="253">
        <v>2022</v>
      </c>
      <c r="L1557" s="85">
        <v>0</v>
      </c>
      <c r="M1557" s="85" t="s">
        <v>630</v>
      </c>
      <c r="N1557" s="128">
        <v>0</v>
      </c>
      <c r="O1557" s="128">
        <f t="shared" si="75"/>
        <v>0</v>
      </c>
      <c r="P1557" s="89">
        <v>8798</v>
      </c>
      <c r="Q1557" t="s">
        <v>47</v>
      </c>
      <c r="R1557" s="214" t="s">
        <v>1869</v>
      </c>
      <c r="S1557" s="214" t="s">
        <v>1861</v>
      </c>
      <c r="U1557" t="s">
        <v>1953</v>
      </c>
      <c r="V1557" t="s">
        <v>2813</v>
      </c>
    </row>
    <row r="1558" spans="1:22" ht="15.75" thickBot="1" x14ac:dyDescent="0.3">
      <c r="A1558" t="s">
        <v>1916</v>
      </c>
      <c r="B1558" t="s">
        <v>1916</v>
      </c>
      <c r="C1558" t="s">
        <v>1916</v>
      </c>
      <c r="D1558" t="s">
        <v>629</v>
      </c>
      <c r="E1558" s="248" t="s">
        <v>1853</v>
      </c>
      <c r="F1558" t="s">
        <v>620</v>
      </c>
      <c r="G1558" s="89">
        <v>1997</v>
      </c>
      <c r="H1558" s="312" t="s">
        <v>735</v>
      </c>
      <c r="I1558" s="308" t="str">
        <f t="shared" si="74"/>
        <v>Pesado de Passageiros M3: III : Gasóleo : E2</v>
      </c>
      <c r="J1558" s="125">
        <v>52</v>
      </c>
      <c r="K1558" s="253">
        <v>2022</v>
      </c>
      <c r="L1558" s="85">
        <v>17613.900000000001</v>
      </c>
      <c r="M1558" s="85" t="s">
        <v>630</v>
      </c>
      <c r="N1558" s="128">
        <v>55101</v>
      </c>
      <c r="O1558" s="128">
        <f t="shared" si="75"/>
        <v>2865252</v>
      </c>
      <c r="P1558" s="89">
        <v>8803</v>
      </c>
      <c r="Q1558" t="s">
        <v>47</v>
      </c>
      <c r="R1558" s="214" t="s">
        <v>1869</v>
      </c>
      <c r="S1558" s="214" t="s">
        <v>1861</v>
      </c>
      <c r="U1558" t="s">
        <v>1953</v>
      </c>
      <c r="V1558" t="s">
        <v>2813</v>
      </c>
    </row>
    <row r="1559" spans="1:22" ht="15.75" thickBot="1" x14ac:dyDescent="0.3">
      <c r="A1559" t="s">
        <v>1916</v>
      </c>
      <c r="B1559" t="s">
        <v>1916</v>
      </c>
      <c r="C1559" t="s">
        <v>1916</v>
      </c>
      <c r="D1559" t="s">
        <v>629</v>
      </c>
      <c r="E1559" s="248" t="s">
        <v>1853</v>
      </c>
      <c r="F1559" t="s">
        <v>620</v>
      </c>
      <c r="G1559" s="89">
        <v>1997</v>
      </c>
      <c r="H1559" s="312" t="s">
        <v>735</v>
      </c>
      <c r="I1559" s="308" t="str">
        <f t="shared" si="74"/>
        <v>Pesado de Passageiros M3: III : Gasóleo : E2</v>
      </c>
      <c r="J1559" s="125">
        <v>52</v>
      </c>
      <c r="K1559" s="253">
        <v>2022</v>
      </c>
      <c r="L1559" s="85">
        <v>0</v>
      </c>
      <c r="M1559" s="85" t="s">
        <v>630</v>
      </c>
      <c r="N1559" s="128">
        <v>0</v>
      </c>
      <c r="O1559" s="128">
        <f t="shared" si="75"/>
        <v>0</v>
      </c>
      <c r="P1559" s="89">
        <v>8804</v>
      </c>
      <c r="Q1559" t="s">
        <v>47</v>
      </c>
      <c r="R1559" s="214" t="s">
        <v>1869</v>
      </c>
      <c r="S1559" s="214" t="s">
        <v>1861</v>
      </c>
      <c r="U1559" t="s">
        <v>1953</v>
      </c>
      <c r="V1559" t="s">
        <v>2813</v>
      </c>
    </row>
    <row r="1560" spans="1:22" ht="15.75" thickBot="1" x14ac:dyDescent="0.3">
      <c r="A1560" t="s">
        <v>1916</v>
      </c>
      <c r="B1560" t="s">
        <v>1916</v>
      </c>
      <c r="C1560" t="s">
        <v>1916</v>
      </c>
      <c r="D1560" t="s">
        <v>629</v>
      </c>
      <c r="E1560" s="248" t="s">
        <v>1853</v>
      </c>
      <c r="F1560" t="s">
        <v>620</v>
      </c>
      <c r="G1560" s="89">
        <v>1997</v>
      </c>
      <c r="H1560" s="312" t="s">
        <v>735</v>
      </c>
      <c r="I1560" s="308" t="str">
        <f t="shared" si="74"/>
        <v>Pesado de Passageiros M3: III : Gasóleo : E2</v>
      </c>
      <c r="J1560" s="125">
        <v>52</v>
      </c>
      <c r="K1560" s="253">
        <v>2022</v>
      </c>
      <c r="L1560" s="85">
        <v>0</v>
      </c>
      <c r="M1560" s="85" t="s">
        <v>630</v>
      </c>
      <c r="N1560" s="128">
        <v>0</v>
      </c>
      <c r="O1560" s="128">
        <f t="shared" si="75"/>
        <v>0</v>
      </c>
      <c r="P1560" s="89">
        <v>8805</v>
      </c>
      <c r="Q1560" t="s">
        <v>47</v>
      </c>
      <c r="R1560" s="214" t="s">
        <v>1869</v>
      </c>
      <c r="S1560" s="214" t="s">
        <v>1861</v>
      </c>
      <c r="U1560" t="s">
        <v>1953</v>
      </c>
      <c r="V1560" t="s">
        <v>2813</v>
      </c>
    </row>
    <row r="1561" spans="1:22" ht="15.75" thickBot="1" x14ac:dyDescent="0.3">
      <c r="A1561" t="s">
        <v>1916</v>
      </c>
      <c r="B1561" t="s">
        <v>1916</v>
      </c>
      <c r="C1561" t="s">
        <v>1916</v>
      </c>
      <c r="D1561" t="s">
        <v>629</v>
      </c>
      <c r="E1561" s="248" t="s">
        <v>1853</v>
      </c>
      <c r="F1561" t="s">
        <v>620</v>
      </c>
      <c r="G1561" s="89">
        <v>2000</v>
      </c>
      <c r="H1561" s="312" t="s">
        <v>735</v>
      </c>
      <c r="I1561" s="308" t="str">
        <f t="shared" si="74"/>
        <v>Pesado de Passageiros M3: III : Gasóleo : E2</v>
      </c>
      <c r="J1561" s="125">
        <v>52</v>
      </c>
      <c r="K1561" s="253">
        <v>2022</v>
      </c>
      <c r="L1561" s="85">
        <v>17538.2</v>
      </c>
      <c r="M1561" s="85" t="s">
        <v>630</v>
      </c>
      <c r="N1561" s="128">
        <v>57382</v>
      </c>
      <c r="O1561" s="128">
        <f t="shared" si="75"/>
        <v>2983864</v>
      </c>
      <c r="P1561" s="89">
        <v>8807</v>
      </c>
      <c r="Q1561" t="s">
        <v>47</v>
      </c>
      <c r="R1561" s="214" t="s">
        <v>1869</v>
      </c>
      <c r="S1561" s="214" t="s">
        <v>1861</v>
      </c>
      <c r="U1561" t="s">
        <v>1953</v>
      </c>
      <c r="V1561" t="s">
        <v>2813</v>
      </c>
    </row>
    <row r="1562" spans="1:22" ht="15.75" thickBot="1" x14ac:dyDescent="0.3">
      <c r="A1562" t="s">
        <v>1916</v>
      </c>
      <c r="B1562" t="s">
        <v>1916</v>
      </c>
      <c r="C1562" t="s">
        <v>1916</v>
      </c>
      <c r="D1562" t="s">
        <v>629</v>
      </c>
      <c r="E1562" s="248" t="s">
        <v>1853</v>
      </c>
      <c r="F1562" t="s">
        <v>620</v>
      </c>
      <c r="G1562" s="89">
        <v>2001</v>
      </c>
      <c r="H1562" s="312" t="s">
        <v>735</v>
      </c>
      <c r="I1562" s="308" t="str">
        <f t="shared" si="74"/>
        <v>Pesado de Passageiros M3: III : Gasóleo : E2</v>
      </c>
      <c r="J1562" s="125">
        <v>56</v>
      </c>
      <c r="K1562" s="253">
        <v>2022</v>
      </c>
      <c r="L1562" s="85">
        <v>21895.7</v>
      </c>
      <c r="M1562" s="85" t="s">
        <v>630</v>
      </c>
      <c r="N1562" s="128">
        <v>71980</v>
      </c>
      <c r="O1562" s="128">
        <f t="shared" si="75"/>
        <v>4030880</v>
      </c>
      <c r="P1562" s="89">
        <v>8810</v>
      </c>
      <c r="Q1562" t="s">
        <v>47</v>
      </c>
      <c r="R1562" s="214" t="s">
        <v>1869</v>
      </c>
      <c r="S1562" s="214" t="s">
        <v>1861</v>
      </c>
      <c r="U1562" t="s">
        <v>1953</v>
      </c>
      <c r="V1562" t="s">
        <v>2813</v>
      </c>
    </row>
    <row r="1563" spans="1:22" ht="15.75" thickBot="1" x14ac:dyDescent="0.3">
      <c r="A1563" t="s">
        <v>1916</v>
      </c>
      <c r="B1563" t="s">
        <v>1916</v>
      </c>
      <c r="C1563" t="s">
        <v>1916</v>
      </c>
      <c r="D1563" t="s">
        <v>629</v>
      </c>
      <c r="E1563" s="248" t="s">
        <v>1853</v>
      </c>
      <c r="F1563" t="s">
        <v>620</v>
      </c>
      <c r="G1563" s="89">
        <v>2001</v>
      </c>
      <c r="H1563" s="312" t="s">
        <v>735</v>
      </c>
      <c r="I1563" s="308" t="str">
        <f t="shared" si="74"/>
        <v>Pesado de Passageiros M3: III : Gasóleo : E2</v>
      </c>
      <c r="J1563" s="125">
        <v>54</v>
      </c>
      <c r="K1563" s="253">
        <v>2022</v>
      </c>
      <c r="L1563" s="85">
        <v>16228.700000000003</v>
      </c>
      <c r="M1563" s="85" t="s">
        <v>630</v>
      </c>
      <c r="N1563" s="128">
        <v>52631</v>
      </c>
      <c r="O1563" s="128">
        <f t="shared" si="75"/>
        <v>2842074</v>
      </c>
      <c r="P1563" s="89">
        <v>8811</v>
      </c>
      <c r="Q1563" t="s">
        <v>47</v>
      </c>
      <c r="R1563" s="214" t="s">
        <v>1869</v>
      </c>
      <c r="S1563" s="214" t="s">
        <v>1861</v>
      </c>
      <c r="U1563" t="s">
        <v>1953</v>
      </c>
      <c r="V1563" t="s">
        <v>2813</v>
      </c>
    </row>
    <row r="1564" spans="1:22" ht="15.75" thickBot="1" x14ac:dyDescent="0.3">
      <c r="A1564" t="s">
        <v>1916</v>
      </c>
      <c r="B1564" t="s">
        <v>1916</v>
      </c>
      <c r="C1564" t="s">
        <v>1916</v>
      </c>
      <c r="D1564" t="s">
        <v>629</v>
      </c>
      <c r="E1564" s="248" t="s">
        <v>1853</v>
      </c>
      <c r="F1564" t="s">
        <v>620</v>
      </c>
      <c r="G1564" s="89">
        <v>2001</v>
      </c>
      <c r="H1564" s="312" t="s">
        <v>735</v>
      </c>
      <c r="I1564" s="308" t="str">
        <f t="shared" si="74"/>
        <v>Pesado de Passageiros M3: III : Gasóleo : E2</v>
      </c>
      <c r="J1564" s="125">
        <v>54</v>
      </c>
      <c r="K1564" s="253">
        <v>2022</v>
      </c>
      <c r="L1564" s="85">
        <v>11423</v>
      </c>
      <c r="M1564" s="85" t="s">
        <v>630</v>
      </c>
      <c r="N1564" s="128">
        <v>33199</v>
      </c>
      <c r="O1564" s="128">
        <f t="shared" si="75"/>
        <v>1792746</v>
      </c>
      <c r="P1564" s="89">
        <v>8814</v>
      </c>
      <c r="Q1564" t="s">
        <v>47</v>
      </c>
      <c r="R1564" s="214" t="s">
        <v>1869</v>
      </c>
      <c r="S1564" s="214" t="s">
        <v>1861</v>
      </c>
      <c r="U1564" t="s">
        <v>1953</v>
      </c>
      <c r="V1564" t="s">
        <v>2813</v>
      </c>
    </row>
    <row r="1565" spans="1:22" ht="15.75" thickBot="1" x14ac:dyDescent="0.3">
      <c r="A1565" t="s">
        <v>1916</v>
      </c>
      <c r="B1565" t="s">
        <v>1916</v>
      </c>
      <c r="C1565" t="s">
        <v>1916</v>
      </c>
      <c r="D1565" t="s">
        <v>629</v>
      </c>
      <c r="E1565" s="248" t="s">
        <v>1853</v>
      </c>
      <c r="F1565" t="s">
        <v>620</v>
      </c>
      <c r="G1565" s="89">
        <v>1997</v>
      </c>
      <c r="H1565" s="312" t="s">
        <v>735</v>
      </c>
      <c r="I1565" s="308" t="str">
        <f t="shared" si="74"/>
        <v>Pesado de Passageiros M3: III : Gasóleo : E2</v>
      </c>
      <c r="J1565" s="125">
        <v>52</v>
      </c>
      <c r="K1565" s="253">
        <v>2022</v>
      </c>
      <c r="L1565" s="85">
        <v>0</v>
      </c>
      <c r="M1565" s="85" t="s">
        <v>630</v>
      </c>
      <c r="N1565" s="128">
        <v>0</v>
      </c>
      <c r="O1565" s="128">
        <f t="shared" si="75"/>
        <v>0</v>
      </c>
      <c r="P1565" s="89">
        <v>8815</v>
      </c>
      <c r="Q1565" t="s">
        <v>47</v>
      </c>
      <c r="R1565" s="214" t="s">
        <v>1869</v>
      </c>
      <c r="S1565" s="214" t="s">
        <v>1861</v>
      </c>
      <c r="U1565" t="s">
        <v>1953</v>
      </c>
      <c r="V1565" t="s">
        <v>2813</v>
      </c>
    </row>
    <row r="1566" spans="1:22" ht="15.75" thickBot="1" x14ac:dyDescent="0.3">
      <c r="A1566" t="s">
        <v>1916</v>
      </c>
      <c r="B1566" t="s">
        <v>1916</v>
      </c>
      <c r="C1566" t="s">
        <v>1916</v>
      </c>
      <c r="D1566" t="s">
        <v>629</v>
      </c>
      <c r="E1566" s="248" t="s">
        <v>1853</v>
      </c>
      <c r="F1566" t="s">
        <v>620</v>
      </c>
      <c r="G1566" s="89">
        <v>2009</v>
      </c>
      <c r="H1566" s="312" t="s">
        <v>731</v>
      </c>
      <c r="I1566" s="308" t="str">
        <f t="shared" si="74"/>
        <v>Pesado de Passageiros M3: III : Gasóleo : E4</v>
      </c>
      <c r="J1566" s="125">
        <v>56</v>
      </c>
      <c r="K1566" s="253">
        <v>2022</v>
      </c>
      <c r="L1566" s="85">
        <v>14332.4</v>
      </c>
      <c r="M1566" s="85" t="s">
        <v>630</v>
      </c>
      <c r="N1566" s="128">
        <v>45626</v>
      </c>
      <c r="O1566" s="128">
        <f t="shared" si="75"/>
        <v>2555056</v>
      </c>
      <c r="P1566" s="89">
        <v>8819</v>
      </c>
      <c r="Q1566" t="s">
        <v>47</v>
      </c>
      <c r="R1566" s="214" t="s">
        <v>1869</v>
      </c>
      <c r="S1566" s="214" t="s">
        <v>1861</v>
      </c>
      <c r="U1566" t="s">
        <v>1953</v>
      </c>
      <c r="V1566" t="s">
        <v>2813</v>
      </c>
    </row>
    <row r="1567" spans="1:22" ht="15.75" thickBot="1" x14ac:dyDescent="0.3">
      <c r="A1567" t="s">
        <v>1916</v>
      </c>
      <c r="B1567" t="s">
        <v>1916</v>
      </c>
      <c r="C1567" t="s">
        <v>1916</v>
      </c>
      <c r="D1567" t="s">
        <v>629</v>
      </c>
      <c r="E1567" s="248" t="s">
        <v>1853</v>
      </c>
      <c r="F1567" t="s">
        <v>620</v>
      </c>
      <c r="G1567" s="89">
        <v>2009</v>
      </c>
      <c r="H1567" s="312" t="s">
        <v>731</v>
      </c>
      <c r="I1567" s="308" t="str">
        <f t="shared" si="74"/>
        <v>Pesado de Passageiros M3: III : Gasóleo : E4</v>
      </c>
      <c r="J1567" s="125">
        <v>56</v>
      </c>
      <c r="K1567" s="253">
        <v>2022</v>
      </c>
      <c r="L1567" s="85">
        <v>23179.199999999997</v>
      </c>
      <c r="M1567" s="85" t="s">
        <v>630</v>
      </c>
      <c r="N1567" s="128">
        <v>78343</v>
      </c>
      <c r="O1567" s="128">
        <f t="shared" si="75"/>
        <v>4387208</v>
      </c>
      <c r="P1567" s="89">
        <v>8820</v>
      </c>
      <c r="Q1567" t="s">
        <v>47</v>
      </c>
      <c r="R1567" s="214" t="s">
        <v>1869</v>
      </c>
      <c r="S1567" s="214" t="s">
        <v>1861</v>
      </c>
      <c r="U1567" t="s">
        <v>1953</v>
      </c>
      <c r="V1567" t="s">
        <v>2813</v>
      </c>
    </row>
    <row r="1568" spans="1:22" ht="15.75" thickBot="1" x14ac:dyDescent="0.3">
      <c r="A1568" t="s">
        <v>1916</v>
      </c>
      <c r="B1568" t="s">
        <v>1916</v>
      </c>
      <c r="C1568" t="s">
        <v>1916</v>
      </c>
      <c r="D1568" t="s">
        <v>629</v>
      </c>
      <c r="E1568" s="248" t="s">
        <v>1853</v>
      </c>
      <c r="F1568" t="s">
        <v>620</v>
      </c>
      <c r="G1568" s="89">
        <v>2009</v>
      </c>
      <c r="H1568" s="312" t="s">
        <v>731</v>
      </c>
      <c r="I1568" s="308" t="str">
        <f t="shared" si="74"/>
        <v>Pesado de Passageiros M3: III : Gasóleo : E4</v>
      </c>
      <c r="J1568" s="125">
        <v>56</v>
      </c>
      <c r="K1568" s="253">
        <v>2022</v>
      </c>
      <c r="L1568" s="85">
        <v>17218.099999999999</v>
      </c>
      <c r="M1568" s="85" t="s">
        <v>630</v>
      </c>
      <c r="N1568" s="128">
        <v>50110</v>
      </c>
      <c r="O1568" s="128">
        <f t="shared" si="75"/>
        <v>2806160</v>
      </c>
      <c r="P1568" s="89">
        <v>8821</v>
      </c>
      <c r="Q1568" t="s">
        <v>47</v>
      </c>
      <c r="R1568" s="214" t="s">
        <v>1869</v>
      </c>
      <c r="S1568" s="214" t="s">
        <v>1861</v>
      </c>
      <c r="U1568" t="s">
        <v>1953</v>
      </c>
      <c r="V1568" t="s">
        <v>2813</v>
      </c>
    </row>
    <row r="1569" spans="1:22" ht="15.75" thickBot="1" x14ac:dyDescent="0.3">
      <c r="A1569" t="s">
        <v>1916</v>
      </c>
      <c r="B1569" t="s">
        <v>1916</v>
      </c>
      <c r="C1569" t="s">
        <v>1916</v>
      </c>
      <c r="D1569" t="s">
        <v>629</v>
      </c>
      <c r="E1569" s="248" t="s">
        <v>1853</v>
      </c>
      <c r="F1569" t="s">
        <v>620</v>
      </c>
      <c r="G1569" s="89">
        <v>2009</v>
      </c>
      <c r="H1569" s="312" t="s">
        <v>731</v>
      </c>
      <c r="I1569" s="308" t="str">
        <f t="shared" si="74"/>
        <v>Pesado de Passageiros M3: III : Gasóleo : E4</v>
      </c>
      <c r="J1569" s="125">
        <v>57</v>
      </c>
      <c r="K1569" s="253">
        <v>2022</v>
      </c>
      <c r="L1569" s="85">
        <v>19527.2</v>
      </c>
      <c r="M1569" s="85" t="s">
        <v>630</v>
      </c>
      <c r="N1569" s="128">
        <v>60180</v>
      </c>
      <c r="O1569" s="128">
        <f t="shared" si="75"/>
        <v>3430260</v>
      </c>
      <c r="P1569" s="89">
        <v>8822</v>
      </c>
      <c r="Q1569" t="s">
        <v>47</v>
      </c>
      <c r="R1569" s="214" t="s">
        <v>1869</v>
      </c>
      <c r="S1569" s="214" t="s">
        <v>1861</v>
      </c>
      <c r="U1569" t="s">
        <v>1953</v>
      </c>
      <c r="V1569" t="s">
        <v>2813</v>
      </c>
    </row>
    <row r="1570" spans="1:22" ht="15.75" thickBot="1" x14ac:dyDescent="0.3">
      <c r="A1570" t="s">
        <v>1916</v>
      </c>
      <c r="B1570" t="s">
        <v>1916</v>
      </c>
      <c r="C1570" t="s">
        <v>1916</v>
      </c>
      <c r="D1570" t="s">
        <v>629</v>
      </c>
      <c r="E1570" s="248" t="s">
        <v>1853</v>
      </c>
      <c r="F1570" t="s">
        <v>620</v>
      </c>
      <c r="G1570" s="89">
        <v>2009</v>
      </c>
      <c r="H1570" s="312" t="s">
        <v>731</v>
      </c>
      <c r="I1570" s="308" t="str">
        <f t="shared" si="74"/>
        <v>Pesado de Passageiros M3: III : Gasóleo : E4</v>
      </c>
      <c r="J1570" s="125">
        <v>57</v>
      </c>
      <c r="K1570" s="253">
        <v>2022</v>
      </c>
      <c r="L1570" s="85">
        <v>29339.599999999999</v>
      </c>
      <c r="M1570" s="85" t="s">
        <v>630</v>
      </c>
      <c r="N1570" s="128">
        <v>94302</v>
      </c>
      <c r="O1570" s="128">
        <f t="shared" si="75"/>
        <v>5375214</v>
      </c>
      <c r="P1570" s="89">
        <v>8823</v>
      </c>
      <c r="Q1570" t="s">
        <v>47</v>
      </c>
      <c r="R1570" s="214" t="s">
        <v>1869</v>
      </c>
      <c r="S1570" s="214" t="s">
        <v>1861</v>
      </c>
      <c r="U1570" t="s">
        <v>1953</v>
      </c>
      <c r="V1570" t="s">
        <v>2813</v>
      </c>
    </row>
    <row r="1571" spans="1:22" ht="15.75" thickBot="1" x14ac:dyDescent="0.3">
      <c r="A1571" t="s">
        <v>1916</v>
      </c>
      <c r="B1571" t="s">
        <v>1916</v>
      </c>
      <c r="C1571" t="s">
        <v>1916</v>
      </c>
      <c r="D1571" t="s">
        <v>629</v>
      </c>
      <c r="E1571" s="248" t="s">
        <v>1853</v>
      </c>
      <c r="F1571" t="s">
        <v>620</v>
      </c>
      <c r="G1571" s="89">
        <v>1997</v>
      </c>
      <c r="H1571" s="312" t="s">
        <v>735</v>
      </c>
      <c r="I1571" s="308" t="str">
        <f t="shared" si="74"/>
        <v>Pesado de Passageiros M3: III : Gasóleo : E2</v>
      </c>
      <c r="J1571" s="125">
        <v>52</v>
      </c>
      <c r="K1571" s="253">
        <v>2022</v>
      </c>
      <c r="L1571" s="85">
        <v>0</v>
      </c>
      <c r="M1571" s="85" t="s">
        <v>630</v>
      </c>
      <c r="N1571" s="128">
        <v>0</v>
      </c>
      <c r="O1571" s="128">
        <f t="shared" si="75"/>
        <v>0</v>
      </c>
      <c r="P1571" s="89">
        <v>8824</v>
      </c>
      <c r="Q1571" t="s">
        <v>47</v>
      </c>
      <c r="R1571" s="214" t="s">
        <v>1869</v>
      </c>
      <c r="S1571" s="214" t="s">
        <v>1861</v>
      </c>
      <c r="U1571" t="s">
        <v>1953</v>
      </c>
      <c r="V1571" t="s">
        <v>2813</v>
      </c>
    </row>
    <row r="1572" spans="1:22" ht="15.75" thickBot="1" x14ac:dyDescent="0.3">
      <c r="A1572" t="s">
        <v>1916</v>
      </c>
      <c r="B1572" t="s">
        <v>1916</v>
      </c>
      <c r="C1572" t="s">
        <v>1916</v>
      </c>
      <c r="D1572" t="s">
        <v>629</v>
      </c>
      <c r="E1572" s="248" t="s">
        <v>1853</v>
      </c>
      <c r="F1572" t="s">
        <v>620</v>
      </c>
      <c r="G1572" s="89">
        <v>2004</v>
      </c>
      <c r="H1572" s="312" t="s">
        <v>732</v>
      </c>
      <c r="I1572" s="308" t="str">
        <f t="shared" si="74"/>
        <v>Pesado de Passageiros M3: III : Gasóleo : E3</v>
      </c>
      <c r="J1572" s="125">
        <v>52</v>
      </c>
      <c r="K1572" s="253">
        <v>2022</v>
      </c>
      <c r="L1572" s="85">
        <v>23662</v>
      </c>
      <c r="M1572" s="85" t="s">
        <v>630</v>
      </c>
      <c r="N1572" s="128">
        <v>72276</v>
      </c>
      <c r="O1572" s="128">
        <f t="shared" si="75"/>
        <v>3758352</v>
      </c>
      <c r="P1572" s="89">
        <v>8826</v>
      </c>
      <c r="Q1572" t="s">
        <v>47</v>
      </c>
      <c r="R1572" s="214" t="s">
        <v>1869</v>
      </c>
      <c r="S1572" s="214" t="s">
        <v>1861</v>
      </c>
      <c r="U1572" t="s">
        <v>1953</v>
      </c>
      <c r="V1572" t="s">
        <v>2813</v>
      </c>
    </row>
    <row r="1573" spans="1:22" ht="15.75" thickBot="1" x14ac:dyDescent="0.3">
      <c r="A1573" t="s">
        <v>1916</v>
      </c>
      <c r="B1573" t="s">
        <v>1916</v>
      </c>
      <c r="C1573" t="s">
        <v>1916</v>
      </c>
      <c r="D1573" t="s">
        <v>629</v>
      </c>
      <c r="E1573" s="248" t="s">
        <v>1853</v>
      </c>
      <c r="F1573" t="s">
        <v>620</v>
      </c>
      <c r="G1573" s="89">
        <v>2017</v>
      </c>
      <c r="H1573" s="312" t="s">
        <v>733</v>
      </c>
      <c r="I1573" s="308" t="str">
        <f t="shared" si="74"/>
        <v>Pesado de Passageiros M3: III : Gasóleo : E6</v>
      </c>
      <c r="J1573" s="125">
        <v>54</v>
      </c>
      <c r="K1573" s="253">
        <v>2022</v>
      </c>
      <c r="L1573" s="85">
        <v>40753.9</v>
      </c>
      <c r="M1573" s="85" t="s">
        <v>630</v>
      </c>
      <c r="N1573" s="128">
        <v>152217</v>
      </c>
      <c r="O1573" s="128">
        <f t="shared" si="75"/>
        <v>8219718</v>
      </c>
      <c r="P1573" s="89">
        <v>8827</v>
      </c>
      <c r="Q1573" t="s">
        <v>47</v>
      </c>
      <c r="R1573" s="214" t="s">
        <v>1869</v>
      </c>
      <c r="S1573" s="214" t="s">
        <v>1861</v>
      </c>
      <c r="U1573" t="s">
        <v>1953</v>
      </c>
      <c r="V1573" t="s">
        <v>2813</v>
      </c>
    </row>
    <row r="1574" spans="1:22" ht="15.75" thickBot="1" x14ac:dyDescent="0.3">
      <c r="A1574" t="s">
        <v>1916</v>
      </c>
      <c r="B1574" t="s">
        <v>1916</v>
      </c>
      <c r="C1574" t="s">
        <v>1916</v>
      </c>
      <c r="D1574" t="s">
        <v>629</v>
      </c>
      <c r="E1574" s="248" t="s">
        <v>1853</v>
      </c>
      <c r="F1574" t="s">
        <v>620</v>
      </c>
      <c r="G1574" s="89">
        <v>2017</v>
      </c>
      <c r="H1574" s="312" t="s">
        <v>733</v>
      </c>
      <c r="I1574" s="308" t="str">
        <f t="shared" si="74"/>
        <v>Pesado de Passageiros M3: III : Gasóleo : E6</v>
      </c>
      <c r="J1574" s="125">
        <v>54</v>
      </c>
      <c r="K1574" s="253">
        <v>2022</v>
      </c>
      <c r="L1574" s="85">
        <v>47290.8</v>
      </c>
      <c r="M1574" s="85" t="s">
        <v>630</v>
      </c>
      <c r="N1574" s="128">
        <v>174455</v>
      </c>
      <c r="O1574" s="128">
        <f t="shared" si="75"/>
        <v>9420570</v>
      </c>
      <c r="P1574" s="89">
        <v>8828</v>
      </c>
      <c r="Q1574" t="s">
        <v>47</v>
      </c>
      <c r="R1574" s="214" t="s">
        <v>1869</v>
      </c>
      <c r="S1574" s="214" t="s">
        <v>1861</v>
      </c>
      <c r="U1574" t="s">
        <v>1953</v>
      </c>
      <c r="V1574" t="s">
        <v>2813</v>
      </c>
    </row>
    <row r="1575" spans="1:22" ht="15.75" thickBot="1" x14ac:dyDescent="0.3">
      <c r="A1575" t="s">
        <v>1916</v>
      </c>
      <c r="B1575" t="s">
        <v>1916</v>
      </c>
      <c r="C1575" t="s">
        <v>1916</v>
      </c>
      <c r="D1575" t="s">
        <v>629</v>
      </c>
      <c r="E1575" s="248" t="s">
        <v>1853</v>
      </c>
      <c r="F1575" t="s">
        <v>620</v>
      </c>
      <c r="G1575" s="89">
        <v>2017</v>
      </c>
      <c r="H1575" s="312" t="s">
        <v>733</v>
      </c>
      <c r="I1575" s="308" t="str">
        <f t="shared" si="74"/>
        <v>Pesado de Passageiros M3: III : Gasóleo : E6</v>
      </c>
      <c r="J1575" s="125">
        <v>54</v>
      </c>
      <c r="K1575" s="253">
        <v>2022</v>
      </c>
      <c r="L1575" s="85">
        <v>51377.200000000012</v>
      </c>
      <c r="M1575" s="85" t="s">
        <v>630</v>
      </c>
      <c r="N1575" s="128">
        <v>190818</v>
      </c>
      <c r="O1575" s="128">
        <f t="shared" si="75"/>
        <v>10304172</v>
      </c>
      <c r="P1575" s="89">
        <v>8829</v>
      </c>
      <c r="Q1575" t="s">
        <v>47</v>
      </c>
      <c r="R1575" s="214" t="s">
        <v>1869</v>
      </c>
      <c r="S1575" s="214" t="s">
        <v>1861</v>
      </c>
      <c r="U1575" t="s">
        <v>1953</v>
      </c>
      <c r="V1575" t="s">
        <v>2813</v>
      </c>
    </row>
    <row r="1576" spans="1:22" ht="15.75" thickBot="1" x14ac:dyDescent="0.3">
      <c r="A1576" t="s">
        <v>1916</v>
      </c>
      <c r="B1576" t="s">
        <v>1916</v>
      </c>
      <c r="C1576" t="s">
        <v>1916</v>
      </c>
      <c r="D1576" t="s">
        <v>629</v>
      </c>
      <c r="E1576" s="248" t="s">
        <v>1853</v>
      </c>
      <c r="F1576" t="s">
        <v>620</v>
      </c>
      <c r="G1576" s="89">
        <v>2017</v>
      </c>
      <c r="H1576" s="312" t="s">
        <v>733</v>
      </c>
      <c r="I1576" s="308" t="str">
        <f t="shared" si="74"/>
        <v>Pesado de Passageiros M3: III : Gasóleo : E6</v>
      </c>
      <c r="J1576" s="125">
        <v>54</v>
      </c>
      <c r="K1576" s="253">
        <v>2022</v>
      </c>
      <c r="L1576" s="85">
        <v>44689.2</v>
      </c>
      <c r="M1576" s="85" t="s">
        <v>630</v>
      </c>
      <c r="N1576" s="128">
        <v>161284</v>
      </c>
      <c r="O1576" s="128">
        <f t="shared" si="75"/>
        <v>8709336</v>
      </c>
      <c r="P1576" s="89">
        <v>8830</v>
      </c>
      <c r="Q1576" t="s">
        <v>47</v>
      </c>
      <c r="R1576" s="214" t="s">
        <v>1869</v>
      </c>
      <c r="S1576" s="214" t="s">
        <v>1861</v>
      </c>
      <c r="U1576" t="s">
        <v>1953</v>
      </c>
      <c r="V1576" t="s">
        <v>2813</v>
      </c>
    </row>
    <row r="1577" spans="1:22" ht="15.75" thickBot="1" x14ac:dyDescent="0.3">
      <c r="A1577" t="s">
        <v>1916</v>
      </c>
      <c r="B1577" t="s">
        <v>1916</v>
      </c>
      <c r="C1577" t="s">
        <v>1916</v>
      </c>
      <c r="D1577" t="s">
        <v>629</v>
      </c>
      <c r="E1577" s="248" t="s">
        <v>1853</v>
      </c>
      <c r="F1577" t="s">
        <v>620</v>
      </c>
      <c r="G1577" s="89">
        <v>2017</v>
      </c>
      <c r="H1577" s="312" t="s">
        <v>733</v>
      </c>
      <c r="I1577" s="308" t="str">
        <f t="shared" si="74"/>
        <v>Pesado de Passageiros M3: III : Gasóleo : E6</v>
      </c>
      <c r="J1577" s="125">
        <v>54</v>
      </c>
      <c r="K1577" s="253">
        <v>2022</v>
      </c>
      <c r="L1577" s="85">
        <v>38605.599999999999</v>
      </c>
      <c r="M1577" s="85" t="s">
        <v>630</v>
      </c>
      <c r="N1577" s="128">
        <v>144807</v>
      </c>
      <c r="O1577" s="128">
        <f t="shared" si="75"/>
        <v>7819578</v>
      </c>
      <c r="P1577" s="89">
        <v>8831</v>
      </c>
      <c r="Q1577" t="s">
        <v>47</v>
      </c>
      <c r="R1577" s="214" t="s">
        <v>1869</v>
      </c>
      <c r="S1577" s="214" t="s">
        <v>1861</v>
      </c>
      <c r="U1577" t="s">
        <v>1953</v>
      </c>
      <c r="V1577" t="s">
        <v>2813</v>
      </c>
    </row>
    <row r="1578" spans="1:22" ht="15.75" thickBot="1" x14ac:dyDescent="0.3">
      <c r="A1578" t="s">
        <v>2946</v>
      </c>
      <c r="B1578" t="s">
        <v>2946</v>
      </c>
      <c r="C1578" t="s">
        <v>2946</v>
      </c>
      <c r="D1578" t="s">
        <v>629</v>
      </c>
      <c r="E1578" s="248" t="s">
        <v>1951</v>
      </c>
      <c r="F1578" t="s">
        <v>620</v>
      </c>
      <c r="G1578" s="89">
        <v>2010</v>
      </c>
      <c r="H1578" s="312" t="s">
        <v>734</v>
      </c>
      <c r="I1578" s="308" t="str">
        <f t="shared" si="74"/>
        <v>Pesado de Passageiros M3: I : Gasóleo : E5</v>
      </c>
      <c r="J1578" s="125">
        <v>29</v>
      </c>
      <c r="K1578" s="253">
        <v>2022</v>
      </c>
      <c r="L1578" s="85">
        <v>7967.3</v>
      </c>
      <c r="M1578" s="85" t="s">
        <v>630</v>
      </c>
      <c r="N1578" s="128">
        <v>34634</v>
      </c>
      <c r="O1578" s="128">
        <f t="shared" si="75"/>
        <v>1004386</v>
      </c>
      <c r="P1578" s="89">
        <v>1001</v>
      </c>
      <c r="Q1578" t="s">
        <v>47</v>
      </c>
      <c r="R1578" s="214" t="s">
        <v>1869</v>
      </c>
      <c r="S1578" s="214" t="s">
        <v>1861</v>
      </c>
      <c r="U1578" t="s">
        <v>1953</v>
      </c>
      <c r="V1578" t="s">
        <v>2813</v>
      </c>
    </row>
    <row r="1579" spans="1:22" ht="15.75" thickBot="1" x14ac:dyDescent="0.3">
      <c r="A1579" t="s">
        <v>2946</v>
      </c>
      <c r="B1579" t="s">
        <v>2946</v>
      </c>
      <c r="C1579" t="s">
        <v>2946</v>
      </c>
      <c r="D1579" t="s">
        <v>629</v>
      </c>
      <c r="E1579" s="248" t="s">
        <v>1951</v>
      </c>
      <c r="F1579" t="s">
        <v>620</v>
      </c>
      <c r="G1579" s="89">
        <v>2010</v>
      </c>
      <c r="H1579" s="312" t="s">
        <v>734</v>
      </c>
      <c r="I1579" s="308" t="str">
        <f t="shared" si="74"/>
        <v>Pesado de Passageiros M3: I : Gasóleo : E5</v>
      </c>
      <c r="J1579" s="125">
        <v>29</v>
      </c>
      <c r="K1579" s="253">
        <v>2022</v>
      </c>
      <c r="L1579" s="85">
        <v>6358.2</v>
      </c>
      <c r="M1579" s="85" t="s">
        <v>630</v>
      </c>
      <c r="N1579" s="128">
        <v>27639</v>
      </c>
      <c r="O1579" s="128">
        <f t="shared" si="75"/>
        <v>801531</v>
      </c>
      <c r="P1579" s="89">
        <v>1002</v>
      </c>
      <c r="Q1579" t="s">
        <v>47</v>
      </c>
      <c r="R1579" s="214" t="s">
        <v>1869</v>
      </c>
      <c r="S1579" s="214" t="s">
        <v>1861</v>
      </c>
      <c r="U1579" t="s">
        <v>1953</v>
      </c>
      <c r="V1579" t="s">
        <v>2813</v>
      </c>
    </row>
    <row r="1580" spans="1:22" ht="15.75" thickBot="1" x14ac:dyDescent="0.3">
      <c r="A1580" t="s">
        <v>2946</v>
      </c>
      <c r="B1580" t="s">
        <v>2946</v>
      </c>
      <c r="C1580" t="s">
        <v>2946</v>
      </c>
      <c r="D1580" t="s">
        <v>629</v>
      </c>
      <c r="E1580" s="248" t="s">
        <v>1951</v>
      </c>
      <c r="F1580" t="s">
        <v>620</v>
      </c>
      <c r="G1580" s="89">
        <v>2010</v>
      </c>
      <c r="H1580" s="312" t="s">
        <v>734</v>
      </c>
      <c r="I1580" s="308" t="str">
        <f t="shared" si="74"/>
        <v>Pesado de Passageiros M3: I : Gasóleo : E5</v>
      </c>
      <c r="J1580" s="125">
        <v>29</v>
      </c>
      <c r="K1580" s="253">
        <v>2022</v>
      </c>
      <c r="L1580" s="85">
        <v>5250.6</v>
      </c>
      <c r="M1580" s="85" t="s">
        <v>630</v>
      </c>
      <c r="N1580" s="128">
        <v>22822</v>
      </c>
      <c r="O1580" s="128">
        <f t="shared" si="75"/>
        <v>661838</v>
      </c>
      <c r="P1580" s="89">
        <v>1003</v>
      </c>
      <c r="Q1580" t="s">
        <v>47</v>
      </c>
      <c r="R1580" s="214" t="s">
        <v>1869</v>
      </c>
      <c r="S1580" s="214" t="s">
        <v>1861</v>
      </c>
      <c r="U1580" t="s">
        <v>1953</v>
      </c>
      <c r="V1580" t="s">
        <v>2813</v>
      </c>
    </row>
    <row r="1581" spans="1:22" ht="15.75" thickBot="1" x14ac:dyDescent="0.3">
      <c r="A1581" t="s">
        <v>2946</v>
      </c>
      <c r="B1581" t="s">
        <v>2946</v>
      </c>
      <c r="C1581" t="s">
        <v>2946</v>
      </c>
      <c r="D1581" t="s">
        <v>629</v>
      </c>
      <c r="E1581" s="248" t="s">
        <v>1951</v>
      </c>
      <c r="F1581" t="s">
        <v>620</v>
      </c>
      <c r="G1581" s="89">
        <v>2010</v>
      </c>
      <c r="H1581" s="312" t="s">
        <v>734</v>
      </c>
      <c r="I1581" s="308" t="str">
        <f t="shared" si="74"/>
        <v>Pesado de Passageiros M3: I : Gasóleo : E5</v>
      </c>
      <c r="J1581" s="125">
        <v>29</v>
      </c>
      <c r="K1581" s="253">
        <v>2022</v>
      </c>
      <c r="L1581" s="85">
        <v>8594.7000000000007</v>
      </c>
      <c r="M1581" s="85" t="s">
        <v>630</v>
      </c>
      <c r="N1581" s="128">
        <v>37364</v>
      </c>
      <c r="O1581" s="128">
        <f t="shared" si="75"/>
        <v>1083556</v>
      </c>
      <c r="P1581" s="89">
        <v>1004</v>
      </c>
      <c r="Q1581" t="s">
        <v>47</v>
      </c>
      <c r="R1581" s="214" t="s">
        <v>1869</v>
      </c>
      <c r="S1581" s="214" t="s">
        <v>1861</v>
      </c>
      <c r="U1581" t="s">
        <v>1953</v>
      </c>
      <c r="V1581" t="s">
        <v>2813</v>
      </c>
    </row>
    <row r="1582" spans="1:22" ht="15.75" thickBot="1" x14ac:dyDescent="0.3">
      <c r="A1582" t="s">
        <v>2946</v>
      </c>
      <c r="B1582" t="s">
        <v>2946</v>
      </c>
      <c r="C1582" t="s">
        <v>2946</v>
      </c>
      <c r="D1582" t="s">
        <v>629</v>
      </c>
      <c r="E1582" s="248" t="s">
        <v>1951</v>
      </c>
      <c r="F1582" t="s">
        <v>620</v>
      </c>
      <c r="G1582" s="89">
        <v>2010</v>
      </c>
      <c r="H1582" s="312" t="s">
        <v>734</v>
      </c>
      <c r="I1582" s="308" t="str">
        <f t="shared" si="74"/>
        <v>Pesado de Passageiros M3: I : Gasóleo : E5</v>
      </c>
      <c r="J1582" s="125">
        <v>29</v>
      </c>
      <c r="K1582" s="253">
        <v>2022</v>
      </c>
      <c r="L1582" s="85">
        <v>9543.7000000000007</v>
      </c>
      <c r="M1582" s="85" t="s">
        <v>630</v>
      </c>
      <c r="N1582" s="128">
        <v>41488</v>
      </c>
      <c r="O1582" s="128">
        <f t="shared" si="75"/>
        <v>1203152</v>
      </c>
      <c r="P1582" s="89">
        <v>1005</v>
      </c>
      <c r="Q1582" t="s">
        <v>47</v>
      </c>
      <c r="R1582" s="214" t="s">
        <v>1869</v>
      </c>
      <c r="S1582" s="214" t="s">
        <v>1861</v>
      </c>
      <c r="U1582" t="s">
        <v>1953</v>
      </c>
      <c r="V1582" t="s">
        <v>2813</v>
      </c>
    </row>
    <row r="1583" spans="1:22" ht="15.75" thickBot="1" x14ac:dyDescent="0.3">
      <c r="A1583" t="s">
        <v>2946</v>
      </c>
      <c r="B1583" t="s">
        <v>2946</v>
      </c>
      <c r="C1583" t="s">
        <v>2946</v>
      </c>
      <c r="D1583" t="s">
        <v>629</v>
      </c>
      <c r="E1583" s="248" t="s">
        <v>1951</v>
      </c>
      <c r="F1583" t="s">
        <v>620</v>
      </c>
      <c r="G1583" s="89">
        <v>2010</v>
      </c>
      <c r="H1583" s="312" t="s">
        <v>734</v>
      </c>
      <c r="I1583" s="308" t="str">
        <f t="shared" si="74"/>
        <v>Pesado de Passageiros M3: I : Gasóleo : E5</v>
      </c>
      <c r="J1583" s="125">
        <v>29</v>
      </c>
      <c r="K1583" s="253">
        <v>2022</v>
      </c>
      <c r="L1583" s="85">
        <v>6840.4</v>
      </c>
      <c r="M1583" s="85" t="s">
        <v>630</v>
      </c>
      <c r="N1583" s="128">
        <v>29736</v>
      </c>
      <c r="O1583" s="128">
        <f t="shared" si="75"/>
        <v>862344</v>
      </c>
      <c r="P1583" s="89">
        <v>1006</v>
      </c>
      <c r="Q1583" t="s">
        <v>47</v>
      </c>
      <c r="R1583" s="214" t="s">
        <v>1869</v>
      </c>
      <c r="S1583" s="214" t="s">
        <v>1861</v>
      </c>
      <c r="U1583" t="s">
        <v>1953</v>
      </c>
      <c r="V1583" t="s">
        <v>2813</v>
      </c>
    </row>
    <row r="1584" spans="1:22" ht="15.75" thickBot="1" x14ac:dyDescent="0.3">
      <c r="A1584" t="s">
        <v>2946</v>
      </c>
      <c r="B1584" t="s">
        <v>2946</v>
      </c>
      <c r="C1584" t="s">
        <v>2946</v>
      </c>
      <c r="D1584" t="s">
        <v>629</v>
      </c>
      <c r="E1584" s="248" t="s">
        <v>1951</v>
      </c>
      <c r="F1584" t="s">
        <v>620</v>
      </c>
      <c r="G1584" s="89">
        <v>2010</v>
      </c>
      <c r="H1584" s="312" t="s">
        <v>734</v>
      </c>
      <c r="I1584" s="308" t="str">
        <f t="shared" si="74"/>
        <v>Pesado de Passageiros M3: I : Gasóleo : E5</v>
      </c>
      <c r="J1584" s="125">
        <v>29</v>
      </c>
      <c r="K1584" s="253">
        <v>2022</v>
      </c>
      <c r="L1584" s="85">
        <v>7053.4</v>
      </c>
      <c r="M1584" s="85" t="s">
        <v>630</v>
      </c>
      <c r="N1584" s="128">
        <v>30561</v>
      </c>
      <c r="O1584" s="128">
        <f t="shared" si="75"/>
        <v>886269</v>
      </c>
      <c r="P1584" s="89">
        <v>1007</v>
      </c>
      <c r="Q1584" t="s">
        <v>47</v>
      </c>
      <c r="R1584" s="214" t="s">
        <v>1869</v>
      </c>
      <c r="S1584" s="214" t="s">
        <v>1861</v>
      </c>
      <c r="U1584" t="s">
        <v>1953</v>
      </c>
      <c r="V1584" t="s">
        <v>2813</v>
      </c>
    </row>
    <row r="1585" spans="1:22" ht="15.75" thickBot="1" x14ac:dyDescent="0.3">
      <c r="A1585" t="s">
        <v>2946</v>
      </c>
      <c r="B1585" t="s">
        <v>2946</v>
      </c>
      <c r="C1585" t="s">
        <v>2946</v>
      </c>
      <c r="D1585" t="s">
        <v>629</v>
      </c>
      <c r="E1585" s="248" t="s">
        <v>1951</v>
      </c>
      <c r="F1585" t="s">
        <v>620</v>
      </c>
      <c r="G1585" s="89">
        <v>2010</v>
      </c>
      <c r="H1585" s="312" t="s">
        <v>734</v>
      </c>
      <c r="I1585" s="308" t="str">
        <f t="shared" si="74"/>
        <v>Pesado de Passageiros M3: I : Gasóleo : E5</v>
      </c>
      <c r="J1585" s="125">
        <v>29</v>
      </c>
      <c r="K1585" s="253">
        <v>2022</v>
      </c>
      <c r="L1585" s="85">
        <v>3752.3</v>
      </c>
      <c r="M1585" s="85" t="s">
        <v>630</v>
      </c>
      <c r="N1585" s="128">
        <v>16312</v>
      </c>
      <c r="O1585" s="128">
        <f t="shared" si="75"/>
        <v>473048</v>
      </c>
      <c r="P1585" s="89">
        <v>1008</v>
      </c>
      <c r="Q1585" t="s">
        <v>47</v>
      </c>
      <c r="R1585" s="214" t="s">
        <v>1869</v>
      </c>
      <c r="S1585" s="214" t="s">
        <v>1861</v>
      </c>
      <c r="U1585" t="s">
        <v>1953</v>
      </c>
      <c r="V1585" t="s">
        <v>2813</v>
      </c>
    </row>
    <row r="1586" spans="1:22" ht="15.75" thickBot="1" x14ac:dyDescent="0.3">
      <c r="A1586" t="s">
        <v>2946</v>
      </c>
      <c r="B1586" t="s">
        <v>2946</v>
      </c>
      <c r="C1586" t="s">
        <v>2946</v>
      </c>
      <c r="D1586" t="s">
        <v>629</v>
      </c>
      <c r="E1586" s="248" t="s">
        <v>1951</v>
      </c>
      <c r="F1586" t="s">
        <v>620</v>
      </c>
      <c r="G1586" s="89">
        <v>2010</v>
      </c>
      <c r="H1586" s="312" t="s">
        <v>734</v>
      </c>
      <c r="I1586" s="308" t="str">
        <f t="shared" si="74"/>
        <v>Pesado de Passageiros M3: I : Gasóleo : E5</v>
      </c>
      <c r="J1586" s="125">
        <v>29</v>
      </c>
      <c r="K1586" s="253">
        <v>2022</v>
      </c>
      <c r="L1586" s="85">
        <v>0</v>
      </c>
      <c r="M1586" s="85" t="s">
        <v>630</v>
      </c>
      <c r="N1586" s="128">
        <v>0</v>
      </c>
      <c r="O1586" s="128">
        <f t="shared" si="75"/>
        <v>0</v>
      </c>
      <c r="P1586" s="89">
        <v>1009</v>
      </c>
      <c r="Q1586" t="s">
        <v>47</v>
      </c>
      <c r="R1586" s="214" t="s">
        <v>1869</v>
      </c>
      <c r="S1586" s="214" t="s">
        <v>1861</v>
      </c>
      <c r="U1586" t="s">
        <v>1953</v>
      </c>
      <c r="V1586" t="s">
        <v>2813</v>
      </c>
    </row>
    <row r="1587" spans="1:22" ht="15.75" thickBot="1" x14ac:dyDescent="0.3">
      <c r="A1587" t="s">
        <v>2946</v>
      </c>
      <c r="B1587" t="s">
        <v>2946</v>
      </c>
      <c r="C1587" t="s">
        <v>2946</v>
      </c>
      <c r="D1587" t="s">
        <v>629</v>
      </c>
      <c r="E1587" s="248" t="s">
        <v>1951</v>
      </c>
      <c r="F1587" t="s">
        <v>620</v>
      </c>
      <c r="G1587" s="89">
        <v>2005</v>
      </c>
      <c r="H1587" s="312" t="s">
        <v>732</v>
      </c>
      <c r="I1587" s="308" t="str">
        <f t="shared" si="74"/>
        <v>Pesado de Passageiros M3: I : Gasóleo : E3</v>
      </c>
      <c r="J1587" s="125">
        <v>24</v>
      </c>
      <c r="K1587" s="253">
        <v>2022</v>
      </c>
      <c r="L1587" s="85">
        <v>736</v>
      </c>
      <c r="M1587" s="85" t="s">
        <v>630</v>
      </c>
      <c r="N1587" s="128">
        <v>3296</v>
      </c>
      <c r="O1587" s="128">
        <f t="shared" si="75"/>
        <v>79104</v>
      </c>
      <c r="P1587" s="89">
        <v>1015</v>
      </c>
      <c r="Q1587" t="s">
        <v>47</v>
      </c>
      <c r="R1587" s="214" t="s">
        <v>1869</v>
      </c>
      <c r="S1587" s="214" t="s">
        <v>1861</v>
      </c>
      <c r="U1587" t="s">
        <v>1953</v>
      </c>
      <c r="V1587" t="s">
        <v>2813</v>
      </c>
    </row>
    <row r="1588" spans="1:22" ht="15.75" thickBot="1" x14ac:dyDescent="0.3">
      <c r="A1588" t="s">
        <v>2946</v>
      </c>
      <c r="B1588" t="s">
        <v>2946</v>
      </c>
      <c r="C1588" t="s">
        <v>2946</v>
      </c>
      <c r="D1588" t="s">
        <v>629</v>
      </c>
      <c r="E1588" s="248" t="s">
        <v>1951</v>
      </c>
      <c r="F1588" t="s">
        <v>620</v>
      </c>
      <c r="G1588" s="89">
        <v>2005</v>
      </c>
      <c r="H1588" s="312" t="s">
        <v>732</v>
      </c>
      <c r="I1588" s="308" t="str">
        <f t="shared" si="74"/>
        <v>Pesado de Passageiros M3: I : Gasóleo : E3</v>
      </c>
      <c r="J1588" s="125">
        <v>24</v>
      </c>
      <c r="K1588" s="253">
        <v>2022</v>
      </c>
      <c r="L1588" s="85">
        <v>761</v>
      </c>
      <c r="M1588" s="85" t="s">
        <v>630</v>
      </c>
      <c r="N1588" s="128">
        <v>3307</v>
      </c>
      <c r="O1588" s="128">
        <f t="shared" si="75"/>
        <v>79368</v>
      </c>
      <c r="P1588" s="89">
        <v>1016</v>
      </c>
      <c r="Q1588" t="s">
        <v>47</v>
      </c>
      <c r="R1588" s="214" t="s">
        <v>1869</v>
      </c>
      <c r="S1588" s="214" t="s">
        <v>1861</v>
      </c>
      <c r="U1588" t="s">
        <v>1953</v>
      </c>
      <c r="V1588" t="s">
        <v>2813</v>
      </c>
    </row>
    <row r="1589" spans="1:22" ht="15.75" thickBot="1" x14ac:dyDescent="0.3">
      <c r="A1589" t="s">
        <v>2946</v>
      </c>
      <c r="B1589" t="s">
        <v>2946</v>
      </c>
      <c r="C1589" t="s">
        <v>2946</v>
      </c>
      <c r="D1589" t="s">
        <v>629</v>
      </c>
      <c r="E1589" s="248" t="s">
        <v>1951</v>
      </c>
      <c r="F1589" t="s">
        <v>620</v>
      </c>
      <c r="G1589" s="89">
        <v>2010</v>
      </c>
      <c r="H1589" s="312" t="s">
        <v>734</v>
      </c>
      <c r="I1589" s="308" t="str">
        <f t="shared" si="74"/>
        <v>Pesado de Passageiros M3: I : Gasóleo : E5</v>
      </c>
      <c r="J1589" s="125">
        <v>53</v>
      </c>
      <c r="K1589" s="253">
        <v>2022</v>
      </c>
      <c r="L1589" s="85">
        <v>18657.7</v>
      </c>
      <c r="M1589" s="85" t="s">
        <v>630</v>
      </c>
      <c r="N1589" s="128">
        <v>48029</v>
      </c>
      <c r="O1589" s="128">
        <f t="shared" si="75"/>
        <v>2545537</v>
      </c>
      <c r="P1589" s="89">
        <v>1052</v>
      </c>
      <c r="Q1589" t="s">
        <v>47</v>
      </c>
      <c r="R1589" s="214" t="s">
        <v>1869</v>
      </c>
      <c r="S1589" s="214" t="s">
        <v>1861</v>
      </c>
      <c r="U1589" t="s">
        <v>1953</v>
      </c>
      <c r="V1589" t="s">
        <v>2813</v>
      </c>
    </row>
    <row r="1590" spans="1:22" ht="15.75" thickBot="1" x14ac:dyDescent="0.3">
      <c r="A1590" t="s">
        <v>2946</v>
      </c>
      <c r="B1590" t="s">
        <v>2946</v>
      </c>
      <c r="C1590" t="s">
        <v>2946</v>
      </c>
      <c r="D1590" t="s">
        <v>629</v>
      </c>
      <c r="E1590" s="248" t="s">
        <v>1951</v>
      </c>
      <c r="F1590" t="s">
        <v>620</v>
      </c>
      <c r="G1590" s="89">
        <v>2010</v>
      </c>
      <c r="H1590" s="312" t="s">
        <v>734</v>
      </c>
      <c r="I1590" s="308" t="str">
        <f t="shared" si="74"/>
        <v>Pesado de Passageiros M3: I : Gasóleo : E5</v>
      </c>
      <c r="J1590" s="125">
        <v>53</v>
      </c>
      <c r="K1590" s="253">
        <v>2022</v>
      </c>
      <c r="L1590" s="85">
        <v>16250.7</v>
      </c>
      <c r="M1590" s="85" t="s">
        <v>630</v>
      </c>
      <c r="N1590" s="128">
        <v>45264</v>
      </c>
      <c r="O1590" s="128">
        <f t="shared" si="75"/>
        <v>2398992</v>
      </c>
      <c r="P1590" s="89">
        <v>1053</v>
      </c>
      <c r="Q1590" t="s">
        <v>47</v>
      </c>
      <c r="R1590" s="214" t="s">
        <v>1869</v>
      </c>
      <c r="S1590" s="214" t="s">
        <v>1861</v>
      </c>
      <c r="U1590" t="s">
        <v>1953</v>
      </c>
      <c r="V1590" t="s">
        <v>2813</v>
      </c>
    </row>
    <row r="1591" spans="1:22" ht="15.75" thickBot="1" x14ac:dyDescent="0.3">
      <c r="A1591" t="s">
        <v>2946</v>
      </c>
      <c r="B1591" t="s">
        <v>2946</v>
      </c>
      <c r="C1591" t="s">
        <v>2946</v>
      </c>
      <c r="D1591" t="s">
        <v>629</v>
      </c>
      <c r="E1591" s="248" t="s">
        <v>1951</v>
      </c>
      <c r="F1591" t="s">
        <v>620</v>
      </c>
      <c r="G1591" s="89">
        <v>2010</v>
      </c>
      <c r="H1591" s="312" t="s">
        <v>734</v>
      </c>
      <c r="I1591" s="308" t="str">
        <f t="shared" si="74"/>
        <v>Pesado de Passageiros M3: I : Gasóleo : E5</v>
      </c>
      <c r="J1591" s="125">
        <v>53</v>
      </c>
      <c r="K1591" s="253">
        <v>2022</v>
      </c>
      <c r="L1591" s="85">
        <v>14473.1</v>
      </c>
      <c r="M1591" s="85" t="s">
        <v>630</v>
      </c>
      <c r="N1591" s="128">
        <v>43339</v>
      </c>
      <c r="O1591" s="128">
        <f t="shared" si="75"/>
        <v>2296967</v>
      </c>
      <c r="P1591" s="89">
        <v>1054</v>
      </c>
      <c r="Q1591" t="s">
        <v>47</v>
      </c>
      <c r="R1591" s="214" t="s">
        <v>1869</v>
      </c>
      <c r="S1591" s="214" t="s">
        <v>1861</v>
      </c>
      <c r="U1591" t="s">
        <v>1953</v>
      </c>
      <c r="V1591" t="s">
        <v>2813</v>
      </c>
    </row>
    <row r="1592" spans="1:22" ht="15.75" thickBot="1" x14ac:dyDescent="0.3">
      <c r="A1592" t="s">
        <v>2946</v>
      </c>
      <c r="B1592" t="s">
        <v>2946</v>
      </c>
      <c r="C1592" t="s">
        <v>2946</v>
      </c>
      <c r="D1592" t="s">
        <v>629</v>
      </c>
      <c r="E1592" s="248" t="s">
        <v>1951</v>
      </c>
      <c r="F1592" t="s">
        <v>620</v>
      </c>
      <c r="G1592" s="89">
        <v>2010</v>
      </c>
      <c r="H1592" s="312" t="s">
        <v>734</v>
      </c>
      <c r="I1592" s="308" t="str">
        <f t="shared" si="74"/>
        <v>Pesado de Passageiros M3: I : Gasóleo : E5</v>
      </c>
      <c r="J1592" s="125">
        <v>53</v>
      </c>
      <c r="K1592" s="253">
        <v>2022</v>
      </c>
      <c r="L1592" s="85">
        <v>14339.1</v>
      </c>
      <c r="M1592" s="85" t="s">
        <v>630</v>
      </c>
      <c r="N1592" s="128">
        <v>44064</v>
      </c>
      <c r="O1592" s="128">
        <f t="shared" si="75"/>
        <v>2335392</v>
      </c>
      <c r="P1592" s="89">
        <v>1055</v>
      </c>
      <c r="Q1592" t="s">
        <v>47</v>
      </c>
      <c r="R1592" s="214" t="s">
        <v>1869</v>
      </c>
      <c r="S1592" s="214" t="s">
        <v>1861</v>
      </c>
      <c r="U1592" t="s">
        <v>1953</v>
      </c>
      <c r="V1592" t="s">
        <v>2813</v>
      </c>
    </row>
    <row r="1593" spans="1:22" ht="15.75" thickBot="1" x14ac:dyDescent="0.3">
      <c r="A1593" t="s">
        <v>2946</v>
      </c>
      <c r="B1593" t="s">
        <v>2946</v>
      </c>
      <c r="C1593" t="s">
        <v>2946</v>
      </c>
      <c r="D1593" t="s">
        <v>629</v>
      </c>
      <c r="E1593" s="248" t="s">
        <v>1951</v>
      </c>
      <c r="F1593" t="s">
        <v>620</v>
      </c>
      <c r="G1593" s="89">
        <v>2010</v>
      </c>
      <c r="H1593" s="312" t="s">
        <v>734</v>
      </c>
      <c r="I1593" s="308" t="str">
        <f t="shared" si="74"/>
        <v>Pesado de Passageiros M3: I : Gasóleo : E5</v>
      </c>
      <c r="J1593" s="125">
        <v>53</v>
      </c>
      <c r="K1593" s="253">
        <v>2022</v>
      </c>
      <c r="L1593" s="85">
        <v>16328.3</v>
      </c>
      <c r="M1593" s="85" t="s">
        <v>630</v>
      </c>
      <c r="N1593" s="128">
        <v>48628</v>
      </c>
      <c r="O1593" s="128">
        <f t="shared" si="75"/>
        <v>2577284</v>
      </c>
      <c r="P1593" s="89">
        <v>1056</v>
      </c>
      <c r="Q1593" t="s">
        <v>47</v>
      </c>
      <c r="R1593" s="214" t="s">
        <v>1869</v>
      </c>
      <c r="S1593" s="214" t="s">
        <v>1861</v>
      </c>
      <c r="U1593" t="s">
        <v>1953</v>
      </c>
      <c r="V1593" t="s">
        <v>2813</v>
      </c>
    </row>
    <row r="1594" spans="1:22" ht="15.75" thickBot="1" x14ac:dyDescent="0.3">
      <c r="A1594" t="s">
        <v>2946</v>
      </c>
      <c r="B1594" t="s">
        <v>2946</v>
      </c>
      <c r="C1594" t="s">
        <v>2946</v>
      </c>
      <c r="D1594" t="s">
        <v>629</v>
      </c>
      <c r="E1594" s="248" t="s">
        <v>1951</v>
      </c>
      <c r="F1594" t="s">
        <v>620</v>
      </c>
      <c r="G1594" s="89">
        <v>2010</v>
      </c>
      <c r="H1594" s="312" t="s">
        <v>734</v>
      </c>
      <c r="I1594" s="308" t="str">
        <f t="shared" si="74"/>
        <v>Pesado de Passageiros M3: I : Gasóleo : E5</v>
      </c>
      <c r="J1594" s="125">
        <v>53</v>
      </c>
      <c r="K1594" s="253">
        <v>2022</v>
      </c>
      <c r="L1594" s="85">
        <v>16342.2</v>
      </c>
      <c r="M1594" s="85" t="s">
        <v>630</v>
      </c>
      <c r="N1594" s="128">
        <v>48120</v>
      </c>
      <c r="O1594" s="128">
        <f t="shared" si="75"/>
        <v>2550360</v>
      </c>
      <c r="P1594" s="89">
        <v>1057</v>
      </c>
      <c r="Q1594" t="s">
        <v>47</v>
      </c>
      <c r="R1594" s="214" t="s">
        <v>1869</v>
      </c>
      <c r="S1594" s="214" t="s">
        <v>1861</v>
      </c>
      <c r="U1594" t="s">
        <v>1953</v>
      </c>
      <c r="V1594" t="s">
        <v>2813</v>
      </c>
    </row>
    <row r="1595" spans="1:22" ht="15.75" thickBot="1" x14ac:dyDescent="0.3">
      <c r="A1595" t="s">
        <v>2946</v>
      </c>
      <c r="B1595" t="s">
        <v>2946</v>
      </c>
      <c r="C1595" t="s">
        <v>2946</v>
      </c>
      <c r="D1595" t="s">
        <v>629</v>
      </c>
      <c r="E1595" s="248" t="s">
        <v>1951</v>
      </c>
      <c r="F1595" t="s">
        <v>620</v>
      </c>
      <c r="G1595" s="89">
        <v>2010</v>
      </c>
      <c r="H1595" s="312" t="s">
        <v>734</v>
      </c>
      <c r="I1595" s="308" t="str">
        <f t="shared" si="74"/>
        <v>Pesado de Passageiros M3: I : Gasóleo : E5</v>
      </c>
      <c r="J1595" s="125">
        <v>53</v>
      </c>
      <c r="K1595" s="253">
        <v>2022</v>
      </c>
      <c r="L1595" s="85">
        <v>12316.6</v>
      </c>
      <c r="M1595" s="85" t="s">
        <v>630</v>
      </c>
      <c r="N1595" s="128">
        <v>38448</v>
      </c>
      <c r="O1595" s="128">
        <f t="shared" si="75"/>
        <v>2037744</v>
      </c>
      <c r="P1595" s="89">
        <v>1058</v>
      </c>
      <c r="Q1595" t="s">
        <v>47</v>
      </c>
      <c r="R1595" s="214" t="s">
        <v>1869</v>
      </c>
      <c r="S1595" s="214" t="s">
        <v>1861</v>
      </c>
      <c r="U1595" t="s">
        <v>1953</v>
      </c>
      <c r="V1595" t="s">
        <v>2813</v>
      </c>
    </row>
    <row r="1596" spans="1:22" ht="15.75" thickBot="1" x14ac:dyDescent="0.3">
      <c r="A1596" t="s">
        <v>2946</v>
      </c>
      <c r="B1596" t="s">
        <v>2946</v>
      </c>
      <c r="C1596" t="s">
        <v>2946</v>
      </c>
      <c r="D1596" t="s">
        <v>629</v>
      </c>
      <c r="E1596" s="248" t="s">
        <v>1951</v>
      </c>
      <c r="F1596" t="s">
        <v>620</v>
      </c>
      <c r="G1596" s="89">
        <v>2010</v>
      </c>
      <c r="H1596" s="312" t="s">
        <v>734</v>
      </c>
      <c r="I1596" s="308" t="str">
        <f t="shared" si="74"/>
        <v>Pesado de Passageiros M3: I : Gasóleo : E5</v>
      </c>
      <c r="J1596" s="125">
        <v>53</v>
      </c>
      <c r="K1596" s="253">
        <v>2022</v>
      </c>
      <c r="L1596" s="85">
        <v>14622.3</v>
      </c>
      <c r="M1596" s="85" t="s">
        <v>630</v>
      </c>
      <c r="N1596" s="128">
        <v>45495</v>
      </c>
      <c r="O1596" s="128">
        <f t="shared" si="75"/>
        <v>2411235</v>
      </c>
      <c r="P1596" s="89">
        <v>1059</v>
      </c>
      <c r="Q1596" t="s">
        <v>47</v>
      </c>
      <c r="R1596" s="214" t="s">
        <v>1869</v>
      </c>
      <c r="S1596" s="214" t="s">
        <v>1861</v>
      </c>
      <c r="U1596" t="s">
        <v>1953</v>
      </c>
      <c r="V1596" t="s">
        <v>2813</v>
      </c>
    </row>
    <row r="1597" spans="1:22" ht="15.75" thickBot="1" x14ac:dyDescent="0.3">
      <c r="A1597" t="s">
        <v>2946</v>
      </c>
      <c r="B1597" t="s">
        <v>2946</v>
      </c>
      <c r="C1597" t="s">
        <v>2946</v>
      </c>
      <c r="D1597" t="s">
        <v>629</v>
      </c>
      <c r="E1597" s="248" t="s">
        <v>1951</v>
      </c>
      <c r="F1597" t="s">
        <v>620</v>
      </c>
      <c r="G1597" s="89">
        <v>2010</v>
      </c>
      <c r="H1597" s="312" t="s">
        <v>734</v>
      </c>
      <c r="I1597" s="308" t="str">
        <f t="shared" si="74"/>
        <v>Pesado de Passageiros M3: I : Gasóleo : E5</v>
      </c>
      <c r="J1597" s="125">
        <v>53</v>
      </c>
      <c r="K1597" s="253">
        <v>2022</v>
      </c>
      <c r="L1597" s="85">
        <v>15903.6</v>
      </c>
      <c r="M1597" s="85" t="s">
        <v>630</v>
      </c>
      <c r="N1597" s="128">
        <v>49123</v>
      </c>
      <c r="O1597" s="128">
        <f t="shared" si="75"/>
        <v>2603519</v>
      </c>
      <c r="P1597" s="89">
        <v>1060</v>
      </c>
      <c r="Q1597" t="s">
        <v>47</v>
      </c>
      <c r="R1597" s="214" t="s">
        <v>1869</v>
      </c>
      <c r="S1597" s="214" t="s">
        <v>1861</v>
      </c>
      <c r="U1597" t="s">
        <v>1953</v>
      </c>
      <c r="V1597" t="s">
        <v>2813</v>
      </c>
    </row>
    <row r="1598" spans="1:22" ht="15.75" thickBot="1" x14ac:dyDescent="0.3">
      <c r="A1598" t="s">
        <v>2946</v>
      </c>
      <c r="B1598" t="s">
        <v>2946</v>
      </c>
      <c r="C1598" t="s">
        <v>2946</v>
      </c>
      <c r="D1598" t="s">
        <v>629</v>
      </c>
      <c r="E1598" s="248" t="s">
        <v>1951</v>
      </c>
      <c r="F1598" t="s">
        <v>620</v>
      </c>
      <c r="G1598" s="89">
        <v>2010</v>
      </c>
      <c r="H1598" s="312" t="s">
        <v>734</v>
      </c>
      <c r="I1598" s="308" t="str">
        <f t="shared" si="74"/>
        <v>Pesado de Passageiros M3: I : Gasóleo : E5</v>
      </c>
      <c r="J1598" s="125">
        <v>53</v>
      </c>
      <c r="K1598" s="253">
        <v>2022</v>
      </c>
      <c r="L1598" s="85">
        <v>14448.6</v>
      </c>
      <c r="M1598" s="85" t="s">
        <v>630</v>
      </c>
      <c r="N1598" s="128">
        <v>42754</v>
      </c>
      <c r="O1598" s="128">
        <f t="shared" si="75"/>
        <v>2265962</v>
      </c>
      <c r="P1598" s="89">
        <v>1061</v>
      </c>
      <c r="Q1598" t="s">
        <v>47</v>
      </c>
      <c r="R1598" s="214" t="s">
        <v>1869</v>
      </c>
      <c r="S1598" s="214" t="s">
        <v>1861</v>
      </c>
      <c r="U1598" t="s">
        <v>1953</v>
      </c>
      <c r="V1598" t="s">
        <v>2813</v>
      </c>
    </row>
    <row r="1599" spans="1:22" ht="15.75" thickBot="1" x14ac:dyDescent="0.3">
      <c r="A1599" t="s">
        <v>2946</v>
      </c>
      <c r="B1599" t="s">
        <v>2946</v>
      </c>
      <c r="C1599" t="s">
        <v>2946</v>
      </c>
      <c r="D1599" t="s">
        <v>629</v>
      </c>
      <c r="E1599" s="248" t="s">
        <v>1951</v>
      </c>
      <c r="F1599" t="s">
        <v>620</v>
      </c>
      <c r="G1599" s="89">
        <v>2010</v>
      </c>
      <c r="H1599" s="312" t="s">
        <v>734</v>
      </c>
      <c r="I1599" s="308" t="str">
        <f t="shared" si="74"/>
        <v>Pesado de Passageiros M3: I : Gasóleo : E5</v>
      </c>
      <c r="J1599" s="125">
        <v>53</v>
      </c>
      <c r="K1599" s="253">
        <v>2022</v>
      </c>
      <c r="L1599" s="85">
        <v>13827.5</v>
      </c>
      <c r="M1599" s="85" t="s">
        <v>630</v>
      </c>
      <c r="N1599" s="128">
        <v>38485</v>
      </c>
      <c r="O1599" s="128">
        <f t="shared" si="75"/>
        <v>2039705</v>
      </c>
      <c r="P1599" s="89">
        <v>1062</v>
      </c>
      <c r="Q1599" t="s">
        <v>47</v>
      </c>
      <c r="R1599" s="214" t="s">
        <v>1869</v>
      </c>
      <c r="S1599" s="214" t="s">
        <v>1861</v>
      </c>
      <c r="U1599" t="s">
        <v>1953</v>
      </c>
      <c r="V1599" t="s">
        <v>2813</v>
      </c>
    </row>
    <row r="1600" spans="1:22" ht="15.75" thickBot="1" x14ac:dyDescent="0.3">
      <c r="A1600" t="s">
        <v>2946</v>
      </c>
      <c r="B1600" t="s">
        <v>2946</v>
      </c>
      <c r="C1600" t="s">
        <v>2946</v>
      </c>
      <c r="D1600" t="s">
        <v>629</v>
      </c>
      <c r="E1600" s="248" t="s">
        <v>1951</v>
      </c>
      <c r="F1600" t="s">
        <v>620</v>
      </c>
      <c r="G1600" s="89">
        <v>2010</v>
      </c>
      <c r="H1600" s="312" t="s">
        <v>734</v>
      </c>
      <c r="I1600" s="308" t="str">
        <f t="shared" si="74"/>
        <v>Pesado de Passageiros M3: I : Gasóleo : E5</v>
      </c>
      <c r="J1600" s="125">
        <v>53</v>
      </c>
      <c r="K1600" s="253">
        <v>2022</v>
      </c>
      <c r="L1600" s="85">
        <v>14931.6</v>
      </c>
      <c r="M1600" s="85" t="s">
        <v>630</v>
      </c>
      <c r="N1600" s="128">
        <v>47060</v>
      </c>
      <c r="O1600" s="128">
        <f t="shared" si="75"/>
        <v>2494180</v>
      </c>
      <c r="P1600" s="89">
        <v>1063</v>
      </c>
      <c r="Q1600" t="s">
        <v>47</v>
      </c>
      <c r="R1600" s="214" t="s">
        <v>1869</v>
      </c>
      <c r="S1600" s="214" t="s">
        <v>1861</v>
      </c>
      <c r="U1600" t="s">
        <v>1953</v>
      </c>
      <c r="V1600" t="s">
        <v>2813</v>
      </c>
    </row>
    <row r="1601" spans="1:22" ht="15.75" thickBot="1" x14ac:dyDescent="0.3">
      <c r="A1601" t="s">
        <v>2946</v>
      </c>
      <c r="B1601" t="s">
        <v>2946</v>
      </c>
      <c r="C1601" t="s">
        <v>2946</v>
      </c>
      <c r="D1601" t="s">
        <v>629</v>
      </c>
      <c r="E1601" s="248" t="s">
        <v>1951</v>
      </c>
      <c r="F1601" t="s">
        <v>620</v>
      </c>
      <c r="G1601" s="89">
        <v>2008</v>
      </c>
      <c r="H1601" s="312" t="s">
        <v>731</v>
      </c>
      <c r="I1601" s="308" t="str">
        <f t="shared" si="74"/>
        <v>Pesado de Passageiros M3: I : Gasóleo : E4</v>
      </c>
      <c r="J1601" s="125">
        <v>41</v>
      </c>
      <c r="K1601" s="253">
        <v>2022</v>
      </c>
      <c r="L1601" s="85">
        <v>18671.8</v>
      </c>
      <c r="M1601" s="85" t="s">
        <v>630</v>
      </c>
      <c r="N1601" s="128">
        <v>41050</v>
      </c>
      <c r="O1601" s="128">
        <f t="shared" si="75"/>
        <v>1683050</v>
      </c>
      <c r="P1601" s="89">
        <v>1064</v>
      </c>
      <c r="Q1601" t="s">
        <v>47</v>
      </c>
      <c r="R1601" s="214" t="s">
        <v>1869</v>
      </c>
      <c r="S1601" s="214" t="s">
        <v>1861</v>
      </c>
      <c r="U1601" t="s">
        <v>1953</v>
      </c>
      <c r="V1601" t="s">
        <v>2813</v>
      </c>
    </row>
    <row r="1602" spans="1:22" ht="15.75" thickBot="1" x14ac:dyDescent="0.3">
      <c r="A1602" t="s">
        <v>2946</v>
      </c>
      <c r="B1602" t="s">
        <v>2946</v>
      </c>
      <c r="C1602" t="s">
        <v>2946</v>
      </c>
      <c r="D1602" t="s">
        <v>629</v>
      </c>
      <c r="E1602" s="248" t="s">
        <v>1951</v>
      </c>
      <c r="F1602" t="s">
        <v>620</v>
      </c>
      <c r="G1602" s="89">
        <v>2019</v>
      </c>
      <c r="H1602" s="312" t="s">
        <v>733</v>
      </c>
      <c r="I1602" s="308" t="str">
        <f t="shared" si="74"/>
        <v>Pesado de Passageiros M3: I : Gasóleo : E6</v>
      </c>
      <c r="J1602" s="125">
        <v>72</v>
      </c>
      <c r="K1602" s="253">
        <v>2022</v>
      </c>
      <c r="L1602" s="85">
        <v>14398.8</v>
      </c>
      <c r="M1602" s="85" t="s">
        <v>630</v>
      </c>
      <c r="N1602" s="128">
        <v>45055</v>
      </c>
      <c r="O1602" s="128">
        <f t="shared" si="75"/>
        <v>3243960</v>
      </c>
      <c r="P1602" s="89">
        <v>1065</v>
      </c>
      <c r="Q1602" t="s">
        <v>47</v>
      </c>
      <c r="R1602" s="214" t="s">
        <v>1869</v>
      </c>
      <c r="S1602" s="214" t="s">
        <v>1861</v>
      </c>
      <c r="U1602" t="s">
        <v>1953</v>
      </c>
      <c r="V1602" t="s">
        <v>2813</v>
      </c>
    </row>
    <row r="1603" spans="1:22" ht="15.75" thickBot="1" x14ac:dyDescent="0.3">
      <c r="A1603" t="s">
        <v>4583</v>
      </c>
      <c r="B1603" t="s">
        <v>4583</v>
      </c>
      <c r="C1603" t="s">
        <v>4583</v>
      </c>
      <c r="D1603" t="s">
        <v>629</v>
      </c>
      <c r="E1603" s="248" t="s">
        <v>1853</v>
      </c>
      <c r="F1603" t="s">
        <v>620</v>
      </c>
      <c r="G1603" s="89">
        <v>2006</v>
      </c>
      <c r="H1603" s="312" t="s">
        <v>731</v>
      </c>
      <c r="I1603" s="308" t="str">
        <f t="shared" si="74"/>
        <v>Pesado de Passageiros M3: III : Gasóleo : E4</v>
      </c>
      <c r="J1603" s="125">
        <v>97</v>
      </c>
      <c r="K1603" s="253">
        <v>2022</v>
      </c>
      <c r="L1603" s="85">
        <v>2394.4900000000002</v>
      </c>
      <c r="M1603" s="85" t="s">
        <v>630</v>
      </c>
      <c r="N1603" s="128">
        <v>7977</v>
      </c>
      <c r="O1603" s="128">
        <f t="shared" si="75"/>
        <v>773769</v>
      </c>
      <c r="Q1603" t="s">
        <v>47</v>
      </c>
      <c r="R1603" s="214" t="s">
        <v>1869</v>
      </c>
      <c r="S1603" s="214" t="s">
        <v>1861</v>
      </c>
      <c r="T1603" t="s">
        <v>2232</v>
      </c>
      <c r="U1603" t="s">
        <v>1953</v>
      </c>
      <c r="V1603" t="s">
        <v>2813</v>
      </c>
    </row>
    <row r="1604" spans="1:22" ht="15.75" thickBot="1" x14ac:dyDescent="0.3">
      <c r="A1604" t="s">
        <v>4583</v>
      </c>
      <c r="B1604" t="s">
        <v>4583</v>
      </c>
      <c r="C1604" t="s">
        <v>4583</v>
      </c>
      <c r="D1604" t="s">
        <v>629</v>
      </c>
      <c r="E1604" s="248" t="s">
        <v>1853</v>
      </c>
      <c r="F1604" t="s">
        <v>620</v>
      </c>
      <c r="G1604" s="89">
        <v>2006</v>
      </c>
      <c r="H1604" s="312" t="s">
        <v>731</v>
      </c>
      <c r="I1604" s="308" t="str">
        <f t="shared" ref="I1604:I1667" si="76">D1604&amp;": "&amp;E1604&amp;" : "&amp;F1604&amp;" : "&amp;H1604</f>
        <v>Pesado de Passageiros M3: III : Gasóleo : E4</v>
      </c>
      <c r="J1604" s="125">
        <v>97</v>
      </c>
      <c r="K1604" s="253">
        <v>2022</v>
      </c>
      <c r="L1604" s="85">
        <v>2210.13</v>
      </c>
      <c r="M1604" s="85" t="s">
        <v>630</v>
      </c>
      <c r="N1604" s="128">
        <v>6963</v>
      </c>
      <c r="O1604" s="128">
        <f t="shared" ref="O1604:O1667" si="77">N1604*J1604</f>
        <v>675411</v>
      </c>
      <c r="Q1604" t="s">
        <v>47</v>
      </c>
      <c r="R1604" s="214" t="s">
        <v>1869</v>
      </c>
      <c r="S1604" s="214" t="s">
        <v>1861</v>
      </c>
      <c r="T1604" t="s">
        <v>2233</v>
      </c>
      <c r="U1604" t="s">
        <v>1953</v>
      </c>
      <c r="V1604" t="s">
        <v>2813</v>
      </c>
    </row>
    <row r="1605" spans="1:22" ht="15.75" thickBot="1" x14ac:dyDescent="0.3">
      <c r="A1605" t="s">
        <v>4583</v>
      </c>
      <c r="B1605" t="s">
        <v>4583</v>
      </c>
      <c r="C1605" t="s">
        <v>4583</v>
      </c>
      <c r="D1605" t="s">
        <v>629</v>
      </c>
      <c r="E1605" s="248" t="s">
        <v>1853</v>
      </c>
      <c r="F1605" t="s">
        <v>620</v>
      </c>
      <c r="G1605" s="89">
        <v>2006</v>
      </c>
      <c r="H1605" s="312" t="s">
        <v>731</v>
      </c>
      <c r="I1605" s="308" t="str">
        <f t="shared" si="76"/>
        <v>Pesado de Passageiros M3: III : Gasóleo : E4</v>
      </c>
      <c r="J1605" s="125">
        <v>97</v>
      </c>
      <c r="K1605" s="253">
        <v>2022</v>
      </c>
      <c r="L1605" s="85">
        <v>1991.86</v>
      </c>
      <c r="M1605" s="85" t="s">
        <v>630</v>
      </c>
      <c r="N1605" s="128">
        <v>6635</v>
      </c>
      <c r="O1605" s="128">
        <f t="shared" si="77"/>
        <v>643595</v>
      </c>
      <c r="Q1605" t="s">
        <v>47</v>
      </c>
      <c r="R1605" s="214" t="s">
        <v>1869</v>
      </c>
      <c r="S1605" s="214" t="s">
        <v>1861</v>
      </c>
      <c r="T1605" t="s">
        <v>2234</v>
      </c>
      <c r="U1605" t="s">
        <v>1953</v>
      </c>
      <c r="V1605" t="s">
        <v>2813</v>
      </c>
    </row>
    <row r="1606" spans="1:22" ht="15.75" thickBot="1" x14ac:dyDescent="0.3">
      <c r="A1606" t="s">
        <v>4583</v>
      </c>
      <c r="B1606" t="s">
        <v>4583</v>
      </c>
      <c r="C1606" t="s">
        <v>4583</v>
      </c>
      <c r="D1606" t="s">
        <v>629</v>
      </c>
      <c r="E1606" s="248" t="s">
        <v>1853</v>
      </c>
      <c r="F1606" t="s">
        <v>620</v>
      </c>
      <c r="G1606" s="89">
        <v>2016</v>
      </c>
      <c r="H1606" s="312" t="s">
        <v>733</v>
      </c>
      <c r="I1606" s="308" t="str">
        <f t="shared" si="76"/>
        <v>Pesado de Passageiros M3: III : Gasóleo : E6</v>
      </c>
      <c r="J1606" s="125">
        <v>26</v>
      </c>
      <c r="K1606" s="253">
        <v>2022</v>
      </c>
      <c r="L1606" s="85">
        <v>6996.08</v>
      </c>
      <c r="M1606" s="85" t="s">
        <v>630</v>
      </c>
      <c r="N1606" s="128">
        <v>33606</v>
      </c>
      <c r="O1606" s="128">
        <f t="shared" si="77"/>
        <v>873756</v>
      </c>
      <c r="Q1606" t="s">
        <v>47</v>
      </c>
      <c r="R1606" s="214" t="s">
        <v>1869</v>
      </c>
      <c r="S1606" s="214" t="s">
        <v>1861</v>
      </c>
      <c r="T1606" t="s">
        <v>2235</v>
      </c>
      <c r="U1606" t="s">
        <v>1953</v>
      </c>
      <c r="V1606" t="s">
        <v>2813</v>
      </c>
    </row>
    <row r="1607" spans="1:22" ht="15.75" thickBot="1" x14ac:dyDescent="0.3">
      <c r="A1607" t="s">
        <v>4583</v>
      </c>
      <c r="B1607" t="s">
        <v>4583</v>
      </c>
      <c r="C1607" t="s">
        <v>4583</v>
      </c>
      <c r="D1607" t="s">
        <v>629</v>
      </c>
      <c r="E1607" s="248" t="s">
        <v>1853</v>
      </c>
      <c r="F1607" t="s">
        <v>620</v>
      </c>
      <c r="G1607" s="89">
        <v>2016</v>
      </c>
      <c r="H1607" s="312" t="s">
        <v>733</v>
      </c>
      <c r="I1607" s="308" t="str">
        <f t="shared" si="76"/>
        <v>Pesado de Passageiros M3: III : Gasóleo : E6</v>
      </c>
      <c r="J1607" s="125">
        <v>26</v>
      </c>
      <c r="K1607" s="253">
        <v>2022</v>
      </c>
      <c r="L1607" s="85">
        <v>4986.6999999999989</v>
      </c>
      <c r="M1607" s="85" t="s">
        <v>630</v>
      </c>
      <c r="N1607" s="128">
        <v>26330</v>
      </c>
      <c r="O1607" s="128">
        <f t="shared" si="77"/>
        <v>684580</v>
      </c>
      <c r="Q1607" t="s">
        <v>47</v>
      </c>
      <c r="R1607" s="214" t="s">
        <v>1869</v>
      </c>
      <c r="S1607" s="214" t="s">
        <v>1861</v>
      </c>
      <c r="T1607" t="s">
        <v>2236</v>
      </c>
      <c r="U1607" t="s">
        <v>1953</v>
      </c>
      <c r="V1607" t="s">
        <v>2813</v>
      </c>
    </row>
    <row r="1608" spans="1:22" ht="15.75" thickBot="1" x14ac:dyDescent="0.3">
      <c r="A1608" t="s">
        <v>4583</v>
      </c>
      <c r="B1608" t="s">
        <v>4583</v>
      </c>
      <c r="C1608" t="s">
        <v>4583</v>
      </c>
      <c r="D1608" t="s">
        <v>629</v>
      </c>
      <c r="E1608" s="248" t="s">
        <v>1853</v>
      </c>
      <c r="F1608" t="s">
        <v>620</v>
      </c>
      <c r="G1608" s="89">
        <v>2011</v>
      </c>
      <c r="H1608" s="312" t="s">
        <v>734</v>
      </c>
      <c r="I1608" s="308" t="str">
        <f t="shared" si="76"/>
        <v>Pesado de Passageiros M3: III : Gasóleo : E5</v>
      </c>
      <c r="J1608" s="125">
        <v>26</v>
      </c>
      <c r="K1608" s="253">
        <v>2022</v>
      </c>
      <c r="L1608" s="85">
        <v>2004.88</v>
      </c>
      <c r="M1608" s="85" t="s">
        <v>630</v>
      </c>
      <c r="N1608" s="128">
        <v>10006</v>
      </c>
      <c r="O1608" s="128">
        <f t="shared" si="77"/>
        <v>260156</v>
      </c>
      <c r="Q1608" t="s">
        <v>47</v>
      </c>
      <c r="R1608" s="214" t="s">
        <v>1869</v>
      </c>
      <c r="S1608" s="214" t="s">
        <v>1861</v>
      </c>
      <c r="T1608" t="s">
        <v>2237</v>
      </c>
      <c r="U1608" t="s">
        <v>1953</v>
      </c>
      <c r="V1608" t="s">
        <v>2813</v>
      </c>
    </row>
    <row r="1609" spans="1:22" ht="15.75" thickBot="1" x14ac:dyDescent="0.3">
      <c r="A1609" t="s">
        <v>4583</v>
      </c>
      <c r="B1609" t="s">
        <v>4583</v>
      </c>
      <c r="C1609" t="s">
        <v>4583</v>
      </c>
      <c r="D1609" t="s">
        <v>629</v>
      </c>
      <c r="E1609" s="248" t="s">
        <v>1853</v>
      </c>
      <c r="F1609" t="s">
        <v>620</v>
      </c>
      <c r="G1609" s="89">
        <v>2011</v>
      </c>
      <c r="H1609" s="312" t="s">
        <v>734</v>
      </c>
      <c r="I1609" s="308" t="str">
        <f t="shared" si="76"/>
        <v>Pesado de Passageiros M3: III : Gasóleo : E5</v>
      </c>
      <c r="J1609" s="125">
        <v>26</v>
      </c>
      <c r="K1609" s="253">
        <v>2022</v>
      </c>
      <c r="L1609" s="85">
        <v>2540.8699999999994</v>
      </c>
      <c r="M1609" s="85" t="s">
        <v>630</v>
      </c>
      <c r="N1609" s="128">
        <v>10926</v>
      </c>
      <c r="O1609" s="128">
        <f t="shared" si="77"/>
        <v>284076</v>
      </c>
      <c r="Q1609" t="s">
        <v>47</v>
      </c>
      <c r="R1609" s="214" t="s">
        <v>1869</v>
      </c>
      <c r="S1609" s="214" t="s">
        <v>1861</v>
      </c>
      <c r="T1609" t="s">
        <v>2238</v>
      </c>
      <c r="U1609" t="s">
        <v>1953</v>
      </c>
      <c r="V1609" t="s">
        <v>2813</v>
      </c>
    </row>
    <row r="1610" spans="1:22" ht="15.75" thickBot="1" x14ac:dyDescent="0.3">
      <c r="A1610" t="s">
        <v>4583</v>
      </c>
      <c r="B1610" t="s">
        <v>4583</v>
      </c>
      <c r="C1610" t="s">
        <v>4583</v>
      </c>
      <c r="D1610" t="s">
        <v>629</v>
      </c>
      <c r="E1610" s="248" t="s">
        <v>1853</v>
      </c>
      <c r="F1610" t="s">
        <v>620</v>
      </c>
      <c r="G1610" s="89">
        <v>2016</v>
      </c>
      <c r="H1610" s="312" t="s">
        <v>733</v>
      </c>
      <c r="I1610" s="308" t="str">
        <f t="shared" si="76"/>
        <v>Pesado de Passageiros M3: III : Gasóleo : E6</v>
      </c>
      <c r="J1610" s="125">
        <v>26</v>
      </c>
      <c r="K1610" s="253">
        <v>2022</v>
      </c>
      <c r="L1610" s="85">
        <v>12651.99</v>
      </c>
      <c r="M1610" s="85" t="s">
        <v>630</v>
      </c>
      <c r="N1610" s="128">
        <v>58148</v>
      </c>
      <c r="O1610" s="128">
        <f t="shared" si="77"/>
        <v>1511848</v>
      </c>
      <c r="Q1610" t="s">
        <v>47</v>
      </c>
      <c r="R1610" s="214" t="s">
        <v>1869</v>
      </c>
      <c r="S1610" s="214" t="s">
        <v>1861</v>
      </c>
      <c r="T1610" t="s">
        <v>2239</v>
      </c>
      <c r="U1610" t="s">
        <v>1953</v>
      </c>
      <c r="V1610" t="s">
        <v>2813</v>
      </c>
    </row>
    <row r="1611" spans="1:22" ht="15.75" thickBot="1" x14ac:dyDescent="0.3">
      <c r="A1611" t="s">
        <v>4583</v>
      </c>
      <c r="B1611" t="s">
        <v>4583</v>
      </c>
      <c r="C1611" t="s">
        <v>4583</v>
      </c>
      <c r="D1611" t="s">
        <v>629</v>
      </c>
      <c r="E1611" s="248" t="s">
        <v>1853</v>
      </c>
      <c r="F1611" t="s">
        <v>620</v>
      </c>
      <c r="G1611" s="89">
        <v>2016</v>
      </c>
      <c r="H1611" s="312" t="s">
        <v>733</v>
      </c>
      <c r="I1611" s="308" t="str">
        <f t="shared" si="76"/>
        <v>Pesado de Passageiros M3: III : Gasóleo : E6</v>
      </c>
      <c r="J1611" s="125">
        <v>26</v>
      </c>
      <c r="K1611" s="253">
        <v>2022</v>
      </c>
      <c r="L1611" s="85">
        <v>5415.7999999999993</v>
      </c>
      <c r="M1611" s="85" t="s">
        <v>630</v>
      </c>
      <c r="N1611" s="128">
        <v>33635</v>
      </c>
      <c r="O1611" s="128">
        <f t="shared" si="77"/>
        <v>874510</v>
      </c>
      <c r="Q1611" t="s">
        <v>47</v>
      </c>
      <c r="R1611" s="214" t="s">
        <v>1869</v>
      </c>
      <c r="S1611" s="214" t="s">
        <v>1861</v>
      </c>
      <c r="T1611" t="s">
        <v>2240</v>
      </c>
      <c r="U1611" t="s">
        <v>1953</v>
      </c>
      <c r="V1611" t="s">
        <v>2813</v>
      </c>
    </row>
    <row r="1612" spans="1:22" ht="15.75" thickBot="1" x14ac:dyDescent="0.3">
      <c r="A1612" t="s">
        <v>4583</v>
      </c>
      <c r="B1612" t="s">
        <v>4583</v>
      </c>
      <c r="C1612" t="s">
        <v>4583</v>
      </c>
      <c r="D1612" t="s">
        <v>629</v>
      </c>
      <c r="E1612" s="248" t="s">
        <v>1853</v>
      </c>
      <c r="F1612" t="s">
        <v>620</v>
      </c>
      <c r="G1612" s="89">
        <v>2016</v>
      </c>
      <c r="H1612" s="312" t="s">
        <v>733</v>
      </c>
      <c r="I1612" s="308" t="str">
        <f t="shared" si="76"/>
        <v>Pesado de Passageiros M3: III : Gasóleo : E6</v>
      </c>
      <c r="J1612" s="125">
        <v>26</v>
      </c>
      <c r="K1612" s="253">
        <v>2022</v>
      </c>
      <c r="L1612" s="85">
        <v>12303.289999999997</v>
      </c>
      <c r="M1612" s="85" t="s">
        <v>630</v>
      </c>
      <c r="N1612" s="128">
        <v>57584</v>
      </c>
      <c r="O1612" s="128">
        <f t="shared" si="77"/>
        <v>1497184</v>
      </c>
      <c r="Q1612" t="s">
        <v>47</v>
      </c>
      <c r="R1612" s="214" t="s">
        <v>1869</v>
      </c>
      <c r="S1612" s="214" t="s">
        <v>1861</v>
      </c>
      <c r="T1612" t="s">
        <v>2241</v>
      </c>
      <c r="U1612" t="s">
        <v>1953</v>
      </c>
      <c r="V1612" t="s">
        <v>2813</v>
      </c>
    </row>
    <row r="1613" spans="1:22" ht="15.75" thickBot="1" x14ac:dyDescent="0.3">
      <c r="A1613" t="s">
        <v>4583</v>
      </c>
      <c r="B1613" t="s">
        <v>4583</v>
      </c>
      <c r="C1613" t="s">
        <v>4583</v>
      </c>
      <c r="D1613" t="s">
        <v>629</v>
      </c>
      <c r="E1613" s="248" t="s">
        <v>1853</v>
      </c>
      <c r="F1613" t="s">
        <v>620</v>
      </c>
      <c r="G1613" s="89">
        <v>2016</v>
      </c>
      <c r="H1613" s="312" t="s">
        <v>733</v>
      </c>
      <c r="I1613" s="308" t="str">
        <f t="shared" si="76"/>
        <v>Pesado de Passageiros M3: III : Gasóleo : E6</v>
      </c>
      <c r="J1613" s="125">
        <v>26</v>
      </c>
      <c r="K1613" s="253">
        <v>2022</v>
      </c>
      <c r="L1613" s="85">
        <v>6217.77</v>
      </c>
      <c r="M1613" s="85" t="s">
        <v>630</v>
      </c>
      <c r="N1613" s="128">
        <v>30832</v>
      </c>
      <c r="O1613" s="128">
        <f t="shared" si="77"/>
        <v>801632</v>
      </c>
      <c r="Q1613" t="s">
        <v>47</v>
      </c>
      <c r="R1613" s="214" t="s">
        <v>1869</v>
      </c>
      <c r="S1613" s="214" t="s">
        <v>1861</v>
      </c>
      <c r="T1613" t="s">
        <v>2242</v>
      </c>
      <c r="U1613" t="s">
        <v>1953</v>
      </c>
      <c r="V1613" t="s">
        <v>2813</v>
      </c>
    </row>
    <row r="1614" spans="1:22" ht="15.75" thickBot="1" x14ac:dyDescent="0.3">
      <c r="A1614" t="s">
        <v>4583</v>
      </c>
      <c r="B1614" t="s">
        <v>4583</v>
      </c>
      <c r="C1614" t="s">
        <v>4583</v>
      </c>
      <c r="D1614" t="s">
        <v>629</v>
      </c>
      <c r="E1614" s="248" t="s">
        <v>1853</v>
      </c>
      <c r="F1614" t="s">
        <v>620</v>
      </c>
      <c r="G1614" s="89">
        <v>2017</v>
      </c>
      <c r="H1614" s="312" t="s">
        <v>733</v>
      </c>
      <c r="I1614" s="308" t="str">
        <f t="shared" si="76"/>
        <v>Pesado de Passageiros M3: III : Gasóleo : E6</v>
      </c>
      <c r="J1614" s="125">
        <v>26</v>
      </c>
      <c r="K1614" s="253">
        <v>2022</v>
      </c>
      <c r="L1614" s="85">
        <v>4732.5</v>
      </c>
      <c r="M1614" s="85" t="s">
        <v>630</v>
      </c>
      <c r="N1614" s="128">
        <v>23138</v>
      </c>
      <c r="O1614" s="128">
        <f t="shared" si="77"/>
        <v>601588</v>
      </c>
      <c r="Q1614" t="s">
        <v>47</v>
      </c>
      <c r="R1614" s="214" t="s">
        <v>1869</v>
      </c>
      <c r="S1614" s="214" t="s">
        <v>1861</v>
      </c>
      <c r="T1614" t="s">
        <v>2243</v>
      </c>
      <c r="U1614" t="s">
        <v>1953</v>
      </c>
      <c r="V1614" t="s">
        <v>2813</v>
      </c>
    </row>
    <row r="1615" spans="1:22" ht="15.75" thickBot="1" x14ac:dyDescent="0.3">
      <c r="A1615" t="s">
        <v>4583</v>
      </c>
      <c r="B1615" t="s">
        <v>4583</v>
      </c>
      <c r="C1615" t="s">
        <v>4583</v>
      </c>
      <c r="D1615" t="s">
        <v>629</v>
      </c>
      <c r="E1615" s="248" t="s">
        <v>1853</v>
      </c>
      <c r="F1615" t="s">
        <v>620</v>
      </c>
      <c r="G1615" s="89">
        <v>2017</v>
      </c>
      <c r="H1615" s="312" t="s">
        <v>733</v>
      </c>
      <c r="I1615" s="308" t="str">
        <f t="shared" si="76"/>
        <v>Pesado de Passageiros M3: III : Gasóleo : E6</v>
      </c>
      <c r="J1615" s="125">
        <v>26</v>
      </c>
      <c r="K1615" s="253">
        <v>2022</v>
      </c>
      <c r="L1615" s="85">
        <v>2705.96</v>
      </c>
      <c r="M1615" s="85" t="s">
        <v>630</v>
      </c>
      <c r="N1615" s="128">
        <v>14887</v>
      </c>
      <c r="O1615" s="128">
        <f t="shared" si="77"/>
        <v>387062</v>
      </c>
      <c r="Q1615" t="s">
        <v>47</v>
      </c>
      <c r="R1615" s="214" t="s">
        <v>1869</v>
      </c>
      <c r="S1615" s="214" t="s">
        <v>1861</v>
      </c>
      <c r="T1615" t="s">
        <v>2244</v>
      </c>
      <c r="U1615" t="s">
        <v>1953</v>
      </c>
      <c r="V1615" t="s">
        <v>2813</v>
      </c>
    </row>
    <row r="1616" spans="1:22" ht="15.75" thickBot="1" x14ac:dyDescent="0.3">
      <c r="A1616" t="s">
        <v>4583</v>
      </c>
      <c r="B1616" t="s">
        <v>4583</v>
      </c>
      <c r="C1616" t="s">
        <v>4583</v>
      </c>
      <c r="D1616" t="s">
        <v>629</v>
      </c>
      <c r="E1616" s="248" t="s">
        <v>1853</v>
      </c>
      <c r="F1616" t="s">
        <v>620</v>
      </c>
      <c r="G1616" s="89">
        <v>2019</v>
      </c>
      <c r="H1616" s="312" t="s">
        <v>733</v>
      </c>
      <c r="I1616" s="308" t="str">
        <f t="shared" si="76"/>
        <v>Pesado de Passageiros M3: III : Gasóleo : E6</v>
      </c>
      <c r="J1616" s="125">
        <v>15</v>
      </c>
      <c r="K1616" s="253">
        <v>2022</v>
      </c>
      <c r="L1616" s="85">
        <v>6336.19</v>
      </c>
      <c r="M1616" s="85" t="s">
        <v>630</v>
      </c>
      <c r="N1616" s="128">
        <v>35390</v>
      </c>
      <c r="O1616" s="128">
        <f t="shared" si="77"/>
        <v>530850</v>
      </c>
      <c r="Q1616" t="s">
        <v>47</v>
      </c>
      <c r="R1616" s="214" t="s">
        <v>1869</v>
      </c>
      <c r="S1616" s="214" t="s">
        <v>1861</v>
      </c>
      <c r="T1616" t="s">
        <v>2245</v>
      </c>
      <c r="U1616" t="s">
        <v>1953</v>
      </c>
      <c r="V1616" t="s">
        <v>2813</v>
      </c>
    </row>
    <row r="1617" spans="1:22" ht="15.75" thickBot="1" x14ac:dyDescent="0.3">
      <c r="A1617" t="s">
        <v>4583</v>
      </c>
      <c r="B1617" t="s">
        <v>4583</v>
      </c>
      <c r="C1617" t="s">
        <v>4583</v>
      </c>
      <c r="D1617" t="s">
        <v>629</v>
      </c>
      <c r="E1617" s="248" t="s">
        <v>1853</v>
      </c>
      <c r="F1617" t="s">
        <v>620</v>
      </c>
      <c r="G1617" s="89">
        <v>2019</v>
      </c>
      <c r="H1617" s="312" t="s">
        <v>733</v>
      </c>
      <c r="I1617" s="308" t="str">
        <f t="shared" si="76"/>
        <v>Pesado de Passageiros M3: III : Gasóleo : E6</v>
      </c>
      <c r="J1617" s="125">
        <v>15</v>
      </c>
      <c r="K1617" s="253">
        <v>2022</v>
      </c>
      <c r="L1617" s="85">
        <v>6983.59</v>
      </c>
      <c r="M1617" s="85" t="s">
        <v>630</v>
      </c>
      <c r="N1617" s="128">
        <v>38151</v>
      </c>
      <c r="O1617" s="128">
        <f t="shared" si="77"/>
        <v>572265</v>
      </c>
      <c r="Q1617" t="s">
        <v>47</v>
      </c>
      <c r="R1617" s="214" t="s">
        <v>1869</v>
      </c>
      <c r="S1617" s="214" t="s">
        <v>1861</v>
      </c>
      <c r="T1617" t="s">
        <v>2246</v>
      </c>
      <c r="U1617" t="s">
        <v>1953</v>
      </c>
      <c r="V1617" t="s">
        <v>2813</v>
      </c>
    </row>
    <row r="1618" spans="1:22" ht="15.75" thickBot="1" x14ac:dyDescent="0.3">
      <c r="A1618" t="s">
        <v>4583</v>
      </c>
      <c r="B1618" t="s">
        <v>4583</v>
      </c>
      <c r="C1618" t="s">
        <v>4583</v>
      </c>
      <c r="D1618" t="s">
        <v>629</v>
      </c>
      <c r="E1618" s="248" t="s">
        <v>1853</v>
      </c>
      <c r="F1618" t="s">
        <v>620</v>
      </c>
      <c r="G1618" s="89">
        <v>2020</v>
      </c>
      <c r="H1618" s="312" t="s">
        <v>733</v>
      </c>
      <c r="I1618" s="308" t="str">
        <f t="shared" si="76"/>
        <v>Pesado de Passageiros M3: III : Gasóleo : E6</v>
      </c>
      <c r="J1618" s="125">
        <v>26</v>
      </c>
      <c r="K1618" s="253">
        <v>2022</v>
      </c>
      <c r="L1618" s="85">
        <v>7533.2300000000005</v>
      </c>
      <c r="M1618" s="85" t="s">
        <v>630</v>
      </c>
      <c r="N1618" s="128">
        <v>42586</v>
      </c>
      <c r="O1618" s="128">
        <f t="shared" si="77"/>
        <v>1107236</v>
      </c>
      <c r="Q1618" t="s">
        <v>47</v>
      </c>
      <c r="R1618" s="214" t="s">
        <v>1869</v>
      </c>
      <c r="S1618" s="214" t="s">
        <v>1861</v>
      </c>
      <c r="T1618" t="s">
        <v>2247</v>
      </c>
      <c r="U1618" t="s">
        <v>1953</v>
      </c>
      <c r="V1618" t="s">
        <v>2813</v>
      </c>
    </row>
    <row r="1619" spans="1:22" ht="15.75" thickBot="1" x14ac:dyDescent="0.3">
      <c r="A1619" t="s">
        <v>4583</v>
      </c>
      <c r="B1619" t="s">
        <v>4583</v>
      </c>
      <c r="C1619" t="s">
        <v>4583</v>
      </c>
      <c r="D1619" t="s">
        <v>629</v>
      </c>
      <c r="E1619" s="248" t="s">
        <v>1853</v>
      </c>
      <c r="F1619" t="s">
        <v>620</v>
      </c>
      <c r="G1619" s="89">
        <v>2020</v>
      </c>
      <c r="H1619" s="312" t="s">
        <v>733</v>
      </c>
      <c r="I1619" s="308" t="str">
        <f t="shared" si="76"/>
        <v>Pesado de Passageiros M3: III : Gasóleo : E6</v>
      </c>
      <c r="J1619" s="125">
        <v>26</v>
      </c>
      <c r="K1619" s="253">
        <v>2022</v>
      </c>
      <c r="L1619" s="85">
        <v>7690.0100000000011</v>
      </c>
      <c r="M1619" s="85" t="s">
        <v>630</v>
      </c>
      <c r="N1619" s="128">
        <v>45747</v>
      </c>
      <c r="O1619" s="128">
        <f t="shared" si="77"/>
        <v>1189422</v>
      </c>
      <c r="Q1619" t="s">
        <v>47</v>
      </c>
      <c r="R1619" s="214" t="s">
        <v>1869</v>
      </c>
      <c r="S1619" s="214" t="s">
        <v>1861</v>
      </c>
      <c r="T1619" t="s">
        <v>2248</v>
      </c>
      <c r="U1619" t="s">
        <v>1953</v>
      </c>
      <c r="V1619" t="s">
        <v>2813</v>
      </c>
    </row>
    <row r="1620" spans="1:22" ht="15.75" thickBot="1" x14ac:dyDescent="0.3">
      <c r="A1620" t="s">
        <v>4583</v>
      </c>
      <c r="B1620" t="s">
        <v>4583</v>
      </c>
      <c r="C1620" t="s">
        <v>4583</v>
      </c>
      <c r="D1620" t="s">
        <v>629</v>
      </c>
      <c r="E1620" s="248" t="s">
        <v>1853</v>
      </c>
      <c r="F1620" t="s">
        <v>620</v>
      </c>
      <c r="G1620" s="89">
        <v>2020</v>
      </c>
      <c r="H1620" s="312" t="s">
        <v>733</v>
      </c>
      <c r="I1620" s="308" t="str">
        <f t="shared" si="76"/>
        <v>Pesado de Passageiros M3: III : Gasóleo : E6</v>
      </c>
      <c r="J1620" s="125">
        <v>26</v>
      </c>
      <c r="K1620" s="253">
        <v>2022</v>
      </c>
      <c r="L1620" s="85">
        <v>8723.66</v>
      </c>
      <c r="M1620" s="85" t="s">
        <v>630</v>
      </c>
      <c r="N1620" s="128">
        <v>47894</v>
      </c>
      <c r="O1620" s="128">
        <f t="shared" si="77"/>
        <v>1245244</v>
      </c>
      <c r="Q1620" t="s">
        <v>47</v>
      </c>
      <c r="R1620" s="214" t="s">
        <v>1869</v>
      </c>
      <c r="S1620" s="214" t="s">
        <v>1861</v>
      </c>
      <c r="T1620" t="s">
        <v>2249</v>
      </c>
      <c r="U1620" t="s">
        <v>1953</v>
      </c>
      <c r="V1620" t="s">
        <v>2813</v>
      </c>
    </row>
    <row r="1621" spans="1:22" ht="15.75" thickBot="1" x14ac:dyDescent="0.3">
      <c r="A1621" t="s">
        <v>4583</v>
      </c>
      <c r="B1621" t="s">
        <v>4583</v>
      </c>
      <c r="C1621" t="s">
        <v>4583</v>
      </c>
      <c r="D1621" t="s">
        <v>629</v>
      </c>
      <c r="E1621" s="248" t="s">
        <v>1853</v>
      </c>
      <c r="F1621" t="s">
        <v>620</v>
      </c>
      <c r="G1621" s="89">
        <v>2020</v>
      </c>
      <c r="H1621" s="312" t="s">
        <v>733</v>
      </c>
      <c r="I1621" s="308" t="str">
        <f t="shared" si="76"/>
        <v>Pesado de Passageiros M3: III : Gasóleo : E6</v>
      </c>
      <c r="J1621" s="125">
        <v>26</v>
      </c>
      <c r="K1621" s="253">
        <v>2022</v>
      </c>
      <c r="L1621" s="85">
        <v>8128.99</v>
      </c>
      <c r="M1621" s="85" t="s">
        <v>630</v>
      </c>
      <c r="N1621" s="128">
        <v>45322</v>
      </c>
      <c r="O1621" s="128">
        <f t="shared" si="77"/>
        <v>1178372</v>
      </c>
      <c r="Q1621" t="s">
        <v>47</v>
      </c>
      <c r="R1621" s="214" t="s">
        <v>1869</v>
      </c>
      <c r="S1621" s="214" t="s">
        <v>1861</v>
      </c>
      <c r="T1621" t="s">
        <v>2250</v>
      </c>
      <c r="U1621" t="s">
        <v>1953</v>
      </c>
      <c r="V1621" t="s">
        <v>2813</v>
      </c>
    </row>
    <row r="1622" spans="1:22" ht="15.75" thickBot="1" x14ac:dyDescent="0.3">
      <c r="A1622" t="s">
        <v>4583</v>
      </c>
      <c r="B1622" t="s">
        <v>4583</v>
      </c>
      <c r="C1622" t="s">
        <v>4583</v>
      </c>
      <c r="D1622" t="s">
        <v>629</v>
      </c>
      <c r="E1622" s="248" t="s">
        <v>1853</v>
      </c>
      <c r="F1622" t="s">
        <v>620</v>
      </c>
      <c r="G1622" s="89">
        <v>2020</v>
      </c>
      <c r="H1622" s="312" t="s">
        <v>733</v>
      </c>
      <c r="I1622" s="308" t="str">
        <f t="shared" si="76"/>
        <v>Pesado de Passageiros M3: III : Gasóleo : E6</v>
      </c>
      <c r="J1622" s="125">
        <v>26</v>
      </c>
      <c r="K1622" s="253">
        <v>2022</v>
      </c>
      <c r="L1622" s="85">
        <v>6836.12</v>
      </c>
      <c r="M1622" s="85" t="s">
        <v>630</v>
      </c>
      <c r="N1622" s="128">
        <v>37658</v>
      </c>
      <c r="O1622" s="128">
        <f t="shared" si="77"/>
        <v>979108</v>
      </c>
      <c r="Q1622" t="s">
        <v>47</v>
      </c>
      <c r="R1622" s="214" t="s">
        <v>1869</v>
      </c>
      <c r="S1622" s="214" t="s">
        <v>1861</v>
      </c>
      <c r="T1622" t="s">
        <v>2251</v>
      </c>
      <c r="U1622" t="s">
        <v>1953</v>
      </c>
      <c r="V1622" t="s">
        <v>2813</v>
      </c>
    </row>
    <row r="1623" spans="1:22" ht="15.75" thickBot="1" x14ac:dyDescent="0.3">
      <c r="A1623" t="s">
        <v>4583</v>
      </c>
      <c r="B1623" t="s">
        <v>4583</v>
      </c>
      <c r="C1623" t="s">
        <v>4583</v>
      </c>
      <c r="D1623" t="s">
        <v>629</v>
      </c>
      <c r="E1623" s="248" t="s">
        <v>1853</v>
      </c>
      <c r="F1623" t="s">
        <v>620</v>
      </c>
      <c r="G1623" s="89">
        <v>2004</v>
      </c>
      <c r="H1623" s="312" t="s">
        <v>732</v>
      </c>
      <c r="I1623" s="308" t="str">
        <f t="shared" si="76"/>
        <v>Pesado de Passageiros M3: III : Gasóleo : E3</v>
      </c>
      <c r="J1623" s="125">
        <v>50</v>
      </c>
      <c r="K1623" s="253">
        <v>2022</v>
      </c>
      <c r="L1623" s="85">
        <v>19374.989999999998</v>
      </c>
      <c r="M1623" s="85" t="s">
        <v>630</v>
      </c>
      <c r="N1623" s="128">
        <v>54984</v>
      </c>
      <c r="O1623" s="128">
        <f t="shared" si="77"/>
        <v>2749200</v>
      </c>
      <c r="Q1623" t="s">
        <v>47</v>
      </c>
      <c r="R1623" s="214" t="s">
        <v>1869</v>
      </c>
      <c r="S1623" s="214" t="s">
        <v>1861</v>
      </c>
      <c r="T1623" t="s">
        <v>2252</v>
      </c>
      <c r="U1623" t="s">
        <v>1953</v>
      </c>
      <c r="V1623" t="s">
        <v>2813</v>
      </c>
    </row>
    <row r="1624" spans="1:22" ht="15.75" thickBot="1" x14ac:dyDescent="0.3">
      <c r="A1624" t="s">
        <v>4583</v>
      </c>
      <c r="B1624" t="s">
        <v>4583</v>
      </c>
      <c r="C1624" t="s">
        <v>4583</v>
      </c>
      <c r="D1624" t="s">
        <v>629</v>
      </c>
      <c r="E1624" s="248" t="s">
        <v>1853</v>
      </c>
      <c r="F1624" t="s">
        <v>620</v>
      </c>
      <c r="G1624" s="89">
        <v>2004</v>
      </c>
      <c r="H1624" s="312" t="s">
        <v>732</v>
      </c>
      <c r="I1624" s="308" t="str">
        <f t="shared" si="76"/>
        <v>Pesado de Passageiros M3: III : Gasóleo : E3</v>
      </c>
      <c r="J1624" s="125">
        <v>54</v>
      </c>
      <c r="K1624" s="253">
        <v>2022</v>
      </c>
      <c r="L1624" s="85">
        <v>9659.74</v>
      </c>
      <c r="M1624" s="85" t="s">
        <v>630</v>
      </c>
      <c r="N1624" s="128">
        <v>30299</v>
      </c>
      <c r="O1624" s="128">
        <f t="shared" si="77"/>
        <v>1636146</v>
      </c>
      <c r="Q1624" t="s">
        <v>47</v>
      </c>
      <c r="R1624" s="214" t="s">
        <v>1869</v>
      </c>
      <c r="S1624" s="214" t="s">
        <v>1861</v>
      </c>
      <c r="T1624" t="s">
        <v>2253</v>
      </c>
      <c r="U1624" t="s">
        <v>1953</v>
      </c>
      <c r="V1624" t="s">
        <v>2813</v>
      </c>
    </row>
    <row r="1625" spans="1:22" ht="15.75" thickBot="1" x14ac:dyDescent="0.3">
      <c r="A1625" t="s">
        <v>4583</v>
      </c>
      <c r="B1625" t="s">
        <v>4583</v>
      </c>
      <c r="C1625" t="s">
        <v>4583</v>
      </c>
      <c r="D1625" t="s">
        <v>629</v>
      </c>
      <c r="E1625" s="248" t="s">
        <v>1853</v>
      </c>
      <c r="F1625" t="s">
        <v>620</v>
      </c>
      <c r="G1625" s="89">
        <v>2004</v>
      </c>
      <c r="H1625" s="312" t="s">
        <v>732</v>
      </c>
      <c r="I1625" s="308" t="str">
        <f t="shared" si="76"/>
        <v>Pesado de Passageiros M3: III : Gasóleo : E3</v>
      </c>
      <c r="J1625" s="125">
        <v>54</v>
      </c>
      <c r="K1625" s="253">
        <v>2022</v>
      </c>
      <c r="L1625" s="85">
        <v>14302.819999999998</v>
      </c>
      <c r="M1625" s="85" t="s">
        <v>630</v>
      </c>
      <c r="N1625" s="128">
        <v>44710</v>
      </c>
      <c r="O1625" s="128">
        <f t="shared" si="77"/>
        <v>2414340</v>
      </c>
      <c r="Q1625" t="s">
        <v>47</v>
      </c>
      <c r="R1625" s="214" t="s">
        <v>1869</v>
      </c>
      <c r="S1625" s="214" t="s">
        <v>1861</v>
      </c>
      <c r="T1625" t="s">
        <v>2254</v>
      </c>
      <c r="U1625" t="s">
        <v>1953</v>
      </c>
      <c r="V1625" t="s">
        <v>2813</v>
      </c>
    </row>
    <row r="1626" spans="1:22" ht="15.75" thickBot="1" x14ac:dyDescent="0.3">
      <c r="A1626" t="s">
        <v>4583</v>
      </c>
      <c r="B1626" t="s">
        <v>4583</v>
      </c>
      <c r="C1626" t="s">
        <v>4583</v>
      </c>
      <c r="D1626" t="s">
        <v>629</v>
      </c>
      <c r="E1626" s="248" t="s">
        <v>1853</v>
      </c>
      <c r="F1626" t="s">
        <v>620</v>
      </c>
      <c r="G1626" s="89">
        <v>2004</v>
      </c>
      <c r="H1626" s="312" t="s">
        <v>732</v>
      </c>
      <c r="I1626" s="308" t="str">
        <f t="shared" si="76"/>
        <v>Pesado de Passageiros M3: III : Gasóleo : E3</v>
      </c>
      <c r="J1626" s="125">
        <v>54</v>
      </c>
      <c r="K1626" s="253">
        <v>2022</v>
      </c>
      <c r="L1626" s="85">
        <v>18059.62</v>
      </c>
      <c r="M1626" s="85" t="s">
        <v>630</v>
      </c>
      <c r="N1626" s="128">
        <v>56704</v>
      </c>
      <c r="O1626" s="128">
        <f t="shared" si="77"/>
        <v>3062016</v>
      </c>
      <c r="Q1626" t="s">
        <v>47</v>
      </c>
      <c r="R1626" s="214" t="s">
        <v>1869</v>
      </c>
      <c r="S1626" s="214" t="s">
        <v>1861</v>
      </c>
      <c r="T1626" t="s">
        <v>2255</v>
      </c>
      <c r="U1626" t="s">
        <v>1953</v>
      </c>
      <c r="V1626" t="s">
        <v>2813</v>
      </c>
    </row>
    <row r="1627" spans="1:22" ht="15.75" thickBot="1" x14ac:dyDescent="0.3">
      <c r="A1627" t="s">
        <v>4583</v>
      </c>
      <c r="B1627" t="s">
        <v>4583</v>
      </c>
      <c r="C1627" t="s">
        <v>4583</v>
      </c>
      <c r="D1627" t="s">
        <v>629</v>
      </c>
      <c r="E1627" s="248" t="s">
        <v>1853</v>
      </c>
      <c r="F1627" t="s">
        <v>620</v>
      </c>
      <c r="G1627" s="89">
        <v>2004</v>
      </c>
      <c r="H1627" s="312" t="s">
        <v>732</v>
      </c>
      <c r="I1627" s="308" t="str">
        <f t="shared" si="76"/>
        <v>Pesado de Passageiros M3: III : Gasóleo : E3</v>
      </c>
      <c r="J1627" s="125">
        <v>54</v>
      </c>
      <c r="K1627" s="253">
        <v>2022</v>
      </c>
      <c r="L1627" s="85">
        <v>15138.499999999998</v>
      </c>
      <c r="M1627" s="85" t="s">
        <v>630</v>
      </c>
      <c r="N1627" s="128">
        <v>45866</v>
      </c>
      <c r="O1627" s="128">
        <f t="shared" si="77"/>
        <v>2476764</v>
      </c>
      <c r="Q1627" t="s">
        <v>47</v>
      </c>
      <c r="R1627" s="214" t="s">
        <v>1869</v>
      </c>
      <c r="S1627" s="214" t="s">
        <v>1861</v>
      </c>
      <c r="T1627" t="s">
        <v>2256</v>
      </c>
      <c r="U1627" t="s">
        <v>1953</v>
      </c>
      <c r="V1627" t="s">
        <v>2813</v>
      </c>
    </row>
    <row r="1628" spans="1:22" ht="15.75" thickBot="1" x14ac:dyDescent="0.3">
      <c r="A1628" t="s">
        <v>4583</v>
      </c>
      <c r="B1628" t="s">
        <v>4583</v>
      </c>
      <c r="C1628" t="s">
        <v>4583</v>
      </c>
      <c r="D1628" t="s">
        <v>629</v>
      </c>
      <c r="E1628" s="248" t="s">
        <v>1853</v>
      </c>
      <c r="F1628" t="s">
        <v>620</v>
      </c>
      <c r="G1628" s="89">
        <v>2000</v>
      </c>
      <c r="H1628" s="312" t="s">
        <v>732</v>
      </c>
      <c r="I1628" s="308" t="str">
        <f t="shared" si="76"/>
        <v>Pesado de Passageiros M3: III : Gasóleo : E3</v>
      </c>
      <c r="J1628" s="125">
        <v>83</v>
      </c>
      <c r="K1628" s="253">
        <v>2022</v>
      </c>
      <c r="L1628" s="85">
        <v>3605.8</v>
      </c>
      <c r="M1628" s="85" t="s">
        <v>630</v>
      </c>
      <c r="N1628" s="128">
        <v>11283</v>
      </c>
      <c r="O1628" s="128">
        <f t="shared" si="77"/>
        <v>936489</v>
      </c>
      <c r="Q1628" t="s">
        <v>47</v>
      </c>
      <c r="R1628" s="214" t="s">
        <v>1869</v>
      </c>
      <c r="S1628" s="214" t="s">
        <v>1861</v>
      </c>
      <c r="T1628" t="s">
        <v>2257</v>
      </c>
      <c r="U1628" t="s">
        <v>1953</v>
      </c>
      <c r="V1628" t="s">
        <v>2813</v>
      </c>
    </row>
    <row r="1629" spans="1:22" ht="15.75" thickBot="1" x14ac:dyDescent="0.3">
      <c r="A1629" t="s">
        <v>4583</v>
      </c>
      <c r="B1629" t="s">
        <v>4583</v>
      </c>
      <c r="C1629" t="s">
        <v>4583</v>
      </c>
      <c r="D1629" t="s">
        <v>629</v>
      </c>
      <c r="E1629" s="248" t="s">
        <v>1853</v>
      </c>
      <c r="F1629" t="s">
        <v>620</v>
      </c>
      <c r="G1629" s="89">
        <v>2002</v>
      </c>
      <c r="H1629" s="312" t="s">
        <v>732</v>
      </c>
      <c r="I1629" s="308" t="str">
        <f t="shared" si="76"/>
        <v>Pesado de Passageiros M3: III : Gasóleo : E3</v>
      </c>
      <c r="J1629" s="125">
        <v>76</v>
      </c>
      <c r="K1629" s="253">
        <v>2022</v>
      </c>
      <c r="L1629" s="85">
        <v>8489.69</v>
      </c>
      <c r="M1629" s="85" t="s">
        <v>630</v>
      </c>
      <c r="N1629" s="128">
        <v>27341</v>
      </c>
      <c r="O1629" s="128">
        <f t="shared" si="77"/>
        <v>2077916</v>
      </c>
      <c r="Q1629" t="s">
        <v>47</v>
      </c>
      <c r="R1629" s="214" t="s">
        <v>1869</v>
      </c>
      <c r="S1629" s="214" t="s">
        <v>1861</v>
      </c>
      <c r="T1629" t="s">
        <v>2258</v>
      </c>
      <c r="U1629" t="s">
        <v>1953</v>
      </c>
      <c r="V1629" t="s">
        <v>2813</v>
      </c>
    </row>
    <row r="1630" spans="1:22" ht="15.75" thickBot="1" x14ac:dyDescent="0.3">
      <c r="A1630" t="s">
        <v>4583</v>
      </c>
      <c r="B1630" t="s">
        <v>4583</v>
      </c>
      <c r="C1630" t="s">
        <v>4583</v>
      </c>
      <c r="D1630" t="s">
        <v>629</v>
      </c>
      <c r="E1630" s="248" t="s">
        <v>1853</v>
      </c>
      <c r="F1630" t="s">
        <v>620</v>
      </c>
      <c r="G1630" s="89">
        <v>2018</v>
      </c>
      <c r="H1630" s="312" t="s">
        <v>733</v>
      </c>
      <c r="I1630" s="308" t="str">
        <f t="shared" si="76"/>
        <v>Pesado de Passageiros M3: III : Gasóleo : E6</v>
      </c>
      <c r="J1630" s="125">
        <v>64</v>
      </c>
      <c r="K1630" s="253">
        <v>2022</v>
      </c>
      <c r="L1630" s="85">
        <v>49547.09</v>
      </c>
      <c r="M1630" s="85" t="s">
        <v>630</v>
      </c>
      <c r="N1630" s="128">
        <v>158862</v>
      </c>
      <c r="O1630" s="128">
        <f t="shared" si="77"/>
        <v>10167168</v>
      </c>
      <c r="Q1630" t="s">
        <v>47</v>
      </c>
      <c r="R1630" s="214" t="s">
        <v>1869</v>
      </c>
      <c r="S1630" s="214" t="s">
        <v>1861</v>
      </c>
      <c r="T1630" t="s">
        <v>2259</v>
      </c>
      <c r="U1630" t="s">
        <v>1953</v>
      </c>
      <c r="V1630" t="s">
        <v>2813</v>
      </c>
    </row>
    <row r="1631" spans="1:22" ht="15.75" thickBot="1" x14ac:dyDescent="0.3">
      <c r="A1631" t="s">
        <v>4583</v>
      </c>
      <c r="B1631" t="s">
        <v>4583</v>
      </c>
      <c r="C1631" t="s">
        <v>4583</v>
      </c>
      <c r="D1631" t="s">
        <v>629</v>
      </c>
      <c r="E1631" s="248" t="s">
        <v>1853</v>
      </c>
      <c r="F1631" t="s">
        <v>620</v>
      </c>
      <c r="G1631" s="89">
        <v>2017</v>
      </c>
      <c r="H1631" s="312" t="s">
        <v>733</v>
      </c>
      <c r="I1631" s="308" t="str">
        <f t="shared" si="76"/>
        <v>Pesado de Passageiros M3: III : Gasóleo : E6</v>
      </c>
      <c r="J1631" s="125">
        <v>59</v>
      </c>
      <c r="K1631" s="253">
        <v>2022</v>
      </c>
      <c r="L1631" s="85">
        <v>27920.17</v>
      </c>
      <c r="M1631" s="85" t="s">
        <v>630</v>
      </c>
      <c r="N1631" s="128">
        <v>102339</v>
      </c>
      <c r="O1631" s="128">
        <f t="shared" si="77"/>
        <v>6038001</v>
      </c>
      <c r="Q1631" t="s">
        <v>47</v>
      </c>
      <c r="R1631" s="214" t="s">
        <v>1869</v>
      </c>
      <c r="S1631" s="214" t="s">
        <v>1861</v>
      </c>
      <c r="T1631" t="s">
        <v>2260</v>
      </c>
      <c r="U1631" t="s">
        <v>1953</v>
      </c>
      <c r="V1631" t="s">
        <v>2813</v>
      </c>
    </row>
    <row r="1632" spans="1:22" ht="15.75" thickBot="1" x14ac:dyDescent="0.3">
      <c r="A1632" t="s">
        <v>4583</v>
      </c>
      <c r="B1632" t="s">
        <v>4583</v>
      </c>
      <c r="C1632" t="s">
        <v>4583</v>
      </c>
      <c r="D1632" t="s">
        <v>629</v>
      </c>
      <c r="E1632" s="248" t="s">
        <v>1853</v>
      </c>
      <c r="F1632" t="s">
        <v>620</v>
      </c>
      <c r="G1632" s="89">
        <v>2014</v>
      </c>
      <c r="H1632" s="312" t="s">
        <v>734</v>
      </c>
      <c r="I1632" s="308" t="str">
        <f t="shared" si="76"/>
        <v>Pesado de Passageiros M3: III : Gasóleo : E5</v>
      </c>
      <c r="J1632" s="125">
        <v>54</v>
      </c>
      <c r="K1632" s="253">
        <v>2022</v>
      </c>
      <c r="L1632" s="85">
        <v>50206.65</v>
      </c>
      <c r="M1632" s="85" t="s">
        <v>630</v>
      </c>
      <c r="N1632" s="128">
        <v>189395</v>
      </c>
      <c r="O1632" s="128">
        <f t="shared" si="77"/>
        <v>10227330</v>
      </c>
      <c r="Q1632" t="s">
        <v>47</v>
      </c>
      <c r="R1632" s="214" t="s">
        <v>1869</v>
      </c>
      <c r="S1632" s="214" t="s">
        <v>1861</v>
      </c>
      <c r="T1632" t="s">
        <v>2261</v>
      </c>
      <c r="U1632" t="s">
        <v>1953</v>
      </c>
      <c r="V1632" t="s">
        <v>2813</v>
      </c>
    </row>
    <row r="1633" spans="1:22" ht="15.75" thickBot="1" x14ac:dyDescent="0.3">
      <c r="A1633" t="s">
        <v>4583</v>
      </c>
      <c r="B1633" t="s">
        <v>4583</v>
      </c>
      <c r="C1633" t="s">
        <v>4583</v>
      </c>
      <c r="D1633" t="s">
        <v>629</v>
      </c>
      <c r="E1633" s="248" t="s">
        <v>1853</v>
      </c>
      <c r="F1633" t="s">
        <v>620</v>
      </c>
      <c r="G1633" s="89">
        <v>2014</v>
      </c>
      <c r="H1633" s="312" t="s">
        <v>734</v>
      </c>
      <c r="I1633" s="308" t="str">
        <f t="shared" si="76"/>
        <v>Pesado de Passageiros M3: III : Gasóleo : E5</v>
      </c>
      <c r="J1633" s="125">
        <v>54</v>
      </c>
      <c r="K1633" s="253">
        <v>2022</v>
      </c>
      <c r="L1633" s="85">
        <v>52287.950000000004</v>
      </c>
      <c r="M1633" s="85" t="s">
        <v>630</v>
      </c>
      <c r="N1633" s="128">
        <v>206861</v>
      </c>
      <c r="O1633" s="128">
        <f t="shared" si="77"/>
        <v>11170494</v>
      </c>
      <c r="Q1633" t="s">
        <v>47</v>
      </c>
      <c r="R1633" s="214" t="s">
        <v>1869</v>
      </c>
      <c r="S1633" s="214" t="s">
        <v>1861</v>
      </c>
      <c r="T1633" t="s">
        <v>2262</v>
      </c>
      <c r="U1633" t="s">
        <v>1953</v>
      </c>
      <c r="V1633" t="s">
        <v>2813</v>
      </c>
    </row>
    <row r="1634" spans="1:22" ht="15.75" thickBot="1" x14ac:dyDescent="0.3">
      <c r="A1634" t="s">
        <v>4583</v>
      </c>
      <c r="B1634" t="s">
        <v>4583</v>
      </c>
      <c r="C1634" t="s">
        <v>4583</v>
      </c>
      <c r="D1634" t="s">
        <v>629</v>
      </c>
      <c r="E1634" s="248" t="s">
        <v>1853</v>
      </c>
      <c r="F1634" t="s">
        <v>620</v>
      </c>
      <c r="G1634" s="89">
        <v>2014</v>
      </c>
      <c r="H1634" s="312" t="s">
        <v>734</v>
      </c>
      <c r="I1634" s="308" t="str">
        <f t="shared" si="76"/>
        <v>Pesado de Passageiros M3: III : Gasóleo : E5</v>
      </c>
      <c r="J1634" s="125">
        <v>54</v>
      </c>
      <c r="K1634" s="253">
        <v>2022</v>
      </c>
      <c r="L1634" s="85">
        <v>39053.279999999992</v>
      </c>
      <c r="M1634" s="85" t="s">
        <v>630</v>
      </c>
      <c r="N1634" s="128">
        <v>145891</v>
      </c>
      <c r="O1634" s="128">
        <f t="shared" si="77"/>
        <v>7878114</v>
      </c>
      <c r="Q1634" t="s">
        <v>47</v>
      </c>
      <c r="R1634" s="214" t="s">
        <v>1869</v>
      </c>
      <c r="S1634" s="214" t="s">
        <v>1861</v>
      </c>
      <c r="T1634" t="s">
        <v>2263</v>
      </c>
      <c r="U1634" t="s">
        <v>1953</v>
      </c>
      <c r="V1634" t="s">
        <v>2813</v>
      </c>
    </row>
    <row r="1635" spans="1:22" ht="15.75" thickBot="1" x14ac:dyDescent="0.3">
      <c r="A1635" t="s">
        <v>4583</v>
      </c>
      <c r="B1635" t="s">
        <v>4583</v>
      </c>
      <c r="C1635" t="s">
        <v>4583</v>
      </c>
      <c r="D1635" t="s">
        <v>629</v>
      </c>
      <c r="E1635" s="248" t="s">
        <v>1853</v>
      </c>
      <c r="F1635" t="s">
        <v>620</v>
      </c>
      <c r="G1635" s="89">
        <v>2014</v>
      </c>
      <c r="H1635" s="312" t="s">
        <v>734</v>
      </c>
      <c r="I1635" s="308" t="str">
        <f t="shared" si="76"/>
        <v>Pesado de Passageiros M3: III : Gasóleo : E5</v>
      </c>
      <c r="J1635" s="125">
        <v>54</v>
      </c>
      <c r="K1635" s="253">
        <v>2022</v>
      </c>
      <c r="L1635" s="85">
        <v>49156.829999999994</v>
      </c>
      <c r="M1635" s="85" t="s">
        <v>630</v>
      </c>
      <c r="N1635" s="128">
        <v>195792</v>
      </c>
      <c r="O1635" s="128">
        <f t="shared" si="77"/>
        <v>10572768</v>
      </c>
      <c r="Q1635" t="s">
        <v>47</v>
      </c>
      <c r="R1635" s="214" t="s">
        <v>1869</v>
      </c>
      <c r="S1635" s="214" t="s">
        <v>1861</v>
      </c>
      <c r="T1635" t="s">
        <v>2264</v>
      </c>
      <c r="U1635" t="s">
        <v>1953</v>
      </c>
      <c r="V1635" t="s">
        <v>2813</v>
      </c>
    </row>
    <row r="1636" spans="1:22" ht="15.75" thickBot="1" x14ac:dyDescent="0.3">
      <c r="A1636" t="s">
        <v>4583</v>
      </c>
      <c r="B1636" t="s">
        <v>4583</v>
      </c>
      <c r="C1636" t="s">
        <v>4583</v>
      </c>
      <c r="D1636" t="s">
        <v>629</v>
      </c>
      <c r="E1636" s="248" t="s">
        <v>1853</v>
      </c>
      <c r="F1636" t="s">
        <v>620</v>
      </c>
      <c r="G1636" s="89">
        <v>2016</v>
      </c>
      <c r="H1636" s="312" t="s">
        <v>733</v>
      </c>
      <c r="I1636" s="308" t="str">
        <f t="shared" si="76"/>
        <v>Pesado de Passageiros M3: III : Gasóleo : E6</v>
      </c>
      <c r="J1636" s="125">
        <v>54</v>
      </c>
      <c r="K1636" s="253">
        <v>2022</v>
      </c>
      <c r="L1636" s="85">
        <v>32668.260000000002</v>
      </c>
      <c r="M1636" s="85" t="s">
        <v>630</v>
      </c>
      <c r="N1636" s="128">
        <v>129649</v>
      </c>
      <c r="O1636" s="128">
        <f t="shared" si="77"/>
        <v>7001046</v>
      </c>
      <c r="Q1636" t="s">
        <v>47</v>
      </c>
      <c r="R1636" s="214" t="s">
        <v>1869</v>
      </c>
      <c r="S1636" s="214" t="s">
        <v>1861</v>
      </c>
      <c r="T1636" t="s">
        <v>2265</v>
      </c>
      <c r="U1636" t="s">
        <v>1953</v>
      </c>
      <c r="V1636" t="s">
        <v>2813</v>
      </c>
    </row>
    <row r="1637" spans="1:22" ht="15.75" thickBot="1" x14ac:dyDescent="0.3">
      <c r="A1637" t="s">
        <v>4583</v>
      </c>
      <c r="B1637" t="s">
        <v>4583</v>
      </c>
      <c r="C1637" t="s">
        <v>4583</v>
      </c>
      <c r="D1637" t="s">
        <v>629</v>
      </c>
      <c r="E1637" s="248" t="s">
        <v>1853</v>
      </c>
      <c r="F1637" t="s">
        <v>620</v>
      </c>
      <c r="G1637" s="89">
        <v>2016</v>
      </c>
      <c r="H1637" s="312" t="s">
        <v>733</v>
      </c>
      <c r="I1637" s="308" t="str">
        <f t="shared" si="76"/>
        <v>Pesado de Passageiros M3: III : Gasóleo : E6</v>
      </c>
      <c r="J1637" s="125">
        <v>54</v>
      </c>
      <c r="K1637" s="253">
        <v>2022</v>
      </c>
      <c r="L1637" s="85">
        <v>46577.05</v>
      </c>
      <c r="M1637" s="85" t="s">
        <v>630</v>
      </c>
      <c r="N1637" s="128">
        <v>178046</v>
      </c>
      <c r="O1637" s="128">
        <f t="shared" si="77"/>
        <v>9614484</v>
      </c>
      <c r="Q1637" t="s">
        <v>47</v>
      </c>
      <c r="R1637" s="214" t="s">
        <v>1869</v>
      </c>
      <c r="S1637" s="214" t="s">
        <v>1861</v>
      </c>
      <c r="T1637" t="s">
        <v>2266</v>
      </c>
      <c r="U1637" t="s">
        <v>1953</v>
      </c>
      <c r="V1637" t="s">
        <v>2813</v>
      </c>
    </row>
    <row r="1638" spans="1:22" ht="15.75" thickBot="1" x14ac:dyDescent="0.3">
      <c r="A1638" t="s">
        <v>4583</v>
      </c>
      <c r="B1638" t="s">
        <v>4583</v>
      </c>
      <c r="C1638" t="s">
        <v>4583</v>
      </c>
      <c r="D1638" t="s">
        <v>629</v>
      </c>
      <c r="E1638" s="248" t="s">
        <v>1853</v>
      </c>
      <c r="F1638" t="s">
        <v>620</v>
      </c>
      <c r="G1638" s="89">
        <v>2016</v>
      </c>
      <c r="H1638" s="312" t="s">
        <v>733</v>
      </c>
      <c r="I1638" s="308" t="str">
        <f t="shared" si="76"/>
        <v>Pesado de Passageiros M3: III : Gasóleo : E6</v>
      </c>
      <c r="J1638" s="125">
        <v>54</v>
      </c>
      <c r="K1638" s="253">
        <v>2022</v>
      </c>
      <c r="L1638" s="85">
        <v>38822.800000000003</v>
      </c>
      <c r="M1638" s="85" t="s">
        <v>630</v>
      </c>
      <c r="N1638" s="128">
        <v>147489</v>
      </c>
      <c r="O1638" s="128">
        <f t="shared" si="77"/>
        <v>7964406</v>
      </c>
      <c r="Q1638" t="s">
        <v>47</v>
      </c>
      <c r="R1638" s="214" t="s">
        <v>1869</v>
      </c>
      <c r="S1638" s="214" t="s">
        <v>1861</v>
      </c>
      <c r="T1638" t="s">
        <v>2267</v>
      </c>
      <c r="U1638" t="s">
        <v>1953</v>
      </c>
      <c r="V1638" t="s">
        <v>2813</v>
      </c>
    </row>
    <row r="1639" spans="1:22" ht="15.75" thickBot="1" x14ac:dyDescent="0.3">
      <c r="A1639" t="s">
        <v>4583</v>
      </c>
      <c r="B1639" t="s">
        <v>4583</v>
      </c>
      <c r="C1639" t="s">
        <v>4583</v>
      </c>
      <c r="D1639" t="s">
        <v>629</v>
      </c>
      <c r="E1639" s="248" t="s">
        <v>1853</v>
      </c>
      <c r="F1639" t="s">
        <v>620</v>
      </c>
      <c r="G1639" s="89">
        <v>2016</v>
      </c>
      <c r="H1639" s="312" t="s">
        <v>733</v>
      </c>
      <c r="I1639" s="308" t="str">
        <f t="shared" si="76"/>
        <v>Pesado de Passageiros M3: III : Gasóleo : E6</v>
      </c>
      <c r="J1639" s="125">
        <v>54</v>
      </c>
      <c r="K1639" s="253">
        <v>2022</v>
      </c>
      <c r="L1639" s="85">
        <v>41398.794000000002</v>
      </c>
      <c r="M1639" s="85" t="s">
        <v>630</v>
      </c>
      <c r="N1639" s="128">
        <v>162052</v>
      </c>
      <c r="O1639" s="128">
        <f t="shared" si="77"/>
        <v>8750808</v>
      </c>
      <c r="Q1639" t="s">
        <v>47</v>
      </c>
      <c r="R1639" s="214" t="s">
        <v>1869</v>
      </c>
      <c r="S1639" s="214" t="s">
        <v>1861</v>
      </c>
      <c r="T1639" t="s">
        <v>2268</v>
      </c>
      <c r="U1639" t="s">
        <v>1953</v>
      </c>
      <c r="V1639" t="s">
        <v>2813</v>
      </c>
    </row>
    <row r="1640" spans="1:22" ht="15.75" thickBot="1" x14ac:dyDescent="0.3">
      <c r="A1640" t="s">
        <v>4583</v>
      </c>
      <c r="B1640" t="s">
        <v>4583</v>
      </c>
      <c r="C1640" t="s">
        <v>4583</v>
      </c>
      <c r="D1640" t="s">
        <v>629</v>
      </c>
      <c r="E1640" s="248" t="s">
        <v>1853</v>
      </c>
      <c r="F1640" t="s">
        <v>620</v>
      </c>
      <c r="G1640" s="89">
        <v>2016</v>
      </c>
      <c r="H1640" s="312" t="s">
        <v>733</v>
      </c>
      <c r="I1640" s="308" t="str">
        <f t="shared" si="76"/>
        <v>Pesado de Passageiros M3: III : Gasóleo : E6</v>
      </c>
      <c r="J1640" s="125">
        <v>54</v>
      </c>
      <c r="K1640" s="253">
        <v>2022</v>
      </c>
      <c r="L1640" s="85">
        <v>50304.5</v>
      </c>
      <c r="M1640" s="85" t="s">
        <v>630</v>
      </c>
      <c r="N1640" s="128">
        <v>199744</v>
      </c>
      <c r="O1640" s="128">
        <f t="shared" si="77"/>
        <v>10786176</v>
      </c>
      <c r="Q1640" t="s">
        <v>47</v>
      </c>
      <c r="R1640" s="214" t="s">
        <v>1869</v>
      </c>
      <c r="S1640" s="214" t="s">
        <v>1861</v>
      </c>
      <c r="T1640" t="s">
        <v>2269</v>
      </c>
      <c r="U1640" t="s">
        <v>1953</v>
      </c>
      <c r="V1640" t="s">
        <v>2813</v>
      </c>
    </row>
    <row r="1641" spans="1:22" ht="15.75" thickBot="1" x14ac:dyDescent="0.3">
      <c r="A1641" t="s">
        <v>4583</v>
      </c>
      <c r="B1641" t="s">
        <v>4583</v>
      </c>
      <c r="C1641" t="s">
        <v>4583</v>
      </c>
      <c r="D1641" t="s">
        <v>629</v>
      </c>
      <c r="E1641" s="248" t="s">
        <v>1853</v>
      </c>
      <c r="F1641" t="s">
        <v>620</v>
      </c>
      <c r="G1641" s="89">
        <v>2013</v>
      </c>
      <c r="H1641" s="312" t="s">
        <v>734</v>
      </c>
      <c r="I1641" s="308" t="str">
        <f t="shared" si="76"/>
        <v>Pesado de Passageiros M3: III : Gasóleo : E5</v>
      </c>
      <c r="J1641" s="125">
        <v>54</v>
      </c>
      <c r="K1641" s="253">
        <v>2022</v>
      </c>
      <c r="L1641" s="85">
        <v>28407.759999999998</v>
      </c>
      <c r="M1641" s="85" t="s">
        <v>630</v>
      </c>
      <c r="N1641" s="128">
        <v>105413</v>
      </c>
      <c r="O1641" s="128">
        <f t="shared" si="77"/>
        <v>5692302</v>
      </c>
      <c r="Q1641" t="s">
        <v>47</v>
      </c>
      <c r="R1641" s="214" t="s">
        <v>1869</v>
      </c>
      <c r="S1641" s="214" t="s">
        <v>1861</v>
      </c>
      <c r="T1641" t="s">
        <v>2270</v>
      </c>
      <c r="U1641" t="s">
        <v>1953</v>
      </c>
      <c r="V1641" t="s">
        <v>2813</v>
      </c>
    </row>
    <row r="1642" spans="1:22" ht="15.75" thickBot="1" x14ac:dyDescent="0.3">
      <c r="A1642" t="s">
        <v>4583</v>
      </c>
      <c r="B1642" t="s">
        <v>4583</v>
      </c>
      <c r="C1642" t="s">
        <v>4583</v>
      </c>
      <c r="D1642" t="s">
        <v>629</v>
      </c>
      <c r="E1642" s="248" t="s">
        <v>1853</v>
      </c>
      <c r="F1642" t="s">
        <v>620</v>
      </c>
      <c r="G1642" s="89">
        <v>2013</v>
      </c>
      <c r="H1642" s="312" t="s">
        <v>734</v>
      </c>
      <c r="I1642" s="308" t="str">
        <f t="shared" si="76"/>
        <v>Pesado de Passageiros M3: III : Gasóleo : E5</v>
      </c>
      <c r="J1642" s="125">
        <v>54</v>
      </c>
      <c r="K1642" s="253">
        <v>2022</v>
      </c>
      <c r="L1642" s="85">
        <v>32053.339999999997</v>
      </c>
      <c r="M1642" s="85" t="s">
        <v>630</v>
      </c>
      <c r="N1642" s="128">
        <v>114175</v>
      </c>
      <c r="O1642" s="128">
        <f t="shared" si="77"/>
        <v>6165450</v>
      </c>
      <c r="Q1642" t="s">
        <v>47</v>
      </c>
      <c r="R1642" s="214" t="s">
        <v>1869</v>
      </c>
      <c r="S1642" s="214" t="s">
        <v>1861</v>
      </c>
      <c r="T1642" t="s">
        <v>2271</v>
      </c>
      <c r="U1642" t="s">
        <v>1953</v>
      </c>
      <c r="V1642" t="s">
        <v>2813</v>
      </c>
    </row>
    <row r="1643" spans="1:22" ht="15.75" thickBot="1" x14ac:dyDescent="0.3">
      <c r="A1643" t="s">
        <v>4583</v>
      </c>
      <c r="B1643" t="s">
        <v>4583</v>
      </c>
      <c r="C1643" t="s">
        <v>4583</v>
      </c>
      <c r="D1643" t="s">
        <v>629</v>
      </c>
      <c r="E1643" s="248" t="s">
        <v>1853</v>
      </c>
      <c r="F1643" t="s">
        <v>620</v>
      </c>
      <c r="G1643" s="89">
        <v>2013</v>
      </c>
      <c r="H1643" s="312" t="s">
        <v>734</v>
      </c>
      <c r="I1643" s="308" t="str">
        <f t="shared" si="76"/>
        <v>Pesado de Passageiros M3: III : Gasóleo : E5</v>
      </c>
      <c r="J1643" s="125">
        <v>55</v>
      </c>
      <c r="K1643" s="253">
        <v>2022</v>
      </c>
      <c r="L1643" s="85">
        <v>49797.27</v>
      </c>
      <c r="M1643" s="85" t="s">
        <v>630</v>
      </c>
      <c r="N1643" s="128">
        <v>179093</v>
      </c>
      <c r="O1643" s="128">
        <f t="shared" si="77"/>
        <v>9850115</v>
      </c>
      <c r="Q1643" t="s">
        <v>47</v>
      </c>
      <c r="R1643" s="214" t="s">
        <v>1869</v>
      </c>
      <c r="S1643" s="214" t="s">
        <v>1861</v>
      </c>
      <c r="T1643" t="s">
        <v>2272</v>
      </c>
      <c r="U1643" t="s">
        <v>1953</v>
      </c>
      <c r="V1643" t="s">
        <v>2813</v>
      </c>
    </row>
    <row r="1644" spans="1:22" ht="15.75" thickBot="1" x14ac:dyDescent="0.3">
      <c r="A1644" t="s">
        <v>4583</v>
      </c>
      <c r="B1644" t="s">
        <v>4583</v>
      </c>
      <c r="C1644" t="s">
        <v>4583</v>
      </c>
      <c r="D1644" t="s">
        <v>629</v>
      </c>
      <c r="E1644" s="248" t="s">
        <v>1853</v>
      </c>
      <c r="F1644" t="s">
        <v>620</v>
      </c>
      <c r="G1644" s="89">
        <v>2013</v>
      </c>
      <c r="H1644" s="312" t="s">
        <v>734</v>
      </c>
      <c r="I1644" s="308" t="str">
        <f t="shared" si="76"/>
        <v>Pesado de Passageiros M3: III : Gasóleo : E5</v>
      </c>
      <c r="J1644" s="125">
        <v>55</v>
      </c>
      <c r="K1644" s="253">
        <v>2022</v>
      </c>
      <c r="L1644" s="85">
        <v>42580.62</v>
      </c>
      <c r="M1644" s="85" t="s">
        <v>630</v>
      </c>
      <c r="N1644" s="128">
        <v>162713</v>
      </c>
      <c r="O1644" s="128">
        <f t="shared" si="77"/>
        <v>8949215</v>
      </c>
      <c r="Q1644" t="s">
        <v>47</v>
      </c>
      <c r="R1644" s="214" t="s">
        <v>1869</v>
      </c>
      <c r="S1644" s="214" t="s">
        <v>1861</v>
      </c>
      <c r="T1644" t="s">
        <v>2273</v>
      </c>
      <c r="U1644" t="s">
        <v>1953</v>
      </c>
      <c r="V1644" t="s">
        <v>2813</v>
      </c>
    </row>
    <row r="1645" spans="1:22" ht="15.75" thickBot="1" x14ac:dyDescent="0.3">
      <c r="A1645" t="s">
        <v>4583</v>
      </c>
      <c r="B1645" t="s">
        <v>4583</v>
      </c>
      <c r="C1645" t="s">
        <v>4583</v>
      </c>
      <c r="D1645" t="s">
        <v>629</v>
      </c>
      <c r="E1645" s="248" t="s">
        <v>1853</v>
      </c>
      <c r="F1645" t="s">
        <v>620</v>
      </c>
      <c r="G1645" s="89">
        <v>2016</v>
      </c>
      <c r="H1645" s="312" t="s">
        <v>733</v>
      </c>
      <c r="I1645" s="308" t="str">
        <f t="shared" si="76"/>
        <v>Pesado de Passageiros M3: III : Gasóleo : E6</v>
      </c>
      <c r="J1645" s="125">
        <v>54</v>
      </c>
      <c r="K1645" s="253">
        <v>2022</v>
      </c>
      <c r="L1645" s="85">
        <v>36512.030000000006</v>
      </c>
      <c r="M1645" s="85" t="s">
        <v>630</v>
      </c>
      <c r="N1645" s="128">
        <v>121616</v>
      </c>
      <c r="O1645" s="128">
        <f t="shared" si="77"/>
        <v>6567264</v>
      </c>
      <c r="Q1645" t="s">
        <v>47</v>
      </c>
      <c r="R1645" s="214" t="s">
        <v>1869</v>
      </c>
      <c r="S1645" s="214" t="s">
        <v>1861</v>
      </c>
      <c r="T1645" t="s">
        <v>2274</v>
      </c>
      <c r="U1645" t="s">
        <v>1953</v>
      </c>
      <c r="V1645" t="s">
        <v>2813</v>
      </c>
    </row>
    <row r="1646" spans="1:22" ht="15.75" thickBot="1" x14ac:dyDescent="0.3">
      <c r="A1646" t="s">
        <v>4583</v>
      </c>
      <c r="B1646" t="s">
        <v>4583</v>
      </c>
      <c r="C1646" t="s">
        <v>4583</v>
      </c>
      <c r="D1646" t="s">
        <v>629</v>
      </c>
      <c r="E1646" s="248" t="s">
        <v>1853</v>
      </c>
      <c r="F1646" t="s">
        <v>620</v>
      </c>
      <c r="G1646" s="89">
        <v>2016</v>
      </c>
      <c r="H1646" s="312" t="s">
        <v>733</v>
      </c>
      <c r="I1646" s="308" t="str">
        <f t="shared" si="76"/>
        <v>Pesado de Passageiros M3: III : Gasóleo : E6</v>
      </c>
      <c r="J1646" s="125">
        <v>54</v>
      </c>
      <c r="K1646" s="253">
        <v>2022</v>
      </c>
      <c r="L1646" s="85">
        <v>40852.49</v>
      </c>
      <c r="M1646" s="85" t="s">
        <v>630</v>
      </c>
      <c r="N1646" s="128">
        <v>147334</v>
      </c>
      <c r="O1646" s="128">
        <f t="shared" si="77"/>
        <v>7956036</v>
      </c>
      <c r="Q1646" t="s">
        <v>47</v>
      </c>
      <c r="R1646" s="214" t="s">
        <v>1869</v>
      </c>
      <c r="S1646" s="214" t="s">
        <v>1861</v>
      </c>
      <c r="T1646" t="s">
        <v>2275</v>
      </c>
      <c r="U1646" t="s">
        <v>1953</v>
      </c>
      <c r="V1646" t="s">
        <v>2813</v>
      </c>
    </row>
    <row r="1647" spans="1:22" ht="15.75" thickBot="1" x14ac:dyDescent="0.3">
      <c r="A1647" t="s">
        <v>4583</v>
      </c>
      <c r="B1647" t="s">
        <v>4583</v>
      </c>
      <c r="C1647" t="s">
        <v>4583</v>
      </c>
      <c r="D1647" t="s">
        <v>629</v>
      </c>
      <c r="E1647" s="248" t="s">
        <v>1853</v>
      </c>
      <c r="F1647" t="s">
        <v>620</v>
      </c>
      <c r="G1647" s="89">
        <v>2016</v>
      </c>
      <c r="H1647" s="312" t="s">
        <v>733</v>
      </c>
      <c r="I1647" s="308" t="str">
        <f t="shared" si="76"/>
        <v>Pesado de Passageiros M3: III : Gasóleo : E6</v>
      </c>
      <c r="J1647" s="125">
        <v>54</v>
      </c>
      <c r="K1647" s="253">
        <v>2022</v>
      </c>
      <c r="L1647" s="85">
        <v>23322.1</v>
      </c>
      <c r="M1647" s="85" t="s">
        <v>630</v>
      </c>
      <c r="N1647" s="128">
        <v>84564</v>
      </c>
      <c r="O1647" s="128">
        <f t="shared" si="77"/>
        <v>4566456</v>
      </c>
      <c r="Q1647" t="s">
        <v>47</v>
      </c>
      <c r="R1647" s="214" t="s">
        <v>1869</v>
      </c>
      <c r="S1647" s="214" t="s">
        <v>1861</v>
      </c>
      <c r="T1647" t="s">
        <v>2276</v>
      </c>
      <c r="U1647" t="s">
        <v>1953</v>
      </c>
      <c r="V1647" t="s">
        <v>2813</v>
      </c>
    </row>
    <row r="1648" spans="1:22" ht="15.75" thickBot="1" x14ac:dyDescent="0.3">
      <c r="A1648" t="s">
        <v>4583</v>
      </c>
      <c r="B1648" t="s">
        <v>4583</v>
      </c>
      <c r="C1648" t="s">
        <v>4583</v>
      </c>
      <c r="D1648" t="s">
        <v>629</v>
      </c>
      <c r="E1648" s="248" t="s">
        <v>1853</v>
      </c>
      <c r="F1648" t="s">
        <v>620</v>
      </c>
      <c r="G1648" s="89">
        <v>2016</v>
      </c>
      <c r="H1648" s="312" t="s">
        <v>733</v>
      </c>
      <c r="I1648" s="308" t="str">
        <f t="shared" si="76"/>
        <v>Pesado de Passageiros M3: III : Gasóleo : E6</v>
      </c>
      <c r="J1648" s="125">
        <v>54</v>
      </c>
      <c r="K1648" s="253">
        <v>2022</v>
      </c>
      <c r="L1648" s="85">
        <v>65288.149999999994</v>
      </c>
      <c r="M1648" s="85" t="s">
        <v>630</v>
      </c>
      <c r="N1648" s="128">
        <v>220314</v>
      </c>
      <c r="O1648" s="128">
        <f t="shared" si="77"/>
        <v>11896956</v>
      </c>
      <c r="Q1648" t="s">
        <v>47</v>
      </c>
      <c r="R1648" s="214" t="s">
        <v>1869</v>
      </c>
      <c r="S1648" s="214" t="s">
        <v>1861</v>
      </c>
      <c r="T1648" t="s">
        <v>2277</v>
      </c>
      <c r="U1648" t="s">
        <v>1953</v>
      </c>
      <c r="V1648" t="s">
        <v>2813</v>
      </c>
    </row>
    <row r="1649" spans="1:22" ht="15.75" thickBot="1" x14ac:dyDescent="0.3">
      <c r="A1649" t="s">
        <v>4583</v>
      </c>
      <c r="B1649" t="s">
        <v>4583</v>
      </c>
      <c r="C1649" t="s">
        <v>4583</v>
      </c>
      <c r="D1649" t="s">
        <v>629</v>
      </c>
      <c r="E1649" s="248" t="s">
        <v>1853</v>
      </c>
      <c r="F1649" t="s">
        <v>620</v>
      </c>
      <c r="G1649" s="89">
        <v>2016</v>
      </c>
      <c r="H1649" s="312" t="s">
        <v>733</v>
      </c>
      <c r="I1649" s="308" t="str">
        <f t="shared" si="76"/>
        <v>Pesado de Passageiros M3: III : Gasóleo : E6</v>
      </c>
      <c r="J1649" s="125">
        <v>54</v>
      </c>
      <c r="K1649" s="253">
        <v>2022</v>
      </c>
      <c r="L1649" s="85">
        <v>32957.269999999997</v>
      </c>
      <c r="M1649" s="85" t="s">
        <v>630</v>
      </c>
      <c r="N1649" s="128">
        <v>120344</v>
      </c>
      <c r="O1649" s="128">
        <f t="shared" si="77"/>
        <v>6498576</v>
      </c>
      <c r="Q1649" t="s">
        <v>47</v>
      </c>
      <c r="R1649" s="214" t="s">
        <v>1869</v>
      </c>
      <c r="S1649" s="214" t="s">
        <v>1861</v>
      </c>
      <c r="T1649" t="s">
        <v>2278</v>
      </c>
      <c r="U1649" t="s">
        <v>1953</v>
      </c>
      <c r="V1649" t="s">
        <v>2813</v>
      </c>
    </row>
    <row r="1650" spans="1:22" ht="15.75" thickBot="1" x14ac:dyDescent="0.3">
      <c r="A1650" t="s">
        <v>4583</v>
      </c>
      <c r="B1650" t="s">
        <v>4583</v>
      </c>
      <c r="C1650" t="s">
        <v>4583</v>
      </c>
      <c r="D1650" t="s">
        <v>629</v>
      </c>
      <c r="E1650" s="248" t="s">
        <v>1853</v>
      </c>
      <c r="F1650" t="s">
        <v>620</v>
      </c>
      <c r="G1650" s="89">
        <v>2019</v>
      </c>
      <c r="H1650" s="312" t="s">
        <v>733</v>
      </c>
      <c r="I1650" s="308" t="str">
        <f t="shared" si="76"/>
        <v>Pesado de Passageiros M3: III : Gasóleo : E6</v>
      </c>
      <c r="J1650" s="125">
        <v>54</v>
      </c>
      <c r="K1650" s="253">
        <v>2022</v>
      </c>
      <c r="L1650" s="85">
        <v>46352.420000000006</v>
      </c>
      <c r="M1650" s="85" t="s">
        <v>630</v>
      </c>
      <c r="N1650" s="128">
        <v>193865</v>
      </c>
      <c r="O1650" s="128">
        <f t="shared" si="77"/>
        <v>10468710</v>
      </c>
      <c r="Q1650" t="s">
        <v>47</v>
      </c>
      <c r="R1650" s="214" t="s">
        <v>1869</v>
      </c>
      <c r="S1650" s="214" t="s">
        <v>1861</v>
      </c>
      <c r="T1650" t="s">
        <v>2279</v>
      </c>
      <c r="U1650" t="s">
        <v>1953</v>
      </c>
      <c r="V1650" t="s">
        <v>2813</v>
      </c>
    </row>
    <row r="1651" spans="1:22" ht="15.75" thickBot="1" x14ac:dyDescent="0.3">
      <c r="A1651" t="s">
        <v>4583</v>
      </c>
      <c r="B1651" t="s">
        <v>4583</v>
      </c>
      <c r="C1651" t="s">
        <v>4583</v>
      </c>
      <c r="D1651" t="s">
        <v>629</v>
      </c>
      <c r="E1651" s="248" t="s">
        <v>1853</v>
      </c>
      <c r="F1651" t="s">
        <v>620</v>
      </c>
      <c r="G1651" s="89">
        <v>2019</v>
      </c>
      <c r="H1651" s="312" t="s">
        <v>733</v>
      </c>
      <c r="I1651" s="308" t="str">
        <f t="shared" si="76"/>
        <v>Pesado de Passageiros M3: III : Gasóleo : E6</v>
      </c>
      <c r="J1651" s="125">
        <v>54</v>
      </c>
      <c r="K1651" s="253">
        <v>2022</v>
      </c>
      <c r="L1651" s="85">
        <v>49632.08</v>
      </c>
      <c r="M1651" s="85" t="s">
        <v>630</v>
      </c>
      <c r="N1651" s="128">
        <v>205681</v>
      </c>
      <c r="O1651" s="128">
        <f t="shared" si="77"/>
        <v>11106774</v>
      </c>
      <c r="Q1651" t="s">
        <v>47</v>
      </c>
      <c r="R1651" s="214" t="s">
        <v>1869</v>
      </c>
      <c r="S1651" s="214" t="s">
        <v>1861</v>
      </c>
      <c r="T1651" t="s">
        <v>2280</v>
      </c>
      <c r="U1651" t="s">
        <v>1953</v>
      </c>
      <c r="V1651" t="s">
        <v>2813</v>
      </c>
    </row>
    <row r="1652" spans="1:22" ht="15.75" thickBot="1" x14ac:dyDescent="0.3">
      <c r="A1652" t="s">
        <v>4583</v>
      </c>
      <c r="B1652" t="s">
        <v>4583</v>
      </c>
      <c r="C1652" t="s">
        <v>4583</v>
      </c>
      <c r="D1652" t="s">
        <v>629</v>
      </c>
      <c r="E1652" s="248" t="s">
        <v>1853</v>
      </c>
      <c r="F1652" t="s">
        <v>620</v>
      </c>
      <c r="G1652" s="89">
        <v>2019</v>
      </c>
      <c r="H1652" s="312" t="s">
        <v>733</v>
      </c>
      <c r="I1652" s="308" t="str">
        <f t="shared" si="76"/>
        <v>Pesado de Passageiros M3: III : Gasóleo : E6</v>
      </c>
      <c r="J1652" s="125">
        <v>64</v>
      </c>
      <c r="K1652" s="253">
        <v>2022</v>
      </c>
      <c r="L1652" s="85">
        <v>58789.3</v>
      </c>
      <c r="M1652" s="85" t="s">
        <v>630</v>
      </c>
      <c r="N1652" s="128">
        <v>204901</v>
      </c>
      <c r="O1652" s="128">
        <f t="shared" si="77"/>
        <v>13113664</v>
      </c>
      <c r="Q1652" t="s">
        <v>47</v>
      </c>
      <c r="R1652" s="214" t="s">
        <v>1869</v>
      </c>
      <c r="S1652" s="214" t="s">
        <v>1861</v>
      </c>
      <c r="T1652" t="s">
        <v>2281</v>
      </c>
      <c r="U1652" t="s">
        <v>1953</v>
      </c>
      <c r="V1652" t="s">
        <v>2813</v>
      </c>
    </row>
    <row r="1653" spans="1:22" ht="15.75" thickBot="1" x14ac:dyDescent="0.3">
      <c r="A1653" t="s">
        <v>4583</v>
      </c>
      <c r="B1653" t="s">
        <v>4583</v>
      </c>
      <c r="C1653" t="s">
        <v>4583</v>
      </c>
      <c r="D1653" t="s">
        <v>629</v>
      </c>
      <c r="E1653" s="248" t="s">
        <v>1853</v>
      </c>
      <c r="F1653" t="s">
        <v>620</v>
      </c>
      <c r="G1653" s="89">
        <v>2019</v>
      </c>
      <c r="H1653" s="312" t="s">
        <v>733</v>
      </c>
      <c r="I1653" s="308" t="str">
        <f t="shared" si="76"/>
        <v>Pesado de Passageiros M3: III : Gasóleo : E6</v>
      </c>
      <c r="J1653" s="125">
        <v>64</v>
      </c>
      <c r="K1653" s="253">
        <v>2022</v>
      </c>
      <c r="L1653" s="85">
        <v>41493.81</v>
      </c>
      <c r="M1653" s="85" t="s">
        <v>630</v>
      </c>
      <c r="N1653" s="128">
        <v>135620</v>
      </c>
      <c r="O1653" s="128">
        <f t="shared" si="77"/>
        <v>8679680</v>
      </c>
      <c r="Q1653" t="s">
        <v>47</v>
      </c>
      <c r="R1653" s="214" t="s">
        <v>1869</v>
      </c>
      <c r="S1653" s="214" t="s">
        <v>1861</v>
      </c>
      <c r="T1653" t="s">
        <v>2282</v>
      </c>
      <c r="U1653" t="s">
        <v>1953</v>
      </c>
      <c r="V1653" t="s">
        <v>2813</v>
      </c>
    </row>
    <row r="1654" spans="1:22" ht="15.75" thickBot="1" x14ac:dyDescent="0.3">
      <c r="A1654" t="s">
        <v>4583</v>
      </c>
      <c r="B1654" t="s">
        <v>4583</v>
      </c>
      <c r="C1654" t="s">
        <v>4583</v>
      </c>
      <c r="D1654" t="s">
        <v>629</v>
      </c>
      <c r="E1654" s="248" t="s">
        <v>1853</v>
      </c>
      <c r="F1654" t="s">
        <v>620</v>
      </c>
      <c r="G1654" s="89">
        <v>2020</v>
      </c>
      <c r="H1654" s="312" t="s">
        <v>733</v>
      </c>
      <c r="I1654" s="308" t="str">
        <f t="shared" si="76"/>
        <v>Pesado de Passageiros M3: III : Gasóleo : E6</v>
      </c>
      <c r="J1654" s="125">
        <v>64</v>
      </c>
      <c r="K1654" s="253">
        <v>2022</v>
      </c>
      <c r="L1654" s="85">
        <v>47702.46</v>
      </c>
      <c r="M1654" s="85" t="s">
        <v>630</v>
      </c>
      <c r="N1654" s="128">
        <v>151799</v>
      </c>
      <c r="O1654" s="128">
        <f t="shared" si="77"/>
        <v>9715136</v>
      </c>
      <c r="Q1654" t="s">
        <v>47</v>
      </c>
      <c r="R1654" s="214" t="s">
        <v>1869</v>
      </c>
      <c r="S1654" s="214" t="s">
        <v>1861</v>
      </c>
      <c r="T1654" t="s">
        <v>2283</v>
      </c>
      <c r="U1654" t="s">
        <v>1953</v>
      </c>
      <c r="V1654" t="s">
        <v>2813</v>
      </c>
    </row>
    <row r="1655" spans="1:22" ht="15.75" thickBot="1" x14ac:dyDescent="0.3">
      <c r="A1655" t="s">
        <v>4583</v>
      </c>
      <c r="B1655" t="s">
        <v>4583</v>
      </c>
      <c r="C1655" t="s">
        <v>4583</v>
      </c>
      <c r="D1655" t="s">
        <v>629</v>
      </c>
      <c r="E1655" s="248" t="s">
        <v>1853</v>
      </c>
      <c r="F1655" t="s">
        <v>620</v>
      </c>
      <c r="G1655" s="89">
        <v>2020</v>
      </c>
      <c r="H1655" s="312" t="s">
        <v>733</v>
      </c>
      <c r="I1655" s="308" t="str">
        <f t="shared" si="76"/>
        <v>Pesado de Passageiros M3: III : Gasóleo : E6</v>
      </c>
      <c r="J1655" s="125">
        <v>64</v>
      </c>
      <c r="K1655" s="253">
        <v>2022</v>
      </c>
      <c r="L1655" s="85">
        <v>47637.240000000005</v>
      </c>
      <c r="M1655" s="85" t="s">
        <v>630</v>
      </c>
      <c r="N1655" s="128">
        <v>156000</v>
      </c>
      <c r="O1655" s="128">
        <f t="shared" si="77"/>
        <v>9984000</v>
      </c>
      <c r="Q1655" t="s">
        <v>47</v>
      </c>
      <c r="R1655" s="214" t="s">
        <v>1869</v>
      </c>
      <c r="S1655" s="214" t="s">
        <v>1861</v>
      </c>
      <c r="T1655" t="s">
        <v>2284</v>
      </c>
      <c r="U1655" t="s">
        <v>1953</v>
      </c>
      <c r="V1655" t="s">
        <v>2813</v>
      </c>
    </row>
    <row r="1656" spans="1:22" ht="15.75" thickBot="1" x14ac:dyDescent="0.3">
      <c r="A1656" t="s">
        <v>4583</v>
      </c>
      <c r="B1656" t="s">
        <v>4583</v>
      </c>
      <c r="C1656" t="s">
        <v>4583</v>
      </c>
      <c r="D1656" t="s">
        <v>629</v>
      </c>
      <c r="E1656" s="248" t="s">
        <v>1853</v>
      </c>
      <c r="F1656" t="s">
        <v>620</v>
      </c>
      <c r="G1656" s="89">
        <v>2016</v>
      </c>
      <c r="H1656" s="312" t="s">
        <v>733</v>
      </c>
      <c r="I1656" s="308" t="str">
        <f t="shared" si="76"/>
        <v>Pesado de Passageiros M3: III : Gasóleo : E6</v>
      </c>
      <c r="J1656" s="125">
        <v>54</v>
      </c>
      <c r="K1656" s="253">
        <v>2022</v>
      </c>
      <c r="L1656" s="85">
        <v>41521.450000000004</v>
      </c>
      <c r="M1656" s="85" t="s">
        <v>630</v>
      </c>
      <c r="N1656" s="128">
        <v>161910</v>
      </c>
      <c r="O1656" s="128">
        <f t="shared" si="77"/>
        <v>8743140</v>
      </c>
      <c r="Q1656" t="s">
        <v>47</v>
      </c>
      <c r="R1656" s="214" t="s">
        <v>1869</v>
      </c>
      <c r="S1656" s="214" t="s">
        <v>1861</v>
      </c>
      <c r="T1656" t="s">
        <v>2285</v>
      </c>
      <c r="U1656" t="s">
        <v>1953</v>
      </c>
      <c r="V1656" t="s">
        <v>2813</v>
      </c>
    </row>
    <row r="1657" spans="1:22" ht="15.75" thickBot="1" x14ac:dyDescent="0.3">
      <c r="A1657" t="s">
        <v>4583</v>
      </c>
      <c r="B1657" t="s">
        <v>4583</v>
      </c>
      <c r="C1657" t="s">
        <v>4583</v>
      </c>
      <c r="D1657" t="s">
        <v>629</v>
      </c>
      <c r="E1657" s="248" t="s">
        <v>1853</v>
      </c>
      <c r="F1657" t="s">
        <v>620</v>
      </c>
      <c r="G1657" s="89">
        <v>2016</v>
      </c>
      <c r="H1657" s="312" t="s">
        <v>733</v>
      </c>
      <c r="I1657" s="308" t="str">
        <f t="shared" si="76"/>
        <v>Pesado de Passageiros M3: III : Gasóleo : E6</v>
      </c>
      <c r="J1657" s="125">
        <v>54</v>
      </c>
      <c r="K1657" s="253">
        <v>2022</v>
      </c>
      <c r="L1657" s="85">
        <v>49659.450000000004</v>
      </c>
      <c r="M1657" s="85" t="s">
        <v>630</v>
      </c>
      <c r="N1657" s="128">
        <v>181695</v>
      </c>
      <c r="O1657" s="128">
        <f t="shared" si="77"/>
        <v>9811530</v>
      </c>
      <c r="Q1657" t="s">
        <v>47</v>
      </c>
      <c r="R1657" s="214" t="s">
        <v>1869</v>
      </c>
      <c r="S1657" s="214" t="s">
        <v>1861</v>
      </c>
      <c r="T1657" t="s">
        <v>2286</v>
      </c>
      <c r="U1657" t="s">
        <v>1953</v>
      </c>
      <c r="V1657" t="s">
        <v>2813</v>
      </c>
    </row>
    <row r="1658" spans="1:22" ht="15.75" thickBot="1" x14ac:dyDescent="0.3">
      <c r="A1658" t="s">
        <v>4583</v>
      </c>
      <c r="B1658" t="s">
        <v>4583</v>
      </c>
      <c r="C1658" t="s">
        <v>4583</v>
      </c>
      <c r="D1658" t="s">
        <v>629</v>
      </c>
      <c r="E1658" s="248" t="s">
        <v>1853</v>
      </c>
      <c r="F1658" t="s">
        <v>620</v>
      </c>
      <c r="G1658" s="89">
        <v>2017</v>
      </c>
      <c r="H1658" s="312" t="s">
        <v>733</v>
      </c>
      <c r="I1658" s="308" t="str">
        <f t="shared" si="76"/>
        <v>Pesado de Passageiros M3: III : Gasóleo : E6</v>
      </c>
      <c r="J1658" s="125">
        <v>54</v>
      </c>
      <c r="K1658" s="253">
        <v>2022</v>
      </c>
      <c r="L1658" s="85">
        <v>44488.649999999994</v>
      </c>
      <c r="M1658" s="85" t="s">
        <v>630</v>
      </c>
      <c r="N1658" s="128">
        <v>177863</v>
      </c>
      <c r="O1658" s="128">
        <f t="shared" si="77"/>
        <v>9604602</v>
      </c>
      <c r="Q1658" t="s">
        <v>47</v>
      </c>
      <c r="R1658" s="214" t="s">
        <v>1869</v>
      </c>
      <c r="S1658" s="214" t="s">
        <v>1861</v>
      </c>
      <c r="T1658" t="s">
        <v>2287</v>
      </c>
      <c r="U1658" t="s">
        <v>1953</v>
      </c>
      <c r="V1658" t="s">
        <v>2813</v>
      </c>
    </row>
    <row r="1659" spans="1:22" ht="15.75" thickBot="1" x14ac:dyDescent="0.3">
      <c r="A1659" t="s">
        <v>4583</v>
      </c>
      <c r="B1659" t="s">
        <v>4583</v>
      </c>
      <c r="C1659" t="s">
        <v>4583</v>
      </c>
      <c r="D1659" t="s">
        <v>629</v>
      </c>
      <c r="E1659" s="248" t="s">
        <v>1853</v>
      </c>
      <c r="F1659" t="s">
        <v>620</v>
      </c>
      <c r="G1659" s="89">
        <v>2017</v>
      </c>
      <c r="H1659" s="312" t="s">
        <v>733</v>
      </c>
      <c r="I1659" s="308" t="str">
        <f t="shared" si="76"/>
        <v>Pesado de Passageiros M3: III : Gasóleo : E6</v>
      </c>
      <c r="J1659" s="125">
        <v>54</v>
      </c>
      <c r="K1659" s="253">
        <v>2022</v>
      </c>
      <c r="L1659" s="85">
        <v>40908.559999999998</v>
      </c>
      <c r="M1659" s="85" t="s">
        <v>630</v>
      </c>
      <c r="N1659" s="128">
        <v>162077</v>
      </c>
      <c r="O1659" s="128">
        <f t="shared" si="77"/>
        <v>8752158</v>
      </c>
      <c r="Q1659" t="s">
        <v>47</v>
      </c>
      <c r="R1659" s="214" t="s">
        <v>1869</v>
      </c>
      <c r="S1659" s="214" t="s">
        <v>1861</v>
      </c>
      <c r="T1659" t="s">
        <v>2288</v>
      </c>
      <c r="U1659" t="s">
        <v>1953</v>
      </c>
      <c r="V1659" t="s">
        <v>2813</v>
      </c>
    </row>
    <row r="1660" spans="1:22" ht="15.75" thickBot="1" x14ac:dyDescent="0.3">
      <c r="A1660" t="s">
        <v>4583</v>
      </c>
      <c r="B1660" t="s">
        <v>4583</v>
      </c>
      <c r="C1660" t="s">
        <v>4583</v>
      </c>
      <c r="D1660" t="s">
        <v>629</v>
      </c>
      <c r="E1660" s="248" t="s">
        <v>1853</v>
      </c>
      <c r="F1660" t="s">
        <v>620</v>
      </c>
      <c r="G1660" s="89">
        <v>2017</v>
      </c>
      <c r="H1660" s="312" t="s">
        <v>733</v>
      </c>
      <c r="I1660" s="308" t="str">
        <f t="shared" si="76"/>
        <v>Pesado de Passageiros M3: III : Gasóleo : E6</v>
      </c>
      <c r="J1660" s="125">
        <v>54</v>
      </c>
      <c r="K1660" s="253">
        <v>2022</v>
      </c>
      <c r="L1660" s="85">
        <v>44015.37000000001</v>
      </c>
      <c r="M1660" s="85" t="s">
        <v>630</v>
      </c>
      <c r="N1660" s="128">
        <v>178395</v>
      </c>
      <c r="O1660" s="128">
        <f t="shared" si="77"/>
        <v>9633330</v>
      </c>
      <c r="Q1660" t="s">
        <v>47</v>
      </c>
      <c r="R1660" s="214" t="s">
        <v>1869</v>
      </c>
      <c r="S1660" s="214" t="s">
        <v>1861</v>
      </c>
      <c r="T1660" t="s">
        <v>2289</v>
      </c>
      <c r="U1660" t="s">
        <v>1953</v>
      </c>
      <c r="V1660" t="s">
        <v>2813</v>
      </c>
    </row>
    <row r="1661" spans="1:22" ht="15.75" thickBot="1" x14ac:dyDescent="0.3">
      <c r="A1661" t="s">
        <v>4583</v>
      </c>
      <c r="B1661" t="s">
        <v>4583</v>
      </c>
      <c r="C1661" t="s">
        <v>4583</v>
      </c>
      <c r="D1661" t="s">
        <v>629</v>
      </c>
      <c r="E1661" s="248" t="s">
        <v>1853</v>
      </c>
      <c r="F1661" t="s">
        <v>620</v>
      </c>
      <c r="G1661" s="89">
        <v>2018</v>
      </c>
      <c r="H1661" s="312" t="s">
        <v>733</v>
      </c>
      <c r="I1661" s="308" t="str">
        <f t="shared" si="76"/>
        <v>Pesado de Passageiros M3: III : Gasóleo : E6</v>
      </c>
      <c r="J1661" s="125">
        <v>54</v>
      </c>
      <c r="K1661" s="253">
        <v>2022</v>
      </c>
      <c r="L1661" s="85">
        <v>50518.34</v>
      </c>
      <c r="M1661" s="85" t="s">
        <v>630</v>
      </c>
      <c r="N1661" s="128">
        <v>193770</v>
      </c>
      <c r="O1661" s="128">
        <f t="shared" si="77"/>
        <v>10463580</v>
      </c>
      <c r="Q1661" t="s">
        <v>47</v>
      </c>
      <c r="R1661" s="214" t="s">
        <v>1869</v>
      </c>
      <c r="S1661" s="214" t="s">
        <v>1861</v>
      </c>
      <c r="T1661" t="s">
        <v>2290</v>
      </c>
      <c r="U1661" t="s">
        <v>1953</v>
      </c>
      <c r="V1661" t="s">
        <v>2813</v>
      </c>
    </row>
    <row r="1662" spans="1:22" ht="15.75" thickBot="1" x14ac:dyDescent="0.3">
      <c r="A1662" t="s">
        <v>4583</v>
      </c>
      <c r="B1662" t="s">
        <v>4583</v>
      </c>
      <c r="C1662" t="s">
        <v>4583</v>
      </c>
      <c r="D1662" t="s">
        <v>629</v>
      </c>
      <c r="E1662" s="248" t="s">
        <v>1853</v>
      </c>
      <c r="F1662" t="s">
        <v>620</v>
      </c>
      <c r="G1662" s="89">
        <v>2018</v>
      </c>
      <c r="H1662" s="312" t="s">
        <v>733</v>
      </c>
      <c r="I1662" s="308" t="str">
        <f t="shared" si="76"/>
        <v>Pesado de Passageiros M3: III : Gasóleo : E6</v>
      </c>
      <c r="J1662" s="125">
        <v>54</v>
      </c>
      <c r="K1662" s="253">
        <v>2022</v>
      </c>
      <c r="L1662" s="85">
        <v>37766.57</v>
      </c>
      <c r="M1662" s="85" t="s">
        <v>630</v>
      </c>
      <c r="N1662" s="128">
        <v>139712</v>
      </c>
      <c r="O1662" s="128">
        <f t="shared" si="77"/>
        <v>7544448</v>
      </c>
      <c r="Q1662" t="s">
        <v>47</v>
      </c>
      <c r="R1662" s="214" t="s">
        <v>1869</v>
      </c>
      <c r="S1662" s="214" t="s">
        <v>1861</v>
      </c>
      <c r="T1662" t="s">
        <v>2291</v>
      </c>
      <c r="U1662" t="s">
        <v>1953</v>
      </c>
      <c r="V1662" t="s">
        <v>2813</v>
      </c>
    </row>
    <row r="1663" spans="1:22" ht="15.75" thickBot="1" x14ac:dyDescent="0.3">
      <c r="A1663" t="s">
        <v>4583</v>
      </c>
      <c r="B1663" t="s">
        <v>4583</v>
      </c>
      <c r="C1663" t="s">
        <v>4583</v>
      </c>
      <c r="D1663" t="s">
        <v>629</v>
      </c>
      <c r="E1663" s="248" t="s">
        <v>1853</v>
      </c>
      <c r="F1663" t="s">
        <v>620</v>
      </c>
      <c r="G1663" s="89">
        <v>2018</v>
      </c>
      <c r="H1663" s="312" t="s">
        <v>733</v>
      </c>
      <c r="I1663" s="308" t="str">
        <f t="shared" si="76"/>
        <v>Pesado de Passageiros M3: III : Gasóleo : E6</v>
      </c>
      <c r="J1663" s="125">
        <v>54</v>
      </c>
      <c r="K1663" s="253">
        <v>2022</v>
      </c>
      <c r="L1663" s="85">
        <v>48360.149999999994</v>
      </c>
      <c r="M1663" s="85" t="s">
        <v>630</v>
      </c>
      <c r="N1663" s="128">
        <v>178543</v>
      </c>
      <c r="O1663" s="128">
        <f t="shared" si="77"/>
        <v>9641322</v>
      </c>
      <c r="Q1663" t="s">
        <v>47</v>
      </c>
      <c r="R1663" s="214" t="s">
        <v>1869</v>
      </c>
      <c r="S1663" s="214" t="s">
        <v>1861</v>
      </c>
      <c r="T1663" t="s">
        <v>2292</v>
      </c>
      <c r="U1663" t="s">
        <v>1953</v>
      </c>
      <c r="V1663" t="s">
        <v>2813</v>
      </c>
    </row>
    <row r="1664" spans="1:22" ht="15.75" thickBot="1" x14ac:dyDescent="0.3">
      <c r="A1664" t="s">
        <v>4583</v>
      </c>
      <c r="B1664" t="s">
        <v>4583</v>
      </c>
      <c r="C1664" t="s">
        <v>4583</v>
      </c>
      <c r="D1664" t="s">
        <v>629</v>
      </c>
      <c r="E1664" s="248" t="s">
        <v>1853</v>
      </c>
      <c r="F1664" t="s">
        <v>620</v>
      </c>
      <c r="G1664" s="89">
        <v>2018</v>
      </c>
      <c r="H1664" s="312" t="s">
        <v>733</v>
      </c>
      <c r="I1664" s="308" t="str">
        <f t="shared" si="76"/>
        <v>Pesado de Passageiros M3: III : Gasóleo : E6</v>
      </c>
      <c r="J1664" s="125">
        <v>54</v>
      </c>
      <c r="K1664" s="253">
        <v>2022</v>
      </c>
      <c r="L1664" s="85">
        <v>26815.4</v>
      </c>
      <c r="M1664" s="85" t="s">
        <v>630</v>
      </c>
      <c r="N1664" s="128">
        <v>99215</v>
      </c>
      <c r="O1664" s="128">
        <f t="shared" si="77"/>
        <v>5357610</v>
      </c>
      <c r="Q1664" t="s">
        <v>47</v>
      </c>
      <c r="R1664" s="214" t="s">
        <v>1869</v>
      </c>
      <c r="S1664" s="214" t="s">
        <v>1861</v>
      </c>
      <c r="T1664" t="s">
        <v>2293</v>
      </c>
      <c r="U1664" t="s">
        <v>1953</v>
      </c>
      <c r="V1664" t="s">
        <v>2813</v>
      </c>
    </row>
    <row r="1665" spans="1:22" ht="15.75" thickBot="1" x14ac:dyDescent="0.3">
      <c r="A1665" t="s">
        <v>4583</v>
      </c>
      <c r="B1665" t="s">
        <v>4583</v>
      </c>
      <c r="C1665" t="s">
        <v>4583</v>
      </c>
      <c r="D1665" t="s">
        <v>629</v>
      </c>
      <c r="E1665" s="248" t="s">
        <v>1853</v>
      </c>
      <c r="F1665" t="s">
        <v>620</v>
      </c>
      <c r="G1665" s="89">
        <v>2019</v>
      </c>
      <c r="H1665" s="312" t="s">
        <v>733</v>
      </c>
      <c r="I1665" s="308" t="str">
        <f t="shared" si="76"/>
        <v>Pesado de Passageiros M3: III : Gasóleo : E6</v>
      </c>
      <c r="J1665" s="125">
        <v>54</v>
      </c>
      <c r="K1665" s="253">
        <v>2022</v>
      </c>
      <c r="L1665" s="85">
        <v>59404.66</v>
      </c>
      <c r="M1665" s="85" t="s">
        <v>630</v>
      </c>
      <c r="N1665" s="128">
        <v>220996</v>
      </c>
      <c r="O1665" s="128">
        <f t="shared" si="77"/>
        <v>11933784</v>
      </c>
      <c r="Q1665" t="s">
        <v>47</v>
      </c>
      <c r="R1665" s="214" t="s">
        <v>1869</v>
      </c>
      <c r="S1665" s="214" t="s">
        <v>1861</v>
      </c>
      <c r="T1665" t="s">
        <v>2294</v>
      </c>
      <c r="U1665" t="s">
        <v>1953</v>
      </c>
      <c r="V1665" t="s">
        <v>2813</v>
      </c>
    </row>
    <row r="1666" spans="1:22" ht="15.75" thickBot="1" x14ac:dyDescent="0.3">
      <c r="A1666" t="s">
        <v>4583</v>
      </c>
      <c r="B1666" t="s">
        <v>4583</v>
      </c>
      <c r="C1666" t="s">
        <v>4583</v>
      </c>
      <c r="D1666" t="s">
        <v>629</v>
      </c>
      <c r="E1666" s="248" t="s">
        <v>1853</v>
      </c>
      <c r="F1666" t="s">
        <v>620</v>
      </c>
      <c r="G1666" s="89">
        <v>2019</v>
      </c>
      <c r="H1666" s="312" t="s">
        <v>733</v>
      </c>
      <c r="I1666" s="308" t="str">
        <f t="shared" si="76"/>
        <v>Pesado de Passageiros M3: III : Gasóleo : E6</v>
      </c>
      <c r="J1666" s="125">
        <v>54</v>
      </c>
      <c r="K1666" s="253">
        <v>2022</v>
      </c>
      <c r="L1666" s="85">
        <v>48053.33</v>
      </c>
      <c r="M1666" s="85" t="s">
        <v>630</v>
      </c>
      <c r="N1666" s="128">
        <v>183511</v>
      </c>
      <c r="O1666" s="128">
        <f t="shared" si="77"/>
        <v>9909594</v>
      </c>
      <c r="Q1666" t="s">
        <v>47</v>
      </c>
      <c r="R1666" s="214" t="s">
        <v>1869</v>
      </c>
      <c r="S1666" s="214" t="s">
        <v>1861</v>
      </c>
      <c r="T1666" t="s">
        <v>2295</v>
      </c>
      <c r="U1666" t="s">
        <v>1953</v>
      </c>
      <c r="V1666" t="s">
        <v>2813</v>
      </c>
    </row>
    <row r="1667" spans="1:22" ht="15.75" thickBot="1" x14ac:dyDescent="0.3">
      <c r="A1667" t="s">
        <v>4583</v>
      </c>
      <c r="B1667" t="s">
        <v>4583</v>
      </c>
      <c r="C1667" t="s">
        <v>4583</v>
      </c>
      <c r="D1667" t="s">
        <v>629</v>
      </c>
      <c r="E1667" s="248" t="s">
        <v>1853</v>
      </c>
      <c r="F1667" t="s">
        <v>620</v>
      </c>
      <c r="G1667" s="89">
        <v>2019</v>
      </c>
      <c r="H1667" s="312" t="s">
        <v>733</v>
      </c>
      <c r="I1667" s="308" t="str">
        <f t="shared" si="76"/>
        <v>Pesado de Passageiros M3: III : Gasóleo : E6</v>
      </c>
      <c r="J1667" s="125">
        <v>54</v>
      </c>
      <c r="K1667" s="253">
        <v>2022</v>
      </c>
      <c r="L1667" s="85">
        <v>52041.409999999996</v>
      </c>
      <c r="M1667" s="85" t="s">
        <v>630</v>
      </c>
      <c r="N1667" s="128">
        <v>199130</v>
      </c>
      <c r="O1667" s="128">
        <f t="shared" si="77"/>
        <v>10753020</v>
      </c>
      <c r="Q1667" t="s">
        <v>47</v>
      </c>
      <c r="R1667" s="214" t="s">
        <v>1869</v>
      </c>
      <c r="S1667" s="214" t="s">
        <v>1861</v>
      </c>
      <c r="T1667" t="s">
        <v>2296</v>
      </c>
      <c r="U1667" t="s">
        <v>1953</v>
      </c>
      <c r="V1667" t="s">
        <v>2813</v>
      </c>
    </row>
    <row r="1668" spans="1:22" ht="15.75" thickBot="1" x14ac:dyDescent="0.3">
      <c r="A1668" t="s">
        <v>4583</v>
      </c>
      <c r="B1668" t="s">
        <v>4583</v>
      </c>
      <c r="C1668" t="s">
        <v>4583</v>
      </c>
      <c r="D1668" t="s">
        <v>629</v>
      </c>
      <c r="E1668" s="248" t="s">
        <v>1853</v>
      </c>
      <c r="F1668" t="s">
        <v>620</v>
      </c>
      <c r="G1668" s="89">
        <v>2019</v>
      </c>
      <c r="H1668" s="312" t="s">
        <v>733</v>
      </c>
      <c r="I1668" s="308" t="str">
        <f t="shared" ref="I1668:I1731" si="78">D1668&amp;": "&amp;E1668&amp;" : "&amp;F1668&amp;" : "&amp;H1668</f>
        <v>Pesado de Passageiros M3: III : Gasóleo : E6</v>
      </c>
      <c r="J1668" s="125">
        <v>54</v>
      </c>
      <c r="K1668" s="253">
        <v>2022</v>
      </c>
      <c r="L1668" s="85">
        <v>60848.429999999993</v>
      </c>
      <c r="M1668" s="85" t="s">
        <v>630</v>
      </c>
      <c r="N1668" s="128">
        <v>240034</v>
      </c>
      <c r="O1668" s="128">
        <f t="shared" ref="O1668:O1731" si="79">N1668*J1668</f>
        <v>12961836</v>
      </c>
      <c r="Q1668" t="s">
        <v>47</v>
      </c>
      <c r="R1668" s="214" t="s">
        <v>1869</v>
      </c>
      <c r="S1668" s="214" t="s">
        <v>1861</v>
      </c>
      <c r="T1668" t="s">
        <v>2297</v>
      </c>
      <c r="U1668" t="s">
        <v>1953</v>
      </c>
      <c r="V1668" t="s">
        <v>2813</v>
      </c>
    </row>
    <row r="1669" spans="1:22" ht="15.75" thickBot="1" x14ac:dyDescent="0.3">
      <c r="A1669" t="s">
        <v>4583</v>
      </c>
      <c r="B1669" t="s">
        <v>4583</v>
      </c>
      <c r="C1669" t="s">
        <v>4583</v>
      </c>
      <c r="D1669" t="s">
        <v>629</v>
      </c>
      <c r="E1669" s="248" t="s">
        <v>1853</v>
      </c>
      <c r="F1669" t="s">
        <v>620</v>
      </c>
      <c r="G1669" s="89">
        <v>2019</v>
      </c>
      <c r="H1669" s="312" t="s">
        <v>733</v>
      </c>
      <c r="I1669" s="308" t="str">
        <f t="shared" si="78"/>
        <v>Pesado de Passageiros M3: III : Gasóleo : E6</v>
      </c>
      <c r="J1669" s="125">
        <v>54</v>
      </c>
      <c r="K1669" s="253">
        <v>2022</v>
      </c>
      <c r="L1669" s="85">
        <v>48888.939999999995</v>
      </c>
      <c r="M1669" s="85" t="s">
        <v>630</v>
      </c>
      <c r="N1669" s="128">
        <v>187424</v>
      </c>
      <c r="O1669" s="128">
        <f t="shared" si="79"/>
        <v>10120896</v>
      </c>
      <c r="Q1669" t="s">
        <v>47</v>
      </c>
      <c r="R1669" s="214" t="s">
        <v>1869</v>
      </c>
      <c r="S1669" s="214" t="s">
        <v>1861</v>
      </c>
      <c r="T1669" t="s">
        <v>2298</v>
      </c>
      <c r="U1669" t="s">
        <v>1953</v>
      </c>
      <c r="V1669" t="s">
        <v>2813</v>
      </c>
    </row>
    <row r="1670" spans="1:22" ht="15.75" thickBot="1" x14ac:dyDescent="0.3">
      <c r="A1670" t="s">
        <v>4583</v>
      </c>
      <c r="B1670" t="s">
        <v>4583</v>
      </c>
      <c r="C1670" t="s">
        <v>4583</v>
      </c>
      <c r="D1670" t="s">
        <v>629</v>
      </c>
      <c r="E1670" s="248" t="s">
        <v>1853</v>
      </c>
      <c r="F1670" t="s">
        <v>620</v>
      </c>
      <c r="G1670" s="89">
        <v>2013</v>
      </c>
      <c r="H1670" s="312" t="s">
        <v>734</v>
      </c>
      <c r="I1670" s="308" t="str">
        <f t="shared" si="78"/>
        <v>Pesado de Passageiros M3: III : Gasóleo : E5</v>
      </c>
      <c r="J1670" s="125">
        <v>54</v>
      </c>
      <c r="K1670" s="253">
        <v>2022</v>
      </c>
      <c r="L1670" s="85">
        <v>53782.659999999996</v>
      </c>
      <c r="M1670" s="85" t="s">
        <v>630</v>
      </c>
      <c r="N1670" s="128">
        <v>178102</v>
      </c>
      <c r="O1670" s="128">
        <f t="shared" si="79"/>
        <v>9617508</v>
      </c>
      <c r="Q1670" t="s">
        <v>47</v>
      </c>
      <c r="R1670" s="214" t="s">
        <v>1869</v>
      </c>
      <c r="S1670" s="214" t="s">
        <v>1861</v>
      </c>
      <c r="T1670" t="s">
        <v>2299</v>
      </c>
      <c r="U1670" t="s">
        <v>1953</v>
      </c>
      <c r="V1670" t="s">
        <v>2813</v>
      </c>
    </row>
    <row r="1671" spans="1:22" ht="15.75" thickBot="1" x14ac:dyDescent="0.3">
      <c r="A1671" t="s">
        <v>4583</v>
      </c>
      <c r="B1671" t="s">
        <v>4583</v>
      </c>
      <c r="C1671" t="s">
        <v>4583</v>
      </c>
      <c r="D1671" t="s">
        <v>629</v>
      </c>
      <c r="E1671" s="248" t="s">
        <v>1853</v>
      </c>
      <c r="F1671" t="s">
        <v>620</v>
      </c>
      <c r="G1671" s="89">
        <v>2013</v>
      </c>
      <c r="H1671" s="312" t="s">
        <v>734</v>
      </c>
      <c r="I1671" s="308" t="str">
        <f t="shared" si="78"/>
        <v>Pesado de Passageiros M3: III : Gasóleo : E5</v>
      </c>
      <c r="J1671" s="125">
        <v>54</v>
      </c>
      <c r="K1671" s="253">
        <v>2022</v>
      </c>
      <c r="L1671" s="85">
        <v>64415.770000000004</v>
      </c>
      <c r="M1671" s="85" t="s">
        <v>630</v>
      </c>
      <c r="N1671" s="128">
        <v>214757</v>
      </c>
      <c r="O1671" s="128">
        <f t="shared" si="79"/>
        <v>11596878</v>
      </c>
      <c r="Q1671" t="s">
        <v>47</v>
      </c>
      <c r="R1671" s="214" t="s">
        <v>1869</v>
      </c>
      <c r="S1671" s="214" t="s">
        <v>1861</v>
      </c>
      <c r="T1671" t="s">
        <v>2300</v>
      </c>
      <c r="U1671" t="s">
        <v>1953</v>
      </c>
      <c r="V1671" t="s">
        <v>2813</v>
      </c>
    </row>
    <row r="1672" spans="1:22" ht="15.75" thickBot="1" x14ac:dyDescent="0.3">
      <c r="A1672" t="s">
        <v>4583</v>
      </c>
      <c r="B1672" t="s">
        <v>4583</v>
      </c>
      <c r="C1672" t="s">
        <v>4583</v>
      </c>
      <c r="D1672" t="s">
        <v>629</v>
      </c>
      <c r="E1672" s="248" t="s">
        <v>1853</v>
      </c>
      <c r="F1672" t="s">
        <v>620</v>
      </c>
      <c r="G1672" s="89">
        <v>2014</v>
      </c>
      <c r="H1672" s="312" t="s">
        <v>734</v>
      </c>
      <c r="I1672" s="308" t="str">
        <f t="shared" si="78"/>
        <v>Pesado de Passageiros M3: III : Gasóleo : E5</v>
      </c>
      <c r="J1672" s="125">
        <v>54</v>
      </c>
      <c r="K1672" s="253">
        <v>2022</v>
      </c>
      <c r="L1672" s="85">
        <v>49381.87</v>
      </c>
      <c r="M1672" s="85" t="s">
        <v>630</v>
      </c>
      <c r="N1672" s="128">
        <v>164243</v>
      </c>
      <c r="O1672" s="128">
        <f t="shared" si="79"/>
        <v>8869122</v>
      </c>
      <c r="Q1672" t="s">
        <v>47</v>
      </c>
      <c r="R1672" s="214" t="s">
        <v>1869</v>
      </c>
      <c r="S1672" s="214" t="s">
        <v>1861</v>
      </c>
      <c r="T1672" t="s">
        <v>2301</v>
      </c>
      <c r="U1672" t="s">
        <v>1953</v>
      </c>
      <c r="V1672" t="s">
        <v>2813</v>
      </c>
    </row>
    <row r="1673" spans="1:22" ht="15.75" thickBot="1" x14ac:dyDescent="0.3">
      <c r="A1673" t="s">
        <v>4583</v>
      </c>
      <c r="B1673" t="s">
        <v>4583</v>
      </c>
      <c r="C1673" t="s">
        <v>4583</v>
      </c>
      <c r="D1673" t="s">
        <v>629</v>
      </c>
      <c r="E1673" s="248" t="s">
        <v>1853</v>
      </c>
      <c r="F1673" t="s">
        <v>620</v>
      </c>
      <c r="G1673" s="89">
        <v>2015</v>
      </c>
      <c r="H1673" s="312" t="s">
        <v>733</v>
      </c>
      <c r="I1673" s="308" t="str">
        <f t="shared" si="78"/>
        <v>Pesado de Passageiros M3: III : Gasóleo : E6</v>
      </c>
      <c r="J1673" s="125">
        <v>54</v>
      </c>
      <c r="K1673" s="253">
        <v>2022</v>
      </c>
      <c r="L1673" s="85">
        <v>52652.76</v>
      </c>
      <c r="M1673" s="85" t="s">
        <v>630</v>
      </c>
      <c r="N1673" s="128">
        <v>196207</v>
      </c>
      <c r="O1673" s="128">
        <f t="shared" si="79"/>
        <v>10595178</v>
      </c>
      <c r="Q1673" t="s">
        <v>47</v>
      </c>
      <c r="R1673" s="214" t="s">
        <v>1869</v>
      </c>
      <c r="S1673" s="214" t="s">
        <v>1861</v>
      </c>
      <c r="T1673" t="s">
        <v>2302</v>
      </c>
      <c r="U1673" t="s">
        <v>1953</v>
      </c>
      <c r="V1673" t="s">
        <v>2813</v>
      </c>
    </row>
    <row r="1674" spans="1:22" ht="15.75" thickBot="1" x14ac:dyDescent="0.3">
      <c r="A1674" t="s">
        <v>4583</v>
      </c>
      <c r="B1674" t="s">
        <v>4583</v>
      </c>
      <c r="C1674" t="s">
        <v>4583</v>
      </c>
      <c r="D1674" t="s">
        <v>629</v>
      </c>
      <c r="E1674" s="248" t="s">
        <v>1853</v>
      </c>
      <c r="F1674" t="s">
        <v>620</v>
      </c>
      <c r="G1674" s="89">
        <v>2015</v>
      </c>
      <c r="H1674" s="312" t="s">
        <v>733</v>
      </c>
      <c r="I1674" s="308" t="str">
        <f t="shared" si="78"/>
        <v>Pesado de Passageiros M3: III : Gasóleo : E6</v>
      </c>
      <c r="J1674" s="125">
        <v>54</v>
      </c>
      <c r="K1674" s="253">
        <v>2022</v>
      </c>
      <c r="L1674" s="85">
        <v>36968.939999999995</v>
      </c>
      <c r="M1674" s="85" t="s">
        <v>630</v>
      </c>
      <c r="N1674" s="128">
        <v>141108</v>
      </c>
      <c r="O1674" s="128">
        <f t="shared" si="79"/>
        <v>7619832</v>
      </c>
      <c r="Q1674" t="s">
        <v>47</v>
      </c>
      <c r="R1674" s="214" t="s">
        <v>1869</v>
      </c>
      <c r="S1674" s="214" t="s">
        <v>1861</v>
      </c>
      <c r="T1674" t="s">
        <v>2303</v>
      </c>
      <c r="U1674" t="s">
        <v>1953</v>
      </c>
      <c r="V1674" t="s">
        <v>2813</v>
      </c>
    </row>
    <row r="1675" spans="1:22" ht="15.75" thickBot="1" x14ac:dyDescent="0.3">
      <c r="A1675" t="s">
        <v>4583</v>
      </c>
      <c r="B1675" t="s">
        <v>4583</v>
      </c>
      <c r="C1675" t="s">
        <v>4583</v>
      </c>
      <c r="D1675" t="s">
        <v>629</v>
      </c>
      <c r="E1675" s="248" t="s">
        <v>1853</v>
      </c>
      <c r="F1675" t="s">
        <v>620</v>
      </c>
      <c r="G1675" s="89">
        <v>2015</v>
      </c>
      <c r="H1675" s="312" t="s">
        <v>733</v>
      </c>
      <c r="I1675" s="308" t="str">
        <f t="shared" si="78"/>
        <v>Pesado de Passageiros M3: III : Gasóleo : E6</v>
      </c>
      <c r="J1675" s="125">
        <v>54</v>
      </c>
      <c r="K1675" s="253">
        <v>2022</v>
      </c>
      <c r="L1675" s="85">
        <v>55823.840000000004</v>
      </c>
      <c r="M1675" s="85" t="s">
        <v>630</v>
      </c>
      <c r="N1675" s="128">
        <v>207466</v>
      </c>
      <c r="O1675" s="128">
        <f t="shared" si="79"/>
        <v>11203164</v>
      </c>
      <c r="Q1675" t="s">
        <v>47</v>
      </c>
      <c r="R1675" s="214" t="s">
        <v>1869</v>
      </c>
      <c r="S1675" s="214" t="s">
        <v>1861</v>
      </c>
      <c r="T1675" t="s">
        <v>2304</v>
      </c>
      <c r="U1675" t="s">
        <v>1953</v>
      </c>
      <c r="V1675" t="s">
        <v>2813</v>
      </c>
    </row>
    <row r="1676" spans="1:22" ht="15.75" thickBot="1" x14ac:dyDescent="0.3">
      <c r="A1676" t="s">
        <v>4583</v>
      </c>
      <c r="B1676" t="s">
        <v>4583</v>
      </c>
      <c r="C1676" t="s">
        <v>4583</v>
      </c>
      <c r="D1676" t="s">
        <v>629</v>
      </c>
      <c r="E1676" s="248" t="s">
        <v>1853</v>
      </c>
      <c r="F1676" t="s">
        <v>620</v>
      </c>
      <c r="G1676" s="89">
        <v>2017</v>
      </c>
      <c r="H1676" s="312" t="s">
        <v>733</v>
      </c>
      <c r="I1676" s="308" t="str">
        <f t="shared" si="78"/>
        <v>Pesado de Passageiros M3: III : Gasóleo : E6</v>
      </c>
      <c r="J1676" s="125">
        <v>58</v>
      </c>
      <c r="K1676" s="253">
        <v>2022</v>
      </c>
      <c r="L1676" s="85">
        <v>67078.41</v>
      </c>
      <c r="M1676" s="85" t="s">
        <v>630</v>
      </c>
      <c r="N1676" s="128">
        <v>242277</v>
      </c>
      <c r="O1676" s="128">
        <f t="shared" si="79"/>
        <v>14052066</v>
      </c>
      <c r="Q1676" t="s">
        <v>47</v>
      </c>
      <c r="R1676" s="214" t="s">
        <v>1869</v>
      </c>
      <c r="S1676" s="214" t="s">
        <v>1861</v>
      </c>
      <c r="T1676" t="s">
        <v>2305</v>
      </c>
      <c r="U1676" t="s">
        <v>1953</v>
      </c>
      <c r="V1676" t="s">
        <v>2813</v>
      </c>
    </row>
    <row r="1677" spans="1:22" ht="15.75" thickBot="1" x14ac:dyDescent="0.3">
      <c r="A1677" t="s">
        <v>4583</v>
      </c>
      <c r="B1677" t="s">
        <v>4583</v>
      </c>
      <c r="C1677" t="s">
        <v>4583</v>
      </c>
      <c r="D1677" t="s">
        <v>629</v>
      </c>
      <c r="E1677" s="248" t="s">
        <v>1853</v>
      </c>
      <c r="F1677" t="s">
        <v>620</v>
      </c>
      <c r="G1677" s="89">
        <v>2011</v>
      </c>
      <c r="H1677" s="312" t="s">
        <v>734</v>
      </c>
      <c r="I1677" s="308" t="str">
        <f t="shared" si="78"/>
        <v>Pesado de Passageiros M3: III : Gasóleo : E5</v>
      </c>
      <c r="J1677" s="125">
        <v>57</v>
      </c>
      <c r="K1677" s="253">
        <v>2022</v>
      </c>
      <c r="L1677" s="85">
        <v>18956.290000000005</v>
      </c>
      <c r="M1677" s="85" t="s">
        <v>630</v>
      </c>
      <c r="N1677" s="128">
        <v>59829</v>
      </c>
      <c r="O1677" s="128">
        <f t="shared" si="79"/>
        <v>3410253</v>
      </c>
      <c r="Q1677" t="s">
        <v>47</v>
      </c>
      <c r="R1677" s="214" t="s">
        <v>1869</v>
      </c>
      <c r="S1677" s="214" t="s">
        <v>1861</v>
      </c>
      <c r="T1677" t="s">
        <v>2306</v>
      </c>
      <c r="U1677" t="s">
        <v>1953</v>
      </c>
      <c r="V1677" t="s">
        <v>2813</v>
      </c>
    </row>
    <row r="1678" spans="1:22" ht="15.75" thickBot="1" x14ac:dyDescent="0.3">
      <c r="A1678" t="s">
        <v>4583</v>
      </c>
      <c r="B1678" t="s">
        <v>4583</v>
      </c>
      <c r="C1678" t="s">
        <v>4583</v>
      </c>
      <c r="D1678" t="s">
        <v>629</v>
      </c>
      <c r="E1678" s="248" t="s">
        <v>1853</v>
      </c>
      <c r="F1678" t="s">
        <v>620</v>
      </c>
      <c r="G1678" s="89">
        <v>2006</v>
      </c>
      <c r="H1678" s="312" t="s">
        <v>731</v>
      </c>
      <c r="I1678" s="308" t="str">
        <f t="shared" si="78"/>
        <v>Pesado de Passageiros M3: III : Gasóleo : E4</v>
      </c>
      <c r="J1678" s="125">
        <v>49</v>
      </c>
      <c r="K1678" s="253">
        <v>2022</v>
      </c>
      <c r="L1678" s="85">
        <v>7133.06</v>
      </c>
      <c r="M1678" s="85" t="s">
        <v>630</v>
      </c>
      <c r="N1678" s="128">
        <v>22606</v>
      </c>
      <c r="O1678" s="128">
        <f t="shared" si="79"/>
        <v>1107694</v>
      </c>
      <c r="Q1678" t="s">
        <v>47</v>
      </c>
      <c r="R1678" s="214" t="s">
        <v>1869</v>
      </c>
      <c r="S1678" s="214" t="s">
        <v>1861</v>
      </c>
      <c r="T1678" t="s">
        <v>2307</v>
      </c>
      <c r="U1678" t="s">
        <v>1953</v>
      </c>
      <c r="V1678" t="s">
        <v>2813</v>
      </c>
    </row>
    <row r="1679" spans="1:22" ht="15.75" thickBot="1" x14ac:dyDescent="0.3">
      <c r="A1679" t="s">
        <v>4583</v>
      </c>
      <c r="B1679" t="s">
        <v>4583</v>
      </c>
      <c r="C1679" t="s">
        <v>4583</v>
      </c>
      <c r="D1679" t="s">
        <v>629</v>
      </c>
      <c r="E1679" s="248" t="s">
        <v>1853</v>
      </c>
      <c r="F1679" t="s">
        <v>620</v>
      </c>
      <c r="G1679" s="89">
        <v>2006</v>
      </c>
      <c r="H1679" s="312" t="s">
        <v>731</v>
      </c>
      <c r="I1679" s="308" t="str">
        <f t="shared" si="78"/>
        <v>Pesado de Passageiros M3: III : Gasóleo : E4</v>
      </c>
      <c r="J1679" s="125">
        <v>49</v>
      </c>
      <c r="K1679" s="253">
        <v>2022</v>
      </c>
      <c r="L1679" s="85">
        <v>15237.94</v>
      </c>
      <c r="M1679" s="85" t="s">
        <v>630</v>
      </c>
      <c r="N1679" s="128">
        <v>53166</v>
      </c>
      <c r="O1679" s="128">
        <f t="shared" si="79"/>
        <v>2605134</v>
      </c>
      <c r="Q1679" t="s">
        <v>47</v>
      </c>
      <c r="R1679" s="214" t="s">
        <v>1869</v>
      </c>
      <c r="S1679" s="214" t="s">
        <v>1861</v>
      </c>
      <c r="T1679" t="s">
        <v>2308</v>
      </c>
      <c r="U1679" t="s">
        <v>1953</v>
      </c>
      <c r="V1679" t="s">
        <v>2813</v>
      </c>
    </row>
    <row r="1680" spans="1:22" ht="15.75" thickBot="1" x14ac:dyDescent="0.3">
      <c r="A1680" t="s">
        <v>4583</v>
      </c>
      <c r="B1680" t="s">
        <v>4583</v>
      </c>
      <c r="C1680" t="s">
        <v>4583</v>
      </c>
      <c r="D1680" t="s">
        <v>629</v>
      </c>
      <c r="E1680" s="248" t="s">
        <v>1853</v>
      </c>
      <c r="F1680" t="s">
        <v>620</v>
      </c>
      <c r="G1680" s="89">
        <v>2006</v>
      </c>
      <c r="H1680" s="312" t="s">
        <v>731</v>
      </c>
      <c r="I1680" s="308" t="str">
        <f t="shared" si="78"/>
        <v>Pesado de Passageiros M3: III : Gasóleo : E4</v>
      </c>
      <c r="J1680" s="125">
        <v>49</v>
      </c>
      <c r="K1680" s="253">
        <v>2022</v>
      </c>
      <c r="L1680" s="85">
        <v>16340.119999999997</v>
      </c>
      <c r="M1680" s="85" t="s">
        <v>630</v>
      </c>
      <c r="N1680" s="128">
        <v>55467</v>
      </c>
      <c r="O1680" s="128">
        <f t="shared" si="79"/>
        <v>2717883</v>
      </c>
      <c r="Q1680" t="s">
        <v>47</v>
      </c>
      <c r="R1680" s="214" t="s">
        <v>1869</v>
      </c>
      <c r="S1680" s="214" t="s">
        <v>1861</v>
      </c>
      <c r="T1680" t="s">
        <v>2309</v>
      </c>
      <c r="U1680" t="s">
        <v>1953</v>
      </c>
      <c r="V1680" t="s">
        <v>2813</v>
      </c>
    </row>
    <row r="1681" spans="1:22" ht="15.75" thickBot="1" x14ac:dyDescent="0.3">
      <c r="A1681" t="s">
        <v>4583</v>
      </c>
      <c r="B1681" t="s">
        <v>4583</v>
      </c>
      <c r="C1681" t="s">
        <v>4583</v>
      </c>
      <c r="D1681" t="s">
        <v>629</v>
      </c>
      <c r="E1681" s="248" t="s">
        <v>1853</v>
      </c>
      <c r="F1681" t="s">
        <v>620</v>
      </c>
      <c r="G1681" s="89">
        <v>2008</v>
      </c>
      <c r="H1681" s="312" t="s">
        <v>731</v>
      </c>
      <c r="I1681" s="308" t="str">
        <f t="shared" si="78"/>
        <v>Pesado de Passageiros M3: III : Gasóleo : E4</v>
      </c>
      <c r="J1681" s="125">
        <v>54</v>
      </c>
      <c r="K1681" s="253">
        <v>2022</v>
      </c>
      <c r="L1681" s="85">
        <v>13839.399999999998</v>
      </c>
      <c r="M1681" s="85" t="s">
        <v>630</v>
      </c>
      <c r="N1681" s="128">
        <v>50677</v>
      </c>
      <c r="O1681" s="128">
        <f t="shared" si="79"/>
        <v>2736558</v>
      </c>
      <c r="Q1681" t="s">
        <v>47</v>
      </c>
      <c r="R1681" s="214" t="s">
        <v>1869</v>
      </c>
      <c r="S1681" s="214" t="s">
        <v>1861</v>
      </c>
      <c r="T1681" t="s">
        <v>2310</v>
      </c>
      <c r="U1681" t="s">
        <v>1953</v>
      </c>
      <c r="V1681" t="s">
        <v>2813</v>
      </c>
    </row>
    <row r="1682" spans="1:22" ht="15.75" thickBot="1" x14ac:dyDescent="0.3">
      <c r="A1682" t="s">
        <v>4583</v>
      </c>
      <c r="B1682" t="s">
        <v>4583</v>
      </c>
      <c r="C1682" t="s">
        <v>4583</v>
      </c>
      <c r="D1682" t="s">
        <v>629</v>
      </c>
      <c r="E1682" s="248" t="s">
        <v>1853</v>
      </c>
      <c r="F1682" t="s">
        <v>620</v>
      </c>
      <c r="G1682" s="89">
        <v>2006</v>
      </c>
      <c r="H1682" s="312" t="s">
        <v>731</v>
      </c>
      <c r="I1682" s="308" t="str">
        <f t="shared" si="78"/>
        <v>Pesado de Passageiros M3: III : Gasóleo : E4</v>
      </c>
      <c r="J1682" s="125">
        <v>54</v>
      </c>
      <c r="K1682" s="253">
        <v>2022</v>
      </c>
      <c r="L1682" s="85">
        <v>19211.82</v>
      </c>
      <c r="M1682" s="85" t="s">
        <v>630</v>
      </c>
      <c r="N1682" s="128">
        <v>61954</v>
      </c>
      <c r="O1682" s="128">
        <f t="shared" si="79"/>
        <v>3345516</v>
      </c>
      <c r="Q1682" t="s">
        <v>47</v>
      </c>
      <c r="R1682" s="214" t="s">
        <v>1869</v>
      </c>
      <c r="S1682" s="214" t="s">
        <v>1861</v>
      </c>
      <c r="T1682" t="s">
        <v>2311</v>
      </c>
      <c r="U1682" t="s">
        <v>1953</v>
      </c>
      <c r="V1682" t="s">
        <v>2813</v>
      </c>
    </row>
    <row r="1683" spans="1:22" ht="15.75" thickBot="1" x14ac:dyDescent="0.3">
      <c r="A1683" t="s">
        <v>4583</v>
      </c>
      <c r="B1683" t="s">
        <v>4583</v>
      </c>
      <c r="C1683" t="s">
        <v>4583</v>
      </c>
      <c r="D1683" t="s">
        <v>629</v>
      </c>
      <c r="E1683" s="248" t="s">
        <v>1853</v>
      </c>
      <c r="F1683" t="s">
        <v>620</v>
      </c>
      <c r="G1683" s="89">
        <v>2006</v>
      </c>
      <c r="H1683" s="312" t="s">
        <v>731</v>
      </c>
      <c r="I1683" s="308" t="str">
        <f t="shared" si="78"/>
        <v>Pesado de Passageiros M3: III : Gasóleo : E4</v>
      </c>
      <c r="J1683" s="125">
        <v>54</v>
      </c>
      <c r="K1683" s="253">
        <v>2022</v>
      </c>
      <c r="L1683" s="85">
        <v>19642.97</v>
      </c>
      <c r="M1683" s="85" t="s">
        <v>630</v>
      </c>
      <c r="N1683" s="128">
        <v>66026</v>
      </c>
      <c r="O1683" s="128">
        <f t="shared" si="79"/>
        <v>3565404</v>
      </c>
      <c r="Q1683" t="s">
        <v>47</v>
      </c>
      <c r="R1683" s="214" t="s">
        <v>1869</v>
      </c>
      <c r="S1683" s="214" t="s">
        <v>1861</v>
      </c>
      <c r="T1683" t="s">
        <v>2312</v>
      </c>
      <c r="U1683" t="s">
        <v>1953</v>
      </c>
      <c r="V1683" t="s">
        <v>2813</v>
      </c>
    </row>
    <row r="1684" spans="1:22" ht="15.75" thickBot="1" x14ac:dyDescent="0.3">
      <c r="A1684" t="s">
        <v>4583</v>
      </c>
      <c r="B1684" t="s">
        <v>4583</v>
      </c>
      <c r="C1684" t="s">
        <v>4583</v>
      </c>
      <c r="D1684" t="s">
        <v>629</v>
      </c>
      <c r="E1684" s="248" t="s">
        <v>1853</v>
      </c>
      <c r="F1684" t="s">
        <v>620</v>
      </c>
      <c r="G1684" s="89">
        <v>2006</v>
      </c>
      <c r="H1684" s="312" t="s">
        <v>731</v>
      </c>
      <c r="I1684" s="308" t="str">
        <f t="shared" si="78"/>
        <v>Pesado de Passageiros M3: III : Gasóleo : E4</v>
      </c>
      <c r="J1684" s="125">
        <v>54</v>
      </c>
      <c r="K1684" s="253">
        <v>2022</v>
      </c>
      <c r="L1684" s="85">
        <v>15720.970000000001</v>
      </c>
      <c r="M1684" s="85" t="s">
        <v>630</v>
      </c>
      <c r="N1684" s="128">
        <v>53762</v>
      </c>
      <c r="O1684" s="128">
        <f t="shared" si="79"/>
        <v>2903148</v>
      </c>
      <c r="Q1684" t="s">
        <v>47</v>
      </c>
      <c r="R1684" s="214" t="s">
        <v>1869</v>
      </c>
      <c r="S1684" s="214" t="s">
        <v>1861</v>
      </c>
      <c r="T1684" t="s">
        <v>2313</v>
      </c>
      <c r="U1684" t="s">
        <v>1953</v>
      </c>
      <c r="V1684" t="s">
        <v>2813</v>
      </c>
    </row>
    <row r="1685" spans="1:22" ht="15.75" thickBot="1" x14ac:dyDescent="0.3">
      <c r="A1685" t="s">
        <v>4583</v>
      </c>
      <c r="B1685" t="s">
        <v>4583</v>
      </c>
      <c r="C1685" t="s">
        <v>4583</v>
      </c>
      <c r="D1685" t="s">
        <v>629</v>
      </c>
      <c r="E1685" s="248" t="s">
        <v>1853</v>
      </c>
      <c r="F1685" t="s">
        <v>620</v>
      </c>
      <c r="G1685" s="89">
        <v>2008</v>
      </c>
      <c r="H1685" s="312" t="s">
        <v>731</v>
      </c>
      <c r="I1685" s="308" t="str">
        <f t="shared" si="78"/>
        <v>Pesado de Passageiros M3: III : Gasóleo : E4</v>
      </c>
      <c r="J1685" s="125">
        <v>53</v>
      </c>
      <c r="K1685" s="253">
        <v>2022</v>
      </c>
      <c r="L1685" s="85">
        <v>20374.47</v>
      </c>
      <c r="M1685" s="85" t="s">
        <v>630</v>
      </c>
      <c r="N1685" s="128">
        <v>65398</v>
      </c>
      <c r="O1685" s="128">
        <f t="shared" si="79"/>
        <v>3466094</v>
      </c>
      <c r="Q1685" t="s">
        <v>47</v>
      </c>
      <c r="R1685" s="214" t="s">
        <v>1869</v>
      </c>
      <c r="S1685" s="214" t="s">
        <v>1861</v>
      </c>
      <c r="T1685" t="s">
        <v>2314</v>
      </c>
      <c r="U1685" t="s">
        <v>1953</v>
      </c>
      <c r="V1685" t="s">
        <v>2813</v>
      </c>
    </row>
    <row r="1686" spans="1:22" ht="15.75" thickBot="1" x14ac:dyDescent="0.3">
      <c r="A1686" t="s">
        <v>4583</v>
      </c>
      <c r="B1686" t="s">
        <v>4583</v>
      </c>
      <c r="C1686" t="s">
        <v>4583</v>
      </c>
      <c r="D1686" t="s">
        <v>629</v>
      </c>
      <c r="E1686" s="248" t="s">
        <v>1853</v>
      </c>
      <c r="F1686" t="s">
        <v>620</v>
      </c>
      <c r="G1686" s="89">
        <v>2008</v>
      </c>
      <c r="H1686" s="312" t="s">
        <v>731</v>
      </c>
      <c r="I1686" s="308" t="str">
        <f t="shared" si="78"/>
        <v>Pesado de Passageiros M3: III : Gasóleo : E4</v>
      </c>
      <c r="J1686" s="125">
        <v>54</v>
      </c>
      <c r="K1686" s="253">
        <v>2022</v>
      </c>
      <c r="L1686" s="85">
        <v>13192.34</v>
      </c>
      <c r="M1686" s="85" t="s">
        <v>630</v>
      </c>
      <c r="N1686" s="128">
        <v>41084</v>
      </c>
      <c r="O1686" s="128">
        <f t="shared" si="79"/>
        <v>2218536</v>
      </c>
      <c r="Q1686" t="s">
        <v>47</v>
      </c>
      <c r="R1686" s="214" t="s">
        <v>1869</v>
      </c>
      <c r="S1686" s="214" t="s">
        <v>1861</v>
      </c>
      <c r="T1686" t="s">
        <v>2315</v>
      </c>
      <c r="U1686" t="s">
        <v>1953</v>
      </c>
      <c r="V1686" t="s">
        <v>2813</v>
      </c>
    </row>
    <row r="1687" spans="1:22" ht="15.75" thickBot="1" x14ac:dyDescent="0.3">
      <c r="A1687" t="s">
        <v>4583</v>
      </c>
      <c r="B1687" t="s">
        <v>4583</v>
      </c>
      <c r="C1687" t="s">
        <v>4583</v>
      </c>
      <c r="D1687" t="s">
        <v>629</v>
      </c>
      <c r="E1687" s="248" t="s">
        <v>1853</v>
      </c>
      <c r="F1687" t="s">
        <v>620</v>
      </c>
      <c r="G1687" s="89">
        <v>2008</v>
      </c>
      <c r="H1687" s="312" t="s">
        <v>731</v>
      </c>
      <c r="I1687" s="308" t="str">
        <f t="shared" si="78"/>
        <v>Pesado de Passageiros M3: III : Gasóleo : E4</v>
      </c>
      <c r="J1687" s="125">
        <v>54</v>
      </c>
      <c r="K1687" s="253">
        <v>2022</v>
      </c>
      <c r="L1687" s="85">
        <v>13771.019999999997</v>
      </c>
      <c r="M1687" s="85" t="s">
        <v>630</v>
      </c>
      <c r="N1687" s="128">
        <v>41242</v>
      </c>
      <c r="O1687" s="128">
        <f t="shared" si="79"/>
        <v>2227068</v>
      </c>
      <c r="Q1687" t="s">
        <v>47</v>
      </c>
      <c r="R1687" s="214" t="s">
        <v>1869</v>
      </c>
      <c r="S1687" s="214" t="s">
        <v>1861</v>
      </c>
      <c r="T1687" t="s">
        <v>2316</v>
      </c>
      <c r="U1687" t="s">
        <v>1953</v>
      </c>
      <c r="V1687" t="s">
        <v>2813</v>
      </c>
    </row>
    <row r="1688" spans="1:22" ht="15.75" thickBot="1" x14ac:dyDescent="0.3">
      <c r="A1688" t="s">
        <v>4583</v>
      </c>
      <c r="B1688" t="s">
        <v>4583</v>
      </c>
      <c r="C1688" t="s">
        <v>4583</v>
      </c>
      <c r="D1688" t="s">
        <v>629</v>
      </c>
      <c r="E1688" s="248" t="s">
        <v>1853</v>
      </c>
      <c r="F1688" t="s">
        <v>620</v>
      </c>
      <c r="G1688" s="89">
        <v>2008</v>
      </c>
      <c r="H1688" s="312" t="s">
        <v>731</v>
      </c>
      <c r="I1688" s="308" t="str">
        <f t="shared" si="78"/>
        <v>Pesado de Passageiros M3: III : Gasóleo : E4</v>
      </c>
      <c r="J1688" s="125">
        <v>56</v>
      </c>
      <c r="K1688" s="253">
        <v>2022</v>
      </c>
      <c r="L1688" s="85">
        <v>21011.71</v>
      </c>
      <c r="M1688" s="85" t="s">
        <v>630</v>
      </c>
      <c r="N1688" s="128">
        <v>67322</v>
      </c>
      <c r="O1688" s="128">
        <f t="shared" si="79"/>
        <v>3770032</v>
      </c>
      <c r="Q1688" t="s">
        <v>47</v>
      </c>
      <c r="R1688" s="214" t="s">
        <v>1869</v>
      </c>
      <c r="S1688" s="214" t="s">
        <v>1861</v>
      </c>
      <c r="T1688" t="s">
        <v>2317</v>
      </c>
      <c r="U1688" t="s">
        <v>1953</v>
      </c>
      <c r="V1688" t="s">
        <v>2813</v>
      </c>
    </row>
    <row r="1689" spans="1:22" ht="15.75" thickBot="1" x14ac:dyDescent="0.3">
      <c r="A1689" t="s">
        <v>4583</v>
      </c>
      <c r="B1689" t="s">
        <v>4583</v>
      </c>
      <c r="C1689" t="s">
        <v>4583</v>
      </c>
      <c r="D1689" t="s">
        <v>629</v>
      </c>
      <c r="E1689" s="248" t="s">
        <v>1853</v>
      </c>
      <c r="F1689" t="s">
        <v>620</v>
      </c>
      <c r="G1689" s="89">
        <v>2013</v>
      </c>
      <c r="H1689" s="312" t="s">
        <v>734</v>
      </c>
      <c r="I1689" s="308" t="str">
        <f t="shared" si="78"/>
        <v>Pesado de Passageiros M3: III : Gasóleo : E5</v>
      </c>
      <c r="J1689" s="125">
        <v>66</v>
      </c>
      <c r="K1689" s="253">
        <v>2022</v>
      </c>
      <c r="L1689" s="85">
        <v>12768.6</v>
      </c>
      <c r="M1689" s="85" t="s">
        <v>630</v>
      </c>
      <c r="N1689" s="128">
        <v>39966</v>
      </c>
      <c r="O1689" s="128">
        <f t="shared" si="79"/>
        <v>2637756</v>
      </c>
      <c r="Q1689" t="s">
        <v>47</v>
      </c>
      <c r="R1689" s="214" t="s">
        <v>1869</v>
      </c>
      <c r="S1689" s="214" t="s">
        <v>1861</v>
      </c>
      <c r="T1689" t="s">
        <v>2318</v>
      </c>
      <c r="U1689" t="s">
        <v>1953</v>
      </c>
      <c r="V1689" t="s">
        <v>2813</v>
      </c>
    </row>
    <row r="1690" spans="1:22" ht="15.75" thickBot="1" x14ac:dyDescent="0.3">
      <c r="A1690" t="s">
        <v>4583</v>
      </c>
      <c r="B1690" t="s">
        <v>4583</v>
      </c>
      <c r="C1690" t="s">
        <v>4583</v>
      </c>
      <c r="D1690" t="s">
        <v>629</v>
      </c>
      <c r="E1690" s="248" t="s">
        <v>1853</v>
      </c>
      <c r="F1690" t="s">
        <v>620</v>
      </c>
      <c r="G1690" s="89">
        <v>2017</v>
      </c>
      <c r="H1690" s="312" t="s">
        <v>733</v>
      </c>
      <c r="I1690" s="308" t="str">
        <f t="shared" si="78"/>
        <v>Pesado de Passageiros M3: III : Gasóleo : E6</v>
      </c>
      <c r="J1690" s="125">
        <v>58</v>
      </c>
      <c r="K1690" s="253">
        <v>2022</v>
      </c>
      <c r="L1690" s="85">
        <v>32814.489999999991</v>
      </c>
      <c r="M1690" s="85" t="s">
        <v>630</v>
      </c>
      <c r="N1690" s="128">
        <v>123947</v>
      </c>
      <c r="O1690" s="128">
        <f t="shared" si="79"/>
        <v>7188926</v>
      </c>
      <c r="Q1690" t="s">
        <v>47</v>
      </c>
      <c r="R1690" s="214" t="s">
        <v>1869</v>
      </c>
      <c r="S1690" s="214" t="s">
        <v>1861</v>
      </c>
      <c r="T1690" t="s">
        <v>2319</v>
      </c>
      <c r="U1690" t="s">
        <v>1953</v>
      </c>
      <c r="V1690" t="s">
        <v>2813</v>
      </c>
    </row>
    <row r="1691" spans="1:22" ht="15.75" thickBot="1" x14ac:dyDescent="0.3">
      <c r="A1691" t="s">
        <v>4583</v>
      </c>
      <c r="B1691" t="s">
        <v>4583</v>
      </c>
      <c r="C1691" t="s">
        <v>4583</v>
      </c>
      <c r="D1691" t="s">
        <v>629</v>
      </c>
      <c r="E1691" s="248" t="s">
        <v>1853</v>
      </c>
      <c r="F1691" t="s">
        <v>620</v>
      </c>
      <c r="G1691" s="89">
        <v>2009</v>
      </c>
      <c r="H1691" s="312" t="s">
        <v>731</v>
      </c>
      <c r="I1691" s="308" t="str">
        <f t="shared" si="78"/>
        <v>Pesado de Passageiros M3: III : Gasóleo : E4</v>
      </c>
      <c r="J1691" s="125">
        <v>56</v>
      </c>
      <c r="K1691" s="253">
        <v>2022</v>
      </c>
      <c r="L1691" s="85">
        <v>18438.400000000001</v>
      </c>
      <c r="M1691" s="85" t="s">
        <v>630</v>
      </c>
      <c r="N1691" s="128">
        <v>59517</v>
      </c>
      <c r="O1691" s="128">
        <f t="shared" si="79"/>
        <v>3332952</v>
      </c>
      <c r="Q1691" t="s">
        <v>47</v>
      </c>
      <c r="R1691" s="214" t="s">
        <v>1869</v>
      </c>
      <c r="S1691" s="214" t="s">
        <v>1861</v>
      </c>
      <c r="T1691" t="s">
        <v>2320</v>
      </c>
      <c r="U1691" t="s">
        <v>1953</v>
      </c>
      <c r="V1691" t="s">
        <v>2813</v>
      </c>
    </row>
    <row r="1692" spans="1:22" ht="15.75" thickBot="1" x14ac:dyDescent="0.3">
      <c r="A1692" t="s">
        <v>4583</v>
      </c>
      <c r="B1692" t="s">
        <v>4583</v>
      </c>
      <c r="C1692" t="s">
        <v>4583</v>
      </c>
      <c r="D1692" t="s">
        <v>629</v>
      </c>
      <c r="E1692" s="248" t="s">
        <v>1853</v>
      </c>
      <c r="F1692" t="s">
        <v>620</v>
      </c>
      <c r="G1692" s="89">
        <v>2009</v>
      </c>
      <c r="H1692" s="312" t="s">
        <v>731</v>
      </c>
      <c r="I1692" s="308" t="str">
        <f t="shared" si="78"/>
        <v>Pesado de Passageiros M3: III : Gasóleo : E4</v>
      </c>
      <c r="J1692" s="125">
        <v>56</v>
      </c>
      <c r="K1692" s="253">
        <v>2022</v>
      </c>
      <c r="L1692" s="85">
        <v>22138.51</v>
      </c>
      <c r="M1692" s="85" t="s">
        <v>630</v>
      </c>
      <c r="N1692" s="128">
        <v>70625</v>
      </c>
      <c r="O1692" s="128">
        <f t="shared" si="79"/>
        <v>3955000</v>
      </c>
      <c r="Q1692" t="s">
        <v>47</v>
      </c>
      <c r="R1692" s="214" t="s">
        <v>1869</v>
      </c>
      <c r="S1692" s="214" t="s">
        <v>1861</v>
      </c>
      <c r="T1692" t="s">
        <v>2321</v>
      </c>
      <c r="U1692" t="s">
        <v>1953</v>
      </c>
      <c r="V1692" t="s">
        <v>2813</v>
      </c>
    </row>
    <row r="1693" spans="1:22" ht="15.75" thickBot="1" x14ac:dyDescent="0.3">
      <c r="A1693" t="s">
        <v>4583</v>
      </c>
      <c r="B1693" t="s">
        <v>4583</v>
      </c>
      <c r="C1693" t="s">
        <v>4583</v>
      </c>
      <c r="D1693" t="s">
        <v>629</v>
      </c>
      <c r="E1693" s="248" t="s">
        <v>1853</v>
      </c>
      <c r="F1693" t="s">
        <v>620</v>
      </c>
      <c r="G1693" s="89">
        <v>2009</v>
      </c>
      <c r="H1693" s="312" t="s">
        <v>731</v>
      </c>
      <c r="I1693" s="308" t="str">
        <f t="shared" si="78"/>
        <v>Pesado de Passageiros M3: III : Gasóleo : E4</v>
      </c>
      <c r="J1693" s="125">
        <v>56</v>
      </c>
      <c r="K1693" s="253">
        <v>2022</v>
      </c>
      <c r="L1693" s="85">
        <v>15356.160000000002</v>
      </c>
      <c r="M1693" s="85" t="s">
        <v>630</v>
      </c>
      <c r="N1693" s="128">
        <v>49456</v>
      </c>
      <c r="O1693" s="128">
        <f t="shared" si="79"/>
        <v>2769536</v>
      </c>
      <c r="Q1693" t="s">
        <v>47</v>
      </c>
      <c r="R1693" s="214" t="s">
        <v>1869</v>
      </c>
      <c r="S1693" s="214" t="s">
        <v>1861</v>
      </c>
      <c r="T1693" t="s">
        <v>2322</v>
      </c>
      <c r="U1693" t="s">
        <v>1953</v>
      </c>
      <c r="V1693" t="s">
        <v>2813</v>
      </c>
    </row>
    <row r="1694" spans="1:22" ht="15.75" thickBot="1" x14ac:dyDescent="0.3">
      <c r="A1694" t="s">
        <v>4583</v>
      </c>
      <c r="B1694" t="s">
        <v>4583</v>
      </c>
      <c r="C1694" t="s">
        <v>4583</v>
      </c>
      <c r="D1694" t="s">
        <v>629</v>
      </c>
      <c r="E1694" s="248" t="s">
        <v>1853</v>
      </c>
      <c r="F1694" t="s">
        <v>620</v>
      </c>
      <c r="G1694" s="89">
        <v>2009</v>
      </c>
      <c r="H1694" s="312" t="s">
        <v>731</v>
      </c>
      <c r="I1694" s="308" t="str">
        <f t="shared" si="78"/>
        <v>Pesado de Passageiros M3: III : Gasóleo : E4</v>
      </c>
      <c r="J1694" s="125">
        <v>56</v>
      </c>
      <c r="K1694" s="253">
        <v>2022</v>
      </c>
      <c r="L1694" s="85">
        <v>25368.708999999999</v>
      </c>
      <c r="M1694" s="85" t="s">
        <v>630</v>
      </c>
      <c r="N1694" s="128">
        <v>85628</v>
      </c>
      <c r="O1694" s="128">
        <f t="shared" si="79"/>
        <v>4795168</v>
      </c>
      <c r="Q1694" t="s">
        <v>47</v>
      </c>
      <c r="R1694" s="214" t="s">
        <v>1869</v>
      </c>
      <c r="S1694" s="214" t="s">
        <v>1861</v>
      </c>
      <c r="T1694" t="s">
        <v>2323</v>
      </c>
      <c r="U1694" t="s">
        <v>1953</v>
      </c>
      <c r="V1694" t="s">
        <v>2813</v>
      </c>
    </row>
    <row r="1695" spans="1:22" ht="15.75" thickBot="1" x14ac:dyDescent="0.3">
      <c r="A1695" t="s">
        <v>4583</v>
      </c>
      <c r="B1695" t="s">
        <v>4583</v>
      </c>
      <c r="C1695" t="s">
        <v>4583</v>
      </c>
      <c r="D1695" t="s">
        <v>629</v>
      </c>
      <c r="E1695" s="248" t="s">
        <v>1853</v>
      </c>
      <c r="F1695" t="s">
        <v>620</v>
      </c>
      <c r="G1695" s="89">
        <v>2009</v>
      </c>
      <c r="H1695" s="312" t="s">
        <v>731</v>
      </c>
      <c r="I1695" s="308" t="str">
        <f t="shared" si="78"/>
        <v>Pesado de Passageiros M3: III : Gasóleo : E4</v>
      </c>
      <c r="J1695" s="125">
        <v>56</v>
      </c>
      <c r="K1695" s="253">
        <v>2022</v>
      </c>
      <c r="L1695" s="85">
        <v>22109.55</v>
      </c>
      <c r="M1695" s="85" t="s">
        <v>630</v>
      </c>
      <c r="N1695" s="128">
        <v>72784</v>
      </c>
      <c r="O1695" s="128">
        <f t="shared" si="79"/>
        <v>4075904</v>
      </c>
      <c r="Q1695" t="s">
        <v>47</v>
      </c>
      <c r="R1695" s="214" t="s">
        <v>1869</v>
      </c>
      <c r="S1695" s="214" t="s">
        <v>1861</v>
      </c>
      <c r="T1695" t="s">
        <v>2324</v>
      </c>
      <c r="U1695" t="s">
        <v>1953</v>
      </c>
      <c r="V1695" t="s">
        <v>2813</v>
      </c>
    </row>
    <row r="1696" spans="1:22" ht="15.75" thickBot="1" x14ac:dyDescent="0.3">
      <c r="A1696" t="s">
        <v>4583</v>
      </c>
      <c r="B1696" t="s">
        <v>4583</v>
      </c>
      <c r="C1696" t="s">
        <v>4583</v>
      </c>
      <c r="D1696" t="s">
        <v>629</v>
      </c>
      <c r="E1696" s="248" t="s">
        <v>1853</v>
      </c>
      <c r="F1696" t="s">
        <v>620</v>
      </c>
      <c r="G1696" s="89">
        <v>2014</v>
      </c>
      <c r="H1696" s="312" t="s">
        <v>734</v>
      </c>
      <c r="I1696" s="308" t="str">
        <f t="shared" si="78"/>
        <v>Pesado de Passageiros M3: III : Gasóleo : E5</v>
      </c>
      <c r="J1696" s="125">
        <v>54</v>
      </c>
      <c r="K1696" s="253">
        <v>2022</v>
      </c>
      <c r="L1696" s="85">
        <v>36058.21</v>
      </c>
      <c r="M1696" s="85" t="s">
        <v>630</v>
      </c>
      <c r="N1696" s="128">
        <v>123584</v>
      </c>
      <c r="O1696" s="128">
        <f t="shared" si="79"/>
        <v>6673536</v>
      </c>
      <c r="Q1696" t="s">
        <v>47</v>
      </c>
      <c r="R1696" s="214" t="s">
        <v>1869</v>
      </c>
      <c r="S1696" s="214" t="s">
        <v>1861</v>
      </c>
      <c r="T1696" t="s">
        <v>2325</v>
      </c>
      <c r="U1696" t="s">
        <v>1953</v>
      </c>
      <c r="V1696" t="s">
        <v>2813</v>
      </c>
    </row>
    <row r="1697" spans="1:22" ht="15.75" thickBot="1" x14ac:dyDescent="0.3">
      <c r="A1697" t="s">
        <v>4583</v>
      </c>
      <c r="B1697" t="s">
        <v>4583</v>
      </c>
      <c r="C1697" t="s">
        <v>4583</v>
      </c>
      <c r="D1697" t="s">
        <v>629</v>
      </c>
      <c r="E1697" s="248" t="s">
        <v>1853</v>
      </c>
      <c r="F1697" t="s">
        <v>620</v>
      </c>
      <c r="G1697" s="89">
        <v>2018</v>
      </c>
      <c r="H1697" s="312" t="s">
        <v>733</v>
      </c>
      <c r="I1697" s="308" t="str">
        <f t="shared" si="78"/>
        <v>Pesado de Passageiros M3: III : Gasóleo : E6</v>
      </c>
      <c r="J1697" s="125">
        <v>54</v>
      </c>
      <c r="K1697" s="253">
        <v>2022</v>
      </c>
      <c r="L1697" s="85">
        <v>22236.21</v>
      </c>
      <c r="M1697" s="85" t="s">
        <v>630</v>
      </c>
      <c r="N1697" s="128">
        <v>77726</v>
      </c>
      <c r="O1697" s="128">
        <f t="shared" si="79"/>
        <v>4197204</v>
      </c>
      <c r="Q1697" t="s">
        <v>47</v>
      </c>
      <c r="R1697" s="214" t="s">
        <v>1869</v>
      </c>
      <c r="S1697" s="214" t="s">
        <v>1861</v>
      </c>
      <c r="T1697" t="s">
        <v>2326</v>
      </c>
      <c r="U1697" t="s">
        <v>1953</v>
      </c>
      <c r="V1697" t="s">
        <v>2813</v>
      </c>
    </row>
    <row r="1698" spans="1:22" ht="15.75" thickBot="1" x14ac:dyDescent="0.3">
      <c r="A1698" t="s">
        <v>4583</v>
      </c>
      <c r="B1698" t="s">
        <v>4583</v>
      </c>
      <c r="C1698" t="s">
        <v>4583</v>
      </c>
      <c r="D1698" t="s">
        <v>629</v>
      </c>
      <c r="E1698" s="248" t="s">
        <v>1853</v>
      </c>
      <c r="F1698" t="s">
        <v>620</v>
      </c>
      <c r="G1698" s="89">
        <v>2018</v>
      </c>
      <c r="H1698" s="312" t="s">
        <v>733</v>
      </c>
      <c r="I1698" s="308" t="str">
        <f t="shared" si="78"/>
        <v>Pesado de Passageiros M3: III : Gasóleo : E6</v>
      </c>
      <c r="J1698" s="125">
        <v>54</v>
      </c>
      <c r="K1698" s="253">
        <v>2022</v>
      </c>
      <c r="L1698" s="85">
        <v>24913</v>
      </c>
      <c r="M1698" s="85" t="s">
        <v>630</v>
      </c>
      <c r="N1698" s="128">
        <v>92451</v>
      </c>
      <c r="O1698" s="128">
        <f t="shared" si="79"/>
        <v>4992354</v>
      </c>
      <c r="Q1698" t="s">
        <v>47</v>
      </c>
      <c r="R1698" s="214" t="s">
        <v>1869</v>
      </c>
      <c r="S1698" s="214" t="s">
        <v>1861</v>
      </c>
      <c r="T1698" t="s">
        <v>2327</v>
      </c>
      <c r="U1698" t="s">
        <v>1953</v>
      </c>
      <c r="V1698" t="s">
        <v>2813</v>
      </c>
    </row>
    <row r="1699" spans="1:22" ht="15.75" thickBot="1" x14ac:dyDescent="0.3">
      <c r="A1699" t="s">
        <v>4583</v>
      </c>
      <c r="B1699" t="s">
        <v>4583</v>
      </c>
      <c r="C1699" t="s">
        <v>4583</v>
      </c>
      <c r="D1699" t="s">
        <v>629</v>
      </c>
      <c r="E1699" s="248" t="s">
        <v>1853</v>
      </c>
      <c r="F1699" t="s">
        <v>620</v>
      </c>
      <c r="G1699" s="89">
        <v>2018</v>
      </c>
      <c r="H1699" s="312" t="s">
        <v>733</v>
      </c>
      <c r="I1699" s="308" t="str">
        <f t="shared" si="78"/>
        <v>Pesado de Passageiros M3: III : Gasóleo : E6</v>
      </c>
      <c r="J1699" s="125">
        <v>54</v>
      </c>
      <c r="K1699" s="253">
        <v>2022</v>
      </c>
      <c r="L1699" s="85">
        <v>25182.84</v>
      </c>
      <c r="M1699" s="85" t="s">
        <v>630</v>
      </c>
      <c r="N1699" s="128">
        <v>92961</v>
      </c>
      <c r="O1699" s="128">
        <f t="shared" si="79"/>
        <v>5019894</v>
      </c>
      <c r="Q1699" t="s">
        <v>47</v>
      </c>
      <c r="R1699" s="214" t="s">
        <v>1869</v>
      </c>
      <c r="S1699" s="214" t="s">
        <v>1861</v>
      </c>
      <c r="T1699" t="s">
        <v>2328</v>
      </c>
      <c r="U1699" t="s">
        <v>1953</v>
      </c>
      <c r="V1699" t="s">
        <v>2813</v>
      </c>
    </row>
    <row r="1700" spans="1:22" ht="15.75" thickBot="1" x14ac:dyDescent="0.3">
      <c r="A1700" t="s">
        <v>4583</v>
      </c>
      <c r="B1700" t="s">
        <v>4583</v>
      </c>
      <c r="C1700" t="s">
        <v>4583</v>
      </c>
      <c r="D1700" t="s">
        <v>629</v>
      </c>
      <c r="E1700" s="248" t="s">
        <v>1853</v>
      </c>
      <c r="F1700" t="s">
        <v>620</v>
      </c>
      <c r="G1700" s="89">
        <v>2009</v>
      </c>
      <c r="H1700" s="312" t="s">
        <v>731</v>
      </c>
      <c r="I1700" s="308" t="str">
        <f t="shared" si="78"/>
        <v>Pesado de Passageiros M3: III : Gasóleo : E4</v>
      </c>
      <c r="J1700" s="125">
        <v>55</v>
      </c>
      <c r="K1700" s="253">
        <v>2022</v>
      </c>
      <c r="L1700" s="85">
        <v>19291.16</v>
      </c>
      <c r="M1700" s="85" t="s">
        <v>630</v>
      </c>
      <c r="N1700" s="128">
        <v>66324</v>
      </c>
      <c r="O1700" s="128">
        <f t="shared" si="79"/>
        <v>3647820</v>
      </c>
      <c r="Q1700" t="s">
        <v>47</v>
      </c>
      <c r="R1700" s="214" t="s">
        <v>1869</v>
      </c>
      <c r="S1700" s="214" t="s">
        <v>1861</v>
      </c>
      <c r="T1700" t="s">
        <v>2329</v>
      </c>
      <c r="U1700" t="s">
        <v>1953</v>
      </c>
      <c r="V1700" t="s">
        <v>2813</v>
      </c>
    </row>
    <row r="1701" spans="1:22" ht="15.75" thickBot="1" x14ac:dyDescent="0.3">
      <c r="A1701" t="s">
        <v>4583</v>
      </c>
      <c r="B1701" t="s">
        <v>4583</v>
      </c>
      <c r="C1701" t="s">
        <v>4583</v>
      </c>
      <c r="D1701" t="s">
        <v>629</v>
      </c>
      <c r="E1701" s="248" t="s">
        <v>1853</v>
      </c>
      <c r="F1701" t="s">
        <v>620</v>
      </c>
      <c r="G1701" s="89">
        <v>2008</v>
      </c>
      <c r="H1701" s="312" t="s">
        <v>731</v>
      </c>
      <c r="I1701" s="308" t="str">
        <f t="shared" si="78"/>
        <v>Pesado de Passageiros M3: III : Gasóleo : E4</v>
      </c>
      <c r="J1701" s="125">
        <v>57</v>
      </c>
      <c r="K1701" s="253">
        <v>2022</v>
      </c>
      <c r="L1701" s="85">
        <v>32977.67</v>
      </c>
      <c r="M1701" s="85" t="s">
        <v>630</v>
      </c>
      <c r="N1701" s="128">
        <v>110785</v>
      </c>
      <c r="O1701" s="128">
        <f t="shared" si="79"/>
        <v>6314745</v>
      </c>
      <c r="Q1701" t="s">
        <v>47</v>
      </c>
      <c r="R1701" s="214" t="s">
        <v>1869</v>
      </c>
      <c r="S1701" s="214" t="s">
        <v>1861</v>
      </c>
      <c r="T1701" t="s">
        <v>2330</v>
      </c>
      <c r="U1701" t="s">
        <v>1953</v>
      </c>
      <c r="V1701" t="s">
        <v>2813</v>
      </c>
    </row>
    <row r="1702" spans="1:22" ht="15.75" thickBot="1" x14ac:dyDescent="0.3">
      <c r="A1702" t="s">
        <v>4583</v>
      </c>
      <c r="B1702" t="s">
        <v>4583</v>
      </c>
      <c r="C1702" t="s">
        <v>4583</v>
      </c>
      <c r="D1702" t="s">
        <v>629</v>
      </c>
      <c r="E1702" s="248" t="s">
        <v>1853</v>
      </c>
      <c r="F1702" t="s">
        <v>620</v>
      </c>
      <c r="G1702" s="89">
        <v>2008</v>
      </c>
      <c r="H1702" s="312" t="s">
        <v>731</v>
      </c>
      <c r="I1702" s="308" t="str">
        <f t="shared" si="78"/>
        <v>Pesado de Passageiros M3: III : Gasóleo : E4</v>
      </c>
      <c r="J1702" s="125">
        <v>54</v>
      </c>
      <c r="K1702" s="253">
        <v>2022</v>
      </c>
      <c r="L1702" s="85">
        <v>21030.05</v>
      </c>
      <c r="M1702" s="85" t="s">
        <v>630</v>
      </c>
      <c r="N1702" s="128">
        <v>73306</v>
      </c>
      <c r="O1702" s="128">
        <f t="shared" si="79"/>
        <v>3958524</v>
      </c>
      <c r="Q1702" t="s">
        <v>47</v>
      </c>
      <c r="R1702" s="214" t="s">
        <v>1869</v>
      </c>
      <c r="S1702" s="214" t="s">
        <v>1861</v>
      </c>
      <c r="T1702" t="s">
        <v>2331</v>
      </c>
      <c r="U1702" t="s">
        <v>1953</v>
      </c>
      <c r="V1702" t="s">
        <v>2813</v>
      </c>
    </row>
    <row r="1703" spans="1:22" ht="15.75" thickBot="1" x14ac:dyDescent="0.3">
      <c r="A1703" t="s">
        <v>4583</v>
      </c>
      <c r="B1703" t="s">
        <v>4583</v>
      </c>
      <c r="C1703" t="s">
        <v>4583</v>
      </c>
      <c r="D1703" t="s">
        <v>629</v>
      </c>
      <c r="E1703" s="248" t="s">
        <v>1853</v>
      </c>
      <c r="F1703" t="s">
        <v>620</v>
      </c>
      <c r="G1703" s="89">
        <v>2008</v>
      </c>
      <c r="H1703" s="312" t="s">
        <v>731</v>
      </c>
      <c r="I1703" s="308" t="str">
        <f t="shared" si="78"/>
        <v>Pesado de Passageiros M3: III : Gasóleo : E4</v>
      </c>
      <c r="J1703" s="125">
        <v>55</v>
      </c>
      <c r="K1703" s="253">
        <v>2022</v>
      </c>
      <c r="L1703" s="85">
        <v>20615.000000000004</v>
      </c>
      <c r="M1703" s="85" t="s">
        <v>630</v>
      </c>
      <c r="N1703" s="128">
        <v>72899</v>
      </c>
      <c r="O1703" s="128">
        <f t="shared" si="79"/>
        <v>4009445</v>
      </c>
      <c r="Q1703" t="s">
        <v>47</v>
      </c>
      <c r="R1703" s="214" t="s">
        <v>1869</v>
      </c>
      <c r="S1703" s="214" t="s">
        <v>1861</v>
      </c>
      <c r="T1703" t="s">
        <v>2332</v>
      </c>
      <c r="U1703" t="s">
        <v>1953</v>
      </c>
      <c r="V1703" t="s">
        <v>2813</v>
      </c>
    </row>
    <row r="1704" spans="1:22" ht="15.75" thickBot="1" x14ac:dyDescent="0.3">
      <c r="A1704" t="s">
        <v>4583</v>
      </c>
      <c r="B1704" t="s">
        <v>4583</v>
      </c>
      <c r="C1704" t="s">
        <v>4583</v>
      </c>
      <c r="D1704" t="s">
        <v>629</v>
      </c>
      <c r="E1704" s="248" t="s">
        <v>1853</v>
      </c>
      <c r="F1704" t="s">
        <v>620</v>
      </c>
      <c r="G1704" s="89">
        <v>2011</v>
      </c>
      <c r="H1704" s="312" t="s">
        <v>734</v>
      </c>
      <c r="I1704" s="308" t="str">
        <f t="shared" si="78"/>
        <v>Pesado de Passageiros M3: III : Gasóleo : E5</v>
      </c>
      <c r="J1704" s="125">
        <v>55</v>
      </c>
      <c r="K1704" s="253">
        <v>2022</v>
      </c>
      <c r="L1704" s="85">
        <v>27777</v>
      </c>
      <c r="M1704" s="85" t="s">
        <v>630</v>
      </c>
      <c r="N1704" s="128">
        <v>98502</v>
      </c>
      <c r="O1704" s="128">
        <f t="shared" si="79"/>
        <v>5417610</v>
      </c>
      <c r="Q1704" t="s">
        <v>47</v>
      </c>
      <c r="R1704" s="214" t="s">
        <v>1869</v>
      </c>
      <c r="S1704" s="214" t="s">
        <v>1861</v>
      </c>
      <c r="T1704" t="s">
        <v>2333</v>
      </c>
      <c r="U1704" t="s">
        <v>1953</v>
      </c>
      <c r="V1704" t="s">
        <v>2813</v>
      </c>
    </row>
    <row r="1705" spans="1:22" ht="15.75" thickBot="1" x14ac:dyDescent="0.3">
      <c r="A1705" t="s">
        <v>4583</v>
      </c>
      <c r="B1705" t="s">
        <v>4583</v>
      </c>
      <c r="C1705" t="s">
        <v>4583</v>
      </c>
      <c r="D1705" t="s">
        <v>629</v>
      </c>
      <c r="E1705" s="248" t="s">
        <v>1853</v>
      </c>
      <c r="F1705" t="s">
        <v>620</v>
      </c>
      <c r="G1705" s="89">
        <v>2011</v>
      </c>
      <c r="H1705" s="312" t="s">
        <v>734</v>
      </c>
      <c r="I1705" s="308" t="str">
        <f t="shared" si="78"/>
        <v>Pesado de Passageiros M3: III : Gasóleo : E5</v>
      </c>
      <c r="J1705" s="125">
        <v>55</v>
      </c>
      <c r="K1705" s="253">
        <v>2022</v>
      </c>
      <c r="L1705" s="85">
        <v>25143.190000000002</v>
      </c>
      <c r="M1705" s="85" t="s">
        <v>630</v>
      </c>
      <c r="N1705" s="128">
        <v>89348</v>
      </c>
      <c r="O1705" s="128">
        <f t="shared" si="79"/>
        <v>4914140</v>
      </c>
      <c r="Q1705" t="s">
        <v>47</v>
      </c>
      <c r="R1705" s="214" t="s">
        <v>1869</v>
      </c>
      <c r="S1705" s="214" t="s">
        <v>1861</v>
      </c>
      <c r="T1705" t="s">
        <v>2334</v>
      </c>
      <c r="U1705" t="s">
        <v>1953</v>
      </c>
      <c r="V1705" t="s">
        <v>2813</v>
      </c>
    </row>
    <row r="1706" spans="1:22" ht="15.75" thickBot="1" x14ac:dyDescent="0.3">
      <c r="A1706" t="s">
        <v>4583</v>
      </c>
      <c r="B1706" t="s">
        <v>4583</v>
      </c>
      <c r="C1706" t="s">
        <v>4583</v>
      </c>
      <c r="D1706" t="s">
        <v>629</v>
      </c>
      <c r="E1706" s="248" t="s">
        <v>1853</v>
      </c>
      <c r="F1706" t="s">
        <v>620</v>
      </c>
      <c r="G1706" s="89">
        <v>2011</v>
      </c>
      <c r="H1706" s="312" t="s">
        <v>734</v>
      </c>
      <c r="I1706" s="308" t="str">
        <f t="shared" si="78"/>
        <v>Pesado de Passageiros M3: III : Gasóleo : E5</v>
      </c>
      <c r="J1706" s="125">
        <v>55</v>
      </c>
      <c r="K1706" s="253">
        <v>2022</v>
      </c>
      <c r="L1706" s="85">
        <v>28299.86</v>
      </c>
      <c r="M1706" s="85" t="s">
        <v>630</v>
      </c>
      <c r="N1706" s="128">
        <v>102065</v>
      </c>
      <c r="O1706" s="128">
        <f t="shared" si="79"/>
        <v>5613575</v>
      </c>
      <c r="Q1706" t="s">
        <v>47</v>
      </c>
      <c r="R1706" s="214" t="s">
        <v>1869</v>
      </c>
      <c r="S1706" s="214" t="s">
        <v>1861</v>
      </c>
      <c r="T1706" t="s">
        <v>2335</v>
      </c>
      <c r="U1706" t="s">
        <v>1953</v>
      </c>
      <c r="V1706" t="s">
        <v>2813</v>
      </c>
    </row>
    <row r="1707" spans="1:22" ht="15.75" thickBot="1" x14ac:dyDescent="0.3">
      <c r="A1707" t="s">
        <v>4583</v>
      </c>
      <c r="B1707" t="s">
        <v>4583</v>
      </c>
      <c r="C1707" t="s">
        <v>4583</v>
      </c>
      <c r="D1707" t="s">
        <v>629</v>
      </c>
      <c r="E1707" s="248" t="s">
        <v>1853</v>
      </c>
      <c r="F1707" t="s">
        <v>620</v>
      </c>
      <c r="G1707" s="89">
        <v>2011</v>
      </c>
      <c r="H1707" s="312" t="s">
        <v>734</v>
      </c>
      <c r="I1707" s="308" t="str">
        <f t="shared" si="78"/>
        <v>Pesado de Passageiros M3: III : Gasóleo : E5</v>
      </c>
      <c r="J1707" s="125">
        <v>55</v>
      </c>
      <c r="K1707" s="253">
        <v>2022</v>
      </c>
      <c r="L1707" s="85">
        <v>26970.399999999994</v>
      </c>
      <c r="M1707" s="85" t="s">
        <v>630</v>
      </c>
      <c r="N1707" s="128">
        <v>96366</v>
      </c>
      <c r="O1707" s="128">
        <f t="shared" si="79"/>
        <v>5300130</v>
      </c>
      <c r="Q1707" t="s">
        <v>47</v>
      </c>
      <c r="R1707" s="214" t="s">
        <v>1869</v>
      </c>
      <c r="S1707" s="214" t="s">
        <v>1861</v>
      </c>
      <c r="T1707" t="s">
        <v>2336</v>
      </c>
      <c r="U1707" t="s">
        <v>1953</v>
      </c>
      <c r="V1707" t="s">
        <v>2813</v>
      </c>
    </row>
    <row r="1708" spans="1:22" ht="15.75" thickBot="1" x14ac:dyDescent="0.3">
      <c r="A1708" t="s">
        <v>4583</v>
      </c>
      <c r="B1708" t="s">
        <v>4583</v>
      </c>
      <c r="C1708" t="s">
        <v>4583</v>
      </c>
      <c r="D1708" t="s">
        <v>629</v>
      </c>
      <c r="E1708" s="248" t="s">
        <v>1853</v>
      </c>
      <c r="F1708" t="s">
        <v>620</v>
      </c>
      <c r="G1708" s="89">
        <v>2011</v>
      </c>
      <c r="H1708" s="312" t="s">
        <v>734</v>
      </c>
      <c r="I1708" s="308" t="str">
        <f t="shared" si="78"/>
        <v>Pesado de Passageiros M3: III : Gasóleo : E5</v>
      </c>
      <c r="J1708" s="125">
        <v>55</v>
      </c>
      <c r="K1708" s="253">
        <v>2022</v>
      </c>
      <c r="L1708" s="85">
        <v>23939.440000000002</v>
      </c>
      <c r="M1708" s="85" t="s">
        <v>630</v>
      </c>
      <c r="N1708" s="128">
        <v>82946</v>
      </c>
      <c r="O1708" s="128">
        <f t="shared" si="79"/>
        <v>4562030</v>
      </c>
      <c r="Q1708" t="s">
        <v>47</v>
      </c>
      <c r="R1708" s="214" t="s">
        <v>1869</v>
      </c>
      <c r="S1708" s="214" t="s">
        <v>1861</v>
      </c>
      <c r="T1708" t="s">
        <v>2337</v>
      </c>
      <c r="U1708" t="s">
        <v>1953</v>
      </c>
      <c r="V1708" t="s">
        <v>2813</v>
      </c>
    </row>
    <row r="1709" spans="1:22" ht="15.75" thickBot="1" x14ac:dyDescent="0.3">
      <c r="A1709" t="s">
        <v>4583</v>
      </c>
      <c r="B1709" t="s">
        <v>4583</v>
      </c>
      <c r="C1709" t="s">
        <v>4583</v>
      </c>
      <c r="D1709" t="s">
        <v>629</v>
      </c>
      <c r="E1709" s="248" t="s">
        <v>1853</v>
      </c>
      <c r="F1709" t="s">
        <v>620</v>
      </c>
      <c r="G1709" s="89">
        <v>2012</v>
      </c>
      <c r="H1709" s="312" t="s">
        <v>734</v>
      </c>
      <c r="I1709" s="308" t="str">
        <f t="shared" si="78"/>
        <v>Pesado de Passageiros M3: III : Gasóleo : E5</v>
      </c>
      <c r="J1709" s="125">
        <v>55</v>
      </c>
      <c r="K1709" s="253">
        <v>2022</v>
      </c>
      <c r="L1709" s="85">
        <v>31728.17</v>
      </c>
      <c r="M1709" s="85" t="s">
        <v>630</v>
      </c>
      <c r="N1709" s="128">
        <v>111087</v>
      </c>
      <c r="O1709" s="128">
        <f t="shared" si="79"/>
        <v>6109785</v>
      </c>
      <c r="Q1709" t="s">
        <v>47</v>
      </c>
      <c r="R1709" s="214" t="s">
        <v>1869</v>
      </c>
      <c r="S1709" s="214" t="s">
        <v>1861</v>
      </c>
      <c r="T1709" t="s">
        <v>2338</v>
      </c>
      <c r="U1709" t="s">
        <v>1953</v>
      </c>
      <c r="V1709" t="s">
        <v>2813</v>
      </c>
    </row>
    <row r="1710" spans="1:22" ht="15.75" thickBot="1" x14ac:dyDescent="0.3">
      <c r="A1710" t="s">
        <v>4583</v>
      </c>
      <c r="B1710" t="s">
        <v>4583</v>
      </c>
      <c r="C1710" t="s">
        <v>4583</v>
      </c>
      <c r="D1710" t="s">
        <v>629</v>
      </c>
      <c r="E1710" s="248" t="s">
        <v>1853</v>
      </c>
      <c r="F1710" t="s">
        <v>620</v>
      </c>
      <c r="G1710" s="89">
        <v>2009</v>
      </c>
      <c r="H1710" s="312" t="s">
        <v>731</v>
      </c>
      <c r="I1710" s="308" t="str">
        <f t="shared" si="78"/>
        <v>Pesado de Passageiros M3: III : Gasóleo : E4</v>
      </c>
      <c r="J1710" s="125">
        <v>60</v>
      </c>
      <c r="K1710" s="253">
        <v>2022</v>
      </c>
      <c r="L1710" s="85">
        <v>18449.640000000003</v>
      </c>
      <c r="M1710" s="85" t="s">
        <v>630</v>
      </c>
      <c r="N1710" s="128">
        <v>58393</v>
      </c>
      <c r="O1710" s="128">
        <f t="shared" si="79"/>
        <v>3503580</v>
      </c>
      <c r="Q1710" t="s">
        <v>47</v>
      </c>
      <c r="R1710" s="214" t="s">
        <v>1869</v>
      </c>
      <c r="S1710" s="214" t="s">
        <v>1861</v>
      </c>
      <c r="T1710" t="s">
        <v>2339</v>
      </c>
      <c r="U1710" t="s">
        <v>1953</v>
      </c>
      <c r="V1710" t="s">
        <v>2813</v>
      </c>
    </row>
    <row r="1711" spans="1:22" ht="15.75" thickBot="1" x14ac:dyDescent="0.3">
      <c r="A1711" t="s">
        <v>4583</v>
      </c>
      <c r="B1711" t="s">
        <v>4583</v>
      </c>
      <c r="C1711" t="s">
        <v>4583</v>
      </c>
      <c r="D1711" t="s">
        <v>629</v>
      </c>
      <c r="E1711" s="248" t="s">
        <v>1853</v>
      </c>
      <c r="F1711" t="s">
        <v>620</v>
      </c>
      <c r="G1711" s="89">
        <v>2011</v>
      </c>
      <c r="H1711" s="312" t="s">
        <v>734</v>
      </c>
      <c r="I1711" s="308" t="str">
        <f t="shared" si="78"/>
        <v>Pesado de Passageiros M3: III : Gasóleo : E5</v>
      </c>
      <c r="J1711" s="125">
        <v>66</v>
      </c>
      <c r="K1711" s="253">
        <v>2022</v>
      </c>
      <c r="L1711" s="85">
        <v>36343.85</v>
      </c>
      <c r="M1711" s="85" t="s">
        <v>630</v>
      </c>
      <c r="N1711" s="128">
        <v>119155</v>
      </c>
      <c r="O1711" s="128">
        <f t="shared" si="79"/>
        <v>7864230</v>
      </c>
      <c r="Q1711" t="s">
        <v>47</v>
      </c>
      <c r="R1711" s="214" t="s">
        <v>1869</v>
      </c>
      <c r="S1711" s="214" t="s">
        <v>1861</v>
      </c>
      <c r="T1711" t="s">
        <v>2340</v>
      </c>
      <c r="U1711" t="s">
        <v>1953</v>
      </c>
      <c r="V1711" t="s">
        <v>2813</v>
      </c>
    </row>
    <row r="1712" spans="1:22" ht="15.75" thickBot="1" x14ac:dyDescent="0.3">
      <c r="A1712" t="s">
        <v>4583</v>
      </c>
      <c r="B1712" t="s">
        <v>4583</v>
      </c>
      <c r="C1712" t="s">
        <v>4583</v>
      </c>
      <c r="D1712" t="s">
        <v>629</v>
      </c>
      <c r="E1712" s="248" t="s">
        <v>1853</v>
      </c>
      <c r="F1712" t="s">
        <v>620</v>
      </c>
      <c r="G1712" s="89">
        <v>2012</v>
      </c>
      <c r="H1712" s="312" t="s">
        <v>734</v>
      </c>
      <c r="I1712" s="308" t="str">
        <f t="shared" si="78"/>
        <v>Pesado de Passageiros M3: III : Gasóleo : E5</v>
      </c>
      <c r="J1712" s="125">
        <v>55</v>
      </c>
      <c r="K1712" s="253">
        <v>2022</v>
      </c>
      <c r="L1712" s="85">
        <v>13991.51</v>
      </c>
      <c r="M1712" s="85" t="s">
        <v>630</v>
      </c>
      <c r="N1712" s="128">
        <v>49281</v>
      </c>
      <c r="O1712" s="128">
        <f t="shared" si="79"/>
        <v>2710455</v>
      </c>
      <c r="Q1712" t="s">
        <v>47</v>
      </c>
      <c r="R1712" s="214" t="s">
        <v>1869</v>
      </c>
      <c r="S1712" s="214" t="s">
        <v>1861</v>
      </c>
      <c r="T1712" t="s">
        <v>2341</v>
      </c>
      <c r="U1712" t="s">
        <v>1953</v>
      </c>
      <c r="V1712" t="s">
        <v>2813</v>
      </c>
    </row>
    <row r="1713" spans="1:22" ht="15.75" thickBot="1" x14ac:dyDescent="0.3">
      <c r="A1713" t="s">
        <v>4583</v>
      </c>
      <c r="B1713" t="s">
        <v>4583</v>
      </c>
      <c r="C1713" t="s">
        <v>4583</v>
      </c>
      <c r="D1713" t="s">
        <v>629</v>
      </c>
      <c r="E1713" s="248" t="s">
        <v>1853</v>
      </c>
      <c r="F1713" t="s">
        <v>620</v>
      </c>
      <c r="G1713" s="89">
        <v>2012</v>
      </c>
      <c r="H1713" s="312" t="s">
        <v>734</v>
      </c>
      <c r="I1713" s="308" t="str">
        <f t="shared" si="78"/>
        <v>Pesado de Passageiros M3: III : Gasóleo : E5</v>
      </c>
      <c r="J1713" s="125">
        <v>55</v>
      </c>
      <c r="K1713" s="253">
        <v>2022</v>
      </c>
      <c r="L1713" s="85">
        <v>39755.01</v>
      </c>
      <c r="M1713" s="85" t="s">
        <v>630</v>
      </c>
      <c r="N1713" s="128">
        <v>143142</v>
      </c>
      <c r="O1713" s="128">
        <f t="shared" si="79"/>
        <v>7872810</v>
      </c>
      <c r="Q1713" t="s">
        <v>47</v>
      </c>
      <c r="R1713" s="214" t="s">
        <v>1869</v>
      </c>
      <c r="S1713" s="214" t="s">
        <v>1861</v>
      </c>
      <c r="T1713" t="s">
        <v>2342</v>
      </c>
      <c r="U1713" t="s">
        <v>1953</v>
      </c>
      <c r="V1713" t="s">
        <v>2813</v>
      </c>
    </row>
    <row r="1714" spans="1:22" ht="15.75" thickBot="1" x14ac:dyDescent="0.3">
      <c r="A1714" t="s">
        <v>4583</v>
      </c>
      <c r="B1714" t="s">
        <v>4583</v>
      </c>
      <c r="C1714" t="s">
        <v>4583</v>
      </c>
      <c r="D1714" t="s">
        <v>629</v>
      </c>
      <c r="E1714" s="248" t="s">
        <v>1853</v>
      </c>
      <c r="F1714" t="s">
        <v>620</v>
      </c>
      <c r="G1714" s="89">
        <v>2019</v>
      </c>
      <c r="H1714" s="312" t="s">
        <v>733</v>
      </c>
      <c r="I1714" s="308" t="str">
        <f t="shared" si="78"/>
        <v>Pesado de Passageiros M3: III : Gasóleo : E6</v>
      </c>
      <c r="J1714" s="125">
        <v>20</v>
      </c>
      <c r="K1714" s="253">
        <v>2022</v>
      </c>
      <c r="L1714" s="85">
        <v>10618.960000000001</v>
      </c>
      <c r="M1714" s="85" t="s">
        <v>630</v>
      </c>
      <c r="N1714" s="128">
        <v>74285</v>
      </c>
      <c r="O1714" s="128">
        <f t="shared" si="79"/>
        <v>1485700</v>
      </c>
      <c r="Q1714" t="s">
        <v>47</v>
      </c>
      <c r="R1714" s="214" t="s">
        <v>1869</v>
      </c>
      <c r="S1714" s="214" t="s">
        <v>1861</v>
      </c>
      <c r="T1714" t="s">
        <v>2343</v>
      </c>
      <c r="U1714" t="s">
        <v>1953</v>
      </c>
      <c r="V1714" t="s">
        <v>2813</v>
      </c>
    </row>
    <row r="1715" spans="1:22" ht="15.75" thickBot="1" x14ac:dyDescent="0.3">
      <c r="A1715" t="s">
        <v>4583</v>
      </c>
      <c r="B1715" t="s">
        <v>4583</v>
      </c>
      <c r="C1715" t="s">
        <v>4583</v>
      </c>
      <c r="D1715" t="s">
        <v>629</v>
      </c>
      <c r="E1715" s="248" t="s">
        <v>1853</v>
      </c>
      <c r="F1715" t="s">
        <v>620</v>
      </c>
      <c r="G1715" s="89">
        <v>2019</v>
      </c>
      <c r="H1715" s="312" t="s">
        <v>733</v>
      </c>
      <c r="I1715" s="308" t="str">
        <f t="shared" si="78"/>
        <v>Pesado de Passageiros M3: III : Gasóleo : E6</v>
      </c>
      <c r="J1715" s="125">
        <v>20</v>
      </c>
      <c r="K1715" s="253">
        <v>2022</v>
      </c>
      <c r="L1715" s="85">
        <v>11348.95</v>
      </c>
      <c r="M1715" s="85" t="s">
        <v>630</v>
      </c>
      <c r="N1715" s="128">
        <v>78877</v>
      </c>
      <c r="O1715" s="128">
        <f t="shared" si="79"/>
        <v>1577540</v>
      </c>
      <c r="Q1715" t="s">
        <v>47</v>
      </c>
      <c r="R1715" s="214" t="s">
        <v>1869</v>
      </c>
      <c r="S1715" s="214" t="s">
        <v>1861</v>
      </c>
      <c r="T1715" t="s">
        <v>2344</v>
      </c>
      <c r="U1715" t="s">
        <v>1953</v>
      </c>
      <c r="V1715" t="s">
        <v>2813</v>
      </c>
    </row>
    <row r="1716" spans="1:22" ht="15.75" thickBot="1" x14ac:dyDescent="0.3">
      <c r="A1716" t="s">
        <v>4583</v>
      </c>
      <c r="B1716" t="s">
        <v>4583</v>
      </c>
      <c r="C1716" t="s">
        <v>4583</v>
      </c>
      <c r="D1716" t="s">
        <v>629</v>
      </c>
      <c r="E1716" s="248" t="s">
        <v>1853</v>
      </c>
      <c r="F1716" t="s">
        <v>620</v>
      </c>
      <c r="G1716" s="89">
        <v>2019</v>
      </c>
      <c r="H1716" s="312" t="s">
        <v>733</v>
      </c>
      <c r="I1716" s="308" t="str">
        <f t="shared" si="78"/>
        <v>Pesado de Passageiros M3: III : Gasóleo : E6</v>
      </c>
      <c r="J1716" s="125">
        <v>20</v>
      </c>
      <c r="K1716" s="253">
        <v>2022</v>
      </c>
      <c r="L1716" s="85">
        <v>8698.68</v>
      </c>
      <c r="M1716" s="85" t="s">
        <v>630</v>
      </c>
      <c r="N1716" s="128">
        <v>59443</v>
      </c>
      <c r="O1716" s="128">
        <f t="shared" si="79"/>
        <v>1188860</v>
      </c>
      <c r="Q1716" t="s">
        <v>47</v>
      </c>
      <c r="R1716" s="214" t="s">
        <v>1869</v>
      </c>
      <c r="S1716" s="214" t="s">
        <v>1861</v>
      </c>
      <c r="T1716" t="s">
        <v>2345</v>
      </c>
      <c r="U1716" t="s">
        <v>1953</v>
      </c>
      <c r="V1716" t="s">
        <v>2813</v>
      </c>
    </row>
    <row r="1717" spans="1:22" ht="15.75" thickBot="1" x14ac:dyDescent="0.3">
      <c r="A1717" t="s">
        <v>4583</v>
      </c>
      <c r="B1717" t="s">
        <v>4583</v>
      </c>
      <c r="C1717" t="s">
        <v>4583</v>
      </c>
      <c r="D1717" t="s">
        <v>629</v>
      </c>
      <c r="E1717" s="248" t="s">
        <v>1853</v>
      </c>
      <c r="F1717" t="s">
        <v>620</v>
      </c>
      <c r="G1717" s="89">
        <v>2003</v>
      </c>
      <c r="H1717" s="312" t="s">
        <v>732</v>
      </c>
      <c r="I1717" s="308" t="str">
        <f t="shared" si="78"/>
        <v>Pesado de Passageiros M3: III : Gasóleo : E3</v>
      </c>
      <c r="J1717" s="125">
        <v>73</v>
      </c>
      <c r="K1717" s="253">
        <v>2022</v>
      </c>
      <c r="L1717" s="85">
        <v>7464.33</v>
      </c>
      <c r="M1717" s="85" t="s">
        <v>630</v>
      </c>
      <c r="N1717" s="128">
        <v>21339</v>
      </c>
      <c r="O1717" s="128">
        <f t="shared" si="79"/>
        <v>1557747</v>
      </c>
      <c r="Q1717" t="s">
        <v>47</v>
      </c>
      <c r="R1717" s="214" t="s">
        <v>1869</v>
      </c>
      <c r="S1717" s="214" t="s">
        <v>1861</v>
      </c>
      <c r="T1717" t="s">
        <v>2346</v>
      </c>
      <c r="U1717" t="s">
        <v>1953</v>
      </c>
      <c r="V1717" t="s">
        <v>2813</v>
      </c>
    </row>
    <row r="1718" spans="1:22" ht="15.75" thickBot="1" x14ac:dyDescent="0.3">
      <c r="A1718" t="s">
        <v>4583</v>
      </c>
      <c r="B1718" t="s">
        <v>4583</v>
      </c>
      <c r="C1718" t="s">
        <v>4583</v>
      </c>
      <c r="D1718" t="s">
        <v>629</v>
      </c>
      <c r="E1718" s="248" t="s">
        <v>1853</v>
      </c>
      <c r="F1718" t="s">
        <v>620</v>
      </c>
      <c r="G1718" s="89">
        <v>2001</v>
      </c>
      <c r="H1718" s="312" t="s">
        <v>732</v>
      </c>
      <c r="I1718" s="308" t="str">
        <f t="shared" si="78"/>
        <v>Pesado de Passageiros M3: III : Gasóleo : E3</v>
      </c>
      <c r="J1718" s="125">
        <v>76</v>
      </c>
      <c r="K1718" s="253">
        <v>2022</v>
      </c>
      <c r="L1718" s="85">
        <v>8685.6699999999983</v>
      </c>
      <c r="M1718" s="85" t="s">
        <v>630</v>
      </c>
      <c r="N1718" s="128">
        <v>24843</v>
      </c>
      <c r="O1718" s="128">
        <f t="shared" si="79"/>
        <v>1888068</v>
      </c>
      <c r="Q1718" t="s">
        <v>47</v>
      </c>
      <c r="R1718" s="214" t="s">
        <v>1869</v>
      </c>
      <c r="S1718" s="214" t="s">
        <v>1861</v>
      </c>
      <c r="T1718" t="s">
        <v>2347</v>
      </c>
      <c r="U1718" t="s">
        <v>1953</v>
      </c>
      <c r="V1718" t="s">
        <v>2813</v>
      </c>
    </row>
    <row r="1719" spans="1:22" ht="15.75" thickBot="1" x14ac:dyDescent="0.3">
      <c r="A1719" t="s">
        <v>4583</v>
      </c>
      <c r="B1719" t="s">
        <v>4583</v>
      </c>
      <c r="C1719" t="s">
        <v>4583</v>
      </c>
      <c r="D1719" t="s">
        <v>629</v>
      </c>
      <c r="E1719" s="248" t="s">
        <v>1853</v>
      </c>
      <c r="F1719" t="s">
        <v>620</v>
      </c>
      <c r="G1719" s="89">
        <v>2006</v>
      </c>
      <c r="H1719" s="312" t="s">
        <v>731</v>
      </c>
      <c r="I1719" s="308" t="str">
        <f t="shared" si="78"/>
        <v>Pesado de Passageiros M3: III : Gasóleo : E4</v>
      </c>
      <c r="J1719" s="125">
        <v>96</v>
      </c>
      <c r="K1719" s="253">
        <v>2022</v>
      </c>
      <c r="L1719" s="85">
        <v>2715.95</v>
      </c>
      <c r="M1719" s="85" t="s">
        <v>630</v>
      </c>
      <c r="N1719" s="128">
        <v>7029</v>
      </c>
      <c r="O1719" s="128">
        <f t="shared" si="79"/>
        <v>674784</v>
      </c>
      <c r="Q1719" t="s">
        <v>47</v>
      </c>
      <c r="R1719" s="214" t="s">
        <v>1869</v>
      </c>
      <c r="S1719" s="214" t="s">
        <v>1861</v>
      </c>
      <c r="T1719" t="s">
        <v>2348</v>
      </c>
      <c r="U1719" t="s">
        <v>1953</v>
      </c>
      <c r="V1719" t="s">
        <v>2813</v>
      </c>
    </row>
    <row r="1720" spans="1:22" ht="15.75" thickBot="1" x14ac:dyDescent="0.3">
      <c r="A1720" t="s">
        <v>4583</v>
      </c>
      <c r="B1720" t="s">
        <v>4583</v>
      </c>
      <c r="C1720" t="s">
        <v>4583</v>
      </c>
      <c r="D1720" t="s">
        <v>629</v>
      </c>
      <c r="E1720" s="248" t="s">
        <v>1853</v>
      </c>
      <c r="F1720" t="s">
        <v>620</v>
      </c>
      <c r="G1720" s="89">
        <v>2006</v>
      </c>
      <c r="H1720" s="312" t="s">
        <v>731</v>
      </c>
      <c r="I1720" s="308" t="str">
        <f t="shared" si="78"/>
        <v>Pesado de Passageiros M3: III : Gasóleo : E4</v>
      </c>
      <c r="J1720" s="125">
        <v>96</v>
      </c>
      <c r="K1720" s="253">
        <v>2022</v>
      </c>
      <c r="L1720" s="85">
        <v>4337.6500000000005</v>
      </c>
      <c r="M1720" s="85" t="s">
        <v>630</v>
      </c>
      <c r="N1720" s="128">
        <v>11150</v>
      </c>
      <c r="O1720" s="128">
        <f t="shared" si="79"/>
        <v>1070400</v>
      </c>
      <c r="Q1720" t="s">
        <v>47</v>
      </c>
      <c r="R1720" s="214" t="s">
        <v>1869</v>
      </c>
      <c r="S1720" s="214" t="s">
        <v>1861</v>
      </c>
      <c r="T1720" t="s">
        <v>2349</v>
      </c>
      <c r="U1720" t="s">
        <v>1953</v>
      </c>
      <c r="V1720" t="s">
        <v>2813</v>
      </c>
    </row>
    <row r="1721" spans="1:22" ht="15.75" thickBot="1" x14ac:dyDescent="0.3">
      <c r="A1721" t="s">
        <v>4583</v>
      </c>
      <c r="B1721" t="s">
        <v>4583</v>
      </c>
      <c r="C1721" t="s">
        <v>4583</v>
      </c>
      <c r="D1721" t="s">
        <v>629</v>
      </c>
      <c r="E1721" s="248" t="s">
        <v>1853</v>
      </c>
      <c r="F1721" t="s">
        <v>620</v>
      </c>
      <c r="G1721" s="89">
        <v>2006</v>
      </c>
      <c r="H1721" s="312" t="s">
        <v>731</v>
      </c>
      <c r="I1721" s="308" t="str">
        <f t="shared" si="78"/>
        <v>Pesado de Passageiros M3: III : Gasóleo : E4</v>
      </c>
      <c r="J1721" s="125">
        <v>97</v>
      </c>
      <c r="K1721" s="253">
        <v>2022</v>
      </c>
      <c r="L1721" s="85">
        <v>3817.5</v>
      </c>
      <c r="M1721" s="85" t="s">
        <v>630</v>
      </c>
      <c r="N1721" s="128">
        <v>10774</v>
      </c>
      <c r="O1721" s="128">
        <f t="shared" si="79"/>
        <v>1045078</v>
      </c>
      <c r="Q1721" t="s">
        <v>47</v>
      </c>
      <c r="R1721" s="214" t="s">
        <v>1869</v>
      </c>
      <c r="S1721" s="214" t="s">
        <v>1861</v>
      </c>
      <c r="T1721" t="s">
        <v>2350</v>
      </c>
      <c r="U1721" t="s">
        <v>1953</v>
      </c>
      <c r="V1721" t="s">
        <v>2813</v>
      </c>
    </row>
    <row r="1722" spans="1:22" ht="15.75" thickBot="1" x14ac:dyDescent="0.3">
      <c r="A1722" t="s">
        <v>4583</v>
      </c>
      <c r="B1722" t="s">
        <v>4583</v>
      </c>
      <c r="C1722" t="s">
        <v>4583</v>
      </c>
      <c r="D1722" t="s">
        <v>629</v>
      </c>
      <c r="E1722" s="248" t="s">
        <v>1853</v>
      </c>
      <c r="F1722" t="s">
        <v>620</v>
      </c>
      <c r="G1722" s="89">
        <v>2015</v>
      </c>
      <c r="H1722" s="312" t="s">
        <v>733</v>
      </c>
      <c r="I1722" s="308" t="str">
        <f t="shared" si="78"/>
        <v>Pesado de Passageiros M3: III : Gasóleo : E6</v>
      </c>
      <c r="J1722" s="125">
        <v>26</v>
      </c>
      <c r="K1722" s="253">
        <v>2022</v>
      </c>
      <c r="L1722" s="85">
        <v>15678.689999999997</v>
      </c>
      <c r="M1722" s="85" t="s">
        <v>630</v>
      </c>
      <c r="N1722" s="128">
        <v>79307</v>
      </c>
      <c r="O1722" s="128">
        <f t="shared" si="79"/>
        <v>2061982</v>
      </c>
      <c r="Q1722" t="s">
        <v>47</v>
      </c>
      <c r="R1722" s="214" t="s">
        <v>1869</v>
      </c>
      <c r="S1722" s="214" t="s">
        <v>1861</v>
      </c>
      <c r="T1722" t="s">
        <v>2351</v>
      </c>
      <c r="U1722" t="s">
        <v>1953</v>
      </c>
      <c r="V1722" t="s">
        <v>2813</v>
      </c>
    </row>
    <row r="1723" spans="1:22" ht="15.75" thickBot="1" x14ac:dyDescent="0.3">
      <c r="A1723" t="s">
        <v>4583</v>
      </c>
      <c r="B1723" t="s">
        <v>4583</v>
      </c>
      <c r="C1723" t="s">
        <v>4583</v>
      </c>
      <c r="D1723" t="s">
        <v>629</v>
      </c>
      <c r="E1723" s="248" t="s">
        <v>1853</v>
      </c>
      <c r="F1723" t="s">
        <v>620</v>
      </c>
      <c r="G1723" s="89">
        <v>2015</v>
      </c>
      <c r="H1723" s="312" t="s">
        <v>733</v>
      </c>
      <c r="I1723" s="308" t="str">
        <f t="shared" si="78"/>
        <v>Pesado de Passageiros M3: III : Gasóleo : E6</v>
      </c>
      <c r="J1723" s="125">
        <v>26</v>
      </c>
      <c r="K1723" s="253">
        <v>2022</v>
      </c>
      <c r="L1723" s="85">
        <v>11815.990000000002</v>
      </c>
      <c r="M1723" s="85" t="s">
        <v>630</v>
      </c>
      <c r="N1723" s="128">
        <v>57411</v>
      </c>
      <c r="O1723" s="128">
        <f t="shared" si="79"/>
        <v>1492686</v>
      </c>
      <c r="Q1723" t="s">
        <v>47</v>
      </c>
      <c r="R1723" s="214" t="s">
        <v>1869</v>
      </c>
      <c r="S1723" s="214" t="s">
        <v>1861</v>
      </c>
      <c r="T1723" t="s">
        <v>2352</v>
      </c>
      <c r="U1723" t="s">
        <v>1953</v>
      </c>
      <c r="V1723" t="s">
        <v>2813</v>
      </c>
    </row>
    <row r="1724" spans="1:22" ht="15.75" thickBot="1" x14ac:dyDescent="0.3">
      <c r="A1724" t="s">
        <v>4583</v>
      </c>
      <c r="B1724" t="s">
        <v>4583</v>
      </c>
      <c r="C1724" t="s">
        <v>4583</v>
      </c>
      <c r="D1724" t="s">
        <v>629</v>
      </c>
      <c r="E1724" s="248" t="s">
        <v>1853</v>
      </c>
      <c r="F1724" t="s">
        <v>620</v>
      </c>
      <c r="G1724" s="89">
        <v>2015</v>
      </c>
      <c r="H1724" s="312" t="s">
        <v>733</v>
      </c>
      <c r="I1724" s="308" t="str">
        <f t="shared" si="78"/>
        <v>Pesado de Passageiros M3: III : Gasóleo : E6</v>
      </c>
      <c r="J1724" s="125">
        <v>26</v>
      </c>
      <c r="K1724" s="253">
        <v>2022</v>
      </c>
      <c r="L1724" s="85">
        <v>14964.939999999999</v>
      </c>
      <c r="M1724" s="85" t="s">
        <v>630</v>
      </c>
      <c r="N1724" s="128">
        <v>77261</v>
      </c>
      <c r="O1724" s="128">
        <f t="shared" si="79"/>
        <v>2008786</v>
      </c>
      <c r="Q1724" t="s">
        <v>47</v>
      </c>
      <c r="R1724" s="214" t="s">
        <v>1869</v>
      </c>
      <c r="S1724" s="214" t="s">
        <v>1861</v>
      </c>
      <c r="T1724" t="s">
        <v>2353</v>
      </c>
      <c r="U1724" t="s">
        <v>1953</v>
      </c>
      <c r="V1724" t="s">
        <v>2813</v>
      </c>
    </row>
    <row r="1725" spans="1:22" ht="15.75" thickBot="1" x14ac:dyDescent="0.3">
      <c r="A1725" t="s">
        <v>4583</v>
      </c>
      <c r="B1725" t="s">
        <v>4583</v>
      </c>
      <c r="C1725" t="s">
        <v>4583</v>
      </c>
      <c r="D1725" t="s">
        <v>629</v>
      </c>
      <c r="E1725" s="248" t="s">
        <v>1853</v>
      </c>
      <c r="F1725" t="s">
        <v>620</v>
      </c>
      <c r="G1725" s="89">
        <v>2015</v>
      </c>
      <c r="H1725" s="312" t="s">
        <v>733</v>
      </c>
      <c r="I1725" s="308" t="str">
        <f t="shared" si="78"/>
        <v>Pesado de Passageiros M3: III : Gasóleo : E6</v>
      </c>
      <c r="J1725" s="125">
        <v>26</v>
      </c>
      <c r="K1725" s="253">
        <v>2022</v>
      </c>
      <c r="L1725" s="85">
        <v>13688.410000000002</v>
      </c>
      <c r="M1725" s="85" t="s">
        <v>630</v>
      </c>
      <c r="N1725" s="128">
        <v>74352</v>
      </c>
      <c r="O1725" s="128">
        <f t="shared" si="79"/>
        <v>1933152</v>
      </c>
      <c r="Q1725" t="s">
        <v>47</v>
      </c>
      <c r="R1725" s="214" t="s">
        <v>1869</v>
      </c>
      <c r="S1725" s="214" t="s">
        <v>1861</v>
      </c>
      <c r="T1725" t="s">
        <v>2354</v>
      </c>
      <c r="U1725" t="s">
        <v>1953</v>
      </c>
      <c r="V1725" t="s">
        <v>2813</v>
      </c>
    </row>
    <row r="1726" spans="1:22" ht="15.75" thickBot="1" x14ac:dyDescent="0.3">
      <c r="A1726" t="s">
        <v>4583</v>
      </c>
      <c r="B1726" t="s">
        <v>4583</v>
      </c>
      <c r="C1726" t="s">
        <v>4583</v>
      </c>
      <c r="D1726" t="s">
        <v>629</v>
      </c>
      <c r="E1726" s="248" t="s">
        <v>1853</v>
      </c>
      <c r="F1726" t="s">
        <v>620</v>
      </c>
      <c r="G1726" s="89">
        <v>2010</v>
      </c>
      <c r="H1726" s="312" t="s">
        <v>734</v>
      </c>
      <c r="I1726" s="308" t="str">
        <f t="shared" si="78"/>
        <v>Pesado de Passageiros M3: III : Gasóleo : E5</v>
      </c>
      <c r="J1726" s="125">
        <v>53</v>
      </c>
      <c r="K1726" s="253">
        <v>2022</v>
      </c>
      <c r="L1726" s="85">
        <v>19120.399999999998</v>
      </c>
      <c r="M1726" s="85" t="s">
        <v>630</v>
      </c>
      <c r="N1726" s="128">
        <v>50696</v>
      </c>
      <c r="O1726" s="128">
        <f t="shared" si="79"/>
        <v>2686888</v>
      </c>
      <c r="Q1726" t="s">
        <v>47</v>
      </c>
      <c r="R1726" s="214" t="s">
        <v>1869</v>
      </c>
      <c r="S1726" s="214" t="s">
        <v>1861</v>
      </c>
      <c r="T1726" t="s">
        <v>2355</v>
      </c>
      <c r="U1726" t="s">
        <v>1953</v>
      </c>
      <c r="V1726" t="s">
        <v>2813</v>
      </c>
    </row>
    <row r="1727" spans="1:22" ht="15.75" thickBot="1" x14ac:dyDescent="0.3">
      <c r="A1727" t="s">
        <v>4583</v>
      </c>
      <c r="B1727" t="s">
        <v>4583</v>
      </c>
      <c r="C1727" t="s">
        <v>4583</v>
      </c>
      <c r="D1727" t="s">
        <v>629</v>
      </c>
      <c r="E1727" s="248" t="s">
        <v>1853</v>
      </c>
      <c r="F1727" t="s">
        <v>620</v>
      </c>
      <c r="G1727" s="89">
        <v>2015</v>
      </c>
      <c r="H1727" s="312" t="s">
        <v>733</v>
      </c>
      <c r="I1727" s="308" t="str">
        <f t="shared" si="78"/>
        <v>Pesado de Passageiros M3: III : Gasóleo : E6</v>
      </c>
      <c r="J1727" s="125">
        <v>62</v>
      </c>
      <c r="K1727" s="253">
        <v>2022</v>
      </c>
      <c r="L1727" s="85">
        <v>29072.999999999996</v>
      </c>
      <c r="M1727" s="85" t="s">
        <v>630</v>
      </c>
      <c r="N1727" s="128">
        <v>71919</v>
      </c>
      <c r="O1727" s="128">
        <f t="shared" si="79"/>
        <v>4458978</v>
      </c>
      <c r="Q1727" t="s">
        <v>47</v>
      </c>
      <c r="R1727" s="214" t="s">
        <v>1869</v>
      </c>
      <c r="S1727" s="214" t="s">
        <v>1861</v>
      </c>
      <c r="T1727" t="s">
        <v>2356</v>
      </c>
      <c r="U1727" t="s">
        <v>1953</v>
      </c>
      <c r="V1727" t="s">
        <v>2813</v>
      </c>
    </row>
    <row r="1728" spans="1:22" ht="15.75" thickBot="1" x14ac:dyDescent="0.3">
      <c r="A1728" t="s">
        <v>4583</v>
      </c>
      <c r="B1728" t="s">
        <v>4583</v>
      </c>
      <c r="C1728" t="s">
        <v>4583</v>
      </c>
      <c r="D1728" t="s">
        <v>629</v>
      </c>
      <c r="E1728" s="248" t="s">
        <v>1853</v>
      </c>
      <c r="F1728" t="s">
        <v>620</v>
      </c>
      <c r="G1728" s="89">
        <v>2004</v>
      </c>
      <c r="H1728" s="312" t="s">
        <v>732</v>
      </c>
      <c r="I1728" s="308" t="str">
        <f t="shared" si="78"/>
        <v>Pesado de Passageiros M3: III : Gasóleo : E3</v>
      </c>
      <c r="J1728" s="125">
        <v>73</v>
      </c>
      <c r="K1728" s="253">
        <v>2022</v>
      </c>
      <c r="L1728" s="85">
        <v>16487.48</v>
      </c>
      <c r="M1728" s="85" t="s">
        <v>630</v>
      </c>
      <c r="N1728" s="128">
        <v>47395</v>
      </c>
      <c r="O1728" s="128">
        <f t="shared" si="79"/>
        <v>3459835</v>
      </c>
      <c r="Q1728" t="s">
        <v>47</v>
      </c>
      <c r="R1728" s="214" t="s">
        <v>1869</v>
      </c>
      <c r="S1728" s="214" t="s">
        <v>1861</v>
      </c>
      <c r="T1728" t="s">
        <v>2357</v>
      </c>
      <c r="U1728" t="s">
        <v>1953</v>
      </c>
      <c r="V1728" t="s">
        <v>2813</v>
      </c>
    </row>
    <row r="1729" spans="1:22" ht="15.75" thickBot="1" x14ac:dyDescent="0.3">
      <c r="A1729" t="s">
        <v>4583</v>
      </c>
      <c r="B1729" t="s">
        <v>4583</v>
      </c>
      <c r="C1729" t="s">
        <v>4583</v>
      </c>
      <c r="D1729" t="s">
        <v>629</v>
      </c>
      <c r="E1729" s="248" t="s">
        <v>1853</v>
      </c>
      <c r="F1729" t="s">
        <v>620</v>
      </c>
      <c r="G1729" s="89">
        <v>2019</v>
      </c>
      <c r="H1729" s="312" t="s">
        <v>733</v>
      </c>
      <c r="I1729" s="308" t="str">
        <f t="shared" si="78"/>
        <v>Pesado de Passageiros M3: III : Gasóleo : E6</v>
      </c>
      <c r="J1729" s="125">
        <v>53</v>
      </c>
      <c r="K1729" s="253">
        <v>2022</v>
      </c>
      <c r="L1729" s="85">
        <v>20839.239999999998</v>
      </c>
      <c r="M1729" s="85" t="s">
        <v>630</v>
      </c>
      <c r="N1729" s="128">
        <v>54778</v>
      </c>
      <c r="O1729" s="128">
        <f t="shared" si="79"/>
        <v>2903234</v>
      </c>
      <c r="Q1729" t="s">
        <v>47</v>
      </c>
      <c r="R1729" s="214" t="s">
        <v>1869</v>
      </c>
      <c r="S1729" s="214" t="s">
        <v>1861</v>
      </c>
      <c r="T1729" t="s">
        <v>2358</v>
      </c>
      <c r="U1729" t="s">
        <v>1953</v>
      </c>
      <c r="V1729" t="s">
        <v>2813</v>
      </c>
    </row>
    <row r="1730" spans="1:22" ht="15.75" thickBot="1" x14ac:dyDescent="0.3">
      <c r="A1730" t="s">
        <v>4583</v>
      </c>
      <c r="B1730" t="s">
        <v>4583</v>
      </c>
      <c r="C1730" t="s">
        <v>4583</v>
      </c>
      <c r="D1730" t="s">
        <v>629</v>
      </c>
      <c r="E1730" s="248" t="s">
        <v>1853</v>
      </c>
      <c r="F1730" t="s">
        <v>620</v>
      </c>
      <c r="G1730" s="89">
        <v>2019</v>
      </c>
      <c r="H1730" s="312" t="s">
        <v>733</v>
      </c>
      <c r="I1730" s="308" t="str">
        <f t="shared" si="78"/>
        <v>Pesado de Passageiros M3: III : Gasóleo : E6</v>
      </c>
      <c r="J1730" s="125">
        <v>53</v>
      </c>
      <c r="K1730" s="253">
        <v>2022</v>
      </c>
      <c r="L1730" s="85">
        <v>17707.239999999998</v>
      </c>
      <c r="M1730" s="85" t="s">
        <v>630</v>
      </c>
      <c r="N1730" s="128">
        <v>47791</v>
      </c>
      <c r="O1730" s="128">
        <f t="shared" si="79"/>
        <v>2532923</v>
      </c>
      <c r="Q1730" t="s">
        <v>47</v>
      </c>
      <c r="R1730" s="214" t="s">
        <v>1869</v>
      </c>
      <c r="S1730" s="214" t="s">
        <v>1861</v>
      </c>
      <c r="T1730" t="s">
        <v>2359</v>
      </c>
      <c r="U1730" t="s">
        <v>1953</v>
      </c>
      <c r="V1730" t="s">
        <v>2813</v>
      </c>
    </row>
    <row r="1731" spans="1:22" ht="15.75" thickBot="1" x14ac:dyDescent="0.3">
      <c r="A1731" t="s">
        <v>4583</v>
      </c>
      <c r="B1731" t="s">
        <v>4583</v>
      </c>
      <c r="C1731" t="s">
        <v>4583</v>
      </c>
      <c r="D1731" t="s">
        <v>629</v>
      </c>
      <c r="E1731" s="248" t="s">
        <v>1853</v>
      </c>
      <c r="F1731" t="s">
        <v>620</v>
      </c>
      <c r="G1731" s="89">
        <v>2019</v>
      </c>
      <c r="H1731" s="312" t="s">
        <v>733</v>
      </c>
      <c r="I1731" s="308" t="str">
        <f t="shared" si="78"/>
        <v>Pesado de Passageiros M3: III : Gasóleo : E6</v>
      </c>
      <c r="J1731" s="125">
        <v>53</v>
      </c>
      <c r="K1731" s="253">
        <v>2022</v>
      </c>
      <c r="L1731" s="85">
        <v>17926.699999999997</v>
      </c>
      <c r="M1731" s="85" t="s">
        <v>630</v>
      </c>
      <c r="N1731" s="128">
        <v>46122</v>
      </c>
      <c r="O1731" s="128">
        <f t="shared" si="79"/>
        <v>2444466</v>
      </c>
      <c r="Q1731" t="s">
        <v>47</v>
      </c>
      <c r="R1731" s="214" t="s">
        <v>1869</v>
      </c>
      <c r="S1731" s="214" t="s">
        <v>1861</v>
      </c>
      <c r="T1731" t="s">
        <v>2360</v>
      </c>
      <c r="U1731" t="s">
        <v>1953</v>
      </c>
      <c r="V1731" t="s">
        <v>2813</v>
      </c>
    </row>
    <row r="1732" spans="1:22" ht="15.75" thickBot="1" x14ac:dyDescent="0.3">
      <c r="A1732" t="s">
        <v>4583</v>
      </c>
      <c r="B1732" t="s">
        <v>4583</v>
      </c>
      <c r="C1732" t="s">
        <v>4583</v>
      </c>
      <c r="D1732" t="s">
        <v>629</v>
      </c>
      <c r="E1732" s="248" t="s">
        <v>1853</v>
      </c>
      <c r="F1732" t="s">
        <v>620</v>
      </c>
      <c r="G1732" s="89">
        <v>2015</v>
      </c>
      <c r="H1732" s="312" t="s">
        <v>733</v>
      </c>
      <c r="I1732" s="308" t="str">
        <f t="shared" ref="I1732:I1795" si="80">D1732&amp;": "&amp;E1732&amp;" : "&amp;F1732&amp;" : "&amp;H1732</f>
        <v>Pesado de Passageiros M3: III : Gasóleo : E6</v>
      </c>
      <c r="J1732" s="125">
        <v>62</v>
      </c>
      <c r="K1732" s="253">
        <v>2022</v>
      </c>
      <c r="L1732" s="85">
        <v>30367.97</v>
      </c>
      <c r="M1732" s="85" t="s">
        <v>630</v>
      </c>
      <c r="N1732" s="128">
        <v>78326</v>
      </c>
      <c r="O1732" s="128">
        <f t="shared" ref="O1732:O1795" si="81">N1732*J1732</f>
        <v>4856212</v>
      </c>
      <c r="Q1732" t="s">
        <v>47</v>
      </c>
      <c r="R1732" s="214" t="s">
        <v>1869</v>
      </c>
      <c r="S1732" s="214" t="s">
        <v>1861</v>
      </c>
      <c r="T1732" t="s">
        <v>2361</v>
      </c>
      <c r="U1732" t="s">
        <v>1953</v>
      </c>
      <c r="V1732" t="s">
        <v>2813</v>
      </c>
    </row>
    <row r="1733" spans="1:22" ht="15.75" thickBot="1" x14ac:dyDescent="0.3">
      <c r="A1733" t="s">
        <v>4583</v>
      </c>
      <c r="B1733" t="s">
        <v>4583</v>
      </c>
      <c r="C1733" t="s">
        <v>4583</v>
      </c>
      <c r="D1733" t="s">
        <v>629</v>
      </c>
      <c r="E1733" s="248" t="s">
        <v>1853</v>
      </c>
      <c r="F1733" t="s">
        <v>620</v>
      </c>
      <c r="G1733" s="89">
        <v>2015</v>
      </c>
      <c r="H1733" s="312" t="s">
        <v>733</v>
      </c>
      <c r="I1733" s="308" t="str">
        <f t="shared" si="80"/>
        <v>Pesado de Passageiros M3: III : Gasóleo : E6</v>
      </c>
      <c r="J1733" s="125">
        <v>62</v>
      </c>
      <c r="K1733" s="253">
        <v>2022</v>
      </c>
      <c r="L1733" s="85">
        <v>30963.780000000006</v>
      </c>
      <c r="M1733" s="85" t="s">
        <v>630</v>
      </c>
      <c r="N1733" s="128">
        <v>75871</v>
      </c>
      <c r="O1733" s="128">
        <f t="shared" si="81"/>
        <v>4704002</v>
      </c>
      <c r="Q1733" t="s">
        <v>47</v>
      </c>
      <c r="R1733" s="214" t="s">
        <v>1869</v>
      </c>
      <c r="S1733" s="214" t="s">
        <v>1861</v>
      </c>
      <c r="T1733" t="s">
        <v>2362</v>
      </c>
      <c r="U1733" t="s">
        <v>1953</v>
      </c>
      <c r="V1733" t="s">
        <v>2813</v>
      </c>
    </row>
    <row r="1734" spans="1:22" ht="15.75" thickBot="1" x14ac:dyDescent="0.3">
      <c r="A1734" t="s">
        <v>4583</v>
      </c>
      <c r="B1734" t="s">
        <v>4583</v>
      </c>
      <c r="C1734" t="s">
        <v>4583</v>
      </c>
      <c r="D1734" t="s">
        <v>629</v>
      </c>
      <c r="E1734" s="248" t="s">
        <v>1853</v>
      </c>
      <c r="F1734" t="s">
        <v>620</v>
      </c>
      <c r="G1734" s="89">
        <v>2015</v>
      </c>
      <c r="H1734" s="312" t="s">
        <v>733</v>
      </c>
      <c r="I1734" s="308" t="str">
        <f t="shared" si="80"/>
        <v>Pesado de Passageiros M3: III : Gasóleo : E6</v>
      </c>
      <c r="J1734" s="125">
        <v>62</v>
      </c>
      <c r="K1734" s="253">
        <v>2022</v>
      </c>
      <c r="L1734" s="85">
        <v>22245.420000000002</v>
      </c>
      <c r="M1734" s="85" t="s">
        <v>630</v>
      </c>
      <c r="N1734" s="128">
        <v>55989</v>
      </c>
      <c r="O1734" s="128">
        <f t="shared" si="81"/>
        <v>3471318</v>
      </c>
      <c r="Q1734" t="s">
        <v>47</v>
      </c>
      <c r="R1734" s="214" t="s">
        <v>1869</v>
      </c>
      <c r="S1734" s="214" t="s">
        <v>1861</v>
      </c>
      <c r="T1734" t="s">
        <v>2363</v>
      </c>
      <c r="U1734" t="s">
        <v>1953</v>
      </c>
      <c r="V1734" t="s">
        <v>2813</v>
      </c>
    </row>
    <row r="1735" spans="1:22" ht="15.75" thickBot="1" x14ac:dyDescent="0.3">
      <c r="A1735" t="s">
        <v>4583</v>
      </c>
      <c r="B1735" t="s">
        <v>4583</v>
      </c>
      <c r="C1735" t="s">
        <v>4583</v>
      </c>
      <c r="D1735" t="s">
        <v>629</v>
      </c>
      <c r="E1735" s="248" t="s">
        <v>1853</v>
      </c>
      <c r="F1735" t="s">
        <v>620</v>
      </c>
      <c r="G1735" s="89">
        <v>2000</v>
      </c>
      <c r="H1735" s="312" t="s">
        <v>732</v>
      </c>
      <c r="I1735" s="308" t="str">
        <f t="shared" si="80"/>
        <v>Pesado de Passageiros M3: III : Gasóleo : E3</v>
      </c>
      <c r="J1735" s="125">
        <v>68</v>
      </c>
      <c r="K1735" s="253">
        <v>2022</v>
      </c>
      <c r="L1735" s="85">
        <v>10008.040000000001</v>
      </c>
      <c r="M1735" s="85" t="s">
        <v>630</v>
      </c>
      <c r="N1735" s="128">
        <v>30117</v>
      </c>
      <c r="O1735" s="128">
        <f t="shared" si="81"/>
        <v>2047956</v>
      </c>
      <c r="Q1735" t="s">
        <v>47</v>
      </c>
      <c r="R1735" s="214" t="s">
        <v>1869</v>
      </c>
      <c r="S1735" s="214" t="s">
        <v>1861</v>
      </c>
      <c r="T1735" t="s">
        <v>2364</v>
      </c>
      <c r="U1735" t="s">
        <v>1953</v>
      </c>
      <c r="V1735" t="s">
        <v>2813</v>
      </c>
    </row>
    <row r="1736" spans="1:22" ht="15.75" thickBot="1" x14ac:dyDescent="0.3">
      <c r="A1736" t="s">
        <v>4583</v>
      </c>
      <c r="B1736" t="s">
        <v>4583</v>
      </c>
      <c r="C1736" t="s">
        <v>4583</v>
      </c>
      <c r="D1736" t="s">
        <v>623</v>
      </c>
      <c r="E1736" s="251" t="s">
        <v>2231</v>
      </c>
      <c r="F1736" t="s">
        <v>620</v>
      </c>
      <c r="G1736" s="89">
        <v>2018</v>
      </c>
      <c r="H1736" s="312" t="s">
        <v>733</v>
      </c>
      <c r="I1736" s="310" t="s">
        <v>2818</v>
      </c>
      <c r="J1736" s="125">
        <v>8</v>
      </c>
      <c r="K1736" s="253">
        <v>2022</v>
      </c>
      <c r="L1736" s="85">
        <v>6306.6</v>
      </c>
      <c r="M1736" s="85" t="s">
        <v>630</v>
      </c>
      <c r="N1736" s="128">
        <v>79882</v>
      </c>
      <c r="O1736" s="128">
        <f t="shared" si="81"/>
        <v>639056</v>
      </c>
      <c r="Q1736" t="s">
        <v>47</v>
      </c>
      <c r="R1736" s="214" t="s">
        <v>1869</v>
      </c>
      <c r="S1736" s="214" t="s">
        <v>1861</v>
      </c>
      <c r="T1736" t="s">
        <v>2365</v>
      </c>
      <c r="U1736" t="s">
        <v>1953</v>
      </c>
      <c r="V1736" t="s">
        <v>2813</v>
      </c>
    </row>
    <row r="1737" spans="1:22" ht="15.75" thickBot="1" x14ac:dyDescent="0.3">
      <c r="A1737" t="s">
        <v>4583</v>
      </c>
      <c r="B1737" t="s">
        <v>4583</v>
      </c>
      <c r="C1737" t="s">
        <v>4583</v>
      </c>
      <c r="D1737" t="s">
        <v>623</v>
      </c>
      <c r="E1737" s="251" t="s">
        <v>2231</v>
      </c>
      <c r="F1737" t="s">
        <v>620</v>
      </c>
      <c r="G1737" s="89">
        <v>2013</v>
      </c>
      <c r="H1737" s="312" t="s">
        <v>734</v>
      </c>
      <c r="I1737" s="310" t="s">
        <v>2818</v>
      </c>
      <c r="J1737" s="125">
        <v>8</v>
      </c>
      <c r="K1737" s="253">
        <v>2022</v>
      </c>
      <c r="L1737" s="85">
        <v>3833.46</v>
      </c>
      <c r="M1737" s="85" t="s">
        <v>630</v>
      </c>
      <c r="N1737" s="128">
        <v>47918.25</v>
      </c>
      <c r="O1737" s="128">
        <f t="shared" si="81"/>
        <v>383346</v>
      </c>
      <c r="Q1737" t="s">
        <v>47</v>
      </c>
      <c r="R1737" s="214" t="s">
        <v>1869</v>
      </c>
      <c r="S1737" s="214" t="s">
        <v>1861</v>
      </c>
      <c r="T1737" t="s">
        <v>2366</v>
      </c>
      <c r="U1737" t="s">
        <v>1953</v>
      </c>
      <c r="V1737" t="s">
        <v>2813</v>
      </c>
    </row>
    <row r="1738" spans="1:22" ht="15.75" thickBot="1" x14ac:dyDescent="0.3">
      <c r="A1738" t="s">
        <v>4584</v>
      </c>
      <c r="B1738" t="s">
        <v>4584</v>
      </c>
      <c r="C1738" t="s">
        <v>4584</v>
      </c>
      <c r="D1738" t="s">
        <v>629</v>
      </c>
      <c r="E1738" s="248" t="s">
        <v>1853</v>
      </c>
      <c r="F1738" t="s">
        <v>620</v>
      </c>
      <c r="G1738" s="89">
        <v>2013</v>
      </c>
      <c r="H1738" s="312" t="s">
        <v>734</v>
      </c>
      <c r="I1738" s="308" t="str">
        <f t="shared" si="80"/>
        <v>Pesado de Passageiros M3: III : Gasóleo : E5</v>
      </c>
      <c r="J1738" s="125">
        <v>24</v>
      </c>
      <c r="K1738" s="253">
        <v>2022</v>
      </c>
      <c r="L1738" s="85">
        <v>1015.35</v>
      </c>
      <c r="M1738" s="85" t="s">
        <v>630</v>
      </c>
      <c r="N1738" s="128">
        <v>5402</v>
      </c>
      <c r="O1738" s="128">
        <f t="shared" si="81"/>
        <v>129648</v>
      </c>
      <c r="Q1738" t="s">
        <v>47</v>
      </c>
      <c r="R1738" s="214" t="s">
        <v>1869</v>
      </c>
      <c r="S1738" s="214" t="s">
        <v>1861</v>
      </c>
      <c r="T1738" t="s">
        <v>2367</v>
      </c>
      <c r="U1738" t="s">
        <v>1953</v>
      </c>
      <c r="V1738" t="s">
        <v>2813</v>
      </c>
    </row>
    <row r="1739" spans="1:22" ht="15.75" thickBot="1" x14ac:dyDescent="0.3">
      <c r="A1739" t="s">
        <v>4584</v>
      </c>
      <c r="B1739" t="s">
        <v>4584</v>
      </c>
      <c r="C1739" t="s">
        <v>4584</v>
      </c>
      <c r="D1739" t="s">
        <v>629</v>
      </c>
      <c r="E1739" s="248" t="s">
        <v>1853</v>
      </c>
      <c r="F1739" t="s">
        <v>620</v>
      </c>
      <c r="G1739" s="89">
        <v>2017</v>
      </c>
      <c r="H1739" s="312" t="s">
        <v>733</v>
      </c>
      <c r="I1739" s="308" t="str">
        <f t="shared" si="80"/>
        <v>Pesado de Passageiros M3: III : Gasóleo : E6</v>
      </c>
      <c r="J1739" s="125">
        <v>54</v>
      </c>
      <c r="K1739" s="253">
        <v>2022</v>
      </c>
      <c r="L1739" s="85">
        <v>9447.1299999999974</v>
      </c>
      <c r="M1739" s="85" t="s">
        <v>630</v>
      </c>
      <c r="N1739" s="128">
        <v>31308</v>
      </c>
      <c r="O1739" s="128">
        <f t="shared" si="81"/>
        <v>1690632</v>
      </c>
      <c r="Q1739" t="s">
        <v>47</v>
      </c>
      <c r="R1739" s="214" t="s">
        <v>1869</v>
      </c>
      <c r="S1739" s="214" t="s">
        <v>1861</v>
      </c>
      <c r="T1739" t="s">
        <v>2368</v>
      </c>
      <c r="U1739" t="s">
        <v>1953</v>
      </c>
      <c r="V1739" t="s">
        <v>2813</v>
      </c>
    </row>
    <row r="1740" spans="1:22" ht="15.75" thickBot="1" x14ac:dyDescent="0.3">
      <c r="A1740" t="s">
        <v>4584</v>
      </c>
      <c r="B1740" t="s">
        <v>4584</v>
      </c>
      <c r="C1740" t="s">
        <v>4584</v>
      </c>
      <c r="D1740" t="s">
        <v>629</v>
      </c>
      <c r="E1740" s="248" t="s">
        <v>1853</v>
      </c>
      <c r="F1740" t="s">
        <v>620</v>
      </c>
      <c r="G1740" s="89">
        <v>2017</v>
      </c>
      <c r="H1740" s="312" t="s">
        <v>733</v>
      </c>
      <c r="I1740" s="308" t="str">
        <f t="shared" si="80"/>
        <v>Pesado de Passageiros M3: III : Gasóleo : E6</v>
      </c>
      <c r="J1740" s="125">
        <v>54</v>
      </c>
      <c r="K1740" s="253">
        <v>2022</v>
      </c>
      <c r="L1740" s="85">
        <v>8826.14</v>
      </c>
      <c r="M1740" s="85" t="s">
        <v>630</v>
      </c>
      <c r="N1740" s="128">
        <v>32269</v>
      </c>
      <c r="O1740" s="128">
        <f t="shared" si="81"/>
        <v>1742526</v>
      </c>
      <c r="Q1740" t="s">
        <v>47</v>
      </c>
      <c r="R1740" s="214" t="s">
        <v>1869</v>
      </c>
      <c r="S1740" s="214" t="s">
        <v>1861</v>
      </c>
      <c r="T1740" t="s">
        <v>2369</v>
      </c>
      <c r="U1740" t="s">
        <v>1953</v>
      </c>
      <c r="V1740" t="s">
        <v>2813</v>
      </c>
    </row>
    <row r="1741" spans="1:22" ht="15.75" thickBot="1" x14ac:dyDescent="0.3">
      <c r="A1741" t="s">
        <v>4584</v>
      </c>
      <c r="B1741" t="s">
        <v>4584</v>
      </c>
      <c r="C1741" t="s">
        <v>4584</v>
      </c>
      <c r="D1741" t="s">
        <v>629</v>
      </c>
      <c r="E1741" s="248" t="s">
        <v>1853</v>
      </c>
      <c r="F1741" t="s">
        <v>620</v>
      </c>
      <c r="G1741" s="89">
        <v>2017</v>
      </c>
      <c r="H1741" s="312" t="s">
        <v>733</v>
      </c>
      <c r="I1741" s="308" t="str">
        <f t="shared" si="80"/>
        <v>Pesado de Passageiros M3: III : Gasóleo : E6</v>
      </c>
      <c r="J1741" s="125">
        <v>54</v>
      </c>
      <c r="K1741" s="253">
        <v>2022</v>
      </c>
      <c r="L1741" s="85">
        <v>8957.99</v>
      </c>
      <c r="M1741" s="85" t="s">
        <v>630</v>
      </c>
      <c r="N1741" s="128">
        <v>32126</v>
      </c>
      <c r="O1741" s="128">
        <f t="shared" si="81"/>
        <v>1734804</v>
      </c>
      <c r="Q1741" t="s">
        <v>47</v>
      </c>
      <c r="R1741" s="214" t="s">
        <v>1869</v>
      </c>
      <c r="S1741" s="214" t="s">
        <v>1861</v>
      </c>
      <c r="T1741" t="s">
        <v>2370</v>
      </c>
      <c r="U1741" t="s">
        <v>1953</v>
      </c>
      <c r="V1741" t="s">
        <v>2813</v>
      </c>
    </row>
    <row r="1742" spans="1:22" ht="15.75" thickBot="1" x14ac:dyDescent="0.3">
      <c r="A1742" t="s">
        <v>4584</v>
      </c>
      <c r="B1742" t="s">
        <v>4584</v>
      </c>
      <c r="C1742" t="s">
        <v>4584</v>
      </c>
      <c r="D1742" t="s">
        <v>629</v>
      </c>
      <c r="E1742" s="248" t="s">
        <v>1853</v>
      </c>
      <c r="F1742" t="s">
        <v>620</v>
      </c>
      <c r="G1742" s="89">
        <v>2017</v>
      </c>
      <c r="H1742" s="312" t="s">
        <v>733</v>
      </c>
      <c r="I1742" s="308" t="str">
        <f t="shared" si="80"/>
        <v>Pesado de Passageiros M3: III : Gasóleo : E6</v>
      </c>
      <c r="J1742" s="125">
        <v>54</v>
      </c>
      <c r="K1742" s="253">
        <v>2022</v>
      </c>
      <c r="L1742" s="85">
        <v>5344.4800000000005</v>
      </c>
      <c r="M1742" s="85" t="s">
        <v>630</v>
      </c>
      <c r="N1742" s="128">
        <v>18590</v>
      </c>
      <c r="O1742" s="128">
        <f t="shared" si="81"/>
        <v>1003860</v>
      </c>
      <c r="Q1742" t="s">
        <v>47</v>
      </c>
      <c r="R1742" s="214" t="s">
        <v>1869</v>
      </c>
      <c r="S1742" s="214" t="s">
        <v>1861</v>
      </c>
      <c r="T1742" t="s">
        <v>2371</v>
      </c>
      <c r="U1742" t="s">
        <v>1953</v>
      </c>
      <c r="V1742" t="s">
        <v>2813</v>
      </c>
    </row>
    <row r="1743" spans="1:22" ht="15.75" thickBot="1" x14ac:dyDescent="0.3">
      <c r="A1743" t="s">
        <v>4584</v>
      </c>
      <c r="B1743" t="s">
        <v>4584</v>
      </c>
      <c r="C1743" t="s">
        <v>4584</v>
      </c>
      <c r="D1743" t="s">
        <v>629</v>
      </c>
      <c r="E1743" s="248" t="s">
        <v>1853</v>
      </c>
      <c r="F1743" t="s">
        <v>620</v>
      </c>
      <c r="G1743" s="89">
        <v>2017</v>
      </c>
      <c r="H1743" s="312" t="s">
        <v>733</v>
      </c>
      <c r="I1743" s="308" t="str">
        <f t="shared" si="80"/>
        <v>Pesado de Passageiros M3: III : Gasóleo : E6</v>
      </c>
      <c r="J1743" s="125">
        <v>54</v>
      </c>
      <c r="K1743" s="253">
        <v>2022</v>
      </c>
      <c r="L1743" s="85">
        <v>12168.569999999998</v>
      </c>
      <c r="M1743" s="85" t="s">
        <v>630</v>
      </c>
      <c r="N1743" s="128">
        <v>42410</v>
      </c>
      <c r="O1743" s="128">
        <f t="shared" si="81"/>
        <v>2290140</v>
      </c>
      <c r="Q1743" t="s">
        <v>47</v>
      </c>
      <c r="R1743" s="214" t="s">
        <v>1869</v>
      </c>
      <c r="S1743" s="214" t="s">
        <v>1861</v>
      </c>
      <c r="T1743" t="s">
        <v>2372</v>
      </c>
      <c r="U1743" t="s">
        <v>1953</v>
      </c>
      <c r="V1743" t="s">
        <v>2813</v>
      </c>
    </row>
    <row r="1744" spans="1:22" ht="15.75" thickBot="1" x14ac:dyDescent="0.3">
      <c r="A1744" t="s">
        <v>4584</v>
      </c>
      <c r="B1744" t="s">
        <v>4584</v>
      </c>
      <c r="C1744" t="s">
        <v>4584</v>
      </c>
      <c r="D1744" t="s">
        <v>629</v>
      </c>
      <c r="E1744" s="248" t="s">
        <v>1853</v>
      </c>
      <c r="F1744" t="s">
        <v>620</v>
      </c>
      <c r="G1744" s="89">
        <v>2017</v>
      </c>
      <c r="H1744" s="312" t="s">
        <v>733</v>
      </c>
      <c r="I1744" s="308" t="str">
        <f t="shared" si="80"/>
        <v>Pesado de Passageiros M3: III : Gasóleo : E6</v>
      </c>
      <c r="J1744" s="125">
        <v>54</v>
      </c>
      <c r="K1744" s="253">
        <v>2022</v>
      </c>
      <c r="L1744" s="85">
        <v>14215.400000000001</v>
      </c>
      <c r="M1744" s="85" t="s">
        <v>630</v>
      </c>
      <c r="N1744" s="128">
        <v>52026</v>
      </c>
      <c r="O1744" s="128">
        <f t="shared" si="81"/>
        <v>2809404</v>
      </c>
      <c r="Q1744" t="s">
        <v>47</v>
      </c>
      <c r="R1744" s="214" t="s">
        <v>1869</v>
      </c>
      <c r="S1744" s="214" t="s">
        <v>1861</v>
      </c>
      <c r="T1744" t="s">
        <v>2373</v>
      </c>
      <c r="U1744" t="s">
        <v>1953</v>
      </c>
      <c r="V1744" t="s">
        <v>2813</v>
      </c>
    </row>
    <row r="1745" spans="1:22" ht="15.75" thickBot="1" x14ac:dyDescent="0.3">
      <c r="A1745" t="s">
        <v>4584</v>
      </c>
      <c r="B1745" t="s">
        <v>4584</v>
      </c>
      <c r="C1745" t="s">
        <v>4584</v>
      </c>
      <c r="D1745" t="s">
        <v>629</v>
      </c>
      <c r="E1745" s="248" t="s">
        <v>1853</v>
      </c>
      <c r="F1745" t="s">
        <v>620</v>
      </c>
      <c r="G1745" s="89">
        <v>2022</v>
      </c>
      <c r="H1745" s="312" t="s">
        <v>733</v>
      </c>
      <c r="I1745" s="308" t="str">
        <f t="shared" si="80"/>
        <v>Pesado de Passageiros M3: III : Gasóleo : E6</v>
      </c>
      <c r="J1745" s="125">
        <v>54</v>
      </c>
      <c r="K1745" s="253">
        <v>2022</v>
      </c>
      <c r="L1745" s="85">
        <v>12113.83</v>
      </c>
      <c r="M1745" s="85" t="s">
        <v>630</v>
      </c>
      <c r="N1745" s="128">
        <v>43575</v>
      </c>
      <c r="O1745" s="128">
        <f t="shared" si="81"/>
        <v>2353050</v>
      </c>
      <c r="Q1745" t="s">
        <v>47</v>
      </c>
      <c r="R1745" s="214" t="s">
        <v>1869</v>
      </c>
      <c r="S1745" s="214" t="s">
        <v>1861</v>
      </c>
      <c r="T1745" t="s">
        <v>2374</v>
      </c>
      <c r="U1745" t="s">
        <v>1953</v>
      </c>
      <c r="V1745" t="s">
        <v>2813</v>
      </c>
    </row>
    <row r="1746" spans="1:22" ht="15.75" thickBot="1" x14ac:dyDescent="0.3">
      <c r="A1746" t="s">
        <v>4584</v>
      </c>
      <c r="B1746" t="s">
        <v>4584</v>
      </c>
      <c r="C1746" t="s">
        <v>4584</v>
      </c>
      <c r="D1746" t="s">
        <v>629</v>
      </c>
      <c r="E1746" s="248" t="s">
        <v>1853</v>
      </c>
      <c r="F1746" t="s">
        <v>620</v>
      </c>
      <c r="G1746" s="89">
        <v>2022</v>
      </c>
      <c r="H1746" s="312" t="s">
        <v>733</v>
      </c>
      <c r="I1746" s="308" t="str">
        <f t="shared" si="80"/>
        <v>Pesado de Passageiros M3: III : Gasóleo : E6</v>
      </c>
      <c r="J1746" s="125">
        <v>54</v>
      </c>
      <c r="K1746" s="253">
        <v>2022</v>
      </c>
      <c r="L1746" s="85">
        <v>7837.6099999999988</v>
      </c>
      <c r="M1746" s="85" t="s">
        <v>630</v>
      </c>
      <c r="N1746" s="128">
        <v>27029</v>
      </c>
      <c r="O1746" s="128">
        <f t="shared" si="81"/>
        <v>1459566</v>
      </c>
      <c r="Q1746" t="s">
        <v>47</v>
      </c>
      <c r="R1746" s="214" t="s">
        <v>1869</v>
      </c>
      <c r="S1746" s="214" t="s">
        <v>1861</v>
      </c>
      <c r="T1746" t="s">
        <v>2375</v>
      </c>
      <c r="U1746" t="s">
        <v>1953</v>
      </c>
      <c r="V1746" t="s">
        <v>2813</v>
      </c>
    </row>
    <row r="1747" spans="1:22" ht="15.75" thickBot="1" x14ac:dyDescent="0.3">
      <c r="A1747" t="s">
        <v>4584</v>
      </c>
      <c r="B1747" t="s">
        <v>4584</v>
      </c>
      <c r="C1747" t="s">
        <v>4584</v>
      </c>
      <c r="D1747" t="s">
        <v>629</v>
      </c>
      <c r="E1747" s="248" t="s">
        <v>1853</v>
      </c>
      <c r="F1747" t="s">
        <v>620</v>
      </c>
      <c r="G1747" s="89">
        <v>2022</v>
      </c>
      <c r="H1747" s="312" t="s">
        <v>733</v>
      </c>
      <c r="I1747" s="308" t="str">
        <f t="shared" si="80"/>
        <v>Pesado de Passageiros M3: III : Gasóleo : E6</v>
      </c>
      <c r="J1747" s="125">
        <v>54</v>
      </c>
      <c r="K1747" s="253">
        <v>2022</v>
      </c>
      <c r="L1747" s="85">
        <v>11153.08</v>
      </c>
      <c r="M1747" s="85" t="s">
        <v>630</v>
      </c>
      <c r="N1747" s="128">
        <v>40534</v>
      </c>
      <c r="O1747" s="128">
        <f t="shared" si="81"/>
        <v>2188836</v>
      </c>
      <c r="Q1747" t="s">
        <v>47</v>
      </c>
      <c r="R1747" s="214" t="s">
        <v>1869</v>
      </c>
      <c r="S1747" s="214" t="s">
        <v>1861</v>
      </c>
      <c r="T1747" t="s">
        <v>2376</v>
      </c>
      <c r="U1747" t="s">
        <v>1953</v>
      </c>
      <c r="V1747" t="s">
        <v>2813</v>
      </c>
    </row>
    <row r="1748" spans="1:22" ht="15.75" thickBot="1" x14ac:dyDescent="0.3">
      <c r="A1748" t="s">
        <v>4584</v>
      </c>
      <c r="B1748" t="s">
        <v>4584</v>
      </c>
      <c r="C1748" t="s">
        <v>4584</v>
      </c>
      <c r="D1748" t="s">
        <v>629</v>
      </c>
      <c r="E1748" s="248" t="s">
        <v>1853</v>
      </c>
      <c r="F1748" t="s">
        <v>620</v>
      </c>
      <c r="G1748" s="89">
        <v>2018</v>
      </c>
      <c r="H1748" s="312" t="s">
        <v>733</v>
      </c>
      <c r="I1748" s="308" t="str">
        <f t="shared" si="80"/>
        <v>Pesado de Passageiros M3: III : Gasóleo : E6</v>
      </c>
      <c r="J1748" s="125">
        <v>54</v>
      </c>
      <c r="K1748" s="253">
        <v>2022</v>
      </c>
      <c r="L1748" s="85">
        <v>13533.740000000002</v>
      </c>
      <c r="M1748" s="85" t="s">
        <v>630</v>
      </c>
      <c r="N1748" s="128">
        <v>51233</v>
      </c>
      <c r="O1748" s="128">
        <f t="shared" si="81"/>
        <v>2766582</v>
      </c>
      <c r="Q1748" t="s">
        <v>47</v>
      </c>
      <c r="R1748" s="214" t="s">
        <v>1869</v>
      </c>
      <c r="S1748" s="214" t="s">
        <v>1861</v>
      </c>
      <c r="T1748" t="s">
        <v>2377</v>
      </c>
      <c r="U1748" t="s">
        <v>1953</v>
      </c>
      <c r="V1748" t="s">
        <v>2813</v>
      </c>
    </row>
    <row r="1749" spans="1:22" ht="15.75" thickBot="1" x14ac:dyDescent="0.3">
      <c r="A1749" t="s">
        <v>4584</v>
      </c>
      <c r="B1749" t="s">
        <v>4584</v>
      </c>
      <c r="C1749" t="s">
        <v>4584</v>
      </c>
      <c r="D1749" t="s">
        <v>629</v>
      </c>
      <c r="E1749" s="248" t="s">
        <v>1853</v>
      </c>
      <c r="F1749" t="s">
        <v>620</v>
      </c>
      <c r="G1749" s="89">
        <v>2018</v>
      </c>
      <c r="H1749" s="312" t="s">
        <v>733</v>
      </c>
      <c r="I1749" s="308" t="str">
        <f t="shared" si="80"/>
        <v>Pesado de Passageiros M3: III : Gasóleo : E6</v>
      </c>
      <c r="J1749" s="125">
        <v>54</v>
      </c>
      <c r="K1749" s="253">
        <v>2022</v>
      </c>
      <c r="L1749" s="85">
        <v>18952.079999999998</v>
      </c>
      <c r="M1749" s="85" t="s">
        <v>630</v>
      </c>
      <c r="N1749" s="128">
        <v>73065</v>
      </c>
      <c r="O1749" s="128">
        <f t="shared" si="81"/>
        <v>3945510</v>
      </c>
      <c r="Q1749" t="s">
        <v>47</v>
      </c>
      <c r="R1749" s="214" t="s">
        <v>1869</v>
      </c>
      <c r="S1749" s="214" t="s">
        <v>1861</v>
      </c>
      <c r="T1749" t="s">
        <v>2378</v>
      </c>
      <c r="U1749" t="s">
        <v>1953</v>
      </c>
      <c r="V1749" t="s">
        <v>2813</v>
      </c>
    </row>
    <row r="1750" spans="1:22" ht="15.75" thickBot="1" x14ac:dyDescent="0.3">
      <c r="A1750" t="s">
        <v>4584</v>
      </c>
      <c r="B1750" t="s">
        <v>4584</v>
      </c>
      <c r="C1750" t="s">
        <v>4584</v>
      </c>
      <c r="D1750" t="s">
        <v>629</v>
      </c>
      <c r="E1750" s="248" t="s">
        <v>1853</v>
      </c>
      <c r="F1750" t="s">
        <v>620</v>
      </c>
      <c r="G1750" s="89">
        <v>2019</v>
      </c>
      <c r="H1750" s="312" t="s">
        <v>733</v>
      </c>
      <c r="I1750" s="308" t="str">
        <f t="shared" si="80"/>
        <v>Pesado de Passageiros M3: III : Gasóleo : E6</v>
      </c>
      <c r="J1750" s="125">
        <v>54</v>
      </c>
      <c r="K1750" s="253">
        <v>2022</v>
      </c>
      <c r="L1750" s="85">
        <v>14080.410000000002</v>
      </c>
      <c r="M1750" s="85" t="s">
        <v>630</v>
      </c>
      <c r="N1750" s="128">
        <v>49609</v>
      </c>
      <c r="O1750" s="128">
        <f t="shared" si="81"/>
        <v>2678886</v>
      </c>
      <c r="Q1750" t="s">
        <v>47</v>
      </c>
      <c r="R1750" s="214" t="s">
        <v>1869</v>
      </c>
      <c r="S1750" s="214" t="s">
        <v>1861</v>
      </c>
      <c r="T1750" t="s">
        <v>2379</v>
      </c>
      <c r="U1750" t="s">
        <v>1953</v>
      </c>
      <c r="V1750" t="s">
        <v>2813</v>
      </c>
    </row>
    <row r="1751" spans="1:22" ht="15.75" thickBot="1" x14ac:dyDescent="0.3">
      <c r="A1751" t="s">
        <v>4584</v>
      </c>
      <c r="B1751" t="s">
        <v>4584</v>
      </c>
      <c r="C1751" t="s">
        <v>4584</v>
      </c>
      <c r="D1751" t="s">
        <v>629</v>
      </c>
      <c r="E1751" s="248" t="s">
        <v>1853</v>
      </c>
      <c r="F1751" t="s">
        <v>620</v>
      </c>
      <c r="G1751" s="89">
        <v>2019</v>
      </c>
      <c r="H1751" s="312" t="s">
        <v>733</v>
      </c>
      <c r="I1751" s="308" t="str">
        <f t="shared" si="80"/>
        <v>Pesado de Passageiros M3: III : Gasóleo : E6</v>
      </c>
      <c r="J1751" s="125">
        <v>54</v>
      </c>
      <c r="K1751" s="253">
        <v>2022</v>
      </c>
      <c r="L1751" s="85">
        <v>6551.5599999999995</v>
      </c>
      <c r="M1751" s="85" t="s">
        <v>630</v>
      </c>
      <c r="N1751" s="128">
        <v>22494</v>
      </c>
      <c r="O1751" s="128">
        <f t="shared" si="81"/>
        <v>1214676</v>
      </c>
      <c r="Q1751" t="s">
        <v>47</v>
      </c>
      <c r="R1751" s="214" t="s">
        <v>1869</v>
      </c>
      <c r="S1751" s="214" t="s">
        <v>1861</v>
      </c>
      <c r="T1751" t="s">
        <v>2380</v>
      </c>
      <c r="U1751" t="s">
        <v>1953</v>
      </c>
      <c r="V1751" t="s">
        <v>2813</v>
      </c>
    </row>
    <row r="1752" spans="1:22" ht="15.75" thickBot="1" x14ac:dyDescent="0.3">
      <c r="A1752" t="s">
        <v>4584</v>
      </c>
      <c r="B1752" t="s">
        <v>4584</v>
      </c>
      <c r="C1752" t="s">
        <v>4584</v>
      </c>
      <c r="D1752" t="s">
        <v>629</v>
      </c>
      <c r="E1752" s="248" t="s">
        <v>1853</v>
      </c>
      <c r="F1752" t="s">
        <v>620</v>
      </c>
      <c r="G1752" s="89">
        <v>2018</v>
      </c>
      <c r="H1752" s="312" t="s">
        <v>733</v>
      </c>
      <c r="I1752" s="308" t="str">
        <f t="shared" si="80"/>
        <v>Pesado de Passageiros M3: III : Gasóleo : E6</v>
      </c>
      <c r="J1752" s="125">
        <v>34</v>
      </c>
      <c r="K1752" s="253">
        <v>2022</v>
      </c>
      <c r="L1752" s="85">
        <v>3185.8199999999997</v>
      </c>
      <c r="M1752" s="85" t="s">
        <v>630</v>
      </c>
      <c r="N1752" s="128">
        <v>11413</v>
      </c>
      <c r="O1752" s="128">
        <f t="shared" si="81"/>
        <v>388042</v>
      </c>
      <c r="Q1752" t="s">
        <v>47</v>
      </c>
      <c r="R1752" s="214" t="s">
        <v>1869</v>
      </c>
      <c r="S1752" s="214" t="s">
        <v>1861</v>
      </c>
      <c r="T1752" t="s">
        <v>2381</v>
      </c>
      <c r="U1752" t="s">
        <v>1953</v>
      </c>
      <c r="V1752" t="s">
        <v>2813</v>
      </c>
    </row>
    <row r="1753" spans="1:22" ht="15.75" thickBot="1" x14ac:dyDescent="0.3">
      <c r="A1753" t="s">
        <v>4584</v>
      </c>
      <c r="B1753" t="s">
        <v>4584</v>
      </c>
      <c r="C1753" t="s">
        <v>4584</v>
      </c>
      <c r="D1753" t="s">
        <v>629</v>
      </c>
      <c r="E1753" s="248" t="s">
        <v>1853</v>
      </c>
      <c r="F1753" t="s">
        <v>620</v>
      </c>
      <c r="G1753" s="89">
        <v>2019</v>
      </c>
      <c r="H1753" s="312" t="s">
        <v>733</v>
      </c>
      <c r="I1753" s="308" t="str">
        <f t="shared" si="80"/>
        <v>Pesado de Passageiros M3: III : Gasóleo : E6</v>
      </c>
      <c r="J1753" s="125">
        <v>36</v>
      </c>
      <c r="K1753" s="253">
        <v>2022</v>
      </c>
      <c r="L1753" s="85">
        <v>8306.7000000000007</v>
      </c>
      <c r="M1753" s="85" t="s">
        <v>630</v>
      </c>
      <c r="N1753" s="128">
        <v>29178</v>
      </c>
      <c r="O1753" s="128">
        <f t="shared" si="81"/>
        <v>1050408</v>
      </c>
      <c r="Q1753" t="s">
        <v>47</v>
      </c>
      <c r="R1753" s="214" t="s">
        <v>1869</v>
      </c>
      <c r="S1753" s="214" t="s">
        <v>1861</v>
      </c>
      <c r="T1753" t="s">
        <v>2382</v>
      </c>
      <c r="U1753" t="s">
        <v>1953</v>
      </c>
      <c r="V1753" t="s">
        <v>2813</v>
      </c>
    </row>
    <row r="1754" spans="1:22" ht="15.75" thickBot="1" x14ac:dyDescent="0.3">
      <c r="A1754" t="s">
        <v>4584</v>
      </c>
      <c r="B1754" t="s">
        <v>4584</v>
      </c>
      <c r="C1754" t="s">
        <v>4584</v>
      </c>
      <c r="D1754" t="s">
        <v>629</v>
      </c>
      <c r="E1754" s="248" t="s">
        <v>1853</v>
      </c>
      <c r="F1754" t="s">
        <v>620</v>
      </c>
      <c r="G1754" s="89">
        <v>2019</v>
      </c>
      <c r="H1754" s="312" t="s">
        <v>733</v>
      </c>
      <c r="I1754" s="308" t="str">
        <f t="shared" si="80"/>
        <v>Pesado de Passageiros M3: III : Gasóleo : E6</v>
      </c>
      <c r="J1754" s="125">
        <v>36</v>
      </c>
      <c r="K1754" s="253">
        <v>2022</v>
      </c>
      <c r="L1754" s="85">
        <v>10315.849999999999</v>
      </c>
      <c r="M1754" s="85" t="s">
        <v>630</v>
      </c>
      <c r="N1754" s="128">
        <v>34970</v>
      </c>
      <c r="O1754" s="128">
        <f t="shared" si="81"/>
        <v>1258920</v>
      </c>
      <c r="Q1754" t="s">
        <v>47</v>
      </c>
      <c r="R1754" s="214" t="s">
        <v>1869</v>
      </c>
      <c r="S1754" s="214" t="s">
        <v>1861</v>
      </c>
      <c r="T1754" t="s">
        <v>2383</v>
      </c>
      <c r="U1754" t="s">
        <v>1953</v>
      </c>
      <c r="V1754" t="s">
        <v>2813</v>
      </c>
    </row>
    <row r="1755" spans="1:22" ht="15.75" thickBot="1" x14ac:dyDescent="0.3">
      <c r="A1755" t="s">
        <v>4584</v>
      </c>
      <c r="B1755" t="s">
        <v>4584</v>
      </c>
      <c r="C1755" t="s">
        <v>4584</v>
      </c>
      <c r="D1755" t="s">
        <v>629</v>
      </c>
      <c r="E1755" s="248" t="s">
        <v>1853</v>
      </c>
      <c r="F1755" t="s">
        <v>620</v>
      </c>
      <c r="G1755" s="89">
        <v>2010</v>
      </c>
      <c r="H1755" s="312" t="s">
        <v>734</v>
      </c>
      <c r="I1755" s="308" t="str">
        <f t="shared" si="80"/>
        <v>Pesado de Passageiros M3: III : Gasóleo : E5</v>
      </c>
      <c r="J1755" s="125">
        <v>45</v>
      </c>
      <c r="K1755" s="253">
        <v>2022</v>
      </c>
      <c r="L1755" s="85">
        <v>11066.170000000002</v>
      </c>
      <c r="M1755" s="85" t="s">
        <v>630</v>
      </c>
      <c r="N1755" s="128">
        <v>33423</v>
      </c>
      <c r="O1755" s="128">
        <f t="shared" si="81"/>
        <v>1504035</v>
      </c>
      <c r="Q1755" t="s">
        <v>47</v>
      </c>
      <c r="R1755" s="214" t="s">
        <v>1869</v>
      </c>
      <c r="S1755" s="214" t="s">
        <v>1861</v>
      </c>
      <c r="T1755" t="s">
        <v>2384</v>
      </c>
      <c r="U1755" t="s">
        <v>1953</v>
      </c>
      <c r="V1755" t="s">
        <v>2813</v>
      </c>
    </row>
    <row r="1756" spans="1:22" ht="15.75" thickBot="1" x14ac:dyDescent="0.3">
      <c r="A1756" t="s">
        <v>4584</v>
      </c>
      <c r="B1756" t="s">
        <v>4584</v>
      </c>
      <c r="C1756" t="s">
        <v>4584</v>
      </c>
      <c r="D1756" t="s">
        <v>629</v>
      </c>
      <c r="E1756" s="248" t="s">
        <v>1853</v>
      </c>
      <c r="F1756" t="s">
        <v>620</v>
      </c>
      <c r="G1756" s="89">
        <v>2008</v>
      </c>
      <c r="H1756" s="312" t="s">
        <v>731</v>
      </c>
      <c r="I1756" s="308" t="str">
        <f t="shared" si="80"/>
        <v>Pesado de Passageiros M3: III : Gasóleo : E4</v>
      </c>
      <c r="J1756" s="125">
        <v>50</v>
      </c>
      <c r="K1756" s="253">
        <v>2022</v>
      </c>
      <c r="L1756" s="85">
        <v>13791.66</v>
      </c>
      <c r="M1756" s="85" t="s">
        <v>630</v>
      </c>
      <c r="N1756" s="128">
        <v>44414</v>
      </c>
      <c r="O1756" s="128">
        <f t="shared" si="81"/>
        <v>2220700</v>
      </c>
      <c r="Q1756" t="s">
        <v>47</v>
      </c>
      <c r="R1756" s="214" t="s">
        <v>1869</v>
      </c>
      <c r="S1756" s="214" t="s">
        <v>1861</v>
      </c>
      <c r="T1756" t="s">
        <v>2385</v>
      </c>
      <c r="U1756" t="s">
        <v>1953</v>
      </c>
      <c r="V1756" t="s">
        <v>2813</v>
      </c>
    </row>
    <row r="1757" spans="1:22" ht="15.75" thickBot="1" x14ac:dyDescent="0.3">
      <c r="A1757" t="s">
        <v>4584</v>
      </c>
      <c r="B1757" t="s">
        <v>4584</v>
      </c>
      <c r="C1757" t="s">
        <v>4584</v>
      </c>
      <c r="D1757" t="s">
        <v>629</v>
      </c>
      <c r="E1757" s="248" t="s">
        <v>1853</v>
      </c>
      <c r="F1757" t="s">
        <v>620</v>
      </c>
      <c r="G1757" s="89">
        <v>2008</v>
      </c>
      <c r="H1757" s="312" t="s">
        <v>731</v>
      </c>
      <c r="I1757" s="308" t="str">
        <f t="shared" si="80"/>
        <v>Pesado de Passageiros M3: III : Gasóleo : E4</v>
      </c>
      <c r="J1757" s="125">
        <v>54</v>
      </c>
      <c r="K1757" s="253">
        <v>2022</v>
      </c>
      <c r="L1757" s="85">
        <v>3108.9799999999996</v>
      </c>
      <c r="M1757" s="85" t="s">
        <v>630</v>
      </c>
      <c r="N1757" s="128">
        <v>9439</v>
      </c>
      <c r="O1757" s="128">
        <f t="shared" si="81"/>
        <v>509706</v>
      </c>
      <c r="Q1757" t="s">
        <v>47</v>
      </c>
      <c r="R1757" s="214" t="s">
        <v>1869</v>
      </c>
      <c r="S1757" s="214" t="s">
        <v>1861</v>
      </c>
      <c r="T1757" t="s">
        <v>2386</v>
      </c>
      <c r="U1757" t="s">
        <v>1953</v>
      </c>
      <c r="V1757" t="s">
        <v>2813</v>
      </c>
    </row>
    <row r="1758" spans="1:22" ht="15.75" thickBot="1" x14ac:dyDescent="0.3">
      <c r="A1758" t="s">
        <v>4584</v>
      </c>
      <c r="B1758" t="s">
        <v>4584</v>
      </c>
      <c r="C1758" t="s">
        <v>4584</v>
      </c>
      <c r="D1758" t="s">
        <v>629</v>
      </c>
      <c r="E1758" s="248" t="s">
        <v>1853</v>
      </c>
      <c r="F1758" t="s">
        <v>620</v>
      </c>
      <c r="G1758" s="89">
        <v>2001</v>
      </c>
      <c r="H1758" s="312" t="s">
        <v>732</v>
      </c>
      <c r="I1758" s="308" t="str">
        <f t="shared" si="80"/>
        <v>Pesado de Passageiros M3: III : Gasóleo : E3</v>
      </c>
      <c r="J1758" s="125">
        <v>50</v>
      </c>
      <c r="K1758" s="253">
        <v>2022</v>
      </c>
      <c r="L1758" s="85">
        <v>9022.2699999999986</v>
      </c>
      <c r="M1758" s="85" t="s">
        <v>630</v>
      </c>
      <c r="N1758" s="128">
        <v>28434</v>
      </c>
      <c r="O1758" s="128">
        <f t="shared" si="81"/>
        <v>1421700</v>
      </c>
      <c r="Q1758" t="s">
        <v>47</v>
      </c>
      <c r="R1758" s="214" t="s">
        <v>1869</v>
      </c>
      <c r="S1758" s="214" t="s">
        <v>1861</v>
      </c>
      <c r="T1758" t="s">
        <v>2387</v>
      </c>
      <c r="U1758" t="s">
        <v>1953</v>
      </c>
      <c r="V1758" t="s">
        <v>2813</v>
      </c>
    </row>
    <row r="1759" spans="1:22" ht="15.75" thickBot="1" x14ac:dyDescent="0.3">
      <c r="A1759" t="s">
        <v>4584</v>
      </c>
      <c r="B1759" t="s">
        <v>4584</v>
      </c>
      <c r="C1759" t="s">
        <v>4584</v>
      </c>
      <c r="D1759" t="s">
        <v>629</v>
      </c>
      <c r="E1759" s="248" t="s">
        <v>1853</v>
      </c>
      <c r="F1759" t="s">
        <v>620</v>
      </c>
      <c r="G1759" s="89">
        <v>2007</v>
      </c>
      <c r="H1759" s="312" t="s">
        <v>731</v>
      </c>
      <c r="I1759" s="308" t="str">
        <f t="shared" si="80"/>
        <v>Pesado de Passageiros M3: III : Gasóleo : E4</v>
      </c>
      <c r="J1759" s="125">
        <v>50</v>
      </c>
      <c r="K1759" s="253">
        <v>2022</v>
      </c>
      <c r="L1759" s="85">
        <v>12242.4</v>
      </c>
      <c r="M1759" s="85" t="s">
        <v>630</v>
      </c>
      <c r="N1759" s="128">
        <v>39709</v>
      </c>
      <c r="O1759" s="128">
        <f t="shared" si="81"/>
        <v>1985450</v>
      </c>
      <c r="Q1759" t="s">
        <v>47</v>
      </c>
      <c r="R1759" s="214" t="s">
        <v>1869</v>
      </c>
      <c r="S1759" s="214" t="s">
        <v>1861</v>
      </c>
      <c r="T1759" t="s">
        <v>2388</v>
      </c>
      <c r="U1759" t="s">
        <v>1953</v>
      </c>
      <c r="V1759" t="s">
        <v>2813</v>
      </c>
    </row>
    <row r="1760" spans="1:22" ht="15.75" thickBot="1" x14ac:dyDescent="0.3">
      <c r="A1760" t="s">
        <v>4584</v>
      </c>
      <c r="B1760" t="s">
        <v>4584</v>
      </c>
      <c r="C1760" t="s">
        <v>4584</v>
      </c>
      <c r="D1760" t="s">
        <v>629</v>
      </c>
      <c r="E1760" s="248" t="s">
        <v>1853</v>
      </c>
      <c r="F1760" t="s">
        <v>620</v>
      </c>
      <c r="G1760" s="89">
        <v>2018</v>
      </c>
      <c r="H1760" s="312" t="s">
        <v>733</v>
      </c>
      <c r="I1760" s="308" t="str">
        <f t="shared" si="80"/>
        <v>Pesado de Passageiros M3: III : Gasóleo : E6</v>
      </c>
      <c r="J1760" s="125">
        <v>54</v>
      </c>
      <c r="K1760" s="253">
        <v>2022</v>
      </c>
      <c r="L1760" s="85">
        <v>35943.89</v>
      </c>
      <c r="M1760" s="85" t="s">
        <v>630</v>
      </c>
      <c r="N1760" s="128">
        <v>133873</v>
      </c>
      <c r="O1760" s="128">
        <f t="shared" si="81"/>
        <v>7229142</v>
      </c>
      <c r="Q1760" t="s">
        <v>47</v>
      </c>
      <c r="R1760" s="214" t="s">
        <v>1869</v>
      </c>
      <c r="S1760" s="214" t="s">
        <v>1861</v>
      </c>
      <c r="T1760" t="s">
        <v>2389</v>
      </c>
      <c r="U1760" t="s">
        <v>1953</v>
      </c>
      <c r="V1760" t="s">
        <v>2813</v>
      </c>
    </row>
    <row r="1761" spans="1:22" ht="15.75" thickBot="1" x14ac:dyDescent="0.3">
      <c r="A1761" t="s">
        <v>4584</v>
      </c>
      <c r="B1761" t="s">
        <v>4584</v>
      </c>
      <c r="C1761" t="s">
        <v>4584</v>
      </c>
      <c r="D1761" t="s">
        <v>629</v>
      </c>
      <c r="E1761" s="248" t="s">
        <v>1853</v>
      </c>
      <c r="F1761" t="s">
        <v>620</v>
      </c>
      <c r="G1761" s="89">
        <v>2018</v>
      </c>
      <c r="H1761" s="312" t="s">
        <v>733</v>
      </c>
      <c r="I1761" s="308" t="str">
        <f t="shared" si="80"/>
        <v>Pesado de Passageiros M3: III : Gasóleo : E6</v>
      </c>
      <c r="J1761" s="125">
        <v>54</v>
      </c>
      <c r="K1761" s="253">
        <v>2022</v>
      </c>
      <c r="L1761" s="85">
        <v>39724.25</v>
      </c>
      <c r="M1761" s="85" t="s">
        <v>630</v>
      </c>
      <c r="N1761" s="128">
        <v>139151</v>
      </c>
      <c r="O1761" s="128">
        <f t="shared" si="81"/>
        <v>7514154</v>
      </c>
      <c r="Q1761" t="s">
        <v>47</v>
      </c>
      <c r="R1761" s="214" t="s">
        <v>1869</v>
      </c>
      <c r="S1761" s="214" t="s">
        <v>1861</v>
      </c>
      <c r="T1761" t="s">
        <v>2390</v>
      </c>
      <c r="U1761" t="s">
        <v>1953</v>
      </c>
      <c r="V1761" t="s">
        <v>2813</v>
      </c>
    </row>
    <row r="1762" spans="1:22" ht="15.75" thickBot="1" x14ac:dyDescent="0.3">
      <c r="A1762" t="s">
        <v>4584</v>
      </c>
      <c r="B1762" t="s">
        <v>4584</v>
      </c>
      <c r="C1762" t="s">
        <v>4584</v>
      </c>
      <c r="D1762" t="s">
        <v>629</v>
      </c>
      <c r="E1762" s="248" t="s">
        <v>1853</v>
      </c>
      <c r="F1762" t="s">
        <v>620</v>
      </c>
      <c r="G1762" s="89">
        <v>2016</v>
      </c>
      <c r="H1762" s="312" t="s">
        <v>733</v>
      </c>
      <c r="I1762" s="308" t="str">
        <f t="shared" si="80"/>
        <v>Pesado de Passageiros M3: III : Gasóleo : E6</v>
      </c>
      <c r="J1762" s="125">
        <v>58</v>
      </c>
      <c r="K1762" s="253">
        <v>2022</v>
      </c>
      <c r="L1762" s="85">
        <v>18154.480000000003</v>
      </c>
      <c r="M1762" s="85" t="s">
        <v>630</v>
      </c>
      <c r="N1762" s="128">
        <v>56953</v>
      </c>
      <c r="O1762" s="128">
        <f t="shared" si="81"/>
        <v>3303274</v>
      </c>
      <c r="Q1762" t="s">
        <v>47</v>
      </c>
      <c r="R1762" s="214" t="s">
        <v>1869</v>
      </c>
      <c r="S1762" s="214" t="s">
        <v>1861</v>
      </c>
      <c r="T1762" t="s">
        <v>2391</v>
      </c>
      <c r="U1762" t="s">
        <v>1953</v>
      </c>
      <c r="V1762" t="s">
        <v>2813</v>
      </c>
    </row>
    <row r="1763" spans="1:22" ht="15.75" thickBot="1" x14ac:dyDescent="0.3">
      <c r="A1763" t="s">
        <v>4584</v>
      </c>
      <c r="B1763" t="s">
        <v>4584</v>
      </c>
      <c r="C1763" t="s">
        <v>4584</v>
      </c>
      <c r="D1763" t="s">
        <v>629</v>
      </c>
      <c r="E1763" s="248" t="s">
        <v>1853</v>
      </c>
      <c r="F1763" t="s">
        <v>620</v>
      </c>
      <c r="G1763" s="89">
        <v>2009</v>
      </c>
      <c r="H1763" s="312" t="s">
        <v>731</v>
      </c>
      <c r="I1763" s="308" t="str">
        <f t="shared" si="80"/>
        <v>Pesado de Passageiros M3: III : Gasóleo : E4</v>
      </c>
      <c r="J1763" s="125">
        <v>56</v>
      </c>
      <c r="K1763" s="253">
        <v>2022</v>
      </c>
      <c r="L1763" s="85">
        <v>19415.57</v>
      </c>
      <c r="M1763" s="85" t="s">
        <v>630</v>
      </c>
      <c r="N1763" s="128">
        <v>65291</v>
      </c>
      <c r="O1763" s="128">
        <f t="shared" si="81"/>
        <v>3656296</v>
      </c>
      <c r="Q1763" t="s">
        <v>47</v>
      </c>
      <c r="R1763" s="214" t="s">
        <v>1869</v>
      </c>
      <c r="S1763" s="214" t="s">
        <v>1861</v>
      </c>
      <c r="T1763" t="s">
        <v>2392</v>
      </c>
      <c r="U1763" t="s">
        <v>1953</v>
      </c>
      <c r="V1763" t="s">
        <v>2813</v>
      </c>
    </row>
    <row r="1764" spans="1:22" ht="15.75" thickBot="1" x14ac:dyDescent="0.3">
      <c r="A1764" t="s">
        <v>4584</v>
      </c>
      <c r="B1764" t="s">
        <v>4584</v>
      </c>
      <c r="C1764" t="s">
        <v>4584</v>
      </c>
      <c r="D1764" t="s">
        <v>629</v>
      </c>
      <c r="E1764" s="248" t="s">
        <v>1853</v>
      </c>
      <c r="F1764" t="s">
        <v>620</v>
      </c>
      <c r="G1764" s="89">
        <v>2007</v>
      </c>
      <c r="H1764" s="312" t="s">
        <v>731</v>
      </c>
      <c r="I1764" s="308" t="str">
        <f t="shared" si="80"/>
        <v>Pesado de Passageiros M3: III : Gasóleo : E4</v>
      </c>
      <c r="J1764" s="125">
        <v>49</v>
      </c>
      <c r="K1764" s="253">
        <v>2022</v>
      </c>
      <c r="L1764" s="85">
        <v>3017.27</v>
      </c>
      <c r="M1764" s="85" t="s">
        <v>630</v>
      </c>
      <c r="N1764" s="128">
        <v>10458</v>
      </c>
      <c r="O1764" s="128">
        <f t="shared" si="81"/>
        <v>512442</v>
      </c>
      <c r="Q1764" t="s">
        <v>47</v>
      </c>
      <c r="R1764" s="214" t="s">
        <v>1869</v>
      </c>
      <c r="S1764" s="214" t="s">
        <v>1861</v>
      </c>
      <c r="T1764" t="s">
        <v>2393</v>
      </c>
      <c r="U1764" t="s">
        <v>1953</v>
      </c>
      <c r="V1764" t="s">
        <v>2813</v>
      </c>
    </row>
    <row r="1765" spans="1:22" ht="15.75" thickBot="1" x14ac:dyDescent="0.3">
      <c r="A1765" t="s">
        <v>4584</v>
      </c>
      <c r="B1765" t="s">
        <v>4584</v>
      </c>
      <c r="C1765" t="s">
        <v>4584</v>
      </c>
      <c r="D1765" t="s">
        <v>629</v>
      </c>
      <c r="E1765" s="248" t="s">
        <v>1853</v>
      </c>
      <c r="F1765" t="s">
        <v>620</v>
      </c>
      <c r="G1765" s="89">
        <v>2006</v>
      </c>
      <c r="H1765" s="312" t="s">
        <v>731</v>
      </c>
      <c r="I1765" s="308" t="str">
        <f t="shared" si="80"/>
        <v>Pesado de Passageiros M3: III : Gasóleo : E4</v>
      </c>
      <c r="J1765" s="125">
        <v>49</v>
      </c>
      <c r="K1765" s="253">
        <v>2022</v>
      </c>
      <c r="L1765" s="85">
        <v>18778.88</v>
      </c>
      <c r="M1765" s="85" t="s">
        <v>630</v>
      </c>
      <c r="N1765" s="128">
        <v>61524</v>
      </c>
      <c r="O1765" s="128">
        <f t="shared" si="81"/>
        <v>3014676</v>
      </c>
      <c r="Q1765" t="s">
        <v>47</v>
      </c>
      <c r="R1765" s="214" t="s">
        <v>1869</v>
      </c>
      <c r="S1765" s="214" t="s">
        <v>1861</v>
      </c>
      <c r="T1765" t="s">
        <v>2394</v>
      </c>
      <c r="U1765" t="s">
        <v>1953</v>
      </c>
      <c r="V1765" t="s">
        <v>2813</v>
      </c>
    </row>
    <row r="1766" spans="1:22" ht="15.75" thickBot="1" x14ac:dyDescent="0.3">
      <c r="A1766" t="s">
        <v>4584</v>
      </c>
      <c r="B1766" t="s">
        <v>4584</v>
      </c>
      <c r="C1766" t="s">
        <v>4584</v>
      </c>
      <c r="D1766" t="s">
        <v>629</v>
      </c>
      <c r="E1766" s="248" t="s">
        <v>1853</v>
      </c>
      <c r="F1766" t="s">
        <v>620</v>
      </c>
      <c r="G1766" s="89">
        <v>2004</v>
      </c>
      <c r="H1766" s="312" t="s">
        <v>732</v>
      </c>
      <c r="I1766" s="308" t="str">
        <f t="shared" si="80"/>
        <v>Pesado de Passageiros M3: III : Gasóleo : E3</v>
      </c>
      <c r="J1766" s="125">
        <v>54</v>
      </c>
      <c r="K1766" s="253">
        <v>2022</v>
      </c>
      <c r="L1766" s="85">
        <v>6889.6</v>
      </c>
      <c r="M1766" s="85" t="s">
        <v>630</v>
      </c>
      <c r="N1766" s="128">
        <v>20579</v>
      </c>
      <c r="O1766" s="128">
        <f t="shared" si="81"/>
        <v>1111266</v>
      </c>
      <c r="Q1766" t="s">
        <v>47</v>
      </c>
      <c r="R1766" s="214" t="s">
        <v>1869</v>
      </c>
      <c r="S1766" s="214" t="s">
        <v>1861</v>
      </c>
      <c r="T1766" t="s">
        <v>2395</v>
      </c>
      <c r="U1766" t="s">
        <v>1953</v>
      </c>
      <c r="V1766" t="s">
        <v>2813</v>
      </c>
    </row>
    <row r="1767" spans="1:22" ht="15.75" thickBot="1" x14ac:dyDescent="0.3">
      <c r="A1767" t="s">
        <v>4584</v>
      </c>
      <c r="B1767" t="s">
        <v>4584</v>
      </c>
      <c r="C1767" t="s">
        <v>4584</v>
      </c>
      <c r="D1767" t="s">
        <v>629</v>
      </c>
      <c r="E1767" s="248" t="s">
        <v>1853</v>
      </c>
      <c r="F1767" t="s">
        <v>620</v>
      </c>
      <c r="G1767" s="89">
        <v>2002</v>
      </c>
      <c r="H1767" s="312" t="s">
        <v>732</v>
      </c>
      <c r="I1767" s="308" t="str">
        <f t="shared" si="80"/>
        <v>Pesado de Passageiros M3: III : Gasóleo : E3</v>
      </c>
      <c r="J1767" s="125">
        <v>53</v>
      </c>
      <c r="K1767" s="253">
        <v>2022</v>
      </c>
      <c r="L1767" s="85">
        <v>2767.88</v>
      </c>
      <c r="M1767" s="85" t="s">
        <v>630</v>
      </c>
      <c r="N1767" s="128">
        <v>8750</v>
      </c>
      <c r="O1767" s="128">
        <f t="shared" si="81"/>
        <v>463750</v>
      </c>
      <c r="Q1767" t="s">
        <v>47</v>
      </c>
      <c r="R1767" s="214" t="s">
        <v>1869</v>
      </c>
      <c r="S1767" s="214" t="s">
        <v>1861</v>
      </c>
      <c r="T1767" t="s">
        <v>2396</v>
      </c>
      <c r="U1767" t="s">
        <v>1953</v>
      </c>
      <c r="V1767" t="s">
        <v>2813</v>
      </c>
    </row>
    <row r="1768" spans="1:22" ht="15.75" thickBot="1" x14ac:dyDescent="0.3">
      <c r="A1768" t="s">
        <v>4584</v>
      </c>
      <c r="B1768" t="s">
        <v>4584</v>
      </c>
      <c r="C1768" t="s">
        <v>4584</v>
      </c>
      <c r="D1768" t="s">
        <v>629</v>
      </c>
      <c r="E1768" s="248" t="s">
        <v>1853</v>
      </c>
      <c r="F1768" t="s">
        <v>620</v>
      </c>
      <c r="G1768" s="89">
        <v>2004</v>
      </c>
      <c r="H1768" s="312" t="s">
        <v>732</v>
      </c>
      <c r="I1768" s="308" t="str">
        <f t="shared" si="80"/>
        <v>Pesado de Passageiros M3: III : Gasóleo : E3</v>
      </c>
      <c r="J1768" s="125">
        <v>53</v>
      </c>
      <c r="K1768" s="253">
        <v>2022</v>
      </c>
      <c r="L1768" s="85">
        <v>4853.58</v>
      </c>
      <c r="M1768" s="85" t="s">
        <v>630</v>
      </c>
      <c r="N1768" s="128">
        <v>15039</v>
      </c>
      <c r="O1768" s="128">
        <f t="shared" si="81"/>
        <v>797067</v>
      </c>
      <c r="Q1768" t="s">
        <v>47</v>
      </c>
      <c r="R1768" s="214" t="s">
        <v>1869</v>
      </c>
      <c r="S1768" s="214" t="s">
        <v>1861</v>
      </c>
      <c r="T1768" t="s">
        <v>2397</v>
      </c>
      <c r="U1768" t="s">
        <v>1953</v>
      </c>
      <c r="V1768" t="s">
        <v>2813</v>
      </c>
    </row>
    <row r="1769" spans="1:22" ht="15.75" thickBot="1" x14ac:dyDescent="0.3">
      <c r="A1769" t="s">
        <v>4584</v>
      </c>
      <c r="B1769" t="s">
        <v>4584</v>
      </c>
      <c r="C1769" t="s">
        <v>4584</v>
      </c>
      <c r="D1769" t="s">
        <v>629</v>
      </c>
      <c r="E1769" s="248" t="s">
        <v>1853</v>
      </c>
      <c r="F1769" t="s">
        <v>620</v>
      </c>
      <c r="G1769" s="89">
        <v>2010</v>
      </c>
      <c r="H1769" s="312" t="s">
        <v>734</v>
      </c>
      <c r="I1769" s="308" t="str">
        <f t="shared" si="80"/>
        <v>Pesado de Passageiros M3: III : Gasóleo : E5</v>
      </c>
      <c r="J1769" s="125">
        <v>24</v>
      </c>
      <c r="K1769" s="253">
        <v>2022</v>
      </c>
      <c r="L1769" s="85">
        <v>686.98</v>
      </c>
      <c r="M1769" s="85" t="s">
        <v>630</v>
      </c>
      <c r="N1769" s="128">
        <v>3728</v>
      </c>
      <c r="O1769" s="128">
        <f t="shared" si="81"/>
        <v>89472</v>
      </c>
      <c r="Q1769" t="s">
        <v>47</v>
      </c>
      <c r="R1769" s="214" t="s">
        <v>1869</v>
      </c>
      <c r="S1769" s="214" t="s">
        <v>1861</v>
      </c>
      <c r="T1769" t="s">
        <v>2398</v>
      </c>
      <c r="U1769" t="s">
        <v>1953</v>
      </c>
      <c r="V1769" t="s">
        <v>2813</v>
      </c>
    </row>
    <row r="1770" spans="1:22" ht="15.75" thickBot="1" x14ac:dyDescent="0.3">
      <c r="A1770" t="s">
        <v>4584</v>
      </c>
      <c r="B1770" t="s">
        <v>4584</v>
      </c>
      <c r="C1770" t="s">
        <v>4584</v>
      </c>
      <c r="D1770" t="s">
        <v>629</v>
      </c>
      <c r="E1770" s="248" t="s">
        <v>1853</v>
      </c>
      <c r="F1770" t="s">
        <v>620</v>
      </c>
      <c r="G1770" s="89">
        <v>2003</v>
      </c>
      <c r="H1770" s="312" t="s">
        <v>732</v>
      </c>
      <c r="I1770" s="308" t="str">
        <f t="shared" si="80"/>
        <v>Pesado de Passageiros M3: III : Gasóleo : E3</v>
      </c>
      <c r="J1770" s="125">
        <v>79</v>
      </c>
      <c r="K1770" s="253">
        <v>2022</v>
      </c>
      <c r="L1770" s="85">
        <v>9868.17</v>
      </c>
      <c r="M1770" s="85" t="s">
        <v>630</v>
      </c>
      <c r="N1770" s="128">
        <v>29648</v>
      </c>
      <c r="O1770" s="128">
        <f t="shared" si="81"/>
        <v>2342192</v>
      </c>
      <c r="Q1770" t="s">
        <v>47</v>
      </c>
      <c r="R1770" s="214" t="s">
        <v>1869</v>
      </c>
      <c r="S1770" s="214" t="s">
        <v>1861</v>
      </c>
      <c r="T1770" t="s">
        <v>2399</v>
      </c>
      <c r="U1770" t="s">
        <v>1953</v>
      </c>
      <c r="V1770" t="s">
        <v>2813</v>
      </c>
    </row>
    <row r="1771" spans="1:22" ht="15.75" thickBot="1" x14ac:dyDescent="0.3">
      <c r="A1771" t="s">
        <v>4584</v>
      </c>
      <c r="B1771" t="s">
        <v>4584</v>
      </c>
      <c r="C1771" t="s">
        <v>4584</v>
      </c>
      <c r="D1771" t="s">
        <v>629</v>
      </c>
      <c r="E1771" s="248" t="s">
        <v>1853</v>
      </c>
      <c r="F1771" t="s">
        <v>620</v>
      </c>
      <c r="G1771" s="89">
        <v>2018</v>
      </c>
      <c r="H1771" s="312" t="s">
        <v>733</v>
      </c>
      <c r="I1771" s="308" t="str">
        <f t="shared" si="80"/>
        <v>Pesado de Passageiros M3: III : Gasóleo : E6</v>
      </c>
      <c r="J1771" s="125">
        <v>20</v>
      </c>
      <c r="K1771" s="253">
        <v>2022</v>
      </c>
      <c r="L1771" s="85">
        <v>7323.01</v>
      </c>
      <c r="M1771" s="85" t="s">
        <v>630</v>
      </c>
      <c r="N1771" s="128">
        <v>47539</v>
      </c>
      <c r="O1771" s="128">
        <f t="shared" si="81"/>
        <v>950780</v>
      </c>
      <c r="Q1771" t="s">
        <v>47</v>
      </c>
      <c r="R1771" s="214" t="s">
        <v>1869</v>
      </c>
      <c r="S1771" s="214" t="s">
        <v>1861</v>
      </c>
      <c r="T1771" t="s">
        <v>2400</v>
      </c>
      <c r="U1771" t="s">
        <v>1953</v>
      </c>
      <c r="V1771" t="s">
        <v>2813</v>
      </c>
    </row>
    <row r="1772" spans="1:22" ht="15.75" thickBot="1" x14ac:dyDescent="0.3">
      <c r="A1772" t="s">
        <v>4584</v>
      </c>
      <c r="B1772" t="s">
        <v>4584</v>
      </c>
      <c r="C1772" t="s">
        <v>4584</v>
      </c>
      <c r="D1772" t="s">
        <v>629</v>
      </c>
      <c r="E1772" s="248" t="s">
        <v>1853</v>
      </c>
      <c r="F1772" t="s">
        <v>620</v>
      </c>
      <c r="G1772" s="89">
        <v>2013</v>
      </c>
      <c r="H1772" s="312" t="s">
        <v>734</v>
      </c>
      <c r="I1772" s="308" t="str">
        <f t="shared" si="80"/>
        <v>Pesado de Passageiros M3: III : Gasóleo : E5</v>
      </c>
      <c r="J1772" s="125">
        <v>16</v>
      </c>
      <c r="K1772" s="253">
        <v>2022</v>
      </c>
      <c r="L1772" s="85">
        <v>2998.94</v>
      </c>
      <c r="M1772" s="85" t="s">
        <v>630</v>
      </c>
      <c r="N1772" s="128">
        <v>18389</v>
      </c>
      <c r="O1772" s="128">
        <f t="shared" si="81"/>
        <v>294224</v>
      </c>
      <c r="Q1772" t="s">
        <v>47</v>
      </c>
      <c r="R1772" s="214" t="s">
        <v>1869</v>
      </c>
      <c r="S1772" s="214" t="s">
        <v>1861</v>
      </c>
      <c r="T1772" t="s">
        <v>2401</v>
      </c>
      <c r="U1772" t="s">
        <v>1953</v>
      </c>
      <c r="V1772" t="s">
        <v>2813</v>
      </c>
    </row>
    <row r="1773" spans="1:22" ht="15.75" thickBot="1" x14ac:dyDescent="0.3">
      <c r="A1773" t="s">
        <v>4584</v>
      </c>
      <c r="B1773" t="s">
        <v>4584</v>
      </c>
      <c r="C1773" t="s">
        <v>4584</v>
      </c>
      <c r="D1773" t="s">
        <v>629</v>
      </c>
      <c r="E1773" s="248" t="s">
        <v>1853</v>
      </c>
      <c r="F1773" t="s">
        <v>620</v>
      </c>
      <c r="G1773" s="89">
        <v>2013</v>
      </c>
      <c r="H1773" s="312" t="s">
        <v>734</v>
      </c>
      <c r="I1773" s="308" t="str">
        <f t="shared" si="80"/>
        <v>Pesado de Passageiros M3: III : Gasóleo : E5</v>
      </c>
      <c r="J1773" s="125">
        <v>16</v>
      </c>
      <c r="K1773" s="253">
        <v>2022</v>
      </c>
      <c r="L1773" s="85">
        <v>6160.4000000000005</v>
      </c>
      <c r="M1773" s="85" t="s">
        <v>630</v>
      </c>
      <c r="N1773" s="128">
        <v>41475</v>
      </c>
      <c r="O1773" s="128">
        <f t="shared" si="81"/>
        <v>663600</v>
      </c>
      <c r="Q1773" t="s">
        <v>47</v>
      </c>
      <c r="R1773" s="214" t="s">
        <v>1869</v>
      </c>
      <c r="S1773" s="214" t="s">
        <v>1861</v>
      </c>
      <c r="T1773" t="s">
        <v>2402</v>
      </c>
      <c r="U1773" t="s">
        <v>1953</v>
      </c>
      <c r="V1773" t="s">
        <v>2813</v>
      </c>
    </row>
    <row r="1774" spans="1:22" ht="15.75" thickBot="1" x14ac:dyDescent="0.3">
      <c r="A1774" t="s">
        <v>4584</v>
      </c>
      <c r="B1774" t="s">
        <v>4584</v>
      </c>
      <c r="C1774" t="s">
        <v>4584</v>
      </c>
      <c r="D1774" t="s">
        <v>629</v>
      </c>
      <c r="E1774" s="248" t="s">
        <v>1853</v>
      </c>
      <c r="F1774" t="s">
        <v>620</v>
      </c>
      <c r="G1774" s="89">
        <v>2013</v>
      </c>
      <c r="H1774" s="312" t="s">
        <v>734</v>
      </c>
      <c r="I1774" s="308" t="str">
        <f t="shared" si="80"/>
        <v>Pesado de Passageiros M3: III : Gasóleo : E5</v>
      </c>
      <c r="J1774" s="125">
        <v>16</v>
      </c>
      <c r="K1774" s="253">
        <v>2022</v>
      </c>
      <c r="L1774" s="85">
        <v>5129.9199999999992</v>
      </c>
      <c r="M1774" s="85" t="s">
        <v>630</v>
      </c>
      <c r="N1774" s="128">
        <v>33693</v>
      </c>
      <c r="O1774" s="128">
        <f t="shared" si="81"/>
        <v>539088</v>
      </c>
      <c r="Q1774" t="s">
        <v>47</v>
      </c>
      <c r="R1774" s="214" t="s">
        <v>1869</v>
      </c>
      <c r="S1774" s="214" t="s">
        <v>1861</v>
      </c>
      <c r="T1774" t="s">
        <v>2403</v>
      </c>
      <c r="U1774" t="s">
        <v>1953</v>
      </c>
      <c r="V1774" t="s">
        <v>2813</v>
      </c>
    </row>
    <row r="1775" spans="1:22" ht="15.75" thickBot="1" x14ac:dyDescent="0.3">
      <c r="A1775" t="s">
        <v>4584</v>
      </c>
      <c r="B1775" t="s">
        <v>4584</v>
      </c>
      <c r="C1775" t="s">
        <v>4584</v>
      </c>
      <c r="D1775" t="s">
        <v>629</v>
      </c>
      <c r="E1775" s="248" t="s">
        <v>1853</v>
      </c>
      <c r="F1775" t="s">
        <v>620</v>
      </c>
      <c r="G1775" s="89">
        <v>2003</v>
      </c>
      <c r="H1775" s="312" t="s">
        <v>732</v>
      </c>
      <c r="I1775" s="308" t="str">
        <f t="shared" si="80"/>
        <v>Pesado de Passageiros M3: III : Gasóleo : E3</v>
      </c>
      <c r="J1775" s="125">
        <v>57</v>
      </c>
      <c r="K1775" s="253">
        <v>2022</v>
      </c>
      <c r="L1775" s="85">
        <v>7790.1099999999988</v>
      </c>
      <c r="M1775" s="85" t="s">
        <v>630</v>
      </c>
      <c r="N1775" s="128">
        <v>22602</v>
      </c>
      <c r="O1775" s="128">
        <f t="shared" si="81"/>
        <v>1288314</v>
      </c>
      <c r="Q1775" t="s">
        <v>47</v>
      </c>
      <c r="R1775" s="214" t="s">
        <v>1869</v>
      </c>
      <c r="S1775" s="214" t="s">
        <v>1861</v>
      </c>
      <c r="T1775" t="s">
        <v>2404</v>
      </c>
      <c r="U1775" t="s">
        <v>1953</v>
      </c>
      <c r="V1775" t="s">
        <v>2813</v>
      </c>
    </row>
    <row r="1776" spans="1:22" ht="15.75" thickBot="1" x14ac:dyDescent="0.3">
      <c r="A1776" t="s">
        <v>4584</v>
      </c>
      <c r="B1776" t="s">
        <v>4584</v>
      </c>
      <c r="C1776" t="s">
        <v>4584</v>
      </c>
      <c r="D1776" t="s">
        <v>629</v>
      </c>
      <c r="E1776" s="248" t="s">
        <v>1853</v>
      </c>
      <c r="F1776" t="s">
        <v>620</v>
      </c>
      <c r="G1776" s="89">
        <v>2017</v>
      </c>
      <c r="H1776" s="312" t="s">
        <v>733</v>
      </c>
      <c r="I1776" s="308" t="str">
        <f t="shared" si="80"/>
        <v>Pesado de Passageiros M3: III : Gasóleo : E6</v>
      </c>
      <c r="J1776" s="125">
        <v>20</v>
      </c>
      <c r="K1776" s="253">
        <v>2022</v>
      </c>
      <c r="L1776" s="85">
        <v>5724.5399999999991</v>
      </c>
      <c r="M1776" s="85" t="s">
        <v>630</v>
      </c>
      <c r="N1776" s="128">
        <v>38438</v>
      </c>
      <c r="O1776" s="128">
        <f t="shared" si="81"/>
        <v>768760</v>
      </c>
      <c r="Q1776" t="s">
        <v>47</v>
      </c>
      <c r="R1776" s="214" t="s">
        <v>1869</v>
      </c>
      <c r="S1776" s="214" t="s">
        <v>1861</v>
      </c>
      <c r="T1776" t="s">
        <v>2405</v>
      </c>
      <c r="U1776" t="s">
        <v>1953</v>
      </c>
      <c r="V1776" t="s">
        <v>2813</v>
      </c>
    </row>
    <row r="1777" spans="1:22" ht="15.75" thickBot="1" x14ac:dyDescent="0.3">
      <c r="A1777" t="s">
        <v>4584</v>
      </c>
      <c r="B1777" t="s">
        <v>4584</v>
      </c>
      <c r="C1777" t="s">
        <v>4584</v>
      </c>
      <c r="D1777" t="s">
        <v>629</v>
      </c>
      <c r="E1777" s="248" t="s">
        <v>1853</v>
      </c>
      <c r="F1777" t="s">
        <v>620</v>
      </c>
      <c r="G1777" s="89">
        <v>2017</v>
      </c>
      <c r="H1777" s="312" t="s">
        <v>733</v>
      </c>
      <c r="I1777" s="308" t="str">
        <f t="shared" si="80"/>
        <v>Pesado de Passageiros M3: III : Gasóleo : E6</v>
      </c>
      <c r="J1777" s="125">
        <v>20</v>
      </c>
      <c r="K1777" s="253">
        <v>2022</v>
      </c>
      <c r="L1777" s="85">
        <v>8982.6899999999987</v>
      </c>
      <c r="M1777" s="85" t="s">
        <v>630</v>
      </c>
      <c r="N1777" s="128">
        <v>51330</v>
      </c>
      <c r="O1777" s="128">
        <f t="shared" si="81"/>
        <v>1026600</v>
      </c>
      <c r="Q1777" t="s">
        <v>47</v>
      </c>
      <c r="R1777" s="214" t="s">
        <v>1869</v>
      </c>
      <c r="S1777" s="214" t="s">
        <v>1861</v>
      </c>
      <c r="T1777" t="s">
        <v>2406</v>
      </c>
      <c r="U1777" t="s">
        <v>1953</v>
      </c>
      <c r="V1777" t="s">
        <v>2813</v>
      </c>
    </row>
    <row r="1778" spans="1:22" ht="15.75" thickBot="1" x14ac:dyDescent="0.3">
      <c r="A1778" t="s">
        <v>4584</v>
      </c>
      <c r="B1778" t="s">
        <v>4584</v>
      </c>
      <c r="C1778" t="s">
        <v>4584</v>
      </c>
      <c r="D1778" t="s">
        <v>629</v>
      </c>
      <c r="E1778" s="248" t="s">
        <v>1853</v>
      </c>
      <c r="F1778" t="s">
        <v>620</v>
      </c>
      <c r="G1778" s="89">
        <v>2016</v>
      </c>
      <c r="H1778" s="312" t="s">
        <v>733</v>
      </c>
      <c r="I1778" s="308" t="str">
        <f t="shared" si="80"/>
        <v>Pesado de Passageiros M3: III : Gasóleo : E6</v>
      </c>
      <c r="J1778" s="125">
        <v>54</v>
      </c>
      <c r="K1778" s="253">
        <v>2022</v>
      </c>
      <c r="L1778" s="85">
        <v>64247.89</v>
      </c>
      <c r="M1778" s="85" t="s">
        <v>630</v>
      </c>
      <c r="N1778" s="128">
        <v>234666</v>
      </c>
      <c r="O1778" s="128">
        <f t="shared" si="81"/>
        <v>12671964</v>
      </c>
      <c r="Q1778" t="s">
        <v>47</v>
      </c>
      <c r="R1778" s="214" t="s">
        <v>1869</v>
      </c>
      <c r="S1778" s="214" t="s">
        <v>1861</v>
      </c>
      <c r="T1778" t="s">
        <v>2407</v>
      </c>
      <c r="U1778" t="s">
        <v>1953</v>
      </c>
      <c r="V1778" t="s">
        <v>2813</v>
      </c>
    </row>
    <row r="1779" spans="1:22" ht="15.75" thickBot="1" x14ac:dyDescent="0.3">
      <c r="A1779" t="s">
        <v>4584</v>
      </c>
      <c r="B1779" t="s">
        <v>4584</v>
      </c>
      <c r="C1779" t="s">
        <v>4584</v>
      </c>
      <c r="D1779" t="s">
        <v>629</v>
      </c>
      <c r="E1779" s="248" t="s">
        <v>1853</v>
      </c>
      <c r="F1779" t="s">
        <v>620</v>
      </c>
      <c r="G1779" s="89">
        <v>2014</v>
      </c>
      <c r="H1779" s="312" t="s">
        <v>734</v>
      </c>
      <c r="I1779" s="308" t="str">
        <f t="shared" si="80"/>
        <v>Pesado de Passageiros M3: III : Gasóleo : E5</v>
      </c>
      <c r="J1779" s="125">
        <v>53</v>
      </c>
      <c r="K1779" s="253">
        <v>2022</v>
      </c>
      <c r="L1779" s="85">
        <v>34806.480000000003</v>
      </c>
      <c r="M1779" s="85" t="s">
        <v>630</v>
      </c>
      <c r="N1779" s="128">
        <v>129535</v>
      </c>
      <c r="O1779" s="128">
        <f t="shared" si="81"/>
        <v>6865355</v>
      </c>
      <c r="Q1779" t="s">
        <v>47</v>
      </c>
      <c r="R1779" s="214" t="s">
        <v>1869</v>
      </c>
      <c r="S1779" s="214" t="s">
        <v>1861</v>
      </c>
      <c r="T1779" t="s">
        <v>2408</v>
      </c>
      <c r="U1779" t="s">
        <v>1953</v>
      </c>
      <c r="V1779" t="s">
        <v>2813</v>
      </c>
    </row>
    <row r="1780" spans="1:22" ht="15.75" thickBot="1" x14ac:dyDescent="0.3">
      <c r="A1780" t="s">
        <v>4584</v>
      </c>
      <c r="B1780" t="s">
        <v>4584</v>
      </c>
      <c r="C1780" t="s">
        <v>4584</v>
      </c>
      <c r="D1780" t="s">
        <v>629</v>
      </c>
      <c r="E1780" s="248" t="s">
        <v>1853</v>
      </c>
      <c r="F1780" t="s">
        <v>620</v>
      </c>
      <c r="G1780" s="89">
        <v>2015</v>
      </c>
      <c r="H1780" s="312" t="s">
        <v>733</v>
      </c>
      <c r="I1780" s="308" t="str">
        <f t="shared" si="80"/>
        <v>Pesado de Passageiros M3: III : Gasóleo : E6</v>
      </c>
      <c r="J1780" s="125">
        <v>54</v>
      </c>
      <c r="K1780" s="253">
        <v>2022</v>
      </c>
      <c r="L1780" s="85">
        <v>52574.73000000001</v>
      </c>
      <c r="M1780" s="85" t="s">
        <v>630</v>
      </c>
      <c r="N1780" s="128">
        <v>207122</v>
      </c>
      <c r="O1780" s="128">
        <f t="shared" si="81"/>
        <v>11184588</v>
      </c>
      <c r="Q1780" t="s">
        <v>47</v>
      </c>
      <c r="R1780" s="214" t="s">
        <v>1869</v>
      </c>
      <c r="S1780" s="214" t="s">
        <v>1861</v>
      </c>
      <c r="T1780" t="s">
        <v>2409</v>
      </c>
      <c r="U1780" t="s">
        <v>1953</v>
      </c>
      <c r="V1780" t="s">
        <v>2813</v>
      </c>
    </row>
    <row r="1781" spans="1:22" ht="15.75" thickBot="1" x14ac:dyDescent="0.3">
      <c r="A1781" t="s">
        <v>4584</v>
      </c>
      <c r="B1781" t="s">
        <v>4584</v>
      </c>
      <c r="C1781" t="s">
        <v>4584</v>
      </c>
      <c r="D1781" t="s">
        <v>629</v>
      </c>
      <c r="E1781" s="248" t="s">
        <v>1853</v>
      </c>
      <c r="F1781" t="s">
        <v>620</v>
      </c>
      <c r="G1781" s="89">
        <v>2015</v>
      </c>
      <c r="H1781" s="312" t="s">
        <v>733</v>
      </c>
      <c r="I1781" s="308" t="str">
        <f t="shared" si="80"/>
        <v>Pesado de Passageiros M3: III : Gasóleo : E6</v>
      </c>
      <c r="J1781" s="125">
        <v>54</v>
      </c>
      <c r="K1781" s="253">
        <v>2022</v>
      </c>
      <c r="L1781" s="85">
        <v>41271.89</v>
      </c>
      <c r="M1781" s="85" t="s">
        <v>630</v>
      </c>
      <c r="N1781" s="128">
        <v>161802</v>
      </c>
      <c r="O1781" s="128">
        <f t="shared" si="81"/>
        <v>8737308</v>
      </c>
      <c r="Q1781" t="s">
        <v>47</v>
      </c>
      <c r="R1781" s="214" t="s">
        <v>1869</v>
      </c>
      <c r="S1781" s="214" t="s">
        <v>1861</v>
      </c>
      <c r="T1781" t="s">
        <v>2410</v>
      </c>
      <c r="U1781" t="s">
        <v>1953</v>
      </c>
      <c r="V1781" t="s">
        <v>2813</v>
      </c>
    </row>
    <row r="1782" spans="1:22" ht="15.75" thickBot="1" x14ac:dyDescent="0.3">
      <c r="A1782" t="s">
        <v>4584</v>
      </c>
      <c r="B1782" t="s">
        <v>4584</v>
      </c>
      <c r="C1782" t="s">
        <v>4584</v>
      </c>
      <c r="D1782" t="s">
        <v>629</v>
      </c>
      <c r="E1782" s="248" t="s">
        <v>1853</v>
      </c>
      <c r="F1782" t="s">
        <v>620</v>
      </c>
      <c r="G1782" s="89">
        <v>2008</v>
      </c>
      <c r="H1782" s="312" t="s">
        <v>731</v>
      </c>
      <c r="I1782" s="308" t="str">
        <f t="shared" si="80"/>
        <v>Pesado de Passageiros M3: III : Gasóleo : E4</v>
      </c>
      <c r="J1782" s="125">
        <v>59</v>
      </c>
      <c r="K1782" s="253">
        <v>2022</v>
      </c>
      <c r="L1782" s="85">
        <v>12044.450000000003</v>
      </c>
      <c r="M1782" s="85" t="s">
        <v>630</v>
      </c>
      <c r="N1782" s="128">
        <v>37659</v>
      </c>
      <c r="O1782" s="128">
        <f t="shared" si="81"/>
        <v>2221881</v>
      </c>
      <c r="Q1782" t="s">
        <v>47</v>
      </c>
      <c r="R1782" s="214" t="s">
        <v>1869</v>
      </c>
      <c r="S1782" s="214" t="s">
        <v>1861</v>
      </c>
      <c r="T1782" t="s">
        <v>2411</v>
      </c>
      <c r="U1782" t="s">
        <v>1953</v>
      </c>
      <c r="V1782" t="s">
        <v>2813</v>
      </c>
    </row>
    <row r="1783" spans="1:22" ht="15.75" thickBot="1" x14ac:dyDescent="0.3">
      <c r="A1783" t="s">
        <v>4584</v>
      </c>
      <c r="B1783" t="s">
        <v>4584</v>
      </c>
      <c r="C1783" t="s">
        <v>4584</v>
      </c>
      <c r="D1783" t="s">
        <v>629</v>
      </c>
      <c r="E1783" s="248" t="s">
        <v>1853</v>
      </c>
      <c r="F1783" t="s">
        <v>620</v>
      </c>
      <c r="G1783" s="89">
        <v>2016</v>
      </c>
      <c r="H1783" s="312" t="s">
        <v>733</v>
      </c>
      <c r="I1783" s="308" t="str">
        <f t="shared" si="80"/>
        <v>Pesado de Passageiros M3: III : Gasóleo : E6</v>
      </c>
      <c r="J1783" s="125">
        <v>54</v>
      </c>
      <c r="K1783" s="253">
        <v>2022</v>
      </c>
      <c r="L1783" s="85">
        <v>41194.300000000003</v>
      </c>
      <c r="M1783" s="85" t="s">
        <v>630</v>
      </c>
      <c r="N1783" s="128">
        <v>149317</v>
      </c>
      <c r="O1783" s="128">
        <f t="shared" si="81"/>
        <v>8063118</v>
      </c>
      <c r="Q1783" t="s">
        <v>47</v>
      </c>
      <c r="R1783" s="214" t="s">
        <v>1869</v>
      </c>
      <c r="S1783" s="214" t="s">
        <v>1861</v>
      </c>
      <c r="T1783" t="s">
        <v>2412</v>
      </c>
      <c r="U1783" t="s">
        <v>1953</v>
      </c>
      <c r="V1783" t="s">
        <v>2813</v>
      </c>
    </row>
    <row r="1784" spans="1:22" ht="15.75" thickBot="1" x14ac:dyDescent="0.3">
      <c r="A1784" t="s">
        <v>4584</v>
      </c>
      <c r="B1784" t="s">
        <v>4584</v>
      </c>
      <c r="C1784" t="s">
        <v>4584</v>
      </c>
      <c r="D1784" t="s">
        <v>629</v>
      </c>
      <c r="E1784" s="248" t="s">
        <v>1853</v>
      </c>
      <c r="F1784" t="s">
        <v>620</v>
      </c>
      <c r="G1784" s="89">
        <v>2016</v>
      </c>
      <c r="H1784" s="312" t="s">
        <v>733</v>
      </c>
      <c r="I1784" s="308" t="str">
        <f t="shared" si="80"/>
        <v>Pesado de Passageiros M3: III : Gasóleo : E6</v>
      </c>
      <c r="J1784" s="125">
        <v>54</v>
      </c>
      <c r="K1784" s="253">
        <v>2022</v>
      </c>
      <c r="L1784" s="85">
        <v>69115.94</v>
      </c>
      <c r="M1784" s="85" t="s">
        <v>630</v>
      </c>
      <c r="N1784" s="128">
        <v>256533</v>
      </c>
      <c r="O1784" s="128">
        <f t="shared" si="81"/>
        <v>13852782</v>
      </c>
      <c r="Q1784" t="s">
        <v>47</v>
      </c>
      <c r="R1784" s="214" t="s">
        <v>1869</v>
      </c>
      <c r="S1784" s="214" t="s">
        <v>1861</v>
      </c>
      <c r="T1784" t="s">
        <v>2413</v>
      </c>
      <c r="U1784" t="s">
        <v>1953</v>
      </c>
      <c r="V1784" t="s">
        <v>2813</v>
      </c>
    </row>
    <row r="1785" spans="1:22" ht="15.75" thickBot="1" x14ac:dyDescent="0.3">
      <c r="A1785" t="s">
        <v>4584</v>
      </c>
      <c r="B1785" t="s">
        <v>4584</v>
      </c>
      <c r="C1785" t="s">
        <v>4584</v>
      </c>
      <c r="D1785" t="s">
        <v>629</v>
      </c>
      <c r="E1785" s="248" t="s">
        <v>1853</v>
      </c>
      <c r="F1785" t="s">
        <v>620</v>
      </c>
      <c r="G1785" s="89">
        <v>2009</v>
      </c>
      <c r="H1785" s="312" t="s">
        <v>731</v>
      </c>
      <c r="I1785" s="308" t="str">
        <f t="shared" si="80"/>
        <v>Pesado de Passageiros M3: III : Gasóleo : E4</v>
      </c>
      <c r="J1785" s="125">
        <v>56</v>
      </c>
      <c r="K1785" s="253">
        <v>2022</v>
      </c>
      <c r="L1785" s="85">
        <v>10107.4</v>
      </c>
      <c r="M1785" s="85" t="s">
        <v>630</v>
      </c>
      <c r="N1785" s="128">
        <v>34090</v>
      </c>
      <c r="O1785" s="128">
        <f t="shared" si="81"/>
        <v>1909040</v>
      </c>
      <c r="Q1785" t="s">
        <v>47</v>
      </c>
      <c r="R1785" s="214" t="s">
        <v>1869</v>
      </c>
      <c r="S1785" s="214" t="s">
        <v>1861</v>
      </c>
      <c r="T1785" t="s">
        <v>2414</v>
      </c>
      <c r="U1785" t="s">
        <v>1953</v>
      </c>
      <c r="V1785" t="s">
        <v>2813</v>
      </c>
    </row>
    <row r="1786" spans="1:22" ht="15.75" thickBot="1" x14ac:dyDescent="0.3">
      <c r="A1786" t="s">
        <v>4584</v>
      </c>
      <c r="B1786" t="s">
        <v>4584</v>
      </c>
      <c r="C1786" t="s">
        <v>4584</v>
      </c>
      <c r="D1786" t="s">
        <v>629</v>
      </c>
      <c r="E1786" s="248" t="s">
        <v>1853</v>
      </c>
      <c r="F1786" t="s">
        <v>620</v>
      </c>
      <c r="G1786" s="89">
        <v>2009</v>
      </c>
      <c r="H1786" s="312" t="s">
        <v>731</v>
      </c>
      <c r="I1786" s="308" t="str">
        <f t="shared" si="80"/>
        <v>Pesado de Passageiros M3: III : Gasóleo : E4</v>
      </c>
      <c r="J1786" s="125">
        <v>56</v>
      </c>
      <c r="K1786" s="253">
        <v>2022</v>
      </c>
      <c r="L1786" s="85">
        <v>20784.219999999998</v>
      </c>
      <c r="M1786" s="85" t="s">
        <v>630</v>
      </c>
      <c r="N1786" s="128">
        <v>69556</v>
      </c>
      <c r="O1786" s="128">
        <f t="shared" si="81"/>
        <v>3895136</v>
      </c>
      <c r="Q1786" t="s">
        <v>47</v>
      </c>
      <c r="R1786" s="214" t="s">
        <v>1869</v>
      </c>
      <c r="S1786" s="214" t="s">
        <v>1861</v>
      </c>
      <c r="T1786" t="s">
        <v>2415</v>
      </c>
      <c r="U1786" t="s">
        <v>1953</v>
      </c>
      <c r="V1786" t="s">
        <v>2813</v>
      </c>
    </row>
    <row r="1787" spans="1:22" ht="15.75" thickBot="1" x14ac:dyDescent="0.3">
      <c r="A1787" t="s">
        <v>4584</v>
      </c>
      <c r="B1787" t="s">
        <v>4584</v>
      </c>
      <c r="C1787" t="s">
        <v>4584</v>
      </c>
      <c r="D1787" t="s">
        <v>629</v>
      </c>
      <c r="E1787" s="248" t="s">
        <v>1853</v>
      </c>
      <c r="F1787" t="s">
        <v>620</v>
      </c>
      <c r="G1787" s="89">
        <v>2009</v>
      </c>
      <c r="H1787" s="312" t="s">
        <v>731</v>
      </c>
      <c r="I1787" s="308" t="str">
        <f t="shared" si="80"/>
        <v>Pesado de Passageiros M3: III : Gasóleo : E4</v>
      </c>
      <c r="J1787" s="125">
        <v>56</v>
      </c>
      <c r="K1787" s="253">
        <v>2022</v>
      </c>
      <c r="L1787" s="85">
        <v>13919.67</v>
      </c>
      <c r="M1787" s="85" t="s">
        <v>630</v>
      </c>
      <c r="N1787" s="128">
        <v>44301</v>
      </c>
      <c r="O1787" s="128">
        <f t="shared" si="81"/>
        <v>2480856</v>
      </c>
      <c r="Q1787" t="s">
        <v>47</v>
      </c>
      <c r="R1787" s="214" t="s">
        <v>1869</v>
      </c>
      <c r="S1787" s="214" t="s">
        <v>1861</v>
      </c>
      <c r="T1787" t="s">
        <v>2416</v>
      </c>
      <c r="U1787" t="s">
        <v>1953</v>
      </c>
      <c r="V1787" t="s">
        <v>2813</v>
      </c>
    </row>
    <row r="1788" spans="1:22" ht="15.75" thickBot="1" x14ac:dyDescent="0.3">
      <c r="A1788" t="s">
        <v>4584</v>
      </c>
      <c r="B1788" t="s">
        <v>4584</v>
      </c>
      <c r="C1788" t="s">
        <v>4584</v>
      </c>
      <c r="D1788" t="s">
        <v>629</v>
      </c>
      <c r="E1788" s="248" t="s">
        <v>1853</v>
      </c>
      <c r="F1788" t="s">
        <v>620</v>
      </c>
      <c r="G1788" s="89">
        <v>2009</v>
      </c>
      <c r="H1788" s="312" t="s">
        <v>731</v>
      </c>
      <c r="I1788" s="308" t="str">
        <f t="shared" si="80"/>
        <v>Pesado de Passageiros M3: III : Gasóleo : E4</v>
      </c>
      <c r="J1788" s="125">
        <v>35</v>
      </c>
      <c r="K1788" s="253">
        <v>2022</v>
      </c>
      <c r="L1788" s="85">
        <v>6961.15</v>
      </c>
      <c r="M1788" s="85" t="s">
        <v>630</v>
      </c>
      <c r="N1788" s="128">
        <v>27641</v>
      </c>
      <c r="O1788" s="128">
        <f t="shared" si="81"/>
        <v>967435</v>
      </c>
      <c r="Q1788" t="s">
        <v>47</v>
      </c>
      <c r="R1788" s="214" t="s">
        <v>1869</v>
      </c>
      <c r="S1788" s="214" t="s">
        <v>1861</v>
      </c>
      <c r="T1788" t="s">
        <v>2417</v>
      </c>
      <c r="U1788" t="s">
        <v>1953</v>
      </c>
      <c r="V1788" t="s">
        <v>2813</v>
      </c>
    </row>
    <row r="1789" spans="1:22" ht="15.75" thickBot="1" x14ac:dyDescent="0.3">
      <c r="A1789" t="s">
        <v>4584</v>
      </c>
      <c r="B1789" t="s">
        <v>4584</v>
      </c>
      <c r="C1789" t="s">
        <v>4584</v>
      </c>
      <c r="D1789" t="s">
        <v>629</v>
      </c>
      <c r="E1789" s="248" t="s">
        <v>1853</v>
      </c>
      <c r="F1789" t="s">
        <v>620</v>
      </c>
      <c r="G1789" s="89">
        <v>2002</v>
      </c>
      <c r="H1789" s="312" t="s">
        <v>732</v>
      </c>
      <c r="I1789" s="308" t="str">
        <f t="shared" si="80"/>
        <v>Pesado de Passageiros M3: III : Gasóleo : E3</v>
      </c>
      <c r="J1789" s="125">
        <v>54</v>
      </c>
      <c r="K1789" s="253">
        <v>2022</v>
      </c>
      <c r="L1789" s="85">
        <v>414.83</v>
      </c>
      <c r="M1789" s="85" t="s">
        <v>630</v>
      </c>
      <c r="N1789" s="128">
        <v>1381</v>
      </c>
      <c r="O1789" s="128">
        <f t="shared" si="81"/>
        <v>74574</v>
      </c>
      <c r="Q1789" t="s">
        <v>47</v>
      </c>
      <c r="R1789" s="214" t="s">
        <v>1869</v>
      </c>
      <c r="S1789" s="214" t="s">
        <v>1861</v>
      </c>
      <c r="T1789" t="s">
        <v>2418</v>
      </c>
      <c r="U1789" t="s">
        <v>1953</v>
      </c>
      <c r="V1789" t="s">
        <v>2813</v>
      </c>
    </row>
    <row r="1790" spans="1:22" ht="15.75" thickBot="1" x14ac:dyDescent="0.3">
      <c r="A1790" t="s">
        <v>4584</v>
      </c>
      <c r="B1790" t="s">
        <v>4584</v>
      </c>
      <c r="C1790" t="s">
        <v>4584</v>
      </c>
      <c r="D1790" t="s">
        <v>629</v>
      </c>
      <c r="E1790" s="248" t="s">
        <v>1853</v>
      </c>
      <c r="F1790" t="s">
        <v>620</v>
      </c>
      <c r="G1790" s="89">
        <v>2004</v>
      </c>
      <c r="H1790" s="312" t="s">
        <v>732</v>
      </c>
      <c r="I1790" s="308" t="str">
        <f t="shared" si="80"/>
        <v>Pesado de Passageiros M3: III : Gasóleo : E3</v>
      </c>
      <c r="J1790" s="125">
        <v>54</v>
      </c>
      <c r="K1790" s="253">
        <v>2022</v>
      </c>
      <c r="L1790" s="85">
        <v>6113.4100000000008</v>
      </c>
      <c r="M1790" s="85" t="s">
        <v>630</v>
      </c>
      <c r="N1790" s="128">
        <v>17741</v>
      </c>
      <c r="O1790" s="128">
        <f t="shared" si="81"/>
        <v>958014</v>
      </c>
      <c r="Q1790" t="s">
        <v>47</v>
      </c>
      <c r="R1790" s="214" t="s">
        <v>1869</v>
      </c>
      <c r="S1790" s="214" t="s">
        <v>1861</v>
      </c>
      <c r="T1790" t="s">
        <v>2419</v>
      </c>
      <c r="U1790" t="s">
        <v>1953</v>
      </c>
      <c r="V1790" t="s">
        <v>2813</v>
      </c>
    </row>
    <row r="1791" spans="1:22" ht="15.75" thickBot="1" x14ac:dyDescent="0.3">
      <c r="A1791" t="s">
        <v>4584</v>
      </c>
      <c r="B1791" t="s">
        <v>4584</v>
      </c>
      <c r="C1791" t="s">
        <v>4584</v>
      </c>
      <c r="D1791" t="s">
        <v>629</v>
      </c>
      <c r="E1791" s="248" t="s">
        <v>1853</v>
      </c>
      <c r="F1791" t="s">
        <v>620</v>
      </c>
      <c r="G1791" s="89">
        <v>2007</v>
      </c>
      <c r="H1791" s="312" t="s">
        <v>731</v>
      </c>
      <c r="I1791" s="308" t="str">
        <f t="shared" si="80"/>
        <v>Pesado de Passageiros M3: III : Gasóleo : E4</v>
      </c>
      <c r="J1791" s="125">
        <v>50</v>
      </c>
      <c r="K1791" s="253">
        <v>2022</v>
      </c>
      <c r="L1791" s="85">
        <v>9627.02</v>
      </c>
      <c r="M1791" s="85" t="s">
        <v>630</v>
      </c>
      <c r="N1791" s="128">
        <v>29669</v>
      </c>
      <c r="O1791" s="128">
        <f t="shared" si="81"/>
        <v>1483450</v>
      </c>
      <c r="Q1791" t="s">
        <v>47</v>
      </c>
      <c r="R1791" s="214" t="s">
        <v>1869</v>
      </c>
      <c r="S1791" s="214" t="s">
        <v>1861</v>
      </c>
      <c r="T1791" t="s">
        <v>2420</v>
      </c>
      <c r="U1791" t="s">
        <v>1953</v>
      </c>
      <c r="V1791" t="s">
        <v>2813</v>
      </c>
    </row>
    <row r="1792" spans="1:22" ht="15.75" thickBot="1" x14ac:dyDescent="0.3">
      <c r="A1792" t="s">
        <v>4584</v>
      </c>
      <c r="B1792" t="s">
        <v>4584</v>
      </c>
      <c r="C1792" t="s">
        <v>4584</v>
      </c>
      <c r="D1792" t="s">
        <v>629</v>
      </c>
      <c r="E1792" s="248" t="s">
        <v>1853</v>
      </c>
      <c r="F1792" t="s">
        <v>620</v>
      </c>
      <c r="G1792" s="89">
        <v>2010</v>
      </c>
      <c r="H1792" s="312" t="s">
        <v>734</v>
      </c>
      <c r="I1792" s="308" t="str">
        <f t="shared" si="80"/>
        <v>Pesado de Passageiros M3: III : Gasóleo : E5</v>
      </c>
      <c r="J1792" s="125">
        <v>50</v>
      </c>
      <c r="K1792" s="253">
        <v>2022</v>
      </c>
      <c r="L1792" s="85">
        <v>21141.219999999998</v>
      </c>
      <c r="M1792" s="85" t="s">
        <v>630</v>
      </c>
      <c r="N1792" s="128">
        <v>70438</v>
      </c>
      <c r="O1792" s="128">
        <f t="shared" si="81"/>
        <v>3521900</v>
      </c>
      <c r="Q1792" t="s">
        <v>47</v>
      </c>
      <c r="R1792" s="214" t="s">
        <v>1869</v>
      </c>
      <c r="S1792" s="214" t="s">
        <v>1861</v>
      </c>
      <c r="T1792" t="s">
        <v>2421</v>
      </c>
      <c r="U1792" t="s">
        <v>1953</v>
      </c>
      <c r="V1792" t="s">
        <v>2813</v>
      </c>
    </row>
    <row r="1793" spans="1:22" ht="15.75" thickBot="1" x14ac:dyDescent="0.3">
      <c r="A1793" t="s">
        <v>4584</v>
      </c>
      <c r="B1793" t="s">
        <v>4584</v>
      </c>
      <c r="C1793" t="s">
        <v>4584</v>
      </c>
      <c r="D1793" t="s">
        <v>629</v>
      </c>
      <c r="E1793" s="248" t="s">
        <v>1853</v>
      </c>
      <c r="F1793" t="s">
        <v>620</v>
      </c>
      <c r="G1793" s="89">
        <v>2004</v>
      </c>
      <c r="H1793" s="312" t="s">
        <v>732</v>
      </c>
      <c r="I1793" s="308" t="str">
        <f t="shared" si="80"/>
        <v>Pesado de Passageiros M3: III : Gasóleo : E3</v>
      </c>
      <c r="J1793" s="125">
        <v>54</v>
      </c>
      <c r="K1793" s="253">
        <v>2022</v>
      </c>
      <c r="L1793" s="85">
        <v>6034.5199999999995</v>
      </c>
      <c r="M1793" s="85" t="s">
        <v>630</v>
      </c>
      <c r="N1793" s="128">
        <v>17008</v>
      </c>
      <c r="O1793" s="128">
        <f t="shared" si="81"/>
        <v>918432</v>
      </c>
      <c r="Q1793" t="s">
        <v>47</v>
      </c>
      <c r="R1793" s="214" t="s">
        <v>1869</v>
      </c>
      <c r="S1793" s="214" t="s">
        <v>1861</v>
      </c>
      <c r="T1793" t="s">
        <v>2422</v>
      </c>
      <c r="U1793" t="s">
        <v>1953</v>
      </c>
      <c r="V1793" t="s">
        <v>2813</v>
      </c>
    </row>
    <row r="1794" spans="1:22" ht="15.75" thickBot="1" x14ac:dyDescent="0.3">
      <c r="A1794" t="s">
        <v>4584</v>
      </c>
      <c r="B1794" t="s">
        <v>4584</v>
      </c>
      <c r="C1794" t="s">
        <v>4584</v>
      </c>
      <c r="D1794" t="s">
        <v>629</v>
      </c>
      <c r="E1794" s="248" t="s">
        <v>1853</v>
      </c>
      <c r="F1794" t="s">
        <v>620</v>
      </c>
      <c r="G1794" s="89">
        <v>2010</v>
      </c>
      <c r="H1794" s="312" t="s">
        <v>734</v>
      </c>
      <c r="I1794" s="308" t="str">
        <f t="shared" si="80"/>
        <v>Pesado de Passageiros M3: III : Gasóleo : E5</v>
      </c>
      <c r="J1794" s="125">
        <v>56</v>
      </c>
      <c r="K1794" s="253">
        <v>2022</v>
      </c>
      <c r="L1794" s="85">
        <v>17411.329999999998</v>
      </c>
      <c r="M1794" s="85" t="s">
        <v>630</v>
      </c>
      <c r="N1794" s="128">
        <v>58911</v>
      </c>
      <c r="O1794" s="128">
        <f t="shared" si="81"/>
        <v>3299016</v>
      </c>
      <c r="Q1794" t="s">
        <v>47</v>
      </c>
      <c r="R1794" s="214" t="s">
        <v>1869</v>
      </c>
      <c r="S1794" s="214" t="s">
        <v>1861</v>
      </c>
      <c r="T1794" t="s">
        <v>2423</v>
      </c>
      <c r="U1794" t="s">
        <v>1953</v>
      </c>
      <c r="V1794" t="s">
        <v>2813</v>
      </c>
    </row>
    <row r="1795" spans="1:22" ht="15.75" thickBot="1" x14ac:dyDescent="0.3">
      <c r="A1795" t="s">
        <v>4584</v>
      </c>
      <c r="B1795" t="s">
        <v>4584</v>
      </c>
      <c r="C1795" t="s">
        <v>4584</v>
      </c>
      <c r="D1795" t="s">
        <v>629</v>
      </c>
      <c r="E1795" s="248" t="s">
        <v>1853</v>
      </c>
      <c r="F1795" t="s">
        <v>620</v>
      </c>
      <c r="G1795" s="89">
        <v>2010</v>
      </c>
      <c r="H1795" s="312" t="s">
        <v>734</v>
      </c>
      <c r="I1795" s="308" t="str">
        <f t="shared" si="80"/>
        <v>Pesado de Passageiros M3: III : Gasóleo : E5</v>
      </c>
      <c r="J1795" s="125">
        <v>56</v>
      </c>
      <c r="K1795" s="253">
        <v>2022</v>
      </c>
      <c r="L1795" s="85">
        <v>16981.579999999998</v>
      </c>
      <c r="M1795" s="85" t="s">
        <v>630</v>
      </c>
      <c r="N1795" s="128">
        <v>56628</v>
      </c>
      <c r="O1795" s="128">
        <f t="shared" si="81"/>
        <v>3171168</v>
      </c>
      <c r="Q1795" t="s">
        <v>47</v>
      </c>
      <c r="R1795" s="214" t="s">
        <v>1869</v>
      </c>
      <c r="S1795" s="214" t="s">
        <v>1861</v>
      </c>
      <c r="T1795" t="s">
        <v>2424</v>
      </c>
      <c r="U1795" t="s">
        <v>1953</v>
      </c>
      <c r="V1795" t="s">
        <v>2813</v>
      </c>
    </row>
    <row r="1796" spans="1:22" ht="15.75" thickBot="1" x14ac:dyDescent="0.3">
      <c r="A1796" t="s">
        <v>4584</v>
      </c>
      <c r="B1796" t="s">
        <v>4584</v>
      </c>
      <c r="C1796" t="s">
        <v>4584</v>
      </c>
      <c r="D1796" t="s">
        <v>623</v>
      </c>
      <c r="E1796" s="251" t="s">
        <v>2231</v>
      </c>
      <c r="F1796" t="s">
        <v>620</v>
      </c>
      <c r="G1796" s="89">
        <v>2019</v>
      </c>
      <c r="H1796" s="312" t="s">
        <v>733</v>
      </c>
      <c r="I1796" s="310" t="s">
        <v>2818</v>
      </c>
      <c r="J1796" s="125">
        <v>8</v>
      </c>
      <c r="K1796" s="253">
        <v>2022</v>
      </c>
      <c r="L1796" s="85">
        <v>2353.58</v>
      </c>
      <c r="M1796" s="85" t="s">
        <v>630</v>
      </c>
      <c r="N1796" s="128">
        <v>28479</v>
      </c>
      <c r="O1796" s="128">
        <f t="shared" ref="O1796:O1859" si="82">N1796*J1796</f>
        <v>227832</v>
      </c>
      <c r="Q1796" t="s">
        <v>47</v>
      </c>
      <c r="R1796" s="214" t="s">
        <v>1869</v>
      </c>
      <c r="S1796" s="214" t="s">
        <v>1861</v>
      </c>
      <c r="T1796" t="s">
        <v>2425</v>
      </c>
      <c r="U1796" t="s">
        <v>1953</v>
      </c>
      <c r="V1796" t="s">
        <v>2813</v>
      </c>
    </row>
    <row r="1797" spans="1:22" ht="15.75" thickBot="1" x14ac:dyDescent="0.3">
      <c r="A1797" t="s">
        <v>4584</v>
      </c>
      <c r="B1797" t="s">
        <v>4584</v>
      </c>
      <c r="C1797" t="s">
        <v>4584</v>
      </c>
      <c r="D1797" t="s">
        <v>623</v>
      </c>
      <c r="E1797" s="251" t="s">
        <v>2231</v>
      </c>
      <c r="F1797" t="s">
        <v>620</v>
      </c>
      <c r="G1797" s="89">
        <v>2019</v>
      </c>
      <c r="H1797" s="312" t="s">
        <v>733</v>
      </c>
      <c r="I1797" s="310" t="s">
        <v>2818</v>
      </c>
      <c r="J1797" s="125">
        <v>8</v>
      </c>
      <c r="K1797" s="253">
        <v>2022</v>
      </c>
      <c r="L1797" s="85">
        <v>6929.35</v>
      </c>
      <c r="M1797" s="85" t="s">
        <v>630</v>
      </c>
      <c r="N1797" s="128">
        <v>76406</v>
      </c>
      <c r="O1797" s="128">
        <f t="shared" si="82"/>
        <v>611248</v>
      </c>
      <c r="Q1797" t="s">
        <v>47</v>
      </c>
      <c r="R1797" s="214" t="s">
        <v>1869</v>
      </c>
      <c r="S1797" s="214" t="s">
        <v>1861</v>
      </c>
      <c r="T1797" t="s">
        <v>2426</v>
      </c>
      <c r="U1797" t="s">
        <v>1953</v>
      </c>
      <c r="V1797" t="s">
        <v>2813</v>
      </c>
    </row>
    <row r="1798" spans="1:22" ht="15.75" thickBot="1" x14ac:dyDescent="0.3">
      <c r="A1798" t="s">
        <v>4584</v>
      </c>
      <c r="B1798" t="s">
        <v>4584</v>
      </c>
      <c r="C1798" t="s">
        <v>4584</v>
      </c>
      <c r="D1798" t="s">
        <v>623</v>
      </c>
      <c r="E1798" s="251" t="s">
        <v>2231</v>
      </c>
      <c r="F1798" t="s">
        <v>620</v>
      </c>
      <c r="G1798" s="89">
        <v>2019</v>
      </c>
      <c r="H1798" s="312" t="s">
        <v>733</v>
      </c>
      <c r="I1798" s="310" t="s">
        <v>2818</v>
      </c>
      <c r="J1798" s="125">
        <v>8</v>
      </c>
      <c r="K1798" s="253">
        <v>2022</v>
      </c>
      <c r="L1798" s="85">
        <v>6988.57</v>
      </c>
      <c r="M1798" s="85" t="s">
        <v>630</v>
      </c>
      <c r="N1798" s="128">
        <v>83067</v>
      </c>
      <c r="O1798" s="128">
        <f t="shared" si="82"/>
        <v>664536</v>
      </c>
      <c r="Q1798" t="s">
        <v>47</v>
      </c>
      <c r="R1798" s="214" t="s">
        <v>1869</v>
      </c>
      <c r="S1798" s="214" t="s">
        <v>1861</v>
      </c>
      <c r="T1798" t="s">
        <v>2427</v>
      </c>
      <c r="U1798" t="s">
        <v>1953</v>
      </c>
      <c r="V1798" t="s">
        <v>2813</v>
      </c>
    </row>
    <row r="1799" spans="1:22" ht="15.75" thickBot="1" x14ac:dyDescent="0.3">
      <c r="A1799" t="s">
        <v>4584</v>
      </c>
      <c r="B1799" t="s">
        <v>4584</v>
      </c>
      <c r="C1799" t="s">
        <v>4584</v>
      </c>
      <c r="D1799" t="s">
        <v>623</v>
      </c>
      <c r="E1799" s="251" t="s">
        <v>2231</v>
      </c>
      <c r="F1799" t="s">
        <v>620</v>
      </c>
      <c r="G1799" s="89">
        <v>2019</v>
      </c>
      <c r="H1799" s="312" t="s">
        <v>733</v>
      </c>
      <c r="I1799" s="310" t="s">
        <v>2818</v>
      </c>
      <c r="J1799" s="125">
        <v>8</v>
      </c>
      <c r="K1799" s="253">
        <v>2022</v>
      </c>
      <c r="L1799" s="85">
        <v>5697.4</v>
      </c>
      <c r="M1799" s="85" t="s">
        <v>630</v>
      </c>
      <c r="N1799" s="128">
        <v>72273</v>
      </c>
      <c r="O1799" s="128">
        <f t="shared" si="82"/>
        <v>578184</v>
      </c>
      <c r="Q1799" t="s">
        <v>47</v>
      </c>
      <c r="R1799" s="214" t="s">
        <v>1869</v>
      </c>
      <c r="S1799" s="214" t="s">
        <v>1861</v>
      </c>
      <c r="T1799" t="s">
        <v>2428</v>
      </c>
      <c r="U1799" t="s">
        <v>1953</v>
      </c>
      <c r="V1799" t="s">
        <v>2813</v>
      </c>
    </row>
    <row r="1800" spans="1:22" ht="15.75" thickBot="1" x14ac:dyDescent="0.3">
      <c r="A1800" t="s">
        <v>4584</v>
      </c>
      <c r="B1800" t="s">
        <v>4584</v>
      </c>
      <c r="C1800" t="s">
        <v>4584</v>
      </c>
      <c r="D1800" t="s">
        <v>623</v>
      </c>
      <c r="E1800" s="251" t="s">
        <v>2231</v>
      </c>
      <c r="F1800" t="s">
        <v>620</v>
      </c>
      <c r="G1800" s="89">
        <v>2019</v>
      </c>
      <c r="H1800" s="312" t="s">
        <v>733</v>
      </c>
      <c r="I1800" s="310" t="s">
        <v>2818</v>
      </c>
      <c r="J1800" s="125">
        <v>8</v>
      </c>
      <c r="K1800" s="253">
        <v>2022</v>
      </c>
      <c r="L1800" s="85">
        <v>6694.61</v>
      </c>
      <c r="M1800" s="85" t="s">
        <v>630</v>
      </c>
      <c r="N1800" s="128">
        <v>88053</v>
      </c>
      <c r="O1800" s="128">
        <f t="shared" si="82"/>
        <v>704424</v>
      </c>
      <c r="Q1800" t="s">
        <v>47</v>
      </c>
      <c r="R1800" s="214" t="s">
        <v>1869</v>
      </c>
      <c r="S1800" s="214" t="s">
        <v>1861</v>
      </c>
      <c r="T1800" t="s">
        <v>2429</v>
      </c>
      <c r="U1800" t="s">
        <v>1953</v>
      </c>
      <c r="V1800" t="s">
        <v>2813</v>
      </c>
    </row>
    <row r="1801" spans="1:22" ht="15.75" thickBot="1" x14ac:dyDescent="0.3">
      <c r="A1801" t="s">
        <v>4584</v>
      </c>
      <c r="B1801" t="s">
        <v>4584</v>
      </c>
      <c r="C1801" t="s">
        <v>4584</v>
      </c>
      <c r="D1801" t="s">
        <v>623</v>
      </c>
      <c r="E1801" s="251" t="s">
        <v>2231</v>
      </c>
      <c r="F1801" t="s">
        <v>620</v>
      </c>
      <c r="G1801" s="89">
        <v>2019</v>
      </c>
      <c r="H1801" s="312" t="s">
        <v>733</v>
      </c>
      <c r="I1801" s="310" t="s">
        <v>2818</v>
      </c>
      <c r="J1801" s="125">
        <v>8</v>
      </c>
      <c r="K1801" s="253">
        <v>2022</v>
      </c>
      <c r="L1801" s="85">
        <v>7140.38</v>
      </c>
      <c r="M1801" s="85" t="s">
        <v>630</v>
      </c>
      <c r="N1801" s="128">
        <v>92512</v>
      </c>
      <c r="O1801" s="128">
        <f t="shared" si="82"/>
        <v>740096</v>
      </c>
      <c r="Q1801" t="s">
        <v>47</v>
      </c>
      <c r="R1801" s="214" t="s">
        <v>1869</v>
      </c>
      <c r="S1801" s="214" t="s">
        <v>1861</v>
      </c>
      <c r="T1801" t="s">
        <v>2430</v>
      </c>
      <c r="U1801" t="s">
        <v>1953</v>
      </c>
      <c r="V1801" t="s">
        <v>2813</v>
      </c>
    </row>
    <row r="1802" spans="1:22" ht="15.75" thickBot="1" x14ac:dyDescent="0.3">
      <c r="A1802" t="s">
        <v>4584</v>
      </c>
      <c r="B1802" t="s">
        <v>4584</v>
      </c>
      <c r="C1802" t="s">
        <v>4584</v>
      </c>
      <c r="D1802" t="s">
        <v>623</v>
      </c>
      <c r="E1802" s="251" t="s">
        <v>2231</v>
      </c>
      <c r="F1802" t="s">
        <v>620</v>
      </c>
      <c r="G1802" s="89">
        <v>2020</v>
      </c>
      <c r="H1802" s="312" t="s">
        <v>733</v>
      </c>
      <c r="I1802" s="310" t="s">
        <v>2818</v>
      </c>
      <c r="J1802" s="125">
        <v>8</v>
      </c>
      <c r="K1802" s="253">
        <v>2022</v>
      </c>
      <c r="L1802" s="85">
        <v>5885.39</v>
      </c>
      <c r="M1802" s="85" t="s">
        <v>630</v>
      </c>
      <c r="N1802" s="128">
        <v>68931</v>
      </c>
      <c r="O1802" s="128">
        <f t="shared" si="82"/>
        <v>551448</v>
      </c>
      <c r="Q1802" t="s">
        <v>47</v>
      </c>
      <c r="R1802" s="214" t="s">
        <v>1869</v>
      </c>
      <c r="S1802" s="214" t="s">
        <v>1861</v>
      </c>
      <c r="T1802" t="s">
        <v>2431</v>
      </c>
      <c r="U1802" t="s">
        <v>1953</v>
      </c>
      <c r="V1802" t="s">
        <v>2813</v>
      </c>
    </row>
    <row r="1803" spans="1:22" ht="15.75" thickBot="1" x14ac:dyDescent="0.3">
      <c r="A1803" t="s">
        <v>4584</v>
      </c>
      <c r="B1803" t="s">
        <v>4584</v>
      </c>
      <c r="C1803" t="s">
        <v>4584</v>
      </c>
      <c r="D1803" t="s">
        <v>623</v>
      </c>
      <c r="E1803" s="251" t="s">
        <v>2231</v>
      </c>
      <c r="F1803" t="s">
        <v>620</v>
      </c>
      <c r="G1803" s="89">
        <v>2022</v>
      </c>
      <c r="H1803" s="312" t="s">
        <v>733</v>
      </c>
      <c r="I1803" s="310" t="s">
        <v>2818</v>
      </c>
      <c r="J1803" s="125">
        <v>8</v>
      </c>
      <c r="K1803" s="253">
        <v>2022</v>
      </c>
      <c r="L1803" s="85">
        <v>3277.5</v>
      </c>
      <c r="M1803" s="85" t="s">
        <v>630</v>
      </c>
      <c r="N1803" s="128">
        <v>39880</v>
      </c>
      <c r="O1803" s="128">
        <f t="shared" si="82"/>
        <v>319040</v>
      </c>
      <c r="Q1803" t="s">
        <v>47</v>
      </c>
      <c r="R1803" s="214" t="s">
        <v>1869</v>
      </c>
      <c r="S1803" s="214" t="s">
        <v>1861</v>
      </c>
      <c r="T1803" t="s">
        <v>2432</v>
      </c>
      <c r="U1803" t="s">
        <v>1953</v>
      </c>
      <c r="V1803" t="s">
        <v>2813</v>
      </c>
    </row>
    <row r="1804" spans="1:22" ht="15.75" thickBot="1" x14ac:dyDescent="0.3">
      <c r="A1804" t="s">
        <v>4584</v>
      </c>
      <c r="B1804" t="s">
        <v>4584</v>
      </c>
      <c r="C1804" t="s">
        <v>4584</v>
      </c>
      <c r="D1804" t="s">
        <v>623</v>
      </c>
      <c r="E1804" s="251" t="s">
        <v>2231</v>
      </c>
      <c r="F1804" t="s">
        <v>620</v>
      </c>
      <c r="G1804" s="89">
        <v>2022</v>
      </c>
      <c r="H1804" s="312" t="s">
        <v>733</v>
      </c>
      <c r="I1804" s="310" t="s">
        <v>2818</v>
      </c>
      <c r="J1804" s="125">
        <v>8</v>
      </c>
      <c r="K1804" s="253">
        <v>2022</v>
      </c>
      <c r="L1804" s="85">
        <v>3506.67</v>
      </c>
      <c r="M1804" s="85" t="s">
        <v>630</v>
      </c>
      <c r="N1804" s="128">
        <v>40342</v>
      </c>
      <c r="O1804" s="128">
        <f t="shared" si="82"/>
        <v>322736</v>
      </c>
      <c r="Q1804" t="s">
        <v>47</v>
      </c>
      <c r="R1804" s="214" t="s">
        <v>1869</v>
      </c>
      <c r="S1804" s="214" t="s">
        <v>1861</v>
      </c>
      <c r="T1804" t="s">
        <v>2433</v>
      </c>
      <c r="U1804" t="s">
        <v>1953</v>
      </c>
      <c r="V1804" t="s">
        <v>2813</v>
      </c>
    </row>
    <row r="1805" spans="1:22" ht="15.75" thickBot="1" x14ac:dyDescent="0.3">
      <c r="A1805" t="s">
        <v>4584</v>
      </c>
      <c r="B1805" t="s">
        <v>4584</v>
      </c>
      <c r="C1805" t="s">
        <v>4584</v>
      </c>
      <c r="D1805" t="s">
        <v>623</v>
      </c>
      <c r="E1805" s="251" t="s">
        <v>2231</v>
      </c>
      <c r="F1805" t="s">
        <v>620</v>
      </c>
      <c r="G1805" s="89">
        <v>2018</v>
      </c>
      <c r="H1805" s="312" t="s">
        <v>733</v>
      </c>
      <c r="I1805" s="310" t="s">
        <v>2818</v>
      </c>
      <c r="J1805" s="125">
        <v>8</v>
      </c>
      <c r="K1805" s="253">
        <v>2022</v>
      </c>
      <c r="L1805" s="85">
        <v>9229.7800000000007</v>
      </c>
      <c r="M1805" s="85" t="s">
        <v>630</v>
      </c>
      <c r="N1805" s="128">
        <v>104330</v>
      </c>
      <c r="O1805" s="128">
        <f t="shared" si="82"/>
        <v>834640</v>
      </c>
      <c r="Q1805" t="s">
        <v>47</v>
      </c>
      <c r="R1805" s="214" t="s">
        <v>1869</v>
      </c>
      <c r="S1805" s="214" t="s">
        <v>1861</v>
      </c>
      <c r="T1805" t="s">
        <v>2434</v>
      </c>
      <c r="U1805" t="s">
        <v>1953</v>
      </c>
      <c r="V1805" t="s">
        <v>2813</v>
      </c>
    </row>
    <row r="1806" spans="1:22" ht="15.75" thickBot="1" x14ac:dyDescent="0.3">
      <c r="A1806" t="s">
        <v>4584</v>
      </c>
      <c r="B1806" t="s">
        <v>4584</v>
      </c>
      <c r="C1806" t="s">
        <v>4584</v>
      </c>
      <c r="D1806" t="s">
        <v>623</v>
      </c>
      <c r="E1806" s="251" t="s">
        <v>2231</v>
      </c>
      <c r="F1806" t="s">
        <v>620</v>
      </c>
      <c r="G1806" s="89">
        <v>2018</v>
      </c>
      <c r="H1806" s="312" t="s">
        <v>733</v>
      </c>
      <c r="I1806" s="310" t="s">
        <v>2818</v>
      </c>
      <c r="J1806" s="125">
        <v>8</v>
      </c>
      <c r="K1806" s="253">
        <v>2022</v>
      </c>
      <c r="L1806" s="85">
        <v>10173.929999999998</v>
      </c>
      <c r="M1806" s="85" t="s">
        <v>630</v>
      </c>
      <c r="N1806" s="128">
        <v>112400</v>
      </c>
      <c r="O1806" s="128">
        <f t="shared" si="82"/>
        <v>899200</v>
      </c>
      <c r="Q1806" t="s">
        <v>47</v>
      </c>
      <c r="R1806" s="214" t="s">
        <v>1869</v>
      </c>
      <c r="S1806" s="214" t="s">
        <v>1861</v>
      </c>
      <c r="T1806" t="s">
        <v>2435</v>
      </c>
      <c r="U1806" t="s">
        <v>1953</v>
      </c>
      <c r="V1806" t="s">
        <v>2813</v>
      </c>
    </row>
    <row r="1807" spans="1:22" ht="15.75" thickBot="1" x14ac:dyDescent="0.3">
      <c r="A1807" t="s">
        <v>4584</v>
      </c>
      <c r="B1807" t="s">
        <v>4584</v>
      </c>
      <c r="C1807" t="s">
        <v>4584</v>
      </c>
      <c r="D1807" t="s">
        <v>623</v>
      </c>
      <c r="E1807" s="251" t="s">
        <v>2231</v>
      </c>
      <c r="F1807" t="s">
        <v>620</v>
      </c>
      <c r="G1807" s="89">
        <v>2018</v>
      </c>
      <c r="H1807" s="312" t="s">
        <v>733</v>
      </c>
      <c r="I1807" s="310" t="s">
        <v>2818</v>
      </c>
      <c r="J1807" s="125">
        <v>8</v>
      </c>
      <c r="K1807" s="253">
        <v>2022</v>
      </c>
      <c r="L1807" s="85">
        <v>7793.6600000000008</v>
      </c>
      <c r="M1807" s="85" t="s">
        <v>630</v>
      </c>
      <c r="N1807" s="128">
        <v>94290</v>
      </c>
      <c r="O1807" s="128">
        <f t="shared" si="82"/>
        <v>754320</v>
      </c>
      <c r="Q1807" t="s">
        <v>47</v>
      </c>
      <c r="R1807" s="214" t="s">
        <v>1869</v>
      </c>
      <c r="S1807" s="214" t="s">
        <v>1861</v>
      </c>
      <c r="T1807" t="s">
        <v>2436</v>
      </c>
      <c r="U1807" t="s">
        <v>1953</v>
      </c>
      <c r="V1807" t="s">
        <v>2813</v>
      </c>
    </row>
    <row r="1808" spans="1:22" ht="15.75" thickBot="1" x14ac:dyDescent="0.3">
      <c r="A1808" t="s">
        <v>4584</v>
      </c>
      <c r="B1808" t="s">
        <v>4584</v>
      </c>
      <c r="C1808" t="s">
        <v>4584</v>
      </c>
      <c r="D1808" t="s">
        <v>623</v>
      </c>
      <c r="E1808" s="251" t="s">
        <v>2231</v>
      </c>
      <c r="F1808" t="s">
        <v>620</v>
      </c>
      <c r="G1808" s="89">
        <v>2018</v>
      </c>
      <c r="H1808" s="312" t="s">
        <v>733</v>
      </c>
      <c r="I1808" s="310" t="s">
        <v>2818</v>
      </c>
      <c r="J1808" s="125">
        <v>8</v>
      </c>
      <c r="K1808" s="253">
        <v>2022</v>
      </c>
      <c r="L1808" s="85">
        <v>5205.58</v>
      </c>
      <c r="M1808" s="85" t="s">
        <v>630</v>
      </c>
      <c r="N1808" s="128">
        <v>65394</v>
      </c>
      <c r="O1808" s="128">
        <f t="shared" si="82"/>
        <v>523152</v>
      </c>
      <c r="Q1808" t="s">
        <v>47</v>
      </c>
      <c r="R1808" s="214" t="s">
        <v>1869</v>
      </c>
      <c r="S1808" s="214" t="s">
        <v>1861</v>
      </c>
      <c r="T1808" t="s">
        <v>2437</v>
      </c>
      <c r="U1808" t="s">
        <v>1953</v>
      </c>
      <c r="V1808" t="s">
        <v>2813</v>
      </c>
    </row>
    <row r="1809" spans="1:22" ht="15.75" thickBot="1" x14ac:dyDescent="0.3">
      <c r="A1809" t="s">
        <v>4584</v>
      </c>
      <c r="B1809" t="s">
        <v>4584</v>
      </c>
      <c r="C1809" t="s">
        <v>4584</v>
      </c>
      <c r="D1809" t="s">
        <v>623</v>
      </c>
      <c r="E1809" s="251" t="s">
        <v>2231</v>
      </c>
      <c r="F1809" t="s">
        <v>620</v>
      </c>
      <c r="G1809" s="89">
        <v>2018</v>
      </c>
      <c r="H1809" s="312" t="s">
        <v>733</v>
      </c>
      <c r="I1809" s="310" t="s">
        <v>2818</v>
      </c>
      <c r="J1809" s="125">
        <v>8</v>
      </c>
      <c r="K1809" s="253">
        <v>2022</v>
      </c>
      <c r="L1809" s="85">
        <v>10024.490000000002</v>
      </c>
      <c r="M1809" s="85" t="s">
        <v>630</v>
      </c>
      <c r="N1809" s="128">
        <v>115196</v>
      </c>
      <c r="O1809" s="128">
        <f t="shared" si="82"/>
        <v>921568</v>
      </c>
      <c r="Q1809" t="s">
        <v>47</v>
      </c>
      <c r="R1809" s="214" t="s">
        <v>1869</v>
      </c>
      <c r="S1809" s="214" t="s">
        <v>1861</v>
      </c>
      <c r="T1809" t="s">
        <v>2438</v>
      </c>
      <c r="U1809" t="s">
        <v>1953</v>
      </c>
      <c r="V1809" t="s">
        <v>2813</v>
      </c>
    </row>
    <row r="1810" spans="1:22" ht="15.75" thickBot="1" x14ac:dyDescent="0.3">
      <c r="A1810" t="s">
        <v>4584</v>
      </c>
      <c r="B1810" t="s">
        <v>4584</v>
      </c>
      <c r="C1810" t="s">
        <v>4584</v>
      </c>
      <c r="D1810" t="s">
        <v>623</v>
      </c>
      <c r="E1810" s="251" t="s">
        <v>2231</v>
      </c>
      <c r="F1810" t="s">
        <v>620</v>
      </c>
      <c r="G1810" s="89">
        <v>2018</v>
      </c>
      <c r="H1810" s="312" t="s">
        <v>733</v>
      </c>
      <c r="I1810" s="310" t="s">
        <v>2818</v>
      </c>
      <c r="J1810" s="125">
        <v>8</v>
      </c>
      <c r="K1810" s="253">
        <v>2022</v>
      </c>
      <c r="L1810" s="85">
        <v>6203.82</v>
      </c>
      <c r="M1810" s="85" t="s">
        <v>630</v>
      </c>
      <c r="N1810" s="128">
        <v>74140</v>
      </c>
      <c r="O1810" s="128">
        <f t="shared" si="82"/>
        <v>593120</v>
      </c>
      <c r="Q1810" t="s">
        <v>47</v>
      </c>
      <c r="R1810" s="214" t="s">
        <v>1869</v>
      </c>
      <c r="S1810" s="214" t="s">
        <v>1861</v>
      </c>
      <c r="T1810" t="s">
        <v>2439</v>
      </c>
      <c r="U1810" t="s">
        <v>1953</v>
      </c>
      <c r="V1810" t="s">
        <v>2813</v>
      </c>
    </row>
    <row r="1811" spans="1:22" ht="15.75" thickBot="1" x14ac:dyDescent="0.3">
      <c r="A1811" t="s">
        <v>4584</v>
      </c>
      <c r="B1811" t="s">
        <v>4584</v>
      </c>
      <c r="C1811" t="s">
        <v>4584</v>
      </c>
      <c r="D1811" t="s">
        <v>623</v>
      </c>
      <c r="E1811" s="251" t="s">
        <v>2231</v>
      </c>
      <c r="F1811" t="s">
        <v>620</v>
      </c>
      <c r="G1811" s="89">
        <v>2018</v>
      </c>
      <c r="H1811" s="312" t="s">
        <v>733</v>
      </c>
      <c r="I1811" s="310" t="s">
        <v>2818</v>
      </c>
      <c r="J1811" s="125">
        <v>8</v>
      </c>
      <c r="K1811" s="253">
        <v>2022</v>
      </c>
      <c r="L1811" s="85">
        <v>6143.9</v>
      </c>
      <c r="M1811" s="85" t="s">
        <v>630</v>
      </c>
      <c r="N1811" s="128">
        <v>76792</v>
      </c>
      <c r="O1811" s="128">
        <f t="shared" si="82"/>
        <v>614336</v>
      </c>
      <c r="Q1811" t="s">
        <v>47</v>
      </c>
      <c r="R1811" s="214" t="s">
        <v>1869</v>
      </c>
      <c r="S1811" s="214" t="s">
        <v>1861</v>
      </c>
      <c r="T1811" t="s">
        <v>2440</v>
      </c>
      <c r="U1811" t="s">
        <v>1953</v>
      </c>
      <c r="V1811" t="s">
        <v>2813</v>
      </c>
    </row>
    <row r="1812" spans="1:22" ht="15.75" thickBot="1" x14ac:dyDescent="0.3">
      <c r="A1812" t="s">
        <v>4584</v>
      </c>
      <c r="B1812" t="s">
        <v>4584</v>
      </c>
      <c r="C1812" t="s">
        <v>4584</v>
      </c>
      <c r="D1812" t="s">
        <v>623</v>
      </c>
      <c r="E1812" s="251" t="s">
        <v>2231</v>
      </c>
      <c r="F1812" t="s">
        <v>620</v>
      </c>
      <c r="G1812" s="89">
        <v>2016</v>
      </c>
      <c r="H1812" s="312" t="s">
        <v>733</v>
      </c>
      <c r="I1812" s="310" t="s">
        <v>2818</v>
      </c>
      <c r="J1812" s="125">
        <v>8</v>
      </c>
      <c r="K1812" s="253">
        <v>2022</v>
      </c>
      <c r="L1812" s="85">
        <v>5452.1</v>
      </c>
      <c r="M1812" s="85" t="s">
        <v>630</v>
      </c>
      <c r="N1812" s="128">
        <v>62461</v>
      </c>
      <c r="O1812" s="128">
        <f t="shared" si="82"/>
        <v>499688</v>
      </c>
      <c r="Q1812" t="s">
        <v>47</v>
      </c>
      <c r="R1812" s="214" t="s">
        <v>1869</v>
      </c>
      <c r="S1812" s="214" t="s">
        <v>1861</v>
      </c>
      <c r="T1812" t="s">
        <v>2441</v>
      </c>
      <c r="U1812" t="s">
        <v>1953</v>
      </c>
      <c r="V1812" t="s">
        <v>2813</v>
      </c>
    </row>
    <row r="1813" spans="1:22" ht="15.75" thickBot="1" x14ac:dyDescent="0.3">
      <c r="A1813" t="s">
        <v>4584</v>
      </c>
      <c r="B1813" t="s">
        <v>4584</v>
      </c>
      <c r="C1813" t="s">
        <v>4584</v>
      </c>
      <c r="D1813" t="s">
        <v>623</v>
      </c>
      <c r="E1813" s="251" t="s">
        <v>2231</v>
      </c>
      <c r="F1813" t="s">
        <v>620</v>
      </c>
      <c r="G1813" s="89">
        <v>2016</v>
      </c>
      <c r="H1813" s="312" t="s">
        <v>733</v>
      </c>
      <c r="I1813" s="310" t="s">
        <v>2818</v>
      </c>
      <c r="J1813" s="125">
        <v>8</v>
      </c>
      <c r="K1813" s="253">
        <v>2022</v>
      </c>
      <c r="L1813" s="85">
        <v>6186.0499999999993</v>
      </c>
      <c r="M1813" s="85" t="s">
        <v>630</v>
      </c>
      <c r="N1813" s="128">
        <v>60426</v>
      </c>
      <c r="O1813" s="128">
        <f t="shared" si="82"/>
        <v>483408</v>
      </c>
      <c r="Q1813" t="s">
        <v>47</v>
      </c>
      <c r="R1813" s="214" t="s">
        <v>1869</v>
      </c>
      <c r="S1813" s="214" t="s">
        <v>1861</v>
      </c>
      <c r="T1813" t="s">
        <v>2442</v>
      </c>
      <c r="U1813" t="s">
        <v>1953</v>
      </c>
      <c r="V1813" t="s">
        <v>2813</v>
      </c>
    </row>
    <row r="1814" spans="1:22" ht="15.75" thickBot="1" x14ac:dyDescent="0.3">
      <c r="A1814" t="s">
        <v>4584</v>
      </c>
      <c r="B1814" t="s">
        <v>4584</v>
      </c>
      <c r="C1814" t="s">
        <v>4584</v>
      </c>
      <c r="D1814" t="s">
        <v>623</v>
      </c>
      <c r="E1814" s="251" t="s">
        <v>2231</v>
      </c>
      <c r="F1814" t="s">
        <v>620</v>
      </c>
      <c r="G1814" s="89">
        <v>2017</v>
      </c>
      <c r="H1814" s="312" t="s">
        <v>733</v>
      </c>
      <c r="I1814" s="310" t="s">
        <v>2818</v>
      </c>
      <c r="J1814" s="125">
        <v>8</v>
      </c>
      <c r="K1814" s="253">
        <v>2022</v>
      </c>
      <c r="L1814" s="85">
        <v>7013.3099999999995</v>
      </c>
      <c r="M1814" s="85" t="s">
        <v>630</v>
      </c>
      <c r="N1814" s="128">
        <v>78589</v>
      </c>
      <c r="O1814" s="128">
        <f t="shared" si="82"/>
        <v>628712</v>
      </c>
      <c r="Q1814" t="s">
        <v>47</v>
      </c>
      <c r="R1814" s="214" t="s">
        <v>1869</v>
      </c>
      <c r="S1814" s="214" t="s">
        <v>1861</v>
      </c>
      <c r="T1814" t="s">
        <v>2443</v>
      </c>
      <c r="U1814" t="s">
        <v>1953</v>
      </c>
      <c r="V1814" t="s">
        <v>2813</v>
      </c>
    </row>
    <row r="1815" spans="1:22" ht="15.75" thickBot="1" x14ac:dyDescent="0.3">
      <c r="A1815" t="s">
        <v>4584</v>
      </c>
      <c r="B1815" t="s">
        <v>4584</v>
      </c>
      <c r="C1815" t="s">
        <v>4584</v>
      </c>
      <c r="D1815" t="s">
        <v>623</v>
      </c>
      <c r="E1815" s="251" t="s">
        <v>2231</v>
      </c>
      <c r="F1815" t="s">
        <v>620</v>
      </c>
      <c r="G1815" s="89">
        <v>2017</v>
      </c>
      <c r="H1815" s="312" t="s">
        <v>733</v>
      </c>
      <c r="I1815" s="310" t="s">
        <v>2818</v>
      </c>
      <c r="J1815" s="125">
        <v>8</v>
      </c>
      <c r="K1815" s="253">
        <v>2022</v>
      </c>
      <c r="L1815" s="85">
        <v>5346.5300000000007</v>
      </c>
      <c r="M1815" s="85" t="s">
        <v>630</v>
      </c>
      <c r="N1815" s="128">
        <v>60457</v>
      </c>
      <c r="O1815" s="128">
        <f t="shared" si="82"/>
        <v>483656</v>
      </c>
      <c r="Q1815" t="s">
        <v>47</v>
      </c>
      <c r="R1815" s="214" t="s">
        <v>1869</v>
      </c>
      <c r="S1815" s="214" t="s">
        <v>1861</v>
      </c>
      <c r="T1815" t="s">
        <v>2444</v>
      </c>
      <c r="U1815" t="s">
        <v>1953</v>
      </c>
      <c r="V1815" t="s">
        <v>2813</v>
      </c>
    </row>
    <row r="1816" spans="1:22" ht="15.75" thickBot="1" x14ac:dyDescent="0.3">
      <c r="A1816" t="s">
        <v>3475</v>
      </c>
      <c r="B1816" t="s">
        <v>3475</v>
      </c>
      <c r="C1816" t="s">
        <v>3475</v>
      </c>
      <c r="D1816" t="s">
        <v>629</v>
      </c>
      <c r="E1816" s="248" t="s">
        <v>1951</v>
      </c>
      <c r="F1816" t="s">
        <v>620</v>
      </c>
      <c r="G1816" s="89">
        <v>2013</v>
      </c>
      <c r="H1816" s="312" t="s">
        <v>734</v>
      </c>
      <c r="I1816" s="308" t="str">
        <f t="shared" ref="I1816:I1859" si="83">D1816&amp;": "&amp;E1816&amp;" : "&amp;F1816&amp;" : "&amp;H1816</f>
        <v>Pesado de Passageiros M3: I : Gasóleo : E5</v>
      </c>
      <c r="J1816" s="125">
        <v>24</v>
      </c>
      <c r="K1816" s="253">
        <v>2022</v>
      </c>
      <c r="L1816" s="85">
        <v>8326.35</v>
      </c>
      <c r="M1816" s="85" t="s">
        <v>630</v>
      </c>
      <c r="N1816" s="128">
        <v>37798</v>
      </c>
      <c r="O1816" s="128">
        <f t="shared" si="82"/>
        <v>907152</v>
      </c>
      <c r="Q1816" t="s">
        <v>47</v>
      </c>
      <c r="R1816" s="214" t="s">
        <v>1869</v>
      </c>
      <c r="S1816" s="214" t="s">
        <v>1861</v>
      </c>
      <c r="T1816" t="s">
        <v>2445</v>
      </c>
      <c r="U1816" t="s">
        <v>1953</v>
      </c>
      <c r="V1816" t="s">
        <v>2813</v>
      </c>
    </row>
    <row r="1817" spans="1:22" ht="15.75" thickBot="1" x14ac:dyDescent="0.3">
      <c r="A1817" t="s">
        <v>3475</v>
      </c>
      <c r="B1817" t="s">
        <v>3475</v>
      </c>
      <c r="C1817" t="s">
        <v>3475</v>
      </c>
      <c r="D1817" t="s">
        <v>629</v>
      </c>
      <c r="E1817" s="248" t="s">
        <v>1951</v>
      </c>
      <c r="F1817" t="s">
        <v>620</v>
      </c>
      <c r="G1817" s="89">
        <v>2013</v>
      </c>
      <c r="H1817" s="312" t="s">
        <v>734</v>
      </c>
      <c r="I1817" s="308" t="str">
        <f t="shared" si="83"/>
        <v>Pesado de Passageiros M3: I : Gasóleo : E5</v>
      </c>
      <c r="J1817" s="125">
        <v>24</v>
      </c>
      <c r="K1817" s="253">
        <v>2022</v>
      </c>
      <c r="L1817" s="85">
        <v>8393.1200000000008</v>
      </c>
      <c r="M1817" s="85" t="s">
        <v>630</v>
      </c>
      <c r="N1817" s="128">
        <v>36461</v>
      </c>
      <c r="O1817" s="128">
        <f t="shared" si="82"/>
        <v>875064</v>
      </c>
      <c r="Q1817" t="s">
        <v>47</v>
      </c>
      <c r="R1817" s="214" t="s">
        <v>1869</v>
      </c>
      <c r="S1817" s="214" t="s">
        <v>1861</v>
      </c>
      <c r="T1817" t="s">
        <v>2446</v>
      </c>
      <c r="U1817" t="s">
        <v>1953</v>
      </c>
      <c r="V1817" t="s">
        <v>2813</v>
      </c>
    </row>
    <row r="1818" spans="1:22" ht="15.75" thickBot="1" x14ac:dyDescent="0.3">
      <c r="A1818" t="s">
        <v>3475</v>
      </c>
      <c r="B1818" t="s">
        <v>3475</v>
      </c>
      <c r="C1818" t="s">
        <v>3475</v>
      </c>
      <c r="D1818" t="s">
        <v>629</v>
      </c>
      <c r="E1818" s="248" t="s">
        <v>1951</v>
      </c>
      <c r="F1818" t="s">
        <v>620</v>
      </c>
      <c r="G1818" s="89">
        <v>2013</v>
      </c>
      <c r="H1818" s="312" t="s">
        <v>734</v>
      </c>
      <c r="I1818" s="308" t="str">
        <f t="shared" si="83"/>
        <v>Pesado de Passageiros M3: I : Gasóleo : E5</v>
      </c>
      <c r="J1818" s="125">
        <v>24</v>
      </c>
      <c r="K1818" s="253">
        <v>2022</v>
      </c>
      <c r="L1818" s="85">
        <v>6881.59</v>
      </c>
      <c r="M1818" s="85" t="s">
        <v>630</v>
      </c>
      <c r="N1818" s="128">
        <v>31319</v>
      </c>
      <c r="O1818" s="128">
        <f t="shared" si="82"/>
        <v>751656</v>
      </c>
      <c r="Q1818" t="s">
        <v>47</v>
      </c>
      <c r="R1818" s="214" t="s">
        <v>1869</v>
      </c>
      <c r="S1818" s="214" t="s">
        <v>1861</v>
      </c>
      <c r="T1818" t="s">
        <v>2447</v>
      </c>
      <c r="U1818" t="s">
        <v>1953</v>
      </c>
      <c r="V1818" t="s">
        <v>2813</v>
      </c>
    </row>
    <row r="1819" spans="1:22" ht="15.75" thickBot="1" x14ac:dyDescent="0.3">
      <c r="A1819" t="s">
        <v>3475</v>
      </c>
      <c r="B1819" t="s">
        <v>3475</v>
      </c>
      <c r="C1819" t="s">
        <v>3475</v>
      </c>
      <c r="D1819" t="s">
        <v>629</v>
      </c>
      <c r="E1819" s="248" t="s">
        <v>1951</v>
      </c>
      <c r="F1819" t="s">
        <v>620</v>
      </c>
      <c r="G1819" s="89">
        <v>2013</v>
      </c>
      <c r="H1819" s="312" t="s">
        <v>734</v>
      </c>
      <c r="I1819" s="308" t="str">
        <f t="shared" si="83"/>
        <v>Pesado de Passageiros M3: I : Gasóleo : E5</v>
      </c>
      <c r="J1819" s="125">
        <v>24</v>
      </c>
      <c r="K1819" s="253">
        <v>2022</v>
      </c>
      <c r="L1819" s="85">
        <v>6848.8799999999992</v>
      </c>
      <c r="M1819" s="85" t="s">
        <v>630</v>
      </c>
      <c r="N1819" s="128">
        <v>28723</v>
      </c>
      <c r="O1819" s="128">
        <f t="shared" si="82"/>
        <v>689352</v>
      </c>
      <c r="Q1819" t="s">
        <v>47</v>
      </c>
      <c r="R1819" s="214" t="s">
        <v>1869</v>
      </c>
      <c r="S1819" s="214" t="s">
        <v>1861</v>
      </c>
      <c r="T1819" t="s">
        <v>2448</v>
      </c>
      <c r="U1819" t="s">
        <v>1953</v>
      </c>
      <c r="V1819" t="s">
        <v>2813</v>
      </c>
    </row>
    <row r="1820" spans="1:22" ht="15.75" thickBot="1" x14ac:dyDescent="0.3">
      <c r="A1820" t="s">
        <v>3475</v>
      </c>
      <c r="B1820" t="s">
        <v>3475</v>
      </c>
      <c r="C1820" t="s">
        <v>3475</v>
      </c>
      <c r="D1820" t="s">
        <v>629</v>
      </c>
      <c r="E1820" s="248" t="s">
        <v>1951</v>
      </c>
      <c r="F1820" t="s">
        <v>620</v>
      </c>
      <c r="G1820" s="89">
        <v>2018</v>
      </c>
      <c r="H1820" s="312" t="s">
        <v>733</v>
      </c>
      <c r="I1820" s="308" t="str">
        <f t="shared" si="83"/>
        <v>Pesado de Passageiros M3: I : Gasóleo : E6</v>
      </c>
      <c r="J1820" s="125">
        <v>26</v>
      </c>
      <c r="K1820" s="253">
        <v>2022</v>
      </c>
      <c r="L1820" s="85">
        <v>10156.42</v>
      </c>
      <c r="M1820" s="85" t="s">
        <v>630</v>
      </c>
      <c r="N1820" s="128">
        <v>49422</v>
      </c>
      <c r="O1820" s="128">
        <f t="shared" si="82"/>
        <v>1284972</v>
      </c>
      <c r="Q1820" t="s">
        <v>47</v>
      </c>
      <c r="R1820" s="214" t="s">
        <v>1869</v>
      </c>
      <c r="S1820" s="214" t="s">
        <v>1861</v>
      </c>
      <c r="T1820" t="s">
        <v>2449</v>
      </c>
      <c r="U1820" t="s">
        <v>1953</v>
      </c>
      <c r="V1820" t="s">
        <v>2813</v>
      </c>
    </row>
    <row r="1821" spans="1:22" ht="15.75" thickBot="1" x14ac:dyDescent="0.3">
      <c r="A1821" t="s">
        <v>3475</v>
      </c>
      <c r="B1821" t="s">
        <v>3475</v>
      </c>
      <c r="C1821" t="s">
        <v>3475</v>
      </c>
      <c r="D1821" t="s">
        <v>629</v>
      </c>
      <c r="E1821" s="248" t="s">
        <v>1951</v>
      </c>
      <c r="F1821" t="s">
        <v>620</v>
      </c>
      <c r="G1821" s="89">
        <v>2018</v>
      </c>
      <c r="H1821" s="312" t="s">
        <v>733</v>
      </c>
      <c r="I1821" s="308" t="str">
        <f t="shared" si="83"/>
        <v>Pesado de Passageiros M3: I : Gasóleo : E6</v>
      </c>
      <c r="J1821" s="125">
        <v>26</v>
      </c>
      <c r="K1821" s="253">
        <v>2022</v>
      </c>
      <c r="L1821" s="85">
        <v>9669.9699999999993</v>
      </c>
      <c r="M1821" s="85" t="s">
        <v>630</v>
      </c>
      <c r="N1821" s="128">
        <v>46294</v>
      </c>
      <c r="O1821" s="128">
        <f t="shared" si="82"/>
        <v>1203644</v>
      </c>
      <c r="Q1821" t="s">
        <v>47</v>
      </c>
      <c r="R1821" s="214" t="s">
        <v>1869</v>
      </c>
      <c r="S1821" s="214" t="s">
        <v>1861</v>
      </c>
      <c r="T1821" t="s">
        <v>2450</v>
      </c>
      <c r="U1821" t="s">
        <v>1953</v>
      </c>
      <c r="V1821" t="s">
        <v>2813</v>
      </c>
    </row>
    <row r="1822" spans="1:22" ht="15.75" thickBot="1" x14ac:dyDescent="0.3">
      <c r="A1822" t="s">
        <v>3475</v>
      </c>
      <c r="B1822" t="s">
        <v>3475</v>
      </c>
      <c r="C1822" t="s">
        <v>3475</v>
      </c>
      <c r="D1822" t="s">
        <v>629</v>
      </c>
      <c r="E1822" s="248" t="s">
        <v>1951</v>
      </c>
      <c r="F1822" t="s">
        <v>620</v>
      </c>
      <c r="G1822" s="89">
        <v>2019</v>
      </c>
      <c r="H1822" s="312" t="s">
        <v>733</v>
      </c>
      <c r="I1822" s="308" t="str">
        <f t="shared" si="83"/>
        <v>Pesado de Passageiros M3: I : Gasóleo : E6</v>
      </c>
      <c r="J1822" s="125">
        <v>26</v>
      </c>
      <c r="K1822" s="253">
        <v>2022</v>
      </c>
      <c r="L1822" s="85">
        <v>9065.8799999999992</v>
      </c>
      <c r="M1822" s="85" t="s">
        <v>630</v>
      </c>
      <c r="N1822" s="128">
        <v>43176</v>
      </c>
      <c r="O1822" s="128">
        <f t="shared" si="82"/>
        <v>1122576</v>
      </c>
      <c r="Q1822" t="s">
        <v>47</v>
      </c>
      <c r="R1822" s="214" t="s">
        <v>1869</v>
      </c>
      <c r="S1822" s="214" t="s">
        <v>1861</v>
      </c>
      <c r="T1822" t="s">
        <v>2451</v>
      </c>
      <c r="U1822" t="s">
        <v>1953</v>
      </c>
      <c r="V1822" t="s">
        <v>2813</v>
      </c>
    </row>
    <row r="1823" spans="1:22" ht="15.75" thickBot="1" x14ac:dyDescent="0.3">
      <c r="A1823" t="s">
        <v>3475</v>
      </c>
      <c r="B1823" t="s">
        <v>3475</v>
      </c>
      <c r="C1823" t="s">
        <v>3475</v>
      </c>
      <c r="D1823" t="s">
        <v>629</v>
      </c>
      <c r="E1823" s="248" t="s">
        <v>1951</v>
      </c>
      <c r="F1823" t="s">
        <v>620</v>
      </c>
      <c r="G1823" s="89">
        <v>2019</v>
      </c>
      <c r="H1823" s="312" t="s">
        <v>733</v>
      </c>
      <c r="I1823" s="308" t="str">
        <f t="shared" si="83"/>
        <v>Pesado de Passageiros M3: I : Gasóleo : E6</v>
      </c>
      <c r="J1823" s="125">
        <v>26</v>
      </c>
      <c r="K1823" s="253">
        <v>2022</v>
      </c>
      <c r="L1823" s="85">
        <v>9011.2799999999988</v>
      </c>
      <c r="M1823" s="85" t="s">
        <v>630</v>
      </c>
      <c r="N1823" s="128">
        <v>46309</v>
      </c>
      <c r="O1823" s="128">
        <f t="shared" si="82"/>
        <v>1204034</v>
      </c>
      <c r="Q1823" t="s">
        <v>47</v>
      </c>
      <c r="R1823" s="214" t="s">
        <v>1869</v>
      </c>
      <c r="S1823" s="214" t="s">
        <v>1861</v>
      </c>
      <c r="T1823" t="s">
        <v>2452</v>
      </c>
      <c r="U1823" t="s">
        <v>1953</v>
      </c>
      <c r="V1823" t="s">
        <v>2813</v>
      </c>
    </row>
    <row r="1824" spans="1:22" ht="15.75" thickBot="1" x14ac:dyDescent="0.3">
      <c r="A1824" t="s">
        <v>3475</v>
      </c>
      <c r="B1824" t="s">
        <v>3475</v>
      </c>
      <c r="C1824" t="s">
        <v>3475</v>
      </c>
      <c r="D1824" t="s">
        <v>629</v>
      </c>
      <c r="E1824" s="248" t="s">
        <v>1951</v>
      </c>
      <c r="F1824" t="s">
        <v>620</v>
      </c>
      <c r="G1824" s="89">
        <v>2019</v>
      </c>
      <c r="H1824" s="312" t="s">
        <v>733</v>
      </c>
      <c r="I1824" s="308" t="str">
        <f t="shared" si="83"/>
        <v>Pesado de Passageiros M3: I : Gasóleo : E6</v>
      </c>
      <c r="J1824" s="125">
        <v>26</v>
      </c>
      <c r="K1824" s="253">
        <v>2022</v>
      </c>
      <c r="L1824" s="85">
        <v>10315.519999999999</v>
      </c>
      <c r="M1824" s="85" t="s">
        <v>630</v>
      </c>
      <c r="N1824" s="128">
        <v>49899</v>
      </c>
      <c r="O1824" s="128">
        <f t="shared" si="82"/>
        <v>1297374</v>
      </c>
      <c r="Q1824" t="s">
        <v>47</v>
      </c>
      <c r="R1824" s="214" t="s">
        <v>1869</v>
      </c>
      <c r="S1824" s="214" t="s">
        <v>1861</v>
      </c>
      <c r="T1824" t="s">
        <v>2453</v>
      </c>
      <c r="U1824" t="s">
        <v>1953</v>
      </c>
      <c r="V1824" t="s">
        <v>2813</v>
      </c>
    </row>
    <row r="1825" spans="1:22" ht="15.75" thickBot="1" x14ac:dyDescent="0.3">
      <c r="A1825" t="s">
        <v>3475</v>
      </c>
      <c r="B1825" t="s">
        <v>3475</v>
      </c>
      <c r="C1825" t="s">
        <v>3475</v>
      </c>
      <c r="D1825" t="s">
        <v>629</v>
      </c>
      <c r="E1825" s="248" t="s">
        <v>1951</v>
      </c>
      <c r="F1825" t="s">
        <v>620</v>
      </c>
      <c r="G1825" s="89">
        <v>2019</v>
      </c>
      <c r="H1825" s="312" t="s">
        <v>733</v>
      </c>
      <c r="I1825" s="308" t="str">
        <f t="shared" si="83"/>
        <v>Pesado de Passageiros M3: I : Gasóleo : E6</v>
      </c>
      <c r="J1825" s="125">
        <v>26</v>
      </c>
      <c r="K1825" s="253">
        <v>2022</v>
      </c>
      <c r="L1825" s="85">
        <v>8761.5399999999991</v>
      </c>
      <c r="M1825" s="85" t="s">
        <v>630</v>
      </c>
      <c r="N1825" s="128">
        <v>38942</v>
      </c>
      <c r="O1825" s="128">
        <f t="shared" si="82"/>
        <v>1012492</v>
      </c>
      <c r="Q1825" t="s">
        <v>47</v>
      </c>
      <c r="R1825" s="214" t="s">
        <v>1869</v>
      </c>
      <c r="S1825" s="214" t="s">
        <v>1861</v>
      </c>
      <c r="T1825" t="s">
        <v>2454</v>
      </c>
      <c r="U1825" t="s">
        <v>1953</v>
      </c>
      <c r="V1825" t="s">
        <v>2813</v>
      </c>
    </row>
    <row r="1826" spans="1:22" ht="15.75" thickBot="1" x14ac:dyDescent="0.3">
      <c r="A1826" t="s">
        <v>3475</v>
      </c>
      <c r="B1826" t="s">
        <v>3475</v>
      </c>
      <c r="C1826" t="s">
        <v>3475</v>
      </c>
      <c r="D1826" t="s">
        <v>629</v>
      </c>
      <c r="E1826" s="248" t="s">
        <v>1951</v>
      </c>
      <c r="F1826" t="s">
        <v>620</v>
      </c>
      <c r="G1826" s="89">
        <v>2020</v>
      </c>
      <c r="H1826" s="312" t="s">
        <v>733</v>
      </c>
      <c r="I1826" s="308" t="str">
        <f t="shared" si="83"/>
        <v>Pesado de Passageiros M3: I : Gasóleo : E6</v>
      </c>
      <c r="J1826" s="125">
        <v>26</v>
      </c>
      <c r="K1826" s="253">
        <v>2022</v>
      </c>
      <c r="L1826" s="85">
        <v>8820.08</v>
      </c>
      <c r="M1826" s="85" t="s">
        <v>630</v>
      </c>
      <c r="N1826" s="128">
        <v>40761</v>
      </c>
      <c r="O1826" s="128">
        <f t="shared" si="82"/>
        <v>1059786</v>
      </c>
      <c r="Q1826" t="s">
        <v>47</v>
      </c>
      <c r="R1826" s="214" t="s">
        <v>1869</v>
      </c>
      <c r="S1826" s="214" t="s">
        <v>1861</v>
      </c>
      <c r="T1826" t="s">
        <v>2455</v>
      </c>
      <c r="U1826" t="s">
        <v>1953</v>
      </c>
      <c r="V1826" t="s">
        <v>2813</v>
      </c>
    </row>
    <row r="1827" spans="1:22" ht="15.75" thickBot="1" x14ac:dyDescent="0.3">
      <c r="A1827" t="s">
        <v>3475</v>
      </c>
      <c r="B1827" t="s">
        <v>3475</v>
      </c>
      <c r="C1827" t="s">
        <v>3475</v>
      </c>
      <c r="D1827" t="s">
        <v>629</v>
      </c>
      <c r="E1827" s="248" t="s">
        <v>1951</v>
      </c>
      <c r="F1827" t="s">
        <v>620</v>
      </c>
      <c r="G1827" s="89">
        <v>2011</v>
      </c>
      <c r="H1827" s="312" t="s">
        <v>734</v>
      </c>
      <c r="I1827" s="308" t="str">
        <f t="shared" si="83"/>
        <v>Pesado de Passageiros M3: I : Gasóleo : E5</v>
      </c>
      <c r="J1827" s="125">
        <v>69</v>
      </c>
      <c r="K1827" s="253">
        <v>2022</v>
      </c>
      <c r="L1827" s="85">
        <v>4204.1099999999997</v>
      </c>
      <c r="M1827" s="85" t="s">
        <v>630</v>
      </c>
      <c r="N1827" s="128">
        <v>12103</v>
      </c>
      <c r="O1827" s="128">
        <f t="shared" si="82"/>
        <v>835107</v>
      </c>
      <c r="Q1827" t="s">
        <v>47</v>
      </c>
      <c r="R1827" s="214" t="s">
        <v>1869</v>
      </c>
      <c r="S1827" s="214" t="s">
        <v>1861</v>
      </c>
      <c r="T1827" t="s">
        <v>2456</v>
      </c>
      <c r="U1827" t="s">
        <v>1953</v>
      </c>
      <c r="V1827" t="s">
        <v>2813</v>
      </c>
    </row>
    <row r="1828" spans="1:22" ht="15.75" thickBot="1" x14ac:dyDescent="0.3">
      <c r="A1828" t="s">
        <v>3475</v>
      </c>
      <c r="B1828" t="s">
        <v>3475</v>
      </c>
      <c r="C1828" t="s">
        <v>3475</v>
      </c>
      <c r="D1828" t="s">
        <v>629</v>
      </c>
      <c r="E1828" s="248" t="s">
        <v>1951</v>
      </c>
      <c r="F1828" t="s">
        <v>620</v>
      </c>
      <c r="G1828" s="89">
        <v>2011</v>
      </c>
      <c r="H1828" s="312" t="s">
        <v>734</v>
      </c>
      <c r="I1828" s="308" t="str">
        <f t="shared" si="83"/>
        <v>Pesado de Passageiros M3: I : Gasóleo : E5</v>
      </c>
      <c r="J1828" s="125">
        <v>69</v>
      </c>
      <c r="K1828" s="253">
        <v>2022</v>
      </c>
      <c r="L1828" s="85">
        <v>8600.7999999999993</v>
      </c>
      <c r="M1828" s="85" t="s">
        <v>630</v>
      </c>
      <c r="N1828" s="128">
        <v>23278</v>
      </c>
      <c r="O1828" s="128">
        <f t="shared" si="82"/>
        <v>1606182</v>
      </c>
      <c r="Q1828" t="s">
        <v>47</v>
      </c>
      <c r="R1828" s="214" t="s">
        <v>1869</v>
      </c>
      <c r="S1828" s="214" t="s">
        <v>1861</v>
      </c>
      <c r="T1828" t="s">
        <v>2457</v>
      </c>
      <c r="U1828" t="s">
        <v>1953</v>
      </c>
      <c r="V1828" t="s">
        <v>2813</v>
      </c>
    </row>
    <row r="1829" spans="1:22" ht="15.75" thickBot="1" x14ac:dyDescent="0.3">
      <c r="A1829" t="s">
        <v>3475</v>
      </c>
      <c r="B1829" t="s">
        <v>3475</v>
      </c>
      <c r="C1829" t="s">
        <v>3475</v>
      </c>
      <c r="D1829" t="s">
        <v>629</v>
      </c>
      <c r="E1829" s="248" t="s">
        <v>1951</v>
      </c>
      <c r="F1829" t="s">
        <v>620</v>
      </c>
      <c r="G1829" s="89">
        <v>2019</v>
      </c>
      <c r="H1829" s="312" t="s">
        <v>733</v>
      </c>
      <c r="I1829" s="308" t="str">
        <f t="shared" si="83"/>
        <v>Pesado de Passageiros M3: I : Gasóleo : E6</v>
      </c>
      <c r="J1829" s="125">
        <v>70</v>
      </c>
      <c r="K1829" s="253">
        <v>2022</v>
      </c>
      <c r="L1829" s="85">
        <v>6538.97</v>
      </c>
      <c r="M1829" s="85" t="s">
        <v>630</v>
      </c>
      <c r="N1829" s="128">
        <v>19164</v>
      </c>
      <c r="O1829" s="128">
        <f t="shared" si="82"/>
        <v>1341480</v>
      </c>
      <c r="Q1829" t="s">
        <v>47</v>
      </c>
      <c r="R1829" s="214" t="s">
        <v>1869</v>
      </c>
      <c r="S1829" s="214" t="s">
        <v>1861</v>
      </c>
      <c r="T1829" t="s">
        <v>2458</v>
      </c>
      <c r="U1829" t="s">
        <v>1953</v>
      </c>
      <c r="V1829" t="s">
        <v>2813</v>
      </c>
    </row>
    <row r="1830" spans="1:22" ht="15.75" thickBot="1" x14ac:dyDescent="0.3">
      <c r="A1830" t="s">
        <v>3475</v>
      </c>
      <c r="B1830" t="s">
        <v>3475</v>
      </c>
      <c r="C1830" t="s">
        <v>3475</v>
      </c>
      <c r="D1830" t="s">
        <v>629</v>
      </c>
      <c r="E1830" s="248" t="s">
        <v>1951</v>
      </c>
      <c r="F1830" t="s">
        <v>620</v>
      </c>
      <c r="G1830" s="89">
        <v>2013</v>
      </c>
      <c r="H1830" s="312" t="s">
        <v>734</v>
      </c>
      <c r="I1830" s="308" t="str">
        <f t="shared" si="83"/>
        <v>Pesado de Passageiros M3: I : Gasóleo : E5</v>
      </c>
      <c r="J1830" s="125">
        <v>90</v>
      </c>
      <c r="K1830" s="253">
        <v>2022</v>
      </c>
      <c r="L1830" s="85">
        <v>14978.48</v>
      </c>
      <c r="M1830" s="85" t="s">
        <v>630</v>
      </c>
      <c r="N1830" s="128">
        <v>41385</v>
      </c>
      <c r="O1830" s="128">
        <f t="shared" si="82"/>
        <v>3724650</v>
      </c>
      <c r="Q1830" t="s">
        <v>47</v>
      </c>
      <c r="R1830" s="214" t="s">
        <v>1869</v>
      </c>
      <c r="S1830" s="214" t="s">
        <v>1861</v>
      </c>
      <c r="T1830" t="s">
        <v>2459</v>
      </c>
      <c r="U1830" t="s">
        <v>1953</v>
      </c>
      <c r="V1830" t="s">
        <v>2813</v>
      </c>
    </row>
    <row r="1831" spans="1:22" ht="15.75" thickBot="1" x14ac:dyDescent="0.3">
      <c r="A1831" t="s">
        <v>3475</v>
      </c>
      <c r="B1831" t="s">
        <v>3475</v>
      </c>
      <c r="C1831" t="s">
        <v>3475</v>
      </c>
      <c r="D1831" t="s">
        <v>629</v>
      </c>
      <c r="E1831" s="248" t="s">
        <v>1951</v>
      </c>
      <c r="F1831" t="s">
        <v>620</v>
      </c>
      <c r="G1831" s="89">
        <v>2013</v>
      </c>
      <c r="H1831" s="312" t="s">
        <v>734</v>
      </c>
      <c r="I1831" s="308" t="str">
        <f t="shared" si="83"/>
        <v>Pesado de Passageiros M3: I : Gasóleo : E5</v>
      </c>
      <c r="J1831" s="125">
        <v>90</v>
      </c>
      <c r="K1831" s="253">
        <v>2022</v>
      </c>
      <c r="L1831" s="85">
        <v>12954.569999999998</v>
      </c>
      <c r="M1831" s="85" t="s">
        <v>630</v>
      </c>
      <c r="N1831" s="128">
        <v>35190</v>
      </c>
      <c r="O1831" s="128">
        <f t="shared" si="82"/>
        <v>3167100</v>
      </c>
      <c r="Q1831" t="s">
        <v>47</v>
      </c>
      <c r="R1831" s="214" t="s">
        <v>1869</v>
      </c>
      <c r="S1831" s="214" t="s">
        <v>1861</v>
      </c>
      <c r="T1831" t="s">
        <v>2460</v>
      </c>
      <c r="U1831" t="s">
        <v>1953</v>
      </c>
      <c r="V1831" t="s">
        <v>2813</v>
      </c>
    </row>
    <row r="1832" spans="1:22" ht="15.75" thickBot="1" x14ac:dyDescent="0.3">
      <c r="A1832" t="s">
        <v>3475</v>
      </c>
      <c r="B1832" t="s">
        <v>3475</v>
      </c>
      <c r="C1832" t="s">
        <v>3475</v>
      </c>
      <c r="D1832" t="s">
        <v>629</v>
      </c>
      <c r="E1832" s="248" t="s">
        <v>1951</v>
      </c>
      <c r="F1832" t="s">
        <v>620</v>
      </c>
      <c r="G1832" s="89">
        <v>2013</v>
      </c>
      <c r="H1832" s="312" t="s">
        <v>734</v>
      </c>
      <c r="I1832" s="308" t="str">
        <f t="shared" si="83"/>
        <v>Pesado de Passageiros M3: I : Gasóleo : E5</v>
      </c>
      <c r="J1832" s="125">
        <v>90</v>
      </c>
      <c r="K1832" s="253">
        <v>2022</v>
      </c>
      <c r="L1832" s="85">
        <v>15699.61</v>
      </c>
      <c r="M1832" s="85" t="s">
        <v>630</v>
      </c>
      <c r="N1832" s="128">
        <v>41749</v>
      </c>
      <c r="O1832" s="128">
        <f t="shared" si="82"/>
        <v>3757410</v>
      </c>
      <c r="Q1832" t="s">
        <v>47</v>
      </c>
      <c r="R1832" s="214" t="s">
        <v>1869</v>
      </c>
      <c r="S1832" s="214" t="s">
        <v>1861</v>
      </c>
      <c r="T1832" t="s">
        <v>2461</v>
      </c>
      <c r="U1832" t="s">
        <v>1953</v>
      </c>
      <c r="V1832" t="s">
        <v>2813</v>
      </c>
    </row>
    <row r="1833" spans="1:22" ht="15.75" thickBot="1" x14ac:dyDescent="0.3">
      <c r="A1833" t="s">
        <v>3475</v>
      </c>
      <c r="B1833" t="s">
        <v>3475</v>
      </c>
      <c r="C1833" t="s">
        <v>3475</v>
      </c>
      <c r="D1833" t="s">
        <v>629</v>
      </c>
      <c r="E1833" s="248" t="s">
        <v>1951</v>
      </c>
      <c r="F1833" t="s">
        <v>620</v>
      </c>
      <c r="G1833" s="89">
        <v>2013</v>
      </c>
      <c r="H1833" s="312" t="s">
        <v>734</v>
      </c>
      <c r="I1833" s="308" t="str">
        <f t="shared" si="83"/>
        <v>Pesado de Passageiros M3: I : Gasóleo : E5</v>
      </c>
      <c r="J1833" s="125">
        <v>90</v>
      </c>
      <c r="K1833" s="253">
        <v>2022</v>
      </c>
      <c r="L1833" s="85">
        <v>15032.36</v>
      </c>
      <c r="M1833" s="85" t="s">
        <v>630</v>
      </c>
      <c r="N1833" s="128">
        <v>38332</v>
      </c>
      <c r="O1833" s="128">
        <f t="shared" si="82"/>
        <v>3449880</v>
      </c>
      <c r="Q1833" t="s">
        <v>47</v>
      </c>
      <c r="R1833" s="214" t="s">
        <v>1869</v>
      </c>
      <c r="S1833" s="214" t="s">
        <v>1861</v>
      </c>
      <c r="T1833" t="s">
        <v>2462</v>
      </c>
      <c r="U1833" t="s">
        <v>1953</v>
      </c>
      <c r="V1833" t="s">
        <v>2813</v>
      </c>
    </row>
    <row r="1834" spans="1:22" ht="15.75" thickBot="1" x14ac:dyDescent="0.3">
      <c r="A1834" t="s">
        <v>3475</v>
      </c>
      <c r="B1834" t="s">
        <v>3475</v>
      </c>
      <c r="C1834" t="s">
        <v>3475</v>
      </c>
      <c r="D1834" t="s">
        <v>629</v>
      </c>
      <c r="E1834" s="248" t="s">
        <v>1951</v>
      </c>
      <c r="F1834" t="s">
        <v>620</v>
      </c>
      <c r="G1834" s="89">
        <v>2013</v>
      </c>
      <c r="H1834" s="312" t="s">
        <v>734</v>
      </c>
      <c r="I1834" s="308" t="str">
        <f t="shared" si="83"/>
        <v>Pesado de Passageiros M3: I : Gasóleo : E5</v>
      </c>
      <c r="J1834" s="125">
        <v>90</v>
      </c>
      <c r="K1834" s="253">
        <v>2022</v>
      </c>
      <c r="L1834" s="85">
        <v>19160.169999999998</v>
      </c>
      <c r="M1834" s="85" t="s">
        <v>630</v>
      </c>
      <c r="N1834" s="128">
        <v>47959</v>
      </c>
      <c r="O1834" s="128">
        <f t="shared" si="82"/>
        <v>4316310</v>
      </c>
      <c r="Q1834" t="s">
        <v>47</v>
      </c>
      <c r="R1834" s="214" t="s">
        <v>1869</v>
      </c>
      <c r="S1834" s="214" t="s">
        <v>1861</v>
      </c>
      <c r="T1834" t="s">
        <v>2463</v>
      </c>
      <c r="U1834" t="s">
        <v>1953</v>
      </c>
      <c r="V1834" t="s">
        <v>2813</v>
      </c>
    </row>
    <row r="1835" spans="1:22" ht="15.75" thickBot="1" x14ac:dyDescent="0.3">
      <c r="A1835" t="s">
        <v>3475</v>
      </c>
      <c r="B1835" t="s">
        <v>3475</v>
      </c>
      <c r="C1835" t="s">
        <v>3475</v>
      </c>
      <c r="D1835" t="s">
        <v>629</v>
      </c>
      <c r="E1835" s="248" t="s">
        <v>1951</v>
      </c>
      <c r="F1835" t="s">
        <v>620</v>
      </c>
      <c r="G1835" s="89">
        <v>2013</v>
      </c>
      <c r="H1835" s="312" t="s">
        <v>734</v>
      </c>
      <c r="I1835" s="308" t="str">
        <f t="shared" si="83"/>
        <v>Pesado de Passageiros M3: I : Gasóleo : E5</v>
      </c>
      <c r="J1835" s="125">
        <v>90</v>
      </c>
      <c r="K1835" s="253">
        <v>2022</v>
      </c>
      <c r="L1835" s="85">
        <v>19833.53</v>
      </c>
      <c r="M1835" s="85" t="s">
        <v>630</v>
      </c>
      <c r="N1835" s="128">
        <v>50988</v>
      </c>
      <c r="O1835" s="128">
        <f t="shared" si="82"/>
        <v>4588920</v>
      </c>
      <c r="Q1835" t="s">
        <v>47</v>
      </c>
      <c r="R1835" s="214" t="s">
        <v>1869</v>
      </c>
      <c r="S1835" s="214" t="s">
        <v>1861</v>
      </c>
      <c r="T1835" t="s">
        <v>2464</v>
      </c>
      <c r="U1835" t="s">
        <v>1953</v>
      </c>
      <c r="V1835" t="s">
        <v>2813</v>
      </c>
    </row>
    <row r="1836" spans="1:22" ht="15.75" thickBot="1" x14ac:dyDescent="0.3">
      <c r="A1836" t="s">
        <v>3475</v>
      </c>
      <c r="B1836" t="s">
        <v>3475</v>
      </c>
      <c r="C1836" t="s">
        <v>3475</v>
      </c>
      <c r="D1836" t="s">
        <v>629</v>
      </c>
      <c r="E1836" s="248" t="s">
        <v>1951</v>
      </c>
      <c r="F1836" t="s">
        <v>620</v>
      </c>
      <c r="G1836" s="89">
        <v>2013</v>
      </c>
      <c r="H1836" s="312" t="s">
        <v>734</v>
      </c>
      <c r="I1836" s="308" t="str">
        <f t="shared" si="83"/>
        <v>Pesado de Passageiros M3: I : Gasóleo : E5</v>
      </c>
      <c r="J1836" s="125">
        <v>90</v>
      </c>
      <c r="K1836" s="253">
        <v>2022</v>
      </c>
      <c r="L1836" s="85">
        <v>19738.61</v>
      </c>
      <c r="M1836" s="85" t="s">
        <v>630</v>
      </c>
      <c r="N1836" s="128">
        <v>51056</v>
      </c>
      <c r="O1836" s="128">
        <f t="shared" si="82"/>
        <v>4595040</v>
      </c>
      <c r="Q1836" t="s">
        <v>47</v>
      </c>
      <c r="R1836" s="214" t="s">
        <v>1869</v>
      </c>
      <c r="S1836" s="214" t="s">
        <v>1861</v>
      </c>
      <c r="T1836" t="s">
        <v>2465</v>
      </c>
      <c r="U1836" t="s">
        <v>1953</v>
      </c>
      <c r="V1836" t="s">
        <v>2813</v>
      </c>
    </row>
    <row r="1837" spans="1:22" ht="15.75" thickBot="1" x14ac:dyDescent="0.3">
      <c r="A1837" t="s">
        <v>3475</v>
      </c>
      <c r="B1837" t="s">
        <v>3475</v>
      </c>
      <c r="C1837" t="s">
        <v>3475</v>
      </c>
      <c r="D1837" t="s">
        <v>629</v>
      </c>
      <c r="E1837" s="248" t="s">
        <v>1951</v>
      </c>
      <c r="F1837" t="s">
        <v>620</v>
      </c>
      <c r="G1837" s="89">
        <v>2013</v>
      </c>
      <c r="H1837" s="312" t="s">
        <v>734</v>
      </c>
      <c r="I1837" s="308" t="str">
        <f t="shared" si="83"/>
        <v>Pesado de Passageiros M3: I : Gasóleo : E5</v>
      </c>
      <c r="J1837" s="125">
        <v>90</v>
      </c>
      <c r="K1837" s="253">
        <v>2022</v>
      </c>
      <c r="L1837" s="85">
        <v>14007.73</v>
      </c>
      <c r="M1837" s="85" t="s">
        <v>630</v>
      </c>
      <c r="N1837" s="128">
        <v>36828</v>
      </c>
      <c r="O1837" s="128">
        <f t="shared" si="82"/>
        <v>3314520</v>
      </c>
      <c r="Q1837" t="s">
        <v>47</v>
      </c>
      <c r="R1837" s="214" t="s">
        <v>1869</v>
      </c>
      <c r="S1837" s="214" t="s">
        <v>1861</v>
      </c>
      <c r="T1837" t="s">
        <v>2466</v>
      </c>
      <c r="U1837" t="s">
        <v>1953</v>
      </c>
      <c r="V1837" t="s">
        <v>2813</v>
      </c>
    </row>
    <row r="1838" spans="1:22" ht="15.75" thickBot="1" x14ac:dyDescent="0.3">
      <c r="A1838" t="s">
        <v>3475</v>
      </c>
      <c r="B1838" t="s">
        <v>3475</v>
      </c>
      <c r="C1838" t="s">
        <v>3475</v>
      </c>
      <c r="D1838" t="s">
        <v>629</v>
      </c>
      <c r="E1838" s="248" t="s">
        <v>1951</v>
      </c>
      <c r="F1838" t="s">
        <v>620</v>
      </c>
      <c r="G1838" s="89">
        <v>2006</v>
      </c>
      <c r="H1838" s="312" t="s">
        <v>731</v>
      </c>
      <c r="I1838" s="308" t="str">
        <f t="shared" si="83"/>
        <v>Pesado de Passageiros M3: I : Gasóleo : E4</v>
      </c>
      <c r="J1838" s="125">
        <v>96</v>
      </c>
      <c r="K1838" s="253">
        <v>2022</v>
      </c>
      <c r="L1838" s="85">
        <v>5458.57</v>
      </c>
      <c r="M1838" s="85" t="s">
        <v>630</v>
      </c>
      <c r="N1838" s="128">
        <v>14749</v>
      </c>
      <c r="O1838" s="128">
        <f t="shared" si="82"/>
        <v>1415904</v>
      </c>
      <c r="Q1838" t="s">
        <v>47</v>
      </c>
      <c r="R1838" s="214" t="s">
        <v>1869</v>
      </c>
      <c r="S1838" s="214" t="s">
        <v>1861</v>
      </c>
      <c r="T1838" t="s">
        <v>2467</v>
      </c>
      <c r="U1838" t="s">
        <v>1953</v>
      </c>
      <c r="V1838" t="s">
        <v>2813</v>
      </c>
    </row>
    <row r="1839" spans="1:22" ht="15.75" thickBot="1" x14ac:dyDescent="0.3">
      <c r="A1839" t="s">
        <v>3475</v>
      </c>
      <c r="B1839" t="s">
        <v>3475</v>
      </c>
      <c r="C1839" t="s">
        <v>3475</v>
      </c>
      <c r="D1839" t="s">
        <v>629</v>
      </c>
      <c r="E1839" s="248" t="s">
        <v>1951</v>
      </c>
      <c r="F1839" t="s">
        <v>620</v>
      </c>
      <c r="G1839" s="89">
        <v>2018</v>
      </c>
      <c r="H1839" s="312" t="s">
        <v>733</v>
      </c>
      <c r="I1839" s="308" t="str">
        <f t="shared" si="83"/>
        <v>Pesado de Passageiros M3: I : Gasóleo : E6</v>
      </c>
      <c r="J1839" s="125">
        <v>77</v>
      </c>
      <c r="K1839" s="253">
        <v>2022</v>
      </c>
      <c r="L1839" s="85">
        <v>20951.87</v>
      </c>
      <c r="M1839" s="85" t="s">
        <v>630</v>
      </c>
      <c r="N1839" s="128">
        <v>61316</v>
      </c>
      <c r="O1839" s="128">
        <f t="shared" si="82"/>
        <v>4721332</v>
      </c>
      <c r="Q1839" t="s">
        <v>47</v>
      </c>
      <c r="R1839" s="214" t="s">
        <v>1869</v>
      </c>
      <c r="S1839" s="214" t="s">
        <v>1861</v>
      </c>
      <c r="T1839" t="s">
        <v>2468</v>
      </c>
      <c r="U1839" t="s">
        <v>1953</v>
      </c>
      <c r="V1839" t="s">
        <v>2813</v>
      </c>
    </row>
    <row r="1840" spans="1:22" ht="15.75" thickBot="1" x14ac:dyDescent="0.3">
      <c r="A1840" t="s">
        <v>3475</v>
      </c>
      <c r="B1840" t="s">
        <v>3475</v>
      </c>
      <c r="C1840" t="s">
        <v>3475</v>
      </c>
      <c r="D1840" t="s">
        <v>629</v>
      </c>
      <c r="E1840" s="248" t="s">
        <v>1951</v>
      </c>
      <c r="F1840" t="s">
        <v>620</v>
      </c>
      <c r="G1840" s="89">
        <v>2018</v>
      </c>
      <c r="H1840" s="312" t="s">
        <v>733</v>
      </c>
      <c r="I1840" s="308" t="str">
        <f t="shared" si="83"/>
        <v>Pesado de Passageiros M3: I : Gasóleo : E6</v>
      </c>
      <c r="J1840" s="125">
        <v>77</v>
      </c>
      <c r="K1840" s="253">
        <v>2022</v>
      </c>
      <c r="L1840" s="85">
        <v>21551.78</v>
      </c>
      <c r="M1840" s="85" t="s">
        <v>630</v>
      </c>
      <c r="N1840" s="128">
        <v>60187</v>
      </c>
      <c r="O1840" s="128">
        <f t="shared" si="82"/>
        <v>4634399</v>
      </c>
      <c r="Q1840" t="s">
        <v>47</v>
      </c>
      <c r="R1840" s="214" t="s">
        <v>1869</v>
      </c>
      <c r="S1840" s="214" t="s">
        <v>1861</v>
      </c>
      <c r="T1840" t="s">
        <v>2469</v>
      </c>
      <c r="U1840" t="s">
        <v>1953</v>
      </c>
      <c r="V1840" t="s">
        <v>2813</v>
      </c>
    </row>
    <row r="1841" spans="1:22" ht="15.75" thickBot="1" x14ac:dyDescent="0.3">
      <c r="A1841" t="s">
        <v>3475</v>
      </c>
      <c r="B1841" t="s">
        <v>3475</v>
      </c>
      <c r="C1841" t="s">
        <v>3475</v>
      </c>
      <c r="D1841" t="s">
        <v>629</v>
      </c>
      <c r="E1841" s="248" t="s">
        <v>1951</v>
      </c>
      <c r="F1841" t="s">
        <v>620</v>
      </c>
      <c r="G1841" s="89">
        <v>2018</v>
      </c>
      <c r="H1841" s="312" t="s">
        <v>733</v>
      </c>
      <c r="I1841" s="308" t="str">
        <f t="shared" si="83"/>
        <v>Pesado de Passageiros M3: I : Gasóleo : E6</v>
      </c>
      <c r="J1841" s="125">
        <v>77</v>
      </c>
      <c r="K1841" s="253">
        <v>2022</v>
      </c>
      <c r="L1841" s="85">
        <v>18427.190000000002</v>
      </c>
      <c r="M1841" s="85" t="s">
        <v>630</v>
      </c>
      <c r="N1841" s="128">
        <v>49371</v>
      </c>
      <c r="O1841" s="128">
        <f t="shared" si="82"/>
        <v>3801567</v>
      </c>
      <c r="Q1841" t="s">
        <v>47</v>
      </c>
      <c r="R1841" s="214" t="s">
        <v>1869</v>
      </c>
      <c r="S1841" s="214" t="s">
        <v>1861</v>
      </c>
      <c r="T1841" t="s">
        <v>2470</v>
      </c>
      <c r="U1841" t="s">
        <v>1953</v>
      </c>
      <c r="V1841" t="s">
        <v>2813</v>
      </c>
    </row>
    <row r="1842" spans="1:22" ht="15.75" thickBot="1" x14ac:dyDescent="0.3">
      <c r="A1842" t="s">
        <v>3475</v>
      </c>
      <c r="B1842" t="s">
        <v>3475</v>
      </c>
      <c r="C1842" t="s">
        <v>3475</v>
      </c>
      <c r="D1842" t="s">
        <v>629</v>
      </c>
      <c r="E1842" s="248" t="s">
        <v>1951</v>
      </c>
      <c r="F1842" t="s">
        <v>620</v>
      </c>
      <c r="G1842" s="89">
        <v>2018</v>
      </c>
      <c r="H1842" s="312" t="s">
        <v>733</v>
      </c>
      <c r="I1842" s="308" t="str">
        <f t="shared" si="83"/>
        <v>Pesado de Passageiros M3: I : Gasóleo : E6</v>
      </c>
      <c r="J1842" s="125">
        <v>77</v>
      </c>
      <c r="K1842" s="253">
        <v>2022</v>
      </c>
      <c r="L1842" s="85">
        <v>20933.719999999998</v>
      </c>
      <c r="M1842" s="85" t="s">
        <v>630</v>
      </c>
      <c r="N1842" s="128">
        <v>53190</v>
      </c>
      <c r="O1842" s="128">
        <f t="shared" si="82"/>
        <v>4095630</v>
      </c>
      <c r="Q1842" t="s">
        <v>47</v>
      </c>
      <c r="R1842" s="214" t="s">
        <v>1869</v>
      </c>
      <c r="S1842" s="214" t="s">
        <v>1861</v>
      </c>
      <c r="T1842" t="s">
        <v>2471</v>
      </c>
      <c r="U1842" t="s">
        <v>1953</v>
      </c>
      <c r="V1842" t="s">
        <v>2813</v>
      </c>
    </row>
    <row r="1843" spans="1:22" ht="15.75" thickBot="1" x14ac:dyDescent="0.3">
      <c r="A1843" t="s">
        <v>3475</v>
      </c>
      <c r="B1843" t="s">
        <v>3475</v>
      </c>
      <c r="C1843" t="s">
        <v>3475</v>
      </c>
      <c r="D1843" t="s">
        <v>629</v>
      </c>
      <c r="E1843" s="248" t="s">
        <v>1951</v>
      </c>
      <c r="F1843" t="s">
        <v>620</v>
      </c>
      <c r="G1843" s="89">
        <v>2019</v>
      </c>
      <c r="H1843" s="312" t="s">
        <v>733</v>
      </c>
      <c r="I1843" s="308" t="str">
        <f t="shared" si="83"/>
        <v>Pesado de Passageiros M3: I : Gasóleo : E6</v>
      </c>
      <c r="J1843" s="125">
        <v>35</v>
      </c>
      <c r="K1843" s="253">
        <v>2022</v>
      </c>
      <c r="L1843" s="85">
        <v>10499.36</v>
      </c>
      <c r="M1843" s="85" t="s">
        <v>630</v>
      </c>
      <c r="N1843" s="128">
        <v>33258</v>
      </c>
      <c r="O1843" s="128">
        <f t="shared" si="82"/>
        <v>1164030</v>
      </c>
      <c r="Q1843" t="s">
        <v>47</v>
      </c>
      <c r="R1843" s="214" t="s">
        <v>1869</v>
      </c>
      <c r="S1843" s="214" t="s">
        <v>1861</v>
      </c>
      <c r="T1843" t="s">
        <v>2472</v>
      </c>
      <c r="U1843" t="s">
        <v>1953</v>
      </c>
      <c r="V1843" t="s">
        <v>2813</v>
      </c>
    </row>
    <row r="1844" spans="1:22" ht="15.75" thickBot="1" x14ac:dyDescent="0.3">
      <c r="A1844" t="s">
        <v>4585</v>
      </c>
      <c r="B1844" t="s">
        <v>4585</v>
      </c>
      <c r="C1844" t="s">
        <v>4585</v>
      </c>
      <c r="D1844" t="s">
        <v>629</v>
      </c>
      <c r="E1844" s="248" t="s">
        <v>1951</v>
      </c>
      <c r="F1844" t="s">
        <v>620</v>
      </c>
      <c r="G1844" s="89">
        <v>2021</v>
      </c>
      <c r="H1844" s="312" t="s">
        <v>733</v>
      </c>
      <c r="I1844" s="308" t="str">
        <f t="shared" si="83"/>
        <v>Pesado de Passageiros M3: I : Gasóleo : E6</v>
      </c>
      <c r="J1844" s="125">
        <v>83</v>
      </c>
      <c r="K1844" s="253">
        <v>2022</v>
      </c>
      <c r="L1844" s="85">
        <v>17404.75</v>
      </c>
      <c r="M1844" s="85" t="s">
        <v>630</v>
      </c>
      <c r="N1844" s="128">
        <v>52890</v>
      </c>
      <c r="O1844" s="128">
        <f t="shared" si="82"/>
        <v>4389870</v>
      </c>
      <c r="Q1844" t="s">
        <v>47</v>
      </c>
      <c r="R1844" s="214" t="s">
        <v>1869</v>
      </c>
      <c r="S1844" s="214" t="s">
        <v>1861</v>
      </c>
      <c r="T1844" t="s">
        <v>2473</v>
      </c>
      <c r="U1844" t="s">
        <v>1953</v>
      </c>
      <c r="V1844" t="s">
        <v>2813</v>
      </c>
    </row>
    <row r="1845" spans="1:22" ht="15.75" thickBot="1" x14ac:dyDescent="0.3">
      <c r="A1845" t="s">
        <v>4585</v>
      </c>
      <c r="B1845" t="s">
        <v>4585</v>
      </c>
      <c r="C1845" t="s">
        <v>4585</v>
      </c>
      <c r="D1845" t="s">
        <v>629</v>
      </c>
      <c r="E1845" s="248" t="s">
        <v>1951</v>
      </c>
      <c r="F1845" t="s">
        <v>620</v>
      </c>
      <c r="G1845" s="89">
        <v>2018</v>
      </c>
      <c r="H1845" s="312" t="s">
        <v>733</v>
      </c>
      <c r="I1845" s="308" t="str">
        <f t="shared" si="83"/>
        <v>Pesado de Passageiros M3: I : Gasóleo : E6</v>
      </c>
      <c r="J1845" s="125">
        <v>26</v>
      </c>
      <c r="K1845" s="253">
        <v>2022</v>
      </c>
      <c r="L1845" s="85">
        <v>8587.19</v>
      </c>
      <c r="M1845" s="85" t="s">
        <v>630</v>
      </c>
      <c r="N1845" s="128">
        <v>48070</v>
      </c>
      <c r="O1845" s="128">
        <f t="shared" si="82"/>
        <v>1249820</v>
      </c>
      <c r="Q1845" t="s">
        <v>47</v>
      </c>
      <c r="R1845" s="214" t="s">
        <v>1869</v>
      </c>
      <c r="S1845" s="214" t="s">
        <v>1861</v>
      </c>
      <c r="T1845" t="s">
        <v>2474</v>
      </c>
      <c r="U1845" t="s">
        <v>1953</v>
      </c>
      <c r="V1845" t="s">
        <v>2813</v>
      </c>
    </row>
    <row r="1846" spans="1:22" ht="15.75" thickBot="1" x14ac:dyDescent="0.3">
      <c r="A1846" t="s">
        <v>4585</v>
      </c>
      <c r="B1846" t="s">
        <v>4585</v>
      </c>
      <c r="C1846" t="s">
        <v>4585</v>
      </c>
      <c r="D1846" t="s">
        <v>629</v>
      </c>
      <c r="E1846" s="248" t="s">
        <v>1951</v>
      </c>
      <c r="F1846" t="s">
        <v>620</v>
      </c>
      <c r="G1846" s="89">
        <v>2019</v>
      </c>
      <c r="H1846" s="312" t="s">
        <v>733</v>
      </c>
      <c r="I1846" s="308" t="str">
        <f t="shared" si="83"/>
        <v>Pesado de Passageiros M3: I : Gasóleo : E6</v>
      </c>
      <c r="J1846" s="125">
        <v>16</v>
      </c>
      <c r="K1846" s="253">
        <v>2022</v>
      </c>
      <c r="L1846" s="85">
        <v>8197.39</v>
      </c>
      <c r="M1846" s="85" t="s">
        <v>630</v>
      </c>
      <c r="N1846" s="128">
        <v>50026</v>
      </c>
      <c r="O1846" s="128">
        <f t="shared" si="82"/>
        <v>800416</v>
      </c>
      <c r="Q1846" t="s">
        <v>47</v>
      </c>
      <c r="R1846" s="214" t="s">
        <v>1869</v>
      </c>
      <c r="S1846" s="214" t="s">
        <v>1861</v>
      </c>
      <c r="T1846" t="s">
        <v>2475</v>
      </c>
      <c r="U1846" t="s">
        <v>1953</v>
      </c>
      <c r="V1846" t="s">
        <v>2813</v>
      </c>
    </row>
    <row r="1847" spans="1:22" ht="15.75" thickBot="1" x14ac:dyDescent="0.3">
      <c r="A1847" t="s">
        <v>4585</v>
      </c>
      <c r="B1847" t="s">
        <v>4585</v>
      </c>
      <c r="C1847" t="s">
        <v>4585</v>
      </c>
      <c r="D1847" t="s">
        <v>629</v>
      </c>
      <c r="E1847" s="248" t="s">
        <v>1951</v>
      </c>
      <c r="F1847" t="s">
        <v>620</v>
      </c>
      <c r="G1847" s="89">
        <v>2017</v>
      </c>
      <c r="H1847" s="312" t="s">
        <v>733</v>
      </c>
      <c r="I1847" s="308" t="str">
        <f t="shared" si="83"/>
        <v>Pesado de Passageiros M3: I : Gasóleo : E6</v>
      </c>
      <c r="J1847" s="125">
        <v>27</v>
      </c>
      <c r="K1847" s="253">
        <v>2022</v>
      </c>
      <c r="L1847" s="85">
        <v>8781.7100000000009</v>
      </c>
      <c r="M1847" s="85" t="s">
        <v>630</v>
      </c>
      <c r="N1847" s="128">
        <v>46944</v>
      </c>
      <c r="O1847" s="128">
        <f t="shared" si="82"/>
        <v>1267488</v>
      </c>
      <c r="Q1847" t="s">
        <v>47</v>
      </c>
      <c r="R1847" s="214" t="s">
        <v>1869</v>
      </c>
      <c r="S1847" s="214" t="s">
        <v>1861</v>
      </c>
      <c r="T1847" t="s">
        <v>2476</v>
      </c>
      <c r="U1847" t="s">
        <v>1953</v>
      </c>
      <c r="V1847" t="s">
        <v>2813</v>
      </c>
    </row>
    <row r="1848" spans="1:22" ht="15.75" thickBot="1" x14ac:dyDescent="0.3">
      <c r="A1848" t="s">
        <v>4585</v>
      </c>
      <c r="B1848" t="s">
        <v>4585</v>
      </c>
      <c r="C1848" t="s">
        <v>4585</v>
      </c>
      <c r="D1848" t="s">
        <v>629</v>
      </c>
      <c r="E1848" s="248" t="s">
        <v>1951</v>
      </c>
      <c r="F1848" t="s">
        <v>620</v>
      </c>
      <c r="G1848" s="89">
        <v>2017</v>
      </c>
      <c r="H1848" s="312" t="s">
        <v>733</v>
      </c>
      <c r="I1848" s="308" t="str">
        <f t="shared" si="83"/>
        <v>Pesado de Passageiros M3: I : Gasóleo : E6</v>
      </c>
      <c r="J1848" s="125">
        <v>27</v>
      </c>
      <c r="K1848" s="253">
        <v>2022</v>
      </c>
      <c r="L1848" s="85">
        <v>11376.73</v>
      </c>
      <c r="M1848" s="85" t="s">
        <v>630</v>
      </c>
      <c r="N1848" s="128">
        <v>58594</v>
      </c>
      <c r="O1848" s="128">
        <f t="shared" si="82"/>
        <v>1582038</v>
      </c>
      <c r="Q1848" t="s">
        <v>47</v>
      </c>
      <c r="R1848" s="214" t="s">
        <v>1869</v>
      </c>
      <c r="S1848" s="214" t="s">
        <v>1861</v>
      </c>
      <c r="T1848" t="s">
        <v>2477</v>
      </c>
      <c r="U1848" t="s">
        <v>1953</v>
      </c>
      <c r="V1848" t="s">
        <v>2813</v>
      </c>
    </row>
    <row r="1849" spans="1:22" ht="15.75" thickBot="1" x14ac:dyDescent="0.3">
      <c r="A1849" t="s">
        <v>4585</v>
      </c>
      <c r="B1849" t="s">
        <v>4585</v>
      </c>
      <c r="C1849" t="s">
        <v>4585</v>
      </c>
      <c r="D1849" t="s">
        <v>629</v>
      </c>
      <c r="E1849" s="248" t="s">
        <v>1951</v>
      </c>
      <c r="F1849" t="s">
        <v>620</v>
      </c>
      <c r="G1849" s="89">
        <v>2008</v>
      </c>
      <c r="H1849" s="312" t="s">
        <v>731</v>
      </c>
      <c r="I1849" s="308" t="str">
        <f t="shared" si="83"/>
        <v>Pesado de Passageiros M3: I : Gasóleo : E4</v>
      </c>
      <c r="J1849" s="125">
        <v>22</v>
      </c>
      <c r="K1849" s="253">
        <v>2022</v>
      </c>
      <c r="L1849" s="85">
        <v>6952.869999999999</v>
      </c>
      <c r="M1849" s="85" t="s">
        <v>630</v>
      </c>
      <c r="N1849" s="128">
        <v>35375</v>
      </c>
      <c r="O1849" s="128">
        <f t="shared" si="82"/>
        <v>778250</v>
      </c>
      <c r="Q1849" t="s">
        <v>47</v>
      </c>
      <c r="R1849" s="214" t="s">
        <v>1869</v>
      </c>
      <c r="S1849" s="214" t="s">
        <v>1861</v>
      </c>
      <c r="T1849" t="s">
        <v>2478</v>
      </c>
      <c r="U1849" t="s">
        <v>1953</v>
      </c>
      <c r="V1849" t="s">
        <v>2813</v>
      </c>
    </row>
    <row r="1850" spans="1:22" ht="15.75" thickBot="1" x14ac:dyDescent="0.3">
      <c r="A1850" t="s">
        <v>4585</v>
      </c>
      <c r="B1850" t="s">
        <v>4585</v>
      </c>
      <c r="C1850" t="s">
        <v>4585</v>
      </c>
      <c r="D1850" t="s">
        <v>629</v>
      </c>
      <c r="E1850" s="248" t="s">
        <v>1951</v>
      </c>
      <c r="F1850" t="s">
        <v>620</v>
      </c>
      <c r="G1850" s="89">
        <v>2011</v>
      </c>
      <c r="H1850" s="312" t="s">
        <v>734</v>
      </c>
      <c r="I1850" s="308" t="str">
        <f t="shared" si="83"/>
        <v>Pesado de Passageiros M3: I : Gasóleo : E5</v>
      </c>
      <c r="J1850" s="125">
        <v>24</v>
      </c>
      <c r="K1850" s="253">
        <v>2022</v>
      </c>
      <c r="L1850" s="85">
        <v>7536.47</v>
      </c>
      <c r="M1850" s="85" t="s">
        <v>630</v>
      </c>
      <c r="N1850" s="128">
        <v>35154</v>
      </c>
      <c r="O1850" s="128">
        <f t="shared" si="82"/>
        <v>843696</v>
      </c>
      <c r="Q1850" t="s">
        <v>47</v>
      </c>
      <c r="R1850" s="214" t="s">
        <v>1869</v>
      </c>
      <c r="S1850" s="214" t="s">
        <v>1861</v>
      </c>
      <c r="T1850" t="s">
        <v>2479</v>
      </c>
      <c r="U1850" t="s">
        <v>1953</v>
      </c>
      <c r="V1850" t="s">
        <v>2813</v>
      </c>
    </row>
    <row r="1851" spans="1:22" ht="15.75" thickBot="1" x14ac:dyDescent="0.3">
      <c r="A1851" t="s">
        <v>4585</v>
      </c>
      <c r="B1851" t="s">
        <v>4585</v>
      </c>
      <c r="C1851" t="s">
        <v>4585</v>
      </c>
      <c r="D1851" t="s">
        <v>629</v>
      </c>
      <c r="E1851" s="248" t="s">
        <v>1951</v>
      </c>
      <c r="F1851" t="s">
        <v>620</v>
      </c>
      <c r="G1851" s="89">
        <v>2011</v>
      </c>
      <c r="H1851" s="312" t="s">
        <v>734</v>
      </c>
      <c r="I1851" s="308" t="str">
        <f t="shared" si="83"/>
        <v>Pesado de Passageiros M3: I : Gasóleo : E5</v>
      </c>
      <c r="J1851" s="125">
        <v>24</v>
      </c>
      <c r="K1851" s="253">
        <v>2022</v>
      </c>
      <c r="L1851" s="85">
        <v>6771.12</v>
      </c>
      <c r="M1851" s="85" t="s">
        <v>630</v>
      </c>
      <c r="N1851" s="128">
        <v>32918</v>
      </c>
      <c r="O1851" s="128">
        <f t="shared" si="82"/>
        <v>790032</v>
      </c>
      <c r="Q1851" t="s">
        <v>47</v>
      </c>
      <c r="R1851" s="214" t="s">
        <v>1869</v>
      </c>
      <c r="S1851" s="214" t="s">
        <v>1861</v>
      </c>
      <c r="T1851" t="s">
        <v>2480</v>
      </c>
      <c r="U1851" t="s">
        <v>1953</v>
      </c>
      <c r="V1851" t="s">
        <v>2813</v>
      </c>
    </row>
    <row r="1852" spans="1:22" ht="15.75" thickBot="1" x14ac:dyDescent="0.3">
      <c r="A1852" t="s">
        <v>4585</v>
      </c>
      <c r="B1852" t="s">
        <v>4585</v>
      </c>
      <c r="C1852" t="s">
        <v>4585</v>
      </c>
      <c r="D1852" t="s">
        <v>629</v>
      </c>
      <c r="E1852" s="248" t="s">
        <v>1951</v>
      </c>
      <c r="F1852" t="s">
        <v>620</v>
      </c>
      <c r="G1852" s="89">
        <v>2011</v>
      </c>
      <c r="H1852" s="312" t="s">
        <v>734</v>
      </c>
      <c r="I1852" s="308" t="str">
        <f t="shared" si="83"/>
        <v>Pesado de Passageiros M3: I : Gasóleo : E5</v>
      </c>
      <c r="J1852" s="125">
        <v>24</v>
      </c>
      <c r="K1852" s="253">
        <v>2022</v>
      </c>
      <c r="L1852" s="85">
        <v>7478.4299999999994</v>
      </c>
      <c r="M1852" s="85" t="s">
        <v>630</v>
      </c>
      <c r="N1852" s="128">
        <v>33842</v>
      </c>
      <c r="O1852" s="128">
        <f t="shared" si="82"/>
        <v>812208</v>
      </c>
      <c r="Q1852" t="s">
        <v>47</v>
      </c>
      <c r="R1852" s="214" t="s">
        <v>1869</v>
      </c>
      <c r="S1852" s="214" t="s">
        <v>1861</v>
      </c>
      <c r="T1852" t="s">
        <v>2481</v>
      </c>
      <c r="U1852" t="s">
        <v>1953</v>
      </c>
      <c r="V1852" t="s">
        <v>2813</v>
      </c>
    </row>
    <row r="1853" spans="1:22" ht="15.75" thickBot="1" x14ac:dyDescent="0.3">
      <c r="A1853" t="s">
        <v>4585</v>
      </c>
      <c r="B1853" t="s">
        <v>4585</v>
      </c>
      <c r="C1853" t="s">
        <v>4585</v>
      </c>
      <c r="D1853" t="s">
        <v>629</v>
      </c>
      <c r="E1853" s="248" t="s">
        <v>1951</v>
      </c>
      <c r="F1853" t="s">
        <v>620</v>
      </c>
      <c r="G1853" s="89">
        <v>2011</v>
      </c>
      <c r="H1853" s="312" t="s">
        <v>734</v>
      </c>
      <c r="I1853" s="308" t="str">
        <f t="shared" si="83"/>
        <v>Pesado de Passageiros M3: I : Gasóleo : E5</v>
      </c>
      <c r="J1853" s="125">
        <v>24</v>
      </c>
      <c r="K1853" s="253">
        <v>2022</v>
      </c>
      <c r="L1853" s="85">
        <v>5219</v>
      </c>
      <c r="M1853" s="85" t="s">
        <v>630</v>
      </c>
      <c r="N1853" s="128">
        <v>25530</v>
      </c>
      <c r="O1853" s="128">
        <f t="shared" si="82"/>
        <v>612720</v>
      </c>
      <c r="Q1853" t="s">
        <v>47</v>
      </c>
      <c r="R1853" s="214" t="s">
        <v>1869</v>
      </c>
      <c r="S1853" s="214" t="s">
        <v>1861</v>
      </c>
      <c r="T1853" t="s">
        <v>2482</v>
      </c>
      <c r="U1853" t="s">
        <v>1953</v>
      </c>
      <c r="V1853" t="s">
        <v>2813</v>
      </c>
    </row>
    <row r="1854" spans="1:22" ht="15.75" thickBot="1" x14ac:dyDescent="0.3">
      <c r="A1854" t="s">
        <v>4585</v>
      </c>
      <c r="B1854" t="s">
        <v>4585</v>
      </c>
      <c r="C1854" t="s">
        <v>4585</v>
      </c>
      <c r="D1854" t="s">
        <v>629</v>
      </c>
      <c r="E1854" s="248" t="s">
        <v>1951</v>
      </c>
      <c r="F1854" t="s">
        <v>620</v>
      </c>
      <c r="G1854" s="89">
        <v>2013</v>
      </c>
      <c r="H1854" s="312" t="s">
        <v>734</v>
      </c>
      <c r="I1854" s="308" t="str">
        <f t="shared" si="83"/>
        <v>Pesado de Passageiros M3: I : Gasóleo : E5</v>
      </c>
      <c r="J1854" s="125">
        <v>24</v>
      </c>
      <c r="K1854" s="253">
        <v>2022</v>
      </c>
      <c r="L1854" s="85">
        <v>6250.84</v>
      </c>
      <c r="M1854" s="85" t="s">
        <v>630</v>
      </c>
      <c r="N1854" s="128">
        <v>28794</v>
      </c>
      <c r="O1854" s="128">
        <f t="shared" si="82"/>
        <v>691056</v>
      </c>
      <c r="Q1854" t="s">
        <v>47</v>
      </c>
      <c r="R1854" s="214" t="s">
        <v>1869</v>
      </c>
      <c r="S1854" s="214" t="s">
        <v>1861</v>
      </c>
      <c r="T1854" t="s">
        <v>2483</v>
      </c>
      <c r="U1854" t="s">
        <v>1953</v>
      </c>
      <c r="V1854" t="s">
        <v>2813</v>
      </c>
    </row>
    <row r="1855" spans="1:22" ht="15.75" thickBot="1" x14ac:dyDescent="0.3">
      <c r="A1855" t="s">
        <v>4585</v>
      </c>
      <c r="B1855" t="s">
        <v>4585</v>
      </c>
      <c r="C1855" t="s">
        <v>4585</v>
      </c>
      <c r="D1855" t="s">
        <v>629</v>
      </c>
      <c r="E1855" s="248" t="s">
        <v>1951</v>
      </c>
      <c r="F1855" t="s">
        <v>620</v>
      </c>
      <c r="G1855" s="89">
        <v>2013</v>
      </c>
      <c r="H1855" s="312" t="s">
        <v>734</v>
      </c>
      <c r="I1855" s="308" t="str">
        <f t="shared" si="83"/>
        <v>Pesado de Passageiros M3: I : Gasóleo : E5</v>
      </c>
      <c r="J1855" s="125">
        <v>24</v>
      </c>
      <c r="K1855" s="253">
        <v>2022</v>
      </c>
      <c r="L1855" s="85">
        <v>9458.57</v>
      </c>
      <c r="M1855" s="85" t="s">
        <v>630</v>
      </c>
      <c r="N1855" s="128">
        <v>46290</v>
      </c>
      <c r="O1855" s="128">
        <f t="shared" si="82"/>
        <v>1110960</v>
      </c>
      <c r="Q1855" t="s">
        <v>47</v>
      </c>
      <c r="R1855" s="214" t="s">
        <v>1869</v>
      </c>
      <c r="S1855" s="214" t="s">
        <v>1861</v>
      </c>
      <c r="T1855" t="s">
        <v>2484</v>
      </c>
      <c r="U1855" t="s">
        <v>1953</v>
      </c>
      <c r="V1855" t="s">
        <v>2813</v>
      </c>
    </row>
    <row r="1856" spans="1:22" ht="15.75" thickBot="1" x14ac:dyDescent="0.3">
      <c r="A1856" t="s">
        <v>4585</v>
      </c>
      <c r="B1856" t="s">
        <v>4585</v>
      </c>
      <c r="C1856" t="s">
        <v>4585</v>
      </c>
      <c r="D1856" t="s">
        <v>629</v>
      </c>
      <c r="E1856" s="248" t="s">
        <v>1951</v>
      </c>
      <c r="F1856" t="s">
        <v>620</v>
      </c>
      <c r="G1856" s="89">
        <v>2013</v>
      </c>
      <c r="H1856" s="312" t="s">
        <v>734</v>
      </c>
      <c r="I1856" s="308" t="str">
        <f t="shared" si="83"/>
        <v>Pesado de Passageiros M3: I : Gasóleo : E5</v>
      </c>
      <c r="J1856" s="125">
        <v>24</v>
      </c>
      <c r="K1856" s="253">
        <v>2022</v>
      </c>
      <c r="L1856" s="85">
        <v>3467.4</v>
      </c>
      <c r="M1856" s="85" t="s">
        <v>630</v>
      </c>
      <c r="N1856" s="128">
        <v>17557</v>
      </c>
      <c r="O1856" s="128">
        <f t="shared" si="82"/>
        <v>421368</v>
      </c>
      <c r="Q1856" t="s">
        <v>47</v>
      </c>
      <c r="R1856" s="214" t="s">
        <v>1869</v>
      </c>
      <c r="S1856" s="214" t="s">
        <v>1861</v>
      </c>
      <c r="T1856" t="s">
        <v>2485</v>
      </c>
      <c r="U1856" t="s">
        <v>1953</v>
      </c>
      <c r="V1856" t="s">
        <v>2813</v>
      </c>
    </row>
    <row r="1857" spans="1:22" ht="15.75" thickBot="1" x14ac:dyDescent="0.3">
      <c r="A1857" t="s">
        <v>4585</v>
      </c>
      <c r="B1857" t="s">
        <v>4585</v>
      </c>
      <c r="C1857" t="s">
        <v>4585</v>
      </c>
      <c r="D1857" t="s">
        <v>629</v>
      </c>
      <c r="E1857" s="248" t="s">
        <v>1951</v>
      </c>
      <c r="F1857" t="s">
        <v>620</v>
      </c>
      <c r="G1857" s="89">
        <v>2013</v>
      </c>
      <c r="H1857" s="312" t="s">
        <v>734</v>
      </c>
      <c r="I1857" s="308" t="str">
        <f t="shared" si="83"/>
        <v>Pesado de Passageiros M3: I : Gasóleo : E5</v>
      </c>
      <c r="J1857" s="125">
        <v>24</v>
      </c>
      <c r="K1857" s="253">
        <v>2022</v>
      </c>
      <c r="L1857" s="85">
        <v>12249.68</v>
      </c>
      <c r="M1857" s="85" t="s">
        <v>630</v>
      </c>
      <c r="N1857" s="128">
        <v>58993</v>
      </c>
      <c r="O1857" s="128">
        <f t="shared" si="82"/>
        <v>1415832</v>
      </c>
      <c r="Q1857" t="s">
        <v>47</v>
      </c>
      <c r="R1857" s="214" t="s">
        <v>1869</v>
      </c>
      <c r="S1857" s="214" t="s">
        <v>1861</v>
      </c>
      <c r="T1857" t="s">
        <v>2486</v>
      </c>
      <c r="U1857" t="s">
        <v>1953</v>
      </c>
      <c r="V1857" t="s">
        <v>2813</v>
      </c>
    </row>
    <row r="1858" spans="1:22" ht="15.75" thickBot="1" x14ac:dyDescent="0.3">
      <c r="A1858" t="s">
        <v>4585</v>
      </c>
      <c r="B1858" t="s">
        <v>4585</v>
      </c>
      <c r="C1858" t="s">
        <v>4585</v>
      </c>
      <c r="D1858" t="s">
        <v>629</v>
      </c>
      <c r="E1858" s="248" t="s">
        <v>1951</v>
      </c>
      <c r="F1858" t="s">
        <v>620</v>
      </c>
      <c r="G1858" s="89">
        <v>2020</v>
      </c>
      <c r="H1858" s="312" t="s">
        <v>733</v>
      </c>
      <c r="I1858" s="308" t="str">
        <f t="shared" si="83"/>
        <v>Pesado de Passageiros M3: I : Gasóleo : E6</v>
      </c>
      <c r="J1858" s="125">
        <v>26</v>
      </c>
      <c r="K1858" s="253">
        <v>2022</v>
      </c>
      <c r="L1858" s="85">
        <v>9457.3799999999992</v>
      </c>
      <c r="M1858" s="85" t="s">
        <v>630</v>
      </c>
      <c r="N1858" s="128">
        <v>48622</v>
      </c>
      <c r="O1858" s="128">
        <f t="shared" si="82"/>
        <v>1264172</v>
      </c>
      <c r="Q1858" t="s">
        <v>47</v>
      </c>
      <c r="R1858" s="214" t="s">
        <v>1869</v>
      </c>
      <c r="S1858" s="214" t="s">
        <v>1861</v>
      </c>
      <c r="T1858" t="s">
        <v>2487</v>
      </c>
      <c r="U1858" t="s">
        <v>1953</v>
      </c>
      <c r="V1858" t="s">
        <v>2813</v>
      </c>
    </row>
    <row r="1859" spans="1:22" ht="15.75" thickBot="1" x14ac:dyDescent="0.3">
      <c r="A1859" t="s">
        <v>4585</v>
      </c>
      <c r="B1859" t="s">
        <v>4585</v>
      </c>
      <c r="C1859" t="s">
        <v>4585</v>
      </c>
      <c r="D1859" t="s">
        <v>629</v>
      </c>
      <c r="E1859" s="248" t="s">
        <v>1951</v>
      </c>
      <c r="F1859" t="s">
        <v>620</v>
      </c>
      <c r="G1859" s="89">
        <v>2020</v>
      </c>
      <c r="H1859" s="312" t="s">
        <v>733</v>
      </c>
      <c r="I1859" s="308" t="str">
        <f t="shared" si="83"/>
        <v>Pesado de Passageiros M3: I : Gasóleo : E6</v>
      </c>
      <c r="J1859" s="125">
        <v>26</v>
      </c>
      <c r="K1859" s="253">
        <v>2022</v>
      </c>
      <c r="L1859" s="85">
        <v>6384.2899999999991</v>
      </c>
      <c r="M1859" s="85" t="s">
        <v>630</v>
      </c>
      <c r="N1859" s="128">
        <v>35657</v>
      </c>
      <c r="O1859" s="128">
        <f t="shared" si="82"/>
        <v>927082</v>
      </c>
      <c r="Q1859" t="s">
        <v>47</v>
      </c>
      <c r="R1859" s="214" t="s">
        <v>1869</v>
      </c>
      <c r="S1859" s="214" t="s">
        <v>1861</v>
      </c>
      <c r="T1859" t="s">
        <v>2488</v>
      </c>
      <c r="U1859" t="s">
        <v>1953</v>
      </c>
      <c r="V1859" t="s">
        <v>2813</v>
      </c>
    </row>
    <row r="1860" spans="1:22" ht="15.75" thickBot="1" x14ac:dyDescent="0.3">
      <c r="A1860" t="s">
        <v>4585</v>
      </c>
      <c r="B1860" t="s">
        <v>4585</v>
      </c>
      <c r="C1860" t="s">
        <v>4585</v>
      </c>
      <c r="D1860" t="s">
        <v>629</v>
      </c>
      <c r="E1860" s="248" t="s">
        <v>1951</v>
      </c>
      <c r="F1860" t="s">
        <v>620</v>
      </c>
      <c r="G1860" s="89">
        <v>2018</v>
      </c>
      <c r="H1860" s="312" t="s">
        <v>733</v>
      </c>
      <c r="I1860" s="308" t="str">
        <f t="shared" ref="I1860:I1923" si="84">D1860&amp;": "&amp;E1860&amp;" : "&amp;F1860&amp;" : "&amp;H1860</f>
        <v>Pesado de Passageiros M3: I : Gasóleo : E6</v>
      </c>
      <c r="J1860" s="125">
        <v>26</v>
      </c>
      <c r="K1860" s="253">
        <v>2022</v>
      </c>
      <c r="L1860" s="85">
        <v>11669.57</v>
      </c>
      <c r="M1860" s="85" t="s">
        <v>630</v>
      </c>
      <c r="N1860" s="128">
        <v>60465</v>
      </c>
      <c r="O1860" s="128">
        <f t="shared" ref="O1860:O1923" si="85">N1860*J1860</f>
        <v>1572090</v>
      </c>
      <c r="Q1860" t="s">
        <v>47</v>
      </c>
      <c r="R1860" s="214" t="s">
        <v>1869</v>
      </c>
      <c r="S1860" s="214" t="s">
        <v>1861</v>
      </c>
      <c r="T1860" t="s">
        <v>2489</v>
      </c>
      <c r="U1860" t="s">
        <v>1953</v>
      </c>
      <c r="V1860" t="s">
        <v>2813</v>
      </c>
    </row>
    <row r="1861" spans="1:22" ht="15.75" thickBot="1" x14ac:dyDescent="0.3">
      <c r="A1861" t="s">
        <v>4585</v>
      </c>
      <c r="B1861" t="s">
        <v>4585</v>
      </c>
      <c r="C1861" t="s">
        <v>4585</v>
      </c>
      <c r="D1861" t="s">
        <v>629</v>
      </c>
      <c r="E1861" s="248" t="s">
        <v>1951</v>
      </c>
      <c r="F1861" t="s">
        <v>620</v>
      </c>
      <c r="G1861" s="89">
        <v>2018</v>
      </c>
      <c r="H1861" s="312" t="s">
        <v>733</v>
      </c>
      <c r="I1861" s="308" t="str">
        <f t="shared" si="84"/>
        <v>Pesado de Passageiros M3: I : Gasóleo : E6</v>
      </c>
      <c r="J1861" s="125">
        <v>26</v>
      </c>
      <c r="K1861" s="253">
        <v>2022</v>
      </c>
      <c r="L1861" s="85">
        <v>12807.63</v>
      </c>
      <c r="M1861" s="85" t="s">
        <v>630</v>
      </c>
      <c r="N1861" s="128">
        <v>65326</v>
      </c>
      <c r="O1861" s="128">
        <f t="shared" si="85"/>
        <v>1698476</v>
      </c>
      <c r="Q1861" t="s">
        <v>47</v>
      </c>
      <c r="R1861" s="214" t="s">
        <v>1869</v>
      </c>
      <c r="S1861" s="214" t="s">
        <v>1861</v>
      </c>
      <c r="T1861" t="s">
        <v>2490</v>
      </c>
      <c r="U1861" t="s">
        <v>1953</v>
      </c>
      <c r="V1861" t="s">
        <v>2813</v>
      </c>
    </row>
    <row r="1862" spans="1:22" ht="15.75" thickBot="1" x14ac:dyDescent="0.3">
      <c r="A1862" t="s">
        <v>4585</v>
      </c>
      <c r="B1862" t="s">
        <v>4585</v>
      </c>
      <c r="C1862" t="s">
        <v>4585</v>
      </c>
      <c r="D1862" t="s">
        <v>629</v>
      </c>
      <c r="E1862" s="248" t="s">
        <v>1951</v>
      </c>
      <c r="F1862" t="s">
        <v>620</v>
      </c>
      <c r="G1862" s="89">
        <v>2018</v>
      </c>
      <c r="H1862" s="312" t="s">
        <v>733</v>
      </c>
      <c r="I1862" s="308" t="str">
        <f t="shared" si="84"/>
        <v>Pesado de Passageiros M3: I : Gasóleo : E6</v>
      </c>
      <c r="J1862" s="125">
        <v>26</v>
      </c>
      <c r="K1862" s="253">
        <v>2022</v>
      </c>
      <c r="L1862" s="85">
        <v>11861.87</v>
      </c>
      <c r="M1862" s="85" t="s">
        <v>630</v>
      </c>
      <c r="N1862" s="128">
        <v>62840</v>
      </c>
      <c r="O1862" s="128">
        <f t="shared" si="85"/>
        <v>1633840</v>
      </c>
      <c r="Q1862" t="s">
        <v>47</v>
      </c>
      <c r="R1862" s="214" t="s">
        <v>1869</v>
      </c>
      <c r="S1862" s="214" t="s">
        <v>1861</v>
      </c>
      <c r="T1862" t="s">
        <v>2491</v>
      </c>
      <c r="U1862" t="s">
        <v>1953</v>
      </c>
      <c r="V1862" t="s">
        <v>2813</v>
      </c>
    </row>
    <row r="1863" spans="1:22" ht="15.75" thickBot="1" x14ac:dyDescent="0.3">
      <c r="A1863" t="s">
        <v>4585</v>
      </c>
      <c r="B1863" t="s">
        <v>4585</v>
      </c>
      <c r="C1863" t="s">
        <v>4585</v>
      </c>
      <c r="D1863" t="s">
        <v>629</v>
      </c>
      <c r="E1863" s="248" t="s">
        <v>1951</v>
      </c>
      <c r="F1863" t="s">
        <v>620</v>
      </c>
      <c r="G1863" s="89">
        <v>2018</v>
      </c>
      <c r="H1863" s="312" t="s">
        <v>733</v>
      </c>
      <c r="I1863" s="308" t="str">
        <f t="shared" si="84"/>
        <v>Pesado de Passageiros M3: I : Gasóleo : E6</v>
      </c>
      <c r="J1863" s="125">
        <v>26</v>
      </c>
      <c r="K1863" s="253">
        <v>2022</v>
      </c>
      <c r="L1863" s="85">
        <v>11048.970000000001</v>
      </c>
      <c r="M1863" s="85" t="s">
        <v>630</v>
      </c>
      <c r="N1863" s="128">
        <v>55876</v>
      </c>
      <c r="O1863" s="128">
        <f t="shared" si="85"/>
        <v>1452776</v>
      </c>
      <c r="Q1863" t="s">
        <v>47</v>
      </c>
      <c r="R1863" s="214" t="s">
        <v>1869</v>
      </c>
      <c r="S1863" s="214" t="s">
        <v>1861</v>
      </c>
      <c r="T1863" t="s">
        <v>2492</v>
      </c>
      <c r="U1863" t="s">
        <v>1953</v>
      </c>
      <c r="V1863" t="s">
        <v>2813</v>
      </c>
    </row>
    <row r="1864" spans="1:22" ht="15.75" thickBot="1" x14ac:dyDescent="0.3">
      <c r="A1864" t="s">
        <v>4586</v>
      </c>
      <c r="B1864" t="s">
        <v>4586</v>
      </c>
      <c r="C1864" t="s">
        <v>4586</v>
      </c>
      <c r="D1864" t="s">
        <v>629</v>
      </c>
      <c r="E1864" s="248" t="s">
        <v>1951</v>
      </c>
      <c r="F1864" t="s">
        <v>620</v>
      </c>
      <c r="G1864" s="89">
        <v>2013</v>
      </c>
      <c r="H1864" s="312" t="s">
        <v>734</v>
      </c>
      <c r="I1864" s="308" t="str">
        <f t="shared" si="84"/>
        <v>Pesado de Passageiros M3: I : Gasóleo : E5</v>
      </c>
      <c r="J1864" s="125">
        <v>24</v>
      </c>
      <c r="K1864" s="253">
        <v>2022</v>
      </c>
      <c r="L1864" s="85">
        <v>5896.24</v>
      </c>
      <c r="M1864" s="85" t="s">
        <v>630</v>
      </c>
      <c r="N1864" s="128">
        <v>31336</v>
      </c>
      <c r="O1864" s="128">
        <f t="shared" si="85"/>
        <v>752064</v>
      </c>
      <c r="Q1864" t="s">
        <v>47</v>
      </c>
      <c r="R1864" s="214" t="s">
        <v>1869</v>
      </c>
      <c r="S1864" s="214" t="s">
        <v>1861</v>
      </c>
      <c r="T1864" t="s">
        <v>2493</v>
      </c>
      <c r="U1864" t="s">
        <v>1953</v>
      </c>
      <c r="V1864" t="s">
        <v>2813</v>
      </c>
    </row>
    <row r="1865" spans="1:22" ht="15.75" thickBot="1" x14ac:dyDescent="0.3">
      <c r="A1865" t="s">
        <v>4586</v>
      </c>
      <c r="B1865" t="s">
        <v>4586</v>
      </c>
      <c r="C1865" t="s">
        <v>4586</v>
      </c>
      <c r="D1865" t="s">
        <v>629</v>
      </c>
      <c r="E1865" s="248" t="s">
        <v>1951</v>
      </c>
      <c r="F1865" t="s">
        <v>620</v>
      </c>
      <c r="G1865" s="89">
        <v>2013</v>
      </c>
      <c r="H1865" s="312" t="s">
        <v>734</v>
      </c>
      <c r="I1865" s="308" t="str">
        <f t="shared" si="84"/>
        <v>Pesado de Passageiros M3: I : Gasóleo : E5</v>
      </c>
      <c r="J1865" s="125">
        <v>24</v>
      </c>
      <c r="K1865" s="253">
        <v>2022</v>
      </c>
      <c r="L1865" s="85">
        <v>6178.7900000000009</v>
      </c>
      <c r="M1865" s="85" t="s">
        <v>630</v>
      </c>
      <c r="N1865" s="128">
        <v>32477</v>
      </c>
      <c r="O1865" s="128">
        <f t="shared" si="85"/>
        <v>779448</v>
      </c>
      <c r="Q1865" t="s">
        <v>47</v>
      </c>
      <c r="R1865" s="214" t="s">
        <v>1869</v>
      </c>
      <c r="S1865" s="214" t="s">
        <v>1861</v>
      </c>
      <c r="T1865" t="s">
        <v>2494</v>
      </c>
      <c r="U1865" t="s">
        <v>1953</v>
      </c>
      <c r="V1865" t="s">
        <v>2813</v>
      </c>
    </row>
    <row r="1866" spans="1:22" ht="15.75" thickBot="1" x14ac:dyDescent="0.3">
      <c r="A1866" t="s">
        <v>4586</v>
      </c>
      <c r="B1866" t="s">
        <v>4586</v>
      </c>
      <c r="C1866" t="s">
        <v>4586</v>
      </c>
      <c r="D1866" t="s">
        <v>629</v>
      </c>
      <c r="E1866" s="248" t="s">
        <v>1951</v>
      </c>
      <c r="F1866" t="s">
        <v>620</v>
      </c>
      <c r="G1866" s="89">
        <v>2016</v>
      </c>
      <c r="H1866" s="312" t="s">
        <v>733</v>
      </c>
      <c r="I1866" s="308" t="str">
        <f t="shared" si="84"/>
        <v>Pesado de Passageiros M3: I : Gasóleo : E6</v>
      </c>
      <c r="J1866" s="125">
        <v>26</v>
      </c>
      <c r="K1866" s="253">
        <v>2022</v>
      </c>
      <c r="L1866" s="85">
        <v>5032.1000000000004</v>
      </c>
      <c r="M1866" s="85" t="s">
        <v>630</v>
      </c>
      <c r="N1866" s="128">
        <v>27963</v>
      </c>
      <c r="O1866" s="128">
        <f t="shared" si="85"/>
        <v>727038</v>
      </c>
      <c r="Q1866" t="s">
        <v>47</v>
      </c>
      <c r="R1866" s="214" t="s">
        <v>1869</v>
      </c>
      <c r="S1866" s="214" t="s">
        <v>1861</v>
      </c>
      <c r="T1866" t="s">
        <v>2495</v>
      </c>
      <c r="U1866" t="s">
        <v>1953</v>
      </c>
      <c r="V1866" t="s">
        <v>2813</v>
      </c>
    </row>
    <row r="1867" spans="1:22" ht="15.75" thickBot="1" x14ac:dyDescent="0.3">
      <c r="A1867" t="s">
        <v>4586</v>
      </c>
      <c r="B1867" t="s">
        <v>4586</v>
      </c>
      <c r="C1867" t="s">
        <v>4586</v>
      </c>
      <c r="D1867" t="s">
        <v>629</v>
      </c>
      <c r="E1867" s="248" t="s">
        <v>1951</v>
      </c>
      <c r="F1867" t="s">
        <v>620</v>
      </c>
      <c r="G1867" s="89">
        <v>2016</v>
      </c>
      <c r="H1867" s="312" t="s">
        <v>733</v>
      </c>
      <c r="I1867" s="308" t="str">
        <f t="shared" si="84"/>
        <v>Pesado de Passageiros M3: I : Gasóleo : E6</v>
      </c>
      <c r="J1867" s="125">
        <v>26</v>
      </c>
      <c r="K1867" s="253">
        <v>2022</v>
      </c>
      <c r="L1867" s="85">
        <v>7610.57</v>
      </c>
      <c r="M1867" s="85" t="s">
        <v>630</v>
      </c>
      <c r="N1867" s="128">
        <v>41209</v>
      </c>
      <c r="O1867" s="128">
        <f t="shared" si="85"/>
        <v>1071434</v>
      </c>
      <c r="Q1867" t="s">
        <v>47</v>
      </c>
      <c r="R1867" s="214" t="s">
        <v>1869</v>
      </c>
      <c r="S1867" s="214" t="s">
        <v>1861</v>
      </c>
      <c r="T1867" t="s">
        <v>2496</v>
      </c>
      <c r="U1867" t="s">
        <v>1953</v>
      </c>
      <c r="V1867" t="s">
        <v>2813</v>
      </c>
    </row>
    <row r="1868" spans="1:22" ht="15.75" thickBot="1" x14ac:dyDescent="0.3">
      <c r="A1868" t="s">
        <v>4586</v>
      </c>
      <c r="B1868" t="s">
        <v>4586</v>
      </c>
      <c r="C1868" t="s">
        <v>4586</v>
      </c>
      <c r="D1868" t="s">
        <v>629</v>
      </c>
      <c r="E1868" s="248" t="s">
        <v>1951</v>
      </c>
      <c r="F1868" t="s">
        <v>620</v>
      </c>
      <c r="G1868" s="89">
        <v>2017</v>
      </c>
      <c r="H1868" s="312" t="s">
        <v>733</v>
      </c>
      <c r="I1868" s="308" t="str">
        <f t="shared" si="84"/>
        <v>Pesado de Passageiros M3: I : Gasóleo : E6</v>
      </c>
      <c r="J1868" s="125">
        <v>16</v>
      </c>
      <c r="K1868" s="253">
        <v>2022</v>
      </c>
      <c r="L1868" s="85">
        <v>7227.8600000000006</v>
      </c>
      <c r="M1868" s="85" t="s">
        <v>630</v>
      </c>
      <c r="N1868" s="128">
        <v>41132</v>
      </c>
      <c r="O1868" s="128">
        <f t="shared" si="85"/>
        <v>658112</v>
      </c>
      <c r="Q1868" t="s">
        <v>47</v>
      </c>
      <c r="R1868" s="214" t="s">
        <v>1869</v>
      </c>
      <c r="S1868" s="214" t="s">
        <v>1861</v>
      </c>
      <c r="T1868" t="s">
        <v>2497</v>
      </c>
      <c r="U1868" t="s">
        <v>1953</v>
      </c>
      <c r="V1868" t="s">
        <v>2813</v>
      </c>
    </row>
    <row r="1869" spans="1:22" ht="15.75" thickBot="1" x14ac:dyDescent="0.3">
      <c r="A1869" t="s">
        <v>4586</v>
      </c>
      <c r="B1869" t="s">
        <v>4586</v>
      </c>
      <c r="C1869" t="s">
        <v>4586</v>
      </c>
      <c r="D1869" t="s">
        <v>629</v>
      </c>
      <c r="E1869" s="248" t="s">
        <v>1951</v>
      </c>
      <c r="F1869" t="s">
        <v>620</v>
      </c>
      <c r="G1869" s="89">
        <v>2017</v>
      </c>
      <c r="H1869" s="312" t="s">
        <v>733</v>
      </c>
      <c r="I1869" s="308" t="str">
        <f t="shared" si="84"/>
        <v>Pesado de Passageiros M3: I : Gasóleo : E6</v>
      </c>
      <c r="J1869" s="125">
        <v>16</v>
      </c>
      <c r="K1869" s="253">
        <v>2022</v>
      </c>
      <c r="L1869" s="85">
        <v>7906.01</v>
      </c>
      <c r="M1869" s="85" t="s">
        <v>630</v>
      </c>
      <c r="N1869" s="128">
        <v>44656</v>
      </c>
      <c r="O1869" s="128">
        <f t="shared" si="85"/>
        <v>714496</v>
      </c>
      <c r="Q1869" t="s">
        <v>47</v>
      </c>
      <c r="R1869" s="214" t="s">
        <v>1869</v>
      </c>
      <c r="S1869" s="214" t="s">
        <v>1861</v>
      </c>
      <c r="T1869" t="s">
        <v>2498</v>
      </c>
      <c r="U1869" t="s">
        <v>1953</v>
      </c>
      <c r="V1869" t="s">
        <v>2813</v>
      </c>
    </row>
    <row r="1870" spans="1:22" ht="15.75" thickBot="1" x14ac:dyDescent="0.3">
      <c r="A1870" t="s">
        <v>4586</v>
      </c>
      <c r="B1870" t="s">
        <v>4586</v>
      </c>
      <c r="C1870" t="s">
        <v>4586</v>
      </c>
      <c r="D1870" t="s">
        <v>629</v>
      </c>
      <c r="E1870" s="248" t="s">
        <v>1951</v>
      </c>
      <c r="F1870" t="s">
        <v>620</v>
      </c>
      <c r="G1870" s="89">
        <v>2018</v>
      </c>
      <c r="H1870" s="312" t="s">
        <v>733</v>
      </c>
      <c r="I1870" s="308" t="str">
        <f t="shared" si="84"/>
        <v>Pesado de Passageiros M3: I : Gasóleo : E6</v>
      </c>
      <c r="J1870" s="125">
        <v>16</v>
      </c>
      <c r="K1870" s="253">
        <v>2022</v>
      </c>
      <c r="L1870" s="85">
        <v>9771.9399999999987</v>
      </c>
      <c r="M1870" s="85" t="s">
        <v>630</v>
      </c>
      <c r="N1870" s="128">
        <v>54872</v>
      </c>
      <c r="O1870" s="128">
        <f t="shared" si="85"/>
        <v>877952</v>
      </c>
      <c r="Q1870" t="s">
        <v>47</v>
      </c>
      <c r="R1870" s="214" t="s">
        <v>1869</v>
      </c>
      <c r="S1870" s="214" t="s">
        <v>1861</v>
      </c>
      <c r="T1870" t="s">
        <v>2499</v>
      </c>
      <c r="U1870" t="s">
        <v>1953</v>
      </c>
      <c r="V1870" t="s">
        <v>2813</v>
      </c>
    </row>
    <row r="1871" spans="1:22" ht="15.75" thickBot="1" x14ac:dyDescent="0.3">
      <c r="A1871" t="s">
        <v>4586</v>
      </c>
      <c r="B1871" t="s">
        <v>4586</v>
      </c>
      <c r="C1871" t="s">
        <v>4586</v>
      </c>
      <c r="D1871" t="s">
        <v>629</v>
      </c>
      <c r="E1871" s="248" t="s">
        <v>1951</v>
      </c>
      <c r="F1871" t="s">
        <v>620</v>
      </c>
      <c r="G1871" s="89">
        <v>2018</v>
      </c>
      <c r="H1871" s="312" t="s">
        <v>733</v>
      </c>
      <c r="I1871" s="308" t="str">
        <f t="shared" si="84"/>
        <v>Pesado de Passageiros M3: I : Gasóleo : E6</v>
      </c>
      <c r="J1871" s="125">
        <v>16</v>
      </c>
      <c r="K1871" s="253">
        <v>2022</v>
      </c>
      <c r="L1871" s="85">
        <v>8436.7999999999993</v>
      </c>
      <c r="M1871" s="85" t="s">
        <v>630</v>
      </c>
      <c r="N1871" s="128">
        <v>47904</v>
      </c>
      <c r="O1871" s="128">
        <f t="shared" si="85"/>
        <v>766464</v>
      </c>
      <c r="Q1871" t="s">
        <v>47</v>
      </c>
      <c r="R1871" s="214" t="s">
        <v>1869</v>
      </c>
      <c r="S1871" s="214" t="s">
        <v>1861</v>
      </c>
      <c r="T1871" t="s">
        <v>2500</v>
      </c>
      <c r="U1871" t="s">
        <v>1953</v>
      </c>
      <c r="V1871" t="s">
        <v>2813</v>
      </c>
    </row>
    <row r="1872" spans="1:22" ht="15.75" thickBot="1" x14ac:dyDescent="0.3">
      <c r="A1872" t="s">
        <v>4586</v>
      </c>
      <c r="B1872" t="s">
        <v>4586</v>
      </c>
      <c r="C1872" t="s">
        <v>4586</v>
      </c>
      <c r="D1872" t="s">
        <v>629</v>
      </c>
      <c r="E1872" s="248" t="s">
        <v>1951</v>
      </c>
      <c r="F1872" t="s">
        <v>620</v>
      </c>
      <c r="G1872" s="89">
        <v>2018</v>
      </c>
      <c r="H1872" s="312" t="s">
        <v>733</v>
      </c>
      <c r="I1872" s="308" t="str">
        <f t="shared" si="84"/>
        <v>Pesado de Passageiros M3: I : Gasóleo : E6</v>
      </c>
      <c r="J1872" s="125">
        <v>16</v>
      </c>
      <c r="K1872" s="253">
        <v>2022</v>
      </c>
      <c r="L1872" s="85">
        <v>9199.9599999999991</v>
      </c>
      <c r="M1872" s="85" t="s">
        <v>630</v>
      </c>
      <c r="N1872" s="128">
        <v>51409</v>
      </c>
      <c r="O1872" s="128">
        <f t="shared" si="85"/>
        <v>822544</v>
      </c>
      <c r="Q1872" t="s">
        <v>47</v>
      </c>
      <c r="R1872" s="214" t="s">
        <v>1869</v>
      </c>
      <c r="S1872" s="214" t="s">
        <v>1861</v>
      </c>
      <c r="T1872" t="s">
        <v>2501</v>
      </c>
      <c r="U1872" t="s">
        <v>1953</v>
      </c>
      <c r="V1872" t="s">
        <v>2813</v>
      </c>
    </row>
    <row r="1873" spans="1:22" ht="15.75" thickBot="1" x14ac:dyDescent="0.3">
      <c r="A1873" t="s">
        <v>4586</v>
      </c>
      <c r="B1873" t="s">
        <v>4586</v>
      </c>
      <c r="C1873" t="s">
        <v>4586</v>
      </c>
      <c r="D1873" t="s">
        <v>629</v>
      </c>
      <c r="E1873" s="248" t="s">
        <v>1951</v>
      </c>
      <c r="F1873" t="s">
        <v>620</v>
      </c>
      <c r="G1873" s="89">
        <v>2019</v>
      </c>
      <c r="H1873" s="312" t="s">
        <v>733</v>
      </c>
      <c r="I1873" s="308" t="str">
        <f t="shared" si="84"/>
        <v>Pesado de Passageiros M3: I : Gasóleo : E6</v>
      </c>
      <c r="J1873" s="125">
        <v>35</v>
      </c>
      <c r="K1873" s="253">
        <v>2022</v>
      </c>
      <c r="L1873" s="85">
        <v>5087.62</v>
      </c>
      <c r="M1873" s="85" t="s">
        <v>630</v>
      </c>
      <c r="N1873" s="128">
        <v>13072</v>
      </c>
      <c r="O1873" s="128">
        <f t="shared" si="85"/>
        <v>457520</v>
      </c>
      <c r="Q1873" t="s">
        <v>47</v>
      </c>
      <c r="R1873" s="214" t="s">
        <v>1869</v>
      </c>
      <c r="S1873" s="214" t="s">
        <v>1861</v>
      </c>
      <c r="T1873" t="s">
        <v>2502</v>
      </c>
      <c r="U1873" t="s">
        <v>1953</v>
      </c>
      <c r="V1873" t="s">
        <v>2813</v>
      </c>
    </row>
    <row r="1874" spans="1:22" ht="15.75" thickBot="1" x14ac:dyDescent="0.3">
      <c r="A1874" t="s">
        <v>4586</v>
      </c>
      <c r="B1874" t="s">
        <v>4586</v>
      </c>
      <c r="C1874" t="s">
        <v>4586</v>
      </c>
      <c r="D1874" t="s">
        <v>629</v>
      </c>
      <c r="E1874" s="248" t="s">
        <v>1951</v>
      </c>
      <c r="F1874" t="s">
        <v>620</v>
      </c>
      <c r="G1874" s="89">
        <v>2019</v>
      </c>
      <c r="H1874" s="312" t="s">
        <v>733</v>
      </c>
      <c r="I1874" s="308" t="str">
        <f t="shared" si="84"/>
        <v>Pesado de Passageiros M3: I : Gasóleo : E6</v>
      </c>
      <c r="J1874" s="125">
        <v>35</v>
      </c>
      <c r="K1874" s="253">
        <v>2022</v>
      </c>
      <c r="L1874" s="85">
        <v>7775.51</v>
      </c>
      <c r="M1874" s="85" t="s">
        <v>630</v>
      </c>
      <c r="N1874" s="128">
        <v>22021</v>
      </c>
      <c r="O1874" s="128">
        <f t="shared" si="85"/>
        <v>770735</v>
      </c>
      <c r="Q1874" t="s">
        <v>47</v>
      </c>
      <c r="R1874" s="214" t="s">
        <v>1869</v>
      </c>
      <c r="S1874" s="214" t="s">
        <v>1861</v>
      </c>
      <c r="T1874" t="s">
        <v>2503</v>
      </c>
      <c r="U1874" t="s">
        <v>1953</v>
      </c>
      <c r="V1874" t="s">
        <v>2813</v>
      </c>
    </row>
    <row r="1875" spans="1:22" ht="15.75" thickBot="1" x14ac:dyDescent="0.3">
      <c r="A1875" t="s">
        <v>4586</v>
      </c>
      <c r="B1875" t="s">
        <v>4586</v>
      </c>
      <c r="C1875" t="s">
        <v>4586</v>
      </c>
      <c r="D1875" t="s">
        <v>629</v>
      </c>
      <c r="E1875" s="248" t="s">
        <v>1951</v>
      </c>
      <c r="F1875" t="s">
        <v>620</v>
      </c>
      <c r="G1875" s="89">
        <v>2019</v>
      </c>
      <c r="H1875" s="312" t="s">
        <v>733</v>
      </c>
      <c r="I1875" s="308" t="str">
        <f t="shared" si="84"/>
        <v>Pesado de Passageiros M3: I : Gasóleo : E6</v>
      </c>
      <c r="J1875" s="125">
        <v>35</v>
      </c>
      <c r="K1875" s="253">
        <v>2022</v>
      </c>
      <c r="L1875" s="85">
        <v>3898.6000000000004</v>
      </c>
      <c r="M1875" s="85" t="s">
        <v>630</v>
      </c>
      <c r="N1875" s="128">
        <v>10328</v>
      </c>
      <c r="O1875" s="128">
        <f t="shared" si="85"/>
        <v>361480</v>
      </c>
      <c r="Q1875" t="s">
        <v>47</v>
      </c>
      <c r="R1875" s="214" t="s">
        <v>1869</v>
      </c>
      <c r="S1875" s="214" t="s">
        <v>1861</v>
      </c>
      <c r="T1875" t="s">
        <v>2504</v>
      </c>
      <c r="U1875" t="s">
        <v>1953</v>
      </c>
      <c r="V1875" t="s">
        <v>2813</v>
      </c>
    </row>
    <row r="1876" spans="1:22" ht="15.75" thickBot="1" x14ac:dyDescent="0.3">
      <c r="A1876" t="s">
        <v>4586</v>
      </c>
      <c r="B1876" t="s">
        <v>4586</v>
      </c>
      <c r="C1876" t="s">
        <v>4586</v>
      </c>
      <c r="D1876" t="s">
        <v>629</v>
      </c>
      <c r="E1876" s="248" t="s">
        <v>1951</v>
      </c>
      <c r="F1876" t="s">
        <v>620</v>
      </c>
      <c r="G1876" s="89">
        <v>2019</v>
      </c>
      <c r="H1876" s="312" t="s">
        <v>733</v>
      </c>
      <c r="I1876" s="308" t="str">
        <f t="shared" si="84"/>
        <v>Pesado de Passageiros M3: I : Gasóleo : E6</v>
      </c>
      <c r="J1876" s="125">
        <v>26</v>
      </c>
      <c r="K1876" s="253">
        <v>2022</v>
      </c>
      <c r="L1876" s="85">
        <v>15180.149999999998</v>
      </c>
      <c r="M1876" s="85" t="s">
        <v>630</v>
      </c>
      <c r="N1876" s="128">
        <v>48191</v>
      </c>
      <c r="O1876" s="128">
        <f t="shared" si="85"/>
        <v>1252966</v>
      </c>
      <c r="Q1876" t="s">
        <v>47</v>
      </c>
      <c r="R1876" s="214" t="s">
        <v>1869</v>
      </c>
      <c r="S1876" s="214" t="s">
        <v>1861</v>
      </c>
      <c r="T1876" t="s">
        <v>2505</v>
      </c>
      <c r="U1876" t="s">
        <v>1953</v>
      </c>
      <c r="V1876" t="s">
        <v>2813</v>
      </c>
    </row>
    <row r="1877" spans="1:22" ht="15.75" thickBot="1" x14ac:dyDescent="0.3">
      <c r="A1877" t="s">
        <v>4586</v>
      </c>
      <c r="B1877" t="s">
        <v>4586</v>
      </c>
      <c r="C1877" t="s">
        <v>4586</v>
      </c>
      <c r="D1877" t="s">
        <v>629</v>
      </c>
      <c r="E1877" s="248" t="s">
        <v>1951</v>
      </c>
      <c r="F1877" t="s">
        <v>620</v>
      </c>
      <c r="G1877" s="89">
        <v>2019</v>
      </c>
      <c r="H1877" s="312" t="s">
        <v>733</v>
      </c>
      <c r="I1877" s="308" t="str">
        <f t="shared" si="84"/>
        <v>Pesado de Passageiros M3: I : Gasóleo : E6</v>
      </c>
      <c r="J1877" s="125">
        <v>26</v>
      </c>
      <c r="K1877" s="253">
        <v>2022</v>
      </c>
      <c r="L1877" s="85">
        <v>17923.629999999997</v>
      </c>
      <c r="M1877" s="85" t="s">
        <v>630</v>
      </c>
      <c r="N1877" s="128">
        <v>55435</v>
      </c>
      <c r="O1877" s="128">
        <f t="shared" si="85"/>
        <v>1441310</v>
      </c>
      <c r="Q1877" t="s">
        <v>47</v>
      </c>
      <c r="R1877" s="214" t="s">
        <v>1869</v>
      </c>
      <c r="S1877" s="214" t="s">
        <v>1861</v>
      </c>
      <c r="T1877" t="s">
        <v>2506</v>
      </c>
      <c r="U1877" t="s">
        <v>1953</v>
      </c>
      <c r="V1877" t="s">
        <v>2813</v>
      </c>
    </row>
    <row r="1878" spans="1:22" ht="15.75" thickBot="1" x14ac:dyDescent="0.3">
      <c r="A1878" t="s">
        <v>4586</v>
      </c>
      <c r="B1878" t="s">
        <v>4586</v>
      </c>
      <c r="C1878" t="s">
        <v>4586</v>
      </c>
      <c r="D1878" t="s">
        <v>629</v>
      </c>
      <c r="E1878" s="248" t="s">
        <v>1951</v>
      </c>
      <c r="F1878" t="s">
        <v>620</v>
      </c>
      <c r="G1878" s="89">
        <v>2019</v>
      </c>
      <c r="H1878" s="312" t="s">
        <v>733</v>
      </c>
      <c r="I1878" s="308" t="str">
        <f t="shared" si="84"/>
        <v>Pesado de Passageiros M3: I : Gasóleo : E6</v>
      </c>
      <c r="J1878" s="125">
        <v>26</v>
      </c>
      <c r="K1878" s="253">
        <v>2022</v>
      </c>
      <c r="L1878" s="85">
        <v>18815.52</v>
      </c>
      <c r="M1878" s="85" t="s">
        <v>630</v>
      </c>
      <c r="N1878" s="128">
        <v>59428</v>
      </c>
      <c r="O1878" s="128">
        <f t="shared" si="85"/>
        <v>1545128</v>
      </c>
      <c r="Q1878" t="s">
        <v>47</v>
      </c>
      <c r="R1878" s="214" t="s">
        <v>1869</v>
      </c>
      <c r="S1878" s="214" t="s">
        <v>1861</v>
      </c>
      <c r="T1878" t="s">
        <v>2507</v>
      </c>
      <c r="U1878" t="s">
        <v>1953</v>
      </c>
      <c r="V1878" t="s">
        <v>2813</v>
      </c>
    </row>
    <row r="1879" spans="1:22" ht="15.75" thickBot="1" x14ac:dyDescent="0.3">
      <c r="A1879" t="s">
        <v>4586</v>
      </c>
      <c r="B1879" t="s">
        <v>4586</v>
      </c>
      <c r="C1879" t="s">
        <v>4586</v>
      </c>
      <c r="D1879" t="s">
        <v>629</v>
      </c>
      <c r="E1879" s="248" t="s">
        <v>1951</v>
      </c>
      <c r="F1879" t="s">
        <v>620</v>
      </c>
      <c r="G1879" s="89">
        <v>2019</v>
      </c>
      <c r="H1879" s="312" t="s">
        <v>733</v>
      </c>
      <c r="I1879" s="308" t="str">
        <f t="shared" si="84"/>
        <v>Pesado de Passageiros M3: I : Gasóleo : E6</v>
      </c>
      <c r="J1879" s="125">
        <v>26</v>
      </c>
      <c r="K1879" s="253">
        <v>2022</v>
      </c>
      <c r="L1879" s="85">
        <v>17652.78</v>
      </c>
      <c r="M1879" s="85" t="s">
        <v>630</v>
      </c>
      <c r="N1879" s="128">
        <v>57773</v>
      </c>
      <c r="O1879" s="128">
        <f t="shared" si="85"/>
        <v>1502098</v>
      </c>
      <c r="Q1879" t="s">
        <v>47</v>
      </c>
      <c r="R1879" s="214" t="s">
        <v>1869</v>
      </c>
      <c r="S1879" s="214" t="s">
        <v>1861</v>
      </c>
      <c r="T1879" t="s">
        <v>2508</v>
      </c>
      <c r="U1879" t="s">
        <v>1953</v>
      </c>
      <c r="V1879" t="s">
        <v>2813</v>
      </c>
    </row>
    <row r="1880" spans="1:22" ht="15.75" thickBot="1" x14ac:dyDescent="0.3">
      <c r="A1880" t="s">
        <v>4586</v>
      </c>
      <c r="B1880" t="s">
        <v>4586</v>
      </c>
      <c r="C1880" t="s">
        <v>4586</v>
      </c>
      <c r="D1880" t="s">
        <v>629</v>
      </c>
      <c r="E1880" s="248" t="s">
        <v>1951</v>
      </c>
      <c r="F1880" t="s">
        <v>620</v>
      </c>
      <c r="G1880" s="89">
        <v>2019</v>
      </c>
      <c r="H1880" s="312" t="s">
        <v>733</v>
      </c>
      <c r="I1880" s="308" t="str">
        <f t="shared" si="84"/>
        <v>Pesado de Passageiros M3: I : Gasóleo : E6</v>
      </c>
      <c r="J1880" s="125">
        <v>26</v>
      </c>
      <c r="K1880" s="253">
        <v>2022</v>
      </c>
      <c r="L1880" s="85">
        <v>15612.32</v>
      </c>
      <c r="M1880" s="85" t="s">
        <v>630</v>
      </c>
      <c r="N1880" s="128">
        <v>49202</v>
      </c>
      <c r="O1880" s="128">
        <f t="shared" si="85"/>
        <v>1279252</v>
      </c>
      <c r="Q1880" t="s">
        <v>47</v>
      </c>
      <c r="R1880" s="214" t="s">
        <v>1869</v>
      </c>
      <c r="S1880" s="214" t="s">
        <v>1861</v>
      </c>
      <c r="T1880" t="s">
        <v>2509</v>
      </c>
      <c r="U1880" t="s">
        <v>1953</v>
      </c>
      <c r="V1880" t="s">
        <v>2813</v>
      </c>
    </row>
    <row r="1881" spans="1:22" ht="15.75" thickBot="1" x14ac:dyDescent="0.3">
      <c r="A1881" t="s">
        <v>4586</v>
      </c>
      <c r="B1881" t="s">
        <v>4586</v>
      </c>
      <c r="C1881" t="s">
        <v>4586</v>
      </c>
      <c r="D1881" t="s">
        <v>629</v>
      </c>
      <c r="E1881" s="248" t="s">
        <v>1951</v>
      </c>
      <c r="F1881" t="s">
        <v>620</v>
      </c>
      <c r="G1881" s="89">
        <v>2019</v>
      </c>
      <c r="H1881" s="312" t="s">
        <v>733</v>
      </c>
      <c r="I1881" s="308" t="str">
        <f t="shared" si="84"/>
        <v>Pesado de Passageiros M3: I : Gasóleo : E6</v>
      </c>
      <c r="J1881" s="125">
        <v>26</v>
      </c>
      <c r="K1881" s="253">
        <v>2022</v>
      </c>
      <c r="L1881" s="85">
        <v>17975.12</v>
      </c>
      <c r="M1881" s="85" t="s">
        <v>630</v>
      </c>
      <c r="N1881" s="128">
        <v>55416</v>
      </c>
      <c r="O1881" s="128">
        <f t="shared" si="85"/>
        <v>1440816</v>
      </c>
      <c r="Q1881" t="s">
        <v>47</v>
      </c>
      <c r="R1881" s="214" t="s">
        <v>1869</v>
      </c>
      <c r="S1881" s="214" t="s">
        <v>1861</v>
      </c>
      <c r="T1881" t="s">
        <v>2510</v>
      </c>
      <c r="U1881" t="s">
        <v>1953</v>
      </c>
      <c r="V1881" t="s">
        <v>2813</v>
      </c>
    </row>
    <row r="1882" spans="1:22" ht="15.75" thickBot="1" x14ac:dyDescent="0.3">
      <c r="A1882" t="s">
        <v>4586</v>
      </c>
      <c r="B1882" t="s">
        <v>4586</v>
      </c>
      <c r="C1882" t="s">
        <v>4586</v>
      </c>
      <c r="D1882" t="s">
        <v>629</v>
      </c>
      <c r="E1882" s="248" t="s">
        <v>1951</v>
      </c>
      <c r="F1882" t="s">
        <v>620</v>
      </c>
      <c r="G1882" s="89">
        <v>2019</v>
      </c>
      <c r="H1882" s="312" t="s">
        <v>733</v>
      </c>
      <c r="I1882" s="308" t="str">
        <f t="shared" si="84"/>
        <v>Pesado de Passageiros M3: I : Gasóleo : E6</v>
      </c>
      <c r="J1882" s="125">
        <v>26</v>
      </c>
      <c r="K1882" s="253">
        <v>2022</v>
      </c>
      <c r="L1882" s="85">
        <v>18498.93</v>
      </c>
      <c r="M1882" s="85" t="s">
        <v>630</v>
      </c>
      <c r="N1882" s="128">
        <v>58225</v>
      </c>
      <c r="O1882" s="128">
        <f t="shared" si="85"/>
        <v>1513850</v>
      </c>
      <c r="Q1882" t="s">
        <v>47</v>
      </c>
      <c r="R1882" s="214" t="s">
        <v>1869</v>
      </c>
      <c r="S1882" s="214" t="s">
        <v>1861</v>
      </c>
      <c r="T1882" t="s">
        <v>2511</v>
      </c>
      <c r="U1882" t="s">
        <v>1953</v>
      </c>
      <c r="V1882" t="s">
        <v>2813</v>
      </c>
    </row>
    <row r="1883" spans="1:22" ht="15.75" thickBot="1" x14ac:dyDescent="0.3">
      <c r="A1883" t="s">
        <v>4599</v>
      </c>
      <c r="B1883" t="s">
        <v>4599</v>
      </c>
      <c r="C1883" t="s">
        <v>4599</v>
      </c>
      <c r="D1883" t="s">
        <v>629</v>
      </c>
      <c r="E1883" s="248" t="s">
        <v>1951</v>
      </c>
      <c r="F1883" t="s">
        <v>620</v>
      </c>
      <c r="G1883" s="89">
        <v>2004</v>
      </c>
      <c r="H1883" s="312" t="s">
        <v>732</v>
      </c>
      <c r="I1883" s="308" t="str">
        <f t="shared" si="84"/>
        <v>Pesado de Passageiros M3: I : Gasóleo : E3</v>
      </c>
      <c r="J1883" s="125">
        <v>124</v>
      </c>
      <c r="K1883" s="253">
        <v>2022</v>
      </c>
      <c r="L1883" s="85">
        <v>11869.79</v>
      </c>
      <c r="M1883" s="85" t="s">
        <v>630</v>
      </c>
      <c r="N1883" s="128">
        <v>32483</v>
      </c>
      <c r="O1883" s="128">
        <f t="shared" si="85"/>
        <v>4027892</v>
      </c>
      <c r="Q1883" t="s">
        <v>47</v>
      </c>
      <c r="R1883" s="214" t="s">
        <v>1869</v>
      </c>
      <c r="S1883" s="214" t="s">
        <v>1861</v>
      </c>
      <c r="T1883" t="s">
        <v>2512</v>
      </c>
      <c r="U1883" t="s">
        <v>1953</v>
      </c>
      <c r="V1883" t="s">
        <v>2813</v>
      </c>
    </row>
    <row r="1884" spans="1:22" ht="15.75" thickBot="1" x14ac:dyDescent="0.3">
      <c r="A1884" t="s">
        <v>4599</v>
      </c>
      <c r="B1884" t="s">
        <v>4599</v>
      </c>
      <c r="C1884" t="s">
        <v>4599</v>
      </c>
      <c r="D1884" t="s">
        <v>629</v>
      </c>
      <c r="E1884" s="248" t="s">
        <v>1951</v>
      </c>
      <c r="F1884" t="s">
        <v>620</v>
      </c>
      <c r="G1884" s="89">
        <v>2004</v>
      </c>
      <c r="H1884" s="312" t="s">
        <v>732</v>
      </c>
      <c r="I1884" s="308" t="str">
        <f t="shared" si="84"/>
        <v>Pesado de Passageiros M3: I : Gasóleo : E3</v>
      </c>
      <c r="J1884" s="125">
        <v>72</v>
      </c>
      <c r="K1884" s="253">
        <v>2022</v>
      </c>
      <c r="L1884" s="85">
        <v>11131.04</v>
      </c>
      <c r="M1884" s="85" t="s">
        <v>630</v>
      </c>
      <c r="N1884" s="128">
        <v>31013</v>
      </c>
      <c r="O1884" s="128">
        <f t="shared" si="85"/>
        <v>2232936</v>
      </c>
      <c r="Q1884" t="s">
        <v>47</v>
      </c>
      <c r="R1884" s="214" t="s">
        <v>1869</v>
      </c>
      <c r="S1884" s="214" t="s">
        <v>1861</v>
      </c>
      <c r="T1884" t="s">
        <v>2513</v>
      </c>
      <c r="U1884" t="s">
        <v>1953</v>
      </c>
      <c r="V1884" t="s">
        <v>2813</v>
      </c>
    </row>
    <row r="1885" spans="1:22" ht="15.75" thickBot="1" x14ac:dyDescent="0.3">
      <c r="A1885" t="s">
        <v>4599</v>
      </c>
      <c r="B1885" t="s">
        <v>4599</v>
      </c>
      <c r="C1885" t="s">
        <v>4599</v>
      </c>
      <c r="D1885" t="s">
        <v>629</v>
      </c>
      <c r="E1885" s="248" t="s">
        <v>1951</v>
      </c>
      <c r="F1885" t="s">
        <v>620</v>
      </c>
      <c r="G1885" s="89">
        <v>2009</v>
      </c>
      <c r="H1885" s="312" t="s">
        <v>731</v>
      </c>
      <c r="I1885" s="308" t="str">
        <f t="shared" si="84"/>
        <v>Pesado de Passageiros M3: I : Gasóleo : E4</v>
      </c>
      <c r="J1885" s="125">
        <v>90</v>
      </c>
      <c r="K1885" s="253">
        <v>2022</v>
      </c>
      <c r="L1885" s="85">
        <v>2617.7600000000002</v>
      </c>
      <c r="M1885" s="85" t="s">
        <v>630</v>
      </c>
      <c r="N1885" s="128">
        <v>7630</v>
      </c>
      <c r="O1885" s="128">
        <f t="shared" si="85"/>
        <v>686700</v>
      </c>
      <c r="Q1885" t="s">
        <v>47</v>
      </c>
      <c r="R1885" s="214" t="s">
        <v>1869</v>
      </c>
      <c r="S1885" s="214" t="s">
        <v>1861</v>
      </c>
      <c r="T1885" t="s">
        <v>2514</v>
      </c>
      <c r="U1885" t="s">
        <v>1953</v>
      </c>
      <c r="V1885" t="s">
        <v>2813</v>
      </c>
    </row>
    <row r="1886" spans="1:22" ht="15.75" thickBot="1" x14ac:dyDescent="0.3">
      <c r="A1886" t="s">
        <v>4599</v>
      </c>
      <c r="B1886" t="s">
        <v>4599</v>
      </c>
      <c r="C1886" t="s">
        <v>4599</v>
      </c>
      <c r="D1886" t="s">
        <v>629</v>
      </c>
      <c r="E1886" s="248" t="s">
        <v>1951</v>
      </c>
      <c r="F1886" t="s">
        <v>620</v>
      </c>
      <c r="G1886" s="89">
        <v>2004</v>
      </c>
      <c r="H1886" s="312" t="s">
        <v>732</v>
      </c>
      <c r="I1886" s="308" t="str">
        <f t="shared" si="84"/>
        <v>Pesado de Passageiros M3: I : Gasóleo : E3</v>
      </c>
      <c r="J1886" s="125">
        <v>72</v>
      </c>
      <c r="K1886" s="253">
        <v>2022</v>
      </c>
      <c r="L1886" s="85">
        <v>7704.9800000000014</v>
      </c>
      <c r="M1886" s="85" t="s">
        <v>630</v>
      </c>
      <c r="N1886" s="128">
        <v>19648</v>
      </c>
      <c r="O1886" s="128">
        <f t="shared" si="85"/>
        <v>1414656</v>
      </c>
      <c r="Q1886" t="s">
        <v>47</v>
      </c>
      <c r="R1886" s="214" t="s">
        <v>1869</v>
      </c>
      <c r="S1886" s="214" t="s">
        <v>1861</v>
      </c>
      <c r="T1886" t="s">
        <v>2515</v>
      </c>
      <c r="U1886" t="s">
        <v>1953</v>
      </c>
      <c r="V1886" t="s">
        <v>2813</v>
      </c>
    </row>
    <row r="1887" spans="1:22" ht="15.75" thickBot="1" x14ac:dyDescent="0.3">
      <c r="A1887" t="s">
        <v>4599</v>
      </c>
      <c r="B1887" t="s">
        <v>4599</v>
      </c>
      <c r="C1887" t="s">
        <v>4599</v>
      </c>
      <c r="D1887" t="s">
        <v>629</v>
      </c>
      <c r="E1887" s="248" t="s">
        <v>1951</v>
      </c>
      <c r="F1887" t="s">
        <v>620</v>
      </c>
      <c r="G1887" s="89">
        <v>2003</v>
      </c>
      <c r="H1887" s="312" t="s">
        <v>732</v>
      </c>
      <c r="I1887" s="308" t="str">
        <f t="shared" si="84"/>
        <v>Pesado de Passageiros M3: I : Gasóleo : E3</v>
      </c>
      <c r="J1887" s="125">
        <v>81</v>
      </c>
      <c r="K1887" s="253">
        <v>2022</v>
      </c>
      <c r="L1887" s="85">
        <v>5498.6</v>
      </c>
      <c r="M1887" s="85" t="s">
        <v>630</v>
      </c>
      <c r="N1887" s="128">
        <v>12515</v>
      </c>
      <c r="O1887" s="128">
        <f t="shared" si="85"/>
        <v>1013715</v>
      </c>
      <c r="Q1887" t="s">
        <v>47</v>
      </c>
      <c r="R1887" s="214" t="s">
        <v>1869</v>
      </c>
      <c r="S1887" s="214" t="s">
        <v>1861</v>
      </c>
      <c r="T1887" t="s">
        <v>2516</v>
      </c>
      <c r="U1887" t="s">
        <v>1953</v>
      </c>
      <c r="V1887" t="s">
        <v>2813</v>
      </c>
    </row>
    <row r="1888" spans="1:22" ht="15.75" thickBot="1" x14ac:dyDescent="0.3">
      <c r="A1888" t="s">
        <v>4599</v>
      </c>
      <c r="B1888" t="s">
        <v>4599</v>
      </c>
      <c r="C1888" t="s">
        <v>4599</v>
      </c>
      <c r="D1888" t="s">
        <v>629</v>
      </c>
      <c r="E1888" s="248" t="s">
        <v>1951</v>
      </c>
      <c r="F1888" t="s">
        <v>620</v>
      </c>
      <c r="G1888" s="89">
        <v>2005</v>
      </c>
      <c r="H1888" s="312" t="s">
        <v>731</v>
      </c>
      <c r="I1888" s="308" t="str">
        <f t="shared" si="84"/>
        <v>Pesado de Passageiros M3: I : Gasóleo : E4</v>
      </c>
      <c r="J1888" s="125">
        <v>48</v>
      </c>
      <c r="K1888" s="253">
        <v>2022</v>
      </c>
      <c r="L1888" s="85">
        <v>8437.1</v>
      </c>
      <c r="M1888" s="85" t="s">
        <v>630</v>
      </c>
      <c r="N1888" s="128">
        <v>19789</v>
      </c>
      <c r="O1888" s="128">
        <f t="shared" si="85"/>
        <v>949872</v>
      </c>
      <c r="Q1888" t="s">
        <v>47</v>
      </c>
      <c r="R1888" s="214" t="s">
        <v>1869</v>
      </c>
      <c r="S1888" s="214" t="s">
        <v>1861</v>
      </c>
      <c r="T1888" t="s">
        <v>2517</v>
      </c>
      <c r="U1888" t="s">
        <v>1953</v>
      </c>
      <c r="V1888" t="s">
        <v>2813</v>
      </c>
    </row>
    <row r="1889" spans="1:22" ht="15.75" thickBot="1" x14ac:dyDescent="0.3">
      <c r="A1889" t="s">
        <v>4599</v>
      </c>
      <c r="B1889" t="s">
        <v>4599</v>
      </c>
      <c r="C1889" t="s">
        <v>4599</v>
      </c>
      <c r="D1889" t="s">
        <v>629</v>
      </c>
      <c r="E1889" s="248" t="s">
        <v>1951</v>
      </c>
      <c r="F1889" t="s">
        <v>620</v>
      </c>
      <c r="G1889" s="89">
        <v>2003</v>
      </c>
      <c r="H1889" s="312" t="s">
        <v>732</v>
      </c>
      <c r="I1889" s="308" t="str">
        <f t="shared" si="84"/>
        <v>Pesado de Passageiros M3: I : Gasóleo : E3</v>
      </c>
      <c r="J1889" s="125">
        <v>74</v>
      </c>
      <c r="K1889" s="253">
        <v>2022</v>
      </c>
      <c r="L1889" s="85">
        <v>14816.820000000002</v>
      </c>
      <c r="M1889" s="85" t="s">
        <v>630</v>
      </c>
      <c r="N1889" s="128">
        <v>44054</v>
      </c>
      <c r="O1889" s="128">
        <f t="shared" si="85"/>
        <v>3259996</v>
      </c>
      <c r="Q1889" t="s">
        <v>47</v>
      </c>
      <c r="R1889" s="214" t="s">
        <v>1869</v>
      </c>
      <c r="S1889" s="214" t="s">
        <v>1861</v>
      </c>
      <c r="T1889" t="s">
        <v>2518</v>
      </c>
      <c r="U1889" t="s">
        <v>1953</v>
      </c>
      <c r="V1889" t="s">
        <v>2813</v>
      </c>
    </row>
    <row r="1890" spans="1:22" ht="15.75" thickBot="1" x14ac:dyDescent="0.3">
      <c r="A1890" t="s">
        <v>4599</v>
      </c>
      <c r="B1890" t="s">
        <v>4599</v>
      </c>
      <c r="C1890" t="s">
        <v>4599</v>
      </c>
      <c r="D1890" t="s">
        <v>629</v>
      </c>
      <c r="E1890" s="248" t="s">
        <v>1951</v>
      </c>
      <c r="F1890" t="s">
        <v>620</v>
      </c>
      <c r="G1890" s="89">
        <v>2004</v>
      </c>
      <c r="H1890" s="312" t="s">
        <v>732</v>
      </c>
      <c r="I1890" s="308" t="str">
        <f t="shared" si="84"/>
        <v>Pesado de Passageiros M3: I : Gasóleo : E3</v>
      </c>
      <c r="J1890" s="125">
        <v>83</v>
      </c>
      <c r="K1890" s="253">
        <v>2022</v>
      </c>
      <c r="L1890" s="85">
        <v>13824.25</v>
      </c>
      <c r="M1890" s="85" t="s">
        <v>630</v>
      </c>
      <c r="N1890" s="128">
        <v>40094</v>
      </c>
      <c r="O1890" s="128">
        <f t="shared" si="85"/>
        <v>3327802</v>
      </c>
      <c r="Q1890" t="s">
        <v>47</v>
      </c>
      <c r="R1890" s="214" t="s">
        <v>1869</v>
      </c>
      <c r="S1890" s="214" t="s">
        <v>1861</v>
      </c>
      <c r="T1890" t="s">
        <v>2519</v>
      </c>
      <c r="U1890" t="s">
        <v>1953</v>
      </c>
      <c r="V1890" t="s">
        <v>2813</v>
      </c>
    </row>
    <row r="1891" spans="1:22" ht="15.75" thickBot="1" x14ac:dyDescent="0.3">
      <c r="A1891" t="s">
        <v>4599</v>
      </c>
      <c r="B1891" t="s">
        <v>4599</v>
      </c>
      <c r="C1891" t="s">
        <v>4599</v>
      </c>
      <c r="D1891" t="s">
        <v>629</v>
      </c>
      <c r="E1891" s="248" t="s">
        <v>1951</v>
      </c>
      <c r="F1891" t="s">
        <v>620</v>
      </c>
      <c r="G1891" s="89">
        <v>2018</v>
      </c>
      <c r="H1891" s="312" t="s">
        <v>733</v>
      </c>
      <c r="I1891" s="308" t="str">
        <f t="shared" si="84"/>
        <v>Pesado de Passageiros M3: I : Gasóleo : E6</v>
      </c>
      <c r="J1891" s="125">
        <v>32</v>
      </c>
      <c r="K1891" s="253">
        <v>2022</v>
      </c>
      <c r="L1891" s="85">
        <v>4742.2199999999993</v>
      </c>
      <c r="M1891" s="85" t="s">
        <v>630</v>
      </c>
      <c r="N1891" s="128">
        <v>26321</v>
      </c>
      <c r="O1891" s="128">
        <f t="shared" si="85"/>
        <v>842272</v>
      </c>
      <c r="Q1891" t="s">
        <v>47</v>
      </c>
      <c r="R1891" s="214" t="s">
        <v>1869</v>
      </c>
      <c r="S1891" s="214" t="s">
        <v>1861</v>
      </c>
      <c r="T1891" t="s">
        <v>2520</v>
      </c>
      <c r="U1891" t="s">
        <v>1953</v>
      </c>
      <c r="V1891" t="s">
        <v>2813</v>
      </c>
    </row>
    <row r="1892" spans="1:22" ht="15.75" thickBot="1" x14ac:dyDescent="0.3">
      <c r="A1892" t="s">
        <v>4599</v>
      </c>
      <c r="B1892" t="s">
        <v>4599</v>
      </c>
      <c r="C1892" t="s">
        <v>4599</v>
      </c>
      <c r="D1892" t="s">
        <v>629</v>
      </c>
      <c r="E1892" s="248" t="s">
        <v>1951</v>
      </c>
      <c r="F1892" t="s">
        <v>620</v>
      </c>
      <c r="G1892" s="89">
        <v>2020</v>
      </c>
      <c r="H1892" s="312" t="s">
        <v>733</v>
      </c>
      <c r="I1892" s="308" t="str">
        <f t="shared" si="84"/>
        <v>Pesado de Passageiros M3: I : Gasóleo : E6</v>
      </c>
      <c r="J1892" s="125">
        <v>83</v>
      </c>
      <c r="K1892" s="253">
        <v>2022</v>
      </c>
      <c r="L1892" s="85">
        <v>25929.899999999998</v>
      </c>
      <c r="M1892" s="85" t="s">
        <v>630</v>
      </c>
      <c r="N1892" s="128">
        <v>77254</v>
      </c>
      <c r="O1892" s="128">
        <f t="shared" si="85"/>
        <v>6412082</v>
      </c>
      <c r="Q1892" t="s">
        <v>47</v>
      </c>
      <c r="R1892" s="214" t="s">
        <v>1869</v>
      </c>
      <c r="S1892" s="214" t="s">
        <v>1861</v>
      </c>
      <c r="T1892" t="s">
        <v>2521</v>
      </c>
      <c r="U1892" t="s">
        <v>1953</v>
      </c>
      <c r="V1892" t="s">
        <v>2813</v>
      </c>
    </row>
    <row r="1893" spans="1:22" ht="15.75" thickBot="1" x14ac:dyDescent="0.3">
      <c r="A1893" t="s">
        <v>4599</v>
      </c>
      <c r="B1893" t="s">
        <v>4599</v>
      </c>
      <c r="C1893" t="s">
        <v>4599</v>
      </c>
      <c r="D1893" t="s">
        <v>629</v>
      </c>
      <c r="E1893" s="248" t="s">
        <v>1951</v>
      </c>
      <c r="F1893" t="s">
        <v>620</v>
      </c>
      <c r="G1893" s="89">
        <v>2020</v>
      </c>
      <c r="H1893" s="312" t="s">
        <v>733</v>
      </c>
      <c r="I1893" s="308" t="str">
        <f t="shared" si="84"/>
        <v>Pesado de Passageiros M3: I : Gasóleo : E6</v>
      </c>
      <c r="J1893" s="125">
        <v>83</v>
      </c>
      <c r="K1893" s="253">
        <v>2022</v>
      </c>
      <c r="L1893" s="85">
        <v>18747.25</v>
      </c>
      <c r="M1893" s="85" t="s">
        <v>630</v>
      </c>
      <c r="N1893" s="128">
        <v>61283</v>
      </c>
      <c r="O1893" s="128">
        <f t="shared" si="85"/>
        <v>5086489</v>
      </c>
      <c r="Q1893" t="s">
        <v>47</v>
      </c>
      <c r="R1893" s="214" t="s">
        <v>1869</v>
      </c>
      <c r="S1893" s="214" t="s">
        <v>1861</v>
      </c>
      <c r="T1893" t="s">
        <v>2522</v>
      </c>
      <c r="U1893" t="s">
        <v>1953</v>
      </c>
      <c r="V1893" t="s">
        <v>2813</v>
      </c>
    </row>
    <row r="1894" spans="1:22" ht="15.75" thickBot="1" x14ac:dyDescent="0.3">
      <c r="A1894" t="s">
        <v>4599</v>
      </c>
      <c r="B1894" t="s">
        <v>4599</v>
      </c>
      <c r="C1894" t="s">
        <v>4599</v>
      </c>
      <c r="D1894" t="s">
        <v>629</v>
      </c>
      <c r="E1894" s="248" t="s">
        <v>1951</v>
      </c>
      <c r="F1894" t="s">
        <v>620</v>
      </c>
      <c r="G1894" s="89">
        <v>2020</v>
      </c>
      <c r="H1894" s="312" t="s">
        <v>733</v>
      </c>
      <c r="I1894" s="308" t="str">
        <f t="shared" si="84"/>
        <v>Pesado de Passageiros M3: I : Gasóleo : E6</v>
      </c>
      <c r="J1894" s="125">
        <v>83</v>
      </c>
      <c r="K1894" s="253">
        <v>2022</v>
      </c>
      <c r="L1894" s="85">
        <v>17716.95</v>
      </c>
      <c r="M1894" s="85" t="s">
        <v>630</v>
      </c>
      <c r="N1894" s="128">
        <v>52847</v>
      </c>
      <c r="O1894" s="128">
        <f t="shared" si="85"/>
        <v>4386301</v>
      </c>
      <c r="Q1894" t="s">
        <v>47</v>
      </c>
      <c r="R1894" s="214" t="s">
        <v>1869</v>
      </c>
      <c r="S1894" s="214" t="s">
        <v>1861</v>
      </c>
      <c r="T1894" t="s">
        <v>2523</v>
      </c>
      <c r="U1894" t="s">
        <v>1953</v>
      </c>
      <c r="V1894" t="s">
        <v>2813</v>
      </c>
    </row>
    <row r="1895" spans="1:22" ht="15.75" thickBot="1" x14ac:dyDescent="0.3">
      <c r="A1895" t="s">
        <v>4599</v>
      </c>
      <c r="B1895" t="s">
        <v>4599</v>
      </c>
      <c r="C1895" t="s">
        <v>4599</v>
      </c>
      <c r="D1895" t="s">
        <v>629</v>
      </c>
      <c r="E1895" s="248" t="s">
        <v>1951</v>
      </c>
      <c r="F1895" t="s">
        <v>620</v>
      </c>
      <c r="G1895" s="89">
        <v>2020</v>
      </c>
      <c r="H1895" s="312" t="s">
        <v>733</v>
      </c>
      <c r="I1895" s="308" t="str">
        <f t="shared" si="84"/>
        <v>Pesado de Passageiros M3: I : Gasóleo : E6</v>
      </c>
      <c r="J1895" s="125">
        <v>83</v>
      </c>
      <c r="K1895" s="253">
        <v>2022</v>
      </c>
      <c r="L1895" s="85">
        <v>20451.400000000001</v>
      </c>
      <c r="M1895" s="85" t="s">
        <v>630</v>
      </c>
      <c r="N1895" s="128">
        <v>63012</v>
      </c>
      <c r="O1895" s="128">
        <f t="shared" si="85"/>
        <v>5229996</v>
      </c>
      <c r="Q1895" t="s">
        <v>47</v>
      </c>
      <c r="R1895" s="214" t="s">
        <v>1869</v>
      </c>
      <c r="S1895" s="214" t="s">
        <v>1861</v>
      </c>
      <c r="T1895" t="s">
        <v>2524</v>
      </c>
      <c r="U1895" t="s">
        <v>1953</v>
      </c>
      <c r="V1895" t="s">
        <v>2813</v>
      </c>
    </row>
    <row r="1896" spans="1:22" ht="15.75" thickBot="1" x14ac:dyDescent="0.3">
      <c r="A1896" t="s">
        <v>4599</v>
      </c>
      <c r="B1896" t="s">
        <v>4599</v>
      </c>
      <c r="C1896" t="s">
        <v>4599</v>
      </c>
      <c r="D1896" t="s">
        <v>629</v>
      </c>
      <c r="E1896" s="248" t="s">
        <v>1951</v>
      </c>
      <c r="F1896" t="s">
        <v>620</v>
      </c>
      <c r="G1896" s="89">
        <v>2020</v>
      </c>
      <c r="H1896" s="312" t="s">
        <v>733</v>
      </c>
      <c r="I1896" s="308" t="str">
        <f t="shared" si="84"/>
        <v>Pesado de Passageiros M3: I : Gasóleo : E6</v>
      </c>
      <c r="J1896" s="125">
        <v>83</v>
      </c>
      <c r="K1896" s="253">
        <v>2022</v>
      </c>
      <c r="L1896" s="85">
        <v>28591.160000000003</v>
      </c>
      <c r="M1896" s="85" t="s">
        <v>630</v>
      </c>
      <c r="N1896" s="128">
        <v>88996</v>
      </c>
      <c r="O1896" s="128">
        <f t="shared" si="85"/>
        <v>7386668</v>
      </c>
      <c r="Q1896" t="s">
        <v>47</v>
      </c>
      <c r="R1896" s="214" t="s">
        <v>1869</v>
      </c>
      <c r="S1896" s="214" t="s">
        <v>1861</v>
      </c>
      <c r="T1896" t="s">
        <v>2525</v>
      </c>
      <c r="U1896" t="s">
        <v>1953</v>
      </c>
      <c r="V1896" t="s">
        <v>2813</v>
      </c>
    </row>
    <row r="1897" spans="1:22" ht="15.75" thickBot="1" x14ac:dyDescent="0.3">
      <c r="A1897" t="s">
        <v>4599</v>
      </c>
      <c r="B1897" t="s">
        <v>4599</v>
      </c>
      <c r="C1897" t="s">
        <v>4599</v>
      </c>
      <c r="D1897" t="s">
        <v>629</v>
      </c>
      <c r="E1897" s="248" t="s">
        <v>1951</v>
      </c>
      <c r="F1897" t="s">
        <v>620</v>
      </c>
      <c r="G1897" s="89">
        <v>2020</v>
      </c>
      <c r="H1897" s="312" t="s">
        <v>733</v>
      </c>
      <c r="I1897" s="308" t="str">
        <f t="shared" si="84"/>
        <v>Pesado de Passageiros M3: I : Gasóleo : E6</v>
      </c>
      <c r="J1897" s="125">
        <v>83</v>
      </c>
      <c r="K1897" s="253">
        <v>2022</v>
      </c>
      <c r="L1897" s="85">
        <v>51465.569999999992</v>
      </c>
      <c r="M1897" s="85" t="s">
        <v>630</v>
      </c>
      <c r="N1897" s="128">
        <v>178893</v>
      </c>
      <c r="O1897" s="128">
        <f t="shared" si="85"/>
        <v>14848119</v>
      </c>
      <c r="Q1897" t="s">
        <v>47</v>
      </c>
      <c r="R1897" s="214" t="s">
        <v>1869</v>
      </c>
      <c r="S1897" s="214" t="s">
        <v>1861</v>
      </c>
      <c r="T1897" t="s">
        <v>2526</v>
      </c>
      <c r="U1897" t="s">
        <v>1953</v>
      </c>
      <c r="V1897" t="s">
        <v>2813</v>
      </c>
    </row>
    <row r="1898" spans="1:22" ht="15.75" thickBot="1" x14ac:dyDescent="0.3">
      <c r="A1898" t="s">
        <v>4599</v>
      </c>
      <c r="B1898" t="s">
        <v>4599</v>
      </c>
      <c r="C1898" t="s">
        <v>4599</v>
      </c>
      <c r="D1898" t="s">
        <v>629</v>
      </c>
      <c r="E1898" s="248" t="s">
        <v>1951</v>
      </c>
      <c r="F1898" t="s">
        <v>620</v>
      </c>
      <c r="G1898" s="89">
        <v>2020</v>
      </c>
      <c r="H1898" s="312" t="s">
        <v>733</v>
      </c>
      <c r="I1898" s="308" t="str">
        <f t="shared" si="84"/>
        <v>Pesado de Passageiros M3: I : Gasóleo : E6</v>
      </c>
      <c r="J1898" s="125">
        <v>83</v>
      </c>
      <c r="K1898" s="253">
        <v>2022</v>
      </c>
      <c r="L1898" s="85">
        <v>31895.500000000004</v>
      </c>
      <c r="M1898" s="85" t="s">
        <v>630</v>
      </c>
      <c r="N1898" s="128">
        <v>108824</v>
      </c>
      <c r="O1898" s="128">
        <f t="shared" si="85"/>
        <v>9032392</v>
      </c>
      <c r="Q1898" t="s">
        <v>47</v>
      </c>
      <c r="R1898" s="214" t="s">
        <v>1869</v>
      </c>
      <c r="S1898" s="214" t="s">
        <v>1861</v>
      </c>
      <c r="T1898" t="s">
        <v>2527</v>
      </c>
      <c r="U1898" t="s">
        <v>1953</v>
      </c>
      <c r="V1898" t="s">
        <v>2813</v>
      </c>
    </row>
    <row r="1899" spans="1:22" ht="15.75" thickBot="1" x14ac:dyDescent="0.3">
      <c r="A1899" t="s">
        <v>4599</v>
      </c>
      <c r="B1899" t="s">
        <v>4599</v>
      </c>
      <c r="C1899" t="s">
        <v>4599</v>
      </c>
      <c r="D1899" t="s">
        <v>629</v>
      </c>
      <c r="E1899" s="248" t="s">
        <v>1951</v>
      </c>
      <c r="F1899" t="s">
        <v>620</v>
      </c>
      <c r="G1899" s="89">
        <v>2020</v>
      </c>
      <c r="H1899" s="312" t="s">
        <v>733</v>
      </c>
      <c r="I1899" s="308" t="str">
        <f t="shared" si="84"/>
        <v>Pesado de Passageiros M3: I : Gasóleo : E6</v>
      </c>
      <c r="J1899" s="125">
        <v>83</v>
      </c>
      <c r="K1899" s="253">
        <v>2022</v>
      </c>
      <c r="L1899" s="85">
        <v>30647.18</v>
      </c>
      <c r="M1899" s="85" t="s">
        <v>630</v>
      </c>
      <c r="N1899" s="128">
        <v>104686</v>
      </c>
      <c r="O1899" s="128">
        <f t="shared" si="85"/>
        <v>8688938</v>
      </c>
      <c r="Q1899" t="s">
        <v>47</v>
      </c>
      <c r="R1899" s="214" t="s">
        <v>1869</v>
      </c>
      <c r="S1899" s="214" t="s">
        <v>1861</v>
      </c>
      <c r="T1899" t="s">
        <v>2528</v>
      </c>
      <c r="U1899" t="s">
        <v>1953</v>
      </c>
      <c r="V1899" t="s">
        <v>2813</v>
      </c>
    </row>
    <row r="1900" spans="1:22" ht="15.75" thickBot="1" x14ac:dyDescent="0.3">
      <c r="A1900" t="s">
        <v>4599</v>
      </c>
      <c r="B1900" t="s">
        <v>4599</v>
      </c>
      <c r="C1900" t="s">
        <v>4599</v>
      </c>
      <c r="D1900" t="s">
        <v>629</v>
      </c>
      <c r="E1900" s="248" t="s">
        <v>1951</v>
      </c>
      <c r="F1900" t="s">
        <v>620</v>
      </c>
      <c r="G1900" s="89">
        <v>2020</v>
      </c>
      <c r="H1900" s="312" t="s">
        <v>733</v>
      </c>
      <c r="I1900" s="308" t="str">
        <f t="shared" si="84"/>
        <v>Pesado de Passageiros M3: I : Gasóleo : E6</v>
      </c>
      <c r="J1900" s="125">
        <v>83</v>
      </c>
      <c r="K1900" s="253">
        <v>2022</v>
      </c>
      <c r="L1900" s="85">
        <v>37741.279999999999</v>
      </c>
      <c r="M1900" s="85" t="s">
        <v>630</v>
      </c>
      <c r="N1900" s="128">
        <v>122084</v>
      </c>
      <c r="O1900" s="128">
        <f t="shared" si="85"/>
        <v>10132972</v>
      </c>
      <c r="Q1900" t="s">
        <v>47</v>
      </c>
      <c r="R1900" s="214" t="s">
        <v>1869</v>
      </c>
      <c r="S1900" s="214" t="s">
        <v>1861</v>
      </c>
      <c r="T1900" t="s">
        <v>2529</v>
      </c>
      <c r="U1900" t="s">
        <v>1953</v>
      </c>
      <c r="V1900" t="s">
        <v>2813</v>
      </c>
    </row>
    <row r="1901" spans="1:22" ht="15.75" thickBot="1" x14ac:dyDescent="0.3">
      <c r="A1901" t="s">
        <v>4599</v>
      </c>
      <c r="B1901" t="s">
        <v>4599</v>
      </c>
      <c r="C1901" t="s">
        <v>4599</v>
      </c>
      <c r="D1901" t="s">
        <v>629</v>
      </c>
      <c r="E1901" s="248" t="s">
        <v>1951</v>
      </c>
      <c r="F1901" t="s">
        <v>620</v>
      </c>
      <c r="G1901" s="89">
        <v>2020</v>
      </c>
      <c r="H1901" s="312" t="s">
        <v>733</v>
      </c>
      <c r="I1901" s="308" t="str">
        <f t="shared" si="84"/>
        <v>Pesado de Passageiros M3: I : Gasóleo : E6</v>
      </c>
      <c r="J1901" s="125">
        <v>83</v>
      </c>
      <c r="K1901" s="253">
        <v>2022</v>
      </c>
      <c r="L1901" s="85">
        <v>17751.11</v>
      </c>
      <c r="M1901" s="85" t="s">
        <v>630</v>
      </c>
      <c r="N1901" s="128">
        <v>53020</v>
      </c>
      <c r="O1901" s="128">
        <f t="shared" si="85"/>
        <v>4400660</v>
      </c>
      <c r="Q1901" t="s">
        <v>47</v>
      </c>
      <c r="R1901" s="214" t="s">
        <v>1869</v>
      </c>
      <c r="S1901" s="214" t="s">
        <v>1861</v>
      </c>
      <c r="T1901" t="s">
        <v>2530</v>
      </c>
      <c r="U1901" t="s">
        <v>1953</v>
      </c>
      <c r="V1901" t="s">
        <v>2813</v>
      </c>
    </row>
    <row r="1902" spans="1:22" ht="15.75" thickBot="1" x14ac:dyDescent="0.3">
      <c r="A1902" t="s">
        <v>4599</v>
      </c>
      <c r="B1902" t="s">
        <v>4599</v>
      </c>
      <c r="C1902" t="s">
        <v>4599</v>
      </c>
      <c r="D1902" t="s">
        <v>629</v>
      </c>
      <c r="E1902" s="248" t="s">
        <v>1951</v>
      </c>
      <c r="F1902" t="s">
        <v>620</v>
      </c>
      <c r="G1902" s="89">
        <v>2021</v>
      </c>
      <c r="H1902" s="312" t="s">
        <v>733</v>
      </c>
      <c r="I1902" s="308" t="str">
        <f t="shared" si="84"/>
        <v>Pesado de Passageiros M3: I : Gasóleo : E6</v>
      </c>
      <c r="J1902" s="125">
        <v>78</v>
      </c>
      <c r="K1902" s="253">
        <v>2022</v>
      </c>
      <c r="L1902" s="85">
        <v>17518.61</v>
      </c>
      <c r="M1902" s="85" t="s">
        <v>630</v>
      </c>
      <c r="N1902" s="128">
        <v>53555</v>
      </c>
      <c r="O1902" s="128">
        <f t="shared" si="85"/>
        <v>4177290</v>
      </c>
      <c r="Q1902" t="s">
        <v>47</v>
      </c>
      <c r="R1902" s="214" t="s">
        <v>1869</v>
      </c>
      <c r="S1902" s="214" t="s">
        <v>1861</v>
      </c>
      <c r="T1902" t="s">
        <v>2531</v>
      </c>
      <c r="U1902" t="s">
        <v>1953</v>
      </c>
      <c r="V1902" t="s">
        <v>2813</v>
      </c>
    </row>
    <row r="1903" spans="1:22" ht="15.75" thickBot="1" x14ac:dyDescent="0.3">
      <c r="A1903" t="s">
        <v>4599</v>
      </c>
      <c r="B1903" t="s">
        <v>4599</v>
      </c>
      <c r="C1903" t="s">
        <v>4599</v>
      </c>
      <c r="D1903" t="s">
        <v>629</v>
      </c>
      <c r="E1903" s="248" t="s">
        <v>1951</v>
      </c>
      <c r="F1903" t="s">
        <v>620</v>
      </c>
      <c r="G1903" s="89">
        <v>2021</v>
      </c>
      <c r="H1903" s="312" t="s">
        <v>733</v>
      </c>
      <c r="I1903" s="308" t="str">
        <f t="shared" si="84"/>
        <v>Pesado de Passageiros M3: I : Gasóleo : E6</v>
      </c>
      <c r="J1903" s="125">
        <v>83</v>
      </c>
      <c r="K1903" s="253">
        <v>2022</v>
      </c>
      <c r="L1903" s="85">
        <v>24266.750000000004</v>
      </c>
      <c r="M1903" s="85" t="s">
        <v>630</v>
      </c>
      <c r="N1903" s="128">
        <v>72069</v>
      </c>
      <c r="O1903" s="128">
        <f t="shared" si="85"/>
        <v>5981727</v>
      </c>
      <c r="Q1903" t="s">
        <v>47</v>
      </c>
      <c r="R1903" s="214" t="s">
        <v>1869</v>
      </c>
      <c r="S1903" s="214" t="s">
        <v>1861</v>
      </c>
      <c r="T1903" t="s">
        <v>2532</v>
      </c>
      <c r="U1903" t="s">
        <v>1953</v>
      </c>
      <c r="V1903" t="s">
        <v>2813</v>
      </c>
    </row>
    <row r="1904" spans="1:22" ht="15.75" thickBot="1" x14ac:dyDescent="0.3">
      <c r="A1904" t="s">
        <v>4599</v>
      </c>
      <c r="B1904" t="s">
        <v>4599</v>
      </c>
      <c r="C1904" t="s">
        <v>4599</v>
      </c>
      <c r="D1904" t="s">
        <v>629</v>
      </c>
      <c r="E1904" s="248" t="s">
        <v>1951</v>
      </c>
      <c r="F1904" t="s">
        <v>620</v>
      </c>
      <c r="G1904" s="89">
        <v>2021</v>
      </c>
      <c r="H1904" s="312" t="s">
        <v>733</v>
      </c>
      <c r="I1904" s="308" t="str">
        <f t="shared" si="84"/>
        <v>Pesado de Passageiros M3: I : Gasóleo : E6</v>
      </c>
      <c r="J1904" s="125">
        <v>78</v>
      </c>
      <c r="K1904" s="253">
        <v>2022</v>
      </c>
      <c r="L1904" s="85">
        <v>18298.97</v>
      </c>
      <c r="M1904" s="85" t="s">
        <v>630</v>
      </c>
      <c r="N1904" s="128">
        <v>53865</v>
      </c>
      <c r="O1904" s="128">
        <f t="shared" si="85"/>
        <v>4201470</v>
      </c>
      <c r="Q1904" t="s">
        <v>47</v>
      </c>
      <c r="R1904" s="214" t="s">
        <v>1869</v>
      </c>
      <c r="S1904" s="214" t="s">
        <v>1861</v>
      </c>
      <c r="T1904" t="s">
        <v>2533</v>
      </c>
      <c r="U1904" t="s">
        <v>1953</v>
      </c>
      <c r="V1904" t="s">
        <v>2813</v>
      </c>
    </row>
    <row r="1905" spans="1:22" ht="15.75" thickBot="1" x14ac:dyDescent="0.3">
      <c r="A1905" t="s">
        <v>4599</v>
      </c>
      <c r="B1905" t="s">
        <v>4599</v>
      </c>
      <c r="C1905" t="s">
        <v>4599</v>
      </c>
      <c r="D1905" t="s">
        <v>629</v>
      </c>
      <c r="E1905" s="248" t="s">
        <v>1951</v>
      </c>
      <c r="F1905" t="s">
        <v>620</v>
      </c>
      <c r="G1905" s="89">
        <v>2021</v>
      </c>
      <c r="H1905" s="312" t="s">
        <v>733</v>
      </c>
      <c r="I1905" s="308" t="str">
        <f t="shared" si="84"/>
        <v>Pesado de Passageiros M3: I : Gasóleo : E6</v>
      </c>
      <c r="J1905" s="125">
        <v>78</v>
      </c>
      <c r="K1905" s="253">
        <v>2022</v>
      </c>
      <c r="L1905" s="85">
        <v>21694.38</v>
      </c>
      <c r="M1905" s="85" t="s">
        <v>630</v>
      </c>
      <c r="N1905" s="128">
        <v>63805</v>
      </c>
      <c r="O1905" s="128">
        <f t="shared" si="85"/>
        <v>4976790</v>
      </c>
      <c r="Q1905" t="s">
        <v>47</v>
      </c>
      <c r="R1905" s="214" t="s">
        <v>1869</v>
      </c>
      <c r="S1905" s="214" t="s">
        <v>1861</v>
      </c>
      <c r="T1905" t="s">
        <v>2534</v>
      </c>
      <c r="U1905" t="s">
        <v>1953</v>
      </c>
      <c r="V1905" t="s">
        <v>2813</v>
      </c>
    </row>
    <row r="1906" spans="1:22" ht="15.75" thickBot="1" x14ac:dyDescent="0.3">
      <c r="A1906" t="s">
        <v>4599</v>
      </c>
      <c r="B1906" t="s">
        <v>4599</v>
      </c>
      <c r="C1906" t="s">
        <v>4599</v>
      </c>
      <c r="D1906" t="s">
        <v>629</v>
      </c>
      <c r="E1906" s="248" t="s">
        <v>1951</v>
      </c>
      <c r="F1906" t="s">
        <v>620</v>
      </c>
      <c r="G1906" s="89">
        <v>2021</v>
      </c>
      <c r="H1906" s="312" t="s">
        <v>733</v>
      </c>
      <c r="I1906" s="308" t="str">
        <f t="shared" si="84"/>
        <v>Pesado de Passageiros M3: I : Gasóleo : E6</v>
      </c>
      <c r="J1906" s="125">
        <v>83</v>
      </c>
      <c r="K1906" s="253">
        <v>2022</v>
      </c>
      <c r="L1906" s="85">
        <v>13558.66</v>
      </c>
      <c r="M1906" s="85" t="s">
        <v>630</v>
      </c>
      <c r="N1906" s="128">
        <v>41256</v>
      </c>
      <c r="O1906" s="128">
        <f t="shared" si="85"/>
        <v>3424248</v>
      </c>
      <c r="Q1906" t="s">
        <v>47</v>
      </c>
      <c r="R1906" s="214" t="s">
        <v>1869</v>
      </c>
      <c r="S1906" s="214" t="s">
        <v>1861</v>
      </c>
      <c r="T1906" t="s">
        <v>2535</v>
      </c>
      <c r="U1906" t="s">
        <v>1953</v>
      </c>
      <c r="V1906" t="s">
        <v>2813</v>
      </c>
    </row>
    <row r="1907" spans="1:22" ht="15.75" thickBot="1" x14ac:dyDescent="0.3">
      <c r="A1907" t="s">
        <v>4599</v>
      </c>
      <c r="B1907" t="s">
        <v>4599</v>
      </c>
      <c r="C1907" t="s">
        <v>4599</v>
      </c>
      <c r="D1907" t="s">
        <v>629</v>
      </c>
      <c r="E1907" s="248" t="s">
        <v>1951</v>
      </c>
      <c r="F1907" t="s">
        <v>620</v>
      </c>
      <c r="G1907" s="89">
        <v>2021</v>
      </c>
      <c r="H1907" s="312" t="s">
        <v>733</v>
      </c>
      <c r="I1907" s="308" t="str">
        <f t="shared" si="84"/>
        <v>Pesado de Passageiros M3: I : Gasóleo : E6</v>
      </c>
      <c r="J1907" s="125">
        <v>83</v>
      </c>
      <c r="K1907" s="253">
        <v>2022</v>
      </c>
      <c r="L1907" s="85">
        <v>19501.260000000002</v>
      </c>
      <c r="M1907" s="85" t="s">
        <v>630</v>
      </c>
      <c r="N1907" s="128">
        <v>57186</v>
      </c>
      <c r="O1907" s="128">
        <f t="shared" si="85"/>
        <v>4746438</v>
      </c>
      <c r="Q1907" t="s">
        <v>47</v>
      </c>
      <c r="R1907" s="214" t="s">
        <v>1869</v>
      </c>
      <c r="S1907" s="214" t="s">
        <v>1861</v>
      </c>
      <c r="T1907" t="s">
        <v>2536</v>
      </c>
      <c r="U1907" t="s">
        <v>1953</v>
      </c>
      <c r="V1907" t="s">
        <v>2813</v>
      </c>
    </row>
    <row r="1908" spans="1:22" ht="15.75" thickBot="1" x14ac:dyDescent="0.3">
      <c r="A1908" t="s">
        <v>4599</v>
      </c>
      <c r="B1908" t="s">
        <v>4599</v>
      </c>
      <c r="C1908" t="s">
        <v>4599</v>
      </c>
      <c r="D1908" t="s">
        <v>629</v>
      </c>
      <c r="E1908" s="248" t="s">
        <v>1951</v>
      </c>
      <c r="F1908" t="s">
        <v>620</v>
      </c>
      <c r="G1908" s="89">
        <v>2021</v>
      </c>
      <c r="H1908" s="312" t="s">
        <v>733</v>
      </c>
      <c r="I1908" s="308" t="str">
        <f t="shared" si="84"/>
        <v>Pesado de Passageiros M3: I : Gasóleo : E6</v>
      </c>
      <c r="J1908" s="125">
        <v>83</v>
      </c>
      <c r="K1908" s="253">
        <v>2022</v>
      </c>
      <c r="L1908" s="85">
        <v>12992.210000000001</v>
      </c>
      <c r="M1908" s="85" t="s">
        <v>630</v>
      </c>
      <c r="N1908" s="128">
        <v>40040</v>
      </c>
      <c r="O1908" s="128">
        <f t="shared" si="85"/>
        <v>3323320</v>
      </c>
      <c r="Q1908" t="s">
        <v>47</v>
      </c>
      <c r="R1908" s="214" t="s">
        <v>1869</v>
      </c>
      <c r="S1908" s="214" t="s">
        <v>1861</v>
      </c>
      <c r="T1908" t="s">
        <v>2537</v>
      </c>
      <c r="U1908" t="s">
        <v>1953</v>
      </c>
      <c r="V1908" t="s">
        <v>2813</v>
      </c>
    </row>
    <row r="1909" spans="1:22" ht="15.75" thickBot="1" x14ac:dyDescent="0.3">
      <c r="A1909" t="s">
        <v>4599</v>
      </c>
      <c r="B1909" t="s">
        <v>4599</v>
      </c>
      <c r="C1909" t="s">
        <v>4599</v>
      </c>
      <c r="D1909" t="s">
        <v>629</v>
      </c>
      <c r="E1909" s="248" t="s">
        <v>1951</v>
      </c>
      <c r="F1909" t="s">
        <v>620</v>
      </c>
      <c r="G1909" s="89">
        <v>2021</v>
      </c>
      <c r="H1909" s="312" t="s">
        <v>733</v>
      </c>
      <c r="I1909" s="308" t="str">
        <f t="shared" si="84"/>
        <v>Pesado de Passageiros M3: I : Gasóleo : E6</v>
      </c>
      <c r="J1909" s="125">
        <v>83</v>
      </c>
      <c r="K1909" s="253">
        <v>2022</v>
      </c>
      <c r="L1909" s="85">
        <v>16530.259999999998</v>
      </c>
      <c r="M1909" s="85" t="s">
        <v>630</v>
      </c>
      <c r="N1909" s="128">
        <v>48345</v>
      </c>
      <c r="O1909" s="128">
        <f t="shared" si="85"/>
        <v>4012635</v>
      </c>
      <c r="Q1909" t="s">
        <v>47</v>
      </c>
      <c r="R1909" s="214" t="s">
        <v>1869</v>
      </c>
      <c r="S1909" s="214" t="s">
        <v>1861</v>
      </c>
      <c r="T1909" t="s">
        <v>2538</v>
      </c>
      <c r="U1909" t="s">
        <v>1953</v>
      </c>
      <c r="V1909" t="s">
        <v>2813</v>
      </c>
    </row>
    <row r="1910" spans="1:22" ht="15.75" thickBot="1" x14ac:dyDescent="0.3">
      <c r="A1910" t="s">
        <v>4599</v>
      </c>
      <c r="B1910" t="s">
        <v>4599</v>
      </c>
      <c r="C1910" t="s">
        <v>4599</v>
      </c>
      <c r="D1910" t="s">
        <v>629</v>
      </c>
      <c r="E1910" s="248" t="s">
        <v>1951</v>
      </c>
      <c r="F1910" t="s">
        <v>620</v>
      </c>
      <c r="G1910" s="89">
        <v>2021</v>
      </c>
      <c r="H1910" s="312" t="s">
        <v>733</v>
      </c>
      <c r="I1910" s="308" t="str">
        <f t="shared" si="84"/>
        <v>Pesado de Passageiros M3: I : Gasóleo : E6</v>
      </c>
      <c r="J1910" s="125">
        <v>83</v>
      </c>
      <c r="K1910" s="253">
        <v>2022</v>
      </c>
      <c r="L1910" s="85">
        <v>17991.669999999998</v>
      </c>
      <c r="M1910" s="85" t="s">
        <v>630</v>
      </c>
      <c r="N1910" s="128">
        <v>55737</v>
      </c>
      <c r="O1910" s="128">
        <f t="shared" si="85"/>
        <v>4626171</v>
      </c>
      <c r="Q1910" t="s">
        <v>47</v>
      </c>
      <c r="R1910" s="214" t="s">
        <v>1869</v>
      </c>
      <c r="S1910" s="214" t="s">
        <v>1861</v>
      </c>
      <c r="T1910" t="s">
        <v>2539</v>
      </c>
      <c r="U1910" t="s">
        <v>1953</v>
      </c>
      <c r="V1910" t="s">
        <v>2813</v>
      </c>
    </row>
    <row r="1911" spans="1:22" ht="15.75" thickBot="1" x14ac:dyDescent="0.3">
      <c r="A1911" t="s">
        <v>4599</v>
      </c>
      <c r="B1911" t="s">
        <v>4599</v>
      </c>
      <c r="C1911" t="s">
        <v>4599</v>
      </c>
      <c r="D1911" t="s">
        <v>629</v>
      </c>
      <c r="E1911" s="248" t="s">
        <v>1951</v>
      </c>
      <c r="F1911" t="s">
        <v>620</v>
      </c>
      <c r="G1911" s="89">
        <v>2021</v>
      </c>
      <c r="H1911" s="312" t="s">
        <v>733</v>
      </c>
      <c r="I1911" s="308" t="str">
        <f t="shared" si="84"/>
        <v>Pesado de Passageiros M3: I : Gasóleo : E6</v>
      </c>
      <c r="J1911" s="125">
        <v>83</v>
      </c>
      <c r="K1911" s="253">
        <v>2022</v>
      </c>
      <c r="L1911" s="85">
        <v>22757.809999999998</v>
      </c>
      <c r="M1911" s="85" t="s">
        <v>630</v>
      </c>
      <c r="N1911" s="128">
        <v>67794</v>
      </c>
      <c r="O1911" s="128">
        <f t="shared" si="85"/>
        <v>5626902</v>
      </c>
      <c r="Q1911" t="s">
        <v>47</v>
      </c>
      <c r="R1911" s="214" t="s">
        <v>1869</v>
      </c>
      <c r="S1911" s="214" t="s">
        <v>1861</v>
      </c>
      <c r="T1911" t="s">
        <v>2540</v>
      </c>
      <c r="U1911" t="s">
        <v>1953</v>
      </c>
      <c r="V1911" t="s">
        <v>2813</v>
      </c>
    </row>
    <row r="1912" spans="1:22" ht="15.75" thickBot="1" x14ac:dyDescent="0.3">
      <c r="A1912" t="s">
        <v>4599</v>
      </c>
      <c r="B1912" t="s">
        <v>4599</v>
      </c>
      <c r="C1912" t="s">
        <v>4599</v>
      </c>
      <c r="D1912" t="s">
        <v>629</v>
      </c>
      <c r="E1912" s="248" t="s">
        <v>1951</v>
      </c>
      <c r="F1912" t="s">
        <v>620</v>
      </c>
      <c r="G1912" s="89">
        <v>2021</v>
      </c>
      <c r="H1912" s="312" t="s">
        <v>733</v>
      </c>
      <c r="I1912" s="308" t="str">
        <f t="shared" si="84"/>
        <v>Pesado de Passageiros M3: I : Gasóleo : E6</v>
      </c>
      <c r="J1912" s="125">
        <v>83</v>
      </c>
      <c r="K1912" s="253">
        <v>2022</v>
      </c>
      <c r="L1912" s="85">
        <v>23573.379999999997</v>
      </c>
      <c r="M1912" s="85" t="s">
        <v>630</v>
      </c>
      <c r="N1912" s="128">
        <v>72649</v>
      </c>
      <c r="O1912" s="128">
        <f t="shared" si="85"/>
        <v>6029867</v>
      </c>
      <c r="Q1912" t="s">
        <v>47</v>
      </c>
      <c r="R1912" s="214" t="s">
        <v>1869</v>
      </c>
      <c r="S1912" s="214" t="s">
        <v>1861</v>
      </c>
      <c r="T1912" t="s">
        <v>2541</v>
      </c>
      <c r="U1912" t="s">
        <v>1953</v>
      </c>
      <c r="V1912" t="s">
        <v>2813</v>
      </c>
    </row>
    <row r="1913" spans="1:22" ht="15.75" thickBot="1" x14ac:dyDescent="0.3">
      <c r="A1913" t="s">
        <v>4599</v>
      </c>
      <c r="B1913" t="s">
        <v>4599</v>
      </c>
      <c r="C1913" t="s">
        <v>4599</v>
      </c>
      <c r="D1913" t="s">
        <v>629</v>
      </c>
      <c r="E1913" s="248" t="s">
        <v>1951</v>
      </c>
      <c r="F1913" t="s">
        <v>620</v>
      </c>
      <c r="G1913" s="89">
        <v>2021</v>
      </c>
      <c r="H1913" s="312" t="s">
        <v>733</v>
      </c>
      <c r="I1913" s="308" t="str">
        <f t="shared" si="84"/>
        <v>Pesado de Passageiros M3: I : Gasóleo : E6</v>
      </c>
      <c r="J1913" s="125">
        <v>83</v>
      </c>
      <c r="K1913" s="253">
        <v>2022</v>
      </c>
      <c r="L1913" s="85">
        <v>24207.06</v>
      </c>
      <c r="M1913" s="85" t="s">
        <v>630</v>
      </c>
      <c r="N1913" s="128">
        <v>76796</v>
      </c>
      <c r="O1913" s="128">
        <f t="shared" si="85"/>
        <v>6374068</v>
      </c>
      <c r="Q1913" t="s">
        <v>47</v>
      </c>
      <c r="R1913" s="214" t="s">
        <v>1869</v>
      </c>
      <c r="S1913" s="214" t="s">
        <v>1861</v>
      </c>
      <c r="T1913" t="s">
        <v>2542</v>
      </c>
      <c r="U1913" t="s">
        <v>1953</v>
      </c>
      <c r="V1913" t="s">
        <v>2813</v>
      </c>
    </row>
    <row r="1914" spans="1:22" ht="15.75" thickBot="1" x14ac:dyDescent="0.3">
      <c r="A1914" t="s">
        <v>4599</v>
      </c>
      <c r="B1914" t="s">
        <v>4599</v>
      </c>
      <c r="C1914" t="s">
        <v>4599</v>
      </c>
      <c r="D1914" t="s">
        <v>629</v>
      </c>
      <c r="E1914" s="248" t="s">
        <v>1951</v>
      </c>
      <c r="F1914" t="s">
        <v>620</v>
      </c>
      <c r="G1914" s="89">
        <v>2021</v>
      </c>
      <c r="H1914" s="312" t="s">
        <v>733</v>
      </c>
      <c r="I1914" s="308" t="str">
        <f t="shared" si="84"/>
        <v>Pesado de Passageiros M3: I : Gasóleo : E6</v>
      </c>
      <c r="J1914" s="125">
        <v>83</v>
      </c>
      <c r="K1914" s="253">
        <v>2022</v>
      </c>
      <c r="L1914" s="85">
        <v>21670.469999999998</v>
      </c>
      <c r="M1914" s="85" t="s">
        <v>630</v>
      </c>
      <c r="N1914" s="128">
        <v>68067</v>
      </c>
      <c r="O1914" s="128">
        <f t="shared" si="85"/>
        <v>5649561</v>
      </c>
      <c r="Q1914" t="s">
        <v>47</v>
      </c>
      <c r="R1914" s="214" t="s">
        <v>1869</v>
      </c>
      <c r="S1914" s="214" t="s">
        <v>1861</v>
      </c>
      <c r="T1914" t="s">
        <v>2543</v>
      </c>
      <c r="U1914" t="s">
        <v>1953</v>
      </c>
      <c r="V1914" t="s">
        <v>2813</v>
      </c>
    </row>
    <row r="1915" spans="1:22" ht="15.75" thickBot="1" x14ac:dyDescent="0.3">
      <c r="A1915" t="s">
        <v>4599</v>
      </c>
      <c r="B1915" t="s">
        <v>4599</v>
      </c>
      <c r="C1915" t="s">
        <v>4599</v>
      </c>
      <c r="D1915" t="s">
        <v>629</v>
      </c>
      <c r="E1915" s="248" t="s">
        <v>1951</v>
      </c>
      <c r="F1915" t="s">
        <v>620</v>
      </c>
      <c r="G1915" s="89">
        <v>2021</v>
      </c>
      <c r="H1915" s="312" t="s">
        <v>733</v>
      </c>
      <c r="I1915" s="308" t="str">
        <f t="shared" si="84"/>
        <v>Pesado de Passageiros M3: I : Gasóleo : E6</v>
      </c>
      <c r="J1915" s="125">
        <v>83</v>
      </c>
      <c r="K1915" s="253">
        <v>2022</v>
      </c>
      <c r="L1915" s="85">
        <v>24889.72</v>
      </c>
      <c r="M1915" s="85" t="s">
        <v>630</v>
      </c>
      <c r="N1915" s="128">
        <v>76906</v>
      </c>
      <c r="O1915" s="128">
        <f t="shared" si="85"/>
        <v>6383198</v>
      </c>
      <c r="Q1915" t="s">
        <v>47</v>
      </c>
      <c r="R1915" s="214" t="s">
        <v>1869</v>
      </c>
      <c r="S1915" s="214" t="s">
        <v>1861</v>
      </c>
      <c r="T1915" t="s">
        <v>2544</v>
      </c>
      <c r="U1915" t="s">
        <v>1953</v>
      </c>
      <c r="V1915" t="s">
        <v>2813</v>
      </c>
    </row>
    <row r="1916" spans="1:22" ht="15.75" thickBot="1" x14ac:dyDescent="0.3">
      <c r="A1916" t="s">
        <v>4599</v>
      </c>
      <c r="B1916" t="s">
        <v>4599</v>
      </c>
      <c r="C1916" t="s">
        <v>4599</v>
      </c>
      <c r="D1916" t="s">
        <v>629</v>
      </c>
      <c r="E1916" s="248" t="s">
        <v>1951</v>
      </c>
      <c r="F1916" t="s">
        <v>620</v>
      </c>
      <c r="G1916" s="89">
        <v>2021</v>
      </c>
      <c r="H1916" s="312" t="s">
        <v>733</v>
      </c>
      <c r="I1916" s="308" t="str">
        <f t="shared" si="84"/>
        <v>Pesado de Passageiros M3: I : Gasóleo : E6</v>
      </c>
      <c r="J1916" s="125">
        <v>83</v>
      </c>
      <c r="K1916" s="253">
        <v>2022</v>
      </c>
      <c r="L1916" s="85">
        <v>28604.85</v>
      </c>
      <c r="M1916" s="85" t="s">
        <v>630</v>
      </c>
      <c r="N1916" s="128">
        <v>92872</v>
      </c>
      <c r="O1916" s="128">
        <f t="shared" si="85"/>
        <v>7708376</v>
      </c>
      <c r="Q1916" t="s">
        <v>47</v>
      </c>
      <c r="R1916" s="214" t="s">
        <v>1869</v>
      </c>
      <c r="S1916" s="214" t="s">
        <v>1861</v>
      </c>
      <c r="T1916" t="s">
        <v>2545</v>
      </c>
      <c r="U1916" t="s">
        <v>1953</v>
      </c>
      <c r="V1916" t="s">
        <v>2813</v>
      </c>
    </row>
    <row r="1917" spans="1:22" ht="15.75" thickBot="1" x14ac:dyDescent="0.3">
      <c r="A1917" t="s">
        <v>4599</v>
      </c>
      <c r="B1917" t="s">
        <v>4599</v>
      </c>
      <c r="C1917" t="s">
        <v>4599</v>
      </c>
      <c r="D1917" t="s">
        <v>629</v>
      </c>
      <c r="E1917" s="248" t="s">
        <v>1951</v>
      </c>
      <c r="F1917" t="s">
        <v>620</v>
      </c>
      <c r="G1917" s="89">
        <v>2021</v>
      </c>
      <c r="H1917" s="312" t="s">
        <v>733</v>
      </c>
      <c r="I1917" s="308" t="str">
        <f t="shared" si="84"/>
        <v>Pesado de Passageiros M3: I : Gasóleo : E6</v>
      </c>
      <c r="J1917" s="125">
        <v>83</v>
      </c>
      <c r="K1917" s="253">
        <v>2022</v>
      </c>
      <c r="L1917" s="85">
        <v>18837.900000000001</v>
      </c>
      <c r="M1917" s="85" t="s">
        <v>630</v>
      </c>
      <c r="N1917" s="128">
        <v>56692</v>
      </c>
      <c r="O1917" s="128">
        <f t="shared" si="85"/>
        <v>4705436</v>
      </c>
      <c r="Q1917" t="s">
        <v>47</v>
      </c>
      <c r="R1917" s="214" t="s">
        <v>1869</v>
      </c>
      <c r="S1917" s="214" t="s">
        <v>1861</v>
      </c>
      <c r="T1917" t="s">
        <v>2546</v>
      </c>
      <c r="U1917" t="s">
        <v>1953</v>
      </c>
      <c r="V1917" t="s">
        <v>2813</v>
      </c>
    </row>
    <row r="1918" spans="1:22" ht="15.75" thickBot="1" x14ac:dyDescent="0.3">
      <c r="A1918" t="s">
        <v>4599</v>
      </c>
      <c r="B1918" t="s">
        <v>4599</v>
      </c>
      <c r="C1918" t="s">
        <v>4599</v>
      </c>
      <c r="D1918" t="s">
        <v>629</v>
      </c>
      <c r="E1918" s="248" t="s">
        <v>1951</v>
      </c>
      <c r="F1918" t="s">
        <v>620</v>
      </c>
      <c r="G1918" s="89">
        <v>2021</v>
      </c>
      <c r="H1918" s="312" t="s">
        <v>733</v>
      </c>
      <c r="I1918" s="308" t="str">
        <f t="shared" si="84"/>
        <v>Pesado de Passageiros M3: I : Gasóleo : E6</v>
      </c>
      <c r="J1918" s="125">
        <v>83</v>
      </c>
      <c r="K1918" s="253">
        <v>2022</v>
      </c>
      <c r="L1918" s="85">
        <v>16003.2</v>
      </c>
      <c r="M1918" s="85" t="s">
        <v>630</v>
      </c>
      <c r="N1918" s="128">
        <v>48552</v>
      </c>
      <c r="O1918" s="128">
        <f t="shared" si="85"/>
        <v>4029816</v>
      </c>
      <c r="Q1918" t="s">
        <v>47</v>
      </c>
      <c r="R1918" s="214" t="s">
        <v>1869</v>
      </c>
      <c r="S1918" s="214" t="s">
        <v>1861</v>
      </c>
      <c r="T1918" t="s">
        <v>2547</v>
      </c>
      <c r="U1918" t="s">
        <v>1953</v>
      </c>
      <c r="V1918" t="s">
        <v>2813</v>
      </c>
    </row>
    <row r="1919" spans="1:22" ht="15.75" thickBot="1" x14ac:dyDescent="0.3">
      <c r="A1919" t="s">
        <v>4599</v>
      </c>
      <c r="B1919" t="s">
        <v>4599</v>
      </c>
      <c r="C1919" t="s">
        <v>4599</v>
      </c>
      <c r="D1919" t="s">
        <v>629</v>
      </c>
      <c r="E1919" s="248" t="s">
        <v>1951</v>
      </c>
      <c r="F1919" t="s">
        <v>620</v>
      </c>
      <c r="G1919" s="89">
        <v>2021</v>
      </c>
      <c r="H1919" s="312" t="s">
        <v>733</v>
      </c>
      <c r="I1919" s="308" t="str">
        <f t="shared" si="84"/>
        <v>Pesado de Passageiros M3: I : Gasóleo : E6</v>
      </c>
      <c r="J1919" s="125">
        <v>83</v>
      </c>
      <c r="K1919" s="253">
        <v>2022</v>
      </c>
      <c r="L1919" s="85">
        <v>15137.61</v>
      </c>
      <c r="M1919" s="85" t="s">
        <v>630</v>
      </c>
      <c r="N1919" s="128">
        <v>46182</v>
      </c>
      <c r="O1919" s="128">
        <f t="shared" si="85"/>
        <v>3833106</v>
      </c>
      <c r="Q1919" t="s">
        <v>47</v>
      </c>
      <c r="R1919" s="214" t="s">
        <v>1869</v>
      </c>
      <c r="S1919" s="214" t="s">
        <v>1861</v>
      </c>
      <c r="T1919" t="s">
        <v>2548</v>
      </c>
      <c r="U1919" t="s">
        <v>1953</v>
      </c>
      <c r="V1919" t="s">
        <v>2813</v>
      </c>
    </row>
    <row r="1920" spans="1:22" ht="15.75" thickBot="1" x14ac:dyDescent="0.3">
      <c r="A1920" t="s">
        <v>4599</v>
      </c>
      <c r="B1920" t="s">
        <v>4599</v>
      </c>
      <c r="C1920" t="s">
        <v>4599</v>
      </c>
      <c r="D1920" t="s">
        <v>629</v>
      </c>
      <c r="E1920" s="248" t="s">
        <v>1951</v>
      </c>
      <c r="F1920" t="s">
        <v>620</v>
      </c>
      <c r="G1920" s="89">
        <v>2021</v>
      </c>
      <c r="H1920" s="312" t="s">
        <v>733</v>
      </c>
      <c r="I1920" s="308" t="str">
        <f t="shared" si="84"/>
        <v>Pesado de Passageiros M3: I : Gasóleo : E6</v>
      </c>
      <c r="J1920" s="125">
        <v>83</v>
      </c>
      <c r="K1920" s="253">
        <v>2022</v>
      </c>
      <c r="L1920" s="85">
        <v>12720.51</v>
      </c>
      <c r="M1920" s="85" t="s">
        <v>630</v>
      </c>
      <c r="N1920" s="128">
        <v>41747</v>
      </c>
      <c r="O1920" s="128">
        <f t="shared" si="85"/>
        <v>3465001</v>
      </c>
      <c r="Q1920" t="s">
        <v>47</v>
      </c>
      <c r="R1920" s="214" t="s">
        <v>1869</v>
      </c>
      <c r="S1920" s="214" t="s">
        <v>1861</v>
      </c>
      <c r="T1920" t="s">
        <v>2549</v>
      </c>
      <c r="U1920" t="s">
        <v>1953</v>
      </c>
      <c r="V1920" t="s">
        <v>2813</v>
      </c>
    </row>
    <row r="1921" spans="1:22" ht="15.75" thickBot="1" x14ac:dyDescent="0.3">
      <c r="A1921" t="s">
        <v>4599</v>
      </c>
      <c r="B1921" t="s">
        <v>4599</v>
      </c>
      <c r="C1921" t="s">
        <v>4599</v>
      </c>
      <c r="D1921" t="s">
        <v>629</v>
      </c>
      <c r="E1921" s="248" t="s">
        <v>1951</v>
      </c>
      <c r="F1921" t="s">
        <v>620</v>
      </c>
      <c r="G1921" s="89">
        <v>2021</v>
      </c>
      <c r="H1921" s="312" t="s">
        <v>733</v>
      </c>
      <c r="I1921" s="308" t="str">
        <f t="shared" si="84"/>
        <v>Pesado de Passageiros M3: I : Gasóleo : E6</v>
      </c>
      <c r="J1921" s="125">
        <v>83</v>
      </c>
      <c r="K1921" s="253">
        <v>2022</v>
      </c>
      <c r="L1921" s="85">
        <v>17146.91</v>
      </c>
      <c r="M1921" s="85" t="s">
        <v>630</v>
      </c>
      <c r="N1921" s="128">
        <v>50548</v>
      </c>
      <c r="O1921" s="128">
        <f t="shared" si="85"/>
        <v>4195484</v>
      </c>
      <c r="Q1921" t="s">
        <v>47</v>
      </c>
      <c r="R1921" s="214" t="s">
        <v>1869</v>
      </c>
      <c r="S1921" s="214" t="s">
        <v>1861</v>
      </c>
      <c r="T1921" t="s">
        <v>2550</v>
      </c>
      <c r="U1921" t="s">
        <v>1953</v>
      </c>
      <c r="V1921" t="s">
        <v>2813</v>
      </c>
    </row>
    <row r="1922" spans="1:22" ht="15.75" thickBot="1" x14ac:dyDescent="0.3">
      <c r="A1922" t="s">
        <v>4599</v>
      </c>
      <c r="B1922" t="s">
        <v>4599</v>
      </c>
      <c r="C1922" t="s">
        <v>4599</v>
      </c>
      <c r="D1922" t="s">
        <v>629</v>
      </c>
      <c r="E1922" s="248" t="s">
        <v>1951</v>
      </c>
      <c r="F1922" t="s">
        <v>620</v>
      </c>
      <c r="G1922" s="89">
        <v>2021</v>
      </c>
      <c r="H1922" s="312" t="s">
        <v>733</v>
      </c>
      <c r="I1922" s="308" t="str">
        <f t="shared" si="84"/>
        <v>Pesado de Passageiros M3: I : Gasóleo : E6</v>
      </c>
      <c r="J1922" s="125">
        <v>78</v>
      </c>
      <c r="K1922" s="253">
        <v>2022</v>
      </c>
      <c r="L1922" s="85">
        <v>17812.380000000005</v>
      </c>
      <c r="M1922" s="85" t="s">
        <v>630</v>
      </c>
      <c r="N1922" s="128">
        <v>54186</v>
      </c>
      <c r="O1922" s="128">
        <f t="shared" si="85"/>
        <v>4226508</v>
      </c>
      <c r="Q1922" t="s">
        <v>47</v>
      </c>
      <c r="R1922" s="214" t="s">
        <v>1869</v>
      </c>
      <c r="S1922" s="214" t="s">
        <v>1861</v>
      </c>
      <c r="T1922" t="s">
        <v>2551</v>
      </c>
      <c r="U1922" t="s">
        <v>1953</v>
      </c>
      <c r="V1922" t="s">
        <v>2813</v>
      </c>
    </row>
    <row r="1923" spans="1:22" ht="15.75" thickBot="1" x14ac:dyDescent="0.3">
      <c r="A1923" t="s">
        <v>4599</v>
      </c>
      <c r="B1923" t="s">
        <v>4599</v>
      </c>
      <c r="C1923" t="s">
        <v>4599</v>
      </c>
      <c r="D1923" t="s">
        <v>629</v>
      </c>
      <c r="E1923" s="248" t="s">
        <v>1951</v>
      </c>
      <c r="F1923" t="s">
        <v>620</v>
      </c>
      <c r="G1923" s="89">
        <v>2021</v>
      </c>
      <c r="H1923" s="312" t="s">
        <v>733</v>
      </c>
      <c r="I1923" s="308" t="str">
        <f t="shared" si="84"/>
        <v>Pesado de Passageiros M3: I : Gasóleo : E6</v>
      </c>
      <c r="J1923" s="125">
        <v>83</v>
      </c>
      <c r="K1923" s="253">
        <v>2022</v>
      </c>
      <c r="L1923" s="85">
        <v>20535.830000000002</v>
      </c>
      <c r="M1923" s="85" t="s">
        <v>630</v>
      </c>
      <c r="N1923" s="128">
        <v>65208</v>
      </c>
      <c r="O1923" s="128">
        <f t="shared" si="85"/>
        <v>5412264</v>
      </c>
      <c r="Q1923" t="s">
        <v>47</v>
      </c>
      <c r="R1923" s="214" t="s">
        <v>1869</v>
      </c>
      <c r="S1923" s="214" t="s">
        <v>1861</v>
      </c>
      <c r="T1923" t="s">
        <v>2552</v>
      </c>
      <c r="U1923" t="s">
        <v>1953</v>
      </c>
      <c r="V1923" t="s">
        <v>2813</v>
      </c>
    </row>
    <row r="1924" spans="1:22" ht="15.75" thickBot="1" x14ac:dyDescent="0.3">
      <c r="A1924" t="s">
        <v>4599</v>
      </c>
      <c r="B1924" t="s">
        <v>4599</v>
      </c>
      <c r="C1924" t="s">
        <v>4599</v>
      </c>
      <c r="D1924" t="s">
        <v>629</v>
      </c>
      <c r="E1924" s="248" t="s">
        <v>1951</v>
      </c>
      <c r="F1924" t="s">
        <v>620</v>
      </c>
      <c r="G1924" s="89">
        <v>2007</v>
      </c>
      <c r="H1924" s="312" t="s">
        <v>731</v>
      </c>
      <c r="I1924" s="308" t="str">
        <f t="shared" ref="I1924:I1987" si="86">D1924&amp;": "&amp;E1924&amp;" : "&amp;F1924&amp;" : "&amp;H1924</f>
        <v>Pesado de Passageiros M3: I : Gasóleo : E4</v>
      </c>
      <c r="J1924" s="125">
        <v>72</v>
      </c>
      <c r="K1924" s="253">
        <v>2022</v>
      </c>
      <c r="L1924" s="85">
        <v>18869.84</v>
      </c>
      <c r="M1924" s="85" t="s">
        <v>630</v>
      </c>
      <c r="N1924" s="128">
        <v>49757</v>
      </c>
      <c r="O1924" s="128">
        <f t="shared" ref="O1924:O1987" si="87">N1924*J1924</f>
        <v>3582504</v>
      </c>
      <c r="Q1924" t="s">
        <v>47</v>
      </c>
      <c r="R1924" s="214" t="s">
        <v>1869</v>
      </c>
      <c r="S1924" s="214" t="s">
        <v>1861</v>
      </c>
      <c r="T1924" t="s">
        <v>2553</v>
      </c>
      <c r="U1924" t="s">
        <v>1953</v>
      </c>
      <c r="V1924" t="s">
        <v>2813</v>
      </c>
    </row>
    <row r="1925" spans="1:22" ht="15.75" thickBot="1" x14ac:dyDescent="0.3">
      <c r="A1925" t="s">
        <v>4599</v>
      </c>
      <c r="B1925" t="s">
        <v>4599</v>
      </c>
      <c r="C1925" t="s">
        <v>4599</v>
      </c>
      <c r="D1925" t="s">
        <v>629</v>
      </c>
      <c r="E1925" s="248" t="s">
        <v>1951</v>
      </c>
      <c r="F1925" t="s">
        <v>620</v>
      </c>
      <c r="G1925" s="89">
        <v>2004</v>
      </c>
      <c r="H1925" s="312" t="s">
        <v>732</v>
      </c>
      <c r="I1925" s="308" t="str">
        <f t="shared" si="86"/>
        <v>Pesado de Passageiros M3: I : Gasóleo : E3</v>
      </c>
      <c r="J1925" s="125">
        <v>83</v>
      </c>
      <c r="K1925" s="253">
        <v>2022</v>
      </c>
      <c r="L1925" s="85">
        <v>15380.330000000002</v>
      </c>
      <c r="M1925" s="85" t="s">
        <v>630</v>
      </c>
      <c r="N1925" s="128">
        <v>41530</v>
      </c>
      <c r="O1925" s="128">
        <f t="shared" si="87"/>
        <v>3446990</v>
      </c>
      <c r="Q1925" t="s">
        <v>47</v>
      </c>
      <c r="R1925" s="214" t="s">
        <v>1869</v>
      </c>
      <c r="S1925" s="214" t="s">
        <v>1861</v>
      </c>
      <c r="T1925" t="s">
        <v>2554</v>
      </c>
      <c r="U1925" t="s">
        <v>1953</v>
      </c>
      <c r="V1925" t="s">
        <v>2813</v>
      </c>
    </row>
    <row r="1926" spans="1:22" ht="15.75" thickBot="1" x14ac:dyDescent="0.3">
      <c r="A1926" t="s">
        <v>4599</v>
      </c>
      <c r="B1926" t="s">
        <v>4599</v>
      </c>
      <c r="C1926" t="s">
        <v>4599</v>
      </c>
      <c r="D1926" t="s">
        <v>629</v>
      </c>
      <c r="E1926" s="248" t="s">
        <v>1951</v>
      </c>
      <c r="F1926" t="s">
        <v>620</v>
      </c>
      <c r="G1926" s="89">
        <v>2007</v>
      </c>
      <c r="H1926" s="312" t="s">
        <v>731</v>
      </c>
      <c r="I1926" s="308" t="str">
        <f t="shared" si="86"/>
        <v>Pesado de Passageiros M3: I : Gasóleo : E4</v>
      </c>
      <c r="J1926" s="125">
        <v>12</v>
      </c>
      <c r="K1926" s="253">
        <v>2022</v>
      </c>
      <c r="L1926" s="85">
        <v>11808.590000000002</v>
      </c>
      <c r="M1926" s="85" t="s">
        <v>630</v>
      </c>
      <c r="N1926" s="128">
        <v>30832</v>
      </c>
      <c r="O1926" s="128">
        <f t="shared" si="87"/>
        <v>369984</v>
      </c>
      <c r="Q1926" t="s">
        <v>47</v>
      </c>
      <c r="R1926" s="214" t="s">
        <v>1869</v>
      </c>
      <c r="S1926" s="214" t="s">
        <v>1861</v>
      </c>
      <c r="T1926" t="s">
        <v>2555</v>
      </c>
      <c r="U1926" t="s">
        <v>1953</v>
      </c>
      <c r="V1926" t="s">
        <v>2813</v>
      </c>
    </row>
    <row r="1927" spans="1:22" ht="15.75" thickBot="1" x14ac:dyDescent="0.3">
      <c r="A1927" t="s">
        <v>4599</v>
      </c>
      <c r="B1927" t="s">
        <v>4599</v>
      </c>
      <c r="C1927" t="s">
        <v>4599</v>
      </c>
      <c r="D1927" t="s">
        <v>629</v>
      </c>
      <c r="E1927" s="248" t="s">
        <v>1951</v>
      </c>
      <c r="F1927" t="s">
        <v>620</v>
      </c>
      <c r="G1927" s="89">
        <v>2006</v>
      </c>
      <c r="H1927" s="312" t="s">
        <v>731</v>
      </c>
      <c r="I1927" s="308" t="str">
        <f t="shared" si="86"/>
        <v>Pesado de Passageiros M3: I : Gasóleo : E4</v>
      </c>
      <c r="J1927" s="125">
        <v>55</v>
      </c>
      <c r="K1927" s="253">
        <v>2022</v>
      </c>
      <c r="L1927" s="85">
        <v>13302.869999999999</v>
      </c>
      <c r="M1927" s="85" t="s">
        <v>630</v>
      </c>
      <c r="N1927" s="128">
        <v>35397</v>
      </c>
      <c r="O1927" s="128">
        <f t="shared" si="87"/>
        <v>1946835</v>
      </c>
      <c r="Q1927" t="s">
        <v>47</v>
      </c>
      <c r="R1927" s="214" t="s">
        <v>1869</v>
      </c>
      <c r="S1927" s="214" t="s">
        <v>1861</v>
      </c>
      <c r="T1927" t="s">
        <v>2556</v>
      </c>
      <c r="U1927" t="s">
        <v>1953</v>
      </c>
      <c r="V1927" t="s">
        <v>2813</v>
      </c>
    </row>
    <row r="1928" spans="1:22" ht="15.75" thickBot="1" x14ac:dyDescent="0.3">
      <c r="A1928" t="s">
        <v>4599</v>
      </c>
      <c r="B1928" t="s">
        <v>4599</v>
      </c>
      <c r="C1928" t="s">
        <v>4599</v>
      </c>
      <c r="D1928" t="s">
        <v>629</v>
      </c>
      <c r="E1928" s="248" t="s">
        <v>1951</v>
      </c>
      <c r="F1928" t="s">
        <v>620</v>
      </c>
      <c r="G1928" s="89">
        <v>2007</v>
      </c>
      <c r="H1928" s="312" t="s">
        <v>731</v>
      </c>
      <c r="I1928" s="308" t="str">
        <f t="shared" si="86"/>
        <v>Pesado de Passageiros M3: I : Gasóleo : E4</v>
      </c>
      <c r="J1928" s="125">
        <v>75</v>
      </c>
      <c r="K1928" s="253">
        <v>2022</v>
      </c>
      <c r="L1928" s="85">
        <v>14333.96</v>
      </c>
      <c r="M1928" s="85" t="s">
        <v>630</v>
      </c>
      <c r="N1928" s="128">
        <v>41986</v>
      </c>
      <c r="O1928" s="128">
        <f t="shared" si="87"/>
        <v>3148950</v>
      </c>
      <c r="Q1928" t="s">
        <v>47</v>
      </c>
      <c r="R1928" s="214" t="s">
        <v>1869</v>
      </c>
      <c r="S1928" s="214" t="s">
        <v>1861</v>
      </c>
      <c r="T1928" t="s">
        <v>2557</v>
      </c>
      <c r="U1928" t="s">
        <v>1953</v>
      </c>
      <c r="V1928" t="s">
        <v>2813</v>
      </c>
    </row>
    <row r="1929" spans="1:22" ht="15.75" thickBot="1" x14ac:dyDescent="0.3">
      <c r="A1929" t="s">
        <v>4599</v>
      </c>
      <c r="B1929" t="s">
        <v>4599</v>
      </c>
      <c r="C1929" t="s">
        <v>4599</v>
      </c>
      <c r="D1929" t="s">
        <v>629</v>
      </c>
      <c r="E1929" s="248" t="s">
        <v>1951</v>
      </c>
      <c r="F1929" t="s">
        <v>620</v>
      </c>
      <c r="G1929" s="89">
        <v>2008</v>
      </c>
      <c r="H1929" s="312" t="s">
        <v>731</v>
      </c>
      <c r="I1929" s="308" t="str">
        <f t="shared" si="86"/>
        <v>Pesado de Passageiros M3: I : Gasóleo : E4</v>
      </c>
      <c r="J1929" s="125">
        <v>78</v>
      </c>
      <c r="K1929" s="253">
        <v>2022</v>
      </c>
      <c r="L1929" s="85">
        <v>14983.23</v>
      </c>
      <c r="M1929" s="85" t="s">
        <v>630</v>
      </c>
      <c r="N1929" s="128">
        <v>49088</v>
      </c>
      <c r="O1929" s="128">
        <f t="shared" si="87"/>
        <v>3828864</v>
      </c>
      <c r="Q1929" t="s">
        <v>47</v>
      </c>
      <c r="R1929" s="214" t="s">
        <v>1869</v>
      </c>
      <c r="S1929" s="214" t="s">
        <v>1861</v>
      </c>
      <c r="T1929" t="s">
        <v>2558</v>
      </c>
      <c r="U1929" t="s">
        <v>1953</v>
      </c>
      <c r="V1929" t="s">
        <v>2813</v>
      </c>
    </row>
    <row r="1930" spans="1:22" ht="15.75" thickBot="1" x14ac:dyDescent="0.3">
      <c r="A1930" t="s">
        <v>4599</v>
      </c>
      <c r="B1930" t="s">
        <v>4599</v>
      </c>
      <c r="C1930" t="s">
        <v>4599</v>
      </c>
      <c r="D1930" t="s">
        <v>629</v>
      </c>
      <c r="E1930" s="248" t="s">
        <v>1951</v>
      </c>
      <c r="F1930" t="s">
        <v>620</v>
      </c>
      <c r="G1930" s="89">
        <v>2010</v>
      </c>
      <c r="H1930" s="312" t="s">
        <v>734</v>
      </c>
      <c r="I1930" s="308" t="str">
        <f t="shared" si="86"/>
        <v>Pesado de Passageiros M3: I : Gasóleo : E5</v>
      </c>
      <c r="J1930" s="125">
        <v>71</v>
      </c>
      <c r="K1930" s="253">
        <v>2022</v>
      </c>
      <c r="L1930" s="85">
        <v>9141.52</v>
      </c>
      <c r="M1930" s="85" t="s">
        <v>630</v>
      </c>
      <c r="N1930" s="128">
        <v>24678</v>
      </c>
      <c r="O1930" s="128">
        <f t="shared" si="87"/>
        <v>1752138</v>
      </c>
      <c r="Q1930" t="s">
        <v>47</v>
      </c>
      <c r="R1930" s="214" t="s">
        <v>1869</v>
      </c>
      <c r="S1930" s="214" t="s">
        <v>1861</v>
      </c>
      <c r="T1930" t="s">
        <v>2559</v>
      </c>
      <c r="U1930" t="s">
        <v>1953</v>
      </c>
      <c r="V1930" t="s">
        <v>2813</v>
      </c>
    </row>
    <row r="1931" spans="1:22" ht="15.75" thickBot="1" x14ac:dyDescent="0.3">
      <c r="A1931" t="s">
        <v>4599</v>
      </c>
      <c r="B1931" t="s">
        <v>4599</v>
      </c>
      <c r="C1931" t="s">
        <v>4599</v>
      </c>
      <c r="D1931" t="s">
        <v>629</v>
      </c>
      <c r="E1931" s="248" t="s">
        <v>1951</v>
      </c>
      <c r="F1931" t="s">
        <v>620</v>
      </c>
      <c r="G1931" s="89">
        <v>2007</v>
      </c>
      <c r="H1931" s="312" t="s">
        <v>731</v>
      </c>
      <c r="I1931" s="308" t="str">
        <f t="shared" si="86"/>
        <v>Pesado de Passageiros M3: I : Gasóleo : E4</v>
      </c>
      <c r="J1931" s="125">
        <v>75</v>
      </c>
      <c r="K1931" s="253">
        <v>2022</v>
      </c>
      <c r="L1931" s="85">
        <v>14351.54</v>
      </c>
      <c r="M1931" s="85" t="s">
        <v>630</v>
      </c>
      <c r="N1931" s="128">
        <v>44000</v>
      </c>
      <c r="O1931" s="128">
        <f t="shared" si="87"/>
        <v>3300000</v>
      </c>
      <c r="Q1931" t="s">
        <v>47</v>
      </c>
      <c r="R1931" s="214" t="s">
        <v>1869</v>
      </c>
      <c r="S1931" s="214" t="s">
        <v>1861</v>
      </c>
      <c r="T1931" t="s">
        <v>2560</v>
      </c>
      <c r="U1931" t="s">
        <v>1953</v>
      </c>
      <c r="V1931" t="s">
        <v>2813</v>
      </c>
    </row>
    <row r="1932" spans="1:22" ht="15.75" thickBot="1" x14ac:dyDescent="0.3">
      <c r="A1932" t="s">
        <v>4599</v>
      </c>
      <c r="B1932" t="s">
        <v>4599</v>
      </c>
      <c r="C1932" t="s">
        <v>4599</v>
      </c>
      <c r="D1932" t="s">
        <v>629</v>
      </c>
      <c r="E1932" s="248" t="s">
        <v>1951</v>
      </c>
      <c r="F1932" t="s">
        <v>620</v>
      </c>
      <c r="G1932" s="89">
        <v>2008</v>
      </c>
      <c r="H1932" s="312" t="s">
        <v>731</v>
      </c>
      <c r="I1932" s="308" t="str">
        <f t="shared" si="86"/>
        <v>Pesado de Passageiros M3: I : Gasóleo : E4</v>
      </c>
      <c r="J1932" s="125">
        <v>79</v>
      </c>
      <c r="K1932" s="253">
        <v>2022</v>
      </c>
      <c r="L1932" s="85">
        <v>14932.650000000001</v>
      </c>
      <c r="M1932" s="85" t="s">
        <v>630</v>
      </c>
      <c r="N1932" s="128">
        <v>36641</v>
      </c>
      <c r="O1932" s="128">
        <f t="shared" si="87"/>
        <v>2894639</v>
      </c>
      <c r="Q1932" t="s">
        <v>47</v>
      </c>
      <c r="R1932" s="214" t="s">
        <v>1869</v>
      </c>
      <c r="S1932" s="214" t="s">
        <v>1861</v>
      </c>
      <c r="T1932" t="s">
        <v>2561</v>
      </c>
      <c r="U1932" t="s">
        <v>1953</v>
      </c>
      <c r="V1932" t="s">
        <v>2813</v>
      </c>
    </row>
    <row r="1933" spans="1:22" ht="15.75" thickBot="1" x14ac:dyDescent="0.3">
      <c r="A1933" t="s">
        <v>4599</v>
      </c>
      <c r="B1933" t="s">
        <v>4599</v>
      </c>
      <c r="C1933" t="s">
        <v>4599</v>
      </c>
      <c r="D1933" t="s">
        <v>629</v>
      </c>
      <c r="E1933" s="248" t="s">
        <v>1951</v>
      </c>
      <c r="F1933" t="s">
        <v>620</v>
      </c>
      <c r="G1933" s="89">
        <v>2008</v>
      </c>
      <c r="H1933" s="312" t="s">
        <v>731</v>
      </c>
      <c r="I1933" s="308" t="str">
        <f t="shared" si="86"/>
        <v>Pesado de Passageiros M3: I : Gasóleo : E4</v>
      </c>
      <c r="J1933" s="125">
        <v>79</v>
      </c>
      <c r="K1933" s="253">
        <v>2022</v>
      </c>
      <c r="L1933" s="85">
        <v>16394.14</v>
      </c>
      <c r="M1933" s="85" t="s">
        <v>630</v>
      </c>
      <c r="N1933" s="128">
        <v>38470</v>
      </c>
      <c r="O1933" s="128">
        <f t="shared" si="87"/>
        <v>3039130</v>
      </c>
      <c r="Q1933" t="s">
        <v>47</v>
      </c>
      <c r="R1933" s="214" t="s">
        <v>1869</v>
      </c>
      <c r="S1933" s="214" t="s">
        <v>1861</v>
      </c>
      <c r="T1933" t="s">
        <v>2562</v>
      </c>
      <c r="U1933" t="s">
        <v>1953</v>
      </c>
      <c r="V1933" t="s">
        <v>2813</v>
      </c>
    </row>
    <row r="1934" spans="1:22" ht="15.75" thickBot="1" x14ac:dyDescent="0.3">
      <c r="A1934" t="s">
        <v>4599</v>
      </c>
      <c r="B1934" t="s">
        <v>4599</v>
      </c>
      <c r="C1934" t="s">
        <v>4599</v>
      </c>
      <c r="D1934" t="s">
        <v>629</v>
      </c>
      <c r="E1934" s="248" t="s">
        <v>1951</v>
      </c>
      <c r="F1934" t="s">
        <v>620</v>
      </c>
      <c r="G1934" s="89">
        <v>2008</v>
      </c>
      <c r="H1934" s="312" t="s">
        <v>731</v>
      </c>
      <c r="I1934" s="308" t="str">
        <f t="shared" si="86"/>
        <v>Pesado de Passageiros M3: I : Gasóleo : E4</v>
      </c>
      <c r="J1934" s="125">
        <v>79</v>
      </c>
      <c r="K1934" s="253">
        <v>2022</v>
      </c>
      <c r="L1934" s="85">
        <v>11420.02</v>
      </c>
      <c r="M1934" s="85" t="s">
        <v>630</v>
      </c>
      <c r="N1934" s="128">
        <v>28056</v>
      </c>
      <c r="O1934" s="128">
        <f t="shared" si="87"/>
        <v>2216424</v>
      </c>
      <c r="Q1934" t="s">
        <v>47</v>
      </c>
      <c r="R1934" s="214" t="s">
        <v>1869</v>
      </c>
      <c r="S1934" s="214" t="s">
        <v>1861</v>
      </c>
      <c r="T1934" t="s">
        <v>2563</v>
      </c>
      <c r="U1934" t="s">
        <v>1953</v>
      </c>
      <c r="V1934" t="s">
        <v>2813</v>
      </c>
    </row>
    <row r="1935" spans="1:22" ht="15.75" thickBot="1" x14ac:dyDescent="0.3">
      <c r="A1935" t="s">
        <v>4599</v>
      </c>
      <c r="B1935" t="s">
        <v>4599</v>
      </c>
      <c r="C1935" t="s">
        <v>4599</v>
      </c>
      <c r="D1935" t="s">
        <v>629</v>
      </c>
      <c r="E1935" s="248" t="s">
        <v>1951</v>
      </c>
      <c r="F1935" t="s">
        <v>620</v>
      </c>
      <c r="G1935" s="89">
        <v>2008</v>
      </c>
      <c r="H1935" s="312" t="s">
        <v>731</v>
      </c>
      <c r="I1935" s="308" t="str">
        <f t="shared" si="86"/>
        <v>Pesado de Passageiros M3: I : Gasóleo : E4</v>
      </c>
      <c r="J1935" s="125">
        <v>80</v>
      </c>
      <c r="K1935" s="253">
        <v>2022</v>
      </c>
      <c r="L1935" s="85">
        <v>15754.010000000002</v>
      </c>
      <c r="M1935" s="85" t="s">
        <v>630</v>
      </c>
      <c r="N1935" s="128">
        <v>43673</v>
      </c>
      <c r="O1935" s="128">
        <f t="shared" si="87"/>
        <v>3493840</v>
      </c>
      <c r="Q1935" t="s">
        <v>47</v>
      </c>
      <c r="R1935" s="214" t="s">
        <v>1869</v>
      </c>
      <c r="S1935" s="214" t="s">
        <v>1861</v>
      </c>
      <c r="T1935" t="s">
        <v>2564</v>
      </c>
      <c r="U1935" t="s">
        <v>1953</v>
      </c>
      <c r="V1935" t="s">
        <v>2813</v>
      </c>
    </row>
    <row r="1936" spans="1:22" ht="15.75" thickBot="1" x14ac:dyDescent="0.3">
      <c r="A1936" t="s">
        <v>4599</v>
      </c>
      <c r="B1936" t="s">
        <v>4599</v>
      </c>
      <c r="C1936" t="s">
        <v>4599</v>
      </c>
      <c r="D1936" t="s">
        <v>629</v>
      </c>
      <c r="E1936" s="248" t="s">
        <v>1951</v>
      </c>
      <c r="F1936" t="s">
        <v>620</v>
      </c>
      <c r="G1936" s="89">
        <v>2010</v>
      </c>
      <c r="H1936" s="312" t="s">
        <v>734</v>
      </c>
      <c r="I1936" s="308" t="str">
        <f t="shared" si="86"/>
        <v>Pesado de Passageiros M3: I : Gasóleo : E5</v>
      </c>
      <c r="J1936" s="125">
        <v>85</v>
      </c>
      <c r="K1936" s="253">
        <v>2022</v>
      </c>
      <c r="L1936" s="85">
        <v>14122.62</v>
      </c>
      <c r="M1936" s="85" t="s">
        <v>630</v>
      </c>
      <c r="N1936" s="128">
        <v>49382</v>
      </c>
      <c r="O1936" s="128">
        <f t="shared" si="87"/>
        <v>4197470</v>
      </c>
      <c r="Q1936" t="s">
        <v>47</v>
      </c>
      <c r="R1936" s="214" t="s">
        <v>1869</v>
      </c>
      <c r="S1936" s="214" t="s">
        <v>1861</v>
      </c>
      <c r="T1936" t="s">
        <v>2565</v>
      </c>
      <c r="U1936" t="s">
        <v>1953</v>
      </c>
      <c r="V1936" t="s">
        <v>2813</v>
      </c>
    </row>
    <row r="1937" spans="1:22" ht="15.75" thickBot="1" x14ac:dyDescent="0.3">
      <c r="A1937" t="s">
        <v>4599</v>
      </c>
      <c r="B1937" t="s">
        <v>4599</v>
      </c>
      <c r="C1937" t="s">
        <v>4599</v>
      </c>
      <c r="D1937" t="s">
        <v>629</v>
      </c>
      <c r="E1937" s="248" t="s">
        <v>1951</v>
      </c>
      <c r="F1937" t="s">
        <v>620</v>
      </c>
      <c r="G1937" s="89">
        <v>2008</v>
      </c>
      <c r="H1937" s="312" t="s">
        <v>731</v>
      </c>
      <c r="I1937" s="308" t="str">
        <f t="shared" si="86"/>
        <v>Pesado de Passageiros M3: I : Gasóleo : E4</v>
      </c>
      <c r="J1937" s="125">
        <v>76</v>
      </c>
      <c r="K1937" s="253">
        <v>2022</v>
      </c>
      <c r="L1937" s="85">
        <v>17050.39</v>
      </c>
      <c r="M1937" s="85" t="s">
        <v>630</v>
      </c>
      <c r="N1937" s="128">
        <v>43752</v>
      </c>
      <c r="O1937" s="128">
        <f t="shared" si="87"/>
        <v>3325152</v>
      </c>
      <c r="Q1937" t="s">
        <v>47</v>
      </c>
      <c r="R1937" s="214" t="s">
        <v>1869</v>
      </c>
      <c r="S1937" s="214" t="s">
        <v>1861</v>
      </c>
      <c r="T1937" t="s">
        <v>2566</v>
      </c>
      <c r="U1937" t="s">
        <v>1953</v>
      </c>
      <c r="V1937" t="s">
        <v>2813</v>
      </c>
    </row>
    <row r="1938" spans="1:22" ht="15.75" thickBot="1" x14ac:dyDescent="0.3">
      <c r="A1938" t="s">
        <v>4599</v>
      </c>
      <c r="B1938" t="s">
        <v>4599</v>
      </c>
      <c r="C1938" t="s">
        <v>4599</v>
      </c>
      <c r="D1938" t="s">
        <v>629</v>
      </c>
      <c r="E1938" s="248" t="s">
        <v>1951</v>
      </c>
      <c r="F1938" t="s">
        <v>620</v>
      </c>
      <c r="G1938" s="89">
        <v>2009</v>
      </c>
      <c r="H1938" s="312" t="s">
        <v>734</v>
      </c>
      <c r="I1938" s="308" t="str">
        <f t="shared" si="86"/>
        <v>Pesado de Passageiros M3: I : Gasóleo : E5</v>
      </c>
      <c r="J1938" s="125">
        <v>84</v>
      </c>
      <c r="K1938" s="253">
        <v>2022</v>
      </c>
      <c r="L1938" s="85">
        <v>23605.13</v>
      </c>
      <c r="M1938" s="85" t="s">
        <v>630</v>
      </c>
      <c r="N1938" s="128">
        <v>64244</v>
      </c>
      <c r="O1938" s="128">
        <f t="shared" si="87"/>
        <v>5396496</v>
      </c>
      <c r="Q1938" t="s">
        <v>47</v>
      </c>
      <c r="R1938" s="214" t="s">
        <v>1869</v>
      </c>
      <c r="S1938" s="214" t="s">
        <v>1861</v>
      </c>
      <c r="T1938" t="s">
        <v>2567</v>
      </c>
      <c r="U1938" t="s">
        <v>1953</v>
      </c>
      <c r="V1938" t="s">
        <v>2813</v>
      </c>
    </row>
    <row r="1939" spans="1:22" ht="15.75" thickBot="1" x14ac:dyDescent="0.3">
      <c r="A1939" t="s">
        <v>4599</v>
      </c>
      <c r="B1939" t="s">
        <v>4599</v>
      </c>
      <c r="C1939" t="s">
        <v>4599</v>
      </c>
      <c r="D1939" t="s">
        <v>629</v>
      </c>
      <c r="E1939" s="248" t="s">
        <v>1951</v>
      </c>
      <c r="F1939" t="s">
        <v>620</v>
      </c>
      <c r="G1939" s="89">
        <v>2008</v>
      </c>
      <c r="H1939" s="312" t="s">
        <v>731</v>
      </c>
      <c r="I1939" s="308" t="str">
        <f t="shared" si="86"/>
        <v>Pesado de Passageiros M3: I : Gasóleo : E4</v>
      </c>
      <c r="J1939" s="125">
        <v>74</v>
      </c>
      <c r="K1939" s="253">
        <v>2022</v>
      </c>
      <c r="L1939" s="85">
        <v>14088.400000000001</v>
      </c>
      <c r="M1939" s="85" t="s">
        <v>630</v>
      </c>
      <c r="N1939" s="128">
        <v>43493</v>
      </c>
      <c r="O1939" s="128">
        <f t="shared" si="87"/>
        <v>3218482</v>
      </c>
      <c r="Q1939" t="s">
        <v>47</v>
      </c>
      <c r="R1939" s="214" t="s">
        <v>1869</v>
      </c>
      <c r="S1939" s="214" t="s">
        <v>1861</v>
      </c>
      <c r="T1939" t="s">
        <v>2568</v>
      </c>
      <c r="U1939" t="s">
        <v>1953</v>
      </c>
      <c r="V1939" t="s">
        <v>2813</v>
      </c>
    </row>
    <row r="1940" spans="1:22" ht="15.75" thickBot="1" x14ac:dyDescent="0.3">
      <c r="A1940" t="s">
        <v>4599</v>
      </c>
      <c r="B1940" t="s">
        <v>4599</v>
      </c>
      <c r="C1940" t="s">
        <v>4599</v>
      </c>
      <c r="D1940" t="s">
        <v>629</v>
      </c>
      <c r="E1940" s="248" t="s">
        <v>1951</v>
      </c>
      <c r="F1940" t="s">
        <v>620</v>
      </c>
      <c r="G1940" s="89">
        <v>2008</v>
      </c>
      <c r="H1940" s="312" t="s">
        <v>731</v>
      </c>
      <c r="I1940" s="308" t="str">
        <f t="shared" si="86"/>
        <v>Pesado de Passageiros M3: I : Gasóleo : E4</v>
      </c>
      <c r="J1940" s="125">
        <v>86</v>
      </c>
      <c r="K1940" s="253">
        <v>2022</v>
      </c>
      <c r="L1940" s="85">
        <v>14635.429999999998</v>
      </c>
      <c r="M1940" s="85" t="s">
        <v>630</v>
      </c>
      <c r="N1940" s="128">
        <v>45848</v>
      </c>
      <c r="O1940" s="128">
        <f t="shared" si="87"/>
        <v>3942928</v>
      </c>
      <c r="Q1940" t="s">
        <v>47</v>
      </c>
      <c r="R1940" s="214" t="s">
        <v>1869</v>
      </c>
      <c r="S1940" s="214" t="s">
        <v>1861</v>
      </c>
      <c r="T1940" t="s">
        <v>2569</v>
      </c>
      <c r="U1940" t="s">
        <v>1953</v>
      </c>
      <c r="V1940" t="s">
        <v>2813</v>
      </c>
    </row>
    <row r="1941" spans="1:22" ht="15.75" thickBot="1" x14ac:dyDescent="0.3">
      <c r="A1941" t="s">
        <v>4599</v>
      </c>
      <c r="B1941" t="s">
        <v>4599</v>
      </c>
      <c r="C1941" t="s">
        <v>4599</v>
      </c>
      <c r="D1941" t="s">
        <v>629</v>
      </c>
      <c r="E1941" s="248" t="s">
        <v>1951</v>
      </c>
      <c r="F1941" t="s">
        <v>620</v>
      </c>
      <c r="G1941" s="89">
        <v>2007</v>
      </c>
      <c r="H1941" s="312" t="s">
        <v>731</v>
      </c>
      <c r="I1941" s="308" t="str">
        <f t="shared" si="86"/>
        <v>Pesado de Passageiros M3: I : Gasóleo : E4</v>
      </c>
      <c r="J1941" s="125">
        <v>71</v>
      </c>
      <c r="K1941" s="253">
        <v>2022</v>
      </c>
      <c r="L1941" s="85">
        <v>18633.849999999999</v>
      </c>
      <c r="M1941" s="85" t="s">
        <v>630</v>
      </c>
      <c r="N1941" s="128">
        <v>48535</v>
      </c>
      <c r="O1941" s="128">
        <f t="shared" si="87"/>
        <v>3445985</v>
      </c>
      <c r="Q1941" t="s">
        <v>47</v>
      </c>
      <c r="R1941" s="214" t="s">
        <v>1869</v>
      </c>
      <c r="S1941" s="214" t="s">
        <v>1861</v>
      </c>
      <c r="T1941" t="s">
        <v>2570</v>
      </c>
      <c r="U1941" t="s">
        <v>1953</v>
      </c>
      <c r="V1941" t="s">
        <v>2813</v>
      </c>
    </row>
    <row r="1942" spans="1:22" ht="15.75" thickBot="1" x14ac:dyDescent="0.3">
      <c r="A1942" t="s">
        <v>4599</v>
      </c>
      <c r="B1942" t="s">
        <v>4599</v>
      </c>
      <c r="C1942" t="s">
        <v>4599</v>
      </c>
      <c r="D1942" t="s">
        <v>629</v>
      </c>
      <c r="E1942" s="248" t="s">
        <v>1951</v>
      </c>
      <c r="F1942" t="s">
        <v>620</v>
      </c>
      <c r="G1942" s="89">
        <v>2003</v>
      </c>
      <c r="H1942" s="312" t="s">
        <v>732</v>
      </c>
      <c r="I1942" s="308" t="str">
        <f t="shared" si="86"/>
        <v>Pesado de Passageiros M3: I : Gasóleo : E3</v>
      </c>
      <c r="J1942" s="125">
        <v>81</v>
      </c>
      <c r="K1942" s="253">
        <v>2022</v>
      </c>
      <c r="L1942" s="85">
        <v>15180.57</v>
      </c>
      <c r="M1942" s="85" t="s">
        <v>630</v>
      </c>
      <c r="N1942" s="128">
        <v>45223</v>
      </c>
      <c r="O1942" s="128">
        <f t="shared" si="87"/>
        <v>3663063</v>
      </c>
      <c r="Q1942" t="s">
        <v>47</v>
      </c>
      <c r="R1942" s="214" t="s">
        <v>1869</v>
      </c>
      <c r="S1942" s="214" t="s">
        <v>1861</v>
      </c>
      <c r="T1942" t="s">
        <v>2571</v>
      </c>
      <c r="U1942" t="s">
        <v>1953</v>
      </c>
      <c r="V1942" t="s">
        <v>2813</v>
      </c>
    </row>
    <row r="1943" spans="1:22" ht="15.75" thickBot="1" x14ac:dyDescent="0.3">
      <c r="A1943" t="s">
        <v>4599</v>
      </c>
      <c r="B1943" t="s">
        <v>4599</v>
      </c>
      <c r="C1943" t="s">
        <v>4599</v>
      </c>
      <c r="D1943" t="s">
        <v>629</v>
      </c>
      <c r="E1943" s="248" t="s">
        <v>1951</v>
      </c>
      <c r="F1943" t="s">
        <v>620</v>
      </c>
      <c r="G1943" s="89">
        <v>2004</v>
      </c>
      <c r="H1943" s="312" t="s">
        <v>732</v>
      </c>
      <c r="I1943" s="308" t="str">
        <f t="shared" si="86"/>
        <v>Pesado de Passageiros M3: I : Gasóleo : E3</v>
      </c>
      <c r="J1943" s="125">
        <v>95</v>
      </c>
      <c r="K1943" s="253">
        <v>2022</v>
      </c>
      <c r="L1943" s="85">
        <v>27130.28</v>
      </c>
      <c r="M1943" s="85" t="s">
        <v>630</v>
      </c>
      <c r="N1943" s="128">
        <v>57677</v>
      </c>
      <c r="O1943" s="128">
        <f t="shared" si="87"/>
        <v>5479315</v>
      </c>
      <c r="Q1943" t="s">
        <v>47</v>
      </c>
      <c r="R1943" s="214" t="s">
        <v>1869</v>
      </c>
      <c r="S1943" s="214" t="s">
        <v>1861</v>
      </c>
      <c r="T1943" t="s">
        <v>2572</v>
      </c>
      <c r="U1943" t="s">
        <v>1953</v>
      </c>
      <c r="V1943" t="s">
        <v>2813</v>
      </c>
    </row>
    <row r="1944" spans="1:22" ht="15.75" thickBot="1" x14ac:dyDescent="0.3">
      <c r="A1944" t="s">
        <v>4599</v>
      </c>
      <c r="B1944" t="s">
        <v>4599</v>
      </c>
      <c r="C1944" t="s">
        <v>4599</v>
      </c>
      <c r="D1944" t="s">
        <v>629</v>
      </c>
      <c r="E1944" s="248" t="s">
        <v>1951</v>
      </c>
      <c r="F1944" t="s">
        <v>620</v>
      </c>
      <c r="G1944" s="89">
        <v>2004</v>
      </c>
      <c r="H1944" s="312" t="s">
        <v>732</v>
      </c>
      <c r="I1944" s="308" t="str">
        <f t="shared" si="86"/>
        <v>Pesado de Passageiros M3: I : Gasóleo : E3</v>
      </c>
      <c r="J1944" s="125">
        <v>95</v>
      </c>
      <c r="K1944" s="253">
        <v>2022</v>
      </c>
      <c r="L1944" s="85">
        <v>16876.55</v>
      </c>
      <c r="M1944" s="85" t="s">
        <v>630</v>
      </c>
      <c r="N1944" s="128">
        <v>39254</v>
      </c>
      <c r="O1944" s="128">
        <f t="shared" si="87"/>
        <v>3729130</v>
      </c>
      <c r="Q1944" t="s">
        <v>47</v>
      </c>
      <c r="R1944" s="214" t="s">
        <v>1869</v>
      </c>
      <c r="S1944" s="214" t="s">
        <v>1861</v>
      </c>
      <c r="T1944" t="s">
        <v>2573</v>
      </c>
      <c r="U1944" t="s">
        <v>1953</v>
      </c>
      <c r="V1944" t="s">
        <v>2813</v>
      </c>
    </row>
    <row r="1945" spans="1:22" ht="15.75" thickBot="1" x14ac:dyDescent="0.3">
      <c r="A1945" t="s">
        <v>4599</v>
      </c>
      <c r="B1945" t="s">
        <v>4599</v>
      </c>
      <c r="C1945" t="s">
        <v>4599</v>
      </c>
      <c r="D1945" t="s">
        <v>629</v>
      </c>
      <c r="E1945" s="248" t="s">
        <v>1951</v>
      </c>
      <c r="F1945" t="s">
        <v>620</v>
      </c>
      <c r="G1945" s="89">
        <v>2008</v>
      </c>
      <c r="H1945" s="312" t="s">
        <v>731</v>
      </c>
      <c r="I1945" s="308" t="str">
        <f t="shared" si="86"/>
        <v>Pesado de Passageiros M3: I : Gasóleo : E4</v>
      </c>
      <c r="J1945" s="125">
        <v>59</v>
      </c>
      <c r="K1945" s="253">
        <v>2022</v>
      </c>
      <c r="L1945" s="85">
        <v>12107.449999999999</v>
      </c>
      <c r="M1945" s="85" t="s">
        <v>630</v>
      </c>
      <c r="N1945" s="128">
        <v>35299</v>
      </c>
      <c r="O1945" s="128">
        <f t="shared" si="87"/>
        <v>2082641</v>
      </c>
      <c r="Q1945" t="s">
        <v>47</v>
      </c>
      <c r="R1945" s="214" t="s">
        <v>1869</v>
      </c>
      <c r="S1945" s="214" t="s">
        <v>1861</v>
      </c>
      <c r="T1945" t="s">
        <v>2574</v>
      </c>
      <c r="U1945" t="s">
        <v>1953</v>
      </c>
      <c r="V1945" t="s">
        <v>2813</v>
      </c>
    </row>
    <row r="1946" spans="1:22" ht="15.75" thickBot="1" x14ac:dyDescent="0.3">
      <c r="A1946" t="s">
        <v>4599</v>
      </c>
      <c r="B1946" t="s">
        <v>4599</v>
      </c>
      <c r="C1946" t="s">
        <v>4599</v>
      </c>
      <c r="D1946" t="s">
        <v>629</v>
      </c>
      <c r="E1946" s="248" t="s">
        <v>1951</v>
      </c>
      <c r="F1946" t="s">
        <v>620</v>
      </c>
      <c r="G1946" s="89">
        <v>2008</v>
      </c>
      <c r="H1946" s="312" t="s">
        <v>731</v>
      </c>
      <c r="I1946" s="308" t="str">
        <f t="shared" si="86"/>
        <v>Pesado de Passageiros M3: I : Gasóleo : E4</v>
      </c>
      <c r="J1946" s="125">
        <v>59</v>
      </c>
      <c r="K1946" s="253">
        <v>2022</v>
      </c>
      <c r="L1946" s="85">
        <v>16097.31</v>
      </c>
      <c r="M1946" s="85" t="s">
        <v>630</v>
      </c>
      <c r="N1946" s="128">
        <v>49744</v>
      </c>
      <c r="O1946" s="128">
        <f t="shared" si="87"/>
        <v>2934896</v>
      </c>
      <c r="Q1946" t="s">
        <v>47</v>
      </c>
      <c r="R1946" s="214" t="s">
        <v>1869</v>
      </c>
      <c r="S1946" s="214" t="s">
        <v>1861</v>
      </c>
      <c r="T1946" t="s">
        <v>2575</v>
      </c>
      <c r="U1946" t="s">
        <v>1953</v>
      </c>
      <c r="V1946" t="s">
        <v>2813</v>
      </c>
    </row>
    <row r="1947" spans="1:22" ht="15.75" thickBot="1" x14ac:dyDescent="0.3">
      <c r="A1947" t="s">
        <v>4599</v>
      </c>
      <c r="B1947" t="s">
        <v>4599</v>
      </c>
      <c r="C1947" t="s">
        <v>4599</v>
      </c>
      <c r="D1947" t="s">
        <v>629</v>
      </c>
      <c r="E1947" s="248" t="s">
        <v>1951</v>
      </c>
      <c r="F1947" t="s">
        <v>620</v>
      </c>
      <c r="G1947" s="89">
        <v>2008</v>
      </c>
      <c r="H1947" s="312" t="s">
        <v>731</v>
      </c>
      <c r="I1947" s="308" t="str">
        <f t="shared" si="86"/>
        <v>Pesado de Passageiros M3: I : Gasóleo : E4</v>
      </c>
      <c r="J1947" s="125">
        <v>59</v>
      </c>
      <c r="K1947" s="253">
        <v>2022</v>
      </c>
      <c r="L1947" s="85">
        <v>11979.130000000001</v>
      </c>
      <c r="M1947" s="85" t="s">
        <v>630</v>
      </c>
      <c r="N1947" s="128">
        <v>34346</v>
      </c>
      <c r="O1947" s="128">
        <f t="shared" si="87"/>
        <v>2026414</v>
      </c>
      <c r="Q1947" t="s">
        <v>47</v>
      </c>
      <c r="R1947" s="214" t="s">
        <v>1869</v>
      </c>
      <c r="S1947" s="214" t="s">
        <v>1861</v>
      </c>
      <c r="T1947" t="s">
        <v>2576</v>
      </c>
      <c r="U1947" t="s">
        <v>1953</v>
      </c>
      <c r="V1947" t="s">
        <v>2813</v>
      </c>
    </row>
    <row r="1948" spans="1:22" ht="15.75" thickBot="1" x14ac:dyDescent="0.3">
      <c r="A1948" t="s">
        <v>4599</v>
      </c>
      <c r="B1948" t="s">
        <v>4599</v>
      </c>
      <c r="C1948" t="s">
        <v>4599</v>
      </c>
      <c r="D1948" t="s">
        <v>629</v>
      </c>
      <c r="E1948" s="248" t="s">
        <v>1951</v>
      </c>
      <c r="F1948" t="s">
        <v>620</v>
      </c>
      <c r="G1948" s="89">
        <v>2008</v>
      </c>
      <c r="H1948" s="312" t="s">
        <v>731</v>
      </c>
      <c r="I1948" s="308" t="str">
        <f t="shared" si="86"/>
        <v>Pesado de Passageiros M3: I : Gasóleo : E4</v>
      </c>
      <c r="J1948" s="125">
        <v>83</v>
      </c>
      <c r="K1948" s="253">
        <v>2022</v>
      </c>
      <c r="L1948" s="85">
        <v>12600.460000000003</v>
      </c>
      <c r="M1948" s="85" t="s">
        <v>630</v>
      </c>
      <c r="N1948" s="128">
        <v>35595</v>
      </c>
      <c r="O1948" s="128">
        <f t="shared" si="87"/>
        <v>2954385</v>
      </c>
      <c r="Q1948" t="s">
        <v>47</v>
      </c>
      <c r="R1948" s="214" t="s">
        <v>1869</v>
      </c>
      <c r="S1948" s="214" t="s">
        <v>1861</v>
      </c>
      <c r="T1948" t="s">
        <v>2577</v>
      </c>
      <c r="U1948" t="s">
        <v>1953</v>
      </c>
      <c r="V1948" t="s">
        <v>2813</v>
      </c>
    </row>
    <row r="1949" spans="1:22" ht="15.75" thickBot="1" x14ac:dyDescent="0.3">
      <c r="A1949" t="s">
        <v>4599</v>
      </c>
      <c r="B1949" t="s">
        <v>4599</v>
      </c>
      <c r="C1949" t="s">
        <v>4599</v>
      </c>
      <c r="D1949" t="s">
        <v>629</v>
      </c>
      <c r="E1949" s="248" t="s">
        <v>1951</v>
      </c>
      <c r="F1949" t="s">
        <v>620</v>
      </c>
      <c r="G1949" s="89">
        <v>2008</v>
      </c>
      <c r="H1949" s="312" t="s">
        <v>731</v>
      </c>
      <c r="I1949" s="308" t="str">
        <f t="shared" si="86"/>
        <v>Pesado de Passageiros M3: I : Gasóleo : E4</v>
      </c>
      <c r="J1949" s="125">
        <v>74</v>
      </c>
      <c r="K1949" s="253">
        <v>2022</v>
      </c>
      <c r="L1949" s="85">
        <v>16913.339999999997</v>
      </c>
      <c r="M1949" s="85" t="s">
        <v>630</v>
      </c>
      <c r="N1949" s="128">
        <v>47350</v>
      </c>
      <c r="O1949" s="128">
        <f t="shared" si="87"/>
        <v>3503900</v>
      </c>
      <c r="Q1949" t="s">
        <v>47</v>
      </c>
      <c r="R1949" s="214" t="s">
        <v>1869</v>
      </c>
      <c r="S1949" s="214" t="s">
        <v>1861</v>
      </c>
      <c r="T1949" t="s">
        <v>2578</v>
      </c>
      <c r="U1949" t="s">
        <v>1953</v>
      </c>
      <c r="V1949" t="s">
        <v>2813</v>
      </c>
    </row>
    <row r="1950" spans="1:22" ht="15.75" thickBot="1" x14ac:dyDescent="0.3">
      <c r="A1950" t="s">
        <v>4599</v>
      </c>
      <c r="B1950" t="s">
        <v>4599</v>
      </c>
      <c r="C1950" t="s">
        <v>4599</v>
      </c>
      <c r="D1950" t="s">
        <v>629</v>
      </c>
      <c r="E1950" s="248" t="s">
        <v>1951</v>
      </c>
      <c r="F1950" t="s">
        <v>620</v>
      </c>
      <c r="G1950" s="89">
        <v>2007</v>
      </c>
      <c r="H1950" s="312" t="s">
        <v>731</v>
      </c>
      <c r="I1950" s="308" t="str">
        <f t="shared" si="86"/>
        <v>Pesado de Passageiros M3: I : Gasóleo : E4</v>
      </c>
      <c r="J1950" s="125">
        <v>94</v>
      </c>
      <c r="K1950" s="253">
        <v>2022</v>
      </c>
      <c r="L1950" s="85">
        <v>19609.739999999998</v>
      </c>
      <c r="M1950" s="85" t="s">
        <v>630</v>
      </c>
      <c r="N1950" s="128">
        <v>51323</v>
      </c>
      <c r="O1950" s="128">
        <f t="shared" si="87"/>
        <v>4824362</v>
      </c>
      <c r="Q1950" t="s">
        <v>47</v>
      </c>
      <c r="R1950" s="214" t="s">
        <v>1869</v>
      </c>
      <c r="S1950" s="214" t="s">
        <v>1861</v>
      </c>
      <c r="T1950" t="s">
        <v>2579</v>
      </c>
      <c r="U1950" t="s">
        <v>1953</v>
      </c>
      <c r="V1950" t="s">
        <v>2813</v>
      </c>
    </row>
    <row r="1951" spans="1:22" ht="15.75" thickBot="1" x14ac:dyDescent="0.3">
      <c r="A1951" t="s">
        <v>4599</v>
      </c>
      <c r="B1951" t="s">
        <v>4599</v>
      </c>
      <c r="C1951" t="s">
        <v>4599</v>
      </c>
      <c r="D1951" t="s">
        <v>629</v>
      </c>
      <c r="E1951" s="248" t="s">
        <v>1951</v>
      </c>
      <c r="F1951" t="s">
        <v>620</v>
      </c>
      <c r="G1951" s="89">
        <v>2007</v>
      </c>
      <c r="H1951" s="312" t="s">
        <v>731</v>
      </c>
      <c r="I1951" s="308" t="str">
        <f t="shared" si="86"/>
        <v>Pesado de Passageiros M3: I : Gasóleo : E4</v>
      </c>
      <c r="J1951" s="125">
        <v>94</v>
      </c>
      <c r="K1951" s="253">
        <v>2022</v>
      </c>
      <c r="L1951" s="85">
        <v>18017.09</v>
      </c>
      <c r="M1951" s="85" t="s">
        <v>630</v>
      </c>
      <c r="N1951" s="128">
        <v>49025</v>
      </c>
      <c r="O1951" s="128">
        <f t="shared" si="87"/>
        <v>4608350</v>
      </c>
      <c r="Q1951" t="s">
        <v>47</v>
      </c>
      <c r="R1951" s="214" t="s">
        <v>1869</v>
      </c>
      <c r="S1951" s="214" t="s">
        <v>1861</v>
      </c>
      <c r="T1951" t="s">
        <v>2580</v>
      </c>
      <c r="U1951" t="s">
        <v>1953</v>
      </c>
      <c r="V1951" t="s">
        <v>2813</v>
      </c>
    </row>
    <row r="1952" spans="1:22" ht="15.75" thickBot="1" x14ac:dyDescent="0.3">
      <c r="A1952" t="s">
        <v>4599</v>
      </c>
      <c r="B1952" t="s">
        <v>4599</v>
      </c>
      <c r="C1952" t="s">
        <v>4599</v>
      </c>
      <c r="D1952" t="s">
        <v>629</v>
      </c>
      <c r="E1952" s="248" t="s">
        <v>1951</v>
      </c>
      <c r="F1952" t="s">
        <v>620</v>
      </c>
      <c r="G1952" s="89">
        <v>2007</v>
      </c>
      <c r="H1952" s="312" t="s">
        <v>731</v>
      </c>
      <c r="I1952" s="308" t="str">
        <f t="shared" si="86"/>
        <v>Pesado de Passageiros M3: I : Gasóleo : E4</v>
      </c>
      <c r="J1952" s="125">
        <v>94</v>
      </c>
      <c r="K1952" s="253">
        <v>2022</v>
      </c>
      <c r="L1952" s="85">
        <v>13632.98</v>
      </c>
      <c r="M1952" s="85" t="s">
        <v>630</v>
      </c>
      <c r="N1952" s="128">
        <v>36089</v>
      </c>
      <c r="O1952" s="128">
        <f t="shared" si="87"/>
        <v>3392366</v>
      </c>
      <c r="Q1952" t="s">
        <v>47</v>
      </c>
      <c r="R1952" s="214" t="s">
        <v>1869</v>
      </c>
      <c r="S1952" s="214" t="s">
        <v>1861</v>
      </c>
      <c r="T1952" t="s">
        <v>2581</v>
      </c>
      <c r="U1952" t="s">
        <v>1953</v>
      </c>
      <c r="V1952" t="s">
        <v>2813</v>
      </c>
    </row>
    <row r="1953" spans="1:22" ht="15.75" thickBot="1" x14ac:dyDescent="0.3">
      <c r="A1953" t="s">
        <v>4599</v>
      </c>
      <c r="B1953" t="s">
        <v>4599</v>
      </c>
      <c r="C1953" t="s">
        <v>4599</v>
      </c>
      <c r="D1953" t="s">
        <v>629</v>
      </c>
      <c r="E1953" s="248" t="s">
        <v>1951</v>
      </c>
      <c r="F1953" t="s">
        <v>620</v>
      </c>
      <c r="G1953" s="89">
        <v>2005</v>
      </c>
      <c r="H1953" s="312" t="s">
        <v>731</v>
      </c>
      <c r="I1953" s="308" t="str">
        <f t="shared" si="86"/>
        <v>Pesado de Passageiros M3: I : Gasóleo : E4</v>
      </c>
      <c r="J1953" s="125">
        <v>83</v>
      </c>
      <c r="K1953" s="253">
        <v>2022</v>
      </c>
      <c r="L1953" s="85">
        <v>11095.789999999999</v>
      </c>
      <c r="M1953" s="85" t="s">
        <v>630</v>
      </c>
      <c r="N1953" s="128">
        <v>33060</v>
      </c>
      <c r="O1953" s="128">
        <f t="shared" si="87"/>
        <v>2743980</v>
      </c>
      <c r="Q1953" t="s">
        <v>47</v>
      </c>
      <c r="R1953" s="214" t="s">
        <v>1869</v>
      </c>
      <c r="S1953" s="214" t="s">
        <v>1861</v>
      </c>
      <c r="T1953" t="s">
        <v>2582</v>
      </c>
      <c r="U1953" t="s">
        <v>1953</v>
      </c>
      <c r="V1953" t="s">
        <v>2813</v>
      </c>
    </row>
    <row r="1954" spans="1:22" ht="15.75" thickBot="1" x14ac:dyDescent="0.3">
      <c r="A1954" t="s">
        <v>4599</v>
      </c>
      <c r="B1954" t="s">
        <v>4599</v>
      </c>
      <c r="C1954" t="s">
        <v>4599</v>
      </c>
      <c r="D1954" t="s">
        <v>629</v>
      </c>
      <c r="E1954" s="248" t="s">
        <v>1951</v>
      </c>
      <c r="F1954" t="s">
        <v>620</v>
      </c>
      <c r="G1954" s="89">
        <v>2005</v>
      </c>
      <c r="H1954" s="312" t="s">
        <v>731</v>
      </c>
      <c r="I1954" s="308" t="str">
        <f t="shared" si="86"/>
        <v>Pesado de Passageiros M3: I : Gasóleo : E4</v>
      </c>
      <c r="J1954" s="125">
        <v>83</v>
      </c>
      <c r="K1954" s="253">
        <v>2022</v>
      </c>
      <c r="L1954" s="85">
        <v>21272.600000000002</v>
      </c>
      <c r="M1954" s="85" t="s">
        <v>630</v>
      </c>
      <c r="N1954" s="128">
        <v>60542</v>
      </c>
      <c r="O1954" s="128">
        <f t="shared" si="87"/>
        <v>5024986</v>
      </c>
      <c r="Q1954" t="s">
        <v>47</v>
      </c>
      <c r="R1954" s="214" t="s">
        <v>1869</v>
      </c>
      <c r="S1954" s="214" t="s">
        <v>1861</v>
      </c>
      <c r="T1954" t="s">
        <v>2583</v>
      </c>
      <c r="U1954" t="s">
        <v>1953</v>
      </c>
      <c r="V1954" t="s">
        <v>2813</v>
      </c>
    </row>
    <row r="1955" spans="1:22" ht="15.75" thickBot="1" x14ac:dyDescent="0.3">
      <c r="A1955" t="s">
        <v>4599</v>
      </c>
      <c r="B1955" t="s">
        <v>4599</v>
      </c>
      <c r="C1955" t="s">
        <v>4599</v>
      </c>
      <c r="D1955" t="s">
        <v>629</v>
      </c>
      <c r="E1955" s="248" t="s">
        <v>1951</v>
      </c>
      <c r="F1955" t="s">
        <v>620</v>
      </c>
      <c r="G1955" s="89">
        <v>2007</v>
      </c>
      <c r="H1955" s="312" t="s">
        <v>731</v>
      </c>
      <c r="I1955" s="308" t="str">
        <f t="shared" si="86"/>
        <v>Pesado de Passageiros M3: I : Gasóleo : E4</v>
      </c>
      <c r="J1955" s="125">
        <v>70</v>
      </c>
      <c r="K1955" s="253">
        <v>2022</v>
      </c>
      <c r="L1955" s="85">
        <v>22064.63</v>
      </c>
      <c r="M1955" s="85" t="s">
        <v>630</v>
      </c>
      <c r="N1955" s="128">
        <v>56946</v>
      </c>
      <c r="O1955" s="128">
        <f t="shared" si="87"/>
        <v>3986220</v>
      </c>
      <c r="Q1955" t="s">
        <v>47</v>
      </c>
      <c r="R1955" s="214" t="s">
        <v>1869</v>
      </c>
      <c r="S1955" s="214" t="s">
        <v>1861</v>
      </c>
      <c r="T1955" t="s">
        <v>2584</v>
      </c>
      <c r="U1955" t="s">
        <v>1953</v>
      </c>
      <c r="V1955" t="s">
        <v>2813</v>
      </c>
    </row>
    <row r="1956" spans="1:22" ht="15.75" thickBot="1" x14ac:dyDescent="0.3">
      <c r="A1956" t="s">
        <v>4599</v>
      </c>
      <c r="B1956" t="s">
        <v>4599</v>
      </c>
      <c r="C1956" t="s">
        <v>4599</v>
      </c>
      <c r="D1956" t="s">
        <v>629</v>
      </c>
      <c r="E1956" s="248" t="s">
        <v>1951</v>
      </c>
      <c r="F1956" t="s">
        <v>620</v>
      </c>
      <c r="G1956" s="89">
        <v>2007</v>
      </c>
      <c r="H1956" s="312" t="s">
        <v>731</v>
      </c>
      <c r="I1956" s="308" t="str">
        <f t="shared" si="86"/>
        <v>Pesado de Passageiros M3: I : Gasóleo : E4</v>
      </c>
      <c r="J1956" s="125">
        <v>80</v>
      </c>
      <c r="K1956" s="253">
        <v>2022</v>
      </c>
      <c r="L1956" s="85">
        <v>12929.960000000001</v>
      </c>
      <c r="M1956" s="85" t="s">
        <v>630</v>
      </c>
      <c r="N1956" s="128">
        <v>38283</v>
      </c>
      <c r="O1956" s="128">
        <f t="shared" si="87"/>
        <v>3062640</v>
      </c>
      <c r="Q1956" t="s">
        <v>47</v>
      </c>
      <c r="R1956" s="214" t="s">
        <v>1869</v>
      </c>
      <c r="S1956" s="214" t="s">
        <v>1861</v>
      </c>
      <c r="T1956" t="s">
        <v>2585</v>
      </c>
      <c r="U1956" t="s">
        <v>1953</v>
      </c>
      <c r="V1956" t="s">
        <v>2813</v>
      </c>
    </row>
    <row r="1957" spans="1:22" ht="15.75" thickBot="1" x14ac:dyDescent="0.3">
      <c r="A1957" t="s">
        <v>4599</v>
      </c>
      <c r="B1957" t="s">
        <v>4599</v>
      </c>
      <c r="C1957" t="s">
        <v>4599</v>
      </c>
      <c r="D1957" t="s">
        <v>629</v>
      </c>
      <c r="E1957" s="248" t="s">
        <v>1951</v>
      </c>
      <c r="F1957" t="s">
        <v>620</v>
      </c>
      <c r="G1957" s="89">
        <v>2006</v>
      </c>
      <c r="H1957" s="312" t="s">
        <v>731</v>
      </c>
      <c r="I1957" s="308" t="str">
        <f t="shared" si="86"/>
        <v>Pesado de Passageiros M3: I : Gasóleo : E4</v>
      </c>
      <c r="J1957" s="125">
        <v>70</v>
      </c>
      <c r="K1957" s="253">
        <v>2022</v>
      </c>
      <c r="L1957" s="85">
        <v>9117.0199999999986</v>
      </c>
      <c r="M1957" s="85" t="s">
        <v>630</v>
      </c>
      <c r="N1957" s="128">
        <v>25764</v>
      </c>
      <c r="O1957" s="128">
        <f t="shared" si="87"/>
        <v>1803480</v>
      </c>
      <c r="Q1957" t="s">
        <v>47</v>
      </c>
      <c r="R1957" s="214" t="s">
        <v>1869</v>
      </c>
      <c r="S1957" s="214" t="s">
        <v>1861</v>
      </c>
      <c r="T1957" t="s">
        <v>2586</v>
      </c>
      <c r="U1957" t="s">
        <v>1953</v>
      </c>
      <c r="V1957" t="s">
        <v>2813</v>
      </c>
    </row>
    <row r="1958" spans="1:22" ht="15.75" thickBot="1" x14ac:dyDescent="0.3">
      <c r="A1958" t="s">
        <v>4599</v>
      </c>
      <c r="B1958" t="s">
        <v>4599</v>
      </c>
      <c r="C1958" t="s">
        <v>4599</v>
      </c>
      <c r="D1958" t="s">
        <v>629</v>
      </c>
      <c r="E1958" s="248" t="s">
        <v>1951</v>
      </c>
      <c r="F1958" t="s">
        <v>620</v>
      </c>
      <c r="G1958" s="89">
        <v>2006</v>
      </c>
      <c r="H1958" s="312" t="s">
        <v>731</v>
      </c>
      <c r="I1958" s="308" t="str">
        <f t="shared" si="86"/>
        <v>Pesado de Passageiros M3: I : Gasóleo : E4</v>
      </c>
      <c r="J1958" s="125">
        <v>78</v>
      </c>
      <c r="K1958" s="253">
        <v>2022</v>
      </c>
      <c r="L1958" s="85">
        <v>15397.93</v>
      </c>
      <c r="M1958" s="85" t="s">
        <v>630</v>
      </c>
      <c r="N1958" s="128">
        <v>43910</v>
      </c>
      <c r="O1958" s="128">
        <f t="shared" si="87"/>
        <v>3424980</v>
      </c>
      <c r="Q1958" t="s">
        <v>47</v>
      </c>
      <c r="R1958" s="214" t="s">
        <v>1869</v>
      </c>
      <c r="S1958" s="214" t="s">
        <v>1861</v>
      </c>
      <c r="T1958" t="s">
        <v>2587</v>
      </c>
      <c r="U1958" t="s">
        <v>1953</v>
      </c>
      <c r="V1958" t="s">
        <v>2813</v>
      </c>
    </row>
    <row r="1959" spans="1:22" ht="15.75" thickBot="1" x14ac:dyDescent="0.3">
      <c r="A1959" t="s">
        <v>4599</v>
      </c>
      <c r="B1959" t="s">
        <v>4599</v>
      </c>
      <c r="C1959" t="s">
        <v>4599</v>
      </c>
      <c r="D1959" t="s">
        <v>629</v>
      </c>
      <c r="E1959" s="248" t="s">
        <v>1951</v>
      </c>
      <c r="F1959" t="s">
        <v>620</v>
      </c>
      <c r="G1959" s="89">
        <v>2010</v>
      </c>
      <c r="H1959" s="312" t="s">
        <v>734</v>
      </c>
      <c r="I1959" s="308" t="str">
        <f t="shared" si="86"/>
        <v>Pesado de Passageiros M3: I : Gasóleo : E5</v>
      </c>
      <c r="J1959" s="125">
        <v>70</v>
      </c>
      <c r="K1959" s="253">
        <v>2022</v>
      </c>
      <c r="L1959" s="85">
        <v>8629.98</v>
      </c>
      <c r="M1959" s="85" t="s">
        <v>630</v>
      </c>
      <c r="N1959" s="128">
        <v>23075</v>
      </c>
      <c r="O1959" s="128">
        <f t="shared" si="87"/>
        <v>1615250</v>
      </c>
      <c r="Q1959" t="s">
        <v>47</v>
      </c>
      <c r="R1959" s="214" t="s">
        <v>1869</v>
      </c>
      <c r="S1959" s="214" t="s">
        <v>1861</v>
      </c>
      <c r="T1959" t="s">
        <v>2588</v>
      </c>
      <c r="U1959" t="s">
        <v>1953</v>
      </c>
      <c r="V1959" t="s">
        <v>2813</v>
      </c>
    </row>
    <row r="1960" spans="1:22" ht="15.75" thickBot="1" x14ac:dyDescent="0.3">
      <c r="A1960" t="s">
        <v>4599</v>
      </c>
      <c r="B1960" t="s">
        <v>4599</v>
      </c>
      <c r="C1960" t="s">
        <v>4599</v>
      </c>
      <c r="D1960" t="s">
        <v>629</v>
      </c>
      <c r="E1960" s="248" t="s">
        <v>1951</v>
      </c>
      <c r="F1960" t="s">
        <v>620</v>
      </c>
      <c r="G1960" s="89">
        <v>2006</v>
      </c>
      <c r="H1960" s="312" t="s">
        <v>731</v>
      </c>
      <c r="I1960" s="308" t="str">
        <f t="shared" si="86"/>
        <v>Pesado de Passageiros M3: I : Gasóleo : E4</v>
      </c>
      <c r="J1960" s="125">
        <v>69</v>
      </c>
      <c r="K1960" s="253">
        <v>2022</v>
      </c>
      <c r="L1960" s="85">
        <v>13149.130000000001</v>
      </c>
      <c r="M1960" s="85" t="s">
        <v>630</v>
      </c>
      <c r="N1960" s="128">
        <v>35983</v>
      </c>
      <c r="O1960" s="128">
        <f t="shared" si="87"/>
        <v>2482827</v>
      </c>
      <c r="Q1960" t="s">
        <v>47</v>
      </c>
      <c r="R1960" s="214" t="s">
        <v>1869</v>
      </c>
      <c r="S1960" s="214" t="s">
        <v>1861</v>
      </c>
      <c r="T1960" t="s">
        <v>2589</v>
      </c>
      <c r="U1960" t="s">
        <v>1953</v>
      </c>
      <c r="V1960" t="s">
        <v>2813</v>
      </c>
    </row>
    <row r="1961" spans="1:22" ht="15.75" thickBot="1" x14ac:dyDescent="0.3">
      <c r="A1961" t="s">
        <v>4599</v>
      </c>
      <c r="B1961" t="s">
        <v>4599</v>
      </c>
      <c r="C1961" t="s">
        <v>4599</v>
      </c>
      <c r="D1961" t="s">
        <v>629</v>
      </c>
      <c r="E1961" s="248" t="s">
        <v>1951</v>
      </c>
      <c r="F1961" t="s">
        <v>620</v>
      </c>
      <c r="G1961" s="89">
        <v>2004</v>
      </c>
      <c r="H1961" s="312" t="s">
        <v>732</v>
      </c>
      <c r="I1961" s="308" t="str">
        <f t="shared" si="86"/>
        <v>Pesado de Passageiros M3: I : Gasóleo : E3</v>
      </c>
      <c r="J1961" s="125">
        <v>75</v>
      </c>
      <c r="K1961" s="253">
        <v>2022</v>
      </c>
      <c r="L1961" s="85">
        <v>13692.839999999998</v>
      </c>
      <c r="M1961" s="85" t="s">
        <v>630</v>
      </c>
      <c r="N1961" s="128">
        <v>35990</v>
      </c>
      <c r="O1961" s="128">
        <f t="shared" si="87"/>
        <v>2699250</v>
      </c>
      <c r="Q1961" t="s">
        <v>47</v>
      </c>
      <c r="R1961" s="214" t="s">
        <v>1869</v>
      </c>
      <c r="S1961" s="214" t="s">
        <v>1861</v>
      </c>
      <c r="T1961" t="s">
        <v>2590</v>
      </c>
      <c r="U1961" t="s">
        <v>1953</v>
      </c>
      <c r="V1961" t="s">
        <v>2813</v>
      </c>
    </row>
    <row r="1962" spans="1:22" ht="15.75" thickBot="1" x14ac:dyDescent="0.3">
      <c r="A1962" t="s">
        <v>4599</v>
      </c>
      <c r="B1962" t="s">
        <v>4599</v>
      </c>
      <c r="C1962" t="s">
        <v>4599</v>
      </c>
      <c r="D1962" t="s">
        <v>629</v>
      </c>
      <c r="E1962" s="248" t="s">
        <v>1951</v>
      </c>
      <c r="F1962" t="s">
        <v>620</v>
      </c>
      <c r="G1962" s="89">
        <v>2007</v>
      </c>
      <c r="H1962" s="312" t="s">
        <v>731</v>
      </c>
      <c r="I1962" s="308" t="str">
        <f t="shared" si="86"/>
        <v>Pesado de Passageiros M3: I : Gasóleo : E4</v>
      </c>
      <c r="J1962" s="125">
        <v>71</v>
      </c>
      <c r="K1962" s="253">
        <v>2022</v>
      </c>
      <c r="L1962" s="85">
        <v>11008.5</v>
      </c>
      <c r="M1962" s="85" t="s">
        <v>630</v>
      </c>
      <c r="N1962" s="128">
        <v>27717</v>
      </c>
      <c r="O1962" s="128">
        <f t="shared" si="87"/>
        <v>1967907</v>
      </c>
      <c r="Q1962" t="s">
        <v>47</v>
      </c>
      <c r="R1962" s="214" t="s">
        <v>1869</v>
      </c>
      <c r="S1962" s="214" t="s">
        <v>1861</v>
      </c>
      <c r="T1962" t="s">
        <v>2591</v>
      </c>
      <c r="U1962" t="s">
        <v>1953</v>
      </c>
      <c r="V1962" t="s">
        <v>2813</v>
      </c>
    </row>
    <row r="1963" spans="1:22" ht="15.75" thickBot="1" x14ac:dyDescent="0.3">
      <c r="A1963" t="s">
        <v>4599</v>
      </c>
      <c r="B1963" t="s">
        <v>4599</v>
      </c>
      <c r="C1963" t="s">
        <v>4599</v>
      </c>
      <c r="D1963" t="s">
        <v>629</v>
      </c>
      <c r="E1963" s="248" t="s">
        <v>1951</v>
      </c>
      <c r="F1963" t="s">
        <v>620</v>
      </c>
      <c r="G1963" s="89">
        <v>2004</v>
      </c>
      <c r="H1963" s="312" t="s">
        <v>732</v>
      </c>
      <c r="I1963" s="308" t="str">
        <f t="shared" si="86"/>
        <v>Pesado de Passageiros M3: I : Gasóleo : E3</v>
      </c>
      <c r="J1963" s="125">
        <v>72</v>
      </c>
      <c r="K1963" s="253">
        <v>2022</v>
      </c>
      <c r="L1963" s="85">
        <v>21108.069999999996</v>
      </c>
      <c r="M1963" s="85" t="s">
        <v>630</v>
      </c>
      <c r="N1963" s="128">
        <v>59954</v>
      </c>
      <c r="O1963" s="128">
        <f t="shared" si="87"/>
        <v>4316688</v>
      </c>
      <c r="Q1963" t="s">
        <v>47</v>
      </c>
      <c r="R1963" s="214" t="s">
        <v>1869</v>
      </c>
      <c r="S1963" s="214" t="s">
        <v>1861</v>
      </c>
      <c r="T1963" t="s">
        <v>2592</v>
      </c>
      <c r="U1963" t="s">
        <v>1953</v>
      </c>
      <c r="V1963" t="s">
        <v>2813</v>
      </c>
    </row>
    <row r="1964" spans="1:22" ht="15.75" thickBot="1" x14ac:dyDescent="0.3">
      <c r="A1964" t="s">
        <v>4599</v>
      </c>
      <c r="B1964" t="s">
        <v>4599</v>
      </c>
      <c r="C1964" t="s">
        <v>4599</v>
      </c>
      <c r="D1964" t="s">
        <v>629</v>
      </c>
      <c r="E1964" s="248" t="s">
        <v>1951</v>
      </c>
      <c r="F1964" t="s">
        <v>620</v>
      </c>
      <c r="G1964" s="89">
        <v>2006</v>
      </c>
      <c r="H1964" s="312" t="s">
        <v>731</v>
      </c>
      <c r="I1964" s="308" t="str">
        <f t="shared" si="86"/>
        <v>Pesado de Passageiros M3: I : Gasóleo : E4</v>
      </c>
      <c r="J1964" s="125">
        <v>91</v>
      </c>
      <c r="K1964" s="253">
        <v>2022</v>
      </c>
      <c r="L1964" s="85">
        <v>17962.560000000001</v>
      </c>
      <c r="M1964" s="85" t="s">
        <v>630</v>
      </c>
      <c r="N1964" s="128">
        <v>44008</v>
      </c>
      <c r="O1964" s="128">
        <f t="shared" si="87"/>
        <v>4004728</v>
      </c>
      <c r="Q1964" t="s">
        <v>47</v>
      </c>
      <c r="R1964" s="214" t="s">
        <v>1869</v>
      </c>
      <c r="S1964" s="214" t="s">
        <v>1861</v>
      </c>
      <c r="T1964" t="s">
        <v>2593</v>
      </c>
      <c r="U1964" t="s">
        <v>1953</v>
      </c>
      <c r="V1964" t="s">
        <v>2813</v>
      </c>
    </row>
    <row r="1965" spans="1:22" ht="15.75" thickBot="1" x14ac:dyDescent="0.3">
      <c r="A1965" t="s">
        <v>4599</v>
      </c>
      <c r="B1965" t="s">
        <v>4599</v>
      </c>
      <c r="C1965" t="s">
        <v>4599</v>
      </c>
      <c r="D1965" t="s">
        <v>629</v>
      </c>
      <c r="E1965" s="248" t="s">
        <v>1951</v>
      </c>
      <c r="F1965" t="s">
        <v>620</v>
      </c>
      <c r="G1965" s="89">
        <v>2007</v>
      </c>
      <c r="H1965" s="312" t="s">
        <v>731</v>
      </c>
      <c r="I1965" s="308" t="str">
        <f t="shared" si="86"/>
        <v>Pesado de Passageiros M3: I : Gasóleo : E4</v>
      </c>
      <c r="J1965" s="125">
        <v>80</v>
      </c>
      <c r="K1965" s="253">
        <v>2022</v>
      </c>
      <c r="L1965" s="85">
        <v>14932.039999999999</v>
      </c>
      <c r="M1965" s="85" t="s">
        <v>630</v>
      </c>
      <c r="N1965" s="128">
        <v>42331</v>
      </c>
      <c r="O1965" s="128">
        <f t="shared" si="87"/>
        <v>3386480</v>
      </c>
      <c r="Q1965" t="s">
        <v>47</v>
      </c>
      <c r="R1965" s="214" t="s">
        <v>1869</v>
      </c>
      <c r="S1965" s="214" t="s">
        <v>1861</v>
      </c>
      <c r="T1965" t="s">
        <v>2594</v>
      </c>
      <c r="U1965" t="s">
        <v>1953</v>
      </c>
      <c r="V1965" t="s">
        <v>2813</v>
      </c>
    </row>
    <row r="1966" spans="1:22" ht="15.75" thickBot="1" x14ac:dyDescent="0.3">
      <c r="A1966" t="s">
        <v>4599</v>
      </c>
      <c r="B1966" t="s">
        <v>4599</v>
      </c>
      <c r="C1966" t="s">
        <v>4599</v>
      </c>
      <c r="D1966" t="s">
        <v>629</v>
      </c>
      <c r="E1966" s="248" t="s">
        <v>1951</v>
      </c>
      <c r="F1966" t="s">
        <v>620</v>
      </c>
      <c r="G1966" s="89">
        <v>2007</v>
      </c>
      <c r="H1966" s="312" t="s">
        <v>731</v>
      </c>
      <c r="I1966" s="308" t="str">
        <f t="shared" si="86"/>
        <v>Pesado de Passageiros M3: I : Gasóleo : E4</v>
      </c>
      <c r="J1966" s="125">
        <v>71</v>
      </c>
      <c r="K1966" s="253">
        <v>2022</v>
      </c>
      <c r="L1966" s="85">
        <v>17644.920000000002</v>
      </c>
      <c r="M1966" s="85" t="s">
        <v>630</v>
      </c>
      <c r="N1966" s="128">
        <v>49910</v>
      </c>
      <c r="O1966" s="128">
        <f t="shared" si="87"/>
        <v>3543610</v>
      </c>
      <c r="Q1966" t="s">
        <v>47</v>
      </c>
      <c r="R1966" s="214" t="s">
        <v>1869</v>
      </c>
      <c r="S1966" s="214" t="s">
        <v>1861</v>
      </c>
      <c r="T1966" t="s">
        <v>2595</v>
      </c>
      <c r="U1966" t="s">
        <v>1953</v>
      </c>
      <c r="V1966" t="s">
        <v>2813</v>
      </c>
    </row>
    <row r="1967" spans="1:22" ht="15.75" thickBot="1" x14ac:dyDescent="0.3">
      <c r="A1967" t="s">
        <v>4599</v>
      </c>
      <c r="B1967" t="s">
        <v>4599</v>
      </c>
      <c r="C1967" t="s">
        <v>4599</v>
      </c>
      <c r="D1967" t="s">
        <v>629</v>
      </c>
      <c r="E1967" s="248" t="s">
        <v>1951</v>
      </c>
      <c r="F1967" t="s">
        <v>620</v>
      </c>
      <c r="G1967" s="89">
        <v>2007</v>
      </c>
      <c r="H1967" s="312" t="s">
        <v>731</v>
      </c>
      <c r="I1967" s="308" t="str">
        <f t="shared" si="86"/>
        <v>Pesado de Passageiros M3: I : Gasóleo : E4</v>
      </c>
      <c r="J1967" s="125">
        <v>71</v>
      </c>
      <c r="K1967" s="253">
        <v>2022</v>
      </c>
      <c r="L1967" s="85">
        <v>17652.34</v>
      </c>
      <c r="M1967" s="85" t="s">
        <v>630</v>
      </c>
      <c r="N1967" s="128">
        <v>44266</v>
      </c>
      <c r="O1967" s="128">
        <f t="shared" si="87"/>
        <v>3142886</v>
      </c>
      <c r="Q1967" t="s">
        <v>47</v>
      </c>
      <c r="R1967" s="214" t="s">
        <v>1869</v>
      </c>
      <c r="S1967" s="214" t="s">
        <v>1861</v>
      </c>
      <c r="T1967" t="s">
        <v>2596</v>
      </c>
      <c r="U1967" t="s">
        <v>1953</v>
      </c>
      <c r="V1967" t="s">
        <v>2813</v>
      </c>
    </row>
    <row r="1968" spans="1:22" ht="15.75" thickBot="1" x14ac:dyDescent="0.3">
      <c r="A1968" t="s">
        <v>4599</v>
      </c>
      <c r="B1968" t="s">
        <v>4599</v>
      </c>
      <c r="C1968" t="s">
        <v>4599</v>
      </c>
      <c r="D1968" t="s">
        <v>629</v>
      </c>
      <c r="E1968" s="248" t="s">
        <v>1951</v>
      </c>
      <c r="F1968" t="s">
        <v>620</v>
      </c>
      <c r="G1968" s="89">
        <v>2009</v>
      </c>
      <c r="H1968" s="312" t="s">
        <v>734</v>
      </c>
      <c r="I1968" s="308" t="str">
        <f t="shared" si="86"/>
        <v>Pesado de Passageiros M3: I : Gasóleo : E5</v>
      </c>
      <c r="J1968" s="125">
        <v>75</v>
      </c>
      <c r="K1968" s="253">
        <v>2022</v>
      </c>
      <c r="L1968" s="85">
        <v>16928.96</v>
      </c>
      <c r="M1968" s="85" t="s">
        <v>630</v>
      </c>
      <c r="N1968" s="128">
        <v>52468</v>
      </c>
      <c r="O1968" s="128">
        <f t="shared" si="87"/>
        <v>3935100</v>
      </c>
      <c r="Q1968" t="s">
        <v>47</v>
      </c>
      <c r="R1968" s="214" t="s">
        <v>1869</v>
      </c>
      <c r="S1968" s="214" t="s">
        <v>1861</v>
      </c>
      <c r="T1968" t="s">
        <v>2597</v>
      </c>
      <c r="U1968" t="s">
        <v>1953</v>
      </c>
      <c r="V1968" t="s">
        <v>2813</v>
      </c>
    </row>
    <row r="1969" spans="1:22" ht="15.75" thickBot="1" x14ac:dyDescent="0.3">
      <c r="A1969" t="s">
        <v>4599</v>
      </c>
      <c r="B1969" t="s">
        <v>4599</v>
      </c>
      <c r="C1969" t="s">
        <v>4599</v>
      </c>
      <c r="D1969" t="s">
        <v>629</v>
      </c>
      <c r="E1969" s="248" t="s">
        <v>1951</v>
      </c>
      <c r="F1969" t="s">
        <v>620</v>
      </c>
      <c r="G1969" s="89">
        <v>2008</v>
      </c>
      <c r="H1969" s="312" t="s">
        <v>731</v>
      </c>
      <c r="I1969" s="308" t="str">
        <f t="shared" si="86"/>
        <v>Pesado de Passageiros M3: I : Gasóleo : E4</v>
      </c>
      <c r="J1969" s="125">
        <v>73</v>
      </c>
      <c r="K1969" s="253">
        <v>2022</v>
      </c>
      <c r="L1969" s="85">
        <v>12854.119999999999</v>
      </c>
      <c r="M1969" s="85" t="s">
        <v>630</v>
      </c>
      <c r="N1969" s="128">
        <v>32774</v>
      </c>
      <c r="O1969" s="128">
        <f t="shared" si="87"/>
        <v>2392502</v>
      </c>
      <c r="Q1969" t="s">
        <v>47</v>
      </c>
      <c r="R1969" s="214" t="s">
        <v>1869</v>
      </c>
      <c r="S1969" s="214" t="s">
        <v>1861</v>
      </c>
      <c r="T1969" t="s">
        <v>2598</v>
      </c>
      <c r="U1969" t="s">
        <v>1953</v>
      </c>
      <c r="V1969" t="s">
        <v>2813</v>
      </c>
    </row>
    <row r="1970" spans="1:22" ht="15.75" thickBot="1" x14ac:dyDescent="0.3">
      <c r="A1970" t="s">
        <v>4599</v>
      </c>
      <c r="B1970" t="s">
        <v>4599</v>
      </c>
      <c r="C1970" t="s">
        <v>4599</v>
      </c>
      <c r="D1970" t="s">
        <v>629</v>
      </c>
      <c r="E1970" s="248" t="s">
        <v>1951</v>
      </c>
      <c r="F1970" t="s">
        <v>620</v>
      </c>
      <c r="G1970" s="89">
        <v>2007</v>
      </c>
      <c r="H1970" s="312" t="s">
        <v>731</v>
      </c>
      <c r="I1970" s="308" t="str">
        <f t="shared" si="86"/>
        <v>Pesado de Passageiros M3: I : Gasóleo : E4</v>
      </c>
      <c r="J1970" s="125">
        <v>71</v>
      </c>
      <c r="K1970" s="253">
        <v>2022</v>
      </c>
      <c r="L1970" s="85">
        <v>16801.47</v>
      </c>
      <c r="M1970" s="85" t="s">
        <v>630</v>
      </c>
      <c r="N1970" s="128">
        <v>39881</v>
      </c>
      <c r="O1970" s="128">
        <f t="shared" si="87"/>
        <v>2831551</v>
      </c>
      <c r="Q1970" t="s">
        <v>47</v>
      </c>
      <c r="R1970" s="214" t="s">
        <v>1869</v>
      </c>
      <c r="S1970" s="214" t="s">
        <v>1861</v>
      </c>
      <c r="T1970" t="s">
        <v>2599</v>
      </c>
      <c r="U1970" t="s">
        <v>1953</v>
      </c>
      <c r="V1970" t="s">
        <v>2813</v>
      </c>
    </row>
    <row r="1971" spans="1:22" ht="15.75" thickBot="1" x14ac:dyDescent="0.3">
      <c r="A1971" t="s">
        <v>4599</v>
      </c>
      <c r="B1971" t="s">
        <v>4599</v>
      </c>
      <c r="C1971" t="s">
        <v>4599</v>
      </c>
      <c r="D1971" t="s">
        <v>629</v>
      </c>
      <c r="E1971" s="248" t="s">
        <v>1951</v>
      </c>
      <c r="F1971" t="s">
        <v>620</v>
      </c>
      <c r="G1971" s="89">
        <v>2009</v>
      </c>
      <c r="H1971" s="312" t="s">
        <v>734</v>
      </c>
      <c r="I1971" s="308" t="str">
        <f t="shared" si="86"/>
        <v>Pesado de Passageiros M3: I : Gasóleo : E5</v>
      </c>
      <c r="J1971" s="125">
        <v>72</v>
      </c>
      <c r="K1971" s="253">
        <v>2022</v>
      </c>
      <c r="L1971" s="85">
        <v>25764.84</v>
      </c>
      <c r="M1971" s="85" t="s">
        <v>630</v>
      </c>
      <c r="N1971" s="128">
        <v>77195</v>
      </c>
      <c r="O1971" s="128">
        <f t="shared" si="87"/>
        <v>5558040</v>
      </c>
      <c r="Q1971" t="s">
        <v>47</v>
      </c>
      <c r="R1971" s="214" t="s">
        <v>1869</v>
      </c>
      <c r="S1971" s="214" t="s">
        <v>1861</v>
      </c>
      <c r="T1971" t="s">
        <v>2600</v>
      </c>
      <c r="U1971" t="s">
        <v>1953</v>
      </c>
      <c r="V1971" t="s">
        <v>2813</v>
      </c>
    </row>
    <row r="1972" spans="1:22" ht="15.75" thickBot="1" x14ac:dyDescent="0.3">
      <c r="A1972" t="s">
        <v>4599</v>
      </c>
      <c r="B1972" t="s">
        <v>4599</v>
      </c>
      <c r="C1972" t="s">
        <v>4599</v>
      </c>
      <c r="D1972" t="s">
        <v>629</v>
      </c>
      <c r="E1972" s="248" t="s">
        <v>1951</v>
      </c>
      <c r="F1972" t="s">
        <v>620</v>
      </c>
      <c r="G1972" s="89">
        <v>2004</v>
      </c>
      <c r="H1972" s="312" t="s">
        <v>732</v>
      </c>
      <c r="I1972" s="308" t="str">
        <f t="shared" si="86"/>
        <v>Pesado de Passageiros M3: I : Gasóleo : E3</v>
      </c>
      <c r="J1972" s="125">
        <v>50</v>
      </c>
      <c r="K1972" s="253">
        <v>2022</v>
      </c>
      <c r="L1972" s="85">
        <v>11581.750000000002</v>
      </c>
      <c r="M1972" s="85" t="s">
        <v>630</v>
      </c>
      <c r="N1972" s="128">
        <v>32796</v>
      </c>
      <c r="O1972" s="128">
        <f t="shared" si="87"/>
        <v>1639800</v>
      </c>
      <c r="Q1972" t="s">
        <v>47</v>
      </c>
      <c r="R1972" s="214" t="s">
        <v>1869</v>
      </c>
      <c r="S1972" s="214" t="s">
        <v>1861</v>
      </c>
      <c r="T1972" t="s">
        <v>2601</v>
      </c>
      <c r="U1972" t="s">
        <v>1953</v>
      </c>
      <c r="V1972" t="s">
        <v>2813</v>
      </c>
    </row>
    <row r="1973" spans="1:22" ht="15.75" thickBot="1" x14ac:dyDescent="0.3">
      <c r="A1973" t="s">
        <v>4599</v>
      </c>
      <c r="B1973" t="s">
        <v>4599</v>
      </c>
      <c r="C1973" t="s">
        <v>4599</v>
      </c>
      <c r="D1973" t="s">
        <v>629</v>
      </c>
      <c r="E1973" s="248" t="s">
        <v>1951</v>
      </c>
      <c r="F1973" t="s">
        <v>620</v>
      </c>
      <c r="G1973" s="89">
        <v>2013</v>
      </c>
      <c r="H1973" s="312" t="s">
        <v>734</v>
      </c>
      <c r="I1973" s="308" t="str">
        <f t="shared" si="86"/>
        <v>Pesado de Passageiros M3: I : Gasóleo : E5</v>
      </c>
      <c r="J1973" s="125">
        <v>17</v>
      </c>
      <c r="K1973" s="253">
        <v>2022</v>
      </c>
      <c r="L1973" s="85">
        <v>2527.0099999999998</v>
      </c>
      <c r="M1973" s="85" t="s">
        <v>630</v>
      </c>
      <c r="N1973" s="128">
        <v>17337</v>
      </c>
      <c r="O1973" s="128">
        <f t="shared" si="87"/>
        <v>294729</v>
      </c>
      <c r="Q1973" t="s">
        <v>47</v>
      </c>
      <c r="R1973" s="214" t="s">
        <v>1869</v>
      </c>
      <c r="S1973" s="214" t="s">
        <v>1861</v>
      </c>
      <c r="T1973" t="s">
        <v>2602</v>
      </c>
      <c r="U1973" t="s">
        <v>1953</v>
      </c>
      <c r="V1973" t="s">
        <v>2813</v>
      </c>
    </row>
    <row r="1974" spans="1:22" ht="15.75" thickBot="1" x14ac:dyDescent="0.3">
      <c r="A1974" t="s">
        <v>4599</v>
      </c>
      <c r="B1974" t="s">
        <v>4599</v>
      </c>
      <c r="C1974" t="s">
        <v>4599</v>
      </c>
      <c r="D1974" t="s">
        <v>629</v>
      </c>
      <c r="E1974" s="248" t="s">
        <v>1951</v>
      </c>
      <c r="F1974" t="s">
        <v>620</v>
      </c>
      <c r="G1974" s="89">
        <v>2018</v>
      </c>
      <c r="H1974" s="312" t="s">
        <v>733</v>
      </c>
      <c r="I1974" s="308" t="str">
        <f t="shared" si="86"/>
        <v>Pesado de Passageiros M3: I : Gasóleo : E6</v>
      </c>
      <c r="J1974" s="125">
        <v>32</v>
      </c>
      <c r="K1974" s="253">
        <v>2022</v>
      </c>
      <c r="L1974" s="85">
        <v>6533.0199999999995</v>
      </c>
      <c r="M1974" s="85" t="s">
        <v>630</v>
      </c>
      <c r="N1974" s="128">
        <v>34009</v>
      </c>
      <c r="O1974" s="128">
        <f t="shared" si="87"/>
        <v>1088288</v>
      </c>
      <c r="Q1974" t="s">
        <v>47</v>
      </c>
      <c r="R1974" s="214" t="s">
        <v>1869</v>
      </c>
      <c r="S1974" s="214" t="s">
        <v>1861</v>
      </c>
      <c r="T1974" t="s">
        <v>2603</v>
      </c>
      <c r="U1974" t="s">
        <v>1953</v>
      </c>
      <c r="V1974" t="s">
        <v>2813</v>
      </c>
    </row>
    <row r="1975" spans="1:22" ht="15.75" thickBot="1" x14ac:dyDescent="0.3">
      <c r="A1975" t="s">
        <v>4599</v>
      </c>
      <c r="B1975" t="s">
        <v>4599</v>
      </c>
      <c r="C1975" t="s">
        <v>4599</v>
      </c>
      <c r="D1975" t="s">
        <v>629</v>
      </c>
      <c r="E1975" s="248" t="s">
        <v>1951</v>
      </c>
      <c r="F1975" t="s">
        <v>620</v>
      </c>
      <c r="G1975" s="89">
        <v>2018</v>
      </c>
      <c r="H1975" s="312" t="s">
        <v>733</v>
      </c>
      <c r="I1975" s="308" t="str">
        <f t="shared" si="86"/>
        <v>Pesado de Passageiros M3: I : Gasóleo : E6</v>
      </c>
      <c r="J1975" s="125">
        <v>32</v>
      </c>
      <c r="K1975" s="253">
        <v>2022</v>
      </c>
      <c r="L1975" s="85">
        <v>5670.170000000001</v>
      </c>
      <c r="M1975" s="85" t="s">
        <v>630</v>
      </c>
      <c r="N1975" s="128">
        <v>32601</v>
      </c>
      <c r="O1975" s="128">
        <f t="shared" si="87"/>
        <v>1043232</v>
      </c>
      <c r="Q1975" t="s">
        <v>47</v>
      </c>
      <c r="R1975" s="214" t="s">
        <v>1869</v>
      </c>
      <c r="S1975" s="214" t="s">
        <v>1861</v>
      </c>
      <c r="T1975" t="s">
        <v>2604</v>
      </c>
      <c r="U1975" t="s">
        <v>1953</v>
      </c>
      <c r="V1975" t="s">
        <v>2813</v>
      </c>
    </row>
    <row r="1976" spans="1:22" ht="15.75" thickBot="1" x14ac:dyDescent="0.3">
      <c r="A1976" t="s">
        <v>4599</v>
      </c>
      <c r="B1976" t="s">
        <v>4599</v>
      </c>
      <c r="C1976" t="s">
        <v>4599</v>
      </c>
      <c r="D1976" t="s">
        <v>629</v>
      </c>
      <c r="E1976" s="248" t="s">
        <v>1951</v>
      </c>
      <c r="F1976" t="s">
        <v>620</v>
      </c>
      <c r="G1976" s="89">
        <v>2018</v>
      </c>
      <c r="H1976" s="312" t="s">
        <v>733</v>
      </c>
      <c r="I1976" s="308" t="str">
        <f t="shared" si="86"/>
        <v>Pesado de Passageiros M3: I : Gasóleo : E6</v>
      </c>
      <c r="J1976" s="125">
        <v>32</v>
      </c>
      <c r="K1976" s="253">
        <v>2022</v>
      </c>
      <c r="L1976" s="85">
        <v>6912.3700000000008</v>
      </c>
      <c r="M1976" s="85" t="s">
        <v>630</v>
      </c>
      <c r="N1976" s="128">
        <v>42861</v>
      </c>
      <c r="O1976" s="128">
        <f t="shared" si="87"/>
        <v>1371552</v>
      </c>
      <c r="Q1976" t="s">
        <v>47</v>
      </c>
      <c r="R1976" s="214" t="s">
        <v>1869</v>
      </c>
      <c r="S1976" s="214" t="s">
        <v>1861</v>
      </c>
      <c r="T1976" t="s">
        <v>2605</v>
      </c>
      <c r="U1976" t="s">
        <v>1953</v>
      </c>
      <c r="V1976" t="s">
        <v>2813</v>
      </c>
    </row>
    <row r="1977" spans="1:22" ht="15.75" thickBot="1" x14ac:dyDescent="0.3">
      <c r="A1977" t="s">
        <v>4599</v>
      </c>
      <c r="B1977" t="s">
        <v>4599</v>
      </c>
      <c r="C1977" t="s">
        <v>4599</v>
      </c>
      <c r="D1977" t="s">
        <v>629</v>
      </c>
      <c r="E1977" s="248" t="s">
        <v>1951</v>
      </c>
      <c r="F1977" t="s">
        <v>620</v>
      </c>
      <c r="G1977" s="89">
        <v>2018</v>
      </c>
      <c r="H1977" s="312" t="s">
        <v>733</v>
      </c>
      <c r="I1977" s="308" t="str">
        <f t="shared" si="86"/>
        <v>Pesado de Passageiros M3: I : Gasóleo : E6</v>
      </c>
      <c r="J1977" s="125">
        <v>32</v>
      </c>
      <c r="K1977" s="253">
        <v>2022</v>
      </c>
      <c r="L1977" s="85">
        <v>5240.88</v>
      </c>
      <c r="M1977" s="85" t="s">
        <v>630</v>
      </c>
      <c r="N1977" s="128">
        <v>26970</v>
      </c>
      <c r="O1977" s="128">
        <f t="shared" si="87"/>
        <v>863040</v>
      </c>
      <c r="Q1977" t="s">
        <v>47</v>
      </c>
      <c r="R1977" s="214" t="s">
        <v>1869</v>
      </c>
      <c r="S1977" s="214" t="s">
        <v>1861</v>
      </c>
      <c r="T1977" t="s">
        <v>2606</v>
      </c>
      <c r="U1977" t="s">
        <v>1953</v>
      </c>
      <c r="V1977" t="s">
        <v>2813</v>
      </c>
    </row>
    <row r="1978" spans="1:22" ht="15.75" thickBot="1" x14ac:dyDescent="0.3">
      <c r="A1978" t="s">
        <v>4599</v>
      </c>
      <c r="B1978" t="s">
        <v>4599</v>
      </c>
      <c r="C1978" t="s">
        <v>4599</v>
      </c>
      <c r="D1978" t="s">
        <v>629</v>
      </c>
      <c r="E1978" s="248" t="s">
        <v>1951</v>
      </c>
      <c r="F1978" t="s">
        <v>620</v>
      </c>
      <c r="G1978" s="89">
        <v>2018</v>
      </c>
      <c r="H1978" s="312" t="s">
        <v>733</v>
      </c>
      <c r="I1978" s="308" t="str">
        <f t="shared" si="86"/>
        <v>Pesado de Passageiros M3: I : Gasóleo : E6</v>
      </c>
      <c r="J1978" s="125">
        <v>32</v>
      </c>
      <c r="K1978" s="253">
        <v>2022</v>
      </c>
      <c r="L1978" s="85">
        <v>7362.51</v>
      </c>
      <c r="M1978" s="85" t="s">
        <v>630</v>
      </c>
      <c r="N1978" s="128">
        <v>42974</v>
      </c>
      <c r="O1978" s="128">
        <f t="shared" si="87"/>
        <v>1375168</v>
      </c>
      <c r="Q1978" t="s">
        <v>47</v>
      </c>
      <c r="R1978" s="214" t="s">
        <v>1869</v>
      </c>
      <c r="S1978" s="214" t="s">
        <v>1861</v>
      </c>
      <c r="T1978" t="s">
        <v>2607</v>
      </c>
      <c r="U1978" t="s">
        <v>1953</v>
      </c>
      <c r="V1978" t="s">
        <v>2813</v>
      </c>
    </row>
    <row r="1979" spans="1:22" ht="15.75" thickBot="1" x14ac:dyDescent="0.3">
      <c r="A1979" t="s">
        <v>4599</v>
      </c>
      <c r="B1979" t="s">
        <v>4599</v>
      </c>
      <c r="C1979" t="s">
        <v>4599</v>
      </c>
      <c r="D1979" t="s">
        <v>629</v>
      </c>
      <c r="E1979" s="248" t="s">
        <v>1951</v>
      </c>
      <c r="F1979" t="s">
        <v>620</v>
      </c>
      <c r="G1979" s="89">
        <v>2018</v>
      </c>
      <c r="H1979" s="312" t="s">
        <v>733</v>
      </c>
      <c r="I1979" s="308" t="str">
        <f t="shared" si="86"/>
        <v>Pesado de Passageiros M3: I : Gasóleo : E6</v>
      </c>
      <c r="J1979" s="125">
        <v>32</v>
      </c>
      <c r="K1979" s="253">
        <v>2022</v>
      </c>
      <c r="L1979" s="85">
        <v>11866.779999999999</v>
      </c>
      <c r="M1979" s="85" t="s">
        <v>630</v>
      </c>
      <c r="N1979" s="128">
        <v>60519</v>
      </c>
      <c r="O1979" s="128">
        <f t="shared" si="87"/>
        <v>1936608</v>
      </c>
      <c r="Q1979" t="s">
        <v>47</v>
      </c>
      <c r="R1979" s="214" t="s">
        <v>1869</v>
      </c>
      <c r="S1979" s="214" t="s">
        <v>1861</v>
      </c>
      <c r="T1979" t="s">
        <v>2608</v>
      </c>
      <c r="U1979" t="s">
        <v>1953</v>
      </c>
      <c r="V1979" t="s">
        <v>2813</v>
      </c>
    </row>
    <row r="1980" spans="1:22" ht="15.75" thickBot="1" x14ac:dyDescent="0.3">
      <c r="A1980" t="s">
        <v>4599</v>
      </c>
      <c r="B1980" t="s">
        <v>4599</v>
      </c>
      <c r="C1980" t="s">
        <v>4599</v>
      </c>
      <c r="D1980" t="s">
        <v>629</v>
      </c>
      <c r="E1980" s="248" t="s">
        <v>1951</v>
      </c>
      <c r="F1980" t="s">
        <v>620</v>
      </c>
      <c r="G1980" s="89">
        <v>2018</v>
      </c>
      <c r="H1980" s="312" t="s">
        <v>733</v>
      </c>
      <c r="I1980" s="308" t="str">
        <f t="shared" si="86"/>
        <v>Pesado de Passageiros M3: I : Gasóleo : E6</v>
      </c>
      <c r="J1980" s="125">
        <v>32</v>
      </c>
      <c r="K1980" s="253">
        <v>2022</v>
      </c>
      <c r="L1980" s="85">
        <v>10508.789999999999</v>
      </c>
      <c r="M1980" s="85" t="s">
        <v>630</v>
      </c>
      <c r="N1980" s="128">
        <v>53747</v>
      </c>
      <c r="O1980" s="128">
        <f t="shared" si="87"/>
        <v>1719904</v>
      </c>
      <c r="Q1980" t="s">
        <v>47</v>
      </c>
      <c r="R1980" s="214" t="s">
        <v>1869</v>
      </c>
      <c r="S1980" s="214" t="s">
        <v>1861</v>
      </c>
      <c r="T1980" t="s">
        <v>2609</v>
      </c>
      <c r="U1980" t="s">
        <v>1953</v>
      </c>
      <c r="V1980" t="s">
        <v>2813</v>
      </c>
    </row>
    <row r="1981" spans="1:22" ht="15.75" thickBot="1" x14ac:dyDescent="0.3">
      <c r="A1981" t="s">
        <v>4599</v>
      </c>
      <c r="B1981" t="s">
        <v>4599</v>
      </c>
      <c r="C1981" t="s">
        <v>4599</v>
      </c>
      <c r="D1981" t="s">
        <v>629</v>
      </c>
      <c r="E1981" s="248" t="s">
        <v>1951</v>
      </c>
      <c r="F1981" t="s">
        <v>620</v>
      </c>
      <c r="G1981" s="89">
        <v>2007</v>
      </c>
      <c r="H1981" s="312" t="s">
        <v>731</v>
      </c>
      <c r="I1981" s="308" t="str">
        <f t="shared" si="86"/>
        <v>Pesado de Passageiros M3: I : Gasóleo : E4</v>
      </c>
      <c r="J1981" s="125">
        <v>71</v>
      </c>
      <c r="K1981" s="253">
        <v>2022</v>
      </c>
      <c r="L1981" s="85">
        <v>21605.480000000003</v>
      </c>
      <c r="M1981" s="85" t="s">
        <v>630</v>
      </c>
      <c r="N1981" s="128">
        <v>57720</v>
      </c>
      <c r="O1981" s="128">
        <f t="shared" si="87"/>
        <v>4098120</v>
      </c>
      <c r="Q1981" t="s">
        <v>47</v>
      </c>
      <c r="R1981" s="214" t="s">
        <v>1869</v>
      </c>
      <c r="S1981" s="214" t="s">
        <v>1861</v>
      </c>
      <c r="T1981" t="s">
        <v>2610</v>
      </c>
      <c r="U1981" t="s">
        <v>1953</v>
      </c>
      <c r="V1981" t="s">
        <v>2813</v>
      </c>
    </row>
    <row r="1982" spans="1:22" ht="15.75" thickBot="1" x14ac:dyDescent="0.3">
      <c r="A1982" t="s">
        <v>4599</v>
      </c>
      <c r="B1982" t="s">
        <v>4599</v>
      </c>
      <c r="C1982" t="s">
        <v>4599</v>
      </c>
      <c r="D1982" t="s">
        <v>629</v>
      </c>
      <c r="E1982" s="248" t="s">
        <v>1951</v>
      </c>
      <c r="F1982" t="s">
        <v>620</v>
      </c>
      <c r="G1982" s="89">
        <v>2010</v>
      </c>
      <c r="H1982" s="312" t="s">
        <v>734</v>
      </c>
      <c r="I1982" s="308" t="str">
        <f t="shared" si="86"/>
        <v>Pesado de Passageiros M3: I : Gasóleo : E5</v>
      </c>
      <c r="J1982" s="125">
        <v>70</v>
      </c>
      <c r="K1982" s="253">
        <v>2022</v>
      </c>
      <c r="L1982" s="85">
        <v>11588.119999999999</v>
      </c>
      <c r="M1982" s="85" t="s">
        <v>630</v>
      </c>
      <c r="N1982" s="128">
        <v>31150</v>
      </c>
      <c r="O1982" s="128">
        <f t="shared" si="87"/>
        <v>2180500</v>
      </c>
      <c r="Q1982" t="s">
        <v>47</v>
      </c>
      <c r="R1982" s="214" t="s">
        <v>1869</v>
      </c>
      <c r="S1982" s="214" t="s">
        <v>1861</v>
      </c>
      <c r="T1982" t="s">
        <v>2611</v>
      </c>
      <c r="U1982" t="s">
        <v>1953</v>
      </c>
      <c r="V1982" t="s">
        <v>2813</v>
      </c>
    </row>
    <row r="1983" spans="1:22" ht="15.75" thickBot="1" x14ac:dyDescent="0.3">
      <c r="A1983" t="s">
        <v>4599</v>
      </c>
      <c r="B1983" t="s">
        <v>4599</v>
      </c>
      <c r="C1983" t="s">
        <v>4599</v>
      </c>
      <c r="D1983" t="s">
        <v>629</v>
      </c>
      <c r="E1983" s="248" t="s">
        <v>1951</v>
      </c>
      <c r="F1983" t="s">
        <v>620</v>
      </c>
      <c r="G1983" s="89">
        <v>2006</v>
      </c>
      <c r="H1983" s="312" t="s">
        <v>731</v>
      </c>
      <c r="I1983" s="308" t="str">
        <f t="shared" si="86"/>
        <v>Pesado de Passageiros M3: I : Gasóleo : E4</v>
      </c>
      <c r="J1983" s="125">
        <v>71</v>
      </c>
      <c r="K1983" s="253">
        <v>2022</v>
      </c>
      <c r="L1983" s="85">
        <v>18494.23</v>
      </c>
      <c r="M1983" s="85" t="s">
        <v>630</v>
      </c>
      <c r="N1983" s="128">
        <v>53166</v>
      </c>
      <c r="O1983" s="128">
        <f t="shared" si="87"/>
        <v>3774786</v>
      </c>
      <c r="Q1983" t="s">
        <v>47</v>
      </c>
      <c r="R1983" s="214" t="s">
        <v>1869</v>
      </c>
      <c r="S1983" s="214" t="s">
        <v>1861</v>
      </c>
      <c r="T1983" t="s">
        <v>2612</v>
      </c>
      <c r="U1983" t="s">
        <v>1953</v>
      </c>
      <c r="V1983" t="s">
        <v>2813</v>
      </c>
    </row>
    <row r="1984" spans="1:22" ht="15.75" thickBot="1" x14ac:dyDescent="0.3">
      <c r="A1984" t="s">
        <v>4599</v>
      </c>
      <c r="B1984" t="s">
        <v>4599</v>
      </c>
      <c r="C1984" t="s">
        <v>4599</v>
      </c>
      <c r="D1984" t="s">
        <v>629</v>
      </c>
      <c r="E1984" s="248" t="s">
        <v>1951</v>
      </c>
      <c r="F1984" t="s">
        <v>620</v>
      </c>
      <c r="G1984" s="89">
        <v>2008</v>
      </c>
      <c r="H1984" s="312" t="s">
        <v>731</v>
      </c>
      <c r="I1984" s="308" t="str">
        <f t="shared" si="86"/>
        <v>Pesado de Passageiros M3: I : Gasóleo : E4</v>
      </c>
      <c r="J1984" s="125">
        <v>77</v>
      </c>
      <c r="K1984" s="253">
        <v>2022</v>
      </c>
      <c r="L1984" s="85">
        <v>16859.87</v>
      </c>
      <c r="M1984" s="85" t="s">
        <v>630</v>
      </c>
      <c r="N1984" s="128">
        <v>61789</v>
      </c>
      <c r="O1984" s="128">
        <f t="shared" si="87"/>
        <v>4757753</v>
      </c>
      <c r="Q1984" t="s">
        <v>47</v>
      </c>
      <c r="R1984" s="214" t="s">
        <v>1869</v>
      </c>
      <c r="S1984" s="214" t="s">
        <v>1861</v>
      </c>
      <c r="T1984" t="s">
        <v>2613</v>
      </c>
      <c r="U1984" t="s">
        <v>1953</v>
      </c>
      <c r="V1984" t="s">
        <v>2813</v>
      </c>
    </row>
    <row r="1985" spans="1:22" ht="15.75" thickBot="1" x14ac:dyDescent="0.3">
      <c r="A1985" t="s">
        <v>4599</v>
      </c>
      <c r="B1985" t="s">
        <v>4599</v>
      </c>
      <c r="C1985" t="s">
        <v>4599</v>
      </c>
      <c r="D1985" t="s">
        <v>629</v>
      </c>
      <c r="E1985" s="248" t="s">
        <v>1951</v>
      </c>
      <c r="F1985" t="s">
        <v>620</v>
      </c>
      <c r="G1985" s="89">
        <v>2007</v>
      </c>
      <c r="H1985" s="312" t="s">
        <v>731</v>
      </c>
      <c r="I1985" s="308" t="str">
        <f t="shared" si="86"/>
        <v>Pesado de Passageiros M3: I : Gasóleo : E4</v>
      </c>
      <c r="J1985" s="125">
        <v>94</v>
      </c>
      <c r="K1985" s="253">
        <v>2022</v>
      </c>
      <c r="L1985" s="85">
        <v>12346.400000000001</v>
      </c>
      <c r="M1985" s="85" t="s">
        <v>630</v>
      </c>
      <c r="N1985" s="128">
        <v>35410</v>
      </c>
      <c r="O1985" s="128">
        <f t="shared" si="87"/>
        <v>3328540</v>
      </c>
      <c r="Q1985" t="s">
        <v>47</v>
      </c>
      <c r="R1985" s="214" t="s">
        <v>1869</v>
      </c>
      <c r="S1985" s="214" t="s">
        <v>1861</v>
      </c>
      <c r="T1985" t="s">
        <v>2614</v>
      </c>
      <c r="U1985" t="s">
        <v>1953</v>
      </c>
      <c r="V1985" t="s">
        <v>2813</v>
      </c>
    </row>
    <row r="1986" spans="1:22" ht="15.75" thickBot="1" x14ac:dyDescent="0.3">
      <c r="A1986" t="s">
        <v>4599</v>
      </c>
      <c r="B1986" t="s">
        <v>4599</v>
      </c>
      <c r="C1986" t="s">
        <v>4599</v>
      </c>
      <c r="D1986" t="s">
        <v>629</v>
      </c>
      <c r="E1986" s="248" t="s">
        <v>1951</v>
      </c>
      <c r="F1986" t="s">
        <v>620</v>
      </c>
      <c r="G1986" s="89">
        <v>2009</v>
      </c>
      <c r="H1986" s="312" t="s">
        <v>731</v>
      </c>
      <c r="I1986" s="308" t="str">
        <f t="shared" si="86"/>
        <v>Pesado de Passageiros M3: I : Gasóleo : E4</v>
      </c>
      <c r="J1986" s="125">
        <v>79</v>
      </c>
      <c r="K1986" s="253">
        <v>2022</v>
      </c>
      <c r="L1986" s="85">
        <v>18016.29</v>
      </c>
      <c r="M1986" s="85" t="s">
        <v>630</v>
      </c>
      <c r="N1986" s="128">
        <v>50720</v>
      </c>
      <c r="O1986" s="128">
        <f t="shared" si="87"/>
        <v>4006880</v>
      </c>
      <c r="Q1986" t="s">
        <v>47</v>
      </c>
      <c r="R1986" s="214" t="s">
        <v>1869</v>
      </c>
      <c r="S1986" s="214" t="s">
        <v>1861</v>
      </c>
      <c r="T1986" t="s">
        <v>2615</v>
      </c>
      <c r="U1986" t="s">
        <v>1953</v>
      </c>
      <c r="V1986" t="s">
        <v>2813</v>
      </c>
    </row>
    <row r="1987" spans="1:22" ht="15.75" thickBot="1" x14ac:dyDescent="0.3">
      <c r="A1987" t="s">
        <v>4599</v>
      </c>
      <c r="B1987" t="s">
        <v>4599</v>
      </c>
      <c r="C1987" t="s">
        <v>4599</v>
      </c>
      <c r="D1987" t="s">
        <v>629</v>
      </c>
      <c r="E1987" s="248" t="s">
        <v>1951</v>
      </c>
      <c r="F1987" t="s">
        <v>620</v>
      </c>
      <c r="G1987" s="89">
        <v>2010</v>
      </c>
      <c r="H1987" s="312" t="s">
        <v>734</v>
      </c>
      <c r="I1987" s="308" t="str">
        <f t="shared" si="86"/>
        <v>Pesado de Passageiros M3: I : Gasóleo : E5</v>
      </c>
      <c r="J1987" s="125">
        <v>70</v>
      </c>
      <c r="K1987" s="253">
        <v>2022</v>
      </c>
      <c r="L1987" s="85">
        <v>15682.580000000002</v>
      </c>
      <c r="M1987" s="85" t="s">
        <v>630</v>
      </c>
      <c r="N1987" s="128">
        <v>43073</v>
      </c>
      <c r="O1987" s="128">
        <f t="shared" si="87"/>
        <v>3015110</v>
      </c>
      <c r="Q1987" t="s">
        <v>47</v>
      </c>
      <c r="R1987" s="214" t="s">
        <v>1869</v>
      </c>
      <c r="S1987" s="214" t="s">
        <v>1861</v>
      </c>
      <c r="T1987" t="s">
        <v>2616</v>
      </c>
      <c r="U1987" t="s">
        <v>1953</v>
      </c>
      <c r="V1987" t="s">
        <v>2813</v>
      </c>
    </row>
    <row r="1988" spans="1:22" ht="15.75" thickBot="1" x14ac:dyDescent="0.3">
      <c r="A1988" t="s">
        <v>4599</v>
      </c>
      <c r="B1988" t="s">
        <v>4599</v>
      </c>
      <c r="C1988" t="s">
        <v>4599</v>
      </c>
      <c r="D1988" t="s">
        <v>629</v>
      </c>
      <c r="E1988" s="248" t="s">
        <v>1951</v>
      </c>
      <c r="F1988" t="s">
        <v>620</v>
      </c>
      <c r="G1988" s="89">
        <v>2012</v>
      </c>
      <c r="H1988" s="312" t="s">
        <v>734</v>
      </c>
      <c r="I1988" s="308" t="str">
        <f t="shared" ref="I1988:I2051" si="88">D1988&amp;": "&amp;E1988&amp;" : "&amp;F1988&amp;" : "&amp;H1988</f>
        <v>Pesado de Passageiros M3: I : Gasóleo : E5</v>
      </c>
      <c r="J1988" s="125">
        <v>57</v>
      </c>
      <c r="K1988" s="253">
        <v>2022</v>
      </c>
      <c r="L1988" s="85">
        <v>43103.549999999996</v>
      </c>
      <c r="M1988" s="85" t="s">
        <v>630</v>
      </c>
      <c r="N1988" s="128">
        <v>139174</v>
      </c>
      <c r="O1988" s="128">
        <f t="shared" ref="O1988:O2051" si="89">N1988*J1988</f>
        <v>7932918</v>
      </c>
      <c r="Q1988" t="s">
        <v>47</v>
      </c>
      <c r="R1988" s="214" t="s">
        <v>1869</v>
      </c>
      <c r="S1988" s="214" t="s">
        <v>1861</v>
      </c>
      <c r="T1988" t="s">
        <v>2617</v>
      </c>
      <c r="U1988" t="s">
        <v>1953</v>
      </c>
      <c r="V1988" t="s">
        <v>2813</v>
      </c>
    </row>
    <row r="1989" spans="1:22" ht="15.75" thickBot="1" x14ac:dyDescent="0.3">
      <c r="A1989" t="s">
        <v>4599</v>
      </c>
      <c r="B1989" t="s">
        <v>4599</v>
      </c>
      <c r="C1989" t="s">
        <v>4599</v>
      </c>
      <c r="D1989" t="s">
        <v>629</v>
      </c>
      <c r="E1989" s="248" t="s">
        <v>1951</v>
      </c>
      <c r="F1989" t="s">
        <v>620</v>
      </c>
      <c r="G1989" s="89">
        <v>2012</v>
      </c>
      <c r="H1989" s="312" t="s">
        <v>734</v>
      </c>
      <c r="I1989" s="308" t="str">
        <f t="shared" si="88"/>
        <v>Pesado de Passageiros M3: I : Gasóleo : E5</v>
      </c>
      <c r="J1989" s="125">
        <v>57</v>
      </c>
      <c r="K1989" s="253">
        <v>2022</v>
      </c>
      <c r="L1989" s="85">
        <v>30118.34</v>
      </c>
      <c r="M1989" s="85" t="s">
        <v>630</v>
      </c>
      <c r="N1989" s="128">
        <v>95206</v>
      </c>
      <c r="O1989" s="128">
        <f t="shared" si="89"/>
        <v>5426742</v>
      </c>
      <c r="Q1989" t="s">
        <v>47</v>
      </c>
      <c r="R1989" s="214" t="s">
        <v>1869</v>
      </c>
      <c r="S1989" s="214" t="s">
        <v>1861</v>
      </c>
      <c r="T1989" t="s">
        <v>2618</v>
      </c>
      <c r="U1989" t="s">
        <v>1953</v>
      </c>
      <c r="V1989" t="s">
        <v>2813</v>
      </c>
    </row>
    <row r="1990" spans="1:22" ht="15.75" thickBot="1" x14ac:dyDescent="0.3">
      <c r="A1990" t="s">
        <v>4599</v>
      </c>
      <c r="B1990" t="s">
        <v>4599</v>
      </c>
      <c r="C1990" t="s">
        <v>4599</v>
      </c>
      <c r="D1990" t="s">
        <v>629</v>
      </c>
      <c r="E1990" s="248" t="s">
        <v>1951</v>
      </c>
      <c r="F1990" t="s">
        <v>620</v>
      </c>
      <c r="G1990" s="89">
        <v>2006</v>
      </c>
      <c r="H1990" s="312" t="s">
        <v>731</v>
      </c>
      <c r="I1990" s="308" t="str">
        <f t="shared" si="88"/>
        <v>Pesado de Passageiros M3: I : Gasóleo : E4</v>
      </c>
      <c r="J1990" s="125">
        <v>77</v>
      </c>
      <c r="K1990" s="253">
        <v>2022</v>
      </c>
      <c r="L1990" s="85">
        <v>7825.7099999999991</v>
      </c>
      <c r="M1990" s="85" t="s">
        <v>630</v>
      </c>
      <c r="N1990" s="128">
        <v>23961</v>
      </c>
      <c r="O1990" s="128">
        <f t="shared" si="89"/>
        <v>1844997</v>
      </c>
      <c r="Q1990" t="s">
        <v>47</v>
      </c>
      <c r="R1990" s="214" t="s">
        <v>1869</v>
      </c>
      <c r="S1990" s="214" t="s">
        <v>1861</v>
      </c>
      <c r="T1990" t="s">
        <v>2619</v>
      </c>
      <c r="U1990" t="s">
        <v>1953</v>
      </c>
      <c r="V1990" t="s">
        <v>2813</v>
      </c>
    </row>
    <row r="1991" spans="1:22" ht="15.75" thickBot="1" x14ac:dyDescent="0.3">
      <c r="A1991" t="s">
        <v>4599</v>
      </c>
      <c r="B1991" t="s">
        <v>4599</v>
      </c>
      <c r="C1991" t="s">
        <v>4599</v>
      </c>
      <c r="D1991" t="s">
        <v>629</v>
      </c>
      <c r="E1991" s="248" t="s">
        <v>1951</v>
      </c>
      <c r="F1991" t="s">
        <v>620</v>
      </c>
      <c r="G1991" s="89">
        <v>2021</v>
      </c>
      <c r="H1991" s="312" t="s">
        <v>733</v>
      </c>
      <c r="I1991" s="308" t="str">
        <f t="shared" si="88"/>
        <v>Pesado de Passageiros M3: I : Gasóleo : E6</v>
      </c>
      <c r="J1991" s="125">
        <v>83</v>
      </c>
      <c r="K1991" s="253">
        <v>2022</v>
      </c>
      <c r="L1991" s="85">
        <v>22243.07</v>
      </c>
      <c r="M1991" s="85" t="s">
        <v>630</v>
      </c>
      <c r="N1991" s="128">
        <v>70364</v>
      </c>
      <c r="O1991" s="128">
        <f t="shared" si="89"/>
        <v>5840212</v>
      </c>
      <c r="Q1991" t="s">
        <v>47</v>
      </c>
      <c r="R1991" s="214" t="s">
        <v>1869</v>
      </c>
      <c r="S1991" s="214" t="s">
        <v>1861</v>
      </c>
      <c r="T1991" t="s">
        <v>2620</v>
      </c>
      <c r="U1991" t="s">
        <v>1953</v>
      </c>
      <c r="V1991" t="s">
        <v>2813</v>
      </c>
    </row>
    <row r="1992" spans="1:22" ht="15.75" thickBot="1" x14ac:dyDescent="0.3">
      <c r="A1992" t="s">
        <v>4599</v>
      </c>
      <c r="B1992" t="s">
        <v>4599</v>
      </c>
      <c r="C1992" t="s">
        <v>4599</v>
      </c>
      <c r="D1992" t="s">
        <v>629</v>
      </c>
      <c r="E1992" s="248" t="s">
        <v>1951</v>
      </c>
      <c r="F1992" t="s">
        <v>620</v>
      </c>
      <c r="G1992" s="89">
        <v>2021</v>
      </c>
      <c r="H1992" s="312" t="s">
        <v>733</v>
      </c>
      <c r="I1992" s="308" t="str">
        <f t="shared" si="88"/>
        <v>Pesado de Passageiros M3: I : Gasóleo : E6</v>
      </c>
      <c r="J1992" s="125">
        <v>83</v>
      </c>
      <c r="K1992" s="253">
        <v>2022</v>
      </c>
      <c r="L1992" s="85">
        <v>14509.910000000002</v>
      </c>
      <c r="M1992" s="85" t="s">
        <v>630</v>
      </c>
      <c r="N1992" s="128">
        <v>41333</v>
      </c>
      <c r="O1992" s="128">
        <f t="shared" si="89"/>
        <v>3430639</v>
      </c>
      <c r="Q1992" t="s">
        <v>47</v>
      </c>
      <c r="R1992" s="214" t="s">
        <v>1869</v>
      </c>
      <c r="S1992" s="214" t="s">
        <v>1861</v>
      </c>
      <c r="T1992" t="s">
        <v>2621</v>
      </c>
      <c r="U1992" t="s">
        <v>1953</v>
      </c>
      <c r="V1992" t="s">
        <v>2813</v>
      </c>
    </row>
    <row r="1993" spans="1:22" ht="15.75" thickBot="1" x14ac:dyDescent="0.3">
      <c r="A1993" t="s">
        <v>4599</v>
      </c>
      <c r="B1993" t="s">
        <v>4599</v>
      </c>
      <c r="C1993" t="s">
        <v>4599</v>
      </c>
      <c r="D1993" t="s">
        <v>629</v>
      </c>
      <c r="E1993" s="248" t="s">
        <v>1951</v>
      </c>
      <c r="F1993" t="s">
        <v>620</v>
      </c>
      <c r="G1993" s="89">
        <v>2021</v>
      </c>
      <c r="H1993" s="312" t="s">
        <v>733</v>
      </c>
      <c r="I1993" s="308" t="str">
        <f t="shared" si="88"/>
        <v>Pesado de Passageiros M3: I : Gasóleo : E6</v>
      </c>
      <c r="J1993" s="125">
        <v>78</v>
      </c>
      <c r="K1993" s="253">
        <v>2022</v>
      </c>
      <c r="L1993" s="85">
        <v>16175.850000000002</v>
      </c>
      <c r="M1993" s="85" t="s">
        <v>630</v>
      </c>
      <c r="N1993" s="128">
        <v>47660</v>
      </c>
      <c r="O1993" s="128">
        <f t="shared" si="89"/>
        <v>3717480</v>
      </c>
      <c r="Q1993" t="s">
        <v>47</v>
      </c>
      <c r="R1993" s="214" t="s">
        <v>1869</v>
      </c>
      <c r="S1993" s="214" t="s">
        <v>1861</v>
      </c>
      <c r="T1993" t="s">
        <v>2622</v>
      </c>
      <c r="U1993" t="s">
        <v>1953</v>
      </c>
      <c r="V1993" t="s">
        <v>2813</v>
      </c>
    </row>
    <row r="1994" spans="1:22" ht="15.75" thickBot="1" x14ac:dyDescent="0.3">
      <c r="A1994" t="s">
        <v>4599</v>
      </c>
      <c r="B1994" t="s">
        <v>4599</v>
      </c>
      <c r="C1994" t="s">
        <v>4599</v>
      </c>
      <c r="D1994" t="s">
        <v>629</v>
      </c>
      <c r="E1994" s="248" t="s">
        <v>1951</v>
      </c>
      <c r="F1994" t="s">
        <v>620</v>
      </c>
      <c r="G1994" s="89">
        <v>2021</v>
      </c>
      <c r="H1994" s="312" t="s">
        <v>733</v>
      </c>
      <c r="I1994" s="308" t="str">
        <f t="shared" si="88"/>
        <v>Pesado de Passageiros M3: I : Gasóleo : E6</v>
      </c>
      <c r="J1994" s="125">
        <v>78</v>
      </c>
      <c r="K1994" s="253">
        <v>2022</v>
      </c>
      <c r="L1994" s="85">
        <v>21497.850000000006</v>
      </c>
      <c r="M1994" s="85" t="s">
        <v>630</v>
      </c>
      <c r="N1994" s="128">
        <v>62119</v>
      </c>
      <c r="O1994" s="128">
        <f t="shared" si="89"/>
        <v>4845282</v>
      </c>
      <c r="Q1994" t="s">
        <v>47</v>
      </c>
      <c r="R1994" s="214" t="s">
        <v>1869</v>
      </c>
      <c r="S1994" s="214" t="s">
        <v>1861</v>
      </c>
      <c r="T1994" t="s">
        <v>2623</v>
      </c>
      <c r="U1994" t="s">
        <v>1953</v>
      </c>
      <c r="V1994" t="s">
        <v>2813</v>
      </c>
    </row>
    <row r="1995" spans="1:22" ht="15.75" thickBot="1" x14ac:dyDescent="0.3">
      <c r="A1995" t="s">
        <v>4599</v>
      </c>
      <c r="B1995" t="s">
        <v>4599</v>
      </c>
      <c r="C1995" t="s">
        <v>4599</v>
      </c>
      <c r="D1995" t="s">
        <v>629</v>
      </c>
      <c r="E1995" s="248" t="s">
        <v>1951</v>
      </c>
      <c r="F1995" t="s">
        <v>620</v>
      </c>
      <c r="G1995" s="89">
        <v>2021</v>
      </c>
      <c r="H1995" s="312" t="s">
        <v>733</v>
      </c>
      <c r="I1995" s="308" t="str">
        <f t="shared" si="88"/>
        <v>Pesado de Passageiros M3: I : Gasóleo : E6</v>
      </c>
      <c r="J1995" s="125">
        <v>83</v>
      </c>
      <c r="K1995" s="253">
        <v>2022</v>
      </c>
      <c r="L1995" s="85">
        <v>20488.48</v>
      </c>
      <c r="M1995" s="85" t="s">
        <v>630</v>
      </c>
      <c r="N1995" s="128">
        <v>63983</v>
      </c>
      <c r="O1995" s="128">
        <f t="shared" si="89"/>
        <v>5310589</v>
      </c>
      <c r="Q1995" t="s">
        <v>47</v>
      </c>
      <c r="R1995" s="214" t="s">
        <v>1869</v>
      </c>
      <c r="S1995" s="214" t="s">
        <v>1861</v>
      </c>
      <c r="T1995" t="s">
        <v>2624</v>
      </c>
      <c r="U1995" t="s">
        <v>1953</v>
      </c>
      <c r="V1995" t="s">
        <v>2813</v>
      </c>
    </row>
    <row r="1996" spans="1:22" ht="15.75" thickBot="1" x14ac:dyDescent="0.3">
      <c r="A1996" t="s">
        <v>4599</v>
      </c>
      <c r="B1996" t="s">
        <v>4599</v>
      </c>
      <c r="C1996" t="s">
        <v>4599</v>
      </c>
      <c r="D1996" t="s">
        <v>629</v>
      </c>
      <c r="E1996" s="248" t="s">
        <v>1951</v>
      </c>
      <c r="F1996" t="s">
        <v>620</v>
      </c>
      <c r="G1996" s="89">
        <v>2021</v>
      </c>
      <c r="H1996" s="312" t="s">
        <v>733</v>
      </c>
      <c r="I1996" s="308" t="str">
        <f t="shared" si="88"/>
        <v>Pesado de Passageiros M3: I : Gasóleo : E6</v>
      </c>
      <c r="J1996" s="125">
        <v>83</v>
      </c>
      <c r="K1996" s="253">
        <v>2022</v>
      </c>
      <c r="L1996" s="85">
        <v>12555.260000000002</v>
      </c>
      <c r="M1996" s="85" t="s">
        <v>630</v>
      </c>
      <c r="N1996" s="128">
        <v>37807</v>
      </c>
      <c r="O1996" s="128">
        <f t="shared" si="89"/>
        <v>3137981</v>
      </c>
      <c r="Q1996" t="s">
        <v>47</v>
      </c>
      <c r="R1996" s="214" t="s">
        <v>1869</v>
      </c>
      <c r="S1996" s="214" t="s">
        <v>1861</v>
      </c>
      <c r="T1996" t="s">
        <v>2625</v>
      </c>
      <c r="U1996" t="s">
        <v>1953</v>
      </c>
      <c r="V1996" t="s">
        <v>2813</v>
      </c>
    </row>
    <row r="1997" spans="1:22" ht="15.75" thickBot="1" x14ac:dyDescent="0.3">
      <c r="A1997" t="s">
        <v>4599</v>
      </c>
      <c r="B1997" t="s">
        <v>4599</v>
      </c>
      <c r="C1997" t="s">
        <v>4599</v>
      </c>
      <c r="D1997" t="s">
        <v>629</v>
      </c>
      <c r="E1997" s="248" t="s">
        <v>1951</v>
      </c>
      <c r="F1997" t="s">
        <v>620</v>
      </c>
      <c r="G1997" s="89">
        <v>2021</v>
      </c>
      <c r="H1997" s="312" t="s">
        <v>733</v>
      </c>
      <c r="I1997" s="308" t="str">
        <f t="shared" si="88"/>
        <v>Pesado de Passageiros M3: I : Gasóleo : E6</v>
      </c>
      <c r="J1997" s="125">
        <v>83</v>
      </c>
      <c r="K1997" s="253">
        <v>2022</v>
      </c>
      <c r="L1997" s="85">
        <v>19505.28</v>
      </c>
      <c r="M1997" s="85" t="s">
        <v>630</v>
      </c>
      <c r="N1997" s="128">
        <v>63693</v>
      </c>
      <c r="O1997" s="128">
        <f t="shared" si="89"/>
        <v>5286519</v>
      </c>
      <c r="Q1997" t="s">
        <v>47</v>
      </c>
      <c r="R1997" s="214" t="s">
        <v>1869</v>
      </c>
      <c r="S1997" s="214" t="s">
        <v>1861</v>
      </c>
      <c r="T1997" t="s">
        <v>2626</v>
      </c>
      <c r="U1997" t="s">
        <v>1953</v>
      </c>
      <c r="V1997" t="s">
        <v>2813</v>
      </c>
    </row>
    <row r="1998" spans="1:22" ht="15.75" thickBot="1" x14ac:dyDescent="0.3">
      <c r="A1998" t="s">
        <v>4588</v>
      </c>
      <c r="B1998" t="s">
        <v>4588</v>
      </c>
      <c r="C1998" t="s">
        <v>4588</v>
      </c>
      <c r="D1998" t="s">
        <v>629</v>
      </c>
      <c r="E1998" s="248" t="s">
        <v>1853</v>
      </c>
      <c r="F1998" t="s">
        <v>620</v>
      </c>
      <c r="G1998" s="89">
        <v>2005</v>
      </c>
      <c r="H1998" s="312" t="s">
        <v>731</v>
      </c>
      <c r="I1998" s="308" t="str">
        <f t="shared" si="88"/>
        <v>Pesado de Passageiros M3: III : Gasóleo : E4</v>
      </c>
      <c r="J1998" s="125">
        <v>56</v>
      </c>
      <c r="K1998" s="253">
        <v>2022</v>
      </c>
      <c r="L1998" s="85">
        <v>3545</v>
      </c>
      <c r="M1998" s="85" t="s">
        <v>630</v>
      </c>
      <c r="N1998" s="128">
        <v>9296</v>
      </c>
      <c r="O1998" s="128">
        <f t="shared" si="89"/>
        <v>520576</v>
      </c>
      <c r="Q1998" t="s">
        <v>47</v>
      </c>
      <c r="R1998" s="214" t="s">
        <v>1869</v>
      </c>
      <c r="S1998" s="214" t="s">
        <v>1861</v>
      </c>
      <c r="T1998" t="s">
        <v>2627</v>
      </c>
      <c r="U1998" t="s">
        <v>1953</v>
      </c>
      <c r="V1998" t="s">
        <v>2813</v>
      </c>
    </row>
    <row r="1999" spans="1:22" ht="15.75" thickBot="1" x14ac:dyDescent="0.3">
      <c r="A1999" t="s">
        <v>4591</v>
      </c>
      <c r="B1999" t="s">
        <v>4591</v>
      </c>
      <c r="C1999" t="s">
        <v>4591</v>
      </c>
      <c r="D1999" s="238" t="s">
        <v>1920</v>
      </c>
      <c r="E1999" s="256" t="s">
        <v>2231</v>
      </c>
      <c r="F1999" t="s">
        <v>620</v>
      </c>
      <c r="G1999" s="89">
        <v>2000</v>
      </c>
      <c r="H1999" s="312" t="s">
        <v>732</v>
      </c>
      <c r="I1999" s="308" t="str">
        <f t="shared" si="88"/>
        <v>Pesado de Mercadorias N3: Geral : Gasóleo : E3</v>
      </c>
      <c r="J1999" s="125"/>
      <c r="K1999" s="253">
        <v>2022</v>
      </c>
      <c r="L1999" s="234">
        <v>3769.4000000000005</v>
      </c>
      <c r="M1999" s="85" t="s">
        <v>630</v>
      </c>
      <c r="N1999" s="128">
        <v>16553</v>
      </c>
      <c r="O1999" s="128">
        <f t="shared" si="89"/>
        <v>0</v>
      </c>
      <c r="P1999" s="89">
        <v>91</v>
      </c>
      <c r="Q1999" t="s">
        <v>1927</v>
      </c>
      <c r="R1999" s="214" t="s">
        <v>1869</v>
      </c>
      <c r="S1999" s="214" t="s">
        <v>1861</v>
      </c>
      <c r="T1999" t="s">
        <v>1935</v>
      </c>
      <c r="U1999" t="s">
        <v>1953</v>
      </c>
      <c r="V1999" t="s">
        <v>2813</v>
      </c>
    </row>
    <row r="2000" spans="1:22" ht="15.75" thickBot="1" x14ac:dyDescent="0.3">
      <c r="A2000" t="s">
        <v>4591</v>
      </c>
      <c r="B2000" t="s">
        <v>4591</v>
      </c>
      <c r="C2000" t="s">
        <v>4591</v>
      </c>
      <c r="D2000" s="238" t="s">
        <v>1920</v>
      </c>
      <c r="E2000" s="256" t="s">
        <v>2231</v>
      </c>
      <c r="F2000" t="s">
        <v>620</v>
      </c>
      <c r="G2000" s="89">
        <v>2000</v>
      </c>
      <c r="H2000" s="312" t="s">
        <v>732</v>
      </c>
      <c r="I2000" s="308" t="str">
        <f t="shared" si="88"/>
        <v>Pesado de Mercadorias N3: Geral : Gasóleo : E3</v>
      </c>
      <c r="J2000" s="125"/>
      <c r="K2000" s="253">
        <v>2022</v>
      </c>
      <c r="L2000" s="234">
        <v>0</v>
      </c>
      <c r="M2000" s="85" t="s">
        <v>630</v>
      </c>
      <c r="N2000" s="128">
        <v>37</v>
      </c>
      <c r="O2000" s="128">
        <f t="shared" si="89"/>
        <v>0</v>
      </c>
      <c r="P2000" s="89">
        <v>93</v>
      </c>
      <c r="Q2000" t="s">
        <v>1927</v>
      </c>
      <c r="R2000" s="214" t="s">
        <v>3640</v>
      </c>
      <c r="S2000" s="214" t="s">
        <v>3105</v>
      </c>
      <c r="T2000" t="s">
        <v>1935</v>
      </c>
      <c r="U2000" t="s">
        <v>1953</v>
      </c>
      <c r="V2000" t="s">
        <v>2813</v>
      </c>
    </row>
    <row r="2001" spans="1:22" ht="15.75" thickBot="1" x14ac:dyDescent="0.3">
      <c r="A2001" t="s">
        <v>4591</v>
      </c>
      <c r="B2001" t="s">
        <v>4591</v>
      </c>
      <c r="C2001" t="s">
        <v>4591</v>
      </c>
      <c r="D2001" s="238" t="s">
        <v>1920</v>
      </c>
      <c r="E2001" s="256" t="s">
        <v>2231</v>
      </c>
      <c r="F2001" t="s">
        <v>620</v>
      </c>
      <c r="G2001" s="89">
        <v>2001</v>
      </c>
      <c r="H2001" s="312" t="s">
        <v>732</v>
      </c>
      <c r="I2001" s="308" t="str">
        <f t="shared" si="88"/>
        <v>Pesado de Mercadorias N3: Geral : Gasóleo : E3</v>
      </c>
      <c r="J2001" s="125"/>
      <c r="K2001" s="253">
        <v>2022</v>
      </c>
      <c r="L2001" s="234">
        <v>3066.2900000000004</v>
      </c>
      <c r="M2001" s="85" t="s">
        <v>630</v>
      </c>
      <c r="N2001" s="128">
        <v>7860</v>
      </c>
      <c r="O2001" s="128">
        <f t="shared" si="89"/>
        <v>0</v>
      </c>
      <c r="P2001" s="89">
        <v>97</v>
      </c>
      <c r="Q2001" t="s">
        <v>1927</v>
      </c>
      <c r="R2001" s="214" t="s">
        <v>1869</v>
      </c>
      <c r="S2001" s="214" t="s">
        <v>1861</v>
      </c>
      <c r="T2001" t="s">
        <v>1935</v>
      </c>
      <c r="U2001" t="s">
        <v>1953</v>
      </c>
      <c r="V2001" t="s">
        <v>2813</v>
      </c>
    </row>
    <row r="2002" spans="1:22" ht="15.75" thickBot="1" x14ac:dyDescent="0.3">
      <c r="A2002" t="s">
        <v>4591</v>
      </c>
      <c r="B2002" t="s">
        <v>4591</v>
      </c>
      <c r="C2002" t="s">
        <v>4591</v>
      </c>
      <c r="D2002" s="238" t="s">
        <v>1920</v>
      </c>
      <c r="E2002" s="256" t="s">
        <v>2231</v>
      </c>
      <c r="F2002" t="s">
        <v>620</v>
      </c>
      <c r="G2002" s="89">
        <v>2001</v>
      </c>
      <c r="H2002" s="312" t="s">
        <v>732</v>
      </c>
      <c r="I2002" s="308" t="str">
        <f t="shared" si="88"/>
        <v>Pesado de Mercadorias N3: Geral : Gasóleo : E3</v>
      </c>
      <c r="J2002" s="125"/>
      <c r="K2002" s="253">
        <v>2022</v>
      </c>
      <c r="L2002" s="234">
        <v>11271.87</v>
      </c>
      <c r="M2002" s="85" t="s">
        <v>630</v>
      </c>
      <c r="N2002" s="128">
        <v>27317</v>
      </c>
      <c r="O2002" s="128">
        <f t="shared" si="89"/>
        <v>0</v>
      </c>
      <c r="P2002" s="89">
        <v>98</v>
      </c>
      <c r="Q2002" t="s">
        <v>1927</v>
      </c>
      <c r="R2002" s="214" t="s">
        <v>1869</v>
      </c>
      <c r="S2002" s="214" t="s">
        <v>1861</v>
      </c>
      <c r="T2002" t="s">
        <v>1935</v>
      </c>
      <c r="U2002" t="s">
        <v>1953</v>
      </c>
      <c r="V2002" t="s">
        <v>2813</v>
      </c>
    </row>
    <row r="2003" spans="1:22" ht="15.75" thickBot="1" x14ac:dyDescent="0.3">
      <c r="A2003" t="s">
        <v>4591</v>
      </c>
      <c r="B2003" t="s">
        <v>4591</v>
      </c>
      <c r="C2003" t="s">
        <v>4591</v>
      </c>
      <c r="D2003" s="238" t="s">
        <v>1920</v>
      </c>
      <c r="E2003" s="256" t="s">
        <v>2231</v>
      </c>
      <c r="F2003" t="s">
        <v>620</v>
      </c>
      <c r="G2003" s="89">
        <v>2001</v>
      </c>
      <c r="H2003" s="312" t="s">
        <v>732</v>
      </c>
      <c r="I2003" s="308" t="str">
        <f t="shared" si="88"/>
        <v>Pesado de Mercadorias N3: Geral : Gasóleo : E3</v>
      </c>
      <c r="J2003" s="125"/>
      <c r="K2003" s="253">
        <v>2022</v>
      </c>
      <c r="L2003" s="234">
        <v>7244.7300000000014</v>
      </c>
      <c r="M2003" s="85" t="s">
        <v>630</v>
      </c>
      <c r="N2003" s="128">
        <v>17965</v>
      </c>
      <c r="O2003" s="128">
        <f t="shared" si="89"/>
        <v>0</v>
      </c>
      <c r="P2003" s="89">
        <v>100</v>
      </c>
      <c r="Q2003" t="s">
        <v>1927</v>
      </c>
      <c r="R2003" s="214" t="s">
        <v>1869</v>
      </c>
      <c r="S2003" s="214" t="s">
        <v>1861</v>
      </c>
      <c r="T2003" t="s">
        <v>1935</v>
      </c>
      <c r="U2003" t="s">
        <v>1953</v>
      </c>
      <c r="V2003" t="s">
        <v>2813</v>
      </c>
    </row>
    <row r="2004" spans="1:22" ht="15.75" thickBot="1" x14ac:dyDescent="0.3">
      <c r="A2004" t="s">
        <v>4591</v>
      </c>
      <c r="B2004" t="s">
        <v>4591</v>
      </c>
      <c r="C2004" t="s">
        <v>4591</v>
      </c>
      <c r="D2004" s="238" t="s">
        <v>1920</v>
      </c>
      <c r="E2004" s="256" t="s">
        <v>2231</v>
      </c>
      <c r="F2004" t="s">
        <v>620</v>
      </c>
      <c r="G2004" s="89">
        <v>2001</v>
      </c>
      <c r="H2004" s="312" t="s">
        <v>732</v>
      </c>
      <c r="I2004" s="308" t="str">
        <f t="shared" si="88"/>
        <v>Pesado de Mercadorias N3: Geral : Gasóleo : E3</v>
      </c>
      <c r="J2004" s="125"/>
      <c r="K2004" s="253">
        <v>2022</v>
      </c>
      <c r="L2004" s="234">
        <v>1469.96</v>
      </c>
      <c r="M2004" s="85" t="s">
        <v>630</v>
      </c>
      <c r="N2004" s="128">
        <v>2864</v>
      </c>
      <c r="O2004" s="128">
        <f t="shared" si="89"/>
        <v>0</v>
      </c>
      <c r="P2004" s="89">
        <v>102</v>
      </c>
      <c r="Q2004" t="s">
        <v>1927</v>
      </c>
      <c r="R2004" s="214" t="s">
        <v>1869</v>
      </c>
      <c r="S2004" s="214" t="s">
        <v>1861</v>
      </c>
      <c r="T2004" t="s">
        <v>1935</v>
      </c>
      <c r="U2004" t="s">
        <v>1953</v>
      </c>
      <c r="V2004" t="s">
        <v>2813</v>
      </c>
    </row>
    <row r="2005" spans="1:22" ht="15.75" thickBot="1" x14ac:dyDescent="0.3">
      <c r="A2005" t="s">
        <v>4591</v>
      </c>
      <c r="B2005" t="s">
        <v>4591</v>
      </c>
      <c r="C2005" t="s">
        <v>4591</v>
      </c>
      <c r="D2005" s="238" t="s">
        <v>1920</v>
      </c>
      <c r="E2005" s="256" t="s">
        <v>2231</v>
      </c>
      <c r="F2005" t="s">
        <v>620</v>
      </c>
      <c r="G2005" s="89">
        <v>2001</v>
      </c>
      <c r="H2005" s="312" t="s">
        <v>732</v>
      </c>
      <c r="I2005" s="308" t="str">
        <f t="shared" si="88"/>
        <v>Pesado de Mercadorias N3: Geral : Gasóleo : E3</v>
      </c>
      <c r="J2005" s="125"/>
      <c r="K2005" s="253">
        <v>2022</v>
      </c>
      <c r="L2005" s="234">
        <v>250.01</v>
      </c>
      <c r="M2005" s="85" t="s">
        <v>630</v>
      </c>
      <c r="N2005" s="128">
        <v>582</v>
      </c>
      <c r="O2005" s="128">
        <f t="shared" si="89"/>
        <v>0</v>
      </c>
      <c r="P2005" s="89">
        <v>107</v>
      </c>
      <c r="Q2005" t="s">
        <v>1927</v>
      </c>
      <c r="R2005" s="214" t="s">
        <v>1869</v>
      </c>
      <c r="S2005" s="214" t="s">
        <v>1861</v>
      </c>
      <c r="T2005" t="s">
        <v>1935</v>
      </c>
      <c r="U2005" t="s">
        <v>1953</v>
      </c>
      <c r="V2005" t="s">
        <v>2813</v>
      </c>
    </row>
    <row r="2006" spans="1:22" ht="15.75" thickBot="1" x14ac:dyDescent="0.3">
      <c r="A2006" t="s">
        <v>4591</v>
      </c>
      <c r="B2006" t="s">
        <v>4591</v>
      </c>
      <c r="C2006" t="s">
        <v>4591</v>
      </c>
      <c r="D2006" s="238" t="s">
        <v>1920</v>
      </c>
      <c r="E2006" s="256" t="s">
        <v>2231</v>
      </c>
      <c r="F2006" t="s">
        <v>620</v>
      </c>
      <c r="G2006" s="89">
        <v>2001</v>
      </c>
      <c r="H2006" s="312" t="s">
        <v>732</v>
      </c>
      <c r="I2006" s="308" t="str">
        <f t="shared" si="88"/>
        <v>Pesado de Mercadorias N3: Geral : Gasóleo : E3</v>
      </c>
      <c r="J2006" s="125"/>
      <c r="K2006" s="253">
        <v>2022</v>
      </c>
      <c r="L2006" s="234">
        <v>3140.37</v>
      </c>
      <c r="M2006" s="85" t="s">
        <v>630</v>
      </c>
      <c r="N2006" s="128">
        <v>8247</v>
      </c>
      <c r="O2006" s="128">
        <f t="shared" si="89"/>
        <v>0</v>
      </c>
      <c r="P2006" s="89">
        <v>109</v>
      </c>
      <c r="Q2006" t="s">
        <v>1927</v>
      </c>
      <c r="R2006" s="214" t="s">
        <v>1869</v>
      </c>
      <c r="S2006" s="214" t="s">
        <v>1861</v>
      </c>
      <c r="T2006" t="s">
        <v>1935</v>
      </c>
      <c r="U2006" t="s">
        <v>1953</v>
      </c>
      <c r="V2006" t="s">
        <v>2813</v>
      </c>
    </row>
    <row r="2007" spans="1:22" ht="15.75" thickBot="1" x14ac:dyDescent="0.3">
      <c r="A2007" t="s">
        <v>4591</v>
      </c>
      <c r="B2007" t="s">
        <v>4591</v>
      </c>
      <c r="C2007" t="s">
        <v>4591</v>
      </c>
      <c r="D2007" s="238" t="s">
        <v>1920</v>
      </c>
      <c r="E2007" s="256" t="s">
        <v>2231</v>
      </c>
      <c r="F2007" t="s">
        <v>620</v>
      </c>
      <c r="G2007" s="89">
        <v>2001</v>
      </c>
      <c r="H2007" s="312" t="s">
        <v>732</v>
      </c>
      <c r="I2007" s="308" t="str">
        <f t="shared" si="88"/>
        <v>Pesado de Mercadorias N3: Geral : Gasóleo : E3</v>
      </c>
      <c r="J2007" s="125"/>
      <c r="K2007" s="253">
        <v>2022</v>
      </c>
      <c r="L2007" s="234">
        <v>11480.950000000003</v>
      </c>
      <c r="M2007" s="85" t="s">
        <v>630</v>
      </c>
      <c r="N2007" s="128">
        <v>26777</v>
      </c>
      <c r="O2007" s="128">
        <f t="shared" si="89"/>
        <v>0</v>
      </c>
      <c r="P2007" s="89">
        <v>112</v>
      </c>
      <c r="Q2007" t="s">
        <v>1927</v>
      </c>
      <c r="R2007" s="214" t="s">
        <v>1869</v>
      </c>
      <c r="S2007" s="214" t="s">
        <v>1861</v>
      </c>
      <c r="T2007" t="s">
        <v>1935</v>
      </c>
      <c r="U2007" t="s">
        <v>1953</v>
      </c>
      <c r="V2007" t="s">
        <v>2813</v>
      </c>
    </row>
    <row r="2008" spans="1:22" ht="15.75" thickBot="1" x14ac:dyDescent="0.3">
      <c r="A2008" t="s">
        <v>4591</v>
      </c>
      <c r="B2008" t="s">
        <v>4591</v>
      </c>
      <c r="C2008" t="s">
        <v>4591</v>
      </c>
      <c r="D2008" s="238" t="s">
        <v>1920</v>
      </c>
      <c r="E2008" s="256" t="s">
        <v>2231</v>
      </c>
      <c r="F2008" t="s">
        <v>620</v>
      </c>
      <c r="G2008" s="89">
        <v>2001</v>
      </c>
      <c r="H2008" s="312" t="s">
        <v>732</v>
      </c>
      <c r="I2008" s="308" t="str">
        <f t="shared" si="88"/>
        <v>Pesado de Mercadorias N3: Geral : Gasóleo : E3</v>
      </c>
      <c r="J2008" s="125"/>
      <c r="K2008" s="253">
        <v>2022</v>
      </c>
      <c r="L2008" s="234">
        <v>14320.87</v>
      </c>
      <c r="M2008" s="85" t="s">
        <v>630</v>
      </c>
      <c r="N2008" s="128">
        <v>32194</v>
      </c>
      <c r="O2008" s="128">
        <f t="shared" si="89"/>
        <v>0</v>
      </c>
      <c r="P2008" s="89">
        <v>113</v>
      </c>
      <c r="Q2008" t="s">
        <v>1927</v>
      </c>
      <c r="R2008" s="214" t="s">
        <v>1869</v>
      </c>
      <c r="S2008" s="214" t="s">
        <v>1861</v>
      </c>
      <c r="T2008" t="s">
        <v>1935</v>
      </c>
      <c r="U2008" t="s">
        <v>1953</v>
      </c>
      <c r="V2008" t="s">
        <v>2813</v>
      </c>
    </row>
    <row r="2009" spans="1:22" ht="15.75" thickBot="1" x14ac:dyDescent="0.3">
      <c r="A2009" t="s">
        <v>4591</v>
      </c>
      <c r="B2009" t="s">
        <v>4591</v>
      </c>
      <c r="C2009" t="s">
        <v>4591</v>
      </c>
      <c r="D2009" s="238" t="s">
        <v>1920</v>
      </c>
      <c r="E2009" s="256" t="s">
        <v>2231</v>
      </c>
      <c r="F2009" t="s">
        <v>620</v>
      </c>
      <c r="G2009" s="89">
        <v>2001</v>
      </c>
      <c r="H2009" s="312" t="s">
        <v>732</v>
      </c>
      <c r="I2009" s="308" t="str">
        <f t="shared" si="88"/>
        <v>Pesado de Mercadorias N3: Geral : Gasóleo : E3</v>
      </c>
      <c r="J2009" s="125"/>
      <c r="K2009" s="253">
        <v>2022</v>
      </c>
      <c r="L2009" s="234">
        <v>13248.750000000015</v>
      </c>
      <c r="M2009" s="85" t="s">
        <v>630</v>
      </c>
      <c r="N2009" s="128">
        <v>27767</v>
      </c>
      <c r="O2009" s="128">
        <f t="shared" si="89"/>
        <v>0</v>
      </c>
      <c r="P2009" s="89">
        <v>115</v>
      </c>
      <c r="Q2009" t="s">
        <v>1927</v>
      </c>
      <c r="R2009" s="214" t="s">
        <v>1869</v>
      </c>
      <c r="S2009" s="214" t="s">
        <v>1861</v>
      </c>
      <c r="T2009" t="s">
        <v>1935</v>
      </c>
      <c r="U2009" t="s">
        <v>1953</v>
      </c>
      <c r="V2009" t="s">
        <v>2813</v>
      </c>
    </row>
    <row r="2010" spans="1:22" ht="15.75" thickBot="1" x14ac:dyDescent="0.3">
      <c r="A2010" t="s">
        <v>4591</v>
      </c>
      <c r="B2010" t="s">
        <v>4591</v>
      </c>
      <c r="C2010" t="s">
        <v>4591</v>
      </c>
      <c r="D2010" s="238" t="s">
        <v>1920</v>
      </c>
      <c r="E2010" s="256" t="s">
        <v>2231</v>
      </c>
      <c r="F2010" t="s">
        <v>620</v>
      </c>
      <c r="G2010" s="89">
        <v>2001</v>
      </c>
      <c r="H2010" s="312" t="s">
        <v>732</v>
      </c>
      <c r="I2010" s="308" t="str">
        <f t="shared" si="88"/>
        <v>Pesado de Mercadorias N3: Geral : Gasóleo : E3</v>
      </c>
      <c r="J2010" s="125"/>
      <c r="K2010" s="253">
        <v>2022</v>
      </c>
      <c r="L2010" s="234">
        <v>11381.880000000001</v>
      </c>
      <c r="M2010" s="85" t="s">
        <v>630</v>
      </c>
      <c r="N2010" s="128">
        <v>26674</v>
      </c>
      <c r="O2010" s="128">
        <f t="shared" si="89"/>
        <v>0</v>
      </c>
      <c r="P2010" s="89">
        <v>116</v>
      </c>
      <c r="Q2010" t="s">
        <v>1927</v>
      </c>
      <c r="R2010" s="214" t="s">
        <v>1869</v>
      </c>
      <c r="S2010" s="214" t="s">
        <v>1861</v>
      </c>
      <c r="T2010" t="s">
        <v>1935</v>
      </c>
      <c r="U2010" t="s">
        <v>1953</v>
      </c>
      <c r="V2010" t="s">
        <v>2813</v>
      </c>
    </row>
    <row r="2011" spans="1:22" ht="15.75" thickBot="1" x14ac:dyDescent="0.3">
      <c r="A2011" t="s">
        <v>4591</v>
      </c>
      <c r="B2011" t="s">
        <v>4591</v>
      </c>
      <c r="C2011" t="s">
        <v>4591</v>
      </c>
      <c r="D2011" s="238" t="s">
        <v>1920</v>
      </c>
      <c r="E2011" s="256" t="s">
        <v>2231</v>
      </c>
      <c r="F2011" t="s">
        <v>620</v>
      </c>
      <c r="G2011" s="89">
        <v>2002</v>
      </c>
      <c r="H2011" s="312" t="s">
        <v>732</v>
      </c>
      <c r="I2011" s="308" t="str">
        <f t="shared" si="88"/>
        <v>Pesado de Mercadorias N3: Geral : Gasóleo : E3</v>
      </c>
      <c r="J2011" s="125"/>
      <c r="K2011" s="253">
        <v>2022</v>
      </c>
      <c r="L2011" s="234">
        <v>9952.3900000000012</v>
      </c>
      <c r="M2011" s="85" t="s">
        <v>630</v>
      </c>
      <c r="N2011" s="128">
        <v>28302</v>
      </c>
      <c r="O2011" s="128">
        <f t="shared" si="89"/>
        <v>0</v>
      </c>
      <c r="P2011" s="89">
        <v>120</v>
      </c>
      <c r="Q2011" t="s">
        <v>1927</v>
      </c>
      <c r="R2011" s="214" t="s">
        <v>1869</v>
      </c>
      <c r="S2011" s="214" t="s">
        <v>1861</v>
      </c>
      <c r="T2011" t="s">
        <v>1935</v>
      </c>
      <c r="U2011" t="s">
        <v>1953</v>
      </c>
      <c r="V2011" t="s">
        <v>2813</v>
      </c>
    </row>
    <row r="2012" spans="1:22" ht="15.75" thickBot="1" x14ac:dyDescent="0.3">
      <c r="A2012" t="s">
        <v>4591</v>
      </c>
      <c r="B2012" t="s">
        <v>4591</v>
      </c>
      <c r="C2012" t="s">
        <v>4591</v>
      </c>
      <c r="D2012" s="238" t="s">
        <v>1920</v>
      </c>
      <c r="E2012" s="256" t="s">
        <v>2231</v>
      </c>
      <c r="F2012" t="s">
        <v>620</v>
      </c>
      <c r="G2012" s="89">
        <v>2002</v>
      </c>
      <c r="H2012" s="312" t="s">
        <v>732</v>
      </c>
      <c r="I2012" s="308" t="str">
        <f t="shared" si="88"/>
        <v>Pesado de Mercadorias N3: Geral : Gasóleo : E3</v>
      </c>
      <c r="J2012" s="125"/>
      <c r="K2012" s="253">
        <v>2022</v>
      </c>
      <c r="L2012" s="234">
        <v>1371.05</v>
      </c>
      <c r="M2012" s="85" t="s">
        <v>630</v>
      </c>
      <c r="N2012" s="128">
        <v>3294</v>
      </c>
      <c r="O2012" s="128">
        <f t="shared" si="89"/>
        <v>0</v>
      </c>
      <c r="P2012" s="89">
        <v>121</v>
      </c>
      <c r="Q2012" t="s">
        <v>1927</v>
      </c>
      <c r="R2012" s="214" t="s">
        <v>1869</v>
      </c>
      <c r="S2012" s="214" t="s">
        <v>1861</v>
      </c>
      <c r="T2012" t="s">
        <v>1935</v>
      </c>
      <c r="U2012" t="s">
        <v>1953</v>
      </c>
      <c r="V2012" t="s">
        <v>2813</v>
      </c>
    </row>
    <row r="2013" spans="1:22" ht="15.75" thickBot="1" x14ac:dyDescent="0.3">
      <c r="A2013" t="s">
        <v>4591</v>
      </c>
      <c r="B2013" t="s">
        <v>4591</v>
      </c>
      <c r="C2013" t="s">
        <v>4591</v>
      </c>
      <c r="D2013" s="238" t="s">
        <v>1920</v>
      </c>
      <c r="E2013" s="256" t="s">
        <v>2231</v>
      </c>
      <c r="F2013" t="s">
        <v>620</v>
      </c>
      <c r="G2013" s="89">
        <v>2002</v>
      </c>
      <c r="H2013" s="312" t="s">
        <v>732</v>
      </c>
      <c r="I2013" s="308" t="str">
        <f t="shared" si="88"/>
        <v>Pesado de Mercadorias N3: Geral : Gasóleo : E3</v>
      </c>
      <c r="J2013" s="125"/>
      <c r="K2013" s="253">
        <v>2022</v>
      </c>
      <c r="L2013" s="234">
        <v>1076.6500000000001</v>
      </c>
      <c r="M2013" s="85" t="s">
        <v>630</v>
      </c>
      <c r="N2013" s="128">
        <v>3361</v>
      </c>
      <c r="O2013" s="128">
        <f t="shared" si="89"/>
        <v>0</v>
      </c>
      <c r="P2013" s="89">
        <v>122</v>
      </c>
      <c r="Q2013" t="s">
        <v>1927</v>
      </c>
      <c r="R2013" s="214" t="s">
        <v>1869</v>
      </c>
      <c r="S2013" s="214" t="s">
        <v>1861</v>
      </c>
      <c r="T2013" t="s">
        <v>1935</v>
      </c>
      <c r="U2013" t="s">
        <v>1953</v>
      </c>
      <c r="V2013" t="s">
        <v>2813</v>
      </c>
    </row>
    <row r="2014" spans="1:22" ht="15.75" thickBot="1" x14ac:dyDescent="0.3">
      <c r="A2014" t="s">
        <v>4591</v>
      </c>
      <c r="B2014" t="s">
        <v>4591</v>
      </c>
      <c r="C2014" t="s">
        <v>4591</v>
      </c>
      <c r="D2014" s="238" t="s">
        <v>1920</v>
      </c>
      <c r="E2014" s="256" t="s">
        <v>2231</v>
      </c>
      <c r="F2014" t="s">
        <v>620</v>
      </c>
      <c r="G2014" s="89">
        <v>2002</v>
      </c>
      <c r="H2014" s="312" t="s">
        <v>732</v>
      </c>
      <c r="I2014" s="308" t="str">
        <f t="shared" si="88"/>
        <v>Pesado de Mercadorias N3: Geral : Gasóleo : E3</v>
      </c>
      <c r="J2014" s="125"/>
      <c r="K2014" s="253">
        <v>2022</v>
      </c>
      <c r="L2014" s="234">
        <v>4594.2099999999991</v>
      </c>
      <c r="M2014" s="85" t="s">
        <v>630</v>
      </c>
      <c r="N2014" s="128">
        <v>11855</v>
      </c>
      <c r="O2014" s="128">
        <f t="shared" si="89"/>
        <v>0</v>
      </c>
      <c r="P2014" s="89">
        <v>123</v>
      </c>
      <c r="Q2014" t="s">
        <v>1927</v>
      </c>
      <c r="R2014" s="214" t="s">
        <v>1869</v>
      </c>
      <c r="S2014" s="214" t="s">
        <v>1861</v>
      </c>
      <c r="T2014" t="s">
        <v>1935</v>
      </c>
      <c r="U2014" t="s">
        <v>1953</v>
      </c>
      <c r="V2014" t="s">
        <v>2813</v>
      </c>
    </row>
    <row r="2015" spans="1:22" ht="15.75" thickBot="1" x14ac:dyDescent="0.3">
      <c r="A2015" t="s">
        <v>4591</v>
      </c>
      <c r="B2015" t="s">
        <v>4591</v>
      </c>
      <c r="C2015" t="s">
        <v>4591</v>
      </c>
      <c r="D2015" s="238" t="s">
        <v>1920</v>
      </c>
      <c r="E2015" s="256" t="s">
        <v>2231</v>
      </c>
      <c r="F2015" t="s">
        <v>620</v>
      </c>
      <c r="G2015" s="89">
        <v>2002</v>
      </c>
      <c r="H2015" s="312" t="s">
        <v>732</v>
      </c>
      <c r="I2015" s="308" t="str">
        <f t="shared" si="88"/>
        <v>Pesado de Mercadorias N3: Geral : Gasóleo : E3</v>
      </c>
      <c r="J2015" s="125"/>
      <c r="K2015" s="253">
        <v>2022</v>
      </c>
      <c r="L2015" s="234">
        <v>5564.7699999999995</v>
      </c>
      <c r="M2015" s="85" t="s">
        <v>630</v>
      </c>
      <c r="N2015" s="128">
        <v>13285</v>
      </c>
      <c r="O2015" s="128">
        <f t="shared" si="89"/>
        <v>0</v>
      </c>
      <c r="P2015" s="89">
        <v>125</v>
      </c>
      <c r="Q2015" t="s">
        <v>1927</v>
      </c>
      <c r="R2015" s="214" t="s">
        <v>1869</v>
      </c>
      <c r="S2015" s="214" t="s">
        <v>1861</v>
      </c>
      <c r="T2015" t="s">
        <v>1935</v>
      </c>
      <c r="U2015" t="s">
        <v>1953</v>
      </c>
      <c r="V2015" t="s">
        <v>2813</v>
      </c>
    </row>
    <row r="2016" spans="1:22" ht="15.75" thickBot="1" x14ac:dyDescent="0.3">
      <c r="A2016" t="s">
        <v>4591</v>
      </c>
      <c r="B2016" t="s">
        <v>4591</v>
      </c>
      <c r="C2016" t="s">
        <v>4591</v>
      </c>
      <c r="D2016" s="238" t="s">
        <v>1920</v>
      </c>
      <c r="E2016" s="256" t="s">
        <v>2231</v>
      </c>
      <c r="F2016" t="s">
        <v>620</v>
      </c>
      <c r="G2016" s="89">
        <v>2002</v>
      </c>
      <c r="H2016" s="312" t="s">
        <v>732</v>
      </c>
      <c r="I2016" s="308" t="str">
        <f t="shared" si="88"/>
        <v>Pesado de Mercadorias N3: Geral : Gasóleo : E3</v>
      </c>
      <c r="J2016" s="125"/>
      <c r="K2016" s="253">
        <v>2022</v>
      </c>
      <c r="L2016" s="234">
        <v>8690.77</v>
      </c>
      <c r="M2016" s="85" t="s">
        <v>630</v>
      </c>
      <c r="N2016" s="128">
        <v>21311</v>
      </c>
      <c r="O2016" s="128">
        <f t="shared" si="89"/>
        <v>0</v>
      </c>
      <c r="P2016" s="89">
        <v>127</v>
      </c>
      <c r="Q2016" t="s">
        <v>1927</v>
      </c>
      <c r="R2016" s="214" t="s">
        <v>1869</v>
      </c>
      <c r="S2016" s="214" t="s">
        <v>1861</v>
      </c>
      <c r="T2016" t="s">
        <v>1935</v>
      </c>
      <c r="U2016" t="s">
        <v>1953</v>
      </c>
      <c r="V2016" t="s">
        <v>2813</v>
      </c>
    </row>
    <row r="2017" spans="1:22" ht="15.75" thickBot="1" x14ac:dyDescent="0.3">
      <c r="A2017" t="s">
        <v>4591</v>
      </c>
      <c r="B2017" t="s">
        <v>4591</v>
      </c>
      <c r="C2017" t="s">
        <v>4591</v>
      </c>
      <c r="D2017" s="238" t="s">
        <v>1920</v>
      </c>
      <c r="E2017" s="256" t="s">
        <v>2231</v>
      </c>
      <c r="F2017" t="s">
        <v>620</v>
      </c>
      <c r="G2017" s="89">
        <v>2002</v>
      </c>
      <c r="H2017" s="312" t="s">
        <v>732</v>
      </c>
      <c r="I2017" s="308" t="str">
        <f t="shared" si="88"/>
        <v>Pesado de Mercadorias N3: Geral : Gasóleo : E3</v>
      </c>
      <c r="J2017" s="125"/>
      <c r="K2017" s="253">
        <v>2022</v>
      </c>
      <c r="L2017" s="234">
        <v>8213.3200000000052</v>
      </c>
      <c r="M2017" s="85" t="s">
        <v>630</v>
      </c>
      <c r="N2017" s="128">
        <v>15845</v>
      </c>
      <c r="O2017" s="128">
        <f t="shared" si="89"/>
        <v>0</v>
      </c>
      <c r="P2017" s="89">
        <v>128</v>
      </c>
      <c r="Q2017" t="s">
        <v>1927</v>
      </c>
      <c r="R2017" s="214" t="s">
        <v>1869</v>
      </c>
      <c r="S2017" s="214" t="s">
        <v>1861</v>
      </c>
      <c r="T2017" t="s">
        <v>1935</v>
      </c>
      <c r="U2017" t="s">
        <v>1953</v>
      </c>
      <c r="V2017" t="s">
        <v>2813</v>
      </c>
    </row>
    <row r="2018" spans="1:22" ht="15.75" thickBot="1" x14ac:dyDescent="0.3">
      <c r="A2018" t="s">
        <v>4591</v>
      </c>
      <c r="B2018" t="s">
        <v>4591</v>
      </c>
      <c r="C2018" t="s">
        <v>4591</v>
      </c>
      <c r="D2018" s="238" t="s">
        <v>1920</v>
      </c>
      <c r="E2018" s="256" t="s">
        <v>2231</v>
      </c>
      <c r="F2018" t="s">
        <v>620</v>
      </c>
      <c r="G2018" s="89">
        <v>2003</v>
      </c>
      <c r="H2018" s="312" t="s">
        <v>732</v>
      </c>
      <c r="I2018" s="308" t="str">
        <f t="shared" si="88"/>
        <v>Pesado de Mercadorias N3: Geral : Gasóleo : E3</v>
      </c>
      <c r="J2018" s="125"/>
      <c r="K2018" s="253">
        <v>2022</v>
      </c>
      <c r="L2018" s="234">
        <v>14887.280000000015</v>
      </c>
      <c r="M2018" s="85" t="s">
        <v>630</v>
      </c>
      <c r="N2018" s="128">
        <v>33552</v>
      </c>
      <c r="O2018" s="128">
        <f t="shared" si="89"/>
        <v>0</v>
      </c>
      <c r="P2018" s="89">
        <v>129</v>
      </c>
      <c r="Q2018" t="s">
        <v>1927</v>
      </c>
      <c r="R2018" s="214" t="s">
        <v>1869</v>
      </c>
      <c r="S2018" s="214" t="s">
        <v>1861</v>
      </c>
      <c r="T2018" t="s">
        <v>1935</v>
      </c>
      <c r="U2018" t="s">
        <v>1953</v>
      </c>
      <c r="V2018" t="s">
        <v>2813</v>
      </c>
    </row>
    <row r="2019" spans="1:22" ht="15.75" thickBot="1" x14ac:dyDescent="0.3">
      <c r="A2019" t="s">
        <v>4591</v>
      </c>
      <c r="B2019" t="s">
        <v>4591</v>
      </c>
      <c r="C2019" t="s">
        <v>4591</v>
      </c>
      <c r="D2019" s="238" t="s">
        <v>1920</v>
      </c>
      <c r="E2019" s="256" t="s">
        <v>2231</v>
      </c>
      <c r="F2019" t="s">
        <v>620</v>
      </c>
      <c r="G2019" s="89">
        <v>2003</v>
      </c>
      <c r="H2019" s="312" t="s">
        <v>732</v>
      </c>
      <c r="I2019" s="308" t="str">
        <f t="shared" si="88"/>
        <v>Pesado de Mercadorias N3: Geral : Gasóleo : E3</v>
      </c>
      <c r="J2019" s="125"/>
      <c r="K2019" s="253">
        <v>2022</v>
      </c>
      <c r="L2019" s="234">
        <v>6760.22</v>
      </c>
      <c r="M2019" s="85" t="s">
        <v>630</v>
      </c>
      <c r="N2019" s="128">
        <v>12637</v>
      </c>
      <c r="O2019" s="128">
        <f t="shared" si="89"/>
        <v>0</v>
      </c>
      <c r="P2019" s="89">
        <v>130</v>
      </c>
      <c r="Q2019" t="s">
        <v>1927</v>
      </c>
      <c r="R2019" s="214" t="s">
        <v>1869</v>
      </c>
      <c r="S2019" s="214" t="s">
        <v>1861</v>
      </c>
      <c r="T2019" t="s">
        <v>1935</v>
      </c>
      <c r="U2019" t="s">
        <v>1953</v>
      </c>
      <c r="V2019" t="s">
        <v>2813</v>
      </c>
    </row>
    <row r="2020" spans="1:22" ht="15.75" thickBot="1" x14ac:dyDescent="0.3">
      <c r="A2020" t="s">
        <v>4591</v>
      </c>
      <c r="B2020" t="s">
        <v>4591</v>
      </c>
      <c r="C2020" t="s">
        <v>4591</v>
      </c>
      <c r="D2020" s="238" t="s">
        <v>1920</v>
      </c>
      <c r="E2020" s="256" t="s">
        <v>2231</v>
      </c>
      <c r="F2020" t="s">
        <v>620</v>
      </c>
      <c r="G2020" s="89">
        <v>2003</v>
      </c>
      <c r="H2020" s="312" t="s">
        <v>732</v>
      </c>
      <c r="I2020" s="308" t="str">
        <f t="shared" si="88"/>
        <v>Pesado de Mercadorias N3: Geral : Gasóleo : E3</v>
      </c>
      <c r="J2020" s="125"/>
      <c r="K2020" s="253">
        <v>2022</v>
      </c>
      <c r="L2020" s="234">
        <v>0</v>
      </c>
      <c r="M2020" s="85" t="s">
        <v>630</v>
      </c>
      <c r="N2020" s="128">
        <v>0</v>
      </c>
      <c r="O2020" s="128">
        <f t="shared" si="89"/>
        <v>0</v>
      </c>
      <c r="P2020" s="89">
        <v>131</v>
      </c>
      <c r="Q2020" t="s">
        <v>1927</v>
      </c>
      <c r="R2020" s="214" t="s">
        <v>1869</v>
      </c>
      <c r="S2020" s="214" t="s">
        <v>1861</v>
      </c>
      <c r="T2020" t="s">
        <v>1935</v>
      </c>
      <c r="U2020" t="s">
        <v>1953</v>
      </c>
      <c r="V2020" t="s">
        <v>2813</v>
      </c>
    </row>
    <row r="2021" spans="1:22" ht="15.75" thickBot="1" x14ac:dyDescent="0.3">
      <c r="A2021" t="s">
        <v>4591</v>
      </c>
      <c r="B2021" t="s">
        <v>4591</v>
      </c>
      <c r="C2021" t="s">
        <v>4591</v>
      </c>
      <c r="D2021" s="238" t="s">
        <v>1920</v>
      </c>
      <c r="E2021" s="256" t="s">
        <v>2231</v>
      </c>
      <c r="F2021" t="s">
        <v>620</v>
      </c>
      <c r="G2021" s="89">
        <v>2004</v>
      </c>
      <c r="H2021" s="312" t="s">
        <v>732</v>
      </c>
      <c r="I2021" s="308" t="str">
        <f t="shared" si="88"/>
        <v>Pesado de Mercadorias N3: Geral : Gasóleo : E3</v>
      </c>
      <c r="J2021" s="125"/>
      <c r="K2021" s="253">
        <v>2022</v>
      </c>
      <c r="L2021" s="234">
        <v>20124.689999999999</v>
      </c>
      <c r="M2021" s="85" t="s">
        <v>630</v>
      </c>
      <c r="N2021" s="128">
        <v>48175</v>
      </c>
      <c r="O2021" s="128">
        <f t="shared" si="89"/>
        <v>0</v>
      </c>
      <c r="P2021" s="89">
        <v>141</v>
      </c>
      <c r="Q2021" t="s">
        <v>1927</v>
      </c>
      <c r="R2021" s="214" t="s">
        <v>1869</v>
      </c>
      <c r="S2021" s="214" t="s">
        <v>1861</v>
      </c>
      <c r="T2021" t="s">
        <v>1935</v>
      </c>
      <c r="U2021" t="s">
        <v>1953</v>
      </c>
      <c r="V2021" t="s">
        <v>2813</v>
      </c>
    </row>
    <row r="2022" spans="1:22" ht="15.75" thickBot="1" x14ac:dyDescent="0.3">
      <c r="A2022" t="s">
        <v>4591</v>
      </c>
      <c r="B2022" t="s">
        <v>4591</v>
      </c>
      <c r="C2022" t="s">
        <v>4591</v>
      </c>
      <c r="D2022" s="238" t="s">
        <v>1920</v>
      </c>
      <c r="E2022" s="256" t="s">
        <v>2231</v>
      </c>
      <c r="F2022" t="s">
        <v>620</v>
      </c>
      <c r="G2022" s="89">
        <v>2005</v>
      </c>
      <c r="H2022" s="312" t="s">
        <v>731</v>
      </c>
      <c r="I2022" s="308" t="str">
        <f t="shared" si="88"/>
        <v>Pesado de Mercadorias N3: Geral : Gasóleo : E4</v>
      </c>
      <c r="J2022" s="125"/>
      <c r="K2022" s="253">
        <v>2022</v>
      </c>
      <c r="L2022" s="234">
        <v>8990.6600000000017</v>
      </c>
      <c r="M2022" s="85" t="s">
        <v>630</v>
      </c>
      <c r="N2022" s="128">
        <v>22169</v>
      </c>
      <c r="O2022" s="128">
        <f t="shared" si="89"/>
        <v>0</v>
      </c>
      <c r="P2022" s="89">
        <v>145</v>
      </c>
      <c r="Q2022" t="s">
        <v>1927</v>
      </c>
      <c r="R2022" s="214" t="s">
        <v>1869</v>
      </c>
      <c r="S2022" s="214" t="s">
        <v>1861</v>
      </c>
      <c r="T2022" t="s">
        <v>1935</v>
      </c>
      <c r="U2022" t="s">
        <v>1953</v>
      </c>
      <c r="V2022" t="s">
        <v>2813</v>
      </c>
    </row>
    <row r="2023" spans="1:22" ht="15.75" thickBot="1" x14ac:dyDescent="0.3">
      <c r="A2023" t="s">
        <v>4591</v>
      </c>
      <c r="B2023" t="s">
        <v>4591</v>
      </c>
      <c r="C2023" t="s">
        <v>4591</v>
      </c>
      <c r="D2023" s="238" t="s">
        <v>1920</v>
      </c>
      <c r="E2023" s="256" t="s">
        <v>2231</v>
      </c>
      <c r="F2023" t="s">
        <v>620</v>
      </c>
      <c r="G2023" s="89">
        <v>2005</v>
      </c>
      <c r="H2023" s="312" t="s">
        <v>731</v>
      </c>
      <c r="I2023" s="308" t="str">
        <f t="shared" si="88"/>
        <v>Pesado de Mercadorias N3: Geral : Gasóleo : E4</v>
      </c>
      <c r="J2023" s="125"/>
      <c r="K2023" s="253">
        <v>2022</v>
      </c>
      <c r="L2023" s="234">
        <v>19092.919999999998</v>
      </c>
      <c r="M2023" s="85" t="s">
        <v>630</v>
      </c>
      <c r="N2023" s="128">
        <v>45814</v>
      </c>
      <c r="O2023" s="128">
        <f t="shared" si="89"/>
        <v>0</v>
      </c>
      <c r="P2023" s="89">
        <v>146</v>
      </c>
      <c r="Q2023" t="s">
        <v>1927</v>
      </c>
      <c r="R2023" s="214" t="s">
        <v>1869</v>
      </c>
      <c r="S2023" s="214" t="s">
        <v>1861</v>
      </c>
      <c r="T2023" t="s">
        <v>1935</v>
      </c>
      <c r="U2023" t="s">
        <v>1953</v>
      </c>
      <c r="V2023" t="s">
        <v>2813</v>
      </c>
    </row>
    <row r="2024" spans="1:22" ht="15.75" thickBot="1" x14ac:dyDescent="0.3">
      <c r="A2024" t="s">
        <v>4591</v>
      </c>
      <c r="B2024" t="s">
        <v>4591</v>
      </c>
      <c r="C2024" t="s">
        <v>4591</v>
      </c>
      <c r="D2024" s="238" t="s">
        <v>1920</v>
      </c>
      <c r="E2024" s="256" t="s">
        <v>2231</v>
      </c>
      <c r="F2024" t="s">
        <v>620</v>
      </c>
      <c r="G2024" s="89">
        <v>2005</v>
      </c>
      <c r="H2024" s="312" t="s">
        <v>731</v>
      </c>
      <c r="I2024" s="308" t="str">
        <f t="shared" si="88"/>
        <v>Pesado de Mercadorias N3: Geral : Gasóleo : E4</v>
      </c>
      <c r="J2024" s="125"/>
      <c r="K2024" s="253">
        <v>2022</v>
      </c>
      <c r="L2024" s="234">
        <v>18755.570000000003</v>
      </c>
      <c r="M2024" s="85" t="s">
        <v>630</v>
      </c>
      <c r="N2024" s="128">
        <v>45425</v>
      </c>
      <c r="O2024" s="128">
        <f t="shared" si="89"/>
        <v>0</v>
      </c>
      <c r="P2024" s="89">
        <v>149</v>
      </c>
      <c r="Q2024" t="s">
        <v>1927</v>
      </c>
      <c r="R2024" s="214" t="s">
        <v>1869</v>
      </c>
      <c r="S2024" s="214" t="s">
        <v>1861</v>
      </c>
      <c r="T2024" t="s">
        <v>1935</v>
      </c>
      <c r="U2024" t="s">
        <v>1953</v>
      </c>
      <c r="V2024" t="s">
        <v>2813</v>
      </c>
    </row>
    <row r="2025" spans="1:22" ht="15.75" thickBot="1" x14ac:dyDescent="0.3">
      <c r="A2025" t="s">
        <v>4591</v>
      </c>
      <c r="B2025" t="s">
        <v>4591</v>
      </c>
      <c r="C2025" t="s">
        <v>4591</v>
      </c>
      <c r="D2025" s="238" t="s">
        <v>1920</v>
      </c>
      <c r="E2025" s="256" t="s">
        <v>2231</v>
      </c>
      <c r="F2025" t="s">
        <v>620</v>
      </c>
      <c r="G2025" s="89">
        <v>2005</v>
      </c>
      <c r="H2025" s="312" t="s">
        <v>731</v>
      </c>
      <c r="I2025" s="308" t="str">
        <f t="shared" si="88"/>
        <v>Pesado de Mercadorias N3: Geral : Gasóleo : E4</v>
      </c>
      <c r="J2025" s="125"/>
      <c r="K2025" s="253">
        <v>2022</v>
      </c>
      <c r="L2025" s="234">
        <v>8452.0600000000013</v>
      </c>
      <c r="M2025" s="85" t="s">
        <v>630</v>
      </c>
      <c r="N2025" s="128">
        <v>21554</v>
      </c>
      <c r="O2025" s="128">
        <f t="shared" si="89"/>
        <v>0</v>
      </c>
      <c r="P2025" s="89">
        <v>151</v>
      </c>
      <c r="Q2025" t="s">
        <v>1927</v>
      </c>
      <c r="R2025" s="214" t="s">
        <v>1869</v>
      </c>
      <c r="S2025" s="214" t="s">
        <v>1861</v>
      </c>
      <c r="T2025" t="s">
        <v>1935</v>
      </c>
      <c r="U2025" t="s">
        <v>1953</v>
      </c>
      <c r="V2025" t="s">
        <v>2813</v>
      </c>
    </row>
    <row r="2026" spans="1:22" ht="15.75" thickBot="1" x14ac:dyDescent="0.3">
      <c r="A2026" t="s">
        <v>4591</v>
      </c>
      <c r="B2026" t="s">
        <v>4591</v>
      </c>
      <c r="C2026" t="s">
        <v>4591</v>
      </c>
      <c r="D2026" s="238" t="s">
        <v>1920</v>
      </c>
      <c r="E2026" s="256" t="s">
        <v>2231</v>
      </c>
      <c r="F2026" t="s">
        <v>620</v>
      </c>
      <c r="G2026" s="89">
        <v>2005</v>
      </c>
      <c r="H2026" s="312" t="s">
        <v>731</v>
      </c>
      <c r="I2026" s="308" t="str">
        <f t="shared" si="88"/>
        <v>Pesado de Mercadorias N3: Geral : Gasóleo : E4</v>
      </c>
      <c r="J2026" s="125"/>
      <c r="K2026" s="253">
        <v>2022</v>
      </c>
      <c r="L2026" s="234">
        <v>653.01</v>
      </c>
      <c r="M2026" s="85" t="s">
        <v>630</v>
      </c>
      <c r="N2026" s="128">
        <v>1022</v>
      </c>
      <c r="O2026" s="128">
        <f t="shared" si="89"/>
        <v>0</v>
      </c>
      <c r="P2026" s="89">
        <v>152</v>
      </c>
      <c r="Q2026" t="s">
        <v>1927</v>
      </c>
      <c r="R2026" s="214" t="s">
        <v>1869</v>
      </c>
      <c r="S2026" s="214" t="s">
        <v>1861</v>
      </c>
      <c r="T2026" t="s">
        <v>1935</v>
      </c>
      <c r="U2026" t="s">
        <v>1953</v>
      </c>
      <c r="V2026" t="s">
        <v>2813</v>
      </c>
    </row>
    <row r="2027" spans="1:22" ht="15.75" thickBot="1" x14ac:dyDescent="0.3">
      <c r="A2027" t="s">
        <v>4591</v>
      </c>
      <c r="B2027" t="s">
        <v>4591</v>
      </c>
      <c r="C2027" t="s">
        <v>4591</v>
      </c>
      <c r="D2027" s="238" t="s">
        <v>1920</v>
      </c>
      <c r="E2027" s="256" t="s">
        <v>2231</v>
      </c>
      <c r="F2027" t="s">
        <v>620</v>
      </c>
      <c r="G2027" s="89">
        <v>2005</v>
      </c>
      <c r="H2027" s="312" t="s">
        <v>731</v>
      </c>
      <c r="I2027" s="308" t="str">
        <f t="shared" si="88"/>
        <v>Pesado de Mercadorias N3: Geral : Gasóleo : E4</v>
      </c>
      <c r="J2027" s="125"/>
      <c r="K2027" s="253">
        <v>2022</v>
      </c>
      <c r="L2027" s="234">
        <v>8175.8600000000006</v>
      </c>
      <c r="M2027" s="85" t="s">
        <v>630</v>
      </c>
      <c r="N2027" s="128">
        <v>18448</v>
      </c>
      <c r="O2027" s="128">
        <f t="shared" si="89"/>
        <v>0</v>
      </c>
      <c r="P2027" s="89">
        <v>154</v>
      </c>
      <c r="Q2027" t="s">
        <v>1927</v>
      </c>
      <c r="R2027" s="214" t="s">
        <v>1869</v>
      </c>
      <c r="S2027" s="214" t="s">
        <v>1861</v>
      </c>
      <c r="T2027" t="s">
        <v>1935</v>
      </c>
      <c r="U2027" t="s">
        <v>1953</v>
      </c>
      <c r="V2027" t="s">
        <v>2813</v>
      </c>
    </row>
    <row r="2028" spans="1:22" ht="15.75" thickBot="1" x14ac:dyDescent="0.3">
      <c r="A2028" t="s">
        <v>4591</v>
      </c>
      <c r="B2028" t="s">
        <v>4591</v>
      </c>
      <c r="C2028" t="s">
        <v>4591</v>
      </c>
      <c r="D2028" s="238" t="s">
        <v>1920</v>
      </c>
      <c r="E2028" s="256" t="s">
        <v>2231</v>
      </c>
      <c r="F2028" t="s">
        <v>620</v>
      </c>
      <c r="G2028" s="89">
        <v>2005</v>
      </c>
      <c r="H2028" s="312" t="s">
        <v>731</v>
      </c>
      <c r="I2028" s="308" t="str">
        <f t="shared" si="88"/>
        <v>Pesado de Mercadorias N3: Geral : Gasóleo : E4</v>
      </c>
      <c r="J2028" s="125"/>
      <c r="K2028" s="253">
        <v>2022</v>
      </c>
      <c r="L2028" s="234">
        <v>333</v>
      </c>
      <c r="M2028" s="85" t="s">
        <v>630</v>
      </c>
      <c r="N2028" s="128">
        <v>225</v>
      </c>
      <c r="O2028" s="128">
        <f t="shared" si="89"/>
        <v>0</v>
      </c>
      <c r="P2028" s="89">
        <v>155</v>
      </c>
      <c r="Q2028" t="s">
        <v>1927</v>
      </c>
      <c r="R2028" s="214" t="s">
        <v>1869</v>
      </c>
      <c r="S2028" s="214" t="s">
        <v>1861</v>
      </c>
      <c r="T2028" t="s">
        <v>1935</v>
      </c>
      <c r="U2028" t="s">
        <v>1953</v>
      </c>
      <c r="V2028" t="s">
        <v>2813</v>
      </c>
    </row>
    <row r="2029" spans="1:22" ht="15.75" thickBot="1" x14ac:dyDescent="0.3">
      <c r="A2029" t="s">
        <v>4591</v>
      </c>
      <c r="B2029" t="s">
        <v>4591</v>
      </c>
      <c r="C2029" t="s">
        <v>4591</v>
      </c>
      <c r="D2029" s="238" t="s">
        <v>1920</v>
      </c>
      <c r="E2029" s="256" t="s">
        <v>2231</v>
      </c>
      <c r="F2029" t="s">
        <v>620</v>
      </c>
      <c r="G2029" s="89">
        <v>2005</v>
      </c>
      <c r="H2029" s="312" t="s">
        <v>731</v>
      </c>
      <c r="I2029" s="308" t="str">
        <f t="shared" si="88"/>
        <v>Pesado de Mercadorias N3: Geral : Gasóleo : E4</v>
      </c>
      <c r="J2029" s="125"/>
      <c r="K2029" s="253">
        <v>2022</v>
      </c>
      <c r="L2029" s="234">
        <v>15178.430000000002</v>
      </c>
      <c r="M2029" s="85" t="s">
        <v>630</v>
      </c>
      <c r="N2029" s="128">
        <v>37679</v>
      </c>
      <c r="O2029" s="128">
        <f t="shared" si="89"/>
        <v>0</v>
      </c>
      <c r="P2029" s="89">
        <v>159</v>
      </c>
      <c r="Q2029" t="s">
        <v>1927</v>
      </c>
      <c r="R2029" s="214" t="s">
        <v>1869</v>
      </c>
      <c r="S2029" s="214" t="s">
        <v>1861</v>
      </c>
      <c r="T2029" t="s">
        <v>1935</v>
      </c>
      <c r="U2029" t="s">
        <v>1953</v>
      </c>
      <c r="V2029" t="s">
        <v>2813</v>
      </c>
    </row>
    <row r="2030" spans="1:22" ht="15.75" thickBot="1" x14ac:dyDescent="0.3">
      <c r="A2030" t="s">
        <v>4591</v>
      </c>
      <c r="B2030" t="s">
        <v>4591</v>
      </c>
      <c r="C2030" t="s">
        <v>4591</v>
      </c>
      <c r="D2030" s="238" t="s">
        <v>1920</v>
      </c>
      <c r="E2030" s="256" t="s">
        <v>2231</v>
      </c>
      <c r="F2030" t="s">
        <v>620</v>
      </c>
      <c r="G2030" s="89">
        <v>2005</v>
      </c>
      <c r="H2030" s="312" t="s">
        <v>731</v>
      </c>
      <c r="I2030" s="308" t="str">
        <f t="shared" si="88"/>
        <v>Pesado de Mercadorias N3: Geral : Gasóleo : E4</v>
      </c>
      <c r="J2030" s="125"/>
      <c r="K2030" s="253">
        <v>2022</v>
      </c>
      <c r="L2030" s="234">
        <v>13714.890000000005</v>
      </c>
      <c r="M2030" s="85" t="s">
        <v>630</v>
      </c>
      <c r="N2030" s="128">
        <v>33163</v>
      </c>
      <c r="O2030" s="128">
        <f t="shared" si="89"/>
        <v>0</v>
      </c>
      <c r="P2030" s="89">
        <v>160</v>
      </c>
      <c r="Q2030" t="s">
        <v>1927</v>
      </c>
      <c r="R2030" s="214" t="s">
        <v>1869</v>
      </c>
      <c r="S2030" s="214" t="s">
        <v>1861</v>
      </c>
      <c r="T2030" t="s">
        <v>1935</v>
      </c>
      <c r="U2030" t="s">
        <v>1953</v>
      </c>
      <c r="V2030" t="s">
        <v>2813</v>
      </c>
    </row>
    <row r="2031" spans="1:22" ht="15.75" thickBot="1" x14ac:dyDescent="0.3">
      <c r="A2031" t="s">
        <v>4591</v>
      </c>
      <c r="B2031" t="s">
        <v>4591</v>
      </c>
      <c r="C2031" t="s">
        <v>4591</v>
      </c>
      <c r="D2031" s="238" t="s">
        <v>1920</v>
      </c>
      <c r="E2031" s="256" t="s">
        <v>2231</v>
      </c>
      <c r="F2031" t="s">
        <v>620</v>
      </c>
      <c r="G2031" s="89">
        <v>2005</v>
      </c>
      <c r="H2031" s="312" t="s">
        <v>731</v>
      </c>
      <c r="I2031" s="308" t="str">
        <f t="shared" si="88"/>
        <v>Pesado de Mercadorias N3: Geral : Gasóleo : E4</v>
      </c>
      <c r="J2031" s="125"/>
      <c r="K2031" s="253">
        <v>2022</v>
      </c>
      <c r="L2031" s="234">
        <v>17111.559999999998</v>
      </c>
      <c r="M2031" s="85" t="s">
        <v>630</v>
      </c>
      <c r="N2031" s="128">
        <v>55905</v>
      </c>
      <c r="O2031" s="128">
        <f t="shared" si="89"/>
        <v>0</v>
      </c>
      <c r="P2031" s="89">
        <v>161</v>
      </c>
      <c r="Q2031" t="s">
        <v>1927</v>
      </c>
      <c r="R2031" s="214" t="s">
        <v>1869</v>
      </c>
      <c r="S2031" s="214" t="s">
        <v>1861</v>
      </c>
      <c r="T2031" t="s">
        <v>1935</v>
      </c>
      <c r="U2031" t="s">
        <v>1953</v>
      </c>
      <c r="V2031" t="s">
        <v>2813</v>
      </c>
    </row>
    <row r="2032" spans="1:22" ht="15.75" thickBot="1" x14ac:dyDescent="0.3">
      <c r="A2032" t="s">
        <v>4591</v>
      </c>
      <c r="B2032" t="s">
        <v>4591</v>
      </c>
      <c r="C2032" t="s">
        <v>4591</v>
      </c>
      <c r="D2032" s="238" t="s">
        <v>1920</v>
      </c>
      <c r="E2032" s="256" t="s">
        <v>2231</v>
      </c>
      <c r="F2032" t="s">
        <v>620</v>
      </c>
      <c r="G2032" s="89">
        <v>2005</v>
      </c>
      <c r="H2032" s="312" t="s">
        <v>731</v>
      </c>
      <c r="I2032" s="308" t="str">
        <f t="shared" si="88"/>
        <v>Pesado de Mercadorias N3: Geral : Gasóleo : E4</v>
      </c>
      <c r="J2032" s="125"/>
      <c r="K2032" s="253">
        <v>2022</v>
      </c>
      <c r="L2032" s="234">
        <v>12215.1</v>
      </c>
      <c r="M2032" s="85" t="s">
        <v>630</v>
      </c>
      <c r="N2032" s="128">
        <v>43865</v>
      </c>
      <c r="O2032" s="128">
        <f t="shared" si="89"/>
        <v>0</v>
      </c>
      <c r="P2032" s="89">
        <v>162</v>
      </c>
      <c r="Q2032" t="s">
        <v>1927</v>
      </c>
      <c r="R2032" s="214" t="s">
        <v>1869</v>
      </c>
      <c r="S2032" s="214" t="s">
        <v>1861</v>
      </c>
      <c r="T2032" t="s">
        <v>1935</v>
      </c>
      <c r="U2032" t="s">
        <v>1953</v>
      </c>
      <c r="V2032" t="s">
        <v>2813</v>
      </c>
    </row>
    <row r="2033" spans="1:22" ht="15.75" thickBot="1" x14ac:dyDescent="0.3">
      <c r="A2033" t="s">
        <v>4591</v>
      </c>
      <c r="B2033" t="s">
        <v>4591</v>
      </c>
      <c r="C2033" t="s">
        <v>4591</v>
      </c>
      <c r="D2033" s="238" t="s">
        <v>1920</v>
      </c>
      <c r="E2033" s="256" t="s">
        <v>2231</v>
      </c>
      <c r="F2033" t="s">
        <v>620</v>
      </c>
      <c r="G2033" s="89">
        <v>2009</v>
      </c>
      <c r="H2033" s="312" t="s">
        <v>734</v>
      </c>
      <c r="I2033" s="308" t="str">
        <f t="shared" si="88"/>
        <v>Pesado de Mercadorias N3: Geral : Gasóleo : E5</v>
      </c>
      <c r="J2033" s="125"/>
      <c r="K2033" s="253">
        <v>2022</v>
      </c>
      <c r="L2033" s="234">
        <v>21201.609999999997</v>
      </c>
      <c r="M2033" s="85" t="s">
        <v>630</v>
      </c>
      <c r="N2033" s="128">
        <v>50882</v>
      </c>
      <c r="O2033" s="128">
        <f t="shared" si="89"/>
        <v>0</v>
      </c>
      <c r="P2033" s="89">
        <v>163</v>
      </c>
      <c r="Q2033" t="s">
        <v>1927</v>
      </c>
      <c r="R2033" s="214" t="s">
        <v>1869</v>
      </c>
      <c r="S2033" s="214" t="s">
        <v>1861</v>
      </c>
      <c r="T2033" t="s">
        <v>1935</v>
      </c>
      <c r="U2033" t="s">
        <v>1953</v>
      </c>
      <c r="V2033" t="s">
        <v>2813</v>
      </c>
    </row>
    <row r="2034" spans="1:22" ht="15.75" thickBot="1" x14ac:dyDescent="0.3">
      <c r="A2034" t="s">
        <v>4591</v>
      </c>
      <c r="B2034" t="s">
        <v>4591</v>
      </c>
      <c r="C2034" t="s">
        <v>4591</v>
      </c>
      <c r="D2034" s="238" t="s">
        <v>1920</v>
      </c>
      <c r="E2034" s="256" t="s">
        <v>2231</v>
      </c>
      <c r="F2034" t="s">
        <v>620</v>
      </c>
      <c r="G2034" s="89">
        <v>2009</v>
      </c>
      <c r="H2034" s="312" t="s">
        <v>734</v>
      </c>
      <c r="I2034" s="308" t="str">
        <f t="shared" si="88"/>
        <v>Pesado de Mercadorias N3: Geral : Gasóleo : E5</v>
      </c>
      <c r="J2034" s="125"/>
      <c r="K2034" s="253">
        <v>2022</v>
      </c>
      <c r="L2034" s="234">
        <v>11980.060000000003</v>
      </c>
      <c r="M2034" s="85" t="s">
        <v>630</v>
      </c>
      <c r="N2034" s="128">
        <v>29141</v>
      </c>
      <c r="O2034" s="128">
        <f t="shared" si="89"/>
        <v>0</v>
      </c>
      <c r="P2034" s="89">
        <v>164</v>
      </c>
      <c r="Q2034" t="s">
        <v>1927</v>
      </c>
      <c r="R2034" s="214" t="s">
        <v>1869</v>
      </c>
      <c r="S2034" s="214" t="s">
        <v>1861</v>
      </c>
      <c r="T2034" t="s">
        <v>1935</v>
      </c>
      <c r="U2034" t="s">
        <v>1953</v>
      </c>
      <c r="V2034" t="s">
        <v>2813</v>
      </c>
    </row>
    <row r="2035" spans="1:22" ht="15.75" thickBot="1" x14ac:dyDescent="0.3">
      <c r="A2035" t="s">
        <v>4591</v>
      </c>
      <c r="B2035" t="s">
        <v>4591</v>
      </c>
      <c r="C2035" t="s">
        <v>4591</v>
      </c>
      <c r="D2035" s="238" t="s">
        <v>1920</v>
      </c>
      <c r="E2035" s="256" t="s">
        <v>2231</v>
      </c>
      <c r="F2035" t="s">
        <v>620</v>
      </c>
      <c r="G2035" s="89">
        <v>2009</v>
      </c>
      <c r="H2035" s="312" t="s">
        <v>734</v>
      </c>
      <c r="I2035" s="308" t="str">
        <f t="shared" si="88"/>
        <v>Pesado de Mercadorias N3: Geral : Gasóleo : E5</v>
      </c>
      <c r="J2035" s="125"/>
      <c r="K2035" s="253">
        <v>2022</v>
      </c>
      <c r="L2035" s="234">
        <v>43762.14999999998</v>
      </c>
      <c r="M2035" s="85" t="s">
        <v>630</v>
      </c>
      <c r="N2035" s="128">
        <v>124543</v>
      </c>
      <c r="O2035" s="128">
        <f t="shared" si="89"/>
        <v>0</v>
      </c>
      <c r="P2035" s="89">
        <v>165</v>
      </c>
      <c r="Q2035" t="s">
        <v>1927</v>
      </c>
      <c r="R2035" s="214" t="s">
        <v>1869</v>
      </c>
      <c r="S2035" s="214" t="s">
        <v>1861</v>
      </c>
      <c r="T2035" t="s">
        <v>1935</v>
      </c>
      <c r="U2035" t="s">
        <v>1953</v>
      </c>
      <c r="V2035" t="s">
        <v>2813</v>
      </c>
    </row>
    <row r="2036" spans="1:22" ht="15.75" thickBot="1" x14ac:dyDescent="0.3">
      <c r="A2036" t="s">
        <v>4591</v>
      </c>
      <c r="B2036" t="s">
        <v>4591</v>
      </c>
      <c r="C2036" t="s">
        <v>4591</v>
      </c>
      <c r="D2036" s="238" t="s">
        <v>1920</v>
      </c>
      <c r="E2036" s="256" t="s">
        <v>2231</v>
      </c>
      <c r="F2036" t="s">
        <v>620</v>
      </c>
      <c r="G2036" s="89">
        <v>2009</v>
      </c>
      <c r="H2036" s="312" t="s">
        <v>734</v>
      </c>
      <c r="I2036" s="308" t="str">
        <f t="shared" si="88"/>
        <v>Pesado de Mercadorias N3: Geral : Gasóleo : E5</v>
      </c>
      <c r="J2036" s="125"/>
      <c r="K2036" s="253">
        <v>2022</v>
      </c>
      <c r="L2036" s="234">
        <v>40615.439999999966</v>
      </c>
      <c r="M2036" s="85" t="s">
        <v>630</v>
      </c>
      <c r="N2036" s="128">
        <v>115966</v>
      </c>
      <c r="O2036" s="128">
        <f t="shared" si="89"/>
        <v>0</v>
      </c>
      <c r="P2036" s="89">
        <v>166</v>
      </c>
      <c r="Q2036" t="s">
        <v>1927</v>
      </c>
      <c r="R2036" s="214" t="s">
        <v>1869</v>
      </c>
      <c r="S2036" s="214" t="s">
        <v>1861</v>
      </c>
      <c r="T2036" t="s">
        <v>1935</v>
      </c>
      <c r="U2036" t="s">
        <v>1953</v>
      </c>
      <c r="V2036" t="s">
        <v>2813</v>
      </c>
    </row>
    <row r="2037" spans="1:22" ht="15.75" thickBot="1" x14ac:dyDescent="0.3">
      <c r="A2037" t="s">
        <v>4591</v>
      </c>
      <c r="B2037" t="s">
        <v>4591</v>
      </c>
      <c r="C2037" t="s">
        <v>4591</v>
      </c>
      <c r="D2037" s="238" t="s">
        <v>1920</v>
      </c>
      <c r="E2037" s="256" t="s">
        <v>2231</v>
      </c>
      <c r="F2037" t="s">
        <v>620</v>
      </c>
      <c r="G2037" s="89">
        <v>2009</v>
      </c>
      <c r="H2037" s="312" t="s">
        <v>734</v>
      </c>
      <c r="I2037" s="308" t="str">
        <f t="shared" si="88"/>
        <v>Pesado de Mercadorias N3: Geral : Gasóleo : E5</v>
      </c>
      <c r="J2037" s="125"/>
      <c r="K2037" s="253">
        <v>2022</v>
      </c>
      <c r="L2037" s="234">
        <v>31815.819999999985</v>
      </c>
      <c r="M2037" s="85" t="s">
        <v>630</v>
      </c>
      <c r="N2037" s="128">
        <v>91374</v>
      </c>
      <c r="O2037" s="128">
        <f t="shared" si="89"/>
        <v>0</v>
      </c>
      <c r="P2037" s="89">
        <v>168</v>
      </c>
      <c r="Q2037" t="s">
        <v>1927</v>
      </c>
      <c r="R2037" s="214" t="s">
        <v>1869</v>
      </c>
      <c r="S2037" s="214" t="s">
        <v>1861</v>
      </c>
      <c r="T2037" t="s">
        <v>1935</v>
      </c>
      <c r="U2037" t="s">
        <v>1953</v>
      </c>
      <c r="V2037" t="s">
        <v>2813</v>
      </c>
    </row>
    <row r="2038" spans="1:22" ht="15.75" thickBot="1" x14ac:dyDescent="0.3">
      <c r="A2038" t="s">
        <v>4591</v>
      </c>
      <c r="B2038" t="s">
        <v>4591</v>
      </c>
      <c r="C2038" t="s">
        <v>4591</v>
      </c>
      <c r="D2038" s="238" t="s">
        <v>1920</v>
      </c>
      <c r="E2038" s="256" t="s">
        <v>2231</v>
      </c>
      <c r="F2038" t="s">
        <v>620</v>
      </c>
      <c r="G2038" s="89">
        <v>2009</v>
      </c>
      <c r="H2038" s="312" t="s">
        <v>734</v>
      </c>
      <c r="I2038" s="308" t="str">
        <f t="shared" si="88"/>
        <v>Pesado de Mercadorias N3: Geral : Gasóleo : E5</v>
      </c>
      <c r="J2038" s="125"/>
      <c r="K2038" s="253">
        <v>2022</v>
      </c>
      <c r="L2038" s="234">
        <v>23150.599999999995</v>
      </c>
      <c r="M2038" s="85" t="s">
        <v>630</v>
      </c>
      <c r="N2038" s="128">
        <v>59005</v>
      </c>
      <c r="O2038" s="128">
        <f t="shared" si="89"/>
        <v>0</v>
      </c>
      <c r="P2038" s="89">
        <v>169</v>
      </c>
      <c r="Q2038" t="s">
        <v>1927</v>
      </c>
      <c r="R2038" s="214" t="s">
        <v>1869</v>
      </c>
      <c r="S2038" s="214" t="s">
        <v>1861</v>
      </c>
      <c r="T2038" t="s">
        <v>1935</v>
      </c>
      <c r="U2038" t="s">
        <v>1953</v>
      </c>
      <c r="V2038" t="s">
        <v>2813</v>
      </c>
    </row>
    <row r="2039" spans="1:22" ht="15.75" thickBot="1" x14ac:dyDescent="0.3">
      <c r="A2039" t="s">
        <v>4591</v>
      </c>
      <c r="B2039" t="s">
        <v>4591</v>
      </c>
      <c r="C2039" t="s">
        <v>4591</v>
      </c>
      <c r="D2039" s="238" t="s">
        <v>1920</v>
      </c>
      <c r="E2039" s="256" t="s">
        <v>2231</v>
      </c>
      <c r="F2039" t="s">
        <v>620</v>
      </c>
      <c r="G2039" s="89">
        <v>2009</v>
      </c>
      <c r="H2039" s="312" t="s">
        <v>734</v>
      </c>
      <c r="I2039" s="308" t="str">
        <f t="shared" si="88"/>
        <v>Pesado de Mercadorias N3: Geral : Gasóleo : E5</v>
      </c>
      <c r="J2039" s="125"/>
      <c r="K2039" s="253">
        <v>2022</v>
      </c>
      <c r="L2039" s="234">
        <v>36813.629999999983</v>
      </c>
      <c r="M2039" s="85" t="s">
        <v>630</v>
      </c>
      <c r="N2039" s="128">
        <v>106740</v>
      </c>
      <c r="O2039" s="128">
        <f t="shared" si="89"/>
        <v>0</v>
      </c>
      <c r="P2039" s="89">
        <v>170</v>
      </c>
      <c r="Q2039" t="s">
        <v>1927</v>
      </c>
      <c r="R2039" s="214" t="s">
        <v>1869</v>
      </c>
      <c r="S2039" s="214" t="s">
        <v>1861</v>
      </c>
      <c r="T2039" t="s">
        <v>1935</v>
      </c>
      <c r="U2039" t="s">
        <v>1953</v>
      </c>
      <c r="V2039" t="s">
        <v>2813</v>
      </c>
    </row>
    <row r="2040" spans="1:22" ht="15.75" thickBot="1" x14ac:dyDescent="0.3">
      <c r="A2040" t="s">
        <v>4591</v>
      </c>
      <c r="B2040" t="s">
        <v>4591</v>
      </c>
      <c r="C2040" t="s">
        <v>4591</v>
      </c>
      <c r="D2040" s="238" t="s">
        <v>1920</v>
      </c>
      <c r="E2040" s="256" t="s">
        <v>2231</v>
      </c>
      <c r="F2040" t="s">
        <v>620</v>
      </c>
      <c r="G2040" s="89">
        <v>2009</v>
      </c>
      <c r="H2040" s="312" t="s">
        <v>734</v>
      </c>
      <c r="I2040" s="308" t="str">
        <f t="shared" si="88"/>
        <v>Pesado de Mercadorias N3: Geral : Gasóleo : E5</v>
      </c>
      <c r="J2040" s="125"/>
      <c r="K2040" s="253">
        <v>2022</v>
      </c>
      <c r="L2040" s="234">
        <v>23214.32</v>
      </c>
      <c r="M2040" s="85" t="s">
        <v>630</v>
      </c>
      <c r="N2040" s="128">
        <v>57024</v>
      </c>
      <c r="O2040" s="128">
        <f t="shared" si="89"/>
        <v>0</v>
      </c>
      <c r="P2040" s="89">
        <v>171</v>
      </c>
      <c r="Q2040" t="s">
        <v>1927</v>
      </c>
      <c r="R2040" s="214" t="s">
        <v>1869</v>
      </c>
      <c r="S2040" s="214" t="s">
        <v>1861</v>
      </c>
      <c r="T2040" t="s">
        <v>1935</v>
      </c>
      <c r="U2040" t="s">
        <v>1953</v>
      </c>
      <c r="V2040" t="s">
        <v>2813</v>
      </c>
    </row>
    <row r="2041" spans="1:22" ht="15.75" thickBot="1" x14ac:dyDescent="0.3">
      <c r="A2041" t="s">
        <v>4591</v>
      </c>
      <c r="B2041" t="s">
        <v>4591</v>
      </c>
      <c r="C2041" t="s">
        <v>4591</v>
      </c>
      <c r="D2041" s="238" t="s">
        <v>1920</v>
      </c>
      <c r="E2041" s="256" t="s">
        <v>2231</v>
      </c>
      <c r="F2041" t="s">
        <v>620</v>
      </c>
      <c r="G2041" s="89">
        <v>2009</v>
      </c>
      <c r="H2041" s="312" t="s">
        <v>734</v>
      </c>
      <c r="I2041" s="308" t="str">
        <f t="shared" si="88"/>
        <v>Pesado de Mercadorias N3: Geral : Gasóleo : E5</v>
      </c>
      <c r="J2041" s="125"/>
      <c r="K2041" s="253">
        <v>2022</v>
      </c>
      <c r="L2041" s="234">
        <v>23600.199999999997</v>
      </c>
      <c r="M2041" s="85" t="s">
        <v>630</v>
      </c>
      <c r="N2041" s="128">
        <v>56803</v>
      </c>
      <c r="O2041" s="128">
        <f t="shared" si="89"/>
        <v>0</v>
      </c>
      <c r="P2041" s="89">
        <v>172</v>
      </c>
      <c r="Q2041" t="s">
        <v>1927</v>
      </c>
      <c r="R2041" s="214" t="s">
        <v>1869</v>
      </c>
      <c r="S2041" s="214" t="s">
        <v>1861</v>
      </c>
      <c r="T2041" t="s">
        <v>1935</v>
      </c>
      <c r="U2041" t="s">
        <v>1953</v>
      </c>
      <c r="V2041" t="s">
        <v>2813</v>
      </c>
    </row>
    <row r="2042" spans="1:22" ht="15.75" thickBot="1" x14ac:dyDescent="0.3">
      <c r="A2042" t="s">
        <v>4591</v>
      </c>
      <c r="B2042" t="s">
        <v>4591</v>
      </c>
      <c r="C2042" t="s">
        <v>4591</v>
      </c>
      <c r="D2042" s="238" t="s">
        <v>1920</v>
      </c>
      <c r="E2042" s="256" t="s">
        <v>2231</v>
      </c>
      <c r="F2042" t="s">
        <v>620</v>
      </c>
      <c r="G2042" s="89">
        <v>2009</v>
      </c>
      <c r="H2042" s="312" t="s">
        <v>734</v>
      </c>
      <c r="I2042" s="308" t="str">
        <f t="shared" si="88"/>
        <v>Pesado de Mercadorias N3: Geral : Gasóleo : E5</v>
      </c>
      <c r="J2042" s="125"/>
      <c r="K2042" s="253">
        <v>2022</v>
      </c>
      <c r="L2042" s="234">
        <v>16783.46</v>
      </c>
      <c r="M2042" s="85" t="s">
        <v>630</v>
      </c>
      <c r="N2042" s="128">
        <v>51508</v>
      </c>
      <c r="O2042" s="128">
        <f t="shared" si="89"/>
        <v>0</v>
      </c>
      <c r="P2042" s="89">
        <v>173</v>
      </c>
      <c r="Q2042" t="s">
        <v>1927</v>
      </c>
      <c r="R2042" s="214" t="s">
        <v>1869</v>
      </c>
      <c r="S2042" s="214" t="s">
        <v>1861</v>
      </c>
      <c r="T2042" t="s">
        <v>1935</v>
      </c>
      <c r="U2042" t="s">
        <v>1953</v>
      </c>
      <c r="V2042" t="s">
        <v>2813</v>
      </c>
    </row>
    <row r="2043" spans="1:22" ht="15.75" thickBot="1" x14ac:dyDescent="0.3">
      <c r="A2043" t="s">
        <v>4591</v>
      </c>
      <c r="B2043" t="s">
        <v>4591</v>
      </c>
      <c r="C2043" t="s">
        <v>4591</v>
      </c>
      <c r="D2043" s="238" t="s">
        <v>1920</v>
      </c>
      <c r="E2043" s="256" t="s">
        <v>2231</v>
      </c>
      <c r="F2043" t="s">
        <v>620</v>
      </c>
      <c r="G2043" s="89">
        <v>2009</v>
      </c>
      <c r="H2043" s="312" t="s">
        <v>734</v>
      </c>
      <c r="I2043" s="308" t="str">
        <f t="shared" si="88"/>
        <v>Pesado de Mercadorias N3: Geral : Gasóleo : E5</v>
      </c>
      <c r="J2043" s="125"/>
      <c r="K2043" s="253">
        <v>2022</v>
      </c>
      <c r="L2043" s="234">
        <v>27729.16</v>
      </c>
      <c r="M2043" s="85" t="s">
        <v>630</v>
      </c>
      <c r="N2043" s="128">
        <v>82821</v>
      </c>
      <c r="O2043" s="128">
        <f t="shared" si="89"/>
        <v>0</v>
      </c>
      <c r="P2043" s="89">
        <v>174</v>
      </c>
      <c r="Q2043" t="s">
        <v>1927</v>
      </c>
      <c r="R2043" s="214" t="s">
        <v>1869</v>
      </c>
      <c r="S2043" s="214" t="s">
        <v>1861</v>
      </c>
      <c r="T2043" t="s">
        <v>1935</v>
      </c>
      <c r="U2043" t="s">
        <v>1953</v>
      </c>
      <c r="V2043" t="s">
        <v>2813</v>
      </c>
    </row>
    <row r="2044" spans="1:22" ht="15.75" thickBot="1" x14ac:dyDescent="0.3">
      <c r="A2044" t="s">
        <v>4591</v>
      </c>
      <c r="B2044" t="s">
        <v>4591</v>
      </c>
      <c r="C2044" t="s">
        <v>4591</v>
      </c>
      <c r="D2044" s="238" t="s">
        <v>1920</v>
      </c>
      <c r="E2044" s="256" t="s">
        <v>2231</v>
      </c>
      <c r="F2044" t="s">
        <v>620</v>
      </c>
      <c r="G2044" s="89">
        <v>2009</v>
      </c>
      <c r="H2044" s="312" t="s">
        <v>734</v>
      </c>
      <c r="I2044" s="308" t="str">
        <f t="shared" si="88"/>
        <v>Pesado de Mercadorias N3: Geral : Gasóleo : E5</v>
      </c>
      <c r="J2044" s="125"/>
      <c r="K2044" s="253">
        <v>2022</v>
      </c>
      <c r="L2044" s="234">
        <v>8709.7000000000044</v>
      </c>
      <c r="M2044" s="85" t="s">
        <v>630</v>
      </c>
      <c r="N2044" s="128">
        <v>25653</v>
      </c>
      <c r="O2044" s="128">
        <f t="shared" si="89"/>
        <v>0</v>
      </c>
      <c r="P2044" s="89">
        <v>175</v>
      </c>
      <c r="Q2044" t="s">
        <v>1927</v>
      </c>
      <c r="R2044" s="214" t="s">
        <v>1869</v>
      </c>
      <c r="S2044" s="214" t="s">
        <v>1861</v>
      </c>
      <c r="T2044" t="s">
        <v>1935</v>
      </c>
      <c r="U2044" t="s">
        <v>1953</v>
      </c>
      <c r="V2044" t="s">
        <v>2813</v>
      </c>
    </row>
    <row r="2045" spans="1:22" ht="15.75" thickBot="1" x14ac:dyDescent="0.3">
      <c r="A2045" t="s">
        <v>4591</v>
      </c>
      <c r="B2045" t="s">
        <v>4591</v>
      </c>
      <c r="C2045" t="s">
        <v>4591</v>
      </c>
      <c r="D2045" s="238" t="s">
        <v>1920</v>
      </c>
      <c r="E2045" s="256" t="s">
        <v>2231</v>
      </c>
      <c r="F2045" t="s">
        <v>620</v>
      </c>
      <c r="G2045" s="89">
        <v>2010</v>
      </c>
      <c r="H2045" s="312" t="s">
        <v>734</v>
      </c>
      <c r="I2045" s="308" t="str">
        <f t="shared" si="88"/>
        <v>Pesado de Mercadorias N3: Geral : Gasóleo : E5</v>
      </c>
      <c r="J2045" s="125"/>
      <c r="K2045" s="253">
        <v>2022</v>
      </c>
      <c r="L2045" s="234">
        <v>40968.750000000007</v>
      </c>
      <c r="M2045" s="85" t="s">
        <v>630</v>
      </c>
      <c r="N2045" s="128">
        <v>114482</v>
      </c>
      <c r="O2045" s="128">
        <f t="shared" si="89"/>
        <v>0</v>
      </c>
      <c r="P2045" s="89">
        <v>176</v>
      </c>
      <c r="Q2045" t="s">
        <v>1927</v>
      </c>
      <c r="R2045" s="214" t="s">
        <v>1869</v>
      </c>
      <c r="S2045" s="214" t="s">
        <v>1861</v>
      </c>
      <c r="T2045" t="s">
        <v>1935</v>
      </c>
      <c r="U2045" t="s">
        <v>1953</v>
      </c>
      <c r="V2045" t="s">
        <v>2813</v>
      </c>
    </row>
    <row r="2046" spans="1:22" ht="15.75" thickBot="1" x14ac:dyDescent="0.3">
      <c r="A2046" t="s">
        <v>4591</v>
      </c>
      <c r="B2046" t="s">
        <v>4591</v>
      </c>
      <c r="C2046" t="s">
        <v>4591</v>
      </c>
      <c r="D2046" s="238" t="s">
        <v>1920</v>
      </c>
      <c r="E2046" s="256" t="s">
        <v>2231</v>
      </c>
      <c r="F2046" t="s">
        <v>620</v>
      </c>
      <c r="G2046" s="89">
        <v>2010</v>
      </c>
      <c r="H2046" s="312" t="s">
        <v>734</v>
      </c>
      <c r="I2046" s="308" t="str">
        <f t="shared" si="88"/>
        <v>Pesado de Mercadorias N3: Geral : Gasóleo : E5</v>
      </c>
      <c r="J2046" s="125"/>
      <c r="K2046" s="253">
        <v>2022</v>
      </c>
      <c r="L2046" s="234">
        <v>29852.959999999988</v>
      </c>
      <c r="M2046" s="85" t="s">
        <v>630</v>
      </c>
      <c r="N2046" s="128">
        <v>86596</v>
      </c>
      <c r="O2046" s="128">
        <f t="shared" si="89"/>
        <v>0</v>
      </c>
      <c r="P2046" s="89">
        <v>177</v>
      </c>
      <c r="Q2046" t="s">
        <v>1927</v>
      </c>
      <c r="R2046" s="214" t="s">
        <v>1869</v>
      </c>
      <c r="S2046" s="214" t="s">
        <v>1861</v>
      </c>
      <c r="T2046" t="s">
        <v>1935</v>
      </c>
      <c r="U2046" t="s">
        <v>1953</v>
      </c>
      <c r="V2046" t="s">
        <v>2813</v>
      </c>
    </row>
    <row r="2047" spans="1:22" ht="15.75" thickBot="1" x14ac:dyDescent="0.3">
      <c r="A2047" t="s">
        <v>4591</v>
      </c>
      <c r="B2047" t="s">
        <v>4591</v>
      </c>
      <c r="C2047" t="s">
        <v>4591</v>
      </c>
      <c r="D2047" s="238" t="s">
        <v>1920</v>
      </c>
      <c r="E2047" s="256" t="s">
        <v>2231</v>
      </c>
      <c r="F2047" t="s">
        <v>620</v>
      </c>
      <c r="G2047" s="89">
        <v>2010</v>
      </c>
      <c r="H2047" s="312" t="s">
        <v>734</v>
      </c>
      <c r="I2047" s="308" t="str">
        <f t="shared" si="88"/>
        <v>Pesado de Mercadorias N3: Geral : Gasóleo : E5</v>
      </c>
      <c r="J2047" s="125"/>
      <c r="K2047" s="253">
        <v>2022</v>
      </c>
      <c r="L2047" s="234">
        <v>48050.469999999994</v>
      </c>
      <c r="M2047" s="85" t="s">
        <v>630</v>
      </c>
      <c r="N2047" s="128">
        <v>149057</v>
      </c>
      <c r="O2047" s="128">
        <f t="shared" si="89"/>
        <v>0</v>
      </c>
      <c r="P2047" s="89">
        <v>178</v>
      </c>
      <c r="Q2047" t="s">
        <v>1927</v>
      </c>
      <c r="R2047" s="214" t="s">
        <v>1869</v>
      </c>
      <c r="S2047" s="214" t="s">
        <v>1861</v>
      </c>
      <c r="T2047" t="s">
        <v>1935</v>
      </c>
      <c r="U2047" t="s">
        <v>1953</v>
      </c>
      <c r="V2047" t="s">
        <v>2813</v>
      </c>
    </row>
    <row r="2048" spans="1:22" ht="15.75" thickBot="1" x14ac:dyDescent="0.3">
      <c r="A2048" t="s">
        <v>4591</v>
      </c>
      <c r="B2048" t="s">
        <v>4591</v>
      </c>
      <c r="C2048" t="s">
        <v>4591</v>
      </c>
      <c r="D2048" s="238" t="s">
        <v>1920</v>
      </c>
      <c r="E2048" s="256" t="s">
        <v>2231</v>
      </c>
      <c r="F2048" t="s">
        <v>620</v>
      </c>
      <c r="G2048" s="89">
        <v>2010</v>
      </c>
      <c r="H2048" s="312" t="s">
        <v>734</v>
      </c>
      <c r="I2048" s="308" t="str">
        <f t="shared" si="88"/>
        <v>Pesado de Mercadorias N3: Geral : Gasóleo : E5</v>
      </c>
      <c r="J2048" s="125"/>
      <c r="K2048" s="253">
        <v>2022</v>
      </c>
      <c r="L2048" s="234">
        <v>25321.969999999994</v>
      </c>
      <c r="M2048" s="85" t="s">
        <v>630</v>
      </c>
      <c r="N2048" s="128">
        <v>70401</v>
      </c>
      <c r="O2048" s="128">
        <f t="shared" si="89"/>
        <v>0</v>
      </c>
      <c r="P2048" s="89">
        <v>179</v>
      </c>
      <c r="Q2048" t="s">
        <v>1927</v>
      </c>
      <c r="R2048" s="214" t="s">
        <v>1869</v>
      </c>
      <c r="S2048" s="214" t="s">
        <v>1861</v>
      </c>
      <c r="T2048" t="s">
        <v>1935</v>
      </c>
      <c r="U2048" t="s">
        <v>1953</v>
      </c>
      <c r="V2048" t="s">
        <v>2813</v>
      </c>
    </row>
    <row r="2049" spans="1:22" ht="15.75" thickBot="1" x14ac:dyDescent="0.3">
      <c r="A2049" t="s">
        <v>4591</v>
      </c>
      <c r="B2049" t="s">
        <v>4591</v>
      </c>
      <c r="C2049" t="s">
        <v>4591</v>
      </c>
      <c r="D2049" s="238" t="s">
        <v>1920</v>
      </c>
      <c r="E2049" s="256" t="s">
        <v>2231</v>
      </c>
      <c r="F2049" t="s">
        <v>620</v>
      </c>
      <c r="G2049" s="89">
        <v>2010</v>
      </c>
      <c r="H2049" s="312" t="s">
        <v>734</v>
      </c>
      <c r="I2049" s="308" t="str">
        <f t="shared" si="88"/>
        <v>Pesado de Mercadorias N3: Geral : Gasóleo : E5</v>
      </c>
      <c r="J2049" s="125"/>
      <c r="K2049" s="253">
        <v>2022</v>
      </c>
      <c r="L2049" s="234">
        <v>39843.760000000002</v>
      </c>
      <c r="M2049" s="85" t="s">
        <v>630</v>
      </c>
      <c r="N2049" s="128">
        <v>113483</v>
      </c>
      <c r="O2049" s="128">
        <f t="shared" si="89"/>
        <v>0</v>
      </c>
      <c r="P2049" s="89">
        <v>180</v>
      </c>
      <c r="Q2049" t="s">
        <v>1927</v>
      </c>
      <c r="R2049" s="214" t="s">
        <v>1869</v>
      </c>
      <c r="S2049" s="214" t="s">
        <v>1861</v>
      </c>
      <c r="T2049" t="s">
        <v>1935</v>
      </c>
      <c r="U2049" t="s">
        <v>1953</v>
      </c>
      <c r="V2049" t="s">
        <v>2813</v>
      </c>
    </row>
    <row r="2050" spans="1:22" ht="15.75" thickBot="1" x14ac:dyDescent="0.3">
      <c r="A2050" t="s">
        <v>4591</v>
      </c>
      <c r="B2050" t="s">
        <v>4591</v>
      </c>
      <c r="C2050" t="s">
        <v>4591</v>
      </c>
      <c r="D2050" s="238" t="s">
        <v>1920</v>
      </c>
      <c r="E2050" s="256" t="s">
        <v>2231</v>
      </c>
      <c r="F2050" t="s">
        <v>620</v>
      </c>
      <c r="G2050" s="89">
        <v>2010</v>
      </c>
      <c r="H2050" s="312" t="s">
        <v>734</v>
      </c>
      <c r="I2050" s="308" t="str">
        <f t="shared" si="88"/>
        <v>Pesado de Mercadorias N3: Geral : Gasóleo : E5</v>
      </c>
      <c r="J2050" s="125"/>
      <c r="K2050" s="253">
        <v>2022</v>
      </c>
      <c r="L2050" s="234">
        <v>16196.320000000002</v>
      </c>
      <c r="M2050" s="85" t="s">
        <v>630</v>
      </c>
      <c r="N2050" s="128">
        <v>35546</v>
      </c>
      <c r="O2050" s="128">
        <f t="shared" si="89"/>
        <v>0</v>
      </c>
      <c r="P2050" s="89">
        <v>181</v>
      </c>
      <c r="Q2050" t="s">
        <v>1927</v>
      </c>
      <c r="R2050" s="214" t="s">
        <v>1869</v>
      </c>
      <c r="S2050" s="214" t="s">
        <v>1861</v>
      </c>
      <c r="T2050" t="s">
        <v>1935</v>
      </c>
      <c r="U2050" t="s">
        <v>1953</v>
      </c>
      <c r="V2050" t="s">
        <v>2813</v>
      </c>
    </row>
    <row r="2051" spans="1:22" ht="15.75" thickBot="1" x14ac:dyDescent="0.3">
      <c r="A2051" t="s">
        <v>4591</v>
      </c>
      <c r="B2051" t="s">
        <v>4591</v>
      </c>
      <c r="C2051" t="s">
        <v>4591</v>
      </c>
      <c r="D2051" s="238" t="s">
        <v>1920</v>
      </c>
      <c r="E2051" s="256" t="s">
        <v>2231</v>
      </c>
      <c r="F2051" t="s">
        <v>620</v>
      </c>
      <c r="G2051" s="89">
        <v>2010</v>
      </c>
      <c r="H2051" s="312" t="s">
        <v>734</v>
      </c>
      <c r="I2051" s="308" t="str">
        <f t="shared" si="88"/>
        <v>Pesado de Mercadorias N3: Geral : Gasóleo : E5</v>
      </c>
      <c r="J2051" s="125"/>
      <c r="K2051" s="253">
        <v>2022</v>
      </c>
      <c r="L2051" s="234">
        <v>0</v>
      </c>
      <c r="M2051" s="85" t="s">
        <v>630</v>
      </c>
      <c r="N2051" s="128">
        <v>145</v>
      </c>
      <c r="O2051" s="128">
        <f t="shared" si="89"/>
        <v>0</v>
      </c>
      <c r="P2051" s="89">
        <v>182</v>
      </c>
      <c r="Q2051" t="s">
        <v>1927</v>
      </c>
      <c r="R2051" s="214" t="s">
        <v>3640</v>
      </c>
      <c r="S2051" s="214" t="s">
        <v>3105</v>
      </c>
      <c r="T2051" t="s">
        <v>1935</v>
      </c>
      <c r="U2051" t="s">
        <v>1953</v>
      </c>
      <c r="V2051" t="s">
        <v>2813</v>
      </c>
    </row>
    <row r="2052" spans="1:22" ht="15.75" thickBot="1" x14ac:dyDescent="0.3">
      <c r="A2052" t="s">
        <v>4591</v>
      </c>
      <c r="B2052" t="s">
        <v>4591</v>
      </c>
      <c r="C2052" t="s">
        <v>4591</v>
      </c>
      <c r="D2052" s="238" t="s">
        <v>1920</v>
      </c>
      <c r="E2052" s="256" t="s">
        <v>2231</v>
      </c>
      <c r="F2052" t="s">
        <v>620</v>
      </c>
      <c r="G2052" s="89">
        <v>2010</v>
      </c>
      <c r="H2052" s="312" t="s">
        <v>734</v>
      </c>
      <c r="I2052" s="308" t="str">
        <f t="shared" ref="I2052:I2115" si="90">D2052&amp;": "&amp;E2052&amp;" : "&amp;F2052&amp;" : "&amp;H2052</f>
        <v>Pesado de Mercadorias N3: Geral : Gasóleo : E5</v>
      </c>
      <c r="J2052" s="125"/>
      <c r="K2052" s="253">
        <v>2022</v>
      </c>
      <c r="L2052" s="234">
        <v>22709.809999999998</v>
      </c>
      <c r="M2052" s="85" t="s">
        <v>630</v>
      </c>
      <c r="N2052" s="128">
        <v>68555</v>
      </c>
      <c r="O2052" s="128">
        <f t="shared" ref="O2052:O2115" si="91">N2052*J2052</f>
        <v>0</v>
      </c>
      <c r="P2052" s="89">
        <v>183</v>
      </c>
      <c r="Q2052" t="s">
        <v>1927</v>
      </c>
      <c r="R2052" s="214" t="s">
        <v>1869</v>
      </c>
      <c r="S2052" s="214" t="s">
        <v>1861</v>
      </c>
      <c r="T2052" t="s">
        <v>1935</v>
      </c>
      <c r="U2052" t="s">
        <v>1953</v>
      </c>
      <c r="V2052" t="s">
        <v>2813</v>
      </c>
    </row>
    <row r="2053" spans="1:22" ht="15.75" thickBot="1" x14ac:dyDescent="0.3">
      <c r="A2053" t="s">
        <v>4591</v>
      </c>
      <c r="B2053" t="s">
        <v>4591</v>
      </c>
      <c r="C2053" t="s">
        <v>4591</v>
      </c>
      <c r="D2053" s="238" t="s">
        <v>1920</v>
      </c>
      <c r="E2053" s="256" t="s">
        <v>2231</v>
      </c>
      <c r="F2053" t="s">
        <v>620</v>
      </c>
      <c r="G2053" s="89">
        <v>2010</v>
      </c>
      <c r="H2053" s="312" t="s">
        <v>734</v>
      </c>
      <c r="I2053" s="308" t="str">
        <f t="shared" si="90"/>
        <v>Pesado de Mercadorias N3: Geral : Gasóleo : E5</v>
      </c>
      <c r="J2053" s="125"/>
      <c r="K2053" s="253">
        <v>2022</v>
      </c>
      <c r="L2053" s="234">
        <v>12713.720000000001</v>
      </c>
      <c r="M2053" s="85" t="s">
        <v>630</v>
      </c>
      <c r="N2053" s="128">
        <v>46859</v>
      </c>
      <c r="O2053" s="128">
        <f t="shared" si="91"/>
        <v>0</v>
      </c>
      <c r="P2053" s="89">
        <v>184</v>
      </c>
      <c r="Q2053" t="s">
        <v>1927</v>
      </c>
      <c r="R2053" s="214" t="s">
        <v>1869</v>
      </c>
      <c r="S2053" s="214" t="s">
        <v>1861</v>
      </c>
      <c r="T2053" t="s">
        <v>1935</v>
      </c>
      <c r="U2053" t="s">
        <v>1953</v>
      </c>
      <c r="V2053" t="s">
        <v>2813</v>
      </c>
    </row>
    <row r="2054" spans="1:22" ht="15.75" thickBot="1" x14ac:dyDescent="0.3">
      <c r="A2054" t="s">
        <v>4591</v>
      </c>
      <c r="B2054" t="s">
        <v>4591</v>
      </c>
      <c r="C2054" t="s">
        <v>4591</v>
      </c>
      <c r="D2054" s="238" t="s">
        <v>1920</v>
      </c>
      <c r="E2054" s="256" t="s">
        <v>2231</v>
      </c>
      <c r="F2054" t="s">
        <v>620</v>
      </c>
      <c r="G2054" s="89">
        <v>2010</v>
      </c>
      <c r="H2054" s="312" t="s">
        <v>734</v>
      </c>
      <c r="I2054" s="308" t="str">
        <f t="shared" si="90"/>
        <v>Pesado de Mercadorias N3: Geral : Gasóleo : E5</v>
      </c>
      <c r="J2054" s="125"/>
      <c r="K2054" s="253">
        <v>2022</v>
      </c>
      <c r="L2054" s="234">
        <v>15589.520000000002</v>
      </c>
      <c r="M2054" s="85" t="s">
        <v>630</v>
      </c>
      <c r="N2054" s="128">
        <v>52654</v>
      </c>
      <c r="O2054" s="128">
        <f t="shared" si="91"/>
        <v>0</v>
      </c>
      <c r="P2054" s="89">
        <v>185</v>
      </c>
      <c r="Q2054" t="s">
        <v>1927</v>
      </c>
      <c r="R2054" s="214" t="s">
        <v>1869</v>
      </c>
      <c r="S2054" s="214" t="s">
        <v>1861</v>
      </c>
      <c r="T2054" t="s">
        <v>1935</v>
      </c>
      <c r="U2054" t="s">
        <v>1953</v>
      </c>
      <c r="V2054" t="s">
        <v>2813</v>
      </c>
    </row>
    <row r="2055" spans="1:22" ht="15.75" thickBot="1" x14ac:dyDescent="0.3">
      <c r="A2055" t="s">
        <v>4591</v>
      </c>
      <c r="B2055" t="s">
        <v>4591</v>
      </c>
      <c r="C2055" t="s">
        <v>4591</v>
      </c>
      <c r="D2055" s="238" t="s">
        <v>1920</v>
      </c>
      <c r="E2055" s="256" t="s">
        <v>2231</v>
      </c>
      <c r="F2055" t="s">
        <v>620</v>
      </c>
      <c r="G2055" s="89">
        <v>2004</v>
      </c>
      <c r="H2055" s="312" t="s">
        <v>732</v>
      </c>
      <c r="I2055" s="308" t="str">
        <f t="shared" si="90"/>
        <v>Pesado de Mercadorias N3: Geral : Gasóleo : E3</v>
      </c>
      <c r="J2055" s="125"/>
      <c r="K2055" s="253">
        <v>2022</v>
      </c>
      <c r="L2055" s="234">
        <v>3321.55</v>
      </c>
      <c r="M2055" s="85" t="s">
        <v>630</v>
      </c>
      <c r="N2055" s="128">
        <v>7734</v>
      </c>
      <c r="O2055" s="128">
        <f t="shared" si="91"/>
        <v>0</v>
      </c>
      <c r="P2055" s="89">
        <v>186</v>
      </c>
      <c r="Q2055" t="s">
        <v>1927</v>
      </c>
      <c r="R2055" s="214" t="s">
        <v>1869</v>
      </c>
      <c r="S2055" s="214" t="s">
        <v>1861</v>
      </c>
      <c r="T2055" t="s">
        <v>1935</v>
      </c>
      <c r="U2055" t="s">
        <v>1953</v>
      </c>
      <c r="V2055" t="s">
        <v>2813</v>
      </c>
    </row>
    <row r="2056" spans="1:22" ht="15.75" thickBot="1" x14ac:dyDescent="0.3">
      <c r="A2056" t="s">
        <v>4591</v>
      </c>
      <c r="B2056" t="s">
        <v>4591</v>
      </c>
      <c r="C2056" t="s">
        <v>4591</v>
      </c>
      <c r="D2056" s="238" t="s">
        <v>1920</v>
      </c>
      <c r="E2056" s="256" t="s">
        <v>2231</v>
      </c>
      <c r="F2056" t="s">
        <v>620</v>
      </c>
      <c r="G2056" s="89">
        <v>2004</v>
      </c>
      <c r="H2056" s="312" t="s">
        <v>732</v>
      </c>
      <c r="I2056" s="308" t="str">
        <f t="shared" si="90"/>
        <v>Pesado de Mercadorias N3: Geral : Gasóleo : E3</v>
      </c>
      <c r="J2056" s="125"/>
      <c r="K2056" s="253">
        <v>2022</v>
      </c>
      <c r="L2056" s="234">
        <v>6341.130000000001</v>
      </c>
      <c r="M2056" s="85" t="s">
        <v>630</v>
      </c>
      <c r="N2056" s="128">
        <v>14592</v>
      </c>
      <c r="O2056" s="128">
        <f t="shared" si="91"/>
        <v>0</v>
      </c>
      <c r="P2056" s="89">
        <v>187</v>
      </c>
      <c r="Q2056" t="s">
        <v>1927</v>
      </c>
      <c r="R2056" s="214" t="s">
        <v>1869</v>
      </c>
      <c r="S2056" s="214" t="s">
        <v>1861</v>
      </c>
      <c r="T2056" t="s">
        <v>1935</v>
      </c>
      <c r="U2056" t="s">
        <v>1953</v>
      </c>
      <c r="V2056" t="s">
        <v>2813</v>
      </c>
    </row>
    <row r="2057" spans="1:22" ht="15.75" thickBot="1" x14ac:dyDescent="0.3">
      <c r="A2057" t="s">
        <v>4591</v>
      </c>
      <c r="B2057" t="s">
        <v>4591</v>
      </c>
      <c r="C2057" t="s">
        <v>4591</v>
      </c>
      <c r="D2057" s="238" t="s">
        <v>1920</v>
      </c>
      <c r="E2057" s="256" t="s">
        <v>2231</v>
      </c>
      <c r="F2057" t="s">
        <v>620</v>
      </c>
      <c r="G2057" s="89">
        <v>2005</v>
      </c>
      <c r="H2057" s="312" t="s">
        <v>731</v>
      </c>
      <c r="I2057" s="308" t="str">
        <f t="shared" si="90"/>
        <v>Pesado de Mercadorias N3: Geral : Gasóleo : E4</v>
      </c>
      <c r="J2057" s="125"/>
      <c r="K2057" s="253">
        <v>2022</v>
      </c>
      <c r="L2057" s="234">
        <v>15059.570000000003</v>
      </c>
      <c r="M2057" s="85" t="s">
        <v>630</v>
      </c>
      <c r="N2057" s="128">
        <v>28095</v>
      </c>
      <c r="O2057" s="128">
        <f t="shared" si="91"/>
        <v>0</v>
      </c>
      <c r="P2057" s="89">
        <v>189</v>
      </c>
      <c r="Q2057" t="s">
        <v>1927</v>
      </c>
      <c r="R2057" s="214" t="s">
        <v>1869</v>
      </c>
      <c r="S2057" s="214" t="s">
        <v>1861</v>
      </c>
      <c r="T2057" t="s">
        <v>1935</v>
      </c>
      <c r="U2057" t="s">
        <v>1953</v>
      </c>
      <c r="V2057" t="s">
        <v>2813</v>
      </c>
    </row>
    <row r="2058" spans="1:22" ht="15.75" thickBot="1" x14ac:dyDescent="0.3">
      <c r="A2058" t="s">
        <v>4591</v>
      </c>
      <c r="B2058" t="s">
        <v>4591</v>
      </c>
      <c r="C2058" t="s">
        <v>4591</v>
      </c>
      <c r="D2058" s="238" t="s">
        <v>1920</v>
      </c>
      <c r="E2058" s="256" t="s">
        <v>2231</v>
      </c>
      <c r="F2058" t="s">
        <v>620</v>
      </c>
      <c r="G2058" s="89">
        <v>2005</v>
      </c>
      <c r="H2058" s="312" t="s">
        <v>731</v>
      </c>
      <c r="I2058" s="308" t="str">
        <f t="shared" si="90"/>
        <v>Pesado de Mercadorias N3: Geral : Gasóleo : E4</v>
      </c>
      <c r="J2058" s="125"/>
      <c r="K2058" s="253">
        <v>2022</v>
      </c>
      <c r="L2058" s="234">
        <v>386</v>
      </c>
      <c r="M2058" s="85" t="s">
        <v>630</v>
      </c>
      <c r="N2058" s="128">
        <v>49</v>
      </c>
      <c r="O2058" s="128">
        <f t="shared" si="91"/>
        <v>0</v>
      </c>
      <c r="P2058" s="89">
        <v>190</v>
      </c>
      <c r="Q2058" t="s">
        <v>1927</v>
      </c>
      <c r="R2058" s="214" t="s">
        <v>1869</v>
      </c>
      <c r="S2058" s="214" t="s">
        <v>1861</v>
      </c>
      <c r="T2058" t="s">
        <v>1935</v>
      </c>
      <c r="U2058" t="s">
        <v>1953</v>
      </c>
      <c r="V2058" t="s">
        <v>2813</v>
      </c>
    </row>
    <row r="2059" spans="1:22" ht="15.75" thickBot="1" x14ac:dyDescent="0.3">
      <c r="A2059" t="s">
        <v>4591</v>
      </c>
      <c r="B2059" t="s">
        <v>4591</v>
      </c>
      <c r="C2059" t="s">
        <v>4591</v>
      </c>
      <c r="D2059" s="238" t="s">
        <v>1920</v>
      </c>
      <c r="E2059" s="256" t="s">
        <v>2231</v>
      </c>
      <c r="F2059" t="s">
        <v>620</v>
      </c>
      <c r="G2059" s="89">
        <v>2005</v>
      </c>
      <c r="H2059" s="312" t="s">
        <v>731</v>
      </c>
      <c r="I2059" s="308" t="str">
        <f t="shared" si="90"/>
        <v>Pesado de Mercadorias N3: Geral : Gasóleo : E4</v>
      </c>
      <c r="J2059" s="125"/>
      <c r="K2059" s="253">
        <v>2022</v>
      </c>
      <c r="L2059" s="234">
        <v>18601.559999999998</v>
      </c>
      <c r="M2059" s="85" t="s">
        <v>630</v>
      </c>
      <c r="N2059" s="128">
        <v>37460</v>
      </c>
      <c r="O2059" s="128">
        <f t="shared" si="91"/>
        <v>0</v>
      </c>
      <c r="P2059" s="89">
        <v>191</v>
      </c>
      <c r="Q2059" t="s">
        <v>1927</v>
      </c>
      <c r="R2059" s="214" t="s">
        <v>1869</v>
      </c>
      <c r="S2059" s="214" t="s">
        <v>1861</v>
      </c>
      <c r="T2059" t="s">
        <v>1935</v>
      </c>
      <c r="U2059" t="s">
        <v>1953</v>
      </c>
      <c r="V2059" t="s">
        <v>2813</v>
      </c>
    </row>
    <row r="2060" spans="1:22" ht="15.75" thickBot="1" x14ac:dyDescent="0.3">
      <c r="A2060" t="s">
        <v>4591</v>
      </c>
      <c r="B2060" t="s">
        <v>4591</v>
      </c>
      <c r="C2060" t="s">
        <v>4591</v>
      </c>
      <c r="D2060" s="238" t="s">
        <v>1920</v>
      </c>
      <c r="E2060" s="256" t="s">
        <v>2231</v>
      </c>
      <c r="F2060" t="s">
        <v>620</v>
      </c>
      <c r="G2060" s="89">
        <v>2003</v>
      </c>
      <c r="H2060" s="312" t="s">
        <v>732</v>
      </c>
      <c r="I2060" s="308" t="str">
        <f t="shared" si="90"/>
        <v>Pesado de Mercadorias N3: Geral : Gasóleo : E3</v>
      </c>
      <c r="J2060" s="125"/>
      <c r="K2060" s="253">
        <v>2022</v>
      </c>
      <c r="L2060" s="234">
        <v>19466.829999999998</v>
      </c>
      <c r="M2060" s="85" t="s">
        <v>630</v>
      </c>
      <c r="N2060" s="128">
        <v>39411</v>
      </c>
      <c r="O2060" s="128">
        <f t="shared" si="91"/>
        <v>0</v>
      </c>
      <c r="P2060" s="89">
        <v>194</v>
      </c>
      <c r="Q2060" t="s">
        <v>1927</v>
      </c>
      <c r="R2060" s="214" t="s">
        <v>1869</v>
      </c>
      <c r="S2060" s="214" t="s">
        <v>1861</v>
      </c>
      <c r="T2060" t="s">
        <v>1935</v>
      </c>
      <c r="U2060" t="s">
        <v>1953</v>
      </c>
      <c r="V2060" t="s">
        <v>2813</v>
      </c>
    </row>
    <row r="2061" spans="1:22" ht="15.75" thickBot="1" x14ac:dyDescent="0.3">
      <c r="A2061" t="s">
        <v>4591</v>
      </c>
      <c r="B2061" t="s">
        <v>4591</v>
      </c>
      <c r="C2061" t="s">
        <v>4591</v>
      </c>
      <c r="D2061" s="238" t="s">
        <v>1920</v>
      </c>
      <c r="E2061" s="256" t="s">
        <v>2231</v>
      </c>
      <c r="F2061" t="s">
        <v>620</v>
      </c>
      <c r="G2061" s="89">
        <v>2004</v>
      </c>
      <c r="H2061" s="312" t="s">
        <v>732</v>
      </c>
      <c r="I2061" s="308" t="str">
        <f t="shared" si="90"/>
        <v>Pesado de Mercadorias N3: Geral : Gasóleo : E3</v>
      </c>
      <c r="J2061" s="125"/>
      <c r="K2061" s="253">
        <v>2022</v>
      </c>
      <c r="L2061" s="234">
        <v>11177.440000000002</v>
      </c>
      <c r="M2061" s="85" t="s">
        <v>630</v>
      </c>
      <c r="N2061" s="128">
        <v>23408</v>
      </c>
      <c r="O2061" s="128">
        <f t="shared" si="91"/>
        <v>0</v>
      </c>
      <c r="P2061" s="89">
        <v>195</v>
      </c>
      <c r="Q2061" t="s">
        <v>1927</v>
      </c>
      <c r="R2061" s="214" t="s">
        <v>1869</v>
      </c>
      <c r="S2061" s="214" t="s">
        <v>1861</v>
      </c>
      <c r="T2061" t="s">
        <v>1935</v>
      </c>
      <c r="U2061" t="s">
        <v>1953</v>
      </c>
      <c r="V2061" t="s">
        <v>2813</v>
      </c>
    </row>
    <row r="2062" spans="1:22" ht="15.75" thickBot="1" x14ac:dyDescent="0.3">
      <c r="A2062" t="s">
        <v>4591</v>
      </c>
      <c r="B2062" t="s">
        <v>4591</v>
      </c>
      <c r="C2062" t="s">
        <v>4591</v>
      </c>
      <c r="D2062" s="238" t="s">
        <v>1920</v>
      </c>
      <c r="E2062" s="256" t="s">
        <v>2231</v>
      </c>
      <c r="F2062" t="s">
        <v>620</v>
      </c>
      <c r="G2062" s="89">
        <v>2004</v>
      </c>
      <c r="H2062" s="312" t="s">
        <v>732</v>
      </c>
      <c r="I2062" s="308" t="str">
        <f t="shared" si="90"/>
        <v>Pesado de Mercadorias N3: Geral : Gasóleo : E3</v>
      </c>
      <c r="J2062" s="125"/>
      <c r="K2062" s="253">
        <v>2022</v>
      </c>
      <c r="L2062" s="234">
        <v>10094.070000000002</v>
      </c>
      <c r="M2062" s="85" t="s">
        <v>630</v>
      </c>
      <c r="N2062" s="128">
        <v>22457</v>
      </c>
      <c r="O2062" s="128">
        <f t="shared" si="91"/>
        <v>0</v>
      </c>
      <c r="P2062" s="89">
        <v>196</v>
      </c>
      <c r="Q2062" t="s">
        <v>1927</v>
      </c>
      <c r="R2062" s="214" t="s">
        <v>1869</v>
      </c>
      <c r="S2062" s="214" t="s">
        <v>1861</v>
      </c>
      <c r="T2062" t="s">
        <v>1935</v>
      </c>
      <c r="U2062" t="s">
        <v>1953</v>
      </c>
      <c r="V2062" t="s">
        <v>2813</v>
      </c>
    </row>
    <row r="2063" spans="1:22" ht="15.75" thickBot="1" x14ac:dyDescent="0.3">
      <c r="A2063" t="s">
        <v>4591</v>
      </c>
      <c r="B2063" t="s">
        <v>4591</v>
      </c>
      <c r="C2063" t="s">
        <v>4591</v>
      </c>
      <c r="D2063" s="238" t="s">
        <v>1920</v>
      </c>
      <c r="E2063" s="256" t="s">
        <v>2231</v>
      </c>
      <c r="F2063" t="s">
        <v>620</v>
      </c>
      <c r="G2063" s="89">
        <v>2005</v>
      </c>
      <c r="H2063" s="312" t="s">
        <v>731</v>
      </c>
      <c r="I2063" s="308" t="str">
        <f t="shared" si="90"/>
        <v>Pesado de Mercadorias N3: Geral : Gasóleo : E4</v>
      </c>
      <c r="J2063" s="125"/>
      <c r="K2063" s="253">
        <v>2022</v>
      </c>
      <c r="L2063" s="234">
        <v>35128.439999999995</v>
      </c>
      <c r="M2063" s="85" t="s">
        <v>630</v>
      </c>
      <c r="N2063" s="128">
        <v>88660</v>
      </c>
      <c r="O2063" s="128">
        <f t="shared" si="91"/>
        <v>0</v>
      </c>
      <c r="P2063" s="89">
        <v>197</v>
      </c>
      <c r="Q2063" t="s">
        <v>1927</v>
      </c>
      <c r="R2063" s="214" t="s">
        <v>1869</v>
      </c>
      <c r="S2063" s="214" t="s">
        <v>1861</v>
      </c>
      <c r="T2063" t="s">
        <v>1935</v>
      </c>
      <c r="U2063" t="s">
        <v>1953</v>
      </c>
      <c r="V2063" t="s">
        <v>2813</v>
      </c>
    </row>
    <row r="2064" spans="1:22" ht="15.75" thickBot="1" x14ac:dyDescent="0.3">
      <c r="A2064" t="s">
        <v>4591</v>
      </c>
      <c r="B2064" t="s">
        <v>4591</v>
      </c>
      <c r="C2064" t="s">
        <v>4591</v>
      </c>
      <c r="D2064" s="238" t="s">
        <v>1920</v>
      </c>
      <c r="E2064" s="256" t="s">
        <v>2231</v>
      </c>
      <c r="F2064" t="s">
        <v>620</v>
      </c>
      <c r="G2064" s="89">
        <v>2005</v>
      </c>
      <c r="H2064" s="312" t="s">
        <v>731</v>
      </c>
      <c r="I2064" s="308" t="str">
        <f t="shared" si="90"/>
        <v>Pesado de Mercadorias N3: Geral : Gasóleo : E4</v>
      </c>
      <c r="J2064" s="125"/>
      <c r="K2064" s="253">
        <v>2022</v>
      </c>
      <c r="L2064" s="234">
        <v>22250.10999999999</v>
      </c>
      <c r="M2064" s="85" t="s">
        <v>630</v>
      </c>
      <c r="N2064" s="128">
        <v>52162</v>
      </c>
      <c r="O2064" s="128">
        <f t="shared" si="91"/>
        <v>0</v>
      </c>
      <c r="P2064" s="89">
        <v>199</v>
      </c>
      <c r="Q2064" t="s">
        <v>1927</v>
      </c>
      <c r="R2064" s="214" t="s">
        <v>1869</v>
      </c>
      <c r="S2064" s="214" t="s">
        <v>1861</v>
      </c>
      <c r="T2064" t="s">
        <v>1935</v>
      </c>
      <c r="U2064" t="s">
        <v>1953</v>
      </c>
      <c r="V2064" t="s">
        <v>2813</v>
      </c>
    </row>
    <row r="2065" spans="1:22" ht="15.75" thickBot="1" x14ac:dyDescent="0.3">
      <c r="A2065" t="s">
        <v>4591</v>
      </c>
      <c r="B2065" t="s">
        <v>4591</v>
      </c>
      <c r="C2065" t="s">
        <v>4591</v>
      </c>
      <c r="D2065" s="238" t="s">
        <v>1920</v>
      </c>
      <c r="E2065" s="256" t="s">
        <v>2231</v>
      </c>
      <c r="F2065" t="s">
        <v>620</v>
      </c>
      <c r="G2065" s="89">
        <v>2005</v>
      </c>
      <c r="H2065" s="312" t="s">
        <v>731</v>
      </c>
      <c r="I2065" s="308" t="str">
        <f t="shared" si="90"/>
        <v>Pesado de Mercadorias N3: Geral : Gasóleo : E4</v>
      </c>
      <c r="J2065" s="125"/>
      <c r="K2065" s="253">
        <v>2022</v>
      </c>
      <c r="L2065" s="234">
        <v>10434.420000000002</v>
      </c>
      <c r="M2065" s="85" t="s">
        <v>630</v>
      </c>
      <c r="N2065" s="128">
        <v>24573</v>
      </c>
      <c r="O2065" s="128">
        <f t="shared" si="91"/>
        <v>0</v>
      </c>
      <c r="P2065" s="89">
        <v>200</v>
      </c>
      <c r="Q2065" t="s">
        <v>1927</v>
      </c>
      <c r="R2065" s="214" t="s">
        <v>1869</v>
      </c>
      <c r="S2065" s="214" t="s">
        <v>1861</v>
      </c>
      <c r="T2065" t="s">
        <v>1935</v>
      </c>
      <c r="U2065" t="s">
        <v>1953</v>
      </c>
      <c r="V2065" t="s">
        <v>2813</v>
      </c>
    </row>
    <row r="2066" spans="1:22" ht="15.75" thickBot="1" x14ac:dyDescent="0.3">
      <c r="A2066" t="s">
        <v>4591</v>
      </c>
      <c r="B2066" t="s">
        <v>4591</v>
      </c>
      <c r="C2066" t="s">
        <v>4591</v>
      </c>
      <c r="D2066" s="238" t="s">
        <v>1920</v>
      </c>
      <c r="E2066" s="256" t="s">
        <v>2231</v>
      </c>
      <c r="F2066" t="s">
        <v>620</v>
      </c>
      <c r="G2066" s="89">
        <v>2006</v>
      </c>
      <c r="H2066" s="312" t="s">
        <v>731</v>
      </c>
      <c r="I2066" s="308" t="str">
        <f t="shared" si="90"/>
        <v>Pesado de Mercadorias N3: Geral : Gasóleo : E4</v>
      </c>
      <c r="J2066" s="125"/>
      <c r="K2066" s="253">
        <v>2022</v>
      </c>
      <c r="L2066" s="234">
        <v>6703.7200000000021</v>
      </c>
      <c r="M2066" s="85" t="s">
        <v>630</v>
      </c>
      <c r="N2066" s="128">
        <v>14637</v>
      </c>
      <c r="O2066" s="128">
        <f t="shared" si="91"/>
        <v>0</v>
      </c>
      <c r="P2066" s="89">
        <v>201</v>
      </c>
      <c r="Q2066" t="s">
        <v>1927</v>
      </c>
      <c r="R2066" s="214" t="s">
        <v>1869</v>
      </c>
      <c r="S2066" s="214" t="s">
        <v>1861</v>
      </c>
      <c r="T2066" t="s">
        <v>1935</v>
      </c>
      <c r="U2066" t="s">
        <v>1953</v>
      </c>
      <c r="V2066" t="s">
        <v>2813</v>
      </c>
    </row>
    <row r="2067" spans="1:22" ht="15.75" thickBot="1" x14ac:dyDescent="0.3">
      <c r="A2067" t="s">
        <v>4591</v>
      </c>
      <c r="B2067" t="s">
        <v>4591</v>
      </c>
      <c r="C2067" t="s">
        <v>4591</v>
      </c>
      <c r="D2067" s="238" t="s">
        <v>1920</v>
      </c>
      <c r="E2067" s="256" t="s">
        <v>2231</v>
      </c>
      <c r="F2067" t="s">
        <v>620</v>
      </c>
      <c r="G2067" s="89">
        <v>2010</v>
      </c>
      <c r="H2067" s="312" t="s">
        <v>734</v>
      </c>
      <c r="I2067" s="308" t="str">
        <f t="shared" si="90"/>
        <v>Pesado de Mercadorias N3: Geral : Gasóleo : E5</v>
      </c>
      <c r="J2067" s="125"/>
      <c r="K2067" s="253">
        <v>2022</v>
      </c>
      <c r="L2067" s="234">
        <v>25572.42</v>
      </c>
      <c r="M2067" s="85" t="s">
        <v>630</v>
      </c>
      <c r="N2067" s="128">
        <v>75587</v>
      </c>
      <c r="O2067" s="128">
        <f t="shared" si="91"/>
        <v>0</v>
      </c>
      <c r="P2067" s="89">
        <v>202</v>
      </c>
      <c r="Q2067" t="s">
        <v>1927</v>
      </c>
      <c r="R2067" s="214" t="s">
        <v>1869</v>
      </c>
      <c r="S2067" s="214" t="s">
        <v>1861</v>
      </c>
      <c r="T2067" t="s">
        <v>1935</v>
      </c>
      <c r="U2067" t="s">
        <v>1953</v>
      </c>
      <c r="V2067" t="s">
        <v>2813</v>
      </c>
    </row>
    <row r="2068" spans="1:22" ht="15.75" thickBot="1" x14ac:dyDescent="0.3">
      <c r="A2068" t="s">
        <v>4591</v>
      </c>
      <c r="B2068" t="s">
        <v>4591</v>
      </c>
      <c r="C2068" t="s">
        <v>4591</v>
      </c>
      <c r="D2068" s="238" t="s">
        <v>1920</v>
      </c>
      <c r="E2068" s="256" t="s">
        <v>2231</v>
      </c>
      <c r="F2068" t="s">
        <v>620</v>
      </c>
      <c r="G2068" s="89">
        <v>2000</v>
      </c>
      <c r="H2068" s="312" t="s">
        <v>732</v>
      </c>
      <c r="I2068" s="308" t="str">
        <f t="shared" si="90"/>
        <v>Pesado de Mercadorias N3: Geral : Gasóleo : E3</v>
      </c>
      <c r="J2068" s="125"/>
      <c r="K2068" s="253">
        <v>2022</v>
      </c>
      <c r="L2068" s="234">
        <v>2766.1699999999996</v>
      </c>
      <c r="M2068" s="85" t="s">
        <v>630</v>
      </c>
      <c r="N2068" s="128">
        <v>4752</v>
      </c>
      <c r="O2068" s="128">
        <f t="shared" si="91"/>
        <v>0</v>
      </c>
      <c r="P2068" s="89">
        <v>211</v>
      </c>
      <c r="Q2068" t="s">
        <v>1927</v>
      </c>
      <c r="R2068" s="214" t="s">
        <v>1869</v>
      </c>
      <c r="S2068" s="214" t="s">
        <v>1861</v>
      </c>
      <c r="T2068" t="s">
        <v>1935</v>
      </c>
      <c r="U2068" t="s">
        <v>1953</v>
      </c>
      <c r="V2068" t="s">
        <v>2813</v>
      </c>
    </row>
    <row r="2069" spans="1:22" ht="15.75" thickBot="1" x14ac:dyDescent="0.3">
      <c r="A2069" t="s">
        <v>4591</v>
      </c>
      <c r="B2069" t="s">
        <v>4591</v>
      </c>
      <c r="C2069" t="s">
        <v>4591</v>
      </c>
      <c r="D2069" s="238" t="s">
        <v>1920</v>
      </c>
      <c r="E2069" s="256" t="s">
        <v>2231</v>
      </c>
      <c r="F2069" t="s">
        <v>620</v>
      </c>
      <c r="G2069" s="89">
        <v>2012</v>
      </c>
      <c r="H2069" s="312" t="s">
        <v>734</v>
      </c>
      <c r="I2069" s="308" t="str">
        <f t="shared" si="90"/>
        <v>Pesado de Mercadorias N3: Geral : Gasóleo : E5</v>
      </c>
      <c r="J2069" s="125"/>
      <c r="K2069" s="253">
        <v>2022</v>
      </c>
      <c r="L2069" s="234">
        <v>28071.889999999996</v>
      </c>
      <c r="M2069" s="85" t="s">
        <v>630</v>
      </c>
      <c r="N2069" s="128">
        <v>75846</v>
      </c>
      <c r="O2069" s="128">
        <f t="shared" si="91"/>
        <v>0</v>
      </c>
      <c r="P2069" s="89">
        <v>212</v>
      </c>
      <c r="Q2069" t="s">
        <v>1927</v>
      </c>
      <c r="R2069" s="214" t="s">
        <v>1869</v>
      </c>
      <c r="S2069" s="214" t="s">
        <v>1861</v>
      </c>
      <c r="T2069" t="s">
        <v>1935</v>
      </c>
      <c r="U2069" t="s">
        <v>1953</v>
      </c>
      <c r="V2069" t="s">
        <v>2813</v>
      </c>
    </row>
    <row r="2070" spans="1:22" ht="15.75" thickBot="1" x14ac:dyDescent="0.3">
      <c r="A2070" t="s">
        <v>4591</v>
      </c>
      <c r="B2070" t="s">
        <v>4591</v>
      </c>
      <c r="C2070" t="s">
        <v>4591</v>
      </c>
      <c r="D2070" s="238" t="s">
        <v>1920</v>
      </c>
      <c r="E2070" s="256" t="s">
        <v>2231</v>
      </c>
      <c r="F2070" t="s">
        <v>620</v>
      </c>
      <c r="G2070" s="89">
        <v>2012</v>
      </c>
      <c r="H2070" s="312" t="s">
        <v>734</v>
      </c>
      <c r="I2070" s="308" t="str">
        <f t="shared" si="90"/>
        <v>Pesado de Mercadorias N3: Geral : Gasóleo : E5</v>
      </c>
      <c r="J2070" s="125"/>
      <c r="K2070" s="253">
        <v>2022</v>
      </c>
      <c r="L2070" s="234">
        <v>23401.010000000002</v>
      </c>
      <c r="M2070" s="85" t="s">
        <v>630</v>
      </c>
      <c r="N2070" s="128">
        <v>63458</v>
      </c>
      <c r="O2070" s="128">
        <f t="shared" si="91"/>
        <v>0</v>
      </c>
      <c r="P2070" s="89">
        <v>213</v>
      </c>
      <c r="Q2070" t="s">
        <v>1927</v>
      </c>
      <c r="R2070" s="214" t="s">
        <v>1869</v>
      </c>
      <c r="S2070" s="214" t="s">
        <v>1861</v>
      </c>
      <c r="T2070" t="s">
        <v>1935</v>
      </c>
      <c r="U2070" t="s">
        <v>1953</v>
      </c>
      <c r="V2070" t="s">
        <v>2813</v>
      </c>
    </row>
    <row r="2071" spans="1:22" ht="15.75" thickBot="1" x14ac:dyDescent="0.3">
      <c r="A2071" t="s">
        <v>4591</v>
      </c>
      <c r="B2071" t="s">
        <v>4591</v>
      </c>
      <c r="C2071" t="s">
        <v>4591</v>
      </c>
      <c r="D2071" s="238" t="s">
        <v>1920</v>
      </c>
      <c r="E2071" s="256" t="s">
        <v>2231</v>
      </c>
      <c r="F2071" t="s">
        <v>620</v>
      </c>
      <c r="G2071" s="89">
        <v>2012</v>
      </c>
      <c r="H2071" s="312" t="s">
        <v>734</v>
      </c>
      <c r="I2071" s="308" t="str">
        <f t="shared" si="90"/>
        <v>Pesado de Mercadorias N3: Geral : Gasóleo : E5</v>
      </c>
      <c r="J2071" s="125"/>
      <c r="K2071" s="253">
        <v>2022</v>
      </c>
      <c r="L2071" s="234">
        <v>18874.61</v>
      </c>
      <c r="M2071" s="85" t="s">
        <v>630</v>
      </c>
      <c r="N2071" s="128">
        <v>49181</v>
      </c>
      <c r="O2071" s="128">
        <f t="shared" si="91"/>
        <v>0</v>
      </c>
      <c r="P2071" s="89">
        <v>214</v>
      </c>
      <c r="Q2071" t="s">
        <v>1927</v>
      </c>
      <c r="R2071" s="214" t="s">
        <v>1869</v>
      </c>
      <c r="S2071" s="214" t="s">
        <v>1861</v>
      </c>
      <c r="T2071" t="s">
        <v>1935</v>
      </c>
      <c r="U2071" t="s">
        <v>1953</v>
      </c>
      <c r="V2071" t="s">
        <v>2813</v>
      </c>
    </row>
    <row r="2072" spans="1:22" ht="15.75" thickBot="1" x14ac:dyDescent="0.3">
      <c r="A2072" t="s">
        <v>4591</v>
      </c>
      <c r="B2072" t="s">
        <v>4591</v>
      </c>
      <c r="C2072" t="s">
        <v>4591</v>
      </c>
      <c r="D2072" s="238" t="s">
        <v>1920</v>
      </c>
      <c r="E2072" s="256" t="s">
        <v>2231</v>
      </c>
      <c r="F2072" t="s">
        <v>620</v>
      </c>
      <c r="G2072" s="89">
        <v>2012</v>
      </c>
      <c r="H2072" s="312" t="s">
        <v>734</v>
      </c>
      <c r="I2072" s="308" t="str">
        <f t="shared" si="90"/>
        <v>Pesado de Mercadorias N3: Geral : Gasóleo : E5</v>
      </c>
      <c r="J2072" s="125"/>
      <c r="K2072" s="253">
        <v>2022</v>
      </c>
      <c r="L2072" s="234">
        <v>24507.42</v>
      </c>
      <c r="M2072" s="85" t="s">
        <v>630</v>
      </c>
      <c r="N2072" s="128">
        <v>70750</v>
      </c>
      <c r="O2072" s="128">
        <f t="shared" si="91"/>
        <v>0</v>
      </c>
      <c r="P2072" s="89">
        <v>215</v>
      </c>
      <c r="Q2072" t="s">
        <v>1927</v>
      </c>
      <c r="R2072" s="214" t="s">
        <v>1869</v>
      </c>
      <c r="S2072" s="214" t="s">
        <v>1861</v>
      </c>
      <c r="T2072" t="s">
        <v>1935</v>
      </c>
      <c r="U2072" t="s">
        <v>1953</v>
      </c>
      <c r="V2072" t="s">
        <v>2813</v>
      </c>
    </row>
    <row r="2073" spans="1:22" ht="15.75" thickBot="1" x14ac:dyDescent="0.3">
      <c r="A2073" t="s">
        <v>4591</v>
      </c>
      <c r="B2073" t="s">
        <v>4591</v>
      </c>
      <c r="C2073" t="s">
        <v>4591</v>
      </c>
      <c r="D2073" s="238" t="s">
        <v>1920</v>
      </c>
      <c r="E2073" s="256" t="s">
        <v>2231</v>
      </c>
      <c r="F2073" t="s">
        <v>620</v>
      </c>
      <c r="G2073" s="89">
        <v>2010</v>
      </c>
      <c r="H2073" s="312" t="s">
        <v>734</v>
      </c>
      <c r="I2073" s="308" t="str">
        <f t="shared" si="90"/>
        <v>Pesado de Mercadorias N3: Geral : Gasóleo : E5</v>
      </c>
      <c r="J2073" s="125"/>
      <c r="K2073" s="253">
        <v>2022</v>
      </c>
      <c r="L2073" s="234">
        <v>21307.24</v>
      </c>
      <c r="M2073" s="85" t="s">
        <v>630</v>
      </c>
      <c r="N2073" s="128">
        <v>64502</v>
      </c>
      <c r="O2073" s="128">
        <f t="shared" si="91"/>
        <v>0</v>
      </c>
      <c r="P2073" s="89">
        <v>239</v>
      </c>
      <c r="Q2073" t="s">
        <v>1927</v>
      </c>
      <c r="R2073" s="214" t="s">
        <v>1869</v>
      </c>
      <c r="S2073" s="214" t="s">
        <v>1861</v>
      </c>
      <c r="T2073" t="s">
        <v>1935</v>
      </c>
      <c r="U2073" t="s">
        <v>1953</v>
      </c>
      <c r="V2073" t="s">
        <v>2813</v>
      </c>
    </row>
    <row r="2074" spans="1:22" ht="15.75" thickBot="1" x14ac:dyDescent="0.3">
      <c r="A2074" t="s">
        <v>4591</v>
      </c>
      <c r="B2074" t="s">
        <v>4591</v>
      </c>
      <c r="C2074" t="s">
        <v>4591</v>
      </c>
      <c r="D2074" s="238" t="s">
        <v>1920</v>
      </c>
      <c r="E2074" s="256" t="s">
        <v>2231</v>
      </c>
      <c r="F2074" t="s">
        <v>620</v>
      </c>
      <c r="G2074" s="89">
        <v>2010</v>
      </c>
      <c r="H2074" s="312" t="s">
        <v>734</v>
      </c>
      <c r="I2074" s="308" t="str">
        <f t="shared" si="90"/>
        <v>Pesado de Mercadorias N3: Geral : Gasóleo : E5</v>
      </c>
      <c r="J2074" s="125"/>
      <c r="K2074" s="253">
        <v>2022</v>
      </c>
      <c r="L2074" s="234">
        <v>26939.739999999998</v>
      </c>
      <c r="M2074" s="85" t="s">
        <v>630</v>
      </c>
      <c r="N2074" s="128">
        <v>75167</v>
      </c>
      <c r="O2074" s="128">
        <f t="shared" si="91"/>
        <v>0</v>
      </c>
      <c r="P2074" s="89">
        <v>241</v>
      </c>
      <c r="Q2074" t="s">
        <v>1927</v>
      </c>
      <c r="R2074" s="214" t="s">
        <v>1869</v>
      </c>
      <c r="S2074" s="214" t="s">
        <v>1861</v>
      </c>
      <c r="T2074" t="s">
        <v>1935</v>
      </c>
      <c r="U2074" t="s">
        <v>1953</v>
      </c>
      <c r="V2074" t="s">
        <v>2813</v>
      </c>
    </row>
    <row r="2075" spans="1:22" ht="15.75" thickBot="1" x14ac:dyDescent="0.3">
      <c r="A2075" t="s">
        <v>4591</v>
      </c>
      <c r="B2075" t="s">
        <v>4591</v>
      </c>
      <c r="C2075" t="s">
        <v>4591</v>
      </c>
      <c r="D2075" s="238" t="s">
        <v>1920</v>
      </c>
      <c r="E2075" s="256" t="s">
        <v>2231</v>
      </c>
      <c r="F2075" t="s">
        <v>620</v>
      </c>
      <c r="G2075" s="89">
        <v>2009</v>
      </c>
      <c r="H2075" s="312" t="s">
        <v>734</v>
      </c>
      <c r="I2075" s="308" t="str">
        <f t="shared" si="90"/>
        <v>Pesado de Mercadorias N3: Geral : Gasóleo : E5</v>
      </c>
      <c r="J2075" s="125"/>
      <c r="K2075" s="253">
        <v>2022</v>
      </c>
      <c r="L2075" s="234">
        <v>23250.200000000008</v>
      </c>
      <c r="M2075" s="85" t="s">
        <v>630</v>
      </c>
      <c r="N2075" s="128">
        <v>73799</v>
      </c>
      <c r="O2075" s="128">
        <f t="shared" si="91"/>
        <v>0</v>
      </c>
      <c r="P2075" s="89">
        <v>244</v>
      </c>
      <c r="Q2075" t="s">
        <v>1927</v>
      </c>
      <c r="R2075" s="214" t="s">
        <v>1869</v>
      </c>
      <c r="S2075" s="214" t="s">
        <v>1861</v>
      </c>
      <c r="T2075" t="s">
        <v>1935</v>
      </c>
      <c r="U2075" t="s">
        <v>1953</v>
      </c>
      <c r="V2075" t="s">
        <v>2813</v>
      </c>
    </row>
    <row r="2076" spans="1:22" ht="15.75" thickBot="1" x14ac:dyDescent="0.3">
      <c r="A2076" t="s">
        <v>4591</v>
      </c>
      <c r="B2076" t="s">
        <v>4591</v>
      </c>
      <c r="C2076" t="s">
        <v>4591</v>
      </c>
      <c r="D2076" s="238" t="s">
        <v>1920</v>
      </c>
      <c r="E2076" s="256" t="s">
        <v>2231</v>
      </c>
      <c r="F2076" t="s">
        <v>620</v>
      </c>
      <c r="G2076" s="89">
        <v>2009</v>
      </c>
      <c r="H2076" s="312" t="s">
        <v>734</v>
      </c>
      <c r="I2076" s="308" t="str">
        <f t="shared" si="90"/>
        <v>Pesado de Mercadorias N3: Geral : Gasóleo : E5</v>
      </c>
      <c r="J2076" s="125"/>
      <c r="K2076" s="253">
        <v>2022</v>
      </c>
      <c r="L2076" s="234">
        <v>59920.849999999977</v>
      </c>
      <c r="M2076" s="85" t="s">
        <v>630</v>
      </c>
      <c r="N2076" s="128">
        <v>181171</v>
      </c>
      <c r="O2076" s="128">
        <f t="shared" si="91"/>
        <v>0</v>
      </c>
      <c r="P2076" s="89">
        <v>245</v>
      </c>
      <c r="Q2076" t="s">
        <v>1927</v>
      </c>
      <c r="R2076" s="214" t="s">
        <v>1869</v>
      </c>
      <c r="S2076" s="214" t="s">
        <v>1861</v>
      </c>
      <c r="T2076" t="s">
        <v>1935</v>
      </c>
      <c r="U2076" t="s">
        <v>1953</v>
      </c>
      <c r="V2076" t="s">
        <v>2813</v>
      </c>
    </row>
    <row r="2077" spans="1:22" ht="15.75" thickBot="1" x14ac:dyDescent="0.3">
      <c r="A2077" t="s">
        <v>4591</v>
      </c>
      <c r="B2077" t="s">
        <v>4591</v>
      </c>
      <c r="C2077" t="s">
        <v>4591</v>
      </c>
      <c r="D2077" s="238" t="s">
        <v>1920</v>
      </c>
      <c r="E2077" s="256" t="s">
        <v>2231</v>
      </c>
      <c r="F2077" t="s">
        <v>620</v>
      </c>
      <c r="G2077" s="89">
        <v>2015</v>
      </c>
      <c r="H2077" s="312" t="s">
        <v>733</v>
      </c>
      <c r="I2077" s="308" t="str">
        <f t="shared" si="90"/>
        <v>Pesado de Mercadorias N3: Geral : Gasóleo : E6</v>
      </c>
      <c r="J2077" s="125"/>
      <c r="K2077" s="253">
        <v>2022</v>
      </c>
      <c r="L2077" s="234">
        <v>46344.859999999993</v>
      </c>
      <c r="M2077" s="85" t="s">
        <v>630</v>
      </c>
      <c r="N2077" s="128">
        <v>132449</v>
      </c>
      <c r="O2077" s="128">
        <f t="shared" si="91"/>
        <v>0</v>
      </c>
      <c r="P2077" s="89">
        <v>250</v>
      </c>
      <c r="Q2077" t="s">
        <v>1927</v>
      </c>
      <c r="R2077" s="214" t="s">
        <v>1869</v>
      </c>
      <c r="S2077" s="214" t="s">
        <v>1861</v>
      </c>
      <c r="T2077" t="s">
        <v>1935</v>
      </c>
      <c r="U2077" t="s">
        <v>1953</v>
      </c>
      <c r="V2077" t="s">
        <v>2813</v>
      </c>
    </row>
    <row r="2078" spans="1:22" ht="15.75" thickBot="1" x14ac:dyDescent="0.3">
      <c r="A2078" t="s">
        <v>4591</v>
      </c>
      <c r="B2078" t="s">
        <v>4591</v>
      </c>
      <c r="C2078" t="s">
        <v>4591</v>
      </c>
      <c r="D2078" s="238" t="s">
        <v>1920</v>
      </c>
      <c r="E2078" s="256" t="s">
        <v>2231</v>
      </c>
      <c r="F2078" t="s">
        <v>620</v>
      </c>
      <c r="G2078" s="89">
        <v>2015</v>
      </c>
      <c r="H2078" s="312" t="s">
        <v>733</v>
      </c>
      <c r="I2078" s="308" t="str">
        <f t="shared" si="90"/>
        <v>Pesado de Mercadorias N3: Geral : Gasóleo : E6</v>
      </c>
      <c r="J2078" s="125"/>
      <c r="K2078" s="253">
        <v>2022</v>
      </c>
      <c r="L2078" s="234">
        <v>57507.210000000006</v>
      </c>
      <c r="M2078" s="85" t="s">
        <v>630</v>
      </c>
      <c r="N2078" s="128">
        <v>157198</v>
      </c>
      <c r="O2078" s="128">
        <f t="shared" si="91"/>
        <v>0</v>
      </c>
      <c r="P2078" s="89">
        <v>251</v>
      </c>
      <c r="Q2078" t="s">
        <v>1927</v>
      </c>
      <c r="R2078" s="214" t="s">
        <v>1869</v>
      </c>
      <c r="S2078" s="214" t="s">
        <v>1861</v>
      </c>
      <c r="T2078" t="s">
        <v>1935</v>
      </c>
      <c r="U2078" t="s">
        <v>1953</v>
      </c>
      <c r="V2078" t="s">
        <v>2813</v>
      </c>
    </row>
    <row r="2079" spans="1:22" ht="15.75" thickBot="1" x14ac:dyDescent="0.3">
      <c r="A2079" t="s">
        <v>4591</v>
      </c>
      <c r="B2079" t="s">
        <v>4591</v>
      </c>
      <c r="C2079" t="s">
        <v>4591</v>
      </c>
      <c r="D2079" s="238" t="s">
        <v>1920</v>
      </c>
      <c r="E2079" s="256" t="s">
        <v>2231</v>
      </c>
      <c r="F2079" t="s">
        <v>620</v>
      </c>
      <c r="G2079" s="89">
        <v>2015</v>
      </c>
      <c r="H2079" s="312" t="s">
        <v>733</v>
      </c>
      <c r="I2079" s="308" t="str">
        <f t="shared" si="90"/>
        <v>Pesado de Mercadorias N3: Geral : Gasóleo : E6</v>
      </c>
      <c r="J2079" s="125"/>
      <c r="K2079" s="253">
        <v>2022</v>
      </c>
      <c r="L2079" s="234">
        <v>37880.929999999986</v>
      </c>
      <c r="M2079" s="85" t="s">
        <v>630</v>
      </c>
      <c r="N2079" s="128">
        <v>106537</v>
      </c>
      <c r="O2079" s="128">
        <f t="shared" si="91"/>
        <v>0</v>
      </c>
      <c r="P2079" s="89">
        <v>252</v>
      </c>
      <c r="Q2079" t="s">
        <v>1927</v>
      </c>
      <c r="R2079" s="214" t="s">
        <v>1869</v>
      </c>
      <c r="S2079" s="214" t="s">
        <v>1861</v>
      </c>
      <c r="T2079" t="s">
        <v>1935</v>
      </c>
      <c r="U2079" t="s">
        <v>1953</v>
      </c>
      <c r="V2079" t="s">
        <v>2813</v>
      </c>
    </row>
    <row r="2080" spans="1:22" ht="15.75" thickBot="1" x14ac:dyDescent="0.3">
      <c r="A2080" t="s">
        <v>4591</v>
      </c>
      <c r="B2080" t="s">
        <v>4591</v>
      </c>
      <c r="C2080" t="s">
        <v>4591</v>
      </c>
      <c r="D2080" s="238" t="s">
        <v>1920</v>
      </c>
      <c r="E2080" s="256" t="s">
        <v>2231</v>
      </c>
      <c r="F2080" t="s">
        <v>620</v>
      </c>
      <c r="G2080" s="89">
        <v>2015</v>
      </c>
      <c r="H2080" s="312" t="s">
        <v>733</v>
      </c>
      <c r="I2080" s="308" t="str">
        <f t="shared" si="90"/>
        <v>Pesado de Mercadorias N3: Geral : Gasóleo : E6</v>
      </c>
      <c r="J2080" s="125"/>
      <c r="K2080" s="253">
        <v>2022</v>
      </c>
      <c r="L2080" s="234">
        <v>42515.839999999997</v>
      </c>
      <c r="M2080" s="85" t="s">
        <v>630</v>
      </c>
      <c r="N2080" s="128">
        <v>111470</v>
      </c>
      <c r="O2080" s="128">
        <f t="shared" si="91"/>
        <v>0</v>
      </c>
      <c r="P2080" s="89">
        <v>253</v>
      </c>
      <c r="Q2080" t="s">
        <v>1927</v>
      </c>
      <c r="R2080" s="214" t="s">
        <v>1869</v>
      </c>
      <c r="S2080" s="214" t="s">
        <v>1861</v>
      </c>
      <c r="T2080" t="s">
        <v>1935</v>
      </c>
      <c r="U2080" t="s">
        <v>1953</v>
      </c>
      <c r="V2080" t="s">
        <v>2813</v>
      </c>
    </row>
    <row r="2081" spans="1:22" ht="15.75" thickBot="1" x14ac:dyDescent="0.3">
      <c r="A2081" t="s">
        <v>4591</v>
      </c>
      <c r="B2081" t="s">
        <v>4591</v>
      </c>
      <c r="C2081" t="s">
        <v>4591</v>
      </c>
      <c r="D2081" s="238" t="s">
        <v>1920</v>
      </c>
      <c r="E2081" s="256" t="s">
        <v>2231</v>
      </c>
      <c r="F2081" t="s">
        <v>620</v>
      </c>
      <c r="G2081" s="89">
        <v>2015</v>
      </c>
      <c r="H2081" s="312" t="s">
        <v>733</v>
      </c>
      <c r="I2081" s="308" t="str">
        <f t="shared" si="90"/>
        <v>Pesado de Mercadorias N3: Geral : Gasóleo : E6</v>
      </c>
      <c r="J2081" s="125"/>
      <c r="K2081" s="253">
        <v>2022</v>
      </c>
      <c r="L2081" s="234">
        <v>43728.989999999976</v>
      </c>
      <c r="M2081" s="85" t="s">
        <v>630</v>
      </c>
      <c r="N2081" s="128">
        <v>137039</v>
      </c>
      <c r="O2081" s="128">
        <f t="shared" si="91"/>
        <v>0</v>
      </c>
      <c r="P2081" s="89">
        <v>254</v>
      </c>
      <c r="Q2081" t="s">
        <v>1927</v>
      </c>
      <c r="R2081" s="214" t="s">
        <v>1869</v>
      </c>
      <c r="S2081" s="214" t="s">
        <v>1861</v>
      </c>
      <c r="T2081" t="s">
        <v>1935</v>
      </c>
      <c r="U2081" t="s">
        <v>1953</v>
      </c>
      <c r="V2081" t="s">
        <v>2813</v>
      </c>
    </row>
    <row r="2082" spans="1:22" ht="15.75" thickBot="1" x14ac:dyDescent="0.3">
      <c r="A2082" t="s">
        <v>4591</v>
      </c>
      <c r="B2082" t="s">
        <v>4591</v>
      </c>
      <c r="C2082" t="s">
        <v>4591</v>
      </c>
      <c r="D2082" s="238" t="s">
        <v>1920</v>
      </c>
      <c r="E2082" s="256" t="s">
        <v>2231</v>
      </c>
      <c r="F2082" t="s">
        <v>620</v>
      </c>
      <c r="G2082" s="89">
        <v>2015</v>
      </c>
      <c r="H2082" s="312" t="s">
        <v>733</v>
      </c>
      <c r="I2082" s="308" t="str">
        <f t="shared" si="90"/>
        <v>Pesado de Mercadorias N3: Geral : Gasóleo : E6</v>
      </c>
      <c r="J2082" s="125"/>
      <c r="K2082" s="253">
        <v>2022</v>
      </c>
      <c r="L2082" s="234">
        <v>39094.279999999992</v>
      </c>
      <c r="M2082" s="85" t="s">
        <v>630</v>
      </c>
      <c r="N2082" s="128">
        <v>118830</v>
      </c>
      <c r="O2082" s="128">
        <f t="shared" si="91"/>
        <v>0</v>
      </c>
      <c r="P2082" s="89">
        <v>255</v>
      </c>
      <c r="Q2082" t="s">
        <v>1927</v>
      </c>
      <c r="R2082" s="214" t="s">
        <v>1869</v>
      </c>
      <c r="S2082" s="214" t="s">
        <v>1861</v>
      </c>
      <c r="T2082" t="s">
        <v>1935</v>
      </c>
      <c r="U2082" t="s">
        <v>1953</v>
      </c>
      <c r="V2082" t="s">
        <v>2813</v>
      </c>
    </row>
    <row r="2083" spans="1:22" ht="15.75" thickBot="1" x14ac:dyDescent="0.3">
      <c r="A2083" t="s">
        <v>4591</v>
      </c>
      <c r="B2083" t="s">
        <v>4591</v>
      </c>
      <c r="C2083" t="s">
        <v>4591</v>
      </c>
      <c r="D2083" s="238" t="s">
        <v>1920</v>
      </c>
      <c r="E2083" s="256" t="s">
        <v>2231</v>
      </c>
      <c r="F2083" t="s">
        <v>620</v>
      </c>
      <c r="G2083" s="89">
        <v>2015</v>
      </c>
      <c r="H2083" s="312" t="s">
        <v>733</v>
      </c>
      <c r="I2083" s="308" t="str">
        <f t="shared" si="90"/>
        <v>Pesado de Mercadorias N3: Geral : Gasóleo : E6</v>
      </c>
      <c r="J2083" s="125"/>
      <c r="K2083" s="253">
        <v>2022</v>
      </c>
      <c r="L2083" s="234">
        <v>44874.049999999996</v>
      </c>
      <c r="M2083" s="85" t="s">
        <v>630</v>
      </c>
      <c r="N2083" s="128">
        <v>122774</v>
      </c>
      <c r="O2083" s="128">
        <f t="shared" si="91"/>
        <v>0</v>
      </c>
      <c r="P2083" s="89">
        <v>256</v>
      </c>
      <c r="Q2083" t="s">
        <v>1927</v>
      </c>
      <c r="R2083" s="214" t="s">
        <v>1869</v>
      </c>
      <c r="S2083" s="214" t="s">
        <v>1861</v>
      </c>
      <c r="T2083" t="s">
        <v>1935</v>
      </c>
      <c r="U2083" t="s">
        <v>1953</v>
      </c>
      <c r="V2083" t="s">
        <v>2813</v>
      </c>
    </row>
    <row r="2084" spans="1:22" ht="15.75" thickBot="1" x14ac:dyDescent="0.3">
      <c r="A2084" t="s">
        <v>4591</v>
      </c>
      <c r="B2084" t="s">
        <v>4591</v>
      </c>
      <c r="C2084" t="s">
        <v>4591</v>
      </c>
      <c r="D2084" s="238" t="s">
        <v>1920</v>
      </c>
      <c r="E2084" s="256" t="s">
        <v>2231</v>
      </c>
      <c r="F2084" t="s">
        <v>620</v>
      </c>
      <c r="G2084" s="89">
        <v>2015</v>
      </c>
      <c r="H2084" s="312" t="s">
        <v>733</v>
      </c>
      <c r="I2084" s="308" t="str">
        <f t="shared" si="90"/>
        <v>Pesado de Mercadorias N3: Geral : Gasóleo : E6</v>
      </c>
      <c r="J2084" s="125"/>
      <c r="K2084" s="253">
        <v>2022</v>
      </c>
      <c r="L2084" s="234">
        <v>35902.129999999997</v>
      </c>
      <c r="M2084" s="85" t="s">
        <v>630</v>
      </c>
      <c r="N2084" s="128">
        <v>99142</v>
      </c>
      <c r="O2084" s="128">
        <f t="shared" si="91"/>
        <v>0</v>
      </c>
      <c r="P2084" s="89">
        <v>257</v>
      </c>
      <c r="Q2084" t="s">
        <v>1927</v>
      </c>
      <c r="R2084" s="214" t="s">
        <v>1869</v>
      </c>
      <c r="S2084" s="214" t="s">
        <v>1861</v>
      </c>
      <c r="T2084" t="s">
        <v>1935</v>
      </c>
      <c r="U2084" t="s">
        <v>1953</v>
      </c>
      <c r="V2084" t="s">
        <v>2813</v>
      </c>
    </row>
    <row r="2085" spans="1:22" ht="15.75" thickBot="1" x14ac:dyDescent="0.3">
      <c r="A2085" t="s">
        <v>4591</v>
      </c>
      <c r="B2085" t="s">
        <v>4591</v>
      </c>
      <c r="C2085" t="s">
        <v>4591</v>
      </c>
      <c r="D2085" s="238" t="s">
        <v>1920</v>
      </c>
      <c r="E2085" s="256" t="s">
        <v>2231</v>
      </c>
      <c r="F2085" t="s">
        <v>620</v>
      </c>
      <c r="G2085" s="89">
        <v>2015</v>
      </c>
      <c r="H2085" s="312" t="s">
        <v>733</v>
      </c>
      <c r="I2085" s="308" t="str">
        <f t="shared" si="90"/>
        <v>Pesado de Mercadorias N3: Geral : Gasóleo : E6</v>
      </c>
      <c r="J2085" s="125"/>
      <c r="K2085" s="253">
        <v>2022</v>
      </c>
      <c r="L2085" s="234">
        <v>48730.979999999996</v>
      </c>
      <c r="M2085" s="85" t="s">
        <v>630</v>
      </c>
      <c r="N2085" s="128">
        <v>130461</v>
      </c>
      <c r="O2085" s="128">
        <f t="shared" si="91"/>
        <v>0</v>
      </c>
      <c r="P2085" s="89">
        <v>258</v>
      </c>
      <c r="Q2085" t="s">
        <v>1927</v>
      </c>
      <c r="R2085" s="214" t="s">
        <v>1869</v>
      </c>
      <c r="S2085" s="214" t="s">
        <v>1861</v>
      </c>
      <c r="T2085" t="s">
        <v>1935</v>
      </c>
      <c r="U2085" t="s">
        <v>1953</v>
      </c>
      <c r="V2085" t="s">
        <v>2813</v>
      </c>
    </row>
    <row r="2086" spans="1:22" ht="15.75" thickBot="1" x14ac:dyDescent="0.3">
      <c r="A2086" t="s">
        <v>4591</v>
      </c>
      <c r="B2086" t="s">
        <v>4591</v>
      </c>
      <c r="C2086" t="s">
        <v>4591</v>
      </c>
      <c r="D2086" s="238" t="s">
        <v>1920</v>
      </c>
      <c r="E2086" s="256" t="s">
        <v>2231</v>
      </c>
      <c r="F2086" t="s">
        <v>620</v>
      </c>
      <c r="G2086" s="89">
        <v>2015</v>
      </c>
      <c r="H2086" s="312" t="s">
        <v>733</v>
      </c>
      <c r="I2086" s="308" t="str">
        <f t="shared" si="90"/>
        <v>Pesado de Mercadorias N3: Geral : Gasóleo : E6</v>
      </c>
      <c r="J2086" s="125"/>
      <c r="K2086" s="253">
        <v>2022</v>
      </c>
      <c r="L2086" s="234">
        <v>31848.720000000005</v>
      </c>
      <c r="M2086" s="85" t="s">
        <v>630</v>
      </c>
      <c r="N2086" s="128">
        <v>93842</v>
      </c>
      <c r="O2086" s="128">
        <f t="shared" si="91"/>
        <v>0</v>
      </c>
      <c r="P2086" s="89">
        <v>259</v>
      </c>
      <c r="Q2086" t="s">
        <v>1927</v>
      </c>
      <c r="R2086" s="214" t="s">
        <v>1869</v>
      </c>
      <c r="S2086" s="214" t="s">
        <v>1861</v>
      </c>
      <c r="T2086" t="s">
        <v>1935</v>
      </c>
      <c r="U2086" t="s">
        <v>1953</v>
      </c>
      <c r="V2086" t="s">
        <v>2813</v>
      </c>
    </row>
    <row r="2087" spans="1:22" ht="15.75" thickBot="1" x14ac:dyDescent="0.3">
      <c r="A2087" t="s">
        <v>4591</v>
      </c>
      <c r="B2087" t="s">
        <v>4591</v>
      </c>
      <c r="C2087" t="s">
        <v>4591</v>
      </c>
      <c r="D2087" s="238" t="s">
        <v>1920</v>
      </c>
      <c r="E2087" s="256" t="s">
        <v>2231</v>
      </c>
      <c r="F2087" t="s">
        <v>620</v>
      </c>
      <c r="G2087" s="89">
        <v>2015</v>
      </c>
      <c r="H2087" s="312" t="s">
        <v>733</v>
      </c>
      <c r="I2087" s="308" t="str">
        <f t="shared" si="90"/>
        <v>Pesado de Mercadorias N3: Geral : Gasóleo : E6</v>
      </c>
      <c r="J2087" s="125"/>
      <c r="K2087" s="253">
        <v>2022</v>
      </c>
      <c r="L2087" s="234">
        <v>46998.229999999996</v>
      </c>
      <c r="M2087" s="85" t="s">
        <v>630</v>
      </c>
      <c r="N2087" s="128">
        <v>127759</v>
      </c>
      <c r="O2087" s="128">
        <f t="shared" si="91"/>
        <v>0</v>
      </c>
      <c r="P2087" s="89">
        <v>260</v>
      </c>
      <c r="Q2087" t="s">
        <v>1927</v>
      </c>
      <c r="R2087" s="214" t="s">
        <v>1869</v>
      </c>
      <c r="S2087" s="214" t="s">
        <v>1861</v>
      </c>
      <c r="T2087" t="s">
        <v>1935</v>
      </c>
      <c r="U2087" t="s">
        <v>1953</v>
      </c>
      <c r="V2087" t="s">
        <v>2813</v>
      </c>
    </row>
    <row r="2088" spans="1:22" ht="15.75" thickBot="1" x14ac:dyDescent="0.3">
      <c r="A2088" t="s">
        <v>4591</v>
      </c>
      <c r="B2088" t="s">
        <v>4591</v>
      </c>
      <c r="C2088" t="s">
        <v>4591</v>
      </c>
      <c r="D2088" s="238" t="s">
        <v>1920</v>
      </c>
      <c r="E2088" s="256" t="s">
        <v>2231</v>
      </c>
      <c r="F2088" t="s">
        <v>620</v>
      </c>
      <c r="G2088" s="89">
        <v>2015</v>
      </c>
      <c r="H2088" s="312" t="s">
        <v>733</v>
      </c>
      <c r="I2088" s="308" t="str">
        <f t="shared" si="90"/>
        <v>Pesado de Mercadorias N3: Geral : Gasóleo : E6</v>
      </c>
      <c r="J2088" s="125"/>
      <c r="K2088" s="253">
        <v>2022</v>
      </c>
      <c r="L2088" s="234">
        <v>44572.30000000001</v>
      </c>
      <c r="M2088" s="85" t="s">
        <v>630</v>
      </c>
      <c r="N2088" s="128">
        <v>141977</v>
      </c>
      <c r="O2088" s="128">
        <f t="shared" si="91"/>
        <v>0</v>
      </c>
      <c r="P2088" s="89">
        <v>261</v>
      </c>
      <c r="Q2088" t="s">
        <v>1927</v>
      </c>
      <c r="R2088" s="214" t="s">
        <v>1869</v>
      </c>
      <c r="S2088" s="214" t="s">
        <v>1861</v>
      </c>
      <c r="T2088" t="s">
        <v>1935</v>
      </c>
      <c r="U2088" t="s">
        <v>1953</v>
      </c>
      <c r="V2088" t="s">
        <v>2813</v>
      </c>
    </row>
    <row r="2089" spans="1:22" ht="15.75" thickBot="1" x14ac:dyDescent="0.3">
      <c r="A2089" t="s">
        <v>4591</v>
      </c>
      <c r="B2089" t="s">
        <v>4591</v>
      </c>
      <c r="C2089" t="s">
        <v>4591</v>
      </c>
      <c r="D2089" s="238" t="s">
        <v>1920</v>
      </c>
      <c r="E2089" s="256" t="s">
        <v>2231</v>
      </c>
      <c r="F2089" t="s">
        <v>620</v>
      </c>
      <c r="G2089" s="89">
        <v>2015</v>
      </c>
      <c r="H2089" s="312" t="s">
        <v>733</v>
      </c>
      <c r="I2089" s="308" t="str">
        <f t="shared" si="90"/>
        <v>Pesado de Mercadorias N3: Geral : Gasóleo : E6</v>
      </c>
      <c r="J2089" s="125"/>
      <c r="K2089" s="253">
        <v>2022</v>
      </c>
      <c r="L2089" s="234">
        <v>30581.74</v>
      </c>
      <c r="M2089" s="85" t="s">
        <v>630</v>
      </c>
      <c r="N2089" s="128">
        <v>78061</v>
      </c>
      <c r="O2089" s="128">
        <f t="shared" si="91"/>
        <v>0</v>
      </c>
      <c r="P2089" s="89">
        <v>262</v>
      </c>
      <c r="Q2089" t="s">
        <v>1927</v>
      </c>
      <c r="R2089" s="214" t="s">
        <v>1869</v>
      </c>
      <c r="S2089" s="214" t="s">
        <v>1861</v>
      </c>
      <c r="T2089" t="s">
        <v>1935</v>
      </c>
      <c r="U2089" t="s">
        <v>1953</v>
      </c>
      <c r="V2089" t="s">
        <v>2813</v>
      </c>
    </row>
    <row r="2090" spans="1:22" ht="15.75" thickBot="1" x14ac:dyDescent="0.3">
      <c r="A2090" t="s">
        <v>4591</v>
      </c>
      <c r="B2090" t="s">
        <v>4591</v>
      </c>
      <c r="C2090" t="s">
        <v>4591</v>
      </c>
      <c r="D2090" s="238" t="s">
        <v>1920</v>
      </c>
      <c r="E2090" s="256" t="s">
        <v>2231</v>
      </c>
      <c r="F2090" t="s">
        <v>620</v>
      </c>
      <c r="G2090" s="89">
        <v>2015</v>
      </c>
      <c r="H2090" s="312" t="s">
        <v>733</v>
      </c>
      <c r="I2090" s="308" t="str">
        <f t="shared" si="90"/>
        <v>Pesado de Mercadorias N3: Geral : Gasóleo : E6</v>
      </c>
      <c r="J2090" s="125"/>
      <c r="K2090" s="253">
        <v>2022</v>
      </c>
      <c r="L2090" s="234">
        <v>12789.930000000002</v>
      </c>
      <c r="M2090" s="85" t="s">
        <v>630</v>
      </c>
      <c r="N2090" s="128">
        <v>33962</v>
      </c>
      <c r="O2090" s="128">
        <f t="shared" si="91"/>
        <v>0</v>
      </c>
      <c r="P2090" s="89">
        <v>263</v>
      </c>
      <c r="Q2090" t="s">
        <v>1927</v>
      </c>
      <c r="R2090" s="214" t="s">
        <v>1869</v>
      </c>
      <c r="S2090" s="214" t="s">
        <v>1861</v>
      </c>
      <c r="T2090" t="s">
        <v>1935</v>
      </c>
      <c r="U2090" t="s">
        <v>1953</v>
      </c>
      <c r="V2090" t="s">
        <v>2813</v>
      </c>
    </row>
    <row r="2091" spans="1:22" ht="15.75" thickBot="1" x14ac:dyDescent="0.3">
      <c r="A2091" t="s">
        <v>4591</v>
      </c>
      <c r="B2091" t="s">
        <v>4591</v>
      </c>
      <c r="C2091" t="s">
        <v>4591</v>
      </c>
      <c r="D2091" s="238" t="s">
        <v>1920</v>
      </c>
      <c r="E2091" s="256" t="s">
        <v>2231</v>
      </c>
      <c r="F2091" t="s">
        <v>620</v>
      </c>
      <c r="G2091" s="89">
        <v>2011</v>
      </c>
      <c r="H2091" s="312" t="s">
        <v>734</v>
      </c>
      <c r="I2091" s="308" t="str">
        <f t="shared" si="90"/>
        <v>Pesado de Mercadorias N3: Geral : Gasóleo : E5</v>
      </c>
      <c r="J2091" s="125"/>
      <c r="K2091" s="253">
        <v>2022</v>
      </c>
      <c r="L2091" s="234">
        <v>34710.669999999984</v>
      </c>
      <c r="M2091" s="85" t="s">
        <v>630</v>
      </c>
      <c r="N2091" s="128">
        <v>83967</v>
      </c>
      <c r="O2091" s="128">
        <f t="shared" si="91"/>
        <v>0</v>
      </c>
      <c r="P2091" s="89">
        <v>264</v>
      </c>
      <c r="Q2091" t="s">
        <v>1927</v>
      </c>
      <c r="R2091" s="214" t="s">
        <v>1869</v>
      </c>
      <c r="S2091" s="214" t="s">
        <v>1861</v>
      </c>
      <c r="T2091" t="s">
        <v>1935</v>
      </c>
      <c r="U2091" t="s">
        <v>1953</v>
      </c>
      <c r="V2091" t="s">
        <v>2813</v>
      </c>
    </row>
    <row r="2092" spans="1:22" ht="15.75" thickBot="1" x14ac:dyDescent="0.3">
      <c r="A2092" t="s">
        <v>4591</v>
      </c>
      <c r="B2092" t="s">
        <v>4591</v>
      </c>
      <c r="C2092" t="s">
        <v>4591</v>
      </c>
      <c r="D2092" s="238" t="s">
        <v>1920</v>
      </c>
      <c r="E2092" s="256" t="s">
        <v>2231</v>
      </c>
      <c r="F2092" t="s">
        <v>620</v>
      </c>
      <c r="G2092" s="89">
        <v>2011</v>
      </c>
      <c r="H2092" s="312" t="s">
        <v>734</v>
      </c>
      <c r="I2092" s="308" t="str">
        <f t="shared" si="90"/>
        <v>Pesado de Mercadorias N3: Geral : Gasóleo : E5</v>
      </c>
      <c r="J2092" s="125"/>
      <c r="K2092" s="253">
        <v>2022</v>
      </c>
      <c r="L2092" s="234">
        <v>31802.799999999992</v>
      </c>
      <c r="M2092" s="85" t="s">
        <v>630</v>
      </c>
      <c r="N2092" s="128">
        <v>87540</v>
      </c>
      <c r="O2092" s="128">
        <f t="shared" si="91"/>
        <v>0</v>
      </c>
      <c r="P2092" s="89">
        <v>265</v>
      </c>
      <c r="Q2092" t="s">
        <v>1927</v>
      </c>
      <c r="R2092" s="214" t="s">
        <v>1869</v>
      </c>
      <c r="S2092" s="214" t="s">
        <v>1861</v>
      </c>
      <c r="T2092" t="s">
        <v>1935</v>
      </c>
      <c r="U2092" t="s">
        <v>1953</v>
      </c>
      <c r="V2092" t="s">
        <v>2813</v>
      </c>
    </row>
    <row r="2093" spans="1:22" ht="15.75" thickBot="1" x14ac:dyDescent="0.3">
      <c r="A2093" t="s">
        <v>4591</v>
      </c>
      <c r="B2093" t="s">
        <v>4591</v>
      </c>
      <c r="C2093" t="s">
        <v>4591</v>
      </c>
      <c r="D2093" s="238" t="s">
        <v>1920</v>
      </c>
      <c r="E2093" s="256" t="s">
        <v>2231</v>
      </c>
      <c r="F2093" t="s">
        <v>620</v>
      </c>
      <c r="G2093" s="89">
        <v>2011</v>
      </c>
      <c r="H2093" s="312" t="s">
        <v>734</v>
      </c>
      <c r="I2093" s="308" t="str">
        <f t="shared" si="90"/>
        <v>Pesado de Mercadorias N3: Geral : Gasóleo : E5</v>
      </c>
      <c r="J2093" s="125"/>
      <c r="K2093" s="253">
        <v>2022</v>
      </c>
      <c r="L2093" s="234">
        <v>30791.91</v>
      </c>
      <c r="M2093" s="85" t="s">
        <v>630</v>
      </c>
      <c r="N2093" s="128">
        <v>77281</v>
      </c>
      <c r="O2093" s="128">
        <f t="shared" si="91"/>
        <v>0</v>
      </c>
      <c r="P2093" s="89">
        <v>266</v>
      </c>
      <c r="Q2093" t="s">
        <v>1927</v>
      </c>
      <c r="R2093" s="214" t="s">
        <v>1869</v>
      </c>
      <c r="S2093" s="214" t="s">
        <v>1861</v>
      </c>
      <c r="T2093" t="s">
        <v>1935</v>
      </c>
      <c r="U2093" t="s">
        <v>1953</v>
      </c>
      <c r="V2093" t="s">
        <v>2813</v>
      </c>
    </row>
    <row r="2094" spans="1:22" ht="15.75" thickBot="1" x14ac:dyDescent="0.3">
      <c r="A2094" t="s">
        <v>4591</v>
      </c>
      <c r="B2094" t="s">
        <v>4591</v>
      </c>
      <c r="C2094" t="s">
        <v>4591</v>
      </c>
      <c r="D2094" s="238" t="s">
        <v>1920</v>
      </c>
      <c r="E2094" s="256" t="s">
        <v>2231</v>
      </c>
      <c r="F2094" t="s">
        <v>620</v>
      </c>
      <c r="G2094" s="89">
        <v>2016</v>
      </c>
      <c r="H2094" s="312" t="s">
        <v>733</v>
      </c>
      <c r="I2094" s="308" t="str">
        <f t="shared" si="90"/>
        <v>Pesado de Mercadorias N3: Geral : Gasóleo : E6</v>
      </c>
      <c r="J2094" s="125"/>
      <c r="K2094" s="253">
        <v>2022</v>
      </c>
      <c r="L2094" s="234">
        <v>49823.939999999981</v>
      </c>
      <c r="M2094" s="85" t="s">
        <v>630</v>
      </c>
      <c r="N2094" s="128">
        <v>166998</v>
      </c>
      <c r="O2094" s="128">
        <f t="shared" si="91"/>
        <v>0</v>
      </c>
      <c r="P2094" s="89">
        <v>267</v>
      </c>
      <c r="Q2094" t="s">
        <v>1927</v>
      </c>
      <c r="R2094" s="214" t="s">
        <v>1869</v>
      </c>
      <c r="S2094" s="214" t="s">
        <v>1861</v>
      </c>
      <c r="T2094" t="s">
        <v>1935</v>
      </c>
      <c r="U2094" t="s">
        <v>1953</v>
      </c>
      <c r="V2094" t="s">
        <v>2813</v>
      </c>
    </row>
    <row r="2095" spans="1:22" ht="15.75" thickBot="1" x14ac:dyDescent="0.3">
      <c r="A2095" t="s">
        <v>4591</v>
      </c>
      <c r="B2095" t="s">
        <v>4591</v>
      </c>
      <c r="C2095" t="s">
        <v>4591</v>
      </c>
      <c r="D2095" s="238" t="s">
        <v>1920</v>
      </c>
      <c r="E2095" s="256" t="s">
        <v>2231</v>
      </c>
      <c r="F2095" t="s">
        <v>620</v>
      </c>
      <c r="G2095" s="89">
        <v>2016</v>
      </c>
      <c r="H2095" s="312" t="s">
        <v>733</v>
      </c>
      <c r="I2095" s="308" t="str">
        <f t="shared" si="90"/>
        <v>Pesado de Mercadorias N3: Geral : Gasóleo : E6</v>
      </c>
      <c r="J2095" s="125"/>
      <c r="K2095" s="253">
        <v>2022</v>
      </c>
      <c r="L2095" s="234">
        <v>66683.129999999976</v>
      </c>
      <c r="M2095" s="85" t="s">
        <v>630</v>
      </c>
      <c r="N2095" s="128">
        <v>186204</v>
      </c>
      <c r="O2095" s="128">
        <f t="shared" si="91"/>
        <v>0</v>
      </c>
      <c r="P2095" s="89">
        <v>268</v>
      </c>
      <c r="Q2095" t="s">
        <v>1927</v>
      </c>
      <c r="R2095" s="214" t="s">
        <v>1869</v>
      </c>
      <c r="S2095" s="214" t="s">
        <v>1861</v>
      </c>
      <c r="T2095" t="s">
        <v>1935</v>
      </c>
      <c r="U2095" t="s">
        <v>1953</v>
      </c>
      <c r="V2095" t="s">
        <v>2813</v>
      </c>
    </row>
    <row r="2096" spans="1:22" ht="15.75" thickBot="1" x14ac:dyDescent="0.3">
      <c r="A2096" t="s">
        <v>4591</v>
      </c>
      <c r="B2096" t="s">
        <v>4591</v>
      </c>
      <c r="C2096" t="s">
        <v>4591</v>
      </c>
      <c r="D2096" s="238" t="s">
        <v>1920</v>
      </c>
      <c r="E2096" s="256" t="s">
        <v>2231</v>
      </c>
      <c r="F2096" t="s">
        <v>620</v>
      </c>
      <c r="G2096" s="89">
        <v>2016</v>
      </c>
      <c r="H2096" s="312" t="s">
        <v>733</v>
      </c>
      <c r="I2096" s="308" t="str">
        <f t="shared" si="90"/>
        <v>Pesado de Mercadorias N3: Geral : Gasóleo : E6</v>
      </c>
      <c r="J2096" s="125"/>
      <c r="K2096" s="253">
        <v>2022</v>
      </c>
      <c r="L2096" s="234">
        <v>61341.299999999981</v>
      </c>
      <c r="M2096" s="85" t="s">
        <v>630</v>
      </c>
      <c r="N2096" s="128">
        <v>168640</v>
      </c>
      <c r="O2096" s="128">
        <f t="shared" si="91"/>
        <v>0</v>
      </c>
      <c r="P2096" s="89">
        <v>269</v>
      </c>
      <c r="Q2096" t="s">
        <v>1927</v>
      </c>
      <c r="R2096" s="214" t="s">
        <v>1869</v>
      </c>
      <c r="S2096" s="214" t="s">
        <v>1861</v>
      </c>
      <c r="T2096" t="s">
        <v>1935</v>
      </c>
      <c r="U2096" t="s">
        <v>1953</v>
      </c>
      <c r="V2096" t="s">
        <v>2813</v>
      </c>
    </row>
    <row r="2097" spans="1:22" ht="15.75" thickBot="1" x14ac:dyDescent="0.3">
      <c r="A2097" t="s">
        <v>4591</v>
      </c>
      <c r="B2097" t="s">
        <v>4591</v>
      </c>
      <c r="C2097" t="s">
        <v>4591</v>
      </c>
      <c r="D2097" s="238" t="s">
        <v>1920</v>
      </c>
      <c r="E2097" s="256" t="s">
        <v>2231</v>
      </c>
      <c r="F2097" t="s">
        <v>620</v>
      </c>
      <c r="G2097" s="89">
        <v>2016</v>
      </c>
      <c r="H2097" s="312" t="s">
        <v>733</v>
      </c>
      <c r="I2097" s="308" t="str">
        <f t="shared" si="90"/>
        <v>Pesado de Mercadorias N3: Geral : Gasóleo : E6</v>
      </c>
      <c r="J2097" s="125"/>
      <c r="K2097" s="253">
        <v>2022</v>
      </c>
      <c r="L2097" s="234">
        <v>57471.510000000031</v>
      </c>
      <c r="M2097" s="85" t="s">
        <v>630</v>
      </c>
      <c r="N2097" s="128">
        <v>165076</v>
      </c>
      <c r="O2097" s="128">
        <f t="shared" si="91"/>
        <v>0</v>
      </c>
      <c r="P2097" s="89">
        <v>270</v>
      </c>
      <c r="Q2097" t="s">
        <v>1927</v>
      </c>
      <c r="R2097" s="214" t="s">
        <v>1869</v>
      </c>
      <c r="S2097" s="214" t="s">
        <v>1861</v>
      </c>
      <c r="T2097" t="s">
        <v>1935</v>
      </c>
      <c r="U2097" t="s">
        <v>1953</v>
      </c>
      <c r="V2097" t="s">
        <v>2813</v>
      </c>
    </row>
    <row r="2098" spans="1:22" ht="15.75" thickBot="1" x14ac:dyDescent="0.3">
      <c r="A2098" t="s">
        <v>4591</v>
      </c>
      <c r="B2098" t="s">
        <v>4591</v>
      </c>
      <c r="C2098" t="s">
        <v>4591</v>
      </c>
      <c r="D2098" s="238" t="s">
        <v>1920</v>
      </c>
      <c r="E2098" s="256" t="s">
        <v>2231</v>
      </c>
      <c r="F2098" t="s">
        <v>620</v>
      </c>
      <c r="G2098" s="89">
        <v>2016</v>
      </c>
      <c r="H2098" s="312" t="s">
        <v>733</v>
      </c>
      <c r="I2098" s="308" t="str">
        <f t="shared" si="90"/>
        <v>Pesado de Mercadorias N3: Geral : Gasóleo : E6</v>
      </c>
      <c r="J2098" s="125"/>
      <c r="K2098" s="253">
        <v>2022</v>
      </c>
      <c r="L2098" s="234">
        <v>66348.639999999985</v>
      </c>
      <c r="M2098" s="85" t="s">
        <v>630</v>
      </c>
      <c r="N2098" s="128">
        <v>183672</v>
      </c>
      <c r="O2098" s="128">
        <f t="shared" si="91"/>
        <v>0</v>
      </c>
      <c r="P2098" s="89">
        <v>271</v>
      </c>
      <c r="Q2098" t="s">
        <v>1927</v>
      </c>
      <c r="R2098" s="214" t="s">
        <v>1869</v>
      </c>
      <c r="S2098" s="214" t="s">
        <v>1861</v>
      </c>
      <c r="T2098" t="s">
        <v>1935</v>
      </c>
      <c r="U2098" t="s">
        <v>1953</v>
      </c>
      <c r="V2098" t="s">
        <v>2813</v>
      </c>
    </row>
    <row r="2099" spans="1:22" ht="15.75" thickBot="1" x14ac:dyDescent="0.3">
      <c r="A2099" t="s">
        <v>4591</v>
      </c>
      <c r="B2099" t="s">
        <v>4591</v>
      </c>
      <c r="C2099" t="s">
        <v>4591</v>
      </c>
      <c r="D2099" s="238" t="s">
        <v>1920</v>
      </c>
      <c r="E2099" s="256" t="s">
        <v>2231</v>
      </c>
      <c r="F2099" t="s">
        <v>620</v>
      </c>
      <c r="G2099" s="89">
        <v>2016</v>
      </c>
      <c r="H2099" s="312" t="s">
        <v>733</v>
      </c>
      <c r="I2099" s="308" t="str">
        <f t="shared" si="90"/>
        <v>Pesado de Mercadorias N3: Geral : Gasóleo : E6</v>
      </c>
      <c r="J2099" s="125"/>
      <c r="K2099" s="253">
        <v>2022</v>
      </c>
      <c r="L2099" s="234">
        <v>50655.76999999999</v>
      </c>
      <c r="M2099" s="85" t="s">
        <v>630</v>
      </c>
      <c r="N2099" s="128">
        <v>150849</v>
      </c>
      <c r="O2099" s="128">
        <f t="shared" si="91"/>
        <v>0</v>
      </c>
      <c r="P2099" s="89">
        <v>272</v>
      </c>
      <c r="Q2099" t="s">
        <v>1927</v>
      </c>
      <c r="R2099" s="214" t="s">
        <v>1869</v>
      </c>
      <c r="S2099" s="214" t="s">
        <v>1861</v>
      </c>
      <c r="T2099" t="s">
        <v>1935</v>
      </c>
      <c r="U2099" t="s">
        <v>1953</v>
      </c>
      <c r="V2099" t="s">
        <v>2813</v>
      </c>
    </row>
    <row r="2100" spans="1:22" ht="15.75" thickBot="1" x14ac:dyDescent="0.3">
      <c r="A2100" t="s">
        <v>4591</v>
      </c>
      <c r="B2100" t="s">
        <v>4591</v>
      </c>
      <c r="C2100" t="s">
        <v>4591</v>
      </c>
      <c r="D2100" s="238" t="s">
        <v>1920</v>
      </c>
      <c r="E2100" s="256" t="s">
        <v>2231</v>
      </c>
      <c r="F2100" t="s">
        <v>620</v>
      </c>
      <c r="G2100" s="89">
        <v>2016</v>
      </c>
      <c r="H2100" s="312" t="s">
        <v>733</v>
      </c>
      <c r="I2100" s="308" t="str">
        <f t="shared" si="90"/>
        <v>Pesado de Mercadorias N3: Geral : Gasóleo : E6</v>
      </c>
      <c r="J2100" s="125"/>
      <c r="K2100" s="253">
        <v>2022</v>
      </c>
      <c r="L2100" s="234">
        <v>60530.710000000021</v>
      </c>
      <c r="M2100" s="85" t="s">
        <v>630</v>
      </c>
      <c r="N2100" s="128">
        <v>173619</v>
      </c>
      <c r="O2100" s="128">
        <f t="shared" si="91"/>
        <v>0</v>
      </c>
      <c r="P2100" s="89">
        <v>273</v>
      </c>
      <c r="Q2100" t="s">
        <v>1927</v>
      </c>
      <c r="R2100" s="214" t="s">
        <v>1869</v>
      </c>
      <c r="S2100" s="214" t="s">
        <v>1861</v>
      </c>
      <c r="T2100" t="s">
        <v>1935</v>
      </c>
      <c r="U2100" t="s">
        <v>1953</v>
      </c>
      <c r="V2100" t="s">
        <v>2813</v>
      </c>
    </row>
    <row r="2101" spans="1:22" ht="15.75" thickBot="1" x14ac:dyDescent="0.3">
      <c r="A2101" t="s">
        <v>4591</v>
      </c>
      <c r="B2101" t="s">
        <v>4591</v>
      </c>
      <c r="C2101" t="s">
        <v>4591</v>
      </c>
      <c r="D2101" s="238" t="s">
        <v>1920</v>
      </c>
      <c r="E2101" s="256" t="s">
        <v>2231</v>
      </c>
      <c r="F2101" t="s">
        <v>620</v>
      </c>
      <c r="G2101" s="89">
        <v>2016</v>
      </c>
      <c r="H2101" s="312" t="s">
        <v>733</v>
      </c>
      <c r="I2101" s="308" t="str">
        <f t="shared" si="90"/>
        <v>Pesado de Mercadorias N3: Geral : Gasóleo : E6</v>
      </c>
      <c r="J2101" s="125"/>
      <c r="K2101" s="253">
        <v>2022</v>
      </c>
      <c r="L2101" s="234">
        <v>30672.58</v>
      </c>
      <c r="M2101" s="85" t="s">
        <v>630</v>
      </c>
      <c r="N2101" s="128">
        <v>94866</v>
      </c>
      <c r="O2101" s="128">
        <f t="shared" si="91"/>
        <v>0</v>
      </c>
      <c r="P2101" s="89">
        <v>274</v>
      </c>
      <c r="Q2101" t="s">
        <v>1927</v>
      </c>
      <c r="R2101" s="214" t="s">
        <v>1869</v>
      </c>
      <c r="S2101" s="214" t="s">
        <v>1861</v>
      </c>
      <c r="T2101" t="s">
        <v>1935</v>
      </c>
      <c r="U2101" t="s">
        <v>1953</v>
      </c>
      <c r="V2101" t="s">
        <v>2813</v>
      </c>
    </row>
    <row r="2102" spans="1:22" ht="15.75" thickBot="1" x14ac:dyDescent="0.3">
      <c r="A2102" t="s">
        <v>4591</v>
      </c>
      <c r="B2102" t="s">
        <v>4591</v>
      </c>
      <c r="C2102" t="s">
        <v>4591</v>
      </c>
      <c r="D2102" s="238" t="s">
        <v>1920</v>
      </c>
      <c r="E2102" s="256" t="s">
        <v>2231</v>
      </c>
      <c r="F2102" t="s">
        <v>620</v>
      </c>
      <c r="G2102" s="89">
        <v>2016</v>
      </c>
      <c r="H2102" s="312" t="s">
        <v>733</v>
      </c>
      <c r="I2102" s="308" t="str">
        <f t="shared" si="90"/>
        <v>Pesado de Mercadorias N3: Geral : Gasóleo : E6</v>
      </c>
      <c r="J2102" s="125"/>
      <c r="K2102" s="253">
        <v>2022</v>
      </c>
      <c r="L2102" s="234">
        <v>29254.229999999996</v>
      </c>
      <c r="M2102" s="85" t="s">
        <v>630</v>
      </c>
      <c r="N2102" s="128">
        <v>88396</v>
      </c>
      <c r="O2102" s="128">
        <f t="shared" si="91"/>
        <v>0</v>
      </c>
      <c r="P2102" s="89">
        <v>275</v>
      </c>
      <c r="Q2102" t="s">
        <v>1927</v>
      </c>
      <c r="R2102" s="214" t="s">
        <v>1869</v>
      </c>
      <c r="S2102" s="214" t="s">
        <v>1861</v>
      </c>
      <c r="T2102" t="s">
        <v>1935</v>
      </c>
      <c r="U2102" t="s">
        <v>1953</v>
      </c>
      <c r="V2102" t="s">
        <v>2813</v>
      </c>
    </row>
    <row r="2103" spans="1:22" ht="15.75" thickBot="1" x14ac:dyDescent="0.3">
      <c r="A2103" t="s">
        <v>4591</v>
      </c>
      <c r="B2103" t="s">
        <v>4591</v>
      </c>
      <c r="C2103" t="s">
        <v>4591</v>
      </c>
      <c r="D2103" s="238" t="s">
        <v>1920</v>
      </c>
      <c r="E2103" s="256" t="s">
        <v>2231</v>
      </c>
      <c r="F2103" t="s">
        <v>620</v>
      </c>
      <c r="G2103" s="89">
        <v>2016</v>
      </c>
      <c r="H2103" s="312" t="s">
        <v>733</v>
      </c>
      <c r="I2103" s="308" t="str">
        <f t="shared" si="90"/>
        <v>Pesado de Mercadorias N3: Geral : Gasóleo : E6</v>
      </c>
      <c r="J2103" s="125"/>
      <c r="K2103" s="253">
        <v>2022</v>
      </c>
      <c r="L2103" s="234">
        <v>42307.729999999996</v>
      </c>
      <c r="M2103" s="85" t="s">
        <v>630</v>
      </c>
      <c r="N2103" s="128">
        <v>92120</v>
      </c>
      <c r="O2103" s="128">
        <f t="shared" si="91"/>
        <v>0</v>
      </c>
      <c r="P2103" s="89">
        <v>276</v>
      </c>
      <c r="Q2103" t="s">
        <v>1927</v>
      </c>
      <c r="R2103" s="214" t="s">
        <v>1869</v>
      </c>
      <c r="S2103" s="214" t="s">
        <v>1861</v>
      </c>
      <c r="T2103" t="s">
        <v>1935</v>
      </c>
      <c r="U2103" t="s">
        <v>1953</v>
      </c>
      <c r="V2103" t="s">
        <v>2813</v>
      </c>
    </row>
    <row r="2104" spans="1:22" ht="15.75" thickBot="1" x14ac:dyDescent="0.3">
      <c r="A2104" t="s">
        <v>4591</v>
      </c>
      <c r="B2104" t="s">
        <v>4591</v>
      </c>
      <c r="C2104" t="s">
        <v>4591</v>
      </c>
      <c r="D2104" s="238" t="s">
        <v>1920</v>
      </c>
      <c r="E2104" s="256" t="s">
        <v>2231</v>
      </c>
      <c r="F2104" t="s">
        <v>620</v>
      </c>
      <c r="G2104" s="89">
        <v>2016</v>
      </c>
      <c r="H2104" s="312" t="s">
        <v>733</v>
      </c>
      <c r="I2104" s="308" t="str">
        <f t="shared" si="90"/>
        <v>Pesado de Mercadorias N3: Geral : Gasóleo : E6</v>
      </c>
      <c r="J2104" s="125"/>
      <c r="K2104" s="253">
        <v>2022</v>
      </c>
      <c r="L2104" s="234">
        <v>14104.279999999999</v>
      </c>
      <c r="M2104" s="85" t="s">
        <v>630</v>
      </c>
      <c r="N2104" s="128">
        <v>32990</v>
      </c>
      <c r="O2104" s="128">
        <f t="shared" si="91"/>
        <v>0</v>
      </c>
      <c r="P2104" s="89">
        <v>277</v>
      </c>
      <c r="Q2104" t="s">
        <v>1927</v>
      </c>
      <c r="R2104" s="214" t="s">
        <v>1869</v>
      </c>
      <c r="S2104" s="214" t="s">
        <v>1861</v>
      </c>
      <c r="T2104" t="s">
        <v>1935</v>
      </c>
      <c r="U2104" t="s">
        <v>1953</v>
      </c>
      <c r="V2104" t="s">
        <v>2813</v>
      </c>
    </row>
    <row r="2105" spans="1:22" ht="15.75" thickBot="1" x14ac:dyDescent="0.3">
      <c r="A2105" t="s">
        <v>4591</v>
      </c>
      <c r="B2105" t="s">
        <v>4591</v>
      </c>
      <c r="C2105" t="s">
        <v>4591</v>
      </c>
      <c r="D2105" s="238" t="s">
        <v>1920</v>
      </c>
      <c r="E2105" s="256" t="s">
        <v>2231</v>
      </c>
      <c r="F2105" t="s">
        <v>620</v>
      </c>
      <c r="G2105" s="89">
        <v>2016</v>
      </c>
      <c r="H2105" s="312" t="s">
        <v>733</v>
      </c>
      <c r="I2105" s="308" t="str">
        <f t="shared" si="90"/>
        <v>Pesado de Mercadorias N3: Geral : Gasóleo : E6</v>
      </c>
      <c r="J2105" s="125"/>
      <c r="K2105" s="253">
        <v>2022</v>
      </c>
      <c r="L2105" s="234">
        <v>39325.97</v>
      </c>
      <c r="M2105" s="85" t="s">
        <v>630</v>
      </c>
      <c r="N2105" s="128">
        <v>109868</v>
      </c>
      <c r="O2105" s="128">
        <f t="shared" si="91"/>
        <v>0</v>
      </c>
      <c r="P2105" s="89">
        <v>278</v>
      </c>
      <c r="Q2105" t="s">
        <v>1927</v>
      </c>
      <c r="R2105" s="214" t="s">
        <v>1869</v>
      </c>
      <c r="S2105" s="214" t="s">
        <v>1861</v>
      </c>
      <c r="T2105" t="s">
        <v>1935</v>
      </c>
      <c r="U2105" t="s">
        <v>1953</v>
      </c>
      <c r="V2105" t="s">
        <v>2813</v>
      </c>
    </row>
    <row r="2106" spans="1:22" ht="15.75" thickBot="1" x14ac:dyDescent="0.3">
      <c r="A2106" t="s">
        <v>4591</v>
      </c>
      <c r="B2106" t="s">
        <v>4591</v>
      </c>
      <c r="C2106" t="s">
        <v>4591</v>
      </c>
      <c r="D2106" s="238" t="s">
        <v>1920</v>
      </c>
      <c r="E2106" s="256" t="s">
        <v>2231</v>
      </c>
      <c r="F2106" t="s">
        <v>620</v>
      </c>
      <c r="G2106" s="89">
        <v>2014</v>
      </c>
      <c r="H2106" s="312" t="s">
        <v>734</v>
      </c>
      <c r="I2106" s="308" t="str">
        <f t="shared" si="90"/>
        <v>Pesado de Mercadorias N3: Geral : Gasóleo : E5</v>
      </c>
      <c r="J2106" s="125"/>
      <c r="K2106" s="253">
        <v>2022</v>
      </c>
      <c r="L2106" s="234">
        <v>35023.14</v>
      </c>
      <c r="M2106" s="85" t="s">
        <v>630</v>
      </c>
      <c r="N2106" s="128">
        <v>80044</v>
      </c>
      <c r="O2106" s="128">
        <f t="shared" si="91"/>
        <v>0</v>
      </c>
      <c r="P2106" s="89">
        <v>279</v>
      </c>
      <c r="Q2106" t="s">
        <v>1927</v>
      </c>
      <c r="R2106" s="214" t="s">
        <v>1869</v>
      </c>
      <c r="S2106" s="214" t="s">
        <v>1861</v>
      </c>
      <c r="T2106" t="s">
        <v>1935</v>
      </c>
      <c r="U2106" t="s">
        <v>1953</v>
      </c>
      <c r="V2106" t="s">
        <v>2813</v>
      </c>
    </row>
    <row r="2107" spans="1:22" ht="15.75" thickBot="1" x14ac:dyDescent="0.3">
      <c r="A2107" t="s">
        <v>4591</v>
      </c>
      <c r="B2107" t="s">
        <v>4591</v>
      </c>
      <c r="C2107" t="s">
        <v>4591</v>
      </c>
      <c r="D2107" s="238" t="s">
        <v>1920</v>
      </c>
      <c r="E2107" s="256" t="s">
        <v>2231</v>
      </c>
      <c r="F2107" t="s">
        <v>620</v>
      </c>
      <c r="G2107" s="89">
        <v>2014</v>
      </c>
      <c r="H2107" s="312" t="s">
        <v>734</v>
      </c>
      <c r="I2107" s="308" t="str">
        <f t="shared" si="90"/>
        <v>Pesado de Mercadorias N3: Geral : Gasóleo : E5</v>
      </c>
      <c r="J2107" s="125"/>
      <c r="K2107" s="253">
        <v>2022</v>
      </c>
      <c r="L2107" s="234">
        <v>34185.67</v>
      </c>
      <c r="M2107" s="85" t="s">
        <v>630</v>
      </c>
      <c r="N2107" s="128">
        <v>90150</v>
      </c>
      <c r="O2107" s="128">
        <f t="shared" si="91"/>
        <v>0</v>
      </c>
      <c r="P2107" s="89">
        <v>280</v>
      </c>
      <c r="Q2107" t="s">
        <v>1927</v>
      </c>
      <c r="R2107" s="214" t="s">
        <v>1869</v>
      </c>
      <c r="S2107" s="214" t="s">
        <v>1861</v>
      </c>
      <c r="T2107" t="s">
        <v>1935</v>
      </c>
      <c r="U2107" t="s">
        <v>1953</v>
      </c>
      <c r="V2107" t="s">
        <v>2813</v>
      </c>
    </row>
    <row r="2108" spans="1:22" ht="15.75" thickBot="1" x14ac:dyDescent="0.3">
      <c r="A2108" t="s">
        <v>4591</v>
      </c>
      <c r="B2108" t="s">
        <v>4591</v>
      </c>
      <c r="C2108" t="s">
        <v>4591</v>
      </c>
      <c r="D2108" s="238" t="s">
        <v>1920</v>
      </c>
      <c r="E2108" s="256" t="s">
        <v>2231</v>
      </c>
      <c r="F2108" t="s">
        <v>620</v>
      </c>
      <c r="G2108" s="89">
        <v>2014</v>
      </c>
      <c r="H2108" s="312" t="s">
        <v>734</v>
      </c>
      <c r="I2108" s="308" t="str">
        <f t="shared" si="90"/>
        <v>Pesado de Mercadorias N3: Geral : Gasóleo : E5</v>
      </c>
      <c r="J2108" s="125"/>
      <c r="K2108" s="253">
        <v>2022</v>
      </c>
      <c r="L2108" s="234">
        <v>36907.78</v>
      </c>
      <c r="M2108" s="85" t="s">
        <v>630</v>
      </c>
      <c r="N2108" s="128">
        <v>91009</v>
      </c>
      <c r="O2108" s="128">
        <f t="shared" si="91"/>
        <v>0</v>
      </c>
      <c r="P2108" s="89">
        <v>281</v>
      </c>
      <c r="Q2108" t="s">
        <v>1927</v>
      </c>
      <c r="R2108" s="214" t="s">
        <v>1869</v>
      </c>
      <c r="S2108" s="214" t="s">
        <v>1861</v>
      </c>
      <c r="T2108" t="s">
        <v>1935</v>
      </c>
      <c r="U2108" t="s">
        <v>1953</v>
      </c>
      <c r="V2108" t="s">
        <v>2813</v>
      </c>
    </row>
    <row r="2109" spans="1:22" ht="15.75" thickBot="1" x14ac:dyDescent="0.3">
      <c r="A2109" t="s">
        <v>4591</v>
      </c>
      <c r="B2109" t="s">
        <v>4591</v>
      </c>
      <c r="C2109" t="s">
        <v>4591</v>
      </c>
      <c r="D2109" s="238" t="s">
        <v>1920</v>
      </c>
      <c r="E2109" s="256" t="s">
        <v>2231</v>
      </c>
      <c r="F2109" t="s">
        <v>620</v>
      </c>
      <c r="G2109" s="89">
        <v>2014</v>
      </c>
      <c r="H2109" s="312" t="s">
        <v>734</v>
      </c>
      <c r="I2109" s="308" t="str">
        <f t="shared" si="90"/>
        <v>Pesado de Mercadorias N3: Geral : Gasóleo : E5</v>
      </c>
      <c r="J2109" s="125"/>
      <c r="K2109" s="253">
        <v>2022</v>
      </c>
      <c r="L2109" s="234">
        <v>31649.63</v>
      </c>
      <c r="M2109" s="85" t="s">
        <v>630</v>
      </c>
      <c r="N2109" s="128">
        <v>82691</v>
      </c>
      <c r="O2109" s="128">
        <f t="shared" si="91"/>
        <v>0</v>
      </c>
      <c r="P2109" s="89">
        <v>282</v>
      </c>
      <c r="Q2109" t="s">
        <v>1927</v>
      </c>
      <c r="R2109" s="214" t="s">
        <v>1869</v>
      </c>
      <c r="S2109" s="214" t="s">
        <v>1861</v>
      </c>
      <c r="T2109" t="s">
        <v>1935</v>
      </c>
      <c r="U2109" t="s">
        <v>1953</v>
      </c>
      <c r="V2109" t="s">
        <v>2813</v>
      </c>
    </row>
    <row r="2110" spans="1:22" ht="15.75" thickBot="1" x14ac:dyDescent="0.3">
      <c r="A2110" t="s">
        <v>4591</v>
      </c>
      <c r="B2110" t="s">
        <v>4591</v>
      </c>
      <c r="C2110" t="s">
        <v>4591</v>
      </c>
      <c r="D2110" s="238" t="s">
        <v>1920</v>
      </c>
      <c r="E2110" s="256" t="s">
        <v>2231</v>
      </c>
      <c r="F2110" t="s">
        <v>620</v>
      </c>
      <c r="G2110" s="89">
        <v>2014</v>
      </c>
      <c r="H2110" s="312" t="s">
        <v>734</v>
      </c>
      <c r="I2110" s="308" t="str">
        <f t="shared" si="90"/>
        <v>Pesado de Mercadorias N3: Geral : Gasóleo : E5</v>
      </c>
      <c r="J2110" s="125"/>
      <c r="K2110" s="253">
        <v>2022</v>
      </c>
      <c r="L2110" s="234">
        <v>34487.490000000005</v>
      </c>
      <c r="M2110" s="85" t="s">
        <v>630</v>
      </c>
      <c r="N2110" s="128">
        <v>79587</v>
      </c>
      <c r="O2110" s="128">
        <f t="shared" si="91"/>
        <v>0</v>
      </c>
      <c r="P2110" s="89">
        <v>283</v>
      </c>
      <c r="Q2110" t="s">
        <v>1927</v>
      </c>
      <c r="R2110" s="214" t="s">
        <v>1869</v>
      </c>
      <c r="S2110" s="214" t="s">
        <v>1861</v>
      </c>
      <c r="T2110" t="s">
        <v>1935</v>
      </c>
      <c r="U2110" t="s">
        <v>1953</v>
      </c>
      <c r="V2110" t="s">
        <v>2813</v>
      </c>
    </row>
    <row r="2111" spans="1:22" ht="15.75" thickBot="1" x14ac:dyDescent="0.3">
      <c r="A2111" t="s">
        <v>4591</v>
      </c>
      <c r="B2111" t="s">
        <v>4591</v>
      </c>
      <c r="C2111" t="s">
        <v>4591</v>
      </c>
      <c r="D2111" s="238" t="s">
        <v>1920</v>
      </c>
      <c r="E2111" s="256" t="s">
        <v>2231</v>
      </c>
      <c r="F2111" t="s">
        <v>620</v>
      </c>
      <c r="G2111" s="89">
        <v>2014</v>
      </c>
      <c r="H2111" s="312" t="s">
        <v>734</v>
      </c>
      <c r="I2111" s="308" t="str">
        <f t="shared" si="90"/>
        <v>Pesado de Mercadorias N3: Geral : Gasóleo : E5</v>
      </c>
      <c r="J2111" s="125"/>
      <c r="K2111" s="253">
        <v>2022</v>
      </c>
      <c r="L2111" s="234">
        <v>25330.699999999997</v>
      </c>
      <c r="M2111" s="85" t="s">
        <v>630</v>
      </c>
      <c r="N2111" s="128">
        <v>71299</v>
      </c>
      <c r="O2111" s="128">
        <f t="shared" si="91"/>
        <v>0</v>
      </c>
      <c r="P2111" s="89">
        <v>284</v>
      </c>
      <c r="Q2111" t="s">
        <v>1927</v>
      </c>
      <c r="R2111" s="214" t="s">
        <v>1869</v>
      </c>
      <c r="S2111" s="214" t="s">
        <v>1861</v>
      </c>
      <c r="T2111" t="s">
        <v>1935</v>
      </c>
      <c r="U2111" t="s">
        <v>1953</v>
      </c>
      <c r="V2111" t="s">
        <v>2813</v>
      </c>
    </row>
    <row r="2112" spans="1:22" ht="15.75" thickBot="1" x14ac:dyDescent="0.3">
      <c r="A2112" t="s">
        <v>4591</v>
      </c>
      <c r="B2112" t="s">
        <v>4591</v>
      </c>
      <c r="C2112" t="s">
        <v>4591</v>
      </c>
      <c r="D2112" s="238" t="s">
        <v>1920</v>
      </c>
      <c r="E2112" s="256" t="s">
        <v>2231</v>
      </c>
      <c r="F2112" t="s">
        <v>620</v>
      </c>
      <c r="G2112" s="89">
        <v>2014</v>
      </c>
      <c r="H2112" s="312" t="s">
        <v>734</v>
      </c>
      <c r="I2112" s="308" t="str">
        <f t="shared" si="90"/>
        <v>Pesado de Mercadorias N3: Geral : Gasóleo : E5</v>
      </c>
      <c r="J2112" s="125"/>
      <c r="K2112" s="253">
        <v>2022</v>
      </c>
      <c r="L2112" s="234">
        <v>30669.07</v>
      </c>
      <c r="M2112" s="85" t="s">
        <v>630</v>
      </c>
      <c r="N2112" s="128">
        <v>80917</v>
      </c>
      <c r="O2112" s="128">
        <f t="shared" si="91"/>
        <v>0</v>
      </c>
      <c r="P2112" s="89">
        <v>285</v>
      </c>
      <c r="Q2112" t="s">
        <v>1927</v>
      </c>
      <c r="R2112" s="214" t="s">
        <v>1869</v>
      </c>
      <c r="S2112" s="214" t="s">
        <v>1861</v>
      </c>
      <c r="T2112" t="s">
        <v>1935</v>
      </c>
      <c r="U2112" t="s">
        <v>1953</v>
      </c>
      <c r="V2112" t="s">
        <v>2813</v>
      </c>
    </row>
    <row r="2113" spans="1:22" ht="15.75" thickBot="1" x14ac:dyDescent="0.3">
      <c r="A2113" t="s">
        <v>4591</v>
      </c>
      <c r="B2113" t="s">
        <v>4591</v>
      </c>
      <c r="C2113" t="s">
        <v>4591</v>
      </c>
      <c r="D2113" s="238" t="s">
        <v>1920</v>
      </c>
      <c r="E2113" s="256" t="s">
        <v>2231</v>
      </c>
      <c r="F2113" t="s">
        <v>620</v>
      </c>
      <c r="G2113" s="89">
        <v>2014</v>
      </c>
      <c r="H2113" s="312" t="s">
        <v>734</v>
      </c>
      <c r="I2113" s="308" t="str">
        <f t="shared" si="90"/>
        <v>Pesado de Mercadorias N3: Geral : Gasóleo : E5</v>
      </c>
      <c r="J2113" s="125"/>
      <c r="K2113" s="253">
        <v>2022</v>
      </c>
      <c r="L2113" s="234">
        <v>22131.829999999998</v>
      </c>
      <c r="M2113" s="85" t="s">
        <v>630</v>
      </c>
      <c r="N2113" s="128">
        <v>59627</v>
      </c>
      <c r="O2113" s="128">
        <f t="shared" si="91"/>
        <v>0</v>
      </c>
      <c r="P2113" s="89">
        <v>286</v>
      </c>
      <c r="Q2113" t="s">
        <v>1927</v>
      </c>
      <c r="R2113" s="214" t="s">
        <v>1869</v>
      </c>
      <c r="S2113" s="214" t="s">
        <v>1861</v>
      </c>
      <c r="T2113" t="s">
        <v>1935</v>
      </c>
      <c r="U2113" t="s">
        <v>1953</v>
      </c>
      <c r="V2113" t="s">
        <v>2813</v>
      </c>
    </row>
    <row r="2114" spans="1:22" ht="15.75" thickBot="1" x14ac:dyDescent="0.3">
      <c r="A2114" t="s">
        <v>4591</v>
      </c>
      <c r="B2114" t="s">
        <v>4591</v>
      </c>
      <c r="C2114" t="s">
        <v>4591</v>
      </c>
      <c r="D2114" s="238" t="s">
        <v>1920</v>
      </c>
      <c r="E2114" s="256" t="s">
        <v>2231</v>
      </c>
      <c r="F2114" t="s">
        <v>620</v>
      </c>
      <c r="G2114" s="89">
        <v>2014</v>
      </c>
      <c r="H2114" s="312" t="s">
        <v>734</v>
      </c>
      <c r="I2114" s="308" t="str">
        <f t="shared" si="90"/>
        <v>Pesado de Mercadorias N3: Geral : Gasóleo : E5</v>
      </c>
      <c r="J2114" s="125"/>
      <c r="K2114" s="253">
        <v>2022</v>
      </c>
      <c r="L2114" s="234">
        <v>36631.339999999997</v>
      </c>
      <c r="M2114" s="85" t="s">
        <v>630</v>
      </c>
      <c r="N2114" s="128">
        <v>90366</v>
      </c>
      <c r="O2114" s="128">
        <f t="shared" si="91"/>
        <v>0</v>
      </c>
      <c r="P2114" s="89">
        <v>287</v>
      </c>
      <c r="Q2114" t="s">
        <v>1927</v>
      </c>
      <c r="R2114" s="214" t="s">
        <v>1869</v>
      </c>
      <c r="S2114" s="214" t="s">
        <v>1861</v>
      </c>
      <c r="T2114" t="s">
        <v>1935</v>
      </c>
      <c r="U2114" t="s">
        <v>1953</v>
      </c>
      <c r="V2114" t="s">
        <v>2813</v>
      </c>
    </row>
    <row r="2115" spans="1:22" ht="15.75" thickBot="1" x14ac:dyDescent="0.3">
      <c r="A2115" t="s">
        <v>4591</v>
      </c>
      <c r="B2115" t="s">
        <v>4591</v>
      </c>
      <c r="C2115" t="s">
        <v>4591</v>
      </c>
      <c r="D2115" s="238" t="s">
        <v>1920</v>
      </c>
      <c r="E2115" s="256" t="s">
        <v>2231</v>
      </c>
      <c r="F2115" t="s">
        <v>620</v>
      </c>
      <c r="G2115" s="89">
        <v>2014</v>
      </c>
      <c r="H2115" s="312" t="s">
        <v>734</v>
      </c>
      <c r="I2115" s="308" t="str">
        <f t="shared" si="90"/>
        <v>Pesado de Mercadorias N3: Geral : Gasóleo : E5</v>
      </c>
      <c r="J2115" s="125"/>
      <c r="K2115" s="253">
        <v>2022</v>
      </c>
      <c r="L2115" s="234">
        <v>18483.949999999993</v>
      </c>
      <c r="M2115" s="85" t="s">
        <v>630</v>
      </c>
      <c r="N2115" s="128">
        <v>39369</v>
      </c>
      <c r="O2115" s="128">
        <f t="shared" si="91"/>
        <v>0</v>
      </c>
      <c r="P2115" s="89">
        <v>288</v>
      </c>
      <c r="Q2115" t="s">
        <v>1927</v>
      </c>
      <c r="R2115" s="214" t="s">
        <v>1869</v>
      </c>
      <c r="S2115" s="214" t="s">
        <v>1861</v>
      </c>
      <c r="T2115" t="s">
        <v>1935</v>
      </c>
      <c r="U2115" t="s">
        <v>1953</v>
      </c>
      <c r="V2115" t="s">
        <v>2813</v>
      </c>
    </row>
    <row r="2116" spans="1:22" ht="15.75" thickBot="1" x14ac:dyDescent="0.3">
      <c r="A2116" t="s">
        <v>4591</v>
      </c>
      <c r="B2116" t="s">
        <v>4591</v>
      </c>
      <c r="C2116" t="s">
        <v>4591</v>
      </c>
      <c r="D2116" s="238" t="s">
        <v>1920</v>
      </c>
      <c r="E2116" s="256" t="s">
        <v>2231</v>
      </c>
      <c r="F2116" t="s">
        <v>620</v>
      </c>
      <c r="G2116" s="89">
        <v>2018</v>
      </c>
      <c r="H2116" s="312" t="s">
        <v>733</v>
      </c>
      <c r="I2116" s="308" t="str">
        <f t="shared" ref="I2116:I2179" si="92">D2116&amp;": "&amp;E2116&amp;" : "&amp;F2116&amp;" : "&amp;H2116</f>
        <v>Pesado de Mercadorias N3: Geral : Gasóleo : E6</v>
      </c>
      <c r="J2116" s="125"/>
      <c r="K2116" s="253">
        <v>2022</v>
      </c>
      <c r="L2116" s="234">
        <v>56284.259999999987</v>
      </c>
      <c r="M2116" s="85" t="s">
        <v>630</v>
      </c>
      <c r="N2116" s="128">
        <v>155973</v>
      </c>
      <c r="O2116" s="128">
        <f t="shared" ref="O2116:O2179" si="93">N2116*J2116</f>
        <v>0</v>
      </c>
      <c r="P2116" s="89">
        <v>289</v>
      </c>
      <c r="Q2116" t="s">
        <v>1927</v>
      </c>
      <c r="R2116" s="214" t="s">
        <v>1869</v>
      </c>
      <c r="S2116" s="214" t="s">
        <v>1861</v>
      </c>
      <c r="T2116" t="s">
        <v>1935</v>
      </c>
      <c r="U2116" t="s">
        <v>1953</v>
      </c>
      <c r="V2116" t="s">
        <v>2813</v>
      </c>
    </row>
    <row r="2117" spans="1:22" ht="15.75" thickBot="1" x14ac:dyDescent="0.3">
      <c r="A2117" t="s">
        <v>4591</v>
      </c>
      <c r="B2117" t="s">
        <v>4591</v>
      </c>
      <c r="C2117" t="s">
        <v>4591</v>
      </c>
      <c r="D2117" s="238" t="s">
        <v>1920</v>
      </c>
      <c r="E2117" s="256" t="s">
        <v>2231</v>
      </c>
      <c r="F2117" t="s">
        <v>620</v>
      </c>
      <c r="G2117" s="89">
        <v>2018</v>
      </c>
      <c r="H2117" s="312" t="s">
        <v>733</v>
      </c>
      <c r="I2117" s="308" t="str">
        <f t="shared" si="92"/>
        <v>Pesado de Mercadorias N3: Geral : Gasóleo : E6</v>
      </c>
      <c r="J2117" s="125"/>
      <c r="K2117" s="253">
        <v>2022</v>
      </c>
      <c r="L2117" s="234">
        <v>48635.77</v>
      </c>
      <c r="M2117" s="85" t="s">
        <v>630</v>
      </c>
      <c r="N2117" s="128">
        <v>143779</v>
      </c>
      <c r="O2117" s="128">
        <f t="shared" si="93"/>
        <v>0</v>
      </c>
      <c r="P2117" s="89">
        <v>290</v>
      </c>
      <c r="Q2117" t="s">
        <v>1927</v>
      </c>
      <c r="R2117" s="214" t="s">
        <v>1869</v>
      </c>
      <c r="S2117" s="214" t="s">
        <v>1861</v>
      </c>
      <c r="T2117" t="s">
        <v>1935</v>
      </c>
      <c r="U2117" t="s">
        <v>1953</v>
      </c>
      <c r="V2117" t="s">
        <v>2813</v>
      </c>
    </row>
    <row r="2118" spans="1:22" ht="15.75" thickBot="1" x14ac:dyDescent="0.3">
      <c r="A2118" t="s">
        <v>4591</v>
      </c>
      <c r="B2118" t="s">
        <v>4591</v>
      </c>
      <c r="C2118" t="s">
        <v>4591</v>
      </c>
      <c r="D2118" s="238" t="s">
        <v>1920</v>
      </c>
      <c r="E2118" s="256" t="s">
        <v>2231</v>
      </c>
      <c r="F2118" t="s">
        <v>620</v>
      </c>
      <c r="G2118" s="89">
        <v>2018</v>
      </c>
      <c r="H2118" s="312" t="s">
        <v>733</v>
      </c>
      <c r="I2118" s="308" t="str">
        <f t="shared" si="92"/>
        <v>Pesado de Mercadorias N3: Geral : Gasóleo : E6</v>
      </c>
      <c r="J2118" s="125"/>
      <c r="K2118" s="253">
        <v>2022</v>
      </c>
      <c r="L2118" s="234">
        <v>46321.26</v>
      </c>
      <c r="M2118" s="85" t="s">
        <v>630</v>
      </c>
      <c r="N2118" s="128">
        <v>132380</v>
      </c>
      <c r="O2118" s="128">
        <f t="shared" si="93"/>
        <v>0</v>
      </c>
      <c r="P2118" s="89">
        <v>291</v>
      </c>
      <c r="Q2118" t="s">
        <v>1927</v>
      </c>
      <c r="R2118" s="214" t="s">
        <v>1869</v>
      </c>
      <c r="S2118" s="214" t="s">
        <v>1861</v>
      </c>
      <c r="T2118" t="s">
        <v>1935</v>
      </c>
      <c r="U2118" t="s">
        <v>1953</v>
      </c>
      <c r="V2118" t="s">
        <v>2813</v>
      </c>
    </row>
    <row r="2119" spans="1:22" ht="15.75" thickBot="1" x14ac:dyDescent="0.3">
      <c r="A2119" t="s">
        <v>4591</v>
      </c>
      <c r="B2119" t="s">
        <v>4591</v>
      </c>
      <c r="C2119" t="s">
        <v>4591</v>
      </c>
      <c r="D2119" s="238" t="s">
        <v>1920</v>
      </c>
      <c r="E2119" s="256" t="s">
        <v>2231</v>
      </c>
      <c r="F2119" t="s">
        <v>620</v>
      </c>
      <c r="G2119" s="89">
        <v>2018</v>
      </c>
      <c r="H2119" s="312" t="s">
        <v>733</v>
      </c>
      <c r="I2119" s="308" t="str">
        <f t="shared" si="92"/>
        <v>Pesado de Mercadorias N3: Geral : Gasóleo : E6</v>
      </c>
      <c r="J2119" s="125"/>
      <c r="K2119" s="253">
        <v>2022</v>
      </c>
      <c r="L2119" s="234">
        <v>47351.26999999999</v>
      </c>
      <c r="M2119" s="85" t="s">
        <v>630</v>
      </c>
      <c r="N2119" s="128">
        <v>131770</v>
      </c>
      <c r="O2119" s="128">
        <f t="shared" si="93"/>
        <v>0</v>
      </c>
      <c r="P2119" s="89">
        <v>292</v>
      </c>
      <c r="Q2119" t="s">
        <v>1927</v>
      </c>
      <c r="R2119" s="214" t="s">
        <v>1869</v>
      </c>
      <c r="S2119" s="214" t="s">
        <v>1861</v>
      </c>
      <c r="T2119" t="s">
        <v>1935</v>
      </c>
      <c r="U2119" t="s">
        <v>1953</v>
      </c>
      <c r="V2119" t="s">
        <v>2813</v>
      </c>
    </row>
    <row r="2120" spans="1:22" ht="15.75" thickBot="1" x14ac:dyDescent="0.3">
      <c r="A2120" t="s">
        <v>4591</v>
      </c>
      <c r="B2120" t="s">
        <v>4591</v>
      </c>
      <c r="C2120" t="s">
        <v>4591</v>
      </c>
      <c r="D2120" s="238" t="s">
        <v>1920</v>
      </c>
      <c r="E2120" s="256" t="s">
        <v>2231</v>
      </c>
      <c r="F2120" t="s">
        <v>620</v>
      </c>
      <c r="G2120" s="89">
        <v>2018</v>
      </c>
      <c r="H2120" s="312" t="s">
        <v>733</v>
      </c>
      <c r="I2120" s="308" t="str">
        <f t="shared" si="92"/>
        <v>Pesado de Mercadorias N3: Geral : Gasóleo : E6</v>
      </c>
      <c r="J2120" s="125"/>
      <c r="K2120" s="253">
        <v>2022</v>
      </c>
      <c r="L2120" s="234">
        <v>36715.67000000002</v>
      </c>
      <c r="M2120" s="85" t="s">
        <v>630</v>
      </c>
      <c r="N2120" s="128">
        <v>124769</v>
      </c>
      <c r="O2120" s="128">
        <f t="shared" si="93"/>
        <v>0</v>
      </c>
      <c r="P2120" s="89">
        <v>293</v>
      </c>
      <c r="Q2120" t="s">
        <v>1927</v>
      </c>
      <c r="R2120" s="214" t="s">
        <v>1869</v>
      </c>
      <c r="S2120" s="214" t="s">
        <v>1861</v>
      </c>
      <c r="T2120" t="s">
        <v>1935</v>
      </c>
      <c r="U2120" t="s">
        <v>1953</v>
      </c>
      <c r="V2120" t="s">
        <v>2813</v>
      </c>
    </row>
    <row r="2121" spans="1:22" ht="15.75" thickBot="1" x14ac:dyDescent="0.3">
      <c r="A2121" t="s">
        <v>4591</v>
      </c>
      <c r="B2121" t="s">
        <v>4591</v>
      </c>
      <c r="C2121" t="s">
        <v>4591</v>
      </c>
      <c r="D2121" s="238" t="s">
        <v>1920</v>
      </c>
      <c r="E2121" s="256" t="s">
        <v>2231</v>
      </c>
      <c r="F2121" t="s">
        <v>620</v>
      </c>
      <c r="G2121" s="89">
        <v>2018</v>
      </c>
      <c r="H2121" s="312" t="s">
        <v>733</v>
      </c>
      <c r="I2121" s="308" t="str">
        <f t="shared" si="92"/>
        <v>Pesado de Mercadorias N3: Geral : Gasóleo : E6</v>
      </c>
      <c r="J2121" s="125"/>
      <c r="K2121" s="253">
        <v>2022</v>
      </c>
      <c r="L2121" s="234">
        <v>57149.950000000004</v>
      </c>
      <c r="M2121" s="85" t="s">
        <v>630</v>
      </c>
      <c r="N2121" s="128">
        <v>162732</v>
      </c>
      <c r="O2121" s="128">
        <f t="shared" si="93"/>
        <v>0</v>
      </c>
      <c r="P2121" s="89">
        <v>294</v>
      </c>
      <c r="Q2121" t="s">
        <v>1927</v>
      </c>
      <c r="R2121" s="214" t="s">
        <v>1869</v>
      </c>
      <c r="S2121" s="214" t="s">
        <v>1861</v>
      </c>
      <c r="T2121" t="s">
        <v>1935</v>
      </c>
      <c r="U2121" t="s">
        <v>1953</v>
      </c>
      <c r="V2121" t="s">
        <v>2813</v>
      </c>
    </row>
    <row r="2122" spans="1:22" ht="15.75" thickBot="1" x14ac:dyDescent="0.3">
      <c r="A2122" t="s">
        <v>4591</v>
      </c>
      <c r="B2122" t="s">
        <v>4591</v>
      </c>
      <c r="C2122" t="s">
        <v>4591</v>
      </c>
      <c r="D2122" s="238" t="s">
        <v>1920</v>
      </c>
      <c r="E2122" s="256" t="s">
        <v>2231</v>
      </c>
      <c r="F2122" t="s">
        <v>620</v>
      </c>
      <c r="G2122" s="89">
        <v>2018</v>
      </c>
      <c r="H2122" s="312" t="s">
        <v>733</v>
      </c>
      <c r="I2122" s="308" t="str">
        <f t="shared" si="92"/>
        <v>Pesado de Mercadorias N3: Geral : Gasóleo : E6</v>
      </c>
      <c r="J2122" s="125"/>
      <c r="K2122" s="253">
        <v>2022</v>
      </c>
      <c r="L2122" s="234">
        <v>48015.729999999989</v>
      </c>
      <c r="M2122" s="85" t="s">
        <v>630</v>
      </c>
      <c r="N2122" s="128">
        <v>139034</v>
      </c>
      <c r="O2122" s="128">
        <f t="shared" si="93"/>
        <v>0</v>
      </c>
      <c r="P2122" s="89">
        <v>295</v>
      </c>
      <c r="Q2122" t="s">
        <v>1927</v>
      </c>
      <c r="R2122" s="214" t="s">
        <v>1869</v>
      </c>
      <c r="S2122" s="214" t="s">
        <v>1861</v>
      </c>
      <c r="T2122" t="s">
        <v>1935</v>
      </c>
      <c r="U2122" t="s">
        <v>1953</v>
      </c>
      <c r="V2122" t="s">
        <v>2813</v>
      </c>
    </row>
    <row r="2123" spans="1:22" ht="15.75" thickBot="1" x14ac:dyDescent="0.3">
      <c r="A2123" t="s">
        <v>4591</v>
      </c>
      <c r="B2123" t="s">
        <v>4591</v>
      </c>
      <c r="C2123" t="s">
        <v>4591</v>
      </c>
      <c r="D2123" s="238" t="s">
        <v>1920</v>
      </c>
      <c r="E2123" s="256" t="s">
        <v>2231</v>
      </c>
      <c r="F2123" t="s">
        <v>620</v>
      </c>
      <c r="G2123" s="89">
        <v>2018</v>
      </c>
      <c r="H2123" s="312" t="s">
        <v>733</v>
      </c>
      <c r="I2123" s="308" t="str">
        <f t="shared" si="92"/>
        <v>Pesado de Mercadorias N3: Geral : Gasóleo : E6</v>
      </c>
      <c r="J2123" s="125"/>
      <c r="K2123" s="253">
        <v>2022</v>
      </c>
      <c r="L2123" s="234">
        <v>48764.700000000004</v>
      </c>
      <c r="M2123" s="85" t="s">
        <v>630</v>
      </c>
      <c r="N2123" s="128">
        <v>134182</v>
      </c>
      <c r="O2123" s="128">
        <f t="shared" si="93"/>
        <v>0</v>
      </c>
      <c r="P2123" s="89">
        <v>296</v>
      </c>
      <c r="Q2123" t="s">
        <v>1927</v>
      </c>
      <c r="R2123" s="214" t="s">
        <v>1869</v>
      </c>
      <c r="S2123" s="214" t="s">
        <v>1861</v>
      </c>
      <c r="T2123" t="s">
        <v>1935</v>
      </c>
      <c r="U2123" t="s">
        <v>1953</v>
      </c>
      <c r="V2123" t="s">
        <v>2813</v>
      </c>
    </row>
    <row r="2124" spans="1:22" ht="15.75" thickBot="1" x14ac:dyDescent="0.3">
      <c r="A2124" t="s">
        <v>4591</v>
      </c>
      <c r="B2124" t="s">
        <v>4591</v>
      </c>
      <c r="C2124" t="s">
        <v>4591</v>
      </c>
      <c r="D2124" s="238" t="s">
        <v>1920</v>
      </c>
      <c r="E2124" s="256" t="s">
        <v>2231</v>
      </c>
      <c r="F2124" t="s">
        <v>620</v>
      </c>
      <c r="G2124" s="89">
        <v>2018</v>
      </c>
      <c r="H2124" s="312" t="s">
        <v>733</v>
      </c>
      <c r="I2124" s="308" t="str">
        <f t="shared" si="92"/>
        <v>Pesado de Mercadorias N3: Geral : Gasóleo : E6</v>
      </c>
      <c r="J2124" s="125"/>
      <c r="K2124" s="253">
        <v>2022</v>
      </c>
      <c r="L2124" s="234">
        <v>60045.24</v>
      </c>
      <c r="M2124" s="85" t="s">
        <v>630</v>
      </c>
      <c r="N2124" s="128">
        <v>177396</v>
      </c>
      <c r="O2124" s="128">
        <f t="shared" si="93"/>
        <v>0</v>
      </c>
      <c r="P2124" s="89">
        <v>297</v>
      </c>
      <c r="Q2124" t="s">
        <v>1927</v>
      </c>
      <c r="R2124" s="214" t="s">
        <v>1869</v>
      </c>
      <c r="S2124" s="214" t="s">
        <v>1861</v>
      </c>
      <c r="T2124" t="s">
        <v>1935</v>
      </c>
      <c r="U2124" t="s">
        <v>1953</v>
      </c>
      <c r="V2124" t="s">
        <v>2813</v>
      </c>
    </row>
    <row r="2125" spans="1:22" ht="15.75" thickBot="1" x14ac:dyDescent="0.3">
      <c r="A2125" t="s">
        <v>4591</v>
      </c>
      <c r="B2125" t="s">
        <v>4591</v>
      </c>
      <c r="C2125" t="s">
        <v>4591</v>
      </c>
      <c r="D2125" s="238" t="s">
        <v>1920</v>
      </c>
      <c r="E2125" s="256" t="s">
        <v>2231</v>
      </c>
      <c r="F2125" t="s">
        <v>620</v>
      </c>
      <c r="G2125" s="89">
        <v>2018</v>
      </c>
      <c r="H2125" s="312" t="s">
        <v>733</v>
      </c>
      <c r="I2125" s="308" t="str">
        <f t="shared" si="92"/>
        <v>Pesado de Mercadorias N3: Geral : Gasóleo : E6</v>
      </c>
      <c r="J2125" s="125"/>
      <c r="K2125" s="253">
        <v>2022</v>
      </c>
      <c r="L2125" s="234">
        <v>56604.590000000018</v>
      </c>
      <c r="M2125" s="85" t="s">
        <v>630</v>
      </c>
      <c r="N2125" s="128">
        <v>183365</v>
      </c>
      <c r="O2125" s="128">
        <f t="shared" si="93"/>
        <v>0</v>
      </c>
      <c r="P2125" s="89">
        <v>298</v>
      </c>
      <c r="Q2125" t="s">
        <v>1927</v>
      </c>
      <c r="R2125" s="214" t="s">
        <v>1869</v>
      </c>
      <c r="S2125" s="214" t="s">
        <v>1861</v>
      </c>
      <c r="T2125" t="s">
        <v>1935</v>
      </c>
      <c r="U2125" t="s">
        <v>1953</v>
      </c>
      <c r="V2125" t="s">
        <v>2813</v>
      </c>
    </row>
    <row r="2126" spans="1:22" ht="15.75" thickBot="1" x14ac:dyDescent="0.3">
      <c r="A2126" t="s">
        <v>4590</v>
      </c>
      <c r="B2126" t="s">
        <v>4590</v>
      </c>
      <c r="C2126" t="s">
        <v>4590</v>
      </c>
      <c r="D2126" t="s">
        <v>629</v>
      </c>
      <c r="E2126" s="248" t="s">
        <v>1951</v>
      </c>
      <c r="F2126" t="s">
        <v>620</v>
      </c>
      <c r="G2126" s="89">
        <v>1999</v>
      </c>
      <c r="H2126" s="312" t="s">
        <v>735</v>
      </c>
      <c r="I2126" s="308" t="str">
        <f t="shared" si="92"/>
        <v>Pesado de Passageiros M3: I : Gasóleo : E2</v>
      </c>
      <c r="J2126" s="125">
        <v>119</v>
      </c>
      <c r="K2126" s="253">
        <v>2022</v>
      </c>
      <c r="L2126" s="85">
        <v>10921.571000000004</v>
      </c>
      <c r="M2126" s="85" t="s">
        <v>630</v>
      </c>
      <c r="N2126" s="128">
        <v>22914.375</v>
      </c>
      <c r="O2126" s="128">
        <f t="shared" si="93"/>
        <v>2726810.625</v>
      </c>
      <c r="P2126" s="89">
        <v>243</v>
      </c>
      <c r="Q2126" t="s">
        <v>47</v>
      </c>
      <c r="R2126" s="214" t="s">
        <v>1869</v>
      </c>
      <c r="S2126" s="214" t="s">
        <v>1861</v>
      </c>
      <c r="U2126" t="s">
        <v>1953</v>
      </c>
      <c r="V2126" t="s">
        <v>2813</v>
      </c>
    </row>
    <row r="2127" spans="1:22" ht="15.75" thickBot="1" x14ac:dyDescent="0.3">
      <c r="A2127" t="s">
        <v>4590</v>
      </c>
      <c r="B2127" t="s">
        <v>4590</v>
      </c>
      <c r="C2127" t="s">
        <v>4590</v>
      </c>
      <c r="D2127" t="s">
        <v>629</v>
      </c>
      <c r="E2127" s="248" t="s">
        <v>1951</v>
      </c>
      <c r="F2127" t="s">
        <v>620</v>
      </c>
      <c r="G2127" s="89">
        <v>1999</v>
      </c>
      <c r="H2127" s="312" t="s">
        <v>735</v>
      </c>
      <c r="I2127" s="308" t="str">
        <f t="shared" si="92"/>
        <v>Pesado de Passageiros M3: I : Gasóleo : E2</v>
      </c>
      <c r="J2127" s="125">
        <v>119</v>
      </c>
      <c r="K2127" s="253">
        <v>2022</v>
      </c>
      <c r="L2127" s="85">
        <v>16157.239999999994</v>
      </c>
      <c r="M2127" s="85" t="s">
        <v>630</v>
      </c>
      <c r="N2127" s="128">
        <v>29831.515245729941</v>
      </c>
      <c r="O2127" s="128">
        <f t="shared" si="93"/>
        <v>3549950.3142418629</v>
      </c>
      <c r="P2127" s="89">
        <v>244</v>
      </c>
      <c r="Q2127" t="s">
        <v>47</v>
      </c>
      <c r="R2127" s="214" t="s">
        <v>1869</v>
      </c>
      <c r="S2127" s="214" t="s">
        <v>1861</v>
      </c>
      <c r="U2127" t="s">
        <v>1953</v>
      </c>
      <c r="V2127" t="s">
        <v>2813</v>
      </c>
    </row>
    <row r="2128" spans="1:22" ht="15.75" thickBot="1" x14ac:dyDescent="0.3">
      <c r="A2128" t="s">
        <v>4590</v>
      </c>
      <c r="B2128" t="s">
        <v>4590</v>
      </c>
      <c r="C2128" t="s">
        <v>4590</v>
      </c>
      <c r="D2128" t="s">
        <v>629</v>
      </c>
      <c r="E2128" s="248" t="s">
        <v>1951</v>
      </c>
      <c r="F2128" t="s">
        <v>620</v>
      </c>
      <c r="G2128" s="89">
        <v>2000</v>
      </c>
      <c r="H2128" s="312" t="s">
        <v>735</v>
      </c>
      <c r="I2128" s="308" t="str">
        <f t="shared" si="92"/>
        <v>Pesado de Passageiros M3: I : Gasóleo : E2</v>
      </c>
      <c r="J2128" s="125">
        <v>119</v>
      </c>
      <c r="K2128" s="253">
        <v>2022</v>
      </c>
      <c r="L2128" s="85">
        <v>15167.150000000003</v>
      </c>
      <c r="M2128" s="85" t="s">
        <v>630</v>
      </c>
      <c r="N2128" s="128">
        <v>26415.375</v>
      </c>
      <c r="O2128" s="128">
        <f t="shared" si="93"/>
        <v>3143429.625</v>
      </c>
      <c r="P2128" s="89">
        <v>256</v>
      </c>
      <c r="Q2128" t="s">
        <v>47</v>
      </c>
      <c r="R2128" s="214" t="s">
        <v>1869</v>
      </c>
      <c r="S2128" s="214" t="s">
        <v>1861</v>
      </c>
      <c r="U2128" t="s">
        <v>1953</v>
      </c>
      <c r="V2128" t="s">
        <v>2813</v>
      </c>
    </row>
    <row r="2129" spans="1:22" ht="15.75" thickBot="1" x14ac:dyDescent="0.3">
      <c r="A2129" t="s">
        <v>4590</v>
      </c>
      <c r="B2129" t="s">
        <v>4590</v>
      </c>
      <c r="C2129" t="s">
        <v>4590</v>
      </c>
      <c r="D2129" t="s">
        <v>629</v>
      </c>
      <c r="E2129" s="248" t="s">
        <v>1951</v>
      </c>
      <c r="F2129" t="s">
        <v>620</v>
      </c>
      <c r="G2129" s="89">
        <v>2000</v>
      </c>
      <c r="H2129" s="312" t="s">
        <v>735</v>
      </c>
      <c r="I2129" s="308" t="str">
        <f t="shared" si="92"/>
        <v>Pesado de Passageiros M3: I : Gasóleo : E2</v>
      </c>
      <c r="J2129" s="125">
        <v>119</v>
      </c>
      <c r="K2129" s="253">
        <v>2022</v>
      </c>
      <c r="L2129" s="85">
        <v>11406.189999999999</v>
      </c>
      <c r="M2129" s="85" t="s">
        <v>630</v>
      </c>
      <c r="N2129" s="128">
        <v>22139.375</v>
      </c>
      <c r="O2129" s="128">
        <f t="shared" si="93"/>
        <v>2634585.625</v>
      </c>
      <c r="P2129" s="89">
        <v>257</v>
      </c>
      <c r="Q2129" t="s">
        <v>47</v>
      </c>
      <c r="R2129" s="214" t="s">
        <v>1869</v>
      </c>
      <c r="S2129" s="214" t="s">
        <v>1861</v>
      </c>
      <c r="U2129" t="s">
        <v>1953</v>
      </c>
      <c r="V2129" t="s">
        <v>2813</v>
      </c>
    </row>
    <row r="2130" spans="1:22" ht="15.75" thickBot="1" x14ac:dyDescent="0.3">
      <c r="A2130" t="s">
        <v>4590</v>
      </c>
      <c r="B2130" t="s">
        <v>4590</v>
      </c>
      <c r="C2130" t="s">
        <v>4590</v>
      </c>
      <c r="D2130" t="s">
        <v>629</v>
      </c>
      <c r="E2130" s="248" t="s">
        <v>1951</v>
      </c>
      <c r="F2130" t="s">
        <v>620</v>
      </c>
      <c r="G2130" s="89">
        <v>2000</v>
      </c>
      <c r="H2130" s="312" t="s">
        <v>735</v>
      </c>
      <c r="I2130" s="308" t="str">
        <f t="shared" si="92"/>
        <v>Pesado de Passageiros M3: I : Gasóleo : E2</v>
      </c>
      <c r="J2130" s="125">
        <v>119</v>
      </c>
      <c r="K2130" s="253">
        <v>2022</v>
      </c>
      <c r="L2130" s="85">
        <v>14080.55</v>
      </c>
      <c r="M2130" s="85" t="s">
        <v>630</v>
      </c>
      <c r="N2130" s="128">
        <v>29209.375</v>
      </c>
      <c r="O2130" s="128">
        <f t="shared" si="93"/>
        <v>3475915.625</v>
      </c>
      <c r="P2130" s="89">
        <v>258</v>
      </c>
      <c r="Q2130" t="s">
        <v>47</v>
      </c>
      <c r="R2130" s="214" t="s">
        <v>1869</v>
      </c>
      <c r="S2130" s="214" t="s">
        <v>1861</v>
      </c>
      <c r="U2130" t="s">
        <v>1953</v>
      </c>
      <c r="V2130" t="s">
        <v>2813</v>
      </c>
    </row>
    <row r="2131" spans="1:22" ht="15.75" thickBot="1" x14ac:dyDescent="0.3">
      <c r="A2131" t="s">
        <v>4590</v>
      </c>
      <c r="B2131" t="s">
        <v>4590</v>
      </c>
      <c r="C2131" t="s">
        <v>4590</v>
      </c>
      <c r="D2131" t="s">
        <v>629</v>
      </c>
      <c r="E2131" s="248" t="s">
        <v>1951</v>
      </c>
      <c r="F2131" t="s">
        <v>620</v>
      </c>
      <c r="G2131" s="89">
        <v>2000</v>
      </c>
      <c r="H2131" s="312" t="s">
        <v>735</v>
      </c>
      <c r="I2131" s="308" t="str">
        <f t="shared" si="92"/>
        <v>Pesado de Passageiros M3: I : Gasóleo : E2</v>
      </c>
      <c r="J2131" s="125">
        <v>119</v>
      </c>
      <c r="K2131" s="253">
        <v>2022</v>
      </c>
      <c r="L2131" s="85">
        <v>11121.47</v>
      </c>
      <c r="M2131" s="85" t="s">
        <v>630</v>
      </c>
      <c r="N2131" s="128">
        <v>19896.375</v>
      </c>
      <c r="O2131" s="128">
        <f t="shared" si="93"/>
        <v>2367668.625</v>
      </c>
      <c r="P2131" s="89">
        <v>259</v>
      </c>
      <c r="Q2131" t="s">
        <v>47</v>
      </c>
      <c r="R2131" s="214" t="s">
        <v>1869</v>
      </c>
      <c r="S2131" s="214" t="s">
        <v>1861</v>
      </c>
      <c r="U2131" t="s">
        <v>1953</v>
      </c>
      <c r="V2131" t="s">
        <v>2813</v>
      </c>
    </row>
    <row r="2132" spans="1:22" ht="15.75" thickBot="1" x14ac:dyDescent="0.3">
      <c r="A2132" t="s">
        <v>4590</v>
      </c>
      <c r="B2132" t="s">
        <v>4590</v>
      </c>
      <c r="C2132" t="s">
        <v>4590</v>
      </c>
      <c r="D2132" t="s">
        <v>629</v>
      </c>
      <c r="E2132" s="248" t="s">
        <v>1951</v>
      </c>
      <c r="F2132" t="s">
        <v>620</v>
      </c>
      <c r="G2132" s="89">
        <v>2006</v>
      </c>
      <c r="H2132" s="312" t="s">
        <v>732</v>
      </c>
      <c r="I2132" s="308" t="str">
        <f t="shared" si="92"/>
        <v>Pesado de Passageiros M3: I : Gasóleo : E3</v>
      </c>
      <c r="J2132" s="125">
        <v>57</v>
      </c>
      <c r="K2132" s="253">
        <v>2022</v>
      </c>
      <c r="L2132" s="85">
        <v>24261.269999999993</v>
      </c>
      <c r="M2132" s="85" t="s">
        <v>630</v>
      </c>
      <c r="N2132" s="128">
        <v>54748.375</v>
      </c>
      <c r="O2132" s="128">
        <f t="shared" si="93"/>
        <v>3120657.375</v>
      </c>
      <c r="P2132" s="89">
        <v>625</v>
      </c>
      <c r="Q2132" t="s">
        <v>47</v>
      </c>
      <c r="R2132" s="214" t="s">
        <v>1869</v>
      </c>
      <c r="S2132" s="214" t="s">
        <v>1861</v>
      </c>
      <c r="U2132" t="s">
        <v>1953</v>
      </c>
      <c r="V2132" t="s">
        <v>2813</v>
      </c>
    </row>
    <row r="2133" spans="1:22" ht="15.75" thickBot="1" x14ac:dyDescent="0.3">
      <c r="A2133" t="s">
        <v>4590</v>
      </c>
      <c r="B2133" t="s">
        <v>4590</v>
      </c>
      <c r="C2133" t="s">
        <v>4590</v>
      </c>
      <c r="D2133" t="s">
        <v>629</v>
      </c>
      <c r="E2133" s="248" t="s">
        <v>1951</v>
      </c>
      <c r="F2133" t="s">
        <v>620</v>
      </c>
      <c r="G2133" s="89">
        <v>2006</v>
      </c>
      <c r="H2133" s="312" t="s">
        <v>732</v>
      </c>
      <c r="I2133" s="308" t="str">
        <f t="shared" si="92"/>
        <v>Pesado de Passageiros M3: I : Gasóleo : E3</v>
      </c>
      <c r="J2133" s="125">
        <v>57</v>
      </c>
      <c r="K2133" s="253">
        <v>2022</v>
      </c>
      <c r="L2133" s="85">
        <v>23162.230000000007</v>
      </c>
      <c r="M2133" s="85" t="s">
        <v>630</v>
      </c>
      <c r="N2133" s="128">
        <v>46608.136467889854</v>
      </c>
      <c r="O2133" s="128">
        <f t="shared" si="93"/>
        <v>2656663.7786697214</v>
      </c>
      <c r="P2133" s="89">
        <v>626</v>
      </c>
      <c r="Q2133" t="s">
        <v>47</v>
      </c>
      <c r="R2133" s="214" t="s">
        <v>1869</v>
      </c>
      <c r="S2133" s="214" t="s">
        <v>1861</v>
      </c>
      <c r="U2133" t="s">
        <v>1953</v>
      </c>
      <c r="V2133" t="s">
        <v>2813</v>
      </c>
    </row>
    <row r="2134" spans="1:22" ht="15.75" thickBot="1" x14ac:dyDescent="0.3">
      <c r="A2134" t="s">
        <v>4590</v>
      </c>
      <c r="B2134" t="s">
        <v>4590</v>
      </c>
      <c r="C2134" t="s">
        <v>4590</v>
      </c>
      <c r="D2134" t="s">
        <v>629</v>
      </c>
      <c r="E2134" s="248" t="s">
        <v>1951</v>
      </c>
      <c r="F2134" t="s">
        <v>620</v>
      </c>
      <c r="G2134" s="89">
        <v>2006</v>
      </c>
      <c r="H2134" s="312" t="s">
        <v>732</v>
      </c>
      <c r="I2134" s="308" t="str">
        <f t="shared" si="92"/>
        <v>Pesado de Passageiros M3: I : Gasóleo : E3</v>
      </c>
      <c r="J2134" s="125">
        <v>57</v>
      </c>
      <c r="K2134" s="253">
        <v>2022</v>
      </c>
      <c r="L2134" s="85">
        <v>22625.660000000003</v>
      </c>
      <c r="M2134" s="85" t="s">
        <v>630</v>
      </c>
      <c r="N2134" s="128">
        <v>50398.375</v>
      </c>
      <c r="O2134" s="128">
        <f t="shared" si="93"/>
        <v>2872707.375</v>
      </c>
      <c r="P2134" s="89">
        <v>628</v>
      </c>
      <c r="Q2134" t="s">
        <v>47</v>
      </c>
      <c r="R2134" s="214" t="s">
        <v>1869</v>
      </c>
      <c r="S2134" s="214" t="s">
        <v>1861</v>
      </c>
      <c r="U2134" t="s">
        <v>1953</v>
      </c>
      <c r="V2134" t="s">
        <v>2813</v>
      </c>
    </row>
    <row r="2135" spans="1:22" ht="15.75" thickBot="1" x14ac:dyDescent="0.3">
      <c r="A2135" t="s">
        <v>4590</v>
      </c>
      <c r="B2135" t="s">
        <v>4590</v>
      </c>
      <c r="C2135" t="s">
        <v>4590</v>
      </c>
      <c r="D2135" t="s">
        <v>629</v>
      </c>
      <c r="E2135" s="248" t="s">
        <v>1951</v>
      </c>
      <c r="F2135" t="s">
        <v>620</v>
      </c>
      <c r="G2135" s="89">
        <v>2006</v>
      </c>
      <c r="H2135" s="312" t="s">
        <v>732</v>
      </c>
      <c r="I2135" s="308" t="str">
        <f t="shared" si="92"/>
        <v>Pesado de Passageiros M3: I : Gasóleo : E3</v>
      </c>
      <c r="J2135" s="125">
        <v>57</v>
      </c>
      <c r="K2135" s="253">
        <v>2022</v>
      </c>
      <c r="L2135" s="85">
        <v>24438.300000000025</v>
      </c>
      <c r="M2135" s="85" t="s">
        <v>630</v>
      </c>
      <c r="N2135" s="128">
        <v>54603.375</v>
      </c>
      <c r="O2135" s="128">
        <f t="shared" si="93"/>
        <v>3112392.375</v>
      </c>
      <c r="P2135" s="89">
        <v>629</v>
      </c>
      <c r="Q2135" t="s">
        <v>47</v>
      </c>
      <c r="R2135" s="214" t="s">
        <v>1869</v>
      </c>
      <c r="S2135" s="214" t="s">
        <v>1861</v>
      </c>
      <c r="U2135" t="s">
        <v>1953</v>
      </c>
      <c r="V2135" t="s">
        <v>2813</v>
      </c>
    </row>
    <row r="2136" spans="1:22" ht="15.75" thickBot="1" x14ac:dyDescent="0.3">
      <c r="A2136" t="s">
        <v>4590</v>
      </c>
      <c r="B2136" t="s">
        <v>4590</v>
      </c>
      <c r="C2136" t="s">
        <v>4590</v>
      </c>
      <c r="D2136" t="s">
        <v>629</v>
      </c>
      <c r="E2136" s="248" t="s">
        <v>1951</v>
      </c>
      <c r="F2136" t="s">
        <v>620</v>
      </c>
      <c r="G2136" s="89">
        <v>2006</v>
      </c>
      <c r="H2136" s="312" t="s">
        <v>732</v>
      </c>
      <c r="I2136" s="308" t="str">
        <f t="shared" si="92"/>
        <v>Pesado de Passageiros M3: I : Gasóleo : E3</v>
      </c>
      <c r="J2136" s="125">
        <v>57</v>
      </c>
      <c r="K2136" s="253">
        <v>2022</v>
      </c>
      <c r="L2136" s="85">
        <v>20413.599999999995</v>
      </c>
      <c r="M2136" s="85" t="s">
        <v>630</v>
      </c>
      <c r="N2136" s="128">
        <v>52505.375</v>
      </c>
      <c r="O2136" s="128">
        <f t="shared" si="93"/>
        <v>2992806.375</v>
      </c>
      <c r="P2136" s="89">
        <v>631</v>
      </c>
      <c r="Q2136" t="s">
        <v>47</v>
      </c>
      <c r="R2136" s="214" t="s">
        <v>1869</v>
      </c>
      <c r="S2136" s="214" t="s">
        <v>1861</v>
      </c>
      <c r="U2136" t="s">
        <v>1953</v>
      </c>
      <c r="V2136" t="s">
        <v>2813</v>
      </c>
    </row>
    <row r="2137" spans="1:22" ht="15.75" thickBot="1" x14ac:dyDescent="0.3">
      <c r="A2137" t="s">
        <v>4590</v>
      </c>
      <c r="B2137" t="s">
        <v>4590</v>
      </c>
      <c r="C2137" t="s">
        <v>4590</v>
      </c>
      <c r="D2137" t="s">
        <v>629</v>
      </c>
      <c r="E2137" s="248" t="s">
        <v>1951</v>
      </c>
      <c r="F2137" t="s">
        <v>620</v>
      </c>
      <c r="G2137" s="89">
        <v>2006</v>
      </c>
      <c r="H2137" s="312" t="s">
        <v>732</v>
      </c>
      <c r="I2137" s="308" t="str">
        <f t="shared" si="92"/>
        <v>Pesado de Passageiros M3: I : Gasóleo : E3</v>
      </c>
      <c r="J2137" s="125">
        <v>57</v>
      </c>
      <c r="K2137" s="253">
        <v>2022</v>
      </c>
      <c r="L2137" s="85">
        <v>21455.800000000007</v>
      </c>
      <c r="M2137" s="85" t="s">
        <v>630</v>
      </c>
      <c r="N2137" s="128">
        <v>54505.375</v>
      </c>
      <c r="O2137" s="128">
        <f t="shared" si="93"/>
        <v>3106806.375</v>
      </c>
      <c r="P2137" s="89">
        <v>632</v>
      </c>
      <c r="Q2137" t="s">
        <v>47</v>
      </c>
      <c r="R2137" s="214" t="s">
        <v>1869</v>
      </c>
      <c r="S2137" s="214" t="s">
        <v>1861</v>
      </c>
      <c r="U2137" t="s">
        <v>1953</v>
      </c>
      <c r="V2137" t="s">
        <v>2813</v>
      </c>
    </row>
    <row r="2138" spans="1:22" ht="15.75" thickBot="1" x14ac:dyDescent="0.3">
      <c r="A2138" t="s">
        <v>4590</v>
      </c>
      <c r="B2138" t="s">
        <v>4590</v>
      </c>
      <c r="C2138" t="s">
        <v>4590</v>
      </c>
      <c r="D2138" t="s">
        <v>629</v>
      </c>
      <c r="E2138" s="248" t="s">
        <v>1951</v>
      </c>
      <c r="F2138" t="s">
        <v>620</v>
      </c>
      <c r="G2138" s="89">
        <v>2006</v>
      </c>
      <c r="H2138" s="312" t="s">
        <v>732</v>
      </c>
      <c r="I2138" s="308" t="str">
        <f t="shared" si="92"/>
        <v>Pesado de Passageiros M3: I : Gasóleo : E3</v>
      </c>
      <c r="J2138" s="125">
        <v>59</v>
      </c>
      <c r="K2138" s="253">
        <v>2022</v>
      </c>
      <c r="L2138" s="85">
        <v>24897.690000000006</v>
      </c>
      <c r="M2138" s="85" t="s">
        <v>630</v>
      </c>
      <c r="N2138" s="128">
        <v>65386.375</v>
      </c>
      <c r="O2138" s="128">
        <f t="shared" si="93"/>
        <v>3857796.125</v>
      </c>
      <c r="P2138" s="89">
        <v>633</v>
      </c>
      <c r="Q2138" t="s">
        <v>47</v>
      </c>
      <c r="R2138" s="214" t="s">
        <v>1869</v>
      </c>
      <c r="S2138" s="214" t="s">
        <v>1861</v>
      </c>
      <c r="U2138" t="s">
        <v>1953</v>
      </c>
      <c r="V2138" t="s">
        <v>2813</v>
      </c>
    </row>
    <row r="2139" spans="1:22" ht="15.75" thickBot="1" x14ac:dyDescent="0.3">
      <c r="A2139" t="s">
        <v>4590</v>
      </c>
      <c r="B2139" t="s">
        <v>4590</v>
      </c>
      <c r="C2139" t="s">
        <v>4590</v>
      </c>
      <c r="D2139" t="s">
        <v>629</v>
      </c>
      <c r="E2139" s="248" t="s">
        <v>1951</v>
      </c>
      <c r="F2139" t="s">
        <v>620</v>
      </c>
      <c r="G2139" s="89">
        <v>2006</v>
      </c>
      <c r="H2139" s="312" t="s">
        <v>732</v>
      </c>
      <c r="I2139" s="308" t="str">
        <f t="shared" si="92"/>
        <v>Pesado de Passageiros M3: I : Gasóleo : E3</v>
      </c>
      <c r="J2139" s="125">
        <v>57</v>
      </c>
      <c r="K2139" s="253">
        <v>2022</v>
      </c>
      <c r="L2139" s="85">
        <v>25631.059999999998</v>
      </c>
      <c r="M2139" s="85" t="s">
        <v>630</v>
      </c>
      <c r="N2139" s="128">
        <v>79517.375</v>
      </c>
      <c r="O2139" s="128">
        <f t="shared" si="93"/>
        <v>4532490.375</v>
      </c>
      <c r="P2139" s="89">
        <v>634</v>
      </c>
      <c r="Q2139" t="s">
        <v>47</v>
      </c>
      <c r="R2139" s="214" t="s">
        <v>1869</v>
      </c>
      <c r="S2139" s="214" t="s">
        <v>1861</v>
      </c>
      <c r="U2139" t="s">
        <v>1953</v>
      </c>
      <c r="V2139" t="s">
        <v>2813</v>
      </c>
    </row>
    <row r="2140" spans="1:22" ht="15.75" thickBot="1" x14ac:dyDescent="0.3">
      <c r="A2140" t="s">
        <v>4590</v>
      </c>
      <c r="B2140" t="s">
        <v>4590</v>
      </c>
      <c r="C2140" t="s">
        <v>4590</v>
      </c>
      <c r="D2140" t="s">
        <v>629</v>
      </c>
      <c r="E2140" s="248" t="s">
        <v>1951</v>
      </c>
      <c r="F2140" t="s">
        <v>620</v>
      </c>
      <c r="G2140" s="89">
        <v>2006</v>
      </c>
      <c r="H2140" s="312" t="s">
        <v>732</v>
      </c>
      <c r="I2140" s="308" t="str">
        <f t="shared" si="92"/>
        <v>Pesado de Passageiros M3: I : Gasóleo : E3</v>
      </c>
      <c r="J2140" s="125">
        <v>59</v>
      </c>
      <c r="K2140" s="253">
        <v>2022</v>
      </c>
      <c r="L2140" s="85">
        <v>26016.699999999997</v>
      </c>
      <c r="M2140" s="85" t="s">
        <v>630</v>
      </c>
      <c r="N2140" s="128">
        <v>72938.375</v>
      </c>
      <c r="O2140" s="128">
        <f t="shared" si="93"/>
        <v>4303364.125</v>
      </c>
      <c r="P2140" s="89">
        <v>635</v>
      </c>
      <c r="Q2140" t="s">
        <v>47</v>
      </c>
      <c r="R2140" s="214" t="s">
        <v>1869</v>
      </c>
      <c r="S2140" s="214" t="s">
        <v>1861</v>
      </c>
      <c r="U2140" t="s">
        <v>1953</v>
      </c>
      <c r="V2140" t="s">
        <v>2813</v>
      </c>
    </row>
    <row r="2141" spans="1:22" ht="15.75" thickBot="1" x14ac:dyDescent="0.3">
      <c r="A2141" t="s">
        <v>4590</v>
      </c>
      <c r="B2141" t="s">
        <v>4590</v>
      </c>
      <c r="C2141" t="s">
        <v>4590</v>
      </c>
      <c r="D2141" t="s">
        <v>629</v>
      </c>
      <c r="E2141" s="248" t="s">
        <v>1951</v>
      </c>
      <c r="F2141" t="s">
        <v>620</v>
      </c>
      <c r="G2141" s="89">
        <v>2006</v>
      </c>
      <c r="H2141" s="312" t="s">
        <v>732</v>
      </c>
      <c r="I2141" s="308" t="str">
        <f t="shared" si="92"/>
        <v>Pesado de Passageiros M3: I : Gasóleo : E3</v>
      </c>
      <c r="J2141" s="125">
        <v>59</v>
      </c>
      <c r="K2141" s="253">
        <v>2022</v>
      </c>
      <c r="L2141" s="85">
        <v>23124.689999999995</v>
      </c>
      <c r="M2141" s="85" t="s">
        <v>630</v>
      </c>
      <c r="N2141" s="128">
        <v>63275.60166666648</v>
      </c>
      <c r="O2141" s="128">
        <f t="shared" si="93"/>
        <v>3733260.4983333223</v>
      </c>
      <c r="P2141" s="89">
        <v>636</v>
      </c>
      <c r="Q2141" t="s">
        <v>47</v>
      </c>
      <c r="R2141" s="214" t="s">
        <v>1869</v>
      </c>
      <c r="S2141" s="214" t="s">
        <v>1861</v>
      </c>
      <c r="U2141" t="s">
        <v>1953</v>
      </c>
      <c r="V2141" t="s">
        <v>2813</v>
      </c>
    </row>
    <row r="2142" spans="1:22" ht="15.75" thickBot="1" x14ac:dyDescent="0.3">
      <c r="A2142" t="s">
        <v>4590</v>
      </c>
      <c r="B2142" t="s">
        <v>4590</v>
      </c>
      <c r="C2142" t="s">
        <v>4590</v>
      </c>
      <c r="D2142" t="s">
        <v>629</v>
      </c>
      <c r="E2142" s="248" t="s">
        <v>1951</v>
      </c>
      <c r="F2142" t="s">
        <v>620</v>
      </c>
      <c r="G2142" s="89">
        <v>2006</v>
      </c>
      <c r="H2142" s="312" t="s">
        <v>732</v>
      </c>
      <c r="I2142" s="308" t="str">
        <f t="shared" si="92"/>
        <v>Pesado de Passageiros M3: I : Gasóleo : E3</v>
      </c>
      <c r="J2142" s="125">
        <v>59</v>
      </c>
      <c r="K2142" s="253">
        <v>2022</v>
      </c>
      <c r="L2142" s="85">
        <v>24315.570000000007</v>
      </c>
      <c r="M2142" s="85" t="s">
        <v>630</v>
      </c>
      <c r="N2142" s="128">
        <v>61603.375</v>
      </c>
      <c r="O2142" s="128">
        <f t="shared" si="93"/>
        <v>3634599.125</v>
      </c>
      <c r="P2142" s="89">
        <v>637</v>
      </c>
      <c r="Q2142" t="s">
        <v>47</v>
      </c>
      <c r="R2142" s="214" t="s">
        <v>1869</v>
      </c>
      <c r="S2142" s="214" t="s">
        <v>1861</v>
      </c>
      <c r="U2142" t="s">
        <v>1953</v>
      </c>
      <c r="V2142" t="s">
        <v>2813</v>
      </c>
    </row>
    <row r="2143" spans="1:22" ht="15.75" thickBot="1" x14ac:dyDescent="0.3">
      <c r="A2143" t="s">
        <v>4590</v>
      </c>
      <c r="B2143" t="s">
        <v>4590</v>
      </c>
      <c r="C2143" t="s">
        <v>4590</v>
      </c>
      <c r="D2143" t="s">
        <v>629</v>
      </c>
      <c r="E2143" s="248" t="s">
        <v>1951</v>
      </c>
      <c r="F2143" t="s">
        <v>620</v>
      </c>
      <c r="G2143" s="89">
        <v>2006</v>
      </c>
      <c r="H2143" s="312" t="s">
        <v>732</v>
      </c>
      <c r="I2143" s="308" t="str">
        <f t="shared" si="92"/>
        <v>Pesado de Passageiros M3: I : Gasóleo : E3</v>
      </c>
      <c r="J2143" s="125">
        <v>59</v>
      </c>
      <c r="K2143" s="253">
        <v>2022</v>
      </c>
      <c r="L2143" s="85">
        <v>23455.89</v>
      </c>
      <c r="M2143" s="85" t="s">
        <v>630</v>
      </c>
      <c r="N2143" s="128">
        <v>55510.375</v>
      </c>
      <c r="O2143" s="128">
        <f t="shared" si="93"/>
        <v>3275112.125</v>
      </c>
      <c r="P2143" s="89">
        <v>638</v>
      </c>
      <c r="Q2143" t="s">
        <v>47</v>
      </c>
      <c r="R2143" s="214" t="s">
        <v>1869</v>
      </c>
      <c r="S2143" s="214" t="s">
        <v>1861</v>
      </c>
      <c r="U2143" t="s">
        <v>1953</v>
      </c>
      <c r="V2143" t="s">
        <v>2813</v>
      </c>
    </row>
    <row r="2144" spans="1:22" ht="15.75" thickBot="1" x14ac:dyDescent="0.3">
      <c r="A2144" t="s">
        <v>4590</v>
      </c>
      <c r="B2144" t="s">
        <v>4590</v>
      </c>
      <c r="C2144" t="s">
        <v>4590</v>
      </c>
      <c r="D2144" t="s">
        <v>629</v>
      </c>
      <c r="E2144" s="248" t="s">
        <v>1951</v>
      </c>
      <c r="F2144" t="s">
        <v>620</v>
      </c>
      <c r="G2144" s="89">
        <v>2006</v>
      </c>
      <c r="H2144" s="312" t="s">
        <v>732</v>
      </c>
      <c r="I2144" s="308" t="str">
        <f t="shared" si="92"/>
        <v>Pesado de Passageiros M3: I : Gasóleo : E3</v>
      </c>
      <c r="J2144" s="125">
        <v>59</v>
      </c>
      <c r="K2144" s="253">
        <v>2022</v>
      </c>
      <c r="L2144" s="85">
        <v>22217.090000000015</v>
      </c>
      <c r="M2144" s="85" t="s">
        <v>630</v>
      </c>
      <c r="N2144" s="128">
        <v>63295.375</v>
      </c>
      <c r="O2144" s="128">
        <f t="shared" si="93"/>
        <v>3734427.125</v>
      </c>
      <c r="P2144" s="89">
        <v>640</v>
      </c>
      <c r="Q2144" t="s">
        <v>47</v>
      </c>
      <c r="R2144" s="214" t="s">
        <v>1869</v>
      </c>
      <c r="S2144" s="214" t="s">
        <v>1861</v>
      </c>
      <c r="U2144" t="s">
        <v>1953</v>
      </c>
      <c r="V2144" t="s">
        <v>2813</v>
      </c>
    </row>
    <row r="2145" spans="1:22" ht="15.75" thickBot="1" x14ac:dyDescent="0.3">
      <c r="A2145" t="s">
        <v>4590</v>
      </c>
      <c r="B2145" t="s">
        <v>4590</v>
      </c>
      <c r="C2145" t="s">
        <v>4590</v>
      </c>
      <c r="D2145" t="s">
        <v>629</v>
      </c>
      <c r="E2145" s="248" t="s">
        <v>1951</v>
      </c>
      <c r="F2145" t="s">
        <v>620</v>
      </c>
      <c r="G2145" s="89">
        <v>2006</v>
      </c>
      <c r="H2145" s="312" t="s">
        <v>732</v>
      </c>
      <c r="I2145" s="308" t="str">
        <f t="shared" si="92"/>
        <v>Pesado de Passageiros M3: I : Gasóleo : E3</v>
      </c>
      <c r="J2145" s="125">
        <v>59</v>
      </c>
      <c r="K2145" s="253">
        <v>2022</v>
      </c>
      <c r="L2145" s="85">
        <v>19365.579999999976</v>
      </c>
      <c r="M2145" s="85" t="s">
        <v>630</v>
      </c>
      <c r="N2145" s="128">
        <v>53320.375</v>
      </c>
      <c r="O2145" s="128">
        <f t="shared" si="93"/>
        <v>3145902.125</v>
      </c>
      <c r="P2145" s="89">
        <v>641</v>
      </c>
      <c r="Q2145" t="s">
        <v>47</v>
      </c>
      <c r="R2145" s="214" t="s">
        <v>1869</v>
      </c>
      <c r="S2145" s="214" t="s">
        <v>1861</v>
      </c>
      <c r="U2145" t="s">
        <v>1953</v>
      </c>
      <c r="V2145" t="s">
        <v>2813</v>
      </c>
    </row>
    <row r="2146" spans="1:22" ht="15.75" thickBot="1" x14ac:dyDescent="0.3">
      <c r="A2146" t="s">
        <v>4590</v>
      </c>
      <c r="B2146" t="s">
        <v>4590</v>
      </c>
      <c r="C2146" t="s">
        <v>4590</v>
      </c>
      <c r="D2146" t="s">
        <v>629</v>
      </c>
      <c r="E2146" s="248" t="s">
        <v>1951</v>
      </c>
      <c r="F2146" t="s">
        <v>620</v>
      </c>
      <c r="G2146" s="89">
        <v>2006</v>
      </c>
      <c r="H2146" s="312" t="s">
        <v>732</v>
      </c>
      <c r="I2146" s="308" t="str">
        <f t="shared" si="92"/>
        <v>Pesado de Passageiros M3: I : Gasóleo : E3</v>
      </c>
      <c r="J2146" s="125">
        <v>59</v>
      </c>
      <c r="K2146" s="253">
        <v>2022</v>
      </c>
      <c r="L2146" s="85">
        <v>20000.069999999978</v>
      </c>
      <c r="M2146" s="85" t="s">
        <v>630</v>
      </c>
      <c r="N2146" s="128">
        <v>60025.375</v>
      </c>
      <c r="O2146" s="128">
        <f t="shared" si="93"/>
        <v>3541497.125</v>
      </c>
      <c r="P2146" s="89">
        <v>642</v>
      </c>
      <c r="Q2146" t="s">
        <v>47</v>
      </c>
      <c r="R2146" s="214" t="s">
        <v>1869</v>
      </c>
      <c r="S2146" s="214" t="s">
        <v>1861</v>
      </c>
      <c r="U2146" t="s">
        <v>1953</v>
      </c>
      <c r="V2146" t="s">
        <v>2813</v>
      </c>
    </row>
    <row r="2147" spans="1:22" ht="15.75" thickBot="1" x14ac:dyDescent="0.3">
      <c r="A2147" t="s">
        <v>4590</v>
      </c>
      <c r="B2147" t="s">
        <v>4590</v>
      </c>
      <c r="C2147" t="s">
        <v>4590</v>
      </c>
      <c r="D2147" t="s">
        <v>629</v>
      </c>
      <c r="E2147" s="248" t="s">
        <v>1951</v>
      </c>
      <c r="F2147" t="s">
        <v>620</v>
      </c>
      <c r="G2147" s="89">
        <v>2006</v>
      </c>
      <c r="H2147" s="312" t="s">
        <v>732</v>
      </c>
      <c r="I2147" s="308" t="str">
        <f t="shared" si="92"/>
        <v>Pesado de Passageiros M3: I : Gasóleo : E3</v>
      </c>
      <c r="J2147" s="125">
        <v>59</v>
      </c>
      <c r="K2147" s="253">
        <v>2022</v>
      </c>
      <c r="L2147" s="85">
        <v>23635.449999999993</v>
      </c>
      <c r="M2147" s="85" t="s">
        <v>630</v>
      </c>
      <c r="N2147" s="128">
        <v>51572.375</v>
      </c>
      <c r="O2147" s="128">
        <f t="shared" si="93"/>
        <v>3042770.125</v>
      </c>
      <c r="P2147" s="89">
        <v>643</v>
      </c>
      <c r="Q2147" t="s">
        <v>47</v>
      </c>
      <c r="R2147" s="214" t="s">
        <v>1869</v>
      </c>
      <c r="S2147" s="214" t="s">
        <v>1861</v>
      </c>
      <c r="U2147" t="s">
        <v>1953</v>
      </c>
      <c r="V2147" t="s">
        <v>2813</v>
      </c>
    </row>
    <row r="2148" spans="1:22" ht="15.75" thickBot="1" x14ac:dyDescent="0.3">
      <c r="A2148" t="s">
        <v>4590</v>
      </c>
      <c r="B2148" t="s">
        <v>4590</v>
      </c>
      <c r="C2148" t="s">
        <v>4590</v>
      </c>
      <c r="D2148" t="s">
        <v>629</v>
      </c>
      <c r="E2148" s="248" t="s">
        <v>1951</v>
      </c>
      <c r="F2148" t="s">
        <v>620</v>
      </c>
      <c r="G2148" s="89">
        <v>2007</v>
      </c>
      <c r="H2148" s="312" t="s">
        <v>732</v>
      </c>
      <c r="I2148" s="308" t="str">
        <f t="shared" si="92"/>
        <v>Pesado de Passageiros M3: I : Gasóleo : E3</v>
      </c>
      <c r="J2148" s="125">
        <v>59</v>
      </c>
      <c r="K2148" s="253">
        <v>2022</v>
      </c>
      <c r="L2148" s="85">
        <v>21010.06</v>
      </c>
      <c r="M2148" s="85" t="s">
        <v>630</v>
      </c>
      <c r="N2148" s="128">
        <v>53273.375</v>
      </c>
      <c r="O2148" s="128">
        <f t="shared" si="93"/>
        <v>3143129.125</v>
      </c>
      <c r="P2148" s="89">
        <v>644</v>
      </c>
      <c r="Q2148" t="s">
        <v>47</v>
      </c>
      <c r="R2148" s="214" t="s">
        <v>1869</v>
      </c>
      <c r="S2148" s="214" t="s">
        <v>1861</v>
      </c>
      <c r="U2148" t="s">
        <v>1953</v>
      </c>
      <c r="V2148" t="s">
        <v>2813</v>
      </c>
    </row>
    <row r="2149" spans="1:22" ht="15.75" thickBot="1" x14ac:dyDescent="0.3">
      <c r="A2149" t="s">
        <v>4590</v>
      </c>
      <c r="B2149" t="s">
        <v>4590</v>
      </c>
      <c r="C2149" t="s">
        <v>4590</v>
      </c>
      <c r="D2149" t="s">
        <v>629</v>
      </c>
      <c r="E2149" s="248" t="s">
        <v>1951</v>
      </c>
      <c r="F2149" t="s">
        <v>620</v>
      </c>
      <c r="G2149" s="89">
        <v>2007</v>
      </c>
      <c r="H2149" s="312" t="s">
        <v>732</v>
      </c>
      <c r="I2149" s="308" t="str">
        <f t="shared" si="92"/>
        <v>Pesado de Passageiros M3: I : Gasóleo : E3</v>
      </c>
      <c r="J2149" s="125">
        <v>59</v>
      </c>
      <c r="K2149" s="253">
        <v>2022</v>
      </c>
      <c r="L2149" s="85">
        <v>21346.899999999991</v>
      </c>
      <c r="M2149" s="85" t="s">
        <v>630</v>
      </c>
      <c r="N2149" s="128">
        <v>59530.375</v>
      </c>
      <c r="O2149" s="128">
        <f t="shared" si="93"/>
        <v>3512292.125</v>
      </c>
      <c r="P2149" s="89">
        <v>646</v>
      </c>
      <c r="Q2149" t="s">
        <v>47</v>
      </c>
      <c r="R2149" s="214" t="s">
        <v>1869</v>
      </c>
      <c r="S2149" s="214" t="s">
        <v>1861</v>
      </c>
      <c r="U2149" t="s">
        <v>1953</v>
      </c>
      <c r="V2149" t="s">
        <v>2813</v>
      </c>
    </row>
    <row r="2150" spans="1:22" ht="15.75" thickBot="1" x14ac:dyDescent="0.3">
      <c r="A2150" t="s">
        <v>4590</v>
      </c>
      <c r="B2150" t="s">
        <v>4590</v>
      </c>
      <c r="C2150" t="s">
        <v>4590</v>
      </c>
      <c r="D2150" t="s">
        <v>629</v>
      </c>
      <c r="E2150" s="248" t="s">
        <v>1951</v>
      </c>
      <c r="F2150" t="s">
        <v>620</v>
      </c>
      <c r="G2150" s="89">
        <v>2007</v>
      </c>
      <c r="H2150" s="312" t="s">
        <v>732</v>
      </c>
      <c r="I2150" s="308" t="str">
        <f t="shared" si="92"/>
        <v>Pesado de Passageiros M3: I : Gasóleo : E3</v>
      </c>
      <c r="J2150" s="125">
        <v>59</v>
      </c>
      <c r="K2150" s="253">
        <v>2022</v>
      </c>
      <c r="L2150" s="85">
        <v>27702.409999999974</v>
      </c>
      <c r="M2150" s="85" t="s">
        <v>630</v>
      </c>
      <c r="N2150" s="128">
        <v>73962.375</v>
      </c>
      <c r="O2150" s="128">
        <f t="shared" si="93"/>
        <v>4363780.125</v>
      </c>
      <c r="P2150" s="89">
        <v>647</v>
      </c>
      <c r="Q2150" t="s">
        <v>47</v>
      </c>
      <c r="R2150" s="214" t="s">
        <v>1869</v>
      </c>
      <c r="S2150" s="214" t="s">
        <v>1861</v>
      </c>
      <c r="U2150" t="s">
        <v>1953</v>
      </c>
      <c r="V2150" t="s">
        <v>2813</v>
      </c>
    </row>
    <row r="2151" spans="1:22" ht="15.75" thickBot="1" x14ac:dyDescent="0.3">
      <c r="A2151" t="s">
        <v>4590</v>
      </c>
      <c r="B2151" t="s">
        <v>4590</v>
      </c>
      <c r="C2151" t="s">
        <v>4590</v>
      </c>
      <c r="D2151" t="s">
        <v>629</v>
      </c>
      <c r="E2151" s="248" t="s">
        <v>1951</v>
      </c>
      <c r="F2151" t="s">
        <v>620</v>
      </c>
      <c r="G2151" s="89">
        <v>2007</v>
      </c>
      <c r="H2151" s="312" t="s">
        <v>731</v>
      </c>
      <c r="I2151" s="308" t="str">
        <f t="shared" si="92"/>
        <v>Pesado de Passageiros M3: I : Gasóleo : E4</v>
      </c>
      <c r="J2151" s="125">
        <v>59</v>
      </c>
      <c r="K2151" s="253">
        <v>2022</v>
      </c>
      <c r="L2151" s="85">
        <v>25357.210000000017</v>
      </c>
      <c r="M2151" s="85" t="s">
        <v>630</v>
      </c>
      <c r="N2151" s="128">
        <v>70190.375</v>
      </c>
      <c r="O2151" s="128">
        <f t="shared" si="93"/>
        <v>4141232.125</v>
      </c>
      <c r="P2151" s="89">
        <v>648</v>
      </c>
      <c r="Q2151" t="s">
        <v>47</v>
      </c>
      <c r="R2151" s="214" t="s">
        <v>1869</v>
      </c>
      <c r="S2151" s="214" t="s">
        <v>1861</v>
      </c>
      <c r="U2151" t="s">
        <v>1953</v>
      </c>
      <c r="V2151" t="s">
        <v>2813</v>
      </c>
    </row>
    <row r="2152" spans="1:22" ht="15.75" thickBot="1" x14ac:dyDescent="0.3">
      <c r="A2152" t="s">
        <v>4590</v>
      </c>
      <c r="B2152" t="s">
        <v>4590</v>
      </c>
      <c r="C2152" t="s">
        <v>4590</v>
      </c>
      <c r="D2152" t="s">
        <v>629</v>
      </c>
      <c r="E2152" s="248" t="s">
        <v>1951</v>
      </c>
      <c r="F2152" t="s">
        <v>620</v>
      </c>
      <c r="G2152" s="89">
        <v>2007</v>
      </c>
      <c r="H2152" s="312" t="s">
        <v>731</v>
      </c>
      <c r="I2152" s="308" t="str">
        <f t="shared" si="92"/>
        <v>Pesado de Passageiros M3: I : Gasóleo : E4</v>
      </c>
      <c r="J2152" s="125">
        <v>54</v>
      </c>
      <c r="K2152" s="253">
        <v>2022</v>
      </c>
      <c r="L2152" s="85">
        <v>13134.260000000006</v>
      </c>
      <c r="M2152" s="85" t="s">
        <v>630</v>
      </c>
      <c r="N2152" s="128">
        <v>30760.310742971895</v>
      </c>
      <c r="O2152" s="128">
        <f t="shared" si="93"/>
        <v>1661056.7801204822</v>
      </c>
      <c r="P2152" s="89">
        <v>671</v>
      </c>
      <c r="Q2152" t="s">
        <v>47</v>
      </c>
      <c r="R2152" s="214" t="s">
        <v>1869</v>
      </c>
      <c r="S2152" s="214" t="s">
        <v>1861</v>
      </c>
      <c r="U2152" t="s">
        <v>1953</v>
      </c>
      <c r="V2152" t="s">
        <v>2813</v>
      </c>
    </row>
    <row r="2153" spans="1:22" ht="15.75" thickBot="1" x14ac:dyDescent="0.3">
      <c r="A2153" t="s">
        <v>4590</v>
      </c>
      <c r="B2153" t="s">
        <v>4590</v>
      </c>
      <c r="C2153" t="s">
        <v>4590</v>
      </c>
      <c r="D2153" t="s">
        <v>629</v>
      </c>
      <c r="E2153" s="248" t="s">
        <v>1951</v>
      </c>
      <c r="F2153" t="s">
        <v>620</v>
      </c>
      <c r="G2153" s="89">
        <v>2007</v>
      </c>
      <c r="H2153" s="312" t="s">
        <v>731</v>
      </c>
      <c r="I2153" s="308" t="str">
        <f t="shared" si="92"/>
        <v>Pesado de Passageiros M3: I : Gasóleo : E4</v>
      </c>
      <c r="J2153" s="125">
        <v>54</v>
      </c>
      <c r="K2153" s="253">
        <v>2022</v>
      </c>
      <c r="L2153" s="85">
        <v>24096.130000000016</v>
      </c>
      <c r="M2153" s="85" t="s">
        <v>630</v>
      </c>
      <c r="N2153" s="128">
        <v>60805.492647059029</v>
      </c>
      <c r="O2153" s="128">
        <f t="shared" si="93"/>
        <v>3283496.6029411876</v>
      </c>
      <c r="P2153" s="89">
        <v>672</v>
      </c>
      <c r="Q2153" t="s">
        <v>47</v>
      </c>
      <c r="R2153" s="214" t="s">
        <v>1869</v>
      </c>
      <c r="S2153" s="214" t="s">
        <v>1861</v>
      </c>
      <c r="U2153" t="s">
        <v>1953</v>
      </c>
      <c r="V2153" t="s">
        <v>2813</v>
      </c>
    </row>
    <row r="2154" spans="1:22" ht="15.75" thickBot="1" x14ac:dyDescent="0.3">
      <c r="A2154" t="s">
        <v>4590</v>
      </c>
      <c r="B2154" t="s">
        <v>4590</v>
      </c>
      <c r="C2154" t="s">
        <v>4590</v>
      </c>
      <c r="D2154" t="s">
        <v>629</v>
      </c>
      <c r="E2154" s="248" t="s">
        <v>1951</v>
      </c>
      <c r="F2154" t="s">
        <v>620</v>
      </c>
      <c r="G2154" s="89">
        <v>2007</v>
      </c>
      <c r="H2154" s="312" t="s">
        <v>731</v>
      </c>
      <c r="I2154" s="308" t="str">
        <f t="shared" si="92"/>
        <v>Pesado de Passageiros M3: I : Gasóleo : E4</v>
      </c>
      <c r="J2154" s="125">
        <v>54</v>
      </c>
      <c r="K2154" s="253">
        <v>2022</v>
      </c>
      <c r="L2154" s="85">
        <v>28764.589999999982</v>
      </c>
      <c r="M2154" s="85" t="s">
        <v>630</v>
      </c>
      <c r="N2154" s="128">
        <v>68029.508333333331</v>
      </c>
      <c r="O2154" s="128">
        <f t="shared" si="93"/>
        <v>3673593.4499999997</v>
      </c>
      <c r="P2154" s="89">
        <v>673</v>
      </c>
      <c r="Q2154" t="s">
        <v>47</v>
      </c>
      <c r="R2154" s="214" t="s">
        <v>1869</v>
      </c>
      <c r="S2154" s="214" t="s">
        <v>1861</v>
      </c>
      <c r="U2154" t="s">
        <v>1953</v>
      </c>
      <c r="V2154" t="s">
        <v>2813</v>
      </c>
    </row>
    <row r="2155" spans="1:22" ht="15.75" thickBot="1" x14ac:dyDescent="0.3">
      <c r="A2155" t="s">
        <v>4590</v>
      </c>
      <c r="B2155" t="s">
        <v>4590</v>
      </c>
      <c r="C2155" t="s">
        <v>4590</v>
      </c>
      <c r="D2155" t="s">
        <v>629</v>
      </c>
      <c r="E2155" s="248" t="s">
        <v>1951</v>
      </c>
      <c r="F2155" t="s">
        <v>620</v>
      </c>
      <c r="G2155" s="89">
        <v>2007</v>
      </c>
      <c r="H2155" s="312" t="s">
        <v>731</v>
      </c>
      <c r="I2155" s="308" t="str">
        <f t="shared" si="92"/>
        <v>Pesado de Passageiros M3: I : Gasóleo : E4</v>
      </c>
      <c r="J2155" s="125">
        <v>54</v>
      </c>
      <c r="K2155" s="253">
        <v>2022</v>
      </c>
      <c r="L2155" s="85">
        <v>3795.52</v>
      </c>
      <c r="M2155" s="85" t="s">
        <v>630</v>
      </c>
      <c r="N2155" s="128">
        <v>20828.375</v>
      </c>
      <c r="O2155" s="128">
        <f t="shared" si="93"/>
        <v>1124732.25</v>
      </c>
      <c r="P2155" s="89">
        <v>301</v>
      </c>
      <c r="Q2155" t="s">
        <v>47</v>
      </c>
      <c r="R2155" s="214" t="s">
        <v>1869</v>
      </c>
      <c r="S2155" s="214" t="s">
        <v>1861</v>
      </c>
      <c r="U2155" t="s">
        <v>1953</v>
      </c>
      <c r="V2155" t="s">
        <v>2813</v>
      </c>
    </row>
    <row r="2156" spans="1:22" ht="15.75" thickBot="1" x14ac:dyDescent="0.3">
      <c r="A2156" t="s">
        <v>4590</v>
      </c>
      <c r="B2156" t="s">
        <v>4590</v>
      </c>
      <c r="C2156" t="s">
        <v>4590</v>
      </c>
      <c r="D2156" t="s">
        <v>629</v>
      </c>
      <c r="E2156" s="248" t="s">
        <v>1951</v>
      </c>
      <c r="F2156" t="s">
        <v>620</v>
      </c>
      <c r="G2156" s="89">
        <v>2008</v>
      </c>
      <c r="H2156" s="312" t="s">
        <v>731</v>
      </c>
      <c r="I2156" s="308" t="str">
        <f t="shared" si="92"/>
        <v>Pesado de Passageiros M3: I : Gasóleo : E4</v>
      </c>
      <c r="J2156" s="125">
        <v>54</v>
      </c>
      <c r="K2156" s="253">
        <v>2022</v>
      </c>
      <c r="L2156" s="85">
        <v>3324.45</v>
      </c>
      <c r="M2156" s="85" t="s">
        <v>630</v>
      </c>
      <c r="N2156" s="128">
        <v>16678.375</v>
      </c>
      <c r="O2156" s="128">
        <f t="shared" si="93"/>
        <v>900632.25</v>
      </c>
      <c r="P2156" s="89">
        <v>302</v>
      </c>
      <c r="Q2156" t="s">
        <v>47</v>
      </c>
      <c r="R2156" s="214" t="s">
        <v>1869</v>
      </c>
      <c r="S2156" s="214" t="s">
        <v>1861</v>
      </c>
      <c r="U2156" t="s">
        <v>1953</v>
      </c>
      <c r="V2156" t="s">
        <v>2813</v>
      </c>
    </row>
    <row r="2157" spans="1:22" ht="15.75" thickBot="1" x14ac:dyDescent="0.3">
      <c r="A2157" t="s">
        <v>4590</v>
      </c>
      <c r="B2157" t="s">
        <v>4590</v>
      </c>
      <c r="C2157" t="s">
        <v>4590</v>
      </c>
      <c r="D2157" t="s">
        <v>629</v>
      </c>
      <c r="E2157" s="248" t="s">
        <v>1951</v>
      </c>
      <c r="F2157" t="s">
        <v>620</v>
      </c>
      <c r="G2157" s="89">
        <v>2009</v>
      </c>
      <c r="H2157" s="312" t="s">
        <v>731</v>
      </c>
      <c r="I2157" s="308" t="str">
        <f t="shared" si="92"/>
        <v>Pesado de Passageiros M3: I : Gasóleo : E4</v>
      </c>
      <c r="J2157" s="125">
        <v>22</v>
      </c>
      <c r="K2157" s="253">
        <v>2022</v>
      </c>
      <c r="L2157" s="85">
        <v>8979.7899999999954</v>
      </c>
      <c r="M2157" s="85" t="s">
        <v>630</v>
      </c>
      <c r="N2157" s="128">
        <v>41681.375</v>
      </c>
      <c r="O2157" s="128">
        <f t="shared" si="93"/>
        <v>916990.25</v>
      </c>
      <c r="P2157" s="89">
        <v>304</v>
      </c>
      <c r="Q2157" t="s">
        <v>47</v>
      </c>
      <c r="R2157" s="214" t="s">
        <v>1869</v>
      </c>
      <c r="S2157" s="214" t="s">
        <v>1861</v>
      </c>
      <c r="U2157" t="s">
        <v>1953</v>
      </c>
      <c r="V2157" t="s">
        <v>2813</v>
      </c>
    </row>
    <row r="2158" spans="1:22" ht="15.75" thickBot="1" x14ac:dyDescent="0.3">
      <c r="A2158" t="s">
        <v>4590</v>
      </c>
      <c r="B2158" t="s">
        <v>4590</v>
      </c>
      <c r="C2158" t="s">
        <v>4590</v>
      </c>
      <c r="D2158" t="s">
        <v>629</v>
      </c>
      <c r="E2158" s="248" t="s">
        <v>1951</v>
      </c>
      <c r="F2158" t="s">
        <v>620</v>
      </c>
      <c r="G2158" s="89">
        <v>2009</v>
      </c>
      <c r="H2158" s="312" t="s">
        <v>731</v>
      </c>
      <c r="I2158" s="308" t="str">
        <f t="shared" si="92"/>
        <v>Pesado de Passageiros M3: I : Gasóleo : E4</v>
      </c>
      <c r="J2158" s="125">
        <v>22</v>
      </c>
      <c r="K2158" s="253">
        <v>2022</v>
      </c>
      <c r="L2158" s="85">
        <v>10410.950000000006</v>
      </c>
      <c r="M2158" s="85" t="s">
        <v>630</v>
      </c>
      <c r="N2158" s="128">
        <v>55239.375</v>
      </c>
      <c r="O2158" s="128">
        <f t="shared" si="93"/>
        <v>1215266.25</v>
      </c>
      <c r="P2158" s="89">
        <v>305</v>
      </c>
      <c r="Q2158" t="s">
        <v>47</v>
      </c>
      <c r="R2158" s="214" t="s">
        <v>1869</v>
      </c>
      <c r="S2158" s="214" t="s">
        <v>1861</v>
      </c>
      <c r="U2158" t="s">
        <v>1953</v>
      </c>
      <c r="V2158" t="s">
        <v>2813</v>
      </c>
    </row>
    <row r="2159" spans="1:22" ht="15.75" thickBot="1" x14ac:dyDescent="0.3">
      <c r="A2159" t="s">
        <v>4590</v>
      </c>
      <c r="B2159" t="s">
        <v>4590</v>
      </c>
      <c r="C2159" t="s">
        <v>4590</v>
      </c>
      <c r="D2159" t="s">
        <v>629</v>
      </c>
      <c r="E2159" s="248" t="s">
        <v>1951</v>
      </c>
      <c r="F2159" t="s">
        <v>620</v>
      </c>
      <c r="G2159" s="89">
        <v>2003</v>
      </c>
      <c r="H2159" s="312" t="s">
        <v>732</v>
      </c>
      <c r="I2159" s="308" t="str">
        <f t="shared" si="92"/>
        <v>Pesado de Passageiros M3: I : Gasóleo : E3</v>
      </c>
      <c r="J2159" s="125">
        <v>34</v>
      </c>
      <c r="K2159" s="253">
        <v>2022</v>
      </c>
      <c r="L2159" s="85">
        <v>6417.760000000002</v>
      </c>
      <c r="M2159" s="85" t="s">
        <v>630</v>
      </c>
      <c r="N2159" s="128">
        <v>32288.375</v>
      </c>
      <c r="O2159" s="128">
        <f t="shared" si="93"/>
        <v>1097804.75</v>
      </c>
      <c r="P2159" s="89">
        <v>288</v>
      </c>
      <c r="Q2159" t="s">
        <v>47</v>
      </c>
      <c r="R2159" s="214" t="s">
        <v>1869</v>
      </c>
      <c r="S2159" s="214" t="s">
        <v>1861</v>
      </c>
      <c r="U2159" t="s">
        <v>1953</v>
      </c>
      <c r="V2159" t="s">
        <v>2813</v>
      </c>
    </row>
    <row r="2160" spans="1:22" ht="15.75" thickBot="1" x14ac:dyDescent="0.3">
      <c r="A2160" t="s">
        <v>4590</v>
      </c>
      <c r="B2160" t="s">
        <v>4590</v>
      </c>
      <c r="C2160" t="s">
        <v>4590</v>
      </c>
      <c r="D2160" t="s">
        <v>629</v>
      </c>
      <c r="E2160" s="248" t="s">
        <v>1951</v>
      </c>
      <c r="F2160" t="s">
        <v>620</v>
      </c>
      <c r="G2160" s="89">
        <v>2022</v>
      </c>
      <c r="H2160" s="312" t="s">
        <v>733</v>
      </c>
      <c r="I2160" s="308" t="str">
        <f t="shared" si="92"/>
        <v>Pesado de Passageiros M3: I : Gasóleo : E6</v>
      </c>
      <c r="J2160" s="125">
        <v>25</v>
      </c>
      <c r="K2160" s="253">
        <v>2022</v>
      </c>
      <c r="L2160" s="85">
        <v>309.14</v>
      </c>
      <c r="M2160" s="85" t="s">
        <v>630</v>
      </c>
      <c r="N2160" s="128">
        <v>5313.375</v>
      </c>
      <c r="O2160" s="128">
        <f t="shared" si="93"/>
        <v>132834.375</v>
      </c>
      <c r="P2160" s="89">
        <v>1700</v>
      </c>
      <c r="Q2160" t="s">
        <v>47</v>
      </c>
      <c r="R2160" s="214" t="s">
        <v>1869</v>
      </c>
      <c r="S2160" s="214" t="s">
        <v>1861</v>
      </c>
      <c r="U2160" t="s">
        <v>1953</v>
      </c>
      <c r="V2160" t="s">
        <v>2813</v>
      </c>
    </row>
    <row r="2161" spans="1:22" ht="15.75" thickBot="1" x14ac:dyDescent="0.3">
      <c r="A2161" t="s">
        <v>4590</v>
      </c>
      <c r="B2161" t="s">
        <v>4590</v>
      </c>
      <c r="C2161" t="s">
        <v>4590</v>
      </c>
      <c r="D2161" t="s">
        <v>629</v>
      </c>
      <c r="E2161" s="248" t="s">
        <v>1951</v>
      </c>
      <c r="F2161" t="s">
        <v>620</v>
      </c>
      <c r="G2161" s="89">
        <v>2022</v>
      </c>
      <c r="H2161" s="312" t="s">
        <v>733</v>
      </c>
      <c r="I2161" s="308" t="str">
        <f t="shared" si="92"/>
        <v>Pesado de Passageiros M3: I : Gasóleo : E6</v>
      </c>
      <c r="J2161" s="125">
        <v>25</v>
      </c>
      <c r="K2161" s="253">
        <v>2022</v>
      </c>
      <c r="L2161" s="85">
        <v>2085.66</v>
      </c>
      <c r="M2161" s="85" t="s">
        <v>630</v>
      </c>
      <c r="N2161" s="128">
        <v>14234.375</v>
      </c>
      <c r="O2161" s="128">
        <f t="shared" si="93"/>
        <v>355859.375</v>
      </c>
      <c r="P2161" s="89">
        <v>1701</v>
      </c>
      <c r="Q2161" t="s">
        <v>47</v>
      </c>
      <c r="R2161" s="214" t="s">
        <v>1869</v>
      </c>
      <c r="S2161" s="214" t="s">
        <v>1861</v>
      </c>
      <c r="U2161" t="s">
        <v>1953</v>
      </c>
      <c r="V2161" t="s">
        <v>2813</v>
      </c>
    </row>
    <row r="2162" spans="1:22" ht="15.75" thickBot="1" x14ac:dyDescent="0.3">
      <c r="A2162" t="s">
        <v>4590</v>
      </c>
      <c r="B2162" t="s">
        <v>4590</v>
      </c>
      <c r="C2162" t="s">
        <v>4590</v>
      </c>
      <c r="D2162" t="s">
        <v>629</v>
      </c>
      <c r="E2162" s="248" t="s">
        <v>1951</v>
      </c>
      <c r="F2162" t="s">
        <v>620</v>
      </c>
      <c r="G2162" s="89">
        <v>2022</v>
      </c>
      <c r="H2162" s="312" t="s">
        <v>733</v>
      </c>
      <c r="I2162" s="308" t="str">
        <f t="shared" si="92"/>
        <v>Pesado de Passageiros M3: I : Gasóleo : E6</v>
      </c>
      <c r="J2162" s="125">
        <v>25</v>
      </c>
      <c r="K2162" s="253">
        <v>2022</v>
      </c>
      <c r="L2162" s="85">
        <v>3990.1999999999975</v>
      </c>
      <c r="M2162" s="85" t="s">
        <v>630</v>
      </c>
      <c r="N2162" s="128">
        <v>26786.375</v>
      </c>
      <c r="O2162" s="128">
        <f t="shared" si="93"/>
        <v>669659.375</v>
      </c>
      <c r="P2162" s="89">
        <v>1702</v>
      </c>
      <c r="Q2162" t="s">
        <v>47</v>
      </c>
      <c r="R2162" s="214" t="s">
        <v>1869</v>
      </c>
      <c r="S2162" s="214" t="s">
        <v>1861</v>
      </c>
      <c r="U2162" t="s">
        <v>1953</v>
      </c>
      <c r="V2162" t="s">
        <v>2813</v>
      </c>
    </row>
    <row r="2163" spans="1:22" ht="15.75" thickBot="1" x14ac:dyDescent="0.3">
      <c r="A2163" t="s">
        <v>4590</v>
      </c>
      <c r="B2163" t="s">
        <v>4590</v>
      </c>
      <c r="C2163" t="s">
        <v>4590</v>
      </c>
      <c r="D2163" t="s">
        <v>629</v>
      </c>
      <c r="E2163" s="248" t="s">
        <v>1951</v>
      </c>
      <c r="F2163" t="s">
        <v>620</v>
      </c>
      <c r="G2163" s="89">
        <v>2022</v>
      </c>
      <c r="H2163" s="312" t="s">
        <v>733</v>
      </c>
      <c r="I2163" s="308" t="str">
        <f t="shared" si="92"/>
        <v>Pesado de Passageiros M3: I : Gasóleo : E6</v>
      </c>
      <c r="J2163" s="125">
        <v>25</v>
      </c>
      <c r="K2163" s="253">
        <v>2022</v>
      </c>
      <c r="L2163" s="85">
        <v>1167.9100000000001</v>
      </c>
      <c r="M2163" s="85" t="s">
        <v>630</v>
      </c>
      <c r="N2163" s="128">
        <v>10414.375</v>
      </c>
      <c r="O2163" s="128">
        <f t="shared" si="93"/>
        <v>260359.375</v>
      </c>
      <c r="P2163" s="89">
        <v>1703</v>
      </c>
      <c r="Q2163" t="s">
        <v>47</v>
      </c>
      <c r="R2163" s="214" t="s">
        <v>1869</v>
      </c>
      <c r="S2163" s="214" t="s">
        <v>1861</v>
      </c>
      <c r="U2163" t="s">
        <v>1953</v>
      </c>
      <c r="V2163" t="s">
        <v>2813</v>
      </c>
    </row>
    <row r="2164" spans="1:22" ht="15.75" thickBot="1" x14ac:dyDescent="0.3">
      <c r="A2164" t="s">
        <v>4590</v>
      </c>
      <c r="B2164" t="s">
        <v>4590</v>
      </c>
      <c r="C2164" t="s">
        <v>4590</v>
      </c>
      <c r="D2164" t="s">
        <v>629</v>
      </c>
      <c r="E2164" s="248" t="s">
        <v>1951</v>
      </c>
      <c r="F2164" t="s">
        <v>620</v>
      </c>
      <c r="G2164" s="89">
        <v>2022</v>
      </c>
      <c r="H2164" s="312" t="s">
        <v>733</v>
      </c>
      <c r="I2164" s="308" t="str">
        <f t="shared" si="92"/>
        <v>Pesado de Passageiros M3: I : Gasóleo : E6</v>
      </c>
      <c r="J2164" s="125">
        <v>25</v>
      </c>
      <c r="K2164" s="253">
        <v>2022</v>
      </c>
      <c r="L2164" s="85">
        <v>2107.0899999999997</v>
      </c>
      <c r="M2164" s="85" t="s">
        <v>630</v>
      </c>
      <c r="N2164" s="128">
        <v>14519.375</v>
      </c>
      <c r="O2164" s="128">
        <f t="shared" si="93"/>
        <v>362984.375</v>
      </c>
      <c r="P2164" s="89">
        <v>1704</v>
      </c>
      <c r="Q2164" t="s">
        <v>47</v>
      </c>
      <c r="R2164" s="214" t="s">
        <v>1869</v>
      </c>
      <c r="S2164" s="214" t="s">
        <v>1861</v>
      </c>
      <c r="U2164" t="s">
        <v>1953</v>
      </c>
      <c r="V2164" t="s">
        <v>2813</v>
      </c>
    </row>
    <row r="2165" spans="1:22" ht="15.75" thickBot="1" x14ac:dyDescent="0.3">
      <c r="A2165" t="s">
        <v>4590</v>
      </c>
      <c r="B2165" t="s">
        <v>4590</v>
      </c>
      <c r="C2165" t="s">
        <v>4590</v>
      </c>
      <c r="D2165" t="s">
        <v>629</v>
      </c>
      <c r="E2165" s="248" t="s">
        <v>1951</v>
      </c>
      <c r="F2165" t="s">
        <v>620</v>
      </c>
      <c r="G2165" s="89">
        <v>2022</v>
      </c>
      <c r="H2165" s="312" t="s">
        <v>733</v>
      </c>
      <c r="I2165" s="308" t="str">
        <f t="shared" si="92"/>
        <v>Pesado de Passageiros M3: I : Gasóleo : E6</v>
      </c>
      <c r="J2165" s="125">
        <v>25</v>
      </c>
      <c r="K2165" s="253">
        <v>2022</v>
      </c>
      <c r="L2165" s="85">
        <v>3923.1200000000003</v>
      </c>
      <c r="M2165" s="85" t="s">
        <v>630</v>
      </c>
      <c r="N2165" s="128">
        <v>24362.375</v>
      </c>
      <c r="O2165" s="128">
        <f t="shared" si="93"/>
        <v>609059.375</v>
      </c>
      <c r="P2165" s="89">
        <v>1705</v>
      </c>
      <c r="Q2165" t="s">
        <v>47</v>
      </c>
      <c r="R2165" s="214" t="s">
        <v>1869</v>
      </c>
      <c r="S2165" s="214" t="s">
        <v>1861</v>
      </c>
      <c r="U2165" t="s">
        <v>1953</v>
      </c>
      <c r="V2165" t="s">
        <v>2813</v>
      </c>
    </row>
    <row r="2166" spans="1:22" ht="15.75" thickBot="1" x14ac:dyDescent="0.3">
      <c r="A2166" t="s">
        <v>4590</v>
      </c>
      <c r="B2166" t="s">
        <v>4590</v>
      </c>
      <c r="C2166" t="s">
        <v>4590</v>
      </c>
      <c r="D2166" t="s">
        <v>629</v>
      </c>
      <c r="E2166" s="248" t="s">
        <v>1951</v>
      </c>
      <c r="F2166" t="s">
        <v>620</v>
      </c>
      <c r="G2166" s="89">
        <v>2022</v>
      </c>
      <c r="H2166" s="312" t="s">
        <v>733</v>
      </c>
      <c r="I2166" s="308" t="str">
        <f t="shared" si="92"/>
        <v>Pesado de Passageiros M3: I : Gasóleo : E6</v>
      </c>
      <c r="J2166" s="125">
        <v>25</v>
      </c>
      <c r="K2166" s="253">
        <v>2022</v>
      </c>
      <c r="L2166" s="85">
        <v>3428.83</v>
      </c>
      <c r="M2166" s="85" t="s">
        <v>630</v>
      </c>
      <c r="N2166" s="128">
        <v>19773.375</v>
      </c>
      <c r="O2166" s="128">
        <f t="shared" si="93"/>
        <v>494334.375</v>
      </c>
      <c r="P2166" s="89">
        <v>1706</v>
      </c>
      <c r="Q2166" t="s">
        <v>47</v>
      </c>
      <c r="R2166" s="214" t="s">
        <v>1869</v>
      </c>
      <c r="S2166" s="214" t="s">
        <v>1861</v>
      </c>
      <c r="U2166" t="s">
        <v>1953</v>
      </c>
      <c r="V2166" t="s">
        <v>2813</v>
      </c>
    </row>
    <row r="2167" spans="1:22" ht="15.75" thickBot="1" x14ac:dyDescent="0.3">
      <c r="A2167" t="s">
        <v>4590</v>
      </c>
      <c r="B2167" t="s">
        <v>4590</v>
      </c>
      <c r="C2167" t="s">
        <v>4590</v>
      </c>
      <c r="D2167" t="s">
        <v>629</v>
      </c>
      <c r="E2167" s="248" t="s">
        <v>1951</v>
      </c>
      <c r="F2167" t="s">
        <v>620</v>
      </c>
      <c r="G2167" s="89">
        <v>2022</v>
      </c>
      <c r="H2167" s="312" t="s">
        <v>733</v>
      </c>
      <c r="I2167" s="308" t="str">
        <f t="shared" si="92"/>
        <v>Pesado de Passageiros M3: I : Gasóleo : E6</v>
      </c>
      <c r="J2167" s="125">
        <v>25</v>
      </c>
      <c r="K2167" s="253">
        <v>2022</v>
      </c>
      <c r="L2167" s="85">
        <v>3884.9799999999977</v>
      </c>
      <c r="M2167" s="85" t="s">
        <v>630</v>
      </c>
      <c r="N2167" s="128">
        <v>23003.375</v>
      </c>
      <c r="O2167" s="128">
        <f t="shared" si="93"/>
        <v>575084.375</v>
      </c>
      <c r="P2167" s="89">
        <v>1707</v>
      </c>
      <c r="Q2167" t="s">
        <v>47</v>
      </c>
      <c r="R2167" s="214" t="s">
        <v>1869</v>
      </c>
      <c r="S2167" s="214" t="s">
        <v>1861</v>
      </c>
      <c r="U2167" t="s">
        <v>1953</v>
      </c>
      <c r="V2167" t="s">
        <v>2813</v>
      </c>
    </row>
    <row r="2168" spans="1:22" ht="15.75" thickBot="1" x14ac:dyDescent="0.3">
      <c r="A2168" t="s">
        <v>4590</v>
      </c>
      <c r="B2168" t="s">
        <v>4590</v>
      </c>
      <c r="C2168" t="s">
        <v>4590</v>
      </c>
      <c r="D2168" t="s">
        <v>629</v>
      </c>
      <c r="E2168" s="248" t="s">
        <v>1951</v>
      </c>
      <c r="F2168" t="s">
        <v>620</v>
      </c>
      <c r="G2168" s="89">
        <v>2022</v>
      </c>
      <c r="H2168" s="312" t="s">
        <v>733</v>
      </c>
      <c r="I2168" s="308" t="str">
        <f t="shared" si="92"/>
        <v>Pesado de Passageiros M3: I : Gasóleo : E6</v>
      </c>
      <c r="J2168" s="125">
        <v>25</v>
      </c>
      <c r="K2168" s="253">
        <v>2022</v>
      </c>
      <c r="L2168" s="85">
        <v>1987.5100000000007</v>
      </c>
      <c r="M2168" s="85" t="s">
        <v>630</v>
      </c>
      <c r="N2168" s="128">
        <v>12865.375</v>
      </c>
      <c r="O2168" s="128">
        <f t="shared" si="93"/>
        <v>321634.375</v>
      </c>
      <c r="P2168" s="89">
        <v>1708</v>
      </c>
      <c r="Q2168" t="s">
        <v>47</v>
      </c>
      <c r="R2168" s="214" t="s">
        <v>1869</v>
      </c>
      <c r="S2168" s="214" t="s">
        <v>1861</v>
      </c>
      <c r="U2168" t="s">
        <v>1953</v>
      </c>
      <c r="V2168" t="s">
        <v>2813</v>
      </c>
    </row>
    <row r="2169" spans="1:22" ht="15.75" thickBot="1" x14ac:dyDescent="0.3">
      <c r="A2169" t="s">
        <v>4590</v>
      </c>
      <c r="B2169" t="s">
        <v>4590</v>
      </c>
      <c r="C2169" t="s">
        <v>4590</v>
      </c>
      <c r="D2169" t="s">
        <v>629</v>
      </c>
      <c r="E2169" s="248" t="s">
        <v>1951</v>
      </c>
      <c r="F2169" t="s">
        <v>620</v>
      </c>
      <c r="G2169" s="89">
        <v>2022</v>
      </c>
      <c r="H2169" s="312" t="s">
        <v>733</v>
      </c>
      <c r="I2169" s="308" t="str">
        <f t="shared" si="92"/>
        <v>Pesado de Passageiros M3: I : Gasóleo : E6</v>
      </c>
      <c r="J2169" s="125">
        <v>25</v>
      </c>
      <c r="K2169" s="253">
        <v>2022</v>
      </c>
      <c r="L2169" s="85">
        <v>4217.54</v>
      </c>
      <c r="M2169" s="85" t="s">
        <v>630</v>
      </c>
      <c r="N2169" s="128">
        <v>24326.375</v>
      </c>
      <c r="O2169" s="128">
        <f t="shared" si="93"/>
        <v>608159.375</v>
      </c>
      <c r="P2169" s="89">
        <v>1709</v>
      </c>
      <c r="Q2169" t="s">
        <v>47</v>
      </c>
      <c r="R2169" s="214" t="s">
        <v>1869</v>
      </c>
      <c r="S2169" s="214" t="s">
        <v>1861</v>
      </c>
      <c r="U2169" t="s">
        <v>1953</v>
      </c>
      <c r="V2169" t="s">
        <v>2813</v>
      </c>
    </row>
    <row r="2170" spans="1:22" ht="15.75" thickBot="1" x14ac:dyDescent="0.3">
      <c r="A2170" t="s">
        <v>4590</v>
      </c>
      <c r="B2170" t="s">
        <v>4590</v>
      </c>
      <c r="C2170" t="s">
        <v>4590</v>
      </c>
      <c r="D2170" t="s">
        <v>629</v>
      </c>
      <c r="E2170" s="248" t="s">
        <v>1951</v>
      </c>
      <c r="F2170" t="s">
        <v>620</v>
      </c>
      <c r="G2170" s="89">
        <v>2022</v>
      </c>
      <c r="H2170" s="312" t="s">
        <v>733</v>
      </c>
      <c r="I2170" s="308" t="str">
        <f t="shared" si="92"/>
        <v>Pesado de Passageiros M3: I : Gasóleo : E6</v>
      </c>
      <c r="J2170" s="125">
        <v>25</v>
      </c>
      <c r="K2170" s="253">
        <v>2022</v>
      </c>
      <c r="L2170" s="85">
        <v>4086.9099999999994</v>
      </c>
      <c r="M2170" s="85" t="s">
        <v>630</v>
      </c>
      <c r="N2170" s="128">
        <v>25121.375</v>
      </c>
      <c r="O2170" s="128">
        <f t="shared" si="93"/>
        <v>628034.375</v>
      </c>
      <c r="P2170" s="89">
        <v>1710</v>
      </c>
      <c r="Q2170" t="s">
        <v>47</v>
      </c>
      <c r="R2170" s="214" t="s">
        <v>1869</v>
      </c>
      <c r="S2170" s="214" t="s">
        <v>1861</v>
      </c>
      <c r="U2170" t="s">
        <v>1953</v>
      </c>
      <c r="V2170" t="s">
        <v>2813</v>
      </c>
    </row>
    <row r="2171" spans="1:22" ht="15.75" thickBot="1" x14ac:dyDescent="0.3">
      <c r="A2171" t="s">
        <v>4590</v>
      </c>
      <c r="B2171" t="s">
        <v>4590</v>
      </c>
      <c r="C2171" t="s">
        <v>4590</v>
      </c>
      <c r="D2171" t="s">
        <v>629</v>
      </c>
      <c r="E2171" s="248" t="s">
        <v>1951</v>
      </c>
      <c r="F2171" t="s">
        <v>620</v>
      </c>
      <c r="G2171" s="89">
        <v>2022</v>
      </c>
      <c r="H2171" s="312" t="s">
        <v>733</v>
      </c>
      <c r="I2171" s="308" t="str">
        <f t="shared" si="92"/>
        <v>Pesado de Passageiros M3: I : Gasóleo : E6</v>
      </c>
      <c r="J2171" s="125">
        <v>25</v>
      </c>
      <c r="K2171" s="253">
        <v>2022</v>
      </c>
      <c r="L2171" s="85">
        <v>3823.8900000000003</v>
      </c>
      <c r="M2171" s="85" t="s">
        <v>630</v>
      </c>
      <c r="N2171" s="128">
        <v>23565.375</v>
      </c>
      <c r="O2171" s="128">
        <f t="shared" si="93"/>
        <v>589134.375</v>
      </c>
      <c r="P2171" s="89">
        <v>1711</v>
      </c>
      <c r="Q2171" t="s">
        <v>47</v>
      </c>
      <c r="R2171" s="214" t="s">
        <v>1869</v>
      </c>
      <c r="S2171" s="214" t="s">
        <v>1861</v>
      </c>
      <c r="U2171" t="s">
        <v>1953</v>
      </c>
      <c r="V2171" t="s">
        <v>2813</v>
      </c>
    </row>
    <row r="2172" spans="1:22" ht="15.75" thickBot="1" x14ac:dyDescent="0.3">
      <c r="A2172" t="s">
        <v>4590</v>
      </c>
      <c r="B2172" t="s">
        <v>4590</v>
      </c>
      <c r="C2172" t="s">
        <v>4590</v>
      </c>
      <c r="D2172" t="s">
        <v>629</v>
      </c>
      <c r="E2172" s="248" t="s">
        <v>1951</v>
      </c>
      <c r="F2172" t="s">
        <v>620</v>
      </c>
      <c r="G2172" s="89">
        <v>2022</v>
      </c>
      <c r="H2172" s="312" t="s">
        <v>733</v>
      </c>
      <c r="I2172" s="308" t="str">
        <f t="shared" si="92"/>
        <v>Pesado de Passageiros M3: I : Gasóleo : E6</v>
      </c>
      <c r="J2172" s="125">
        <v>25</v>
      </c>
      <c r="K2172" s="253">
        <v>2022</v>
      </c>
      <c r="L2172" s="85">
        <v>3707.6000000000026</v>
      </c>
      <c r="M2172" s="85" t="s">
        <v>630</v>
      </c>
      <c r="N2172" s="128">
        <v>22053.375</v>
      </c>
      <c r="O2172" s="128">
        <f t="shared" si="93"/>
        <v>551334.375</v>
      </c>
      <c r="P2172" s="89">
        <v>1712</v>
      </c>
      <c r="Q2172" t="s">
        <v>47</v>
      </c>
      <c r="R2172" s="214" t="s">
        <v>1869</v>
      </c>
      <c r="S2172" s="214" t="s">
        <v>1861</v>
      </c>
      <c r="U2172" t="s">
        <v>1953</v>
      </c>
      <c r="V2172" t="s">
        <v>2813</v>
      </c>
    </row>
    <row r="2173" spans="1:22" ht="15.75" thickBot="1" x14ac:dyDescent="0.3">
      <c r="A2173" t="s">
        <v>4590</v>
      </c>
      <c r="B2173" t="s">
        <v>4590</v>
      </c>
      <c r="C2173" t="s">
        <v>4590</v>
      </c>
      <c r="D2173" t="s">
        <v>629</v>
      </c>
      <c r="E2173" s="248" t="s">
        <v>1951</v>
      </c>
      <c r="F2173" t="s">
        <v>620</v>
      </c>
      <c r="G2173" s="89">
        <v>2022</v>
      </c>
      <c r="H2173" s="312" t="s">
        <v>733</v>
      </c>
      <c r="I2173" s="308" t="str">
        <f t="shared" si="92"/>
        <v>Pesado de Passageiros M3: I : Gasóleo : E6</v>
      </c>
      <c r="J2173" s="125">
        <v>25</v>
      </c>
      <c r="K2173" s="253">
        <v>2022</v>
      </c>
      <c r="L2173" s="85">
        <v>2272.1400000000003</v>
      </c>
      <c r="M2173" s="85" t="s">
        <v>630</v>
      </c>
      <c r="N2173" s="128">
        <v>15619.375</v>
      </c>
      <c r="O2173" s="128">
        <f t="shared" si="93"/>
        <v>390484.375</v>
      </c>
      <c r="P2173" s="89">
        <v>1713</v>
      </c>
      <c r="Q2173" t="s">
        <v>47</v>
      </c>
      <c r="R2173" s="214" t="s">
        <v>1869</v>
      </c>
      <c r="S2173" s="214" t="s">
        <v>1861</v>
      </c>
      <c r="U2173" t="s">
        <v>1953</v>
      </c>
      <c r="V2173" t="s">
        <v>2813</v>
      </c>
    </row>
    <row r="2174" spans="1:22" ht="15.75" thickBot="1" x14ac:dyDescent="0.3">
      <c r="A2174" t="s">
        <v>4590</v>
      </c>
      <c r="B2174" t="s">
        <v>4590</v>
      </c>
      <c r="C2174" t="s">
        <v>4590</v>
      </c>
      <c r="D2174" t="s">
        <v>629</v>
      </c>
      <c r="E2174" s="248" t="s">
        <v>1951</v>
      </c>
      <c r="F2174" t="s">
        <v>620</v>
      </c>
      <c r="G2174" s="89">
        <v>2022</v>
      </c>
      <c r="H2174" s="312" t="s">
        <v>733</v>
      </c>
      <c r="I2174" s="308" t="str">
        <f t="shared" si="92"/>
        <v>Pesado de Passageiros M3: I : Gasóleo : E6</v>
      </c>
      <c r="J2174" s="125">
        <v>25</v>
      </c>
      <c r="K2174" s="253">
        <v>2022</v>
      </c>
      <c r="L2174" s="85">
        <v>2303.1899999999996</v>
      </c>
      <c r="M2174" s="85" t="s">
        <v>630</v>
      </c>
      <c r="N2174" s="128">
        <v>16036.375</v>
      </c>
      <c r="O2174" s="128">
        <f t="shared" si="93"/>
        <v>400909.375</v>
      </c>
      <c r="P2174" s="89">
        <v>1719</v>
      </c>
      <c r="Q2174" t="s">
        <v>47</v>
      </c>
      <c r="R2174" s="214" t="s">
        <v>1869</v>
      </c>
      <c r="S2174" s="214" t="s">
        <v>1861</v>
      </c>
      <c r="U2174" t="s">
        <v>1953</v>
      </c>
      <c r="V2174" t="s">
        <v>2813</v>
      </c>
    </row>
    <row r="2175" spans="1:22" ht="15.75" thickBot="1" x14ac:dyDescent="0.3">
      <c r="A2175" t="s">
        <v>4590</v>
      </c>
      <c r="B2175" t="s">
        <v>4590</v>
      </c>
      <c r="C2175" t="s">
        <v>4590</v>
      </c>
      <c r="D2175" t="s">
        <v>629</v>
      </c>
      <c r="E2175" s="248" t="s">
        <v>1951</v>
      </c>
      <c r="F2175" t="s">
        <v>620</v>
      </c>
      <c r="G2175" s="89">
        <v>2022</v>
      </c>
      <c r="H2175" s="312" t="s">
        <v>733</v>
      </c>
      <c r="I2175" s="308" t="str">
        <f t="shared" si="92"/>
        <v>Pesado de Passageiros M3: I : Gasóleo : E6</v>
      </c>
      <c r="J2175" s="125">
        <v>34</v>
      </c>
      <c r="K2175" s="253">
        <v>2022</v>
      </c>
      <c r="L2175" s="85">
        <v>193.29</v>
      </c>
      <c r="M2175" s="85" t="s">
        <v>630</v>
      </c>
      <c r="N2175" s="128">
        <v>4851.375</v>
      </c>
      <c r="O2175" s="128">
        <f t="shared" si="93"/>
        <v>164946.75</v>
      </c>
      <c r="P2175" s="89">
        <v>1732</v>
      </c>
      <c r="Q2175" t="s">
        <v>47</v>
      </c>
      <c r="R2175" s="214" t="s">
        <v>1869</v>
      </c>
      <c r="S2175" s="214" t="s">
        <v>1861</v>
      </c>
      <c r="U2175" t="s">
        <v>1953</v>
      </c>
      <c r="V2175" t="s">
        <v>2813</v>
      </c>
    </row>
    <row r="2176" spans="1:22" ht="15.75" thickBot="1" x14ac:dyDescent="0.3">
      <c r="A2176" t="s">
        <v>4590</v>
      </c>
      <c r="B2176" t="s">
        <v>4590</v>
      </c>
      <c r="C2176" t="s">
        <v>4590</v>
      </c>
      <c r="D2176" t="s">
        <v>629</v>
      </c>
      <c r="E2176" s="248" t="s">
        <v>1951</v>
      </c>
      <c r="F2176" t="s">
        <v>620</v>
      </c>
      <c r="G2176" s="89">
        <v>2022</v>
      </c>
      <c r="H2176" s="312" t="s">
        <v>733</v>
      </c>
      <c r="I2176" s="308" t="str">
        <f t="shared" si="92"/>
        <v>Pesado de Passageiros M3: I : Gasóleo : E6</v>
      </c>
      <c r="J2176" s="125">
        <v>34</v>
      </c>
      <c r="K2176" s="253">
        <v>2022</v>
      </c>
      <c r="L2176" s="85">
        <v>162.21</v>
      </c>
      <c r="M2176" s="85" t="s">
        <v>630</v>
      </c>
      <c r="N2176" s="128">
        <v>4731.375</v>
      </c>
      <c r="O2176" s="128">
        <f t="shared" si="93"/>
        <v>160866.75</v>
      </c>
      <c r="P2176" s="89">
        <v>1734</v>
      </c>
      <c r="Q2176" t="s">
        <v>47</v>
      </c>
      <c r="R2176" s="214" t="s">
        <v>1869</v>
      </c>
      <c r="S2176" s="214" t="s">
        <v>1861</v>
      </c>
      <c r="U2176" t="s">
        <v>1953</v>
      </c>
      <c r="V2176" t="s">
        <v>2813</v>
      </c>
    </row>
    <row r="2177" spans="1:22" ht="15.75" thickBot="1" x14ac:dyDescent="0.3">
      <c r="A2177" t="s">
        <v>4590</v>
      </c>
      <c r="B2177" t="s">
        <v>4590</v>
      </c>
      <c r="C2177" t="s">
        <v>4590</v>
      </c>
      <c r="D2177" t="s">
        <v>629</v>
      </c>
      <c r="E2177" s="248" t="s">
        <v>1951</v>
      </c>
      <c r="F2177" t="s">
        <v>620</v>
      </c>
      <c r="G2177" s="89">
        <v>2008</v>
      </c>
      <c r="H2177" s="312" t="s">
        <v>731</v>
      </c>
      <c r="I2177" s="308" t="str">
        <f t="shared" si="92"/>
        <v>Pesado de Passageiros M3: I : Gasóleo : E4</v>
      </c>
      <c r="J2177" s="125">
        <v>60</v>
      </c>
      <c r="K2177" s="253">
        <v>2022</v>
      </c>
      <c r="L2177" s="85">
        <v>28976.030000000013</v>
      </c>
      <c r="M2177" s="85" t="s">
        <v>630</v>
      </c>
      <c r="N2177" s="128">
        <v>71717.375</v>
      </c>
      <c r="O2177" s="128">
        <f t="shared" si="93"/>
        <v>4303042.5</v>
      </c>
      <c r="P2177" s="89">
        <v>804</v>
      </c>
      <c r="Q2177" t="s">
        <v>47</v>
      </c>
      <c r="R2177" s="214" t="s">
        <v>1869</v>
      </c>
      <c r="S2177" s="214" t="s">
        <v>1861</v>
      </c>
      <c r="U2177" t="s">
        <v>1953</v>
      </c>
      <c r="V2177" t="s">
        <v>2813</v>
      </c>
    </row>
    <row r="2178" spans="1:22" ht="15.75" thickBot="1" x14ac:dyDescent="0.3">
      <c r="A2178" t="s">
        <v>4590</v>
      </c>
      <c r="B2178" t="s">
        <v>4590</v>
      </c>
      <c r="C2178" t="s">
        <v>4590</v>
      </c>
      <c r="D2178" t="s">
        <v>629</v>
      </c>
      <c r="E2178" s="248" t="s">
        <v>1951</v>
      </c>
      <c r="F2178" t="s">
        <v>620</v>
      </c>
      <c r="G2178" s="89">
        <v>2008</v>
      </c>
      <c r="H2178" s="312" t="s">
        <v>731</v>
      </c>
      <c r="I2178" s="308" t="str">
        <f t="shared" si="92"/>
        <v>Pesado de Passageiros M3: I : Gasóleo : E4</v>
      </c>
      <c r="J2178" s="125">
        <v>60</v>
      </c>
      <c r="K2178" s="253">
        <v>2022</v>
      </c>
      <c r="L2178" s="85">
        <v>32839.159999999982</v>
      </c>
      <c r="M2178" s="85" t="s">
        <v>630</v>
      </c>
      <c r="N2178" s="128">
        <v>77134.375</v>
      </c>
      <c r="O2178" s="128">
        <f t="shared" si="93"/>
        <v>4628062.5</v>
      </c>
      <c r="P2178" s="89">
        <v>807</v>
      </c>
      <c r="Q2178" t="s">
        <v>47</v>
      </c>
      <c r="R2178" s="214" t="s">
        <v>1869</v>
      </c>
      <c r="S2178" s="214" t="s">
        <v>1861</v>
      </c>
      <c r="U2178" t="s">
        <v>1953</v>
      </c>
      <c r="V2178" t="s">
        <v>2813</v>
      </c>
    </row>
    <row r="2179" spans="1:22" ht="15.75" thickBot="1" x14ac:dyDescent="0.3">
      <c r="A2179" t="s">
        <v>4590</v>
      </c>
      <c r="B2179" t="s">
        <v>4590</v>
      </c>
      <c r="C2179" t="s">
        <v>4590</v>
      </c>
      <c r="D2179" t="s">
        <v>629</v>
      </c>
      <c r="E2179" s="248" t="s">
        <v>1951</v>
      </c>
      <c r="F2179" t="s">
        <v>620</v>
      </c>
      <c r="G2179" s="89">
        <v>2008</v>
      </c>
      <c r="H2179" s="312" t="s">
        <v>731</v>
      </c>
      <c r="I2179" s="308" t="str">
        <f t="shared" si="92"/>
        <v>Pesado de Passageiros M3: I : Gasóleo : E4</v>
      </c>
      <c r="J2179" s="125">
        <v>60</v>
      </c>
      <c r="K2179" s="253">
        <v>2022</v>
      </c>
      <c r="L2179" s="85">
        <v>19990.679999999997</v>
      </c>
      <c r="M2179" s="85" t="s">
        <v>630</v>
      </c>
      <c r="N2179" s="128">
        <v>41931.375</v>
      </c>
      <c r="O2179" s="128">
        <f t="shared" si="93"/>
        <v>2515882.5</v>
      </c>
      <c r="P2179" s="89">
        <v>808</v>
      </c>
      <c r="Q2179" t="s">
        <v>47</v>
      </c>
      <c r="R2179" s="214" t="s">
        <v>1869</v>
      </c>
      <c r="S2179" s="214" t="s">
        <v>1861</v>
      </c>
      <c r="U2179" t="s">
        <v>1953</v>
      </c>
      <c r="V2179" t="s">
        <v>2813</v>
      </c>
    </row>
    <row r="2180" spans="1:22" ht="15.75" thickBot="1" x14ac:dyDescent="0.3">
      <c r="A2180" t="s">
        <v>4590</v>
      </c>
      <c r="B2180" t="s">
        <v>4590</v>
      </c>
      <c r="C2180" t="s">
        <v>4590</v>
      </c>
      <c r="D2180" t="s">
        <v>629</v>
      </c>
      <c r="E2180" s="248" t="s">
        <v>1951</v>
      </c>
      <c r="F2180" t="s">
        <v>620</v>
      </c>
      <c r="G2180" s="89">
        <v>2011</v>
      </c>
      <c r="H2180" s="312" t="s">
        <v>734</v>
      </c>
      <c r="I2180" s="308" t="str">
        <f t="shared" ref="I2180:I2243" si="94">D2180&amp;": "&amp;E2180&amp;" : "&amp;F2180&amp;" : "&amp;H2180</f>
        <v>Pesado de Passageiros M3: I : Gasóleo : E5</v>
      </c>
      <c r="J2180" s="125">
        <v>88</v>
      </c>
      <c r="K2180" s="253">
        <v>2022</v>
      </c>
      <c r="L2180" s="85">
        <v>37520.139999999992</v>
      </c>
      <c r="M2180" s="85" t="s">
        <v>630</v>
      </c>
      <c r="N2180" s="128">
        <v>88884.375</v>
      </c>
      <c r="O2180" s="128">
        <f t="shared" ref="O2180:O2243" si="95">N2180*J2180</f>
        <v>7821825</v>
      </c>
      <c r="P2180" s="89">
        <v>697</v>
      </c>
      <c r="Q2180" t="s">
        <v>47</v>
      </c>
      <c r="R2180" s="214" t="s">
        <v>1869</v>
      </c>
      <c r="S2180" s="214" t="s">
        <v>1861</v>
      </c>
      <c r="U2180" t="s">
        <v>1953</v>
      </c>
      <c r="V2180" t="s">
        <v>2813</v>
      </c>
    </row>
    <row r="2181" spans="1:22" ht="15.75" thickBot="1" x14ac:dyDescent="0.3">
      <c r="A2181" t="s">
        <v>4590</v>
      </c>
      <c r="B2181" t="s">
        <v>4590</v>
      </c>
      <c r="C2181" t="s">
        <v>4590</v>
      </c>
      <c r="D2181" t="s">
        <v>629</v>
      </c>
      <c r="E2181" s="248" t="s">
        <v>1951</v>
      </c>
      <c r="F2181" t="s">
        <v>620</v>
      </c>
      <c r="G2181" s="89">
        <v>2011</v>
      </c>
      <c r="H2181" s="312" t="s">
        <v>734</v>
      </c>
      <c r="I2181" s="308" t="str">
        <f t="shared" si="94"/>
        <v>Pesado de Passageiros M3: I : Gasóleo : E5</v>
      </c>
      <c r="J2181" s="125">
        <v>88</v>
      </c>
      <c r="K2181" s="253">
        <v>2022</v>
      </c>
      <c r="L2181" s="85">
        <v>12401.369999999995</v>
      </c>
      <c r="M2181" s="85" t="s">
        <v>630</v>
      </c>
      <c r="N2181" s="128">
        <v>30860.375</v>
      </c>
      <c r="O2181" s="128">
        <f t="shared" si="95"/>
        <v>2715713</v>
      </c>
      <c r="P2181" s="89">
        <v>698</v>
      </c>
      <c r="Q2181" t="s">
        <v>47</v>
      </c>
      <c r="R2181" s="214" t="s">
        <v>1869</v>
      </c>
      <c r="S2181" s="214" t="s">
        <v>1861</v>
      </c>
      <c r="U2181" t="s">
        <v>1953</v>
      </c>
      <c r="V2181" t="s">
        <v>2813</v>
      </c>
    </row>
    <row r="2182" spans="1:22" ht="15.75" thickBot="1" x14ac:dyDescent="0.3">
      <c r="A2182" t="s">
        <v>4590</v>
      </c>
      <c r="B2182" t="s">
        <v>4590</v>
      </c>
      <c r="C2182" t="s">
        <v>4590</v>
      </c>
      <c r="D2182" t="s">
        <v>629</v>
      </c>
      <c r="E2182" s="248" t="s">
        <v>1951</v>
      </c>
      <c r="F2182" t="s">
        <v>620</v>
      </c>
      <c r="G2182" s="89">
        <v>2011</v>
      </c>
      <c r="H2182" s="312" t="s">
        <v>734</v>
      </c>
      <c r="I2182" s="308" t="str">
        <f t="shared" si="94"/>
        <v>Pesado de Passageiros M3: I : Gasóleo : E5</v>
      </c>
      <c r="J2182" s="125">
        <v>88</v>
      </c>
      <c r="K2182" s="253">
        <v>2022</v>
      </c>
      <c r="L2182" s="85">
        <v>17307.090000000007</v>
      </c>
      <c r="M2182" s="85" t="s">
        <v>630</v>
      </c>
      <c r="N2182" s="128">
        <v>40365.375</v>
      </c>
      <c r="O2182" s="128">
        <f t="shared" si="95"/>
        <v>3552153</v>
      </c>
      <c r="P2182" s="89">
        <v>699</v>
      </c>
      <c r="Q2182" t="s">
        <v>47</v>
      </c>
      <c r="R2182" s="214" t="s">
        <v>1869</v>
      </c>
      <c r="S2182" s="214" t="s">
        <v>1861</v>
      </c>
      <c r="U2182" t="s">
        <v>1953</v>
      </c>
      <c r="V2182" t="s">
        <v>2813</v>
      </c>
    </row>
    <row r="2183" spans="1:22" ht="15.75" thickBot="1" x14ac:dyDescent="0.3">
      <c r="A2183" t="s">
        <v>4590</v>
      </c>
      <c r="B2183" t="s">
        <v>4590</v>
      </c>
      <c r="C2183" t="s">
        <v>4590</v>
      </c>
      <c r="D2183" t="s">
        <v>629</v>
      </c>
      <c r="E2183" s="248" t="s">
        <v>1951</v>
      </c>
      <c r="F2183" t="s">
        <v>620</v>
      </c>
      <c r="G2183" s="89">
        <v>2011</v>
      </c>
      <c r="H2183" s="312" t="s">
        <v>734</v>
      </c>
      <c r="I2183" s="308" t="str">
        <f t="shared" si="94"/>
        <v>Pesado de Passageiros M3: I : Gasóleo : E5</v>
      </c>
      <c r="J2183" s="125">
        <v>88</v>
      </c>
      <c r="K2183" s="253">
        <v>2022</v>
      </c>
      <c r="L2183" s="85">
        <v>32906.560000000019</v>
      </c>
      <c r="M2183" s="85" t="s">
        <v>630</v>
      </c>
      <c r="N2183" s="128">
        <v>71081.375</v>
      </c>
      <c r="O2183" s="128">
        <f t="shared" si="95"/>
        <v>6255161</v>
      </c>
      <c r="P2183" s="89">
        <v>700</v>
      </c>
      <c r="Q2183" t="s">
        <v>47</v>
      </c>
      <c r="R2183" s="214" t="s">
        <v>1869</v>
      </c>
      <c r="S2183" s="214" t="s">
        <v>1861</v>
      </c>
      <c r="U2183" t="s">
        <v>1953</v>
      </c>
      <c r="V2183" t="s">
        <v>2813</v>
      </c>
    </row>
    <row r="2184" spans="1:22" ht="15.75" thickBot="1" x14ac:dyDescent="0.3">
      <c r="A2184" t="s">
        <v>4590</v>
      </c>
      <c r="B2184" t="s">
        <v>4590</v>
      </c>
      <c r="C2184" t="s">
        <v>4590</v>
      </c>
      <c r="D2184" t="s">
        <v>629</v>
      </c>
      <c r="E2184" s="248" t="s">
        <v>1951</v>
      </c>
      <c r="F2184" t="s">
        <v>620</v>
      </c>
      <c r="G2184" s="89">
        <v>2011</v>
      </c>
      <c r="H2184" s="312" t="s">
        <v>734</v>
      </c>
      <c r="I2184" s="308" t="str">
        <f t="shared" si="94"/>
        <v>Pesado de Passageiros M3: I : Gasóleo : E5</v>
      </c>
      <c r="J2184" s="125">
        <v>88</v>
      </c>
      <c r="K2184" s="253">
        <v>2022</v>
      </c>
      <c r="L2184" s="85">
        <v>1172.0700000000002</v>
      </c>
      <c r="M2184" s="85" t="s">
        <v>630</v>
      </c>
      <c r="N2184" s="128">
        <v>6394.375</v>
      </c>
      <c r="O2184" s="128">
        <f t="shared" si="95"/>
        <v>562705</v>
      </c>
      <c r="P2184" s="89">
        <v>701</v>
      </c>
      <c r="Q2184" t="s">
        <v>47</v>
      </c>
      <c r="R2184" s="214" t="s">
        <v>1869</v>
      </c>
      <c r="S2184" s="214" t="s">
        <v>1861</v>
      </c>
      <c r="U2184" t="s">
        <v>1953</v>
      </c>
      <c r="V2184" t="s">
        <v>2813</v>
      </c>
    </row>
    <row r="2185" spans="1:22" ht="15.75" thickBot="1" x14ac:dyDescent="0.3">
      <c r="A2185" t="s">
        <v>4590</v>
      </c>
      <c r="B2185" t="s">
        <v>4590</v>
      </c>
      <c r="C2185" t="s">
        <v>4590</v>
      </c>
      <c r="D2185" t="s">
        <v>629</v>
      </c>
      <c r="E2185" s="248" t="s">
        <v>1951</v>
      </c>
      <c r="F2185" t="s">
        <v>620</v>
      </c>
      <c r="G2185" s="89">
        <v>2011</v>
      </c>
      <c r="H2185" s="312" t="s">
        <v>734</v>
      </c>
      <c r="I2185" s="308" t="str">
        <f t="shared" si="94"/>
        <v>Pesado de Passageiros M3: I : Gasóleo : E5</v>
      </c>
      <c r="J2185" s="125">
        <v>88</v>
      </c>
      <c r="K2185" s="253">
        <v>2022</v>
      </c>
      <c r="L2185" s="85">
        <v>28773.240000000009</v>
      </c>
      <c r="M2185" s="85" t="s">
        <v>630</v>
      </c>
      <c r="N2185" s="128">
        <v>62808.375</v>
      </c>
      <c r="O2185" s="128">
        <f t="shared" si="95"/>
        <v>5527137</v>
      </c>
      <c r="P2185" s="89">
        <v>702</v>
      </c>
      <c r="Q2185" t="s">
        <v>47</v>
      </c>
      <c r="R2185" s="214" t="s">
        <v>1869</v>
      </c>
      <c r="S2185" s="214" t="s">
        <v>1861</v>
      </c>
      <c r="U2185" t="s">
        <v>1953</v>
      </c>
      <c r="V2185" t="s">
        <v>2813</v>
      </c>
    </row>
    <row r="2186" spans="1:22" ht="15.75" thickBot="1" x14ac:dyDescent="0.3">
      <c r="A2186" t="s">
        <v>4590</v>
      </c>
      <c r="B2186" t="s">
        <v>4590</v>
      </c>
      <c r="C2186" t="s">
        <v>4590</v>
      </c>
      <c r="D2186" t="s">
        <v>629</v>
      </c>
      <c r="E2186" s="248" t="s">
        <v>1951</v>
      </c>
      <c r="F2186" t="s">
        <v>620</v>
      </c>
      <c r="G2186" s="89">
        <v>2011</v>
      </c>
      <c r="H2186" s="312" t="s">
        <v>734</v>
      </c>
      <c r="I2186" s="308" t="str">
        <f t="shared" si="94"/>
        <v>Pesado de Passageiros M3: I : Gasóleo : E5</v>
      </c>
      <c r="J2186" s="125">
        <v>88</v>
      </c>
      <c r="K2186" s="253">
        <v>2022</v>
      </c>
      <c r="L2186" s="85">
        <v>36378.339999999989</v>
      </c>
      <c r="M2186" s="85" t="s">
        <v>630</v>
      </c>
      <c r="N2186" s="128">
        <v>78746.375</v>
      </c>
      <c r="O2186" s="128">
        <f t="shared" si="95"/>
        <v>6929681</v>
      </c>
      <c r="P2186" s="89">
        <v>703</v>
      </c>
      <c r="Q2186" t="s">
        <v>47</v>
      </c>
      <c r="R2186" s="214" t="s">
        <v>1869</v>
      </c>
      <c r="S2186" s="214" t="s">
        <v>1861</v>
      </c>
      <c r="U2186" t="s">
        <v>1953</v>
      </c>
      <c r="V2186" t="s">
        <v>2813</v>
      </c>
    </row>
    <row r="2187" spans="1:22" ht="15.75" thickBot="1" x14ac:dyDescent="0.3">
      <c r="A2187" t="s">
        <v>4590</v>
      </c>
      <c r="B2187" t="s">
        <v>4590</v>
      </c>
      <c r="C2187" t="s">
        <v>4590</v>
      </c>
      <c r="D2187" t="s">
        <v>629</v>
      </c>
      <c r="E2187" s="248" t="s">
        <v>1951</v>
      </c>
      <c r="F2187" t="s">
        <v>620</v>
      </c>
      <c r="G2187" s="89">
        <v>2011</v>
      </c>
      <c r="H2187" s="312" t="s">
        <v>734</v>
      </c>
      <c r="I2187" s="308" t="str">
        <f t="shared" si="94"/>
        <v>Pesado de Passageiros M3: I : Gasóleo : E5</v>
      </c>
      <c r="J2187" s="125">
        <v>88</v>
      </c>
      <c r="K2187" s="253">
        <v>2022</v>
      </c>
      <c r="L2187" s="85">
        <v>33544.17</v>
      </c>
      <c r="M2187" s="85" t="s">
        <v>630</v>
      </c>
      <c r="N2187" s="128">
        <v>72696.375</v>
      </c>
      <c r="O2187" s="128">
        <f t="shared" si="95"/>
        <v>6397281</v>
      </c>
      <c r="P2187" s="89">
        <v>704</v>
      </c>
      <c r="Q2187" t="s">
        <v>47</v>
      </c>
      <c r="R2187" s="214" t="s">
        <v>1869</v>
      </c>
      <c r="S2187" s="214" t="s">
        <v>1861</v>
      </c>
      <c r="U2187" t="s">
        <v>1953</v>
      </c>
      <c r="V2187" t="s">
        <v>2813</v>
      </c>
    </row>
    <row r="2188" spans="1:22" ht="15.75" thickBot="1" x14ac:dyDescent="0.3">
      <c r="A2188" t="s">
        <v>4590</v>
      </c>
      <c r="B2188" t="s">
        <v>4590</v>
      </c>
      <c r="C2188" t="s">
        <v>4590</v>
      </c>
      <c r="D2188" t="s">
        <v>629</v>
      </c>
      <c r="E2188" s="248" t="s">
        <v>1951</v>
      </c>
      <c r="F2188" t="s">
        <v>620</v>
      </c>
      <c r="G2188" s="89">
        <v>2011</v>
      </c>
      <c r="H2188" s="312" t="s">
        <v>734</v>
      </c>
      <c r="I2188" s="308" t="str">
        <f t="shared" si="94"/>
        <v>Pesado de Passageiros M3: I : Gasóleo : E5</v>
      </c>
      <c r="J2188" s="125">
        <v>88</v>
      </c>
      <c r="K2188" s="253">
        <v>2022</v>
      </c>
      <c r="L2188" s="85">
        <v>32995.920000000013</v>
      </c>
      <c r="M2188" s="85" t="s">
        <v>630</v>
      </c>
      <c r="N2188" s="128">
        <v>71334.375</v>
      </c>
      <c r="O2188" s="128">
        <f t="shared" si="95"/>
        <v>6277425</v>
      </c>
      <c r="P2188" s="89">
        <v>705</v>
      </c>
      <c r="Q2188" t="s">
        <v>47</v>
      </c>
      <c r="R2188" s="214" t="s">
        <v>1869</v>
      </c>
      <c r="S2188" s="214" t="s">
        <v>1861</v>
      </c>
      <c r="U2188" t="s">
        <v>1953</v>
      </c>
      <c r="V2188" t="s">
        <v>2813</v>
      </c>
    </row>
    <row r="2189" spans="1:22" ht="15.75" thickBot="1" x14ac:dyDescent="0.3">
      <c r="A2189" t="s">
        <v>4590</v>
      </c>
      <c r="B2189" t="s">
        <v>4590</v>
      </c>
      <c r="C2189" t="s">
        <v>4590</v>
      </c>
      <c r="D2189" t="s">
        <v>629</v>
      </c>
      <c r="E2189" s="248" t="s">
        <v>1951</v>
      </c>
      <c r="F2189" t="s">
        <v>620</v>
      </c>
      <c r="G2189" s="89">
        <v>2011</v>
      </c>
      <c r="H2189" s="312" t="s">
        <v>734</v>
      </c>
      <c r="I2189" s="308" t="str">
        <f t="shared" si="94"/>
        <v>Pesado de Passageiros M3: I : Gasóleo : E5</v>
      </c>
      <c r="J2189" s="125">
        <v>88</v>
      </c>
      <c r="K2189" s="253">
        <v>2022</v>
      </c>
      <c r="L2189" s="85">
        <v>24473.880000000012</v>
      </c>
      <c r="M2189" s="85" t="s">
        <v>630</v>
      </c>
      <c r="N2189" s="128">
        <v>52599.375</v>
      </c>
      <c r="O2189" s="128">
        <f t="shared" si="95"/>
        <v>4628745</v>
      </c>
      <c r="P2189" s="89">
        <v>706</v>
      </c>
      <c r="Q2189" t="s">
        <v>47</v>
      </c>
      <c r="R2189" s="214" t="s">
        <v>1869</v>
      </c>
      <c r="S2189" s="214" t="s">
        <v>1861</v>
      </c>
      <c r="U2189" t="s">
        <v>1953</v>
      </c>
      <c r="V2189" t="s">
        <v>2813</v>
      </c>
    </row>
    <row r="2190" spans="1:22" ht="15.75" thickBot="1" x14ac:dyDescent="0.3">
      <c r="A2190" t="s">
        <v>4590</v>
      </c>
      <c r="B2190" t="s">
        <v>4590</v>
      </c>
      <c r="C2190" t="s">
        <v>4590</v>
      </c>
      <c r="D2190" t="s">
        <v>629</v>
      </c>
      <c r="E2190" s="248" t="s">
        <v>1951</v>
      </c>
      <c r="F2190" t="s">
        <v>620</v>
      </c>
      <c r="G2190" s="89">
        <v>2011</v>
      </c>
      <c r="H2190" s="312" t="s">
        <v>734</v>
      </c>
      <c r="I2190" s="308" t="str">
        <f t="shared" si="94"/>
        <v>Pesado de Passageiros M3: I : Gasóleo : E5</v>
      </c>
      <c r="J2190" s="125">
        <v>88</v>
      </c>
      <c r="K2190" s="253">
        <v>2022</v>
      </c>
      <c r="L2190" s="85">
        <v>37741.099999999991</v>
      </c>
      <c r="M2190" s="85" t="s">
        <v>630</v>
      </c>
      <c r="N2190" s="128">
        <v>81059.375</v>
      </c>
      <c r="O2190" s="128">
        <f t="shared" si="95"/>
        <v>7133225</v>
      </c>
      <c r="P2190" s="89">
        <v>707</v>
      </c>
      <c r="Q2190" t="s">
        <v>47</v>
      </c>
      <c r="R2190" s="214" t="s">
        <v>1869</v>
      </c>
      <c r="S2190" s="214" t="s">
        <v>1861</v>
      </c>
      <c r="U2190" t="s">
        <v>1953</v>
      </c>
      <c r="V2190" t="s">
        <v>2813</v>
      </c>
    </row>
    <row r="2191" spans="1:22" ht="15.75" thickBot="1" x14ac:dyDescent="0.3">
      <c r="A2191" t="s">
        <v>4590</v>
      </c>
      <c r="B2191" t="s">
        <v>4590</v>
      </c>
      <c r="C2191" t="s">
        <v>4590</v>
      </c>
      <c r="D2191" t="s">
        <v>629</v>
      </c>
      <c r="E2191" s="248" t="s">
        <v>1951</v>
      </c>
      <c r="F2191" t="s">
        <v>620</v>
      </c>
      <c r="G2191" s="89">
        <v>2011</v>
      </c>
      <c r="H2191" s="312" t="s">
        <v>734</v>
      </c>
      <c r="I2191" s="308" t="str">
        <f t="shared" si="94"/>
        <v>Pesado de Passageiros M3: I : Gasóleo : E5</v>
      </c>
      <c r="J2191" s="125">
        <v>88</v>
      </c>
      <c r="K2191" s="253">
        <v>2022</v>
      </c>
      <c r="L2191" s="85">
        <v>15521.169999999991</v>
      </c>
      <c r="M2191" s="85" t="s">
        <v>630</v>
      </c>
      <c r="N2191" s="128">
        <v>33225.375</v>
      </c>
      <c r="O2191" s="128">
        <f t="shared" si="95"/>
        <v>2923833</v>
      </c>
      <c r="P2191" s="89">
        <v>708</v>
      </c>
      <c r="Q2191" t="s">
        <v>47</v>
      </c>
      <c r="R2191" s="214" t="s">
        <v>1869</v>
      </c>
      <c r="S2191" s="214" t="s">
        <v>1861</v>
      </c>
      <c r="U2191" t="s">
        <v>1953</v>
      </c>
      <c r="V2191" t="s">
        <v>2813</v>
      </c>
    </row>
    <row r="2192" spans="1:22" ht="15.75" thickBot="1" x14ac:dyDescent="0.3">
      <c r="A2192" t="s">
        <v>4590</v>
      </c>
      <c r="B2192" t="s">
        <v>4590</v>
      </c>
      <c r="C2192" t="s">
        <v>4590</v>
      </c>
      <c r="D2192" t="s">
        <v>629</v>
      </c>
      <c r="E2192" s="248" t="s">
        <v>1951</v>
      </c>
      <c r="F2192" t="s">
        <v>620</v>
      </c>
      <c r="G2192" s="89">
        <v>2011</v>
      </c>
      <c r="H2192" s="312" t="s">
        <v>734</v>
      </c>
      <c r="I2192" s="308" t="str">
        <f t="shared" si="94"/>
        <v>Pesado de Passageiros M3: I : Gasóleo : E5</v>
      </c>
      <c r="J2192" s="125">
        <v>88</v>
      </c>
      <c r="K2192" s="253">
        <v>2022</v>
      </c>
      <c r="L2192" s="85">
        <v>19218.78</v>
      </c>
      <c r="M2192" s="85" t="s">
        <v>630</v>
      </c>
      <c r="N2192" s="128">
        <v>40463.375</v>
      </c>
      <c r="O2192" s="128">
        <f t="shared" si="95"/>
        <v>3560777</v>
      </c>
      <c r="P2192" s="89">
        <v>709</v>
      </c>
      <c r="Q2192" t="s">
        <v>47</v>
      </c>
      <c r="R2192" s="214" t="s">
        <v>1869</v>
      </c>
      <c r="S2192" s="214" t="s">
        <v>1861</v>
      </c>
      <c r="U2192" t="s">
        <v>1953</v>
      </c>
      <c r="V2192" t="s">
        <v>2813</v>
      </c>
    </row>
    <row r="2193" spans="1:22" ht="15.75" thickBot="1" x14ac:dyDescent="0.3">
      <c r="A2193" t="s">
        <v>4590</v>
      </c>
      <c r="B2193" t="s">
        <v>4590</v>
      </c>
      <c r="C2193" t="s">
        <v>4590</v>
      </c>
      <c r="D2193" t="s">
        <v>629</v>
      </c>
      <c r="E2193" s="248" t="s">
        <v>1951</v>
      </c>
      <c r="F2193" t="s">
        <v>620</v>
      </c>
      <c r="G2193" s="89">
        <v>2011</v>
      </c>
      <c r="H2193" s="312" t="s">
        <v>734</v>
      </c>
      <c r="I2193" s="308" t="str">
        <f t="shared" si="94"/>
        <v>Pesado de Passageiros M3: I : Gasóleo : E5</v>
      </c>
      <c r="J2193" s="125">
        <v>88</v>
      </c>
      <c r="K2193" s="253">
        <v>2022</v>
      </c>
      <c r="L2193" s="85">
        <v>19818.03999999999</v>
      </c>
      <c r="M2193" s="85" t="s">
        <v>630</v>
      </c>
      <c r="N2193" s="128">
        <v>39842.375</v>
      </c>
      <c r="O2193" s="128">
        <f t="shared" si="95"/>
        <v>3506129</v>
      </c>
      <c r="P2193" s="89">
        <v>710</v>
      </c>
      <c r="Q2193" t="s">
        <v>47</v>
      </c>
      <c r="R2193" s="214" t="s">
        <v>1869</v>
      </c>
      <c r="S2193" s="214" t="s">
        <v>1861</v>
      </c>
      <c r="U2193" t="s">
        <v>1953</v>
      </c>
      <c r="V2193" t="s">
        <v>2813</v>
      </c>
    </row>
    <row r="2194" spans="1:22" ht="15.75" thickBot="1" x14ac:dyDescent="0.3">
      <c r="A2194" t="s">
        <v>4590</v>
      </c>
      <c r="B2194" t="s">
        <v>4590</v>
      </c>
      <c r="C2194" t="s">
        <v>4590</v>
      </c>
      <c r="D2194" t="s">
        <v>629</v>
      </c>
      <c r="E2194" s="248" t="s">
        <v>1951</v>
      </c>
      <c r="F2194" t="s">
        <v>620</v>
      </c>
      <c r="G2194" s="89">
        <v>2011</v>
      </c>
      <c r="H2194" s="312" t="s">
        <v>734</v>
      </c>
      <c r="I2194" s="308" t="str">
        <f t="shared" si="94"/>
        <v>Pesado de Passageiros M3: I : Gasóleo : E5</v>
      </c>
      <c r="J2194" s="125">
        <v>88</v>
      </c>
      <c r="K2194" s="253">
        <v>2022</v>
      </c>
      <c r="L2194" s="85">
        <v>33360.92000000002</v>
      </c>
      <c r="M2194" s="85" t="s">
        <v>630</v>
      </c>
      <c r="N2194" s="128">
        <v>73370.375</v>
      </c>
      <c r="O2194" s="128">
        <f t="shared" si="95"/>
        <v>6456593</v>
      </c>
      <c r="P2194" s="89">
        <v>711</v>
      </c>
      <c r="Q2194" t="s">
        <v>47</v>
      </c>
      <c r="R2194" s="214" t="s">
        <v>1869</v>
      </c>
      <c r="S2194" s="214" t="s">
        <v>1861</v>
      </c>
      <c r="U2194" t="s">
        <v>1953</v>
      </c>
      <c r="V2194" t="s">
        <v>2813</v>
      </c>
    </row>
    <row r="2195" spans="1:22" ht="15.75" thickBot="1" x14ac:dyDescent="0.3">
      <c r="A2195" t="s">
        <v>4590</v>
      </c>
      <c r="B2195" t="s">
        <v>4590</v>
      </c>
      <c r="C2195" t="s">
        <v>4590</v>
      </c>
      <c r="D2195" t="s">
        <v>629</v>
      </c>
      <c r="E2195" s="248" t="s">
        <v>1951</v>
      </c>
      <c r="F2195" t="s">
        <v>620</v>
      </c>
      <c r="G2195" s="89">
        <v>2011</v>
      </c>
      <c r="H2195" s="312" t="s">
        <v>734</v>
      </c>
      <c r="I2195" s="308" t="str">
        <f t="shared" si="94"/>
        <v>Pesado de Passageiros M3: I : Gasóleo : E5</v>
      </c>
      <c r="J2195" s="125">
        <v>88</v>
      </c>
      <c r="K2195" s="253">
        <v>2022</v>
      </c>
      <c r="L2195" s="85">
        <v>35118.650000000016</v>
      </c>
      <c r="M2195" s="85" t="s">
        <v>630</v>
      </c>
      <c r="N2195" s="128">
        <v>77694.375</v>
      </c>
      <c r="O2195" s="128">
        <f t="shared" si="95"/>
        <v>6837105</v>
      </c>
      <c r="P2195" s="89">
        <v>712</v>
      </c>
      <c r="Q2195" t="s">
        <v>47</v>
      </c>
      <c r="R2195" s="214" t="s">
        <v>1869</v>
      </c>
      <c r="S2195" s="214" t="s">
        <v>1861</v>
      </c>
      <c r="U2195" t="s">
        <v>1953</v>
      </c>
      <c r="V2195" t="s">
        <v>2813</v>
      </c>
    </row>
    <row r="2196" spans="1:22" ht="15.75" thickBot="1" x14ac:dyDescent="0.3">
      <c r="A2196" t="s">
        <v>4590</v>
      </c>
      <c r="B2196" t="s">
        <v>4590</v>
      </c>
      <c r="C2196" t="s">
        <v>4590</v>
      </c>
      <c r="D2196" t="s">
        <v>629</v>
      </c>
      <c r="E2196" s="248" t="s">
        <v>1951</v>
      </c>
      <c r="F2196" t="s">
        <v>620</v>
      </c>
      <c r="G2196" s="89">
        <v>2011</v>
      </c>
      <c r="H2196" s="312" t="s">
        <v>734</v>
      </c>
      <c r="I2196" s="308" t="str">
        <f t="shared" si="94"/>
        <v>Pesado de Passageiros M3: I : Gasóleo : E5</v>
      </c>
      <c r="J2196" s="125">
        <v>88</v>
      </c>
      <c r="K2196" s="253">
        <v>2022</v>
      </c>
      <c r="L2196" s="85">
        <v>35789.909999999996</v>
      </c>
      <c r="M2196" s="85" t="s">
        <v>630</v>
      </c>
      <c r="N2196" s="128">
        <v>75225.375</v>
      </c>
      <c r="O2196" s="128">
        <f t="shared" si="95"/>
        <v>6619833</v>
      </c>
      <c r="P2196" s="89">
        <v>713</v>
      </c>
      <c r="Q2196" t="s">
        <v>47</v>
      </c>
      <c r="R2196" s="214" t="s">
        <v>1869</v>
      </c>
      <c r="S2196" s="214" t="s">
        <v>1861</v>
      </c>
      <c r="U2196" t="s">
        <v>1953</v>
      </c>
      <c r="V2196" t="s">
        <v>2813</v>
      </c>
    </row>
    <row r="2197" spans="1:22" ht="15.75" thickBot="1" x14ac:dyDescent="0.3">
      <c r="A2197" t="s">
        <v>4590</v>
      </c>
      <c r="B2197" t="s">
        <v>4590</v>
      </c>
      <c r="C2197" t="s">
        <v>4590</v>
      </c>
      <c r="D2197" t="s">
        <v>629</v>
      </c>
      <c r="E2197" s="248" t="s">
        <v>1951</v>
      </c>
      <c r="F2197" t="s">
        <v>620</v>
      </c>
      <c r="G2197" s="89">
        <v>2011</v>
      </c>
      <c r="H2197" s="312" t="s">
        <v>734</v>
      </c>
      <c r="I2197" s="308" t="str">
        <f t="shared" si="94"/>
        <v>Pesado de Passageiros M3: I : Gasóleo : E5</v>
      </c>
      <c r="J2197" s="125">
        <v>88</v>
      </c>
      <c r="K2197" s="253">
        <v>2022</v>
      </c>
      <c r="L2197" s="85">
        <v>33263.899999999965</v>
      </c>
      <c r="M2197" s="85" t="s">
        <v>630</v>
      </c>
      <c r="N2197" s="128">
        <v>72865.375</v>
      </c>
      <c r="O2197" s="128">
        <f t="shared" si="95"/>
        <v>6412153</v>
      </c>
      <c r="P2197" s="89">
        <v>714</v>
      </c>
      <c r="Q2197" t="s">
        <v>47</v>
      </c>
      <c r="R2197" s="214" t="s">
        <v>1869</v>
      </c>
      <c r="S2197" s="214" t="s">
        <v>1861</v>
      </c>
      <c r="U2197" t="s">
        <v>1953</v>
      </c>
      <c r="V2197" t="s">
        <v>2813</v>
      </c>
    </row>
    <row r="2198" spans="1:22" ht="15.75" thickBot="1" x14ac:dyDescent="0.3">
      <c r="A2198" t="s">
        <v>4590</v>
      </c>
      <c r="B2198" t="s">
        <v>4590</v>
      </c>
      <c r="C2198" t="s">
        <v>4590</v>
      </c>
      <c r="D2198" t="s">
        <v>629</v>
      </c>
      <c r="E2198" s="248" t="s">
        <v>1951</v>
      </c>
      <c r="F2198" t="s">
        <v>620</v>
      </c>
      <c r="G2198" s="89">
        <v>2012</v>
      </c>
      <c r="H2198" s="312" t="s">
        <v>734</v>
      </c>
      <c r="I2198" s="308" t="str">
        <f t="shared" si="94"/>
        <v>Pesado de Passageiros M3: I : Gasóleo : E5</v>
      </c>
      <c r="J2198" s="125">
        <v>88</v>
      </c>
      <c r="K2198" s="253">
        <v>2022</v>
      </c>
      <c r="L2198" s="85">
        <v>34200.420000000013</v>
      </c>
      <c r="M2198" s="85" t="s">
        <v>630</v>
      </c>
      <c r="N2198" s="128">
        <v>72282.375</v>
      </c>
      <c r="O2198" s="128">
        <f t="shared" si="95"/>
        <v>6360849</v>
      </c>
      <c r="P2198" s="89">
        <v>715</v>
      </c>
      <c r="Q2198" t="s">
        <v>47</v>
      </c>
      <c r="R2198" s="214" t="s">
        <v>1869</v>
      </c>
      <c r="S2198" s="214" t="s">
        <v>1861</v>
      </c>
      <c r="U2198" t="s">
        <v>1953</v>
      </c>
      <c r="V2198" t="s">
        <v>2813</v>
      </c>
    </row>
    <row r="2199" spans="1:22" ht="15.75" thickBot="1" x14ac:dyDescent="0.3">
      <c r="A2199" t="s">
        <v>4590</v>
      </c>
      <c r="B2199" t="s">
        <v>4590</v>
      </c>
      <c r="C2199" t="s">
        <v>4590</v>
      </c>
      <c r="D2199" t="s">
        <v>629</v>
      </c>
      <c r="E2199" s="248" t="s">
        <v>1951</v>
      </c>
      <c r="F2199" t="s">
        <v>620</v>
      </c>
      <c r="G2199" s="89">
        <v>2012</v>
      </c>
      <c r="H2199" s="312" t="s">
        <v>734</v>
      </c>
      <c r="I2199" s="308" t="str">
        <f t="shared" si="94"/>
        <v>Pesado de Passageiros M3: I : Gasóleo : E5</v>
      </c>
      <c r="J2199" s="125">
        <v>88</v>
      </c>
      <c r="K2199" s="253">
        <v>2022</v>
      </c>
      <c r="L2199" s="85">
        <v>36568.529999999977</v>
      </c>
      <c r="M2199" s="85" t="s">
        <v>630</v>
      </c>
      <c r="N2199" s="128">
        <v>78817.375</v>
      </c>
      <c r="O2199" s="128">
        <f t="shared" si="95"/>
        <v>6935929</v>
      </c>
      <c r="P2199" s="89">
        <v>716</v>
      </c>
      <c r="Q2199" t="s">
        <v>47</v>
      </c>
      <c r="R2199" s="214" t="s">
        <v>1869</v>
      </c>
      <c r="S2199" s="214" t="s">
        <v>1861</v>
      </c>
      <c r="U2199" t="s">
        <v>1953</v>
      </c>
      <c r="V2199" t="s">
        <v>2813</v>
      </c>
    </row>
    <row r="2200" spans="1:22" ht="15.75" thickBot="1" x14ac:dyDescent="0.3">
      <c r="A2200" t="s">
        <v>4590</v>
      </c>
      <c r="B2200" t="s">
        <v>4590</v>
      </c>
      <c r="C2200" t="s">
        <v>4590</v>
      </c>
      <c r="D2200" t="s">
        <v>629</v>
      </c>
      <c r="E2200" s="248" t="s">
        <v>1951</v>
      </c>
      <c r="F2200" t="s">
        <v>620</v>
      </c>
      <c r="G2200" s="89">
        <v>2012</v>
      </c>
      <c r="H2200" s="312" t="s">
        <v>734</v>
      </c>
      <c r="I2200" s="308" t="str">
        <f t="shared" si="94"/>
        <v>Pesado de Passageiros M3: I : Gasóleo : E5</v>
      </c>
      <c r="J2200" s="125">
        <v>88</v>
      </c>
      <c r="K2200" s="253">
        <v>2022</v>
      </c>
      <c r="L2200" s="85">
        <v>31627.890000000014</v>
      </c>
      <c r="M2200" s="85" t="s">
        <v>630</v>
      </c>
      <c r="N2200" s="128">
        <v>67988.375</v>
      </c>
      <c r="O2200" s="128">
        <f t="shared" si="95"/>
        <v>5982977</v>
      </c>
      <c r="P2200" s="89">
        <v>717</v>
      </c>
      <c r="Q2200" t="s">
        <v>47</v>
      </c>
      <c r="R2200" s="214" t="s">
        <v>1869</v>
      </c>
      <c r="S2200" s="214" t="s">
        <v>1861</v>
      </c>
      <c r="U2200" t="s">
        <v>1953</v>
      </c>
      <c r="V2200" t="s">
        <v>2813</v>
      </c>
    </row>
    <row r="2201" spans="1:22" ht="15.75" thickBot="1" x14ac:dyDescent="0.3">
      <c r="A2201" t="s">
        <v>4590</v>
      </c>
      <c r="B2201" t="s">
        <v>4590</v>
      </c>
      <c r="C2201" t="s">
        <v>4590</v>
      </c>
      <c r="D2201" t="s">
        <v>629</v>
      </c>
      <c r="E2201" s="248" t="s">
        <v>1951</v>
      </c>
      <c r="F2201" t="s">
        <v>620</v>
      </c>
      <c r="G2201" s="89">
        <v>2012</v>
      </c>
      <c r="H2201" s="312" t="s">
        <v>734</v>
      </c>
      <c r="I2201" s="308" t="str">
        <f t="shared" si="94"/>
        <v>Pesado de Passageiros M3: I : Gasóleo : E5</v>
      </c>
      <c r="J2201" s="125">
        <v>88</v>
      </c>
      <c r="K2201" s="253">
        <v>2022</v>
      </c>
      <c r="L2201" s="85">
        <v>34053.150000000009</v>
      </c>
      <c r="M2201" s="85" t="s">
        <v>630</v>
      </c>
      <c r="N2201" s="128">
        <v>70462.375</v>
      </c>
      <c r="O2201" s="128">
        <f t="shared" si="95"/>
        <v>6200689</v>
      </c>
      <c r="P2201" s="89">
        <v>718</v>
      </c>
      <c r="Q2201" t="s">
        <v>47</v>
      </c>
      <c r="R2201" s="214" t="s">
        <v>1869</v>
      </c>
      <c r="S2201" s="214" t="s">
        <v>1861</v>
      </c>
      <c r="U2201" t="s">
        <v>1953</v>
      </c>
      <c r="V2201" t="s">
        <v>2813</v>
      </c>
    </row>
    <row r="2202" spans="1:22" ht="15.75" thickBot="1" x14ac:dyDescent="0.3">
      <c r="A2202" t="s">
        <v>4590</v>
      </c>
      <c r="B2202" t="s">
        <v>4590</v>
      </c>
      <c r="C2202" t="s">
        <v>4590</v>
      </c>
      <c r="D2202" t="s">
        <v>629</v>
      </c>
      <c r="E2202" s="248" t="s">
        <v>1951</v>
      </c>
      <c r="F2202" t="s">
        <v>620</v>
      </c>
      <c r="G2202" s="89">
        <v>2012</v>
      </c>
      <c r="H2202" s="312" t="s">
        <v>734</v>
      </c>
      <c r="I2202" s="308" t="str">
        <f t="shared" si="94"/>
        <v>Pesado de Passageiros M3: I : Gasóleo : E5</v>
      </c>
      <c r="J2202" s="125">
        <v>88</v>
      </c>
      <c r="K2202" s="253">
        <v>2022</v>
      </c>
      <c r="L2202" s="85">
        <v>35044.899999999994</v>
      </c>
      <c r="M2202" s="85" t="s">
        <v>630</v>
      </c>
      <c r="N2202" s="128">
        <v>72166.375</v>
      </c>
      <c r="O2202" s="128">
        <f t="shared" si="95"/>
        <v>6350641</v>
      </c>
      <c r="P2202" s="89">
        <v>719</v>
      </c>
      <c r="Q2202" t="s">
        <v>47</v>
      </c>
      <c r="R2202" s="214" t="s">
        <v>1869</v>
      </c>
      <c r="S2202" s="214" t="s">
        <v>1861</v>
      </c>
      <c r="U2202" t="s">
        <v>1953</v>
      </c>
      <c r="V2202" t="s">
        <v>2813</v>
      </c>
    </row>
    <row r="2203" spans="1:22" ht="15.75" thickBot="1" x14ac:dyDescent="0.3">
      <c r="A2203" t="s">
        <v>4590</v>
      </c>
      <c r="B2203" t="s">
        <v>4590</v>
      </c>
      <c r="C2203" t="s">
        <v>4590</v>
      </c>
      <c r="D2203" t="s">
        <v>629</v>
      </c>
      <c r="E2203" s="248" t="s">
        <v>1951</v>
      </c>
      <c r="F2203" t="s">
        <v>620</v>
      </c>
      <c r="G2203" s="89">
        <v>2012</v>
      </c>
      <c r="H2203" s="312" t="s">
        <v>734</v>
      </c>
      <c r="I2203" s="308" t="str">
        <f t="shared" si="94"/>
        <v>Pesado de Passageiros M3: I : Gasóleo : E5</v>
      </c>
      <c r="J2203" s="125">
        <v>88</v>
      </c>
      <c r="K2203" s="253">
        <v>2022</v>
      </c>
      <c r="L2203" s="85">
        <v>24506.039999999994</v>
      </c>
      <c r="M2203" s="85" t="s">
        <v>630</v>
      </c>
      <c r="N2203" s="128">
        <v>57865.375</v>
      </c>
      <c r="O2203" s="128">
        <f t="shared" si="95"/>
        <v>5092153</v>
      </c>
      <c r="P2203" s="89">
        <v>720</v>
      </c>
      <c r="Q2203" t="s">
        <v>47</v>
      </c>
      <c r="R2203" s="214" t="s">
        <v>1869</v>
      </c>
      <c r="S2203" s="214" t="s">
        <v>1861</v>
      </c>
      <c r="U2203" t="s">
        <v>1953</v>
      </c>
      <c r="V2203" t="s">
        <v>2813</v>
      </c>
    </row>
    <row r="2204" spans="1:22" ht="15.75" thickBot="1" x14ac:dyDescent="0.3">
      <c r="A2204" t="s">
        <v>4590</v>
      </c>
      <c r="B2204" t="s">
        <v>4590</v>
      </c>
      <c r="C2204" t="s">
        <v>4590</v>
      </c>
      <c r="D2204" t="s">
        <v>629</v>
      </c>
      <c r="E2204" s="248" t="s">
        <v>1951</v>
      </c>
      <c r="F2204" t="s">
        <v>620</v>
      </c>
      <c r="G2204" s="89">
        <v>2012</v>
      </c>
      <c r="H2204" s="312" t="s">
        <v>734</v>
      </c>
      <c r="I2204" s="308" t="str">
        <f t="shared" si="94"/>
        <v>Pesado de Passageiros M3: I : Gasóleo : E5</v>
      </c>
      <c r="J2204" s="125">
        <v>88</v>
      </c>
      <c r="K2204" s="253">
        <v>2022</v>
      </c>
      <c r="L2204" s="85">
        <v>26698.400000000012</v>
      </c>
      <c r="M2204" s="85" t="s">
        <v>630</v>
      </c>
      <c r="N2204" s="128">
        <v>62648.375</v>
      </c>
      <c r="O2204" s="128">
        <f t="shared" si="95"/>
        <v>5513057</v>
      </c>
      <c r="P2204" s="89">
        <v>721</v>
      </c>
      <c r="Q2204" t="s">
        <v>47</v>
      </c>
      <c r="R2204" s="214" t="s">
        <v>1869</v>
      </c>
      <c r="S2204" s="214" t="s">
        <v>1861</v>
      </c>
      <c r="U2204" t="s">
        <v>1953</v>
      </c>
      <c r="V2204" t="s">
        <v>2813</v>
      </c>
    </row>
    <row r="2205" spans="1:22" ht="15.75" thickBot="1" x14ac:dyDescent="0.3">
      <c r="A2205" t="s">
        <v>4590</v>
      </c>
      <c r="B2205" t="s">
        <v>4590</v>
      </c>
      <c r="C2205" t="s">
        <v>4590</v>
      </c>
      <c r="D2205" t="s">
        <v>629</v>
      </c>
      <c r="E2205" s="248" t="s">
        <v>1951</v>
      </c>
      <c r="F2205" t="s">
        <v>620</v>
      </c>
      <c r="G2205" s="89">
        <v>2008</v>
      </c>
      <c r="H2205" s="312" t="s">
        <v>731</v>
      </c>
      <c r="I2205" s="308" t="str">
        <f t="shared" si="94"/>
        <v>Pesado de Passageiros M3: I : Gasóleo : E4</v>
      </c>
      <c r="J2205" s="125">
        <v>90</v>
      </c>
      <c r="K2205" s="253">
        <v>2022</v>
      </c>
      <c r="L2205" s="85">
        <v>32432.12999999999</v>
      </c>
      <c r="M2205" s="85" t="s">
        <v>630</v>
      </c>
      <c r="N2205" s="128">
        <v>56030.375</v>
      </c>
      <c r="O2205" s="128">
        <f t="shared" si="95"/>
        <v>5042733.75</v>
      </c>
      <c r="P2205" s="89">
        <v>674</v>
      </c>
      <c r="Q2205" t="s">
        <v>47</v>
      </c>
      <c r="R2205" s="214" t="s">
        <v>1869</v>
      </c>
      <c r="S2205" s="214" t="s">
        <v>1861</v>
      </c>
      <c r="U2205" t="s">
        <v>1953</v>
      </c>
      <c r="V2205" t="s">
        <v>2813</v>
      </c>
    </row>
    <row r="2206" spans="1:22" ht="15.75" thickBot="1" x14ac:dyDescent="0.3">
      <c r="A2206" t="s">
        <v>4590</v>
      </c>
      <c r="B2206" t="s">
        <v>4590</v>
      </c>
      <c r="C2206" t="s">
        <v>4590</v>
      </c>
      <c r="D2206" t="s">
        <v>629</v>
      </c>
      <c r="E2206" s="248" t="s">
        <v>1951</v>
      </c>
      <c r="F2206" t="s">
        <v>620</v>
      </c>
      <c r="G2206" s="89">
        <v>2008</v>
      </c>
      <c r="H2206" s="312" t="s">
        <v>731</v>
      </c>
      <c r="I2206" s="308" t="str">
        <f t="shared" si="94"/>
        <v>Pesado de Passageiros M3: I : Gasóleo : E4</v>
      </c>
      <c r="J2206" s="125">
        <v>90</v>
      </c>
      <c r="K2206" s="253">
        <v>2022</v>
      </c>
      <c r="L2206" s="85">
        <v>35944.189999999973</v>
      </c>
      <c r="M2206" s="85" t="s">
        <v>630</v>
      </c>
      <c r="N2206" s="128">
        <v>69185.375</v>
      </c>
      <c r="O2206" s="128">
        <f t="shared" si="95"/>
        <v>6226683.75</v>
      </c>
      <c r="P2206" s="89">
        <v>676</v>
      </c>
      <c r="Q2206" t="s">
        <v>47</v>
      </c>
      <c r="R2206" s="214" t="s">
        <v>1869</v>
      </c>
      <c r="S2206" s="214" t="s">
        <v>1861</v>
      </c>
      <c r="U2206" t="s">
        <v>1953</v>
      </c>
      <c r="V2206" t="s">
        <v>2813</v>
      </c>
    </row>
    <row r="2207" spans="1:22" ht="15.75" thickBot="1" x14ac:dyDescent="0.3">
      <c r="A2207" t="s">
        <v>4590</v>
      </c>
      <c r="B2207" t="s">
        <v>4590</v>
      </c>
      <c r="C2207" t="s">
        <v>4590</v>
      </c>
      <c r="D2207" t="s">
        <v>629</v>
      </c>
      <c r="E2207" s="248" t="s">
        <v>1951</v>
      </c>
      <c r="F2207" t="s">
        <v>620</v>
      </c>
      <c r="G2207" s="89">
        <v>2008</v>
      </c>
      <c r="H2207" s="312" t="s">
        <v>731</v>
      </c>
      <c r="I2207" s="308" t="str">
        <f t="shared" si="94"/>
        <v>Pesado de Passageiros M3: I : Gasóleo : E4</v>
      </c>
      <c r="J2207" s="125">
        <v>90</v>
      </c>
      <c r="K2207" s="253">
        <v>2022</v>
      </c>
      <c r="L2207" s="85">
        <v>39775.219999999972</v>
      </c>
      <c r="M2207" s="85" t="s">
        <v>630</v>
      </c>
      <c r="N2207" s="128">
        <v>69423.375</v>
      </c>
      <c r="O2207" s="128">
        <f t="shared" si="95"/>
        <v>6248103.75</v>
      </c>
      <c r="P2207" s="89">
        <v>677</v>
      </c>
      <c r="Q2207" t="s">
        <v>47</v>
      </c>
      <c r="R2207" s="214" t="s">
        <v>1869</v>
      </c>
      <c r="S2207" s="214" t="s">
        <v>1861</v>
      </c>
      <c r="U2207" t="s">
        <v>1953</v>
      </c>
      <c r="V2207" t="s">
        <v>2813</v>
      </c>
    </row>
    <row r="2208" spans="1:22" ht="15.75" thickBot="1" x14ac:dyDescent="0.3">
      <c r="A2208" t="s">
        <v>4590</v>
      </c>
      <c r="B2208" t="s">
        <v>4590</v>
      </c>
      <c r="C2208" t="s">
        <v>4590</v>
      </c>
      <c r="D2208" t="s">
        <v>629</v>
      </c>
      <c r="E2208" s="248" t="s">
        <v>1951</v>
      </c>
      <c r="F2208" t="s">
        <v>620</v>
      </c>
      <c r="G2208" s="89">
        <v>2008</v>
      </c>
      <c r="H2208" s="312" t="s">
        <v>731</v>
      </c>
      <c r="I2208" s="308" t="str">
        <f t="shared" si="94"/>
        <v>Pesado de Passageiros M3: I : Gasóleo : E4</v>
      </c>
      <c r="J2208" s="125">
        <v>90</v>
      </c>
      <c r="K2208" s="253">
        <v>2022</v>
      </c>
      <c r="L2208" s="85">
        <v>41827.479999999967</v>
      </c>
      <c r="M2208" s="85" t="s">
        <v>630</v>
      </c>
      <c r="N2208" s="128">
        <v>62746.375</v>
      </c>
      <c r="O2208" s="128">
        <f t="shared" si="95"/>
        <v>5647173.75</v>
      </c>
      <c r="P2208" s="89">
        <v>678</v>
      </c>
      <c r="Q2208" t="s">
        <v>47</v>
      </c>
      <c r="R2208" s="214" t="s">
        <v>1869</v>
      </c>
      <c r="S2208" s="214" t="s">
        <v>1861</v>
      </c>
      <c r="U2208" t="s">
        <v>1953</v>
      </c>
      <c r="V2208" t="s">
        <v>2813</v>
      </c>
    </row>
    <row r="2209" spans="1:22" ht="15.75" thickBot="1" x14ac:dyDescent="0.3">
      <c r="A2209" t="s">
        <v>4590</v>
      </c>
      <c r="B2209" t="s">
        <v>4590</v>
      </c>
      <c r="C2209" t="s">
        <v>4590</v>
      </c>
      <c r="D2209" t="s">
        <v>629</v>
      </c>
      <c r="E2209" s="248" t="s">
        <v>1951</v>
      </c>
      <c r="F2209" t="s">
        <v>620</v>
      </c>
      <c r="G2209" s="89">
        <v>2008</v>
      </c>
      <c r="H2209" s="312" t="s">
        <v>731</v>
      </c>
      <c r="I2209" s="308" t="str">
        <f t="shared" si="94"/>
        <v>Pesado de Passageiros M3: I : Gasóleo : E4</v>
      </c>
      <c r="J2209" s="125">
        <v>90</v>
      </c>
      <c r="K2209" s="253">
        <v>2022</v>
      </c>
      <c r="L2209" s="85">
        <v>39299.719999999987</v>
      </c>
      <c r="M2209" s="85" t="s">
        <v>630</v>
      </c>
      <c r="N2209" s="128">
        <v>69133.375</v>
      </c>
      <c r="O2209" s="128">
        <f t="shared" si="95"/>
        <v>6222003.75</v>
      </c>
      <c r="P2209" s="89">
        <v>679</v>
      </c>
      <c r="Q2209" t="s">
        <v>47</v>
      </c>
      <c r="R2209" s="214" t="s">
        <v>1869</v>
      </c>
      <c r="S2209" s="214" t="s">
        <v>1861</v>
      </c>
      <c r="U2209" t="s">
        <v>1953</v>
      </c>
      <c r="V2209" t="s">
        <v>2813</v>
      </c>
    </row>
    <row r="2210" spans="1:22" ht="15.75" thickBot="1" x14ac:dyDescent="0.3">
      <c r="A2210" t="s">
        <v>4590</v>
      </c>
      <c r="B2210" t="s">
        <v>4590</v>
      </c>
      <c r="C2210" t="s">
        <v>4590</v>
      </c>
      <c r="D2210" t="s">
        <v>629</v>
      </c>
      <c r="E2210" s="248" t="s">
        <v>1951</v>
      </c>
      <c r="F2210" t="s">
        <v>620</v>
      </c>
      <c r="G2210" s="89">
        <v>2008</v>
      </c>
      <c r="H2210" s="312" t="s">
        <v>731</v>
      </c>
      <c r="I2210" s="308" t="str">
        <f t="shared" si="94"/>
        <v>Pesado de Passageiros M3: I : Gasóleo : E4</v>
      </c>
      <c r="J2210" s="125">
        <v>90</v>
      </c>
      <c r="K2210" s="253">
        <v>2022</v>
      </c>
      <c r="L2210" s="85">
        <v>35488.959999999985</v>
      </c>
      <c r="M2210" s="85" t="s">
        <v>630</v>
      </c>
      <c r="N2210" s="128">
        <v>67335.375</v>
      </c>
      <c r="O2210" s="128">
        <f t="shared" si="95"/>
        <v>6060183.75</v>
      </c>
      <c r="P2210" s="89">
        <v>680</v>
      </c>
      <c r="Q2210" t="s">
        <v>47</v>
      </c>
      <c r="R2210" s="214" t="s">
        <v>1869</v>
      </c>
      <c r="S2210" s="214" t="s">
        <v>1861</v>
      </c>
      <c r="U2210" t="s">
        <v>1953</v>
      </c>
      <c r="V2210" t="s">
        <v>2813</v>
      </c>
    </row>
    <row r="2211" spans="1:22" ht="15.75" thickBot="1" x14ac:dyDescent="0.3">
      <c r="A2211" t="s">
        <v>4590</v>
      </c>
      <c r="B2211" t="s">
        <v>4590</v>
      </c>
      <c r="C2211" t="s">
        <v>4590</v>
      </c>
      <c r="D2211" t="s">
        <v>629</v>
      </c>
      <c r="E2211" s="248" t="s">
        <v>1951</v>
      </c>
      <c r="F2211" t="s">
        <v>620</v>
      </c>
      <c r="G2211" s="89">
        <v>2008</v>
      </c>
      <c r="H2211" s="312" t="s">
        <v>731</v>
      </c>
      <c r="I2211" s="308" t="str">
        <f t="shared" si="94"/>
        <v>Pesado de Passageiros M3: I : Gasóleo : E4</v>
      </c>
      <c r="J2211" s="125">
        <v>90</v>
      </c>
      <c r="K2211" s="253">
        <v>2022</v>
      </c>
      <c r="L2211" s="85">
        <v>23478.999999999982</v>
      </c>
      <c r="M2211" s="85" t="s">
        <v>630</v>
      </c>
      <c r="N2211" s="128">
        <v>42566.375</v>
      </c>
      <c r="O2211" s="128">
        <f t="shared" si="95"/>
        <v>3830973.75</v>
      </c>
      <c r="P2211" s="89">
        <v>682</v>
      </c>
      <c r="Q2211" t="s">
        <v>47</v>
      </c>
      <c r="R2211" s="214" t="s">
        <v>1869</v>
      </c>
      <c r="S2211" s="214" t="s">
        <v>1861</v>
      </c>
      <c r="U2211" t="s">
        <v>1953</v>
      </c>
      <c r="V2211" t="s">
        <v>2813</v>
      </c>
    </row>
    <row r="2212" spans="1:22" ht="15.75" thickBot="1" x14ac:dyDescent="0.3">
      <c r="A2212" t="s">
        <v>4590</v>
      </c>
      <c r="B2212" t="s">
        <v>4590</v>
      </c>
      <c r="C2212" t="s">
        <v>4590</v>
      </c>
      <c r="D2212" t="s">
        <v>629</v>
      </c>
      <c r="E2212" s="248" t="s">
        <v>1951</v>
      </c>
      <c r="F2212" t="s">
        <v>620</v>
      </c>
      <c r="G2212" s="89">
        <v>2008</v>
      </c>
      <c r="H2212" s="312" t="s">
        <v>731</v>
      </c>
      <c r="I2212" s="308" t="str">
        <f t="shared" si="94"/>
        <v>Pesado de Passageiros M3: I : Gasóleo : E4</v>
      </c>
      <c r="J2212" s="125">
        <v>90</v>
      </c>
      <c r="K2212" s="253">
        <v>2022</v>
      </c>
      <c r="L2212" s="85">
        <v>34619.659999999996</v>
      </c>
      <c r="M2212" s="85" t="s">
        <v>630</v>
      </c>
      <c r="N2212" s="128">
        <v>72479.375</v>
      </c>
      <c r="O2212" s="128">
        <f t="shared" si="95"/>
        <v>6523143.75</v>
      </c>
      <c r="P2212" s="89">
        <v>683</v>
      </c>
      <c r="Q2212" t="s">
        <v>47</v>
      </c>
      <c r="R2212" s="214" t="s">
        <v>1869</v>
      </c>
      <c r="S2212" s="214" t="s">
        <v>1861</v>
      </c>
      <c r="U2212" t="s">
        <v>1953</v>
      </c>
      <c r="V2212" t="s">
        <v>2813</v>
      </c>
    </row>
    <row r="2213" spans="1:22" ht="15.75" thickBot="1" x14ac:dyDescent="0.3">
      <c r="A2213" t="s">
        <v>4590</v>
      </c>
      <c r="B2213" t="s">
        <v>4590</v>
      </c>
      <c r="C2213" t="s">
        <v>4590</v>
      </c>
      <c r="D2213" t="s">
        <v>629</v>
      </c>
      <c r="E2213" s="248" t="s">
        <v>1951</v>
      </c>
      <c r="F2213" t="s">
        <v>620</v>
      </c>
      <c r="G2213" s="89">
        <v>2002</v>
      </c>
      <c r="H2213" s="312" t="s">
        <v>732</v>
      </c>
      <c r="I2213" s="308" t="str">
        <f t="shared" si="94"/>
        <v>Pesado de Passageiros M3: I : Gasóleo : E3</v>
      </c>
      <c r="J2213" s="125">
        <v>87</v>
      </c>
      <c r="K2213" s="253">
        <v>2022</v>
      </c>
      <c r="L2213" s="85">
        <v>8506.77</v>
      </c>
      <c r="M2213" s="85" t="s">
        <v>630</v>
      </c>
      <c r="N2213" s="128">
        <v>21647.375</v>
      </c>
      <c r="O2213" s="128">
        <f t="shared" si="95"/>
        <v>1883321.625</v>
      </c>
      <c r="P2213" s="89">
        <v>603</v>
      </c>
      <c r="Q2213" t="s">
        <v>47</v>
      </c>
      <c r="R2213" s="214" t="s">
        <v>1869</v>
      </c>
      <c r="S2213" s="214" t="s">
        <v>1861</v>
      </c>
      <c r="U2213" t="s">
        <v>1953</v>
      </c>
      <c r="V2213" t="s">
        <v>2813</v>
      </c>
    </row>
    <row r="2214" spans="1:22" ht="15.75" thickBot="1" x14ac:dyDescent="0.3">
      <c r="A2214" t="s">
        <v>4590</v>
      </c>
      <c r="B2214" t="s">
        <v>4590</v>
      </c>
      <c r="C2214" t="s">
        <v>4590</v>
      </c>
      <c r="D2214" t="s">
        <v>629</v>
      </c>
      <c r="E2214" s="248" t="s">
        <v>1951</v>
      </c>
      <c r="F2214" t="s">
        <v>620</v>
      </c>
      <c r="G2214" s="89">
        <v>2002</v>
      </c>
      <c r="H2214" s="312" t="s">
        <v>732</v>
      </c>
      <c r="I2214" s="308" t="str">
        <f t="shared" si="94"/>
        <v>Pesado de Passageiros M3: I : Gasóleo : E3</v>
      </c>
      <c r="J2214" s="125">
        <v>87</v>
      </c>
      <c r="K2214" s="253">
        <v>2022</v>
      </c>
      <c r="L2214" s="85">
        <v>20979.71000000001</v>
      </c>
      <c r="M2214" s="85" t="s">
        <v>630</v>
      </c>
      <c r="N2214" s="128">
        <v>47438.375</v>
      </c>
      <c r="O2214" s="128">
        <f t="shared" si="95"/>
        <v>4127138.625</v>
      </c>
      <c r="P2214" s="89">
        <v>605</v>
      </c>
      <c r="Q2214" t="s">
        <v>47</v>
      </c>
      <c r="R2214" s="214" t="s">
        <v>1869</v>
      </c>
      <c r="S2214" s="214" t="s">
        <v>1861</v>
      </c>
      <c r="U2214" t="s">
        <v>1953</v>
      </c>
      <c r="V2214" t="s">
        <v>2813</v>
      </c>
    </row>
    <row r="2215" spans="1:22" ht="15.75" thickBot="1" x14ac:dyDescent="0.3">
      <c r="A2215" t="s">
        <v>4590</v>
      </c>
      <c r="B2215" t="s">
        <v>4590</v>
      </c>
      <c r="C2215" t="s">
        <v>4590</v>
      </c>
      <c r="D2215" t="s">
        <v>629</v>
      </c>
      <c r="E2215" s="248" t="s">
        <v>1951</v>
      </c>
      <c r="F2215" t="s">
        <v>620</v>
      </c>
      <c r="G2215" s="89">
        <v>2002</v>
      </c>
      <c r="H2215" s="312" t="s">
        <v>732</v>
      </c>
      <c r="I2215" s="308" t="str">
        <f t="shared" si="94"/>
        <v>Pesado de Passageiros M3: I : Gasóleo : E3</v>
      </c>
      <c r="J2215" s="125">
        <v>87</v>
      </c>
      <c r="K2215" s="253">
        <v>2022</v>
      </c>
      <c r="L2215" s="85">
        <v>11833.490000000002</v>
      </c>
      <c r="M2215" s="85" t="s">
        <v>630</v>
      </c>
      <c r="N2215" s="128">
        <v>28474.375</v>
      </c>
      <c r="O2215" s="128">
        <f t="shared" si="95"/>
        <v>2477270.625</v>
      </c>
      <c r="P2215" s="89">
        <v>606</v>
      </c>
      <c r="Q2215" t="s">
        <v>47</v>
      </c>
      <c r="R2215" s="214" t="s">
        <v>1869</v>
      </c>
      <c r="S2215" s="214" t="s">
        <v>1861</v>
      </c>
      <c r="U2215" t="s">
        <v>1953</v>
      </c>
      <c r="V2215" t="s">
        <v>2813</v>
      </c>
    </row>
    <row r="2216" spans="1:22" ht="15.75" thickBot="1" x14ac:dyDescent="0.3">
      <c r="A2216" t="s">
        <v>4590</v>
      </c>
      <c r="B2216" t="s">
        <v>4590</v>
      </c>
      <c r="C2216" t="s">
        <v>4590</v>
      </c>
      <c r="D2216" t="s">
        <v>629</v>
      </c>
      <c r="E2216" s="248" t="s">
        <v>1951</v>
      </c>
      <c r="F2216" t="s">
        <v>620</v>
      </c>
      <c r="G2216" s="89">
        <v>2007</v>
      </c>
      <c r="H2216" s="312" t="s">
        <v>731</v>
      </c>
      <c r="I2216" s="308" t="str">
        <f t="shared" si="94"/>
        <v>Pesado de Passageiros M3: I : Gasóleo : E4</v>
      </c>
      <c r="J2216" s="125">
        <v>90</v>
      </c>
      <c r="K2216" s="253">
        <v>2022</v>
      </c>
      <c r="L2216" s="85">
        <v>36131.530000000006</v>
      </c>
      <c r="M2216" s="85" t="s">
        <v>630</v>
      </c>
      <c r="N2216" s="128">
        <v>65264.375</v>
      </c>
      <c r="O2216" s="128">
        <f t="shared" si="95"/>
        <v>5873793.75</v>
      </c>
      <c r="P2216" s="89">
        <v>652</v>
      </c>
      <c r="Q2216" t="s">
        <v>47</v>
      </c>
      <c r="R2216" s="214" t="s">
        <v>1869</v>
      </c>
      <c r="S2216" s="214" t="s">
        <v>1861</v>
      </c>
      <c r="U2216" t="s">
        <v>1953</v>
      </c>
      <c r="V2216" t="s">
        <v>2813</v>
      </c>
    </row>
    <row r="2217" spans="1:22" ht="15.75" thickBot="1" x14ac:dyDescent="0.3">
      <c r="A2217" t="s">
        <v>4590</v>
      </c>
      <c r="B2217" t="s">
        <v>4590</v>
      </c>
      <c r="C2217" t="s">
        <v>4590</v>
      </c>
      <c r="D2217" t="s">
        <v>629</v>
      </c>
      <c r="E2217" s="248" t="s">
        <v>1951</v>
      </c>
      <c r="F2217" t="s">
        <v>620</v>
      </c>
      <c r="G2217" s="89">
        <v>2008</v>
      </c>
      <c r="H2217" s="312" t="s">
        <v>731</v>
      </c>
      <c r="I2217" s="308" t="str">
        <f t="shared" si="94"/>
        <v>Pesado de Passageiros M3: I : Gasóleo : E4</v>
      </c>
      <c r="J2217" s="125">
        <v>90</v>
      </c>
      <c r="K2217" s="253">
        <v>2022</v>
      </c>
      <c r="L2217" s="85">
        <v>4196.6899999999996</v>
      </c>
      <c r="M2217" s="85" t="s">
        <v>630</v>
      </c>
      <c r="N2217" s="128">
        <v>12267.375</v>
      </c>
      <c r="O2217" s="128">
        <f t="shared" si="95"/>
        <v>1104063.75</v>
      </c>
      <c r="P2217" s="89">
        <v>653</v>
      </c>
      <c r="Q2217" t="s">
        <v>47</v>
      </c>
      <c r="R2217" s="214" t="s">
        <v>1869</v>
      </c>
      <c r="S2217" s="214" t="s">
        <v>1861</v>
      </c>
      <c r="U2217" t="s">
        <v>1953</v>
      </c>
      <c r="V2217" t="s">
        <v>2813</v>
      </c>
    </row>
    <row r="2218" spans="1:22" ht="15.75" thickBot="1" x14ac:dyDescent="0.3">
      <c r="A2218" t="s">
        <v>4590</v>
      </c>
      <c r="B2218" t="s">
        <v>4590</v>
      </c>
      <c r="C2218" t="s">
        <v>4590</v>
      </c>
      <c r="D2218" t="s">
        <v>629</v>
      </c>
      <c r="E2218" s="248" t="s">
        <v>1951</v>
      </c>
      <c r="F2218" t="s">
        <v>620</v>
      </c>
      <c r="G2218" s="89">
        <v>2007</v>
      </c>
      <c r="H2218" s="312" t="s">
        <v>731</v>
      </c>
      <c r="I2218" s="308" t="str">
        <f t="shared" si="94"/>
        <v>Pesado de Passageiros M3: I : Gasóleo : E4</v>
      </c>
      <c r="J2218" s="125">
        <v>90</v>
      </c>
      <c r="K2218" s="253">
        <v>2022</v>
      </c>
      <c r="L2218" s="85">
        <v>18349.409999999982</v>
      </c>
      <c r="M2218" s="85" t="s">
        <v>630</v>
      </c>
      <c r="N2218" s="128">
        <v>37250.375</v>
      </c>
      <c r="O2218" s="128">
        <f t="shared" si="95"/>
        <v>3352533.75</v>
      </c>
      <c r="P2218" s="89">
        <v>654</v>
      </c>
      <c r="Q2218" t="s">
        <v>47</v>
      </c>
      <c r="R2218" s="214" t="s">
        <v>1869</v>
      </c>
      <c r="S2218" s="214" t="s">
        <v>1861</v>
      </c>
      <c r="U2218" t="s">
        <v>1953</v>
      </c>
      <c r="V2218" t="s">
        <v>2813</v>
      </c>
    </row>
    <row r="2219" spans="1:22" ht="15.75" thickBot="1" x14ac:dyDescent="0.3">
      <c r="A2219" t="s">
        <v>4590</v>
      </c>
      <c r="B2219" t="s">
        <v>4590</v>
      </c>
      <c r="C2219" t="s">
        <v>4590</v>
      </c>
      <c r="D2219" t="s">
        <v>629</v>
      </c>
      <c r="E2219" s="248" t="s">
        <v>1951</v>
      </c>
      <c r="F2219" t="s">
        <v>620</v>
      </c>
      <c r="G2219" s="89">
        <v>2007</v>
      </c>
      <c r="H2219" s="312" t="s">
        <v>731</v>
      </c>
      <c r="I2219" s="308" t="str">
        <f t="shared" si="94"/>
        <v>Pesado de Passageiros M3: I : Gasóleo : E4</v>
      </c>
      <c r="J2219" s="125">
        <v>90</v>
      </c>
      <c r="K2219" s="253">
        <v>2022</v>
      </c>
      <c r="L2219" s="85">
        <v>20451.290000000008</v>
      </c>
      <c r="M2219" s="85" t="s">
        <v>630</v>
      </c>
      <c r="N2219" s="128">
        <v>45436.375</v>
      </c>
      <c r="O2219" s="128">
        <f t="shared" si="95"/>
        <v>4089273.75</v>
      </c>
      <c r="P2219" s="89">
        <v>655</v>
      </c>
      <c r="Q2219" t="s">
        <v>47</v>
      </c>
      <c r="R2219" s="214" t="s">
        <v>1869</v>
      </c>
      <c r="S2219" s="214" t="s">
        <v>1861</v>
      </c>
      <c r="U2219" t="s">
        <v>1953</v>
      </c>
      <c r="V2219" t="s">
        <v>2813</v>
      </c>
    </row>
    <row r="2220" spans="1:22" ht="15.75" thickBot="1" x14ac:dyDescent="0.3">
      <c r="A2220" t="s">
        <v>4590</v>
      </c>
      <c r="B2220" t="s">
        <v>4590</v>
      </c>
      <c r="C2220" t="s">
        <v>4590</v>
      </c>
      <c r="D2220" t="s">
        <v>629</v>
      </c>
      <c r="E2220" s="248" t="s">
        <v>1951</v>
      </c>
      <c r="F2220" t="s">
        <v>620</v>
      </c>
      <c r="G2220" s="89">
        <v>2007</v>
      </c>
      <c r="H2220" s="312" t="s">
        <v>731</v>
      </c>
      <c r="I2220" s="308" t="str">
        <f t="shared" si="94"/>
        <v>Pesado de Passageiros M3: I : Gasóleo : E4</v>
      </c>
      <c r="J2220" s="125">
        <v>90</v>
      </c>
      <c r="K2220" s="253">
        <v>2022</v>
      </c>
      <c r="L2220" s="85">
        <v>27449.829999999987</v>
      </c>
      <c r="M2220" s="85" t="s">
        <v>630</v>
      </c>
      <c r="N2220" s="128">
        <v>56527.375</v>
      </c>
      <c r="O2220" s="128">
        <f t="shared" si="95"/>
        <v>5087463.75</v>
      </c>
      <c r="P2220" s="89">
        <v>657</v>
      </c>
      <c r="Q2220" t="s">
        <v>47</v>
      </c>
      <c r="R2220" s="214" t="s">
        <v>1869</v>
      </c>
      <c r="S2220" s="214" t="s">
        <v>1861</v>
      </c>
      <c r="U2220" t="s">
        <v>1953</v>
      </c>
      <c r="V2220" t="s">
        <v>2813</v>
      </c>
    </row>
    <row r="2221" spans="1:22" ht="15.75" thickBot="1" x14ac:dyDescent="0.3">
      <c r="A2221" t="s">
        <v>4590</v>
      </c>
      <c r="B2221" t="s">
        <v>4590</v>
      </c>
      <c r="C2221" t="s">
        <v>4590</v>
      </c>
      <c r="D2221" t="s">
        <v>629</v>
      </c>
      <c r="E2221" s="248" t="s">
        <v>1951</v>
      </c>
      <c r="F2221" t="s">
        <v>620</v>
      </c>
      <c r="G2221" s="89">
        <v>2007</v>
      </c>
      <c r="H2221" s="312" t="s">
        <v>731</v>
      </c>
      <c r="I2221" s="308" t="str">
        <f t="shared" si="94"/>
        <v>Pesado de Passageiros M3: I : Gasóleo : E4</v>
      </c>
      <c r="J2221" s="125">
        <v>90</v>
      </c>
      <c r="K2221" s="253">
        <v>2022</v>
      </c>
      <c r="L2221" s="85">
        <v>18719.560000000009</v>
      </c>
      <c r="M2221" s="85" t="s">
        <v>630</v>
      </c>
      <c r="N2221" s="128">
        <v>40038.275191937923</v>
      </c>
      <c r="O2221" s="128">
        <f t="shared" si="95"/>
        <v>3603444.7672744133</v>
      </c>
      <c r="P2221" s="89">
        <v>658</v>
      </c>
      <c r="Q2221" t="s">
        <v>47</v>
      </c>
      <c r="R2221" s="214" t="s">
        <v>1869</v>
      </c>
      <c r="S2221" s="214" t="s">
        <v>1861</v>
      </c>
      <c r="U2221" t="s">
        <v>1953</v>
      </c>
      <c r="V2221" t="s">
        <v>2813</v>
      </c>
    </row>
    <row r="2222" spans="1:22" ht="15.75" thickBot="1" x14ac:dyDescent="0.3">
      <c r="A2222" t="s">
        <v>4590</v>
      </c>
      <c r="B2222" t="s">
        <v>4590</v>
      </c>
      <c r="C2222" t="s">
        <v>4590</v>
      </c>
      <c r="D2222" t="s">
        <v>629</v>
      </c>
      <c r="E2222" s="248" t="s">
        <v>1951</v>
      </c>
      <c r="F2222" t="s">
        <v>620</v>
      </c>
      <c r="G2222" s="89">
        <v>2007</v>
      </c>
      <c r="H2222" s="312" t="s">
        <v>731</v>
      </c>
      <c r="I2222" s="308" t="str">
        <f t="shared" si="94"/>
        <v>Pesado de Passageiros M3: I : Gasóleo : E4</v>
      </c>
      <c r="J2222" s="125">
        <v>90</v>
      </c>
      <c r="K2222" s="253">
        <v>2022</v>
      </c>
      <c r="L2222" s="85">
        <v>32340.789999999946</v>
      </c>
      <c r="M2222" s="85" t="s">
        <v>630</v>
      </c>
      <c r="N2222" s="128">
        <v>67808.509528265917</v>
      </c>
      <c r="O2222" s="128">
        <f t="shared" si="95"/>
        <v>6102765.8575439323</v>
      </c>
      <c r="P2222" s="89">
        <v>659</v>
      </c>
      <c r="Q2222" t="s">
        <v>47</v>
      </c>
      <c r="R2222" s="214" t="s">
        <v>1869</v>
      </c>
      <c r="S2222" s="214" t="s">
        <v>1861</v>
      </c>
      <c r="U2222" t="s">
        <v>1953</v>
      </c>
      <c r="V2222" t="s">
        <v>2813</v>
      </c>
    </row>
    <row r="2223" spans="1:22" ht="15.75" thickBot="1" x14ac:dyDescent="0.3">
      <c r="A2223" t="s">
        <v>4590</v>
      </c>
      <c r="B2223" t="s">
        <v>4590</v>
      </c>
      <c r="C2223" t="s">
        <v>4590</v>
      </c>
      <c r="D2223" t="s">
        <v>629</v>
      </c>
      <c r="E2223" s="248" t="s">
        <v>1951</v>
      </c>
      <c r="F2223" t="s">
        <v>620</v>
      </c>
      <c r="G2223" s="89">
        <v>2007</v>
      </c>
      <c r="H2223" s="312" t="s">
        <v>731</v>
      </c>
      <c r="I2223" s="308" t="str">
        <f t="shared" si="94"/>
        <v>Pesado de Passageiros M3: I : Gasóleo : E4</v>
      </c>
      <c r="J2223" s="125">
        <v>90</v>
      </c>
      <c r="K2223" s="253">
        <v>2022</v>
      </c>
      <c r="L2223" s="85">
        <v>30207.87</v>
      </c>
      <c r="M2223" s="85" t="s">
        <v>630</v>
      </c>
      <c r="N2223" s="128">
        <v>69197.291612799163</v>
      </c>
      <c r="O2223" s="128">
        <f t="shared" si="95"/>
        <v>6227756.2451519249</v>
      </c>
      <c r="P2223" s="89">
        <v>660</v>
      </c>
      <c r="Q2223" t="s">
        <v>47</v>
      </c>
      <c r="R2223" s="214" t="s">
        <v>1869</v>
      </c>
      <c r="S2223" s="214" t="s">
        <v>1861</v>
      </c>
      <c r="U2223" t="s">
        <v>1953</v>
      </c>
      <c r="V2223" t="s">
        <v>2813</v>
      </c>
    </row>
    <row r="2224" spans="1:22" ht="15.75" thickBot="1" x14ac:dyDescent="0.3">
      <c r="A2224" t="s">
        <v>4590</v>
      </c>
      <c r="B2224" t="s">
        <v>4590</v>
      </c>
      <c r="C2224" t="s">
        <v>4590</v>
      </c>
      <c r="D2224" t="s">
        <v>629</v>
      </c>
      <c r="E2224" s="248" t="s">
        <v>1951</v>
      </c>
      <c r="F2224" t="s">
        <v>620</v>
      </c>
      <c r="G2224" s="89">
        <v>2007</v>
      </c>
      <c r="H2224" s="312" t="s">
        <v>731</v>
      </c>
      <c r="I2224" s="308" t="str">
        <f t="shared" si="94"/>
        <v>Pesado de Passageiros M3: I : Gasóleo : E4</v>
      </c>
      <c r="J2224" s="125">
        <v>90</v>
      </c>
      <c r="K2224" s="253">
        <v>2022</v>
      </c>
      <c r="L2224" s="85">
        <v>23325.050000000014</v>
      </c>
      <c r="M2224" s="85" t="s">
        <v>630</v>
      </c>
      <c r="N2224" s="128">
        <v>46032.375</v>
      </c>
      <c r="O2224" s="128">
        <f t="shared" si="95"/>
        <v>4142913.75</v>
      </c>
      <c r="P2224" s="89">
        <v>661</v>
      </c>
      <c r="Q2224" t="s">
        <v>47</v>
      </c>
      <c r="R2224" s="214" t="s">
        <v>1869</v>
      </c>
      <c r="S2224" s="214" t="s">
        <v>1861</v>
      </c>
      <c r="U2224" t="s">
        <v>1953</v>
      </c>
      <c r="V2224" t="s">
        <v>2813</v>
      </c>
    </row>
    <row r="2225" spans="1:22" ht="15.75" thickBot="1" x14ac:dyDescent="0.3">
      <c r="A2225" t="s">
        <v>4590</v>
      </c>
      <c r="B2225" t="s">
        <v>4590</v>
      </c>
      <c r="C2225" t="s">
        <v>4590</v>
      </c>
      <c r="D2225" t="s">
        <v>629</v>
      </c>
      <c r="E2225" s="248" t="s">
        <v>1951</v>
      </c>
      <c r="F2225" t="s">
        <v>620</v>
      </c>
      <c r="G2225" s="89">
        <v>2007</v>
      </c>
      <c r="H2225" s="312" t="s">
        <v>731</v>
      </c>
      <c r="I2225" s="308" t="str">
        <f t="shared" si="94"/>
        <v>Pesado de Passageiros M3: I : Gasóleo : E4</v>
      </c>
      <c r="J2225" s="125">
        <v>90</v>
      </c>
      <c r="K2225" s="253">
        <v>2022</v>
      </c>
      <c r="L2225" s="85">
        <v>29600.570000000011</v>
      </c>
      <c r="M2225" s="85" t="s">
        <v>630</v>
      </c>
      <c r="N2225" s="128">
        <v>58508.375</v>
      </c>
      <c r="O2225" s="128">
        <f t="shared" si="95"/>
        <v>5265753.75</v>
      </c>
      <c r="P2225" s="89">
        <v>662</v>
      </c>
      <c r="Q2225" t="s">
        <v>47</v>
      </c>
      <c r="R2225" s="214" t="s">
        <v>1869</v>
      </c>
      <c r="S2225" s="214" t="s">
        <v>1861</v>
      </c>
      <c r="U2225" t="s">
        <v>1953</v>
      </c>
      <c r="V2225" t="s">
        <v>2813</v>
      </c>
    </row>
    <row r="2226" spans="1:22" ht="15.75" thickBot="1" x14ac:dyDescent="0.3">
      <c r="A2226" t="s">
        <v>4590</v>
      </c>
      <c r="B2226" t="s">
        <v>4590</v>
      </c>
      <c r="C2226" t="s">
        <v>4590</v>
      </c>
      <c r="D2226" t="s">
        <v>629</v>
      </c>
      <c r="E2226" s="248" t="s">
        <v>1951</v>
      </c>
      <c r="F2226" t="s">
        <v>620</v>
      </c>
      <c r="G2226" s="89">
        <v>2007</v>
      </c>
      <c r="H2226" s="312" t="s">
        <v>731</v>
      </c>
      <c r="I2226" s="308" t="str">
        <f t="shared" si="94"/>
        <v>Pesado de Passageiros M3: I : Gasóleo : E4</v>
      </c>
      <c r="J2226" s="125">
        <v>90</v>
      </c>
      <c r="K2226" s="253">
        <v>2022</v>
      </c>
      <c r="L2226" s="85">
        <v>34612.329999999994</v>
      </c>
      <c r="M2226" s="85" t="s">
        <v>630</v>
      </c>
      <c r="N2226" s="128">
        <v>70977.375</v>
      </c>
      <c r="O2226" s="128">
        <f t="shared" si="95"/>
        <v>6387963.75</v>
      </c>
      <c r="P2226" s="89">
        <v>663</v>
      </c>
      <c r="Q2226" t="s">
        <v>47</v>
      </c>
      <c r="R2226" s="214" t="s">
        <v>1869</v>
      </c>
      <c r="S2226" s="214" t="s">
        <v>1861</v>
      </c>
      <c r="U2226" t="s">
        <v>1953</v>
      </c>
      <c r="V2226" t="s">
        <v>2813</v>
      </c>
    </row>
    <row r="2227" spans="1:22" ht="15.75" thickBot="1" x14ac:dyDescent="0.3">
      <c r="A2227" t="s">
        <v>4590</v>
      </c>
      <c r="B2227" t="s">
        <v>4590</v>
      </c>
      <c r="C2227" t="s">
        <v>4590</v>
      </c>
      <c r="D2227" t="s">
        <v>629</v>
      </c>
      <c r="E2227" s="248" t="s">
        <v>1951</v>
      </c>
      <c r="F2227" t="s">
        <v>620</v>
      </c>
      <c r="G2227" s="89">
        <v>2007</v>
      </c>
      <c r="H2227" s="312" t="s">
        <v>731</v>
      </c>
      <c r="I2227" s="308" t="str">
        <f t="shared" si="94"/>
        <v>Pesado de Passageiros M3: I : Gasóleo : E4</v>
      </c>
      <c r="J2227" s="125">
        <v>90</v>
      </c>
      <c r="K2227" s="253">
        <v>2022</v>
      </c>
      <c r="L2227" s="85">
        <v>28423.219999999987</v>
      </c>
      <c r="M2227" s="85" t="s">
        <v>630</v>
      </c>
      <c r="N2227" s="128">
        <v>59408.375</v>
      </c>
      <c r="O2227" s="128">
        <f t="shared" si="95"/>
        <v>5346753.75</v>
      </c>
      <c r="P2227" s="89">
        <v>664</v>
      </c>
      <c r="Q2227" t="s">
        <v>47</v>
      </c>
      <c r="R2227" s="214" t="s">
        <v>1869</v>
      </c>
      <c r="S2227" s="214" t="s">
        <v>1861</v>
      </c>
      <c r="U2227" t="s">
        <v>1953</v>
      </c>
      <c r="V2227" t="s">
        <v>2813</v>
      </c>
    </row>
    <row r="2228" spans="1:22" ht="15.75" thickBot="1" x14ac:dyDescent="0.3">
      <c r="A2228" t="s">
        <v>4590</v>
      </c>
      <c r="B2228" t="s">
        <v>4590</v>
      </c>
      <c r="C2228" t="s">
        <v>4590</v>
      </c>
      <c r="D2228" t="s">
        <v>629</v>
      </c>
      <c r="E2228" s="248" t="s">
        <v>1951</v>
      </c>
      <c r="F2228" t="s">
        <v>620</v>
      </c>
      <c r="G2228" s="89">
        <v>2007</v>
      </c>
      <c r="H2228" s="312" t="s">
        <v>731</v>
      </c>
      <c r="I2228" s="308" t="str">
        <f t="shared" si="94"/>
        <v>Pesado de Passageiros M3: I : Gasóleo : E4</v>
      </c>
      <c r="J2228" s="125">
        <v>90</v>
      </c>
      <c r="K2228" s="253">
        <v>2022</v>
      </c>
      <c r="L2228" s="85">
        <v>33256.169999999976</v>
      </c>
      <c r="M2228" s="85" t="s">
        <v>630</v>
      </c>
      <c r="N2228" s="128">
        <v>76951.375</v>
      </c>
      <c r="O2228" s="128">
        <f t="shared" si="95"/>
        <v>6925623.75</v>
      </c>
      <c r="P2228" s="89">
        <v>665</v>
      </c>
      <c r="Q2228" t="s">
        <v>47</v>
      </c>
      <c r="R2228" s="214" t="s">
        <v>1869</v>
      </c>
      <c r="S2228" s="214" t="s">
        <v>1861</v>
      </c>
      <c r="U2228" t="s">
        <v>1953</v>
      </c>
      <c r="V2228" t="s">
        <v>2813</v>
      </c>
    </row>
    <row r="2229" spans="1:22" ht="15.75" thickBot="1" x14ac:dyDescent="0.3">
      <c r="A2229" t="s">
        <v>4590</v>
      </c>
      <c r="B2229" t="s">
        <v>4590</v>
      </c>
      <c r="C2229" t="s">
        <v>4590</v>
      </c>
      <c r="D2229" t="s">
        <v>629</v>
      </c>
      <c r="E2229" s="248" t="s">
        <v>1951</v>
      </c>
      <c r="F2229" t="s">
        <v>620</v>
      </c>
      <c r="G2229" s="89">
        <v>2007</v>
      </c>
      <c r="H2229" s="312" t="s">
        <v>731</v>
      </c>
      <c r="I2229" s="308" t="str">
        <f t="shared" si="94"/>
        <v>Pesado de Passageiros M3: I : Gasóleo : E4</v>
      </c>
      <c r="J2229" s="125">
        <v>90</v>
      </c>
      <c r="K2229" s="253">
        <v>2022</v>
      </c>
      <c r="L2229" s="85">
        <v>30161.960000000017</v>
      </c>
      <c r="M2229" s="85" t="s">
        <v>630</v>
      </c>
      <c r="N2229" s="128">
        <v>67203.375</v>
      </c>
      <c r="O2229" s="128">
        <f t="shared" si="95"/>
        <v>6048303.75</v>
      </c>
      <c r="P2229" s="89">
        <v>666</v>
      </c>
      <c r="Q2229" t="s">
        <v>47</v>
      </c>
      <c r="R2229" s="214" t="s">
        <v>1869</v>
      </c>
      <c r="S2229" s="214" t="s">
        <v>1861</v>
      </c>
      <c r="U2229" t="s">
        <v>1953</v>
      </c>
      <c r="V2229" t="s">
        <v>2813</v>
      </c>
    </row>
    <row r="2230" spans="1:22" ht="15.75" thickBot="1" x14ac:dyDescent="0.3">
      <c r="A2230" t="s">
        <v>4590</v>
      </c>
      <c r="B2230" t="s">
        <v>4590</v>
      </c>
      <c r="C2230" t="s">
        <v>4590</v>
      </c>
      <c r="D2230" t="s">
        <v>629</v>
      </c>
      <c r="E2230" s="248" t="s">
        <v>1951</v>
      </c>
      <c r="F2230" t="s">
        <v>620</v>
      </c>
      <c r="G2230" s="89">
        <v>2007</v>
      </c>
      <c r="H2230" s="312" t="s">
        <v>731</v>
      </c>
      <c r="I2230" s="308" t="str">
        <f t="shared" si="94"/>
        <v>Pesado de Passageiros M3: I : Gasóleo : E4</v>
      </c>
      <c r="J2230" s="125">
        <v>90</v>
      </c>
      <c r="K2230" s="253">
        <v>2022</v>
      </c>
      <c r="L2230" s="85">
        <v>30555.410000000007</v>
      </c>
      <c r="M2230" s="85" t="s">
        <v>630</v>
      </c>
      <c r="N2230" s="128">
        <v>69906.786642105901</v>
      </c>
      <c r="O2230" s="128">
        <f t="shared" si="95"/>
        <v>6291610.7977895308</v>
      </c>
      <c r="P2230" s="89">
        <v>667</v>
      </c>
      <c r="Q2230" t="s">
        <v>47</v>
      </c>
      <c r="R2230" s="214" t="s">
        <v>1869</v>
      </c>
      <c r="S2230" s="214" t="s">
        <v>1861</v>
      </c>
      <c r="U2230" t="s">
        <v>1953</v>
      </c>
      <c r="V2230" t="s">
        <v>2813</v>
      </c>
    </row>
    <row r="2231" spans="1:22" ht="15.75" thickBot="1" x14ac:dyDescent="0.3">
      <c r="A2231" t="s">
        <v>4590</v>
      </c>
      <c r="B2231" t="s">
        <v>4590</v>
      </c>
      <c r="C2231" t="s">
        <v>4590</v>
      </c>
      <c r="D2231" t="s">
        <v>629</v>
      </c>
      <c r="E2231" s="248" t="s">
        <v>1951</v>
      </c>
      <c r="F2231" t="s">
        <v>620</v>
      </c>
      <c r="G2231" s="89">
        <v>2007</v>
      </c>
      <c r="H2231" s="312" t="s">
        <v>731</v>
      </c>
      <c r="I2231" s="308" t="str">
        <f t="shared" si="94"/>
        <v>Pesado de Passageiros M3: I : Gasóleo : E4</v>
      </c>
      <c r="J2231" s="125">
        <v>90</v>
      </c>
      <c r="K2231" s="253">
        <v>2022</v>
      </c>
      <c r="L2231" s="85">
        <v>28584.279999999988</v>
      </c>
      <c r="M2231" s="85" t="s">
        <v>630</v>
      </c>
      <c r="N2231" s="128">
        <v>64540.535676533822</v>
      </c>
      <c r="O2231" s="128">
        <f t="shared" si="95"/>
        <v>5808648.210888044</v>
      </c>
      <c r="P2231" s="89">
        <v>668</v>
      </c>
      <c r="Q2231" t="s">
        <v>47</v>
      </c>
      <c r="R2231" s="214" t="s">
        <v>1869</v>
      </c>
      <c r="S2231" s="214" t="s">
        <v>1861</v>
      </c>
      <c r="U2231" t="s">
        <v>1953</v>
      </c>
      <c r="V2231" t="s">
        <v>2813</v>
      </c>
    </row>
    <row r="2232" spans="1:22" ht="15.75" thickBot="1" x14ac:dyDescent="0.3">
      <c r="A2232" t="s">
        <v>4590</v>
      </c>
      <c r="B2232" t="s">
        <v>4590</v>
      </c>
      <c r="C2232" t="s">
        <v>4590</v>
      </c>
      <c r="D2232" t="s">
        <v>629</v>
      </c>
      <c r="E2232" s="248" t="s">
        <v>1951</v>
      </c>
      <c r="F2232" t="s">
        <v>620</v>
      </c>
      <c r="G2232" s="89">
        <v>2008</v>
      </c>
      <c r="H2232" s="312" t="s">
        <v>731</v>
      </c>
      <c r="I2232" s="308" t="str">
        <f t="shared" si="94"/>
        <v>Pesado de Passageiros M3: I : Gasóleo : E4</v>
      </c>
      <c r="J2232" s="125">
        <v>90</v>
      </c>
      <c r="K2232" s="253">
        <v>2022</v>
      </c>
      <c r="L2232" s="85">
        <v>24816.139999999992</v>
      </c>
      <c r="M2232" s="85" t="s">
        <v>630</v>
      </c>
      <c r="N2232" s="128">
        <v>52834.375</v>
      </c>
      <c r="O2232" s="128">
        <f t="shared" si="95"/>
        <v>4755093.75</v>
      </c>
      <c r="P2232" s="89">
        <v>685</v>
      </c>
      <c r="Q2232" t="s">
        <v>47</v>
      </c>
      <c r="R2232" s="214" t="s">
        <v>1869</v>
      </c>
      <c r="S2232" s="214" t="s">
        <v>1861</v>
      </c>
      <c r="U2232" t="s">
        <v>1953</v>
      </c>
      <c r="V2232" t="s">
        <v>2813</v>
      </c>
    </row>
    <row r="2233" spans="1:22" ht="15.75" thickBot="1" x14ac:dyDescent="0.3">
      <c r="A2233" t="s">
        <v>4590</v>
      </c>
      <c r="B2233" t="s">
        <v>4590</v>
      </c>
      <c r="C2233" t="s">
        <v>4590</v>
      </c>
      <c r="D2233" t="s">
        <v>629</v>
      </c>
      <c r="E2233" s="248" t="s">
        <v>1951</v>
      </c>
      <c r="F2233" t="s">
        <v>620</v>
      </c>
      <c r="G2233" s="89">
        <v>2008</v>
      </c>
      <c r="H2233" s="312" t="s">
        <v>731</v>
      </c>
      <c r="I2233" s="308" t="str">
        <f t="shared" si="94"/>
        <v>Pesado de Passageiros M3: I : Gasóleo : E4</v>
      </c>
      <c r="J2233" s="125">
        <v>90</v>
      </c>
      <c r="K2233" s="253">
        <v>2022</v>
      </c>
      <c r="L2233" s="85">
        <v>34934.79</v>
      </c>
      <c r="M2233" s="85" t="s">
        <v>630</v>
      </c>
      <c r="N2233" s="128">
        <v>70912.375</v>
      </c>
      <c r="O2233" s="128">
        <f t="shared" si="95"/>
        <v>6382113.75</v>
      </c>
      <c r="P2233" s="89">
        <v>686</v>
      </c>
      <c r="Q2233" t="s">
        <v>47</v>
      </c>
      <c r="R2233" s="214" t="s">
        <v>1869</v>
      </c>
      <c r="S2233" s="214" t="s">
        <v>1861</v>
      </c>
      <c r="U2233" t="s">
        <v>1953</v>
      </c>
      <c r="V2233" t="s">
        <v>2813</v>
      </c>
    </row>
    <row r="2234" spans="1:22" ht="15.75" thickBot="1" x14ac:dyDescent="0.3">
      <c r="A2234" t="s">
        <v>4590</v>
      </c>
      <c r="B2234" t="s">
        <v>4590</v>
      </c>
      <c r="C2234" t="s">
        <v>4590</v>
      </c>
      <c r="D2234" t="s">
        <v>629</v>
      </c>
      <c r="E2234" s="248" t="s">
        <v>1951</v>
      </c>
      <c r="F2234" t="s">
        <v>620</v>
      </c>
      <c r="G2234" s="89">
        <v>2008</v>
      </c>
      <c r="H2234" s="312" t="s">
        <v>731</v>
      </c>
      <c r="I2234" s="308" t="str">
        <f t="shared" si="94"/>
        <v>Pesado de Passageiros M3: I : Gasóleo : E4</v>
      </c>
      <c r="J2234" s="125">
        <v>90</v>
      </c>
      <c r="K2234" s="253">
        <v>2022</v>
      </c>
      <c r="L2234" s="85">
        <v>24380.410000000003</v>
      </c>
      <c r="M2234" s="85" t="s">
        <v>630</v>
      </c>
      <c r="N2234" s="128">
        <v>48218.375</v>
      </c>
      <c r="O2234" s="128">
        <f t="shared" si="95"/>
        <v>4339653.75</v>
      </c>
      <c r="P2234" s="89">
        <v>687</v>
      </c>
      <c r="Q2234" t="s">
        <v>47</v>
      </c>
      <c r="R2234" s="214" t="s">
        <v>1869</v>
      </c>
      <c r="S2234" s="214" t="s">
        <v>1861</v>
      </c>
      <c r="U2234" t="s">
        <v>1953</v>
      </c>
      <c r="V2234" t="s">
        <v>2813</v>
      </c>
    </row>
    <row r="2235" spans="1:22" ht="15.75" thickBot="1" x14ac:dyDescent="0.3">
      <c r="A2235" t="s">
        <v>4590</v>
      </c>
      <c r="B2235" t="s">
        <v>4590</v>
      </c>
      <c r="C2235" t="s">
        <v>4590</v>
      </c>
      <c r="D2235" t="s">
        <v>629</v>
      </c>
      <c r="E2235" s="248" t="s">
        <v>1951</v>
      </c>
      <c r="F2235" t="s">
        <v>620</v>
      </c>
      <c r="G2235" s="89">
        <v>2008</v>
      </c>
      <c r="H2235" s="312" t="s">
        <v>731</v>
      </c>
      <c r="I2235" s="308" t="str">
        <f t="shared" si="94"/>
        <v>Pesado de Passageiros M3: I : Gasóleo : E4</v>
      </c>
      <c r="J2235" s="125">
        <v>90</v>
      </c>
      <c r="K2235" s="253">
        <v>2022</v>
      </c>
      <c r="L2235" s="85">
        <v>13255.019999999999</v>
      </c>
      <c r="M2235" s="85" t="s">
        <v>630</v>
      </c>
      <c r="N2235" s="128">
        <v>29272.375</v>
      </c>
      <c r="O2235" s="128">
        <f t="shared" si="95"/>
        <v>2634513.75</v>
      </c>
      <c r="P2235" s="89">
        <v>688</v>
      </c>
      <c r="Q2235" t="s">
        <v>47</v>
      </c>
      <c r="R2235" s="214" t="s">
        <v>1869</v>
      </c>
      <c r="S2235" s="214" t="s">
        <v>1861</v>
      </c>
      <c r="U2235" t="s">
        <v>1953</v>
      </c>
      <c r="V2235" t="s">
        <v>2813</v>
      </c>
    </row>
    <row r="2236" spans="1:22" ht="15.75" thickBot="1" x14ac:dyDescent="0.3">
      <c r="A2236" t="s">
        <v>4590</v>
      </c>
      <c r="B2236" t="s">
        <v>4590</v>
      </c>
      <c r="C2236" t="s">
        <v>4590</v>
      </c>
      <c r="D2236" t="s">
        <v>629</v>
      </c>
      <c r="E2236" s="248" t="s">
        <v>1951</v>
      </c>
      <c r="F2236" t="s">
        <v>620</v>
      </c>
      <c r="G2236" s="89">
        <v>2009</v>
      </c>
      <c r="H2236" s="312" t="s">
        <v>731</v>
      </c>
      <c r="I2236" s="308" t="str">
        <f t="shared" si="94"/>
        <v>Pesado de Passageiros M3: I : Gasóleo : E4</v>
      </c>
      <c r="J2236" s="125">
        <v>90</v>
      </c>
      <c r="K2236" s="253">
        <v>2022</v>
      </c>
      <c r="L2236" s="85">
        <v>36366.370000000003</v>
      </c>
      <c r="M2236" s="85" t="s">
        <v>630</v>
      </c>
      <c r="N2236" s="128">
        <v>66757.375</v>
      </c>
      <c r="O2236" s="128">
        <f t="shared" si="95"/>
        <v>6008163.75</v>
      </c>
      <c r="P2236" s="89">
        <v>689</v>
      </c>
      <c r="Q2236" t="s">
        <v>47</v>
      </c>
      <c r="R2236" s="214" t="s">
        <v>1869</v>
      </c>
      <c r="S2236" s="214" t="s">
        <v>1861</v>
      </c>
      <c r="U2236" t="s">
        <v>1953</v>
      </c>
      <c r="V2236" t="s">
        <v>2813</v>
      </c>
    </row>
    <row r="2237" spans="1:22" ht="15.75" thickBot="1" x14ac:dyDescent="0.3">
      <c r="A2237" t="s">
        <v>4590</v>
      </c>
      <c r="B2237" t="s">
        <v>4590</v>
      </c>
      <c r="C2237" t="s">
        <v>4590</v>
      </c>
      <c r="D2237" t="s">
        <v>629</v>
      </c>
      <c r="E2237" s="248" t="s">
        <v>1951</v>
      </c>
      <c r="F2237" t="s">
        <v>620</v>
      </c>
      <c r="G2237" s="89">
        <v>2009</v>
      </c>
      <c r="H2237" s="312" t="s">
        <v>731</v>
      </c>
      <c r="I2237" s="308" t="str">
        <f t="shared" si="94"/>
        <v>Pesado de Passageiros M3: I : Gasóleo : E4</v>
      </c>
      <c r="J2237" s="125">
        <v>90</v>
      </c>
      <c r="K2237" s="253">
        <v>2022</v>
      </c>
      <c r="L2237" s="85">
        <v>1098.21</v>
      </c>
      <c r="M2237" s="85" t="s">
        <v>630</v>
      </c>
      <c r="N2237" s="128">
        <v>6352.375</v>
      </c>
      <c r="O2237" s="128">
        <f t="shared" si="95"/>
        <v>571713.75</v>
      </c>
      <c r="P2237" s="89">
        <v>690</v>
      </c>
      <c r="Q2237" t="s">
        <v>47</v>
      </c>
      <c r="R2237" s="214" t="s">
        <v>1869</v>
      </c>
      <c r="S2237" s="214" t="s">
        <v>1861</v>
      </c>
      <c r="U2237" t="s">
        <v>1953</v>
      </c>
      <c r="V2237" t="s">
        <v>2813</v>
      </c>
    </row>
    <row r="2238" spans="1:22" ht="15.75" thickBot="1" x14ac:dyDescent="0.3">
      <c r="A2238" t="s">
        <v>4590</v>
      </c>
      <c r="B2238" t="s">
        <v>4590</v>
      </c>
      <c r="C2238" t="s">
        <v>4590</v>
      </c>
      <c r="D2238" t="s">
        <v>629</v>
      </c>
      <c r="E2238" s="248" t="s">
        <v>1951</v>
      </c>
      <c r="F2238" t="s">
        <v>620</v>
      </c>
      <c r="G2238" s="89">
        <v>2009</v>
      </c>
      <c r="H2238" s="312" t="s">
        <v>731</v>
      </c>
      <c r="I2238" s="308" t="str">
        <f t="shared" si="94"/>
        <v>Pesado de Passageiros M3: I : Gasóleo : E4</v>
      </c>
      <c r="J2238" s="125">
        <v>90</v>
      </c>
      <c r="K2238" s="253">
        <v>2022</v>
      </c>
      <c r="L2238" s="85">
        <v>20397.549999999992</v>
      </c>
      <c r="M2238" s="85" t="s">
        <v>630</v>
      </c>
      <c r="N2238" s="128">
        <v>43937.375</v>
      </c>
      <c r="O2238" s="128">
        <f t="shared" si="95"/>
        <v>3954363.75</v>
      </c>
      <c r="P2238" s="89">
        <v>692</v>
      </c>
      <c r="Q2238" t="s">
        <v>47</v>
      </c>
      <c r="R2238" s="214" t="s">
        <v>1869</v>
      </c>
      <c r="S2238" s="214" t="s">
        <v>1861</v>
      </c>
      <c r="U2238" t="s">
        <v>1953</v>
      </c>
      <c r="V2238" t="s">
        <v>2813</v>
      </c>
    </row>
    <row r="2239" spans="1:22" ht="15.75" thickBot="1" x14ac:dyDescent="0.3">
      <c r="A2239" t="s">
        <v>4590</v>
      </c>
      <c r="B2239" t="s">
        <v>4590</v>
      </c>
      <c r="C2239" t="s">
        <v>4590</v>
      </c>
      <c r="D2239" t="s">
        <v>629</v>
      </c>
      <c r="E2239" s="248" t="s">
        <v>1951</v>
      </c>
      <c r="F2239" t="s">
        <v>620</v>
      </c>
      <c r="G2239" s="89">
        <v>2009</v>
      </c>
      <c r="H2239" s="312" t="s">
        <v>731</v>
      </c>
      <c r="I2239" s="308" t="str">
        <f t="shared" si="94"/>
        <v>Pesado de Passageiros M3: I : Gasóleo : E4</v>
      </c>
      <c r="J2239" s="125">
        <v>90</v>
      </c>
      <c r="K2239" s="253">
        <v>2022</v>
      </c>
      <c r="L2239" s="85">
        <v>28508.789999999986</v>
      </c>
      <c r="M2239" s="85" t="s">
        <v>630</v>
      </c>
      <c r="N2239" s="128">
        <v>62435.375</v>
      </c>
      <c r="O2239" s="128">
        <f t="shared" si="95"/>
        <v>5619183.75</v>
      </c>
      <c r="P2239" s="89">
        <v>695</v>
      </c>
      <c r="Q2239" t="s">
        <v>47</v>
      </c>
      <c r="R2239" s="214" t="s">
        <v>1869</v>
      </c>
      <c r="S2239" s="214" t="s">
        <v>1861</v>
      </c>
      <c r="U2239" t="s">
        <v>1953</v>
      </c>
      <c r="V2239" t="s">
        <v>2813</v>
      </c>
    </row>
    <row r="2240" spans="1:22" ht="15.75" thickBot="1" x14ac:dyDescent="0.3">
      <c r="A2240" t="s">
        <v>4590</v>
      </c>
      <c r="B2240" t="s">
        <v>4590</v>
      </c>
      <c r="C2240" t="s">
        <v>4590</v>
      </c>
      <c r="D2240" t="s">
        <v>629</v>
      </c>
      <c r="E2240" s="248" t="s">
        <v>1951</v>
      </c>
      <c r="F2240" t="s">
        <v>620</v>
      </c>
      <c r="G2240" s="89">
        <v>2009</v>
      </c>
      <c r="H2240" s="312" t="s">
        <v>731</v>
      </c>
      <c r="I2240" s="308" t="str">
        <f t="shared" si="94"/>
        <v>Pesado de Passageiros M3: I : Gasóleo : E4</v>
      </c>
      <c r="J2240" s="125">
        <v>90</v>
      </c>
      <c r="K2240" s="253">
        <v>2022</v>
      </c>
      <c r="L2240" s="85">
        <v>27841.4</v>
      </c>
      <c r="M2240" s="85" t="s">
        <v>630</v>
      </c>
      <c r="N2240" s="128">
        <v>52714.375</v>
      </c>
      <c r="O2240" s="128">
        <f t="shared" si="95"/>
        <v>4744293.75</v>
      </c>
      <c r="P2240" s="89">
        <v>696</v>
      </c>
      <c r="Q2240" t="s">
        <v>47</v>
      </c>
      <c r="R2240" s="214" t="s">
        <v>1869</v>
      </c>
      <c r="S2240" s="214" t="s">
        <v>1861</v>
      </c>
      <c r="U2240" t="s">
        <v>1953</v>
      </c>
      <c r="V2240" t="s">
        <v>2813</v>
      </c>
    </row>
    <row r="2241" spans="1:22" ht="15.75" thickBot="1" x14ac:dyDescent="0.3">
      <c r="A2241" t="s">
        <v>4590</v>
      </c>
      <c r="B2241" t="s">
        <v>4590</v>
      </c>
      <c r="C2241" t="s">
        <v>4590</v>
      </c>
      <c r="D2241" t="s">
        <v>629</v>
      </c>
      <c r="E2241" s="248" t="s">
        <v>1951</v>
      </c>
      <c r="F2241" t="s">
        <v>620</v>
      </c>
      <c r="G2241" s="89">
        <v>2007</v>
      </c>
      <c r="H2241" s="312" t="s">
        <v>731</v>
      </c>
      <c r="I2241" s="308" t="str">
        <f t="shared" si="94"/>
        <v>Pesado de Passageiros M3: I : Gasóleo : E4</v>
      </c>
      <c r="J2241" s="125">
        <v>90</v>
      </c>
      <c r="K2241" s="253">
        <v>2022</v>
      </c>
      <c r="L2241" s="85">
        <v>24695.43</v>
      </c>
      <c r="M2241" s="85" t="s">
        <v>630</v>
      </c>
      <c r="N2241" s="128">
        <v>46450.375</v>
      </c>
      <c r="O2241" s="128">
        <f t="shared" si="95"/>
        <v>4180533.75</v>
      </c>
      <c r="P2241" s="89">
        <v>800</v>
      </c>
      <c r="Q2241" t="s">
        <v>47</v>
      </c>
      <c r="R2241" s="214" t="s">
        <v>1869</v>
      </c>
      <c r="S2241" s="214" t="s">
        <v>1861</v>
      </c>
      <c r="U2241" t="s">
        <v>1953</v>
      </c>
      <c r="V2241" t="s">
        <v>2813</v>
      </c>
    </row>
    <row r="2242" spans="1:22" ht="15.75" thickBot="1" x14ac:dyDescent="0.3">
      <c r="A2242" t="s">
        <v>4590</v>
      </c>
      <c r="B2242" t="s">
        <v>4590</v>
      </c>
      <c r="C2242" t="s">
        <v>4590</v>
      </c>
      <c r="D2242" t="s">
        <v>629</v>
      </c>
      <c r="E2242" s="248" t="s">
        <v>1951</v>
      </c>
      <c r="F2242" t="s">
        <v>620</v>
      </c>
      <c r="G2242" s="89">
        <v>2007</v>
      </c>
      <c r="H2242" s="312" t="s">
        <v>731</v>
      </c>
      <c r="I2242" s="308" t="str">
        <f t="shared" si="94"/>
        <v>Pesado de Passageiros M3: I : Gasóleo : E4</v>
      </c>
      <c r="J2242" s="125">
        <v>90</v>
      </c>
      <c r="K2242" s="253">
        <v>2022</v>
      </c>
      <c r="L2242" s="85">
        <v>34123.880000000005</v>
      </c>
      <c r="M2242" s="85" t="s">
        <v>630</v>
      </c>
      <c r="N2242" s="128">
        <v>69638.375</v>
      </c>
      <c r="O2242" s="128">
        <f t="shared" si="95"/>
        <v>6267453.75</v>
      </c>
      <c r="P2242" s="89">
        <v>801</v>
      </c>
      <c r="Q2242" t="s">
        <v>47</v>
      </c>
      <c r="R2242" s="214" t="s">
        <v>1869</v>
      </c>
      <c r="S2242" s="214" t="s">
        <v>1861</v>
      </c>
      <c r="U2242" t="s">
        <v>1953</v>
      </c>
      <c r="V2242" t="s">
        <v>2813</v>
      </c>
    </row>
    <row r="2243" spans="1:22" ht="15.75" thickBot="1" x14ac:dyDescent="0.3">
      <c r="A2243" t="s">
        <v>4590</v>
      </c>
      <c r="B2243" t="s">
        <v>4590</v>
      </c>
      <c r="C2243" t="s">
        <v>4590</v>
      </c>
      <c r="D2243" t="s">
        <v>629</v>
      </c>
      <c r="E2243" s="248" t="s">
        <v>1951</v>
      </c>
      <c r="F2243" t="s">
        <v>620</v>
      </c>
      <c r="G2243" s="89">
        <v>2007</v>
      </c>
      <c r="H2243" s="312" t="s">
        <v>731</v>
      </c>
      <c r="I2243" s="308" t="str">
        <f t="shared" si="94"/>
        <v>Pesado de Passageiros M3: I : Gasóleo : E4</v>
      </c>
      <c r="J2243" s="125">
        <v>90</v>
      </c>
      <c r="K2243" s="253">
        <v>2022</v>
      </c>
      <c r="L2243" s="85">
        <v>17586.689999999995</v>
      </c>
      <c r="M2243" s="85" t="s">
        <v>630</v>
      </c>
      <c r="N2243" s="128">
        <v>37840.375</v>
      </c>
      <c r="O2243" s="128">
        <f t="shared" si="95"/>
        <v>3405633.75</v>
      </c>
      <c r="P2243" s="89">
        <v>802</v>
      </c>
      <c r="Q2243" t="s">
        <v>47</v>
      </c>
      <c r="R2243" s="214" t="s">
        <v>1869</v>
      </c>
      <c r="S2243" s="214" t="s">
        <v>1861</v>
      </c>
      <c r="U2243" t="s">
        <v>1953</v>
      </c>
      <c r="V2243" t="s">
        <v>2813</v>
      </c>
    </row>
    <row r="2244" spans="1:22" ht="15.75" thickBot="1" x14ac:dyDescent="0.3">
      <c r="A2244" t="s">
        <v>4590</v>
      </c>
      <c r="B2244" t="s">
        <v>4590</v>
      </c>
      <c r="C2244" t="s">
        <v>4590</v>
      </c>
      <c r="D2244" t="s">
        <v>629</v>
      </c>
      <c r="E2244" s="248" t="s">
        <v>1951</v>
      </c>
      <c r="F2244" t="s">
        <v>620</v>
      </c>
      <c r="G2244" s="89">
        <v>2007</v>
      </c>
      <c r="H2244" s="312" t="s">
        <v>731</v>
      </c>
      <c r="I2244" s="308" t="str">
        <f t="shared" ref="I2244:I2307" si="96">D2244&amp;": "&amp;E2244&amp;" : "&amp;F2244&amp;" : "&amp;H2244</f>
        <v>Pesado de Passageiros M3: I : Gasóleo : E4</v>
      </c>
      <c r="J2244" s="125">
        <v>90</v>
      </c>
      <c r="K2244" s="253">
        <v>2022</v>
      </c>
      <c r="L2244" s="85">
        <v>7943.6500000000005</v>
      </c>
      <c r="M2244" s="85" t="s">
        <v>630</v>
      </c>
      <c r="N2244" s="128">
        <v>18724.375</v>
      </c>
      <c r="O2244" s="128">
        <f t="shared" ref="O2244:O2307" si="97">N2244*J2244</f>
        <v>1685193.75</v>
      </c>
      <c r="P2244" s="89">
        <v>803</v>
      </c>
      <c r="Q2244" t="s">
        <v>47</v>
      </c>
      <c r="R2244" s="214" t="s">
        <v>1869</v>
      </c>
      <c r="S2244" s="214" t="s">
        <v>1861</v>
      </c>
      <c r="U2244" t="s">
        <v>1953</v>
      </c>
      <c r="V2244" t="s">
        <v>2813</v>
      </c>
    </row>
    <row r="2245" spans="1:22" ht="15.75" thickBot="1" x14ac:dyDescent="0.3">
      <c r="A2245" t="s">
        <v>4590</v>
      </c>
      <c r="B2245" t="s">
        <v>4590</v>
      </c>
      <c r="C2245" t="s">
        <v>4590</v>
      </c>
      <c r="D2245" t="s">
        <v>629</v>
      </c>
      <c r="E2245" s="248" t="s">
        <v>1951</v>
      </c>
      <c r="F2245" t="s">
        <v>620</v>
      </c>
      <c r="G2245" s="89">
        <v>2003</v>
      </c>
      <c r="H2245" s="312" t="s">
        <v>732</v>
      </c>
      <c r="I2245" s="308" t="str">
        <f t="shared" si="96"/>
        <v>Pesado de Passageiros M3: I : Gasóleo : E3</v>
      </c>
      <c r="J2245" s="125">
        <v>87</v>
      </c>
      <c r="K2245" s="253">
        <v>2022</v>
      </c>
      <c r="L2245" s="85">
        <v>25868.270000000019</v>
      </c>
      <c r="M2245" s="85" t="s">
        <v>630</v>
      </c>
      <c r="N2245" s="128">
        <v>57471.375</v>
      </c>
      <c r="O2245" s="128">
        <f t="shared" si="97"/>
        <v>5000009.625</v>
      </c>
      <c r="P2245" s="89">
        <v>607</v>
      </c>
      <c r="Q2245" t="s">
        <v>47</v>
      </c>
      <c r="R2245" s="214" t="s">
        <v>1869</v>
      </c>
      <c r="S2245" s="214" t="s">
        <v>1861</v>
      </c>
      <c r="U2245" t="s">
        <v>1953</v>
      </c>
      <c r="V2245" t="s">
        <v>2813</v>
      </c>
    </row>
    <row r="2246" spans="1:22" ht="15.75" thickBot="1" x14ac:dyDescent="0.3">
      <c r="A2246" t="s">
        <v>4590</v>
      </c>
      <c r="B2246" t="s">
        <v>4590</v>
      </c>
      <c r="C2246" t="s">
        <v>4590</v>
      </c>
      <c r="D2246" t="s">
        <v>629</v>
      </c>
      <c r="E2246" s="248" t="s">
        <v>1951</v>
      </c>
      <c r="F2246" t="s">
        <v>620</v>
      </c>
      <c r="G2246" s="89">
        <v>2003</v>
      </c>
      <c r="H2246" s="312" t="s">
        <v>732</v>
      </c>
      <c r="I2246" s="308" t="str">
        <f t="shared" si="96"/>
        <v>Pesado de Passageiros M3: I : Gasóleo : E3</v>
      </c>
      <c r="J2246" s="125">
        <v>87</v>
      </c>
      <c r="K2246" s="253">
        <v>2022</v>
      </c>
      <c r="L2246" s="85">
        <v>18500.629999999997</v>
      </c>
      <c r="M2246" s="85" t="s">
        <v>630</v>
      </c>
      <c r="N2246" s="128">
        <v>42732.174582463485</v>
      </c>
      <c r="O2246" s="128">
        <f t="shared" si="97"/>
        <v>3717699.1886743233</v>
      </c>
      <c r="P2246" s="89">
        <v>608</v>
      </c>
      <c r="Q2246" t="s">
        <v>47</v>
      </c>
      <c r="R2246" s="214" t="s">
        <v>1869</v>
      </c>
      <c r="S2246" s="214" t="s">
        <v>1861</v>
      </c>
      <c r="U2246" t="s">
        <v>1953</v>
      </c>
      <c r="V2246" t="s">
        <v>2813</v>
      </c>
    </row>
    <row r="2247" spans="1:22" ht="15.75" thickBot="1" x14ac:dyDescent="0.3">
      <c r="A2247" t="s">
        <v>4590</v>
      </c>
      <c r="B2247" t="s">
        <v>4590</v>
      </c>
      <c r="C2247" t="s">
        <v>4590</v>
      </c>
      <c r="D2247" t="s">
        <v>629</v>
      </c>
      <c r="E2247" s="248" t="s">
        <v>1951</v>
      </c>
      <c r="F2247" t="s">
        <v>620</v>
      </c>
      <c r="G2247" s="89">
        <v>2003</v>
      </c>
      <c r="H2247" s="312" t="s">
        <v>732</v>
      </c>
      <c r="I2247" s="308" t="str">
        <f t="shared" si="96"/>
        <v>Pesado de Passageiros M3: I : Gasóleo : E3</v>
      </c>
      <c r="J2247" s="125">
        <v>87</v>
      </c>
      <c r="K2247" s="253">
        <v>2022</v>
      </c>
      <c r="L2247" s="85">
        <v>15217.67</v>
      </c>
      <c r="M2247" s="85" t="s">
        <v>630</v>
      </c>
      <c r="N2247" s="128">
        <v>33068.375</v>
      </c>
      <c r="O2247" s="128">
        <f t="shared" si="97"/>
        <v>2876948.625</v>
      </c>
      <c r="P2247" s="89">
        <v>609</v>
      </c>
      <c r="Q2247" t="s">
        <v>47</v>
      </c>
      <c r="R2247" s="214" t="s">
        <v>1869</v>
      </c>
      <c r="S2247" s="214" t="s">
        <v>1861</v>
      </c>
      <c r="U2247" t="s">
        <v>1953</v>
      </c>
      <c r="V2247" t="s">
        <v>2813</v>
      </c>
    </row>
    <row r="2248" spans="1:22" ht="15.75" thickBot="1" x14ac:dyDescent="0.3">
      <c r="A2248" t="s">
        <v>4590</v>
      </c>
      <c r="B2248" t="s">
        <v>4590</v>
      </c>
      <c r="C2248" t="s">
        <v>4590</v>
      </c>
      <c r="D2248" t="s">
        <v>629</v>
      </c>
      <c r="E2248" s="248" t="s">
        <v>1951</v>
      </c>
      <c r="F2248" t="s">
        <v>620</v>
      </c>
      <c r="G2248" s="89">
        <v>2003</v>
      </c>
      <c r="H2248" s="312" t="s">
        <v>732</v>
      </c>
      <c r="I2248" s="308" t="str">
        <f t="shared" si="96"/>
        <v>Pesado de Passageiros M3: I : Gasóleo : E3</v>
      </c>
      <c r="J2248" s="125">
        <v>87</v>
      </c>
      <c r="K2248" s="253">
        <v>2022</v>
      </c>
      <c r="L2248" s="85">
        <v>21521.770000000015</v>
      </c>
      <c r="M2248" s="85" t="s">
        <v>630</v>
      </c>
      <c r="N2248" s="128">
        <v>48317.375</v>
      </c>
      <c r="O2248" s="128">
        <f t="shared" si="97"/>
        <v>4203611.625</v>
      </c>
      <c r="P2248" s="89">
        <v>612</v>
      </c>
      <c r="Q2248" t="s">
        <v>47</v>
      </c>
      <c r="R2248" s="214" t="s">
        <v>1869</v>
      </c>
      <c r="S2248" s="214" t="s">
        <v>1861</v>
      </c>
      <c r="U2248" t="s">
        <v>1953</v>
      </c>
      <c r="V2248" t="s">
        <v>2813</v>
      </c>
    </row>
    <row r="2249" spans="1:22" ht="15.75" thickBot="1" x14ac:dyDescent="0.3">
      <c r="A2249" t="s">
        <v>4590</v>
      </c>
      <c r="B2249" t="s">
        <v>4590</v>
      </c>
      <c r="C2249" t="s">
        <v>4590</v>
      </c>
      <c r="D2249" t="s">
        <v>629</v>
      </c>
      <c r="E2249" s="248" t="s">
        <v>1951</v>
      </c>
      <c r="F2249" t="s">
        <v>620</v>
      </c>
      <c r="G2249" s="89">
        <v>2003</v>
      </c>
      <c r="H2249" s="312" t="s">
        <v>732</v>
      </c>
      <c r="I2249" s="308" t="str">
        <f t="shared" si="96"/>
        <v>Pesado de Passageiros M3: I : Gasóleo : E3</v>
      </c>
      <c r="J2249" s="125">
        <v>81</v>
      </c>
      <c r="K2249" s="253">
        <v>2022</v>
      </c>
      <c r="L2249" s="85">
        <v>25923.41</v>
      </c>
      <c r="M2249" s="85" t="s">
        <v>630</v>
      </c>
      <c r="N2249" s="128">
        <v>53296.375</v>
      </c>
      <c r="O2249" s="128">
        <f t="shared" si="97"/>
        <v>4317006.375</v>
      </c>
      <c r="P2249" s="89">
        <v>613</v>
      </c>
      <c r="Q2249" t="s">
        <v>47</v>
      </c>
      <c r="R2249" s="214" t="s">
        <v>1869</v>
      </c>
      <c r="S2249" s="214" t="s">
        <v>1861</v>
      </c>
      <c r="U2249" t="s">
        <v>1953</v>
      </c>
      <c r="V2249" t="s">
        <v>2813</v>
      </c>
    </row>
    <row r="2250" spans="1:22" ht="15.75" thickBot="1" x14ac:dyDescent="0.3">
      <c r="A2250" t="s">
        <v>4590</v>
      </c>
      <c r="B2250" t="s">
        <v>4590</v>
      </c>
      <c r="C2250" t="s">
        <v>4590</v>
      </c>
      <c r="D2250" t="s">
        <v>629</v>
      </c>
      <c r="E2250" s="248" t="s">
        <v>1951</v>
      </c>
      <c r="F2250" t="s">
        <v>620</v>
      </c>
      <c r="G2250" s="89">
        <v>2003</v>
      </c>
      <c r="H2250" s="312" t="s">
        <v>732</v>
      </c>
      <c r="I2250" s="308" t="str">
        <f t="shared" si="96"/>
        <v>Pesado de Passageiros M3: I : Gasóleo : E3</v>
      </c>
      <c r="J2250" s="125">
        <v>81</v>
      </c>
      <c r="K2250" s="253">
        <v>2022</v>
      </c>
      <c r="L2250" s="85">
        <v>19166.37999999999</v>
      </c>
      <c r="M2250" s="85" t="s">
        <v>630</v>
      </c>
      <c r="N2250" s="128">
        <v>40041.759615384595</v>
      </c>
      <c r="O2250" s="128">
        <f t="shared" si="97"/>
        <v>3243382.5288461521</v>
      </c>
      <c r="P2250" s="89">
        <v>614</v>
      </c>
      <c r="Q2250" t="s">
        <v>47</v>
      </c>
      <c r="R2250" s="214" t="s">
        <v>1869</v>
      </c>
      <c r="S2250" s="214" t="s">
        <v>1861</v>
      </c>
      <c r="U2250" t="s">
        <v>1953</v>
      </c>
      <c r="V2250" t="s">
        <v>2813</v>
      </c>
    </row>
    <row r="2251" spans="1:22" ht="15.75" thickBot="1" x14ac:dyDescent="0.3">
      <c r="A2251" t="s">
        <v>4590</v>
      </c>
      <c r="B2251" t="s">
        <v>4590</v>
      </c>
      <c r="C2251" t="s">
        <v>4590</v>
      </c>
      <c r="D2251" t="s">
        <v>629</v>
      </c>
      <c r="E2251" s="248" t="s">
        <v>1951</v>
      </c>
      <c r="F2251" t="s">
        <v>620</v>
      </c>
      <c r="G2251" s="89">
        <v>2003</v>
      </c>
      <c r="H2251" s="312" t="s">
        <v>732</v>
      </c>
      <c r="I2251" s="308" t="str">
        <f t="shared" si="96"/>
        <v>Pesado de Passageiros M3: I : Gasóleo : E3</v>
      </c>
      <c r="J2251" s="125">
        <v>81</v>
      </c>
      <c r="K2251" s="253">
        <v>2022</v>
      </c>
      <c r="L2251" s="85">
        <v>17997.850000000002</v>
      </c>
      <c r="M2251" s="85" t="s">
        <v>630</v>
      </c>
      <c r="N2251" s="128">
        <v>40467.375</v>
      </c>
      <c r="O2251" s="128">
        <f t="shared" si="97"/>
        <v>3277857.375</v>
      </c>
      <c r="P2251" s="89">
        <v>623</v>
      </c>
      <c r="Q2251" t="s">
        <v>47</v>
      </c>
      <c r="R2251" s="214" t="s">
        <v>1869</v>
      </c>
      <c r="S2251" s="214" t="s">
        <v>1861</v>
      </c>
      <c r="U2251" t="s">
        <v>1953</v>
      </c>
      <c r="V2251" t="s">
        <v>2813</v>
      </c>
    </row>
    <row r="2252" spans="1:22" ht="15.75" thickBot="1" x14ac:dyDescent="0.3">
      <c r="A2252" t="s">
        <v>4590</v>
      </c>
      <c r="B2252" t="s">
        <v>4590</v>
      </c>
      <c r="C2252" t="s">
        <v>4590</v>
      </c>
      <c r="D2252" t="s">
        <v>629</v>
      </c>
      <c r="E2252" s="248" t="s">
        <v>1951</v>
      </c>
      <c r="F2252" t="s">
        <v>620</v>
      </c>
      <c r="G2252" s="89">
        <v>2021</v>
      </c>
      <c r="H2252" s="312" t="s">
        <v>733</v>
      </c>
      <c r="I2252" s="308" t="str">
        <f t="shared" si="96"/>
        <v>Pesado de Passageiros M3: I : Gasóleo : E6</v>
      </c>
      <c r="J2252" s="125">
        <v>108</v>
      </c>
      <c r="K2252" s="253">
        <v>2022</v>
      </c>
      <c r="L2252" s="85">
        <v>20229.009999999998</v>
      </c>
      <c r="M2252" s="85" t="s">
        <v>630</v>
      </c>
      <c r="N2252" s="128">
        <v>51712.375</v>
      </c>
      <c r="O2252" s="128">
        <f t="shared" si="97"/>
        <v>5584936.5</v>
      </c>
      <c r="P2252" s="89">
        <v>1100</v>
      </c>
      <c r="Q2252" t="s">
        <v>47</v>
      </c>
      <c r="R2252" s="214" t="s">
        <v>1869</v>
      </c>
      <c r="S2252" s="214" t="s">
        <v>1861</v>
      </c>
      <c r="U2252" t="s">
        <v>1953</v>
      </c>
      <c r="V2252" t="s">
        <v>2813</v>
      </c>
    </row>
    <row r="2253" spans="1:22" ht="15.75" thickBot="1" x14ac:dyDescent="0.3">
      <c r="A2253" t="s">
        <v>4590</v>
      </c>
      <c r="B2253" t="s">
        <v>4590</v>
      </c>
      <c r="C2253" t="s">
        <v>4590</v>
      </c>
      <c r="D2253" t="s">
        <v>629</v>
      </c>
      <c r="E2253" s="248" t="s">
        <v>1951</v>
      </c>
      <c r="F2253" t="s">
        <v>620</v>
      </c>
      <c r="G2253" s="89">
        <v>2021</v>
      </c>
      <c r="H2253" s="312" t="s">
        <v>733</v>
      </c>
      <c r="I2253" s="308" t="str">
        <f t="shared" si="96"/>
        <v>Pesado de Passageiros M3: I : Gasóleo : E6</v>
      </c>
      <c r="J2253" s="125">
        <v>108</v>
      </c>
      <c r="K2253" s="253">
        <v>2022</v>
      </c>
      <c r="L2253" s="85">
        <v>18885.320000000007</v>
      </c>
      <c r="M2253" s="85" t="s">
        <v>630</v>
      </c>
      <c r="N2253" s="128">
        <v>48371.375</v>
      </c>
      <c r="O2253" s="128">
        <f t="shared" si="97"/>
        <v>5224108.5</v>
      </c>
      <c r="P2253" s="89">
        <v>1101</v>
      </c>
      <c r="Q2253" t="s">
        <v>47</v>
      </c>
      <c r="R2253" s="214" t="s">
        <v>1869</v>
      </c>
      <c r="S2253" s="214" t="s">
        <v>1861</v>
      </c>
      <c r="U2253" t="s">
        <v>1953</v>
      </c>
      <c r="V2253" t="s">
        <v>2813</v>
      </c>
    </row>
    <row r="2254" spans="1:22" ht="15.75" thickBot="1" x14ac:dyDescent="0.3">
      <c r="A2254" t="s">
        <v>4590</v>
      </c>
      <c r="B2254" t="s">
        <v>4590</v>
      </c>
      <c r="C2254" t="s">
        <v>4590</v>
      </c>
      <c r="D2254" t="s">
        <v>629</v>
      </c>
      <c r="E2254" s="248" t="s">
        <v>1951</v>
      </c>
      <c r="F2254" t="s">
        <v>620</v>
      </c>
      <c r="G2254" s="89">
        <v>2021</v>
      </c>
      <c r="H2254" s="312" t="s">
        <v>733</v>
      </c>
      <c r="I2254" s="308" t="str">
        <f t="shared" si="96"/>
        <v>Pesado de Passageiros M3: I : Gasóleo : E6</v>
      </c>
      <c r="J2254" s="125">
        <v>108</v>
      </c>
      <c r="K2254" s="253">
        <v>2022</v>
      </c>
      <c r="L2254" s="85">
        <v>19680.380000000016</v>
      </c>
      <c r="M2254" s="85" t="s">
        <v>630</v>
      </c>
      <c r="N2254" s="128">
        <v>50122.375</v>
      </c>
      <c r="O2254" s="128">
        <f t="shared" si="97"/>
        <v>5413216.5</v>
      </c>
      <c r="P2254" s="89">
        <v>1102</v>
      </c>
      <c r="Q2254" t="s">
        <v>47</v>
      </c>
      <c r="R2254" s="214" t="s">
        <v>1869</v>
      </c>
      <c r="S2254" s="214" t="s">
        <v>1861</v>
      </c>
      <c r="U2254" t="s">
        <v>1953</v>
      </c>
      <c r="V2254" t="s">
        <v>2813</v>
      </c>
    </row>
    <row r="2255" spans="1:22" ht="15.75" thickBot="1" x14ac:dyDescent="0.3">
      <c r="A2255" t="s">
        <v>4590</v>
      </c>
      <c r="B2255" t="s">
        <v>4590</v>
      </c>
      <c r="C2255" t="s">
        <v>4590</v>
      </c>
      <c r="D2255" t="s">
        <v>629</v>
      </c>
      <c r="E2255" s="248" t="s">
        <v>1951</v>
      </c>
      <c r="F2255" t="s">
        <v>620</v>
      </c>
      <c r="G2255" s="89">
        <v>2021</v>
      </c>
      <c r="H2255" s="312" t="s">
        <v>733</v>
      </c>
      <c r="I2255" s="308" t="str">
        <f t="shared" si="96"/>
        <v>Pesado de Passageiros M3: I : Gasóleo : E6</v>
      </c>
      <c r="J2255" s="125">
        <v>108</v>
      </c>
      <c r="K2255" s="253">
        <v>2022</v>
      </c>
      <c r="L2255" s="85">
        <v>21280.050000000003</v>
      </c>
      <c r="M2255" s="85" t="s">
        <v>630</v>
      </c>
      <c r="N2255" s="128">
        <v>53080.375</v>
      </c>
      <c r="O2255" s="128">
        <f t="shared" si="97"/>
        <v>5732680.5</v>
      </c>
      <c r="P2255" s="89">
        <v>1103</v>
      </c>
      <c r="Q2255" t="s">
        <v>47</v>
      </c>
      <c r="R2255" s="214" t="s">
        <v>1869</v>
      </c>
      <c r="S2255" s="214" t="s">
        <v>1861</v>
      </c>
      <c r="U2255" t="s">
        <v>1953</v>
      </c>
      <c r="V2255" t="s">
        <v>2813</v>
      </c>
    </row>
    <row r="2256" spans="1:22" ht="15.75" thickBot="1" x14ac:dyDescent="0.3">
      <c r="A2256" t="s">
        <v>4590</v>
      </c>
      <c r="B2256" t="s">
        <v>4590</v>
      </c>
      <c r="C2256" t="s">
        <v>4590</v>
      </c>
      <c r="D2256" t="s">
        <v>629</v>
      </c>
      <c r="E2256" s="248" t="s">
        <v>1951</v>
      </c>
      <c r="F2256" t="s">
        <v>620</v>
      </c>
      <c r="G2256" s="89">
        <v>2021</v>
      </c>
      <c r="H2256" s="312" t="s">
        <v>733</v>
      </c>
      <c r="I2256" s="308" t="str">
        <f t="shared" si="96"/>
        <v>Pesado de Passageiros M3: I : Gasóleo : E6</v>
      </c>
      <c r="J2256" s="125">
        <v>108</v>
      </c>
      <c r="K2256" s="253">
        <v>2022</v>
      </c>
      <c r="L2256" s="85">
        <v>21874.599999999991</v>
      </c>
      <c r="M2256" s="85" t="s">
        <v>630</v>
      </c>
      <c r="N2256" s="128">
        <v>54530.375</v>
      </c>
      <c r="O2256" s="128">
        <f t="shared" si="97"/>
        <v>5889280.5</v>
      </c>
      <c r="P2256" s="89">
        <v>1104</v>
      </c>
      <c r="Q2256" t="s">
        <v>47</v>
      </c>
      <c r="R2256" s="214" t="s">
        <v>1869</v>
      </c>
      <c r="S2256" s="214" t="s">
        <v>1861</v>
      </c>
      <c r="U2256" t="s">
        <v>1953</v>
      </c>
      <c r="V2256" t="s">
        <v>2813</v>
      </c>
    </row>
    <row r="2257" spans="1:22" ht="15.75" thickBot="1" x14ac:dyDescent="0.3">
      <c r="A2257" t="s">
        <v>4590</v>
      </c>
      <c r="B2257" t="s">
        <v>4590</v>
      </c>
      <c r="C2257" t="s">
        <v>4590</v>
      </c>
      <c r="D2257" t="s">
        <v>629</v>
      </c>
      <c r="E2257" s="248" t="s">
        <v>1951</v>
      </c>
      <c r="F2257" t="s">
        <v>620</v>
      </c>
      <c r="G2257" s="89">
        <v>2021</v>
      </c>
      <c r="H2257" s="312" t="s">
        <v>733</v>
      </c>
      <c r="I2257" s="308" t="str">
        <f t="shared" si="96"/>
        <v>Pesado de Passageiros M3: I : Gasóleo : E6</v>
      </c>
      <c r="J2257" s="125">
        <v>108</v>
      </c>
      <c r="K2257" s="253">
        <v>2022</v>
      </c>
      <c r="L2257" s="85">
        <v>21128.369999999995</v>
      </c>
      <c r="M2257" s="85" t="s">
        <v>630</v>
      </c>
      <c r="N2257" s="128">
        <v>54320.375</v>
      </c>
      <c r="O2257" s="128">
        <f t="shared" si="97"/>
        <v>5866600.5</v>
      </c>
      <c r="P2257" s="89">
        <v>1105</v>
      </c>
      <c r="Q2257" t="s">
        <v>47</v>
      </c>
      <c r="R2257" s="214" t="s">
        <v>1869</v>
      </c>
      <c r="S2257" s="214" t="s">
        <v>1861</v>
      </c>
      <c r="U2257" t="s">
        <v>1953</v>
      </c>
      <c r="V2257" t="s">
        <v>2813</v>
      </c>
    </row>
    <row r="2258" spans="1:22" ht="15.75" thickBot="1" x14ac:dyDescent="0.3">
      <c r="A2258" t="s">
        <v>4590</v>
      </c>
      <c r="B2258" t="s">
        <v>4590</v>
      </c>
      <c r="C2258" t="s">
        <v>4590</v>
      </c>
      <c r="D2258" t="s">
        <v>629</v>
      </c>
      <c r="E2258" s="248" t="s">
        <v>1951</v>
      </c>
      <c r="F2258" t="s">
        <v>620</v>
      </c>
      <c r="G2258" s="89">
        <v>2021</v>
      </c>
      <c r="H2258" s="312" t="s">
        <v>733</v>
      </c>
      <c r="I2258" s="308" t="str">
        <f t="shared" si="96"/>
        <v>Pesado de Passageiros M3: I : Gasóleo : E6</v>
      </c>
      <c r="J2258" s="125">
        <v>108</v>
      </c>
      <c r="K2258" s="253">
        <v>2022</v>
      </c>
      <c r="L2258" s="85">
        <v>17173.840000000007</v>
      </c>
      <c r="M2258" s="85" t="s">
        <v>630</v>
      </c>
      <c r="N2258" s="128">
        <v>44051.375</v>
      </c>
      <c r="O2258" s="128">
        <f t="shared" si="97"/>
        <v>4757548.5</v>
      </c>
      <c r="P2258" s="89">
        <v>1106</v>
      </c>
      <c r="Q2258" t="s">
        <v>47</v>
      </c>
      <c r="R2258" s="214" t="s">
        <v>1869</v>
      </c>
      <c r="S2258" s="214" t="s">
        <v>1861</v>
      </c>
      <c r="U2258" t="s">
        <v>1953</v>
      </c>
      <c r="V2258" t="s">
        <v>2813</v>
      </c>
    </row>
    <row r="2259" spans="1:22" ht="15.75" thickBot="1" x14ac:dyDescent="0.3">
      <c r="A2259" t="s">
        <v>4590</v>
      </c>
      <c r="B2259" t="s">
        <v>4590</v>
      </c>
      <c r="C2259" t="s">
        <v>4590</v>
      </c>
      <c r="D2259" t="s">
        <v>629</v>
      </c>
      <c r="E2259" s="248" t="s">
        <v>1951</v>
      </c>
      <c r="F2259" t="s">
        <v>620</v>
      </c>
      <c r="G2259" s="89">
        <v>2021</v>
      </c>
      <c r="H2259" s="312" t="s">
        <v>733</v>
      </c>
      <c r="I2259" s="308" t="str">
        <f t="shared" si="96"/>
        <v>Pesado de Passageiros M3: I : Gasóleo : E6</v>
      </c>
      <c r="J2259" s="125">
        <v>108</v>
      </c>
      <c r="K2259" s="253">
        <v>2022</v>
      </c>
      <c r="L2259" s="85">
        <v>22021.860000000004</v>
      </c>
      <c r="M2259" s="85" t="s">
        <v>630</v>
      </c>
      <c r="N2259" s="128">
        <v>57292.375</v>
      </c>
      <c r="O2259" s="128">
        <f t="shared" si="97"/>
        <v>6187576.5</v>
      </c>
      <c r="P2259" s="89">
        <v>1107</v>
      </c>
      <c r="Q2259" t="s">
        <v>47</v>
      </c>
      <c r="R2259" s="214" t="s">
        <v>1869</v>
      </c>
      <c r="S2259" s="214" t="s">
        <v>1861</v>
      </c>
      <c r="U2259" t="s">
        <v>1953</v>
      </c>
      <c r="V2259" t="s">
        <v>2813</v>
      </c>
    </row>
    <row r="2260" spans="1:22" ht="15.75" thickBot="1" x14ac:dyDescent="0.3">
      <c r="A2260" t="s">
        <v>4590</v>
      </c>
      <c r="B2260" t="s">
        <v>4590</v>
      </c>
      <c r="C2260" t="s">
        <v>4590</v>
      </c>
      <c r="D2260" t="s">
        <v>629</v>
      </c>
      <c r="E2260" s="248" t="s">
        <v>1951</v>
      </c>
      <c r="F2260" t="s">
        <v>620</v>
      </c>
      <c r="G2260" s="89">
        <v>2021</v>
      </c>
      <c r="H2260" s="312" t="s">
        <v>733</v>
      </c>
      <c r="I2260" s="308" t="str">
        <f t="shared" si="96"/>
        <v>Pesado de Passageiros M3: I : Gasóleo : E6</v>
      </c>
      <c r="J2260" s="125">
        <v>108</v>
      </c>
      <c r="K2260" s="253">
        <v>2022</v>
      </c>
      <c r="L2260" s="85">
        <v>24328.020000000008</v>
      </c>
      <c r="M2260" s="85" t="s">
        <v>630</v>
      </c>
      <c r="N2260" s="128">
        <v>61731.375</v>
      </c>
      <c r="O2260" s="128">
        <f t="shared" si="97"/>
        <v>6666988.5</v>
      </c>
      <c r="P2260" s="89">
        <v>1108</v>
      </c>
      <c r="Q2260" t="s">
        <v>47</v>
      </c>
      <c r="R2260" s="214" t="s">
        <v>1869</v>
      </c>
      <c r="S2260" s="214" t="s">
        <v>1861</v>
      </c>
      <c r="U2260" t="s">
        <v>1953</v>
      </c>
      <c r="V2260" t="s">
        <v>2813</v>
      </c>
    </row>
    <row r="2261" spans="1:22" ht="15.75" thickBot="1" x14ac:dyDescent="0.3">
      <c r="A2261" t="s">
        <v>4590</v>
      </c>
      <c r="B2261" t="s">
        <v>4590</v>
      </c>
      <c r="C2261" t="s">
        <v>4590</v>
      </c>
      <c r="D2261" t="s">
        <v>629</v>
      </c>
      <c r="E2261" s="248" t="s">
        <v>1951</v>
      </c>
      <c r="F2261" t="s">
        <v>620</v>
      </c>
      <c r="G2261" s="89">
        <v>2021</v>
      </c>
      <c r="H2261" s="312" t="s">
        <v>733</v>
      </c>
      <c r="I2261" s="308" t="str">
        <f t="shared" si="96"/>
        <v>Pesado de Passageiros M3: I : Gasóleo : E6</v>
      </c>
      <c r="J2261" s="125">
        <v>108</v>
      </c>
      <c r="K2261" s="253">
        <v>2022</v>
      </c>
      <c r="L2261" s="85">
        <v>20619.900000000005</v>
      </c>
      <c r="M2261" s="85" t="s">
        <v>630</v>
      </c>
      <c r="N2261" s="128">
        <v>52259.375</v>
      </c>
      <c r="O2261" s="128">
        <f t="shared" si="97"/>
        <v>5644012.5</v>
      </c>
      <c r="P2261" s="89">
        <v>1109</v>
      </c>
      <c r="Q2261" t="s">
        <v>47</v>
      </c>
      <c r="R2261" s="214" t="s">
        <v>1869</v>
      </c>
      <c r="S2261" s="214" t="s">
        <v>1861</v>
      </c>
      <c r="U2261" t="s">
        <v>1953</v>
      </c>
      <c r="V2261" t="s">
        <v>2813</v>
      </c>
    </row>
    <row r="2262" spans="1:22" ht="15.75" thickBot="1" x14ac:dyDescent="0.3">
      <c r="A2262" t="s">
        <v>4590</v>
      </c>
      <c r="B2262" t="s">
        <v>4590</v>
      </c>
      <c r="C2262" t="s">
        <v>4590</v>
      </c>
      <c r="D2262" t="s">
        <v>629</v>
      </c>
      <c r="E2262" s="248" t="s">
        <v>1951</v>
      </c>
      <c r="F2262" t="s">
        <v>620</v>
      </c>
      <c r="G2262" s="89">
        <v>2021</v>
      </c>
      <c r="H2262" s="312" t="s">
        <v>733</v>
      </c>
      <c r="I2262" s="308" t="str">
        <f t="shared" si="96"/>
        <v>Pesado de Passageiros M3: I : Gasóleo : E6</v>
      </c>
      <c r="J2262" s="125">
        <v>108</v>
      </c>
      <c r="K2262" s="253">
        <v>2022</v>
      </c>
      <c r="L2262" s="85">
        <v>22844.270000000011</v>
      </c>
      <c r="M2262" s="85" t="s">
        <v>630</v>
      </c>
      <c r="N2262" s="128">
        <v>56924.375</v>
      </c>
      <c r="O2262" s="128">
        <f t="shared" si="97"/>
        <v>6147832.5</v>
      </c>
      <c r="P2262" s="89">
        <v>1110</v>
      </c>
      <c r="Q2262" t="s">
        <v>47</v>
      </c>
      <c r="R2262" s="214" t="s">
        <v>1869</v>
      </c>
      <c r="S2262" s="214" t="s">
        <v>1861</v>
      </c>
      <c r="U2262" t="s">
        <v>1953</v>
      </c>
      <c r="V2262" t="s">
        <v>2813</v>
      </c>
    </row>
    <row r="2263" spans="1:22" ht="15.75" thickBot="1" x14ac:dyDescent="0.3">
      <c r="A2263" t="s">
        <v>4590</v>
      </c>
      <c r="B2263" t="s">
        <v>4590</v>
      </c>
      <c r="C2263" t="s">
        <v>4590</v>
      </c>
      <c r="D2263" t="s">
        <v>629</v>
      </c>
      <c r="E2263" s="248" t="s">
        <v>1951</v>
      </c>
      <c r="F2263" t="s">
        <v>620</v>
      </c>
      <c r="G2263" s="89">
        <v>2021</v>
      </c>
      <c r="H2263" s="312" t="s">
        <v>733</v>
      </c>
      <c r="I2263" s="308" t="str">
        <f t="shared" si="96"/>
        <v>Pesado de Passageiros M3: I : Gasóleo : E6</v>
      </c>
      <c r="J2263" s="125">
        <v>108</v>
      </c>
      <c r="K2263" s="253">
        <v>2022</v>
      </c>
      <c r="L2263" s="85">
        <v>24156.139999999981</v>
      </c>
      <c r="M2263" s="85" t="s">
        <v>630</v>
      </c>
      <c r="N2263" s="128">
        <v>59978.375</v>
      </c>
      <c r="O2263" s="128">
        <f t="shared" si="97"/>
        <v>6477664.5</v>
      </c>
      <c r="P2263" s="89">
        <v>1111</v>
      </c>
      <c r="Q2263" t="s">
        <v>47</v>
      </c>
      <c r="R2263" s="214" t="s">
        <v>1869</v>
      </c>
      <c r="S2263" s="214" t="s">
        <v>1861</v>
      </c>
      <c r="U2263" t="s">
        <v>1953</v>
      </c>
      <c r="V2263" t="s">
        <v>2813</v>
      </c>
    </row>
    <row r="2264" spans="1:22" ht="15.75" thickBot="1" x14ac:dyDescent="0.3">
      <c r="A2264" t="s">
        <v>4590</v>
      </c>
      <c r="B2264" t="s">
        <v>4590</v>
      </c>
      <c r="C2264" t="s">
        <v>4590</v>
      </c>
      <c r="D2264" t="s">
        <v>629</v>
      </c>
      <c r="E2264" s="248" t="s">
        <v>1951</v>
      </c>
      <c r="F2264" t="s">
        <v>620</v>
      </c>
      <c r="G2264" s="89">
        <v>2021</v>
      </c>
      <c r="H2264" s="312" t="s">
        <v>733</v>
      </c>
      <c r="I2264" s="308" t="str">
        <f t="shared" si="96"/>
        <v>Pesado de Passageiros M3: I : Gasóleo : E6</v>
      </c>
      <c r="J2264" s="125">
        <v>108</v>
      </c>
      <c r="K2264" s="253">
        <v>2022</v>
      </c>
      <c r="L2264" s="85">
        <v>21722.810000000005</v>
      </c>
      <c r="M2264" s="85" t="s">
        <v>630</v>
      </c>
      <c r="N2264" s="128">
        <v>52714.375</v>
      </c>
      <c r="O2264" s="128">
        <f t="shared" si="97"/>
        <v>5693152.5</v>
      </c>
      <c r="P2264" s="89">
        <v>1112</v>
      </c>
      <c r="Q2264" t="s">
        <v>47</v>
      </c>
      <c r="R2264" s="214" t="s">
        <v>1869</v>
      </c>
      <c r="S2264" s="214" t="s">
        <v>1861</v>
      </c>
      <c r="U2264" t="s">
        <v>1953</v>
      </c>
      <c r="V2264" t="s">
        <v>2813</v>
      </c>
    </row>
    <row r="2265" spans="1:22" ht="15.75" thickBot="1" x14ac:dyDescent="0.3">
      <c r="A2265" t="s">
        <v>4590</v>
      </c>
      <c r="B2265" t="s">
        <v>4590</v>
      </c>
      <c r="C2265" t="s">
        <v>4590</v>
      </c>
      <c r="D2265" t="s">
        <v>629</v>
      </c>
      <c r="E2265" s="248" t="s">
        <v>1951</v>
      </c>
      <c r="F2265" t="s">
        <v>620</v>
      </c>
      <c r="G2265" s="89">
        <v>2021</v>
      </c>
      <c r="H2265" s="312" t="s">
        <v>733</v>
      </c>
      <c r="I2265" s="308" t="str">
        <f t="shared" si="96"/>
        <v>Pesado de Passageiros M3: I : Gasóleo : E6</v>
      </c>
      <c r="J2265" s="125">
        <v>108</v>
      </c>
      <c r="K2265" s="253">
        <v>2022</v>
      </c>
      <c r="L2265" s="85">
        <v>19570.069999999992</v>
      </c>
      <c r="M2265" s="85" t="s">
        <v>630</v>
      </c>
      <c r="N2265" s="128">
        <v>47347.375</v>
      </c>
      <c r="O2265" s="128">
        <f t="shared" si="97"/>
        <v>5113516.5</v>
      </c>
      <c r="P2265" s="89">
        <v>1113</v>
      </c>
      <c r="Q2265" t="s">
        <v>47</v>
      </c>
      <c r="R2265" s="214" t="s">
        <v>1869</v>
      </c>
      <c r="S2265" s="214" t="s">
        <v>1861</v>
      </c>
      <c r="U2265" t="s">
        <v>1953</v>
      </c>
      <c r="V2265" t="s">
        <v>2813</v>
      </c>
    </row>
    <row r="2266" spans="1:22" ht="15.75" thickBot="1" x14ac:dyDescent="0.3">
      <c r="A2266" t="s">
        <v>4590</v>
      </c>
      <c r="B2266" t="s">
        <v>4590</v>
      </c>
      <c r="C2266" t="s">
        <v>4590</v>
      </c>
      <c r="D2266" t="s">
        <v>629</v>
      </c>
      <c r="E2266" s="248" t="s">
        <v>1951</v>
      </c>
      <c r="F2266" t="s">
        <v>620</v>
      </c>
      <c r="G2266" s="89">
        <v>2021</v>
      </c>
      <c r="H2266" s="312" t="s">
        <v>733</v>
      </c>
      <c r="I2266" s="308" t="str">
        <f t="shared" si="96"/>
        <v>Pesado de Passageiros M3: I : Gasóleo : E6</v>
      </c>
      <c r="J2266" s="125">
        <v>108</v>
      </c>
      <c r="K2266" s="253">
        <v>2022</v>
      </c>
      <c r="L2266" s="85">
        <v>14745.309999999998</v>
      </c>
      <c r="M2266" s="85" t="s">
        <v>630</v>
      </c>
      <c r="N2266" s="128">
        <v>37807.375</v>
      </c>
      <c r="O2266" s="128">
        <f t="shared" si="97"/>
        <v>4083196.5</v>
      </c>
      <c r="P2266" s="89">
        <v>1114</v>
      </c>
      <c r="Q2266" t="s">
        <v>47</v>
      </c>
      <c r="R2266" s="214" t="s">
        <v>1869</v>
      </c>
      <c r="S2266" s="214" t="s">
        <v>1861</v>
      </c>
      <c r="U2266" t="s">
        <v>1953</v>
      </c>
      <c r="V2266" t="s">
        <v>2813</v>
      </c>
    </row>
    <row r="2267" spans="1:22" ht="15.75" thickBot="1" x14ac:dyDescent="0.3">
      <c r="A2267" t="s">
        <v>4590</v>
      </c>
      <c r="B2267" t="s">
        <v>4590</v>
      </c>
      <c r="C2267" t="s">
        <v>4590</v>
      </c>
      <c r="D2267" t="s">
        <v>629</v>
      </c>
      <c r="E2267" s="248" t="s">
        <v>1951</v>
      </c>
      <c r="F2267" t="s">
        <v>620</v>
      </c>
      <c r="G2267" s="89">
        <v>2021</v>
      </c>
      <c r="H2267" s="312" t="s">
        <v>733</v>
      </c>
      <c r="I2267" s="308" t="str">
        <f t="shared" si="96"/>
        <v>Pesado de Passageiros M3: I : Gasóleo : E6</v>
      </c>
      <c r="J2267" s="125">
        <v>108</v>
      </c>
      <c r="K2267" s="253">
        <v>2022</v>
      </c>
      <c r="L2267" s="85">
        <v>20859.989999999998</v>
      </c>
      <c r="M2267" s="85" t="s">
        <v>630</v>
      </c>
      <c r="N2267" s="128">
        <v>51511.375</v>
      </c>
      <c r="O2267" s="128">
        <f t="shared" si="97"/>
        <v>5563228.5</v>
      </c>
      <c r="P2267" s="89">
        <v>1115</v>
      </c>
      <c r="Q2267" t="s">
        <v>47</v>
      </c>
      <c r="R2267" s="214" t="s">
        <v>1869</v>
      </c>
      <c r="S2267" s="214" t="s">
        <v>1861</v>
      </c>
      <c r="U2267" t="s">
        <v>1953</v>
      </c>
      <c r="V2267" t="s">
        <v>2813</v>
      </c>
    </row>
    <row r="2268" spans="1:22" ht="15.75" thickBot="1" x14ac:dyDescent="0.3">
      <c r="A2268" t="s">
        <v>4590</v>
      </c>
      <c r="B2268" t="s">
        <v>4590</v>
      </c>
      <c r="C2268" t="s">
        <v>4590</v>
      </c>
      <c r="D2268" t="s">
        <v>629</v>
      </c>
      <c r="E2268" s="248" t="s">
        <v>1951</v>
      </c>
      <c r="F2268" t="s">
        <v>620</v>
      </c>
      <c r="G2268" s="89">
        <v>2021</v>
      </c>
      <c r="H2268" s="312" t="s">
        <v>733</v>
      </c>
      <c r="I2268" s="308" t="str">
        <f t="shared" si="96"/>
        <v>Pesado de Passageiros M3: I : Gasóleo : E6</v>
      </c>
      <c r="J2268" s="125">
        <v>108</v>
      </c>
      <c r="K2268" s="253">
        <v>2022</v>
      </c>
      <c r="L2268" s="85">
        <v>21221.179999999993</v>
      </c>
      <c r="M2268" s="85" t="s">
        <v>630</v>
      </c>
      <c r="N2268" s="128">
        <v>52703.375</v>
      </c>
      <c r="O2268" s="128">
        <f t="shared" si="97"/>
        <v>5691964.5</v>
      </c>
      <c r="P2268" s="89">
        <v>1116</v>
      </c>
      <c r="Q2268" t="s">
        <v>47</v>
      </c>
      <c r="R2268" s="214" t="s">
        <v>1869</v>
      </c>
      <c r="S2268" s="214" t="s">
        <v>1861</v>
      </c>
      <c r="U2268" t="s">
        <v>1953</v>
      </c>
      <c r="V2268" t="s">
        <v>2813</v>
      </c>
    </row>
    <row r="2269" spans="1:22" ht="15.75" thickBot="1" x14ac:dyDescent="0.3">
      <c r="A2269" t="s">
        <v>4590</v>
      </c>
      <c r="B2269" t="s">
        <v>4590</v>
      </c>
      <c r="C2269" t="s">
        <v>4590</v>
      </c>
      <c r="D2269" t="s">
        <v>629</v>
      </c>
      <c r="E2269" s="248" t="s">
        <v>1951</v>
      </c>
      <c r="F2269" t="s">
        <v>620</v>
      </c>
      <c r="G2269" s="89">
        <v>2021</v>
      </c>
      <c r="H2269" s="312" t="s">
        <v>733</v>
      </c>
      <c r="I2269" s="308" t="str">
        <f t="shared" si="96"/>
        <v>Pesado de Passageiros M3: I : Gasóleo : E6</v>
      </c>
      <c r="J2269" s="125">
        <v>108</v>
      </c>
      <c r="K2269" s="253">
        <v>2022</v>
      </c>
      <c r="L2269" s="85">
        <v>18964.349999999999</v>
      </c>
      <c r="M2269" s="85" t="s">
        <v>630</v>
      </c>
      <c r="N2269" s="128">
        <v>46647.375</v>
      </c>
      <c r="O2269" s="128">
        <f t="shared" si="97"/>
        <v>5037916.5</v>
      </c>
      <c r="P2269" s="89">
        <v>1117</v>
      </c>
      <c r="Q2269" t="s">
        <v>47</v>
      </c>
      <c r="R2269" s="214" t="s">
        <v>1869</v>
      </c>
      <c r="S2269" s="214" t="s">
        <v>1861</v>
      </c>
      <c r="U2269" t="s">
        <v>1953</v>
      </c>
      <c r="V2269" t="s">
        <v>2813</v>
      </c>
    </row>
    <row r="2270" spans="1:22" ht="15.75" thickBot="1" x14ac:dyDescent="0.3">
      <c r="A2270" t="s">
        <v>4590</v>
      </c>
      <c r="B2270" t="s">
        <v>4590</v>
      </c>
      <c r="C2270" t="s">
        <v>4590</v>
      </c>
      <c r="D2270" t="s">
        <v>629</v>
      </c>
      <c r="E2270" s="248" t="s">
        <v>1951</v>
      </c>
      <c r="F2270" t="s">
        <v>620</v>
      </c>
      <c r="G2270" s="89">
        <v>2021</v>
      </c>
      <c r="H2270" s="312" t="s">
        <v>733</v>
      </c>
      <c r="I2270" s="308" t="str">
        <f t="shared" si="96"/>
        <v>Pesado de Passageiros M3: I : Gasóleo : E6</v>
      </c>
      <c r="J2270" s="125">
        <v>108</v>
      </c>
      <c r="K2270" s="253">
        <v>2022</v>
      </c>
      <c r="L2270" s="85">
        <v>15685.039999999995</v>
      </c>
      <c r="M2270" s="85" t="s">
        <v>630</v>
      </c>
      <c r="N2270" s="128">
        <v>40519.375</v>
      </c>
      <c r="O2270" s="128">
        <f t="shared" si="97"/>
        <v>4376092.5</v>
      </c>
      <c r="P2270" s="89">
        <v>1118</v>
      </c>
      <c r="Q2270" t="s">
        <v>47</v>
      </c>
      <c r="R2270" s="214" t="s">
        <v>1869</v>
      </c>
      <c r="S2270" s="214" t="s">
        <v>1861</v>
      </c>
      <c r="U2270" t="s">
        <v>1953</v>
      </c>
      <c r="V2270" t="s">
        <v>2813</v>
      </c>
    </row>
    <row r="2271" spans="1:22" ht="15.75" thickBot="1" x14ac:dyDescent="0.3">
      <c r="A2271" t="s">
        <v>4590</v>
      </c>
      <c r="B2271" t="s">
        <v>4590</v>
      </c>
      <c r="C2271" t="s">
        <v>4590</v>
      </c>
      <c r="D2271" t="s">
        <v>629</v>
      </c>
      <c r="E2271" s="248" t="s">
        <v>1951</v>
      </c>
      <c r="F2271" t="s">
        <v>620</v>
      </c>
      <c r="G2271" s="89">
        <v>2021</v>
      </c>
      <c r="H2271" s="312" t="s">
        <v>733</v>
      </c>
      <c r="I2271" s="308" t="str">
        <f t="shared" si="96"/>
        <v>Pesado de Passageiros M3: I : Gasóleo : E6</v>
      </c>
      <c r="J2271" s="125">
        <v>108</v>
      </c>
      <c r="K2271" s="253">
        <v>2022</v>
      </c>
      <c r="L2271" s="85">
        <v>19765.429999999993</v>
      </c>
      <c r="M2271" s="85" t="s">
        <v>630</v>
      </c>
      <c r="N2271" s="128">
        <v>50282.375</v>
      </c>
      <c r="O2271" s="128">
        <f t="shared" si="97"/>
        <v>5430496.5</v>
      </c>
      <c r="P2271" s="89">
        <v>1119</v>
      </c>
      <c r="Q2271" t="s">
        <v>47</v>
      </c>
      <c r="R2271" s="214" t="s">
        <v>1869</v>
      </c>
      <c r="S2271" s="214" t="s">
        <v>1861</v>
      </c>
      <c r="U2271" t="s">
        <v>1953</v>
      </c>
      <c r="V2271" t="s">
        <v>2813</v>
      </c>
    </row>
    <row r="2272" spans="1:22" ht="15.75" thickBot="1" x14ac:dyDescent="0.3">
      <c r="A2272" t="s">
        <v>4590</v>
      </c>
      <c r="B2272" t="s">
        <v>4590</v>
      </c>
      <c r="C2272" t="s">
        <v>4590</v>
      </c>
      <c r="D2272" t="s">
        <v>629</v>
      </c>
      <c r="E2272" s="248" t="s">
        <v>1951</v>
      </c>
      <c r="F2272" t="s">
        <v>620</v>
      </c>
      <c r="G2272" s="89">
        <v>2021</v>
      </c>
      <c r="H2272" s="312" t="s">
        <v>733</v>
      </c>
      <c r="I2272" s="308" t="str">
        <f t="shared" si="96"/>
        <v>Pesado de Passageiros M3: I : Gasóleo : E6</v>
      </c>
      <c r="J2272" s="125">
        <v>108</v>
      </c>
      <c r="K2272" s="253">
        <v>2022</v>
      </c>
      <c r="L2272" s="85">
        <v>18776.229999999996</v>
      </c>
      <c r="M2272" s="85" t="s">
        <v>630</v>
      </c>
      <c r="N2272" s="128">
        <v>51271.375</v>
      </c>
      <c r="O2272" s="128">
        <f t="shared" si="97"/>
        <v>5537308.5</v>
      </c>
      <c r="P2272" s="89">
        <v>1120</v>
      </c>
      <c r="Q2272" t="s">
        <v>47</v>
      </c>
      <c r="R2272" s="214" t="s">
        <v>1869</v>
      </c>
      <c r="S2272" s="214" t="s">
        <v>1861</v>
      </c>
      <c r="U2272" t="s">
        <v>1953</v>
      </c>
      <c r="V2272" t="s">
        <v>2813</v>
      </c>
    </row>
    <row r="2273" spans="1:22" ht="15.75" thickBot="1" x14ac:dyDescent="0.3">
      <c r="A2273" t="s">
        <v>4590</v>
      </c>
      <c r="B2273" t="s">
        <v>4590</v>
      </c>
      <c r="C2273" t="s">
        <v>4590</v>
      </c>
      <c r="D2273" t="s">
        <v>629</v>
      </c>
      <c r="E2273" s="248" t="s">
        <v>1951</v>
      </c>
      <c r="F2273" t="s">
        <v>620</v>
      </c>
      <c r="G2273" s="89">
        <v>2021</v>
      </c>
      <c r="H2273" s="312" t="s">
        <v>733</v>
      </c>
      <c r="I2273" s="308" t="str">
        <f t="shared" si="96"/>
        <v>Pesado de Passageiros M3: I : Gasóleo : E6</v>
      </c>
      <c r="J2273" s="125">
        <v>108</v>
      </c>
      <c r="K2273" s="253">
        <v>2022</v>
      </c>
      <c r="L2273" s="85">
        <v>17456.300000000003</v>
      </c>
      <c r="M2273" s="85" t="s">
        <v>630</v>
      </c>
      <c r="N2273" s="128">
        <v>46224.375</v>
      </c>
      <c r="O2273" s="128">
        <f t="shared" si="97"/>
        <v>4992232.5</v>
      </c>
      <c r="P2273" s="89">
        <v>1121</v>
      </c>
      <c r="Q2273" t="s">
        <v>47</v>
      </c>
      <c r="R2273" s="214" t="s">
        <v>1869</v>
      </c>
      <c r="S2273" s="214" t="s">
        <v>1861</v>
      </c>
      <c r="U2273" t="s">
        <v>1953</v>
      </c>
      <c r="V2273" t="s">
        <v>2813</v>
      </c>
    </row>
    <row r="2274" spans="1:22" ht="15.75" thickBot="1" x14ac:dyDescent="0.3">
      <c r="A2274" t="s">
        <v>4590</v>
      </c>
      <c r="B2274" t="s">
        <v>4590</v>
      </c>
      <c r="C2274" t="s">
        <v>4590</v>
      </c>
      <c r="D2274" t="s">
        <v>629</v>
      </c>
      <c r="E2274" s="248" t="s">
        <v>1951</v>
      </c>
      <c r="F2274" t="s">
        <v>620</v>
      </c>
      <c r="G2274" s="89">
        <v>2021</v>
      </c>
      <c r="H2274" s="312" t="s">
        <v>733</v>
      </c>
      <c r="I2274" s="308" t="str">
        <f t="shared" si="96"/>
        <v>Pesado de Passageiros M3: I : Gasóleo : E6</v>
      </c>
      <c r="J2274" s="125">
        <v>108</v>
      </c>
      <c r="K2274" s="253">
        <v>2022</v>
      </c>
      <c r="L2274" s="85">
        <v>19268.48</v>
      </c>
      <c r="M2274" s="85" t="s">
        <v>630</v>
      </c>
      <c r="N2274" s="128">
        <v>49305.375</v>
      </c>
      <c r="O2274" s="128">
        <f t="shared" si="97"/>
        <v>5324980.5</v>
      </c>
      <c r="P2274" s="89">
        <v>1122</v>
      </c>
      <c r="Q2274" t="s">
        <v>47</v>
      </c>
      <c r="R2274" s="214" t="s">
        <v>1869</v>
      </c>
      <c r="S2274" s="214" t="s">
        <v>1861</v>
      </c>
      <c r="U2274" t="s">
        <v>1953</v>
      </c>
      <c r="V2274" t="s">
        <v>2813</v>
      </c>
    </row>
    <row r="2275" spans="1:22" ht="15.75" thickBot="1" x14ac:dyDescent="0.3">
      <c r="A2275" t="s">
        <v>4590</v>
      </c>
      <c r="B2275" t="s">
        <v>4590</v>
      </c>
      <c r="C2275" t="s">
        <v>4590</v>
      </c>
      <c r="D2275" t="s">
        <v>629</v>
      </c>
      <c r="E2275" s="248" t="s">
        <v>1951</v>
      </c>
      <c r="F2275" t="s">
        <v>620</v>
      </c>
      <c r="G2275" s="89">
        <v>2021</v>
      </c>
      <c r="H2275" s="312" t="s">
        <v>733</v>
      </c>
      <c r="I2275" s="308" t="str">
        <f t="shared" si="96"/>
        <v>Pesado de Passageiros M3: I : Gasóleo : E6</v>
      </c>
      <c r="J2275" s="125">
        <v>108</v>
      </c>
      <c r="K2275" s="253">
        <v>2022</v>
      </c>
      <c r="L2275" s="85">
        <v>12330.439999999999</v>
      </c>
      <c r="M2275" s="85" t="s">
        <v>630</v>
      </c>
      <c r="N2275" s="128">
        <v>33773.375</v>
      </c>
      <c r="O2275" s="128">
        <f t="shared" si="97"/>
        <v>3647524.5</v>
      </c>
      <c r="P2275" s="89">
        <v>1123</v>
      </c>
      <c r="Q2275" t="s">
        <v>47</v>
      </c>
      <c r="R2275" s="214" t="s">
        <v>1869</v>
      </c>
      <c r="S2275" s="214" t="s">
        <v>1861</v>
      </c>
      <c r="U2275" t="s">
        <v>1953</v>
      </c>
      <c r="V2275" t="s">
        <v>2813</v>
      </c>
    </row>
    <row r="2276" spans="1:22" ht="15.75" thickBot="1" x14ac:dyDescent="0.3">
      <c r="A2276" t="s">
        <v>4590</v>
      </c>
      <c r="B2276" t="s">
        <v>4590</v>
      </c>
      <c r="C2276" t="s">
        <v>4590</v>
      </c>
      <c r="D2276" t="s">
        <v>629</v>
      </c>
      <c r="E2276" s="248" t="s">
        <v>1951</v>
      </c>
      <c r="F2276" t="s">
        <v>620</v>
      </c>
      <c r="G2276" s="89">
        <v>2021</v>
      </c>
      <c r="H2276" s="312" t="s">
        <v>733</v>
      </c>
      <c r="I2276" s="308" t="str">
        <f t="shared" si="96"/>
        <v>Pesado de Passageiros M3: I : Gasóleo : E6</v>
      </c>
      <c r="J2276" s="125">
        <v>108</v>
      </c>
      <c r="K2276" s="253">
        <v>2022</v>
      </c>
      <c r="L2276" s="85">
        <v>17675.610000000004</v>
      </c>
      <c r="M2276" s="85" t="s">
        <v>630</v>
      </c>
      <c r="N2276" s="128">
        <v>48532.375</v>
      </c>
      <c r="O2276" s="128">
        <f t="shared" si="97"/>
        <v>5241496.5</v>
      </c>
      <c r="P2276" s="89">
        <v>1124</v>
      </c>
      <c r="Q2276" t="s">
        <v>47</v>
      </c>
      <c r="R2276" s="214" t="s">
        <v>1869</v>
      </c>
      <c r="S2276" s="214" t="s">
        <v>1861</v>
      </c>
      <c r="U2276" t="s">
        <v>1953</v>
      </c>
      <c r="V2276" t="s">
        <v>2813</v>
      </c>
    </row>
    <row r="2277" spans="1:22" ht="15.75" thickBot="1" x14ac:dyDescent="0.3">
      <c r="A2277" t="s">
        <v>4590</v>
      </c>
      <c r="B2277" t="s">
        <v>4590</v>
      </c>
      <c r="C2277" t="s">
        <v>4590</v>
      </c>
      <c r="D2277" t="s">
        <v>629</v>
      </c>
      <c r="E2277" s="248" t="s">
        <v>1951</v>
      </c>
      <c r="F2277" t="s">
        <v>620</v>
      </c>
      <c r="G2277" s="89">
        <v>2021</v>
      </c>
      <c r="H2277" s="312" t="s">
        <v>733</v>
      </c>
      <c r="I2277" s="308" t="str">
        <f t="shared" si="96"/>
        <v>Pesado de Passageiros M3: I : Gasóleo : E6</v>
      </c>
      <c r="J2277" s="125">
        <v>108</v>
      </c>
      <c r="K2277" s="253">
        <v>2022</v>
      </c>
      <c r="L2277" s="85">
        <v>21138.780000000002</v>
      </c>
      <c r="M2277" s="85" t="s">
        <v>630</v>
      </c>
      <c r="N2277" s="128">
        <v>55263.375</v>
      </c>
      <c r="O2277" s="128">
        <f t="shared" si="97"/>
        <v>5968444.5</v>
      </c>
      <c r="P2277" s="89">
        <v>1125</v>
      </c>
      <c r="Q2277" t="s">
        <v>47</v>
      </c>
      <c r="R2277" s="214" t="s">
        <v>1869</v>
      </c>
      <c r="S2277" s="214" t="s">
        <v>1861</v>
      </c>
      <c r="U2277" t="s">
        <v>1953</v>
      </c>
      <c r="V2277" t="s">
        <v>2813</v>
      </c>
    </row>
    <row r="2278" spans="1:22" ht="15.75" thickBot="1" x14ac:dyDescent="0.3">
      <c r="A2278" t="s">
        <v>4590</v>
      </c>
      <c r="B2278" t="s">
        <v>4590</v>
      </c>
      <c r="C2278" t="s">
        <v>4590</v>
      </c>
      <c r="D2278" t="s">
        <v>629</v>
      </c>
      <c r="E2278" s="248" t="s">
        <v>1951</v>
      </c>
      <c r="F2278" t="s">
        <v>620</v>
      </c>
      <c r="G2278" s="89">
        <v>2021</v>
      </c>
      <c r="H2278" s="312" t="s">
        <v>733</v>
      </c>
      <c r="I2278" s="308" t="str">
        <f t="shared" si="96"/>
        <v>Pesado de Passageiros M3: I : Gasóleo : E6</v>
      </c>
      <c r="J2278" s="125">
        <v>108</v>
      </c>
      <c r="K2278" s="253">
        <v>2022</v>
      </c>
      <c r="L2278" s="85">
        <v>20152.450000000004</v>
      </c>
      <c r="M2278" s="85" t="s">
        <v>630</v>
      </c>
      <c r="N2278" s="128">
        <v>53335.375</v>
      </c>
      <c r="O2278" s="128">
        <f t="shared" si="97"/>
        <v>5760220.5</v>
      </c>
      <c r="P2278" s="89">
        <v>1126</v>
      </c>
      <c r="Q2278" t="s">
        <v>47</v>
      </c>
      <c r="R2278" s="214" t="s">
        <v>1869</v>
      </c>
      <c r="S2278" s="214" t="s">
        <v>1861</v>
      </c>
      <c r="U2278" t="s">
        <v>1953</v>
      </c>
      <c r="V2278" t="s">
        <v>2813</v>
      </c>
    </row>
    <row r="2279" spans="1:22" ht="15.75" thickBot="1" x14ac:dyDescent="0.3">
      <c r="A2279" t="s">
        <v>4590</v>
      </c>
      <c r="B2279" t="s">
        <v>4590</v>
      </c>
      <c r="C2279" t="s">
        <v>4590</v>
      </c>
      <c r="D2279" t="s">
        <v>629</v>
      </c>
      <c r="E2279" s="248" t="s">
        <v>1951</v>
      </c>
      <c r="F2279" t="s">
        <v>620</v>
      </c>
      <c r="G2279" s="89">
        <v>2021</v>
      </c>
      <c r="H2279" s="312" t="s">
        <v>733</v>
      </c>
      <c r="I2279" s="308" t="str">
        <f t="shared" si="96"/>
        <v>Pesado de Passageiros M3: I : Gasóleo : E6</v>
      </c>
      <c r="J2279" s="125">
        <v>108</v>
      </c>
      <c r="K2279" s="253">
        <v>2022</v>
      </c>
      <c r="L2279" s="85">
        <v>16748.229999999996</v>
      </c>
      <c r="M2279" s="85" t="s">
        <v>630</v>
      </c>
      <c r="N2279" s="128">
        <v>43939.375</v>
      </c>
      <c r="O2279" s="128">
        <f t="shared" si="97"/>
        <v>4745452.5</v>
      </c>
      <c r="P2279" s="89">
        <v>1127</v>
      </c>
      <c r="Q2279" t="s">
        <v>47</v>
      </c>
      <c r="R2279" s="214" t="s">
        <v>1869</v>
      </c>
      <c r="S2279" s="214" t="s">
        <v>1861</v>
      </c>
      <c r="U2279" t="s">
        <v>1953</v>
      </c>
      <c r="V2279" t="s">
        <v>2813</v>
      </c>
    </row>
    <row r="2280" spans="1:22" ht="15.75" thickBot="1" x14ac:dyDescent="0.3">
      <c r="A2280" t="s">
        <v>4590</v>
      </c>
      <c r="B2280" t="s">
        <v>4590</v>
      </c>
      <c r="C2280" t="s">
        <v>4590</v>
      </c>
      <c r="D2280" t="s">
        <v>629</v>
      </c>
      <c r="E2280" s="248" t="s">
        <v>1951</v>
      </c>
      <c r="F2280" t="s">
        <v>620</v>
      </c>
      <c r="G2280" s="89">
        <v>2021</v>
      </c>
      <c r="H2280" s="312" t="s">
        <v>733</v>
      </c>
      <c r="I2280" s="308" t="str">
        <f t="shared" si="96"/>
        <v>Pesado de Passageiros M3: I : Gasóleo : E6</v>
      </c>
      <c r="J2280" s="125">
        <v>108</v>
      </c>
      <c r="K2280" s="253">
        <v>2022</v>
      </c>
      <c r="L2280" s="85">
        <v>14345.97999999999</v>
      </c>
      <c r="M2280" s="85" t="s">
        <v>630</v>
      </c>
      <c r="N2280" s="128">
        <v>38920.375</v>
      </c>
      <c r="O2280" s="128">
        <f t="shared" si="97"/>
        <v>4203400.5</v>
      </c>
      <c r="P2280" s="89">
        <v>1128</v>
      </c>
      <c r="Q2280" t="s">
        <v>47</v>
      </c>
      <c r="R2280" s="214" t="s">
        <v>1869</v>
      </c>
      <c r="S2280" s="214" t="s">
        <v>1861</v>
      </c>
      <c r="U2280" t="s">
        <v>1953</v>
      </c>
      <c r="V2280" t="s">
        <v>2813</v>
      </c>
    </row>
    <row r="2281" spans="1:22" ht="15.75" thickBot="1" x14ac:dyDescent="0.3">
      <c r="A2281" t="s">
        <v>4590</v>
      </c>
      <c r="B2281" t="s">
        <v>4590</v>
      </c>
      <c r="C2281" t="s">
        <v>4590</v>
      </c>
      <c r="D2281" t="s">
        <v>629</v>
      </c>
      <c r="E2281" s="248" t="s">
        <v>1951</v>
      </c>
      <c r="F2281" t="s">
        <v>620</v>
      </c>
      <c r="G2281" s="89">
        <v>2021</v>
      </c>
      <c r="H2281" s="312" t="s">
        <v>733</v>
      </c>
      <c r="I2281" s="308" t="str">
        <f t="shared" si="96"/>
        <v>Pesado de Passageiros M3: I : Gasóleo : E6</v>
      </c>
      <c r="J2281" s="125">
        <v>108</v>
      </c>
      <c r="K2281" s="253">
        <v>2022</v>
      </c>
      <c r="L2281" s="85">
        <v>20287.650000000005</v>
      </c>
      <c r="M2281" s="85" t="s">
        <v>630</v>
      </c>
      <c r="N2281" s="128">
        <v>54788.375</v>
      </c>
      <c r="O2281" s="128">
        <f t="shared" si="97"/>
        <v>5917144.5</v>
      </c>
      <c r="P2281" s="89">
        <v>1129</v>
      </c>
      <c r="Q2281" t="s">
        <v>47</v>
      </c>
      <c r="R2281" s="214" t="s">
        <v>1869</v>
      </c>
      <c r="S2281" s="214" t="s">
        <v>1861</v>
      </c>
      <c r="U2281" t="s">
        <v>1953</v>
      </c>
      <c r="V2281" t="s">
        <v>2813</v>
      </c>
    </row>
    <row r="2282" spans="1:22" ht="15.75" thickBot="1" x14ac:dyDescent="0.3">
      <c r="A2282" t="s">
        <v>4590</v>
      </c>
      <c r="B2282" t="s">
        <v>4590</v>
      </c>
      <c r="C2282" t="s">
        <v>4590</v>
      </c>
      <c r="D2282" t="s">
        <v>629</v>
      </c>
      <c r="E2282" s="248" t="s">
        <v>1951</v>
      </c>
      <c r="F2282" t="s">
        <v>620</v>
      </c>
      <c r="G2282" s="89">
        <v>2021</v>
      </c>
      <c r="H2282" s="312" t="s">
        <v>733</v>
      </c>
      <c r="I2282" s="308" t="str">
        <f t="shared" si="96"/>
        <v>Pesado de Passageiros M3: I : Gasóleo : E6</v>
      </c>
      <c r="J2282" s="125">
        <v>108</v>
      </c>
      <c r="K2282" s="253">
        <v>2022</v>
      </c>
      <c r="L2282" s="85">
        <v>20295.569999999996</v>
      </c>
      <c r="M2282" s="85" t="s">
        <v>630</v>
      </c>
      <c r="N2282" s="128">
        <v>52565.375</v>
      </c>
      <c r="O2282" s="128">
        <f t="shared" si="97"/>
        <v>5677060.5</v>
      </c>
      <c r="P2282" s="89">
        <v>1130</v>
      </c>
      <c r="Q2282" t="s">
        <v>47</v>
      </c>
      <c r="R2282" s="214" t="s">
        <v>1869</v>
      </c>
      <c r="S2282" s="214" t="s">
        <v>1861</v>
      </c>
      <c r="U2282" t="s">
        <v>1953</v>
      </c>
      <c r="V2282" t="s">
        <v>2813</v>
      </c>
    </row>
    <row r="2283" spans="1:22" ht="15.75" thickBot="1" x14ac:dyDescent="0.3">
      <c r="A2283" t="s">
        <v>4590</v>
      </c>
      <c r="B2283" t="s">
        <v>4590</v>
      </c>
      <c r="C2283" t="s">
        <v>4590</v>
      </c>
      <c r="D2283" t="s">
        <v>629</v>
      </c>
      <c r="E2283" s="248" t="s">
        <v>1951</v>
      </c>
      <c r="F2283" t="s">
        <v>620</v>
      </c>
      <c r="G2283" s="89">
        <v>2021</v>
      </c>
      <c r="H2283" s="312" t="s">
        <v>733</v>
      </c>
      <c r="I2283" s="308" t="str">
        <f t="shared" si="96"/>
        <v>Pesado de Passageiros M3: I : Gasóleo : E6</v>
      </c>
      <c r="J2283" s="125">
        <v>108</v>
      </c>
      <c r="K2283" s="253">
        <v>2022</v>
      </c>
      <c r="L2283" s="85">
        <v>21704.809999999998</v>
      </c>
      <c r="M2283" s="85" t="s">
        <v>630</v>
      </c>
      <c r="N2283" s="128">
        <v>55040.375</v>
      </c>
      <c r="O2283" s="128">
        <f t="shared" si="97"/>
        <v>5944360.5</v>
      </c>
      <c r="P2283" s="89">
        <v>1131</v>
      </c>
      <c r="Q2283" t="s">
        <v>47</v>
      </c>
      <c r="R2283" s="214" t="s">
        <v>1869</v>
      </c>
      <c r="S2283" s="214" t="s">
        <v>1861</v>
      </c>
      <c r="U2283" t="s">
        <v>1953</v>
      </c>
      <c r="V2283" t="s">
        <v>2813</v>
      </c>
    </row>
    <row r="2284" spans="1:22" ht="15.75" thickBot="1" x14ac:dyDescent="0.3">
      <c r="A2284" t="s">
        <v>4590</v>
      </c>
      <c r="B2284" t="s">
        <v>4590</v>
      </c>
      <c r="C2284" t="s">
        <v>4590</v>
      </c>
      <c r="D2284" t="s">
        <v>629</v>
      </c>
      <c r="E2284" s="248" t="s">
        <v>1951</v>
      </c>
      <c r="F2284" t="s">
        <v>620</v>
      </c>
      <c r="G2284" s="89">
        <v>2021</v>
      </c>
      <c r="H2284" s="312" t="s">
        <v>733</v>
      </c>
      <c r="I2284" s="308" t="str">
        <f t="shared" si="96"/>
        <v>Pesado de Passageiros M3: I : Gasóleo : E6</v>
      </c>
      <c r="J2284" s="125">
        <v>108</v>
      </c>
      <c r="K2284" s="253">
        <v>2022</v>
      </c>
      <c r="L2284" s="85">
        <v>19044.560000000005</v>
      </c>
      <c r="M2284" s="85" t="s">
        <v>630</v>
      </c>
      <c r="N2284" s="128">
        <v>48934.375</v>
      </c>
      <c r="O2284" s="128">
        <f t="shared" si="97"/>
        <v>5284912.5</v>
      </c>
      <c r="P2284" s="89">
        <v>1132</v>
      </c>
      <c r="Q2284" t="s">
        <v>47</v>
      </c>
      <c r="R2284" s="214" t="s">
        <v>1869</v>
      </c>
      <c r="S2284" s="214" t="s">
        <v>1861</v>
      </c>
      <c r="U2284" t="s">
        <v>1953</v>
      </c>
      <c r="V2284" t="s">
        <v>2813</v>
      </c>
    </row>
    <row r="2285" spans="1:22" ht="15.75" thickBot="1" x14ac:dyDescent="0.3">
      <c r="A2285" t="s">
        <v>4590</v>
      </c>
      <c r="B2285" t="s">
        <v>4590</v>
      </c>
      <c r="C2285" t="s">
        <v>4590</v>
      </c>
      <c r="D2285" t="s">
        <v>629</v>
      </c>
      <c r="E2285" s="248" t="s">
        <v>1951</v>
      </c>
      <c r="F2285" t="s">
        <v>620</v>
      </c>
      <c r="G2285" s="89">
        <v>2022</v>
      </c>
      <c r="H2285" s="312" t="s">
        <v>733</v>
      </c>
      <c r="I2285" s="308" t="str">
        <f t="shared" si="96"/>
        <v>Pesado de Passageiros M3: I : Gasóleo : E6</v>
      </c>
      <c r="J2285" s="125">
        <v>108</v>
      </c>
      <c r="K2285" s="253">
        <v>2022</v>
      </c>
      <c r="L2285" s="85">
        <v>20433.45</v>
      </c>
      <c r="M2285" s="85" t="s">
        <v>630</v>
      </c>
      <c r="N2285" s="128">
        <v>51230.375</v>
      </c>
      <c r="O2285" s="128">
        <f t="shared" si="97"/>
        <v>5532880.5</v>
      </c>
      <c r="P2285" s="89">
        <v>1135</v>
      </c>
      <c r="Q2285" t="s">
        <v>47</v>
      </c>
      <c r="R2285" s="214" t="s">
        <v>1869</v>
      </c>
      <c r="S2285" s="214" t="s">
        <v>1861</v>
      </c>
      <c r="U2285" t="s">
        <v>1953</v>
      </c>
      <c r="V2285" t="s">
        <v>2813</v>
      </c>
    </row>
    <row r="2286" spans="1:22" ht="15.75" thickBot="1" x14ac:dyDescent="0.3">
      <c r="A2286" t="s">
        <v>4590</v>
      </c>
      <c r="B2286" t="s">
        <v>4590</v>
      </c>
      <c r="C2286" t="s">
        <v>4590</v>
      </c>
      <c r="D2286" t="s">
        <v>629</v>
      </c>
      <c r="E2286" s="248" t="s">
        <v>1951</v>
      </c>
      <c r="F2286" t="s">
        <v>620</v>
      </c>
      <c r="G2286" s="89">
        <v>2022</v>
      </c>
      <c r="H2286" s="312" t="s">
        <v>733</v>
      </c>
      <c r="I2286" s="308" t="str">
        <f t="shared" si="96"/>
        <v>Pesado de Passageiros M3: I : Gasóleo : E6</v>
      </c>
      <c r="J2286" s="125">
        <v>108</v>
      </c>
      <c r="K2286" s="253">
        <v>2022</v>
      </c>
      <c r="L2286" s="85">
        <v>18572.059999999998</v>
      </c>
      <c r="M2286" s="85" t="s">
        <v>630</v>
      </c>
      <c r="N2286" s="128">
        <v>46046.375</v>
      </c>
      <c r="O2286" s="128">
        <f t="shared" si="97"/>
        <v>4973008.5</v>
      </c>
      <c r="P2286" s="89">
        <v>1136</v>
      </c>
      <c r="Q2286" t="s">
        <v>47</v>
      </c>
      <c r="R2286" s="214" t="s">
        <v>1869</v>
      </c>
      <c r="S2286" s="214" t="s">
        <v>1861</v>
      </c>
      <c r="U2286" t="s">
        <v>1953</v>
      </c>
      <c r="V2286" t="s">
        <v>2813</v>
      </c>
    </row>
    <row r="2287" spans="1:22" ht="15.75" thickBot="1" x14ac:dyDescent="0.3">
      <c r="A2287" t="s">
        <v>4590</v>
      </c>
      <c r="B2287" t="s">
        <v>4590</v>
      </c>
      <c r="C2287" t="s">
        <v>4590</v>
      </c>
      <c r="D2287" t="s">
        <v>629</v>
      </c>
      <c r="E2287" s="248" t="s">
        <v>1951</v>
      </c>
      <c r="F2287" t="s">
        <v>620</v>
      </c>
      <c r="G2287" s="89">
        <v>2022</v>
      </c>
      <c r="H2287" s="312" t="s">
        <v>733</v>
      </c>
      <c r="I2287" s="308" t="str">
        <f t="shared" si="96"/>
        <v>Pesado de Passageiros M3: I : Gasóleo : E6</v>
      </c>
      <c r="J2287" s="125">
        <v>108</v>
      </c>
      <c r="K2287" s="253">
        <v>2022</v>
      </c>
      <c r="L2287" s="85">
        <v>13284.849999999999</v>
      </c>
      <c r="M2287" s="85" t="s">
        <v>630</v>
      </c>
      <c r="N2287" s="128">
        <v>33878.375</v>
      </c>
      <c r="O2287" s="128">
        <f t="shared" si="97"/>
        <v>3658864.5</v>
      </c>
      <c r="P2287" s="89">
        <v>1137</v>
      </c>
      <c r="Q2287" t="s">
        <v>47</v>
      </c>
      <c r="R2287" s="214" t="s">
        <v>1869</v>
      </c>
      <c r="S2287" s="214" t="s">
        <v>1861</v>
      </c>
      <c r="U2287" t="s">
        <v>1953</v>
      </c>
      <c r="V2287" t="s">
        <v>2813</v>
      </c>
    </row>
    <row r="2288" spans="1:22" ht="15.75" thickBot="1" x14ac:dyDescent="0.3">
      <c r="A2288" t="s">
        <v>4590</v>
      </c>
      <c r="B2288" t="s">
        <v>4590</v>
      </c>
      <c r="C2288" t="s">
        <v>4590</v>
      </c>
      <c r="D2288" t="s">
        <v>629</v>
      </c>
      <c r="E2288" s="248" t="s">
        <v>1951</v>
      </c>
      <c r="F2288" t="s">
        <v>620</v>
      </c>
      <c r="G2288" s="89">
        <v>2022</v>
      </c>
      <c r="H2288" s="312" t="s">
        <v>733</v>
      </c>
      <c r="I2288" s="308" t="str">
        <f t="shared" si="96"/>
        <v>Pesado de Passageiros M3: I : Gasóleo : E6</v>
      </c>
      <c r="J2288" s="125">
        <v>108</v>
      </c>
      <c r="K2288" s="253">
        <v>2022</v>
      </c>
      <c r="L2288" s="85">
        <v>20533.14</v>
      </c>
      <c r="M2288" s="85" t="s">
        <v>630</v>
      </c>
      <c r="N2288" s="128">
        <v>51172.375</v>
      </c>
      <c r="O2288" s="128">
        <f t="shared" si="97"/>
        <v>5526616.5</v>
      </c>
      <c r="P2288" s="89">
        <v>1138</v>
      </c>
      <c r="Q2288" t="s">
        <v>47</v>
      </c>
      <c r="R2288" s="214" t="s">
        <v>1869</v>
      </c>
      <c r="S2288" s="214" t="s">
        <v>1861</v>
      </c>
      <c r="U2288" t="s">
        <v>1953</v>
      </c>
      <c r="V2288" t="s">
        <v>2813</v>
      </c>
    </row>
    <row r="2289" spans="1:22" ht="15.75" thickBot="1" x14ac:dyDescent="0.3">
      <c r="A2289" t="s">
        <v>4590</v>
      </c>
      <c r="B2289" t="s">
        <v>4590</v>
      </c>
      <c r="C2289" t="s">
        <v>4590</v>
      </c>
      <c r="D2289" t="s">
        <v>629</v>
      </c>
      <c r="E2289" s="248" t="s">
        <v>1951</v>
      </c>
      <c r="F2289" t="s">
        <v>620</v>
      </c>
      <c r="G2289" s="89">
        <v>2022</v>
      </c>
      <c r="H2289" s="312" t="s">
        <v>733</v>
      </c>
      <c r="I2289" s="308" t="str">
        <f t="shared" si="96"/>
        <v>Pesado de Passageiros M3: I : Gasóleo : E6</v>
      </c>
      <c r="J2289" s="125">
        <v>108</v>
      </c>
      <c r="K2289" s="253">
        <v>2022</v>
      </c>
      <c r="L2289" s="85">
        <v>19051.859999999997</v>
      </c>
      <c r="M2289" s="85" t="s">
        <v>630</v>
      </c>
      <c r="N2289" s="128">
        <v>49916.375</v>
      </c>
      <c r="O2289" s="128">
        <f t="shared" si="97"/>
        <v>5390968.5</v>
      </c>
      <c r="P2289" s="89">
        <v>1139</v>
      </c>
      <c r="Q2289" t="s">
        <v>47</v>
      </c>
      <c r="R2289" s="214" t="s">
        <v>1869</v>
      </c>
      <c r="S2289" s="214" t="s">
        <v>1861</v>
      </c>
      <c r="U2289" t="s">
        <v>1953</v>
      </c>
      <c r="V2289" t="s">
        <v>2813</v>
      </c>
    </row>
    <row r="2290" spans="1:22" ht="15.75" thickBot="1" x14ac:dyDescent="0.3">
      <c r="A2290" t="s">
        <v>4590</v>
      </c>
      <c r="B2290" t="s">
        <v>4590</v>
      </c>
      <c r="C2290" t="s">
        <v>4590</v>
      </c>
      <c r="D2290" t="s">
        <v>629</v>
      </c>
      <c r="E2290" s="248" t="s">
        <v>1951</v>
      </c>
      <c r="F2290" t="s">
        <v>620</v>
      </c>
      <c r="G2290" s="89">
        <v>2022</v>
      </c>
      <c r="H2290" s="312" t="s">
        <v>733</v>
      </c>
      <c r="I2290" s="308" t="str">
        <f t="shared" si="96"/>
        <v>Pesado de Passageiros M3: I : Gasóleo : E6</v>
      </c>
      <c r="J2290" s="125">
        <v>108</v>
      </c>
      <c r="K2290" s="253">
        <v>2022</v>
      </c>
      <c r="L2290" s="85">
        <v>17780.61</v>
      </c>
      <c r="M2290" s="85" t="s">
        <v>630</v>
      </c>
      <c r="N2290" s="128">
        <v>45103.375</v>
      </c>
      <c r="O2290" s="128">
        <f t="shared" si="97"/>
        <v>4871164.5</v>
      </c>
      <c r="P2290" s="89">
        <v>1140</v>
      </c>
      <c r="Q2290" t="s">
        <v>47</v>
      </c>
      <c r="R2290" s="214" t="s">
        <v>1869</v>
      </c>
      <c r="S2290" s="214" t="s">
        <v>1861</v>
      </c>
      <c r="U2290" t="s">
        <v>1953</v>
      </c>
      <c r="V2290" t="s">
        <v>2813</v>
      </c>
    </row>
    <row r="2291" spans="1:22" ht="15.75" thickBot="1" x14ac:dyDescent="0.3">
      <c r="A2291" t="s">
        <v>4590</v>
      </c>
      <c r="B2291" t="s">
        <v>4590</v>
      </c>
      <c r="C2291" t="s">
        <v>4590</v>
      </c>
      <c r="D2291" t="s">
        <v>629</v>
      </c>
      <c r="E2291" s="248" t="s">
        <v>1951</v>
      </c>
      <c r="F2291" t="s">
        <v>620</v>
      </c>
      <c r="G2291" s="89">
        <v>2022</v>
      </c>
      <c r="H2291" s="312" t="s">
        <v>733</v>
      </c>
      <c r="I2291" s="308" t="str">
        <f t="shared" si="96"/>
        <v>Pesado de Passageiros M3: I : Gasóleo : E6</v>
      </c>
      <c r="J2291" s="125">
        <v>108</v>
      </c>
      <c r="K2291" s="253">
        <v>2022</v>
      </c>
      <c r="L2291" s="85">
        <v>20781.419999999984</v>
      </c>
      <c r="M2291" s="85" t="s">
        <v>630</v>
      </c>
      <c r="N2291" s="128">
        <v>53968.375</v>
      </c>
      <c r="O2291" s="128">
        <f t="shared" si="97"/>
        <v>5828584.5</v>
      </c>
      <c r="P2291" s="89">
        <v>1141</v>
      </c>
      <c r="Q2291" t="s">
        <v>47</v>
      </c>
      <c r="R2291" s="214" t="s">
        <v>1869</v>
      </c>
      <c r="S2291" s="214" t="s">
        <v>1861</v>
      </c>
      <c r="U2291" t="s">
        <v>1953</v>
      </c>
      <c r="V2291" t="s">
        <v>2813</v>
      </c>
    </row>
    <row r="2292" spans="1:22" ht="15.75" thickBot="1" x14ac:dyDescent="0.3">
      <c r="A2292" t="s">
        <v>4590</v>
      </c>
      <c r="B2292" t="s">
        <v>4590</v>
      </c>
      <c r="C2292" t="s">
        <v>4590</v>
      </c>
      <c r="D2292" t="s">
        <v>629</v>
      </c>
      <c r="E2292" s="248" t="s">
        <v>1951</v>
      </c>
      <c r="F2292" t="s">
        <v>620</v>
      </c>
      <c r="G2292" s="89">
        <v>2022</v>
      </c>
      <c r="H2292" s="312" t="s">
        <v>733</v>
      </c>
      <c r="I2292" s="308" t="str">
        <f t="shared" si="96"/>
        <v>Pesado de Passageiros M3: I : Gasóleo : E6</v>
      </c>
      <c r="J2292" s="125">
        <v>108</v>
      </c>
      <c r="K2292" s="253">
        <v>2022</v>
      </c>
      <c r="L2292" s="85">
        <v>18871.390000000014</v>
      </c>
      <c r="M2292" s="85" t="s">
        <v>630</v>
      </c>
      <c r="N2292" s="128">
        <v>48043.375</v>
      </c>
      <c r="O2292" s="128">
        <f t="shared" si="97"/>
        <v>5188684.5</v>
      </c>
      <c r="P2292" s="89">
        <v>1142</v>
      </c>
      <c r="Q2292" t="s">
        <v>47</v>
      </c>
      <c r="R2292" s="214" t="s">
        <v>1869</v>
      </c>
      <c r="S2292" s="214" t="s">
        <v>1861</v>
      </c>
      <c r="U2292" t="s">
        <v>1953</v>
      </c>
      <c r="V2292" t="s">
        <v>2813</v>
      </c>
    </row>
    <row r="2293" spans="1:22" ht="15.75" thickBot="1" x14ac:dyDescent="0.3">
      <c r="A2293" t="s">
        <v>4590</v>
      </c>
      <c r="B2293" t="s">
        <v>4590</v>
      </c>
      <c r="C2293" t="s">
        <v>4590</v>
      </c>
      <c r="D2293" t="s">
        <v>629</v>
      </c>
      <c r="E2293" s="248" t="s">
        <v>1951</v>
      </c>
      <c r="F2293" t="s">
        <v>620</v>
      </c>
      <c r="G2293" s="89">
        <v>2022</v>
      </c>
      <c r="H2293" s="312" t="s">
        <v>733</v>
      </c>
      <c r="I2293" s="308" t="str">
        <f t="shared" si="96"/>
        <v>Pesado de Passageiros M3: I : Gasóleo : E6</v>
      </c>
      <c r="J2293" s="125">
        <v>108</v>
      </c>
      <c r="K2293" s="253">
        <v>2022</v>
      </c>
      <c r="L2293" s="85">
        <v>19874.179999999993</v>
      </c>
      <c r="M2293" s="85" t="s">
        <v>630</v>
      </c>
      <c r="N2293" s="128">
        <v>49054.375</v>
      </c>
      <c r="O2293" s="128">
        <f t="shared" si="97"/>
        <v>5297872.5</v>
      </c>
      <c r="P2293" s="89">
        <v>1143</v>
      </c>
      <c r="Q2293" t="s">
        <v>47</v>
      </c>
      <c r="R2293" s="214" t="s">
        <v>1869</v>
      </c>
      <c r="S2293" s="214" t="s">
        <v>1861</v>
      </c>
      <c r="U2293" t="s">
        <v>1953</v>
      </c>
      <c r="V2293" t="s">
        <v>2813</v>
      </c>
    </row>
    <row r="2294" spans="1:22" ht="15.75" thickBot="1" x14ac:dyDescent="0.3">
      <c r="A2294" t="s">
        <v>4590</v>
      </c>
      <c r="B2294" t="s">
        <v>4590</v>
      </c>
      <c r="C2294" t="s">
        <v>4590</v>
      </c>
      <c r="D2294" t="s">
        <v>629</v>
      </c>
      <c r="E2294" s="248" t="s">
        <v>1951</v>
      </c>
      <c r="F2294" t="s">
        <v>620</v>
      </c>
      <c r="G2294" s="89">
        <v>2022</v>
      </c>
      <c r="H2294" s="312" t="s">
        <v>733</v>
      </c>
      <c r="I2294" s="308" t="str">
        <f t="shared" si="96"/>
        <v>Pesado de Passageiros M3: I : Gasóleo : E6</v>
      </c>
      <c r="J2294" s="125">
        <v>108</v>
      </c>
      <c r="K2294" s="253">
        <v>2022</v>
      </c>
      <c r="L2294" s="85">
        <v>17986.480000000003</v>
      </c>
      <c r="M2294" s="85" t="s">
        <v>630</v>
      </c>
      <c r="N2294" s="128">
        <v>44174.375</v>
      </c>
      <c r="O2294" s="128">
        <f t="shared" si="97"/>
        <v>4770832.5</v>
      </c>
      <c r="P2294" s="89">
        <v>1144</v>
      </c>
      <c r="Q2294" t="s">
        <v>47</v>
      </c>
      <c r="R2294" s="214" t="s">
        <v>1869</v>
      </c>
      <c r="S2294" s="214" t="s">
        <v>1861</v>
      </c>
      <c r="U2294" t="s">
        <v>1953</v>
      </c>
      <c r="V2294" t="s">
        <v>2813</v>
      </c>
    </row>
    <row r="2295" spans="1:22" ht="15.75" thickBot="1" x14ac:dyDescent="0.3">
      <c r="A2295" t="s">
        <v>4590</v>
      </c>
      <c r="B2295" t="s">
        <v>4590</v>
      </c>
      <c r="C2295" t="s">
        <v>4590</v>
      </c>
      <c r="D2295" t="s">
        <v>629</v>
      </c>
      <c r="E2295" s="248" t="s">
        <v>1951</v>
      </c>
      <c r="F2295" t="s">
        <v>620</v>
      </c>
      <c r="G2295" s="89">
        <v>2022</v>
      </c>
      <c r="H2295" s="312" t="s">
        <v>733</v>
      </c>
      <c r="I2295" s="308" t="str">
        <f t="shared" si="96"/>
        <v>Pesado de Passageiros M3: I : Gasóleo : E6</v>
      </c>
      <c r="J2295" s="125">
        <v>108</v>
      </c>
      <c r="K2295" s="253">
        <v>2022</v>
      </c>
      <c r="L2295" s="85">
        <v>14813.360000000011</v>
      </c>
      <c r="M2295" s="85" t="s">
        <v>630</v>
      </c>
      <c r="N2295" s="128">
        <v>38788.375</v>
      </c>
      <c r="O2295" s="128">
        <f t="shared" si="97"/>
        <v>4189144.5</v>
      </c>
      <c r="P2295" s="89">
        <v>1145</v>
      </c>
      <c r="Q2295" t="s">
        <v>47</v>
      </c>
      <c r="R2295" s="214" t="s">
        <v>1869</v>
      </c>
      <c r="S2295" s="214" t="s">
        <v>1861</v>
      </c>
      <c r="U2295" t="s">
        <v>1953</v>
      </c>
      <c r="V2295" t="s">
        <v>2813</v>
      </c>
    </row>
    <row r="2296" spans="1:22" ht="15.75" thickBot="1" x14ac:dyDescent="0.3">
      <c r="A2296" t="s">
        <v>4590</v>
      </c>
      <c r="B2296" t="s">
        <v>4590</v>
      </c>
      <c r="C2296" t="s">
        <v>4590</v>
      </c>
      <c r="D2296" t="s">
        <v>629</v>
      </c>
      <c r="E2296" s="248" t="s">
        <v>1951</v>
      </c>
      <c r="F2296" t="s">
        <v>620</v>
      </c>
      <c r="G2296" s="89">
        <v>2022</v>
      </c>
      <c r="H2296" s="312" t="s">
        <v>733</v>
      </c>
      <c r="I2296" s="308" t="str">
        <f t="shared" si="96"/>
        <v>Pesado de Passageiros M3: I : Gasóleo : E6</v>
      </c>
      <c r="J2296" s="125">
        <v>108</v>
      </c>
      <c r="K2296" s="253">
        <v>2022</v>
      </c>
      <c r="L2296" s="85">
        <v>11487.450000000003</v>
      </c>
      <c r="M2296" s="85" t="s">
        <v>630</v>
      </c>
      <c r="N2296" s="128">
        <v>31020.375</v>
      </c>
      <c r="O2296" s="128">
        <f t="shared" si="97"/>
        <v>3350200.5</v>
      </c>
      <c r="P2296" s="89">
        <v>1146</v>
      </c>
      <c r="Q2296" t="s">
        <v>47</v>
      </c>
      <c r="R2296" s="214" t="s">
        <v>1869</v>
      </c>
      <c r="S2296" s="214" t="s">
        <v>1861</v>
      </c>
      <c r="U2296" t="s">
        <v>1953</v>
      </c>
      <c r="V2296" t="s">
        <v>2813</v>
      </c>
    </row>
    <row r="2297" spans="1:22" ht="15.75" thickBot="1" x14ac:dyDescent="0.3">
      <c r="A2297" t="s">
        <v>4590</v>
      </c>
      <c r="B2297" t="s">
        <v>4590</v>
      </c>
      <c r="C2297" t="s">
        <v>4590</v>
      </c>
      <c r="D2297" t="s">
        <v>629</v>
      </c>
      <c r="E2297" s="248" t="s">
        <v>1951</v>
      </c>
      <c r="F2297" t="s">
        <v>620</v>
      </c>
      <c r="G2297" s="89">
        <v>2022</v>
      </c>
      <c r="H2297" s="312" t="s">
        <v>733</v>
      </c>
      <c r="I2297" s="308" t="str">
        <f t="shared" si="96"/>
        <v>Pesado de Passageiros M3: I : Gasóleo : E6</v>
      </c>
      <c r="J2297" s="125">
        <v>108</v>
      </c>
      <c r="K2297" s="253">
        <v>2022</v>
      </c>
      <c r="L2297" s="85">
        <v>17296.63</v>
      </c>
      <c r="M2297" s="85" t="s">
        <v>630</v>
      </c>
      <c r="N2297" s="128">
        <v>43315.375</v>
      </c>
      <c r="O2297" s="128">
        <f t="shared" si="97"/>
        <v>4678060.5</v>
      </c>
      <c r="P2297" s="89">
        <v>1147</v>
      </c>
      <c r="Q2297" t="s">
        <v>47</v>
      </c>
      <c r="R2297" s="214" t="s">
        <v>1869</v>
      </c>
      <c r="S2297" s="214" t="s">
        <v>1861</v>
      </c>
      <c r="U2297" t="s">
        <v>1953</v>
      </c>
      <c r="V2297" t="s">
        <v>2813</v>
      </c>
    </row>
    <row r="2298" spans="1:22" ht="15.75" thickBot="1" x14ac:dyDescent="0.3">
      <c r="A2298" t="s">
        <v>4590</v>
      </c>
      <c r="B2298" t="s">
        <v>4590</v>
      </c>
      <c r="C2298" t="s">
        <v>4590</v>
      </c>
      <c r="D2298" t="s">
        <v>629</v>
      </c>
      <c r="E2298" s="248" t="s">
        <v>1951</v>
      </c>
      <c r="F2298" t="s">
        <v>620</v>
      </c>
      <c r="G2298" s="89">
        <v>2022</v>
      </c>
      <c r="H2298" s="312" t="s">
        <v>733</v>
      </c>
      <c r="I2298" s="308" t="str">
        <f t="shared" si="96"/>
        <v>Pesado de Passageiros M3: I : Gasóleo : E6</v>
      </c>
      <c r="J2298" s="125">
        <v>108</v>
      </c>
      <c r="K2298" s="253">
        <v>2022</v>
      </c>
      <c r="L2298" s="85">
        <v>18455.760000000006</v>
      </c>
      <c r="M2298" s="85" t="s">
        <v>630</v>
      </c>
      <c r="N2298" s="128">
        <v>46503.375</v>
      </c>
      <c r="O2298" s="128">
        <f t="shared" si="97"/>
        <v>5022364.5</v>
      </c>
      <c r="P2298" s="89">
        <v>1148</v>
      </c>
      <c r="Q2298" t="s">
        <v>47</v>
      </c>
      <c r="R2298" s="214" t="s">
        <v>1869</v>
      </c>
      <c r="S2298" s="214" t="s">
        <v>1861</v>
      </c>
      <c r="U2298" t="s">
        <v>1953</v>
      </c>
      <c r="V2298" t="s">
        <v>2813</v>
      </c>
    </row>
    <row r="2299" spans="1:22" ht="15.75" thickBot="1" x14ac:dyDescent="0.3">
      <c r="A2299" t="s">
        <v>4590</v>
      </c>
      <c r="B2299" t="s">
        <v>4590</v>
      </c>
      <c r="C2299" t="s">
        <v>4590</v>
      </c>
      <c r="D2299" t="s">
        <v>629</v>
      </c>
      <c r="E2299" s="248" t="s">
        <v>1951</v>
      </c>
      <c r="F2299" t="s">
        <v>620</v>
      </c>
      <c r="G2299" s="89">
        <v>2022</v>
      </c>
      <c r="H2299" s="312" t="s">
        <v>733</v>
      </c>
      <c r="I2299" s="308" t="str">
        <f t="shared" si="96"/>
        <v>Pesado de Passageiros M3: I : Gasóleo : E6</v>
      </c>
      <c r="J2299" s="125">
        <v>108</v>
      </c>
      <c r="K2299" s="253">
        <v>2022</v>
      </c>
      <c r="L2299" s="85">
        <v>19576.839999999986</v>
      </c>
      <c r="M2299" s="85" t="s">
        <v>630</v>
      </c>
      <c r="N2299" s="128">
        <v>49779.375</v>
      </c>
      <c r="O2299" s="128">
        <f t="shared" si="97"/>
        <v>5376172.5</v>
      </c>
      <c r="P2299" s="89">
        <v>1149</v>
      </c>
      <c r="Q2299" t="s">
        <v>47</v>
      </c>
      <c r="R2299" s="214" t="s">
        <v>1869</v>
      </c>
      <c r="S2299" s="214" t="s">
        <v>1861</v>
      </c>
      <c r="U2299" t="s">
        <v>1953</v>
      </c>
      <c r="V2299" t="s">
        <v>2813</v>
      </c>
    </row>
    <row r="2300" spans="1:22" ht="15.75" thickBot="1" x14ac:dyDescent="0.3">
      <c r="A2300" t="s">
        <v>4590</v>
      </c>
      <c r="B2300" t="s">
        <v>4590</v>
      </c>
      <c r="C2300" t="s">
        <v>4590</v>
      </c>
      <c r="D2300" t="s">
        <v>629</v>
      </c>
      <c r="E2300" s="248" t="s">
        <v>1951</v>
      </c>
      <c r="F2300" t="s">
        <v>620</v>
      </c>
      <c r="G2300" s="89">
        <v>2022</v>
      </c>
      <c r="H2300" s="312" t="s">
        <v>733</v>
      </c>
      <c r="I2300" s="308" t="str">
        <f t="shared" si="96"/>
        <v>Pesado de Passageiros M3: I : Gasóleo : E6</v>
      </c>
      <c r="J2300" s="125">
        <v>108</v>
      </c>
      <c r="K2300" s="253">
        <v>2022</v>
      </c>
      <c r="L2300" s="85">
        <v>14424.59</v>
      </c>
      <c r="M2300" s="85" t="s">
        <v>630</v>
      </c>
      <c r="N2300" s="128">
        <v>37276.375</v>
      </c>
      <c r="O2300" s="128">
        <f t="shared" si="97"/>
        <v>4025848.5</v>
      </c>
      <c r="P2300" s="89">
        <v>1150</v>
      </c>
      <c r="Q2300" t="s">
        <v>47</v>
      </c>
      <c r="R2300" s="214" t="s">
        <v>1869</v>
      </c>
      <c r="S2300" s="214" t="s">
        <v>1861</v>
      </c>
      <c r="U2300" t="s">
        <v>1953</v>
      </c>
      <c r="V2300" t="s">
        <v>2813</v>
      </c>
    </row>
    <row r="2301" spans="1:22" ht="15.75" thickBot="1" x14ac:dyDescent="0.3">
      <c r="A2301" t="s">
        <v>4590</v>
      </c>
      <c r="B2301" t="s">
        <v>4590</v>
      </c>
      <c r="C2301" t="s">
        <v>4590</v>
      </c>
      <c r="D2301" t="s">
        <v>629</v>
      </c>
      <c r="E2301" s="248" t="s">
        <v>1951</v>
      </c>
      <c r="F2301" t="s">
        <v>620</v>
      </c>
      <c r="G2301" s="89">
        <v>2022</v>
      </c>
      <c r="H2301" s="312" t="s">
        <v>733</v>
      </c>
      <c r="I2301" s="308" t="str">
        <f t="shared" si="96"/>
        <v>Pesado de Passageiros M3: I : Gasóleo : E6</v>
      </c>
      <c r="J2301" s="125">
        <v>108</v>
      </c>
      <c r="K2301" s="253">
        <v>2022</v>
      </c>
      <c r="L2301" s="85">
        <v>18586.339999999993</v>
      </c>
      <c r="M2301" s="85" t="s">
        <v>630</v>
      </c>
      <c r="N2301" s="128">
        <v>47102.375</v>
      </c>
      <c r="O2301" s="128">
        <f t="shared" si="97"/>
        <v>5087056.5</v>
      </c>
      <c r="P2301" s="89">
        <v>1151</v>
      </c>
      <c r="Q2301" t="s">
        <v>47</v>
      </c>
      <c r="R2301" s="214" t="s">
        <v>1869</v>
      </c>
      <c r="S2301" s="214" t="s">
        <v>1861</v>
      </c>
      <c r="U2301" t="s">
        <v>1953</v>
      </c>
      <c r="V2301" t="s">
        <v>2813</v>
      </c>
    </row>
    <row r="2302" spans="1:22" ht="15.75" thickBot="1" x14ac:dyDescent="0.3">
      <c r="A2302" t="s">
        <v>4590</v>
      </c>
      <c r="B2302" t="s">
        <v>4590</v>
      </c>
      <c r="C2302" t="s">
        <v>4590</v>
      </c>
      <c r="D2302" t="s">
        <v>629</v>
      </c>
      <c r="E2302" s="248" t="s">
        <v>1951</v>
      </c>
      <c r="F2302" t="s">
        <v>620</v>
      </c>
      <c r="G2302" s="89">
        <v>2022</v>
      </c>
      <c r="H2302" s="312" t="s">
        <v>733</v>
      </c>
      <c r="I2302" s="308" t="str">
        <f t="shared" si="96"/>
        <v>Pesado de Passageiros M3: I : Gasóleo : E6</v>
      </c>
      <c r="J2302" s="125">
        <v>108</v>
      </c>
      <c r="K2302" s="253">
        <v>2022</v>
      </c>
      <c r="L2302" s="85">
        <v>18855.450000000008</v>
      </c>
      <c r="M2302" s="85" t="s">
        <v>630</v>
      </c>
      <c r="N2302" s="128">
        <v>47064.375</v>
      </c>
      <c r="O2302" s="128">
        <f t="shared" si="97"/>
        <v>5082952.5</v>
      </c>
      <c r="P2302" s="89">
        <v>1152</v>
      </c>
      <c r="Q2302" t="s">
        <v>47</v>
      </c>
      <c r="R2302" s="214" t="s">
        <v>1869</v>
      </c>
      <c r="S2302" s="214" t="s">
        <v>1861</v>
      </c>
      <c r="U2302" t="s">
        <v>1953</v>
      </c>
      <c r="V2302" t="s">
        <v>2813</v>
      </c>
    </row>
    <row r="2303" spans="1:22" ht="15.75" thickBot="1" x14ac:dyDescent="0.3">
      <c r="A2303" t="s">
        <v>4590</v>
      </c>
      <c r="B2303" t="s">
        <v>4590</v>
      </c>
      <c r="C2303" t="s">
        <v>4590</v>
      </c>
      <c r="D2303" t="s">
        <v>629</v>
      </c>
      <c r="E2303" s="248" t="s">
        <v>1951</v>
      </c>
      <c r="F2303" t="s">
        <v>620</v>
      </c>
      <c r="G2303" s="89">
        <v>2022</v>
      </c>
      <c r="H2303" s="312" t="s">
        <v>733</v>
      </c>
      <c r="I2303" s="308" t="str">
        <f t="shared" si="96"/>
        <v>Pesado de Passageiros M3: I : Gasóleo : E6</v>
      </c>
      <c r="J2303" s="125">
        <v>108</v>
      </c>
      <c r="K2303" s="253">
        <v>2022</v>
      </c>
      <c r="L2303" s="85">
        <v>201.17</v>
      </c>
      <c r="M2303" s="85" t="s">
        <v>630</v>
      </c>
      <c r="N2303" s="128">
        <v>4651.375</v>
      </c>
      <c r="O2303" s="128">
        <f t="shared" si="97"/>
        <v>502348.5</v>
      </c>
      <c r="P2303" s="89">
        <v>1165</v>
      </c>
      <c r="Q2303" t="s">
        <v>47</v>
      </c>
      <c r="R2303" s="214" t="s">
        <v>1869</v>
      </c>
      <c r="S2303" s="214" t="s">
        <v>1861</v>
      </c>
      <c r="U2303" t="s">
        <v>1953</v>
      </c>
      <c r="V2303" t="s">
        <v>2813</v>
      </c>
    </row>
    <row r="2304" spans="1:22" ht="15.75" thickBot="1" x14ac:dyDescent="0.3">
      <c r="A2304" t="s">
        <v>4590</v>
      </c>
      <c r="B2304" t="s">
        <v>4590</v>
      </c>
      <c r="C2304" t="s">
        <v>4590</v>
      </c>
      <c r="D2304" t="s">
        <v>629</v>
      </c>
      <c r="E2304" s="248" t="s">
        <v>1951</v>
      </c>
      <c r="F2304" t="s">
        <v>620</v>
      </c>
      <c r="G2304" s="89">
        <v>2022</v>
      </c>
      <c r="H2304" s="312" t="s">
        <v>733</v>
      </c>
      <c r="I2304" s="308" t="str">
        <f t="shared" si="96"/>
        <v>Pesado de Passageiros M3: I : Gasóleo : E6</v>
      </c>
      <c r="J2304" s="125">
        <v>108</v>
      </c>
      <c r="K2304" s="253">
        <v>2022</v>
      </c>
      <c r="L2304" s="85">
        <v>399.48</v>
      </c>
      <c r="M2304" s="85" t="s">
        <v>630</v>
      </c>
      <c r="N2304" s="128">
        <v>5186.375</v>
      </c>
      <c r="O2304" s="128">
        <f t="shared" si="97"/>
        <v>560128.5</v>
      </c>
      <c r="P2304" s="89">
        <v>1176</v>
      </c>
      <c r="Q2304" t="s">
        <v>47</v>
      </c>
      <c r="R2304" s="214" t="s">
        <v>1869</v>
      </c>
      <c r="S2304" s="214" t="s">
        <v>1861</v>
      </c>
      <c r="U2304" t="s">
        <v>1953</v>
      </c>
      <c r="V2304" t="s">
        <v>2813</v>
      </c>
    </row>
    <row r="2305" spans="1:22" ht="15.75" thickBot="1" x14ac:dyDescent="0.3">
      <c r="A2305" t="s">
        <v>4590</v>
      </c>
      <c r="B2305" t="s">
        <v>4590</v>
      </c>
      <c r="C2305" t="s">
        <v>4590</v>
      </c>
      <c r="D2305" t="s">
        <v>629</v>
      </c>
      <c r="E2305" s="248" t="s">
        <v>1951</v>
      </c>
      <c r="F2305" t="s">
        <v>620</v>
      </c>
      <c r="G2305" s="89">
        <v>2022</v>
      </c>
      <c r="H2305" s="312" t="s">
        <v>733</v>
      </c>
      <c r="I2305" s="308" t="str">
        <f t="shared" si="96"/>
        <v>Pesado de Passageiros M3: I : Gasóleo : E6</v>
      </c>
      <c r="J2305" s="125">
        <v>108</v>
      </c>
      <c r="K2305" s="253">
        <v>2022</v>
      </c>
      <c r="L2305" s="85">
        <v>170.02</v>
      </c>
      <c r="M2305" s="85" t="s">
        <v>630</v>
      </c>
      <c r="N2305" s="128">
        <v>4567.375</v>
      </c>
      <c r="O2305" s="128">
        <f t="shared" si="97"/>
        <v>493276.5</v>
      </c>
      <c r="P2305" s="89">
        <v>1197</v>
      </c>
      <c r="Q2305" t="s">
        <v>47</v>
      </c>
      <c r="R2305" s="214" t="s">
        <v>1869</v>
      </c>
      <c r="S2305" s="214" t="s">
        <v>1861</v>
      </c>
      <c r="U2305" t="s">
        <v>1953</v>
      </c>
      <c r="V2305" t="s">
        <v>2813</v>
      </c>
    </row>
    <row r="2306" spans="1:22" ht="15.75" thickBot="1" x14ac:dyDescent="0.3">
      <c r="A2306" t="s">
        <v>4590</v>
      </c>
      <c r="B2306" t="s">
        <v>4590</v>
      </c>
      <c r="C2306" t="s">
        <v>4590</v>
      </c>
      <c r="D2306" t="s">
        <v>629</v>
      </c>
      <c r="E2306" s="248" t="s">
        <v>1951</v>
      </c>
      <c r="F2306" t="s">
        <v>620</v>
      </c>
      <c r="G2306" s="89">
        <v>2022</v>
      </c>
      <c r="H2306" s="312" t="s">
        <v>733</v>
      </c>
      <c r="I2306" s="308" t="str">
        <f t="shared" si="96"/>
        <v>Pesado de Passageiros M3: I : Gasóleo : E6</v>
      </c>
      <c r="J2306" s="125">
        <v>108</v>
      </c>
      <c r="K2306" s="253">
        <v>2022</v>
      </c>
      <c r="L2306" s="85">
        <v>169.25</v>
      </c>
      <c r="M2306" s="85" t="s">
        <v>630</v>
      </c>
      <c r="N2306" s="128">
        <v>4565.375</v>
      </c>
      <c r="O2306" s="128">
        <f t="shared" si="97"/>
        <v>493060.5</v>
      </c>
      <c r="P2306" s="89">
        <v>1205</v>
      </c>
      <c r="Q2306" t="s">
        <v>47</v>
      </c>
      <c r="R2306" s="214" t="s">
        <v>1869</v>
      </c>
      <c r="S2306" s="214" t="s">
        <v>1861</v>
      </c>
      <c r="U2306" t="s">
        <v>1953</v>
      </c>
      <c r="V2306" t="s">
        <v>2813</v>
      </c>
    </row>
    <row r="2307" spans="1:22" ht="15.75" thickBot="1" x14ac:dyDescent="0.3">
      <c r="A2307" t="s">
        <v>4590</v>
      </c>
      <c r="B2307" t="s">
        <v>4590</v>
      </c>
      <c r="C2307" t="s">
        <v>4590</v>
      </c>
      <c r="D2307" t="s">
        <v>629</v>
      </c>
      <c r="E2307" s="248" t="s">
        <v>1951</v>
      </c>
      <c r="F2307" t="s">
        <v>620</v>
      </c>
      <c r="G2307" s="89">
        <v>2022</v>
      </c>
      <c r="H2307" s="312" t="s">
        <v>733</v>
      </c>
      <c r="I2307" s="308" t="str">
        <f t="shared" si="96"/>
        <v>Pesado de Passageiros M3: I : Gasóleo : E6</v>
      </c>
      <c r="J2307" s="125">
        <v>108</v>
      </c>
      <c r="K2307" s="253">
        <v>2022</v>
      </c>
      <c r="L2307" s="85">
        <v>219.13</v>
      </c>
      <c r="M2307" s="85" t="s">
        <v>630</v>
      </c>
      <c r="N2307" s="128">
        <v>4700.375</v>
      </c>
      <c r="O2307" s="128">
        <f t="shared" si="97"/>
        <v>507640.5</v>
      </c>
      <c r="P2307" s="89">
        <v>1233</v>
      </c>
      <c r="Q2307" t="s">
        <v>47</v>
      </c>
      <c r="R2307" s="214" t="s">
        <v>1869</v>
      </c>
      <c r="S2307" s="214" t="s">
        <v>1861</v>
      </c>
      <c r="U2307" t="s">
        <v>1953</v>
      </c>
      <c r="V2307" t="s">
        <v>2813</v>
      </c>
    </row>
    <row r="2308" spans="1:22" ht="15.75" thickBot="1" x14ac:dyDescent="0.3">
      <c r="A2308" t="s">
        <v>4590</v>
      </c>
      <c r="B2308" t="s">
        <v>4590</v>
      </c>
      <c r="C2308" t="s">
        <v>4590</v>
      </c>
      <c r="D2308" t="s">
        <v>629</v>
      </c>
      <c r="E2308" s="248" t="s">
        <v>1951</v>
      </c>
      <c r="F2308" t="s">
        <v>620</v>
      </c>
      <c r="G2308" s="89">
        <v>2022</v>
      </c>
      <c r="H2308" s="312" t="s">
        <v>733</v>
      </c>
      <c r="I2308" s="308" t="str">
        <f t="shared" ref="I2308:I2371" si="98">D2308&amp;": "&amp;E2308&amp;" : "&amp;F2308&amp;" : "&amp;H2308</f>
        <v>Pesado de Passageiros M3: I : Gasóleo : E6</v>
      </c>
      <c r="J2308" s="125">
        <v>108</v>
      </c>
      <c r="K2308" s="253">
        <v>2022</v>
      </c>
      <c r="L2308" s="85">
        <v>8434.0300000000043</v>
      </c>
      <c r="M2308" s="85" t="s">
        <v>630</v>
      </c>
      <c r="N2308" s="128">
        <v>25323.375</v>
      </c>
      <c r="O2308" s="128">
        <f t="shared" ref="O2308:O2371" si="99">N2308*J2308</f>
        <v>2734924.5</v>
      </c>
      <c r="P2308" s="89">
        <v>1256</v>
      </c>
      <c r="Q2308" t="s">
        <v>47</v>
      </c>
      <c r="R2308" s="214" t="s">
        <v>1869</v>
      </c>
      <c r="S2308" s="214" t="s">
        <v>1861</v>
      </c>
      <c r="U2308" t="s">
        <v>1953</v>
      </c>
      <c r="V2308" t="s">
        <v>2813</v>
      </c>
    </row>
    <row r="2309" spans="1:22" ht="15.75" thickBot="1" x14ac:dyDescent="0.3">
      <c r="A2309" t="s">
        <v>4590</v>
      </c>
      <c r="B2309" t="s">
        <v>4590</v>
      </c>
      <c r="C2309" t="s">
        <v>4590</v>
      </c>
      <c r="D2309" t="s">
        <v>629</v>
      </c>
      <c r="E2309" s="248" t="s">
        <v>1951</v>
      </c>
      <c r="F2309" t="s">
        <v>620</v>
      </c>
      <c r="G2309" s="89">
        <v>2022</v>
      </c>
      <c r="H2309" s="312" t="s">
        <v>733</v>
      </c>
      <c r="I2309" s="308" t="str">
        <f t="shared" si="98"/>
        <v>Pesado de Passageiros M3: I : Gasóleo : E6</v>
      </c>
      <c r="J2309" s="125">
        <v>108</v>
      </c>
      <c r="K2309" s="253">
        <v>2022</v>
      </c>
      <c r="L2309" s="85">
        <v>7075.97</v>
      </c>
      <c r="M2309" s="85" t="s">
        <v>630</v>
      </c>
      <c r="N2309" s="128">
        <v>20794.375</v>
      </c>
      <c r="O2309" s="128">
        <f t="shared" si="99"/>
        <v>2245792.5</v>
      </c>
      <c r="P2309" s="89">
        <v>1257</v>
      </c>
      <c r="Q2309" t="s">
        <v>47</v>
      </c>
      <c r="R2309" s="214" t="s">
        <v>1869</v>
      </c>
      <c r="S2309" s="214" t="s">
        <v>1861</v>
      </c>
      <c r="U2309" t="s">
        <v>1953</v>
      </c>
      <c r="V2309" t="s">
        <v>2813</v>
      </c>
    </row>
    <row r="2310" spans="1:22" ht="15.75" thickBot="1" x14ac:dyDescent="0.3">
      <c r="A2310" t="s">
        <v>4590</v>
      </c>
      <c r="B2310" t="s">
        <v>4590</v>
      </c>
      <c r="C2310" t="s">
        <v>4590</v>
      </c>
      <c r="D2310" t="s">
        <v>629</v>
      </c>
      <c r="E2310" s="248" t="s">
        <v>1951</v>
      </c>
      <c r="F2310" t="s">
        <v>620</v>
      </c>
      <c r="G2310" s="89">
        <v>2022</v>
      </c>
      <c r="H2310" s="312" t="s">
        <v>733</v>
      </c>
      <c r="I2310" s="308" t="str">
        <f t="shared" si="98"/>
        <v>Pesado de Passageiros M3: I : Gasóleo : E6</v>
      </c>
      <c r="J2310" s="125">
        <v>108</v>
      </c>
      <c r="K2310" s="253">
        <v>2022</v>
      </c>
      <c r="L2310" s="85">
        <v>8851.5900000000038</v>
      </c>
      <c r="M2310" s="85" t="s">
        <v>630</v>
      </c>
      <c r="N2310" s="128">
        <v>25378.375</v>
      </c>
      <c r="O2310" s="128">
        <f t="shared" si="99"/>
        <v>2740864.5</v>
      </c>
      <c r="P2310" s="89">
        <v>1258</v>
      </c>
      <c r="Q2310" t="s">
        <v>47</v>
      </c>
      <c r="R2310" s="214" t="s">
        <v>1869</v>
      </c>
      <c r="S2310" s="214" t="s">
        <v>1861</v>
      </c>
      <c r="U2310" t="s">
        <v>1953</v>
      </c>
      <c r="V2310" t="s">
        <v>2813</v>
      </c>
    </row>
    <row r="2311" spans="1:22" ht="15.75" thickBot="1" x14ac:dyDescent="0.3">
      <c r="A2311" t="s">
        <v>4590</v>
      </c>
      <c r="B2311" t="s">
        <v>4590</v>
      </c>
      <c r="C2311" t="s">
        <v>4590</v>
      </c>
      <c r="D2311" t="s">
        <v>629</v>
      </c>
      <c r="E2311" s="248" t="s">
        <v>1951</v>
      </c>
      <c r="F2311" t="s">
        <v>620</v>
      </c>
      <c r="G2311" s="89">
        <v>2022</v>
      </c>
      <c r="H2311" s="312" t="s">
        <v>733</v>
      </c>
      <c r="I2311" s="308" t="str">
        <f t="shared" si="98"/>
        <v>Pesado de Passageiros M3: I : Gasóleo : E6</v>
      </c>
      <c r="J2311" s="125">
        <v>108</v>
      </c>
      <c r="K2311" s="253">
        <v>2022</v>
      </c>
      <c r="L2311" s="85">
        <v>9861.7099999999973</v>
      </c>
      <c r="M2311" s="85" t="s">
        <v>630</v>
      </c>
      <c r="N2311" s="128">
        <v>26383.375</v>
      </c>
      <c r="O2311" s="128">
        <f t="shared" si="99"/>
        <v>2849404.5</v>
      </c>
      <c r="P2311" s="89">
        <v>1259</v>
      </c>
      <c r="Q2311" t="s">
        <v>47</v>
      </c>
      <c r="R2311" s="214" t="s">
        <v>1869</v>
      </c>
      <c r="S2311" s="214" t="s">
        <v>1861</v>
      </c>
      <c r="U2311" t="s">
        <v>1953</v>
      </c>
      <c r="V2311" t="s">
        <v>2813</v>
      </c>
    </row>
    <row r="2312" spans="1:22" ht="15.75" thickBot="1" x14ac:dyDescent="0.3">
      <c r="A2312" t="s">
        <v>4590</v>
      </c>
      <c r="B2312" t="s">
        <v>4590</v>
      </c>
      <c r="C2312" t="s">
        <v>4590</v>
      </c>
      <c r="D2312" t="s">
        <v>629</v>
      </c>
      <c r="E2312" s="248" t="s">
        <v>1951</v>
      </c>
      <c r="F2312" t="s">
        <v>620</v>
      </c>
      <c r="G2312" s="89">
        <v>2022</v>
      </c>
      <c r="H2312" s="312" t="s">
        <v>733</v>
      </c>
      <c r="I2312" s="308" t="str">
        <f t="shared" si="98"/>
        <v>Pesado de Passageiros M3: I : Gasóleo : E6</v>
      </c>
      <c r="J2312" s="125">
        <v>108</v>
      </c>
      <c r="K2312" s="253">
        <v>2022</v>
      </c>
      <c r="L2312" s="85">
        <v>11560.299999999996</v>
      </c>
      <c r="M2312" s="85" t="s">
        <v>630</v>
      </c>
      <c r="N2312" s="128">
        <v>32078.375</v>
      </c>
      <c r="O2312" s="128">
        <f t="shared" si="99"/>
        <v>3464464.5</v>
      </c>
      <c r="P2312" s="89">
        <v>1260</v>
      </c>
      <c r="Q2312" t="s">
        <v>47</v>
      </c>
      <c r="R2312" s="214" t="s">
        <v>1869</v>
      </c>
      <c r="S2312" s="214" t="s">
        <v>1861</v>
      </c>
      <c r="U2312" t="s">
        <v>1953</v>
      </c>
      <c r="V2312" t="s">
        <v>2813</v>
      </c>
    </row>
    <row r="2313" spans="1:22" ht="15.75" thickBot="1" x14ac:dyDescent="0.3">
      <c r="A2313" t="s">
        <v>4590</v>
      </c>
      <c r="B2313" t="s">
        <v>4590</v>
      </c>
      <c r="C2313" t="s">
        <v>4590</v>
      </c>
      <c r="D2313" t="s">
        <v>629</v>
      </c>
      <c r="E2313" s="248" t="s">
        <v>1951</v>
      </c>
      <c r="F2313" t="s">
        <v>620</v>
      </c>
      <c r="G2313" s="89">
        <v>2022</v>
      </c>
      <c r="H2313" s="312" t="s">
        <v>733</v>
      </c>
      <c r="I2313" s="308" t="str">
        <f t="shared" si="98"/>
        <v>Pesado de Passageiros M3: I : Gasóleo : E6</v>
      </c>
      <c r="J2313" s="125">
        <v>108</v>
      </c>
      <c r="K2313" s="253">
        <v>2022</v>
      </c>
      <c r="L2313" s="85">
        <v>8943.8300000000054</v>
      </c>
      <c r="M2313" s="85" t="s">
        <v>630</v>
      </c>
      <c r="N2313" s="128">
        <v>24874.375</v>
      </c>
      <c r="O2313" s="128">
        <f t="shared" si="99"/>
        <v>2686432.5</v>
      </c>
      <c r="P2313" s="89">
        <v>1261</v>
      </c>
      <c r="Q2313" t="s">
        <v>47</v>
      </c>
      <c r="R2313" s="214" t="s">
        <v>1869</v>
      </c>
      <c r="S2313" s="214" t="s">
        <v>1861</v>
      </c>
      <c r="U2313" t="s">
        <v>1953</v>
      </c>
      <c r="V2313" t="s">
        <v>2813</v>
      </c>
    </row>
    <row r="2314" spans="1:22" ht="15.75" thickBot="1" x14ac:dyDescent="0.3">
      <c r="A2314" t="s">
        <v>4590</v>
      </c>
      <c r="B2314" t="s">
        <v>4590</v>
      </c>
      <c r="C2314" t="s">
        <v>4590</v>
      </c>
      <c r="D2314" t="s">
        <v>629</v>
      </c>
      <c r="E2314" s="248" t="s">
        <v>1951</v>
      </c>
      <c r="F2314" t="s">
        <v>620</v>
      </c>
      <c r="G2314" s="89">
        <v>2022</v>
      </c>
      <c r="H2314" s="312" t="s">
        <v>733</v>
      </c>
      <c r="I2314" s="308" t="str">
        <f t="shared" si="98"/>
        <v>Pesado de Passageiros M3: I : Gasóleo : E6</v>
      </c>
      <c r="J2314" s="125">
        <v>108</v>
      </c>
      <c r="K2314" s="253">
        <v>2022</v>
      </c>
      <c r="L2314" s="85">
        <v>8691.75</v>
      </c>
      <c r="M2314" s="85" t="s">
        <v>630</v>
      </c>
      <c r="N2314" s="128">
        <v>24372.375</v>
      </c>
      <c r="O2314" s="128">
        <f t="shared" si="99"/>
        <v>2632216.5</v>
      </c>
      <c r="P2314" s="89">
        <v>1262</v>
      </c>
      <c r="Q2314" t="s">
        <v>47</v>
      </c>
      <c r="R2314" s="214" t="s">
        <v>1869</v>
      </c>
      <c r="S2314" s="214" t="s">
        <v>1861</v>
      </c>
      <c r="U2314" t="s">
        <v>1953</v>
      </c>
      <c r="V2314" t="s">
        <v>2813</v>
      </c>
    </row>
    <row r="2315" spans="1:22" ht="15.75" thickBot="1" x14ac:dyDescent="0.3">
      <c r="A2315" t="s">
        <v>4590</v>
      </c>
      <c r="B2315" t="s">
        <v>4590</v>
      </c>
      <c r="C2315" t="s">
        <v>4590</v>
      </c>
      <c r="D2315" t="s">
        <v>629</v>
      </c>
      <c r="E2315" s="248" t="s">
        <v>1951</v>
      </c>
      <c r="F2315" t="s">
        <v>620</v>
      </c>
      <c r="G2315" s="89">
        <v>2022</v>
      </c>
      <c r="H2315" s="312" t="s">
        <v>733</v>
      </c>
      <c r="I2315" s="308" t="str">
        <f t="shared" si="98"/>
        <v>Pesado de Passageiros M3: I : Gasóleo : E6</v>
      </c>
      <c r="J2315" s="125">
        <v>108</v>
      </c>
      <c r="K2315" s="253">
        <v>2022</v>
      </c>
      <c r="L2315" s="85">
        <v>8800.7799999999988</v>
      </c>
      <c r="M2315" s="85" t="s">
        <v>630</v>
      </c>
      <c r="N2315" s="128">
        <v>24407.375</v>
      </c>
      <c r="O2315" s="128">
        <f t="shared" si="99"/>
        <v>2635996.5</v>
      </c>
      <c r="P2315" s="89">
        <v>1263</v>
      </c>
      <c r="Q2315" t="s">
        <v>47</v>
      </c>
      <c r="R2315" s="214" t="s">
        <v>1869</v>
      </c>
      <c r="S2315" s="214" t="s">
        <v>1861</v>
      </c>
      <c r="U2315" t="s">
        <v>1953</v>
      </c>
      <c r="V2315" t="s">
        <v>2813</v>
      </c>
    </row>
    <row r="2316" spans="1:22" ht="15.75" thickBot="1" x14ac:dyDescent="0.3">
      <c r="A2316" t="s">
        <v>4590</v>
      </c>
      <c r="B2316" t="s">
        <v>4590</v>
      </c>
      <c r="C2316" t="s">
        <v>4590</v>
      </c>
      <c r="D2316" t="s">
        <v>629</v>
      </c>
      <c r="E2316" s="248" t="s">
        <v>1951</v>
      </c>
      <c r="F2316" t="s">
        <v>620</v>
      </c>
      <c r="G2316" s="89">
        <v>2022</v>
      </c>
      <c r="H2316" s="312" t="s">
        <v>733</v>
      </c>
      <c r="I2316" s="308" t="str">
        <f t="shared" si="98"/>
        <v>Pesado de Passageiros M3: I : Gasóleo : E6</v>
      </c>
      <c r="J2316" s="125">
        <v>108</v>
      </c>
      <c r="K2316" s="253">
        <v>2022</v>
      </c>
      <c r="L2316" s="85">
        <v>9226.61</v>
      </c>
      <c r="M2316" s="85" t="s">
        <v>630</v>
      </c>
      <c r="N2316" s="128">
        <v>27359.375</v>
      </c>
      <c r="O2316" s="128">
        <f t="shared" si="99"/>
        <v>2954812.5</v>
      </c>
      <c r="P2316" s="89">
        <v>1264</v>
      </c>
      <c r="Q2316" t="s">
        <v>47</v>
      </c>
      <c r="R2316" s="214" t="s">
        <v>1869</v>
      </c>
      <c r="S2316" s="214" t="s">
        <v>1861</v>
      </c>
      <c r="U2316" t="s">
        <v>1953</v>
      </c>
      <c r="V2316" t="s">
        <v>2813</v>
      </c>
    </row>
    <row r="2317" spans="1:22" ht="15.75" thickBot="1" x14ac:dyDescent="0.3">
      <c r="A2317" t="s">
        <v>4590</v>
      </c>
      <c r="B2317" t="s">
        <v>4590</v>
      </c>
      <c r="C2317" t="s">
        <v>4590</v>
      </c>
      <c r="D2317" t="s">
        <v>629</v>
      </c>
      <c r="E2317" s="248" t="s">
        <v>1951</v>
      </c>
      <c r="F2317" t="s">
        <v>620</v>
      </c>
      <c r="G2317" s="89">
        <v>2022</v>
      </c>
      <c r="H2317" s="312" t="s">
        <v>733</v>
      </c>
      <c r="I2317" s="308" t="str">
        <f t="shared" si="98"/>
        <v>Pesado de Passageiros M3: I : Gasóleo : E6</v>
      </c>
      <c r="J2317" s="125">
        <v>108</v>
      </c>
      <c r="K2317" s="253">
        <v>2022</v>
      </c>
      <c r="L2317" s="85">
        <v>9265.0400000000009</v>
      </c>
      <c r="M2317" s="85" t="s">
        <v>630</v>
      </c>
      <c r="N2317" s="128">
        <v>26732.375</v>
      </c>
      <c r="O2317" s="128">
        <f t="shared" si="99"/>
        <v>2887096.5</v>
      </c>
      <c r="P2317" s="89">
        <v>1265</v>
      </c>
      <c r="Q2317" t="s">
        <v>47</v>
      </c>
      <c r="R2317" s="214" t="s">
        <v>1869</v>
      </c>
      <c r="S2317" s="214" t="s">
        <v>1861</v>
      </c>
      <c r="U2317" t="s">
        <v>1953</v>
      </c>
      <c r="V2317" t="s">
        <v>2813</v>
      </c>
    </row>
    <row r="2318" spans="1:22" ht="15.75" thickBot="1" x14ac:dyDescent="0.3">
      <c r="A2318" t="s">
        <v>4590</v>
      </c>
      <c r="B2318" t="s">
        <v>4590</v>
      </c>
      <c r="C2318" t="s">
        <v>4590</v>
      </c>
      <c r="D2318" t="s">
        <v>629</v>
      </c>
      <c r="E2318" s="248" t="s">
        <v>1951</v>
      </c>
      <c r="F2318" t="s">
        <v>620</v>
      </c>
      <c r="G2318" s="89">
        <v>2022</v>
      </c>
      <c r="H2318" s="312" t="s">
        <v>733</v>
      </c>
      <c r="I2318" s="308" t="str">
        <f t="shared" si="98"/>
        <v>Pesado de Passageiros M3: I : Gasóleo : E6</v>
      </c>
      <c r="J2318" s="125">
        <v>108</v>
      </c>
      <c r="K2318" s="253">
        <v>2022</v>
      </c>
      <c r="L2318" s="85">
        <v>3791.63</v>
      </c>
      <c r="M2318" s="85" t="s">
        <v>630</v>
      </c>
      <c r="N2318" s="128">
        <v>13189.375</v>
      </c>
      <c r="O2318" s="128">
        <f t="shared" si="99"/>
        <v>1424452.5</v>
      </c>
      <c r="P2318" s="89">
        <v>1266</v>
      </c>
      <c r="Q2318" t="s">
        <v>47</v>
      </c>
      <c r="R2318" s="214" t="s">
        <v>1869</v>
      </c>
      <c r="S2318" s="214" t="s">
        <v>1861</v>
      </c>
      <c r="U2318" t="s">
        <v>1953</v>
      </c>
      <c r="V2318" t="s">
        <v>2813</v>
      </c>
    </row>
    <row r="2319" spans="1:22" ht="15.75" thickBot="1" x14ac:dyDescent="0.3">
      <c r="A2319" t="s">
        <v>4590</v>
      </c>
      <c r="B2319" t="s">
        <v>4590</v>
      </c>
      <c r="C2319" t="s">
        <v>4590</v>
      </c>
      <c r="D2319" t="s">
        <v>629</v>
      </c>
      <c r="E2319" s="248" t="s">
        <v>1951</v>
      </c>
      <c r="F2319" t="s">
        <v>620</v>
      </c>
      <c r="G2319" s="89">
        <v>2022</v>
      </c>
      <c r="H2319" s="312" t="s">
        <v>733</v>
      </c>
      <c r="I2319" s="308" t="str">
        <f t="shared" si="98"/>
        <v>Pesado de Passageiros M3: I : Gasóleo : E6</v>
      </c>
      <c r="J2319" s="125">
        <v>108</v>
      </c>
      <c r="K2319" s="253">
        <v>2022</v>
      </c>
      <c r="L2319" s="85">
        <v>8685.3799999999992</v>
      </c>
      <c r="M2319" s="85" t="s">
        <v>630</v>
      </c>
      <c r="N2319" s="128">
        <v>24291.375</v>
      </c>
      <c r="O2319" s="128">
        <f t="shared" si="99"/>
        <v>2623468.5</v>
      </c>
      <c r="P2319" s="89">
        <v>1267</v>
      </c>
      <c r="Q2319" t="s">
        <v>47</v>
      </c>
      <c r="R2319" s="214" t="s">
        <v>1869</v>
      </c>
      <c r="S2319" s="214" t="s">
        <v>1861</v>
      </c>
      <c r="U2319" t="s">
        <v>1953</v>
      </c>
      <c r="V2319" t="s">
        <v>2813</v>
      </c>
    </row>
    <row r="2320" spans="1:22" ht="15.75" thickBot="1" x14ac:dyDescent="0.3">
      <c r="A2320" t="s">
        <v>4590</v>
      </c>
      <c r="B2320" t="s">
        <v>4590</v>
      </c>
      <c r="C2320" t="s">
        <v>4590</v>
      </c>
      <c r="D2320" t="s">
        <v>629</v>
      </c>
      <c r="E2320" s="248" t="s">
        <v>1951</v>
      </c>
      <c r="F2320" t="s">
        <v>620</v>
      </c>
      <c r="G2320" s="89">
        <v>2022</v>
      </c>
      <c r="H2320" s="312" t="s">
        <v>733</v>
      </c>
      <c r="I2320" s="308" t="str">
        <f t="shared" si="98"/>
        <v>Pesado de Passageiros M3: I : Gasóleo : E6</v>
      </c>
      <c r="J2320" s="125">
        <v>108</v>
      </c>
      <c r="K2320" s="253">
        <v>2022</v>
      </c>
      <c r="L2320" s="85">
        <v>9863.6300000000028</v>
      </c>
      <c r="M2320" s="85" t="s">
        <v>630</v>
      </c>
      <c r="N2320" s="128">
        <v>27333.375</v>
      </c>
      <c r="O2320" s="128">
        <f t="shared" si="99"/>
        <v>2952004.5</v>
      </c>
      <c r="P2320" s="89">
        <v>1268</v>
      </c>
      <c r="Q2320" t="s">
        <v>47</v>
      </c>
      <c r="R2320" s="214" t="s">
        <v>1869</v>
      </c>
      <c r="S2320" s="214" t="s">
        <v>1861</v>
      </c>
      <c r="U2320" t="s">
        <v>1953</v>
      </c>
      <c r="V2320" t="s">
        <v>2813</v>
      </c>
    </row>
    <row r="2321" spans="1:22" ht="15.75" thickBot="1" x14ac:dyDescent="0.3">
      <c r="A2321" t="s">
        <v>4590</v>
      </c>
      <c r="B2321" t="s">
        <v>4590</v>
      </c>
      <c r="C2321" t="s">
        <v>4590</v>
      </c>
      <c r="D2321" t="s">
        <v>629</v>
      </c>
      <c r="E2321" s="248" t="s">
        <v>1951</v>
      </c>
      <c r="F2321" t="s">
        <v>620</v>
      </c>
      <c r="G2321" s="89">
        <v>2022</v>
      </c>
      <c r="H2321" s="312" t="s">
        <v>733</v>
      </c>
      <c r="I2321" s="308" t="str">
        <f t="shared" si="98"/>
        <v>Pesado de Passageiros M3: I : Gasóleo : E6</v>
      </c>
      <c r="J2321" s="125">
        <v>108</v>
      </c>
      <c r="K2321" s="253">
        <v>2022</v>
      </c>
      <c r="L2321" s="85">
        <v>9608.4400000000041</v>
      </c>
      <c r="M2321" s="85" t="s">
        <v>630</v>
      </c>
      <c r="N2321" s="128">
        <v>27010.375</v>
      </c>
      <c r="O2321" s="128">
        <f t="shared" si="99"/>
        <v>2917120.5</v>
      </c>
      <c r="P2321" s="89">
        <v>1269</v>
      </c>
      <c r="Q2321" t="s">
        <v>47</v>
      </c>
      <c r="R2321" s="214" t="s">
        <v>1869</v>
      </c>
      <c r="S2321" s="214" t="s">
        <v>1861</v>
      </c>
      <c r="U2321" t="s">
        <v>1953</v>
      </c>
      <c r="V2321" t="s">
        <v>2813</v>
      </c>
    </row>
    <row r="2322" spans="1:22" ht="15.75" thickBot="1" x14ac:dyDescent="0.3">
      <c r="A2322" t="s">
        <v>4590</v>
      </c>
      <c r="B2322" t="s">
        <v>4590</v>
      </c>
      <c r="C2322" t="s">
        <v>4590</v>
      </c>
      <c r="D2322" t="s">
        <v>629</v>
      </c>
      <c r="E2322" s="248" t="s">
        <v>1951</v>
      </c>
      <c r="F2322" t="s">
        <v>620</v>
      </c>
      <c r="G2322" s="89">
        <v>2022</v>
      </c>
      <c r="H2322" s="312" t="s">
        <v>733</v>
      </c>
      <c r="I2322" s="308" t="str">
        <f t="shared" si="98"/>
        <v>Pesado de Passageiros M3: I : Gasóleo : E6</v>
      </c>
      <c r="J2322" s="125">
        <v>108</v>
      </c>
      <c r="K2322" s="253">
        <v>2022</v>
      </c>
      <c r="L2322" s="85">
        <v>8073.6299999999974</v>
      </c>
      <c r="M2322" s="85" t="s">
        <v>630</v>
      </c>
      <c r="N2322" s="128">
        <v>22852.375</v>
      </c>
      <c r="O2322" s="128">
        <f t="shared" si="99"/>
        <v>2468056.5</v>
      </c>
      <c r="P2322" s="89">
        <v>1270</v>
      </c>
      <c r="Q2322" t="s">
        <v>47</v>
      </c>
      <c r="R2322" s="214" t="s">
        <v>1869</v>
      </c>
      <c r="S2322" s="214" t="s">
        <v>1861</v>
      </c>
      <c r="U2322" t="s">
        <v>1953</v>
      </c>
      <c r="V2322" t="s">
        <v>2813</v>
      </c>
    </row>
    <row r="2323" spans="1:22" ht="15.75" thickBot="1" x14ac:dyDescent="0.3">
      <c r="A2323" t="s">
        <v>4590</v>
      </c>
      <c r="B2323" t="s">
        <v>4590</v>
      </c>
      <c r="C2323" t="s">
        <v>4590</v>
      </c>
      <c r="D2323" t="s">
        <v>629</v>
      </c>
      <c r="E2323" s="248" t="s">
        <v>1951</v>
      </c>
      <c r="F2323" t="s">
        <v>620</v>
      </c>
      <c r="G2323" s="89">
        <v>2022</v>
      </c>
      <c r="H2323" s="312" t="s">
        <v>733</v>
      </c>
      <c r="I2323" s="308" t="str">
        <f t="shared" si="98"/>
        <v>Pesado de Passageiros M3: I : Gasóleo : E6</v>
      </c>
      <c r="J2323" s="125">
        <v>108</v>
      </c>
      <c r="K2323" s="253">
        <v>2022</v>
      </c>
      <c r="L2323" s="85">
        <v>8716.5700000000015</v>
      </c>
      <c r="M2323" s="85" t="s">
        <v>630</v>
      </c>
      <c r="N2323" s="128">
        <v>26099.375</v>
      </c>
      <c r="O2323" s="128">
        <f t="shared" si="99"/>
        <v>2818732.5</v>
      </c>
      <c r="P2323" s="89">
        <v>1271</v>
      </c>
      <c r="Q2323" t="s">
        <v>47</v>
      </c>
      <c r="R2323" s="214" t="s">
        <v>1869</v>
      </c>
      <c r="S2323" s="214" t="s">
        <v>1861</v>
      </c>
      <c r="U2323" t="s">
        <v>1953</v>
      </c>
      <c r="V2323" t="s">
        <v>2813</v>
      </c>
    </row>
    <row r="2324" spans="1:22" ht="15.75" thickBot="1" x14ac:dyDescent="0.3">
      <c r="A2324" t="s">
        <v>4590</v>
      </c>
      <c r="B2324" t="s">
        <v>4590</v>
      </c>
      <c r="C2324" t="s">
        <v>4590</v>
      </c>
      <c r="D2324" t="s">
        <v>629</v>
      </c>
      <c r="E2324" s="248" t="s">
        <v>1951</v>
      </c>
      <c r="F2324" t="s">
        <v>620</v>
      </c>
      <c r="G2324" s="89">
        <v>2022</v>
      </c>
      <c r="H2324" s="312" t="s">
        <v>733</v>
      </c>
      <c r="I2324" s="308" t="str">
        <f t="shared" si="98"/>
        <v>Pesado de Passageiros M3: I : Gasóleo : E6</v>
      </c>
      <c r="J2324" s="125">
        <v>108</v>
      </c>
      <c r="K2324" s="253">
        <v>2022</v>
      </c>
      <c r="L2324" s="85">
        <v>193.85</v>
      </c>
      <c r="M2324" s="85" t="s">
        <v>630</v>
      </c>
      <c r="N2324" s="128">
        <v>4631.375</v>
      </c>
      <c r="O2324" s="128">
        <f t="shared" si="99"/>
        <v>500188.5</v>
      </c>
      <c r="P2324" s="89">
        <v>1272</v>
      </c>
      <c r="Q2324" t="s">
        <v>47</v>
      </c>
      <c r="R2324" s="214" t="s">
        <v>1869</v>
      </c>
      <c r="S2324" s="214" t="s">
        <v>1861</v>
      </c>
      <c r="U2324" t="s">
        <v>1953</v>
      </c>
      <c r="V2324" t="s">
        <v>2813</v>
      </c>
    </row>
    <row r="2325" spans="1:22" ht="15.75" thickBot="1" x14ac:dyDescent="0.3">
      <c r="A2325" t="s">
        <v>4590</v>
      </c>
      <c r="B2325" t="s">
        <v>4590</v>
      </c>
      <c r="C2325" t="s">
        <v>4590</v>
      </c>
      <c r="D2325" t="s">
        <v>629</v>
      </c>
      <c r="E2325" s="248" t="s">
        <v>1951</v>
      </c>
      <c r="F2325" t="s">
        <v>620</v>
      </c>
      <c r="G2325" s="89">
        <v>2022</v>
      </c>
      <c r="H2325" s="312" t="s">
        <v>733</v>
      </c>
      <c r="I2325" s="308" t="str">
        <f t="shared" si="98"/>
        <v>Pesado de Passageiros M3: I : Gasóleo : E6</v>
      </c>
      <c r="J2325" s="125">
        <v>108</v>
      </c>
      <c r="K2325" s="253">
        <v>2022</v>
      </c>
      <c r="L2325" s="85">
        <v>2643.5300000000007</v>
      </c>
      <c r="M2325" s="85" t="s">
        <v>630</v>
      </c>
      <c r="N2325" s="128">
        <v>11044.375</v>
      </c>
      <c r="O2325" s="128">
        <f t="shared" si="99"/>
        <v>1192792.5</v>
      </c>
      <c r="P2325" s="89">
        <v>1274</v>
      </c>
      <c r="Q2325" t="s">
        <v>47</v>
      </c>
      <c r="R2325" s="214" t="s">
        <v>1869</v>
      </c>
      <c r="S2325" s="214" t="s">
        <v>1861</v>
      </c>
      <c r="U2325" t="s">
        <v>1953</v>
      </c>
      <c r="V2325" t="s">
        <v>2813</v>
      </c>
    </row>
    <row r="2326" spans="1:22" ht="15.75" thickBot="1" x14ac:dyDescent="0.3">
      <c r="A2326" t="s">
        <v>4590</v>
      </c>
      <c r="B2326" t="s">
        <v>4590</v>
      </c>
      <c r="C2326" t="s">
        <v>4590</v>
      </c>
      <c r="D2326" t="s">
        <v>629</v>
      </c>
      <c r="E2326" s="248" t="s">
        <v>1951</v>
      </c>
      <c r="F2326" t="s">
        <v>620</v>
      </c>
      <c r="G2326" s="89">
        <v>2022</v>
      </c>
      <c r="H2326" s="312" t="s">
        <v>733</v>
      </c>
      <c r="I2326" s="308" t="str">
        <f t="shared" si="98"/>
        <v>Pesado de Passageiros M3: I : Gasóleo : E6</v>
      </c>
      <c r="J2326" s="125">
        <v>108</v>
      </c>
      <c r="K2326" s="253">
        <v>2022</v>
      </c>
      <c r="L2326" s="85">
        <v>1058.8800000000001</v>
      </c>
      <c r="M2326" s="85" t="s">
        <v>630</v>
      </c>
      <c r="N2326" s="128">
        <v>7218.375</v>
      </c>
      <c r="O2326" s="128">
        <f t="shared" si="99"/>
        <v>779584.5</v>
      </c>
      <c r="P2326" s="89">
        <v>1275</v>
      </c>
      <c r="Q2326" t="s">
        <v>47</v>
      </c>
      <c r="R2326" s="214" t="s">
        <v>1869</v>
      </c>
      <c r="S2326" s="214" t="s">
        <v>1861</v>
      </c>
      <c r="U2326" t="s">
        <v>1953</v>
      </c>
      <c r="V2326" t="s">
        <v>2813</v>
      </c>
    </row>
    <row r="2327" spans="1:22" ht="15.75" thickBot="1" x14ac:dyDescent="0.3">
      <c r="A2327" t="s">
        <v>4590</v>
      </c>
      <c r="B2327" t="s">
        <v>4590</v>
      </c>
      <c r="C2327" t="s">
        <v>4590</v>
      </c>
      <c r="D2327" t="s">
        <v>629</v>
      </c>
      <c r="E2327" s="248" t="s">
        <v>1951</v>
      </c>
      <c r="F2327" t="s">
        <v>620</v>
      </c>
      <c r="G2327" s="89">
        <v>2022</v>
      </c>
      <c r="H2327" s="312" t="s">
        <v>733</v>
      </c>
      <c r="I2327" s="308" t="str">
        <f t="shared" si="98"/>
        <v>Pesado de Passageiros M3: I : Gasóleo : E6</v>
      </c>
      <c r="J2327" s="125">
        <v>108</v>
      </c>
      <c r="K2327" s="253">
        <v>2022</v>
      </c>
      <c r="L2327" s="85">
        <v>617.30999999999995</v>
      </c>
      <c r="M2327" s="85" t="s">
        <v>630</v>
      </c>
      <c r="N2327" s="128">
        <v>5706.375</v>
      </c>
      <c r="O2327" s="128">
        <f t="shared" si="99"/>
        <v>616288.5</v>
      </c>
      <c r="P2327" s="89">
        <v>1276</v>
      </c>
      <c r="Q2327" t="s">
        <v>47</v>
      </c>
      <c r="R2327" s="214" t="s">
        <v>1869</v>
      </c>
      <c r="S2327" s="214" t="s">
        <v>1861</v>
      </c>
      <c r="U2327" t="s">
        <v>1953</v>
      </c>
      <c r="V2327" t="s">
        <v>2813</v>
      </c>
    </row>
    <row r="2328" spans="1:22" ht="15.75" thickBot="1" x14ac:dyDescent="0.3">
      <c r="A2328" t="s">
        <v>4590</v>
      </c>
      <c r="B2328" t="s">
        <v>4590</v>
      </c>
      <c r="C2328" t="s">
        <v>4590</v>
      </c>
      <c r="D2328" t="s">
        <v>629</v>
      </c>
      <c r="E2328" s="248" t="s">
        <v>1951</v>
      </c>
      <c r="F2328" t="s">
        <v>620</v>
      </c>
      <c r="G2328" s="89">
        <v>2022</v>
      </c>
      <c r="H2328" s="312" t="s">
        <v>733</v>
      </c>
      <c r="I2328" s="308" t="str">
        <f t="shared" si="98"/>
        <v>Pesado de Passageiros M3: I : Gasóleo : E6</v>
      </c>
      <c r="J2328" s="125">
        <v>108</v>
      </c>
      <c r="K2328" s="253">
        <v>2022</v>
      </c>
      <c r="L2328" s="85">
        <v>7907.07</v>
      </c>
      <c r="M2328" s="85" t="s">
        <v>630</v>
      </c>
      <c r="N2328" s="128">
        <v>23646.375</v>
      </c>
      <c r="O2328" s="128">
        <f t="shared" si="99"/>
        <v>2553808.5</v>
      </c>
      <c r="P2328" s="89">
        <v>1277</v>
      </c>
      <c r="Q2328" t="s">
        <v>47</v>
      </c>
      <c r="R2328" s="214" t="s">
        <v>1869</v>
      </c>
      <c r="S2328" s="214" t="s">
        <v>1861</v>
      </c>
      <c r="U2328" t="s">
        <v>1953</v>
      </c>
      <c r="V2328" t="s">
        <v>2813</v>
      </c>
    </row>
    <row r="2329" spans="1:22" ht="15.75" thickBot="1" x14ac:dyDescent="0.3">
      <c r="A2329" t="s">
        <v>4590</v>
      </c>
      <c r="B2329" t="s">
        <v>4590</v>
      </c>
      <c r="C2329" t="s">
        <v>4590</v>
      </c>
      <c r="D2329" t="s">
        <v>629</v>
      </c>
      <c r="E2329" s="248" t="s">
        <v>1951</v>
      </c>
      <c r="F2329" t="s">
        <v>620</v>
      </c>
      <c r="G2329" s="89">
        <v>2022</v>
      </c>
      <c r="H2329" s="312" t="s">
        <v>733</v>
      </c>
      <c r="I2329" s="308" t="str">
        <f t="shared" si="98"/>
        <v>Pesado de Passageiros M3: I : Gasóleo : E6</v>
      </c>
      <c r="J2329" s="125">
        <v>108</v>
      </c>
      <c r="K2329" s="253">
        <v>2022</v>
      </c>
      <c r="L2329" s="85">
        <v>9010.9299999999967</v>
      </c>
      <c r="M2329" s="85" t="s">
        <v>630</v>
      </c>
      <c r="N2329" s="128">
        <v>25649.375</v>
      </c>
      <c r="O2329" s="128">
        <f t="shared" si="99"/>
        <v>2770132.5</v>
      </c>
      <c r="P2329" s="89">
        <v>1278</v>
      </c>
      <c r="Q2329" t="s">
        <v>47</v>
      </c>
      <c r="R2329" s="214" t="s">
        <v>1869</v>
      </c>
      <c r="S2329" s="214" t="s">
        <v>1861</v>
      </c>
      <c r="U2329" t="s">
        <v>1953</v>
      </c>
      <c r="V2329" t="s">
        <v>2813</v>
      </c>
    </row>
    <row r="2330" spans="1:22" ht="15.75" thickBot="1" x14ac:dyDescent="0.3">
      <c r="A2330" t="s">
        <v>4590</v>
      </c>
      <c r="B2330" t="s">
        <v>4590</v>
      </c>
      <c r="C2330" t="s">
        <v>4590</v>
      </c>
      <c r="D2330" t="s">
        <v>629</v>
      </c>
      <c r="E2330" s="248" t="s">
        <v>1951</v>
      </c>
      <c r="F2330" t="s">
        <v>620</v>
      </c>
      <c r="G2330" s="89">
        <v>2022</v>
      </c>
      <c r="H2330" s="312" t="s">
        <v>733</v>
      </c>
      <c r="I2330" s="308" t="str">
        <f t="shared" si="98"/>
        <v>Pesado de Passageiros M3: I : Gasóleo : E6</v>
      </c>
      <c r="J2330" s="125">
        <v>108</v>
      </c>
      <c r="K2330" s="253">
        <v>2022</v>
      </c>
      <c r="L2330" s="85">
        <v>450.78</v>
      </c>
      <c r="M2330" s="85" t="s">
        <v>630</v>
      </c>
      <c r="N2330" s="128">
        <v>5324.375</v>
      </c>
      <c r="O2330" s="128">
        <f t="shared" si="99"/>
        <v>575032.5</v>
      </c>
      <c r="P2330" s="89">
        <v>1279</v>
      </c>
      <c r="Q2330" t="s">
        <v>47</v>
      </c>
      <c r="R2330" s="214" t="s">
        <v>1869</v>
      </c>
      <c r="S2330" s="214" t="s">
        <v>1861</v>
      </c>
      <c r="U2330" t="s">
        <v>1953</v>
      </c>
      <c r="V2330" t="s">
        <v>2813</v>
      </c>
    </row>
    <row r="2331" spans="1:22" ht="15.75" thickBot="1" x14ac:dyDescent="0.3">
      <c r="A2331" t="s">
        <v>4590</v>
      </c>
      <c r="B2331" t="s">
        <v>4590</v>
      </c>
      <c r="C2331" t="s">
        <v>4590</v>
      </c>
      <c r="D2331" t="s">
        <v>629</v>
      </c>
      <c r="E2331" s="248" t="s">
        <v>1951</v>
      </c>
      <c r="F2331" t="s">
        <v>620</v>
      </c>
      <c r="G2331" s="89">
        <v>2022</v>
      </c>
      <c r="H2331" s="312" t="s">
        <v>733</v>
      </c>
      <c r="I2331" s="308" t="str">
        <f t="shared" si="98"/>
        <v>Pesado de Passageiros M3: I : Gasóleo : E6</v>
      </c>
      <c r="J2331" s="125">
        <v>108</v>
      </c>
      <c r="K2331" s="253">
        <v>2022</v>
      </c>
      <c r="L2331" s="85">
        <v>7528.8000000000011</v>
      </c>
      <c r="M2331" s="85" t="s">
        <v>630</v>
      </c>
      <c r="N2331" s="128">
        <v>23680.375</v>
      </c>
      <c r="O2331" s="128">
        <f t="shared" si="99"/>
        <v>2557480.5</v>
      </c>
      <c r="P2331" s="89">
        <v>1281</v>
      </c>
      <c r="Q2331" t="s">
        <v>47</v>
      </c>
      <c r="R2331" s="214" t="s">
        <v>1869</v>
      </c>
      <c r="S2331" s="214" t="s">
        <v>1861</v>
      </c>
      <c r="U2331" t="s">
        <v>1953</v>
      </c>
      <c r="V2331" t="s">
        <v>2813</v>
      </c>
    </row>
    <row r="2332" spans="1:22" ht="15.75" thickBot="1" x14ac:dyDescent="0.3">
      <c r="A2332" t="s">
        <v>4590</v>
      </c>
      <c r="B2332" t="s">
        <v>4590</v>
      </c>
      <c r="C2332" t="s">
        <v>4590</v>
      </c>
      <c r="D2332" t="s">
        <v>629</v>
      </c>
      <c r="E2332" s="248" t="s">
        <v>1951</v>
      </c>
      <c r="F2332" t="s">
        <v>620</v>
      </c>
      <c r="G2332" s="89">
        <v>2022</v>
      </c>
      <c r="H2332" s="312" t="s">
        <v>733</v>
      </c>
      <c r="I2332" s="308" t="str">
        <f t="shared" si="98"/>
        <v>Pesado de Passageiros M3: I : Gasóleo : E6</v>
      </c>
      <c r="J2332" s="125">
        <v>108</v>
      </c>
      <c r="K2332" s="253">
        <v>2022</v>
      </c>
      <c r="L2332" s="85">
        <v>8245.5899999999983</v>
      </c>
      <c r="M2332" s="85" t="s">
        <v>630</v>
      </c>
      <c r="N2332" s="128">
        <v>23959.375</v>
      </c>
      <c r="O2332" s="128">
        <f t="shared" si="99"/>
        <v>2587612.5</v>
      </c>
      <c r="P2332" s="89">
        <v>1283</v>
      </c>
      <c r="Q2332" t="s">
        <v>47</v>
      </c>
      <c r="R2332" s="214" t="s">
        <v>1869</v>
      </c>
      <c r="S2332" s="214" t="s">
        <v>1861</v>
      </c>
      <c r="U2332" t="s">
        <v>1953</v>
      </c>
      <c r="V2332" t="s">
        <v>2813</v>
      </c>
    </row>
    <row r="2333" spans="1:22" ht="15.75" thickBot="1" x14ac:dyDescent="0.3">
      <c r="A2333" t="s">
        <v>4590</v>
      </c>
      <c r="B2333" t="s">
        <v>4590</v>
      </c>
      <c r="C2333" t="s">
        <v>4590</v>
      </c>
      <c r="D2333" t="s">
        <v>629</v>
      </c>
      <c r="E2333" s="248" t="s">
        <v>1951</v>
      </c>
      <c r="F2333" t="s">
        <v>620</v>
      </c>
      <c r="G2333" s="89">
        <v>2022</v>
      </c>
      <c r="H2333" s="312" t="s">
        <v>733</v>
      </c>
      <c r="I2333" s="308" t="str">
        <f t="shared" si="98"/>
        <v>Pesado de Passageiros M3: I : Gasóleo : E6</v>
      </c>
      <c r="J2333" s="125">
        <v>108</v>
      </c>
      <c r="K2333" s="253">
        <v>2022</v>
      </c>
      <c r="L2333" s="85">
        <v>3337.1299999999997</v>
      </c>
      <c r="M2333" s="85" t="s">
        <v>630</v>
      </c>
      <c r="N2333" s="128">
        <v>13006.375</v>
      </c>
      <c r="O2333" s="128">
        <f t="shared" si="99"/>
        <v>1404688.5</v>
      </c>
      <c r="P2333" s="89">
        <v>1284</v>
      </c>
      <c r="Q2333" t="s">
        <v>47</v>
      </c>
      <c r="R2333" s="214" t="s">
        <v>1869</v>
      </c>
      <c r="S2333" s="214" t="s">
        <v>1861</v>
      </c>
      <c r="U2333" t="s">
        <v>1953</v>
      </c>
      <c r="V2333" t="s">
        <v>2813</v>
      </c>
    </row>
    <row r="2334" spans="1:22" ht="15.75" thickBot="1" x14ac:dyDescent="0.3">
      <c r="A2334" t="s">
        <v>4590</v>
      </c>
      <c r="B2334" t="s">
        <v>4590</v>
      </c>
      <c r="C2334" t="s">
        <v>4590</v>
      </c>
      <c r="D2334" t="s">
        <v>629</v>
      </c>
      <c r="E2334" s="248" t="s">
        <v>1951</v>
      </c>
      <c r="F2334" t="s">
        <v>620</v>
      </c>
      <c r="G2334" s="89">
        <v>2022</v>
      </c>
      <c r="H2334" s="312" t="s">
        <v>733</v>
      </c>
      <c r="I2334" s="308" t="str">
        <f t="shared" si="98"/>
        <v>Pesado de Passageiros M3: I : Gasóleo : E6</v>
      </c>
      <c r="J2334" s="125">
        <v>108</v>
      </c>
      <c r="K2334" s="253">
        <v>2022</v>
      </c>
      <c r="L2334" s="85">
        <v>1198.7400000000002</v>
      </c>
      <c r="M2334" s="85" t="s">
        <v>630</v>
      </c>
      <c r="N2334" s="128">
        <v>6995.375</v>
      </c>
      <c r="O2334" s="128">
        <f t="shared" si="99"/>
        <v>755500.5</v>
      </c>
      <c r="P2334" s="89">
        <v>1302</v>
      </c>
      <c r="Q2334" t="s">
        <v>47</v>
      </c>
      <c r="R2334" s="214" t="s">
        <v>1869</v>
      </c>
      <c r="S2334" s="214" t="s">
        <v>1861</v>
      </c>
      <c r="U2334" t="s">
        <v>1953</v>
      </c>
      <c r="V2334" t="s">
        <v>2813</v>
      </c>
    </row>
    <row r="2335" spans="1:22" ht="15.75" thickBot="1" x14ac:dyDescent="0.3">
      <c r="A2335" t="s">
        <v>4590</v>
      </c>
      <c r="B2335" t="s">
        <v>4590</v>
      </c>
      <c r="C2335" t="s">
        <v>4590</v>
      </c>
      <c r="D2335" t="s">
        <v>629</v>
      </c>
      <c r="E2335" s="248" t="s">
        <v>1951</v>
      </c>
      <c r="F2335" t="s">
        <v>620</v>
      </c>
      <c r="G2335" s="89">
        <v>2022</v>
      </c>
      <c r="H2335" s="312" t="s">
        <v>733</v>
      </c>
      <c r="I2335" s="308" t="str">
        <f t="shared" si="98"/>
        <v>Pesado de Passageiros M3: I : Gasóleo : E6</v>
      </c>
      <c r="J2335" s="125">
        <v>108</v>
      </c>
      <c r="K2335" s="253">
        <v>2022</v>
      </c>
      <c r="L2335" s="85">
        <v>1710.5199999999998</v>
      </c>
      <c r="M2335" s="85" t="s">
        <v>630</v>
      </c>
      <c r="N2335" s="128">
        <v>8415.375</v>
      </c>
      <c r="O2335" s="128">
        <f t="shared" si="99"/>
        <v>908860.5</v>
      </c>
      <c r="P2335" s="89">
        <v>1305</v>
      </c>
      <c r="Q2335" t="s">
        <v>47</v>
      </c>
      <c r="R2335" s="214" t="s">
        <v>1869</v>
      </c>
      <c r="S2335" s="214" t="s">
        <v>1861</v>
      </c>
      <c r="U2335" t="s">
        <v>1953</v>
      </c>
      <c r="V2335" t="s">
        <v>2813</v>
      </c>
    </row>
    <row r="2336" spans="1:22" ht="15.75" thickBot="1" x14ac:dyDescent="0.3">
      <c r="A2336" t="s">
        <v>4590</v>
      </c>
      <c r="B2336" t="s">
        <v>4590</v>
      </c>
      <c r="C2336" t="s">
        <v>4590</v>
      </c>
      <c r="D2336" t="s">
        <v>629</v>
      </c>
      <c r="E2336" s="248" t="s">
        <v>1951</v>
      </c>
      <c r="F2336" t="s">
        <v>620</v>
      </c>
      <c r="G2336" s="89">
        <v>2022</v>
      </c>
      <c r="H2336" s="312" t="s">
        <v>733</v>
      </c>
      <c r="I2336" s="308" t="str">
        <f t="shared" si="98"/>
        <v>Pesado de Passageiros M3: I : Gasóleo : E6</v>
      </c>
      <c r="J2336" s="125">
        <v>108</v>
      </c>
      <c r="K2336" s="253">
        <v>2022</v>
      </c>
      <c r="L2336" s="85">
        <v>1995.84</v>
      </c>
      <c r="M2336" s="85" t="s">
        <v>630</v>
      </c>
      <c r="N2336" s="128">
        <v>9164.375</v>
      </c>
      <c r="O2336" s="128">
        <f t="shared" si="99"/>
        <v>989752.5</v>
      </c>
      <c r="P2336" s="89">
        <v>1306</v>
      </c>
      <c r="Q2336" t="s">
        <v>47</v>
      </c>
      <c r="R2336" s="214" t="s">
        <v>1869</v>
      </c>
      <c r="S2336" s="214" t="s">
        <v>1861</v>
      </c>
      <c r="U2336" t="s">
        <v>1953</v>
      </c>
      <c r="V2336" t="s">
        <v>2813</v>
      </c>
    </row>
    <row r="2337" spans="1:22" ht="15.75" thickBot="1" x14ac:dyDescent="0.3">
      <c r="A2337" t="s">
        <v>4590</v>
      </c>
      <c r="B2337" t="s">
        <v>4590</v>
      </c>
      <c r="C2337" t="s">
        <v>4590</v>
      </c>
      <c r="D2337" t="s">
        <v>629</v>
      </c>
      <c r="E2337" s="248" t="s">
        <v>1951</v>
      </c>
      <c r="F2337" t="s">
        <v>620</v>
      </c>
      <c r="G2337" s="89">
        <v>2022</v>
      </c>
      <c r="H2337" s="312" t="s">
        <v>733</v>
      </c>
      <c r="I2337" s="308" t="str">
        <f t="shared" si="98"/>
        <v>Pesado de Passageiros M3: I : Gasóleo : E6</v>
      </c>
      <c r="J2337" s="125">
        <v>108</v>
      </c>
      <c r="K2337" s="253">
        <v>2022</v>
      </c>
      <c r="L2337" s="85">
        <v>1575.5300000000002</v>
      </c>
      <c r="M2337" s="85" t="s">
        <v>630</v>
      </c>
      <c r="N2337" s="128">
        <v>8048.375</v>
      </c>
      <c r="O2337" s="128">
        <f t="shared" si="99"/>
        <v>869224.5</v>
      </c>
      <c r="P2337" s="89">
        <v>1309</v>
      </c>
      <c r="Q2337" t="s">
        <v>47</v>
      </c>
      <c r="R2337" s="214" t="s">
        <v>1869</v>
      </c>
      <c r="S2337" s="214" t="s">
        <v>1861</v>
      </c>
      <c r="U2337" t="s">
        <v>1953</v>
      </c>
      <c r="V2337" t="s">
        <v>2813</v>
      </c>
    </row>
    <row r="2338" spans="1:22" ht="15.75" thickBot="1" x14ac:dyDescent="0.3">
      <c r="A2338" t="s">
        <v>4590</v>
      </c>
      <c r="B2338" t="s">
        <v>4590</v>
      </c>
      <c r="C2338" t="s">
        <v>4590</v>
      </c>
      <c r="D2338" t="s">
        <v>629</v>
      </c>
      <c r="E2338" s="248" t="s">
        <v>1951</v>
      </c>
      <c r="F2338" t="s">
        <v>620</v>
      </c>
      <c r="G2338" s="89">
        <v>2022</v>
      </c>
      <c r="H2338" s="312" t="s">
        <v>733</v>
      </c>
      <c r="I2338" s="308" t="str">
        <f t="shared" si="98"/>
        <v>Pesado de Passageiros M3: I : Gasóleo : E6</v>
      </c>
      <c r="J2338" s="125">
        <v>108</v>
      </c>
      <c r="K2338" s="253">
        <v>2022</v>
      </c>
      <c r="L2338" s="85">
        <v>1823.77</v>
      </c>
      <c r="M2338" s="85" t="s">
        <v>630</v>
      </c>
      <c r="N2338" s="128">
        <v>9037.375</v>
      </c>
      <c r="O2338" s="128">
        <f t="shared" si="99"/>
        <v>976036.5</v>
      </c>
      <c r="P2338" s="89">
        <v>1310</v>
      </c>
      <c r="Q2338" t="s">
        <v>47</v>
      </c>
      <c r="R2338" s="214" t="s">
        <v>1869</v>
      </c>
      <c r="S2338" s="214" t="s">
        <v>1861</v>
      </c>
      <c r="U2338" t="s">
        <v>1953</v>
      </c>
      <c r="V2338" t="s">
        <v>2813</v>
      </c>
    </row>
    <row r="2339" spans="1:22" ht="15.75" thickBot="1" x14ac:dyDescent="0.3">
      <c r="A2339" t="s">
        <v>4590</v>
      </c>
      <c r="B2339" t="s">
        <v>4590</v>
      </c>
      <c r="C2339" t="s">
        <v>4590</v>
      </c>
      <c r="D2339" t="s">
        <v>629</v>
      </c>
      <c r="E2339" s="248" t="s">
        <v>1951</v>
      </c>
      <c r="F2339" t="s">
        <v>620</v>
      </c>
      <c r="G2339" s="89">
        <v>2022</v>
      </c>
      <c r="H2339" s="312" t="s">
        <v>733</v>
      </c>
      <c r="I2339" s="308" t="str">
        <f t="shared" si="98"/>
        <v>Pesado de Passageiros M3: I : Gasóleo : E6</v>
      </c>
      <c r="J2339" s="125">
        <v>108</v>
      </c>
      <c r="K2339" s="253">
        <v>2022</v>
      </c>
      <c r="L2339" s="85">
        <v>1188.4100000000001</v>
      </c>
      <c r="M2339" s="85" t="s">
        <v>630</v>
      </c>
      <c r="N2339" s="128">
        <v>6511.375</v>
      </c>
      <c r="O2339" s="128">
        <f t="shared" si="99"/>
        <v>703228.5</v>
      </c>
      <c r="P2339" s="89">
        <v>1311</v>
      </c>
      <c r="Q2339" t="s">
        <v>47</v>
      </c>
      <c r="R2339" s="214" t="s">
        <v>1869</v>
      </c>
      <c r="S2339" s="214" t="s">
        <v>1861</v>
      </c>
      <c r="U2339" t="s">
        <v>1953</v>
      </c>
      <c r="V2339" t="s">
        <v>2813</v>
      </c>
    </row>
    <row r="2340" spans="1:22" ht="15.75" thickBot="1" x14ac:dyDescent="0.3">
      <c r="A2340" t="s">
        <v>4590</v>
      </c>
      <c r="B2340" t="s">
        <v>4590</v>
      </c>
      <c r="C2340" t="s">
        <v>4590</v>
      </c>
      <c r="D2340" t="s">
        <v>629</v>
      </c>
      <c r="E2340" s="248" t="s">
        <v>1951</v>
      </c>
      <c r="F2340" t="s">
        <v>620</v>
      </c>
      <c r="G2340" s="89">
        <v>2022</v>
      </c>
      <c r="H2340" s="312" t="s">
        <v>733</v>
      </c>
      <c r="I2340" s="308" t="str">
        <f t="shared" si="98"/>
        <v>Pesado de Passageiros M3: I : Gasóleo : E6</v>
      </c>
      <c r="J2340" s="125">
        <v>108</v>
      </c>
      <c r="K2340" s="253">
        <v>2022</v>
      </c>
      <c r="L2340" s="85">
        <v>1797.04</v>
      </c>
      <c r="M2340" s="85" t="s">
        <v>630</v>
      </c>
      <c r="N2340" s="128">
        <v>8017.375</v>
      </c>
      <c r="O2340" s="128">
        <f t="shared" si="99"/>
        <v>865876.5</v>
      </c>
      <c r="P2340" s="89">
        <v>1312</v>
      </c>
      <c r="Q2340" t="s">
        <v>47</v>
      </c>
      <c r="R2340" s="214" t="s">
        <v>1869</v>
      </c>
      <c r="S2340" s="214" t="s">
        <v>1861</v>
      </c>
      <c r="U2340" t="s">
        <v>1953</v>
      </c>
      <c r="V2340" t="s">
        <v>2813</v>
      </c>
    </row>
    <row r="2341" spans="1:22" ht="15.75" thickBot="1" x14ac:dyDescent="0.3">
      <c r="A2341" t="s">
        <v>4590</v>
      </c>
      <c r="B2341" t="s">
        <v>4590</v>
      </c>
      <c r="C2341" t="s">
        <v>4590</v>
      </c>
      <c r="D2341" t="s">
        <v>629</v>
      </c>
      <c r="E2341" s="248" t="s">
        <v>1951</v>
      </c>
      <c r="F2341" t="s">
        <v>620</v>
      </c>
      <c r="G2341" s="89">
        <v>2022</v>
      </c>
      <c r="H2341" s="312" t="s">
        <v>733</v>
      </c>
      <c r="I2341" s="308" t="str">
        <f t="shared" si="98"/>
        <v>Pesado de Passageiros M3: I : Gasóleo : E6</v>
      </c>
      <c r="J2341" s="125">
        <v>108</v>
      </c>
      <c r="K2341" s="253">
        <v>2022</v>
      </c>
      <c r="L2341" s="85">
        <v>1599.6699999999998</v>
      </c>
      <c r="M2341" s="85" t="s">
        <v>630</v>
      </c>
      <c r="N2341" s="128">
        <v>8431.375</v>
      </c>
      <c r="O2341" s="128">
        <f t="shared" si="99"/>
        <v>910588.5</v>
      </c>
      <c r="P2341" s="89">
        <v>1313</v>
      </c>
      <c r="Q2341" t="s">
        <v>47</v>
      </c>
      <c r="R2341" s="214" t="s">
        <v>1869</v>
      </c>
      <c r="S2341" s="214" t="s">
        <v>1861</v>
      </c>
      <c r="U2341" t="s">
        <v>1953</v>
      </c>
      <c r="V2341" t="s">
        <v>2813</v>
      </c>
    </row>
    <row r="2342" spans="1:22" ht="15.75" thickBot="1" x14ac:dyDescent="0.3">
      <c r="A2342" t="s">
        <v>4590</v>
      </c>
      <c r="B2342" t="s">
        <v>4590</v>
      </c>
      <c r="C2342" t="s">
        <v>4590</v>
      </c>
      <c r="D2342" t="s">
        <v>629</v>
      </c>
      <c r="E2342" s="248" t="s">
        <v>1951</v>
      </c>
      <c r="F2342" t="s">
        <v>620</v>
      </c>
      <c r="G2342" s="89">
        <v>2022</v>
      </c>
      <c r="H2342" s="312" t="s">
        <v>733</v>
      </c>
      <c r="I2342" s="308" t="str">
        <f t="shared" si="98"/>
        <v>Pesado de Passageiros M3: I : Gasóleo : E6</v>
      </c>
      <c r="J2342" s="125">
        <v>108</v>
      </c>
      <c r="K2342" s="253">
        <v>2022</v>
      </c>
      <c r="L2342" s="85">
        <v>1509.58</v>
      </c>
      <c r="M2342" s="85" t="s">
        <v>630</v>
      </c>
      <c r="N2342" s="128">
        <v>7387.375</v>
      </c>
      <c r="O2342" s="128">
        <f t="shared" si="99"/>
        <v>797836.5</v>
      </c>
      <c r="P2342" s="89">
        <v>1314</v>
      </c>
      <c r="Q2342" t="s">
        <v>47</v>
      </c>
      <c r="R2342" s="214" t="s">
        <v>1869</v>
      </c>
      <c r="S2342" s="214" t="s">
        <v>1861</v>
      </c>
      <c r="U2342" t="s">
        <v>1953</v>
      </c>
      <c r="V2342" t="s">
        <v>2813</v>
      </c>
    </row>
    <row r="2343" spans="1:22" ht="15.75" thickBot="1" x14ac:dyDescent="0.3">
      <c r="A2343" t="s">
        <v>4590</v>
      </c>
      <c r="B2343" t="s">
        <v>4590</v>
      </c>
      <c r="C2343" t="s">
        <v>4590</v>
      </c>
      <c r="D2343" t="s">
        <v>629</v>
      </c>
      <c r="E2343" s="248" t="s">
        <v>1951</v>
      </c>
      <c r="F2343" t="s">
        <v>620</v>
      </c>
      <c r="G2343" s="89">
        <v>2022</v>
      </c>
      <c r="H2343" s="312" t="s">
        <v>733</v>
      </c>
      <c r="I2343" s="308" t="str">
        <f t="shared" si="98"/>
        <v>Pesado de Passageiros M3: I : Gasóleo : E6</v>
      </c>
      <c r="J2343" s="125">
        <v>108</v>
      </c>
      <c r="K2343" s="253">
        <v>2022</v>
      </c>
      <c r="L2343" s="85">
        <v>1715.6099999999997</v>
      </c>
      <c r="M2343" s="85" t="s">
        <v>630</v>
      </c>
      <c r="N2343" s="128">
        <v>8744.375</v>
      </c>
      <c r="O2343" s="128">
        <f t="shared" si="99"/>
        <v>944392.5</v>
      </c>
      <c r="P2343" s="89">
        <v>1364</v>
      </c>
      <c r="Q2343" t="s">
        <v>47</v>
      </c>
      <c r="R2343" s="214" t="s">
        <v>1869</v>
      </c>
      <c r="S2343" s="214" t="s">
        <v>1861</v>
      </c>
      <c r="U2343" t="s">
        <v>1953</v>
      </c>
      <c r="V2343" t="s">
        <v>2813</v>
      </c>
    </row>
    <row r="2344" spans="1:22" ht="15.75" thickBot="1" x14ac:dyDescent="0.3">
      <c r="A2344" t="s">
        <v>4590</v>
      </c>
      <c r="B2344" t="s">
        <v>4590</v>
      </c>
      <c r="C2344" t="s">
        <v>4590</v>
      </c>
      <c r="D2344" t="s">
        <v>629</v>
      </c>
      <c r="E2344" s="248" t="s">
        <v>1951</v>
      </c>
      <c r="F2344" t="s">
        <v>620</v>
      </c>
      <c r="G2344" s="89">
        <v>2022</v>
      </c>
      <c r="H2344" s="312" t="s">
        <v>733</v>
      </c>
      <c r="I2344" s="308" t="str">
        <f t="shared" si="98"/>
        <v>Pesado de Passageiros M3: I : Gasóleo : E6</v>
      </c>
      <c r="J2344" s="125">
        <v>108</v>
      </c>
      <c r="K2344" s="253">
        <v>2022</v>
      </c>
      <c r="L2344" s="85">
        <v>1688.24</v>
      </c>
      <c r="M2344" s="85" t="s">
        <v>630</v>
      </c>
      <c r="N2344" s="128">
        <v>8670.375</v>
      </c>
      <c r="O2344" s="128">
        <f t="shared" si="99"/>
        <v>936400.5</v>
      </c>
      <c r="P2344" s="89">
        <v>1368</v>
      </c>
      <c r="Q2344" t="s">
        <v>47</v>
      </c>
      <c r="R2344" s="214" t="s">
        <v>1869</v>
      </c>
      <c r="S2344" s="214" t="s">
        <v>1861</v>
      </c>
      <c r="U2344" t="s">
        <v>1953</v>
      </c>
      <c r="V2344" t="s">
        <v>2813</v>
      </c>
    </row>
    <row r="2345" spans="1:22" ht="15.75" thickBot="1" x14ac:dyDescent="0.3">
      <c r="A2345" t="s">
        <v>4590</v>
      </c>
      <c r="B2345" t="s">
        <v>4590</v>
      </c>
      <c r="C2345" t="s">
        <v>4590</v>
      </c>
      <c r="D2345" t="s">
        <v>629</v>
      </c>
      <c r="E2345" s="248" t="s">
        <v>1951</v>
      </c>
      <c r="F2345" t="s">
        <v>620</v>
      </c>
      <c r="G2345" s="89">
        <v>2022</v>
      </c>
      <c r="H2345" s="312" t="s">
        <v>733</v>
      </c>
      <c r="I2345" s="308" t="str">
        <f t="shared" si="98"/>
        <v>Pesado de Passageiros M3: I : Gasóleo : E6</v>
      </c>
      <c r="J2345" s="125">
        <v>108</v>
      </c>
      <c r="K2345" s="253">
        <v>2022</v>
      </c>
      <c r="L2345" s="85">
        <v>1590.54</v>
      </c>
      <c r="M2345" s="85" t="s">
        <v>630</v>
      </c>
      <c r="N2345" s="128">
        <v>8405.375</v>
      </c>
      <c r="O2345" s="128">
        <f t="shared" si="99"/>
        <v>907780.5</v>
      </c>
      <c r="P2345" s="89">
        <v>1369</v>
      </c>
      <c r="Q2345" t="s">
        <v>47</v>
      </c>
      <c r="R2345" s="214" t="s">
        <v>1869</v>
      </c>
      <c r="S2345" s="214" t="s">
        <v>1861</v>
      </c>
      <c r="U2345" t="s">
        <v>1953</v>
      </c>
      <c r="V2345" t="s">
        <v>2813</v>
      </c>
    </row>
    <row r="2346" spans="1:22" ht="15.75" thickBot="1" x14ac:dyDescent="0.3">
      <c r="A2346" t="s">
        <v>4590</v>
      </c>
      <c r="B2346" t="s">
        <v>4590</v>
      </c>
      <c r="C2346" t="s">
        <v>4590</v>
      </c>
      <c r="D2346" t="s">
        <v>629</v>
      </c>
      <c r="E2346" s="248" t="s">
        <v>1951</v>
      </c>
      <c r="F2346" t="s">
        <v>620</v>
      </c>
      <c r="G2346" s="89">
        <v>2022</v>
      </c>
      <c r="H2346" s="312" t="s">
        <v>733</v>
      </c>
      <c r="I2346" s="308" t="str">
        <f t="shared" si="98"/>
        <v>Pesado de Passageiros M3: I : Gasóleo : E6</v>
      </c>
      <c r="J2346" s="125">
        <v>108</v>
      </c>
      <c r="K2346" s="253">
        <v>2022</v>
      </c>
      <c r="L2346" s="85">
        <v>1849.6</v>
      </c>
      <c r="M2346" s="85" t="s">
        <v>630</v>
      </c>
      <c r="N2346" s="128">
        <v>9106.375</v>
      </c>
      <c r="O2346" s="128">
        <f t="shared" si="99"/>
        <v>983488.5</v>
      </c>
      <c r="P2346" s="89">
        <v>1379</v>
      </c>
      <c r="Q2346" t="s">
        <v>47</v>
      </c>
      <c r="R2346" s="214" t="s">
        <v>1869</v>
      </c>
      <c r="S2346" s="214" t="s">
        <v>1861</v>
      </c>
      <c r="U2346" t="s">
        <v>1953</v>
      </c>
      <c r="V2346" t="s">
        <v>2813</v>
      </c>
    </row>
    <row r="2347" spans="1:22" ht="15.75" thickBot="1" x14ac:dyDescent="0.3">
      <c r="A2347" t="s">
        <v>4590</v>
      </c>
      <c r="B2347" t="s">
        <v>4590</v>
      </c>
      <c r="C2347" t="s">
        <v>4590</v>
      </c>
      <c r="D2347" t="s">
        <v>629</v>
      </c>
      <c r="E2347" s="248" t="s">
        <v>1951</v>
      </c>
      <c r="F2347" t="s">
        <v>620</v>
      </c>
      <c r="G2347" s="89">
        <v>2022</v>
      </c>
      <c r="H2347" s="312" t="s">
        <v>733</v>
      </c>
      <c r="I2347" s="308" t="str">
        <f t="shared" si="98"/>
        <v>Pesado de Passageiros M3: I : Gasóleo : E6</v>
      </c>
      <c r="J2347" s="125">
        <v>108</v>
      </c>
      <c r="K2347" s="253">
        <v>2022</v>
      </c>
      <c r="L2347" s="85">
        <v>208.4</v>
      </c>
      <c r="M2347" s="85" t="s">
        <v>630</v>
      </c>
      <c r="N2347" s="128">
        <v>4671.375</v>
      </c>
      <c r="O2347" s="128">
        <f t="shared" si="99"/>
        <v>504508.5</v>
      </c>
      <c r="P2347" s="89">
        <v>1409</v>
      </c>
      <c r="Q2347" t="s">
        <v>47</v>
      </c>
      <c r="R2347" s="214" t="s">
        <v>1869</v>
      </c>
      <c r="S2347" s="214" t="s">
        <v>1861</v>
      </c>
      <c r="U2347" t="s">
        <v>1953</v>
      </c>
      <c r="V2347" t="s">
        <v>2813</v>
      </c>
    </row>
    <row r="2348" spans="1:22" ht="15.75" thickBot="1" x14ac:dyDescent="0.3">
      <c r="A2348" t="s">
        <v>4590</v>
      </c>
      <c r="B2348" t="s">
        <v>4590</v>
      </c>
      <c r="C2348" t="s">
        <v>4590</v>
      </c>
      <c r="D2348" t="s">
        <v>629</v>
      </c>
      <c r="E2348" s="248" t="s">
        <v>1951</v>
      </c>
      <c r="F2348" t="s">
        <v>620</v>
      </c>
      <c r="G2348" s="89">
        <v>1998</v>
      </c>
      <c r="H2348" s="312" t="s">
        <v>735</v>
      </c>
      <c r="I2348" s="308" t="str">
        <f t="shared" si="98"/>
        <v>Pesado de Passageiros M3: I : Gasóleo : E2</v>
      </c>
      <c r="J2348" s="125">
        <v>72</v>
      </c>
      <c r="K2348" s="253">
        <v>2022</v>
      </c>
      <c r="L2348" s="85">
        <v>14855.309999999996</v>
      </c>
      <c r="M2348" s="85" t="s">
        <v>630</v>
      </c>
      <c r="N2348" s="128">
        <v>35691.375</v>
      </c>
      <c r="O2348" s="128">
        <f t="shared" si="99"/>
        <v>2569779</v>
      </c>
      <c r="P2348" s="89">
        <v>220</v>
      </c>
      <c r="Q2348" t="s">
        <v>47</v>
      </c>
      <c r="R2348" s="214" t="s">
        <v>1869</v>
      </c>
      <c r="S2348" s="214" t="s">
        <v>1861</v>
      </c>
      <c r="U2348" t="s">
        <v>1953</v>
      </c>
      <c r="V2348" t="s">
        <v>2813</v>
      </c>
    </row>
    <row r="2349" spans="1:22" ht="15.75" thickBot="1" x14ac:dyDescent="0.3">
      <c r="A2349" t="s">
        <v>4590</v>
      </c>
      <c r="B2349" t="s">
        <v>4590</v>
      </c>
      <c r="C2349" t="s">
        <v>4590</v>
      </c>
      <c r="D2349" t="s">
        <v>629</v>
      </c>
      <c r="E2349" s="248" t="s">
        <v>1951</v>
      </c>
      <c r="F2349" t="s">
        <v>620</v>
      </c>
      <c r="G2349" s="89">
        <v>1998</v>
      </c>
      <c r="H2349" s="312" t="s">
        <v>735</v>
      </c>
      <c r="I2349" s="308" t="str">
        <f t="shared" si="98"/>
        <v>Pesado de Passageiros M3: I : Gasóleo : E2</v>
      </c>
      <c r="J2349" s="125">
        <v>72</v>
      </c>
      <c r="K2349" s="253">
        <v>2022</v>
      </c>
      <c r="L2349" s="85">
        <v>30763.05</v>
      </c>
      <c r="M2349" s="85" t="s">
        <v>630</v>
      </c>
      <c r="N2349" s="128">
        <v>65731.375</v>
      </c>
      <c r="O2349" s="128">
        <f t="shared" si="99"/>
        <v>4732659</v>
      </c>
      <c r="P2349" s="89">
        <v>221</v>
      </c>
      <c r="Q2349" t="s">
        <v>47</v>
      </c>
      <c r="R2349" s="214" t="s">
        <v>1869</v>
      </c>
      <c r="S2349" s="214" t="s">
        <v>1861</v>
      </c>
      <c r="U2349" t="s">
        <v>1953</v>
      </c>
      <c r="V2349" t="s">
        <v>2813</v>
      </c>
    </row>
    <row r="2350" spans="1:22" ht="15.75" thickBot="1" x14ac:dyDescent="0.3">
      <c r="A2350" t="s">
        <v>4590</v>
      </c>
      <c r="B2350" t="s">
        <v>4590</v>
      </c>
      <c r="C2350" t="s">
        <v>4590</v>
      </c>
      <c r="D2350" t="s">
        <v>629</v>
      </c>
      <c r="E2350" s="248" t="s">
        <v>1951</v>
      </c>
      <c r="F2350" t="s">
        <v>620</v>
      </c>
      <c r="G2350" s="89">
        <v>1998</v>
      </c>
      <c r="H2350" s="312" t="s">
        <v>735</v>
      </c>
      <c r="I2350" s="308" t="str">
        <f t="shared" si="98"/>
        <v>Pesado de Passageiros M3: I : Gasóleo : E2</v>
      </c>
      <c r="J2350" s="125">
        <v>72</v>
      </c>
      <c r="K2350" s="253">
        <v>2022</v>
      </c>
      <c r="L2350" s="85">
        <v>20617.149999999998</v>
      </c>
      <c r="M2350" s="85" t="s">
        <v>630</v>
      </c>
      <c r="N2350" s="128">
        <v>45342.394999999997</v>
      </c>
      <c r="O2350" s="128">
        <f t="shared" si="99"/>
        <v>3264652.44</v>
      </c>
      <c r="P2350" s="89">
        <v>222</v>
      </c>
      <c r="Q2350" t="s">
        <v>47</v>
      </c>
      <c r="R2350" s="214" t="s">
        <v>1869</v>
      </c>
      <c r="S2350" s="214" t="s">
        <v>1861</v>
      </c>
      <c r="U2350" t="s">
        <v>1953</v>
      </c>
      <c r="V2350" t="s">
        <v>2813</v>
      </c>
    </row>
    <row r="2351" spans="1:22" ht="15.75" thickBot="1" x14ac:dyDescent="0.3">
      <c r="A2351" t="s">
        <v>4590</v>
      </c>
      <c r="B2351" t="s">
        <v>4590</v>
      </c>
      <c r="C2351" t="s">
        <v>4590</v>
      </c>
      <c r="D2351" t="s">
        <v>629</v>
      </c>
      <c r="E2351" s="248" t="s">
        <v>1951</v>
      </c>
      <c r="F2351" t="s">
        <v>620</v>
      </c>
      <c r="G2351" s="89">
        <v>1998</v>
      </c>
      <c r="H2351" s="312" t="s">
        <v>735</v>
      </c>
      <c r="I2351" s="308" t="str">
        <f t="shared" si="98"/>
        <v>Pesado de Passageiros M3: I : Gasóleo : E2</v>
      </c>
      <c r="J2351" s="125">
        <v>72</v>
      </c>
      <c r="K2351" s="253">
        <v>2022</v>
      </c>
      <c r="L2351" s="85">
        <v>23831.889999999996</v>
      </c>
      <c r="M2351" s="85" t="s">
        <v>630</v>
      </c>
      <c r="N2351" s="128">
        <v>53272.375</v>
      </c>
      <c r="O2351" s="128">
        <f t="shared" si="99"/>
        <v>3835611</v>
      </c>
      <c r="P2351" s="89">
        <v>224</v>
      </c>
      <c r="Q2351" t="s">
        <v>47</v>
      </c>
      <c r="R2351" s="214" t="s">
        <v>1869</v>
      </c>
      <c r="S2351" s="214" t="s">
        <v>1861</v>
      </c>
      <c r="U2351" t="s">
        <v>1953</v>
      </c>
      <c r="V2351" t="s">
        <v>2813</v>
      </c>
    </row>
    <row r="2352" spans="1:22" ht="15.75" thickBot="1" x14ac:dyDescent="0.3">
      <c r="A2352" t="s">
        <v>4590</v>
      </c>
      <c r="B2352" t="s">
        <v>4590</v>
      </c>
      <c r="C2352" t="s">
        <v>4590</v>
      </c>
      <c r="D2352" t="s">
        <v>629</v>
      </c>
      <c r="E2352" s="248" t="s">
        <v>1951</v>
      </c>
      <c r="F2352" t="s">
        <v>620</v>
      </c>
      <c r="G2352" s="89">
        <v>1998</v>
      </c>
      <c r="H2352" s="312" t="s">
        <v>735</v>
      </c>
      <c r="I2352" s="308" t="str">
        <f t="shared" si="98"/>
        <v>Pesado de Passageiros M3: I : Gasóleo : E2</v>
      </c>
      <c r="J2352" s="125">
        <v>72</v>
      </c>
      <c r="K2352" s="253">
        <v>2022</v>
      </c>
      <c r="L2352" s="85">
        <v>29021.119999999988</v>
      </c>
      <c r="M2352" s="85" t="s">
        <v>630</v>
      </c>
      <c r="N2352" s="128">
        <v>52163.375</v>
      </c>
      <c r="O2352" s="128">
        <f t="shared" si="99"/>
        <v>3755763</v>
      </c>
      <c r="P2352" s="89">
        <v>226</v>
      </c>
      <c r="Q2352" t="s">
        <v>47</v>
      </c>
      <c r="R2352" s="214" t="s">
        <v>1869</v>
      </c>
      <c r="S2352" s="214" t="s">
        <v>1861</v>
      </c>
      <c r="U2352" t="s">
        <v>1953</v>
      </c>
      <c r="V2352" t="s">
        <v>2813</v>
      </c>
    </row>
    <row r="2353" spans="1:22" ht="15.75" thickBot="1" x14ac:dyDescent="0.3">
      <c r="A2353" t="s">
        <v>4590</v>
      </c>
      <c r="B2353" t="s">
        <v>4590</v>
      </c>
      <c r="C2353" t="s">
        <v>4590</v>
      </c>
      <c r="D2353" t="s">
        <v>629</v>
      </c>
      <c r="E2353" s="248" t="s">
        <v>1951</v>
      </c>
      <c r="F2353" t="s">
        <v>620</v>
      </c>
      <c r="G2353" s="89">
        <v>1998</v>
      </c>
      <c r="H2353" s="312" t="s">
        <v>735</v>
      </c>
      <c r="I2353" s="308" t="str">
        <f t="shared" si="98"/>
        <v>Pesado de Passageiros M3: I : Gasóleo : E2</v>
      </c>
      <c r="J2353" s="125">
        <v>72</v>
      </c>
      <c r="K2353" s="253">
        <v>2022</v>
      </c>
      <c r="L2353" s="85">
        <v>21017.190000000006</v>
      </c>
      <c r="M2353" s="85" t="s">
        <v>630</v>
      </c>
      <c r="N2353" s="128">
        <v>47589.375</v>
      </c>
      <c r="O2353" s="128">
        <f t="shared" si="99"/>
        <v>3426435</v>
      </c>
      <c r="P2353" s="89">
        <v>227</v>
      </c>
      <c r="Q2353" t="s">
        <v>47</v>
      </c>
      <c r="R2353" s="214" t="s">
        <v>1869</v>
      </c>
      <c r="S2353" s="214" t="s">
        <v>1861</v>
      </c>
      <c r="U2353" t="s">
        <v>1953</v>
      </c>
      <c r="V2353" t="s">
        <v>2813</v>
      </c>
    </row>
    <row r="2354" spans="1:22" ht="15.75" thickBot="1" x14ac:dyDescent="0.3">
      <c r="A2354" t="s">
        <v>4590</v>
      </c>
      <c r="B2354" t="s">
        <v>4590</v>
      </c>
      <c r="C2354" t="s">
        <v>4590</v>
      </c>
      <c r="D2354" t="s">
        <v>629</v>
      </c>
      <c r="E2354" s="248" t="s">
        <v>1951</v>
      </c>
      <c r="F2354" t="s">
        <v>620</v>
      </c>
      <c r="G2354" s="89">
        <v>1998</v>
      </c>
      <c r="H2354" s="312" t="s">
        <v>735</v>
      </c>
      <c r="I2354" s="308" t="str">
        <f t="shared" si="98"/>
        <v>Pesado de Passageiros M3: I : Gasóleo : E2</v>
      </c>
      <c r="J2354" s="125">
        <v>72</v>
      </c>
      <c r="K2354" s="253">
        <v>2022</v>
      </c>
      <c r="L2354" s="85">
        <v>31525.179999999997</v>
      </c>
      <c r="M2354" s="85" t="s">
        <v>630</v>
      </c>
      <c r="N2354" s="128">
        <v>64387.375</v>
      </c>
      <c r="O2354" s="128">
        <f t="shared" si="99"/>
        <v>4635891</v>
      </c>
      <c r="P2354" s="89">
        <v>230</v>
      </c>
      <c r="Q2354" t="s">
        <v>47</v>
      </c>
      <c r="R2354" s="214" t="s">
        <v>1869</v>
      </c>
      <c r="S2354" s="214" t="s">
        <v>1861</v>
      </c>
      <c r="U2354" t="s">
        <v>1953</v>
      </c>
      <c r="V2354" t="s">
        <v>2813</v>
      </c>
    </row>
    <row r="2355" spans="1:22" ht="15.75" thickBot="1" x14ac:dyDescent="0.3">
      <c r="A2355" t="s">
        <v>4590</v>
      </c>
      <c r="B2355" t="s">
        <v>4590</v>
      </c>
      <c r="C2355" t="s">
        <v>4590</v>
      </c>
      <c r="D2355" t="s">
        <v>629</v>
      </c>
      <c r="E2355" s="248" t="s">
        <v>1951</v>
      </c>
      <c r="F2355" t="s">
        <v>620</v>
      </c>
      <c r="G2355" s="89">
        <v>1998</v>
      </c>
      <c r="H2355" s="312" t="s">
        <v>735</v>
      </c>
      <c r="I2355" s="308" t="str">
        <f t="shared" si="98"/>
        <v>Pesado de Passageiros M3: I : Gasóleo : E2</v>
      </c>
      <c r="J2355" s="125">
        <v>72</v>
      </c>
      <c r="K2355" s="253">
        <v>2022</v>
      </c>
      <c r="L2355" s="85">
        <v>33913.480000000003</v>
      </c>
      <c r="M2355" s="85" t="s">
        <v>630</v>
      </c>
      <c r="N2355" s="128">
        <v>65434.796338155662</v>
      </c>
      <c r="O2355" s="128">
        <f t="shared" si="99"/>
        <v>4711305.3363472074</v>
      </c>
      <c r="P2355" s="89">
        <v>231</v>
      </c>
      <c r="Q2355" t="s">
        <v>47</v>
      </c>
      <c r="R2355" s="214" t="s">
        <v>1869</v>
      </c>
      <c r="S2355" s="214" t="s">
        <v>1861</v>
      </c>
      <c r="U2355" t="s">
        <v>1953</v>
      </c>
      <c r="V2355" t="s">
        <v>2813</v>
      </c>
    </row>
    <row r="2356" spans="1:22" ht="15.75" thickBot="1" x14ac:dyDescent="0.3">
      <c r="A2356" t="s">
        <v>4590</v>
      </c>
      <c r="B2356" t="s">
        <v>4590</v>
      </c>
      <c r="C2356" t="s">
        <v>4590</v>
      </c>
      <c r="D2356" t="s">
        <v>629</v>
      </c>
      <c r="E2356" s="248" t="s">
        <v>1951</v>
      </c>
      <c r="F2356" t="s">
        <v>620</v>
      </c>
      <c r="G2356" s="89">
        <v>1998</v>
      </c>
      <c r="H2356" s="312" t="s">
        <v>735</v>
      </c>
      <c r="I2356" s="308" t="str">
        <f t="shared" si="98"/>
        <v>Pesado de Passageiros M3: I : Gasóleo : E2</v>
      </c>
      <c r="J2356" s="125">
        <v>72</v>
      </c>
      <c r="K2356" s="253">
        <v>2022</v>
      </c>
      <c r="L2356" s="85">
        <v>27824.969999999961</v>
      </c>
      <c r="M2356" s="85" t="s">
        <v>630</v>
      </c>
      <c r="N2356" s="128">
        <v>55515.375</v>
      </c>
      <c r="O2356" s="128">
        <f t="shared" si="99"/>
        <v>3997107</v>
      </c>
      <c r="P2356" s="89">
        <v>232</v>
      </c>
      <c r="Q2356" t="s">
        <v>47</v>
      </c>
      <c r="R2356" s="214" t="s">
        <v>1869</v>
      </c>
      <c r="S2356" s="214" t="s">
        <v>1861</v>
      </c>
      <c r="U2356" t="s">
        <v>1953</v>
      </c>
      <c r="V2356" t="s">
        <v>2813</v>
      </c>
    </row>
    <row r="2357" spans="1:22" ht="15.75" thickBot="1" x14ac:dyDescent="0.3">
      <c r="A2357" t="s">
        <v>4590</v>
      </c>
      <c r="B2357" t="s">
        <v>4590</v>
      </c>
      <c r="C2357" t="s">
        <v>4590</v>
      </c>
      <c r="D2357" t="s">
        <v>629</v>
      </c>
      <c r="E2357" s="248" t="s">
        <v>1951</v>
      </c>
      <c r="F2357" t="s">
        <v>620</v>
      </c>
      <c r="G2357" s="89">
        <v>1998</v>
      </c>
      <c r="H2357" s="312" t="s">
        <v>735</v>
      </c>
      <c r="I2357" s="308" t="str">
        <f t="shared" si="98"/>
        <v>Pesado de Passageiros M3: I : Gasóleo : E2</v>
      </c>
      <c r="J2357" s="125">
        <v>72</v>
      </c>
      <c r="K2357" s="253">
        <v>2022</v>
      </c>
      <c r="L2357" s="85">
        <v>30734.170000000016</v>
      </c>
      <c r="M2357" s="85" t="s">
        <v>630</v>
      </c>
      <c r="N2357" s="128">
        <v>68214.375</v>
      </c>
      <c r="O2357" s="128">
        <f t="shared" si="99"/>
        <v>4911435</v>
      </c>
      <c r="P2357" s="89">
        <v>234</v>
      </c>
      <c r="Q2357" t="s">
        <v>47</v>
      </c>
      <c r="R2357" s="214" t="s">
        <v>1869</v>
      </c>
      <c r="S2357" s="214" t="s">
        <v>1861</v>
      </c>
      <c r="U2357" t="s">
        <v>1953</v>
      </c>
      <c r="V2357" t="s">
        <v>2813</v>
      </c>
    </row>
    <row r="2358" spans="1:22" ht="15.75" thickBot="1" x14ac:dyDescent="0.3">
      <c r="A2358" t="s">
        <v>4590</v>
      </c>
      <c r="B2358" t="s">
        <v>4590</v>
      </c>
      <c r="C2358" t="s">
        <v>4590</v>
      </c>
      <c r="D2358" t="s">
        <v>629</v>
      </c>
      <c r="E2358" s="248" t="s">
        <v>1951</v>
      </c>
      <c r="F2358" t="s">
        <v>620</v>
      </c>
      <c r="G2358" s="89">
        <v>1998</v>
      </c>
      <c r="H2358" s="312" t="s">
        <v>735</v>
      </c>
      <c r="I2358" s="308" t="str">
        <f t="shared" si="98"/>
        <v>Pesado de Passageiros M3: I : Gasóleo : E2</v>
      </c>
      <c r="J2358" s="125">
        <v>72</v>
      </c>
      <c r="K2358" s="253">
        <v>2022</v>
      </c>
      <c r="L2358" s="85">
        <v>22517.599999999995</v>
      </c>
      <c r="M2358" s="85" t="s">
        <v>630</v>
      </c>
      <c r="N2358" s="128">
        <v>50513.375</v>
      </c>
      <c r="O2358" s="128">
        <f t="shared" si="99"/>
        <v>3636963</v>
      </c>
      <c r="P2358" s="89">
        <v>236</v>
      </c>
      <c r="Q2358" t="s">
        <v>47</v>
      </c>
      <c r="R2358" s="214" t="s">
        <v>1869</v>
      </c>
      <c r="S2358" s="214" t="s">
        <v>1861</v>
      </c>
      <c r="U2358" t="s">
        <v>1953</v>
      </c>
      <c r="V2358" t="s">
        <v>2813</v>
      </c>
    </row>
    <row r="2359" spans="1:22" ht="15.75" thickBot="1" x14ac:dyDescent="0.3">
      <c r="A2359" t="s">
        <v>4590</v>
      </c>
      <c r="B2359" t="s">
        <v>4590</v>
      </c>
      <c r="C2359" t="s">
        <v>4590</v>
      </c>
      <c r="D2359" t="s">
        <v>629</v>
      </c>
      <c r="E2359" s="248" t="s">
        <v>1951</v>
      </c>
      <c r="F2359" t="s">
        <v>620</v>
      </c>
      <c r="G2359" s="89">
        <v>1998</v>
      </c>
      <c r="H2359" s="312" t="s">
        <v>735</v>
      </c>
      <c r="I2359" s="308" t="str">
        <f t="shared" si="98"/>
        <v>Pesado de Passageiros M3: I : Gasóleo : E2</v>
      </c>
      <c r="J2359" s="125">
        <v>72</v>
      </c>
      <c r="K2359" s="253">
        <v>2022</v>
      </c>
      <c r="L2359" s="85">
        <v>14401.349999999995</v>
      </c>
      <c r="M2359" s="85" t="s">
        <v>630</v>
      </c>
      <c r="N2359" s="128">
        <v>32354.375</v>
      </c>
      <c r="O2359" s="128">
        <f t="shared" si="99"/>
        <v>2329515</v>
      </c>
      <c r="P2359" s="89">
        <v>237</v>
      </c>
      <c r="Q2359" t="s">
        <v>47</v>
      </c>
      <c r="R2359" s="214" t="s">
        <v>1869</v>
      </c>
      <c r="S2359" s="214" t="s">
        <v>1861</v>
      </c>
      <c r="U2359" t="s">
        <v>1953</v>
      </c>
      <c r="V2359" t="s">
        <v>2813</v>
      </c>
    </row>
    <row r="2360" spans="1:22" ht="15.75" thickBot="1" x14ac:dyDescent="0.3">
      <c r="A2360" t="s">
        <v>4590</v>
      </c>
      <c r="B2360" t="s">
        <v>4590</v>
      </c>
      <c r="C2360" t="s">
        <v>4590</v>
      </c>
      <c r="D2360" t="s">
        <v>629</v>
      </c>
      <c r="E2360" s="248" t="s">
        <v>1951</v>
      </c>
      <c r="F2360" t="s">
        <v>620</v>
      </c>
      <c r="G2360" s="89">
        <v>1998</v>
      </c>
      <c r="H2360" s="312" t="s">
        <v>735</v>
      </c>
      <c r="I2360" s="308" t="str">
        <f t="shared" si="98"/>
        <v>Pesado de Passageiros M3: I : Gasóleo : E2</v>
      </c>
      <c r="J2360" s="125">
        <v>72</v>
      </c>
      <c r="K2360" s="253">
        <v>2022</v>
      </c>
      <c r="L2360" s="85">
        <v>7835.1400000000021</v>
      </c>
      <c r="M2360" s="85" t="s">
        <v>630</v>
      </c>
      <c r="N2360" s="128">
        <v>19891.375</v>
      </c>
      <c r="O2360" s="128">
        <f t="shared" si="99"/>
        <v>1432179</v>
      </c>
      <c r="P2360" s="89">
        <v>238</v>
      </c>
      <c r="Q2360" t="s">
        <v>47</v>
      </c>
      <c r="R2360" s="214" t="s">
        <v>1869</v>
      </c>
      <c r="S2360" s="214" t="s">
        <v>1861</v>
      </c>
      <c r="U2360" t="s">
        <v>1953</v>
      </c>
      <c r="V2360" t="s">
        <v>2813</v>
      </c>
    </row>
    <row r="2361" spans="1:22" ht="15.75" thickBot="1" x14ac:dyDescent="0.3">
      <c r="A2361" t="s">
        <v>4590</v>
      </c>
      <c r="B2361" t="s">
        <v>4590</v>
      </c>
      <c r="C2361" t="s">
        <v>4590</v>
      </c>
      <c r="D2361" t="s">
        <v>629</v>
      </c>
      <c r="E2361" s="248" t="s">
        <v>1951</v>
      </c>
      <c r="F2361" t="s">
        <v>620</v>
      </c>
      <c r="G2361" s="89">
        <v>1999</v>
      </c>
      <c r="H2361" s="312" t="s">
        <v>735</v>
      </c>
      <c r="I2361" s="308" t="str">
        <f t="shared" si="98"/>
        <v>Pesado de Passageiros M3: I : Gasóleo : E2</v>
      </c>
      <c r="J2361" s="125">
        <v>72</v>
      </c>
      <c r="K2361" s="253">
        <v>2022</v>
      </c>
      <c r="L2361" s="85">
        <v>27344.37</v>
      </c>
      <c r="M2361" s="85" t="s">
        <v>630</v>
      </c>
      <c r="N2361" s="128">
        <v>54746.319444445253</v>
      </c>
      <c r="O2361" s="128">
        <f t="shared" si="99"/>
        <v>3941735.0000000582</v>
      </c>
      <c r="P2361" s="89">
        <v>247</v>
      </c>
      <c r="Q2361" t="s">
        <v>47</v>
      </c>
      <c r="R2361" s="214" t="s">
        <v>1869</v>
      </c>
      <c r="S2361" s="214" t="s">
        <v>1861</v>
      </c>
      <c r="U2361" t="s">
        <v>1953</v>
      </c>
      <c r="V2361" t="s">
        <v>2813</v>
      </c>
    </row>
    <row r="2362" spans="1:22" ht="15.75" thickBot="1" x14ac:dyDescent="0.3">
      <c r="A2362" t="s">
        <v>4590</v>
      </c>
      <c r="B2362" t="s">
        <v>4590</v>
      </c>
      <c r="C2362" t="s">
        <v>4590</v>
      </c>
      <c r="D2362" t="s">
        <v>629</v>
      </c>
      <c r="E2362" s="248" t="s">
        <v>1951</v>
      </c>
      <c r="F2362" t="s">
        <v>620</v>
      </c>
      <c r="G2362" s="89">
        <v>2000</v>
      </c>
      <c r="H2362" s="312" t="s">
        <v>735</v>
      </c>
      <c r="I2362" s="308" t="str">
        <f t="shared" si="98"/>
        <v>Pesado de Passageiros M3: I : Gasóleo : E2</v>
      </c>
      <c r="J2362" s="125">
        <v>72</v>
      </c>
      <c r="K2362" s="253">
        <v>2022</v>
      </c>
      <c r="L2362" s="85">
        <v>26576.649999999991</v>
      </c>
      <c r="M2362" s="85" t="s">
        <v>630</v>
      </c>
      <c r="N2362" s="128">
        <v>57464.15500000061</v>
      </c>
      <c r="O2362" s="128">
        <f t="shared" si="99"/>
        <v>4137419.1600000439</v>
      </c>
      <c r="P2362" s="89">
        <v>250</v>
      </c>
      <c r="Q2362" t="s">
        <v>47</v>
      </c>
      <c r="R2362" s="214" t="s">
        <v>1869</v>
      </c>
      <c r="S2362" s="214" t="s">
        <v>1861</v>
      </c>
      <c r="U2362" t="s">
        <v>1953</v>
      </c>
      <c r="V2362" t="s">
        <v>2813</v>
      </c>
    </row>
    <row r="2363" spans="1:22" ht="15.75" thickBot="1" x14ac:dyDescent="0.3">
      <c r="A2363" t="s">
        <v>4590</v>
      </c>
      <c r="B2363" t="s">
        <v>4590</v>
      </c>
      <c r="C2363" t="s">
        <v>4590</v>
      </c>
      <c r="D2363" t="s">
        <v>629</v>
      </c>
      <c r="E2363" s="248" t="s">
        <v>1951</v>
      </c>
      <c r="F2363" t="s">
        <v>620</v>
      </c>
      <c r="G2363" s="89">
        <v>2000</v>
      </c>
      <c r="H2363" s="312" t="s">
        <v>735</v>
      </c>
      <c r="I2363" s="308" t="str">
        <f t="shared" si="98"/>
        <v>Pesado de Passageiros M3: I : Gasóleo : E2</v>
      </c>
      <c r="J2363" s="125">
        <v>72</v>
      </c>
      <c r="K2363" s="253">
        <v>2022</v>
      </c>
      <c r="L2363" s="85">
        <v>24220.739999999972</v>
      </c>
      <c r="M2363" s="85" t="s">
        <v>630</v>
      </c>
      <c r="N2363" s="128">
        <v>52918.375</v>
      </c>
      <c r="O2363" s="128">
        <f t="shared" si="99"/>
        <v>3810123</v>
      </c>
      <c r="P2363" s="89">
        <v>253</v>
      </c>
      <c r="Q2363" t="s">
        <v>47</v>
      </c>
      <c r="R2363" s="214" t="s">
        <v>1869</v>
      </c>
      <c r="S2363" s="214" t="s">
        <v>1861</v>
      </c>
      <c r="U2363" t="s">
        <v>1953</v>
      </c>
      <c r="V2363" t="s">
        <v>2813</v>
      </c>
    </row>
    <row r="2364" spans="1:22" ht="15.75" thickBot="1" x14ac:dyDescent="0.3">
      <c r="A2364" t="s">
        <v>4590</v>
      </c>
      <c r="B2364" t="s">
        <v>4590</v>
      </c>
      <c r="C2364" t="s">
        <v>4590</v>
      </c>
      <c r="D2364" t="s">
        <v>629</v>
      </c>
      <c r="E2364" s="248" t="s">
        <v>1951</v>
      </c>
      <c r="F2364" t="s">
        <v>620</v>
      </c>
      <c r="G2364" s="89">
        <v>2000</v>
      </c>
      <c r="H2364" s="312" t="s">
        <v>735</v>
      </c>
      <c r="I2364" s="308" t="str">
        <f t="shared" si="98"/>
        <v>Pesado de Passageiros M3: I : Gasóleo : E2</v>
      </c>
      <c r="J2364" s="125">
        <v>72</v>
      </c>
      <c r="K2364" s="253">
        <v>2022</v>
      </c>
      <c r="L2364" s="85">
        <v>24606.61</v>
      </c>
      <c r="M2364" s="85" t="s">
        <v>630</v>
      </c>
      <c r="N2364" s="128">
        <v>53321.074999999997</v>
      </c>
      <c r="O2364" s="128">
        <f t="shared" si="99"/>
        <v>3839117.4</v>
      </c>
      <c r="P2364" s="89">
        <v>254</v>
      </c>
      <c r="Q2364" t="s">
        <v>47</v>
      </c>
      <c r="R2364" s="214" t="s">
        <v>1869</v>
      </c>
      <c r="S2364" s="214" t="s">
        <v>1861</v>
      </c>
      <c r="U2364" t="s">
        <v>1953</v>
      </c>
      <c r="V2364" t="s">
        <v>2813</v>
      </c>
    </row>
    <row r="2365" spans="1:22" ht="15.75" thickBot="1" x14ac:dyDescent="0.3">
      <c r="A2365" t="s">
        <v>4590</v>
      </c>
      <c r="B2365" t="s">
        <v>4590</v>
      </c>
      <c r="C2365" t="s">
        <v>4590</v>
      </c>
      <c r="D2365" t="s">
        <v>629</v>
      </c>
      <c r="E2365" s="248" t="s">
        <v>1951</v>
      </c>
      <c r="F2365" t="s">
        <v>620</v>
      </c>
      <c r="G2365" s="89">
        <v>2000</v>
      </c>
      <c r="H2365" s="312" t="s">
        <v>735</v>
      </c>
      <c r="I2365" s="308" t="str">
        <f t="shared" si="98"/>
        <v>Pesado de Passageiros M3: I : Gasóleo : E2</v>
      </c>
      <c r="J2365" s="125">
        <v>72</v>
      </c>
      <c r="K2365" s="253">
        <v>2022</v>
      </c>
      <c r="L2365" s="85">
        <v>29772.770000000004</v>
      </c>
      <c r="M2365" s="85" t="s">
        <v>630</v>
      </c>
      <c r="N2365" s="128">
        <v>55814.375</v>
      </c>
      <c r="O2365" s="128">
        <f t="shared" si="99"/>
        <v>4018635</v>
      </c>
      <c r="P2365" s="89">
        <v>255</v>
      </c>
      <c r="Q2365" t="s">
        <v>47</v>
      </c>
      <c r="R2365" s="214" t="s">
        <v>1869</v>
      </c>
      <c r="S2365" s="214" t="s">
        <v>1861</v>
      </c>
      <c r="U2365" t="s">
        <v>1953</v>
      </c>
      <c r="V2365" t="s">
        <v>2813</v>
      </c>
    </row>
    <row r="2366" spans="1:22" ht="15.75" thickBot="1" x14ac:dyDescent="0.3">
      <c r="A2366" t="s">
        <v>4590</v>
      </c>
      <c r="B2366" t="s">
        <v>4590</v>
      </c>
      <c r="C2366" t="s">
        <v>4590</v>
      </c>
      <c r="D2366" t="s">
        <v>629</v>
      </c>
      <c r="E2366" s="248" t="s">
        <v>1951</v>
      </c>
      <c r="F2366" t="s">
        <v>620</v>
      </c>
      <c r="G2366" s="89">
        <v>2000</v>
      </c>
      <c r="H2366" s="312" t="s">
        <v>735</v>
      </c>
      <c r="I2366" s="308" t="str">
        <f t="shared" si="98"/>
        <v>Pesado de Passageiros M3: I : Gasóleo : E2</v>
      </c>
      <c r="J2366" s="125">
        <v>72</v>
      </c>
      <c r="K2366" s="253">
        <v>2022</v>
      </c>
      <c r="L2366" s="85">
        <v>35663.690000000017</v>
      </c>
      <c r="M2366" s="85" t="s">
        <v>630</v>
      </c>
      <c r="N2366" s="128">
        <v>69727.486111110979</v>
      </c>
      <c r="O2366" s="128">
        <f t="shared" si="99"/>
        <v>5020378.9999999907</v>
      </c>
      <c r="P2366" s="89">
        <v>263</v>
      </c>
      <c r="Q2366" t="s">
        <v>47</v>
      </c>
      <c r="R2366" s="214" t="s">
        <v>1869</v>
      </c>
      <c r="S2366" s="214" t="s">
        <v>1861</v>
      </c>
      <c r="U2366" t="s">
        <v>1953</v>
      </c>
      <c r="V2366" t="s">
        <v>2813</v>
      </c>
    </row>
    <row r="2367" spans="1:22" ht="15.75" thickBot="1" x14ac:dyDescent="0.3">
      <c r="A2367" t="s">
        <v>4590</v>
      </c>
      <c r="B2367" t="s">
        <v>4590</v>
      </c>
      <c r="C2367" t="s">
        <v>4590</v>
      </c>
      <c r="D2367" t="s">
        <v>629</v>
      </c>
      <c r="E2367" s="248" t="s">
        <v>1951</v>
      </c>
      <c r="F2367" t="s">
        <v>620</v>
      </c>
      <c r="G2367" s="89">
        <v>2000</v>
      </c>
      <c r="H2367" s="312" t="s">
        <v>735</v>
      </c>
      <c r="I2367" s="308" t="str">
        <f t="shared" si="98"/>
        <v>Pesado de Passageiros M3: I : Gasóleo : E2</v>
      </c>
      <c r="J2367" s="125">
        <v>72</v>
      </c>
      <c r="K2367" s="253">
        <v>2022</v>
      </c>
      <c r="L2367" s="85">
        <v>27795.489999999994</v>
      </c>
      <c r="M2367" s="85" t="s">
        <v>630</v>
      </c>
      <c r="N2367" s="128">
        <v>57755.025732459588</v>
      </c>
      <c r="O2367" s="128">
        <f t="shared" si="99"/>
        <v>4158361.8527370906</v>
      </c>
      <c r="P2367" s="89">
        <v>264</v>
      </c>
      <c r="Q2367" t="s">
        <v>47</v>
      </c>
      <c r="R2367" s="214" t="s">
        <v>1869</v>
      </c>
      <c r="S2367" s="214" t="s">
        <v>1861</v>
      </c>
      <c r="U2367" t="s">
        <v>1953</v>
      </c>
      <c r="V2367" t="s">
        <v>2813</v>
      </c>
    </row>
    <row r="2368" spans="1:22" ht="15.75" thickBot="1" x14ac:dyDescent="0.3">
      <c r="A2368" t="s">
        <v>4590</v>
      </c>
      <c r="B2368" t="s">
        <v>4590</v>
      </c>
      <c r="C2368" t="s">
        <v>4590</v>
      </c>
      <c r="D2368" t="s">
        <v>629</v>
      </c>
      <c r="E2368" s="248" t="s">
        <v>1951</v>
      </c>
      <c r="F2368" t="s">
        <v>620</v>
      </c>
      <c r="G2368" s="89">
        <v>2000</v>
      </c>
      <c r="H2368" s="312" t="s">
        <v>735</v>
      </c>
      <c r="I2368" s="308" t="str">
        <f t="shared" si="98"/>
        <v>Pesado de Passageiros M3: I : Gasóleo : E2</v>
      </c>
      <c r="J2368" s="125">
        <v>72</v>
      </c>
      <c r="K2368" s="253">
        <v>2022</v>
      </c>
      <c r="L2368" s="85">
        <v>26345.01999999999</v>
      </c>
      <c r="M2368" s="85" t="s">
        <v>630</v>
      </c>
      <c r="N2368" s="128">
        <v>59109.375</v>
      </c>
      <c r="O2368" s="128">
        <f t="shared" si="99"/>
        <v>4255875</v>
      </c>
      <c r="P2368" s="89">
        <v>269</v>
      </c>
      <c r="Q2368" t="s">
        <v>47</v>
      </c>
      <c r="R2368" s="214" t="s">
        <v>1869</v>
      </c>
      <c r="S2368" s="214" t="s">
        <v>1861</v>
      </c>
      <c r="U2368" t="s">
        <v>1953</v>
      </c>
      <c r="V2368" t="s">
        <v>2813</v>
      </c>
    </row>
    <row r="2369" spans="1:22" ht="15.75" thickBot="1" x14ac:dyDescent="0.3">
      <c r="A2369" t="s">
        <v>4590</v>
      </c>
      <c r="B2369" t="s">
        <v>4590</v>
      </c>
      <c r="C2369" t="s">
        <v>4590</v>
      </c>
      <c r="D2369" t="s">
        <v>629</v>
      </c>
      <c r="E2369" s="248" t="s">
        <v>1951</v>
      </c>
      <c r="F2369" t="s">
        <v>620</v>
      </c>
      <c r="G2369" s="89">
        <v>2000</v>
      </c>
      <c r="H2369" s="312" t="s">
        <v>735</v>
      </c>
      <c r="I2369" s="308" t="str">
        <f t="shared" si="98"/>
        <v>Pesado de Passageiros M3: I : Gasóleo : E2</v>
      </c>
      <c r="J2369" s="125">
        <v>72</v>
      </c>
      <c r="K2369" s="253">
        <v>2022</v>
      </c>
      <c r="L2369" s="85">
        <v>32315.520000000008</v>
      </c>
      <c r="M2369" s="85" t="s">
        <v>630</v>
      </c>
      <c r="N2369" s="128">
        <v>68999.375</v>
      </c>
      <c r="O2369" s="128">
        <f t="shared" si="99"/>
        <v>4967955</v>
      </c>
      <c r="P2369" s="89">
        <v>271</v>
      </c>
      <c r="Q2369" t="s">
        <v>47</v>
      </c>
      <c r="R2369" s="214" t="s">
        <v>1869</v>
      </c>
      <c r="S2369" s="214" t="s">
        <v>1861</v>
      </c>
      <c r="U2369" t="s">
        <v>1953</v>
      </c>
      <c r="V2369" t="s">
        <v>2813</v>
      </c>
    </row>
    <row r="2370" spans="1:22" ht="15.75" thickBot="1" x14ac:dyDescent="0.3">
      <c r="A2370" t="s">
        <v>4590</v>
      </c>
      <c r="B2370" t="s">
        <v>4590</v>
      </c>
      <c r="C2370" t="s">
        <v>4590</v>
      </c>
      <c r="D2370" t="s">
        <v>629</v>
      </c>
      <c r="E2370" s="248" t="s">
        <v>1951</v>
      </c>
      <c r="F2370" t="s">
        <v>620</v>
      </c>
      <c r="G2370" s="89">
        <v>2000</v>
      </c>
      <c r="H2370" s="312" t="s">
        <v>735</v>
      </c>
      <c r="I2370" s="308" t="str">
        <f t="shared" si="98"/>
        <v>Pesado de Passageiros M3: I : Gasóleo : E2</v>
      </c>
      <c r="J2370" s="125">
        <v>72</v>
      </c>
      <c r="K2370" s="253">
        <v>2022</v>
      </c>
      <c r="L2370" s="85">
        <v>20967.289999999986</v>
      </c>
      <c r="M2370" s="85" t="s">
        <v>630</v>
      </c>
      <c r="N2370" s="128">
        <v>38020.068877551006</v>
      </c>
      <c r="O2370" s="128">
        <f t="shared" si="99"/>
        <v>2737444.9591836724</v>
      </c>
      <c r="P2370" s="89">
        <v>273</v>
      </c>
      <c r="Q2370" t="s">
        <v>47</v>
      </c>
      <c r="R2370" s="214" t="s">
        <v>1869</v>
      </c>
      <c r="S2370" s="214" t="s">
        <v>1861</v>
      </c>
      <c r="U2370" t="s">
        <v>1953</v>
      </c>
      <c r="V2370" t="s">
        <v>2813</v>
      </c>
    </row>
    <row r="2371" spans="1:22" ht="15.75" thickBot="1" x14ac:dyDescent="0.3">
      <c r="A2371" t="s">
        <v>4590</v>
      </c>
      <c r="B2371" t="s">
        <v>4590</v>
      </c>
      <c r="C2371" t="s">
        <v>4590</v>
      </c>
      <c r="D2371" t="s">
        <v>629</v>
      </c>
      <c r="E2371" s="248" t="s">
        <v>1951</v>
      </c>
      <c r="F2371" t="s">
        <v>620</v>
      </c>
      <c r="G2371" s="89">
        <v>2000</v>
      </c>
      <c r="H2371" s="312" t="s">
        <v>735</v>
      </c>
      <c r="I2371" s="308" t="str">
        <f t="shared" si="98"/>
        <v>Pesado de Passageiros M3: I : Gasóleo : E2</v>
      </c>
      <c r="J2371" s="125">
        <v>72</v>
      </c>
      <c r="K2371" s="253">
        <v>2022</v>
      </c>
      <c r="L2371" s="85">
        <v>18006.289999999994</v>
      </c>
      <c r="M2371" s="85" t="s">
        <v>630</v>
      </c>
      <c r="N2371" s="128">
        <v>39904.375</v>
      </c>
      <c r="O2371" s="128">
        <f t="shared" si="99"/>
        <v>2873115</v>
      </c>
      <c r="P2371" s="89">
        <v>274</v>
      </c>
      <c r="Q2371" t="s">
        <v>47</v>
      </c>
      <c r="R2371" s="214" t="s">
        <v>1869</v>
      </c>
      <c r="S2371" s="214" t="s">
        <v>1861</v>
      </c>
      <c r="U2371" t="s">
        <v>1953</v>
      </c>
      <c r="V2371" t="s">
        <v>2813</v>
      </c>
    </row>
    <row r="2372" spans="1:22" ht="15.75" thickBot="1" x14ac:dyDescent="0.3">
      <c r="A2372" t="s">
        <v>4590</v>
      </c>
      <c r="B2372" t="s">
        <v>4590</v>
      </c>
      <c r="C2372" t="s">
        <v>4590</v>
      </c>
      <c r="D2372" t="s">
        <v>629</v>
      </c>
      <c r="E2372" s="248" t="s">
        <v>1951</v>
      </c>
      <c r="F2372" t="s">
        <v>620</v>
      </c>
      <c r="G2372" s="89">
        <v>2005</v>
      </c>
      <c r="H2372" s="312" t="s">
        <v>732</v>
      </c>
      <c r="I2372" s="308" t="str">
        <f t="shared" ref="I2372:I2435" si="100">D2372&amp;": "&amp;E2372&amp;" : "&amp;F2372&amp;" : "&amp;H2372</f>
        <v>Pesado de Passageiros M3: I : Gasóleo : E3</v>
      </c>
      <c r="J2372" s="125">
        <v>89</v>
      </c>
      <c r="K2372" s="253">
        <v>2022</v>
      </c>
      <c r="L2372" s="85">
        <v>8522.6299999999992</v>
      </c>
      <c r="M2372" s="85" t="s">
        <v>630</v>
      </c>
      <c r="N2372" s="128">
        <v>21105.172494780854</v>
      </c>
      <c r="O2372" s="128">
        <f t="shared" ref="O2372:O2435" si="101">N2372*J2372</f>
        <v>1878360.3520354959</v>
      </c>
      <c r="P2372" s="89">
        <v>289</v>
      </c>
      <c r="Q2372" t="s">
        <v>47</v>
      </c>
      <c r="R2372" s="214" t="s">
        <v>1869</v>
      </c>
      <c r="S2372" s="214" t="s">
        <v>1861</v>
      </c>
      <c r="U2372" t="s">
        <v>1953</v>
      </c>
      <c r="V2372" t="s">
        <v>2813</v>
      </c>
    </row>
    <row r="2373" spans="1:22" ht="15.75" thickBot="1" x14ac:dyDescent="0.3">
      <c r="A2373" t="s">
        <v>4590</v>
      </c>
      <c r="B2373" t="s">
        <v>4590</v>
      </c>
      <c r="C2373" t="s">
        <v>4590</v>
      </c>
      <c r="D2373" t="s">
        <v>629</v>
      </c>
      <c r="E2373" s="248" t="s">
        <v>1951</v>
      </c>
      <c r="F2373" t="s">
        <v>620</v>
      </c>
      <c r="G2373" s="89">
        <v>2005</v>
      </c>
      <c r="H2373" s="312" t="s">
        <v>732</v>
      </c>
      <c r="I2373" s="308" t="str">
        <f t="shared" si="100"/>
        <v>Pesado de Passageiros M3: I : Gasóleo : E3</v>
      </c>
      <c r="J2373" s="125">
        <v>89</v>
      </c>
      <c r="K2373" s="253">
        <v>2022</v>
      </c>
      <c r="L2373" s="85">
        <v>16158.22</v>
      </c>
      <c r="M2373" s="85" t="s">
        <v>630</v>
      </c>
      <c r="N2373" s="128">
        <v>33285.085061306483</v>
      </c>
      <c r="O2373" s="128">
        <f t="shared" si="101"/>
        <v>2962372.5704562771</v>
      </c>
      <c r="P2373" s="89">
        <v>290</v>
      </c>
      <c r="Q2373" t="s">
        <v>47</v>
      </c>
      <c r="R2373" s="214" t="s">
        <v>1869</v>
      </c>
      <c r="S2373" s="214" t="s">
        <v>1861</v>
      </c>
      <c r="U2373" t="s">
        <v>1953</v>
      </c>
      <c r="V2373" t="s">
        <v>2813</v>
      </c>
    </row>
    <row r="2374" spans="1:22" ht="15.75" thickBot="1" x14ac:dyDescent="0.3">
      <c r="A2374" t="s">
        <v>4590</v>
      </c>
      <c r="B2374" t="s">
        <v>4590</v>
      </c>
      <c r="C2374" t="s">
        <v>4590</v>
      </c>
      <c r="D2374" t="s">
        <v>629</v>
      </c>
      <c r="E2374" s="248" t="s">
        <v>1951</v>
      </c>
      <c r="F2374" t="s">
        <v>620</v>
      </c>
      <c r="G2374" s="89">
        <v>2006</v>
      </c>
      <c r="H2374" s="312" t="s">
        <v>732</v>
      </c>
      <c r="I2374" s="308" t="str">
        <f t="shared" si="100"/>
        <v>Pesado de Passageiros M3: I : Gasóleo : E3</v>
      </c>
      <c r="J2374" s="125">
        <v>89</v>
      </c>
      <c r="K2374" s="253">
        <v>2022</v>
      </c>
      <c r="L2374" s="85">
        <v>9066.9700000000048</v>
      </c>
      <c r="M2374" s="85" t="s">
        <v>630</v>
      </c>
      <c r="N2374" s="128">
        <v>18291.375</v>
      </c>
      <c r="O2374" s="128">
        <f t="shared" si="101"/>
        <v>1627932.375</v>
      </c>
      <c r="P2374" s="89">
        <v>292</v>
      </c>
      <c r="Q2374" t="s">
        <v>47</v>
      </c>
      <c r="R2374" s="214" t="s">
        <v>1869</v>
      </c>
      <c r="S2374" s="214" t="s">
        <v>1861</v>
      </c>
      <c r="U2374" t="s">
        <v>1953</v>
      </c>
      <c r="V2374" t="s">
        <v>2813</v>
      </c>
    </row>
    <row r="2375" spans="1:22" ht="15.75" thickBot="1" x14ac:dyDescent="0.3">
      <c r="A2375" t="s">
        <v>4590</v>
      </c>
      <c r="B2375" t="s">
        <v>4590</v>
      </c>
      <c r="C2375" t="s">
        <v>4590</v>
      </c>
      <c r="D2375" t="s">
        <v>629</v>
      </c>
      <c r="E2375" s="248" t="s">
        <v>1951</v>
      </c>
      <c r="F2375" t="s">
        <v>620</v>
      </c>
      <c r="G2375" s="89">
        <v>2005</v>
      </c>
      <c r="H2375" s="312" t="s">
        <v>732</v>
      </c>
      <c r="I2375" s="308" t="str">
        <f t="shared" si="100"/>
        <v>Pesado de Passageiros M3: I : Gasóleo : E3</v>
      </c>
      <c r="J2375" s="125">
        <v>89</v>
      </c>
      <c r="K2375" s="253">
        <v>2022</v>
      </c>
      <c r="L2375" s="85">
        <v>19133.419999999995</v>
      </c>
      <c r="M2375" s="85" t="s">
        <v>630</v>
      </c>
      <c r="N2375" s="128">
        <v>35973.375</v>
      </c>
      <c r="O2375" s="128">
        <f t="shared" si="101"/>
        <v>3201630.375</v>
      </c>
      <c r="P2375" s="89">
        <v>293</v>
      </c>
      <c r="Q2375" t="s">
        <v>47</v>
      </c>
      <c r="R2375" s="214" t="s">
        <v>1869</v>
      </c>
      <c r="S2375" s="214" t="s">
        <v>1861</v>
      </c>
      <c r="U2375" t="s">
        <v>1953</v>
      </c>
      <c r="V2375" t="s">
        <v>2813</v>
      </c>
    </row>
    <row r="2376" spans="1:22" ht="15.75" thickBot="1" x14ac:dyDescent="0.3">
      <c r="A2376" t="s">
        <v>4590</v>
      </c>
      <c r="B2376" t="s">
        <v>4590</v>
      </c>
      <c r="C2376" t="s">
        <v>4590</v>
      </c>
      <c r="D2376" t="s">
        <v>629</v>
      </c>
      <c r="E2376" s="248" t="s">
        <v>1951</v>
      </c>
      <c r="F2376" t="s">
        <v>620</v>
      </c>
      <c r="G2376" s="89">
        <v>2005</v>
      </c>
      <c r="H2376" s="312" t="s">
        <v>732</v>
      </c>
      <c r="I2376" s="308" t="str">
        <f t="shared" si="100"/>
        <v>Pesado de Passageiros M3: I : Gasóleo : E3</v>
      </c>
      <c r="J2376" s="125">
        <v>89</v>
      </c>
      <c r="K2376" s="253">
        <v>2022</v>
      </c>
      <c r="L2376" s="85">
        <v>12777.88</v>
      </c>
      <c r="M2376" s="85" t="s">
        <v>630</v>
      </c>
      <c r="N2376" s="128">
        <v>25632.375</v>
      </c>
      <c r="O2376" s="128">
        <f t="shared" si="101"/>
        <v>2281281.375</v>
      </c>
      <c r="P2376" s="89">
        <v>294</v>
      </c>
      <c r="Q2376" t="s">
        <v>47</v>
      </c>
      <c r="R2376" s="214" t="s">
        <v>1869</v>
      </c>
      <c r="S2376" s="214" t="s">
        <v>1861</v>
      </c>
      <c r="U2376" t="s">
        <v>1953</v>
      </c>
      <c r="V2376" t="s">
        <v>2813</v>
      </c>
    </row>
    <row r="2377" spans="1:22" ht="15.75" thickBot="1" x14ac:dyDescent="0.3">
      <c r="A2377" t="s">
        <v>4590</v>
      </c>
      <c r="B2377" t="s">
        <v>4590</v>
      </c>
      <c r="C2377" t="s">
        <v>4590</v>
      </c>
      <c r="D2377" t="s">
        <v>629</v>
      </c>
      <c r="E2377" s="248" t="s">
        <v>1951</v>
      </c>
      <c r="F2377" t="s">
        <v>620</v>
      </c>
      <c r="G2377" s="89">
        <v>2005</v>
      </c>
      <c r="H2377" s="312" t="s">
        <v>732</v>
      </c>
      <c r="I2377" s="308" t="str">
        <f t="shared" si="100"/>
        <v>Pesado de Passageiros M3: I : Gasóleo : E3</v>
      </c>
      <c r="J2377" s="125">
        <v>89</v>
      </c>
      <c r="K2377" s="253">
        <v>2022</v>
      </c>
      <c r="L2377" s="85">
        <v>17693.03999999999</v>
      </c>
      <c r="M2377" s="85" t="s">
        <v>630</v>
      </c>
      <c r="N2377" s="128">
        <v>36320.375</v>
      </c>
      <c r="O2377" s="128">
        <f t="shared" si="101"/>
        <v>3232513.375</v>
      </c>
      <c r="P2377" s="89">
        <v>295</v>
      </c>
      <c r="Q2377" t="s">
        <v>47</v>
      </c>
      <c r="R2377" s="214" t="s">
        <v>1869</v>
      </c>
      <c r="S2377" s="214" t="s">
        <v>1861</v>
      </c>
      <c r="U2377" t="s">
        <v>1953</v>
      </c>
      <c r="V2377" t="s">
        <v>2813</v>
      </c>
    </row>
    <row r="2378" spans="1:22" ht="15.75" thickBot="1" x14ac:dyDescent="0.3">
      <c r="A2378" t="s">
        <v>4590</v>
      </c>
      <c r="B2378" t="s">
        <v>4590</v>
      </c>
      <c r="C2378" t="s">
        <v>4590</v>
      </c>
      <c r="D2378" t="s">
        <v>629</v>
      </c>
      <c r="E2378" s="248" t="s">
        <v>1951</v>
      </c>
      <c r="F2378" t="s">
        <v>620</v>
      </c>
      <c r="G2378" s="89">
        <v>2006</v>
      </c>
      <c r="H2378" s="312" t="s">
        <v>732</v>
      </c>
      <c r="I2378" s="308" t="str">
        <f t="shared" si="100"/>
        <v>Pesado de Passageiros M3: I : Gasóleo : E3</v>
      </c>
      <c r="J2378" s="125">
        <v>89</v>
      </c>
      <c r="K2378" s="253">
        <v>2022</v>
      </c>
      <c r="L2378" s="85">
        <v>10633.790000000005</v>
      </c>
      <c r="M2378" s="85" t="s">
        <v>630</v>
      </c>
      <c r="N2378" s="128">
        <v>23944.375</v>
      </c>
      <c r="O2378" s="128">
        <f t="shared" si="101"/>
        <v>2131049.375</v>
      </c>
      <c r="P2378" s="89">
        <v>296</v>
      </c>
      <c r="Q2378" t="s">
        <v>47</v>
      </c>
      <c r="R2378" s="214" t="s">
        <v>1869</v>
      </c>
      <c r="S2378" s="214" t="s">
        <v>1861</v>
      </c>
      <c r="U2378" t="s">
        <v>1953</v>
      </c>
      <c r="V2378" t="s">
        <v>2813</v>
      </c>
    </row>
    <row r="2379" spans="1:22" ht="15.75" thickBot="1" x14ac:dyDescent="0.3">
      <c r="A2379" t="s">
        <v>4590</v>
      </c>
      <c r="B2379" t="s">
        <v>4590</v>
      </c>
      <c r="C2379" t="s">
        <v>4590</v>
      </c>
      <c r="D2379" t="s">
        <v>629</v>
      </c>
      <c r="E2379" s="248" t="s">
        <v>1951</v>
      </c>
      <c r="F2379" t="s">
        <v>620</v>
      </c>
      <c r="G2379" s="89">
        <v>2006</v>
      </c>
      <c r="H2379" s="312" t="s">
        <v>732</v>
      </c>
      <c r="I2379" s="308" t="str">
        <f t="shared" si="100"/>
        <v>Pesado de Passageiros M3: I : Gasóleo : E3</v>
      </c>
      <c r="J2379" s="125">
        <v>89</v>
      </c>
      <c r="K2379" s="253">
        <v>2022</v>
      </c>
      <c r="L2379" s="85">
        <v>11945.949999999993</v>
      </c>
      <c r="M2379" s="85" t="s">
        <v>630</v>
      </c>
      <c r="N2379" s="128">
        <v>23131.375</v>
      </c>
      <c r="O2379" s="128">
        <f t="shared" si="101"/>
        <v>2058692.375</v>
      </c>
      <c r="P2379" s="89">
        <v>298</v>
      </c>
      <c r="Q2379" t="s">
        <v>47</v>
      </c>
      <c r="R2379" s="214" t="s">
        <v>1869</v>
      </c>
      <c r="S2379" s="214" t="s">
        <v>1861</v>
      </c>
      <c r="U2379" t="s">
        <v>1953</v>
      </c>
      <c r="V2379" t="s">
        <v>2813</v>
      </c>
    </row>
    <row r="2380" spans="1:22" ht="15.75" thickBot="1" x14ac:dyDescent="0.3">
      <c r="A2380" t="s">
        <v>4590</v>
      </c>
      <c r="B2380" t="s">
        <v>4590</v>
      </c>
      <c r="C2380" t="s">
        <v>4590</v>
      </c>
      <c r="D2380" t="s">
        <v>629</v>
      </c>
      <c r="E2380" s="248" t="s">
        <v>1951</v>
      </c>
      <c r="F2380" t="s">
        <v>620</v>
      </c>
      <c r="G2380" s="89">
        <v>2014</v>
      </c>
      <c r="H2380" s="312" t="s">
        <v>733</v>
      </c>
      <c r="I2380" s="308" t="str">
        <f t="shared" si="100"/>
        <v>Pesado de Passageiros M3: I : Gasóleo : E6</v>
      </c>
      <c r="J2380" s="125">
        <v>90</v>
      </c>
      <c r="K2380" s="253">
        <v>2022</v>
      </c>
      <c r="L2380" s="85">
        <v>32209.120000000003</v>
      </c>
      <c r="M2380" s="85" t="s">
        <v>630</v>
      </c>
      <c r="N2380" s="128">
        <v>71334.375</v>
      </c>
      <c r="O2380" s="128">
        <f t="shared" si="101"/>
        <v>6420093.75</v>
      </c>
      <c r="P2380" s="89">
        <v>306</v>
      </c>
      <c r="Q2380" t="s">
        <v>47</v>
      </c>
      <c r="R2380" s="214" t="s">
        <v>1869</v>
      </c>
      <c r="S2380" s="214" t="s">
        <v>1861</v>
      </c>
      <c r="U2380" t="s">
        <v>1953</v>
      </c>
      <c r="V2380" t="s">
        <v>2813</v>
      </c>
    </row>
    <row r="2381" spans="1:22" ht="15.75" thickBot="1" x14ac:dyDescent="0.3">
      <c r="A2381" t="s">
        <v>4590</v>
      </c>
      <c r="B2381" t="s">
        <v>4590</v>
      </c>
      <c r="C2381" t="s">
        <v>4590</v>
      </c>
      <c r="D2381" t="s">
        <v>629</v>
      </c>
      <c r="E2381" s="248" t="s">
        <v>1951</v>
      </c>
      <c r="F2381" t="s">
        <v>620</v>
      </c>
      <c r="G2381" s="89">
        <v>2014</v>
      </c>
      <c r="H2381" s="312" t="s">
        <v>733</v>
      </c>
      <c r="I2381" s="308" t="str">
        <f t="shared" si="100"/>
        <v>Pesado de Passageiros M3: I : Gasóleo : E6</v>
      </c>
      <c r="J2381" s="125">
        <v>90</v>
      </c>
      <c r="K2381" s="253">
        <v>2022</v>
      </c>
      <c r="L2381" s="85">
        <v>24717.839999999986</v>
      </c>
      <c r="M2381" s="85" t="s">
        <v>630</v>
      </c>
      <c r="N2381" s="128">
        <v>60424.375</v>
      </c>
      <c r="O2381" s="128">
        <f t="shared" si="101"/>
        <v>5438193.75</v>
      </c>
      <c r="P2381" s="89">
        <v>307</v>
      </c>
      <c r="Q2381" t="s">
        <v>47</v>
      </c>
      <c r="R2381" s="214" t="s">
        <v>1869</v>
      </c>
      <c r="S2381" s="214" t="s">
        <v>1861</v>
      </c>
      <c r="U2381" t="s">
        <v>1953</v>
      </c>
      <c r="V2381" t="s">
        <v>2813</v>
      </c>
    </row>
    <row r="2382" spans="1:22" ht="15.75" thickBot="1" x14ac:dyDescent="0.3">
      <c r="A2382" t="s">
        <v>4590</v>
      </c>
      <c r="B2382" t="s">
        <v>4590</v>
      </c>
      <c r="C2382" t="s">
        <v>4590</v>
      </c>
      <c r="D2382" t="s">
        <v>629</v>
      </c>
      <c r="E2382" s="248" t="s">
        <v>1951</v>
      </c>
      <c r="F2382" t="s">
        <v>620</v>
      </c>
      <c r="G2382" s="89">
        <v>2014</v>
      </c>
      <c r="H2382" s="312" t="s">
        <v>733</v>
      </c>
      <c r="I2382" s="308" t="str">
        <f t="shared" si="100"/>
        <v>Pesado de Passageiros M3: I : Gasóleo : E6</v>
      </c>
      <c r="J2382" s="125">
        <v>90</v>
      </c>
      <c r="K2382" s="253">
        <v>2022</v>
      </c>
      <c r="L2382" s="85">
        <v>27426.189999999995</v>
      </c>
      <c r="M2382" s="85" t="s">
        <v>630</v>
      </c>
      <c r="N2382" s="128">
        <v>64593.375</v>
      </c>
      <c r="O2382" s="128">
        <f t="shared" si="101"/>
        <v>5813403.75</v>
      </c>
      <c r="P2382" s="89">
        <v>308</v>
      </c>
      <c r="Q2382" t="s">
        <v>47</v>
      </c>
      <c r="R2382" s="214" t="s">
        <v>1869</v>
      </c>
      <c r="S2382" s="214" t="s">
        <v>1861</v>
      </c>
      <c r="U2382" t="s">
        <v>1953</v>
      </c>
      <c r="V2382" t="s">
        <v>2813</v>
      </c>
    </row>
    <row r="2383" spans="1:22" ht="15.75" thickBot="1" x14ac:dyDescent="0.3">
      <c r="A2383" t="s">
        <v>4590</v>
      </c>
      <c r="B2383" t="s">
        <v>4590</v>
      </c>
      <c r="C2383" t="s">
        <v>4590</v>
      </c>
      <c r="D2383" t="s">
        <v>629</v>
      </c>
      <c r="E2383" s="248" t="s">
        <v>1951</v>
      </c>
      <c r="F2383" t="s">
        <v>620</v>
      </c>
      <c r="G2383" s="89">
        <v>2014</v>
      </c>
      <c r="H2383" s="312" t="s">
        <v>733</v>
      </c>
      <c r="I2383" s="308" t="str">
        <f t="shared" si="100"/>
        <v>Pesado de Passageiros M3: I : Gasóleo : E6</v>
      </c>
      <c r="J2383" s="125">
        <v>90</v>
      </c>
      <c r="K2383" s="253">
        <v>2022</v>
      </c>
      <c r="L2383" s="85">
        <v>29489.85</v>
      </c>
      <c r="M2383" s="85" t="s">
        <v>630</v>
      </c>
      <c r="N2383" s="128">
        <v>69188.375</v>
      </c>
      <c r="O2383" s="128">
        <f t="shared" si="101"/>
        <v>6226953.75</v>
      </c>
      <c r="P2383" s="89">
        <v>309</v>
      </c>
      <c r="Q2383" t="s">
        <v>47</v>
      </c>
      <c r="R2383" s="214" t="s">
        <v>1869</v>
      </c>
      <c r="S2383" s="214" t="s">
        <v>1861</v>
      </c>
      <c r="U2383" t="s">
        <v>1953</v>
      </c>
      <c r="V2383" t="s">
        <v>2813</v>
      </c>
    </row>
    <row r="2384" spans="1:22" ht="15.75" thickBot="1" x14ac:dyDescent="0.3">
      <c r="A2384" t="s">
        <v>4590</v>
      </c>
      <c r="B2384" t="s">
        <v>4590</v>
      </c>
      <c r="C2384" t="s">
        <v>4590</v>
      </c>
      <c r="D2384" t="s">
        <v>629</v>
      </c>
      <c r="E2384" s="248" t="s">
        <v>1951</v>
      </c>
      <c r="F2384" t="s">
        <v>620</v>
      </c>
      <c r="G2384" s="89">
        <v>2014</v>
      </c>
      <c r="H2384" s="312" t="s">
        <v>733</v>
      </c>
      <c r="I2384" s="308" t="str">
        <f t="shared" si="100"/>
        <v>Pesado de Passageiros M3: I : Gasóleo : E6</v>
      </c>
      <c r="J2384" s="125">
        <v>90</v>
      </c>
      <c r="K2384" s="253">
        <v>2022</v>
      </c>
      <c r="L2384" s="85">
        <v>21510.930000000004</v>
      </c>
      <c r="M2384" s="85" t="s">
        <v>630</v>
      </c>
      <c r="N2384" s="128">
        <v>51390.375</v>
      </c>
      <c r="O2384" s="128">
        <f t="shared" si="101"/>
        <v>4625133.75</v>
      </c>
      <c r="P2384" s="89">
        <v>310</v>
      </c>
      <c r="Q2384" t="s">
        <v>47</v>
      </c>
      <c r="R2384" s="214" t="s">
        <v>1869</v>
      </c>
      <c r="S2384" s="214" t="s">
        <v>1861</v>
      </c>
      <c r="U2384" t="s">
        <v>1953</v>
      </c>
      <c r="V2384" t="s">
        <v>2813</v>
      </c>
    </row>
    <row r="2385" spans="1:22" ht="15.75" thickBot="1" x14ac:dyDescent="0.3">
      <c r="A2385" t="s">
        <v>4590</v>
      </c>
      <c r="B2385" t="s">
        <v>4590</v>
      </c>
      <c r="C2385" t="s">
        <v>4590</v>
      </c>
      <c r="D2385" t="s">
        <v>629</v>
      </c>
      <c r="E2385" s="248" t="s">
        <v>1951</v>
      </c>
      <c r="F2385" t="s">
        <v>620</v>
      </c>
      <c r="G2385" s="89">
        <v>2014</v>
      </c>
      <c r="H2385" s="312" t="s">
        <v>733</v>
      </c>
      <c r="I2385" s="308" t="str">
        <f t="shared" si="100"/>
        <v>Pesado de Passageiros M3: I : Gasóleo : E6</v>
      </c>
      <c r="J2385" s="125">
        <v>90</v>
      </c>
      <c r="K2385" s="253">
        <v>2022</v>
      </c>
      <c r="L2385" s="85">
        <v>30623.749999999989</v>
      </c>
      <c r="M2385" s="85" t="s">
        <v>630</v>
      </c>
      <c r="N2385" s="128">
        <v>67782.375</v>
      </c>
      <c r="O2385" s="128">
        <f t="shared" si="101"/>
        <v>6100413.75</v>
      </c>
      <c r="P2385" s="89">
        <v>311</v>
      </c>
      <c r="Q2385" t="s">
        <v>47</v>
      </c>
      <c r="R2385" s="214" t="s">
        <v>1869</v>
      </c>
      <c r="S2385" s="214" t="s">
        <v>1861</v>
      </c>
      <c r="U2385" t="s">
        <v>1953</v>
      </c>
      <c r="V2385" t="s">
        <v>2813</v>
      </c>
    </row>
    <row r="2386" spans="1:22" ht="15.75" thickBot="1" x14ac:dyDescent="0.3">
      <c r="A2386" t="s">
        <v>4590</v>
      </c>
      <c r="B2386" t="s">
        <v>4590</v>
      </c>
      <c r="C2386" t="s">
        <v>4590</v>
      </c>
      <c r="D2386" t="s">
        <v>629</v>
      </c>
      <c r="E2386" s="248" t="s">
        <v>1951</v>
      </c>
      <c r="F2386" t="s">
        <v>620</v>
      </c>
      <c r="G2386" s="89">
        <v>2015</v>
      </c>
      <c r="H2386" s="312" t="s">
        <v>733</v>
      </c>
      <c r="I2386" s="308" t="str">
        <f t="shared" si="100"/>
        <v>Pesado de Passageiros M3: I : Gasóleo : E6</v>
      </c>
      <c r="J2386" s="125">
        <v>90</v>
      </c>
      <c r="K2386" s="253">
        <v>2022</v>
      </c>
      <c r="L2386" s="85">
        <v>27948.379999999979</v>
      </c>
      <c r="M2386" s="85" t="s">
        <v>630</v>
      </c>
      <c r="N2386" s="128">
        <v>66359.375</v>
      </c>
      <c r="O2386" s="128">
        <f t="shared" si="101"/>
        <v>5972343.75</v>
      </c>
      <c r="P2386" s="89">
        <v>312</v>
      </c>
      <c r="Q2386" t="s">
        <v>47</v>
      </c>
      <c r="R2386" s="214" t="s">
        <v>1869</v>
      </c>
      <c r="S2386" s="214" t="s">
        <v>1861</v>
      </c>
      <c r="U2386" t="s">
        <v>1953</v>
      </c>
      <c r="V2386" t="s">
        <v>2813</v>
      </c>
    </row>
    <row r="2387" spans="1:22" ht="15.75" thickBot="1" x14ac:dyDescent="0.3">
      <c r="A2387" t="s">
        <v>4590</v>
      </c>
      <c r="B2387" t="s">
        <v>4590</v>
      </c>
      <c r="C2387" t="s">
        <v>4590</v>
      </c>
      <c r="D2387" t="s">
        <v>629</v>
      </c>
      <c r="E2387" s="248" t="s">
        <v>1951</v>
      </c>
      <c r="F2387" t="s">
        <v>620</v>
      </c>
      <c r="G2387" s="89">
        <v>2015</v>
      </c>
      <c r="H2387" s="312" t="s">
        <v>733</v>
      </c>
      <c r="I2387" s="308" t="str">
        <f t="shared" si="100"/>
        <v>Pesado de Passageiros M3: I : Gasóleo : E6</v>
      </c>
      <c r="J2387" s="125">
        <v>90</v>
      </c>
      <c r="K2387" s="253">
        <v>2022</v>
      </c>
      <c r="L2387" s="85">
        <v>30133.600000000002</v>
      </c>
      <c r="M2387" s="85" t="s">
        <v>630</v>
      </c>
      <c r="N2387" s="128">
        <v>69054.375</v>
      </c>
      <c r="O2387" s="128">
        <f t="shared" si="101"/>
        <v>6214893.75</v>
      </c>
      <c r="P2387" s="89">
        <v>313</v>
      </c>
      <c r="Q2387" t="s">
        <v>47</v>
      </c>
      <c r="R2387" s="214" t="s">
        <v>1869</v>
      </c>
      <c r="S2387" s="214" t="s">
        <v>1861</v>
      </c>
      <c r="U2387" t="s">
        <v>1953</v>
      </c>
      <c r="V2387" t="s">
        <v>2813</v>
      </c>
    </row>
    <row r="2388" spans="1:22" ht="15.75" thickBot="1" x14ac:dyDescent="0.3">
      <c r="A2388" t="s">
        <v>4590</v>
      </c>
      <c r="B2388" t="s">
        <v>4590</v>
      </c>
      <c r="C2388" t="s">
        <v>4590</v>
      </c>
      <c r="D2388" t="s">
        <v>629</v>
      </c>
      <c r="E2388" s="248" t="s">
        <v>1951</v>
      </c>
      <c r="F2388" t="s">
        <v>620</v>
      </c>
      <c r="G2388" s="89">
        <v>2015</v>
      </c>
      <c r="H2388" s="312" t="s">
        <v>733</v>
      </c>
      <c r="I2388" s="308" t="str">
        <f t="shared" si="100"/>
        <v>Pesado de Passageiros M3: I : Gasóleo : E6</v>
      </c>
      <c r="J2388" s="125">
        <v>90</v>
      </c>
      <c r="K2388" s="253">
        <v>2022</v>
      </c>
      <c r="L2388" s="85">
        <v>28330.720000000005</v>
      </c>
      <c r="M2388" s="85" t="s">
        <v>630</v>
      </c>
      <c r="N2388" s="128">
        <v>64969.375</v>
      </c>
      <c r="O2388" s="128">
        <f t="shared" si="101"/>
        <v>5847243.75</v>
      </c>
      <c r="P2388" s="89">
        <v>314</v>
      </c>
      <c r="Q2388" t="s">
        <v>47</v>
      </c>
      <c r="R2388" s="214" t="s">
        <v>1869</v>
      </c>
      <c r="S2388" s="214" t="s">
        <v>1861</v>
      </c>
      <c r="U2388" t="s">
        <v>1953</v>
      </c>
      <c r="V2388" t="s">
        <v>2813</v>
      </c>
    </row>
    <row r="2389" spans="1:22" ht="15.75" thickBot="1" x14ac:dyDescent="0.3">
      <c r="A2389" t="s">
        <v>4590</v>
      </c>
      <c r="B2389" t="s">
        <v>4590</v>
      </c>
      <c r="C2389" t="s">
        <v>4590</v>
      </c>
      <c r="D2389" t="s">
        <v>629</v>
      </c>
      <c r="E2389" s="248" t="s">
        <v>1951</v>
      </c>
      <c r="F2389" t="s">
        <v>620</v>
      </c>
      <c r="G2389" s="89">
        <v>2015</v>
      </c>
      <c r="H2389" s="312" t="s">
        <v>733</v>
      </c>
      <c r="I2389" s="308" t="str">
        <f t="shared" si="100"/>
        <v>Pesado de Passageiros M3: I : Gasóleo : E6</v>
      </c>
      <c r="J2389" s="125">
        <v>90</v>
      </c>
      <c r="K2389" s="253">
        <v>2022</v>
      </c>
      <c r="L2389" s="85">
        <v>31380.580000000009</v>
      </c>
      <c r="M2389" s="85" t="s">
        <v>630</v>
      </c>
      <c r="N2389" s="128">
        <v>71533.375</v>
      </c>
      <c r="O2389" s="128">
        <f t="shared" si="101"/>
        <v>6438003.75</v>
      </c>
      <c r="P2389" s="89">
        <v>315</v>
      </c>
      <c r="Q2389" t="s">
        <v>47</v>
      </c>
      <c r="R2389" s="214" t="s">
        <v>1869</v>
      </c>
      <c r="S2389" s="214" t="s">
        <v>1861</v>
      </c>
      <c r="U2389" t="s">
        <v>1953</v>
      </c>
      <c r="V2389" t="s">
        <v>2813</v>
      </c>
    </row>
    <row r="2390" spans="1:22" ht="15.75" thickBot="1" x14ac:dyDescent="0.3">
      <c r="A2390" t="s">
        <v>4590</v>
      </c>
      <c r="B2390" t="s">
        <v>4590</v>
      </c>
      <c r="C2390" t="s">
        <v>4590</v>
      </c>
      <c r="D2390" t="s">
        <v>629</v>
      </c>
      <c r="E2390" s="248" t="s">
        <v>1951</v>
      </c>
      <c r="F2390" t="s">
        <v>620</v>
      </c>
      <c r="G2390" s="89">
        <v>2015</v>
      </c>
      <c r="H2390" s="312" t="s">
        <v>733</v>
      </c>
      <c r="I2390" s="308" t="str">
        <f t="shared" si="100"/>
        <v>Pesado de Passageiros M3: I : Gasóleo : E6</v>
      </c>
      <c r="J2390" s="125">
        <v>90</v>
      </c>
      <c r="K2390" s="253">
        <v>2022</v>
      </c>
      <c r="L2390" s="85">
        <v>30374.180000000015</v>
      </c>
      <c r="M2390" s="85" t="s">
        <v>630</v>
      </c>
      <c r="N2390" s="128">
        <v>69055.375</v>
      </c>
      <c r="O2390" s="128">
        <f t="shared" si="101"/>
        <v>6214983.75</v>
      </c>
      <c r="P2390" s="89">
        <v>316</v>
      </c>
      <c r="Q2390" t="s">
        <v>47</v>
      </c>
      <c r="R2390" s="214" t="s">
        <v>1869</v>
      </c>
      <c r="S2390" s="214" t="s">
        <v>1861</v>
      </c>
      <c r="U2390" t="s">
        <v>1953</v>
      </c>
      <c r="V2390" t="s">
        <v>2813</v>
      </c>
    </row>
    <row r="2391" spans="1:22" ht="15.75" thickBot="1" x14ac:dyDescent="0.3">
      <c r="A2391" t="s">
        <v>4590</v>
      </c>
      <c r="B2391" t="s">
        <v>4590</v>
      </c>
      <c r="C2391" t="s">
        <v>4590</v>
      </c>
      <c r="D2391" t="s">
        <v>629</v>
      </c>
      <c r="E2391" s="248" t="s">
        <v>1951</v>
      </c>
      <c r="F2391" t="s">
        <v>620</v>
      </c>
      <c r="G2391" s="89">
        <v>2015</v>
      </c>
      <c r="H2391" s="312" t="s">
        <v>733</v>
      </c>
      <c r="I2391" s="308" t="str">
        <f t="shared" si="100"/>
        <v>Pesado de Passageiros M3: I : Gasóleo : E6</v>
      </c>
      <c r="J2391" s="125">
        <v>90</v>
      </c>
      <c r="K2391" s="253">
        <v>2022</v>
      </c>
      <c r="L2391" s="85">
        <v>30960.149999999991</v>
      </c>
      <c r="M2391" s="85" t="s">
        <v>630</v>
      </c>
      <c r="N2391" s="128">
        <v>73083.375</v>
      </c>
      <c r="O2391" s="128">
        <f t="shared" si="101"/>
        <v>6577503.75</v>
      </c>
      <c r="P2391" s="89">
        <v>317</v>
      </c>
      <c r="Q2391" t="s">
        <v>47</v>
      </c>
      <c r="R2391" s="214" t="s">
        <v>1869</v>
      </c>
      <c r="S2391" s="214" t="s">
        <v>1861</v>
      </c>
      <c r="U2391" t="s">
        <v>1953</v>
      </c>
      <c r="V2391" t="s">
        <v>2813</v>
      </c>
    </row>
    <row r="2392" spans="1:22" ht="15.75" thickBot="1" x14ac:dyDescent="0.3">
      <c r="A2392" t="s">
        <v>4590</v>
      </c>
      <c r="B2392" t="s">
        <v>4590</v>
      </c>
      <c r="C2392" t="s">
        <v>4590</v>
      </c>
      <c r="D2392" t="s">
        <v>629</v>
      </c>
      <c r="E2392" s="248" t="s">
        <v>1951</v>
      </c>
      <c r="F2392" t="s">
        <v>620</v>
      </c>
      <c r="G2392" s="89">
        <v>2015</v>
      </c>
      <c r="H2392" s="312" t="s">
        <v>733</v>
      </c>
      <c r="I2392" s="308" t="str">
        <f t="shared" si="100"/>
        <v>Pesado de Passageiros M3: I : Gasóleo : E6</v>
      </c>
      <c r="J2392" s="125">
        <v>90</v>
      </c>
      <c r="K2392" s="253">
        <v>2022</v>
      </c>
      <c r="L2392" s="85">
        <v>28846.329999999998</v>
      </c>
      <c r="M2392" s="85" t="s">
        <v>630</v>
      </c>
      <c r="N2392" s="128">
        <v>63499.375</v>
      </c>
      <c r="O2392" s="128">
        <f t="shared" si="101"/>
        <v>5714943.75</v>
      </c>
      <c r="P2392" s="89">
        <v>318</v>
      </c>
      <c r="Q2392" t="s">
        <v>47</v>
      </c>
      <c r="R2392" s="214" t="s">
        <v>1869</v>
      </c>
      <c r="S2392" s="214" t="s">
        <v>1861</v>
      </c>
      <c r="U2392" t="s">
        <v>1953</v>
      </c>
      <c r="V2392" t="s">
        <v>2813</v>
      </c>
    </row>
    <row r="2393" spans="1:22" ht="15.75" thickBot="1" x14ac:dyDescent="0.3">
      <c r="A2393" t="s">
        <v>4590</v>
      </c>
      <c r="B2393" t="s">
        <v>4590</v>
      </c>
      <c r="C2393" t="s">
        <v>4590</v>
      </c>
      <c r="D2393" t="s">
        <v>629</v>
      </c>
      <c r="E2393" s="248" t="s">
        <v>1951</v>
      </c>
      <c r="F2393" t="s">
        <v>620</v>
      </c>
      <c r="G2393" s="89">
        <v>2015</v>
      </c>
      <c r="H2393" s="312" t="s">
        <v>733</v>
      </c>
      <c r="I2393" s="308" t="str">
        <f t="shared" si="100"/>
        <v>Pesado de Passageiros M3: I : Gasóleo : E6</v>
      </c>
      <c r="J2393" s="125">
        <v>90</v>
      </c>
      <c r="K2393" s="253">
        <v>2022</v>
      </c>
      <c r="L2393" s="85">
        <v>25693.670000000024</v>
      </c>
      <c r="M2393" s="85" t="s">
        <v>630</v>
      </c>
      <c r="N2393" s="128">
        <v>60731.375</v>
      </c>
      <c r="O2393" s="128">
        <f t="shared" si="101"/>
        <v>5465823.75</v>
      </c>
      <c r="P2393" s="89">
        <v>319</v>
      </c>
      <c r="Q2393" t="s">
        <v>47</v>
      </c>
      <c r="R2393" s="214" t="s">
        <v>1869</v>
      </c>
      <c r="S2393" s="214" t="s">
        <v>1861</v>
      </c>
      <c r="U2393" t="s">
        <v>1953</v>
      </c>
      <c r="V2393" t="s">
        <v>2813</v>
      </c>
    </row>
    <row r="2394" spans="1:22" ht="15.75" thickBot="1" x14ac:dyDescent="0.3">
      <c r="A2394" t="s">
        <v>4590</v>
      </c>
      <c r="B2394" t="s">
        <v>4590</v>
      </c>
      <c r="C2394" t="s">
        <v>4590</v>
      </c>
      <c r="D2394" t="s">
        <v>629</v>
      </c>
      <c r="E2394" s="248" t="s">
        <v>1951</v>
      </c>
      <c r="F2394" t="s">
        <v>620</v>
      </c>
      <c r="G2394" s="89">
        <v>2015</v>
      </c>
      <c r="H2394" s="312" t="s">
        <v>733</v>
      </c>
      <c r="I2394" s="308" t="str">
        <f t="shared" si="100"/>
        <v>Pesado de Passageiros M3: I : Gasóleo : E6</v>
      </c>
      <c r="J2394" s="125">
        <v>90</v>
      </c>
      <c r="K2394" s="253">
        <v>2022</v>
      </c>
      <c r="L2394" s="85">
        <v>24210.309999999994</v>
      </c>
      <c r="M2394" s="85" t="s">
        <v>630</v>
      </c>
      <c r="N2394" s="128">
        <v>55340.375</v>
      </c>
      <c r="O2394" s="128">
        <f t="shared" si="101"/>
        <v>4980633.75</v>
      </c>
      <c r="P2394" s="89">
        <v>320</v>
      </c>
      <c r="Q2394" t="s">
        <v>47</v>
      </c>
      <c r="R2394" s="214" t="s">
        <v>1869</v>
      </c>
      <c r="S2394" s="214" t="s">
        <v>1861</v>
      </c>
      <c r="U2394" t="s">
        <v>1953</v>
      </c>
      <c r="V2394" t="s">
        <v>2813</v>
      </c>
    </row>
    <row r="2395" spans="1:22" ht="15.75" thickBot="1" x14ac:dyDescent="0.3">
      <c r="A2395" t="s">
        <v>4590</v>
      </c>
      <c r="B2395" t="s">
        <v>4590</v>
      </c>
      <c r="C2395" t="s">
        <v>4590</v>
      </c>
      <c r="D2395" t="s">
        <v>629</v>
      </c>
      <c r="E2395" s="248" t="s">
        <v>1951</v>
      </c>
      <c r="F2395" t="s">
        <v>620</v>
      </c>
      <c r="G2395" s="89">
        <v>2015</v>
      </c>
      <c r="H2395" s="312" t="s">
        <v>733</v>
      </c>
      <c r="I2395" s="308" t="str">
        <f t="shared" si="100"/>
        <v>Pesado de Passageiros M3: I : Gasóleo : E6</v>
      </c>
      <c r="J2395" s="125">
        <v>90</v>
      </c>
      <c r="K2395" s="253">
        <v>2022</v>
      </c>
      <c r="L2395" s="85">
        <v>31869.109999999997</v>
      </c>
      <c r="M2395" s="85" t="s">
        <v>630</v>
      </c>
      <c r="N2395" s="128">
        <v>68314.375</v>
      </c>
      <c r="O2395" s="128">
        <f t="shared" si="101"/>
        <v>6148293.75</v>
      </c>
      <c r="P2395" s="89">
        <v>321</v>
      </c>
      <c r="Q2395" t="s">
        <v>47</v>
      </c>
      <c r="R2395" s="214" t="s">
        <v>1869</v>
      </c>
      <c r="S2395" s="214" t="s">
        <v>1861</v>
      </c>
      <c r="U2395" t="s">
        <v>1953</v>
      </c>
      <c r="V2395" t="s">
        <v>2813</v>
      </c>
    </row>
    <row r="2396" spans="1:22" ht="15.75" thickBot="1" x14ac:dyDescent="0.3">
      <c r="A2396" t="s">
        <v>4590</v>
      </c>
      <c r="B2396" t="s">
        <v>4590</v>
      </c>
      <c r="C2396" t="s">
        <v>4590</v>
      </c>
      <c r="D2396" t="s">
        <v>629</v>
      </c>
      <c r="E2396" s="248" t="s">
        <v>1951</v>
      </c>
      <c r="F2396" t="s">
        <v>620</v>
      </c>
      <c r="G2396" s="89">
        <v>2015</v>
      </c>
      <c r="H2396" s="312" t="s">
        <v>733</v>
      </c>
      <c r="I2396" s="308" t="str">
        <f t="shared" si="100"/>
        <v>Pesado de Passageiros M3: I : Gasóleo : E6</v>
      </c>
      <c r="J2396" s="125">
        <v>90</v>
      </c>
      <c r="K2396" s="253">
        <v>2022</v>
      </c>
      <c r="L2396" s="85">
        <v>26219.35999999999</v>
      </c>
      <c r="M2396" s="85" t="s">
        <v>630</v>
      </c>
      <c r="N2396" s="128">
        <v>58628.375</v>
      </c>
      <c r="O2396" s="128">
        <f t="shared" si="101"/>
        <v>5276553.75</v>
      </c>
      <c r="P2396" s="89">
        <v>322</v>
      </c>
      <c r="Q2396" t="s">
        <v>47</v>
      </c>
      <c r="R2396" s="214" t="s">
        <v>1869</v>
      </c>
      <c r="S2396" s="214" t="s">
        <v>1861</v>
      </c>
      <c r="U2396" t="s">
        <v>1953</v>
      </c>
      <c r="V2396" t="s">
        <v>2813</v>
      </c>
    </row>
    <row r="2397" spans="1:22" ht="15.75" thickBot="1" x14ac:dyDescent="0.3">
      <c r="A2397" t="s">
        <v>4590</v>
      </c>
      <c r="B2397" t="s">
        <v>4590</v>
      </c>
      <c r="C2397" t="s">
        <v>4590</v>
      </c>
      <c r="D2397" t="s">
        <v>629</v>
      </c>
      <c r="E2397" s="248" t="s">
        <v>1951</v>
      </c>
      <c r="F2397" t="s">
        <v>620</v>
      </c>
      <c r="G2397" s="89">
        <v>2015</v>
      </c>
      <c r="H2397" s="312" t="s">
        <v>733</v>
      </c>
      <c r="I2397" s="308" t="str">
        <f t="shared" si="100"/>
        <v>Pesado de Passageiros M3: I : Gasóleo : E6</v>
      </c>
      <c r="J2397" s="125">
        <v>90</v>
      </c>
      <c r="K2397" s="253">
        <v>2022</v>
      </c>
      <c r="L2397" s="85">
        <v>28736.289999999997</v>
      </c>
      <c r="M2397" s="85" t="s">
        <v>630</v>
      </c>
      <c r="N2397" s="128">
        <v>64072.375</v>
      </c>
      <c r="O2397" s="128">
        <f t="shared" si="101"/>
        <v>5766513.75</v>
      </c>
      <c r="P2397" s="89">
        <v>323</v>
      </c>
      <c r="Q2397" t="s">
        <v>47</v>
      </c>
      <c r="R2397" s="214" t="s">
        <v>1869</v>
      </c>
      <c r="S2397" s="214" t="s">
        <v>1861</v>
      </c>
      <c r="U2397" t="s">
        <v>1953</v>
      </c>
      <c r="V2397" t="s">
        <v>2813</v>
      </c>
    </row>
    <row r="2398" spans="1:22" ht="15.75" thickBot="1" x14ac:dyDescent="0.3">
      <c r="A2398" t="s">
        <v>4590</v>
      </c>
      <c r="B2398" t="s">
        <v>4590</v>
      </c>
      <c r="C2398" t="s">
        <v>4590</v>
      </c>
      <c r="D2398" t="s">
        <v>629</v>
      </c>
      <c r="E2398" s="248" t="s">
        <v>1951</v>
      </c>
      <c r="F2398" t="s">
        <v>620</v>
      </c>
      <c r="G2398" s="89">
        <v>2015</v>
      </c>
      <c r="H2398" s="312" t="s">
        <v>733</v>
      </c>
      <c r="I2398" s="308" t="str">
        <f t="shared" si="100"/>
        <v>Pesado de Passageiros M3: I : Gasóleo : E6</v>
      </c>
      <c r="J2398" s="125">
        <v>90</v>
      </c>
      <c r="K2398" s="253">
        <v>2022</v>
      </c>
      <c r="L2398" s="85">
        <v>27307.450000000019</v>
      </c>
      <c r="M2398" s="85" t="s">
        <v>630</v>
      </c>
      <c r="N2398" s="128">
        <v>66936.375</v>
      </c>
      <c r="O2398" s="128">
        <f t="shared" si="101"/>
        <v>6024273.75</v>
      </c>
      <c r="P2398" s="89">
        <v>324</v>
      </c>
      <c r="Q2398" t="s">
        <v>47</v>
      </c>
      <c r="R2398" s="214" t="s">
        <v>1869</v>
      </c>
      <c r="S2398" s="214" t="s">
        <v>1861</v>
      </c>
      <c r="U2398" t="s">
        <v>1953</v>
      </c>
      <c r="V2398" t="s">
        <v>2813</v>
      </c>
    </row>
    <row r="2399" spans="1:22" ht="15.75" thickBot="1" x14ac:dyDescent="0.3">
      <c r="A2399" t="s">
        <v>4590</v>
      </c>
      <c r="B2399" t="s">
        <v>4590</v>
      </c>
      <c r="C2399" t="s">
        <v>4590</v>
      </c>
      <c r="D2399" t="s">
        <v>629</v>
      </c>
      <c r="E2399" s="248" t="s">
        <v>1951</v>
      </c>
      <c r="F2399" t="s">
        <v>620</v>
      </c>
      <c r="G2399" s="89">
        <v>2015</v>
      </c>
      <c r="H2399" s="312" t="s">
        <v>733</v>
      </c>
      <c r="I2399" s="308" t="str">
        <f t="shared" si="100"/>
        <v>Pesado de Passageiros M3: I : Gasóleo : E6</v>
      </c>
      <c r="J2399" s="125">
        <v>90</v>
      </c>
      <c r="K2399" s="253">
        <v>2022</v>
      </c>
      <c r="L2399" s="85">
        <v>30600.819999999996</v>
      </c>
      <c r="M2399" s="85" t="s">
        <v>630</v>
      </c>
      <c r="N2399" s="128">
        <v>72244.375</v>
      </c>
      <c r="O2399" s="128">
        <f t="shared" si="101"/>
        <v>6501993.75</v>
      </c>
      <c r="P2399" s="89">
        <v>325</v>
      </c>
      <c r="Q2399" t="s">
        <v>47</v>
      </c>
      <c r="R2399" s="214" t="s">
        <v>1869</v>
      </c>
      <c r="S2399" s="214" t="s">
        <v>1861</v>
      </c>
      <c r="U2399" t="s">
        <v>1953</v>
      </c>
      <c r="V2399" t="s">
        <v>2813</v>
      </c>
    </row>
    <row r="2400" spans="1:22" ht="15.75" thickBot="1" x14ac:dyDescent="0.3">
      <c r="A2400" t="s">
        <v>4590</v>
      </c>
      <c r="B2400" t="s">
        <v>4590</v>
      </c>
      <c r="C2400" t="s">
        <v>4590</v>
      </c>
      <c r="D2400" t="s">
        <v>629</v>
      </c>
      <c r="E2400" s="248" t="s">
        <v>1951</v>
      </c>
      <c r="F2400" t="s">
        <v>620</v>
      </c>
      <c r="G2400" s="89">
        <v>2015</v>
      </c>
      <c r="H2400" s="312" t="s">
        <v>733</v>
      </c>
      <c r="I2400" s="308" t="str">
        <f t="shared" si="100"/>
        <v>Pesado de Passageiros M3: I : Gasóleo : E6</v>
      </c>
      <c r="J2400" s="125">
        <v>90</v>
      </c>
      <c r="K2400" s="253">
        <v>2022</v>
      </c>
      <c r="L2400" s="85">
        <v>20834.940000000006</v>
      </c>
      <c r="M2400" s="85" t="s">
        <v>630</v>
      </c>
      <c r="N2400" s="128">
        <v>50439.375</v>
      </c>
      <c r="O2400" s="128">
        <f t="shared" si="101"/>
        <v>4539543.75</v>
      </c>
      <c r="P2400" s="89">
        <v>326</v>
      </c>
      <c r="Q2400" t="s">
        <v>47</v>
      </c>
      <c r="R2400" s="214" t="s">
        <v>1869</v>
      </c>
      <c r="S2400" s="214" t="s">
        <v>1861</v>
      </c>
      <c r="U2400" t="s">
        <v>1953</v>
      </c>
      <c r="V2400" t="s">
        <v>2813</v>
      </c>
    </row>
    <row r="2401" spans="1:22" ht="15.75" thickBot="1" x14ac:dyDescent="0.3">
      <c r="A2401" t="s">
        <v>4590</v>
      </c>
      <c r="B2401" t="s">
        <v>4590</v>
      </c>
      <c r="C2401" t="s">
        <v>4590</v>
      </c>
      <c r="D2401" t="s">
        <v>629</v>
      </c>
      <c r="E2401" s="248" t="s">
        <v>1951</v>
      </c>
      <c r="F2401" t="s">
        <v>620</v>
      </c>
      <c r="G2401" s="89">
        <v>2015</v>
      </c>
      <c r="H2401" s="312" t="s">
        <v>733</v>
      </c>
      <c r="I2401" s="308" t="str">
        <f t="shared" si="100"/>
        <v>Pesado de Passageiros M3: I : Gasóleo : E6</v>
      </c>
      <c r="J2401" s="125">
        <v>90</v>
      </c>
      <c r="K2401" s="253">
        <v>2022</v>
      </c>
      <c r="L2401" s="85">
        <v>29404.12000000001</v>
      </c>
      <c r="M2401" s="85" t="s">
        <v>630</v>
      </c>
      <c r="N2401" s="128">
        <v>67488.375</v>
      </c>
      <c r="O2401" s="128">
        <f t="shared" si="101"/>
        <v>6073953.75</v>
      </c>
      <c r="P2401" s="89">
        <v>327</v>
      </c>
      <c r="Q2401" t="s">
        <v>47</v>
      </c>
      <c r="R2401" s="214" t="s">
        <v>1869</v>
      </c>
      <c r="S2401" s="214" t="s">
        <v>1861</v>
      </c>
      <c r="U2401" t="s">
        <v>1953</v>
      </c>
      <c r="V2401" t="s">
        <v>2813</v>
      </c>
    </row>
    <row r="2402" spans="1:22" ht="15.75" thickBot="1" x14ac:dyDescent="0.3">
      <c r="A2402" t="s">
        <v>4590</v>
      </c>
      <c r="B2402" t="s">
        <v>4590</v>
      </c>
      <c r="C2402" t="s">
        <v>4590</v>
      </c>
      <c r="D2402" t="s">
        <v>629</v>
      </c>
      <c r="E2402" s="248" t="s">
        <v>1951</v>
      </c>
      <c r="F2402" t="s">
        <v>620</v>
      </c>
      <c r="G2402" s="89">
        <v>2015</v>
      </c>
      <c r="H2402" s="312" t="s">
        <v>733</v>
      </c>
      <c r="I2402" s="308" t="str">
        <f t="shared" si="100"/>
        <v>Pesado de Passageiros M3: I : Gasóleo : E6</v>
      </c>
      <c r="J2402" s="125">
        <v>90</v>
      </c>
      <c r="K2402" s="253">
        <v>2022</v>
      </c>
      <c r="L2402" s="85">
        <v>22618.30000000001</v>
      </c>
      <c r="M2402" s="85" t="s">
        <v>630</v>
      </c>
      <c r="N2402" s="128">
        <v>51979.375</v>
      </c>
      <c r="O2402" s="128">
        <f t="shared" si="101"/>
        <v>4678143.75</v>
      </c>
      <c r="P2402" s="89">
        <v>328</v>
      </c>
      <c r="Q2402" t="s">
        <v>47</v>
      </c>
      <c r="R2402" s="214" t="s">
        <v>1869</v>
      </c>
      <c r="S2402" s="214" t="s">
        <v>1861</v>
      </c>
      <c r="U2402" t="s">
        <v>1953</v>
      </c>
      <c r="V2402" t="s">
        <v>2813</v>
      </c>
    </row>
    <row r="2403" spans="1:22" ht="15.75" thickBot="1" x14ac:dyDescent="0.3">
      <c r="A2403" t="s">
        <v>4590</v>
      </c>
      <c r="B2403" t="s">
        <v>4590</v>
      </c>
      <c r="C2403" t="s">
        <v>4590</v>
      </c>
      <c r="D2403" t="s">
        <v>629</v>
      </c>
      <c r="E2403" s="248" t="s">
        <v>1951</v>
      </c>
      <c r="F2403" t="s">
        <v>620</v>
      </c>
      <c r="G2403" s="89">
        <v>2015</v>
      </c>
      <c r="H2403" s="312" t="s">
        <v>733</v>
      </c>
      <c r="I2403" s="308" t="str">
        <f t="shared" si="100"/>
        <v>Pesado de Passageiros M3: I : Gasóleo : E6</v>
      </c>
      <c r="J2403" s="125">
        <v>90</v>
      </c>
      <c r="K2403" s="253">
        <v>2022</v>
      </c>
      <c r="L2403" s="85">
        <v>13559.469999999994</v>
      </c>
      <c r="M2403" s="85" t="s">
        <v>630</v>
      </c>
      <c r="N2403" s="128">
        <v>32165.375</v>
      </c>
      <c r="O2403" s="128">
        <f t="shared" si="101"/>
        <v>2894883.75</v>
      </c>
      <c r="P2403" s="89">
        <v>329</v>
      </c>
      <c r="Q2403" t="s">
        <v>47</v>
      </c>
      <c r="R2403" s="214" t="s">
        <v>1869</v>
      </c>
      <c r="S2403" s="214" t="s">
        <v>1861</v>
      </c>
      <c r="U2403" t="s">
        <v>1953</v>
      </c>
      <c r="V2403" t="s">
        <v>2813</v>
      </c>
    </row>
    <row r="2404" spans="1:22" ht="15.75" thickBot="1" x14ac:dyDescent="0.3">
      <c r="A2404" t="s">
        <v>4590</v>
      </c>
      <c r="B2404" t="s">
        <v>4590</v>
      </c>
      <c r="C2404" t="s">
        <v>4590</v>
      </c>
      <c r="D2404" t="s">
        <v>629</v>
      </c>
      <c r="E2404" s="248" t="s">
        <v>1951</v>
      </c>
      <c r="F2404" t="s">
        <v>620</v>
      </c>
      <c r="G2404" s="89">
        <v>2015</v>
      </c>
      <c r="H2404" s="312" t="s">
        <v>733</v>
      </c>
      <c r="I2404" s="308" t="str">
        <f t="shared" si="100"/>
        <v>Pesado de Passageiros M3: I : Gasóleo : E6</v>
      </c>
      <c r="J2404" s="125">
        <v>90</v>
      </c>
      <c r="K2404" s="253">
        <v>2022</v>
      </c>
      <c r="L2404" s="85">
        <v>25049.340000000018</v>
      </c>
      <c r="M2404" s="85" t="s">
        <v>630</v>
      </c>
      <c r="N2404" s="128">
        <v>58858.375</v>
      </c>
      <c r="O2404" s="128">
        <f t="shared" si="101"/>
        <v>5297253.75</v>
      </c>
      <c r="P2404" s="89">
        <v>330</v>
      </c>
      <c r="Q2404" t="s">
        <v>47</v>
      </c>
      <c r="R2404" s="214" t="s">
        <v>1869</v>
      </c>
      <c r="S2404" s="214" t="s">
        <v>1861</v>
      </c>
      <c r="U2404" t="s">
        <v>1953</v>
      </c>
      <c r="V2404" t="s">
        <v>2813</v>
      </c>
    </row>
    <row r="2405" spans="1:22" ht="15.75" thickBot="1" x14ac:dyDescent="0.3">
      <c r="A2405" t="s">
        <v>4590</v>
      </c>
      <c r="B2405" t="s">
        <v>4590</v>
      </c>
      <c r="C2405" t="s">
        <v>4590</v>
      </c>
      <c r="D2405" t="s">
        <v>629</v>
      </c>
      <c r="E2405" s="248" t="s">
        <v>1951</v>
      </c>
      <c r="F2405" t="s">
        <v>620</v>
      </c>
      <c r="G2405" s="89">
        <v>2015</v>
      </c>
      <c r="H2405" s="312" t="s">
        <v>733</v>
      </c>
      <c r="I2405" s="308" t="str">
        <f t="shared" si="100"/>
        <v>Pesado de Passageiros M3: I : Gasóleo : E6</v>
      </c>
      <c r="J2405" s="125">
        <v>90</v>
      </c>
      <c r="K2405" s="253">
        <v>2022</v>
      </c>
      <c r="L2405" s="85">
        <v>25989.350000000009</v>
      </c>
      <c r="M2405" s="85" t="s">
        <v>630</v>
      </c>
      <c r="N2405" s="128">
        <v>59046.375</v>
      </c>
      <c r="O2405" s="128">
        <f t="shared" si="101"/>
        <v>5314173.75</v>
      </c>
      <c r="P2405" s="89">
        <v>331</v>
      </c>
      <c r="Q2405" t="s">
        <v>47</v>
      </c>
      <c r="R2405" s="214" t="s">
        <v>1869</v>
      </c>
      <c r="S2405" s="214" t="s">
        <v>1861</v>
      </c>
      <c r="U2405" t="s">
        <v>1953</v>
      </c>
      <c r="V2405" t="s">
        <v>2813</v>
      </c>
    </row>
    <row r="2406" spans="1:22" ht="15.75" thickBot="1" x14ac:dyDescent="0.3">
      <c r="A2406" t="s">
        <v>4590</v>
      </c>
      <c r="B2406" t="s">
        <v>4590</v>
      </c>
      <c r="C2406" t="s">
        <v>4590</v>
      </c>
      <c r="D2406" t="s">
        <v>629</v>
      </c>
      <c r="E2406" s="248" t="s">
        <v>1951</v>
      </c>
      <c r="F2406" t="s">
        <v>620</v>
      </c>
      <c r="G2406" s="89">
        <v>2015</v>
      </c>
      <c r="H2406" s="312" t="s">
        <v>733</v>
      </c>
      <c r="I2406" s="308" t="str">
        <f t="shared" si="100"/>
        <v>Pesado de Passageiros M3: I : Gasóleo : E6</v>
      </c>
      <c r="J2406" s="125">
        <v>90</v>
      </c>
      <c r="K2406" s="253">
        <v>2022</v>
      </c>
      <c r="L2406" s="85">
        <v>28818.91</v>
      </c>
      <c r="M2406" s="85" t="s">
        <v>630</v>
      </c>
      <c r="N2406" s="128">
        <v>64325.375</v>
      </c>
      <c r="O2406" s="128">
        <f t="shared" si="101"/>
        <v>5789283.75</v>
      </c>
      <c r="P2406" s="89">
        <v>332</v>
      </c>
      <c r="Q2406" t="s">
        <v>47</v>
      </c>
      <c r="R2406" s="214" t="s">
        <v>1869</v>
      </c>
      <c r="S2406" s="214" t="s">
        <v>1861</v>
      </c>
      <c r="U2406" t="s">
        <v>1953</v>
      </c>
      <c r="V2406" t="s">
        <v>2813</v>
      </c>
    </row>
    <row r="2407" spans="1:22" ht="15.75" thickBot="1" x14ac:dyDescent="0.3">
      <c r="A2407" t="s">
        <v>4590</v>
      </c>
      <c r="B2407" t="s">
        <v>4590</v>
      </c>
      <c r="C2407" t="s">
        <v>4590</v>
      </c>
      <c r="D2407" t="s">
        <v>629</v>
      </c>
      <c r="E2407" s="248" t="s">
        <v>1951</v>
      </c>
      <c r="F2407" t="s">
        <v>620</v>
      </c>
      <c r="G2407" s="89">
        <v>2015</v>
      </c>
      <c r="H2407" s="312" t="s">
        <v>733</v>
      </c>
      <c r="I2407" s="308" t="str">
        <f t="shared" si="100"/>
        <v>Pesado de Passageiros M3: I : Gasóleo : E6</v>
      </c>
      <c r="J2407" s="125">
        <v>90</v>
      </c>
      <c r="K2407" s="253">
        <v>2022</v>
      </c>
      <c r="L2407" s="85">
        <v>24526.979999999985</v>
      </c>
      <c r="M2407" s="85" t="s">
        <v>630</v>
      </c>
      <c r="N2407" s="128">
        <v>53849.375</v>
      </c>
      <c r="O2407" s="128">
        <f t="shared" si="101"/>
        <v>4846443.75</v>
      </c>
      <c r="P2407" s="89">
        <v>333</v>
      </c>
      <c r="Q2407" t="s">
        <v>47</v>
      </c>
      <c r="R2407" s="214" t="s">
        <v>1869</v>
      </c>
      <c r="S2407" s="214" t="s">
        <v>1861</v>
      </c>
      <c r="U2407" t="s">
        <v>1953</v>
      </c>
      <c r="V2407" t="s">
        <v>2813</v>
      </c>
    </row>
    <row r="2408" spans="1:22" ht="15.75" thickBot="1" x14ac:dyDescent="0.3">
      <c r="A2408" t="s">
        <v>4590</v>
      </c>
      <c r="B2408" t="s">
        <v>4590</v>
      </c>
      <c r="C2408" t="s">
        <v>4590</v>
      </c>
      <c r="D2408" t="s">
        <v>629</v>
      </c>
      <c r="E2408" s="248" t="s">
        <v>1951</v>
      </c>
      <c r="F2408" t="s">
        <v>620</v>
      </c>
      <c r="G2408" s="89">
        <v>2015</v>
      </c>
      <c r="H2408" s="312" t="s">
        <v>733</v>
      </c>
      <c r="I2408" s="308" t="str">
        <f t="shared" si="100"/>
        <v>Pesado de Passageiros M3: I : Gasóleo : E6</v>
      </c>
      <c r="J2408" s="125">
        <v>90</v>
      </c>
      <c r="K2408" s="253">
        <v>2022</v>
      </c>
      <c r="L2408" s="85">
        <v>27680.14</v>
      </c>
      <c r="M2408" s="85" t="s">
        <v>630</v>
      </c>
      <c r="N2408" s="128">
        <v>59620.375</v>
      </c>
      <c r="O2408" s="128">
        <f t="shared" si="101"/>
        <v>5365833.75</v>
      </c>
      <c r="P2408" s="89">
        <v>334</v>
      </c>
      <c r="Q2408" t="s">
        <v>47</v>
      </c>
      <c r="R2408" s="214" t="s">
        <v>1869</v>
      </c>
      <c r="S2408" s="214" t="s">
        <v>1861</v>
      </c>
      <c r="U2408" t="s">
        <v>1953</v>
      </c>
      <c r="V2408" t="s">
        <v>2813</v>
      </c>
    </row>
    <row r="2409" spans="1:22" ht="15.75" thickBot="1" x14ac:dyDescent="0.3">
      <c r="A2409" t="s">
        <v>4590</v>
      </c>
      <c r="B2409" t="s">
        <v>4590</v>
      </c>
      <c r="C2409" t="s">
        <v>4590</v>
      </c>
      <c r="D2409" t="s">
        <v>629</v>
      </c>
      <c r="E2409" s="248" t="s">
        <v>1951</v>
      </c>
      <c r="F2409" t="s">
        <v>620</v>
      </c>
      <c r="G2409" s="89">
        <v>2015</v>
      </c>
      <c r="H2409" s="312" t="s">
        <v>733</v>
      </c>
      <c r="I2409" s="308" t="str">
        <f t="shared" si="100"/>
        <v>Pesado de Passageiros M3: I : Gasóleo : E6</v>
      </c>
      <c r="J2409" s="125">
        <v>90</v>
      </c>
      <c r="K2409" s="253">
        <v>2022</v>
      </c>
      <c r="L2409" s="85">
        <v>25379.539999999968</v>
      </c>
      <c r="M2409" s="85" t="s">
        <v>630</v>
      </c>
      <c r="N2409" s="128">
        <v>58684.375</v>
      </c>
      <c r="O2409" s="128">
        <f t="shared" si="101"/>
        <v>5281593.75</v>
      </c>
      <c r="P2409" s="89">
        <v>335</v>
      </c>
      <c r="Q2409" t="s">
        <v>47</v>
      </c>
      <c r="R2409" s="214" t="s">
        <v>1869</v>
      </c>
      <c r="S2409" s="214" t="s">
        <v>1861</v>
      </c>
      <c r="U2409" t="s">
        <v>1953</v>
      </c>
      <c r="V2409" t="s">
        <v>2813</v>
      </c>
    </row>
    <row r="2410" spans="1:22" ht="15.75" thickBot="1" x14ac:dyDescent="0.3">
      <c r="A2410" t="s">
        <v>4590</v>
      </c>
      <c r="B2410" t="s">
        <v>4590</v>
      </c>
      <c r="C2410" t="s">
        <v>4590</v>
      </c>
      <c r="D2410" t="s">
        <v>629</v>
      </c>
      <c r="E2410" s="248" t="s">
        <v>1951</v>
      </c>
      <c r="F2410" t="s">
        <v>620</v>
      </c>
      <c r="G2410" s="89">
        <v>2003</v>
      </c>
      <c r="H2410" s="312" t="s">
        <v>732</v>
      </c>
      <c r="I2410" s="308" t="str">
        <f t="shared" si="100"/>
        <v>Pesado de Passageiros M3: I : Gasóleo : E3</v>
      </c>
      <c r="J2410" s="125">
        <v>79</v>
      </c>
      <c r="K2410" s="253">
        <v>2022</v>
      </c>
      <c r="L2410" s="85">
        <v>10630.660000000002</v>
      </c>
      <c r="M2410" s="85" t="s">
        <v>630</v>
      </c>
      <c r="N2410" s="128">
        <v>25736.375</v>
      </c>
      <c r="O2410" s="128">
        <f t="shared" si="101"/>
        <v>2033173.625</v>
      </c>
      <c r="P2410" s="89">
        <v>284</v>
      </c>
      <c r="Q2410" t="s">
        <v>47</v>
      </c>
      <c r="R2410" s="214" t="s">
        <v>1869</v>
      </c>
      <c r="S2410" s="214" t="s">
        <v>1861</v>
      </c>
      <c r="U2410" t="s">
        <v>1953</v>
      </c>
      <c r="V2410" t="s">
        <v>2813</v>
      </c>
    </row>
    <row r="2411" spans="1:22" ht="15.75" thickBot="1" x14ac:dyDescent="0.3">
      <c r="A2411" t="s">
        <v>4590</v>
      </c>
      <c r="B2411" t="s">
        <v>4590</v>
      </c>
      <c r="C2411" t="s">
        <v>4590</v>
      </c>
      <c r="D2411" t="s">
        <v>629</v>
      </c>
      <c r="E2411" s="248" t="s">
        <v>1951</v>
      </c>
      <c r="F2411" t="s">
        <v>620</v>
      </c>
      <c r="G2411" s="89">
        <v>2003</v>
      </c>
      <c r="H2411" s="312" t="s">
        <v>732</v>
      </c>
      <c r="I2411" s="308" t="str">
        <f t="shared" si="100"/>
        <v>Pesado de Passageiros M3: I : Gasóleo : E3</v>
      </c>
      <c r="J2411" s="125">
        <v>79</v>
      </c>
      <c r="K2411" s="253">
        <v>2022</v>
      </c>
      <c r="L2411" s="85">
        <v>21578.089999999997</v>
      </c>
      <c r="M2411" s="85" t="s">
        <v>630</v>
      </c>
      <c r="N2411" s="128">
        <v>46618.375</v>
      </c>
      <c r="O2411" s="128">
        <f t="shared" si="101"/>
        <v>3682851.625</v>
      </c>
      <c r="P2411" s="89">
        <v>285</v>
      </c>
      <c r="Q2411" t="s">
        <v>47</v>
      </c>
      <c r="R2411" s="214" t="s">
        <v>1869</v>
      </c>
      <c r="S2411" s="214" t="s">
        <v>1861</v>
      </c>
      <c r="U2411" t="s">
        <v>1953</v>
      </c>
      <c r="V2411" t="s">
        <v>2813</v>
      </c>
    </row>
    <row r="2412" spans="1:22" ht="15.75" thickBot="1" x14ac:dyDescent="0.3">
      <c r="A2412" t="s">
        <v>4590</v>
      </c>
      <c r="B2412" t="s">
        <v>4590</v>
      </c>
      <c r="C2412" t="s">
        <v>4590</v>
      </c>
      <c r="D2412" t="s">
        <v>629</v>
      </c>
      <c r="E2412" s="248" t="s">
        <v>1951</v>
      </c>
      <c r="F2412" t="s">
        <v>620</v>
      </c>
      <c r="G2412" s="89">
        <v>2003</v>
      </c>
      <c r="H2412" s="312" t="s">
        <v>732</v>
      </c>
      <c r="I2412" s="308" t="str">
        <f t="shared" si="100"/>
        <v>Pesado de Passageiros M3: I : Gasóleo : E3</v>
      </c>
      <c r="J2412" s="125">
        <v>79</v>
      </c>
      <c r="K2412" s="253">
        <v>2022</v>
      </c>
      <c r="L2412" s="85">
        <v>10697.74</v>
      </c>
      <c r="M2412" s="85" t="s">
        <v>630</v>
      </c>
      <c r="N2412" s="128">
        <v>24653.375</v>
      </c>
      <c r="O2412" s="128">
        <f t="shared" si="101"/>
        <v>1947616.625</v>
      </c>
      <c r="P2412" s="89">
        <v>286</v>
      </c>
      <c r="Q2412" t="s">
        <v>47</v>
      </c>
      <c r="R2412" s="214" t="s">
        <v>1869</v>
      </c>
      <c r="S2412" s="214" t="s">
        <v>1861</v>
      </c>
      <c r="U2412" t="s">
        <v>1953</v>
      </c>
      <c r="V2412" t="s">
        <v>2813</v>
      </c>
    </row>
    <row r="2413" spans="1:22" ht="15.75" thickBot="1" x14ac:dyDescent="0.3">
      <c r="A2413" t="s">
        <v>4590</v>
      </c>
      <c r="B2413" t="s">
        <v>4590</v>
      </c>
      <c r="C2413" t="s">
        <v>4590</v>
      </c>
      <c r="D2413" t="s">
        <v>629</v>
      </c>
      <c r="E2413" s="248" t="s">
        <v>1951</v>
      </c>
      <c r="F2413" t="s">
        <v>620</v>
      </c>
      <c r="G2413" s="89">
        <v>2003</v>
      </c>
      <c r="H2413" s="312" t="s">
        <v>732</v>
      </c>
      <c r="I2413" s="308" t="str">
        <f t="shared" si="100"/>
        <v>Pesado de Passageiros M3: I : Gasóleo : E3</v>
      </c>
      <c r="J2413" s="125">
        <v>79</v>
      </c>
      <c r="K2413" s="253">
        <v>2022</v>
      </c>
      <c r="L2413" s="85">
        <v>15942.009999999993</v>
      </c>
      <c r="M2413" s="85" t="s">
        <v>630</v>
      </c>
      <c r="N2413" s="128">
        <v>38853.078549060505</v>
      </c>
      <c r="O2413" s="128">
        <f t="shared" si="101"/>
        <v>3069393.2053757799</v>
      </c>
      <c r="P2413" s="89">
        <v>287</v>
      </c>
      <c r="Q2413" t="s">
        <v>47</v>
      </c>
      <c r="R2413" s="214" t="s">
        <v>1869</v>
      </c>
      <c r="S2413" s="214" t="s">
        <v>1861</v>
      </c>
      <c r="U2413" t="s">
        <v>1953</v>
      </c>
      <c r="V2413" t="s">
        <v>2813</v>
      </c>
    </row>
    <row r="2414" spans="1:22" ht="15.75" thickBot="1" x14ac:dyDescent="0.3">
      <c r="A2414" t="s">
        <v>2817</v>
      </c>
      <c r="B2414" t="s">
        <v>2817</v>
      </c>
      <c r="C2414" t="s">
        <v>2817</v>
      </c>
      <c r="D2414" t="s">
        <v>629</v>
      </c>
      <c r="E2414" s="248" t="s">
        <v>1853</v>
      </c>
      <c r="F2414" t="s">
        <v>620</v>
      </c>
      <c r="G2414" s="89">
        <v>1999</v>
      </c>
      <c r="H2414" s="314" t="s">
        <v>2231</v>
      </c>
      <c r="I2414" s="308" t="str">
        <f t="shared" si="100"/>
        <v>Pesado de Passageiros M3: III : Gasóleo : Geral</v>
      </c>
      <c r="J2414" s="254">
        <v>49</v>
      </c>
      <c r="K2414" s="253">
        <v>2022</v>
      </c>
      <c r="L2414" s="85"/>
      <c r="M2414" s="85" t="s">
        <v>630</v>
      </c>
      <c r="N2414" s="128"/>
      <c r="O2414" s="128">
        <f t="shared" si="101"/>
        <v>0</v>
      </c>
      <c r="P2414" s="89">
        <v>270</v>
      </c>
      <c r="Q2414" t="s">
        <v>47</v>
      </c>
      <c r="R2414" s="214" t="s">
        <v>1869</v>
      </c>
      <c r="S2414" s="214" t="s">
        <v>1861</v>
      </c>
      <c r="T2414" t="s">
        <v>2628</v>
      </c>
      <c r="U2414" t="s">
        <v>1953</v>
      </c>
      <c r="V2414" t="s">
        <v>2813</v>
      </c>
    </row>
    <row r="2415" spans="1:22" ht="15.75" thickBot="1" x14ac:dyDescent="0.3">
      <c r="A2415" t="s">
        <v>2817</v>
      </c>
      <c r="B2415" t="s">
        <v>2817</v>
      </c>
      <c r="C2415" t="s">
        <v>2817</v>
      </c>
      <c r="D2415" t="s">
        <v>629</v>
      </c>
      <c r="E2415" s="248" t="s">
        <v>1853</v>
      </c>
      <c r="F2415" t="s">
        <v>620</v>
      </c>
      <c r="G2415" s="89">
        <v>2000</v>
      </c>
      <c r="H2415" s="314" t="s">
        <v>2231</v>
      </c>
      <c r="I2415" s="308" t="str">
        <f t="shared" si="100"/>
        <v>Pesado de Passageiros M3: III : Gasóleo : Geral</v>
      </c>
      <c r="J2415" s="254">
        <v>49</v>
      </c>
      <c r="K2415" s="253">
        <v>2022</v>
      </c>
      <c r="L2415" s="85"/>
      <c r="M2415" s="85" t="s">
        <v>630</v>
      </c>
      <c r="N2415" s="128"/>
      <c r="O2415" s="128">
        <f t="shared" si="101"/>
        <v>0</v>
      </c>
      <c r="P2415" s="89">
        <v>272</v>
      </c>
      <c r="Q2415" t="s">
        <v>47</v>
      </c>
      <c r="R2415" s="214" t="s">
        <v>1869</v>
      </c>
      <c r="S2415" s="214" t="s">
        <v>1861</v>
      </c>
      <c r="T2415" t="s">
        <v>2628</v>
      </c>
      <c r="U2415" t="s">
        <v>1953</v>
      </c>
      <c r="V2415" t="s">
        <v>2813</v>
      </c>
    </row>
    <row r="2416" spans="1:22" ht="15.75" thickBot="1" x14ac:dyDescent="0.3">
      <c r="A2416" t="s">
        <v>2817</v>
      </c>
      <c r="B2416" t="s">
        <v>2817</v>
      </c>
      <c r="C2416" t="s">
        <v>2817</v>
      </c>
      <c r="D2416" t="s">
        <v>629</v>
      </c>
      <c r="E2416" s="248" t="s">
        <v>1853</v>
      </c>
      <c r="F2416" t="s">
        <v>620</v>
      </c>
      <c r="G2416" s="89">
        <v>2001</v>
      </c>
      <c r="H2416" s="314" t="s">
        <v>2231</v>
      </c>
      <c r="I2416" s="308" t="str">
        <f t="shared" si="100"/>
        <v>Pesado de Passageiros M3: III : Gasóleo : Geral</v>
      </c>
      <c r="J2416" s="254">
        <v>51</v>
      </c>
      <c r="K2416" s="253">
        <v>2022</v>
      </c>
      <c r="L2416" s="85"/>
      <c r="M2416" s="85" t="s">
        <v>630</v>
      </c>
      <c r="N2416" s="128"/>
      <c r="O2416" s="128">
        <f t="shared" si="101"/>
        <v>0</v>
      </c>
      <c r="P2416" s="89">
        <v>280</v>
      </c>
      <c r="Q2416" t="s">
        <v>47</v>
      </c>
      <c r="R2416" s="214" t="s">
        <v>1869</v>
      </c>
      <c r="S2416" s="214" t="s">
        <v>1861</v>
      </c>
      <c r="T2416" t="s">
        <v>2628</v>
      </c>
      <c r="U2416" t="s">
        <v>1953</v>
      </c>
      <c r="V2416" t="s">
        <v>2813</v>
      </c>
    </row>
    <row r="2417" spans="1:22" ht="15.75" thickBot="1" x14ac:dyDescent="0.3">
      <c r="A2417" t="s">
        <v>2817</v>
      </c>
      <c r="B2417" t="s">
        <v>2817</v>
      </c>
      <c r="C2417" t="s">
        <v>2817</v>
      </c>
      <c r="D2417" t="s">
        <v>629</v>
      </c>
      <c r="E2417" s="248" t="s">
        <v>1853</v>
      </c>
      <c r="F2417" t="s">
        <v>620</v>
      </c>
      <c r="G2417" s="89">
        <v>2001</v>
      </c>
      <c r="H2417" s="314" t="s">
        <v>2231</v>
      </c>
      <c r="I2417" s="308" t="str">
        <f t="shared" si="100"/>
        <v>Pesado de Passageiros M3: III : Gasóleo : Geral</v>
      </c>
      <c r="J2417" s="254">
        <v>51</v>
      </c>
      <c r="K2417" s="253">
        <v>2022</v>
      </c>
      <c r="L2417" s="85">
        <v>146.9</v>
      </c>
      <c r="M2417" s="85" t="s">
        <v>630</v>
      </c>
      <c r="N2417" s="128">
        <v>488</v>
      </c>
      <c r="O2417" s="128">
        <f t="shared" si="101"/>
        <v>24888</v>
      </c>
      <c r="P2417" s="89">
        <v>286</v>
      </c>
      <c r="Q2417" t="s">
        <v>47</v>
      </c>
      <c r="R2417" s="214" t="s">
        <v>1869</v>
      </c>
      <c r="S2417" s="214" t="s">
        <v>1861</v>
      </c>
      <c r="T2417" t="s">
        <v>2628</v>
      </c>
      <c r="U2417" t="s">
        <v>1953</v>
      </c>
      <c r="V2417" t="s">
        <v>2813</v>
      </c>
    </row>
    <row r="2418" spans="1:22" ht="15.75" thickBot="1" x14ac:dyDescent="0.3">
      <c r="A2418" t="s">
        <v>2817</v>
      </c>
      <c r="B2418" t="s">
        <v>2817</v>
      </c>
      <c r="C2418" t="s">
        <v>2817</v>
      </c>
      <c r="D2418" t="s">
        <v>629</v>
      </c>
      <c r="E2418" s="248" t="s">
        <v>1853</v>
      </c>
      <c r="F2418" t="s">
        <v>620</v>
      </c>
      <c r="G2418" s="89">
        <v>1999</v>
      </c>
      <c r="H2418" s="314" t="s">
        <v>2231</v>
      </c>
      <c r="I2418" s="308" t="str">
        <f t="shared" si="100"/>
        <v>Pesado de Passageiros M3: III : Gasóleo : Geral</v>
      </c>
      <c r="J2418" s="254">
        <v>49</v>
      </c>
      <c r="K2418" s="253">
        <v>2022</v>
      </c>
      <c r="L2418" s="85"/>
      <c r="M2418" s="85" t="s">
        <v>630</v>
      </c>
      <c r="N2418" s="128"/>
      <c r="O2418" s="128">
        <f t="shared" si="101"/>
        <v>0</v>
      </c>
      <c r="P2418" s="89">
        <v>298</v>
      </c>
      <c r="Q2418" t="s">
        <v>47</v>
      </c>
      <c r="R2418" s="214" t="s">
        <v>1869</v>
      </c>
      <c r="S2418" s="214" t="s">
        <v>1861</v>
      </c>
      <c r="T2418" t="s">
        <v>2628</v>
      </c>
      <c r="U2418" t="s">
        <v>1953</v>
      </c>
      <c r="V2418" t="s">
        <v>2813</v>
      </c>
    </row>
    <row r="2419" spans="1:22" ht="15.75" thickBot="1" x14ac:dyDescent="0.3">
      <c r="A2419" t="s">
        <v>2817</v>
      </c>
      <c r="B2419" t="s">
        <v>2817</v>
      </c>
      <c r="C2419" t="s">
        <v>2817</v>
      </c>
      <c r="D2419" t="s">
        <v>629</v>
      </c>
      <c r="E2419" s="248" t="s">
        <v>1853</v>
      </c>
      <c r="F2419" t="s">
        <v>620</v>
      </c>
      <c r="G2419" s="89">
        <v>2000</v>
      </c>
      <c r="H2419" s="314" t="s">
        <v>2231</v>
      </c>
      <c r="I2419" s="308" t="str">
        <f t="shared" si="100"/>
        <v>Pesado de Passageiros M3: III : Gasóleo : Geral</v>
      </c>
      <c r="J2419" s="254">
        <v>50</v>
      </c>
      <c r="K2419" s="253">
        <v>2022</v>
      </c>
      <c r="L2419" s="85"/>
      <c r="M2419" s="85" t="s">
        <v>630</v>
      </c>
      <c r="N2419" s="128"/>
      <c r="O2419" s="128">
        <f t="shared" si="101"/>
        <v>0</v>
      </c>
      <c r="P2419" s="89">
        <v>300</v>
      </c>
      <c r="Q2419" t="s">
        <v>47</v>
      </c>
      <c r="R2419" s="214" t="s">
        <v>1869</v>
      </c>
      <c r="S2419" s="214" t="s">
        <v>1861</v>
      </c>
      <c r="T2419" t="s">
        <v>2628</v>
      </c>
      <c r="U2419" t="s">
        <v>1953</v>
      </c>
      <c r="V2419" t="s">
        <v>2813</v>
      </c>
    </row>
    <row r="2420" spans="1:22" ht="15.75" thickBot="1" x14ac:dyDescent="0.3">
      <c r="A2420" t="s">
        <v>2817</v>
      </c>
      <c r="B2420" t="s">
        <v>2817</v>
      </c>
      <c r="C2420" t="s">
        <v>2817</v>
      </c>
      <c r="D2420" t="s">
        <v>629</v>
      </c>
      <c r="E2420" s="248" t="s">
        <v>1853</v>
      </c>
      <c r="F2420" t="s">
        <v>620</v>
      </c>
      <c r="G2420" s="89">
        <v>2000</v>
      </c>
      <c r="H2420" s="314" t="s">
        <v>2231</v>
      </c>
      <c r="I2420" s="308" t="str">
        <f t="shared" si="100"/>
        <v>Pesado de Passageiros M3: III : Gasóleo : Geral</v>
      </c>
      <c r="J2420" s="254">
        <v>50</v>
      </c>
      <c r="K2420" s="253">
        <v>2022</v>
      </c>
      <c r="L2420" s="85"/>
      <c r="M2420" s="85" t="s">
        <v>630</v>
      </c>
      <c r="N2420" s="128"/>
      <c r="O2420" s="128">
        <f t="shared" si="101"/>
        <v>0</v>
      </c>
      <c r="P2420" s="89">
        <v>301</v>
      </c>
      <c r="Q2420" t="s">
        <v>47</v>
      </c>
      <c r="R2420" s="214" t="s">
        <v>1869</v>
      </c>
      <c r="S2420" s="214" t="s">
        <v>1861</v>
      </c>
      <c r="T2420" t="s">
        <v>2628</v>
      </c>
      <c r="U2420" t="s">
        <v>1953</v>
      </c>
      <c r="V2420" t="s">
        <v>2813</v>
      </c>
    </row>
    <row r="2421" spans="1:22" ht="15.75" thickBot="1" x14ac:dyDescent="0.3">
      <c r="A2421" t="s">
        <v>2817</v>
      </c>
      <c r="B2421" t="s">
        <v>2817</v>
      </c>
      <c r="C2421" t="s">
        <v>2817</v>
      </c>
      <c r="D2421" t="s">
        <v>629</v>
      </c>
      <c r="E2421" s="248" t="s">
        <v>1853</v>
      </c>
      <c r="F2421" t="s">
        <v>620</v>
      </c>
      <c r="G2421" s="89">
        <v>2001</v>
      </c>
      <c r="H2421" s="314" t="s">
        <v>2231</v>
      </c>
      <c r="I2421" s="308" t="str">
        <f t="shared" si="100"/>
        <v>Pesado de Passageiros M3: III : Gasóleo : Geral</v>
      </c>
      <c r="J2421" s="254">
        <v>50</v>
      </c>
      <c r="K2421" s="253">
        <v>2022</v>
      </c>
      <c r="L2421" s="85"/>
      <c r="M2421" s="85" t="s">
        <v>630</v>
      </c>
      <c r="N2421" s="128"/>
      <c r="O2421" s="128">
        <f t="shared" si="101"/>
        <v>0</v>
      </c>
      <c r="P2421" s="89">
        <v>305</v>
      </c>
      <c r="Q2421" t="s">
        <v>47</v>
      </c>
      <c r="R2421" s="214" t="s">
        <v>1869</v>
      </c>
      <c r="S2421" s="214" t="s">
        <v>1861</v>
      </c>
      <c r="T2421" t="s">
        <v>2628</v>
      </c>
      <c r="U2421" t="s">
        <v>1953</v>
      </c>
      <c r="V2421" t="s">
        <v>2813</v>
      </c>
    </row>
    <row r="2422" spans="1:22" ht="15.75" thickBot="1" x14ac:dyDescent="0.3">
      <c r="A2422" t="s">
        <v>2817</v>
      </c>
      <c r="B2422" t="s">
        <v>2817</v>
      </c>
      <c r="C2422" t="s">
        <v>2817</v>
      </c>
      <c r="D2422" t="s">
        <v>629</v>
      </c>
      <c r="E2422" s="248" t="s">
        <v>1853</v>
      </c>
      <c r="F2422" t="s">
        <v>620</v>
      </c>
      <c r="G2422" s="89">
        <v>2001</v>
      </c>
      <c r="H2422" s="314" t="s">
        <v>2231</v>
      </c>
      <c r="I2422" s="308" t="str">
        <f t="shared" si="100"/>
        <v>Pesado de Passageiros M3: III : Gasóleo : Geral</v>
      </c>
      <c r="J2422" s="254">
        <v>50</v>
      </c>
      <c r="K2422" s="253">
        <v>2022</v>
      </c>
      <c r="L2422" s="85">
        <v>10414.799999999999</v>
      </c>
      <c r="M2422" s="85" t="s">
        <v>630</v>
      </c>
      <c r="N2422" s="128">
        <v>33098</v>
      </c>
      <c r="O2422" s="128">
        <f t="shared" si="101"/>
        <v>1654900</v>
      </c>
      <c r="P2422" s="89">
        <v>306</v>
      </c>
      <c r="Q2422" t="s">
        <v>47</v>
      </c>
      <c r="R2422" s="214" t="s">
        <v>1869</v>
      </c>
      <c r="S2422" s="214" t="s">
        <v>1861</v>
      </c>
      <c r="T2422" t="s">
        <v>2628</v>
      </c>
      <c r="U2422" t="s">
        <v>1953</v>
      </c>
      <c r="V2422" t="s">
        <v>2813</v>
      </c>
    </row>
    <row r="2423" spans="1:22" ht="15.75" thickBot="1" x14ac:dyDescent="0.3">
      <c r="A2423" t="s">
        <v>2817</v>
      </c>
      <c r="B2423" t="s">
        <v>2817</v>
      </c>
      <c r="C2423" t="s">
        <v>2817</v>
      </c>
      <c r="D2423" t="s">
        <v>629</v>
      </c>
      <c r="E2423" s="248" t="s">
        <v>1853</v>
      </c>
      <c r="F2423" t="s">
        <v>620</v>
      </c>
      <c r="G2423" s="89">
        <v>2001</v>
      </c>
      <c r="H2423" s="314" t="s">
        <v>2231</v>
      </c>
      <c r="I2423" s="308" t="str">
        <f t="shared" si="100"/>
        <v>Pesado de Passageiros M3: III : Gasóleo : Geral</v>
      </c>
      <c r="J2423" s="254">
        <v>44</v>
      </c>
      <c r="K2423" s="253">
        <v>2022</v>
      </c>
      <c r="L2423" s="85"/>
      <c r="M2423" s="85" t="s">
        <v>630</v>
      </c>
      <c r="N2423" s="128"/>
      <c r="O2423" s="128">
        <f t="shared" si="101"/>
        <v>0</v>
      </c>
      <c r="P2423" s="89">
        <v>308</v>
      </c>
      <c r="Q2423" t="s">
        <v>47</v>
      </c>
      <c r="R2423" s="214" t="s">
        <v>1869</v>
      </c>
      <c r="S2423" s="214" t="s">
        <v>1861</v>
      </c>
      <c r="T2423" t="s">
        <v>2628</v>
      </c>
      <c r="U2423" t="s">
        <v>1953</v>
      </c>
      <c r="V2423" t="s">
        <v>2813</v>
      </c>
    </row>
    <row r="2424" spans="1:22" ht="15.75" thickBot="1" x14ac:dyDescent="0.3">
      <c r="A2424" t="s">
        <v>2817</v>
      </c>
      <c r="B2424" t="s">
        <v>2817</v>
      </c>
      <c r="C2424" t="s">
        <v>2817</v>
      </c>
      <c r="D2424" t="s">
        <v>629</v>
      </c>
      <c r="E2424" s="248" t="s">
        <v>1853</v>
      </c>
      <c r="F2424" t="s">
        <v>620</v>
      </c>
      <c r="G2424" s="89">
        <v>2002</v>
      </c>
      <c r="H2424" s="314" t="s">
        <v>2231</v>
      </c>
      <c r="I2424" s="308" t="str">
        <f t="shared" si="100"/>
        <v>Pesado de Passageiros M3: III : Gasóleo : Geral</v>
      </c>
      <c r="J2424" s="254">
        <v>55</v>
      </c>
      <c r="K2424" s="253">
        <v>2022</v>
      </c>
      <c r="L2424" s="85"/>
      <c r="M2424" s="85" t="s">
        <v>630</v>
      </c>
      <c r="N2424" s="128"/>
      <c r="O2424" s="128">
        <f t="shared" si="101"/>
        <v>0</v>
      </c>
      <c r="P2424" s="89">
        <v>309</v>
      </c>
      <c r="Q2424" t="s">
        <v>47</v>
      </c>
      <c r="R2424" s="214" t="s">
        <v>1869</v>
      </c>
      <c r="S2424" s="214" t="s">
        <v>1861</v>
      </c>
      <c r="T2424" t="s">
        <v>2628</v>
      </c>
      <c r="U2424" t="s">
        <v>1953</v>
      </c>
      <c r="V2424" t="s">
        <v>2813</v>
      </c>
    </row>
    <row r="2425" spans="1:22" ht="15.75" thickBot="1" x14ac:dyDescent="0.3">
      <c r="A2425" t="s">
        <v>2817</v>
      </c>
      <c r="B2425" t="s">
        <v>2817</v>
      </c>
      <c r="C2425" t="s">
        <v>2817</v>
      </c>
      <c r="D2425" t="s">
        <v>629</v>
      </c>
      <c r="E2425" s="248" t="s">
        <v>1853</v>
      </c>
      <c r="F2425" t="s">
        <v>620</v>
      </c>
      <c r="G2425" s="89">
        <v>2002</v>
      </c>
      <c r="H2425" s="314" t="s">
        <v>2231</v>
      </c>
      <c r="I2425" s="308" t="str">
        <f t="shared" si="100"/>
        <v>Pesado de Passageiros M3: III : Gasóleo : Geral</v>
      </c>
      <c r="J2425" s="254">
        <v>35</v>
      </c>
      <c r="K2425" s="253">
        <v>2022</v>
      </c>
      <c r="L2425" s="85"/>
      <c r="M2425" s="85" t="s">
        <v>630</v>
      </c>
      <c r="N2425" s="128"/>
      <c r="O2425" s="128">
        <f t="shared" si="101"/>
        <v>0</v>
      </c>
      <c r="P2425" s="89">
        <v>310</v>
      </c>
      <c r="Q2425" t="s">
        <v>47</v>
      </c>
      <c r="R2425" s="214" t="s">
        <v>1869</v>
      </c>
      <c r="S2425" s="214" t="s">
        <v>1861</v>
      </c>
      <c r="T2425" t="s">
        <v>2628</v>
      </c>
      <c r="U2425" t="s">
        <v>1953</v>
      </c>
      <c r="V2425" t="s">
        <v>2813</v>
      </c>
    </row>
    <row r="2426" spans="1:22" ht="15.75" thickBot="1" x14ac:dyDescent="0.3">
      <c r="A2426" t="s">
        <v>2817</v>
      </c>
      <c r="B2426" t="s">
        <v>2817</v>
      </c>
      <c r="C2426" t="s">
        <v>2817</v>
      </c>
      <c r="D2426" t="s">
        <v>629</v>
      </c>
      <c r="E2426" s="248" t="s">
        <v>1853</v>
      </c>
      <c r="F2426" t="s">
        <v>620</v>
      </c>
      <c r="G2426" s="89">
        <v>2002</v>
      </c>
      <c r="H2426" s="314" t="s">
        <v>2231</v>
      </c>
      <c r="I2426" s="308" t="str">
        <f t="shared" si="100"/>
        <v>Pesado de Passageiros M3: III : Gasóleo : Geral</v>
      </c>
      <c r="J2426" s="254">
        <v>50</v>
      </c>
      <c r="K2426" s="253">
        <v>2022</v>
      </c>
      <c r="L2426" s="85"/>
      <c r="M2426" s="85" t="s">
        <v>630</v>
      </c>
      <c r="N2426" s="128"/>
      <c r="O2426" s="128">
        <f t="shared" si="101"/>
        <v>0</v>
      </c>
      <c r="P2426" s="89">
        <v>311</v>
      </c>
      <c r="Q2426" t="s">
        <v>47</v>
      </c>
      <c r="R2426" s="214" t="s">
        <v>1869</v>
      </c>
      <c r="S2426" s="214" t="s">
        <v>1861</v>
      </c>
      <c r="T2426" t="s">
        <v>2628</v>
      </c>
      <c r="U2426" t="s">
        <v>1953</v>
      </c>
      <c r="V2426" t="s">
        <v>2813</v>
      </c>
    </row>
    <row r="2427" spans="1:22" ht="15.75" thickBot="1" x14ac:dyDescent="0.3">
      <c r="A2427" t="s">
        <v>2817</v>
      </c>
      <c r="B2427" t="s">
        <v>2817</v>
      </c>
      <c r="C2427" t="s">
        <v>2817</v>
      </c>
      <c r="D2427" t="s">
        <v>629</v>
      </c>
      <c r="E2427" s="248" t="s">
        <v>1853</v>
      </c>
      <c r="F2427" t="s">
        <v>620</v>
      </c>
      <c r="G2427" s="89">
        <v>2002</v>
      </c>
      <c r="H2427" s="314" t="s">
        <v>2231</v>
      </c>
      <c r="I2427" s="308" t="str">
        <f t="shared" si="100"/>
        <v>Pesado de Passageiros M3: III : Gasóleo : Geral</v>
      </c>
      <c r="J2427" s="254">
        <v>49</v>
      </c>
      <c r="K2427" s="253">
        <v>2022</v>
      </c>
      <c r="L2427" s="85"/>
      <c r="M2427" s="85" t="s">
        <v>630</v>
      </c>
      <c r="N2427" s="128"/>
      <c r="O2427" s="128">
        <f t="shared" si="101"/>
        <v>0</v>
      </c>
      <c r="P2427" s="89">
        <v>315</v>
      </c>
      <c r="Q2427" t="s">
        <v>47</v>
      </c>
      <c r="R2427" s="214" t="s">
        <v>1869</v>
      </c>
      <c r="S2427" s="214" t="s">
        <v>1861</v>
      </c>
      <c r="T2427" t="s">
        <v>2628</v>
      </c>
      <c r="U2427" t="s">
        <v>1953</v>
      </c>
      <c r="V2427" t="s">
        <v>2813</v>
      </c>
    </row>
    <row r="2428" spans="1:22" ht="15.75" thickBot="1" x14ac:dyDescent="0.3">
      <c r="A2428" t="s">
        <v>2817</v>
      </c>
      <c r="B2428" t="s">
        <v>2817</v>
      </c>
      <c r="C2428" t="s">
        <v>2817</v>
      </c>
      <c r="D2428" t="s">
        <v>629</v>
      </c>
      <c r="E2428" s="248" t="s">
        <v>1853</v>
      </c>
      <c r="F2428" t="s">
        <v>620</v>
      </c>
      <c r="G2428" s="89">
        <v>2004</v>
      </c>
      <c r="H2428" s="314" t="s">
        <v>2231</v>
      </c>
      <c r="I2428" s="308" t="str">
        <f t="shared" si="100"/>
        <v>Pesado de Passageiros M3: III : Gasóleo : Geral</v>
      </c>
      <c r="J2428" s="254">
        <v>55</v>
      </c>
      <c r="K2428" s="253">
        <v>2022</v>
      </c>
      <c r="L2428" s="85"/>
      <c r="M2428" s="85" t="s">
        <v>630</v>
      </c>
      <c r="N2428" s="128"/>
      <c r="O2428" s="128">
        <f t="shared" si="101"/>
        <v>0</v>
      </c>
      <c r="P2428" s="89">
        <v>316</v>
      </c>
      <c r="Q2428" t="s">
        <v>47</v>
      </c>
      <c r="R2428" s="214" t="s">
        <v>1869</v>
      </c>
      <c r="S2428" s="214" t="s">
        <v>1861</v>
      </c>
      <c r="T2428" t="s">
        <v>2628</v>
      </c>
      <c r="U2428" t="s">
        <v>1953</v>
      </c>
      <c r="V2428" t="s">
        <v>2813</v>
      </c>
    </row>
    <row r="2429" spans="1:22" ht="15.75" thickBot="1" x14ac:dyDescent="0.3">
      <c r="A2429" t="s">
        <v>2817</v>
      </c>
      <c r="B2429" t="s">
        <v>2817</v>
      </c>
      <c r="C2429" t="s">
        <v>2817</v>
      </c>
      <c r="D2429" t="s">
        <v>629</v>
      </c>
      <c r="E2429" s="248" t="s">
        <v>1853</v>
      </c>
      <c r="F2429" t="s">
        <v>620</v>
      </c>
      <c r="G2429" s="89">
        <v>2004</v>
      </c>
      <c r="H2429" s="314" t="s">
        <v>2231</v>
      </c>
      <c r="I2429" s="308" t="str">
        <f t="shared" si="100"/>
        <v>Pesado de Passageiros M3: III : Gasóleo : Geral</v>
      </c>
      <c r="J2429" s="254">
        <v>50</v>
      </c>
      <c r="K2429" s="253">
        <v>2022</v>
      </c>
      <c r="L2429" s="85"/>
      <c r="M2429" s="85" t="s">
        <v>630</v>
      </c>
      <c r="N2429" s="128"/>
      <c r="O2429" s="128">
        <f t="shared" si="101"/>
        <v>0</v>
      </c>
      <c r="P2429" s="89">
        <v>318</v>
      </c>
      <c r="Q2429" t="s">
        <v>47</v>
      </c>
      <c r="R2429" s="214" t="s">
        <v>1869</v>
      </c>
      <c r="S2429" s="214" t="s">
        <v>1861</v>
      </c>
      <c r="T2429" t="s">
        <v>2628</v>
      </c>
      <c r="U2429" t="s">
        <v>1953</v>
      </c>
      <c r="V2429" t="s">
        <v>2813</v>
      </c>
    </row>
    <row r="2430" spans="1:22" ht="15.75" thickBot="1" x14ac:dyDescent="0.3">
      <c r="A2430" t="s">
        <v>2817</v>
      </c>
      <c r="B2430" t="s">
        <v>2817</v>
      </c>
      <c r="C2430" t="s">
        <v>2817</v>
      </c>
      <c r="D2430" t="s">
        <v>629</v>
      </c>
      <c r="E2430" s="248" t="s">
        <v>1853</v>
      </c>
      <c r="F2430" t="s">
        <v>620</v>
      </c>
      <c r="G2430" s="89">
        <v>2007</v>
      </c>
      <c r="H2430" s="314" t="s">
        <v>2231</v>
      </c>
      <c r="I2430" s="308" t="str">
        <f t="shared" si="100"/>
        <v>Pesado de Passageiros M3: III : Gasóleo : Geral</v>
      </c>
      <c r="J2430" s="254">
        <v>55</v>
      </c>
      <c r="K2430" s="253">
        <v>2022</v>
      </c>
      <c r="L2430" s="85"/>
      <c r="M2430" s="85" t="s">
        <v>630</v>
      </c>
      <c r="N2430" s="128"/>
      <c r="O2430" s="128">
        <f t="shared" si="101"/>
        <v>0</v>
      </c>
      <c r="P2430" s="89">
        <v>323</v>
      </c>
      <c r="Q2430" t="s">
        <v>47</v>
      </c>
      <c r="R2430" s="214" t="s">
        <v>1869</v>
      </c>
      <c r="S2430" s="214" t="s">
        <v>1861</v>
      </c>
      <c r="T2430" t="s">
        <v>2628</v>
      </c>
      <c r="U2430" t="s">
        <v>1953</v>
      </c>
      <c r="V2430" t="s">
        <v>2813</v>
      </c>
    </row>
    <row r="2431" spans="1:22" ht="15.75" thickBot="1" x14ac:dyDescent="0.3">
      <c r="A2431" t="s">
        <v>2817</v>
      </c>
      <c r="B2431" t="s">
        <v>2817</v>
      </c>
      <c r="C2431" t="s">
        <v>2817</v>
      </c>
      <c r="D2431" t="s">
        <v>629</v>
      </c>
      <c r="E2431" s="248" t="s">
        <v>1853</v>
      </c>
      <c r="F2431" t="s">
        <v>620</v>
      </c>
      <c r="G2431" s="89">
        <v>2007</v>
      </c>
      <c r="H2431" s="314" t="s">
        <v>2231</v>
      </c>
      <c r="I2431" s="308" t="str">
        <f t="shared" si="100"/>
        <v>Pesado de Passageiros M3: III : Gasóleo : Geral</v>
      </c>
      <c r="J2431" s="254">
        <v>50</v>
      </c>
      <c r="K2431" s="253">
        <v>2022</v>
      </c>
      <c r="L2431" s="85">
        <v>5751.2</v>
      </c>
      <c r="M2431" s="85" t="s">
        <v>630</v>
      </c>
      <c r="N2431" s="128">
        <v>19456</v>
      </c>
      <c r="O2431" s="128">
        <f t="shared" si="101"/>
        <v>972800</v>
      </c>
      <c r="P2431" s="89">
        <v>324</v>
      </c>
      <c r="Q2431" t="s">
        <v>47</v>
      </c>
      <c r="R2431" s="214" t="s">
        <v>1869</v>
      </c>
      <c r="S2431" s="214" t="s">
        <v>1861</v>
      </c>
      <c r="T2431" t="s">
        <v>2628</v>
      </c>
      <c r="U2431" t="s">
        <v>1953</v>
      </c>
      <c r="V2431" t="s">
        <v>2813</v>
      </c>
    </row>
    <row r="2432" spans="1:22" ht="15.75" thickBot="1" x14ac:dyDescent="0.3">
      <c r="A2432" t="s">
        <v>2817</v>
      </c>
      <c r="B2432" t="s">
        <v>2817</v>
      </c>
      <c r="C2432" t="s">
        <v>2817</v>
      </c>
      <c r="D2432" t="s">
        <v>629</v>
      </c>
      <c r="E2432" s="248" t="s">
        <v>1853</v>
      </c>
      <c r="F2432" t="s">
        <v>620</v>
      </c>
      <c r="G2432" s="89">
        <v>2007</v>
      </c>
      <c r="H2432" s="314" t="s">
        <v>2231</v>
      </c>
      <c r="I2432" s="308" t="str">
        <f t="shared" si="100"/>
        <v>Pesado de Passageiros M3: III : Gasóleo : Geral</v>
      </c>
      <c r="J2432" s="254">
        <v>50</v>
      </c>
      <c r="K2432" s="253">
        <v>2022</v>
      </c>
      <c r="L2432" s="85">
        <v>14244.3</v>
      </c>
      <c r="M2432" s="85" t="s">
        <v>630</v>
      </c>
      <c r="N2432" s="128">
        <v>40337</v>
      </c>
      <c r="O2432" s="128">
        <f t="shared" si="101"/>
        <v>2016850</v>
      </c>
      <c r="P2432" s="89">
        <v>325</v>
      </c>
      <c r="Q2432" t="s">
        <v>47</v>
      </c>
      <c r="R2432" s="214" t="s">
        <v>1869</v>
      </c>
      <c r="S2432" s="214" t="s">
        <v>1861</v>
      </c>
      <c r="T2432" t="s">
        <v>2628</v>
      </c>
      <c r="U2432" t="s">
        <v>1953</v>
      </c>
      <c r="V2432" t="s">
        <v>2813</v>
      </c>
    </row>
    <row r="2433" spans="1:22" ht="15.75" thickBot="1" x14ac:dyDescent="0.3">
      <c r="A2433" t="s">
        <v>2817</v>
      </c>
      <c r="B2433" t="s">
        <v>2817</v>
      </c>
      <c r="C2433" t="s">
        <v>2817</v>
      </c>
      <c r="D2433" t="s">
        <v>629</v>
      </c>
      <c r="E2433" s="248" t="s">
        <v>1853</v>
      </c>
      <c r="F2433" t="s">
        <v>620</v>
      </c>
      <c r="G2433" s="89">
        <v>2008</v>
      </c>
      <c r="H2433" s="314" t="s">
        <v>2231</v>
      </c>
      <c r="I2433" s="308" t="str">
        <f t="shared" si="100"/>
        <v>Pesado de Passageiros M3: III : Gasóleo : Geral</v>
      </c>
      <c r="J2433" s="254">
        <v>50</v>
      </c>
      <c r="K2433" s="253">
        <v>2022</v>
      </c>
      <c r="L2433" s="85">
        <v>18309.099999999999</v>
      </c>
      <c r="M2433" s="85" t="s">
        <v>630</v>
      </c>
      <c r="N2433" s="128">
        <v>61557</v>
      </c>
      <c r="O2433" s="128">
        <f t="shared" si="101"/>
        <v>3077850</v>
      </c>
      <c r="P2433" s="89">
        <v>328</v>
      </c>
      <c r="Q2433" t="s">
        <v>47</v>
      </c>
      <c r="R2433" s="214" t="s">
        <v>1869</v>
      </c>
      <c r="S2433" s="214" t="s">
        <v>1861</v>
      </c>
      <c r="T2433" t="s">
        <v>2628</v>
      </c>
      <c r="U2433" t="s">
        <v>1953</v>
      </c>
      <c r="V2433" t="s">
        <v>2813</v>
      </c>
    </row>
    <row r="2434" spans="1:22" ht="15.75" thickBot="1" x14ac:dyDescent="0.3">
      <c r="A2434" t="s">
        <v>2817</v>
      </c>
      <c r="B2434" t="s">
        <v>2817</v>
      </c>
      <c r="C2434" t="s">
        <v>2817</v>
      </c>
      <c r="D2434" t="s">
        <v>629</v>
      </c>
      <c r="E2434" s="248" t="s">
        <v>1853</v>
      </c>
      <c r="F2434" t="s">
        <v>620</v>
      </c>
      <c r="G2434" s="89">
        <v>2008</v>
      </c>
      <c r="H2434" s="314" t="s">
        <v>2231</v>
      </c>
      <c r="I2434" s="308" t="str">
        <f t="shared" si="100"/>
        <v>Pesado de Passageiros M3: III : Gasóleo : Geral</v>
      </c>
      <c r="J2434" s="254">
        <v>55</v>
      </c>
      <c r="K2434" s="253">
        <v>2022</v>
      </c>
      <c r="L2434" s="85">
        <v>19235</v>
      </c>
      <c r="M2434" s="85" t="s">
        <v>630</v>
      </c>
      <c r="N2434" s="128">
        <v>54369</v>
      </c>
      <c r="O2434" s="128">
        <f t="shared" si="101"/>
        <v>2990295</v>
      </c>
      <c r="P2434" s="89">
        <v>332</v>
      </c>
      <c r="Q2434" t="s">
        <v>47</v>
      </c>
      <c r="R2434" s="214" t="s">
        <v>1869</v>
      </c>
      <c r="S2434" s="214" t="s">
        <v>1861</v>
      </c>
      <c r="T2434" t="s">
        <v>2628</v>
      </c>
      <c r="U2434" t="s">
        <v>1953</v>
      </c>
      <c r="V2434" t="s">
        <v>2813</v>
      </c>
    </row>
    <row r="2435" spans="1:22" ht="15.75" thickBot="1" x14ac:dyDescent="0.3">
      <c r="A2435" t="s">
        <v>2817</v>
      </c>
      <c r="B2435" t="s">
        <v>2817</v>
      </c>
      <c r="C2435" t="s">
        <v>2817</v>
      </c>
      <c r="D2435" t="s">
        <v>629</v>
      </c>
      <c r="E2435" s="248" t="s">
        <v>1853</v>
      </c>
      <c r="F2435" t="s">
        <v>620</v>
      </c>
      <c r="G2435" s="89">
        <v>2009</v>
      </c>
      <c r="H2435" s="314" t="s">
        <v>2231</v>
      </c>
      <c r="I2435" s="308" t="str">
        <f t="shared" si="100"/>
        <v>Pesado de Passageiros M3: III : Gasóleo : Geral</v>
      </c>
      <c r="J2435" s="254">
        <v>39</v>
      </c>
      <c r="K2435" s="253">
        <v>2022</v>
      </c>
      <c r="L2435" s="85">
        <v>12234.6</v>
      </c>
      <c r="M2435" s="85" t="s">
        <v>630</v>
      </c>
      <c r="N2435" s="128">
        <v>41117</v>
      </c>
      <c r="O2435" s="128">
        <f t="shared" si="101"/>
        <v>1603563</v>
      </c>
      <c r="P2435" s="89">
        <v>333</v>
      </c>
      <c r="Q2435" t="s">
        <v>47</v>
      </c>
      <c r="R2435" s="214" t="s">
        <v>1869</v>
      </c>
      <c r="S2435" s="214" t="s">
        <v>1861</v>
      </c>
      <c r="T2435" t="s">
        <v>2628</v>
      </c>
      <c r="U2435" t="s">
        <v>1953</v>
      </c>
      <c r="V2435" t="s">
        <v>2813</v>
      </c>
    </row>
    <row r="2436" spans="1:22" ht="15.75" thickBot="1" x14ac:dyDescent="0.3">
      <c r="A2436" t="s">
        <v>2817</v>
      </c>
      <c r="B2436" t="s">
        <v>2817</v>
      </c>
      <c r="C2436" t="s">
        <v>2817</v>
      </c>
      <c r="D2436" t="s">
        <v>629</v>
      </c>
      <c r="E2436" s="248" t="s">
        <v>1853</v>
      </c>
      <c r="F2436" t="s">
        <v>620</v>
      </c>
      <c r="G2436" s="89">
        <v>2010</v>
      </c>
      <c r="H2436" s="314" t="s">
        <v>2231</v>
      </c>
      <c r="I2436" s="308" t="str">
        <f t="shared" ref="I2436:I2499" si="102">D2436&amp;": "&amp;E2436&amp;" : "&amp;F2436&amp;" : "&amp;H2436</f>
        <v>Pesado de Passageiros M3: III : Gasóleo : Geral</v>
      </c>
      <c r="J2436" s="254">
        <v>50</v>
      </c>
      <c r="K2436" s="253">
        <v>2022</v>
      </c>
      <c r="L2436" s="85">
        <v>13322.3</v>
      </c>
      <c r="M2436" s="85" t="s">
        <v>630</v>
      </c>
      <c r="N2436" s="128">
        <v>38580</v>
      </c>
      <c r="O2436" s="128">
        <f t="shared" ref="O2436:O2499" si="103">N2436*J2436</f>
        <v>1929000</v>
      </c>
      <c r="P2436" s="89">
        <v>334</v>
      </c>
      <c r="Q2436" t="s">
        <v>47</v>
      </c>
      <c r="R2436" s="214" t="s">
        <v>1869</v>
      </c>
      <c r="S2436" s="214" t="s">
        <v>1861</v>
      </c>
      <c r="T2436" t="s">
        <v>2628</v>
      </c>
      <c r="U2436" t="s">
        <v>1953</v>
      </c>
      <c r="V2436" t="s">
        <v>2813</v>
      </c>
    </row>
    <row r="2437" spans="1:22" ht="15.75" thickBot="1" x14ac:dyDescent="0.3">
      <c r="A2437" t="s">
        <v>2817</v>
      </c>
      <c r="B2437" t="s">
        <v>2817</v>
      </c>
      <c r="C2437" t="s">
        <v>2817</v>
      </c>
      <c r="D2437" t="s">
        <v>629</v>
      </c>
      <c r="E2437" s="248" t="s">
        <v>1853</v>
      </c>
      <c r="F2437" t="s">
        <v>620</v>
      </c>
      <c r="G2437" s="89">
        <v>2008</v>
      </c>
      <c r="H2437" s="314" t="s">
        <v>2231</v>
      </c>
      <c r="I2437" s="308" t="str">
        <f t="shared" si="102"/>
        <v>Pesado de Passageiros M3: III : Gasóleo : Geral</v>
      </c>
      <c r="J2437" s="254">
        <v>49</v>
      </c>
      <c r="K2437" s="253">
        <v>2022</v>
      </c>
      <c r="L2437" s="85">
        <v>14452.3</v>
      </c>
      <c r="M2437" s="85" t="s">
        <v>630</v>
      </c>
      <c r="N2437" s="128">
        <v>45023</v>
      </c>
      <c r="O2437" s="128">
        <f t="shared" si="103"/>
        <v>2206127</v>
      </c>
      <c r="P2437" s="89">
        <v>335</v>
      </c>
      <c r="Q2437" t="s">
        <v>47</v>
      </c>
      <c r="R2437" s="214" t="s">
        <v>1869</v>
      </c>
      <c r="S2437" s="214" t="s">
        <v>1861</v>
      </c>
      <c r="T2437" t="s">
        <v>2628</v>
      </c>
      <c r="U2437" t="s">
        <v>1953</v>
      </c>
      <c r="V2437" t="s">
        <v>2813</v>
      </c>
    </row>
    <row r="2438" spans="1:22" ht="15.75" thickBot="1" x14ac:dyDescent="0.3">
      <c r="A2438" t="s">
        <v>2817</v>
      </c>
      <c r="B2438" t="s">
        <v>2817</v>
      </c>
      <c r="C2438" t="s">
        <v>2817</v>
      </c>
      <c r="D2438" t="s">
        <v>629</v>
      </c>
      <c r="E2438" s="248" t="s">
        <v>1853</v>
      </c>
      <c r="F2438" t="s">
        <v>620</v>
      </c>
      <c r="G2438" s="89">
        <v>2011</v>
      </c>
      <c r="H2438" s="314" t="s">
        <v>2231</v>
      </c>
      <c r="I2438" s="308" t="str">
        <f t="shared" si="102"/>
        <v>Pesado de Passageiros M3: III : Gasóleo : Geral</v>
      </c>
      <c r="J2438" s="254">
        <v>50</v>
      </c>
      <c r="K2438" s="253">
        <v>2022</v>
      </c>
      <c r="L2438" s="85">
        <v>20539</v>
      </c>
      <c r="M2438" s="85" t="s">
        <v>630</v>
      </c>
      <c r="N2438" s="128">
        <v>56333</v>
      </c>
      <c r="O2438" s="128">
        <f t="shared" si="103"/>
        <v>2816650</v>
      </c>
      <c r="P2438" s="89">
        <v>336</v>
      </c>
      <c r="Q2438" t="s">
        <v>47</v>
      </c>
      <c r="R2438" s="214" t="s">
        <v>1869</v>
      </c>
      <c r="S2438" s="214" t="s">
        <v>1861</v>
      </c>
      <c r="T2438" t="s">
        <v>2628</v>
      </c>
      <c r="U2438" t="s">
        <v>1953</v>
      </c>
      <c r="V2438" t="s">
        <v>2813</v>
      </c>
    </row>
    <row r="2439" spans="1:22" ht="15.75" thickBot="1" x14ac:dyDescent="0.3">
      <c r="A2439" t="s">
        <v>2817</v>
      </c>
      <c r="B2439" t="s">
        <v>2817</v>
      </c>
      <c r="C2439" t="s">
        <v>2817</v>
      </c>
      <c r="D2439" t="s">
        <v>629</v>
      </c>
      <c r="E2439" s="248" t="s">
        <v>1853</v>
      </c>
      <c r="F2439" t="s">
        <v>620</v>
      </c>
      <c r="G2439" s="89">
        <v>2011</v>
      </c>
      <c r="H2439" s="314" t="s">
        <v>2231</v>
      </c>
      <c r="I2439" s="308" t="str">
        <f t="shared" si="102"/>
        <v>Pesado de Passageiros M3: III : Gasóleo : Geral</v>
      </c>
      <c r="J2439" s="254">
        <v>50</v>
      </c>
      <c r="K2439" s="253">
        <v>2022</v>
      </c>
      <c r="L2439" s="85">
        <v>12634.4</v>
      </c>
      <c r="M2439" s="85" t="s">
        <v>630</v>
      </c>
      <c r="N2439" s="128">
        <v>36897</v>
      </c>
      <c r="O2439" s="128">
        <f t="shared" si="103"/>
        <v>1844850</v>
      </c>
      <c r="P2439" s="89">
        <v>337</v>
      </c>
      <c r="Q2439" t="s">
        <v>47</v>
      </c>
      <c r="R2439" s="214" t="s">
        <v>1869</v>
      </c>
      <c r="S2439" s="214" t="s">
        <v>1861</v>
      </c>
      <c r="T2439" t="s">
        <v>2628</v>
      </c>
      <c r="U2439" t="s">
        <v>1953</v>
      </c>
      <c r="V2439" t="s">
        <v>2813</v>
      </c>
    </row>
    <row r="2440" spans="1:22" ht="15.75" thickBot="1" x14ac:dyDescent="0.3">
      <c r="A2440" t="s">
        <v>2817</v>
      </c>
      <c r="B2440" t="s">
        <v>2817</v>
      </c>
      <c r="C2440" t="s">
        <v>2817</v>
      </c>
      <c r="D2440" t="s">
        <v>629</v>
      </c>
      <c r="E2440" s="248" t="s">
        <v>1853</v>
      </c>
      <c r="F2440" t="s">
        <v>620</v>
      </c>
      <c r="G2440" s="89">
        <v>2011</v>
      </c>
      <c r="H2440" s="314" t="s">
        <v>2231</v>
      </c>
      <c r="I2440" s="308" t="str">
        <f t="shared" si="102"/>
        <v>Pesado de Passageiros M3: III : Gasóleo : Geral</v>
      </c>
      <c r="J2440" s="254">
        <v>35</v>
      </c>
      <c r="K2440" s="253">
        <v>2022</v>
      </c>
      <c r="L2440" s="85">
        <v>9309.7000000000007</v>
      </c>
      <c r="M2440" s="85" t="s">
        <v>630</v>
      </c>
      <c r="N2440" s="128">
        <v>34512</v>
      </c>
      <c r="O2440" s="128">
        <f t="shared" si="103"/>
        <v>1207920</v>
      </c>
      <c r="P2440" s="89">
        <v>339</v>
      </c>
      <c r="Q2440" t="s">
        <v>47</v>
      </c>
      <c r="R2440" s="214" t="s">
        <v>1869</v>
      </c>
      <c r="S2440" s="214" t="s">
        <v>1861</v>
      </c>
      <c r="T2440" t="s">
        <v>2628</v>
      </c>
      <c r="U2440" t="s">
        <v>1953</v>
      </c>
      <c r="V2440" t="s">
        <v>2813</v>
      </c>
    </row>
    <row r="2441" spans="1:22" ht="15.75" thickBot="1" x14ac:dyDescent="0.3">
      <c r="A2441" t="s">
        <v>2817</v>
      </c>
      <c r="B2441" t="s">
        <v>2817</v>
      </c>
      <c r="C2441" t="s">
        <v>2817</v>
      </c>
      <c r="D2441" t="s">
        <v>629</v>
      </c>
      <c r="E2441" s="248" t="s">
        <v>1853</v>
      </c>
      <c r="F2441" t="s">
        <v>620</v>
      </c>
      <c r="G2441" s="89">
        <v>2011</v>
      </c>
      <c r="H2441" s="314" t="s">
        <v>2231</v>
      </c>
      <c r="I2441" s="308" t="str">
        <f t="shared" si="102"/>
        <v>Pesado de Passageiros M3: III : Gasóleo : Geral</v>
      </c>
      <c r="J2441" s="255">
        <v>19</v>
      </c>
      <c r="K2441" s="253">
        <v>2022</v>
      </c>
      <c r="L2441" s="85">
        <v>1938</v>
      </c>
      <c r="M2441" s="85" t="s">
        <v>630</v>
      </c>
      <c r="N2441" s="128">
        <v>13045</v>
      </c>
      <c r="O2441" s="128">
        <f t="shared" si="103"/>
        <v>247855</v>
      </c>
      <c r="P2441" s="89">
        <v>340</v>
      </c>
      <c r="Q2441" t="s">
        <v>47</v>
      </c>
      <c r="R2441" s="214" t="s">
        <v>1869</v>
      </c>
      <c r="S2441" s="214" t="s">
        <v>1861</v>
      </c>
      <c r="T2441" t="s">
        <v>2628</v>
      </c>
      <c r="U2441" t="s">
        <v>1953</v>
      </c>
      <c r="V2441" t="s">
        <v>2813</v>
      </c>
    </row>
    <row r="2442" spans="1:22" ht="15.75" thickBot="1" x14ac:dyDescent="0.3">
      <c r="A2442" t="s">
        <v>2817</v>
      </c>
      <c r="B2442" t="s">
        <v>2817</v>
      </c>
      <c r="C2442" t="s">
        <v>2817</v>
      </c>
      <c r="D2442" t="s">
        <v>629</v>
      </c>
      <c r="E2442" s="248" t="s">
        <v>1853</v>
      </c>
      <c r="F2442" t="s">
        <v>620</v>
      </c>
      <c r="G2442" s="89">
        <v>2012</v>
      </c>
      <c r="H2442" s="314" t="s">
        <v>2231</v>
      </c>
      <c r="I2442" s="308" t="str">
        <f t="shared" si="102"/>
        <v>Pesado de Passageiros M3: III : Gasóleo : Geral</v>
      </c>
      <c r="J2442" s="254">
        <v>50</v>
      </c>
      <c r="K2442" s="253">
        <v>2022</v>
      </c>
      <c r="L2442" s="85">
        <v>18762.900000000001</v>
      </c>
      <c r="M2442" s="85" t="s">
        <v>630</v>
      </c>
      <c r="N2442" s="128">
        <v>51693</v>
      </c>
      <c r="O2442" s="128">
        <f t="shared" si="103"/>
        <v>2584650</v>
      </c>
      <c r="P2442" s="89">
        <v>341</v>
      </c>
      <c r="Q2442" t="s">
        <v>47</v>
      </c>
      <c r="R2442" s="214" t="s">
        <v>1869</v>
      </c>
      <c r="S2442" s="214" t="s">
        <v>1861</v>
      </c>
      <c r="T2442" t="s">
        <v>2628</v>
      </c>
      <c r="U2442" t="s">
        <v>1953</v>
      </c>
      <c r="V2442" t="s">
        <v>2813</v>
      </c>
    </row>
    <row r="2443" spans="1:22" ht="15.75" thickBot="1" x14ac:dyDescent="0.3">
      <c r="A2443" t="s">
        <v>2817</v>
      </c>
      <c r="B2443" t="s">
        <v>2817</v>
      </c>
      <c r="C2443" t="s">
        <v>2817</v>
      </c>
      <c r="D2443" t="s">
        <v>629</v>
      </c>
      <c r="E2443" s="248" t="s">
        <v>1853</v>
      </c>
      <c r="F2443" t="s">
        <v>620</v>
      </c>
      <c r="G2443" s="89">
        <v>2012</v>
      </c>
      <c r="H2443" s="314" t="s">
        <v>2231</v>
      </c>
      <c r="I2443" s="308" t="str">
        <f t="shared" si="102"/>
        <v>Pesado de Passageiros M3: III : Gasóleo : Geral</v>
      </c>
      <c r="J2443" s="254">
        <v>53</v>
      </c>
      <c r="K2443" s="253">
        <v>2022</v>
      </c>
      <c r="L2443" s="85">
        <v>20055.8</v>
      </c>
      <c r="M2443" s="85" t="s">
        <v>630</v>
      </c>
      <c r="N2443" s="128">
        <v>56750</v>
      </c>
      <c r="O2443" s="128">
        <f t="shared" si="103"/>
        <v>3007750</v>
      </c>
      <c r="P2443" s="89">
        <v>342</v>
      </c>
      <c r="Q2443" t="s">
        <v>47</v>
      </c>
      <c r="R2443" s="214" t="s">
        <v>1869</v>
      </c>
      <c r="S2443" s="214" t="s">
        <v>1861</v>
      </c>
      <c r="T2443" t="s">
        <v>2628</v>
      </c>
      <c r="U2443" t="s">
        <v>1953</v>
      </c>
      <c r="V2443" t="s">
        <v>2813</v>
      </c>
    </row>
    <row r="2444" spans="1:22" ht="15.75" thickBot="1" x14ac:dyDescent="0.3">
      <c r="A2444" t="s">
        <v>2817</v>
      </c>
      <c r="B2444" t="s">
        <v>2817</v>
      </c>
      <c r="C2444" t="s">
        <v>2817</v>
      </c>
      <c r="D2444" t="s">
        <v>629</v>
      </c>
      <c r="E2444" s="248" t="s">
        <v>1853</v>
      </c>
      <c r="F2444" t="s">
        <v>620</v>
      </c>
      <c r="G2444" s="89">
        <v>2013</v>
      </c>
      <c r="H2444" s="314" t="s">
        <v>2231</v>
      </c>
      <c r="I2444" s="308" t="str">
        <f t="shared" si="102"/>
        <v>Pesado de Passageiros M3: III : Gasóleo : Geral</v>
      </c>
      <c r="J2444" s="254">
        <v>31</v>
      </c>
      <c r="K2444" s="253">
        <v>2022</v>
      </c>
      <c r="L2444" s="85">
        <v>6180.6</v>
      </c>
      <c r="M2444" s="85" t="s">
        <v>630</v>
      </c>
      <c r="N2444" s="128">
        <v>27645</v>
      </c>
      <c r="O2444" s="128">
        <f t="shared" si="103"/>
        <v>856995</v>
      </c>
      <c r="P2444" s="89">
        <v>343</v>
      </c>
      <c r="Q2444" t="s">
        <v>47</v>
      </c>
      <c r="R2444" s="214" t="s">
        <v>1869</v>
      </c>
      <c r="S2444" s="214" t="s">
        <v>1861</v>
      </c>
      <c r="T2444" t="s">
        <v>2628</v>
      </c>
      <c r="U2444" t="s">
        <v>1953</v>
      </c>
      <c r="V2444" t="s">
        <v>2813</v>
      </c>
    </row>
    <row r="2445" spans="1:22" ht="15.75" thickBot="1" x14ac:dyDescent="0.3">
      <c r="A2445" t="s">
        <v>2817</v>
      </c>
      <c r="B2445" t="s">
        <v>2817</v>
      </c>
      <c r="C2445" t="s">
        <v>2817</v>
      </c>
      <c r="D2445" t="s">
        <v>629</v>
      </c>
      <c r="E2445" s="248" t="s">
        <v>1853</v>
      </c>
      <c r="F2445" t="s">
        <v>620</v>
      </c>
      <c r="G2445" s="89">
        <v>2014</v>
      </c>
      <c r="H2445" s="314" t="s">
        <v>2231</v>
      </c>
      <c r="I2445" s="308" t="str">
        <f t="shared" si="102"/>
        <v>Pesado de Passageiros M3: III : Gasóleo : Geral</v>
      </c>
      <c r="J2445" s="254">
        <v>51</v>
      </c>
      <c r="K2445" s="253">
        <v>2022</v>
      </c>
      <c r="L2445" s="85">
        <v>13937.7</v>
      </c>
      <c r="M2445" s="85" t="s">
        <v>630</v>
      </c>
      <c r="N2445" s="128">
        <v>41164</v>
      </c>
      <c r="O2445" s="128">
        <f t="shared" si="103"/>
        <v>2099364</v>
      </c>
      <c r="P2445" s="89">
        <v>344</v>
      </c>
      <c r="Q2445" t="s">
        <v>47</v>
      </c>
      <c r="R2445" s="214" t="s">
        <v>1869</v>
      </c>
      <c r="S2445" s="214" t="s">
        <v>1861</v>
      </c>
      <c r="T2445" t="s">
        <v>2628</v>
      </c>
      <c r="U2445" t="s">
        <v>1953</v>
      </c>
      <c r="V2445" t="s">
        <v>2813</v>
      </c>
    </row>
    <row r="2446" spans="1:22" ht="15.75" thickBot="1" x14ac:dyDescent="0.3">
      <c r="A2446" t="s">
        <v>2817</v>
      </c>
      <c r="B2446" t="s">
        <v>2817</v>
      </c>
      <c r="C2446" t="s">
        <v>2817</v>
      </c>
      <c r="D2446" t="s">
        <v>629</v>
      </c>
      <c r="E2446" s="248" t="s">
        <v>1853</v>
      </c>
      <c r="F2446" t="s">
        <v>620</v>
      </c>
      <c r="G2446" s="89">
        <v>2008</v>
      </c>
      <c r="H2446" s="314" t="s">
        <v>2231</v>
      </c>
      <c r="I2446" s="308" t="str">
        <f t="shared" si="102"/>
        <v>Pesado de Passageiros M3: III : Gasóleo : Geral</v>
      </c>
      <c r="J2446" s="254">
        <v>49</v>
      </c>
      <c r="K2446" s="253">
        <v>2022</v>
      </c>
      <c r="L2446" s="85">
        <v>15994.1</v>
      </c>
      <c r="M2446" s="85" t="s">
        <v>630</v>
      </c>
      <c r="N2446" s="128">
        <v>51789</v>
      </c>
      <c r="O2446" s="128">
        <f t="shared" si="103"/>
        <v>2537661</v>
      </c>
      <c r="P2446" s="89">
        <v>346</v>
      </c>
      <c r="Q2446" t="s">
        <v>47</v>
      </c>
      <c r="R2446" s="214" t="s">
        <v>1869</v>
      </c>
      <c r="S2446" s="214" t="s">
        <v>1861</v>
      </c>
      <c r="T2446" t="s">
        <v>2628</v>
      </c>
      <c r="U2446" t="s">
        <v>1953</v>
      </c>
      <c r="V2446" t="s">
        <v>2813</v>
      </c>
    </row>
    <row r="2447" spans="1:22" ht="15.75" thickBot="1" x14ac:dyDescent="0.3">
      <c r="A2447" t="s">
        <v>2817</v>
      </c>
      <c r="B2447" t="s">
        <v>2817</v>
      </c>
      <c r="C2447" t="s">
        <v>2817</v>
      </c>
      <c r="D2447" t="s">
        <v>629</v>
      </c>
      <c r="E2447" s="248" t="s">
        <v>1853</v>
      </c>
      <c r="F2447" t="s">
        <v>620</v>
      </c>
      <c r="G2447" s="89">
        <v>2008</v>
      </c>
      <c r="H2447" s="314" t="s">
        <v>2231</v>
      </c>
      <c r="I2447" s="308" t="str">
        <f t="shared" si="102"/>
        <v>Pesado de Passageiros M3: III : Gasóleo : Geral</v>
      </c>
      <c r="J2447" s="254">
        <v>49</v>
      </c>
      <c r="K2447" s="253">
        <v>2022</v>
      </c>
      <c r="L2447" s="85">
        <v>14872.9</v>
      </c>
      <c r="M2447" s="85" t="s">
        <v>630</v>
      </c>
      <c r="N2447" s="128">
        <v>46468</v>
      </c>
      <c r="O2447" s="128">
        <f t="shared" si="103"/>
        <v>2276932</v>
      </c>
      <c r="P2447" s="89">
        <v>348</v>
      </c>
      <c r="Q2447" t="s">
        <v>47</v>
      </c>
      <c r="R2447" s="214" t="s">
        <v>1869</v>
      </c>
      <c r="S2447" s="214" t="s">
        <v>1861</v>
      </c>
      <c r="T2447" t="s">
        <v>2628</v>
      </c>
      <c r="U2447" t="s">
        <v>1953</v>
      </c>
      <c r="V2447" t="s">
        <v>2813</v>
      </c>
    </row>
    <row r="2448" spans="1:22" ht="15.75" thickBot="1" x14ac:dyDescent="0.3">
      <c r="A2448" t="s">
        <v>2817</v>
      </c>
      <c r="B2448" t="s">
        <v>2817</v>
      </c>
      <c r="C2448" t="s">
        <v>2817</v>
      </c>
      <c r="D2448" t="s">
        <v>629</v>
      </c>
      <c r="E2448" s="248" t="s">
        <v>1853</v>
      </c>
      <c r="F2448" t="s">
        <v>620</v>
      </c>
      <c r="G2448" s="89">
        <v>2005</v>
      </c>
      <c r="H2448" s="314" t="s">
        <v>2231</v>
      </c>
      <c r="I2448" s="308" t="str">
        <f t="shared" si="102"/>
        <v>Pesado de Passageiros M3: III : Gasóleo : Geral</v>
      </c>
      <c r="J2448" s="254">
        <v>59</v>
      </c>
      <c r="K2448" s="253">
        <v>2022</v>
      </c>
      <c r="L2448" s="85"/>
      <c r="M2448" s="85" t="s">
        <v>630</v>
      </c>
      <c r="N2448" s="128"/>
      <c r="O2448" s="128">
        <f t="shared" si="103"/>
        <v>0</v>
      </c>
      <c r="P2448" s="89">
        <v>349</v>
      </c>
      <c r="Q2448" t="s">
        <v>47</v>
      </c>
      <c r="R2448" s="214" t="s">
        <v>1869</v>
      </c>
      <c r="S2448" s="214" t="s">
        <v>1861</v>
      </c>
      <c r="T2448" t="s">
        <v>2628</v>
      </c>
      <c r="U2448" t="s">
        <v>1953</v>
      </c>
      <c r="V2448" t="s">
        <v>2813</v>
      </c>
    </row>
    <row r="2449" spans="1:22" ht="15.75" thickBot="1" x14ac:dyDescent="0.3">
      <c r="A2449" t="s">
        <v>2817</v>
      </c>
      <c r="B2449" t="s">
        <v>2817</v>
      </c>
      <c r="C2449" t="s">
        <v>2817</v>
      </c>
      <c r="D2449" t="s">
        <v>629</v>
      </c>
      <c r="E2449" s="248" t="s">
        <v>1853</v>
      </c>
      <c r="F2449" t="s">
        <v>620</v>
      </c>
      <c r="G2449" s="89">
        <v>2011</v>
      </c>
      <c r="H2449" s="314" t="s">
        <v>2231</v>
      </c>
      <c r="I2449" s="308" t="str">
        <f t="shared" si="102"/>
        <v>Pesado de Passageiros M3: III : Gasóleo : Geral</v>
      </c>
      <c r="J2449" s="254">
        <v>53</v>
      </c>
      <c r="K2449" s="253">
        <v>2022</v>
      </c>
      <c r="L2449" s="85">
        <v>22308</v>
      </c>
      <c r="M2449" s="85" t="s">
        <v>630</v>
      </c>
      <c r="N2449" s="128">
        <v>70474</v>
      </c>
      <c r="O2449" s="128">
        <f t="shared" si="103"/>
        <v>3735122</v>
      </c>
      <c r="P2449" s="89">
        <v>350</v>
      </c>
      <c r="Q2449" t="s">
        <v>47</v>
      </c>
      <c r="R2449" s="214" t="s">
        <v>1869</v>
      </c>
      <c r="S2449" s="214" t="s">
        <v>1861</v>
      </c>
      <c r="T2449" t="s">
        <v>2628</v>
      </c>
      <c r="U2449" t="s">
        <v>1953</v>
      </c>
      <c r="V2449" t="s">
        <v>2813</v>
      </c>
    </row>
    <row r="2450" spans="1:22" ht="15.75" thickBot="1" x14ac:dyDescent="0.3">
      <c r="A2450" t="s">
        <v>2817</v>
      </c>
      <c r="B2450" t="s">
        <v>2817</v>
      </c>
      <c r="C2450" t="s">
        <v>2817</v>
      </c>
      <c r="D2450" t="s">
        <v>629</v>
      </c>
      <c r="E2450" s="248" t="s">
        <v>1853</v>
      </c>
      <c r="F2450" t="s">
        <v>620</v>
      </c>
      <c r="G2450" s="89">
        <v>2011</v>
      </c>
      <c r="H2450" s="314" t="s">
        <v>2231</v>
      </c>
      <c r="I2450" s="308" t="str">
        <f t="shared" si="102"/>
        <v>Pesado de Passageiros M3: III : Gasóleo : Geral</v>
      </c>
      <c r="J2450" s="254">
        <v>53</v>
      </c>
      <c r="K2450" s="253">
        <v>2022</v>
      </c>
      <c r="L2450" s="85">
        <v>44172.800000000003</v>
      </c>
      <c r="M2450" s="85" t="s">
        <v>630</v>
      </c>
      <c r="N2450" s="128">
        <v>135438</v>
      </c>
      <c r="O2450" s="128">
        <f t="shared" si="103"/>
        <v>7178214</v>
      </c>
      <c r="P2450" s="89">
        <v>351</v>
      </c>
      <c r="Q2450" t="s">
        <v>47</v>
      </c>
      <c r="R2450" s="214" t="s">
        <v>1869</v>
      </c>
      <c r="S2450" s="214" t="s">
        <v>1861</v>
      </c>
      <c r="T2450" t="s">
        <v>2628</v>
      </c>
      <c r="U2450" t="s">
        <v>1953</v>
      </c>
      <c r="V2450" t="s">
        <v>2813</v>
      </c>
    </row>
    <row r="2451" spans="1:22" ht="15.75" thickBot="1" x14ac:dyDescent="0.3">
      <c r="A2451" t="s">
        <v>2817</v>
      </c>
      <c r="B2451" t="s">
        <v>2817</v>
      </c>
      <c r="C2451" t="s">
        <v>2817</v>
      </c>
      <c r="D2451" t="s">
        <v>629</v>
      </c>
      <c r="E2451" s="248" t="s">
        <v>1853</v>
      </c>
      <c r="F2451" t="s">
        <v>620</v>
      </c>
      <c r="G2451" s="89">
        <v>2015</v>
      </c>
      <c r="H2451" s="314" t="s">
        <v>2231</v>
      </c>
      <c r="I2451" s="308" t="str">
        <f t="shared" si="102"/>
        <v>Pesado de Passageiros M3: III : Gasóleo : Geral</v>
      </c>
      <c r="J2451" s="254">
        <v>53</v>
      </c>
      <c r="K2451" s="253">
        <v>2022</v>
      </c>
      <c r="L2451" s="85">
        <v>12769.6</v>
      </c>
      <c r="M2451" s="85" t="s">
        <v>630</v>
      </c>
      <c r="N2451" s="128">
        <v>43164</v>
      </c>
      <c r="O2451" s="128">
        <f t="shared" si="103"/>
        <v>2287692</v>
      </c>
      <c r="P2451" s="89">
        <v>352</v>
      </c>
      <c r="Q2451" t="s">
        <v>47</v>
      </c>
      <c r="R2451" s="214" t="s">
        <v>1869</v>
      </c>
      <c r="S2451" s="214" t="s">
        <v>1861</v>
      </c>
      <c r="T2451" t="s">
        <v>2628</v>
      </c>
      <c r="U2451" t="s">
        <v>1953</v>
      </c>
      <c r="V2451" t="s">
        <v>2813</v>
      </c>
    </row>
    <row r="2452" spans="1:22" ht="15.75" thickBot="1" x14ac:dyDescent="0.3">
      <c r="A2452" t="s">
        <v>2817</v>
      </c>
      <c r="B2452" t="s">
        <v>2817</v>
      </c>
      <c r="C2452" t="s">
        <v>2817</v>
      </c>
      <c r="D2452" t="s">
        <v>629</v>
      </c>
      <c r="E2452" s="248" t="s">
        <v>1853</v>
      </c>
      <c r="F2452" t="s">
        <v>620</v>
      </c>
      <c r="G2452" s="89">
        <v>2015</v>
      </c>
      <c r="H2452" s="314" t="s">
        <v>2231</v>
      </c>
      <c r="I2452" s="308" t="str">
        <f t="shared" si="102"/>
        <v>Pesado de Passageiros M3: III : Gasóleo : Geral</v>
      </c>
      <c r="J2452" s="254">
        <v>53</v>
      </c>
      <c r="K2452" s="253">
        <v>2022</v>
      </c>
      <c r="L2452" s="85">
        <v>14354.7</v>
      </c>
      <c r="M2452" s="85" t="s">
        <v>630</v>
      </c>
      <c r="N2452" s="128">
        <v>48436</v>
      </c>
      <c r="O2452" s="128">
        <f t="shared" si="103"/>
        <v>2567108</v>
      </c>
      <c r="P2452" s="89">
        <v>353</v>
      </c>
      <c r="Q2452" t="s">
        <v>47</v>
      </c>
      <c r="R2452" s="214" t="s">
        <v>1869</v>
      </c>
      <c r="S2452" s="214" t="s">
        <v>1861</v>
      </c>
      <c r="T2452" t="s">
        <v>2628</v>
      </c>
      <c r="U2452" t="s">
        <v>1953</v>
      </c>
      <c r="V2452" t="s">
        <v>2813</v>
      </c>
    </row>
    <row r="2453" spans="1:22" ht="15.75" thickBot="1" x14ac:dyDescent="0.3">
      <c r="A2453" t="s">
        <v>2817</v>
      </c>
      <c r="B2453" t="s">
        <v>2817</v>
      </c>
      <c r="C2453" t="s">
        <v>2817</v>
      </c>
      <c r="D2453" t="s">
        <v>629</v>
      </c>
      <c r="E2453" s="248" t="s">
        <v>1853</v>
      </c>
      <c r="F2453" t="s">
        <v>620</v>
      </c>
      <c r="G2453" s="89">
        <v>2016</v>
      </c>
      <c r="H2453" s="314" t="s">
        <v>2231</v>
      </c>
      <c r="I2453" s="308" t="str">
        <f t="shared" si="102"/>
        <v>Pesado de Passageiros M3: III : Gasóleo : Geral</v>
      </c>
      <c r="J2453" s="254">
        <v>53</v>
      </c>
      <c r="K2453" s="253">
        <v>2022</v>
      </c>
      <c r="L2453" s="85">
        <v>10850.6</v>
      </c>
      <c r="M2453" s="85" t="s">
        <v>630</v>
      </c>
      <c r="N2453" s="128">
        <v>35515</v>
      </c>
      <c r="O2453" s="128">
        <f t="shared" si="103"/>
        <v>1882295</v>
      </c>
      <c r="P2453" s="89">
        <v>354</v>
      </c>
      <c r="Q2453" t="s">
        <v>47</v>
      </c>
      <c r="R2453" s="214" t="s">
        <v>1869</v>
      </c>
      <c r="S2453" s="214" t="s">
        <v>1861</v>
      </c>
      <c r="T2453" t="s">
        <v>2628</v>
      </c>
      <c r="U2453" t="s">
        <v>1953</v>
      </c>
      <c r="V2453" t="s">
        <v>2813</v>
      </c>
    </row>
    <row r="2454" spans="1:22" ht="15.75" thickBot="1" x14ac:dyDescent="0.3">
      <c r="A2454" t="s">
        <v>2817</v>
      </c>
      <c r="B2454" t="s">
        <v>2817</v>
      </c>
      <c r="C2454" t="s">
        <v>2817</v>
      </c>
      <c r="D2454" t="s">
        <v>629</v>
      </c>
      <c r="E2454" s="248" t="s">
        <v>1853</v>
      </c>
      <c r="F2454" t="s">
        <v>620</v>
      </c>
      <c r="G2454" s="89">
        <v>2016</v>
      </c>
      <c r="H2454" s="314" t="s">
        <v>2231</v>
      </c>
      <c r="I2454" s="308" t="str">
        <f t="shared" si="102"/>
        <v>Pesado de Passageiros M3: III : Gasóleo : Geral</v>
      </c>
      <c r="J2454" s="254">
        <v>53</v>
      </c>
      <c r="K2454" s="253">
        <v>2022</v>
      </c>
      <c r="L2454" s="85">
        <v>14312</v>
      </c>
      <c r="M2454" s="85" t="s">
        <v>630</v>
      </c>
      <c r="N2454" s="128">
        <v>47612</v>
      </c>
      <c r="O2454" s="128">
        <f t="shared" si="103"/>
        <v>2523436</v>
      </c>
      <c r="P2454" s="89">
        <v>355</v>
      </c>
      <c r="Q2454" t="s">
        <v>47</v>
      </c>
      <c r="R2454" s="214" t="s">
        <v>1869</v>
      </c>
      <c r="S2454" s="214" t="s">
        <v>1861</v>
      </c>
      <c r="T2454" t="s">
        <v>2628</v>
      </c>
      <c r="U2454" t="s">
        <v>1953</v>
      </c>
      <c r="V2454" t="s">
        <v>2813</v>
      </c>
    </row>
    <row r="2455" spans="1:22" ht="15.75" thickBot="1" x14ac:dyDescent="0.3">
      <c r="A2455" t="s">
        <v>2817</v>
      </c>
      <c r="B2455" t="s">
        <v>2817</v>
      </c>
      <c r="C2455" t="s">
        <v>2817</v>
      </c>
      <c r="D2455" t="s">
        <v>629</v>
      </c>
      <c r="E2455" s="248" t="s">
        <v>1853</v>
      </c>
      <c r="F2455" t="s">
        <v>620</v>
      </c>
      <c r="G2455" s="89">
        <v>2016</v>
      </c>
      <c r="H2455" s="314" t="s">
        <v>2231</v>
      </c>
      <c r="I2455" s="308" t="str">
        <f t="shared" si="102"/>
        <v>Pesado de Passageiros M3: III : Gasóleo : Geral</v>
      </c>
      <c r="J2455" s="254">
        <v>53</v>
      </c>
      <c r="K2455" s="253">
        <v>2022</v>
      </c>
      <c r="L2455" s="85">
        <v>13041.1</v>
      </c>
      <c r="M2455" s="85" t="s">
        <v>630</v>
      </c>
      <c r="N2455" s="128">
        <v>47865</v>
      </c>
      <c r="O2455" s="128">
        <f t="shared" si="103"/>
        <v>2536845</v>
      </c>
      <c r="P2455" s="89">
        <v>356</v>
      </c>
      <c r="Q2455" t="s">
        <v>47</v>
      </c>
      <c r="R2455" s="214" t="s">
        <v>1869</v>
      </c>
      <c r="S2455" s="214" t="s">
        <v>1861</v>
      </c>
      <c r="T2455" t="s">
        <v>2628</v>
      </c>
      <c r="U2455" t="s">
        <v>1953</v>
      </c>
      <c r="V2455" t="s">
        <v>2813</v>
      </c>
    </row>
    <row r="2456" spans="1:22" ht="15.75" thickBot="1" x14ac:dyDescent="0.3">
      <c r="A2456" t="s">
        <v>2817</v>
      </c>
      <c r="B2456" t="s">
        <v>2817</v>
      </c>
      <c r="C2456" t="s">
        <v>2817</v>
      </c>
      <c r="D2456" t="s">
        <v>629</v>
      </c>
      <c r="E2456" s="248" t="s">
        <v>1853</v>
      </c>
      <c r="F2456" t="s">
        <v>620</v>
      </c>
      <c r="G2456" s="89">
        <v>2016</v>
      </c>
      <c r="H2456" s="314" t="s">
        <v>2231</v>
      </c>
      <c r="I2456" s="308" t="str">
        <f t="shared" si="102"/>
        <v>Pesado de Passageiros M3: III : Gasóleo : Geral</v>
      </c>
      <c r="J2456" s="254">
        <v>53</v>
      </c>
      <c r="K2456" s="253">
        <v>2022</v>
      </c>
      <c r="L2456" s="85">
        <v>12978</v>
      </c>
      <c r="M2456" s="85" t="s">
        <v>630</v>
      </c>
      <c r="N2456" s="128">
        <v>48401</v>
      </c>
      <c r="O2456" s="128">
        <f t="shared" si="103"/>
        <v>2565253</v>
      </c>
      <c r="P2456" s="89">
        <v>357</v>
      </c>
      <c r="Q2456" t="s">
        <v>47</v>
      </c>
      <c r="R2456" s="214" t="s">
        <v>1869</v>
      </c>
      <c r="S2456" s="214" t="s">
        <v>1861</v>
      </c>
      <c r="T2456" t="s">
        <v>2628</v>
      </c>
      <c r="U2456" t="s">
        <v>1953</v>
      </c>
      <c r="V2456" t="s">
        <v>2813</v>
      </c>
    </row>
    <row r="2457" spans="1:22" ht="15.75" thickBot="1" x14ac:dyDescent="0.3">
      <c r="A2457" t="s">
        <v>2817</v>
      </c>
      <c r="B2457" t="s">
        <v>2817</v>
      </c>
      <c r="C2457" t="s">
        <v>2817</v>
      </c>
      <c r="D2457" t="s">
        <v>629</v>
      </c>
      <c r="E2457" s="248" t="s">
        <v>1853</v>
      </c>
      <c r="F2457" t="s">
        <v>620</v>
      </c>
      <c r="G2457" s="89">
        <v>2008</v>
      </c>
      <c r="H2457" s="314" t="s">
        <v>2231</v>
      </c>
      <c r="I2457" s="308" t="str">
        <f t="shared" si="102"/>
        <v>Pesado de Passageiros M3: III : Gasóleo : Geral</v>
      </c>
      <c r="J2457" s="254">
        <v>65</v>
      </c>
      <c r="K2457" s="253">
        <v>2022</v>
      </c>
      <c r="L2457" s="85">
        <v>16646</v>
      </c>
      <c r="M2457" s="85" t="s">
        <v>630</v>
      </c>
      <c r="N2457" s="128">
        <v>43242</v>
      </c>
      <c r="O2457" s="128">
        <f t="shared" si="103"/>
        <v>2810730</v>
      </c>
      <c r="P2457" s="89">
        <v>358</v>
      </c>
      <c r="Q2457" t="s">
        <v>47</v>
      </c>
      <c r="R2457" s="214" t="s">
        <v>1869</v>
      </c>
      <c r="S2457" s="214" t="s">
        <v>1861</v>
      </c>
      <c r="T2457" t="s">
        <v>2628</v>
      </c>
      <c r="U2457" t="s">
        <v>1953</v>
      </c>
      <c r="V2457" t="s">
        <v>2813</v>
      </c>
    </row>
    <row r="2458" spans="1:22" ht="15.75" thickBot="1" x14ac:dyDescent="0.3">
      <c r="A2458" t="s">
        <v>2817</v>
      </c>
      <c r="B2458" t="s">
        <v>2817</v>
      </c>
      <c r="C2458" t="s">
        <v>2817</v>
      </c>
      <c r="D2458" t="s">
        <v>629</v>
      </c>
      <c r="E2458" s="248" t="s">
        <v>1853</v>
      </c>
      <c r="F2458" t="s">
        <v>620</v>
      </c>
      <c r="G2458" s="89">
        <v>2010</v>
      </c>
      <c r="H2458" s="314" t="s">
        <v>2231</v>
      </c>
      <c r="I2458" s="308" t="str">
        <f t="shared" si="102"/>
        <v>Pesado de Passageiros M3: III : Gasóleo : Geral</v>
      </c>
      <c r="J2458" s="254">
        <v>51</v>
      </c>
      <c r="K2458" s="253">
        <v>2022</v>
      </c>
      <c r="L2458" s="85">
        <v>17455.900000000001</v>
      </c>
      <c r="M2458" s="85" t="s">
        <v>630</v>
      </c>
      <c r="N2458" s="128">
        <v>49004</v>
      </c>
      <c r="O2458" s="128">
        <f t="shared" si="103"/>
        <v>2499204</v>
      </c>
      <c r="P2458" s="89">
        <v>359</v>
      </c>
      <c r="Q2458" t="s">
        <v>47</v>
      </c>
      <c r="R2458" s="214" t="s">
        <v>1869</v>
      </c>
      <c r="S2458" s="214" t="s">
        <v>1861</v>
      </c>
      <c r="T2458" t="s">
        <v>2628</v>
      </c>
      <c r="U2458" t="s">
        <v>1953</v>
      </c>
      <c r="V2458" t="s">
        <v>2813</v>
      </c>
    </row>
    <row r="2459" spans="1:22" ht="15.75" thickBot="1" x14ac:dyDescent="0.3">
      <c r="A2459" t="s">
        <v>2817</v>
      </c>
      <c r="B2459" t="s">
        <v>2817</v>
      </c>
      <c r="C2459" t="s">
        <v>2817</v>
      </c>
      <c r="D2459" t="s">
        <v>629</v>
      </c>
      <c r="E2459" s="248" t="s">
        <v>1853</v>
      </c>
      <c r="F2459" t="s">
        <v>620</v>
      </c>
      <c r="G2459" s="89">
        <v>2007</v>
      </c>
      <c r="H2459" s="314" t="s">
        <v>2231</v>
      </c>
      <c r="I2459" s="308" t="str">
        <f t="shared" si="102"/>
        <v>Pesado de Passageiros M3: III : Gasóleo : Geral</v>
      </c>
      <c r="J2459" s="255">
        <v>61</v>
      </c>
      <c r="K2459" s="253">
        <v>2022</v>
      </c>
      <c r="L2459" s="85">
        <v>8247.5</v>
      </c>
      <c r="M2459" s="85" t="s">
        <v>630</v>
      </c>
      <c r="N2459" s="128">
        <v>22721</v>
      </c>
      <c r="O2459" s="128">
        <f t="shared" si="103"/>
        <v>1385981</v>
      </c>
      <c r="P2459" s="89">
        <v>360</v>
      </c>
      <c r="Q2459" t="s">
        <v>47</v>
      </c>
      <c r="R2459" s="214" t="s">
        <v>1869</v>
      </c>
      <c r="S2459" s="214" t="s">
        <v>1861</v>
      </c>
      <c r="T2459" t="s">
        <v>2628</v>
      </c>
      <c r="U2459" t="s">
        <v>1953</v>
      </c>
      <c r="V2459" t="s">
        <v>2813</v>
      </c>
    </row>
    <row r="2460" spans="1:22" ht="15.75" thickBot="1" x14ac:dyDescent="0.3">
      <c r="A2460" t="s">
        <v>2817</v>
      </c>
      <c r="B2460" t="s">
        <v>2817</v>
      </c>
      <c r="C2460" t="s">
        <v>2817</v>
      </c>
      <c r="D2460" t="s">
        <v>629</v>
      </c>
      <c r="E2460" s="248" t="s">
        <v>1853</v>
      </c>
      <c r="F2460" t="s">
        <v>620</v>
      </c>
      <c r="G2460" s="89">
        <v>2006</v>
      </c>
      <c r="H2460" s="314" t="s">
        <v>2231</v>
      </c>
      <c r="I2460" s="308" t="str">
        <f t="shared" si="102"/>
        <v>Pesado de Passageiros M3: III : Gasóleo : Geral</v>
      </c>
      <c r="J2460" s="254">
        <v>55</v>
      </c>
      <c r="K2460" s="253">
        <v>2022</v>
      </c>
      <c r="L2460" s="85"/>
      <c r="M2460" s="85" t="s">
        <v>630</v>
      </c>
      <c r="N2460" s="128"/>
      <c r="O2460" s="128">
        <f t="shared" si="103"/>
        <v>0</v>
      </c>
      <c r="P2460" s="89">
        <v>361</v>
      </c>
      <c r="Q2460" t="s">
        <v>47</v>
      </c>
      <c r="R2460" s="214" t="s">
        <v>1869</v>
      </c>
      <c r="S2460" s="214" t="s">
        <v>1861</v>
      </c>
      <c r="T2460" t="s">
        <v>2628</v>
      </c>
      <c r="U2460" t="s">
        <v>1953</v>
      </c>
      <c r="V2460" t="s">
        <v>2813</v>
      </c>
    </row>
    <row r="2461" spans="1:22" ht="15.75" thickBot="1" x14ac:dyDescent="0.3">
      <c r="A2461" t="s">
        <v>2817</v>
      </c>
      <c r="B2461" t="s">
        <v>2817</v>
      </c>
      <c r="C2461" t="s">
        <v>2817</v>
      </c>
      <c r="D2461" t="s">
        <v>629</v>
      </c>
      <c r="E2461" s="248" t="s">
        <v>1853</v>
      </c>
      <c r="F2461" t="s">
        <v>620</v>
      </c>
      <c r="G2461" s="89">
        <v>2017</v>
      </c>
      <c r="H2461" s="314" t="s">
        <v>2231</v>
      </c>
      <c r="I2461" s="308" t="str">
        <f t="shared" si="102"/>
        <v>Pesado de Passageiros M3: III : Gasóleo : Geral</v>
      </c>
      <c r="J2461" s="254">
        <v>53</v>
      </c>
      <c r="K2461" s="253">
        <v>2022</v>
      </c>
      <c r="L2461" s="85">
        <v>14481.6</v>
      </c>
      <c r="M2461" s="85" t="s">
        <v>630</v>
      </c>
      <c r="N2461" s="128">
        <v>52759</v>
      </c>
      <c r="O2461" s="128">
        <f t="shared" si="103"/>
        <v>2796227</v>
      </c>
      <c r="P2461" s="89">
        <v>362</v>
      </c>
      <c r="Q2461" t="s">
        <v>47</v>
      </c>
      <c r="R2461" s="214" t="s">
        <v>1869</v>
      </c>
      <c r="S2461" s="214" t="s">
        <v>1861</v>
      </c>
      <c r="T2461" t="s">
        <v>2628</v>
      </c>
      <c r="U2461" t="s">
        <v>1953</v>
      </c>
      <c r="V2461" t="s">
        <v>2813</v>
      </c>
    </row>
    <row r="2462" spans="1:22" ht="15.75" thickBot="1" x14ac:dyDescent="0.3">
      <c r="A2462" t="s">
        <v>2817</v>
      </c>
      <c r="B2462" t="s">
        <v>2817</v>
      </c>
      <c r="C2462" t="s">
        <v>2817</v>
      </c>
      <c r="D2462" t="s">
        <v>629</v>
      </c>
      <c r="E2462" s="248" t="s">
        <v>1853</v>
      </c>
      <c r="F2462" t="s">
        <v>620</v>
      </c>
      <c r="G2462" s="89">
        <v>2017</v>
      </c>
      <c r="H2462" s="314" t="s">
        <v>2231</v>
      </c>
      <c r="I2462" s="308" t="str">
        <f t="shared" si="102"/>
        <v>Pesado de Passageiros M3: III : Gasóleo : Geral</v>
      </c>
      <c r="J2462" s="254">
        <v>53</v>
      </c>
      <c r="K2462" s="253">
        <v>2022</v>
      </c>
      <c r="L2462" s="85">
        <v>13429.5</v>
      </c>
      <c r="M2462" s="85" t="s">
        <v>630</v>
      </c>
      <c r="N2462" s="128">
        <v>49148</v>
      </c>
      <c r="O2462" s="128">
        <f t="shared" si="103"/>
        <v>2604844</v>
      </c>
      <c r="P2462" s="89">
        <v>363</v>
      </c>
      <c r="Q2462" t="s">
        <v>47</v>
      </c>
      <c r="R2462" s="214" t="s">
        <v>1869</v>
      </c>
      <c r="S2462" s="214" t="s">
        <v>1861</v>
      </c>
      <c r="T2462" t="s">
        <v>2628</v>
      </c>
      <c r="U2462" t="s">
        <v>1953</v>
      </c>
      <c r="V2462" t="s">
        <v>2813</v>
      </c>
    </row>
    <row r="2463" spans="1:22" ht="15.75" thickBot="1" x14ac:dyDescent="0.3">
      <c r="A2463" t="s">
        <v>2817</v>
      </c>
      <c r="B2463" t="s">
        <v>2817</v>
      </c>
      <c r="C2463" t="s">
        <v>2817</v>
      </c>
      <c r="D2463" t="s">
        <v>629</v>
      </c>
      <c r="E2463" s="248" t="s">
        <v>1853</v>
      </c>
      <c r="F2463" t="s">
        <v>620</v>
      </c>
      <c r="G2463" s="89">
        <v>2006</v>
      </c>
      <c r="H2463" s="314" t="s">
        <v>2231</v>
      </c>
      <c r="I2463" s="308" t="str">
        <f t="shared" si="102"/>
        <v>Pesado de Passageiros M3: III : Gasóleo : Geral</v>
      </c>
      <c r="J2463" s="254">
        <v>55</v>
      </c>
      <c r="K2463" s="253">
        <v>2022</v>
      </c>
      <c r="L2463" s="85">
        <v>9377.1</v>
      </c>
      <c r="M2463" s="85" t="s">
        <v>630</v>
      </c>
      <c r="N2463" s="128">
        <v>26393</v>
      </c>
      <c r="O2463" s="128">
        <f t="shared" si="103"/>
        <v>1451615</v>
      </c>
      <c r="P2463" s="89">
        <v>364</v>
      </c>
      <c r="Q2463" t="s">
        <v>47</v>
      </c>
      <c r="R2463" s="214" t="s">
        <v>1869</v>
      </c>
      <c r="S2463" s="214" t="s">
        <v>1861</v>
      </c>
      <c r="T2463" t="s">
        <v>2628</v>
      </c>
      <c r="U2463" t="s">
        <v>1953</v>
      </c>
      <c r="V2463" t="s">
        <v>2813</v>
      </c>
    </row>
    <row r="2464" spans="1:22" ht="15.75" thickBot="1" x14ac:dyDescent="0.3">
      <c r="A2464" t="s">
        <v>2817</v>
      </c>
      <c r="B2464" t="s">
        <v>2817</v>
      </c>
      <c r="C2464" t="s">
        <v>2817</v>
      </c>
      <c r="D2464" t="s">
        <v>629</v>
      </c>
      <c r="E2464" s="248" t="s">
        <v>1853</v>
      </c>
      <c r="F2464" t="s">
        <v>620</v>
      </c>
      <c r="G2464" s="89">
        <v>2017</v>
      </c>
      <c r="H2464" s="314" t="s">
        <v>2231</v>
      </c>
      <c r="I2464" s="308" t="str">
        <f t="shared" si="102"/>
        <v>Pesado de Passageiros M3: III : Gasóleo : Geral</v>
      </c>
      <c r="J2464" s="254">
        <v>29</v>
      </c>
      <c r="K2464" s="253">
        <v>2022</v>
      </c>
      <c r="L2464" s="85">
        <v>5525.9</v>
      </c>
      <c r="M2464" s="85" t="s">
        <v>630</v>
      </c>
      <c r="N2464" s="128">
        <v>32909</v>
      </c>
      <c r="O2464" s="128">
        <f t="shared" si="103"/>
        <v>954361</v>
      </c>
      <c r="P2464" s="89">
        <v>366</v>
      </c>
      <c r="Q2464" t="s">
        <v>47</v>
      </c>
      <c r="R2464" s="214" t="s">
        <v>1869</v>
      </c>
      <c r="S2464" s="214" t="s">
        <v>1861</v>
      </c>
      <c r="T2464" t="s">
        <v>2628</v>
      </c>
      <c r="U2464" t="s">
        <v>1953</v>
      </c>
      <c r="V2464" t="s">
        <v>2813</v>
      </c>
    </row>
    <row r="2465" spans="1:22" ht="15.75" thickBot="1" x14ac:dyDescent="0.3">
      <c r="A2465" t="s">
        <v>2817</v>
      </c>
      <c r="B2465" t="s">
        <v>2817</v>
      </c>
      <c r="C2465" t="s">
        <v>2817</v>
      </c>
      <c r="D2465" t="s">
        <v>629</v>
      </c>
      <c r="E2465" s="248" t="s">
        <v>1853</v>
      </c>
      <c r="F2465" t="s">
        <v>620</v>
      </c>
      <c r="G2465" s="89">
        <v>2017</v>
      </c>
      <c r="H2465" s="314" t="s">
        <v>2231</v>
      </c>
      <c r="I2465" s="308" t="str">
        <f t="shared" si="102"/>
        <v>Pesado de Passageiros M3: III : Gasóleo : Geral</v>
      </c>
      <c r="J2465" s="254">
        <v>29</v>
      </c>
      <c r="K2465" s="253">
        <v>2022</v>
      </c>
      <c r="L2465" s="85">
        <v>4013.6</v>
      </c>
      <c r="M2465" s="85" t="s">
        <v>630</v>
      </c>
      <c r="N2465" s="128">
        <v>21916</v>
      </c>
      <c r="O2465" s="128">
        <f t="shared" si="103"/>
        <v>635564</v>
      </c>
      <c r="P2465" s="89">
        <v>367</v>
      </c>
      <c r="Q2465" t="s">
        <v>47</v>
      </c>
      <c r="R2465" s="214" t="s">
        <v>1869</v>
      </c>
      <c r="S2465" s="214" t="s">
        <v>1861</v>
      </c>
      <c r="T2465" t="s">
        <v>2628</v>
      </c>
      <c r="U2465" t="s">
        <v>1953</v>
      </c>
      <c r="V2465" t="s">
        <v>2813</v>
      </c>
    </row>
    <row r="2466" spans="1:22" ht="15.75" thickBot="1" x14ac:dyDescent="0.3">
      <c r="A2466" t="s">
        <v>2817</v>
      </c>
      <c r="B2466" t="s">
        <v>2817</v>
      </c>
      <c r="C2466" t="s">
        <v>2817</v>
      </c>
      <c r="D2466" t="s">
        <v>629</v>
      </c>
      <c r="E2466" s="248" t="s">
        <v>1853</v>
      </c>
      <c r="F2466" t="s">
        <v>620</v>
      </c>
      <c r="G2466" s="89">
        <v>2017</v>
      </c>
      <c r="H2466" s="314" t="s">
        <v>2231</v>
      </c>
      <c r="I2466" s="308" t="str">
        <f t="shared" si="102"/>
        <v>Pesado de Passageiros M3: III : Gasóleo : Geral</v>
      </c>
      <c r="J2466" s="254">
        <v>29</v>
      </c>
      <c r="K2466" s="253">
        <v>2022</v>
      </c>
      <c r="L2466" s="85">
        <v>4277.6000000000004</v>
      </c>
      <c r="M2466" s="85" t="s">
        <v>630</v>
      </c>
      <c r="N2466" s="128">
        <v>25742</v>
      </c>
      <c r="O2466" s="128">
        <f t="shared" si="103"/>
        <v>746518</v>
      </c>
      <c r="P2466" s="89">
        <v>368</v>
      </c>
      <c r="Q2466" t="s">
        <v>47</v>
      </c>
      <c r="R2466" s="214" t="s">
        <v>1869</v>
      </c>
      <c r="S2466" s="214" t="s">
        <v>1861</v>
      </c>
      <c r="T2466" t="s">
        <v>2628</v>
      </c>
      <c r="U2466" t="s">
        <v>1953</v>
      </c>
      <c r="V2466" t="s">
        <v>2813</v>
      </c>
    </row>
    <row r="2467" spans="1:22" ht="15.75" thickBot="1" x14ac:dyDescent="0.3">
      <c r="A2467" t="s">
        <v>2817</v>
      </c>
      <c r="B2467" t="s">
        <v>2817</v>
      </c>
      <c r="C2467" t="s">
        <v>2817</v>
      </c>
      <c r="D2467" t="s">
        <v>629</v>
      </c>
      <c r="E2467" s="248" t="s">
        <v>1853</v>
      </c>
      <c r="F2467" t="s">
        <v>620</v>
      </c>
      <c r="G2467" s="89">
        <v>2018</v>
      </c>
      <c r="H2467" s="314" t="s">
        <v>2231</v>
      </c>
      <c r="I2467" s="308" t="str">
        <f t="shared" si="102"/>
        <v>Pesado de Passageiros M3: III : Gasóleo : Geral</v>
      </c>
      <c r="J2467" s="254">
        <v>53</v>
      </c>
      <c r="K2467" s="253">
        <v>2022</v>
      </c>
      <c r="L2467" s="85">
        <v>37931</v>
      </c>
      <c r="M2467" s="85" t="s">
        <v>630</v>
      </c>
      <c r="N2467" s="128">
        <v>148846</v>
      </c>
      <c r="O2467" s="128">
        <f t="shared" si="103"/>
        <v>7888838</v>
      </c>
      <c r="P2467" s="89">
        <v>369</v>
      </c>
      <c r="Q2467" t="s">
        <v>47</v>
      </c>
      <c r="R2467" s="214" t="s">
        <v>1869</v>
      </c>
      <c r="S2467" s="214" t="s">
        <v>1861</v>
      </c>
      <c r="T2467" t="s">
        <v>2628</v>
      </c>
      <c r="U2467" t="s">
        <v>1953</v>
      </c>
      <c r="V2467" t="s">
        <v>2813</v>
      </c>
    </row>
    <row r="2468" spans="1:22" ht="15.75" thickBot="1" x14ac:dyDescent="0.3">
      <c r="A2468" t="s">
        <v>2817</v>
      </c>
      <c r="B2468" t="s">
        <v>2817</v>
      </c>
      <c r="C2468" t="s">
        <v>2817</v>
      </c>
      <c r="D2468" t="s">
        <v>629</v>
      </c>
      <c r="E2468" s="248" t="s">
        <v>1853</v>
      </c>
      <c r="F2468" t="s">
        <v>620</v>
      </c>
      <c r="G2468" s="89">
        <v>2018</v>
      </c>
      <c r="H2468" s="314" t="s">
        <v>2231</v>
      </c>
      <c r="I2468" s="308" t="str">
        <f t="shared" si="102"/>
        <v>Pesado de Passageiros M3: III : Gasóleo : Geral</v>
      </c>
      <c r="J2468" s="254">
        <v>53</v>
      </c>
      <c r="K2468" s="253">
        <v>2022</v>
      </c>
      <c r="L2468" s="85">
        <v>38479</v>
      </c>
      <c r="M2468" s="85" t="s">
        <v>630</v>
      </c>
      <c r="N2468" s="128">
        <v>150163</v>
      </c>
      <c r="O2468" s="128">
        <f t="shared" si="103"/>
        <v>7958639</v>
      </c>
      <c r="P2468" s="89">
        <v>370</v>
      </c>
      <c r="Q2468" t="s">
        <v>47</v>
      </c>
      <c r="R2468" s="214" t="s">
        <v>1869</v>
      </c>
      <c r="S2468" s="214" t="s">
        <v>1861</v>
      </c>
      <c r="T2468" t="s">
        <v>2628</v>
      </c>
      <c r="U2468" t="s">
        <v>1953</v>
      </c>
      <c r="V2468" t="s">
        <v>2813</v>
      </c>
    </row>
    <row r="2469" spans="1:22" ht="15.75" thickBot="1" x14ac:dyDescent="0.3">
      <c r="A2469" t="s">
        <v>2817</v>
      </c>
      <c r="B2469" t="s">
        <v>2817</v>
      </c>
      <c r="C2469" t="s">
        <v>2817</v>
      </c>
      <c r="D2469" t="s">
        <v>629</v>
      </c>
      <c r="E2469" s="248" t="s">
        <v>1853</v>
      </c>
      <c r="F2469" t="s">
        <v>620</v>
      </c>
      <c r="G2469" s="89">
        <v>2014</v>
      </c>
      <c r="H2469" s="314" t="s">
        <v>2231</v>
      </c>
      <c r="I2469" s="308" t="str">
        <f t="shared" si="102"/>
        <v>Pesado de Passageiros M3: III : Gasóleo : Geral</v>
      </c>
      <c r="J2469" s="254">
        <v>53</v>
      </c>
      <c r="K2469" s="253">
        <v>2022</v>
      </c>
      <c r="L2469" s="85">
        <v>17219</v>
      </c>
      <c r="M2469" s="85" t="s">
        <v>630</v>
      </c>
      <c r="N2469" s="128">
        <v>55549</v>
      </c>
      <c r="O2469" s="128">
        <f t="shared" si="103"/>
        <v>2944097</v>
      </c>
      <c r="P2469" s="89">
        <v>375</v>
      </c>
      <c r="Q2469" t="s">
        <v>47</v>
      </c>
      <c r="R2469" s="214" t="s">
        <v>1869</v>
      </c>
      <c r="S2469" s="214" t="s">
        <v>1861</v>
      </c>
      <c r="T2469" t="s">
        <v>2628</v>
      </c>
      <c r="U2469" t="s">
        <v>1953</v>
      </c>
      <c r="V2469" t="s">
        <v>2813</v>
      </c>
    </row>
    <row r="2470" spans="1:22" ht="15.75" thickBot="1" x14ac:dyDescent="0.3">
      <c r="A2470" t="s">
        <v>2817</v>
      </c>
      <c r="B2470" t="s">
        <v>2817</v>
      </c>
      <c r="C2470" t="s">
        <v>2817</v>
      </c>
      <c r="D2470" t="s">
        <v>629</v>
      </c>
      <c r="E2470" s="248" t="s">
        <v>1853</v>
      </c>
      <c r="F2470" t="s">
        <v>620</v>
      </c>
      <c r="G2470" s="89">
        <v>2014</v>
      </c>
      <c r="H2470" s="314" t="s">
        <v>2231</v>
      </c>
      <c r="I2470" s="308" t="str">
        <f t="shared" si="102"/>
        <v>Pesado de Passageiros M3: III : Gasóleo : Geral</v>
      </c>
      <c r="J2470" s="254">
        <v>53</v>
      </c>
      <c r="K2470" s="253">
        <v>2022</v>
      </c>
      <c r="L2470" s="85">
        <v>21724.1</v>
      </c>
      <c r="M2470" s="85" t="s">
        <v>630</v>
      </c>
      <c r="N2470" s="128">
        <v>74304</v>
      </c>
      <c r="O2470" s="128">
        <f t="shared" si="103"/>
        <v>3938112</v>
      </c>
      <c r="P2470" s="89">
        <v>376</v>
      </c>
      <c r="Q2470" t="s">
        <v>47</v>
      </c>
      <c r="R2470" s="214" t="s">
        <v>1869</v>
      </c>
      <c r="S2470" s="214" t="s">
        <v>1861</v>
      </c>
      <c r="T2470" t="s">
        <v>2628</v>
      </c>
      <c r="U2470" t="s">
        <v>1953</v>
      </c>
      <c r="V2470" t="s">
        <v>2813</v>
      </c>
    </row>
    <row r="2471" spans="1:22" ht="15.75" thickBot="1" x14ac:dyDescent="0.3">
      <c r="A2471" t="s">
        <v>2817</v>
      </c>
      <c r="B2471" t="s">
        <v>2817</v>
      </c>
      <c r="C2471" t="s">
        <v>2817</v>
      </c>
      <c r="D2471" t="s">
        <v>629</v>
      </c>
      <c r="E2471" s="248" t="s">
        <v>1853</v>
      </c>
      <c r="F2471" t="s">
        <v>620</v>
      </c>
      <c r="G2471" s="89">
        <v>2020</v>
      </c>
      <c r="H2471" s="314" t="s">
        <v>2231</v>
      </c>
      <c r="I2471" s="308" t="str">
        <f t="shared" si="102"/>
        <v>Pesado de Passageiros M3: III : Gasóleo : Geral</v>
      </c>
      <c r="J2471" s="254">
        <v>53</v>
      </c>
      <c r="K2471" s="253">
        <v>2022</v>
      </c>
      <c r="L2471" s="85">
        <v>12602.8</v>
      </c>
      <c r="M2471" s="85" t="s">
        <v>630</v>
      </c>
      <c r="N2471" s="128">
        <v>48432</v>
      </c>
      <c r="O2471" s="128">
        <f t="shared" si="103"/>
        <v>2566896</v>
      </c>
      <c r="P2471" s="89">
        <v>377</v>
      </c>
      <c r="Q2471" t="s">
        <v>47</v>
      </c>
      <c r="R2471" s="214" t="s">
        <v>1869</v>
      </c>
      <c r="S2471" s="214" t="s">
        <v>1861</v>
      </c>
      <c r="T2471" t="s">
        <v>2628</v>
      </c>
      <c r="U2471" t="s">
        <v>1953</v>
      </c>
      <c r="V2471" t="s">
        <v>2813</v>
      </c>
    </row>
    <row r="2472" spans="1:22" ht="15.75" thickBot="1" x14ac:dyDescent="0.3">
      <c r="A2472" t="s">
        <v>2817</v>
      </c>
      <c r="B2472" t="s">
        <v>2817</v>
      </c>
      <c r="C2472" t="s">
        <v>2817</v>
      </c>
      <c r="D2472" t="s">
        <v>629</v>
      </c>
      <c r="E2472" s="248" t="s">
        <v>1853</v>
      </c>
      <c r="F2472" t="s">
        <v>620</v>
      </c>
      <c r="G2472" s="89">
        <v>2001</v>
      </c>
      <c r="H2472" s="314" t="s">
        <v>2231</v>
      </c>
      <c r="I2472" s="308" t="str">
        <f t="shared" si="102"/>
        <v>Pesado de Passageiros M3: III : Gasóleo : Geral</v>
      </c>
      <c r="J2472" s="254">
        <v>55</v>
      </c>
      <c r="K2472" s="253">
        <v>2022</v>
      </c>
      <c r="L2472" s="85"/>
      <c r="M2472" s="85" t="s">
        <v>630</v>
      </c>
      <c r="N2472" s="128"/>
      <c r="O2472" s="128">
        <f t="shared" si="103"/>
        <v>0</v>
      </c>
      <c r="P2472" s="89">
        <v>459</v>
      </c>
      <c r="Q2472" t="s">
        <v>47</v>
      </c>
      <c r="R2472" s="214" t="s">
        <v>1869</v>
      </c>
      <c r="S2472" s="214" t="s">
        <v>1861</v>
      </c>
      <c r="T2472" t="s">
        <v>2628</v>
      </c>
      <c r="U2472" t="s">
        <v>1953</v>
      </c>
      <c r="V2472" t="s">
        <v>2813</v>
      </c>
    </row>
    <row r="2473" spans="1:22" ht="15.75" thickBot="1" x14ac:dyDescent="0.3">
      <c r="A2473" t="s">
        <v>2817</v>
      </c>
      <c r="B2473" t="s">
        <v>2817</v>
      </c>
      <c r="C2473" t="s">
        <v>2817</v>
      </c>
      <c r="D2473" t="s">
        <v>629</v>
      </c>
      <c r="E2473" s="248" t="s">
        <v>1853</v>
      </c>
      <c r="F2473" t="s">
        <v>620</v>
      </c>
      <c r="G2473" s="89">
        <v>2001</v>
      </c>
      <c r="H2473" s="314" t="s">
        <v>2231</v>
      </c>
      <c r="I2473" s="308" t="str">
        <f t="shared" si="102"/>
        <v>Pesado de Passageiros M3: III : Gasóleo : Geral</v>
      </c>
      <c r="J2473" s="254">
        <v>55</v>
      </c>
      <c r="K2473" s="253">
        <v>2022</v>
      </c>
      <c r="L2473" s="85"/>
      <c r="M2473" s="85" t="s">
        <v>630</v>
      </c>
      <c r="N2473" s="128"/>
      <c r="O2473" s="128">
        <f t="shared" si="103"/>
        <v>0</v>
      </c>
      <c r="P2473" s="89">
        <v>460</v>
      </c>
      <c r="Q2473" t="s">
        <v>47</v>
      </c>
      <c r="R2473" s="214" t="s">
        <v>1869</v>
      </c>
      <c r="S2473" s="214" t="s">
        <v>1861</v>
      </c>
      <c r="T2473" t="s">
        <v>2628</v>
      </c>
      <c r="U2473" t="s">
        <v>1953</v>
      </c>
      <c r="V2473" t="s">
        <v>2813</v>
      </c>
    </row>
    <row r="2474" spans="1:22" ht="15.75" thickBot="1" x14ac:dyDescent="0.3">
      <c r="A2474" t="s">
        <v>2817</v>
      </c>
      <c r="B2474" t="s">
        <v>2817</v>
      </c>
      <c r="C2474" t="s">
        <v>2817</v>
      </c>
      <c r="D2474" t="s">
        <v>629</v>
      </c>
      <c r="E2474" s="248" t="s">
        <v>1853</v>
      </c>
      <c r="F2474" t="s">
        <v>620</v>
      </c>
      <c r="G2474" s="89">
        <v>2004</v>
      </c>
      <c r="H2474" s="314" t="s">
        <v>2231</v>
      </c>
      <c r="I2474" s="308" t="str">
        <f t="shared" si="102"/>
        <v>Pesado de Passageiros M3: III : Gasóleo : Geral</v>
      </c>
      <c r="J2474" s="254">
        <v>53</v>
      </c>
      <c r="K2474" s="253">
        <v>2022</v>
      </c>
      <c r="L2474" s="85"/>
      <c r="M2474" s="85" t="s">
        <v>630</v>
      </c>
      <c r="N2474" s="128"/>
      <c r="O2474" s="128">
        <f t="shared" si="103"/>
        <v>0</v>
      </c>
      <c r="P2474" s="89">
        <v>481</v>
      </c>
      <c r="Q2474" t="s">
        <v>47</v>
      </c>
      <c r="R2474" s="214" t="s">
        <v>1869</v>
      </c>
      <c r="S2474" s="214" t="s">
        <v>1861</v>
      </c>
      <c r="T2474" t="s">
        <v>2628</v>
      </c>
      <c r="U2474" t="s">
        <v>1953</v>
      </c>
      <c r="V2474" t="s">
        <v>2813</v>
      </c>
    </row>
    <row r="2475" spans="1:22" ht="15.75" thickBot="1" x14ac:dyDescent="0.3">
      <c r="A2475" t="s">
        <v>2817</v>
      </c>
      <c r="B2475" t="s">
        <v>2817</v>
      </c>
      <c r="C2475" t="s">
        <v>2817</v>
      </c>
      <c r="D2475" t="s">
        <v>629</v>
      </c>
      <c r="E2475" s="248" t="s">
        <v>1853</v>
      </c>
      <c r="F2475" t="s">
        <v>620</v>
      </c>
      <c r="G2475" s="89">
        <v>2004</v>
      </c>
      <c r="H2475" s="314" t="s">
        <v>2231</v>
      </c>
      <c r="I2475" s="308" t="str">
        <f t="shared" si="102"/>
        <v>Pesado de Passageiros M3: III : Gasóleo : Geral</v>
      </c>
      <c r="J2475" s="254">
        <v>53</v>
      </c>
      <c r="K2475" s="253">
        <v>2022</v>
      </c>
      <c r="L2475" s="85">
        <v>5185.8999999999996</v>
      </c>
      <c r="M2475" s="85" t="s">
        <v>630</v>
      </c>
      <c r="N2475" s="128">
        <v>16900</v>
      </c>
      <c r="O2475" s="128">
        <f t="shared" si="103"/>
        <v>895700</v>
      </c>
      <c r="P2475" s="89">
        <v>482</v>
      </c>
      <c r="Q2475" t="s">
        <v>47</v>
      </c>
      <c r="R2475" s="214" t="s">
        <v>1869</v>
      </c>
      <c r="S2475" s="214" t="s">
        <v>1861</v>
      </c>
      <c r="T2475" t="s">
        <v>2628</v>
      </c>
      <c r="U2475" t="s">
        <v>1953</v>
      </c>
      <c r="V2475" t="s">
        <v>2813</v>
      </c>
    </row>
    <row r="2476" spans="1:22" ht="15.75" thickBot="1" x14ac:dyDescent="0.3">
      <c r="A2476" t="s">
        <v>2817</v>
      </c>
      <c r="B2476" t="s">
        <v>2817</v>
      </c>
      <c r="C2476" t="s">
        <v>2817</v>
      </c>
      <c r="D2476" t="s">
        <v>629</v>
      </c>
      <c r="E2476" s="248" t="s">
        <v>1853</v>
      </c>
      <c r="F2476" t="s">
        <v>620</v>
      </c>
      <c r="G2476" s="89">
        <v>2004</v>
      </c>
      <c r="H2476" s="314" t="s">
        <v>2231</v>
      </c>
      <c r="I2476" s="308" t="str">
        <f t="shared" si="102"/>
        <v>Pesado de Passageiros M3: III : Gasóleo : Geral</v>
      </c>
      <c r="J2476" s="254">
        <v>53</v>
      </c>
      <c r="K2476" s="253">
        <v>2022</v>
      </c>
      <c r="L2476" s="85">
        <v>12309</v>
      </c>
      <c r="M2476" s="85" t="s">
        <v>630</v>
      </c>
      <c r="N2476" s="128">
        <v>37012</v>
      </c>
      <c r="O2476" s="128">
        <f t="shared" si="103"/>
        <v>1961636</v>
      </c>
      <c r="P2476" s="89">
        <v>484</v>
      </c>
      <c r="Q2476" t="s">
        <v>47</v>
      </c>
      <c r="R2476" s="214" t="s">
        <v>1869</v>
      </c>
      <c r="S2476" s="214" t="s">
        <v>1861</v>
      </c>
      <c r="T2476" t="s">
        <v>2628</v>
      </c>
      <c r="U2476" t="s">
        <v>1953</v>
      </c>
      <c r="V2476" t="s">
        <v>2813</v>
      </c>
    </row>
    <row r="2477" spans="1:22" ht="15.75" thickBot="1" x14ac:dyDescent="0.3">
      <c r="A2477" t="s">
        <v>2817</v>
      </c>
      <c r="B2477" t="s">
        <v>2817</v>
      </c>
      <c r="C2477" t="s">
        <v>2817</v>
      </c>
      <c r="D2477" t="s">
        <v>629</v>
      </c>
      <c r="E2477" s="248" t="s">
        <v>1853</v>
      </c>
      <c r="F2477" t="s">
        <v>620</v>
      </c>
      <c r="G2477" s="89">
        <v>2004</v>
      </c>
      <c r="H2477" s="314" t="s">
        <v>2231</v>
      </c>
      <c r="I2477" s="308" t="str">
        <f t="shared" si="102"/>
        <v>Pesado de Passageiros M3: III : Gasóleo : Geral</v>
      </c>
      <c r="J2477" s="254">
        <v>53</v>
      </c>
      <c r="K2477" s="253">
        <v>2022</v>
      </c>
      <c r="L2477" s="85">
        <v>12498.6</v>
      </c>
      <c r="M2477" s="85" t="s">
        <v>630</v>
      </c>
      <c r="N2477" s="128">
        <v>36159</v>
      </c>
      <c r="O2477" s="128">
        <f t="shared" si="103"/>
        <v>1916427</v>
      </c>
      <c r="P2477" s="89">
        <v>608</v>
      </c>
      <c r="Q2477" t="s">
        <v>47</v>
      </c>
      <c r="R2477" s="214" t="s">
        <v>1869</v>
      </c>
      <c r="S2477" s="214" t="s">
        <v>1861</v>
      </c>
      <c r="T2477" t="s">
        <v>2628</v>
      </c>
      <c r="U2477" t="s">
        <v>1953</v>
      </c>
      <c r="V2477" t="s">
        <v>2813</v>
      </c>
    </row>
    <row r="2478" spans="1:22" ht="15.75" thickBot="1" x14ac:dyDescent="0.3">
      <c r="A2478" t="s">
        <v>2817</v>
      </c>
      <c r="B2478" t="s">
        <v>2817</v>
      </c>
      <c r="C2478" t="s">
        <v>2817</v>
      </c>
      <c r="D2478" t="s">
        <v>629</v>
      </c>
      <c r="E2478" s="248" t="s">
        <v>1853</v>
      </c>
      <c r="F2478" t="s">
        <v>620</v>
      </c>
      <c r="G2478" s="89">
        <v>2000</v>
      </c>
      <c r="H2478" s="314" t="s">
        <v>2231</v>
      </c>
      <c r="I2478" s="308" t="str">
        <f t="shared" si="102"/>
        <v>Pesado de Passageiros M3: III : Gasóleo : Geral</v>
      </c>
      <c r="J2478" s="254">
        <v>51</v>
      </c>
      <c r="K2478" s="253">
        <v>2022</v>
      </c>
      <c r="L2478" s="85"/>
      <c r="M2478" s="85" t="s">
        <v>630</v>
      </c>
      <c r="N2478" s="128"/>
      <c r="O2478" s="128">
        <f t="shared" si="103"/>
        <v>0</v>
      </c>
      <c r="P2478" s="89">
        <v>615</v>
      </c>
      <c r="Q2478" t="s">
        <v>47</v>
      </c>
      <c r="R2478" s="214" t="s">
        <v>1869</v>
      </c>
      <c r="S2478" s="214" t="s">
        <v>1861</v>
      </c>
      <c r="T2478" t="s">
        <v>2628</v>
      </c>
      <c r="U2478" t="s">
        <v>1953</v>
      </c>
      <c r="V2478" t="s">
        <v>2813</v>
      </c>
    </row>
    <row r="2479" spans="1:22" ht="15.75" thickBot="1" x14ac:dyDescent="0.3">
      <c r="A2479" t="s">
        <v>2817</v>
      </c>
      <c r="B2479" t="s">
        <v>2817</v>
      </c>
      <c r="C2479" t="s">
        <v>2817</v>
      </c>
      <c r="D2479" t="s">
        <v>629</v>
      </c>
      <c r="E2479" s="248" t="s">
        <v>1853</v>
      </c>
      <c r="F2479" t="s">
        <v>620</v>
      </c>
      <c r="G2479" s="89">
        <v>2009</v>
      </c>
      <c r="H2479" s="314" t="s">
        <v>2231</v>
      </c>
      <c r="I2479" s="308" t="str">
        <f t="shared" si="102"/>
        <v>Pesado de Passageiros M3: III : Gasóleo : Geral</v>
      </c>
      <c r="J2479" s="254">
        <v>27</v>
      </c>
      <c r="K2479" s="253">
        <v>2022</v>
      </c>
      <c r="L2479" s="85">
        <v>2027.3</v>
      </c>
      <c r="M2479" s="85" t="s">
        <v>630</v>
      </c>
      <c r="N2479" s="128">
        <v>8674</v>
      </c>
      <c r="O2479" s="128">
        <f t="shared" si="103"/>
        <v>234198</v>
      </c>
      <c r="P2479" s="89">
        <v>618</v>
      </c>
      <c r="Q2479" t="s">
        <v>47</v>
      </c>
      <c r="R2479" s="214" t="s">
        <v>1869</v>
      </c>
      <c r="S2479" s="214" t="s">
        <v>1861</v>
      </c>
      <c r="T2479" t="s">
        <v>2628</v>
      </c>
      <c r="U2479" t="s">
        <v>1953</v>
      </c>
      <c r="V2479" t="s">
        <v>2813</v>
      </c>
    </row>
    <row r="2480" spans="1:22" ht="15.75" thickBot="1" x14ac:dyDescent="0.3">
      <c r="A2480" t="s">
        <v>2817</v>
      </c>
      <c r="B2480" t="s">
        <v>2817</v>
      </c>
      <c r="C2480" t="s">
        <v>2817</v>
      </c>
      <c r="D2480" t="s">
        <v>629</v>
      </c>
      <c r="E2480" s="248" t="s">
        <v>1853</v>
      </c>
      <c r="F2480" t="s">
        <v>620</v>
      </c>
      <c r="G2480" s="89">
        <v>2009</v>
      </c>
      <c r="H2480" s="314" t="s">
        <v>2231</v>
      </c>
      <c r="I2480" s="308" t="str">
        <f t="shared" si="102"/>
        <v>Pesado de Passageiros M3: III : Gasóleo : Geral</v>
      </c>
      <c r="J2480" s="254">
        <v>37</v>
      </c>
      <c r="K2480" s="253">
        <v>2022</v>
      </c>
      <c r="L2480" s="85">
        <v>2332.1</v>
      </c>
      <c r="M2480" s="85" t="s">
        <v>630</v>
      </c>
      <c r="N2480" s="128">
        <v>6782</v>
      </c>
      <c r="O2480" s="128">
        <f t="shared" si="103"/>
        <v>250934</v>
      </c>
      <c r="P2480" s="89">
        <v>620</v>
      </c>
      <c r="Q2480" t="s">
        <v>47</v>
      </c>
      <c r="R2480" s="214" t="s">
        <v>1869</v>
      </c>
      <c r="S2480" s="214" t="s">
        <v>1861</v>
      </c>
      <c r="T2480" t="s">
        <v>2628</v>
      </c>
      <c r="U2480" t="s">
        <v>1953</v>
      </c>
      <c r="V2480" t="s">
        <v>2813</v>
      </c>
    </row>
    <row r="2481" spans="1:22" ht="15.75" thickBot="1" x14ac:dyDescent="0.3">
      <c r="A2481" t="s">
        <v>2817</v>
      </c>
      <c r="B2481" t="s">
        <v>2817</v>
      </c>
      <c r="C2481" t="s">
        <v>2817</v>
      </c>
      <c r="D2481" t="s">
        <v>629</v>
      </c>
      <c r="E2481" s="248" t="s">
        <v>1853</v>
      </c>
      <c r="F2481" t="s">
        <v>620</v>
      </c>
      <c r="G2481" s="89">
        <v>2008</v>
      </c>
      <c r="H2481" s="314" t="s">
        <v>2231</v>
      </c>
      <c r="I2481" s="308" t="str">
        <f t="shared" si="102"/>
        <v>Pesado de Passageiros M3: III : Gasóleo : Geral</v>
      </c>
      <c r="J2481" s="254">
        <v>55</v>
      </c>
      <c r="K2481" s="253">
        <v>2022</v>
      </c>
      <c r="L2481" s="85">
        <v>20158.5</v>
      </c>
      <c r="M2481" s="85" t="s">
        <v>630</v>
      </c>
      <c r="N2481" s="128">
        <v>65717</v>
      </c>
      <c r="O2481" s="128">
        <f t="shared" si="103"/>
        <v>3614435</v>
      </c>
      <c r="P2481" s="89">
        <v>632</v>
      </c>
      <c r="Q2481" t="s">
        <v>47</v>
      </c>
      <c r="R2481" s="214" t="s">
        <v>1869</v>
      </c>
      <c r="S2481" s="214" t="s">
        <v>1861</v>
      </c>
      <c r="T2481" t="s">
        <v>2628</v>
      </c>
      <c r="U2481" t="s">
        <v>1953</v>
      </c>
      <c r="V2481" t="s">
        <v>2813</v>
      </c>
    </row>
    <row r="2482" spans="1:22" ht="15.75" thickBot="1" x14ac:dyDescent="0.3">
      <c r="A2482" t="s">
        <v>2817</v>
      </c>
      <c r="B2482" t="s">
        <v>2817</v>
      </c>
      <c r="C2482" t="s">
        <v>2817</v>
      </c>
      <c r="D2482" t="s">
        <v>629</v>
      </c>
      <c r="E2482" s="248" t="s">
        <v>1853</v>
      </c>
      <c r="F2482" t="s">
        <v>620</v>
      </c>
      <c r="G2482" s="89">
        <v>2008</v>
      </c>
      <c r="H2482" s="314" t="s">
        <v>2231</v>
      </c>
      <c r="I2482" s="308" t="str">
        <f t="shared" si="102"/>
        <v>Pesado de Passageiros M3: III : Gasóleo : Geral</v>
      </c>
      <c r="J2482" s="254">
        <v>55</v>
      </c>
      <c r="K2482" s="253">
        <v>2022</v>
      </c>
      <c r="L2482" s="85">
        <v>16650.5</v>
      </c>
      <c r="M2482" s="85" t="s">
        <v>630</v>
      </c>
      <c r="N2482" s="128">
        <v>54816</v>
      </c>
      <c r="O2482" s="128">
        <f t="shared" si="103"/>
        <v>3014880</v>
      </c>
      <c r="P2482" s="89">
        <v>633</v>
      </c>
      <c r="Q2482" t="s">
        <v>47</v>
      </c>
      <c r="R2482" s="214" t="s">
        <v>1869</v>
      </c>
      <c r="S2482" s="214" t="s">
        <v>1861</v>
      </c>
      <c r="T2482" t="s">
        <v>2628</v>
      </c>
      <c r="U2482" t="s">
        <v>1953</v>
      </c>
      <c r="V2482" t="s">
        <v>2813</v>
      </c>
    </row>
    <row r="2483" spans="1:22" ht="15.75" thickBot="1" x14ac:dyDescent="0.3">
      <c r="A2483" t="s">
        <v>2817</v>
      </c>
      <c r="B2483" t="s">
        <v>2817</v>
      </c>
      <c r="C2483" t="s">
        <v>2817</v>
      </c>
      <c r="D2483" t="s">
        <v>629</v>
      </c>
      <c r="E2483" s="248" t="s">
        <v>1853</v>
      </c>
      <c r="F2483" t="s">
        <v>620</v>
      </c>
      <c r="G2483" s="89">
        <v>2008</v>
      </c>
      <c r="H2483" s="314" t="s">
        <v>2231</v>
      </c>
      <c r="I2483" s="308" t="str">
        <f t="shared" si="102"/>
        <v>Pesado de Passageiros M3: III : Gasóleo : Geral</v>
      </c>
      <c r="J2483" s="254">
        <v>55</v>
      </c>
      <c r="K2483" s="253">
        <v>2022</v>
      </c>
      <c r="L2483" s="85">
        <v>19607.3</v>
      </c>
      <c r="M2483" s="85" t="s">
        <v>630</v>
      </c>
      <c r="N2483" s="128">
        <v>53785</v>
      </c>
      <c r="O2483" s="128">
        <f t="shared" si="103"/>
        <v>2958175</v>
      </c>
      <c r="P2483" s="89">
        <v>635</v>
      </c>
      <c r="Q2483" t="s">
        <v>47</v>
      </c>
      <c r="R2483" s="214" t="s">
        <v>1869</v>
      </c>
      <c r="S2483" s="214" t="s">
        <v>1861</v>
      </c>
      <c r="T2483" t="s">
        <v>2628</v>
      </c>
      <c r="U2483" t="s">
        <v>1953</v>
      </c>
      <c r="V2483" t="s">
        <v>2813</v>
      </c>
    </row>
    <row r="2484" spans="1:22" ht="15.75" thickBot="1" x14ac:dyDescent="0.3">
      <c r="A2484" t="s">
        <v>2817</v>
      </c>
      <c r="B2484" t="s">
        <v>2817</v>
      </c>
      <c r="C2484" t="s">
        <v>2817</v>
      </c>
      <c r="D2484" t="s">
        <v>629</v>
      </c>
      <c r="E2484" s="248" t="s">
        <v>1853</v>
      </c>
      <c r="F2484" t="s">
        <v>620</v>
      </c>
      <c r="G2484" s="89">
        <v>2008</v>
      </c>
      <c r="H2484" s="314" t="s">
        <v>2231</v>
      </c>
      <c r="I2484" s="308" t="str">
        <f t="shared" si="102"/>
        <v>Pesado de Passageiros M3: III : Gasóleo : Geral</v>
      </c>
      <c r="J2484" s="254">
        <v>55</v>
      </c>
      <c r="K2484" s="253">
        <v>2022</v>
      </c>
      <c r="L2484" s="85">
        <v>13857.7</v>
      </c>
      <c r="M2484" s="85" t="s">
        <v>630</v>
      </c>
      <c r="N2484" s="128">
        <v>40251</v>
      </c>
      <c r="O2484" s="128">
        <f t="shared" si="103"/>
        <v>2213805</v>
      </c>
      <c r="P2484" s="89">
        <v>636</v>
      </c>
      <c r="Q2484" t="s">
        <v>47</v>
      </c>
      <c r="R2484" s="214" t="s">
        <v>1869</v>
      </c>
      <c r="S2484" s="214" t="s">
        <v>1861</v>
      </c>
      <c r="T2484" t="s">
        <v>2628</v>
      </c>
      <c r="U2484" t="s">
        <v>1953</v>
      </c>
      <c r="V2484" t="s">
        <v>2813</v>
      </c>
    </row>
    <row r="2485" spans="1:22" ht="15.75" thickBot="1" x14ac:dyDescent="0.3">
      <c r="A2485" t="s">
        <v>2817</v>
      </c>
      <c r="B2485" t="s">
        <v>2817</v>
      </c>
      <c r="C2485" t="s">
        <v>2817</v>
      </c>
      <c r="D2485" t="s">
        <v>629</v>
      </c>
      <c r="E2485" s="248" t="s">
        <v>1853</v>
      </c>
      <c r="F2485" t="s">
        <v>620</v>
      </c>
      <c r="G2485" s="89">
        <v>2007</v>
      </c>
      <c r="H2485" s="314" t="s">
        <v>2231</v>
      </c>
      <c r="I2485" s="308" t="str">
        <f t="shared" si="102"/>
        <v>Pesado de Passageiros M3: III : Gasóleo : Geral</v>
      </c>
      <c r="J2485" s="254">
        <v>53</v>
      </c>
      <c r="K2485" s="253">
        <v>2022</v>
      </c>
      <c r="L2485" s="85">
        <v>16226.9</v>
      </c>
      <c r="M2485" s="85" t="s">
        <v>630</v>
      </c>
      <c r="N2485" s="128">
        <v>43166</v>
      </c>
      <c r="O2485" s="128">
        <f t="shared" si="103"/>
        <v>2287798</v>
      </c>
      <c r="P2485" s="89">
        <v>637</v>
      </c>
      <c r="Q2485" t="s">
        <v>47</v>
      </c>
      <c r="R2485" s="214" t="s">
        <v>1869</v>
      </c>
      <c r="S2485" s="214" t="s">
        <v>1861</v>
      </c>
      <c r="T2485" t="s">
        <v>2628</v>
      </c>
      <c r="U2485" t="s">
        <v>1953</v>
      </c>
      <c r="V2485" t="s">
        <v>2813</v>
      </c>
    </row>
    <row r="2486" spans="1:22" ht="15.75" thickBot="1" x14ac:dyDescent="0.3">
      <c r="A2486" t="s">
        <v>4593</v>
      </c>
      <c r="B2486" t="s">
        <v>4593</v>
      </c>
      <c r="C2486" t="s">
        <v>4593</v>
      </c>
      <c r="D2486" t="s">
        <v>629</v>
      </c>
      <c r="E2486" s="248" t="s">
        <v>1853</v>
      </c>
      <c r="F2486" t="s">
        <v>620</v>
      </c>
      <c r="G2486" s="89" t="s">
        <v>2202</v>
      </c>
      <c r="H2486" s="315" t="s">
        <v>733</v>
      </c>
      <c r="I2486" s="308" t="str">
        <f t="shared" si="102"/>
        <v>Pesado de Passageiros M3: III : Gasóleo : E6</v>
      </c>
      <c r="J2486" s="237">
        <v>53</v>
      </c>
      <c r="K2486" s="253">
        <v>2022</v>
      </c>
      <c r="L2486" s="85">
        <v>8324.86</v>
      </c>
      <c r="M2486" s="85" t="s">
        <v>630</v>
      </c>
      <c r="N2486" s="85">
        <v>31324</v>
      </c>
      <c r="O2486" s="128">
        <f t="shared" si="103"/>
        <v>1660172</v>
      </c>
      <c r="P2486" s="89" t="s">
        <v>2629</v>
      </c>
      <c r="Q2486" t="s">
        <v>47</v>
      </c>
      <c r="R2486" s="214" t="s">
        <v>1869</v>
      </c>
      <c r="S2486" s="214" t="s">
        <v>1861</v>
      </c>
      <c r="U2486" t="s">
        <v>1953</v>
      </c>
      <c r="V2486" t="s">
        <v>2813</v>
      </c>
    </row>
    <row r="2487" spans="1:22" ht="15.75" thickBot="1" x14ac:dyDescent="0.3">
      <c r="A2487" t="s">
        <v>4593</v>
      </c>
      <c r="B2487" t="s">
        <v>4593</v>
      </c>
      <c r="C2487" t="s">
        <v>4593</v>
      </c>
      <c r="D2487" t="s">
        <v>629</v>
      </c>
      <c r="E2487" s="248" t="s">
        <v>1853</v>
      </c>
      <c r="F2487" t="s">
        <v>620</v>
      </c>
      <c r="G2487" s="89" t="s">
        <v>2203</v>
      </c>
      <c r="H2487" s="315" t="s">
        <v>733</v>
      </c>
      <c r="I2487" s="308" t="str">
        <f t="shared" si="102"/>
        <v>Pesado de Passageiros M3: III : Gasóleo : E6</v>
      </c>
      <c r="J2487" s="237">
        <v>53</v>
      </c>
      <c r="K2487" s="253">
        <v>2022</v>
      </c>
      <c r="L2487" s="85">
        <v>26755.23</v>
      </c>
      <c r="M2487" s="85" t="s">
        <v>630</v>
      </c>
      <c r="N2487" s="85">
        <v>93900</v>
      </c>
      <c r="O2487" s="128">
        <f t="shared" si="103"/>
        <v>4976700</v>
      </c>
      <c r="P2487" s="89" t="s">
        <v>2630</v>
      </c>
      <c r="Q2487" t="s">
        <v>47</v>
      </c>
      <c r="R2487" s="214" t="s">
        <v>1869</v>
      </c>
      <c r="S2487" s="214" t="s">
        <v>1861</v>
      </c>
      <c r="U2487" t="s">
        <v>1953</v>
      </c>
      <c r="V2487" t="s">
        <v>2813</v>
      </c>
    </row>
    <row r="2488" spans="1:22" ht="15.75" thickBot="1" x14ac:dyDescent="0.3">
      <c r="A2488" t="s">
        <v>4593</v>
      </c>
      <c r="B2488" t="s">
        <v>4593</v>
      </c>
      <c r="C2488" t="s">
        <v>4593</v>
      </c>
      <c r="D2488" t="s">
        <v>629</v>
      </c>
      <c r="E2488" s="248" t="s">
        <v>1853</v>
      </c>
      <c r="F2488" t="s">
        <v>620</v>
      </c>
      <c r="G2488" s="89" t="s">
        <v>1954</v>
      </c>
      <c r="H2488" s="315" t="s">
        <v>735</v>
      </c>
      <c r="I2488" s="308" t="str">
        <f t="shared" si="102"/>
        <v>Pesado de Passageiros M3: III : Gasóleo : E2</v>
      </c>
      <c r="J2488" s="237">
        <v>51</v>
      </c>
      <c r="K2488" s="253">
        <v>2022</v>
      </c>
      <c r="L2488" s="85">
        <v>14682.25</v>
      </c>
      <c r="M2488" s="85" t="s">
        <v>630</v>
      </c>
      <c r="N2488" s="85">
        <v>41892</v>
      </c>
      <c r="O2488" s="128">
        <f t="shared" si="103"/>
        <v>2136492</v>
      </c>
      <c r="P2488" s="89" t="s">
        <v>2631</v>
      </c>
      <c r="Q2488" t="s">
        <v>47</v>
      </c>
      <c r="R2488" s="214" t="s">
        <v>1869</v>
      </c>
      <c r="S2488" s="214" t="s">
        <v>1861</v>
      </c>
      <c r="U2488" t="s">
        <v>1953</v>
      </c>
      <c r="V2488" t="s">
        <v>2813</v>
      </c>
    </row>
    <row r="2489" spans="1:22" ht="15.75" thickBot="1" x14ac:dyDescent="0.3">
      <c r="A2489" t="s">
        <v>4593</v>
      </c>
      <c r="B2489" t="s">
        <v>4593</v>
      </c>
      <c r="C2489" t="s">
        <v>4593</v>
      </c>
      <c r="D2489" t="s">
        <v>629</v>
      </c>
      <c r="E2489" s="248" t="s">
        <v>1853</v>
      </c>
      <c r="F2489" t="s">
        <v>620</v>
      </c>
      <c r="G2489" s="89" t="s">
        <v>2204</v>
      </c>
      <c r="H2489" s="315" t="s">
        <v>731</v>
      </c>
      <c r="I2489" s="308" t="str">
        <f t="shared" si="102"/>
        <v>Pesado de Passageiros M3: III : Gasóleo : E4</v>
      </c>
      <c r="J2489" s="237">
        <v>53</v>
      </c>
      <c r="K2489" s="253">
        <v>2022</v>
      </c>
      <c r="L2489" s="85">
        <v>12033.18</v>
      </c>
      <c r="M2489" s="85" t="s">
        <v>630</v>
      </c>
      <c r="N2489" s="85">
        <v>39685</v>
      </c>
      <c r="O2489" s="128">
        <f t="shared" si="103"/>
        <v>2103305</v>
      </c>
      <c r="P2489" s="89" t="s">
        <v>2632</v>
      </c>
      <c r="Q2489" t="s">
        <v>47</v>
      </c>
      <c r="R2489" s="214" t="s">
        <v>1869</v>
      </c>
      <c r="S2489" s="214" t="s">
        <v>1861</v>
      </c>
      <c r="U2489" t="s">
        <v>1953</v>
      </c>
      <c r="V2489" t="s">
        <v>2813</v>
      </c>
    </row>
    <row r="2490" spans="1:22" ht="15.75" thickBot="1" x14ac:dyDescent="0.3">
      <c r="A2490" t="s">
        <v>4593</v>
      </c>
      <c r="B2490" t="s">
        <v>4593</v>
      </c>
      <c r="C2490" t="s">
        <v>4593</v>
      </c>
      <c r="D2490" t="s">
        <v>629</v>
      </c>
      <c r="E2490" s="248" t="s">
        <v>1853</v>
      </c>
      <c r="F2490" t="s">
        <v>620</v>
      </c>
      <c r="G2490" s="89" t="s">
        <v>2205</v>
      </c>
      <c r="H2490" s="315" t="s">
        <v>731</v>
      </c>
      <c r="I2490" s="308" t="str">
        <f t="shared" si="102"/>
        <v>Pesado de Passageiros M3: III : Gasóleo : E4</v>
      </c>
      <c r="J2490" s="237">
        <v>59</v>
      </c>
      <c r="K2490" s="253">
        <v>2022</v>
      </c>
      <c r="L2490" s="85">
        <v>23664.31</v>
      </c>
      <c r="M2490" s="85" t="s">
        <v>630</v>
      </c>
      <c r="N2490" s="85">
        <v>74113</v>
      </c>
      <c r="O2490" s="128">
        <f t="shared" si="103"/>
        <v>4372667</v>
      </c>
      <c r="P2490" s="89" t="s">
        <v>2633</v>
      </c>
      <c r="Q2490" t="s">
        <v>47</v>
      </c>
      <c r="R2490" s="214" t="s">
        <v>1869</v>
      </c>
      <c r="S2490" s="214" t="s">
        <v>1861</v>
      </c>
      <c r="U2490" t="s">
        <v>1953</v>
      </c>
      <c r="V2490" t="s">
        <v>2813</v>
      </c>
    </row>
    <row r="2491" spans="1:22" ht="15.75" thickBot="1" x14ac:dyDescent="0.3">
      <c r="A2491" t="s">
        <v>4593</v>
      </c>
      <c r="B2491" t="s">
        <v>4593</v>
      </c>
      <c r="C2491" t="s">
        <v>4593</v>
      </c>
      <c r="D2491" t="s">
        <v>629</v>
      </c>
      <c r="E2491" s="248" t="s">
        <v>1853</v>
      </c>
      <c r="F2491" t="s">
        <v>620</v>
      </c>
      <c r="G2491" s="89" t="s">
        <v>2206</v>
      </c>
      <c r="H2491" s="315" t="s">
        <v>735</v>
      </c>
      <c r="I2491" s="308" t="str">
        <f t="shared" si="102"/>
        <v>Pesado de Passageiros M3: III : Gasóleo : E2</v>
      </c>
      <c r="J2491" s="237">
        <v>55</v>
      </c>
      <c r="K2491" s="253">
        <v>2022</v>
      </c>
      <c r="L2491" s="85">
        <v>8860.3700000000008</v>
      </c>
      <c r="M2491" s="85" t="s">
        <v>630</v>
      </c>
      <c r="N2491" s="85">
        <v>27474</v>
      </c>
      <c r="O2491" s="128">
        <f t="shared" si="103"/>
        <v>1511070</v>
      </c>
      <c r="P2491" s="89" t="s">
        <v>2634</v>
      </c>
      <c r="Q2491" t="s">
        <v>47</v>
      </c>
      <c r="R2491" s="214" t="s">
        <v>1869</v>
      </c>
      <c r="S2491" s="214" t="s">
        <v>1861</v>
      </c>
      <c r="U2491" t="s">
        <v>1953</v>
      </c>
      <c r="V2491" t="s">
        <v>2813</v>
      </c>
    </row>
    <row r="2492" spans="1:22" ht="15.75" thickBot="1" x14ac:dyDescent="0.3">
      <c r="A2492" t="s">
        <v>4593</v>
      </c>
      <c r="B2492" t="s">
        <v>4593</v>
      </c>
      <c r="C2492" t="s">
        <v>4593</v>
      </c>
      <c r="D2492" t="s">
        <v>629</v>
      </c>
      <c r="E2492" s="248" t="s">
        <v>1853</v>
      </c>
      <c r="F2492" t="s">
        <v>620</v>
      </c>
      <c r="G2492" s="89" t="s">
        <v>1954</v>
      </c>
      <c r="H2492" s="315" t="s">
        <v>735</v>
      </c>
      <c r="I2492" s="308" t="str">
        <f t="shared" si="102"/>
        <v>Pesado de Passageiros M3: III : Gasóleo : E2</v>
      </c>
      <c r="J2492" s="237">
        <v>51</v>
      </c>
      <c r="K2492" s="253">
        <v>2022</v>
      </c>
      <c r="L2492" s="85">
        <v>9036.2999999999993</v>
      </c>
      <c r="M2492" s="85" t="s">
        <v>630</v>
      </c>
      <c r="N2492" s="85">
        <v>25386</v>
      </c>
      <c r="O2492" s="128">
        <f t="shared" si="103"/>
        <v>1294686</v>
      </c>
      <c r="P2492" s="89" t="s">
        <v>2635</v>
      </c>
      <c r="Q2492" t="s">
        <v>47</v>
      </c>
      <c r="R2492" s="214" t="s">
        <v>1869</v>
      </c>
      <c r="S2492" s="214" t="s">
        <v>1861</v>
      </c>
      <c r="U2492" t="s">
        <v>1953</v>
      </c>
      <c r="V2492" t="s">
        <v>2813</v>
      </c>
    </row>
    <row r="2493" spans="1:22" ht="15.75" thickBot="1" x14ac:dyDescent="0.3">
      <c r="A2493" t="s">
        <v>4593</v>
      </c>
      <c r="B2493" t="s">
        <v>4593</v>
      </c>
      <c r="C2493" t="s">
        <v>4593</v>
      </c>
      <c r="D2493" t="s">
        <v>629</v>
      </c>
      <c r="E2493" s="248" t="s">
        <v>1853</v>
      </c>
      <c r="F2493" t="s">
        <v>620</v>
      </c>
      <c r="G2493" s="89" t="s">
        <v>2207</v>
      </c>
      <c r="H2493" s="315" t="s">
        <v>735</v>
      </c>
      <c r="I2493" s="308" t="str">
        <f t="shared" si="102"/>
        <v>Pesado de Passageiros M3: III : Gasóleo : E2</v>
      </c>
      <c r="J2493" s="237">
        <v>81</v>
      </c>
      <c r="K2493" s="253">
        <v>2022</v>
      </c>
      <c r="L2493" s="85">
        <v>9375.35</v>
      </c>
      <c r="M2493" s="85" t="s">
        <v>630</v>
      </c>
      <c r="N2493" s="85">
        <v>24818</v>
      </c>
      <c r="O2493" s="128">
        <f t="shared" si="103"/>
        <v>2010258</v>
      </c>
      <c r="P2493" s="89" t="s">
        <v>2636</v>
      </c>
      <c r="Q2493" t="s">
        <v>47</v>
      </c>
      <c r="R2493" s="214" t="s">
        <v>1869</v>
      </c>
      <c r="S2493" s="214" t="s">
        <v>1861</v>
      </c>
      <c r="U2493" t="s">
        <v>1953</v>
      </c>
      <c r="V2493" t="s">
        <v>2813</v>
      </c>
    </row>
    <row r="2494" spans="1:22" ht="15.75" thickBot="1" x14ac:dyDescent="0.3">
      <c r="A2494" t="s">
        <v>4593</v>
      </c>
      <c r="B2494" t="s">
        <v>4593</v>
      </c>
      <c r="C2494" t="s">
        <v>4593</v>
      </c>
      <c r="D2494" t="s">
        <v>629</v>
      </c>
      <c r="E2494" s="248" t="s">
        <v>1853</v>
      </c>
      <c r="F2494" t="s">
        <v>620</v>
      </c>
      <c r="G2494" s="89" t="s">
        <v>2206</v>
      </c>
      <c r="H2494" s="315" t="s">
        <v>735</v>
      </c>
      <c r="I2494" s="308" t="str">
        <f t="shared" si="102"/>
        <v>Pesado de Passageiros M3: III : Gasóleo : E2</v>
      </c>
      <c r="J2494" s="237">
        <v>55</v>
      </c>
      <c r="K2494" s="253">
        <v>2022</v>
      </c>
      <c r="L2494" s="85">
        <v>12305.74</v>
      </c>
      <c r="M2494" s="85" t="s">
        <v>630</v>
      </c>
      <c r="N2494" s="85">
        <v>35885</v>
      </c>
      <c r="O2494" s="128">
        <f t="shared" si="103"/>
        <v>1973675</v>
      </c>
      <c r="P2494" s="89" t="s">
        <v>2637</v>
      </c>
      <c r="Q2494" t="s">
        <v>47</v>
      </c>
      <c r="R2494" s="214" t="s">
        <v>1869</v>
      </c>
      <c r="S2494" s="214" t="s">
        <v>1861</v>
      </c>
      <c r="U2494" t="s">
        <v>1953</v>
      </c>
      <c r="V2494" t="s">
        <v>2813</v>
      </c>
    </row>
    <row r="2495" spans="1:22" ht="15.75" thickBot="1" x14ac:dyDescent="0.3">
      <c r="A2495" t="s">
        <v>4593</v>
      </c>
      <c r="B2495" t="s">
        <v>4593</v>
      </c>
      <c r="C2495" t="s">
        <v>4593</v>
      </c>
      <c r="D2495" t="s">
        <v>629</v>
      </c>
      <c r="E2495" s="248" t="s">
        <v>1853</v>
      </c>
      <c r="F2495" t="s">
        <v>620</v>
      </c>
      <c r="G2495" s="89" t="s">
        <v>2205</v>
      </c>
      <c r="H2495" s="315" t="s">
        <v>731</v>
      </c>
      <c r="I2495" s="308" t="str">
        <f t="shared" si="102"/>
        <v>Pesado de Passageiros M3: III : Gasóleo : E4</v>
      </c>
      <c r="J2495" s="237">
        <v>55</v>
      </c>
      <c r="K2495" s="253">
        <v>2022</v>
      </c>
      <c r="L2495" s="85">
        <v>20273.91</v>
      </c>
      <c r="M2495" s="85" t="s">
        <v>630</v>
      </c>
      <c r="N2495" s="85">
        <v>61170</v>
      </c>
      <c r="O2495" s="128">
        <f t="shared" si="103"/>
        <v>3364350</v>
      </c>
      <c r="P2495" s="89" t="s">
        <v>2638</v>
      </c>
      <c r="Q2495" t="s">
        <v>47</v>
      </c>
      <c r="R2495" s="214" t="s">
        <v>1869</v>
      </c>
      <c r="S2495" s="214" t="s">
        <v>1861</v>
      </c>
      <c r="U2495" t="s">
        <v>1953</v>
      </c>
      <c r="V2495" t="s">
        <v>2813</v>
      </c>
    </row>
    <row r="2496" spans="1:22" ht="15.75" thickBot="1" x14ac:dyDescent="0.3">
      <c r="A2496" t="s">
        <v>4593</v>
      </c>
      <c r="B2496" t="s">
        <v>4593</v>
      </c>
      <c r="C2496" t="s">
        <v>4593</v>
      </c>
      <c r="D2496" t="s">
        <v>629</v>
      </c>
      <c r="E2496" s="248" t="s">
        <v>1853</v>
      </c>
      <c r="F2496" t="s">
        <v>620</v>
      </c>
      <c r="G2496" s="89" t="s">
        <v>2205</v>
      </c>
      <c r="H2496" s="315" t="s">
        <v>731</v>
      </c>
      <c r="I2496" s="308" t="str">
        <f t="shared" si="102"/>
        <v>Pesado de Passageiros M3: III : Gasóleo : E4</v>
      </c>
      <c r="J2496" s="237">
        <v>55</v>
      </c>
      <c r="K2496" s="253">
        <v>2022</v>
      </c>
      <c r="L2496" s="85">
        <v>22212.23</v>
      </c>
      <c r="M2496" s="85" t="s">
        <v>630</v>
      </c>
      <c r="N2496" s="85">
        <v>69829</v>
      </c>
      <c r="O2496" s="128">
        <f t="shared" si="103"/>
        <v>3840595</v>
      </c>
      <c r="P2496" s="89" t="s">
        <v>2639</v>
      </c>
      <c r="Q2496" t="s">
        <v>47</v>
      </c>
      <c r="R2496" s="214" t="s">
        <v>1869</v>
      </c>
      <c r="S2496" s="214" t="s">
        <v>1861</v>
      </c>
      <c r="U2496" t="s">
        <v>1953</v>
      </c>
      <c r="V2496" t="s">
        <v>2813</v>
      </c>
    </row>
    <row r="2497" spans="1:22" ht="15.75" thickBot="1" x14ac:dyDescent="0.3">
      <c r="A2497" t="s">
        <v>4593</v>
      </c>
      <c r="B2497" t="s">
        <v>4593</v>
      </c>
      <c r="C2497" t="s">
        <v>4593</v>
      </c>
      <c r="D2497" t="s">
        <v>629</v>
      </c>
      <c r="E2497" s="248" t="s">
        <v>1853</v>
      </c>
      <c r="F2497" t="s">
        <v>620</v>
      </c>
      <c r="G2497" s="89" t="s">
        <v>2208</v>
      </c>
      <c r="H2497" s="315" t="s">
        <v>736</v>
      </c>
      <c r="I2497" s="308" t="str">
        <f t="shared" si="102"/>
        <v>Pesado de Passageiros M3: III : Gasóleo : E1</v>
      </c>
      <c r="J2497" s="237">
        <v>83</v>
      </c>
      <c r="K2497" s="253">
        <v>2022</v>
      </c>
      <c r="L2497" s="85">
        <v>8904.7199999999993</v>
      </c>
      <c r="M2497" s="85" t="s">
        <v>630</v>
      </c>
      <c r="N2497" s="85">
        <v>28221</v>
      </c>
      <c r="O2497" s="128">
        <f t="shared" si="103"/>
        <v>2342343</v>
      </c>
      <c r="P2497" s="89" t="s">
        <v>2640</v>
      </c>
      <c r="Q2497" t="s">
        <v>47</v>
      </c>
      <c r="R2497" s="214" t="s">
        <v>1869</v>
      </c>
      <c r="S2497" s="214" t="s">
        <v>1861</v>
      </c>
      <c r="U2497" t="s">
        <v>1953</v>
      </c>
      <c r="V2497" t="s">
        <v>2813</v>
      </c>
    </row>
    <row r="2498" spans="1:22" ht="15.75" thickBot="1" x14ac:dyDescent="0.3">
      <c r="A2498" t="s">
        <v>4593</v>
      </c>
      <c r="B2498" t="s">
        <v>4593</v>
      </c>
      <c r="C2498" t="s">
        <v>4593</v>
      </c>
      <c r="D2498" t="s">
        <v>629</v>
      </c>
      <c r="E2498" s="248" t="s">
        <v>1853</v>
      </c>
      <c r="F2498" t="s">
        <v>620</v>
      </c>
      <c r="G2498" s="89" t="s">
        <v>2208</v>
      </c>
      <c r="H2498" s="315" t="s">
        <v>736</v>
      </c>
      <c r="I2498" s="308" t="str">
        <f t="shared" si="102"/>
        <v>Pesado de Passageiros M3: III : Gasóleo : E1</v>
      </c>
      <c r="J2498" s="237">
        <v>83</v>
      </c>
      <c r="K2498" s="253">
        <v>2022</v>
      </c>
      <c r="L2498" s="85">
        <v>16676.12</v>
      </c>
      <c r="M2498" s="85" t="s">
        <v>630</v>
      </c>
      <c r="N2498" s="85">
        <v>54585</v>
      </c>
      <c r="O2498" s="128">
        <f t="shared" si="103"/>
        <v>4530555</v>
      </c>
      <c r="P2498" s="89" t="s">
        <v>2641</v>
      </c>
      <c r="Q2498" t="s">
        <v>47</v>
      </c>
      <c r="R2498" s="214" t="s">
        <v>1869</v>
      </c>
      <c r="S2498" s="214" t="s">
        <v>1861</v>
      </c>
      <c r="U2498" t="s">
        <v>1953</v>
      </c>
      <c r="V2498" t="s">
        <v>2813</v>
      </c>
    </row>
    <row r="2499" spans="1:22" ht="15.75" thickBot="1" x14ac:dyDescent="0.3">
      <c r="A2499" t="s">
        <v>4593</v>
      </c>
      <c r="B2499" t="s">
        <v>4593</v>
      </c>
      <c r="C2499" t="s">
        <v>4593</v>
      </c>
      <c r="D2499" t="s">
        <v>629</v>
      </c>
      <c r="E2499" s="248" t="s">
        <v>1853</v>
      </c>
      <c r="F2499" t="s">
        <v>620</v>
      </c>
      <c r="G2499" s="89" t="s">
        <v>2208</v>
      </c>
      <c r="H2499" s="315" t="s">
        <v>735</v>
      </c>
      <c r="I2499" s="308" t="str">
        <f t="shared" si="102"/>
        <v>Pesado de Passageiros M3: III : Gasóleo : E2</v>
      </c>
      <c r="J2499" s="237">
        <v>83</v>
      </c>
      <c r="K2499" s="253">
        <v>2022</v>
      </c>
      <c r="L2499" s="85">
        <v>10094.75</v>
      </c>
      <c r="M2499" s="85" t="s">
        <v>630</v>
      </c>
      <c r="N2499" s="85">
        <v>29676</v>
      </c>
      <c r="O2499" s="128">
        <f t="shared" si="103"/>
        <v>2463108</v>
      </c>
      <c r="P2499" s="89" t="s">
        <v>2642</v>
      </c>
      <c r="Q2499" t="s">
        <v>47</v>
      </c>
      <c r="R2499" s="214" t="s">
        <v>1869</v>
      </c>
      <c r="S2499" s="214" t="s">
        <v>1861</v>
      </c>
      <c r="U2499" t="s">
        <v>1953</v>
      </c>
      <c r="V2499" t="s">
        <v>2813</v>
      </c>
    </row>
    <row r="2500" spans="1:22" ht="15.75" thickBot="1" x14ac:dyDescent="0.3">
      <c r="A2500" t="s">
        <v>4593</v>
      </c>
      <c r="B2500" t="s">
        <v>4593</v>
      </c>
      <c r="C2500" t="s">
        <v>4593</v>
      </c>
      <c r="D2500" t="s">
        <v>629</v>
      </c>
      <c r="E2500" s="248" t="s">
        <v>1853</v>
      </c>
      <c r="F2500" t="s">
        <v>620</v>
      </c>
      <c r="G2500" s="89" t="s">
        <v>2208</v>
      </c>
      <c r="H2500" s="315" t="s">
        <v>736</v>
      </c>
      <c r="I2500" s="308" t="str">
        <f t="shared" ref="I2500:I2563" si="104">D2500&amp;": "&amp;E2500&amp;" : "&amp;F2500&amp;" : "&amp;H2500</f>
        <v>Pesado de Passageiros M3: III : Gasóleo : E1</v>
      </c>
      <c r="J2500" s="237">
        <v>83</v>
      </c>
      <c r="K2500" s="253">
        <v>2022</v>
      </c>
      <c r="L2500" s="85">
        <v>7718.2</v>
      </c>
      <c r="M2500" s="85" t="s">
        <v>630</v>
      </c>
      <c r="N2500" s="85">
        <v>23639</v>
      </c>
      <c r="O2500" s="128">
        <f t="shared" ref="O2500:O2563" si="105">N2500*J2500</f>
        <v>1962037</v>
      </c>
      <c r="P2500" s="89" t="s">
        <v>2643</v>
      </c>
      <c r="Q2500" t="s">
        <v>47</v>
      </c>
      <c r="R2500" s="214" t="s">
        <v>1869</v>
      </c>
      <c r="S2500" s="214" t="s">
        <v>1861</v>
      </c>
      <c r="U2500" t="s">
        <v>1953</v>
      </c>
      <c r="V2500" t="s">
        <v>2813</v>
      </c>
    </row>
    <row r="2501" spans="1:22" ht="15.75" thickBot="1" x14ac:dyDescent="0.3">
      <c r="A2501" t="s">
        <v>4593</v>
      </c>
      <c r="B2501" t="s">
        <v>4593</v>
      </c>
      <c r="C2501" t="s">
        <v>4593</v>
      </c>
      <c r="D2501" t="s">
        <v>629</v>
      </c>
      <c r="E2501" s="248" t="s">
        <v>1853</v>
      </c>
      <c r="F2501" t="s">
        <v>620</v>
      </c>
      <c r="G2501" s="89" t="s">
        <v>2206</v>
      </c>
      <c r="H2501" s="315" t="s">
        <v>735</v>
      </c>
      <c r="I2501" s="308" t="str">
        <f t="shared" si="104"/>
        <v>Pesado de Passageiros M3: III : Gasóleo : E2</v>
      </c>
      <c r="J2501" s="237">
        <v>80</v>
      </c>
      <c r="K2501" s="253">
        <v>2022</v>
      </c>
      <c r="L2501" s="85">
        <v>10437.49</v>
      </c>
      <c r="M2501" s="85" t="s">
        <v>630</v>
      </c>
      <c r="N2501" s="85">
        <v>32468</v>
      </c>
      <c r="O2501" s="128">
        <f t="shared" si="105"/>
        <v>2597440</v>
      </c>
      <c r="P2501" s="89" t="s">
        <v>2644</v>
      </c>
      <c r="Q2501" t="s">
        <v>47</v>
      </c>
      <c r="R2501" s="214" t="s">
        <v>1869</v>
      </c>
      <c r="S2501" s="214" t="s">
        <v>1861</v>
      </c>
      <c r="U2501" t="s">
        <v>1953</v>
      </c>
      <c r="V2501" t="s">
        <v>2813</v>
      </c>
    </row>
    <row r="2502" spans="1:22" ht="15.75" thickBot="1" x14ac:dyDescent="0.3">
      <c r="A2502" t="s">
        <v>4593</v>
      </c>
      <c r="B2502" t="s">
        <v>4593</v>
      </c>
      <c r="C2502" t="s">
        <v>4593</v>
      </c>
      <c r="D2502" t="s">
        <v>629</v>
      </c>
      <c r="E2502" s="248" t="s">
        <v>1853</v>
      </c>
      <c r="F2502" t="s">
        <v>620</v>
      </c>
      <c r="G2502" s="89" t="s">
        <v>2208</v>
      </c>
      <c r="H2502" s="315" t="s">
        <v>735</v>
      </c>
      <c r="I2502" s="308" t="str">
        <f t="shared" si="104"/>
        <v>Pesado de Passageiros M3: III : Gasóleo : E2</v>
      </c>
      <c r="J2502" s="237">
        <v>83</v>
      </c>
      <c r="K2502" s="253">
        <v>2022</v>
      </c>
      <c r="L2502" s="85">
        <v>6363.45</v>
      </c>
      <c r="M2502" s="85" t="s">
        <v>630</v>
      </c>
      <c r="N2502" s="85">
        <v>17704</v>
      </c>
      <c r="O2502" s="128">
        <f t="shared" si="105"/>
        <v>1469432</v>
      </c>
      <c r="P2502" s="89" t="s">
        <v>2645</v>
      </c>
      <c r="Q2502" t="s">
        <v>47</v>
      </c>
      <c r="R2502" s="214" t="s">
        <v>1869</v>
      </c>
      <c r="S2502" s="214" t="s">
        <v>1861</v>
      </c>
      <c r="U2502" t="s">
        <v>1953</v>
      </c>
      <c r="V2502" t="s">
        <v>2813</v>
      </c>
    </row>
    <row r="2503" spans="1:22" ht="15.75" thickBot="1" x14ac:dyDescent="0.3">
      <c r="A2503" t="s">
        <v>4593</v>
      </c>
      <c r="B2503" t="s">
        <v>4593</v>
      </c>
      <c r="C2503" t="s">
        <v>4593</v>
      </c>
      <c r="D2503" t="s">
        <v>629</v>
      </c>
      <c r="E2503" s="248" t="s">
        <v>1853</v>
      </c>
      <c r="F2503" t="s">
        <v>620</v>
      </c>
      <c r="G2503" s="89" t="s">
        <v>2206</v>
      </c>
      <c r="H2503" s="315" t="s">
        <v>735</v>
      </c>
      <c r="I2503" s="308" t="str">
        <f t="shared" si="104"/>
        <v>Pesado de Passageiros M3: III : Gasóleo : E2</v>
      </c>
      <c r="J2503" s="237">
        <v>80</v>
      </c>
      <c r="K2503" s="253">
        <v>2022</v>
      </c>
      <c r="L2503" s="85">
        <v>7249.12</v>
      </c>
      <c r="M2503" s="85" t="s">
        <v>630</v>
      </c>
      <c r="N2503" s="85">
        <v>22789</v>
      </c>
      <c r="O2503" s="128">
        <f t="shared" si="105"/>
        <v>1823120</v>
      </c>
      <c r="P2503" s="89" t="s">
        <v>2646</v>
      </c>
      <c r="Q2503" t="s">
        <v>47</v>
      </c>
      <c r="R2503" s="214" t="s">
        <v>1869</v>
      </c>
      <c r="S2503" s="214" t="s">
        <v>1861</v>
      </c>
      <c r="U2503" t="s">
        <v>1953</v>
      </c>
      <c r="V2503" t="s">
        <v>2813</v>
      </c>
    </row>
    <row r="2504" spans="1:22" ht="15.75" thickBot="1" x14ac:dyDescent="0.3">
      <c r="A2504" t="s">
        <v>4593</v>
      </c>
      <c r="B2504" t="s">
        <v>4593</v>
      </c>
      <c r="C2504" t="s">
        <v>4593</v>
      </c>
      <c r="D2504" t="s">
        <v>629</v>
      </c>
      <c r="E2504" s="248" t="s">
        <v>1853</v>
      </c>
      <c r="F2504" t="s">
        <v>620</v>
      </c>
      <c r="G2504" s="89" t="s">
        <v>2206</v>
      </c>
      <c r="H2504" s="315" t="s">
        <v>735</v>
      </c>
      <c r="I2504" s="308" t="str">
        <f t="shared" si="104"/>
        <v>Pesado de Passageiros M3: III : Gasóleo : E2</v>
      </c>
      <c r="J2504" s="237">
        <v>80</v>
      </c>
      <c r="K2504" s="253">
        <v>2022</v>
      </c>
      <c r="L2504" s="85">
        <v>6272.35</v>
      </c>
      <c r="M2504" s="85" t="s">
        <v>630</v>
      </c>
      <c r="N2504" s="85">
        <v>17474</v>
      </c>
      <c r="O2504" s="128">
        <f t="shared" si="105"/>
        <v>1397920</v>
      </c>
      <c r="P2504" s="89" t="s">
        <v>2647</v>
      </c>
      <c r="Q2504" t="s">
        <v>47</v>
      </c>
      <c r="R2504" s="214" t="s">
        <v>1869</v>
      </c>
      <c r="S2504" s="214" t="s">
        <v>1861</v>
      </c>
      <c r="U2504" t="s">
        <v>1953</v>
      </c>
      <c r="V2504" t="s">
        <v>2813</v>
      </c>
    </row>
    <row r="2505" spans="1:22" ht="15.75" thickBot="1" x14ac:dyDescent="0.3">
      <c r="A2505" t="s">
        <v>4593</v>
      </c>
      <c r="B2505" t="s">
        <v>4593</v>
      </c>
      <c r="C2505" t="s">
        <v>4593</v>
      </c>
      <c r="D2505" t="s">
        <v>629</v>
      </c>
      <c r="E2505" s="248" t="s">
        <v>1853</v>
      </c>
      <c r="F2505" t="s">
        <v>620</v>
      </c>
      <c r="G2505" s="89" t="s">
        <v>2209</v>
      </c>
      <c r="H2505" s="315" t="s">
        <v>736</v>
      </c>
      <c r="I2505" s="308" t="str">
        <f t="shared" si="104"/>
        <v>Pesado de Passageiros M3: III : Gasóleo : E1</v>
      </c>
      <c r="J2505" s="237">
        <v>74</v>
      </c>
      <c r="K2505" s="253">
        <v>2022</v>
      </c>
      <c r="L2505" s="85">
        <v>5494.39</v>
      </c>
      <c r="M2505" s="85" t="s">
        <v>630</v>
      </c>
      <c r="N2505" s="85">
        <v>14138</v>
      </c>
      <c r="O2505" s="128">
        <f t="shared" si="105"/>
        <v>1046212</v>
      </c>
      <c r="P2505" s="89" t="s">
        <v>2648</v>
      </c>
      <c r="Q2505" t="s">
        <v>47</v>
      </c>
      <c r="R2505" s="214" t="s">
        <v>1869</v>
      </c>
      <c r="S2505" s="214" t="s">
        <v>1861</v>
      </c>
      <c r="U2505" t="s">
        <v>1953</v>
      </c>
      <c r="V2505" t="s">
        <v>2813</v>
      </c>
    </row>
    <row r="2506" spans="1:22" ht="15.75" thickBot="1" x14ac:dyDescent="0.3">
      <c r="A2506" t="s">
        <v>4593</v>
      </c>
      <c r="B2506" t="s">
        <v>4593</v>
      </c>
      <c r="C2506" t="s">
        <v>4593</v>
      </c>
      <c r="D2506" t="s">
        <v>629</v>
      </c>
      <c r="E2506" s="248" t="s">
        <v>1853</v>
      </c>
      <c r="F2506" t="s">
        <v>620</v>
      </c>
      <c r="G2506" s="89" t="s">
        <v>2206</v>
      </c>
      <c r="H2506" s="315" t="s">
        <v>735</v>
      </c>
      <c r="I2506" s="308" t="str">
        <f t="shared" si="104"/>
        <v>Pesado de Passageiros M3: III : Gasóleo : E2</v>
      </c>
      <c r="J2506" s="237">
        <v>80</v>
      </c>
      <c r="K2506" s="253">
        <v>2022</v>
      </c>
      <c r="L2506" s="85">
        <v>11061.19</v>
      </c>
      <c r="M2506" s="85" t="s">
        <v>630</v>
      </c>
      <c r="N2506" s="85">
        <v>32431</v>
      </c>
      <c r="O2506" s="128">
        <f t="shared" si="105"/>
        <v>2594480</v>
      </c>
      <c r="P2506" s="89" t="s">
        <v>2649</v>
      </c>
      <c r="Q2506" t="s">
        <v>47</v>
      </c>
      <c r="R2506" s="214" t="s">
        <v>1869</v>
      </c>
      <c r="S2506" s="214" t="s">
        <v>1861</v>
      </c>
      <c r="U2506" t="s">
        <v>1953</v>
      </c>
      <c r="V2506" t="s">
        <v>2813</v>
      </c>
    </row>
    <row r="2507" spans="1:22" ht="15.75" thickBot="1" x14ac:dyDescent="0.3">
      <c r="A2507" t="s">
        <v>4593</v>
      </c>
      <c r="B2507" t="s">
        <v>4593</v>
      </c>
      <c r="C2507" t="s">
        <v>4593</v>
      </c>
      <c r="D2507" t="s">
        <v>629</v>
      </c>
      <c r="E2507" s="248" t="s">
        <v>1853</v>
      </c>
      <c r="F2507" t="s">
        <v>620</v>
      </c>
      <c r="G2507" s="89" t="s">
        <v>2209</v>
      </c>
      <c r="H2507" s="315" t="s">
        <v>736</v>
      </c>
      <c r="I2507" s="308" t="str">
        <f t="shared" si="104"/>
        <v>Pesado de Passageiros M3: III : Gasóleo : E1</v>
      </c>
      <c r="J2507" s="237">
        <v>74</v>
      </c>
      <c r="K2507" s="253">
        <v>2022</v>
      </c>
      <c r="L2507" s="85">
        <v>10637.56</v>
      </c>
      <c r="M2507" s="85" t="s">
        <v>630</v>
      </c>
      <c r="N2507" s="85">
        <v>34709</v>
      </c>
      <c r="O2507" s="128">
        <f t="shared" si="105"/>
        <v>2568466</v>
      </c>
      <c r="P2507" s="89" t="s">
        <v>2650</v>
      </c>
      <c r="Q2507" t="s">
        <v>47</v>
      </c>
      <c r="R2507" s="214" t="s">
        <v>1869</v>
      </c>
      <c r="S2507" s="214" t="s">
        <v>1861</v>
      </c>
      <c r="U2507" t="s">
        <v>1953</v>
      </c>
      <c r="V2507" t="s">
        <v>2813</v>
      </c>
    </row>
    <row r="2508" spans="1:22" ht="15.75" thickBot="1" x14ac:dyDescent="0.3">
      <c r="A2508" t="s">
        <v>4593</v>
      </c>
      <c r="B2508" t="s">
        <v>4593</v>
      </c>
      <c r="C2508" t="s">
        <v>4593</v>
      </c>
      <c r="D2508" t="s">
        <v>629</v>
      </c>
      <c r="E2508" s="248" t="s">
        <v>1853</v>
      </c>
      <c r="F2508" t="s">
        <v>620</v>
      </c>
      <c r="G2508" s="89" t="s">
        <v>2210</v>
      </c>
      <c r="H2508" s="315" t="s">
        <v>735</v>
      </c>
      <c r="I2508" s="308" t="str">
        <f t="shared" si="104"/>
        <v>Pesado de Passageiros M3: III : Gasóleo : E2</v>
      </c>
      <c r="J2508" s="237">
        <v>80</v>
      </c>
      <c r="K2508" s="253">
        <v>2022</v>
      </c>
      <c r="L2508" s="85">
        <v>11514.8</v>
      </c>
      <c r="M2508" s="85" t="s">
        <v>630</v>
      </c>
      <c r="N2508" s="85">
        <v>38253</v>
      </c>
      <c r="O2508" s="128">
        <f t="shared" si="105"/>
        <v>3060240</v>
      </c>
      <c r="P2508" s="89" t="s">
        <v>2651</v>
      </c>
      <c r="Q2508" t="s">
        <v>47</v>
      </c>
      <c r="R2508" s="214" t="s">
        <v>1869</v>
      </c>
      <c r="S2508" s="214" t="s">
        <v>1861</v>
      </c>
      <c r="U2508" t="s">
        <v>1953</v>
      </c>
      <c r="V2508" t="s">
        <v>2813</v>
      </c>
    </row>
    <row r="2509" spans="1:22" ht="15.75" thickBot="1" x14ac:dyDescent="0.3">
      <c r="A2509" t="s">
        <v>4593</v>
      </c>
      <c r="B2509" t="s">
        <v>4593</v>
      </c>
      <c r="C2509" t="s">
        <v>4593</v>
      </c>
      <c r="D2509" t="s">
        <v>629</v>
      </c>
      <c r="E2509" s="248" t="s">
        <v>1853</v>
      </c>
      <c r="F2509" t="s">
        <v>620</v>
      </c>
      <c r="G2509" s="89" t="s">
        <v>2210</v>
      </c>
      <c r="H2509" s="315" t="s">
        <v>735</v>
      </c>
      <c r="I2509" s="308" t="str">
        <f t="shared" si="104"/>
        <v>Pesado de Passageiros M3: III : Gasóleo : E2</v>
      </c>
      <c r="J2509" s="237">
        <v>80</v>
      </c>
      <c r="K2509" s="253">
        <v>2022</v>
      </c>
      <c r="L2509" s="85">
        <v>14528.6</v>
      </c>
      <c r="M2509" s="85" t="s">
        <v>630</v>
      </c>
      <c r="N2509" s="85">
        <v>48821</v>
      </c>
      <c r="O2509" s="128">
        <f t="shared" si="105"/>
        <v>3905680</v>
      </c>
      <c r="P2509" s="89" t="s">
        <v>2652</v>
      </c>
      <c r="Q2509" t="s">
        <v>47</v>
      </c>
      <c r="R2509" s="214" t="s">
        <v>1869</v>
      </c>
      <c r="S2509" s="214" t="s">
        <v>1861</v>
      </c>
      <c r="U2509" t="s">
        <v>1953</v>
      </c>
      <c r="V2509" t="s">
        <v>2813</v>
      </c>
    </row>
    <row r="2510" spans="1:22" ht="15.75" thickBot="1" x14ac:dyDescent="0.3">
      <c r="A2510" t="s">
        <v>4593</v>
      </c>
      <c r="B2510" t="s">
        <v>4593</v>
      </c>
      <c r="C2510" t="s">
        <v>4593</v>
      </c>
      <c r="D2510" t="s">
        <v>629</v>
      </c>
      <c r="E2510" s="248" t="s">
        <v>1853</v>
      </c>
      <c r="F2510" t="s">
        <v>620</v>
      </c>
      <c r="G2510" s="89" t="s">
        <v>2208</v>
      </c>
      <c r="H2510" s="315" t="s">
        <v>735</v>
      </c>
      <c r="I2510" s="308" t="str">
        <f t="shared" si="104"/>
        <v>Pesado de Passageiros M3: III : Gasóleo : E2</v>
      </c>
      <c r="J2510" s="237">
        <v>72</v>
      </c>
      <c r="K2510" s="253">
        <v>2022</v>
      </c>
      <c r="L2510" s="85">
        <v>7548.29</v>
      </c>
      <c r="M2510" s="85" t="s">
        <v>630</v>
      </c>
      <c r="N2510" s="85">
        <v>20024</v>
      </c>
      <c r="O2510" s="128">
        <f t="shared" si="105"/>
        <v>1441728</v>
      </c>
      <c r="P2510" s="89" t="s">
        <v>2653</v>
      </c>
      <c r="Q2510" t="s">
        <v>47</v>
      </c>
      <c r="R2510" s="214" t="s">
        <v>1869</v>
      </c>
      <c r="S2510" s="214" t="s">
        <v>1861</v>
      </c>
      <c r="U2510" t="s">
        <v>1953</v>
      </c>
      <c r="V2510" t="s">
        <v>2813</v>
      </c>
    </row>
    <row r="2511" spans="1:22" ht="15.75" thickBot="1" x14ac:dyDescent="0.3">
      <c r="A2511" t="s">
        <v>4593</v>
      </c>
      <c r="B2511" t="s">
        <v>4593</v>
      </c>
      <c r="C2511" t="s">
        <v>4593</v>
      </c>
      <c r="D2511" t="s">
        <v>629</v>
      </c>
      <c r="E2511" s="248" t="s">
        <v>1853</v>
      </c>
      <c r="F2511" t="s">
        <v>620</v>
      </c>
      <c r="G2511" s="89" t="s">
        <v>2211</v>
      </c>
      <c r="H2511" s="315" t="s">
        <v>731</v>
      </c>
      <c r="I2511" s="308" t="str">
        <f t="shared" si="104"/>
        <v>Pesado de Passageiros M3: III : Gasóleo : E4</v>
      </c>
      <c r="J2511" s="237">
        <v>26</v>
      </c>
      <c r="K2511" s="253">
        <v>2022</v>
      </c>
      <c r="L2511" s="85">
        <v>3348.5</v>
      </c>
      <c r="M2511" s="85" t="s">
        <v>630</v>
      </c>
      <c r="N2511" s="85">
        <v>21136</v>
      </c>
      <c r="O2511" s="128">
        <f t="shared" si="105"/>
        <v>549536</v>
      </c>
      <c r="P2511" s="89" t="s">
        <v>2654</v>
      </c>
      <c r="Q2511" t="s">
        <v>47</v>
      </c>
      <c r="R2511" s="214" t="s">
        <v>1869</v>
      </c>
      <c r="S2511" s="214" t="s">
        <v>1861</v>
      </c>
      <c r="U2511" t="s">
        <v>1953</v>
      </c>
      <c r="V2511" t="s">
        <v>2813</v>
      </c>
    </row>
    <row r="2512" spans="1:22" ht="15.75" thickBot="1" x14ac:dyDescent="0.3">
      <c r="A2512" t="s">
        <v>4593</v>
      </c>
      <c r="B2512" t="s">
        <v>4593</v>
      </c>
      <c r="C2512" t="s">
        <v>4593</v>
      </c>
      <c r="D2512" t="s">
        <v>629</v>
      </c>
      <c r="E2512" s="248" t="s">
        <v>1853</v>
      </c>
      <c r="F2512" t="s">
        <v>620</v>
      </c>
      <c r="G2512" s="89" t="s">
        <v>2204</v>
      </c>
      <c r="H2512" s="315" t="s">
        <v>731</v>
      </c>
      <c r="I2512" s="308" t="str">
        <f t="shared" si="104"/>
        <v>Pesado de Passageiros M3: III : Gasóleo : E4</v>
      </c>
      <c r="J2512" s="237">
        <v>30</v>
      </c>
      <c r="K2512" s="253">
        <v>2022</v>
      </c>
      <c r="L2512" s="85">
        <v>3938.65</v>
      </c>
      <c r="M2512" s="85" t="s">
        <v>630</v>
      </c>
      <c r="N2512" s="85">
        <v>23128</v>
      </c>
      <c r="O2512" s="128">
        <f t="shared" si="105"/>
        <v>693840</v>
      </c>
      <c r="P2512" s="89" t="s">
        <v>2655</v>
      </c>
      <c r="Q2512" t="s">
        <v>47</v>
      </c>
      <c r="R2512" s="214" t="s">
        <v>1869</v>
      </c>
      <c r="S2512" s="214" t="s">
        <v>1861</v>
      </c>
      <c r="U2512" t="s">
        <v>1953</v>
      </c>
      <c r="V2512" t="s">
        <v>2813</v>
      </c>
    </row>
    <row r="2513" spans="1:22" ht="15.75" thickBot="1" x14ac:dyDescent="0.3">
      <c r="A2513" t="s">
        <v>4593</v>
      </c>
      <c r="B2513" t="s">
        <v>4593</v>
      </c>
      <c r="C2513" t="s">
        <v>4593</v>
      </c>
      <c r="D2513" t="s">
        <v>629</v>
      </c>
      <c r="E2513" s="248" t="s">
        <v>1853</v>
      </c>
      <c r="F2513" t="s">
        <v>620</v>
      </c>
      <c r="G2513" s="89" t="s">
        <v>2205</v>
      </c>
      <c r="H2513" s="315" t="s">
        <v>731</v>
      </c>
      <c r="I2513" s="308" t="str">
        <f t="shared" si="104"/>
        <v>Pesado de Passageiros M3: III : Gasóleo : E4</v>
      </c>
      <c r="J2513" s="237">
        <v>30</v>
      </c>
      <c r="K2513" s="253">
        <v>2022</v>
      </c>
      <c r="L2513" s="85">
        <v>6594.02</v>
      </c>
      <c r="M2513" s="85" t="s">
        <v>630</v>
      </c>
      <c r="N2513" s="85">
        <v>40722</v>
      </c>
      <c r="O2513" s="128">
        <f t="shared" si="105"/>
        <v>1221660</v>
      </c>
      <c r="P2513" s="89" t="s">
        <v>2656</v>
      </c>
      <c r="Q2513" t="s">
        <v>47</v>
      </c>
      <c r="R2513" s="214" t="s">
        <v>1869</v>
      </c>
      <c r="S2513" s="214" t="s">
        <v>1861</v>
      </c>
      <c r="U2513" t="s">
        <v>1953</v>
      </c>
      <c r="V2513" t="s">
        <v>2813</v>
      </c>
    </row>
    <row r="2514" spans="1:22" ht="15.75" thickBot="1" x14ac:dyDescent="0.3">
      <c r="A2514" t="s">
        <v>4593</v>
      </c>
      <c r="B2514" t="s">
        <v>4593</v>
      </c>
      <c r="C2514" t="s">
        <v>4593</v>
      </c>
      <c r="D2514" t="s">
        <v>629</v>
      </c>
      <c r="E2514" s="248" t="s">
        <v>1853</v>
      </c>
      <c r="F2514" t="s">
        <v>620</v>
      </c>
      <c r="G2514" s="89" t="s">
        <v>2212</v>
      </c>
      <c r="H2514" s="315" t="s">
        <v>734</v>
      </c>
      <c r="I2514" s="308" t="str">
        <f t="shared" si="104"/>
        <v>Pesado de Passageiros M3: III : Gasóleo : E5</v>
      </c>
      <c r="J2514" s="237">
        <v>25</v>
      </c>
      <c r="K2514" s="253">
        <v>2022</v>
      </c>
      <c r="L2514" s="85">
        <v>5062.4399999999996</v>
      </c>
      <c r="M2514" s="85" t="s">
        <v>630</v>
      </c>
      <c r="N2514" s="85">
        <v>27332</v>
      </c>
      <c r="O2514" s="128">
        <f t="shared" si="105"/>
        <v>683300</v>
      </c>
      <c r="P2514" s="89" t="s">
        <v>2657</v>
      </c>
      <c r="Q2514" t="s">
        <v>47</v>
      </c>
      <c r="R2514" s="214" t="s">
        <v>1869</v>
      </c>
      <c r="S2514" s="214" t="s">
        <v>1861</v>
      </c>
      <c r="U2514" t="s">
        <v>1953</v>
      </c>
      <c r="V2514" t="s">
        <v>2813</v>
      </c>
    </row>
    <row r="2515" spans="1:22" ht="15.75" thickBot="1" x14ac:dyDescent="0.3">
      <c r="A2515" t="s">
        <v>4593</v>
      </c>
      <c r="B2515" t="s">
        <v>4593</v>
      </c>
      <c r="C2515" t="s">
        <v>4593</v>
      </c>
      <c r="D2515" t="s">
        <v>629</v>
      </c>
      <c r="E2515" s="248" t="s">
        <v>1853</v>
      </c>
      <c r="F2515" t="s">
        <v>620</v>
      </c>
      <c r="G2515" s="89" t="s">
        <v>2213</v>
      </c>
      <c r="H2515" s="315" t="s">
        <v>734</v>
      </c>
      <c r="I2515" s="308" t="str">
        <f t="shared" si="104"/>
        <v>Pesado de Passageiros M3: III : Gasóleo : E5</v>
      </c>
      <c r="J2515" s="237">
        <v>53</v>
      </c>
      <c r="K2515" s="253">
        <v>2022</v>
      </c>
      <c r="L2515" s="85">
        <v>40228.53</v>
      </c>
      <c r="M2515" s="85" t="s">
        <v>630</v>
      </c>
      <c r="N2515" s="85">
        <v>133088</v>
      </c>
      <c r="O2515" s="128">
        <f t="shared" si="105"/>
        <v>7053664</v>
      </c>
      <c r="P2515" s="89" t="s">
        <v>2658</v>
      </c>
      <c r="Q2515" t="s">
        <v>47</v>
      </c>
      <c r="R2515" s="214" t="s">
        <v>1869</v>
      </c>
      <c r="S2515" s="214" t="s">
        <v>1861</v>
      </c>
      <c r="U2515" t="s">
        <v>1953</v>
      </c>
      <c r="V2515" t="s">
        <v>2813</v>
      </c>
    </row>
    <row r="2516" spans="1:22" ht="15.75" thickBot="1" x14ac:dyDescent="0.3">
      <c r="A2516" t="s">
        <v>4593</v>
      </c>
      <c r="B2516" t="s">
        <v>4593</v>
      </c>
      <c r="C2516" t="s">
        <v>4593</v>
      </c>
      <c r="D2516" t="s">
        <v>629</v>
      </c>
      <c r="E2516" s="248" t="s">
        <v>1853</v>
      </c>
      <c r="F2516" t="s">
        <v>620</v>
      </c>
      <c r="G2516" s="89" t="s">
        <v>2214</v>
      </c>
      <c r="H2516" s="315" t="s">
        <v>733</v>
      </c>
      <c r="I2516" s="308" t="str">
        <f t="shared" si="104"/>
        <v>Pesado de Passageiros M3: III : Gasóleo : E6</v>
      </c>
      <c r="J2516" s="237">
        <v>53</v>
      </c>
      <c r="K2516" s="253">
        <v>2022</v>
      </c>
      <c r="L2516" s="85">
        <v>34966.449999999997</v>
      </c>
      <c r="M2516" s="85" t="s">
        <v>630</v>
      </c>
      <c r="N2516" s="85">
        <v>121609</v>
      </c>
      <c r="O2516" s="128">
        <f t="shared" si="105"/>
        <v>6445277</v>
      </c>
      <c r="P2516" s="89" t="s">
        <v>2659</v>
      </c>
      <c r="Q2516" t="s">
        <v>47</v>
      </c>
      <c r="R2516" s="214" t="s">
        <v>1869</v>
      </c>
      <c r="S2516" s="214" t="s">
        <v>1861</v>
      </c>
      <c r="U2516" t="s">
        <v>1953</v>
      </c>
      <c r="V2516" t="s">
        <v>2813</v>
      </c>
    </row>
    <row r="2517" spans="1:22" ht="15.75" thickBot="1" x14ac:dyDescent="0.3">
      <c r="A2517" t="s">
        <v>4593</v>
      </c>
      <c r="B2517" t="s">
        <v>4593</v>
      </c>
      <c r="C2517" t="s">
        <v>4593</v>
      </c>
      <c r="D2517" t="s">
        <v>629</v>
      </c>
      <c r="E2517" s="248" t="s">
        <v>1853</v>
      </c>
      <c r="F2517" t="s">
        <v>620</v>
      </c>
      <c r="G2517" s="89" t="s">
        <v>2215</v>
      </c>
      <c r="H2517" s="315" t="s">
        <v>735</v>
      </c>
      <c r="I2517" s="308" t="str">
        <f t="shared" si="104"/>
        <v>Pesado de Passageiros M3: III : Gasóleo : E2</v>
      </c>
      <c r="J2517" s="237">
        <v>80</v>
      </c>
      <c r="K2517" s="253">
        <v>2022</v>
      </c>
      <c r="L2517" s="85">
        <v>10833.35</v>
      </c>
      <c r="M2517" s="85" t="s">
        <v>630</v>
      </c>
      <c r="N2517" s="85">
        <v>31466</v>
      </c>
      <c r="O2517" s="128">
        <f t="shared" si="105"/>
        <v>2517280</v>
      </c>
      <c r="P2517" s="89" t="s">
        <v>2660</v>
      </c>
      <c r="Q2517" t="s">
        <v>47</v>
      </c>
      <c r="R2517" s="214" t="s">
        <v>1869</v>
      </c>
      <c r="S2517" s="214" t="s">
        <v>1861</v>
      </c>
      <c r="U2517" t="s">
        <v>1953</v>
      </c>
      <c r="V2517" t="s">
        <v>2813</v>
      </c>
    </row>
    <row r="2518" spans="1:22" ht="15.75" thickBot="1" x14ac:dyDescent="0.3">
      <c r="A2518" t="s">
        <v>4593</v>
      </c>
      <c r="B2518" t="s">
        <v>4593</v>
      </c>
      <c r="C2518" t="s">
        <v>4593</v>
      </c>
      <c r="D2518" t="s">
        <v>629</v>
      </c>
      <c r="E2518" s="248" t="s">
        <v>1853</v>
      </c>
      <c r="F2518" t="s">
        <v>620</v>
      </c>
      <c r="G2518" s="89" t="s">
        <v>2206</v>
      </c>
      <c r="H2518" s="315" t="s">
        <v>735</v>
      </c>
      <c r="I2518" s="308" t="str">
        <f t="shared" si="104"/>
        <v>Pesado de Passageiros M3: III : Gasóleo : E2</v>
      </c>
      <c r="J2518" s="237">
        <v>80</v>
      </c>
      <c r="K2518" s="253">
        <v>2022</v>
      </c>
      <c r="L2518" s="85">
        <v>11212.26</v>
      </c>
      <c r="M2518" s="85" t="s">
        <v>630</v>
      </c>
      <c r="N2518" s="85">
        <v>33447</v>
      </c>
      <c r="O2518" s="128">
        <f t="shared" si="105"/>
        <v>2675760</v>
      </c>
      <c r="P2518" s="89" t="s">
        <v>2661</v>
      </c>
      <c r="Q2518" t="s">
        <v>47</v>
      </c>
      <c r="R2518" s="214" t="s">
        <v>1869</v>
      </c>
      <c r="S2518" s="214" t="s">
        <v>1861</v>
      </c>
      <c r="U2518" t="s">
        <v>1953</v>
      </c>
      <c r="V2518" t="s">
        <v>2813</v>
      </c>
    </row>
    <row r="2519" spans="1:22" ht="15.75" thickBot="1" x14ac:dyDescent="0.3">
      <c r="A2519" t="s">
        <v>4593</v>
      </c>
      <c r="B2519" t="s">
        <v>4593</v>
      </c>
      <c r="C2519" t="s">
        <v>4593</v>
      </c>
      <c r="D2519" t="s">
        <v>629</v>
      </c>
      <c r="E2519" s="248" t="s">
        <v>1853</v>
      </c>
      <c r="F2519" t="s">
        <v>620</v>
      </c>
      <c r="G2519" s="89" t="s">
        <v>1954</v>
      </c>
      <c r="H2519" s="315" t="s">
        <v>735</v>
      </c>
      <c r="I2519" s="308" t="str">
        <f t="shared" si="104"/>
        <v>Pesado de Passageiros M3: III : Gasóleo : E2</v>
      </c>
      <c r="J2519" s="237">
        <v>82</v>
      </c>
      <c r="K2519" s="253">
        <v>2022</v>
      </c>
      <c r="L2519" s="85">
        <v>13200.3</v>
      </c>
      <c r="M2519" s="85" t="s">
        <v>630</v>
      </c>
      <c r="N2519" s="85">
        <v>42641</v>
      </c>
      <c r="O2519" s="128">
        <f t="shared" si="105"/>
        <v>3496562</v>
      </c>
      <c r="P2519" s="89" t="s">
        <v>2662</v>
      </c>
      <c r="Q2519" t="s">
        <v>47</v>
      </c>
      <c r="R2519" s="214" t="s">
        <v>1869</v>
      </c>
      <c r="S2519" s="214" t="s">
        <v>1861</v>
      </c>
      <c r="U2519" t="s">
        <v>1953</v>
      </c>
      <c r="V2519" t="s">
        <v>2813</v>
      </c>
    </row>
    <row r="2520" spans="1:22" ht="15.75" thickBot="1" x14ac:dyDescent="0.3">
      <c r="A2520" t="s">
        <v>4593</v>
      </c>
      <c r="B2520" t="s">
        <v>4593</v>
      </c>
      <c r="C2520" t="s">
        <v>4593</v>
      </c>
      <c r="D2520" t="s">
        <v>629</v>
      </c>
      <c r="E2520" s="248" t="s">
        <v>1853</v>
      </c>
      <c r="F2520" t="s">
        <v>620</v>
      </c>
      <c r="G2520" s="89" t="s">
        <v>1954</v>
      </c>
      <c r="H2520" s="315" t="s">
        <v>735</v>
      </c>
      <c r="I2520" s="308" t="str">
        <f t="shared" si="104"/>
        <v>Pesado de Passageiros M3: III : Gasóleo : E2</v>
      </c>
      <c r="J2520" s="237">
        <v>82</v>
      </c>
      <c r="K2520" s="253">
        <v>2022</v>
      </c>
      <c r="L2520" s="85">
        <v>10714.67</v>
      </c>
      <c r="M2520" s="85" t="s">
        <v>630</v>
      </c>
      <c r="N2520" s="85">
        <v>31588</v>
      </c>
      <c r="O2520" s="128">
        <f t="shared" si="105"/>
        <v>2590216</v>
      </c>
      <c r="P2520" s="89" t="s">
        <v>2663</v>
      </c>
      <c r="Q2520" t="s">
        <v>47</v>
      </c>
      <c r="R2520" s="214" t="s">
        <v>1869</v>
      </c>
      <c r="S2520" s="214" t="s">
        <v>1861</v>
      </c>
      <c r="U2520" t="s">
        <v>1953</v>
      </c>
      <c r="V2520" t="s">
        <v>2813</v>
      </c>
    </row>
    <row r="2521" spans="1:22" ht="15.75" thickBot="1" x14ac:dyDescent="0.3">
      <c r="A2521" t="s">
        <v>4593</v>
      </c>
      <c r="B2521" t="s">
        <v>4593</v>
      </c>
      <c r="C2521" t="s">
        <v>4593</v>
      </c>
      <c r="D2521" t="s">
        <v>629</v>
      </c>
      <c r="E2521" s="248" t="s">
        <v>1853</v>
      </c>
      <c r="F2521" t="s">
        <v>620</v>
      </c>
      <c r="G2521" s="89" t="s">
        <v>2206</v>
      </c>
      <c r="H2521" s="315" t="s">
        <v>735</v>
      </c>
      <c r="I2521" s="308" t="str">
        <f t="shared" si="104"/>
        <v>Pesado de Passageiros M3: III : Gasóleo : E2</v>
      </c>
      <c r="J2521" s="237">
        <v>55</v>
      </c>
      <c r="K2521" s="253">
        <v>2022</v>
      </c>
      <c r="L2521" s="85">
        <v>10573.69</v>
      </c>
      <c r="M2521" s="85" t="s">
        <v>630</v>
      </c>
      <c r="N2521" s="85">
        <v>32107</v>
      </c>
      <c r="O2521" s="128">
        <f t="shared" si="105"/>
        <v>1765885</v>
      </c>
      <c r="P2521" s="89" t="s">
        <v>2664</v>
      </c>
      <c r="Q2521" t="s">
        <v>47</v>
      </c>
      <c r="R2521" s="214" t="s">
        <v>1869</v>
      </c>
      <c r="S2521" s="214" t="s">
        <v>1861</v>
      </c>
      <c r="U2521" t="s">
        <v>1953</v>
      </c>
      <c r="V2521" t="s">
        <v>2813</v>
      </c>
    </row>
    <row r="2522" spans="1:22" ht="15.75" thickBot="1" x14ac:dyDescent="0.3">
      <c r="A2522" t="s">
        <v>4593</v>
      </c>
      <c r="B2522" t="s">
        <v>4593</v>
      </c>
      <c r="C2522" t="s">
        <v>4593</v>
      </c>
      <c r="D2522" t="s">
        <v>629</v>
      </c>
      <c r="E2522" s="248" t="s">
        <v>1853</v>
      </c>
      <c r="F2522" t="s">
        <v>620</v>
      </c>
      <c r="G2522" s="89" t="s">
        <v>1954</v>
      </c>
      <c r="H2522" s="315" t="s">
        <v>735</v>
      </c>
      <c r="I2522" s="308" t="str">
        <f t="shared" si="104"/>
        <v>Pesado de Passageiros M3: III : Gasóleo : E2</v>
      </c>
      <c r="J2522" s="237">
        <v>55</v>
      </c>
      <c r="K2522" s="253">
        <v>2022</v>
      </c>
      <c r="L2522" s="85">
        <v>5401.41</v>
      </c>
      <c r="M2522" s="85" t="s">
        <v>630</v>
      </c>
      <c r="N2522" s="85">
        <v>16385</v>
      </c>
      <c r="O2522" s="128">
        <f t="shared" si="105"/>
        <v>901175</v>
      </c>
      <c r="P2522" s="89" t="s">
        <v>2665</v>
      </c>
      <c r="Q2522" t="s">
        <v>47</v>
      </c>
      <c r="R2522" s="214" t="s">
        <v>1869</v>
      </c>
      <c r="S2522" s="214" t="s">
        <v>1861</v>
      </c>
      <c r="U2522" t="s">
        <v>1953</v>
      </c>
      <c r="V2522" t="s">
        <v>2813</v>
      </c>
    </row>
    <row r="2523" spans="1:22" ht="15.75" thickBot="1" x14ac:dyDescent="0.3">
      <c r="A2523" t="s">
        <v>4593</v>
      </c>
      <c r="B2523" t="s">
        <v>4593</v>
      </c>
      <c r="C2523" t="s">
        <v>4593</v>
      </c>
      <c r="D2523" t="s">
        <v>629</v>
      </c>
      <c r="E2523" s="248" t="s">
        <v>1853</v>
      </c>
      <c r="F2523" t="s">
        <v>620</v>
      </c>
      <c r="G2523" s="89" t="s">
        <v>2216</v>
      </c>
      <c r="H2523" s="315" t="s">
        <v>2230</v>
      </c>
      <c r="I2523" s="308" t="str">
        <f t="shared" si="104"/>
        <v>Pesado de Passageiros M3: III : Gasóleo : E0</v>
      </c>
      <c r="J2523" s="237">
        <v>72</v>
      </c>
      <c r="K2523" s="253">
        <v>2022</v>
      </c>
      <c r="L2523" s="85">
        <v>6701.72</v>
      </c>
      <c r="M2523" s="85" t="s">
        <v>630</v>
      </c>
      <c r="N2523" s="85">
        <v>21190</v>
      </c>
      <c r="O2523" s="128">
        <f t="shared" si="105"/>
        <v>1525680</v>
      </c>
      <c r="P2523" s="89" t="s">
        <v>2666</v>
      </c>
      <c r="Q2523" t="s">
        <v>47</v>
      </c>
      <c r="R2523" s="214" t="s">
        <v>1869</v>
      </c>
      <c r="S2523" s="214" t="s">
        <v>1861</v>
      </c>
      <c r="U2523" t="s">
        <v>1953</v>
      </c>
      <c r="V2523" t="s">
        <v>2813</v>
      </c>
    </row>
    <row r="2524" spans="1:22" ht="15.75" thickBot="1" x14ac:dyDescent="0.3">
      <c r="A2524" t="s">
        <v>4593</v>
      </c>
      <c r="B2524" t="s">
        <v>4593</v>
      </c>
      <c r="C2524" t="s">
        <v>4593</v>
      </c>
      <c r="D2524" t="s">
        <v>629</v>
      </c>
      <c r="E2524" s="248" t="s">
        <v>1853</v>
      </c>
      <c r="F2524" t="s">
        <v>620</v>
      </c>
      <c r="G2524" s="89" t="s">
        <v>2216</v>
      </c>
      <c r="H2524" s="315" t="s">
        <v>2230</v>
      </c>
      <c r="I2524" s="308" t="str">
        <f t="shared" si="104"/>
        <v>Pesado de Passageiros M3: III : Gasóleo : E0</v>
      </c>
      <c r="J2524" s="237">
        <v>72</v>
      </c>
      <c r="K2524" s="253">
        <v>2022</v>
      </c>
      <c r="L2524" s="85">
        <v>10036.92</v>
      </c>
      <c r="M2524" s="85" t="s">
        <v>630</v>
      </c>
      <c r="N2524" s="85">
        <v>28098</v>
      </c>
      <c r="O2524" s="128">
        <f t="shared" si="105"/>
        <v>2023056</v>
      </c>
      <c r="P2524" s="89" t="s">
        <v>2667</v>
      </c>
      <c r="Q2524" t="s">
        <v>47</v>
      </c>
      <c r="R2524" s="214" t="s">
        <v>1869</v>
      </c>
      <c r="S2524" s="214" t="s">
        <v>1861</v>
      </c>
      <c r="U2524" t="s">
        <v>1953</v>
      </c>
      <c r="V2524" t="s">
        <v>2813</v>
      </c>
    </row>
    <row r="2525" spans="1:22" ht="15.75" thickBot="1" x14ac:dyDescent="0.3">
      <c r="A2525" t="s">
        <v>4593</v>
      </c>
      <c r="B2525" t="s">
        <v>4593</v>
      </c>
      <c r="C2525" t="s">
        <v>4593</v>
      </c>
      <c r="D2525" t="s">
        <v>629</v>
      </c>
      <c r="E2525" s="248" t="s">
        <v>1853</v>
      </c>
      <c r="F2525" t="s">
        <v>620</v>
      </c>
      <c r="G2525" s="89" t="s">
        <v>2217</v>
      </c>
      <c r="H2525" s="315" t="s">
        <v>736</v>
      </c>
      <c r="I2525" s="308" t="str">
        <f t="shared" si="104"/>
        <v>Pesado de Passageiros M3: III : Gasóleo : E1</v>
      </c>
      <c r="J2525" s="237">
        <v>87</v>
      </c>
      <c r="K2525" s="253">
        <v>2022</v>
      </c>
      <c r="L2525" s="85">
        <v>14671.63</v>
      </c>
      <c r="M2525" s="85" t="s">
        <v>630</v>
      </c>
      <c r="N2525" s="85">
        <v>45927</v>
      </c>
      <c r="O2525" s="128">
        <f t="shared" si="105"/>
        <v>3995649</v>
      </c>
      <c r="P2525" s="89" t="s">
        <v>2668</v>
      </c>
      <c r="Q2525" t="s">
        <v>47</v>
      </c>
      <c r="R2525" s="214" t="s">
        <v>1869</v>
      </c>
      <c r="S2525" s="214" t="s">
        <v>1861</v>
      </c>
      <c r="U2525" t="s">
        <v>1953</v>
      </c>
      <c r="V2525" t="s">
        <v>2813</v>
      </c>
    </row>
    <row r="2526" spans="1:22" ht="15.75" thickBot="1" x14ac:dyDescent="0.3">
      <c r="A2526" t="s">
        <v>4593</v>
      </c>
      <c r="B2526" t="s">
        <v>4593</v>
      </c>
      <c r="C2526" t="s">
        <v>4593</v>
      </c>
      <c r="D2526" t="s">
        <v>629</v>
      </c>
      <c r="E2526" s="248" t="s">
        <v>1853</v>
      </c>
      <c r="F2526" t="s">
        <v>620</v>
      </c>
      <c r="G2526" s="89" t="s">
        <v>2218</v>
      </c>
      <c r="H2526" s="315" t="s">
        <v>2230</v>
      </c>
      <c r="I2526" s="308" t="str">
        <f t="shared" si="104"/>
        <v>Pesado de Passageiros M3: III : Gasóleo : E0</v>
      </c>
      <c r="J2526" s="237">
        <v>74</v>
      </c>
      <c r="K2526" s="253">
        <v>2022</v>
      </c>
      <c r="L2526" s="85">
        <v>12465.62</v>
      </c>
      <c r="M2526" s="85" t="s">
        <v>630</v>
      </c>
      <c r="N2526" s="85">
        <v>41838</v>
      </c>
      <c r="O2526" s="128">
        <f t="shared" si="105"/>
        <v>3096012</v>
      </c>
      <c r="P2526" s="89" t="s">
        <v>2669</v>
      </c>
      <c r="Q2526" t="s">
        <v>47</v>
      </c>
      <c r="R2526" s="214" t="s">
        <v>1869</v>
      </c>
      <c r="S2526" s="214" t="s">
        <v>1861</v>
      </c>
      <c r="U2526" t="s">
        <v>1953</v>
      </c>
      <c r="V2526" t="s">
        <v>2813</v>
      </c>
    </row>
    <row r="2527" spans="1:22" ht="15.75" thickBot="1" x14ac:dyDescent="0.3">
      <c r="A2527" t="s">
        <v>4593</v>
      </c>
      <c r="B2527" t="s">
        <v>4593</v>
      </c>
      <c r="C2527" t="s">
        <v>4593</v>
      </c>
      <c r="D2527" t="s">
        <v>629</v>
      </c>
      <c r="E2527" s="248" t="s">
        <v>1853</v>
      </c>
      <c r="F2527" t="s">
        <v>620</v>
      </c>
      <c r="G2527" s="89" t="s">
        <v>2218</v>
      </c>
      <c r="H2527" s="315" t="s">
        <v>736</v>
      </c>
      <c r="I2527" s="308" t="str">
        <f t="shared" si="104"/>
        <v>Pesado de Passageiros M3: III : Gasóleo : E1</v>
      </c>
      <c r="J2527" s="237">
        <v>74</v>
      </c>
      <c r="K2527" s="253">
        <v>2022</v>
      </c>
      <c r="L2527" s="85">
        <v>11268.05</v>
      </c>
      <c r="M2527" s="85" t="s">
        <v>630</v>
      </c>
      <c r="N2527" s="85">
        <v>33404</v>
      </c>
      <c r="O2527" s="128">
        <f t="shared" si="105"/>
        <v>2471896</v>
      </c>
      <c r="P2527" s="89" t="s">
        <v>2670</v>
      </c>
      <c r="Q2527" t="s">
        <v>47</v>
      </c>
      <c r="R2527" s="214" t="s">
        <v>1869</v>
      </c>
      <c r="S2527" s="214" t="s">
        <v>1861</v>
      </c>
      <c r="U2527" t="s">
        <v>1953</v>
      </c>
      <c r="V2527" t="s">
        <v>2813</v>
      </c>
    </row>
    <row r="2528" spans="1:22" ht="15.75" thickBot="1" x14ac:dyDescent="0.3">
      <c r="A2528" t="s">
        <v>4593</v>
      </c>
      <c r="B2528" t="s">
        <v>4593</v>
      </c>
      <c r="C2528" t="s">
        <v>4593</v>
      </c>
      <c r="D2528" t="s">
        <v>629</v>
      </c>
      <c r="E2528" s="248" t="s">
        <v>1853</v>
      </c>
      <c r="F2528" t="s">
        <v>620</v>
      </c>
      <c r="G2528" s="89" t="s">
        <v>2217</v>
      </c>
      <c r="H2528" s="315" t="s">
        <v>736</v>
      </c>
      <c r="I2528" s="308" t="str">
        <f t="shared" si="104"/>
        <v>Pesado de Passageiros M3: III : Gasóleo : E1</v>
      </c>
      <c r="J2528" s="237">
        <v>74</v>
      </c>
      <c r="K2528" s="253">
        <v>2022</v>
      </c>
      <c r="L2528" s="85">
        <v>10714.19</v>
      </c>
      <c r="M2528" s="85" t="s">
        <v>630</v>
      </c>
      <c r="N2528" s="85">
        <v>35744</v>
      </c>
      <c r="O2528" s="128">
        <f t="shared" si="105"/>
        <v>2645056</v>
      </c>
      <c r="P2528" s="89" t="s">
        <v>2671</v>
      </c>
      <c r="Q2528" t="s">
        <v>47</v>
      </c>
      <c r="R2528" s="214" t="s">
        <v>1869</v>
      </c>
      <c r="S2528" s="214" t="s">
        <v>1861</v>
      </c>
      <c r="U2528" t="s">
        <v>1953</v>
      </c>
      <c r="V2528" t="s">
        <v>2813</v>
      </c>
    </row>
    <row r="2529" spans="1:22" ht="15.75" thickBot="1" x14ac:dyDescent="0.3">
      <c r="A2529" t="s">
        <v>4593</v>
      </c>
      <c r="B2529" t="s">
        <v>4593</v>
      </c>
      <c r="C2529" t="s">
        <v>4593</v>
      </c>
      <c r="D2529" t="s">
        <v>629</v>
      </c>
      <c r="E2529" s="248" t="s">
        <v>1853</v>
      </c>
      <c r="F2529" t="s">
        <v>620</v>
      </c>
      <c r="G2529" s="89" t="s">
        <v>2209</v>
      </c>
      <c r="H2529" s="315" t="s">
        <v>736</v>
      </c>
      <c r="I2529" s="308" t="str">
        <f t="shared" si="104"/>
        <v>Pesado de Passageiros M3: III : Gasóleo : E1</v>
      </c>
      <c r="J2529" s="237">
        <v>83</v>
      </c>
      <c r="K2529" s="253">
        <v>2022</v>
      </c>
      <c r="L2529" s="85">
        <v>11335.78</v>
      </c>
      <c r="M2529" s="85" t="s">
        <v>630</v>
      </c>
      <c r="N2529" s="85">
        <v>37382</v>
      </c>
      <c r="O2529" s="128">
        <f t="shared" si="105"/>
        <v>3102706</v>
      </c>
      <c r="P2529" s="89" t="s">
        <v>2672</v>
      </c>
      <c r="Q2529" t="s">
        <v>47</v>
      </c>
      <c r="R2529" s="214" t="s">
        <v>1869</v>
      </c>
      <c r="S2529" s="214" t="s">
        <v>1861</v>
      </c>
      <c r="U2529" t="s">
        <v>1953</v>
      </c>
      <c r="V2529" t="s">
        <v>2813</v>
      </c>
    </row>
    <row r="2530" spans="1:22" ht="15.75" thickBot="1" x14ac:dyDescent="0.3">
      <c r="A2530" t="s">
        <v>4593</v>
      </c>
      <c r="B2530" t="s">
        <v>4593</v>
      </c>
      <c r="C2530" t="s">
        <v>4593</v>
      </c>
      <c r="D2530" t="s">
        <v>629</v>
      </c>
      <c r="E2530" s="248" t="s">
        <v>1853</v>
      </c>
      <c r="F2530" t="s">
        <v>620</v>
      </c>
      <c r="G2530" s="89" t="s">
        <v>2209</v>
      </c>
      <c r="H2530" s="315" t="s">
        <v>736</v>
      </c>
      <c r="I2530" s="308" t="str">
        <f t="shared" si="104"/>
        <v>Pesado de Passageiros M3: III : Gasóleo : E1</v>
      </c>
      <c r="J2530" s="237">
        <v>83</v>
      </c>
      <c r="K2530" s="253">
        <v>2022</v>
      </c>
      <c r="L2530" s="85">
        <v>11356.87</v>
      </c>
      <c r="M2530" s="85" t="s">
        <v>630</v>
      </c>
      <c r="N2530" s="85">
        <v>32912</v>
      </c>
      <c r="O2530" s="128">
        <f t="shared" si="105"/>
        <v>2731696</v>
      </c>
      <c r="P2530" s="89" t="s">
        <v>2673</v>
      </c>
      <c r="Q2530" t="s">
        <v>47</v>
      </c>
      <c r="R2530" s="214" t="s">
        <v>1869</v>
      </c>
      <c r="S2530" s="214" t="s">
        <v>1861</v>
      </c>
      <c r="U2530" t="s">
        <v>1953</v>
      </c>
      <c r="V2530" t="s">
        <v>2813</v>
      </c>
    </row>
    <row r="2531" spans="1:22" ht="15.75" thickBot="1" x14ac:dyDescent="0.3">
      <c r="A2531" t="s">
        <v>4593</v>
      </c>
      <c r="B2531" t="s">
        <v>4593</v>
      </c>
      <c r="C2531" t="s">
        <v>4593</v>
      </c>
      <c r="D2531" t="s">
        <v>629</v>
      </c>
      <c r="E2531" s="248" t="s">
        <v>1853</v>
      </c>
      <c r="F2531" t="s">
        <v>620</v>
      </c>
      <c r="G2531" s="89" t="s">
        <v>2209</v>
      </c>
      <c r="H2531" s="315" t="s">
        <v>736</v>
      </c>
      <c r="I2531" s="308" t="str">
        <f t="shared" si="104"/>
        <v>Pesado de Passageiros M3: III : Gasóleo : E1</v>
      </c>
      <c r="J2531" s="237">
        <v>83</v>
      </c>
      <c r="K2531" s="253">
        <v>2022</v>
      </c>
      <c r="L2531" s="85">
        <v>11260.12</v>
      </c>
      <c r="M2531" s="85" t="s">
        <v>630</v>
      </c>
      <c r="N2531" s="85">
        <v>30690</v>
      </c>
      <c r="O2531" s="128">
        <f t="shared" si="105"/>
        <v>2547270</v>
      </c>
      <c r="P2531" s="89" t="s">
        <v>2674</v>
      </c>
      <c r="Q2531" t="s">
        <v>47</v>
      </c>
      <c r="R2531" s="214" t="s">
        <v>1869</v>
      </c>
      <c r="S2531" s="214" t="s">
        <v>1861</v>
      </c>
      <c r="U2531" t="s">
        <v>1953</v>
      </c>
      <c r="V2531" t="s">
        <v>2813</v>
      </c>
    </row>
    <row r="2532" spans="1:22" ht="15.75" thickBot="1" x14ac:dyDescent="0.3">
      <c r="A2532" t="s">
        <v>4593</v>
      </c>
      <c r="B2532" t="s">
        <v>4593</v>
      </c>
      <c r="C2532" t="s">
        <v>4593</v>
      </c>
      <c r="D2532" t="s">
        <v>629</v>
      </c>
      <c r="E2532" s="248" t="s">
        <v>1853</v>
      </c>
      <c r="F2532" t="s">
        <v>620</v>
      </c>
      <c r="G2532" s="89" t="s">
        <v>2209</v>
      </c>
      <c r="H2532" s="315" t="s">
        <v>736</v>
      </c>
      <c r="I2532" s="308" t="str">
        <f t="shared" si="104"/>
        <v>Pesado de Passageiros M3: III : Gasóleo : E1</v>
      </c>
      <c r="J2532" s="237">
        <v>83</v>
      </c>
      <c r="K2532" s="253">
        <v>2022</v>
      </c>
      <c r="L2532" s="85">
        <v>10416.200000000001</v>
      </c>
      <c r="M2532" s="85" t="s">
        <v>630</v>
      </c>
      <c r="N2532" s="85">
        <v>30226</v>
      </c>
      <c r="O2532" s="128">
        <f t="shared" si="105"/>
        <v>2508758</v>
      </c>
      <c r="P2532" s="89" t="s">
        <v>2675</v>
      </c>
      <c r="Q2532" t="s">
        <v>47</v>
      </c>
      <c r="R2532" s="214" t="s">
        <v>1869</v>
      </c>
      <c r="S2532" s="214" t="s">
        <v>1861</v>
      </c>
      <c r="U2532" t="s">
        <v>1953</v>
      </c>
      <c r="V2532" t="s">
        <v>2813</v>
      </c>
    </row>
    <row r="2533" spans="1:22" ht="15.75" thickBot="1" x14ac:dyDescent="0.3">
      <c r="A2533" t="s">
        <v>4593</v>
      </c>
      <c r="B2533" t="s">
        <v>4593</v>
      </c>
      <c r="C2533" t="s">
        <v>4593</v>
      </c>
      <c r="D2533" t="s">
        <v>629</v>
      </c>
      <c r="E2533" s="248" t="s">
        <v>1853</v>
      </c>
      <c r="F2533" t="s">
        <v>620</v>
      </c>
      <c r="G2533" s="89" t="s">
        <v>2218</v>
      </c>
      <c r="H2533" s="315" t="s">
        <v>2230</v>
      </c>
      <c r="I2533" s="308" t="str">
        <f t="shared" si="104"/>
        <v>Pesado de Passageiros M3: III : Gasóleo : E0</v>
      </c>
      <c r="J2533" s="237">
        <v>70</v>
      </c>
      <c r="K2533" s="253">
        <v>2022</v>
      </c>
      <c r="L2533" s="85">
        <v>2619.39</v>
      </c>
      <c r="M2533" s="85" t="s">
        <v>630</v>
      </c>
      <c r="N2533" s="85">
        <v>7928</v>
      </c>
      <c r="O2533" s="128">
        <f t="shared" si="105"/>
        <v>554960</v>
      </c>
      <c r="P2533" s="89" t="s">
        <v>2676</v>
      </c>
      <c r="Q2533" t="s">
        <v>47</v>
      </c>
      <c r="R2533" s="214" t="s">
        <v>1869</v>
      </c>
      <c r="S2533" s="214" t="s">
        <v>1861</v>
      </c>
      <c r="U2533" t="s">
        <v>1953</v>
      </c>
      <c r="V2533" t="s">
        <v>2813</v>
      </c>
    </row>
    <row r="2534" spans="1:22" ht="15.75" thickBot="1" x14ac:dyDescent="0.3">
      <c r="A2534" t="s">
        <v>4593</v>
      </c>
      <c r="B2534" t="s">
        <v>4593</v>
      </c>
      <c r="C2534" t="s">
        <v>4593</v>
      </c>
      <c r="D2534" t="s">
        <v>629</v>
      </c>
      <c r="E2534" s="248" t="s">
        <v>1853</v>
      </c>
      <c r="F2534" t="s">
        <v>620</v>
      </c>
      <c r="G2534" s="89" t="s">
        <v>2204</v>
      </c>
      <c r="H2534" s="315" t="s">
        <v>731</v>
      </c>
      <c r="I2534" s="308" t="str">
        <f t="shared" si="104"/>
        <v>Pesado de Passageiros M3: III : Gasóleo : E4</v>
      </c>
      <c r="J2534" s="237">
        <v>55</v>
      </c>
      <c r="K2534" s="253">
        <v>2022</v>
      </c>
      <c r="L2534" s="85">
        <v>20221.47</v>
      </c>
      <c r="M2534" s="85" t="s">
        <v>630</v>
      </c>
      <c r="N2534" s="85">
        <v>62821</v>
      </c>
      <c r="O2534" s="128">
        <f t="shared" si="105"/>
        <v>3455155</v>
      </c>
      <c r="P2534" s="89" t="s">
        <v>2677</v>
      </c>
      <c r="Q2534" t="s">
        <v>47</v>
      </c>
      <c r="R2534" s="214" t="s">
        <v>1869</v>
      </c>
      <c r="S2534" s="214" t="s">
        <v>1861</v>
      </c>
      <c r="U2534" t="s">
        <v>1953</v>
      </c>
      <c r="V2534" t="s">
        <v>2813</v>
      </c>
    </row>
    <row r="2535" spans="1:22" ht="15.75" thickBot="1" x14ac:dyDescent="0.3">
      <c r="A2535" t="s">
        <v>4593</v>
      </c>
      <c r="B2535" t="s">
        <v>4593</v>
      </c>
      <c r="C2535" t="s">
        <v>4593</v>
      </c>
      <c r="D2535" t="s">
        <v>629</v>
      </c>
      <c r="E2535" s="248" t="s">
        <v>1853</v>
      </c>
      <c r="F2535" t="s">
        <v>620</v>
      </c>
      <c r="G2535" s="89" t="s">
        <v>2206</v>
      </c>
      <c r="H2535" s="315" t="s">
        <v>735</v>
      </c>
      <c r="I2535" s="308" t="str">
        <f t="shared" si="104"/>
        <v>Pesado de Passageiros M3: III : Gasóleo : E2</v>
      </c>
      <c r="J2535" s="237">
        <v>69</v>
      </c>
      <c r="K2535" s="253">
        <v>2022</v>
      </c>
      <c r="L2535" s="85">
        <v>9548.91</v>
      </c>
      <c r="M2535" s="85" t="s">
        <v>630</v>
      </c>
      <c r="N2535" s="85">
        <v>25963</v>
      </c>
      <c r="O2535" s="128">
        <f t="shared" si="105"/>
        <v>1791447</v>
      </c>
      <c r="P2535" s="89" t="s">
        <v>2678</v>
      </c>
      <c r="Q2535" t="s">
        <v>47</v>
      </c>
      <c r="R2535" s="214" t="s">
        <v>1869</v>
      </c>
      <c r="S2535" s="214" t="s">
        <v>1861</v>
      </c>
      <c r="U2535" t="s">
        <v>1953</v>
      </c>
      <c r="V2535" t="s">
        <v>2813</v>
      </c>
    </row>
    <row r="2536" spans="1:22" ht="15.75" thickBot="1" x14ac:dyDescent="0.3">
      <c r="A2536" t="s">
        <v>4593</v>
      </c>
      <c r="B2536" t="s">
        <v>4593</v>
      </c>
      <c r="C2536" t="s">
        <v>4593</v>
      </c>
      <c r="D2536" t="s">
        <v>629</v>
      </c>
      <c r="E2536" s="248" t="s">
        <v>1853</v>
      </c>
      <c r="F2536" t="s">
        <v>620</v>
      </c>
      <c r="G2536" s="89" t="s">
        <v>2219</v>
      </c>
      <c r="H2536" s="315" t="s">
        <v>732</v>
      </c>
      <c r="I2536" s="308" t="str">
        <f t="shared" si="104"/>
        <v>Pesado de Passageiros M3: III : Gasóleo : E3</v>
      </c>
      <c r="J2536" s="237">
        <v>83</v>
      </c>
      <c r="K2536" s="253">
        <v>2022</v>
      </c>
      <c r="L2536" s="85">
        <v>11784.75</v>
      </c>
      <c r="M2536" s="85" t="s">
        <v>630</v>
      </c>
      <c r="N2536" s="85">
        <v>33150</v>
      </c>
      <c r="O2536" s="128">
        <f t="shared" si="105"/>
        <v>2751450</v>
      </c>
      <c r="P2536" s="89" t="s">
        <v>2679</v>
      </c>
      <c r="Q2536" t="s">
        <v>47</v>
      </c>
      <c r="R2536" s="214" t="s">
        <v>1869</v>
      </c>
      <c r="S2536" s="214" t="s">
        <v>1861</v>
      </c>
      <c r="U2536" t="s">
        <v>1953</v>
      </c>
      <c r="V2536" t="s">
        <v>2813</v>
      </c>
    </row>
    <row r="2537" spans="1:22" ht="15.75" thickBot="1" x14ac:dyDescent="0.3">
      <c r="A2537" t="s">
        <v>4593</v>
      </c>
      <c r="B2537" t="s">
        <v>4593</v>
      </c>
      <c r="C2537" t="s">
        <v>4593</v>
      </c>
      <c r="D2537" t="s">
        <v>629</v>
      </c>
      <c r="E2537" s="248" t="s">
        <v>1853</v>
      </c>
      <c r="F2537" t="s">
        <v>620</v>
      </c>
      <c r="G2537" s="89" t="s">
        <v>2220</v>
      </c>
      <c r="H2537" s="315" t="s">
        <v>732</v>
      </c>
      <c r="I2537" s="308" t="str">
        <f t="shared" si="104"/>
        <v>Pesado de Passageiros M3: III : Gasóleo : E3</v>
      </c>
      <c r="J2537" s="237">
        <v>63</v>
      </c>
      <c r="K2537" s="253">
        <v>2022</v>
      </c>
      <c r="L2537" s="85">
        <v>15360.45</v>
      </c>
      <c r="M2537" s="85" t="s">
        <v>630</v>
      </c>
      <c r="N2537" s="85">
        <v>43475</v>
      </c>
      <c r="O2537" s="128">
        <f t="shared" si="105"/>
        <v>2738925</v>
      </c>
      <c r="P2537" s="89" t="s">
        <v>2680</v>
      </c>
      <c r="Q2537" t="s">
        <v>47</v>
      </c>
      <c r="R2537" s="214" t="s">
        <v>1869</v>
      </c>
      <c r="S2537" s="214" t="s">
        <v>1861</v>
      </c>
      <c r="U2537" t="s">
        <v>1953</v>
      </c>
      <c r="V2537" t="s">
        <v>2813</v>
      </c>
    </row>
    <row r="2538" spans="1:22" ht="15.75" thickBot="1" x14ac:dyDescent="0.3">
      <c r="A2538" t="s">
        <v>4593</v>
      </c>
      <c r="B2538" t="s">
        <v>4593</v>
      </c>
      <c r="C2538" t="s">
        <v>4593</v>
      </c>
      <c r="D2538" t="s">
        <v>629</v>
      </c>
      <c r="E2538" s="248" t="s">
        <v>1853</v>
      </c>
      <c r="F2538" t="s">
        <v>620</v>
      </c>
      <c r="G2538" s="89" t="s">
        <v>2220</v>
      </c>
      <c r="H2538" s="315" t="s">
        <v>732</v>
      </c>
      <c r="I2538" s="308" t="str">
        <f t="shared" si="104"/>
        <v>Pesado de Passageiros M3: III : Gasóleo : E3</v>
      </c>
      <c r="J2538" s="237">
        <v>78</v>
      </c>
      <c r="K2538" s="253">
        <v>2022</v>
      </c>
      <c r="L2538" s="85">
        <v>13680.19</v>
      </c>
      <c r="M2538" s="85" t="s">
        <v>630</v>
      </c>
      <c r="N2538" s="85">
        <v>35958</v>
      </c>
      <c r="O2538" s="128">
        <f t="shared" si="105"/>
        <v>2804724</v>
      </c>
      <c r="P2538" s="89" t="s">
        <v>2681</v>
      </c>
      <c r="Q2538" t="s">
        <v>47</v>
      </c>
      <c r="R2538" s="214" t="s">
        <v>1869</v>
      </c>
      <c r="S2538" s="214" t="s">
        <v>1861</v>
      </c>
      <c r="U2538" t="s">
        <v>1953</v>
      </c>
      <c r="V2538" t="s">
        <v>2813</v>
      </c>
    </row>
    <row r="2539" spans="1:22" ht="15.75" thickBot="1" x14ac:dyDescent="0.3">
      <c r="A2539" t="s">
        <v>4593</v>
      </c>
      <c r="B2539" t="s">
        <v>4593</v>
      </c>
      <c r="C2539" t="s">
        <v>4593</v>
      </c>
      <c r="D2539" t="s">
        <v>629</v>
      </c>
      <c r="E2539" s="248" t="s">
        <v>1853</v>
      </c>
      <c r="F2539" t="s">
        <v>620</v>
      </c>
      <c r="G2539" s="89" t="s">
        <v>2215</v>
      </c>
      <c r="H2539" s="315" t="s">
        <v>735</v>
      </c>
      <c r="I2539" s="308" t="str">
        <f t="shared" si="104"/>
        <v>Pesado de Passageiros M3: III : Gasóleo : E2</v>
      </c>
      <c r="J2539" s="237">
        <v>51</v>
      </c>
      <c r="K2539" s="253">
        <v>2022</v>
      </c>
      <c r="L2539" s="85">
        <v>3259.1</v>
      </c>
      <c r="M2539" s="85" t="s">
        <v>630</v>
      </c>
      <c r="N2539" s="85">
        <v>9602</v>
      </c>
      <c r="O2539" s="128">
        <f t="shared" si="105"/>
        <v>489702</v>
      </c>
      <c r="P2539" s="89" t="s">
        <v>2682</v>
      </c>
      <c r="Q2539" t="s">
        <v>47</v>
      </c>
      <c r="R2539" s="214" t="s">
        <v>1869</v>
      </c>
      <c r="S2539" s="214" t="s">
        <v>1861</v>
      </c>
      <c r="U2539" t="s">
        <v>1953</v>
      </c>
      <c r="V2539" t="s">
        <v>2813</v>
      </c>
    </row>
    <row r="2540" spans="1:22" ht="15.75" thickBot="1" x14ac:dyDescent="0.3">
      <c r="A2540" t="s">
        <v>4593</v>
      </c>
      <c r="B2540" t="s">
        <v>4593</v>
      </c>
      <c r="C2540" t="s">
        <v>4593</v>
      </c>
      <c r="D2540" t="s">
        <v>629</v>
      </c>
      <c r="E2540" s="248" t="s">
        <v>1853</v>
      </c>
      <c r="F2540" t="s">
        <v>620</v>
      </c>
      <c r="G2540" s="89" t="s">
        <v>2214</v>
      </c>
      <c r="H2540" s="315" t="s">
        <v>734</v>
      </c>
      <c r="I2540" s="308" t="str">
        <f t="shared" si="104"/>
        <v>Pesado de Passageiros M3: III : Gasóleo : E5</v>
      </c>
      <c r="J2540" s="237">
        <v>63</v>
      </c>
      <c r="K2540" s="253">
        <v>2022</v>
      </c>
      <c r="L2540" s="85">
        <v>16453.759999999998</v>
      </c>
      <c r="M2540" s="85" t="s">
        <v>630</v>
      </c>
      <c r="N2540" s="85">
        <v>49442</v>
      </c>
      <c r="O2540" s="128">
        <f t="shared" si="105"/>
        <v>3114846</v>
      </c>
      <c r="P2540" s="89" t="s">
        <v>2683</v>
      </c>
      <c r="Q2540" t="s">
        <v>47</v>
      </c>
      <c r="R2540" s="214" t="s">
        <v>1869</v>
      </c>
      <c r="S2540" s="214" t="s">
        <v>1861</v>
      </c>
      <c r="U2540" t="s">
        <v>1953</v>
      </c>
      <c r="V2540" t="s">
        <v>2813</v>
      </c>
    </row>
    <row r="2541" spans="1:22" ht="15.75" thickBot="1" x14ac:dyDescent="0.3">
      <c r="A2541" t="s">
        <v>4593</v>
      </c>
      <c r="B2541" t="s">
        <v>4593</v>
      </c>
      <c r="C2541" t="s">
        <v>4593</v>
      </c>
      <c r="D2541" t="s">
        <v>629</v>
      </c>
      <c r="E2541" s="248" t="s">
        <v>1853</v>
      </c>
      <c r="F2541" t="s">
        <v>620</v>
      </c>
      <c r="G2541" s="89" t="s">
        <v>2207</v>
      </c>
      <c r="H2541" s="315" t="s">
        <v>735</v>
      </c>
      <c r="I2541" s="308" t="str">
        <f t="shared" si="104"/>
        <v>Pesado de Passageiros M3: III : Gasóleo : E2</v>
      </c>
      <c r="J2541" s="237">
        <v>51</v>
      </c>
      <c r="K2541" s="253">
        <v>2022</v>
      </c>
      <c r="L2541" s="85">
        <v>12361.26</v>
      </c>
      <c r="M2541" s="85" t="s">
        <v>630</v>
      </c>
      <c r="N2541" s="85">
        <v>35860</v>
      </c>
      <c r="O2541" s="128">
        <f t="shared" si="105"/>
        <v>1828860</v>
      </c>
      <c r="P2541" s="89" t="s">
        <v>2684</v>
      </c>
      <c r="Q2541" t="s">
        <v>47</v>
      </c>
      <c r="R2541" s="214" t="s">
        <v>1869</v>
      </c>
      <c r="S2541" s="214" t="s">
        <v>1861</v>
      </c>
      <c r="U2541" t="s">
        <v>1953</v>
      </c>
      <c r="V2541" t="s">
        <v>2813</v>
      </c>
    </row>
    <row r="2542" spans="1:22" ht="15.75" thickBot="1" x14ac:dyDescent="0.3">
      <c r="A2542" t="s">
        <v>4593</v>
      </c>
      <c r="B2542" t="s">
        <v>4593</v>
      </c>
      <c r="C2542" t="s">
        <v>4593</v>
      </c>
      <c r="D2542" t="s">
        <v>629</v>
      </c>
      <c r="E2542" s="248" t="s">
        <v>1853</v>
      </c>
      <c r="F2542" t="s">
        <v>620</v>
      </c>
      <c r="G2542" s="89" t="s">
        <v>2214</v>
      </c>
      <c r="H2542" s="315" t="s">
        <v>733</v>
      </c>
      <c r="I2542" s="308" t="str">
        <f t="shared" si="104"/>
        <v>Pesado de Passageiros M3: III : Gasóleo : E6</v>
      </c>
      <c r="J2542" s="237">
        <v>53</v>
      </c>
      <c r="K2542" s="253">
        <v>2022</v>
      </c>
      <c r="L2542" s="85">
        <v>38853.57</v>
      </c>
      <c r="M2542" s="85" t="s">
        <v>630</v>
      </c>
      <c r="N2542" s="85">
        <v>126725</v>
      </c>
      <c r="O2542" s="128">
        <f t="shared" si="105"/>
        <v>6716425</v>
      </c>
      <c r="P2542" s="89" t="s">
        <v>2685</v>
      </c>
      <c r="Q2542" t="s">
        <v>47</v>
      </c>
      <c r="R2542" s="214" t="s">
        <v>1869</v>
      </c>
      <c r="S2542" s="214" t="s">
        <v>1861</v>
      </c>
      <c r="U2542" t="s">
        <v>1953</v>
      </c>
      <c r="V2542" t="s">
        <v>2813</v>
      </c>
    </row>
    <row r="2543" spans="1:22" ht="15.75" thickBot="1" x14ac:dyDescent="0.3">
      <c r="A2543" t="s">
        <v>4593</v>
      </c>
      <c r="B2543" t="s">
        <v>4593</v>
      </c>
      <c r="C2543" t="s">
        <v>4593</v>
      </c>
      <c r="D2543" t="s">
        <v>629</v>
      </c>
      <c r="E2543" s="248" t="s">
        <v>1853</v>
      </c>
      <c r="F2543" t="s">
        <v>620</v>
      </c>
      <c r="G2543" s="89" t="s">
        <v>2211</v>
      </c>
      <c r="H2543" s="315" t="s">
        <v>732</v>
      </c>
      <c r="I2543" s="308" t="str">
        <f t="shared" si="104"/>
        <v>Pesado de Passageiros M3: III : Gasóleo : E3</v>
      </c>
      <c r="J2543" s="237">
        <v>50</v>
      </c>
      <c r="K2543" s="253">
        <v>2022</v>
      </c>
      <c r="L2543" s="85">
        <v>7558.05</v>
      </c>
      <c r="M2543" s="85" t="s">
        <v>630</v>
      </c>
      <c r="N2543" s="85">
        <v>22030</v>
      </c>
      <c r="O2543" s="128">
        <f t="shared" si="105"/>
        <v>1101500</v>
      </c>
      <c r="P2543" s="89" t="s">
        <v>2686</v>
      </c>
      <c r="Q2543" t="s">
        <v>47</v>
      </c>
      <c r="R2543" s="214" t="s">
        <v>1869</v>
      </c>
      <c r="S2543" s="214" t="s">
        <v>1861</v>
      </c>
      <c r="U2543" t="s">
        <v>1953</v>
      </c>
      <c r="V2543" t="s">
        <v>2813</v>
      </c>
    </row>
    <row r="2544" spans="1:22" ht="15.75" thickBot="1" x14ac:dyDescent="0.3">
      <c r="A2544" t="s">
        <v>4593</v>
      </c>
      <c r="B2544" t="s">
        <v>4593</v>
      </c>
      <c r="C2544" t="s">
        <v>4593</v>
      </c>
      <c r="D2544" t="s">
        <v>629</v>
      </c>
      <c r="E2544" s="248" t="s">
        <v>1853</v>
      </c>
      <c r="F2544" t="s">
        <v>620</v>
      </c>
      <c r="G2544" s="89" t="s">
        <v>2221</v>
      </c>
      <c r="H2544" s="315" t="s">
        <v>734</v>
      </c>
      <c r="I2544" s="308" t="str">
        <f t="shared" si="104"/>
        <v>Pesado de Passageiros M3: III : Gasóleo : E5</v>
      </c>
      <c r="J2544" s="237">
        <v>53</v>
      </c>
      <c r="K2544" s="253">
        <v>2022</v>
      </c>
      <c r="L2544" s="85">
        <v>45015.66</v>
      </c>
      <c r="M2544" s="85" t="s">
        <v>630</v>
      </c>
      <c r="N2544" s="85">
        <v>144026</v>
      </c>
      <c r="O2544" s="128">
        <f t="shared" si="105"/>
        <v>7633378</v>
      </c>
      <c r="P2544" s="89" t="s">
        <v>2687</v>
      </c>
      <c r="Q2544" t="s">
        <v>47</v>
      </c>
      <c r="R2544" s="214" t="s">
        <v>1869</v>
      </c>
      <c r="S2544" s="214" t="s">
        <v>1861</v>
      </c>
      <c r="U2544" t="s">
        <v>1953</v>
      </c>
      <c r="V2544" t="s">
        <v>2813</v>
      </c>
    </row>
    <row r="2545" spans="1:22" ht="15.75" thickBot="1" x14ac:dyDescent="0.3">
      <c r="A2545" t="s">
        <v>4593</v>
      </c>
      <c r="B2545" t="s">
        <v>4593</v>
      </c>
      <c r="C2545" t="s">
        <v>4593</v>
      </c>
      <c r="D2545" t="s">
        <v>629</v>
      </c>
      <c r="E2545" s="248" t="s">
        <v>1853</v>
      </c>
      <c r="F2545" t="s">
        <v>620</v>
      </c>
      <c r="G2545" s="89" t="s">
        <v>2211</v>
      </c>
      <c r="H2545" s="315" t="s">
        <v>734</v>
      </c>
      <c r="I2545" s="308" t="str">
        <f t="shared" si="104"/>
        <v>Pesado de Passageiros M3: III : Gasóleo : E5</v>
      </c>
      <c r="J2545" s="237">
        <v>83</v>
      </c>
      <c r="K2545" s="253">
        <v>2022</v>
      </c>
      <c r="L2545" s="85">
        <v>11656.98</v>
      </c>
      <c r="M2545" s="85" t="s">
        <v>630</v>
      </c>
      <c r="N2545" s="85">
        <v>38226</v>
      </c>
      <c r="O2545" s="128">
        <f t="shared" si="105"/>
        <v>3172758</v>
      </c>
      <c r="P2545" s="89" t="s">
        <v>2688</v>
      </c>
      <c r="Q2545" t="s">
        <v>47</v>
      </c>
      <c r="R2545" s="214" t="s">
        <v>1869</v>
      </c>
      <c r="S2545" s="214" t="s">
        <v>1861</v>
      </c>
      <c r="U2545" t="s">
        <v>1953</v>
      </c>
      <c r="V2545" t="s">
        <v>2813</v>
      </c>
    </row>
    <row r="2546" spans="1:22" ht="15.75" thickBot="1" x14ac:dyDescent="0.3">
      <c r="A2546" t="s">
        <v>4593</v>
      </c>
      <c r="B2546" t="s">
        <v>4593</v>
      </c>
      <c r="C2546" t="s">
        <v>4593</v>
      </c>
      <c r="D2546" t="s">
        <v>629</v>
      </c>
      <c r="E2546" s="248" t="s">
        <v>1853</v>
      </c>
      <c r="F2546" t="s">
        <v>620</v>
      </c>
      <c r="G2546" s="89" t="s">
        <v>2211</v>
      </c>
      <c r="H2546" s="315" t="s">
        <v>734</v>
      </c>
      <c r="I2546" s="308" t="str">
        <f t="shared" si="104"/>
        <v>Pesado de Passageiros M3: III : Gasóleo : E5</v>
      </c>
      <c r="J2546" s="237">
        <v>83</v>
      </c>
      <c r="K2546" s="253">
        <v>2022</v>
      </c>
      <c r="L2546" s="85">
        <v>12457.53</v>
      </c>
      <c r="M2546" s="85" t="s">
        <v>630</v>
      </c>
      <c r="N2546" s="85">
        <v>40922</v>
      </c>
      <c r="O2546" s="128">
        <f t="shared" si="105"/>
        <v>3396526</v>
      </c>
      <c r="P2546" s="89" t="s">
        <v>2689</v>
      </c>
      <c r="Q2546" t="s">
        <v>47</v>
      </c>
      <c r="R2546" s="214" t="s">
        <v>1869</v>
      </c>
      <c r="S2546" s="214" t="s">
        <v>1861</v>
      </c>
      <c r="U2546" t="s">
        <v>1953</v>
      </c>
      <c r="V2546" t="s">
        <v>2813</v>
      </c>
    </row>
    <row r="2547" spans="1:22" ht="15.75" thickBot="1" x14ac:dyDescent="0.3">
      <c r="A2547" t="s">
        <v>4593</v>
      </c>
      <c r="B2547" t="s">
        <v>4593</v>
      </c>
      <c r="C2547" t="s">
        <v>4593</v>
      </c>
      <c r="D2547" t="s">
        <v>629</v>
      </c>
      <c r="E2547" s="248" t="s">
        <v>1853</v>
      </c>
      <c r="F2547" t="s">
        <v>620</v>
      </c>
      <c r="G2547" s="89" t="s">
        <v>2211</v>
      </c>
      <c r="H2547" s="315" t="s">
        <v>734</v>
      </c>
      <c r="I2547" s="308" t="str">
        <f t="shared" si="104"/>
        <v>Pesado de Passageiros M3: III : Gasóleo : E5</v>
      </c>
      <c r="J2547" s="237">
        <v>83</v>
      </c>
      <c r="K2547" s="253">
        <v>2022</v>
      </c>
      <c r="L2547" s="85">
        <v>8198.86</v>
      </c>
      <c r="M2547" s="85" t="s">
        <v>630</v>
      </c>
      <c r="N2547" s="85">
        <v>25629</v>
      </c>
      <c r="O2547" s="128">
        <f t="shared" si="105"/>
        <v>2127207</v>
      </c>
      <c r="P2547" s="89" t="s">
        <v>2690</v>
      </c>
      <c r="Q2547" t="s">
        <v>47</v>
      </c>
      <c r="R2547" s="214" t="s">
        <v>1869</v>
      </c>
      <c r="S2547" s="214" t="s">
        <v>1861</v>
      </c>
      <c r="U2547" t="s">
        <v>1953</v>
      </c>
      <c r="V2547" t="s">
        <v>2813</v>
      </c>
    </row>
    <row r="2548" spans="1:22" ht="15.75" thickBot="1" x14ac:dyDescent="0.3">
      <c r="A2548" t="s">
        <v>4593</v>
      </c>
      <c r="B2548" t="s">
        <v>4593</v>
      </c>
      <c r="C2548" t="s">
        <v>4593</v>
      </c>
      <c r="D2548" t="s">
        <v>629</v>
      </c>
      <c r="E2548" s="248" t="s">
        <v>1853</v>
      </c>
      <c r="F2548" t="s">
        <v>620</v>
      </c>
      <c r="G2548" s="89" t="s">
        <v>2211</v>
      </c>
      <c r="H2548" s="315" t="s">
        <v>734</v>
      </c>
      <c r="I2548" s="308" t="str">
        <f t="shared" si="104"/>
        <v>Pesado de Passageiros M3: III : Gasóleo : E5</v>
      </c>
      <c r="J2548" s="237">
        <v>83</v>
      </c>
      <c r="K2548" s="253">
        <v>2022</v>
      </c>
      <c r="L2548" s="85">
        <v>10423.48</v>
      </c>
      <c r="M2548" s="85" t="s">
        <v>630</v>
      </c>
      <c r="N2548" s="85">
        <v>36591</v>
      </c>
      <c r="O2548" s="128">
        <f t="shared" si="105"/>
        <v>3037053</v>
      </c>
      <c r="P2548" s="89" t="s">
        <v>2691</v>
      </c>
      <c r="Q2548" t="s">
        <v>47</v>
      </c>
      <c r="R2548" s="214" t="s">
        <v>1869</v>
      </c>
      <c r="S2548" s="214" t="s">
        <v>1861</v>
      </c>
      <c r="U2548" t="s">
        <v>1953</v>
      </c>
      <c r="V2548" t="s">
        <v>2813</v>
      </c>
    </row>
    <row r="2549" spans="1:22" ht="15.75" thickBot="1" x14ac:dyDescent="0.3">
      <c r="A2549" t="s">
        <v>4593</v>
      </c>
      <c r="B2549" t="s">
        <v>4593</v>
      </c>
      <c r="C2549" t="s">
        <v>4593</v>
      </c>
      <c r="D2549" t="s">
        <v>629</v>
      </c>
      <c r="E2549" s="248" t="s">
        <v>1853</v>
      </c>
      <c r="F2549" t="s">
        <v>620</v>
      </c>
      <c r="G2549" s="89" t="s">
        <v>2211</v>
      </c>
      <c r="H2549" s="315" t="s">
        <v>734</v>
      </c>
      <c r="I2549" s="308" t="str">
        <f t="shared" si="104"/>
        <v>Pesado de Passageiros M3: III : Gasóleo : E5</v>
      </c>
      <c r="J2549" s="237">
        <v>83</v>
      </c>
      <c r="K2549" s="253">
        <v>2022</v>
      </c>
      <c r="L2549" s="85">
        <v>14463.2</v>
      </c>
      <c r="M2549" s="85" t="s">
        <v>630</v>
      </c>
      <c r="N2549" s="85">
        <v>47219</v>
      </c>
      <c r="O2549" s="128">
        <f t="shared" si="105"/>
        <v>3919177</v>
      </c>
      <c r="P2549" s="89" t="s">
        <v>2692</v>
      </c>
      <c r="Q2549" t="s">
        <v>47</v>
      </c>
      <c r="R2549" s="214" t="s">
        <v>1869</v>
      </c>
      <c r="S2549" s="214" t="s">
        <v>1861</v>
      </c>
      <c r="U2549" t="s">
        <v>1953</v>
      </c>
      <c r="V2549" t="s">
        <v>2813</v>
      </c>
    </row>
    <row r="2550" spans="1:22" ht="15.75" thickBot="1" x14ac:dyDescent="0.3">
      <c r="A2550" t="s">
        <v>4593</v>
      </c>
      <c r="B2550" t="s">
        <v>4593</v>
      </c>
      <c r="C2550" t="s">
        <v>4593</v>
      </c>
      <c r="D2550" t="s">
        <v>629</v>
      </c>
      <c r="E2550" s="248" t="s">
        <v>1853</v>
      </c>
      <c r="F2550" t="s">
        <v>620</v>
      </c>
      <c r="G2550" s="89" t="s">
        <v>2211</v>
      </c>
      <c r="H2550" s="315" t="s">
        <v>731</v>
      </c>
      <c r="I2550" s="308" t="str">
        <f t="shared" si="104"/>
        <v>Pesado de Passageiros M3: III : Gasóleo : E4</v>
      </c>
      <c r="J2550" s="237">
        <v>71</v>
      </c>
      <c r="K2550" s="253">
        <v>2022</v>
      </c>
      <c r="L2550" s="85">
        <v>13070.71</v>
      </c>
      <c r="M2550" s="85" t="s">
        <v>630</v>
      </c>
      <c r="N2550" s="85">
        <v>39755</v>
      </c>
      <c r="O2550" s="128">
        <f t="shared" si="105"/>
        <v>2822605</v>
      </c>
      <c r="P2550" s="89" t="s">
        <v>2693</v>
      </c>
      <c r="Q2550" t="s">
        <v>47</v>
      </c>
      <c r="R2550" s="214" t="s">
        <v>1869</v>
      </c>
      <c r="S2550" s="214" t="s">
        <v>1861</v>
      </c>
      <c r="U2550" t="s">
        <v>1953</v>
      </c>
      <c r="V2550" t="s">
        <v>2813</v>
      </c>
    </row>
    <row r="2551" spans="1:22" ht="15.75" thickBot="1" x14ac:dyDescent="0.3">
      <c r="A2551" t="s">
        <v>4593</v>
      </c>
      <c r="B2551" t="s">
        <v>4593</v>
      </c>
      <c r="C2551" t="s">
        <v>4593</v>
      </c>
      <c r="D2551" t="s">
        <v>629</v>
      </c>
      <c r="E2551" s="248" t="s">
        <v>1853</v>
      </c>
      <c r="F2551" t="s">
        <v>620</v>
      </c>
      <c r="G2551" s="89" t="s">
        <v>2214</v>
      </c>
      <c r="H2551" s="315" t="s">
        <v>733</v>
      </c>
      <c r="I2551" s="308" t="str">
        <f t="shared" si="104"/>
        <v>Pesado de Passageiros M3: III : Gasóleo : E6</v>
      </c>
      <c r="J2551" s="237">
        <v>23</v>
      </c>
      <c r="K2551" s="253">
        <v>2022</v>
      </c>
      <c r="L2551" s="85">
        <v>5792.76</v>
      </c>
      <c r="M2551" s="85" t="s">
        <v>630</v>
      </c>
      <c r="N2551" s="85">
        <v>39663</v>
      </c>
      <c r="O2551" s="128">
        <f t="shared" si="105"/>
        <v>912249</v>
      </c>
      <c r="P2551" s="89" t="s">
        <v>2694</v>
      </c>
      <c r="Q2551" t="s">
        <v>47</v>
      </c>
      <c r="R2551" s="214" t="s">
        <v>1869</v>
      </c>
      <c r="S2551" s="214" t="s">
        <v>1861</v>
      </c>
      <c r="U2551" t="s">
        <v>1953</v>
      </c>
      <c r="V2551" t="s">
        <v>2813</v>
      </c>
    </row>
    <row r="2552" spans="1:22" ht="15.75" thickBot="1" x14ac:dyDescent="0.3">
      <c r="A2552" t="s">
        <v>4593</v>
      </c>
      <c r="B2552" t="s">
        <v>4593</v>
      </c>
      <c r="C2552" t="s">
        <v>4593</v>
      </c>
      <c r="D2552" t="s">
        <v>629</v>
      </c>
      <c r="E2552" s="248" t="s">
        <v>1853</v>
      </c>
      <c r="F2552" t="s">
        <v>620</v>
      </c>
      <c r="G2552" s="89" t="s">
        <v>2214</v>
      </c>
      <c r="H2552" s="315" t="s">
        <v>733</v>
      </c>
      <c r="I2552" s="308" t="str">
        <f t="shared" si="104"/>
        <v>Pesado de Passageiros M3: III : Gasóleo : E6</v>
      </c>
      <c r="J2552" s="237">
        <v>23</v>
      </c>
      <c r="K2552" s="253">
        <v>2022</v>
      </c>
      <c r="L2552" s="85">
        <v>6382.43</v>
      </c>
      <c r="M2552" s="85" t="s">
        <v>630</v>
      </c>
      <c r="N2552" s="85">
        <v>35005</v>
      </c>
      <c r="O2552" s="128">
        <f t="shared" si="105"/>
        <v>805115</v>
      </c>
      <c r="P2552" s="89" t="s">
        <v>2695</v>
      </c>
      <c r="Q2552" t="s">
        <v>47</v>
      </c>
      <c r="R2552" s="214" t="s">
        <v>1869</v>
      </c>
      <c r="S2552" s="214" t="s">
        <v>1861</v>
      </c>
      <c r="U2552" t="s">
        <v>1953</v>
      </c>
      <c r="V2552" t="s">
        <v>2813</v>
      </c>
    </row>
    <row r="2553" spans="1:22" ht="15.75" thickBot="1" x14ac:dyDescent="0.3">
      <c r="A2553" t="s">
        <v>4593</v>
      </c>
      <c r="B2553" t="s">
        <v>4593</v>
      </c>
      <c r="C2553" t="s">
        <v>4593</v>
      </c>
      <c r="D2553" t="s">
        <v>629</v>
      </c>
      <c r="E2553" s="248" t="s">
        <v>1853</v>
      </c>
      <c r="F2553" t="s">
        <v>620</v>
      </c>
      <c r="G2553" s="89" t="s">
        <v>2203</v>
      </c>
      <c r="H2553" s="315" t="s">
        <v>733</v>
      </c>
      <c r="I2553" s="308" t="str">
        <f t="shared" si="104"/>
        <v>Pesado de Passageiros M3: III : Gasóleo : E6</v>
      </c>
      <c r="J2553" s="237">
        <v>39</v>
      </c>
      <c r="K2553" s="253">
        <v>2022</v>
      </c>
      <c r="L2553" s="85">
        <v>12334.31</v>
      </c>
      <c r="M2553" s="85" t="s">
        <v>630</v>
      </c>
      <c r="N2553" s="85">
        <v>40204</v>
      </c>
      <c r="O2553" s="128">
        <f t="shared" si="105"/>
        <v>1567956</v>
      </c>
      <c r="P2553" s="89" t="s">
        <v>2696</v>
      </c>
      <c r="Q2553" t="s">
        <v>47</v>
      </c>
      <c r="R2553" s="214" t="s">
        <v>1869</v>
      </c>
      <c r="S2553" s="214" t="s">
        <v>1861</v>
      </c>
      <c r="U2553" t="s">
        <v>1953</v>
      </c>
      <c r="V2553" t="s">
        <v>2813</v>
      </c>
    </row>
    <row r="2554" spans="1:22" ht="15.75" thickBot="1" x14ac:dyDescent="0.3">
      <c r="A2554" t="s">
        <v>4593</v>
      </c>
      <c r="B2554" t="s">
        <v>4593</v>
      </c>
      <c r="C2554" t="s">
        <v>4593</v>
      </c>
      <c r="D2554" t="s">
        <v>629</v>
      </c>
      <c r="E2554" s="248" t="s">
        <v>1853</v>
      </c>
      <c r="F2554" t="s">
        <v>620</v>
      </c>
      <c r="G2554" s="89" t="s">
        <v>2203</v>
      </c>
      <c r="H2554" s="315" t="s">
        <v>733</v>
      </c>
      <c r="I2554" s="308" t="str">
        <f t="shared" si="104"/>
        <v>Pesado de Passageiros M3: III : Gasóleo : E6</v>
      </c>
      <c r="J2554" s="237">
        <v>53</v>
      </c>
      <c r="K2554" s="253">
        <v>2022</v>
      </c>
      <c r="L2554" s="85">
        <v>34229.67</v>
      </c>
      <c r="M2554" s="85" t="s">
        <v>630</v>
      </c>
      <c r="N2554" s="85">
        <v>111192</v>
      </c>
      <c r="O2554" s="128">
        <f t="shared" si="105"/>
        <v>5893176</v>
      </c>
      <c r="P2554" s="89" t="s">
        <v>2697</v>
      </c>
      <c r="Q2554" t="s">
        <v>47</v>
      </c>
      <c r="R2554" s="214" t="s">
        <v>1869</v>
      </c>
      <c r="S2554" s="214" t="s">
        <v>1861</v>
      </c>
      <c r="U2554" t="s">
        <v>1953</v>
      </c>
      <c r="V2554" t="s">
        <v>2813</v>
      </c>
    </row>
    <row r="2555" spans="1:22" ht="15.75" thickBot="1" x14ac:dyDescent="0.3">
      <c r="A2555" t="s">
        <v>4593</v>
      </c>
      <c r="B2555" t="s">
        <v>4593</v>
      </c>
      <c r="C2555" t="s">
        <v>4593</v>
      </c>
      <c r="D2555" t="s">
        <v>629</v>
      </c>
      <c r="E2555" s="248" t="s">
        <v>1853</v>
      </c>
      <c r="F2555" t="s">
        <v>620</v>
      </c>
      <c r="G2555" s="89" t="s">
        <v>2203</v>
      </c>
      <c r="H2555" s="315" t="s">
        <v>733</v>
      </c>
      <c r="I2555" s="308" t="str">
        <f t="shared" si="104"/>
        <v>Pesado de Passageiros M3: III : Gasóleo : E6</v>
      </c>
      <c r="J2555" s="237">
        <v>53</v>
      </c>
      <c r="K2555" s="253">
        <v>2022</v>
      </c>
      <c r="L2555" s="85">
        <v>19195.18</v>
      </c>
      <c r="M2555" s="85" t="s">
        <v>630</v>
      </c>
      <c r="N2555" s="85">
        <v>66187</v>
      </c>
      <c r="O2555" s="128">
        <f t="shared" si="105"/>
        <v>3507911</v>
      </c>
      <c r="P2555" s="89" t="s">
        <v>2698</v>
      </c>
      <c r="Q2555" t="s">
        <v>47</v>
      </c>
      <c r="R2555" s="214" t="s">
        <v>1869</v>
      </c>
      <c r="S2555" s="214" t="s">
        <v>1861</v>
      </c>
      <c r="U2555" t="s">
        <v>1953</v>
      </c>
      <c r="V2555" t="s">
        <v>2813</v>
      </c>
    </row>
    <row r="2556" spans="1:22" ht="15.75" thickBot="1" x14ac:dyDescent="0.3">
      <c r="A2556" t="s">
        <v>4593</v>
      </c>
      <c r="B2556" t="s">
        <v>4593</v>
      </c>
      <c r="C2556" t="s">
        <v>4593</v>
      </c>
      <c r="D2556" t="s">
        <v>629</v>
      </c>
      <c r="E2556" s="248" t="s">
        <v>1853</v>
      </c>
      <c r="F2556" t="s">
        <v>620</v>
      </c>
      <c r="G2556" s="89" t="s">
        <v>2205</v>
      </c>
      <c r="H2556" s="315" t="s">
        <v>734</v>
      </c>
      <c r="I2556" s="308" t="str">
        <f t="shared" si="104"/>
        <v>Pesado de Passageiros M3: III : Gasóleo : E5</v>
      </c>
      <c r="J2556" s="237">
        <v>83</v>
      </c>
      <c r="K2556" s="253">
        <v>2022</v>
      </c>
      <c r="L2556" s="85">
        <v>13981.66</v>
      </c>
      <c r="M2556" s="85" t="s">
        <v>630</v>
      </c>
      <c r="N2556" s="85">
        <v>44744</v>
      </c>
      <c r="O2556" s="128">
        <f t="shared" si="105"/>
        <v>3713752</v>
      </c>
      <c r="P2556" s="89" t="s">
        <v>2699</v>
      </c>
      <c r="Q2556" t="s">
        <v>47</v>
      </c>
      <c r="R2556" s="214" t="s">
        <v>1869</v>
      </c>
      <c r="S2556" s="214" t="s">
        <v>1861</v>
      </c>
      <c r="U2556" t="s">
        <v>1953</v>
      </c>
      <c r="V2556" t="s">
        <v>2813</v>
      </c>
    </row>
    <row r="2557" spans="1:22" ht="15.75" thickBot="1" x14ac:dyDescent="0.3">
      <c r="A2557" t="s">
        <v>4593</v>
      </c>
      <c r="B2557" t="s">
        <v>4593</v>
      </c>
      <c r="C2557" t="s">
        <v>4593</v>
      </c>
      <c r="D2557" t="s">
        <v>629</v>
      </c>
      <c r="E2557" s="248" t="s">
        <v>1853</v>
      </c>
      <c r="F2557" t="s">
        <v>620</v>
      </c>
      <c r="G2557" s="89" t="s">
        <v>2212</v>
      </c>
      <c r="H2557" s="315" t="s">
        <v>734</v>
      </c>
      <c r="I2557" s="308" t="str">
        <f t="shared" si="104"/>
        <v>Pesado de Passageiros M3: III : Gasóleo : E5</v>
      </c>
      <c r="J2557" s="237">
        <v>85</v>
      </c>
      <c r="K2557" s="253">
        <v>2022</v>
      </c>
      <c r="L2557" s="85">
        <v>13113.69</v>
      </c>
      <c r="M2557" s="85" t="s">
        <v>630</v>
      </c>
      <c r="N2557" s="85">
        <v>42194</v>
      </c>
      <c r="O2557" s="128">
        <f t="shared" si="105"/>
        <v>3586490</v>
      </c>
      <c r="P2557" s="89" t="s">
        <v>2700</v>
      </c>
      <c r="Q2557" t="s">
        <v>47</v>
      </c>
      <c r="R2557" s="214" t="s">
        <v>1869</v>
      </c>
      <c r="S2557" s="214" t="s">
        <v>1861</v>
      </c>
      <c r="U2557" t="s">
        <v>1953</v>
      </c>
      <c r="V2557" t="s">
        <v>2813</v>
      </c>
    </row>
    <row r="2558" spans="1:22" ht="15.75" thickBot="1" x14ac:dyDescent="0.3">
      <c r="A2558" t="s">
        <v>4593</v>
      </c>
      <c r="B2558" t="s">
        <v>4593</v>
      </c>
      <c r="C2558" t="s">
        <v>4593</v>
      </c>
      <c r="D2558" t="s">
        <v>629</v>
      </c>
      <c r="E2558" s="248" t="s">
        <v>1853</v>
      </c>
      <c r="F2558" t="s">
        <v>620</v>
      </c>
      <c r="G2558" s="89" t="s">
        <v>2203</v>
      </c>
      <c r="H2558" s="315" t="s">
        <v>733</v>
      </c>
      <c r="I2558" s="308" t="str">
        <f t="shared" si="104"/>
        <v>Pesado de Passageiros M3: III : Gasóleo : E6</v>
      </c>
      <c r="J2558" s="237">
        <v>25</v>
      </c>
      <c r="K2558" s="253">
        <v>2022</v>
      </c>
      <c r="L2558" s="85">
        <v>7972.7</v>
      </c>
      <c r="M2558" s="85" t="s">
        <v>630</v>
      </c>
      <c r="N2558" s="85">
        <v>42324</v>
      </c>
      <c r="O2558" s="128">
        <f t="shared" si="105"/>
        <v>1058100</v>
      </c>
      <c r="P2558" s="89" t="s">
        <v>2701</v>
      </c>
      <c r="Q2558" t="s">
        <v>47</v>
      </c>
      <c r="R2558" s="214" t="s">
        <v>1869</v>
      </c>
      <c r="S2558" s="214" t="s">
        <v>1861</v>
      </c>
      <c r="U2558" t="s">
        <v>1953</v>
      </c>
      <c r="V2558" t="s">
        <v>2813</v>
      </c>
    </row>
    <row r="2559" spans="1:22" ht="15.75" thickBot="1" x14ac:dyDescent="0.3">
      <c r="A2559" t="s">
        <v>4593</v>
      </c>
      <c r="B2559" t="s">
        <v>4593</v>
      </c>
      <c r="C2559" t="s">
        <v>4593</v>
      </c>
      <c r="D2559" t="s">
        <v>629</v>
      </c>
      <c r="E2559" s="248" t="s">
        <v>1853</v>
      </c>
      <c r="F2559" t="s">
        <v>620</v>
      </c>
      <c r="G2559" s="89" t="s">
        <v>2204</v>
      </c>
      <c r="H2559" s="315" t="s">
        <v>734</v>
      </c>
      <c r="I2559" s="308" t="str">
        <f t="shared" si="104"/>
        <v>Pesado de Passageiros M3: III : Gasóleo : E5</v>
      </c>
      <c r="J2559" s="237">
        <v>71</v>
      </c>
      <c r="K2559" s="253">
        <v>2022</v>
      </c>
      <c r="L2559" s="85">
        <v>10982.94</v>
      </c>
      <c r="M2559" s="85" t="s">
        <v>630</v>
      </c>
      <c r="N2559" s="85">
        <v>35923</v>
      </c>
      <c r="O2559" s="128">
        <f t="shared" si="105"/>
        <v>2550533</v>
      </c>
      <c r="P2559" s="89" t="s">
        <v>2702</v>
      </c>
      <c r="Q2559" t="s">
        <v>47</v>
      </c>
      <c r="R2559" s="214" t="s">
        <v>1869</v>
      </c>
      <c r="S2559" s="214" t="s">
        <v>1861</v>
      </c>
      <c r="U2559" t="s">
        <v>1953</v>
      </c>
      <c r="V2559" t="s">
        <v>2813</v>
      </c>
    </row>
    <row r="2560" spans="1:22" ht="15.75" thickBot="1" x14ac:dyDescent="0.3">
      <c r="A2560" t="s">
        <v>4593</v>
      </c>
      <c r="B2560" t="s">
        <v>4593</v>
      </c>
      <c r="C2560" t="s">
        <v>4593</v>
      </c>
      <c r="D2560" t="s">
        <v>629</v>
      </c>
      <c r="E2560" s="248" t="s">
        <v>1853</v>
      </c>
      <c r="F2560" t="s">
        <v>620</v>
      </c>
      <c r="G2560" s="89" t="s">
        <v>2203</v>
      </c>
      <c r="H2560" s="315" t="s">
        <v>733</v>
      </c>
      <c r="I2560" s="308" t="str">
        <f t="shared" si="104"/>
        <v>Pesado de Passageiros M3: III : Gasóleo : E6</v>
      </c>
      <c r="J2560" s="237">
        <v>57</v>
      </c>
      <c r="K2560" s="253">
        <v>2022</v>
      </c>
      <c r="L2560" s="85">
        <v>14912.31</v>
      </c>
      <c r="M2560" s="85" t="s">
        <v>630</v>
      </c>
      <c r="N2560" s="85">
        <v>41550</v>
      </c>
      <c r="O2560" s="128">
        <f t="shared" si="105"/>
        <v>2368350</v>
      </c>
      <c r="P2560" s="89" t="s">
        <v>2703</v>
      </c>
      <c r="Q2560" t="s">
        <v>47</v>
      </c>
      <c r="R2560" s="214" t="s">
        <v>1869</v>
      </c>
      <c r="S2560" s="214" t="s">
        <v>1861</v>
      </c>
      <c r="U2560" t="s">
        <v>1953</v>
      </c>
      <c r="V2560" t="s">
        <v>2813</v>
      </c>
    </row>
    <row r="2561" spans="1:22" ht="15.75" thickBot="1" x14ac:dyDescent="0.3">
      <c r="A2561" t="s">
        <v>4593</v>
      </c>
      <c r="B2561" t="s">
        <v>4593</v>
      </c>
      <c r="C2561" t="s">
        <v>4593</v>
      </c>
      <c r="D2561" t="s">
        <v>629</v>
      </c>
      <c r="E2561" s="248" t="s">
        <v>1853</v>
      </c>
      <c r="F2561" t="s">
        <v>620</v>
      </c>
      <c r="G2561" s="89" t="s">
        <v>2203</v>
      </c>
      <c r="H2561" s="315" t="s">
        <v>733</v>
      </c>
      <c r="I2561" s="308" t="str">
        <f t="shared" si="104"/>
        <v>Pesado de Passageiros M3: III : Gasóleo : E6</v>
      </c>
      <c r="J2561" s="237">
        <v>57</v>
      </c>
      <c r="K2561" s="253">
        <v>2022</v>
      </c>
      <c r="L2561" s="85">
        <v>13666.54</v>
      </c>
      <c r="M2561" s="85" t="s">
        <v>630</v>
      </c>
      <c r="N2561" s="85">
        <v>38407</v>
      </c>
      <c r="O2561" s="128">
        <f t="shared" si="105"/>
        <v>2189199</v>
      </c>
      <c r="P2561" s="89" t="s">
        <v>2704</v>
      </c>
      <c r="Q2561" t="s">
        <v>47</v>
      </c>
      <c r="R2561" s="214" t="s">
        <v>1869</v>
      </c>
      <c r="S2561" s="214" t="s">
        <v>1861</v>
      </c>
      <c r="U2561" t="s">
        <v>1953</v>
      </c>
      <c r="V2561" t="s">
        <v>2813</v>
      </c>
    </row>
    <row r="2562" spans="1:22" ht="15.75" thickBot="1" x14ac:dyDescent="0.3">
      <c r="A2562" t="s">
        <v>4593</v>
      </c>
      <c r="B2562" t="s">
        <v>4593</v>
      </c>
      <c r="C2562" t="s">
        <v>4593</v>
      </c>
      <c r="D2562" t="s">
        <v>629</v>
      </c>
      <c r="E2562" s="248" t="s">
        <v>1853</v>
      </c>
      <c r="F2562" t="s">
        <v>620</v>
      </c>
      <c r="G2562" s="89" t="s">
        <v>2222</v>
      </c>
      <c r="H2562" s="315" t="s">
        <v>735</v>
      </c>
      <c r="I2562" s="308" t="str">
        <f t="shared" si="104"/>
        <v>Pesado de Passageiros M3: III : Gasóleo : E2</v>
      </c>
      <c r="J2562" s="237">
        <v>97</v>
      </c>
      <c r="K2562" s="253">
        <v>2022</v>
      </c>
      <c r="L2562" s="85">
        <v>17932.02</v>
      </c>
      <c r="M2562" s="85" t="s">
        <v>630</v>
      </c>
      <c r="N2562" s="85">
        <v>33529</v>
      </c>
      <c r="O2562" s="128">
        <f t="shared" si="105"/>
        <v>3252313</v>
      </c>
      <c r="P2562" s="89" t="s">
        <v>2705</v>
      </c>
      <c r="Q2562" t="s">
        <v>47</v>
      </c>
      <c r="R2562" s="214" t="s">
        <v>1869</v>
      </c>
      <c r="S2562" s="214" t="s">
        <v>1861</v>
      </c>
      <c r="U2562" t="s">
        <v>1953</v>
      </c>
      <c r="V2562" t="s">
        <v>2813</v>
      </c>
    </row>
    <row r="2563" spans="1:22" ht="15.75" thickBot="1" x14ac:dyDescent="0.3">
      <c r="A2563" t="s">
        <v>4593</v>
      </c>
      <c r="B2563" t="s">
        <v>4593</v>
      </c>
      <c r="C2563" t="s">
        <v>4593</v>
      </c>
      <c r="D2563" t="s">
        <v>629</v>
      </c>
      <c r="E2563" s="248" t="s">
        <v>1853</v>
      </c>
      <c r="F2563" t="s">
        <v>620</v>
      </c>
      <c r="G2563" s="89" t="s">
        <v>2220</v>
      </c>
      <c r="H2563" s="315" t="s">
        <v>732</v>
      </c>
      <c r="I2563" s="308" t="str">
        <f t="shared" si="104"/>
        <v>Pesado de Passageiros M3: III : Gasóleo : E3</v>
      </c>
      <c r="J2563" s="237">
        <v>74</v>
      </c>
      <c r="K2563" s="253">
        <v>2022</v>
      </c>
      <c r="L2563" s="85">
        <v>20015.009999999998</v>
      </c>
      <c r="M2563" s="85" t="s">
        <v>630</v>
      </c>
      <c r="N2563" s="85">
        <v>41461</v>
      </c>
      <c r="O2563" s="128">
        <f t="shared" si="105"/>
        <v>3068114</v>
      </c>
      <c r="P2563" s="89" t="s">
        <v>2706</v>
      </c>
      <c r="Q2563" t="s">
        <v>47</v>
      </c>
      <c r="R2563" s="214" t="s">
        <v>1869</v>
      </c>
      <c r="S2563" s="214" t="s">
        <v>1861</v>
      </c>
      <c r="U2563" t="s">
        <v>1953</v>
      </c>
      <c r="V2563" t="s">
        <v>2813</v>
      </c>
    </row>
    <row r="2564" spans="1:22" ht="15.75" thickBot="1" x14ac:dyDescent="0.3">
      <c r="A2564" t="s">
        <v>4593</v>
      </c>
      <c r="B2564" t="s">
        <v>4593</v>
      </c>
      <c r="C2564" t="s">
        <v>4593</v>
      </c>
      <c r="D2564" t="s">
        <v>629</v>
      </c>
      <c r="E2564" s="248" t="s">
        <v>1853</v>
      </c>
      <c r="F2564" t="s">
        <v>620</v>
      </c>
      <c r="G2564" s="89" t="s">
        <v>2211</v>
      </c>
      <c r="H2564" s="315" t="s">
        <v>731</v>
      </c>
      <c r="I2564" s="308" t="str">
        <f t="shared" ref="I2564:I2627" si="106">D2564&amp;": "&amp;E2564&amp;" : "&amp;F2564&amp;" : "&amp;H2564</f>
        <v>Pesado de Passageiros M3: III : Gasóleo : E4</v>
      </c>
      <c r="J2564" s="237">
        <v>62</v>
      </c>
      <c r="K2564" s="253">
        <v>2022</v>
      </c>
      <c r="L2564" s="85">
        <v>16168.04</v>
      </c>
      <c r="M2564" s="85" t="s">
        <v>630</v>
      </c>
      <c r="N2564" s="85">
        <v>40361</v>
      </c>
      <c r="O2564" s="128">
        <f t="shared" ref="O2564:O2627" si="107">N2564*J2564</f>
        <v>2502382</v>
      </c>
      <c r="P2564" s="89" t="s">
        <v>2707</v>
      </c>
      <c r="Q2564" t="s">
        <v>47</v>
      </c>
      <c r="R2564" s="214" t="s">
        <v>1869</v>
      </c>
      <c r="S2564" s="214" t="s">
        <v>1861</v>
      </c>
      <c r="U2564" t="s">
        <v>1953</v>
      </c>
      <c r="V2564" t="s">
        <v>2813</v>
      </c>
    </row>
    <row r="2565" spans="1:22" ht="15.75" thickBot="1" x14ac:dyDescent="0.3">
      <c r="A2565" t="s">
        <v>4593</v>
      </c>
      <c r="B2565" t="s">
        <v>4593</v>
      </c>
      <c r="C2565" t="s">
        <v>4593</v>
      </c>
      <c r="D2565" t="s">
        <v>629</v>
      </c>
      <c r="E2565" s="248" t="s">
        <v>1853</v>
      </c>
      <c r="F2565" t="s">
        <v>620</v>
      </c>
      <c r="G2565" s="89" t="s">
        <v>2211</v>
      </c>
      <c r="H2565" s="315" t="s">
        <v>731</v>
      </c>
      <c r="I2565" s="308" t="str">
        <f t="shared" si="106"/>
        <v>Pesado de Passageiros M3: III : Gasóleo : E4</v>
      </c>
      <c r="J2565" s="237">
        <v>62</v>
      </c>
      <c r="K2565" s="253">
        <v>2022</v>
      </c>
      <c r="L2565" s="85">
        <v>19209.560000000001</v>
      </c>
      <c r="M2565" s="85" t="s">
        <v>630</v>
      </c>
      <c r="N2565" s="85">
        <v>48976</v>
      </c>
      <c r="O2565" s="128">
        <f t="shared" si="107"/>
        <v>3036512</v>
      </c>
      <c r="P2565" s="89" t="s">
        <v>2708</v>
      </c>
      <c r="Q2565" t="s">
        <v>47</v>
      </c>
      <c r="R2565" s="214" t="s">
        <v>1869</v>
      </c>
      <c r="S2565" s="214" t="s">
        <v>1861</v>
      </c>
      <c r="U2565" t="s">
        <v>1953</v>
      </c>
      <c r="V2565" t="s">
        <v>2813</v>
      </c>
    </row>
    <row r="2566" spans="1:22" ht="15.75" thickBot="1" x14ac:dyDescent="0.3">
      <c r="A2566" t="s">
        <v>4593</v>
      </c>
      <c r="B2566" t="s">
        <v>4593</v>
      </c>
      <c r="C2566" t="s">
        <v>4593</v>
      </c>
      <c r="D2566" t="s">
        <v>629</v>
      </c>
      <c r="E2566" s="248" t="s">
        <v>1853</v>
      </c>
      <c r="F2566" t="s">
        <v>620</v>
      </c>
      <c r="G2566" s="89" t="s">
        <v>2211</v>
      </c>
      <c r="H2566" s="315" t="s">
        <v>731</v>
      </c>
      <c r="I2566" s="308" t="str">
        <f t="shared" si="106"/>
        <v>Pesado de Passageiros M3: III : Gasóleo : E4</v>
      </c>
      <c r="J2566" s="237">
        <v>52</v>
      </c>
      <c r="K2566" s="253">
        <v>2022</v>
      </c>
      <c r="L2566" s="85">
        <v>16468.400000000001</v>
      </c>
      <c r="M2566" s="85" t="s">
        <v>630</v>
      </c>
      <c r="N2566" s="85">
        <v>42612</v>
      </c>
      <c r="O2566" s="128">
        <f t="shared" si="107"/>
        <v>2215824</v>
      </c>
      <c r="P2566" s="89" t="s">
        <v>2709</v>
      </c>
      <c r="Q2566" t="s">
        <v>47</v>
      </c>
      <c r="R2566" s="214" t="s">
        <v>1869</v>
      </c>
      <c r="S2566" s="214" t="s">
        <v>1861</v>
      </c>
      <c r="U2566" t="s">
        <v>1953</v>
      </c>
      <c r="V2566" t="s">
        <v>2813</v>
      </c>
    </row>
    <row r="2567" spans="1:22" ht="15.75" thickBot="1" x14ac:dyDescent="0.3">
      <c r="A2567" t="s">
        <v>4593</v>
      </c>
      <c r="B2567" t="s">
        <v>4593</v>
      </c>
      <c r="C2567" t="s">
        <v>4593</v>
      </c>
      <c r="D2567" t="s">
        <v>629</v>
      </c>
      <c r="E2567" s="248" t="s">
        <v>1853</v>
      </c>
      <c r="F2567" t="s">
        <v>620</v>
      </c>
      <c r="G2567" s="89" t="s">
        <v>2223</v>
      </c>
      <c r="H2567" s="315" t="s">
        <v>734</v>
      </c>
      <c r="I2567" s="308" t="str">
        <f t="shared" si="106"/>
        <v>Pesado de Passageiros M3: III : Gasóleo : E5</v>
      </c>
      <c r="J2567" s="237">
        <v>75</v>
      </c>
      <c r="K2567" s="253">
        <v>2022</v>
      </c>
      <c r="L2567" s="85">
        <v>11470.78</v>
      </c>
      <c r="M2567" s="85" t="s">
        <v>630</v>
      </c>
      <c r="N2567" s="85">
        <v>38893</v>
      </c>
      <c r="O2567" s="128">
        <f t="shared" si="107"/>
        <v>2916975</v>
      </c>
      <c r="P2567" s="89" t="s">
        <v>2710</v>
      </c>
      <c r="Q2567" t="s">
        <v>47</v>
      </c>
      <c r="R2567" s="214" t="s">
        <v>1869</v>
      </c>
      <c r="S2567" s="214" t="s">
        <v>1861</v>
      </c>
      <c r="U2567" t="s">
        <v>1953</v>
      </c>
      <c r="V2567" t="s">
        <v>2813</v>
      </c>
    </row>
    <row r="2568" spans="1:22" ht="15.75" thickBot="1" x14ac:dyDescent="0.3">
      <c r="A2568" t="s">
        <v>4593</v>
      </c>
      <c r="B2568" t="s">
        <v>4593</v>
      </c>
      <c r="C2568" t="s">
        <v>4593</v>
      </c>
      <c r="D2568" t="s">
        <v>629</v>
      </c>
      <c r="E2568" s="248" t="s">
        <v>1853</v>
      </c>
      <c r="F2568" t="s">
        <v>620</v>
      </c>
      <c r="G2568" s="89" t="s">
        <v>2223</v>
      </c>
      <c r="H2568" s="315" t="s">
        <v>734</v>
      </c>
      <c r="I2568" s="308" t="str">
        <f t="shared" si="106"/>
        <v>Pesado de Passageiros M3: III : Gasóleo : E5</v>
      </c>
      <c r="J2568" s="237">
        <v>75</v>
      </c>
      <c r="K2568" s="253">
        <v>2022</v>
      </c>
      <c r="L2568" s="85">
        <v>10918.46</v>
      </c>
      <c r="M2568" s="85" t="s">
        <v>630</v>
      </c>
      <c r="N2568" s="85">
        <v>29256</v>
      </c>
      <c r="O2568" s="128">
        <f t="shared" si="107"/>
        <v>2194200</v>
      </c>
      <c r="P2568" s="89" t="s">
        <v>2711</v>
      </c>
      <c r="Q2568" t="s">
        <v>47</v>
      </c>
      <c r="R2568" s="214" t="s">
        <v>1869</v>
      </c>
      <c r="S2568" s="214" t="s">
        <v>1861</v>
      </c>
      <c r="U2568" t="s">
        <v>1953</v>
      </c>
      <c r="V2568" t="s">
        <v>2813</v>
      </c>
    </row>
    <row r="2569" spans="1:22" ht="15.75" thickBot="1" x14ac:dyDescent="0.3">
      <c r="A2569" t="s">
        <v>4593</v>
      </c>
      <c r="B2569" t="s">
        <v>4593</v>
      </c>
      <c r="C2569" t="s">
        <v>4593</v>
      </c>
      <c r="D2569" t="s">
        <v>629</v>
      </c>
      <c r="E2569" s="248" t="s">
        <v>1853</v>
      </c>
      <c r="F2569" t="s">
        <v>620</v>
      </c>
      <c r="G2569" s="89" t="s">
        <v>2223</v>
      </c>
      <c r="H2569" s="315" t="s">
        <v>734</v>
      </c>
      <c r="I2569" s="308" t="str">
        <f t="shared" si="106"/>
        <v>Pesado de Passageiros M3: III : Gasóleo : E5</v>
      </c>
      <c r="J2569" s="237">
        <v>75</v>
      </c>
      <c r="K2569" s="253">
        <v>2022</v>
      </c>
      <c r="L2569" s="85">
        <v>13039.54</v>
      </c>
      <c r="M2569" s="85" t="s">
        <v>630</v>
      </c>
      <c r="N2569" s="85">
        <v>40069</v>
      </c>
      <c r="O2569" s="128">
        <f t="shared" si="107"/>
        <v>3005175</v>
      </c>
      <c r="P2569" s="89" t="s">
        <v>2712</v>
      </c>
      <c r="Q2569" t="s">
        <v>47</v>
      </c>
      <c r="R2569" s="214" t="s">
        <v>1869</v>
      </c>
      <c r="S2569" s="214" t="s">
        <v>1861</v>
      </c>
      <c r="U2569" t="s">
        <v>1953</v>
      </c>
      <c r="V2569" t="s">
        <v>2813</v>
      </c>
    </row>
    <row r="2570" spans="1:22" ht="15.75" thickBot="1" x14ac:dyDescent="0.3">
      <c r="A2570" t="s">
        <v>4593</v>
      </c>
      <c r="B2570" t="s">
        <v>4593</v>
      </c>
      <c r="C2570" t="s">
        <v>4593</v>
      </c>
      <c r="D2570" t="s">
        <v>629</v>
      </c>
      <c r="E2570" s="248" t="s">
        <v>1853</v>
      </c>
      <c r="F2570" t="s">
        <v>620</v>
      </c>
      <c r="G2570" s="89" t="s">
        <v>2210</v>
      </c>
      <c r="H2570" s="315" t="s">
        <v>735</v>
      </c>
      <c r="I2570" s="308" t="str">
        <f t="shared" si="106"/>
        <v>Pesado de Passageiros M3: III : Gasóleo : E2</v>
      </c>
      <c r="J2570" s="237">
        <v>74</v>
      </c>
      <c r="K2570" s="253">
        <v>2022</v>
      </c>
      <c r="L2570" s="85">
        <v>14934.99</v>
      </c>
      <c r="M2570" s="85" t="s">
        <v>630</v>
      </c>
      <c r="N2570" s="85">
        <v>43021</v>
      </c>
      <c r="O2570" s="128">
        <f t="shared" si="107"/>
        <v>3183554</v>
      </c>
      <c r="P2570" s="89" t="s">
        <v>2713</v>
      </c>
      <c r="Q2570" t="s">
        <v>47</v>
      </c>
      <c r="R2570" s="214" t="s">
        <v>1869</v>
      </c>
      <c r="S2570" s="214" t="s">
        <v>1861</v>
      </c>
      <c r="U2570" t="s">
        <v>1953</v>
      </c>
      <c r="V2570" t="s">
        <v>2813</v>
      </c>
    </row>
    <row r="2571" spans="1:22" ht="15.75" thickBot="1" x14ac:dyDescent="0.3">
      <c r="A2571" t="s">
        <v>4593</v>
      </c>
      <c r="B2571" t="s">
        <v>4593</v>
      </c>
      <c r="C2571" t="s">
        <v>4593</v>
      </c>
      <c r="D2571" t="s">
        <v>629</v>
      </c>
      <c r="E2571" s="248" t="s">
        <v>1853</v>
      </c>
      <c r="F2571" t="s">
        <v>620</v>
      </c>
      <c r="G2571" s="89" t="s">
        <v>2207</v>
      </c>
      <c r="H2571" s="315" t="s">
        <v>735</v>
      </c>
      <c r="I2571" s="308" t="str">
        <f t="shared" si="106"/>
        <v>Pesado de Passageiros M3: III : Gasóleo : E2</v>
      </c>
      <c r="J2571" s="237">
        <v>74</v>
      </c>
      <c r="K2571" s="253">
        <v>2022</v>
      </c>
      <c r="L2571" s="85">
        <v>12134.96</v>
      </c>
      <c r="M2571" s="85" t="s">
        <v>630</v>
      </c>
      <c r="N2571" s="85">
        <v>36882</v>
      </c>
      <c r="O2571" s="128">
        <f t="shared" si="107"/>
        <v>2729268</v>
      </c>
      <c r="P2571" s="89" t="s">
        <v>2714</v>
      </c>
      <c r="Q2571" t="s">
        <v>47</v>
      </c>
      <c r="R2571" s="214" t="s">
        <v>1869</v>
      </c>
      <c r="S2571" s="214" t="s">
        <v>1861</v>
      </c>
      <c r="U2571" t="s">
        <v>1953</v>
      </c>
      <c r="V2571" t="s">
        <v>2813</v>
      </c>
    </row>
    <row r="2572" spans="1:22" ht="15.75" thickBot="1" x14ac:dyDescent="0.3">
      <c r="A2572" t="s">
        <v>4593</v>
      </c>
      <c r="B2572" t="s">
        <v>4593</v>
      </c>
      <c r="C2572" t="s">
        <v>4593</v>
      </c>
      <c r="D2572" t="s">
        <v>629</v>
      </c>
      <c r="E2572" s="248" t="s">
        <v>1853</v>
      </c>
      <c r="F2572" t="s">
        <v>620</v>
      </c>
      <c r="G2572" s="89" t="s">
        <v>2202</v>
      </c>
      <c r="H2572" s="315" t="s">
        <v>733</v>
      </c>
      <c r="I2572" s="308" t="str">
        <f t="shared" si="106"/>
        <v>Pesado de Passageiros M3: III : Gasóleo : E6</v>
      </c>
      <c r="J2572" s="237">
        <v>19</v>
      </c>
      <c r="K2572" s="253">
        <v>2022</v>
      </c>
      <c r="L2572" s="85">
        <v>0</v>
      </c>
      <c r="M2572" s="85" t="s">
        <v>630</v>
      </c>
      <c r="N2572" s="85">
        <v>0</v>
      </c>
      <c r="O2572" s="128">
        <f t="shared" si="107"/>
        <v>0</v>
      </c>
      <c r="P2572" s="89" t="s">
        <v>2715</v>
      </c>
      <c r="Q2572" t="s">
        <v>47</v>
      </c>
      <c r="R2572" s="214" t="s">
        <v>1869</v>
      </c>
      <c r="S2572" s="214" t="s">
        <v>1861</v>
      </c>
      <c r="U2572" t="s">
        <v>1953</v>
      </c>
      <c r="V2572" t="s">
        <v>2813</v>
      </c>
    </row>
    <row r="2573" spans="1:22" ht="15.75" thickBot="1" x14ac:dyDescent="0.3">
      <c r="A2573" t="s">
        <v>4593</v>
      </c>
      <c r="B2573" t="s">
        <v>4593</v>
      </c>
      <c r="C2573" t="s">
        <v>4593</v>
      </c>
      <c r="D2573" t="s">
        <v>629</v>
      </c>
      <c r="E2573" s="248" t="s">
        <v>1853</v>
      </c>
      <c r="F2573" t="s">
        <v>620</v>
      </c>
      <c r="G2573" s="89" t="s">
        <v>2220</v>
      </c>
      <c r="H2573" s="315" t="s">
        <v>732</v>
      </c>
      <c r="I2573" s="308" t="str">
        <f t="shared" si="106"/>
        <v>Pesado de Passageiros M3: III : Gasóleo : E3</v>
      </c>
      <c r="J2573" s="237">
        <v>55</v>
      </c>
      <c r="K2573" s="253">
        <v>2022</v>
      </c>
      <c r="L2573" s="85">
        <v>11458.75</v>
      </c>
      <c r="M2573" s="85" t="s">
        <v>630</v>
      </c>
      <c r="N2573" s="85">
        <v>27925</v>
      </c>
      <c r="O2573" s="128">
        <f t="shared" si="107"/>
        <v>1535875</v>
      </c>
      <c r="P2573" s="89" t="s">
        <v>2716</v>
      </c>
      <c r="Q2573" t="s">
        <v>47</v>
      </c>
      <c r="R2573" s="214" t="s">
        <v>1869</v>
      </c>
      <c r="S2573" s="214" t="s">
        <v>1861</v>
      </c>
      <c r="U2573" t="s">
        <v>1953</v>
      </c>
      <c r="V2573" t="s">
        <v>2813</v>
      </c>
    </row>
    <row r="2574" spans="1:22" ht="15.75" thickBot="1" x14ac:dyDescent="0.3">
      <c r="A2574" t="s">
        <v>4593</v>
      </c>
      <c r="B2574" t="s">
        <v>4593</v>
      </c>
      <c r="C2574" t="s">
        <v>4593</v>
      </c>
      <c r="D2574" t="s">
        <v>629</v>
      </c>
      <c r="E2574" s="248" t="s">
        <v>1853</v>
      </c>
      <c r="F2574" t="s">
        <v>620</v>
      </c>
      <c r="G2574" s="89" t="s">
        <v>2224</v>
      </c>
      <c r="H2574" s="315" t="s">
        <v>732</v>
      </c>
      <c r="I2574" s="308" t="str">
        <f t="shared" si="106"/>
        <v>Pesado de Passageiros M3: III : Gasóleo : E3</v>
      </c>
      <c r="J2574" s="237">
        <v>52</v>
      </c>
      <c r="K2574" s="253">
        <v>2022</v>
      </c>
      <c r="L2574" s="85">
        <v>2722.45</v>
      </c>
      <c r="M2574" s="85" t="s">
        <v>630</v>
      </c>
      <c r="N2574" s="85">
        <v>8392</v>
      </c>
      <c r="O2574" s="128">
        <f t="shared" si="107"/>
        <v>436384</v>
      </c>
      <c r="P2574" s="89" t="s">
        <v>2717</v>
      </c>
      <c r="Q2574" t="s">
        <v>47</v>
      </c>
      <c r="R2574" s="214" t="s">
        <v>1869</v>
      </c>
      <c r="S2574" s="214" t="s">
        <v>1861</v>
      </c>
      <c r="U2574" t="s">
        <v>1953</v>
      </c>
      <c r="V2574" t="s">
        <v>2813</v>
      </c>
    </row>
    <row r="2575" spans="1:22" ht="15.75" thickBot="1" x14ac:dyDescent="0.3">
      <c r="A2575" t="s">
        <v>4593</v>
      </c>
      <c r="B2575" t="s">
        <v>4593</v>
      </c>
      <c r="C2575" t="s">
        <v>4593</v>
      </c>
      <c r="D2575" t="s">
        <v>629</v>
      </c>
      <c r="E2575" s="248" t="s">
        <v>1853</v>
      </c>
      <c r="F2575" t="s">
        <v>620</v>
      </c>
      <c r="G2575" s="89" t="s">
        <v>2207</v>
      </c>
      <c r="H2575" s="315" t="s">
        <v>735</v>
      </c>
      <c r="I2575" s="308" t="str">
        <f t="shared" si="106"/>
        <v>Pesado de Passageiros M3: III : Gasóleo : E2</v>
      </c>
      <c r="J2575" s="237">
        <v>49</v>
      </c>
      <c r="K2575" s="253">
        <v>2022</v>
      </c>
      <c r="L2575" s="85">
        <v>4561.8900000000003</v>
      </c>
      <c r="M2575" s="85" t="s">
        <v>630</v>
      </c>
      <c r="N2575" s="85">
        <v>12773</v>
      </c>
      <c r="O2575" s="128">
        <f t="shared" si="107"/>
        <v>625877</v>
      </c>
      <c r="P2575" s="89" t="s">
        <v>2718</v>
      </c>
      <c r="Q2575" t="s">
        <v>47</v>
      </c>
      <c r="R2575" s="214" t="s">
        <v>1869</v>
      </c>
      <c r="S2575" s="214" t="s">
        <v>1861</v>
      </c>
      <c r="U2575" t="s">
        <v>1953</v>
      </c>
      <c r="V2575" t="s">
        <v>2813</v>
      </c>
    </row>
    <row r="2576" spans="1:22" ht="15.75" thickBot="1" x14ac:dyDescent="0.3">
      <c r="A2576" t="s">
        <v>4593</v>
      </c>
      <c r="B2576" t="s">
        <v>4593</v>
      </c>
      <c r="C2576" t="s">
        <v>4593</v>
      </c>
      <c r="D2576" t="s">
        <v>629</v>
      </c>
      <c r="E2576" s="248" t="s">
        <v>1853</v>
      </c>
      <c r="F2576" t="s">
        <v>620</v>
      </c>
      <c r="G2576" s="89" t="s">
        <v>2211</v>
      </c>
      <c r="H2576" s="315" t="s">
        <v>732</v>
      </c>
      <c r="I2576" s="308" t="str">
        <f t="shared" si="106"/>
        <v>Pesado de Passageiros M3: III : Gasóleo : E3</v>
      </c>
      <c r="J2576" s="237">
        <v>59</v>
      </c>
      <c r="K2576" s="253">
        <v>2022</v>
      </c>
      <c r="L2576" s="85">
        <v>15025.38</v>
      </c>
      <c r="M2576" s="85" t="s">
        <v>630</v>
      </c>
      <c r="N2576" s="85">
        <v>44467</v>
      </c>
      <c r="O2576" s="128">
        <f t="shared" si="107"/>
        <v>2623553</v>
      </c>
      <c r="P2576" s="89" t="s">
        <v>2719</v>
      </c>
      <c r="Q2576" t="s">
        <v>47</v>
      </c>
      <c r="R2576" s="214" t="s">
        <v>1869</v>
      </c>
      <c r="S2576" s="214" t="s">
        <v>1861</v>
      </c>
      <c r="U2576" t="s">
        <v>1953</v>
      </c>
      <c r="V2576" t="s">
        <v>2813</v>
      </c>
    </row>
    <row r="2577" spans="1:22" ht="15.75" thickBot="1" x14ac:dyDescent="0.3">
      <c r="A2577" t="s">
        <v>4593</v>
      </c>
      <c r="B2577" t="s">
        <v>4593</v>
      </c>
      <c r="C2577" t="s">
        <v>4593</v>
      </c>
      <c r="D2577" t="s">
        <v>629</v>
      </c>
      <c r="E2577" s="248" t="s">
        <v>1853</v>
      </c>
      <c r="F2577" t="s">
        <v>620</v>
      </c>
      <c r="G2577" s="89" t="s">
        <v>2211</v>
      </c>
      <c r="H2577" s="315" t="s">
        <v>732</v>
      </c>
      <c r="I2577" s="308" t="str">
        <f t="shared" si="106"/>
        <v>Pesado de Passageiros M3: III : Gasóleo : E3</v>
      </c>
      <c r="J2577" s="237">
        <v>59</v>
      </c>
      <c r="K2577" s="253">
        <v>2022</v>
      </c>
      <c r="L2577" s="85">
        <v>11753.39</v>
      </c>
      <c r="M2577" s="85" t="s">
        <v>630</v>
      </c>
      <c r="N2577" s="85">
        <v>36661</v>
      </c>
      <c r="O2577" s="128">
        <f t="shared" si="107"/>
        <v>2162999</v>
      </c>
      <c r="P2577" s="89" t="s">
        <v>2720</v>
      </c>
      <c r="Q2577" t="s">
        <v>47</v>
      </c>
      <c r="R2577" s="214" t="s">
        <v>1869</v>
      </c>
      <c r="S2577" s="214" t="s">
        <v>1861</v>
      </c>
      <c r="U2577" t="s">
        <v>1953</v>
      </c>
      <c r="V2577" t="s">
        <v>2813</v>
      </c>
    </row>
    <row r="2578" spans="1:22" ht="15.75" thickBot="1" x14ac:dyDescent="0.3">
      <c r="A2578" t="s">
        <v>4593</v>
      </c>
      <c r="B2578" t="s">
        <v>4593</v>
      </c>
      <c r="C2578" t="s">
        <v>4593</v>
      </c>
      <c r="D2578" t="s">
        <v>629</v>
      </c>
      <c r="E2578" s="248" t="s">
        <v>1853</v>
      </c>
      <c r="F2578" t="s">
        <v>620</v>
      </c>
      <c r="G2578" s="89" t="s">
        <v>2211</v>
      </c>
      <c r="H2578" s="315" t="s">
        <v>732</v>
      </c>
      <c r="I2578" s="308" t="str">
        <f t="shared" si="106"/>
        <v>Pesado de Passageiros M3: III : Gasóleo : E3</v>
      </c>
      <c r="J2578" s="237">
        <v>59</v>
      </c>
      <c r="K2578" s="253">
        <v>2022</v>
      </c>
      <c r="L2578" s="85">
        <v>13134.13</v>
      </c>
      <c r="M2578" s="85" t="s">
        <v>630</v>
      </c>
      <c r="N2578" s="85">
        <v>39692</v>
      </c>
      <c r="O2578" s="128">
        <f t="shared" si="107"/>
        <v>2341828</v>
      </c>
      <c r="P2578" s="89" t="s">
        <v>2721</v>
      </c>
      <c r="Q2578" t="s">
        <v>47</v>
      </c>
      <c r="R2578" s="214" t="s">
        <v>1869</v>
      </c>
      <c r="S2578" s="214" t="s">
        <v>1861</v>
      </c>
      <c r="U2578" t="s">
        <v>1953</v>
      </c>
      <c r="V2578" t="s">
        <v>2813</v>
      </c>
    </row>
    <row r="2579" spans="1:22" ht="15.75" thickBot="1" x14ac:dyDescent="0.3">
      <c r="A2579" t="s">
        <v>4593</v>
      </c>
      <c r="B2579" t="s">
        <v>4593</v>
      </c>
      <c r="C2579" t="s">
        <v>4593</v>
      </c>
      <c r="D2579" t="s">
        <v>629</v>
      </c>
      <c r="E2579" s="248" t="s">
        <v>1853</v>
      </c>
      <c r="F2579" t="s">
        <v>620</v>
      </c>
      <c r="G2579" s="89" t="s">
        <v>2211</v>
      </c>
      <c r="H2579" s="315" t="s">
        <v>732</v>
      </c>
      <c r="I2579" s="308" t="str">
        <f t="shared" si="106"/>
        <v>Pesado de Passageiros M3: III : Gasóleo : E3</v>
      </c>
      <c r="J2579" s="237">
        <v>59</v>
      </c>
      <c r="K2579" s="253">
        <v>2022</v>
      </c>
      <c r="L2579" s="85">
        <v>7859.01</v>
      </c>
      <c r="M2579" s="85" t="s">
        <v>630</v>
      </c>
      <c r="N2579" s="85">
        <v>23129</v>
      </c>
      <c r="O2579" s="128">
        <f t="shared" si="107"/>
        <v>1364611</v>
      </c>
      <c r="P2579" s="89" t="s">
        <v>2722</v>
      </c>
      <c r="Q2579" t="s">
        <v>47</v>
      </c>
      <c r="R2579" s="214" t="s">
        <v>1869</v>
      </c>
      <c r="S2579" s="214" t="s">
        <v>1861</v>
      </c>
      <c r="U2579" t="s">
        <v>1953</v>
      </c>
      <c r="V2579" t="s">
        <v>2813</v>
      </c>
    </row>
    <row r="2580" spans="1:22" ht="15.75" thickBot="1" x14ac:dyDescent="0.3">
      <c r="A2580" t="s">
        <v>4593</v>
      </c>
      <c r="B2580" t="s">
        <v>4593</v>
      </c>
      <c r="C2580" t="s">
        <v>4593</v>
      </c>
      <c r="D2580" t="s">
        <v>629</v>
      </c>
      <c r="E2580" s="248" t="s">
        <v>1853</v>
      </c>
      <c r="F2580" t="s">
        <v>620</v>
      </c>
      <c r="G2580" s="89" t="s">
        <v>2212</v>
      </c>
      <c r="H2580" s="315" t="s">
        <v>734</v>
      </c>
      <c r="I2580" s="308" t="str">
        <f t="shared" si="106"/>
        <v>Pesado de Passageiros M3: III : Gasóleo : E5</v>
      </c>
      <c r="J2580" s="237">
        <v>71</v>
      </c>
      <c r="K2580" s="253">
        <v>2022</v>
      </c>
      <c r="L2580" s="85">
        <v>14749.9</v>
      </c>
      <c r="M2580" s="85" t="s">
        <v>630</v>
      </c>
      <c r="N2580" s="85">
        <v>41160</v>
      </c>
      <c r="O2580" s="128">
        <f t="shared" si="107"/>
        <v>2922360</v>
      </c>
      <c r="P2580" s="89" t="s">
        <v>2723</v>
      </c>
      <c r="Q2580" t="s">
        <v>47</v>
      </c>
      <c r="R2580" s="214" t="s">
        <v>1869</v>
      </c>
      <c r="S2580" s="214" t="s">
        <v>1861</v>
      </c>
      <c r="U2580" t="s">
        <v>1953</v>
      </c>
      <c r="V2580" t="s">
        <v>2813</v>
      </c>
    </row>
    <row r="2581" spans="1:22" ht="15.75" thickBot="1" x14ac:dyDescent="0.3">
      <c r="A2581" t="s">
        <v>4593</v>
      </c>
      <c r="B2581" t="s">
        <v>4593</v>
      </c>
      <c r="C2581" t="s">
        <v>4593</v>
      </c>
      <c r="D2581" t="s">
        <v>629</v>
      </c>
      <c r="E2581" s="248" t="s">
        <v>1853</v>
      </c>
      <c r="F2581" t="s">
        <v>620</v>
      </c>
      <c r="G2581" s="89" t="s">
        <v>2212</v>
      </c>
      <c r="H2581" s="315" t="s">
        <v>734</v>
      </c>
      <c r="I2581" s="308" t="str">
        <f t="shared" si="106"/>
        <v>Pesado de Passageiros M3: III : Gasóleo : E5</v>
      </c>
      <c r="J2581" s="237">
        <v>71</v>
      </c>
      <c r="K2581" s="253">
        <v>2022</v>
      </c>
      <c r="L2581" s="85">
        <v>12929.16</v>
      </c>
      <c r="M2581" s="85" t="s">
        <v>630</v>
      </c>
      <c r="N2581" s="85">
        <v>41864</v>
      </c>
      <c r="O2581" s="128">
        <f t="shared" si="107"/>
        <v>2972344</v>
      </c>
      <c r="P2581" s="89" t="s">
        <v>2724</v>
      </c>
      <c r="Q2581" t="s">
        <v>47</v>
      </c>
      <c r="R2581" s="214" t="s">
        <v>1869</v>
      </c>
      <c r="S2581" s="214" t="s">
        <v>1861</v>
      </c>
      <c r="U2581" t="s">
        <v>1953</v>
      </c>
      <c r="V2581" t="s">
        <v>2813</v>
      </c>
    </row>
    <row r="2582" spans="1:22" ht="15.75" thickBot="1" x14ac:dyDescent="0.3">
      <c r="A2582" t="s">
        <v>4593</v>
      </c>
      <c r="B2582" t="s">
        <v>4593</v>
      </c>
      <c r="C2582" t="s">
        <v>4593</v>
      </c>
      <c r="D2582" t="s">
        <v>629</v>
      </c>
      <c r="E2582" s="248" t="s">
        <v>1853</v>
      </c>
      <c r="F2582" t="s">
        <v>620</v>
      </c>
      <c r="G2582" s="89" t="s">
        <v>2212</v>
      </c>
      <c r="H2582" s="315" t="s">
        <v>734</v>
      </c>
      <c r="I2582" s="308" t="str">
        <f t="shared" si="106"/>
        <v>Pesado de Passageiros M3: III : Gasóleo : E5</v>
      </c>
      <c r="J2582" s="237">
        <v>71</v>
      </c>
      <c r="K2582" s="253">
        <v>2022</v>
      </c>
      <c r="L2582" s="85">
        <v>7896.92</v>
      </c>
      <c r="M2582" s="85" t="s">
        <v>630</v>
      </c>
      <c r="N2582" s="85">
        <v>23585</v>
      </c>
      <c r="O2582" s="128">
        <f t="shared" si="107"/>
        <v>1674535</v>
      </c>
      <c r="P2582" s="89" t="s">
        <v>2725</v>
      </c>
      <c r="Q2582" t="s">
        <v>47</v>
      </c>
      <c r="R2582" s="214" t="s">
        <v>1869</v>
      </c>
      <c r="S2582" s="214" t="s">
        <v>1861</v>
      </c>
      <c r="U2582" t="s">
        <v>1953</v>
      </c>
      <c r="V2582" t="s">
        <v>2813</v>
      </c>
    </row>
    <row r="2583" spans="1:22" ht="15.75" thickBot="1" x14ac:dyDescent="0.3">
      <c r="A2583" t="s">
        <v>4593</v>
      </c>
      <c r="B2583" t="s">
        <v>4593</v>
      </c>
      <c r="C2583" t="s">
        <v>4593</v>
      </c>
      <c r="D2583" t="s">
        <v>629</v>
      </c>
      <c r="E2583" s="248" t="s">
        <v>1853</v>
      </c>
      <c r="F2583" t="s">
        <v>620</v>
      </c>
      <c r="G2583" s="89" t="s">
        <v>2207</v>
      </c>
      <c r="H2583" s="315" t="s">
        <v>735</v>
      </c>
      <c r="I2583" s="308" t="str">
        <f t="shared" si="106"/>
        <v>Pesado de Passageiros M3: III : Gasóleo : E2</v>
      </c>
      <c r="J2583" s="237">
        <v>66</v>
      </c>
      <c r="K2583" s="253">
        <v>2022</v>
      </c>
      <c r="L2583" s="85">
        <v>15554.99</v>
      </c>
      <c r="M2583" s="85" t="s">
        <v>630</v>
      </c>
      <c r="N2583" s="85">
        <v>44536</v>
      </c>
      <c r="O2583" s="128">
        <f t="shared" si="107"/>
        <v>2939376</v>
      </c>
      <c r="P2583" s="89" t="s">
        <v>2726</v>
      </c>
      <c r="Q2583" t="s">
        <v>47</v>
      </c>
      <c r="R2583" s="214" t="s">
        <v>1869</v>
      </c>
      <c r="S2583" s="214" t="s">
        <v>1861</v>
      </c>
      <c r="U2583" t="s">
        <v>1953</v>
      </c>
      <c r="V2583" t="s">
        <v>2813</v>
      </c>
    </row>
    <row r="2584" spans="1:22" ht="15.75" thickBot="1" x14ac:dyDescent="0.3">
      <c r="A2584" t="s">
        <v>4593</v>
      </c>
      <c r="B2584" t="s">
        <v>4593</v>
      </c>
      <c r="C2584" t="s">
        <v>4593</v>
      </c>
      <c r="D2584" t="s">
        <v>629</v>
      </c>
      <c r="E2584" s="248" t="s">
        <v>1853</v>
      </c>
      <c r="F2584" t="s">
        <v>620</v>
      </c>
      <c r="G2584" s="89" t="s">
        <v>2211</v>
      </c>
      <c r="H2584" s="315" t="s">
        <v>731</v>
      </c>
      <c r="I2584" s="308" t="str">
        <f t="shared" si="106"/>
        <v>Pesado de Passageiros M3: III : Gasóleo : E4</v>
      </c>
      <c r="J2584" s="237">
        <v>59</v>
      </c>
      <c r="K2584" s="253">
        <v>2022</v>
      </c>
      <c r="L2584" s="85">
        <v>14705.52</v>
      </c>
      <c r="M2584" s="85" t="s">
        <v>630</v>
      </c>
      <c r="N2584" s="85">
        <v>39146</v>
      </c>
      <c r="O2584" s="128">
        <f t="shared" si="107"/>
        <v>2309614</v>
      </c>
      <c r="P2584" s="89" t="s">
        <v>2727</v>
      </c>
      <c r="Q2584" t="s">
        <v>47</v>
      </c>
      <c r="R2584" s="214" t="s">
        <v>1869</v>
      </c>
      <c r="S2584" s="214" t="s">
        <v>1861</v>
      </c>
      <c r="U2584" t="s">
        <v>1953</v>
      </c>
      <c r="V2584" t="s">
        <v>2813</v>
      </c>
    </row>
    <row r="2585" spans="1:22" ht="15.75" thickBot="1" x14ac:dyDescent="0.3">
      <c r="A2585" t="s">
        <v>4593</v>
      </c>
      <c r="B2585" t="s">
        <v>4593</v>
      </c>
      <c r="C2585" t="s">
        <v>4593</v>
      </c>
      <c r="D2585" t="s">
        <v>629</v>
      </c>
      <c r="E2585" s="248" t="s">
        <v>1853</v>
      </c>
      <c r="F2585" t="s">
        <v>620</v>
      </c>
      <c r="G2585" s="89" t="s">
        <v>2211</v>
      </c>
      <c r="H2585" s="315" t="s">
        <v>731</v>
      </c>
      <c r="I2585" s="308" t="str">
        <f t="shared" si="106"/>
        <v>Pesado de Passageiros M3: III : Gasóleo : E4</v>
      </c>
      <c r="J2585" s="237">
        <v>55</v>
      </c>
      <c r="K2585" s="253">
        <v>2022</v>
      </c>
      <c r="L2585" s="85">
        <v>18804.66</v>
      </c>
      <c r="M2585" s="85" t="s">
        <v>630</v>
      </c>
      <c r="N2585" s="85">
        <v>53145</v>
      </c>
      <c r="O2585" s="128">
        <f t="shared" si="107"/>
        <v>2922975</v>
      </c>
      <c r="P2585" s="89" t="s">
        <v>2728</v>
      </c>
      <c r="Q2585" t="s">
        <v>47</v>
      </c>
      <c r="R2585" s="214" t="s">
        <v>1869</v>
      </c>
      <c r="S2585" s="214" t="s">
        <v>1861</v>
      </c>
      <c r="U2585" t="s">
        <v>1953</v>
      </c>
      <c r="V2585" t="s">
        <v>2813</v>
      </c>
    </row>
    <row r="2586" spans="1:22" ht="15.75" thickBot="1" x14ac:dyDescent="0.3">
      <c r="A2586" t="s">
        <v>4593</v>
      </c>
      <c r="B2586" t="s">
        <v>4593</v>
      </c>
      <c r="C2586" t="s">
        <v>4593</v>
      </c>
      <c r="D2586" t="s">
        <v>629</v>
      </c>
      <c r="E2586" s="248" t="s">
        <v>1853</v>
      </c>
      <c r="F2586" t="s">
        <v>620</v>
      </c>
      <c r="G2586" s="89" t="s">
        <v>2205</v>
      </c>
      <c r="H2586" s="315" t="s">
        <v>731</v>
      </c>
      <c r="I2586" s="308" t="str">
        <f t="shared" si="106"/>
        <v>Pesado de Passageiros M3: III : Gasóleo : E4</v>
      </c>
      <c r="J2586" s="237">
        <v>55</v>
      </c>
      <c r="K2586" s="253">
        <v>2022</v>
      </c>
      <c r="L2586" s="85">
        <v>15904.08</v>
      </c>
      <c r="M2586" s="85" t="s">
        <v>630</v>
      </c>
      <c r="N2586" s="85">
        <v>48575</v>
      </c>
      <c r="O2586" s="128">
        <f t="shared" si="107"/>
        <v>2671625</v>
      </c>
      <c r="P2586" s="89" t="s">
        <v>2729</v>
      </c>
      <c r="Q2586" t="s">
        <v>47</v>
      </c>
      <c r="R2586" s="214" t="s">
        <v>1869</v>
      </c>
      <c r="S2586" s="214" t="s">
        <v>1861</v>
      </c>
      <c r="U2586" t="s">
        <v>1953</v>
      </c>
      <c r="V2586" t="s">
        <v>2813</v>
      </c>
    </row>
    <row r="2587" spans="1:22" ht="15.75" thickBot="1" x14ac:dyDescent="0.3">
      <c r="A2587" t="s">
        <v>4593</v>
      </c>
      <c r="B2587" t="s">
        <v>4593</v>
      </c>
      <c r="C2587" t="s">
        <v>4593</v>
      </c>
      <c r="D2587" t="s">
        <v>629</v>
      </c>
      <c r="E2587" s="248" t="s">
        <v>1853</v>
      </c>
      <c r="F2587" t="s">
        <v>620</v>
      </c>
      <c r="G2587" s="89" t="s">
        <v>2225</v>
      </c>
      <c r="H2587" s="315" t="s">
        <v>734</v>
      </c>
      <c r="I2587" s="308" t="str">
        <f t="shared" si="106"/>
        <v>Pesado de Passageiros M3: III : Gasóleo : E5</v>
      </c>
      <c r="J2587" s="237">
        <v>71</v>
      </c>
      <c r="K2587" s="253">
        <v>2022</v>
      </c>
      <c r="L2587" s="85">
        <v>15112.17</v>
      </c>
      <c r="M2587" s="85" t="s">
        <v>630</v>
      </c>
      <c r="N2587" s="85">
        <v>46463</v>
      </c>
      <c r="O2587" s="128">
        <f t="shared" si="107"/>
        <v>3298873</v>
      </c>
      <c r="P2587" s="89" t="s">
        <v>2730</v>
      </c>
      <c r="Q2587" t="s">
        <v>47</v>
      </c>
      <c r="R2587" s="214" t="s">
        <v>1869</v>
      </c>
      <c r="S2587" s="214" t="s">
        <v>1861</v>
      </c>
      <c r="U2587" t="s">
        <v>1953</v>
      </c>
      <c r="V2587" t="s">
        <v>2813</v>
      </c>
    </row>
    <row r="2588" spans="1:22" ht="15.75" thickBot="1" x14ac:dyDescent="0.3">
      <c r="A2588" t="s">
        <v>4593</v>
      </c>
      <c r="B2588" t="s">
        <v>4593</v>
      </c>
      <c r="C2588" t="s">
        <v>4593</v>
      </c>
      <c r="D2588" t="s">
        <v>629</v>
      </c>
      <c r="E2588" s="248" t="s">
        <v>1853</v>
      </c>
      <c r="F2588" t="s">
        <v>620</v>
      </c>
      <c r="G2588" s="89" t="s">
        <v>2223</v>
      </c>
      <c r="H2588" s="315" t="s">
        <v>734</v>
      </c>
      <c r="I2588" s="308" t="str">
        <f t="shared" si="106"/>
        <v>Pesado de Passageiros M3: III : Gasóleo : E5</v>
      </c>
      <c r="J2588" s="237">
        <v>82</v>
      </c>
      <c r="K2588" s="253">
        <v>2022</v>
      </c>
      <c r="L2588" s="85">
        <v>15683.85</v>
      </c>
      <c r="M2588" s="85" t="s">
        <v>630</v>
      </c>
      <c r="N2588" s="85">
        <v>49263</v>
      </c>
      <c r="O2588" s="128">
        <f t="shared" si="107"/>
        <v>4039566</v>
      </c>
      <c r="P2588" s="89" t="s">
        <v>2731</v>
      </c>
      <c r="Q2588" t="s">
        <v>47</v>
      </c>
      <c r="R2588" s="214" t="s">
        <v>1869</v>
      </c>
      <c r="S2588" s="214" t="s">
        <v>1861</v>
      </c>
      <c r="U2588" t="s">
        <v>1953</v>
      </c>
      <c r="V2588" t="s">
        <v>2813</v>
      </c>
    </row>
    <row r="2589" spans="1:22" ht="15.75" thickBot="1" x14ac:dyDescent="0.3">
      <c r="A2589" t="s">
        <v>4593</v>
      </c>
      <c r="B2589" t="s">
        <v>4593</v>
      </c>
      <c r="C2589" t="s">
        <v>4593</v>
      </c>
      <c r="D2589" t="s">
        <v>629</v>
      </c>
      <c r="E2589" s="248" t="s">
        <v>1853</v>
      </c>
      <c r="F2589" t="s">
        <v>620</v>
      </c>
      <c r="G2589" s="89" t="s">
        <v>2223</v>
      </c>
      <c r="H2589" s="315" t="s">
        <v>734</v>
      </c>
      <c r="I2589" s="308" t="str">
        <f t="shared" si="106"/>
        <v>Pesado de Passageiros M3: III : Gasóleo : E5</v>
      </c>
      <c r="J2589" s="237">
        <v>82</v>
      </c>
      <c r="K2589" s="253">
        <v>2022</v>
      </c>
      <c r="L2589" s="85">
        <v>26510.3</v>
      </c>
      <c r="M2589" s="85" t="s">
        <v>630</v>
      </c>
      <c r="N2589" s="85">
        <v>83012</v>
      </c>
      <c r="O2589" s="128">
        <f t="shared" si="107"/>
        <v>6806984</v>
      </c>
      <c r="P2589" s="89" t="s">
        <v>2732</v>
      </c>
      <c r="Q2589" t="s">
        <v>47</v>
      </c>
      <c r="R2589" s="214" t="s">
        <v>1869</v>
      </c>
      <c r="S2589" s="214" t="s">
        <v>1861</v>
      </c>
      <c r="U2589" t="s">
        <v>1953</v>
      </c>
      <c r="V2589" t="s">
        <v>2813</v>
      </c>
    </row>
    <row r="2590" spans="1:22" ht="15.75" thickBot="1" x14ac:dyDescent="0.3">
      <c r="A2590" t="s">
        <v>4593</v>
      </c>
      <c r="B2590" t="s">
        <v>4593</v>
      </c>
      <c r="C2590" t="s">
        <v>4593</v>
      </c>
      <c r="D2590" t="s">
        <v>629</v>
      </c>
      <c r="E2590" s="248" t="s">
        <v>1853</v>
      </c>
      <c r="F2590" t="s">
        <v>620</v>
      </c>
      <c r="G2590" s="89" t="s">
        <v>2222</v>
      </c>
      <c r="H2590" s="315" t="s">
        <v>732</v>
      </c>
      <c r="I2590" s="308" t="str">
        <f t="shared" si="106"/>
        <v>Pesado de Passageiros M3: III : Gasóleo : E3</v>
      </c>
      <c r="J2590" s="237">
        <v>55</v>
      </c>
      <c r="K2590" s="253">
        <v>2022</v>
      </c>
      <c r="L2590" s="85">
        <v>12542</v>
      </c>
      <c r="M2590" s="85" t="s">
        <v>630</v>
      </c>
      <c r="N2590" s="85">
        <v>32239</v>
      </c>
      <c r="O2590" s="128">
        <f t="shared" si="107"/>
        <v>1773145</v>
      </c>
      <c r="P2590" s="89" t="s">
        <v>2733</v>
      </c>
      <c r="Q2590" t="s">
        <v>47</v>
      </c>
      <c r="R2590" s="214" t="s">
        <v>1869</v>
      </c>
      <c r="S2590" s="214" t="s">
        <v>1861</v>
      </c>
      <c r="U2590" t="s">
        <v>1953</v>
      </c>
      <c r="V2590" t="s">
        <v>2813</v>
      </c>
    </row>
    <row r="2591" spans="1:22" ht="15.75" thickBot="1" x14ac:dyDescent="0.3">
      <c r="A2591" t="s">
        <v>4593</v>
      </c>
      <c r="B2591" t="s">
        <v>4593</v>
      </c>
      <c r="C2591" t="s">
        <v>4593</v>
      </c>
      <c r="D2591" t="s">
        <v>629</v>
      </c>
      <c r="E2591" s="248" t="s">
        <v>1853</v>
      </c>
      <c r="F2591" t="s">
        <v>620</v>
      </c>
      <c r="G2591" s="89" t="s">
        <v>2223</v>
      </c>
      <c r="H2591" s="315" t="s">
        <v>734</v>
      </c>
      <c r="I2591" s="308" t="str">
        <f t="shared" si="106"/>
        <v>Pesado de Passageiros M3: III : Gasóleo : E5</v>
      </c>
      <c r="J2591" s="237">
        <v>54</v>
      </c>
      <c r="K2591" s="253">
        <v>2022</v>
      </c>
      <c r="L2591" s="85">
        <v>9617.1299999999992</v>
      </c>
      <c r="M2591" s="85" t="s">
        <v>630</v>
      </c>
      <c r="N2591" s="85">
        <v>28477</v>
      </c>
      <c r="O2591" s="128">
        <f t="shared" si="107"/>
        <v>1537758</v>
      </c>
      <c r="P2591" s="89" t="s">
        <v>2734</v>
      </c>
      <c r="Q2591" t="s">
        <v>47</v>
      </c>
      <c r="R2591" s="214" t="s">
        <v>1869</v>
      </c>
      <c r="S2591" s="214" t="s">
        <v>1861</v>
      </c>
      <c r="U2591" t="s">
        <v>1953</v>
      </c>
      <c r="V2591" t="s">
        <v>2813</v>
      </c>
    </row>
    <row r="2592" spans="1:22" ht="15.75" thickBot="1" x14ac:dyDescent="0.3">
      <c r="A2592" t="s">
        <v>4593</v>
      </c>
      <c r="B2592" t="s">
        <v>4593</v>
      </c>
      <c r="C2592" t="s">
        <v>4593</v>
      </c>
      <c r="D2592" t="s">
        <v>629</v>
      </c>
      <c r="E2592" s="248" t="s">
        <v>1853</v>
      </c>
      <c r="F2592" t="s">
        <v>620</v>
      </c>
      <c r="G2592" s="89" t="s">
        <v>2211</v>
      </c>
      <c r="H2592" s="315" t="s">
        <v>731</v>
      </c>
      <c r="I2592" s="308" t="str">
        <f t="shared" si="106"/>
        <v>Pesado de Passageiros M3: III : Gasóleo : E4</v>
      </c>
      <c r="J2592" s="237">
        <v>50</v>
      </c>
      <c r="K2592" s="253">
        <v>2022</v>
      </c>
      <c r="L2592" s="85">
        <v>16539.849999999999</v>
      </c>
      <c r="M2592" s="85" t="s">
        <v>630</v>
      </c>
      <c r="N2592" s="85">
        <v>53651</v>
      </c>
      <c r="O2592" s="128">
        <f t="shared" si="107"/>
        <v>2682550</v>
      </c>
      <c r="P2592" s="89" t="s">
        <v>2735</v>
      </c>
      <c r="Q2592" t="s">
        <v>47</v>
      </c>
      <c r="R2592" s="214" t="s">
        <v>1869</v>
      </c>
      <c r="S2592" s="214" t="s">
        <v>1861</v>
      </c>
      <c r="U2592" t="s">
        <v>1953</v>
      </c>
      <c r="V2592" t="s">
        <v>2813</v>
      </c>
    </row>
    <row r="2593" spans="1:22" ht="15.75" thickBot="1" x14ac:dyDescent="0.3">
      <c r="A2593" t="s">
        <v>4593</v>
      </c>
      <c r="B2593" t="s">
        <v>4593</v>
      </c>
      <c r="C2593" t="s">
        <v>4593</v>
      </c>
      <c r="D2593" t="s">
        <v>629</v>
      </c>
      <c r="E2593" s="248" t="s">
        <v>1853</v>
      </c>
      <c r="F2593" t="s">
        <v>620</v>
      </c>
      <c r="G2593" s="89" t="s">
        <v>2205</v>
      </c>
      <c r="H2593" s="315" t="s">
        <v>734</v>
      </c>
      <c r="I2593" s="308" t="str">
        <f t="shared" si="106"/>
        <v>Pesado de Passageiros M3: III : Gasóleo : E5</v>
      </c>
      <c r="J2593" s="237">
        <v>88</v>
      </c>
      <c r="K2593" s="253">
        <v>2022</v>
      </c>
      <c r="L2593" s="85">
        <v>13057.85</v>
      </c>
      <c r="M2593" s="85" t="s">
        <v>630</v>
      </c>
      <c r="N2593" s="85">
        <v>38419</v>
      </c>
      <c r="O2593" s="128">
        <f t="shared" si="107"/>
        <v>3380872</v>
      </c>
      <c r="P2593" s="89" t="s">
        <v>2736</v>
      </c>
      <c r="Q2593" t="s">
        <v>47</v>
      </c>
      <c r="R2593" s="214" t="s">
        <v>1869</v>
      </c>
      <c r="S2593" s="214" t="s">
        <v>1861</v>
      </c>
      <c r="U2593" t="s">
        <v>1953</v>
      </c>
      <c r="V2593" t="s">
        <v>2813</v>
      </c>
    </row>
    <row r="2594" spans="1:22" ht="15.75" thickBot="1" x14ac:dyDescent="0.3">
      <c r="A2594" t="s">
        <v>4593</v>
      </c>
      <c r="B2594" t="s">
        <v>4593</v>
      </c>
      <c r="C2594" t="s">
        <v>4593</v>
      </c>
      <c r="D2594" t="s">
        <v>629</v>
      </c>
      <c r="E2594" s="248" t="s">
        <v>1853</v>
      </c>
      <c r="F2594" t="s">
        <v>620</v>
      </c>
      <c r="G2594" s="89" t="s">
        <v>2205</v>
      </c>
      <c r="H2594" s="315" t="s">
        <v>734</v>
      </c>
      <c r="I2594" s="308" t="str">
        <f t="shared" si="106"/>
        <v>Pesado de Passageiros M3: III : Gasóleo : E5</v>
      </c>
      <c r="J2594" s="237">
        <v>81</v>
      </c>
      <c r="K2594" s="253">
        <v>2022</v>
      </c>
      <c r="L2594" s="85">
        <v>18763.37</v>
      </c>
      <c r="M2594" s="85" t="s">
        <v>630</v>
      </c>
      <c r="N2594" s="85">
        <v>57183</v>
      </c>
      <c r="O2594" s="128">
        <f t="shared" si="107"/>
        <v>4631823</v>
      </c>
      <c r="P2594" s="89" t="s">
        <v>2737</v>
      </c>
      <c r="Q2594" t="s">
        <v>47</v>
      </c>
      <c r="R2594" s="214" t="s">
        <v>1869</v>
      </c>
      <c r="S2594" s="214" t="s">
        <v>1861</v>
      </c>
      <c r="U2594" t="s">
        <v>1953</v>
      </c>
      <c r="V2594" t="s">
        <v>2813</v>
      </c>
    </row>
    <row r="2595" spans="1:22" ht="15.75" thickBot="1" x14ac:dyDescent="0.3">
      <c r="A2595" t="s">
        <v>4593</v>
      </c>
      <c r="B2595" t="s">
        <v>4593</v>
      </c>
      <c r="C2595" t="s">
        <v>4593</v>
      </c>
      <c r="D2595" t="s">
        <v>629</v>
      </c>
      <c r="E2595" s="248" t="s">
        <v>1853</v>
      </c>
      <c r="F2595" t="s">
        <v>620</v>
      </c>
      <c r="G2595" s="89" t="s">
        <v>2205</v>
      </c>
      <c r="H2595" s="315" t="s">
        <v>734</v>
      </c>
      <c r="I2595" s="308" t="str">
        <f t="shared" si="106"/>
        <v>Pesado de Passageiros M3: III : Gasóleo : E5</v>
      </c>
      <c r="J2595" s="237">
        <v>81</v>
      </c>
      <c r="K2595" s="253">
        <v>2022</v>
      </c>
      <c r="L2595" s="85">
        <v>12388.69</v>
      </c>
      <c r="M2595" s="85" t="s">
        <v>630</v>
      </c>
      <c r="N2595" s="85">
        <v>44357</v>
      </c>
      <c r="O2595" s="128">
        <f t="shared" si="107"/>
        <v>3592917</v>
      </c>
      <c r="P2595" s="89" t="s">
        <v>2738</v>
      </c>
      <c r="Q2595" t="s">
        <v>47</v>
      </c>
      <c r="R2595" s="214" t="s">
        <v>1869</v>
      </c>
      <c r="S2595" s="214" t="s">
        <v>1861</v>
      </c>
      <c r="U2595" t="s">
        <v>1953</v>
      </c>
      <c r="V2595" t="s">
        <v>2813</v>
      </c>
    </row>
    <row r="2596" spans="1:22" ht="15.75" thickBot="1" x14ac:dyDescent="0.3">
      <c r="A2596" t="s">
        <v>4593</v>
      </c>
      <c r="B2596" t="s">
        <v>4593</v>
      </c>
      <c r="C2596" t="s">
        <v>4593</v>
      </c>
      <c r="D2596" t="s">
        <v>629</v>
      </c>
      <c r="E2596" s="248" t="s">
        <v>1853</v>
      </c>
      <c r="F2596" t="s">
        <v>620</v>
      </c>
      <c r="G2596" s="89" t="s">
        <v>2205</v>
      </c>
      <c r="H2596" s="315" t="s">
        <v>731</v>
      </c>
      <c r="I2596" s="308" t="str">
        <f t="shared" si="106"/>
        <v>Pesado de Passageiros M3: III : Gasóleo : E4</v>
      </c>
      <c r="J2596" s="237">
        <v>55</v>
      </c>
      <c r="K2596" s="253">
        <v>2022</v>
      </c>
      <c r="L2596" s="85">
        <v>19612.490000000002</v>
      </c>
      <c r="M2596" s="85" t="s">
        <v>630</v>
      </c>
      <c r="N2596" s="85">
        <v>59463</v>
      </c>
      <c r="O2596" s="128">
        <f t="shared" si="107"/>
        <v>3270465</v>
      </c>
      <c r="P2596" s="89" t="s">
        <v>2739</v>
      </c>
      <c r="Q2596" t="s">
        <v>47</v>
      </c>
      <c r="R2596" s="214" t="s">
        <v>1869</v>
      </c>
      <c r="S2596" s="214" t="s">
        <v>1861</v>
      </c>
      <c r="U2596" t="s">
        <v>1953</v>
      </c>
      <c r="V2596" t="s">
        <v>2813</v>
      </c>
    </row>
    <row r="2597" spans="1:22" ht="15.75" thickBot="1" x14ac:dyDescent="0.3">
      <c r="A2597" t="s">
        <v>4593</v>
      </c>
      <c r="B2597" t="s">
        <v>4593</v>
      </c>
      <c r="C2597" t="s">
        <v>4593</v>
      </c>
      <c r="D2597" t="s">
        <v>629</v>
      </c>
      <c r="E2597" s="248" t="s">
        <v>1853</v>
      </c>
      <c r="F2597" t="s">
        <v>620</v>
      </c>
      <c r="G2597" s="89" t="s">
        <v>2223</v>
      </c>
      <c r="H2597" s="315" t="s">
        <v>734</v>
      </c>
      <c r="I2597" s="308" t="str">
        <f t="shared" si="106"/>
        <v>Pesado de Passageiros M3: III : Gasóleo : E5</v>
      </c>
      <c r="J2597" s="237">
        <v>55</v>
      </c>
      <c r="K2597" s="253">
        <v>2022</v>
      </c>
      <c r="L2597" s="85">
        <v>24332.44</v>
      </c>
      <c r="M2597" s="85" t="s">
        <v>630</v>
      </c>
      <c r="N2597" s="85">
        <v>76765</v>
      </c>
      <c r="O2597" s="128">
        <f t="shared" si="107"/>
        <v>4222075</v>
      </c>
      <c r="P2597" s="89" t="s">
        <v>2740</v>
      </c>
      <c r="Q2597" t="s">
        <v>47</v>
      </c>
      <c r="R2597" s="214" t="s">
        <v>1869</v>
      </c>
      <c r="S2597" s="214" t="s">
        <v>1861</v>
      </c>
      <c r="U2597" t="s">
        <v>1953</v>
      </c>
      <c r="V2597" t="s">
        <v>2813</v>
      </c>
    </row>
    <row r="2598" spans="1:22" ht="15.75" thickBot="1" x14ac:dyDescent="0.3">
      <c r="A2598" t="s">
        <v>4593</v>
      </c>
      <c r="B2598" t="s">
        <v>4593</v>
      </c>
      <c r="C2598" t="s">
        <v>4593</v>
      </c>
      <c r="D2598" t="s">
        <v>629</v>
      </c>
      <c r="E2598" s="248" t="s">
        <v>1853</v>
      </c>
      <c r="F2598" t="s">
        <v>620</v>
      </c>
      <c r="G2598" s="89" t="s">
        <v>2221</v>
      </c>
      <c r="H2598" s="315" t="s">
        <v>734</v>
      </c>
      <c r="I2598" s="308" t="str">
        <f t="shared" si="106"/>
        <v>Pesado de Passageiros M3: III : Gasóleo : E5</v>
      </c>
      <c r="J2598" s="237">
        <v>53</v>
      </c>
      <c r="K2598" s="253">
        <v>2022</v>
      </c>
      <c r="L2598" s="85">
        <v>36934.15</v>
      </c>
      <c r="M2598" s="85" t="s">
        <v>630</v>
      </c>
      <c r="N2598" s="85">
        <v>118703</v>
      </c>
      <c r="O2598" s="128">
        <f t="shared" si="107"/>
        <v>6291259</v>
      </c>
      <c r="P2598" s="89" t="s">
        <v>2741</v>
      </c>
      <c r="Q2598" t="s">
        <v>47</v>
      </c>
      <c r="R2598" s="214" t="s">
        <v>1869</v>
      </c>
      <c r="S2598" s="214" t="s">
        <v>1861</v>
      </c>
      <c r="U2598" t="s">
        <v>1953</v>
      </c>
      <c r="V2598" t="s">
        <v>2813</v>
      </c>
    </row>
    <row r="2599" spans="1:22" ht="15.75" thickBot="1" x14ac:dyDescent="0.3">
      <c r="A2599" t="s">
        <v>4593</v>
      </c>
      <c r="B2599" t="s">
        <v>4593</v>
      </c>
      <c r="C2599" t="s">
        <v>4593</v>
      </c>
      <c r="D2599" t="s">
        <v>629</v>
      </c>
      <c r="E2599" s="248" t="s">
        <v>1853</v>
      </c>
      <c r="F2599" t="s">
        <v>620</v>
      </c>
      <c r="G2599" s="89" t="s">
        <v>2221</v>
      </c>
      <c r="H2599" s="315" t="s">
        <v>734</v>
      </c>
      <c r="I2599" s="308" t="str">
        <f t="shared" si="106"/>
        <v>Pesado de Passageiros M3: III : Gasóleo : E5</v>
      </c>
      <c r="J2599" s="237">
        <v>53</v>
      </c>
      <c r="K2599" s="253">
        <v>2022</v>
      </c>
      <c r="L2599" s="85">
        <v>45025.59</v>
      </c>
      <c r="M2599" s="85" t="s">
        <v>630</v>
      </c>
      <c r="N2599" s="85">
        <v>145532</v>
      </c>
      <c r="O2599" s="128">
        <f t="shared" si="107"/>
        <v>7713196</v>
      </c>
      <c r="P2599" s="89" t="s">
        <v>2742</v>
      </c>
      <c r="Q2599" t="s">
        <v>47</v>
      </c>
      <c r="R2599" s="214" t="s">
        <v>1869</v>
      </c>
      <c r="S2599" s="214" t="s">
        <v>1861</v>
      </c>
      <c r="U2599" t="s">
        <v>1953</v>
      </c>
      <c r="V2599" t="s">
        <v>2813</v>
      </c>
    </row>
    <row r="2600" spans="1:22" ht="15.75" thickBot="1" x14ac:dyDescent="0.3">
      <c r="A2600" t="s">
        <v>4593</v>
      </c>
      <c r="B2600" t="s">
        <v>4593</v>
      </c>
      <c r="C2600" t="s">
        <v>4593</v>
      </c>
      <c r="D2600" t="s">
        <v>629</v>
      </c>
      <c r="E2600" s="248" t="s">
        <v>1853</v>
      </c>
      <c r="F2600" t="s">
        <v>620</v>
      </c>
      <c r="G2600" s="89" t="s">
        <v>2221</v>
      </c>
      <c r="H2600" s="315" t="s">
        <v>734</v>
      </c>
      <c r="I2600" s="308" t="str">
        <f t="shared" si="106"/>
        <v>Pesado de Passageiros M3: III : Gasóleo : E5</v>
      </c>
      <c r="J2600" s="237">
        <v>53</v>
      </c>
      <c r="K2600" s="253">
        <v>2022</v>
      </c>
      <c r="L2600" s="85">
        <v>43340.18</v>
      </c>
      <c r="M2600" s="85" t="s">
        <v>630</v>
      </c>
      <c r="N2600" s="85">
        <v>144320</v>
      </c>
      <c r="O2600" s="128">
        <f t="shared" si="107"/>
        <v>7648960</v>
      </c>
      <c r="P2600" s="89" t="s">
        <v>2743</v>
      </c>
      <c r="Q2600" t="s">
        <v>47</v>
      </c>
      <c r="R2600" s="214" t="s">
        <v>1869</v>
      </c>
      <c r="S2600" s="214" t="s">
        <v>1861</v>
      </c>
      <c r="U2600" t="s">
        <v>1953</v>
      </c>
      <c r="V2600" t="s">
        <v>2813</v>
      </c>
    </row>
    <row r="2601" spans="1:22" ht="15.75" thickBot="1" x14ac:dyDescent="0.3">
      <c r="A2601" t="s">
        <v>4593</v>
      </c>
      <c r="B2601" t="s">
        <v>4593</v>
      </c>
      <c r="C2601" t="s">
        <v>4593</v>
      </c>
      <c r="D2601" t="s">
        <v>629</v>
      </c>
      <c r="E2601" s="248" t="s">
        <v>1853</v>
      </c>
      <c r="F2601" t="s">
        <v>620</v>
      </c>
      <c r="G2601" s="89" t="s">
        <v>2202</v>
      </c>
      <c r="H2601" s="315" t="s">
        <v>733</v>
      </c>
      <c r="I2601" s="308" t="str">
        <f t="shared" si="106"/>
        <v>Pesado de Passageiros M3: III : Gasóleo : E6</v>
      </c>
      <c r="J2601" s="237">
        <v>53</v>
      </c>
      <c r="K2601" s="253">
        <v>2022</v>
      </c>
      <c r="L2601" s="85">
        <v>45818.55</v>
      </c>
      <c r="M2601" s="85" t="s">
        <v>630</v>
      </c>
      <c r="N2601" s="85">
        <v>170649</v>
      </c>
      <c r="O2601" s="128">
        <f t="shared" si="107"/>
        <v>9044397</v>
      </c>
      <c r="P2601" s="89" t="s">
        <v>2744</v>
      </c>
      <c r="Q2601" t="s">
        <v>47</v>
      </c>
      <c r="R2601" s="214" t="s">
        <v>1869</v>
      </c>
      <c r="S2601" s="214" t="s">
        <v>1861</v>
      </c>
      <c r="U2601" t="s">
        <v>1953</v>
      </c>
      <c r="V2601" t="s">
        <v>2813</v>
      </c>
    </row>
    <row r="2602" spans="1:22" ht="15.75" thickBot="1" x14ac:dyDescent="0.3">
      <c r="A2602" t="s">
        <v>4593</v>
      </c>
      <c r="B2602" t="s">
        <v>4593</v>
      </c>
      <c r="C2602" t="s">
        <v>4593</v>
      </c>
      <c r="D2602" t="s">
        <v>629</v>
      </c>
      <c r="E2602" s="248" t="s">
        <v>1853</v>
      </c>
      <c r="F2602" t="s">
        <v>620</v>
      </c>
      <c r="G2602" s="89" t="s">
        <v>2202</v>
      </c>
      <c r="H2602" s="315" t="s">
        <v>733</v>
      </c>
      <c r="I2602" s="308" t="str">
        <f t="shared" si="106"/>
        <v>Pesado de Passageiros M3: III : Gasóleo : E6</v>
      </c>
      <c r="J2602" s="237">
        <v>53</v>
      </c>
      <c r="K2602" s="253">
        <v>2022</v>
      </c>
      <c r="L2602" s="85">
        <v>44607.15</v>
      </c>
      <c r="M2602" s="85" t="s">
        <v>630</v>
      </c>
      <c r="N2602" s="85">
        <v>163886</v>
      </c>
      <c r="O2602" s="128">
        <f t="shared" si="107"/>
        <v>8685958</v>
      </c>
      <c r="P2602" s="89" t="s">
        <v>2745</v>
      </c>
      <c r="Q2602" t="s">
        <v>47</v>
      </c>
      <c r="R2602" s="214" t="s">
        <v>1869</v>
      </c>
      <c r="S2602" s="214" t="s">
        <v>1861</v>
      </c>
      <c r="U2602" t="s">
        <v>1953</v>
      </c>
      <c r="V2602" t="s">
        <v>2813</v>
      </c>
    </row>
    <row r="2603" spans="1:22" ht="15.75" thickBot="1" x14ac:dyDescent="0.3">
      <c r="A2603" t="s">
        <v>4593</v>
      </c>
      <c r="B2603" t="s">
        <v>4593</v>
      </c>
      <c r="C2603" t="s">
        <v>4593</v>
      </c>
      <c r="D2603" t="s">
        <v>629</v>
      </c>
      <c r="E2603" s="248" t="s">
        <v>1853</v>
      </c>
      <c r="F2603" t="s">
        <v>620</v>
      </c>
      <c r="G2603" s="89" t="s">
        <v>2202</v>
      </c>
      <c r="H2603" s="315" t="s">
        <v>733</v>
      </c>
      <c r="I2603" s="308" t="str">
        <f t="shared" si="106"/>
        <v>Pesado de Passageiros M3: III : Gasóleo : E6</v>
      </c>
      <c r="J2603" s="237">
        <v>53</v>
      </c>
      <c r="K2603" s="253">
        <v>2022</v>
      </c>
      <c r="L2603" s="85">
        <v>46524.98</v>
      </c>
      <c r="M2603" s="85" t="s">
        <v>630</v>
      </c>
      <c r="N2603" s="85">
        <v>172319</v>
      </c>
      <c r="O2603" s="128">
        <f t="shared" si="107"/>
        <v>9132907</v>
      </c>
      <c r="P2603" s="89" t="s">
        <v>2746</v>
      </c>
      <c r="Q2603" t="s">
        <v>47</v>
      </c>
      <c r="R2603" s="214" t="s">
        <v>1869</v>
      </c>
      <c r="S2603" s="214" t="s">
        <v>1861</v>
      </c>
      <c r="U2603" t="s">
        <v>1953</v>
      </c>
      <c r="V2603" t="s">
        <v>2813</v>
      </c>
    </row>
    <row r="2604" spans="1:22" ht="15.75" thickBot="1" x14ac:dyDescent="0.3">
      <c r="A2604" t="s">
        <v>4593</v>
      </c>
      <c r="B2604" t="s">
        <v>4593</v>
      </c>
      <c r="C2604" t="s">
        <v>4593</v>
      </c>
      <c r="D2604" t="s">
        <v>629</v>
      </c>
      <c r="E2604" s="248" t="s">
        <v>1853</v>
      </c>
      <c r="F2604" t="s">
        <v>620</v>
      </c>
      <c r="G2604" s="89" t="s">
        <v>2202</v>
      </c>
      <c r="H2604" s="315" t="s">
        <v>733</v>
      </c>
      <c r="I2604" s="308" t="str">
        <f t="shared" si="106"/>
        <v>Pesado de Passageiros M3: III : Gasóleo : E6</v>
      </c>
      <c r="J2604" s="237">
        <v>53</v>
      </c>
      <c r="K2604" s="253">
        <v>2022</v>
      </c>
      <c r="L2604" s="85">
        <v>13618.35</v>
      </c>
      <c r="M2604" s="85" t="s">
        <v>630</v>
      </c>
      <c r="N2604" s="85">
        <v>46457</v>
      </c>
      <c r="O2604" s="128">
        <f t="shared" si="107"/>
        <v>2462221</v>
      </c>
      <c r="P2604" s="89" t="s">
        <v>2747</v>
      </c>
      <c r="Q2604" t="s">
        <v>47</v>
      </c>
      <c r="R2604" s="214" t="s">
        <v>1869</v>
      </c>
      <c r="S2604" s="214" t="s">
        <v>1861</v>
      </c>
      <c r="U2604" t="s">
        <v>1953</v>
      </c>
      <c r="V2604" t="s">
        <v>2813</v>
      </c>
    </row>
    <row r="2605" spans="1:22" ht="15.75" thickBot="1" x14ac:dyDescent="0.3">
      <c r="A2605" t="s">
        <v>4593</v>
      </c>
      <c r="B2605" t="s">
        <v>4593</v>
      </c>
      <c r="C2605" t="s">
        <v>4593</v>
      </c>
      <c r="D2605" t="s">
        <v>629</v>
      </c>
      <c r="E2605" s="248" t="s">
        <v>1853</v>
      </c>
      <c r="F2605" t="s">
        <v>620</v>
      </c>
      <c r="G2605" s="89" t="s">
        <v>2204</v>
      </c>
      <c r="H2605" s="315" t="s">
        <v>731</v>
      </c>
      <c r="I2605" s="308" t="str">
        <f t="shared" si="106"/>
        <v>Pesado de Passageiros M3: III : Gasóleo : E4</v>
      </c>
      <c r="J2605" s="237">
        <v>73</v>
      </c>
      <c r="K2605" s="253">
        <v>2022</v>
      </c>
      <c r="L2605" s="85">
        <v>9429.7099999999991</v>
      </c>
      <c r="M2605" s="85" t="s">
        <v>630</v>
      </c>
      <c r="N2605" s="85">
        <v>22012</v>
      </c>
      <c r="O2605" s="128">
        <f t="shared" si="107"/>
        <v>1606876</v>
      </c>
      <c r="P2605" s="89" t="s">
        <v>2748</v>
      </c>
      <c r="Q2605" t="s">
        <v>47</v>
      </c>
      <c r="R2605" s="214" t="s">
        <v>1869</v>
      </c>
      <c r="S2605" s="214" t="s">
        <v>1861</v>
      </c>
      <c r="U2605" t="s">
        <v>1953</v>
      </c>
      <c r="V2605" t="s">
        <v>2813</v>
      </c>
    </row>
    <row r="2606" spans="1:22" ht="15.75" thickBot="1" x14ac:dyDescent="0.3">
      <c r="A2606" t="s">
        <v>4593</v>
      </c>
      <c r="B2606" t="s">
        <v>4593</v>
      </c>
      <c r="C2606" t="s">
        <v>4593</v>
      </c>
      <c r="D2606" t="s">
        <v>629</v>
      </c>
      <c r="E2606" s="248" t="s">
        <v>1853</v>
      </c>
      <c r="F2606" t="s">
        <v>620</v>
      </c>
      <c r="G2606" s="89" t="s">
        <v>2204</v>
      </c>
      <c r="H2606" s="315" t="s">
        <v>731</v>
      </c>
      <c r="I2606" s="308" t="str">
        <f t="shared" si="106"/>
        <v>Pesado de Passageiros M3: III : Gasóleo : E4</v>
      </c>
      <c r="J2606" s="237">
        <v>73</v>
      </c>
      <c r="K2606" s="253">
        <v>2022</v>
      </c>
      <c r="L2606" s="85">
        <v>16708.86</v>
      </c>
      <c r="M2606" s="85" t="s">
        <v>630</v>
      </c>
      <c r="N2606" s="85">
        <v>40872</v>
      </c>
      <c r="O2606" s="128">
        <f t="shared" si="107"/>
        <v>2983656</v>
      </c>
      <c r="P2606" s="89" t="s">
        <v>2749</v>
      </c>
      <c r="Q2606" t="s">
        <v>47</v>
      </c>
      <c r="R2606" s="214" t="s">
        <v>1869</v>
      </c>
      <c r="S2606" s="214" t="s">
        <v>1861</v>
      </c>
      <c r="U2606" t="s">
        <v>1953</v>
      </c>
      <c r="V2606" t="s">
        <v>2813</v>
      </c>
    </row>
    <row r="2607" spans="1:22" ht="15.75" thickBot="1" x14ac:dyDescent="0.3">
      <c r="A2607" t="s">
        <v>4593</v>
      </c>
      <c r="B2607" t="s">
        <v>4593</v>
      </c>
      <c r="C2607" t="s">
        <v>4593</v>
      </c>
      <c r="D2607" t="s">
        <v>629</v>
      </c>
      <c r="E2607" s="248" t="s">
        <v>1853</v>
      </c>
      <c r="F2607" t="s">
        <v>620</v>
      </c>
      <c r="G2607" s="89" t="s">
        <v>2205</v>
      </c>
      <c r="H2607" s="315" t="s">
        <v>734</v>
      </c>
      <c r="I2607" s="308" t="str">
        <f t="shared" si="106"/>
        <v>Pesado de Passageiros M3: III : Gasóleo : E5</v>
      </c>
      <c r="J2607" s="237">
        <v>90</v>
      </c>
      <c r="K2607" s="253">
        <v>2022</v>
      </c>
      <c r="L2607" s="85">
        <v>10293.65</v>
      </c>
      <c r="M2607" s="85" t="s">
        <v>630</v>
      </c>
      <c r="N2607" s="85">
        <v>33773</v>
      </c>
      <c r="O2607" s="128">
        <f t="shared" si="107"/>
        <v>3039570</v>
      </c>
      <c r="P2607" s="89" t="s">
        <v>2750</v>
      </c>
      <c r="Q2607" t="s">
        <v>47</v>
      </c>
      <c r="R2607" s="214" t="s">
        <v>1869</v>
      </c>
      <c r="S2607" s="214" t="s">
        <v>1861</v>
      </c>
      <c r="U2607" t="s">
        <v>1953</v>
      </c>
      <c r="V2607" t="s">
        <v>2813</v>
      </c>
    </row>
    <row r="2608" spans="1:22" ht="15.75" thickBot="1" x14ac:dyDescent="0.3">
      <c r="A2608" t="s">
        <v>4593</v>
      </c>
      <c r="B2608" t="s">
        <v>4593</v>
      </c>
      <c r="C2608" t="s">
        <v>4593</v>
      </c>
      <c r="D2608" t="s">
        <v>629</v>
      </c>
      <c r="E2608" s="248" t="s">
        <v>1853</v>
      </c>
      <c r="F2608" t="s">
        <v>620</v>
      </c>
      <c r="G2608" s="89" t="s">
        <v>2211</v>
      </c>
      <c r="H2608" s="315" t="s">
        <v>731</v>
      </c>
      <c r="I2608" s="308" t="str">
        <f t="shared" si="106"/>
        <v>Pesado de Passageiros M3: III : Gasóleo : E4</v>
      </c>
      <c r="J2608" s="237">
        <v>73</v>
      </c>
      <c r="K2608" s="253">
        <v>2022</v>
      </c>
      <c r="L2608" s="85">
        <v>22390.25</v>
      </c>
      <c r="M2608" s="85" t="s">
        <v>630</v>
      </c>
      <c r="N2608" s="85">
        <v>57198</v>
      </c>
      <c r="O2608" s="128">
        <f t="shared" si="107"/>
        <v>4175454</v>
      </c>
      <c r="P2608" s="89" t="s">
        <v>2751</v>
      </c>
      <c r="Q2608" t="s">
        <v>47</v>
      </c>
      <c r="R2608" s="214" t="s">
        <v>1869</v>
      </c>
      <c r="S2608" s="214" t="s">
        <v>1861</v>
      </c>
      <c r="U2608" t="s">
        <v>1953</v>
      </c>
      <c r="V2608" t="s">
        <v>2813</v>
      </c>
    </row>
    <row r="2609" spans="1:22" ht="15.75" thickBot="1" x14ac:dyDescent="0.3">
      <c r="A2609" t="s">
        <v>4593</v>
      </c>
      <c r="B2609" t="s">
        <v>4593</v>
      </c>
      <c r="C2609" t="s">
        <v>4593</v>
      </c>
      <c r="D2609" t="s">
        <v>629</v>
      </c>
      <c r="E2609" s="248" t="s">
        <v>1853</v>
      </c>
      <c r="F2609" t="s">
        <v>620</v>
      </c>
      <c r="G2609" s="89" t="s">
        <v>2204</v>
      </c>
      <c r="H2609" s="315" t="s">
        <v>731</v>
      </c>
      <c r="I2609" s="308" t="str">
        <f t="shared" si="106"/>
        <v>Pesado de Passageiros M3: III : Gasóleo : E4</v>
      </c>
      <c r="J2609" s="237">
        <v>73</v>
      </c>
      <c r="K2609" s="253">
        <v>2022</v>
      </c>
      <c r="L2609" s="85">
        <v>10541.08</v>
      </c>
      <c r="M2609" s="85" t="s">
        <v>630</v>
      </c>
      <c r="N2609" s="85">
        <v>26097</v>
      </c>
      <c r="O2609" s="128">
        <f t="shared" si="107"/>
        <v>1905081</v>
      </c>
      <c r="P2609" s="89" t="s">
        <v>2752</v>
      </c>
      <c r="Q2609" t="s">
        <v>47</v>
      </c>
      <c r="R2609" s="214" t="s">
        <v>1869</v>
      </c>
      <c r="S2609" s="214" t="s">
        <v>1861</v>
      </c>
      <c r="U2609" t="s">
        <v>1953</v>
      </c>
      <c r="V2609" t="s">
        <v>2813</v>
      </c>
    </row>
    <row r="2610" spans="1:22" ht="15.75" thickBot="1" x14ac:dyDescent="0.3">
      <c r="A2610" t="s">
        <v>4593</v>
      </c>
      <c r="B2610" t="s">
        <v>4593</v>
      </c>
      <c r="C2610" t="s">
        <v>4593</v>
      </c>
      <c r="D2610" t="s">
        <v>629</v>
      </c>
      <c r="E2610" s="248" t="s">
        <v>1853</v>
      </c>
      <c r="F2610" t="s">
        <v>620</v>
      </c>
      <c r="G2610" s="89" t="s">
        <v>2212</v>
      </c>
      <c r="H2610" s="315" t="s">
        <v>734</v>
      </c>
      <c r="I2610" s="308" t="str">
        <f t="shared" si="106"/>
        <v>Pesado de Passageiros M3: III : Gasóleo : E5</v>
      </c>
      <c r="J2610" s="237">
        <v>83</v>
      </c>
      <c r="K2610" s="253">
        <v>2022</v>
      </c>
      <c r="L2610" s="85">
        <v>10971.19</v>
      </c>
      <c r="M2610" s="85" t="s">
        <v>630</v>
      </c>
      <c r="N2610" s="85">
        <v>34365</v>
      </c>
      <c r="O2610" s="128">
        <f t="shared" si="107"/>
        <v>2852295</v>
      </c>
      <c r="P2610" s="89" t="s">
        <v>2753</v>
      </c>
      <c r="Q2610" t="s">
        <v>47</v>
      </c>
      <c r="R2610" s="214" t="s">
        <v>1869</v>
      </c>
      <c r="S2610" s="214" t="s">
        <v>1861</v>
      </c>
      <c r="U2610" t="s">
        <v>1953</v>
      </c>
      <c r="V2610" t="s">
        <v>2813</v>
      </c>
    </row>
    <row r="2611" spans="1:22" ht="15.75" thickBot="1" x14ac:dyDescent="0.3">
      <c r="A2611" t="s">
        <v>4593</v>
      </c>
      <c r="B2611" t="s">
        <v>4593</v>
      </c>
      <c r="C2611" t="s">
        <v>4593</v>
      </c>
      <c r="D2611" t="s">
        <v>629</v>
      </c>
      <c r="E2611" s="248" t="s">
        <v>1853</v>
      </c>
      <c r="F2611" t="s">
        <v>620</v>
      </c>
      <c r="G2611" s="89" t="s">
        <v>2212</v>
      </c>
      <c r="H2611" s="315" t="s">
        <v>734</v>
      </c>
      <c r="I2611" s="308" t="str">
        <f t="shared" si="106"/>
        <v>Pesado de Passageiros M3: III : Gasóleo : E5</v>
      </c>
      <c r="J2611" s="237">
        <v>74</v>
      </c>
      <c r="K2611" s="253">
        <v>2022</v>
      </c>
      <c r="L2611" s="85">
        <v>15812.18</v>
      </c>
      <c r="M2611" s="85" t="s">
        <v>630</v>
      </c>
      <c r="N2611" s="85">
        <v>47418</v>
      </c>
      <c r="O2611" s="128">
        <f t="shared" si="107"/>
        <v>3508932</v>
      </c>
      <c r="P2611" s="89" t="s">
        <v>2754</v>
      </c>
      <c r="Q2611" t="s">
        <v>47</v>
      </c>
      <c r="R2611" s="214" t="s">
        <v>1869</v>
      </c>
      <c r="S2611" s="214" t="s">
        <v>1861</v>
      </c>
      <c r="U2611" t="s">
        <v>1953</v>
      </c>
      <c r="V2611" t="s">
        <v>2813</v>
      </c>
    </row>
    <row r="2612" spans="1:22" ht="15.75" thickBot="1" x14ac:dyDescent="0.3">
      <c r="A2612" t="s">
        <v>4593</v>
      </c>
      <c r="B2612" t="s">
        <v>4593</v>
      </c>
      <c r="C2612" t="s">
        <v>4593</v>
      </c>
      <c r="D2612" t="s">
        <v>629</v>
      </c>
      <c r="E2612" s="248" t="s">
        <v>1853</v>
      </c>
      <c r="F2612" t="s">
        <v>620</v>
      </c>
      <c r="G2612" s="89" t="s">
        <v>2226</v>
      </c>
      <c r="H2612" s="315" t="s">
        <v>733</v>
      </c>
      <c r="I2612" s="308" t="str">
        <f t="shared" si="106"/>
        <v>Pesado de Passageiros M3: III : Gasóleo : E6</v>
      </c>
      <c r="J2612" s="237">
        <v>53</v>
      </c>
      <c r="K2612" s="253">
        <v>2022</v>
      </c>
      <c r="L2612" s="85">
        <v>24888.86</v>
      </c>
      <c r="M2612" s="85" t="s">
        <v>630</v>
      </c>
      <c r="N2612" s="85">
        <v>92003</v>
      </c>
      <c r="O2612" s="128">
        <f t="shared" si="107"/>
        <v>4876159</v>
      </c>
      <c r="P2612" s="89" t="s">
        <v>2755</v>
      </c>
      <c r="Q2612" t="s">
        <v>47</v>
      </c>
      <c r="R2612" s="214" t="s">
        <v>1869</v>
      </c>
      <c r="S2612" s="214" t="s">
        <v>1861</v>
      </c>
      <c r="U2612" t="s">
        <v>1953</v>
      </c>
      <c r="V2612" t="s">
        <v>2813</v>
      </c>
    </row>
    <row r="2613" spans="1:22" ht="15.75" thickBot="1" x14ac:dyDescent="0.3">
      <c r="A2613" t="s">
        <v>4593</v>
      </c>
      <c r="B2613" t="s">
        <v>4593</v>
      </c>
      <c r="C2613" t="s">
        <v>4593</v>
      </c>
      <c r="D2613" t="s">
        <v>629</v>
      </c>
      <c r="E2613" s="248" t="s">
        <v>1853</v>
      </c>
      <c r="F2613" t="s">
        <v>620</v>
      </c>
      <c r="G2613" s="89" t="s">
        <v>2226</v>
      </c>
      <c r="H2613" s="315" t="s">
        <v>733</v>
      </c>
      <c r="I2613" s="308" t="str">
        <f t="shared" si="106"/>
        <v>Pesado de Passageiros M3: III : Gasóleo : E6</v>
      </c>
      <c r="J2613" s="237">
        <v>53</v>
      </c>
      <c r="K2613" s="253">
        <v>2022</v>
      </c>
      <c r="L2613" s="85">
        <v>26175.53</v>
      </c>
      <c r="M2613" s="85" t="s">
        <v>630</v>
      </c>
      <c r="N2613" s="85">
        <v>97410</v>
      </c>
      <c r="O2613" s="128">
        <f t="shared" si="107"/>
        <v>5162730</v>
      </c>
      <c r="P2613" s="89" t="s">
        <v>2756</v>
      </c>
      <c r="Q2613" t="s">
        <v>47</v>
      </c>
      <c r="R2613" s="214" t="s">
        <v>1869</v>
      </c>
      <c r="S2613" s="214" t="s">
        <v>1861</v>
      </c>
      <c r="U2613" t="s">
        <v>1953</v>
      </c>
      <c r="V2613" t="s">
        <v>2813</v>
      </c>
    </row>
    <row r="2614" spans="1:22" ht="15.75" thickBot="1" x14ac:dyDescent="0.3">
      <c r="A2614" t="s">
        <v>4593</v>
      </c>
      <c r="B2614" t="s">
        <v>4593</v>
      </c>
      <c r="C2614" t="s">
        <v>4593</v>
      </c>
      <c r="D2614" t="s">
        <v>629</v>
      </c>
      <c r="E2614" s="248" t="s">
        <v>1853</v>
      </c>
      <c r="F2614" t="s">
        <v>620</v>
      </c>
      <c r="G2614" s="89" t="s">
        <v>2204</v>
      </c>
      <c r="H2614" s="315" t="s">
        <v>734</v>
      </c>
      <c r="I2614" s="308" t="str">
        <f t="shared" si="106"/>
        <v>Pesado de Passageiros M3: III : Gasóleo : E5</v>
      </c>
      <c r="J2614" s="237">
        <v>80</v>
      </c>
      <c r="K2614" s="253">
        <v>2022</v>
      </c>
      <c r="L2614" s="85">
        <v>12585.75</v>
      </c>
      <c r="M2614" s="85" t="s">
        <v>630</v>
      </c>
      <c r="N2614" s="85">
        <v>42571</v>
      </c>
      <c r="O2614" s="128">
        <f t="shared" si="107"/>
        <v>3405680</v>
      </c>
      <c r="P2614" s="89" t="s">
        <v>2757</v>
      </c>
      <c r="Q2614" t="s">
        <v>47</v>
      </c>
      <c r="R2614" s="214" t="s">
        <v>1869</v>
      </c>
      <c r="S2614" s="214" t="s">
        <v>1861</v>
      </c>
      <c r="U2614" t="s">
        <v>1953</v>
      </c>
      <c r="V2614" t="s">
        <v>2813</v>
      </c>
    </row>
    <row r="2615" spans="1:22" ht="15.75" thickBot="1" x14ac:dyDescent="0.3">
      <c r="A2615" t="s">
        <v>4593</v>
      </c>
      <c r="B2615" t="s">
        <v>4593</v>
      </c>
      <c r="C2615" t="s">
        <v>4593</v>
      </c>
      <c r="D2615" t="s">
        <v>629</v>
      </c>
      <c r="E2615" s="248" t="s">
        <v>1853</v>
      </c>
      <c r="F2615" t="s">
        <v>620</v>
      </c>
      <c r="G2615" s="89" t="s">
        <v>2204</v>
      </c>
      <c r="H2615" s="315" t="s">
        <v>734</v>
      </c>
      <c r="I2615" s="308" t="str">
        <f t="shared" si="106"/>
        <v>Pesado de Passageiros M3: III : Gasóleo : E5</v>
      </c>
      <c r="J2615" s="237">
        <v>82</v>
      </c>
      <c r="K2615" s="253">
        <v>2022</v>
      </c>
      <c r="L2615" s="85">
        <v>10002.06</v>
      </c>
      <c r="M2615" s="85" t="s">
        <v>630</v>
      </c>
      <c r="N2615" s="85">
        <v>31446</v>
      </c>
      <c r="O2615" s="128">
        <f t="shared" si="107"/>
        <v>2578572</v>
      </c>
      <c r="P2615" s="89" t="s">
        <v>2758</v>
      </c>
      <c r="Q2615" t="s">
        <v>47</v>
      </c>
      <c r="R2615" s="214" t="s">
        <v>1869</v>
      </c>
      <c r="S2615" s="214" t="s">
        <v>1861</v>
      </c>
      <c r="U2615" t="s">
        <v>1953</v>
      </c>
      <c r="V2615" t="s">
        <v>2813</v>
      </c>
    </row>
    <row r="2616" spans="1:22" ht="15.75" thickBot="1" x14ac:dyDescent="0.3">
      <c r="A2616" t="s">
        <v>4593</v>
      </c>
      <c r="B2616" t="s">
        <v>4593</v>
      </c>
      <c r="C2616" t="s">
        <v>4593</v>
      </c>
      <c r="D2616" t="s">
        <v>629</v>
      </c>
      <c r="E2616" s="248" t="s">
        <v>1853</v>
      </c>
      <c r="F2616" t="s">
        <v>620</v>
      </c>
      <c r="G2616" s="89" t="s">
        <v>2227</v>
      </c>
      <c r="H2616" s="315" t="s">
        <v>733</v>
      </c>
      <c r="I2616" s="308" t="str">
        <f t="shared" si="106"/>
        <v>Pesado de Passageiros M3: III : Gasóleo : E6</v>
      </c>
      <c r="J2616" s="237">
        <v>53</v>
      </c>
      <c r="K2616" s="253">
        <v>2022</v>
      </c>
      <c r="L2616" s="85">
        <v>43597.45</v>
      </c>
      <c r="M2616" s="85" t="s">
        <v>630</v>
      </c>
      <c r="N2616" s="85">
        <v>172731</v>
      </c>
      <c r="O2616" s="128">
        <f t="shared" si="107"/>
        <v>9154743</v>
      </c>
      <c r="P2616" s="89" t="s">
        <v>2759</v>
      </c>
      <c r="Q2616" t="s">
        <v>47</v>
      </c>
      <c r="R2616" s="214" t="s">
        <v>1869</v>
      </c>
      <c r="S2616" s="214" t="s">
        <v>1861</v>
      </c>
      <c r="U2616" t="s">
        <v>1953</v>
      </c>
      <c r="V2616" t="s">
        <v>2813</v>
      </c>
    </row>
    <row r="2617" spans="1:22" ht="15.75" thickBot="1" x14ac:dyDescent="0.3">
      <c r="A2617" t="s">
        <v>4593</v>
      </c>
      <c r="B2617" t="s">
        <v>4593</v>
      </c>
      <c r="C2617" t="s">
        <v>4593</v>
      </c>
      <c r="D2617" t="s">
        <v>629</v>
      </c>
      <c r="E2617" s="248" t="s">
        <v>1853</v>
      </c>
      <c r="F2617" t="s">
        <v>620</v>
      </c>
      <c r="G2617" s="89" t="s">
        <v>2215</v>
      </c>
      <c r="H2617" s="315" t="s">
        <v>735</v>
      </c>
      <c r="I2617" s="308" t="str">
        <f t="shared" si="106"/>
        <v>Pesado de Passageiros M3: III : Gasóleo : E2</v>
      </c>
      <c r="J2617" s="237">
        <v>72</v>
      </c>
      <c r="K2617" s="253">
        <v>2022</v>
      </c>
      <c r="L2617" s="85">
        <v>5996.71</v>
      </c>
      <c r="M2617" s="85" t="s">
        <v>630</v>
      </c>
      <c r="N2617" s="85">
        <v>16388</v>
      </c>
      <c r="O2617" s="128">
        <f t="shared" si="107"/>
        <v>1179936</v>
      </c>
      <c r="P2617" s="89" t="s">
        <v>2760</v>
      </c>
      <c r="Q2617" t="s">
        <v>47</v>
      </c>
      <c r="R2617" s="214" t="s">
        <v>1869</v>
      </c>
      <c r="S2617" s="214" t="s">
        <v>1861</v>
      </c>
      <c r="U2617" t="s">
        <v>1953</v>
      </c>
      <c r="V2617" t="s">
        <v>2813</v>
      </c>
    </row>
    <row r="2618" spans="1:22" ht="15.75" thickBot="1" x14ac:dyDescent="0.3">
      <c r="A2618" t="s">
        <v>4593</v>
      </c>
      <c r="B2618" t="s">
        <v>4593</v>
      </c>
      <c r="C2618" t="s">
        <v>4593</v>
      </c>
      <c r="D2618" t="s">
        <v>629</v>
      </c>
      <c r="E2618" s="248" t="s">
        <v>1853</v>
      </c>
      <c r="F2618" t="s">
        <v>620</v>
      </c>
      <c r="G2618" s="89" t="s">
        <v>2220</v>
      </c>
      <c r="H2618" s="315" t="s">
        <v>732</v>
      </c>
      <c r="I2618" s="308" t="str">
        <f t="shared" si="106"/>
        <v>Pesado de Passageiros M3: III : Gasóleo : E3</v>
      </c>
      <c r="J2618" s="237">
        <v>78</v>
      </c>
      <c r="K2618" s="253">
        <v>2022</v>
      </c>
      <c r="L2618" s="85">
        <v>6323.28</v>
      </c>
      <c r="M2618" s="85" t="s">
        <v>630</v>
      </c>
      <c r="N2618" s="85">
        <v>18571</v>
      </c>
      <c r="O2618" s="128">
        <f t="shared" si="107"/>
        <v>1448538</v>
      </c>
      <c r="P2618" s="89" t="s">
        <v>2761</v>
      </c>
      <c r="Q2618" t="s">
        <v>47</v>
      </c>
      <c r="R2618" s="214" t="s">
        <v>1869</v>
      </c>
      <c r="S2618" s="214" t="s">
        <v>1861</v>
      </c>
      <c r="U2618" t="s">
        <v>1953</v>
      </c>
      <c r="V2618" t="s">
        <v>2813</v>
      </c>
    </row>
    <row r="2619" spans="1:22" ht="15.75" thickBot="1" x14ac:dyDescent="0.3">
      <c r="A2619" t="s">
        <v>4593</v>
      </c>
      <c r="B2619" t="s">
        <v>4593</v>
      </c>
      <c r="C2619" t="s">
        <v>4593</v>
      </c>
      <c r="D2619" t="s">
        <v>629</v>
      </c>
      <c r="E2619" s="248" t="s">
        <v>1853</v>
      </c>
      <c r="F2619" t="s">
        <v>620</v>
      </c>
      <c r="G2619" s="89" t="s">
        <v>2211</v>
      </c>
      <c r="H2619" s="315" t="s">
        <v>731</v>
      </c>
      <c r="I2619" s="308" t="str">
        <f t="shared" si="106"/>
        <v>Pesado de Passageiros M3: III : Gasóleo : E4</v>
      </c>
      <c r="J2619" s="237">
        <v>78</v>
      </c>
      <c r="K2619" s="253">
        <v>2022</v>
      </c>
      <c r="L2619" s="85">
        <v>10464.48</v>
      </c>
      <c r="M2619" s="85" t="s">
        <v>630</v>
      </c>
      <c r="N2619" s="85">
        <v>29307</v>
      </c>
      <c r="O2619" s="128">
        <f t="shared" si="107"/>
        <v>2285946</v>
      </c>
      <c r="P2619" s="89" t="s">
        <v>2762</v>
      </c>
      <c r="Q2619" t="s">
        <v>47</v>
      </c>
      <c r="R2619" s="214" t="s">
        <v>1869</v>
      </c>
      <c r="S2619" s="214" t="s">
        <v>1861</v>
      </c>
      <c r="U2619" t="s">
        <v>1953</v>
      </c>
      <c r="V2619" t="s">
        <v>2813</v>
      </c>
    </row>
    <row r="2620" spans="1:22" ht="15.75" thickBot="1" x14ac:dyDescent="0.3">
      <c r="A2620" t="s">
        <v>4593</v>
      </c>
      <c r="B2620" t="s">
        <v>4593</v>
      </c>
      <c r="C2620" t="s">
        <v>4593</v>
      </c>
      <c r="D2620" t="s">
        <v>629</v>
      </c>
      <c r="E2620" s="248" t="s">
        <v>1853</v>
      </c>
      <c r="F2620" t="s">
        <v>620</v>
      </c>
      <c r="G2620" s="89" t="s">
        <v>2220</v>
      </c>
      <c r="H2620" s="315" t="s">
        <v>732</v>
      </c>
      <c r="I2620" s="308" t="str">
        <f t="shared" si="106"/>
        <v>Pesado de Passageiros M3: III : Gasóleo : E3</v>
      </c>
      <c r="J2620" s="237">
        <v>63</v>
      </c>
      <c r="K2620" s="253">
        <v>2022</v>
      </c>
      <c r="L2620" s="85">
        <v>12917.33</v>
      </c>
      <c r="M2620" s="85" t="s">
        <v>630</v>
      </c>
      <c r="N2620" s="85">
        <v>31949</v>
      </c>
      <c r="O2620" s="128">
        <f t="shared" si="107"/>
        <v>2012787</v>
      </c>
      <c r="P2620" s="89" t="s">
        <v>2763</v>
      </c>
      <c r="Q2620" t="s">
        <v>47</v>
      </c>
      <c r="R2620" s="214" t="s">
        <v>1869</v>
      </c>
      <c r="S2620" s="214" t="s">
        <v>1861</v>
      </c>
      <c r="U2620" t="s">
        <v>1953</v>
      </c>
      <c r="V2620" t="s">
        <v>2813</v>
      </c>
    </row>
    <row r="2621" spans="1:22" ht="15.75" thickBot="1" x14ac:dyDescent="0.3">
      <c r="A2621" t="s">
        <v>4593</v>
      </c>
      <c r="B2621" t="s">
        <v>4593</v>
      </c>
      <c r="C2621" t="s">
        <v>4593</v>
      </c>
      <c r="D2621" t="s">
        <v>629</v>
      </c>
      <c r="E2621" s="248" t="s">
        <v>1853</v>
      </c>
      <c r="F2621" t="s">
        <v>620</v>
      </c>
      <c r="G2621" s="89" t="s">
        <v>2204</v>
      </c>
      <c r="H2621" s="315" t="s">
        <v>734</v>
      </c>
      <c r="I2621" s="308" t="str">
        <f t="shared" si="106"/>
        <v>Pesado de Passageiros M3: III : Gasóleo : E5</v>
      </c>
      <c r="J2621" s="237">
        <v>74</v>
      </c>
      <c r="K2621" s="253">
        <v>2022</v>
      </c>
      <c r="L2621" s="85">
        <v>9393.6299999999992</v>
      </c>
      <c r="M2621" s="85" t="s">
        <v>630</v>
      </c>
      <c r="N2621" s="85">
        <v>29562</v>
      </c>
      <c r="O2621" s="128">
        <f t="shared" si="107"/>
        <v>2187588</v>
      </c>
      <c r="P2621" s="89" t="s">
        <v>2764</v>
      </c>
      <c r="Q2621" t="s">
        <v>47</v>
      </c>
      <c r="R2621" s="214" t="s">
        <v>1869</v>
      </c>
      <c r="S2621" s="214" t="s">
        <v>1861</v>
      </c>
      <c r="U2621" t="s">
        <v>1953</v>
      </c>
      <c r="V2621" t="s">
        <v>2813</v>
      </c>
    </row>
    <row r="2622" spans="1:22" ht="15.75" thickBot="1" x14ac:dyDescent="0.3">
      <c r="A2622" t="s">
        <v>4593</v>
      </c>
      <c r="B2622" t="s">
        <v>4593</v>
      </c>
      <c r="C2622" t="s">
        <v>4593</v>
      </c>
      <c r="D2622" t="s">
        <v>629</v>
      </c>
      <c r="E2622" s="248" t="s">
        <v>1853</v>
      </c>
      <c r="F2622" t="s">
        <v>620</v>
      </c>
      <c r="G2622" s="89" t="s">
        <v>2204</v>
      </c>
      <c r="H2622" s="315" t="s">
        <v>734</v>
      </c>
      <c r="I2622" s="308" t="str">
        <f t="shared" si="106"/>
        <v>Pesado de Passageiros M3: III : Gasóleo : E5</v>
      </c>
      <c r="J2622" s="237">
        <v>83</v>
      </c>
      <c r="K2622" s="253">
        <v>2022</v>
      </c>
      <c r="L2622" s="85">
        <v>13346.75</v>
      </c>
      <c r="M2622" s="85" t="s">
        <v>630</v>
      </c>
      <c r="N2622" s="85">
        <v>43158</v>
      </c>
      <c r="O2622" s="128">
        <f t="shared" si="107"/>
        <v>3582114</v>
      </c>
      <c r="P2622" s="89" t="s">
        <v>2765</v>
      </c>
      <c r="Q2622" t="s">
        <v>47</v>
      </c>
      <c r="R2622" s="214" t="s">
        <v>1869</v>
      </c>
      <c r="S2622" s="214" t="s">
        <v>1861</v>
      </c>
      <c r="U2622" t="s">
        <v>1953</v>
      </c>
      <c r="V2622" t="s">
        <v>2813</v>
      </c>
    </row>
    <row r="2623" spans="1:22" ht="15.75" thickBot="1" x14ac:dyDescent="0.3">
      <c r="A2623" t="s">
        <v>4593</v>
      </c>
      <c r="B2623" t="s">
        <v>4593</v>
      </c>
      <c r="C2623" t="s">
        <v>4593</v>
      </c>
      <c r="D2623" t="s">
        <v>629</v>
      </c>
      <c r="E2623" s="248" t="s">
        <v>1853</v>
      </c>
      <c r="F2623" t="s">
        <v>620</v>
      </c>
      <c r="G2623" s="89" t="s">
        <v>2227</v>
      </c>
      <c r="H2623" s="315" t="s">
        <v>733</v>
      </c>
      <c r="I2623" s="308" t="str">
        <f t="shared" si="106"/>
        <v>Pesado de Passageiros M3: III : Gasóleo : E6</v>
      </c>
      <c r="J2623" s="237">
        <v>26</v>
      </c>
      <c r="K2623" s="253">
        <v>2022</v>
      </c>
      <c r="L2623" s="85">
        <v>11509.49</v>
      </c>
      <c r="M2623" s="85" t="s">
        <v>630</v>
      </c>
      <c r="N2623" s="85">
        <v>62737</v>
      </c>
      <c r="O2623" s="128">
        <f t="shared" si="107"/>
        <v>1631162</v>
      </c>
      <c r="P2623" s="89" t="s">
        <v>2766</v>
      </c>
      <c r="Q2623" t="s">
        <v>47</v>
      </c>
      <c r="R2623" s="214" t="s">
        <v>1869</v>
      </c>
      <c r="S2623" s="214" t="s">
        <v>1861</v>
      </c>
      <c r="U2623" t="s">
        <v>1953</v>
      </c>
      <c r="V2623" t="s">
        <v>2813</v>
      </c>
    </row>
    <row r="2624" spans="1:22" ht="15.75" thickBot="1" x14ac:dyDescent="0.3">
      <c r="A2624" t="s">
        <v>4593</v>
      </c>
      <c r="B2624" t="s">
        <v>4593</v>
      </c>
      <c r="C2624" t="s">
        <v>4593</v>
      </c>
      <c r="D2624" t="s">
        <v>629</v>
      </c>
      <c r="E2624" s="248" t="s">
        <v>1853</v>
      </c>
      <c r="F2624" t="s">
        <v>620</v>
      </c>
      <c r="G2624" s="89" t="s">
        <v>2203</v>
      </c>
      <c r="H2624" s="315" t="s">
        <v>733</v>
      </c>
      <c r="I2624" s="308" t="str">
        <f t="shared" si="106"/>
        <v>Pesado de Passageiros M3: III : Gasóleo : E6</v>
      </c>
      <c r="J2624" s="237">
        <v>63</v>
      </c>
      <c r="K2624" s="253">
        <v>2022</v>
      </c>
      <c r="L2624" s="85">
        <v>17532.009999999998</v>
      </c>
      <c r="M2624" s="85" t="s">
        <v>630</v>
      </c>
      <c r="N2624" s="85">
        <v>47136</v>
      </c>
      <c r="O2624" s="128">
        <f t="shared" si="107"/>
        <v>2969568</v>
      </c>
      <c r="P2624" s="89" t="s">
        <v>2767</v>
      </c>
      <c r="Q2624" t="s">
        <v>47</v>
      </c>
      <c r="R2624" s="214" t="s">
        <v>1869</v>
      </c>
      <c r="S2624" s="214" t="s">
        <v>1861</v>
      </c>
      <c r="U2624" t="s">
        <v>1953</v>
      </c>
      <c r="V2624" t="s">
        <v>2813</v>
      </c>
    </row>
    <row r="2625" spans="1:22" ht="15.75" thickBot="1" x14ac:dyDescent="0.3">
      <c r="A2625" t="s">
        <v>4593</v>
      </c>
      <c r="B2625" t="s">
        <v>4593</v>
      </c>
      <c r="C2625" t="s">
        <v>4593</v>
      </c>
      <c r="D2625" t="s">
        <v>629</v>
      </c>
      <c r="E2625" s="248" t="s">
        <v>1853</v>
      </c>
      <c r="F2625" t="s">
        <v>620</v>
      </c>
      <c r="G2625" s="89" t="s">
        <v>2215</v>
      </c>
      <c r="H2625" s="315" t="s">
        <v>735</v>
      </c>
      <c r="I2625" s="308" t="str">
        <f t="shared" si="106"/>
        <v>Pesado de Passageiros M3: III : Gasóleo : E2</v>
      </c>
      <c r="J2625" s="237">
        <v>66</v>
      </c>
      <c r="K2625" s="253">
        <v>2022</v>
      </c>
      <c r="L2625" s="85">
        <v>8278.36</v>
      </c>
      <c r="M2625" s="85" t="s">
        <v>630</v>
      </c>
      <c r="N2625" s="85">
        <v>22262</v>
      </c>
      <c r="O2625" s="128">
        <f t="shared" si="107"/>
        <v>1469292</v>
      </c>
      <c r="P2625" s="89" t="s">
        <v>2768</v>
      </c>
      <c r="Q2625" t="s">
        <v>47</v>
      </c>
      <c r="R2625" s="214" t="s">
        <v>1869</v>
      </c>
      <c r="S2625" s="214" t="s">
        <v>1861</v>
      </c>
      <c r="U2625" t="s">
        <v>1953</v>
      </c>
      <c r="V2625" t="s">
        <v>2813</v>
      </c>
    </row>
    <row r="2626" spans="1:22" ht="15.75" thickBot="1" x14ac:dyDescent="0.3">
      <c r="A2626" t="s">
        <v>4593</v>
      </c>
      <c r="B2626" t="s">
        <v>4593</v>
      </c>
      <c r="C2626" t="s">
        <v>4593</v>
      </c>
      <c r="D2626" t="s">
        <v>629</v>
      </c>
      <c r="E2626" s="248" t="s">
        <v>1853</v>
      </c>
      <c r="F2626" t="s">
        <v>620</v>
      </c>
      <c r="G2626" s="89" t="s">
        <v>2213</v>
      </c>
      <c r="H2626" s="315" t="s">
        <v>734</v>
      </c>
      <c r="I2626" s="308" t="str">
        <f t="shared" si="106"/>
        <v>Pesado de Passageiros M3: III : Gasóleo : E5</v>
      </c>
      <c r="J2626" s="237">
        <v>66</v>
      </c>
      <c r="K2626" s="253">
        <v>2022</v>
      </c>
      <c r="L2626" s="85">
        <v>14896.6</v>
      </c>
      <c r="M2626" s="85" t="s">
        <v>630</v>
      </c>
      <c r="N2626" s="85">
        <v>44126</v>
      </c>
      <c r="O2626" s="128">
        <f t="shared" si="107"/>
        <v>2912316</v>
      </c>
      <c r="P2626" s="89" t="s">
        <v>2769</v>
      </c>
      <c r="Q2626" t="s">
        <v>47</v>
      </c>
      <c r="R2626" s="214" t="s">
        <v>1869</v>
      </c>
      <c r="S2626" s="214" t="s">
        <v>1861</v>
      </c>
      <c r="U2626" t="s">
        <v>1953</v>
      </c>
      <c r="V2626" t="s">
        <v>2813</v>
      </c>
    </row>
    <row r="2627" spans="1:22" ht="15.75" thickBot="1" x14ac:dyDescent="0.3">
      <c r="A2627" t="s">
        <v>4593</v>
      </c>
      <c r="B2627" t="s">
        <v>4593</v>
      </c>
      <c r="C2627" t="s">
        <v>4593</v>
      </c>
      <c r="D2627" t="s">
        <v>629</v>
      </c>
      <c r="E2627" s="248" t="s">
        <v>1853</v>
      </c>
      <c r="F2627" t="s">
        <v>620</v>
      </c>
      <c r="G2627" s="89" t="s">
        <v>2220</v>
      </c>
      <c r="H2627" s="315" t="s">
        <v>732</v>
      </c>
      <c r="I2627" s="308" t="str">
        <f t="shared" si="106"/>
        <v>Pesado de Passageiros M3: III : Gasóleo : E3</v>
      </c>
      <c r="J2627" s="237">
        <v>63</v>
      </c>
      <c r="K2627" s="253">
        <v>2022</v>
      </c>
      <c r="L2627" s="85">
        <v>10719.98</v>
      </c>
      <c r="M2627" s="85" t="s">
        <v>630</v>
      </c>
      <c r="N2627" s="85">
        <v>31779</v>
      </c>
      <c r="O2627" s="128">
        <f t="shared" si="107"/>
        <v>2002077</v>
      </c>
      <c r="P2627" s="89" t="s">
        <v>2770</v>
      </c>
      <c r="Q2627" t="s">
        <v>47</v>
      </c>
      <c r="R2627" s="214" t="s">
        <v>1869</v>
      </c>
      <c r="S2627" s="214" t="s">
        <v>1861</v>
      </c>
      <c r="U2627" t="s">
        <v>1953</v>
      </c>
      <c r="V2627" t="s">
        <v>2813</v>
      </c>
    </row>
    <row r="2628" spans="1:22" ht="15.75" thickBot="1" x14ac:dyDescent="0.3">
      <c r="A2628" t="s">
        <v>4593</v>
      </c>
      <c r="B2628" t="s">
        <v>4593</v>
      </c>
      <c r="C2628" t="s">
        <v>4593</v>
      </c>
      <c r="D2628" t="s">
        <v>629</v>
      </c>
      <c r="E2628" s="248" t="s">
        <v>1853</v>
      </c>
      <c r="F2628" t="s">
        <v>620</v>
      </c>
      <c r="G2628" s="89" t="s">
        <v>2211</v>
      </c>
      <c r="H2628" s="315" t="s">
        <v>731</v>
      </c>
      <c r="I2628" s="308" t="str">
        <f t="shared" ref="I2628:I2672" si="108">D2628&amp;": "&amp;E2628&amp;" : "&amp;F2628&amp;" : "&amp;H2628</f>
        <v>Pesado de Passageiros M3: III : Gasóleo : E4</v>
      </c>
      <c r="J2628" s="237">
        <v>78</v>
      </c>
      <c r="K2628" s="253">
        <v>2022</v>
      </c>
      <c r="L2628" s="85">
        <v>6865.87</v>
      </c>
      <c r="M2628" s="85" t="s">
        <v>630</v>
      </c>
      <c r="N2628" s="85">
        <v>19107</v>
      </c>
      <c r="O2628" s="128">
        <f t="shared" ref="O2628:O2672" si="109">N2628*J2628</f>
        <v>1490346</v>
      </c>
      <c r="P2628" s="89" t="s">
        <v>2771</v>
      </c>
      <c r="Q2628" t="s">
        <v>47</v>
      </c>
      <c r="R2628" s="214" t="s">
        <v>1869</v>
      </c>
      <c r="S2628" s="214" t="s">
        <v>1861</v>
      </c>
      <c r="U2628" t="s">
        <v>1953</v>
      </c>
      <c r="V2628" t="s">
        <v>2813</v>
      </c>
    </row>
    <row r="2629" spans="1:22" ht="15.75" thickBot="1" x14ac:dyDescent="0.3">
      <c r="A2629" t="s">
        <v>4593</v>
      </c>
      <c r="B2629" t="s">
        <v>4593</v>
      </c>
      <c r="C2629" t="s">
        <v>4593</v>
      </c>
      <c r="D2629" t="s">
        <v>629</v>
      </c>
      <c r="E2629" s="248" t="s">
        <v>1853</v>
      </c>
      <c r="F2629" t="s">
        <v>620</v>
      </c>
      <c r="G2629" s="89" t="s">
        <v>2220</v>
      </c>
      <c r="H2629" s="315" t="s">
        <v>732</v>
      </c>
      <c r="I2629" s="308" t="str">
        <f t="shared" si="108"/>
        <v>Pesado de Passageiros M3: III : Gasóleo : E3</v>
      </c>
      <c r="J2629" s="237">
        <v>63</v>
      </c>
      <c r="K2629" s="253">
        <v>2022</v>
      </c>
      <c r="L2629" s="85">
        <v>9917.82</v>
      </c>
      <c r="M2629" s="85" t="s">
        <v>630</v>
      </c>
      <c r="N2629" s="85">
        <v>29276</v>
      </c>
      <c r="O2629" s="128">
        <f t="shared" si="109"/>
        <v>1844388</v>
      </c>
      <c r="P2629" s="89" t="s">
        <v>2772</v>
      </c>
      <c r="Q2629" t="s">
        <v>47</v>
      </c>
      <c r="R2629" s="214" t="s">
        <v>1869</v>
      </c>
      <c r="S2629" s="214" t="s">
        <v>1861</v>
      </c>
      <c r="U2629" t="s">
        <v>1953</v>
      </c>
      <c r="V2629" t="s">
        <v>2813</v>
      </c>
    </row>
    <row r="2630" spans="1:22" ht="15.75" thickBot="1" x14ac:dyDescent="0.3">
      <c r="A2630" t="s">
        <v>4593</v>
      </c>
      <c r="B2630" t="s">
        <v>4593</v>
      </c>
      <c r="C2630" t="s">
        <v>4593</v>
      </c>
      <c r="D2630" t="s">
        <v>629</v>
      </c>
      <c r="E2630" s="248" t="s">
        <v>1853</v>
      </c>
      <c r="F2630" t="s">
        <v>620</v>
      </c>
      <c r="G2630" s="89" t="s">
        <v>2228</v>
      </c>
      <c r="H2630" s="315" t="s">
        <v>732</v>
      </c>
      <c r="I2630" s="308" t="str">
        <f t="shared" si="108"/>
        <v>Pesado de Passageiros M3: III : Gasóleo : E3</v>
      </c>
      <c r="J2630" s="237">
        <v>62</v>
      </c>
      <c r="K2630" s="253">
        <v>2022</v>
      </c>
      <c r="L2630" s="85">
        <v>8371.59</v>
      </c>
      <c r="M2630" s="85" t="s">
        <v>630</v>
      </c>
      <c r="N2630" s="85">
        <v>20713</v>
      </c>
      <c r="O2630" s="128">
        <f t="shared" si="109"/>
        <v>1284206</v>
      </c>
      <c r="P2630" s="89" t="s">
        <v>2773</v>
      </c>
      <c r="Q2630" t="s">
        <v>47</v>
      </c>
      <c r="R2630" s="214" t="s">
        <v>1869</v>
      </c>
      <c r="S2630" s="214" t="s">
        <v>1861</v>
      </c>
      <c r="U2630" t="s">
        <v>1953</v>
      </c>
      <c r="V2630" t="s">
        <v>2813</v>
      </c>
    </row>
    <row r="2631" spans="1:22" ht="15.75" thickBot="1" x14ac:dyDescent="0.3">
      <c r="A2631" t="s">
        <v>4593</v>
      </c>
      <c r="B2631" t="s">
        <v>4593</v>
      </c>
      <c r="C2631" t="s">
        <v>4593</v>
      </c>
      <c r="D2631" t="s">
        <v>629</v>
      </c>
      <c r="E2631" s="248" t="s">
        <v>1853</v>
      </c>
      <c r="F2631" t="s">
        <v>620</v>
      </c>
      <c r="G2631" s="89" t="s">
        <v>2228</v>
      </c>
      <c r="H2631" s="315" t="s">
        <v>732</v>
      </c>
      <c r="I2631" s="308" t="str">
        <f t="shared" si="108"/>
        <v>Pesado de Passageiros M3: III : Gasóleo : E3</v>
      </c>
      <c r="J2631" s="237">
        <v>62</v>
      </c>
      <c r="K2631" s="253">
        <v>2022</v>
      </c>
      <c r="L2631" s="85">
        <v>15153.48</v>
      </c>
      <c r="M2631" s="85" t="s">
        <v>630</v>
      </c>
      <c r="N2631" s="85">
        <v>42199</v>
      </c>
      <c r="O2631" s="128">
        <f t="shared" si="109"/>
        <v>2616338</v>
      </c>
      <c r="P2631" s="89" t="s">
        <v>2774</v>
      </c>
      <c r="Q2631" t="s">
        <v>47</v>
      </c>
      <c r="R2631" s="214" t="s">
        <v>1869</v>
      </c>
      <c r="S2631" s="214" t="s">
        <v>1861</v>
      </c>
      <c r="U2631" t="s">
        <v>1953</v>
      </c>
      <c r="V2631" t="s">
        <v>2813</v>
      </c>
    </row>
    <row r="2632" spans="1:22" ht="15.75" thickBot="1" x14ac:dyDescent="0.3">
      <c r="A2632" t="s">
        <v>4593</v>
      </c>
      <c r="B2632" t="s">
        <v>4593</v>
      </c>
      <c r="C2632" t="s">
        <v>4593</v>
      </c>
      <c r="D2632" t="s">
        <v>629</v>
      </c>
      <c r="E2632" s="248" t="s">
        <v>1853</v>
      </c>
      <c r="F2632" t="s">
        <v>620</v>
      </c>
      <c r="G2632" s="89" t="s">
        <v>2212</v>
      </c>
      <c r="H2632" s="315" t="s">
        <v>734</v>
      </c>
      <c r="I2632" s="308" t="str">
        <f t="shared" si="108"/>
        <v>Pesado de Passageiros M3: III : Gasóleo : E5</v>
      </c>
      <c r="J2632" s="237">
        <v>71</v>
      </c>
      <c r="K2632" s="253">
        <v>2022</v>
      </c>
      <c r="L2632" s="85">
        <v>6891.92</v>
      </c>
      <c r="M2632" s="85" t="s">
        <v>630</v>
      </c>
      <c r="N2632" s="85">
        <v>23392</v>
      </c>
      <c r="O2632" s="128">
        <f t="shared" si="109"/>
        <v>1660832</v>
      </c>
      <c r="P2632" s="89" t="s">
        <v>2775</v>
      </c>
      <c r="Q2632" t="s">
        <v>47</v>
      </c>
      <c r="R2632" s="214" t="s">
        <v>1869</v>
      </c>
      <c r="S2632" s="214" t="s">
        <v>1861</v>
      </c>
      <c r="U2632" t="s">
        <v>1953</v>
      </c>
      <c r="V2632" t="s">
        <v>2813</v>
      </c>
    </row>
    <row r="2633" spans="1:22" ht="15.75" thickBot="1" x14ac:dyDescent="0.3">
      <c r="A2633" t="s">
        <v>4593</v>
      </c>
      <c r="B2633" t="s">
        <v>4593</v>
      </c>
      <c r="C2633" t="s">
        <v>4593</v>
      </c>
      <c r="D2633" t="s">
        <v>629</v>
      </c>
      <c r="E2633" s="248" t="s">
        <v>1853</v>
      </c>
      <c r="F2633" t="s">
        <v>620</v>
      </c>
      <c r="G2633" s="89" t="s">
        <v>2212</v>
      </c>
      <c r="H2633" s="315" t="s">
        <v>734</v>
      </c>
      <c r="I2633" s="308" t="str">
        <f t="shared" si="108"/>
        <v>Pesado de Passageiros M3: III : Gasóleo : E5</v>
      </c>
      <c r="J2633" s="237">
        <v>71</v>
      </c>
      <c r="K2633" s="253">
        <v>2022</v>
      </c>
      <c r="L2633" s="85">
        <v>9786.57</v>
      </c>
      <c r="M2633" s="85" t="s">
        <v>630</v>
      </c>
      <c r="N2633" s="85">
        <v>32406</v>
      </c>
      <c r="O2633" s="128">
        <f t="shared" si="109"/>
        <v>2300826</v>
      </c>
      <c r="P2633" s="89" t="s">
        <v>2776</v>
      </c>
      <c r="Q2633" t="s">
        <v>47</v>
      </c>
      <c r="R2633" s="214" t="s">
        <v>1869</v>
      </c>
      <c r="S2633" s="214" t="s">
        <v>1861</v>
      </c>
      <c r="U2633" t="s">
        <v>1953</v>
      </c>
      <c r="V2633" t="s">
        <v>2813</v>
      </c>
    </row>
    <row r="2634" spans="1:22" ht="15.75" thickBot="1" x14ac:dyDescent="0.3">
      <c r="A2634" t="s">
        <v>4593</v>
      </c>
      <c r="B2634" t="s">
        <v>4593</v>
      </c>
      <c r="C2634" t="s">
        <v>4593</v>
      </c>
      <c r="D2634" t="s">
        <v>629</v>
      </c>
      <c r="E2634" s="248" t="s">
        <v>1853</v>
      </c>
      <c r="F2634" t="s">
        <v>620</v>
      </c>
      <c r="G2634" s="89" t="s">
        <v>2212</v>
      </c>
      <c r="H2634" s="315" t="s">
        <v>734</v>
      </c>
      <c r="I2634" s="308" t="str">
        <f t="shared" si="108"/>
        <v>Pesado de Passageiros M3: III : Gasóleo : E5</v>
      </c>
      <c r="J2634" s="237">
        <v>71</v>
      </c>
      <c r="K2634" s="253">
        <v>2022</v>
      </c>
      <c r="L2634" s="85">
        <v>9468.8799999999992</v>
      </c>
      <c r="M2634" s="85" t="s">
        <v>630</v>
      </c>
      <c r="N2634" s="85">
        <v>32163</v>
      </c>
      <c r="O2634" s="128">
        <f t="shared" si="109"/>
        <v>2283573</v>
      </c>
      <c r="P2634" s="89" t="s">
        <v>2777</v>
      </c>
      <c r="Q2634" t="s">
        <v>47</v>
      </c>
      <c r="R2634" s="214" t="s">
        <v>1869</v>
      </c>
      <c r="S2634" s="214" t="s">
        <v>1861</v>
      </c>
      <c r="U2634" t="s">
        <v>1953</v>
      </c>
      <c r="V2634" t="s">
        <v>2813</v>
      </c>
    </row>
    <row r="2635" spans="1:22" ht="15.75" thickBot="1" x14ac:dyDescent="0.3">
      <c r="A2635" t="s">
        <v>4593</v>
      </c>
      <c r="B2635" t="s">
        <v>4593</v>
      </c>
      <c r="C2635" t="s">
        <v>4593</v>
      </c>
      <c r="D2635" t="s">
        <v>629</v>
      </c>
      <c r="E2635" s="248" t="s">
        <v>1853</v>
      </c>
      <c r="F2635" t="s">
        <v>620</v>
      </c>
      <c r="G2635" s="89" t="s">
        <v>2205</v>
      </c>
      <c r="H2635" s="315" t="s">
        <v>731</v>
      </c>
      <c r="I2635" s="308" t="str">
        <f t="shared" si="108"/>
        <v>Pesado de Passageiros M3: III : Gasóleo : E4</v>
      </c>
      <c r="J2635" s="237">
        <v>77</v>
      </c>
      <c r="K2635" s="253">
        <v>2022</v>
      </c>
      <c r="L2635" s="85">
        <v>7748.46</v>
      </c>
      <c r="M2635" s="85" t="s">
        <v>630</v>
      </c>
      <c r="N2635" s="85">
        <v>21496</v>
      </c>
      <c r="O2635" s="128">
        <f t="shared" si="109"/>
        <v>1655192</v>
      </c>
      <c r="P2635" s="89" t="s">
        <v>2778</v>
      </c>
      <c r="Q2635" t="s">
        <v>47</v>
      </c>
      <c r="R2635" s="214" t="s">
        <v>1869</v>
      </c>
      <c r="S2635" s="214" t="s">
        <v>1861</v>
      </c>
      <c r="U2635" t="s">
        <v>1953</v>
      </c>
      <c r="V2635" t="s">
        <v>2813</v>
      </c>
    </row>
    <row r="2636" spans="1:22" ht="15.75" thickBot="1" x14ac:dyDescent="0.3">
      <c r="A2636" t="s">
        <v>4593</v>
      </c>
      <c r="B2636" t="s">
        <v>4593</v>
      </c>
      <c r="C2636" t="s">
        <v>4593</v>
      </c>
      <c r="D2636" t="s">
        <v>629</v>
      </c>
      <c r="E2636" s="248" t="s">
        <v>1853</v>
      </c>
      <c r="F2636" t="s">
        <v>620</v>
      </c>
      <c r="G2636" s="89" t="s">
        <v>2219</v>
      </c>
      <c r="H2636" s="315" t="s">
        <v>732</v>
      </c>
      <c r="I2636" s="308" t="str">
        <f t="shared" si="108"/>
        <v>Pesado de Passageiros M3: III : Gasóleo : E3</v>
      </c>
      <c r="J2636" s="237">
        <v>76</v>
      </c>
      <c r="K2636" s="253">
        <v>2022</v>
      </c>
      <c r="L2636" s="85">
        <v>4035.07</v>
      </c>
      <c r="M2636" s="85" t="s">
        <v>630</v>
      </c>
      <c r="N2636" s="85">
        <v>10260</v>
      </c>
      <c r="O2636" s="128">
        <f t="shared" si="109"/>
        <v>779760</v>
      </c>
      <c r="P2636" s="89" t="s">
        <v>2779</v>
      </c>
      <c r="Q2636" t="s">
        <v>47</v>
      </c>
      <c r="R2636" s="214" t="s">
        <v>1869</v>
      </c>
      <c r="S2636" s="214" t="s">
        <v>1861</v>
      </c>
      <c r="U2636" t="s">
        <v>1953</v>
      </c>
      <c r="V2636" t="s">
        <v>2813</v>
      </c>
    </row>
    <row r="2637" spans="1:22" ht="15.75" thickBot="1" x14ac:dyDescent="0.3">
      <c r="A2637" t="s">
        <v>4593</v>
      </c>
      <c r="B2637" t="s">
        <v>4593</v>
      </c>
      <c r="C2637" t="s">
        <v>4593</v>
      </c>
      <c r="D2637" t="s">
        <v>629</v>
      </c>
      <c r="E2637" s="248" t="s">
        <v>1853</v>
      </c>
      <c r="F2637" t="s">
        <v>620</v>
      </c>
      <c r="G2637" s="89" t="s">
        <v>2219</v>
      </c>
      <c r="H2637" s="315" t="s">
        <v>732</v>
      </c>
      <c r="I2637" s="308" t="str">
        <f t="shared" si="108"/>
        <v>Pesado de Passageiros M3: III : Gasóleo : E3</v>
      </c>
      <c r="J2637" s="237">
        <v>76</v>
      </c>
      <c r="K2637" s="253">
        <v>2022</v>
      </c>
      <c r="L2637" s="85">
        <v>2525.34</v>
      </c>
      <c r="M2637" s="85" t="s">
        <v>630</v>
      </c>
      <c r="N2637" s="85">
        <v>6706</v>
      </c>
      <c r="O2637" s="128">
        <f t="shared" si="109"/>
        <v>509656</v>
      </c>
      <c r="P2637" s="89" t="s">
        <v>2780</v>
      </c>
      <c r="Q2637" t="s">
        <v>47</v>
      </c>
      <c r="R2637" s="214" t="s">
        <v>1869</v>
      </c>
      <c r="S2637" s="214" t="s">
        <v>1861</v>
      </c>
      <c r="U2637" t="s">
        <v>1953</v>
      </c>
      <c r="V2637" t="s">
        <v>2813</v>
      </c>
    </row>
    <row r="2638" spans="1:22" ht="15.75" thickBot="1" x14ac:dyDescent="0.3">
      <c r="A2638" t="s">
        <v>4593</v>
      </c>
      <c r="B2638" t="s">
        <v>4593</v>
      </c>
      <c r="C2638" t="s">
        <v>4593</v>
      </c>
      <c r="D2638" t="s">
        <v>629</v>
      </c>
      <c r="E2638" s="248" t="s">
        <v>1853</v>
      </c>
      <c r="F2638" t="s">
        <v>620</v>
      </c>
      <c r="G2638" s="89" t="s">
        <v>2211</v>
      </c>
      <c r="H2638" s="315" t="s">
        <v>731</v>
      </c>
      <c r="I2638" s="308" t="str">
        <f t="shared" si="108"/>
        <v>Pesado de Passageiros M3: III : Gasóleo : E4</v>
      </c>
      <c r="J2638" s="237">
        <v>78</v>
      </c>
      <c r="K2638" s="253">
        <v>2022</v>
      </c>
      <c r="L2638" s="85">
        <v>14770.56</v>
      </c>
      <c r="M2638" s="85" t="s">
        <v>630</v>
      </c>
      <c r="N2638" s="85">
        <v>44661</v>
      </c>
      <c r="O2638" s="128">
        <f t="shared" si="109"/>
        <v>3483558</v>
      </c>
      <c r="P2638" s="89" t="s">
        <v>2781</v>
      </c>
      <c r="Q2638" t="s">
        <v>47</v>
      </c>
      <c r="R2638" s="214" t="s">
        <v>1869</v>
      </c>
      <c r="S2638" s="214" t="s">
        <v>1861</v>
      </c>
      <c r="U2638" t="s">
        <v>1953</v>
      </c>
      <c r="V2638" t="s">
        <v>2813</v>
      </c>
    </row>
    <row r="2639" spans="1:22" ht="15.75" thickBot="1" x14ac:dyDescent="0.3">
      <c r="A2639" t="s">
        <v>4593</v>
      </c>
      <c r="B2639" t="s">
        <v>4593</v>
      </c>
      <c r="C2639" t="s">
        <v>4593</v>
      </c>
      <c r="D2639" t="s">
        <v>629</v>
      </c>
      <c r="E2639" s="248" t="s">
        <v>1853</v>
      </c>
      <c r="F2639" t="s">
        <v>620</v>
      </c>
      <c r="G2639" s="89" t="s">
        <v>2204</v>
      </c>
      <c r="H2639" s="315" t="s">
        <v>731</v>
      </c>
      <c r="I2639" s="308" t="str">
        <f t="shared" si="108"/>
        <v>Pesado de Passageiros M3: III : Gasóleo : E4</v>
      </c>
      <c r="J2639" s="237">
        <v>77</v>
      </c>
      <c r="K2639" s="253">
        <v>2022</v>
      </c>
      <c r="L2639" s="85">
        <v>6973.92</v>
      </c>
      <c r="M2639" s="85" t="s">
        <v>630</v>
      </c>
      <c r="N2639" s="85">
        <v>17713</v>
      </c>
      <c r="O2639" s="128">
        <f t="shared" si="109"/>
        <v>1363901</v>
      </c>
      <c r="P2639" s="89" t="s">
        <v>2782</v>
      </c>
      <c r="Q2639" t="s">
        <v>47</v>
      </c>
      <c r="R2639" s="214" t="s">
        <v>1869</v>
      </c>
      <c r="S2639" s="214" t="s">
        <v>1861</v>
      </c>
      <c r="U2639" t="s">
        <v>1953</v>
      </c>
      <c r="V2639" t="s">
        <v>2813</v>
      </c>
    </row>
    <row r="2640" spans="1:22" ht="15.75" thickBot="1" x14ac:dyDescent="0.3">
      <c r="A2640" t="s">
        <v>4593</v>
      </c>
      <c r="B2640" t="s">
        <v>4593</v>
      </c>
      <c r="C2640" t="s">
        <v>4593</v>
      </c>
      <c r="D2640" t="s">
        <v>629</v>
      </c>
      <c r="E2640" s="248" t="s">
        <v>1853</v>
      </c>
      <c r="F2640" t="s">
        <v>620</v>
      </c>
      <c r="G2640" s="89" t="s">
        <v>2228</v>
      </c>
      <c r="H2640" s="315" t="s">
        <v>732</v>
      </c>
      <c r="I2640" s="308" t="str">
        <f t="shared" si="108"/>
        <v>Pesado de Passageiros M3: III : Gasóleo : E3</v>
      </c>
      <c r="J2640" s="237">
        <v>62</v>
      </c>
      <c r="K2640" s="253">
        <v>2022</v>
      </c>
      <c r="L2640" s="85">
        <v>4443.45</v>
      </c>
      <c r="M2640" s="85" t="s">
        <v>630</v>
      </c>
      <c r="N2640" s="85">
        <v>12628</v>
      </c>
      <c r="O2640" s="128">
        <f t="shared" si="109"/>
        <v>782936</v>
      </c>
      <c r="P2640" s="89" t="s">
        <v>2783</v>
      </c>
      <c r="Q2640" t="s">
        <v>47</v>
      </c>
      <c r="R2640" s="214" t="s">
        <v>1869</v>
      </c>
      <c r="S2640" s="214" t="s">
        <v>1861</v>
      </c>
      <c r="U2640" t="s">
        <v>1953</v>
      </c>
      <c r="V2640" t="s">
        <v>2813</v>
      </c>
    </row>
    <row r="2641" spans="1:22" ht="15.75" thickBot="1" x14ac:dyDescent="0.3">
      <c r="A2641" t="s">
        <v>4593</v>
      </c>
      <c r="B2641" t="s">
        <v>4593</v>
      </c>
      <c r="C2641" t="s">
        <v>4593</v>
      </c>
      <c r="D2641" t="s">
        <v>629</v>
      </c>
      <c r="E2641" s="248" t="s">
        <v>1853</v>
      </c>
      <c r="F2641" t="s">
        <v>620</v>
      </c>
      <c r="G2641" s="89" t="s">
        <v>2228</v>
      </c>
      <c r="H2641" s="315" t="s">
        <v>732</v>
      </c>
      <c r="I2641" s="308" t="str">
        <f t="shared" si="108"/>
        <v>Pesado de Passageiros M3: III : Gasóleo : E3</v>
      </c>
      <c r="J2641" s="237">
        <v>62</v>
      </c>
      <c r="K2641" s="253">
        <v>2022</v>
      </c>
      <c r="L2641" s="85">
        <v>4480.09</v>
      </c>
      <c r="M2641" s="85" t="s">
        <v>630</v>
      </c>
      <c r="N2641" s="85">
        <v>12308</v>
      </c>
      <c r="O2641" s="128">
        <f t="shared" si="109"/>
        <v>763096</v>
      </c>
      <c r="P2641" s="89" t="s">
        <v>2784</v>
      </c>
      <c r="Q2641" t="s">
        <v>47</v>
      </c>
      <c r="R2641" s="214" t="s">
        <v>1869</v>
      </c>
      <c r="S2641" s="214" t="s">
        <v>1861</v>
      </c>
      <c r="U2641" t="s">
        <v>1953</v>
      </c>
      <c r="V2641" t="s">
        <v>2813</v>
      </c>
    </row>
    <row r="2642" spans="1:22" ht="15.75" thickBot="1" x14ac:dyDescent="0.3">
      <c r="A2642" t="s">
        <v>4593</v>
      </c>
      <c r="B2642" t="s">
        <v>4593</v>
      </c>
      <c r="C2642" t="s">
        <v>4593</v>
      </c>
      <c r="D2642" t="s">
        <v>629</v>
      </c>
      <c r="E2642" s="248" t="s">
        <v>1853</v>
      </c>
      <c r="F2642" t="s">
        <v>620</v>
      </c>
      <c r="G2642" s="89" t="s">
        <v>1954</v>
      </c>
      <c r="H2642" s="315" t="s">
        <v>735</v>
      </c>
      <c r="I2642" s="308" t="str">
        <f t="shared" si="108"/>
        <v>Pesado de Passageiros M3: III : Gasóleo : E2</v>
      </c>
      <c r="J2642" s="237">
        <v>76</v>
      </c>
      <c r="K2642" s="253">
        <v>2022</v>
      </c>
      <c r="L2642" s="85">
        <v>11420.38</v>
      </c>
      <c r="M2642" s="85" t="s">
        <v>630</v>
      </c>
      <c r="N2642" s="85">
        <v>36633</v>
      </c>
      <c r="O2642" s="128">
        <f t="shared" si="109"/>
        <v>2784108</v>
      </c>
      <c r="P2642" s="89" t="s">
        <v>2785</v>
      </c>
      <c r="Q2642" t="s">
        <v>47</v>
      </c>
      <c r="R2642" s="214" t="s">
        <v>1869</v>
      </c>
      <c r="S2642" s="214" t="s">
        <v>1861</v>
      </c>
      <c r="U2642" t="s">
        <v>1953</v>
      </c>
      <c r="V2642" t="s">
        <v>2813</v>
      </c>
    </row>
    <row r="2643" spans="1:22" ht="15.75" thickBot="1" x14ac:dyDescent="0.3">
      <c r="A2643" t="s">
        <v>4593</v>
      </c>
      <c r="B2643" t="s">
        <v>4593</v>
      </c>
      <c r="C2643" t="s">
        <v>4593</v>
      </c>
      <c r="D2643" t="s">
        <v>629</v>
      </c>
      <c r="E2643" s="248" t="s">
        <v>1853</v>
      </c>
      <c r="F2643" t="s">
        <v>620</v>
      </c>
      <c r="G2643" s="89" t="s">
        <v>1954</v>
      </c>
      <c r="H2643" s="315" t="s">
        <v>735</v>
      </c>
      <c r="I2643" s="308" t="str">
        <f t="shared" si="108"/>
        <v>Pesado de Passageiros M3: III : Gasóleo : E2</v>
      </c>
      <c r="J2643" s="237">
        <v>74</v>
      </c>
      <c r="K2643" s="253">
        <v>2022</v>
      </c>
      <c r="L2643" s="85">
        <v>11109.37</v>
      </c>
      <c r="M2643" s="85" t="s">
        <v>630</v>
      </c>
      <c r="N2643" s="85">
        <v>36674</v>
      </c>
      <c r="O2643" s="128">
        <f t="shared" si="109"/>
        <v>2713876</v>
      </c>
      <c r="P2643" s="89" t="s">
        <v>2786</v>
      </c>
      <c r="Q2643" t="s">
        <v>47</v>
      </c>
      <c r="R2643" s="214" t="s">
        <v>1869</v>
      </c>
      <c r="S2643" s="214" t="s">
        <v>1861</v>
      </c>
      <c r="U2643" t="s">
        <v>1953</v>
      </c>
      <c r="V2643" t="s">
        <v>2813</v>
      </c>
    </row>
    <row r="2644" spans="1:22" ht="15.75" thickBot="1" x14ac:dyDescent="0.3">
      <c r="A2644" t="s">
        <v>4593</v>
      </c>
      <c r="B2644" t="s">
        <v>4593</v>
      </c>
      <c r="C2644" t="s">
        <v>4593</v>
      </c>
      <c r="D2644" t="s">
        <v>629</v>
      </c>
      <c r="E2644" s="248" t="s">
        <v>1853</v>
      </c>
      <c r="F2644" t="s">
        <v>620</v>
      </c>
      <c r="G2644" s="89" t="s">
        <v>2206</v>
      </c>
      <c r="H2644" s="315" t="s">
        <v>735</v>
      </c>
      <c r="I2644" s="308" t="str">
        <f t="shared" si="108"/>
        <v>Pesado de Passageiros M3: III : Gasóleo : E2</v>
      </c>
      <c r="J2644" s="237">
        <v>74</v>
      </c>
      <c r="K2644" s="253">
        <v>2022</v>
      </c>
      <c r="L2644" s="85">
        <v>8273.1</v>
      </c>
      <c r="M2644" s="85" t="s">
        <v>630</v>
      </c>
      <c r="N2644" s="85">
        <v>29240</v>
      </c>
      <c r="O2644" s="128">
        <f t="shared" si="109"/>
        <v>2163760</v>
      </c>
      <c r="P2644" s="89" t="s">
        <v>2787</v>
      </c>
      <c r="Q2644" t="s">
        <v>47</v>
      </c>
      <c r="R2644" s="214" t="s">
        <v>1869</v>
      </c>
      <c r="S2644" s="214" t="s">
        <v>1861</v>
      </c>
      <c r="U2644" t="s">
        <v>1953</v>
      </c>
      <c r="V2644" t="s">
        <v>2813</v>
      </c>
    </row>
    <row r="2645" spans="1:22" ht="15.75" thickBot="1" x14ac:dyDescent="0.3">
      <c r="A2645" t="s">
        <v>4593</v>
      </c>
      <c r="B2645" t="s">
        <v>4593</v>
      </c>
      <c r="C2645" t="s">
        <v>4593</v>
      </c>
      <c r="D2645" t="s">
        <v>629</v>
      </c>
      <c r="E2645" s="248" t="s">
        <v>1853</v>
      </c>
      <c r="F2645" t="s">
        <v>620</v>
      </c>
      <c r="G2645" s="89" t="s">
        <v>2208</v>
      </c>
      <c r="H2645" s="315" t="s">
        <v>735</v>
      </c>
      <c r="I2645" s="308" t="str">
        <f t="shared" si="108"/>
        <v>Pesado de Passageiros M3: III : Gasóleo : E2</v>
      </c>
      <c r="J2645" s="237">
        <v>53</v>
      </c>
      <c r="K2645" s="253">
        <v>2022</v>
      </c>
      <c r="L2645" s="85">
        <v>10578.11</v>
      </c>
      <c r="M2645" s="85" t="s">
        <v>630</v>
      </c>
      <c r="N2645" s="85">
        <v>32078</v>
      </c>
      <c r="O2645" s="128">
        <f t="shared" si="109"/>
        <v>1700134</v>
      </c>
      <c r="P2645" s="89" t="s">
        <v>2788</v>
      </c>
      <c r="Q2645" t="s">
        <v>47</v>
      </c>
      <c r="R2645" s="214" t="s">
        <v>1869</v>
      </c>
      <c r="S2645" s="214" t="s">
        <v>1861</v>
      </c>
      <c r="U2645" t="s">
        <v>1953</v>
      </c>
      <c r="V2645" t="s">
        <v>2813</v>
      </c>
    </row>
    <row r="2646" spans="1:22" ht="15.75" thickBot="1" x14ac:dyDescent="0.3">
      <c r="A2646" t="s">
        <v>4593</v>
      </c>
      <c r="B2646" t="s">
        <v>4593</v>
      </c>
      <c r="C2646" t="s">
        <v>4593</v>
      </c>
      <c r="D2646" t="s">
        <v>629</v>
      </c>
      <c r="E2646" s="248" t="s">
        <v>1853</v>
      </c>
      <c r="F2646" t="s">
        <v>620</v>
      </c>
      <c r="G2646" s="89" t="s">
        <v>2215</v>
      </c>
      <c r="H2646" s="315" t="s">
        <v>735</v>
      </c>
      <c r="I2646" s="308" t="str">
        <f t="shared" si="108"/>
        <v>Pesado de Passageiros M3: III : Gasóleo : E2</v>
      </c>
      <c r="J2646" s="237">
        <v>80</v>
      </c>
      <c r="K2646" s="253">
        <v>2022</v>
      </c>
      <c r="L2646" s="85">
        <v>10881.27</v>
      </c>
      <c r="M2646" s="85" t="s">
        <v>630</v>
      </c>
      <c r="N2646" s="85">
        <v>37036</v>
      </c>
      <c r="O2646" s="128">
        <f t="shared" si="109"/>
        <v>2962880</v>
      </c>
      <c r="P2646" s="89" t="s">
        <v>2789</v>
      </c>
      <c r="Q2646" t="s">
        <v>47</v>
      </c>
      <c r="R2646" s="214" t="s">
        <v>1869</v>
      </c>
      <c r="S2646" s="214" t="s">
        <v>1861</v>
      </c>
      <c r="U2646" t="s">
        <v>1953</v>
      </c>
      <c r="V2646" t="s">
        <v>2813</v>
      </c>
    </row>
    <row r="2647" spans="1:22" ht="15.75" thickBot="1" x14ac:dyDescent="0.3">
      <c r="A2647" t="s">
        <v>4593</v>
      </c>
      <c r="B2647" t="s">
        <v>4593</v>
      </c>
      <c r="C2647" t="s">
        <v>4593</v>
      </c>
      <c r="D2647" t="s">
        <v>629</v>
      </c>
      <c r="E2647" s="248" t="s">
        <v>1853</v>
      </c>
      <c r="F2647" t="s">
        <v>620</v>
      </c>
      <c r="G2647" s="89" t="s">
        <v>2229</v>
      </c>
      <c r="H2647" s="315" t="s">
        <v>733</v>
      </c>
      <c r="I2647" s="308" t="str">
        <f t="shared" si="108"/>
        <v>Pesado de Passageiros M3: III : Gasóleo : E6</v>
      </c>
      <c r="J2647" s="237">
        <v>53</v>
      </c>
      <c r="K2647" s="253">
        <v>2022</v>
      </c>
      <c r="L2647" s="85">
        <v>26185.47</v>
      </c>
      <c r="M2647" s="85" t="s">
        <v>630</v>
      </c>
      <c r="N2647" s="85">
        <v>102250</v>
      </c>
      <c r="O2647" s="128">
        <f t="shared" si="109"/>
        <v>5419250</v>
      </c>
      <c r="P2647" s="89" t="s">
        <v>2790</v>
      </c>
      <c r="Q2647" t="s">
        <v>47</v>
      </c>
      <c r="R2647" s="214" t="s">
        <v>1869</v>
      </c>
      <c r="S2647" s="214" t="s">
        <v>1861</v>
      </c>
      <c r="U2647" t="s">
        <v>1953</v>
      </c>
      <c r="V2647" t="s">
        <v>2813</v>
      </c>
    </row>
    <row r="2648" spans="1:22" ht="15.75" thickBot="1" x14ac:dyDescent="0.3">
      <c r="A2648" t="s">
        <v>4593</v>
      </c>
      <c r="B2648" t="s">
        <v>4593</v>
      </c>
      <c r="C2648" t="s">
        <v>4593</v>
      </c>
      <c r="D2648" t="s">
        <v>629</v>
      </c>
      <c r="E2648" s="248" t="s">
        <v>1853</v>
      </c>
      <c r="F2648" t="s">
        <v>620</v>
      </c>
      <c r="G2648" s="89" t="s">
        <v>2229</v>
      </c>
      <c r="H2648" s="315" t="s">
        <v>733</v>
      </c>
      <c r="I2648" s="308" t="str">
        <f t="shared" si="108"/>
        <v>Pesado de Passageiros M3: III : Gasóleo : E6</v>
      </c>
      <c r="J2648" s="237">
        <v>53</v>
      </c>
      <c r="K2648" s="253">
        <v>2022</v>
      </c>
      <c r="L2648" s="85">
        <v>22943.16</v>
      </c>
      <c r="M2648" s="85" t="s">
        <v>630</v>
      </c>
      <c r="N2648" s="85">
        <v>87701</v>
      </c>
      <c r="O2648" s="128">
        <f t="shared" si="109"/>
        <v>4648153</v>
      </c>
      <c r="P2648" s="89" t="s">
        <v>2791</v>
      </c>
      <c r="Q2648" t="s">
        <v>47</v>
      </c>
      <c r="R2648" s="214" t="s">
        <v>1869</v>
      </c>
      <c r="S2648" s="214" t="s">
        <v>1861</v>
      </c>
      <c r="U2648" t="s">
        <v>1953</v>
      </c>
      <c r="V2648" t="s">
        <v>2813</v>
      </c>
    </row>
    <row r="2649" spans="1:22" ht="15.75" thickBot="1" x14ac:dyDescent="0.3">
      <c r="A2649" t="s">
        <v>4593</v>
      </c>
      <c r="B2649" t="s">
        <v>4593</v>
      </c>
      <c r="C2649" t="s">
        <v>4593</v>
      </c>
      <c r="D2649" t="s">
        <v>629</v>
      </c>
      <c r="E2649" s="248" t="s">
        <v>1853</v>
      </c>
      <c r="F2649" t="s">
        <v>620</v>
      </c>
      <c r="G2649" s="89" t="s">
        <v>2221</v>
      </c>
      <c r="H2649" s="315" t="s">
        <v>734</v>
      </c>
      <c r="I2649" s="308" t="str">
        <f t="shared" si="108"/>
        <v>Pesado de Passageiros M3: III : Gasóleo : E5</v>
      </c>
      <c r="J2649" s="237">
        <v>90</v>
      </c>
      <c r="K2649" s="253">
        <v>2022</v>
      </c>
      <c r="L2649" s="85">
        <v>803.95</v>
      </c>
      <c r="M2649" s="85" t="s">
        <v>630</v>
      </c>
      <c r="N2649" s="85">
        <v>2457</v>
      </c>
      <c r="O2649" s="128">
        <f t="shared" si="109"/>
        <v>221130</v>
      </c>
      <c r="P2649" s="89" t="s">
        <v>2792</v>
      </c>
      <c r="Q2649" t="s">
        <v>47</v>
      </c>
      <c r="R2649" s="214" t="s">
        <v>1869</v>
      </c>
      <c r="S2649" s="214" t="s">
        <v>1861</v>
      </c>
      <c r="U2649" t="s">
        <v>1953</v>
      </c>
      <c r="V2649" t="s">
        <v>2813</v>
      </c>
    </row>
    <row r="2650" spans="1:22" ht="15.75" thickBot="1" x14ac:dyDescent="0.3">
      <c r="A2650" t="s">
        <v>4593</v>
      </c>
      <c r="B2650" t="s">
        <v>4593</v>
      </c>
      <c r="C2650" t="s">
        <v>4593</v>
      </c>
      <c r="D2650" t="s">
        <v>629</v>
      </c>
      <c r="E2650" s="248" t="s">
        <v>1853</v>
      </c>
      <c r="F2650" t="s">
        <v>620</v>
      </c>
      <c r="G2650" s="89" t="s">
        <v>2221</v>
      </c>
      <c r="H2650" s="315" t="s">
        <v>734</v>
      </c>
      <c r="I2650" s="308" t="str">
        <f t="shared" si="108"/>
        <v>Pesado de Passageiros M3: III : Gasóleo : E5</v>
      </c>
      <c r="J2650" s="237">
        <v>90</v>
      </c>
      <c r="K2650" s="253">
        <v>2022</v>
      </c>
      <c r="L2650" s="85">
        <v>1578.76</v>
      </c>
      <c r="M2650" s="85" t="s">
        <v>630</v>
      </c>
      <c r="N2650" s="85">
        <v>4681</v>
      </c>
      <c r="O2650" s="128">
        <f t="shared" si="109"/>
        <v>421290</v>
      </c>
      <c r="P2650" s="89" t="s">
        <v>2793</v>
      </c>
      <c r="Q2650" t="s">
        <v>47</v>
      </c>
      <c r="R2650" s="214" t="s">
        <v>1869</v>
      </c>
      <c r="S2650" s="214" t="s">
        <v>1861</v>
      </c>
      <c r="U2650" t="s">
        <v>1953</v>
      </c>
      <c r="V2650" t="s">
        <v>2813</v>
      </c>
    </row>
    <row r="2651" spans="1:22" ht="15.75" thickBot="1" x14ac:dyDescent="0.3">
      <c r="A2651" t="s">
        <v>4593</v>
      </c>
      <c r="B2651" t="s">
        <v>4593</v>
      </c>
      <c r="C2651" t="s">
        <v>4593</v>
      </c>
      <c r="D2651" t="s">
        <v>629</v>
      </c>
      <c r="E2651" s="248" t="s">
        <v>1853</v>
      </c>
      <c r="F2651" t="s">
        <v>620</v>
      </c>
      <c r="G2651" s="89" t="s">
        <v>2221</v>
      </c>
      <c r="H2651" s="315" t="s">
        <v>734</v>
      </c>
      <c r="I2651" s="308" t="str">
        <f t="shared" si="108"/>
        <v>Pesado de Passageiros M3: III : Gasóleo : E5</v>
      </c>
      <c r="J2651" s="237">
        <v>90</v>
      </c>
      <c r="K2651" s="253">
        <v>2022</v>
      </c>
      <c r="L2651" s="85">
        <v>1908.93</v>
      </c>
      <c r="M2651" s="85" t="s">
        <v>630</v>
      </c>
      <c r="N2651" s="85">
        <v>6013</v>
      </c>
      <c r="O2651" s="128">
        <f t="shared" si="109"/>
        <v>541170</v>
      </c>
      <c r="P2651" s="89" t="s">
        <v>2794</v>
      </c>
      <c r="Q2651" t="s">
        <v>47</v>
      </c>
      <c r="R2651" s="214" t="s">
        <v>1869</v>
      </c>
      <c r="S2651" s="214" t="s">
        <v>1861</v>
      </c>
      <c r="U2651" t="s">
        <v>1953</v>
      </c>
      <c r="V2651" t="s">
        <v>2813</v>
      </c>
    </row>
    <row r="2652" spans="1:22" ht="15.75" thickBot="1" x14ac:dyDescent="0.3">
      <c r="A2652" t="s">
        <v>4593</v>
      </c>
      <c r="B2652" t="s">
        <v>4593</v>
      </c>
      <c r="C2652" t="s">
        <v>4593</v>
      </c>
      <c r="D2652" t="s">
        <v>629</v>
      </c>
      <c r="E2652" s="248" t="s">
        <v>1853</v>
      </c>
      <c r="F2652" t="s">
        <v>620</v>
      </c>
      <c r="G2652" s="89" t="s">
        <v>2221</v>
      </c>
      <c r="H2652" s="315" t="s">
        <v>734</v>
      </c>
      <c r="I2652" s="308" t="str">
        <f t="shared" si="108"/>
        <v>Pesado de Passageiros M3: III : Gasóleo : E5</v>
      </c>
      <c r="J2652" s="237">
        <v>90</v>
      </c>
      <c r="K2652" s="253">
        <v>2022</v>
      </c>
      <c r="L2652" s="85">
        <v>1729.9</v>
      </c>
      <c r="M2652" s="85" t="s">
        <v>630</v>
      </c>
      <c r="N2652" s="85">
        <v>5378</v>
      </c>
      <c r="O2652" s="128">
        <f t="shared" si="109"/>
        <v>484020</v>
      </c>
      <c r="P2652" s="89" t="s">
        <v>2795</v>
      </c>
      <c r="Q2652" t="s">
        <v>47</v>
      </c>
      <c r="R2652" s="214" t="s">
        <v>1869</v>
      </c>
      <c r="S2652" s="214" t="s">
        <v>1861</v>
      </c>
      <c r="U2652" t="s">
        <v>1953</v>
      </c>
      <c r="V2652" t="s">
        <v>2813</v>
      </c>
    </row>
    <row r="2653" spans="1:22" ht="15.75" thickBot="1" x14ac:dyDescent="0.3">
      <c r="A2653" t="s">
        <v>4593</v>
      </c>
      <c r="B2653" t="s">
        <v>4593</v>
      </c>
      <c r="C2653" t="s">
        <v>4593</v>
      </c>
      <c r="D2653" t="s">
        <v>629</v>
      </c>
      <c r="E2653" s="248" t="s">
        <v>1853</v>
      </c>
      <c r="F2653" t="s">
        <v>620</v>
      </c>
      <c r="G2653" s="89" t="s">
        <v>2222</v>
      </c>
      <c r="H2653" s="315" t="s">
        <v>735</v>
      </c>
      <c r="I2653" s="308" t="str">
        <f t="shared" si="108"/>
        <v>Pesado de Passageiros M3: III : Gasóleo : E2</v>
      </c>
      <c r="J2653" s="237">
        <v>97</v>
      </c>
      <c r="K2653" s="253">
        <v>2022</v>
      </c>
      <c r="L2653" s="85">
        <v>13013.56</v>
      </c>
      <c r="M2653" s="85" t="s">
        <v>630</v>
      </c>
      <c r="N2653" s="85">
        <v>26656</v>
      </c>
      <c r="O2653" s="128">
        <f t="shared" si="109"/>
        <v>2585632</v>
      </c>
      <c r="P2653" s="89" t="s">
        <v>2796</v>
      </c>
      <c r="Q2653" t="s">
        <v>47</v>
      </c>
      <c r="R2653" s="214" t="s">
        <v>1869</v>
      </c>
      <c r="S2653" s="214" t="s">
        <v>1861</v>
      </c>
      <c r="U2653" t="s">
        <v>1953</v>
      </c>
      <c r="V2653" t="s">
        <v>2813</v>
      </c>
    </row>
    <row r="2654" spans="1:22" ht="15.75" thickBot="1" x14ac:dyDescent="0.3">
      <c r="A2654" t="s">
        <v>4593</v>
      </c>
      <c r="B2654" t="s">
        <v>4593</v>
      </c>
      <c r="C2654" t="s">
        <v>4593</v>
      </c>
      <c r="D2654" t="s">
        <v>629</v>
      </c>
      <c r="E2654" s="248" t="s">
        <v>1853</v>
      </c>
      <c r="F2654" t="s">
        <v>620</v>
      </c>
      <c r="G2654" s="89" t="s">
        <v>2207</v>
      </c>
      <c r="H2654" s="315" t="s">
        <v>735</v>
      </c>
      <c r="I2654" s="308" t="str">
        <f t="shared" si="108"/>
        <v>Pesado de Passageiros M3: III : Gasóleo : E2</v>
      </c>
      <c r="J2654" s="237">
        <v>99</v>
      </c>
      <c r="K2654" s="253">
        <v>2022</v>
      </c>
      <c r="L2654" s="85">
        <v>15111.55</v>
      </c>
      <c r="M2654" s="85" t="s">
        <v>630</v>
      </c>
      <c r="N2654" s="85">
        <v>32961</v>
      </c>
      <c r="O2654" s="128">
        <f t="shared" si="109"/>
        <v>3263139</v>
      </c>
      <c r="P2654" s="89" t="s">
        <v>2797</v>
      </c>
      <c r="Q2654" t="s">
        <v>47</v>
      </c>
      <c r="R2654" s="214" t="s">
        <v>1869</v>
      </c>
      <c r="S2654" s="214" t="s">
        <v>1861</v>
      </c>
      <c r="U2654" t="s">
        <v>1953</v>
      </c>
      <c r="V2654" t="s">
        <v>2813</v>
      </c>
    </row>
    <row r="2655" spans="1:22" ht="15.75" thickBot="1" x14ac:dyDescent="0.3">
      <c r="A2655" t="s">
        <v>4593</v>
      </c>
      <c r="B2655" t="s">
        <v>4593</v>
      </c>
      <c r="C2655" t="s">
        <v>4593</v>
      </c>
      <c r="D2655" t="s">
        <v>629</v>
      </c>
      <c r="E2655" s="248" t="s">
        <v>1853</v>
      </c>
      <c r="F2655" t="s">
        <v>620</v>
      </c>
      <c r="G2655" s="89" t="s">
        <v>2222</v>
      </c>
      <c r="H2655" s="315" t="s">
        <v>735</v>
      </c>
      <c r="I2655" s="308" t="str">
        <f t="shared" si="108"/>
        <v>Pesado de Passageiros M3: III : Gasóleo : E2</v>
      </c>
      <c r="J2655" s="237">
        <v>97</v>
      </c>
      <c r="K2655" s="253">
        <v>2022</v>
      </c>
      <c r="L2655" s="85">
        <v>14653.65</v>
      </c>
      <c r="M2655" s="85" t="s">
        <v>630</v>
      </c>
      <c r="N2655" s="85">
        <v>28572</v>
      </c>
      <c r="O2655" s="128">
        <f t="shared" si="109"/>
        <v>2771484</v>
      </c>
      <c r="P2655" s="89" t="s">
        <v>2798</v>
      </c>
      <c r="Q2655" t="s">
        <v>47</v>
      </c>
      <c r="R2655" s="214" t="s">
        <v>1869</v>
      </c>
      <c r="S2655" s="214" t="s">
        <v>1861</v>
      </c>
      <c r="U2655" t="s">
        <v>1953</v>
      </c>
      <c r="V2655" t="s">
        <v>2813</v>
      </c>
    </row>
    <row r="2656" spans="1:22" ht="15.75" thickBot="1" x14ac:dyDescent="0.3">
      <c r="A2656" t="s">
        <v>4593</v>
      </c>
      <c r="B2656" t="s">
        <v>4593</v>
      </c>
      <c r="C2656" t="s">
        <v>4593</v>
      </c>
      <c r="D2656" t="s">
        <v>629</v>
      </c>
      <c r="E2656" s="248" t="s">
        <v>1853</v>
      </c>
      <c r="F2656" t="s">
        <v>620</v>
      </c>
      <c r="G2656" s="89" t="s">
        <v>2219</v>
      </c>
      <c r="H2656" s="315" t="s">
        <v>732</v>
      </c>
      <c r="I2656" s="308" t="str">
        <f t="shared" si="108"/>
        <v>Pesado de Passageiros M3: III : Gasóleo : E3</v>
      </c>
      <c r="J2656" s="237">
        <v>95</v>
      </c>
      <c r="K2656" s="253">
        <v>2022</v>
      </c>
      <c r="L2656" s="85">
        <v>633.08000000000004</v>
      </c>
      <c r="M2656" s="85" t="s">
        <v>630</v>
      </c>
      <c r="N2656" s="85">
        <v>1303</v>
      </c>
      <c r="O2656" s="128">
        <f t="shared" si="109"/>
        <v>123785</v>
      </c>
      <c r="P2656" s="89" t="s">
        <v>2799</v>
      </c>
      <c r="Q2656" t="s">
        <v>47</v>
      </c>
      <c r="R2656" s="214" t="s">
        <v>1869</v>
      </c>
      <c r="S2656" s="214" t="s">
        <v>1861</v>
      </c>
      <c r="U2656" t="s">
        <v>1953</v>
      </c>
      <c r="V2656" t="s">
        <v>2813</v>
      </c>
    </row>
    <row r="2657" spans="1:22" ht="15.75" thickBot="1" x14ac:dyDescent="0.3">
      <c r="A2657" t="s">
        <v>4593</v>
      </c>
      <c r="B2657" t="s">
        <v>4593</v>
      </c>
      <c r="C2657" t="s">
        <v>4593</v>
      </c>
      <c r="D2657" t="s">
        <v>629</v>
      </c>
      <c r="E2657" s="248" t="s">
        <v>1853</v>
      </c>
      <c r="F2657" t="s">
        <v>620</v>
      </c>
      <c r="G2657" s="89" t="s">
        <v>2219</v>
      </c>
      <c r="H2657" s="315" t="s">
        <v>732</v>
      </c>
      <c r="I2657" s="308" t="str">
        <f t="shared" si="108"/>
        <v>Pesado de Passageiros M3: III : Gasóleo : E3</v>
      </c>
      <c r="J2657" s="237">
        <v>92</v>
      </c>
      <c r="K2657" s="253">
        <v>2022</v>
      </c>
      <c r="L2657" s="85">
        <v>920.2</v>
      </c>
      <c r="M2657" s="85" t="s">
        <v>630</v>
      </c>
      <c r="N2657" s="85">
        <v>1829</v>
      </c>
      <c r="O2657" s="128">
        <f t="shared" si="109"/>
        <v>168268</v>
      </c>
      <c r="P2657" s="89" t="s">
        <v>2800</v>
      </c>
      <c r="Q2657" t="s">
        <v>47</v>
      </c>
      <c r="R2657" s="214" t="s">
        <v>1869</v>
      </c>
      <c r="S2657" s="214" t="s">
        <v>1861</v>
      </c>
      <c r="U2657" t="s">
        <v>1953</v>
      </c>
      <c r="V2657" t="s">
        <v>2813</v>
      </c>
    </row>
    <row r="2658" spans="1:22" ht="15.75" thickBot="1" x14ac:dyDescent="0.3">
      <c r="A2658" t="s">
        <v>4593</v>
      </c>
      <c r="B2658" t="s">
        <v>4593</v>
      </c>
      <c r="C2658" t="s">
        <v>4593</v>
      </c>
      <c r="D2658" t="s">
        <v>629</v>
      </c>
      <c r="E2658" s="248" t="s">
        <v>1853</v>
      </c>
      <c r="F2658" t="s">
        <v>620</v>
      </c>
      <c r="G2658" s="89" t="s">
        <v>2219</v>
      </c>
      <c r="H2658" s="315" t="s">
        <v>732</v>
      </c>
      <c r="I2658" s="308" t="str">
        <f t="shared" si="108"/>
        <v>Pesado de Passageiros M3: III : Gasóleo : E3</v>
      </c>
      <c r="J2658" s="237">
        <v>92</v>
      </c>
      <c r="K2658" s="253">
        <v>2022</v>
      </c>
      <c r="L2658" s="85">
        <v>1899.93</v>
      </c>
      <c r="M2658" s="85" t="s">
        <v>630</v>
      </c>
      <c r="N2658" s="85">
        <v>4220</v>
      </c>
      <c r="O2658" s="128">
        <f t="shared" si="109"/>
        <v>388240</v>
      </c>
      <c r="P2658" s="89" t="s">
        <v>2801</v>
      </c>
      <c r="Q2658" t="s">
        <v>47</v>
      </c>
      <c r="R2658" s="214" t="s">
        <v>1869</v>
      </c>
      <c r="S2658" s="214" t="s">
        <v>1861</v>
      </c>
      <c r="U2658" t="s">
        <v>1953</v>
      </c>
      <c r="V2658" t="s">
        <v>2813</v>
      </c>
    </row>
    <row r="2659" spans="1:22" ht="15.75" thickBot="1" x14ac:dyDescent="0.3">
      <c r="A2659" t="s">
        <v>4593</v>
      </c>
      <c r="B2659" t="s">
        <v>4593</v>
      </c>
      <c r="C2659" t="s">
        <v>4593</v>
      </c>
      <c r="D2659" t="s">
        <v>629</v>
      </c>
      <c r="E2659" s="248" t="s">
        <v>1853</v>
      </c>
      <c r="F2659" t="s">
        <v>620</v>
      </c>
      <c r="G2659" s="89" t="s">
        <v>2213</v>
      </c>
      <c r="H2659" s="315" t="s">
        <v>734</v>
      </c>
      <c r="I2659" s="308" t="str">
        <f t="shared" si="108"/>
        <v>Pesado de Passageiros M3: III : Gasóleo : E5</v>
      </c>
      <c r="J2659" s="237">
        <v>66</v>
      </c>
      <c r="K2659" s="253">
        <v>2022</v>
      </c>
      <c r="L2659" s="85">
        <v>8225.9500000000007</v>
      </c>
      <c r="M2659" s="85" t="s">
        <v>630</v>
      </c>
      <c r="N2659" s="85">
        <v>25382</v>
      </c>
      <c r="O2659" s="128">
        <f t="shared" si="109"/>
        <v>1675212</v>
      </c>
      <c r="P2659" s="89" t="s">
        <v>2802</v>
      </c>
      <c r="Q2659" t="s">
        <v>47</v>
      </c>
      <c r="R2659" s="214" t="s">
        <v>1869</v>
      </c>
      <c r="S2659" s="214" t="s">
        <v>1861</v>
      </c>
      <c r="U2659" t="s">
        <v>1953</v>
      </c>
      <c r="V2659" t="s">
        <v>2813</v>
      </c>
    </row>
    <row r="2660" spans="1:22" ht="15.75" thickBot="1" x14ac:dyDescent="0.3">
      <c r="A2660" t="s">
        <v>4593</v>
      </c>
      <c r="B2660" t="s">
        <v>4593</v>
      </c>
      <c r="C2660" t="s">
        <v>4593</v>
      </c>
      <c r="D2660" t="s">
        <v>629</v>
      </c>
      <c r="E2660" s="248" t="s">
        <v>1853</v>
      </c>
      <c r="F2660" t="s">
        <v>620</v>
      </c>
      <c r="G2660" s="89" t="s">
        <v>2211</v>
      </c>
      <c r="H2660" s="315" t="s">
        <v>731</v>
      </c>
      <c r="I2660" s="308" t="str">
        <f t="shared" si="108"/>
        <v>Pesado de Passageiros M3: III : Gasóleo : E4</v>
      </c>
      <c r="J2660" s="237">
        <v>28</v>
      </c>
      <c r="K2660" s="253">
        <v>2022</v>
      </c>
      <c r="L2660" s="85">
        <v>0</v>
      </c>
      <c r="M2660" s="85" t="s">
        <v>630</v>
      </c>
      <c r="N2660" s="85">
        <v>0</v>
      </c>
      <c r="O2660" s="128">
        <f t="shared" si="109"/>
        <v>0</v>
      </c>
      <c r="P2660" s="89" t="s">
        <v>2803</v>
      </c>
      <c r="Q2660" t="s">
        <v>47</v>
      </c>
      <c r="R2660" s="214" t="s">
        <v>1869</v>
      </c>
      <c r="S2660" s="214" t="s">
        <v>1861</v>
      </c>
      <c r="U2660" t="s">
        <v>1953</v>
      </c>
      <c r="V2660" t="s">
        <v>2813</v>
      </c>
    </row>
    <row r="2661" spans="1:22" ht="15.75" thickBot="1" x14ac:dyDescent="0.3">
      <c r="A2661" t="s">
        <v>4596</v>
      </c>
      <c r="B2661" t="s">
        <v>4596</v>
      </c>
      <c r="C2661" t="s">
        <v>4596</v>
      </c>
      <c r="D2661" s="238" t="s">
        <v>1920</v>
      </c>
      <c r="E2661" s="256" t="s">
        <v>2231</v>
      </c>
      <c r="F2661" t="s">
        <v>620</v>
      </c>
      <c r="G2661" s="89">
        <v>2005</v>
      </c>
      <c r="H2661" s="312" t="s">
        <v>732</v>
      </c>
      <c r="I2661" s="308" t="str">
        <f t="shared" si="108"/>
        <v>Pesado de Mercadorias N3: Geral : Gasóleo : E3</v>
      </c>
      <c r="J2661" s="125"/>
      <c r="K2661" s="253">
        <v>2022</v>
      </c>
      <c r="L2661" s="85"/>
      <c r="M2661" s="85"/>
      <c r="N2661" s="128"/>
      <c r="O2661" s="128">
        <f t="shared" si="109"/>
        <v>0</v>
      </c>
      <c r="P2661" s="89" t="s">
        <v>2804</v>
      </c>
      <c r="Q2661" t="s">
        <v>47</v>
      </c>
      <c r="R2661" s="214" t="s">
        <v>1869</v>
      </c>
      <c r="S2661" s="214" t="s">
        <v>1861</v>
      </c>
      <c r="T2661" t="s">
        <v>1941</v>
      </c>
      <c r="U2661" t="s">
        <v>1953</v>
      </c>
      <c r="V2661" t="s">
        <v>2813</v>
      </c>
    </row>
    <row r="2662" spans="1:22" ht="15.75" thickBot="1" x14ac:dyDescent="0.3">
      <c r="A2662" t="s">
        <v>4596</v>
      </c>
      <c r="B2662" t="s">
        <v>4596</v>
      </c>
      <c r="C2662" t="s">
        <v>4596</v>
      </c>
      <c r="D2662" s="238" t="s">
        <v>1920</v>
      </c>
      <c r="E2662" s="256" t="s">
        <v>2231</v>
      </c>
      <c r="F2662" t="s">
        <v>620</v>
      </c>
      <c r="G2662" s="89">
        <v>2005</v>
      </c>
      <c r="H2662" s="312" t="s">
        <v>732</v>
      </c>
      <c r="I2662" s="308" t="str">
        <f t="shared" si="108"/>
        <v>Pesado de Mercadorias N3: Geral : Gasóleo : E3</v>
      </c>
      <c r="J2662" s="125"/>
      <c r="K2662" s="253">
        <v>2022</v>
      </c>
      <c r="L2662" s="85"/>
      <c r="M2662" s="85"/>
      <c r="N2662" s="128"/>
      <c r="O2662" s="128">
        <f t="shared" si="109"/>
        <v>0</v>
      </c>
      <c r="P2662" s="89" t="s">
        <v>2805</v>
      </c>
      <c r="Q2662" t="s">
        <v>47</v>
      </c>
      <c r="R2662" s="214" t="s">
        <v>1869</v>
      </c>
      <c r="S2662" s="214" t="s">
        <v>1861</v>
      </c>
      <c r="T2662" t="s">
        <v>1941</v>
      </c>
      <c r="U2662" t="s">
        <v>1953</v>
      </c>
      <c r="V2662" t="s">
        <v>2813</v>
      </c>
    </row>
    <row r="2663" spans="1:22" ht="15.75" thickBot="1" x14ac:dyDescent="0.3">
      <c r="A2663" t="s">
        <v>4596</v>
      </c>
      <c r="B2663" t="s">
        <v>4596</v>
      </c>
      <c r="C2663" t="s">
        <v>4596</v>
      </c>
      <c r="D2663" s="238" t="s">
        <v>1920</v>
      </c>
      <c r="E2663" s="256" t="s">
        <v>2231</v>
      </c>
      <c r="F2663" t="s">
        <v>620</v>
      </c>
      <c r="G2663" s="89">
        <v>2005</v>
      </c>
      <c r="H2663" s="312" t="s">
        <v>732</v>
      </c>
      <c r="I2663" s="308" t="str">
        <f t="shared" si="108"/>
        <v>Pesado de Mercadorias N3: Geral : Gasóleo : E3</v>
      </c>
      <c r="J2663" s="125"/>
      <c r="K2663" s="253">
        <v>2022</v>
      </c>
      <c r="L2663" s="85"/>
      <c r="M2663" s="85"/>
      <c r="N2663" s="128"/>
      <c r="O2663" s="128">
        <f t="shared" si="109"/>
        <v>0</v>
      </c>
      <c r="P2663" s="89" t="s">
        <v>2806</v>
      </c>
      <c r="Q2663" t="s">
        <v>47</v>
      </c>
      <c r="R2663" s="214" t="s">
        <v>1869</v>
      </c>
      <c r="S2663" s="214" t="s">
        <v>1861</v>
      </c>
      <c r="T2663" t="s">
        <v>1941</v>
      </c>
      <c r="U2663" t="s">
        <v>1953</v>
      </c>
      <c r="V2663" t="s">
        <v>2813</v>
      </c>
    </row>
    <row r="2664" spans="1:22" ht="15.75" thickBot="1" x14ac:dyDescent="0.3">
      <c r="A2664" t="s">
        <v>4597</v>
      </c>
      <c r="B2664" t="s">
        <v>4597</v>
      </c>
      <c r="C2664" t="s">
        <v>4597</v>
      </c>
      <c r="D2664" s="238" t="s">
        <v>1920</v>
      </c>
      <c r="E2664" s="256" t="s">
        <v>2231</v>
      </c>
      <c r="F2664" t="s">
        <v>620</v>
      </c>
      <c r="G2664" s="89">
        <v>2008</v>
      </c>
      <c r="H2664" s="312" t="s">
        <v>734</v>
      </c>
      <c r="I2664" s="308" t="str">
        <f t="shared" si="108"/>
        <v>Pesado de Mercadorias N3: Geral : Gasóleo : E5</v>
      </c>
      <c r="J2664" s="125"/>
      <c r="K2664" s="253">
        <v>2022</v>
      </c>
      <c r="L2664" s="85"/>
      <c r="M2664" s="85"/>
      <c r="N2664" s="128"/>
      <c r="O2664" s="128">
        <f t="shared" si="109"/>
        <v>0</v>
      </c>
      <c r="P2664" s="89" t="s">
        <v>2807</v>
      </c>
      <c r="Q2664" t="s">
        <v>47</v>
      </c>
      <c r="R2664" s="214" t="s">
        <v>1869</v>
      </c>
      <c r="S2664" s="214" t="s">
        <v>1861</v>
      </c>
      <c r="U2664" t="s">
        <v>1953</v>
      </c>
      <c r="V2664" t="s">
        <v>2813</v>
      </c>
    </row>
    <row r="2665" spans="1:22" ht="15.75" thickBot="1" x14ac:dyDescent="0.3">
      <c r="A2665" t="s">
        <v>4597</v>
      </c>
      <c r="B2665" t="s">
        <v>4597</v>
      </c>
      <c r="C2665" t="s">
        <v>4597</v>
      </c>
      <c r="D2665" s="238" t="s">
        <v>1920</v>
      </c>
      <c r="E2665" s="256" t="s">
        <v>2231</v>
      </c>
      <c r="F2665" t="s">
        <v>620</v>
      </c>
      <c r="G2665" s="89">
        <v>2012</v>
      </c>
      <c r="H2665" s="312" t="s">
        <v>733</v>
      </c>
      <c r="I2665" s="308" t="str">
        <f t="shared" si="108"/>
        <v>Pesado de Mercadorias N3: Geral : Gasóleo : E6</v>
      </c>
      <c r="J2665" s="125"/>
      <c r="K2665" s="253">
        <v>2022</v>
      </c>
      <c r="L2665" s="85"/>
      <c r="M2665" s="85"/>
      <c r="N2665" s="128"/>
      <c r="O2665" s="128">
        <f t="shared" si="109"/>
        <v>0</v>
      </c>
      <c r="P2665" s="89" t="s">
        <v>2808</v>
      </c>
      <c r="Q2665" t="s">
        <v>47</v>
      </c>
      <c r="R2665" s="214" t="s">
        <v>1869</v>
      </c>
      <c r="S2665" s="214" t="s">
        <v>1861</v>
      </c>
      <c r="U2665" t="s">
        <v>1953</v>
      </c>
      <c r="V2665" t="s">
        <v>2813</v>
      </c>
    </row>
    <row r="2666" spans="1:22" ht="15.75" thickBot="1" x14ac:dyDescent="0.3">
      <c r="A2666" t="s">
        <v>4597</v>
      </c>
      <c r="B2666" t="s">
        <v>4597</v>
      </c>
      <c r="C2666" t="s">
        <v>4597</v>
      </c>
      <c r="D2666" s="238" t="s">
        <v>1920</v>
      </c>
      <c r="E2666" s="256" t="s">
        <v>2231</v>
      </c>
      <c r="F2666" t="s">
        <v>620</v>
      </c>
      <c r="G2666" s="89">
        <v>1996</v>
      </c>
      <c r="H2666" s="312" t="s">
        <v>2230</v>
      </c>
      <c r="I2666" s="308" t="str">
        <f t="shared" si="108"/>
        <v>Pesado de Mercadorias N3: Geral : Gasóleo : E0</v>
      </c>
      <c r="J2666" s="125"/>
      <c r="K2666" s="253">
        <v>2022</v>
      </c>
      <c r="L2666" s="85"/>
      <c r="M2666" s="85"/>
      <c r="N2666" s="128"/>
      <c r="O2666" s="128">
        <f t="shared" si="109"/>
        <v>0</v>
      </c>
      <c r="P2666" s="89" t="s">
        <v>2809</v>
      </c>
      <c r="Q2666" t="s">
        <v>47</v>
      </c>
      <c r="R2666" s="214" t="s">
        <v>1869</v>
      </c>
      <c r="S2666" s="214" t="s">
        <v>1861</v>
      </c>
      <c r="U2666" t="s">
        <v>1953</v>
      </c>
      <c r="V2666" t="s">
        <v>2813</v>
      </c>
    </row>
    <row r="2667" spans="1:22" ht="15.75" thickBot="1" x14ac:dyDescent="0.3">
      <c r="A2667" t="s">
        <v>4597</v>
      </c>
      <c r="B2667" t="s">
        <v>4597</v>
      </c>
      <c r="C2667" t="s">
        <v>4597</v>
      </c>
      <c r="D2667" s="238" t="s">
        <v>1920</v>
      </c>
      <c r="E2667" s="256" t="s">
        <v>2231</v>
      </c>
      <c r="F2667" t="s">
        <v>620</v>
      </c>
      <c r="H2667" s="312" t="s">
        <v>2231</v>
      </c>
      <c r="I2667" s="308" t="str">
        <f t="shared" si="108"/>
        <v>Pesado de Mercadorias N3: Geral : Gasóleo : Geral</v>
      </c>
      <c r="J2667" s="125"/>
      <c r="K2667" s="253">
        <v>2022</v>
      </c>
      <c r="L2667" s="85"/>
      <c r="M2667" s="85"/>
      <c r="N2667" s="128"/>
      <c r="O2667" s="128">
        <f t="shared" si="109"/>
        <v>0</v>
      </c>
      <c r="P2667" s="89">
        <v>1</v>
      </c>
      <c r="Q2667" t="s">
        <v>47</v>
      </c>
      <c r="R2667" s="214" t="s">
        <v>1869</v>
      </c>
      <c r="S2667" s="214" t="s">
        <v>1861</v>
      </c>
      <c r="U2667" t="s">
        <v>1953</v>
      </c>
      <c r="V2667" t="s">
        <v>2813</v>
      </c>
    </row>
    <row r="2668" spans="1:22" ht="15.75" thickBot="1" x14ac:dyDescent="0.3">
      <c r="A2668" t="s">
        <v>4597</v>
      </c>
      <c r="B2668" t="s">
        <v>4597</v>
      </c>
      <c r="C2668" t="s">
        <v>4597</v>
      </c>
      <c r="D2668" s="238" t="s">
        <v>1920</v>
      </c>
      <c r="E2668" s="256" t="s">
        <v>2231</v>
      </c>
      <c r="F2668" t="s">
        <v>620</v>
      </c>
      <c r="H2668" s="312" t="s">
        <v>2231</v>
      </c>
      <c r="I2668" s="308" t="str">
        <f t="shared" si="108"/>
        <v>Pesado de Mercadorias N3: Geral : Gasóleo : Geral</v>
      </c>
      <c r="J2668" s="125"/>
      <c r="K2668" s="253">
        <v>2022</v>
      </c>
      <c r="L2668" s="85"/>
      <c r="M2668" s="85"/>
      <c r="N2668" s="128"/>
      <c r="O2668" s="128">
        <f t="shared" si="109"/>
        <v>0</v>
      </c>
      <c r="P2668" s="89">
        <v>2</v>
      </c>
      <c r="Q2668" t="s">
        <v>47</v>
      </c>
      <c r="R2668" s="214" t="s">
        <v>1869</v>
      </c>
      <c r="S2668" s="214" t="s">
        <v>1861</v>
      </c>
      <c r="U2668" t="s">
        <v>1953</v>
      </c>
      <c r="V2668" t="s">
        <v>2813</v>
      </c>
    </row>
    <row r="2669" spans="1:22" ht="15.75" thickBot="1" x14ac:dyDescent="0.3">
      <c r="A2669" t="s">
        <v>4597</v>
      </c>
      <c r="B2669" t="s">
        <v>4597</v>
      </c>
      <c r="C2669" t="s">
        <v>4597</v>
      </c>
      <c r="D2669" s="238" t="s">
        <v>1920</v>
      </c>
      <c r="E2669" s="256" t="s">
        <v>2231</v>
      </c>
      <c r="F2669" t="s">
        <v>620</v>
      </c>
      <c r="H2669" s="312" t="s">
        <v>2231</v>
      </c>
      <c r="I2669" s="308" t="str">
        <f t="shared" si="108"/>
        <v>Pesado de Mercadorias N3: Geral : Gasóleo : Geral</v>
      </c>
      <c r="J2669" s="125"/>
      <c r="K2669" s="253">
        <v>2022</v>
      </c>
      <c r="L2669" s="85"/>
      <c r="M2669" s="85"/>
      <c r="N2669" s="128"/>
      <c r="O2669" s="128">
        <f t="shared" si="109"/>
        <v>0</v>
      </c>
      <c r="P2669" s="89">
        <v>800042</v>
      </c>
      <c r="Q2669" t="s">
        <v>47</v>
      </c>
      <c r="R2669" s="214" t="s">
        <v>1869</v>
      </c>
      <c r="S2669" s="214" t="s">
        <v>1861</v>
      </c>
      <c r="U2669" t="s">
        <v>1953</v>
      </c>
      <c r="V2669" t="s">
        <v>2813</v>
      </c>
    </row>
    <row r="2670" spans="1:22" ht="15.75" thickBot="1" x14ac:dyDescent="0.3">
      <c r="A2670" t="s">
        <v>4597</v>
      </c>
      <c r="B2670" t="s">
        <v>4597</v>
      </c>
      <c r="C2670" t="s">
        <v>4597</v>
      </c>
      <c r="D2670" s="238" t="s">
        <v>1920</v>
      </c>
      <c r="E2670" s="256" t="s">
        <v>2231</v>
      </c>
      <c r="F2670" t="s">
        <v>620</v>
      </c>
      <c r="H2670" s="312" t="s">
        <v>2231</v>
      </c>
      <c r="I2670" s="308" t="str">
        <f t="shared" si="108"/>
        <v>Pesado de Mercadorias N3: Geral : Gasóleo : Geral</v>
      </c>
      <c r="J2670" s="125"/>
      <c r="K2670" s="253">
        <v>2022</v>
      </c>
      <c r="L2670" s="85"/>
      <c r="M2670" s="85"/>
      <c r="N2670" s="128"/>
      <c r="O2670" s="128">
        <f t="shared" si="109"/>
        <v>0</v>
      </c>
      <c r="P2670" s="89">
        <v>800096</v>
      </c>
      <c r="Q2670" t="s">
        <v>47</v>
      </c>
      <c r="R2670" s="214" t="s">
        <v>1869</v>
      </c>
      <c r="S2670" s="214" t="s">
        <v>1861</v>
      </c>
      <c r="U2670" t="s">
        <v>1953</v>
      </c>
      <c r="V2670" t="s">
        <v>2813</v>
      </c>
    </row>
    <row r="2671" spans="1:22" ht="15.75" thickBot="1" x14ac:dyDescent="0.3">
      <c r="A2671" t="s">
        <v>4597</v>
      </c>
      <c r="B2671" t="s">
        <v>4597</v>
      </c>
      <c r="C2671" t="s">
        <v>4597</v>
      </c>
      <c r="D2671" s="238" t="s">
        <v>1920</v>
      </c>
      <c r="E2671" s="256" t="s">
        <v>2231</v>
      </c>
      <c r="F2671" t="s">
        <v>620</v>
      </c>
      <c r="H2671" s="312" t="s">
        <v>2231</v>
      </c>
      <c r="I2671" s="308" t="str">
        <f t="shared" si="108"/>
        <v>Pesado de Mercadorias N3: Geral : Gasóleo : Geral</v>
      </c>
      <c r="J2671" s="125"/>
      <c r="K2671" s="253">
        <v>2022</v>
      </c>
      <c r="L2671" s="85"/>
      <c r="M2671" s="85"/>
      <c r="N2671" s="128"/>
      <c r="O2671" s="128">
        <f t="shared" si="109"/>
        <v>0</v>
      </c>
      <c r="P2671" s="89" t="s">
        <v>2810</v>
      </c>
      <c r="Q2671" t="s">
        <v>47</v>
      </c>
      <c r="R2671" s="214" t="s">
        <v>1869</v>
      </c>
      <c r="S2671" s="214" t="s">
        <v>1861</v>
      </c>
      <c r="U2671" t="s">
        <v>1953</v>
      </c>
      <c r="V2671" t="s">
        <v>2813</v>
      </c>
    </row>
    <row r="2672" spans="1:22" ht="15.75" thickBot="1" x14ac:dyDescent="0.3">
      <c r="A2672" t="s">
        <v>4597</v>
      </c>
      <c r="B2672" t="s">
        <v>4597</v>
      </c>
      <c r="C2672" t="s">
        <v>4597</v>
      </c>
      <c r="D2672" s="238" t="s">
        <v>1920</v>
      </c>
      <c r="E2672" s="256" t="s">
        <v>2231</v>
      </c>
      <c r="F2672" t="s">
        <v>620</v>
      </c>
      <c r="H2672" s="312" t="s">
        <v>2231</v>
      </c>
      <c r="I2672" s="308" t="str">
        <f t="shared" si="108"/>
        <v>Pesado de Mercadorias N3: Geral : Gasóleo : Geral</v>
      </c>
      <c r="J2672" s="125"/>
      <c r="K2672" s="253">
        <v>2022</v>
      </c>
      <c r="L2672" s="85"/>
      <c r="M2672" s="85"/>
      <c r="N2672" s="128"/>
      <c r="O2672" s="128">
        <f t="shared" si="109"/>
        <v>0</v>
      </c>
      <c r="P2672" s="89" t="s">
        <v>2811</v>
      </c>
      <c r="Q2672" t="s">
        <v>47</v>
      </c>
      <c r="R2672" s="214" t="s">
        <v>1869</v>
      </c>
      <c r="S2672" s="214" t="s">
        <v>1861</v>
      </c>
      <c r="U2672" t="s">
        <v>1953</v>
      </c>
      <c r="V2672" t="s">
        <v>2813</v>
      </c>
    </row>
    <row r="2673" spans="1:22" ht="15.75" thickBot="1" x14ac:dyDescent="0.3">
      <c r="A2673" t="s">
        <v>4598</v>
      </c>
      <c r="B2673" t="s">
        <v>4598</v>
      </c>
      <c r="C2673" t="s">
        <v>4598</v>
      </c>
      <c r="D2673" s="83" t="s">
        <v>629</v>
      </c>
      <c r="E2673" s="251" t="s">
        <v>1853</v>
      </c>
      <c r="F2673" s="124" t="s">
        <v>620</v>
      </c>
      <c r="G2673" s="130">
        <v>2001</v>
      </c>
      <c r="H2673" s="125" t="s">
        <v>732</v>
      </c>
      <c r="I2673" s="311" t="str">
        <f t="shared" ref="I2673:I2677" si="110">D2673&amp;": "&amp;E2673&amp;" : "&amp;F2673&amp;" : "&amp;H2673</f>
        <v>Pesado de Passageiros M3: III : Gasóleo : E3</v>
      </c>
      <c r="J2673" s="125">
        <v>49</v>
      </c>
      <c r="K2673" s="253">
        <v>2022</v>
      </c>
      <c r="L2673" s="85">
        <v>2208.8199999999997</v>
      </c>
      <c r="M2673" s="85" t="s">
        <v>630</v>
      </c>
      <c r="N2673" s="128">
        <v>5037</v>
      </c>
      <c r="O2673" s="128">
        <f t="shared" ref="O2673:O2736" si="111">N2673*J2673</f>
        <v>246813</v>
      </c>
      <c r="Q2673" t="s">
        <v>47</v>
      </c>
      <c r="R2673" s="214" t="s">
        <v>1869</v>
      </c>
      <c r="S2673" s="214" t="s">
        <v>1861</v>
      </c>
      <c r="T2673" t="s">
        <v>3641</v>
      </c>
      <c r="U2673" t="s">
        <v>1953</v>
      </c>
      <c r="V2673" t="s">
        <v>2813</v>
      </c>
    </row>
    <row r="2674" spans="1:22" ht="15.75" thickBot="1" x14ac:dyDescent="0.3">
      <c r="A2674" t="s">
        <v>4598</v>
      </c>
      <c r="B2674" t="s">
        <v>4598</v>
      </c>
      <c r="C2674" t="s">
        <v>4598</v>
      </c>
      <c r="D2674" s="83" t="s">
        <v>629</v>
      </c>
      <c r="E2674" s="251" t="s">
        <v>1853</v>
      </c>
      <c r="F2674" s="124" t="s">
        <v>620</v>
      </c>
      <c r="G2674" s="130">
        <v>2011</v>
      </c>
      <c r="H2674" s="125" t="s">
        <v>734</v>
      </c>
      <c r="I2674" s="311" t="str">
        <f t="shared" si="110"/>
        <v>Pesado de Passageiros M3: III : Gasóleo : E5</v>
      </c>
      <c r="J2674" s="125">
        <v>24</v>
      </c>
      <c r="K2674" s="253">
        <v>2022</v>
      </c>
      <c r="L2674" s="85">
        <v>7096.55</v>
      </c>
      <c r="M2674" s="85" t="s">
        <v>630</v>
      </c>
      <c r="N2674" s="128">
        <v>38074</v>
      </c>
      <c r="O2674" s="128">
        <f t="shared" si="111"/>
        <v>913776</v>
      </c>
      <c r="Q2674" t="s">
        <v>47</v>
      </c>
      <c r="R2674" s="214" t="s">
        <v>1869</v>
      </c>
      <c r="S2674" s="214" t="s">
        <v>1861</v>
      </c>
      <c r="T2674" t="s">
        <v>3642</v>
      </c>
      <c r="U2674" t="s">
        <v>1953</v>
      </c>
      <c r="V2674" t="s">
        <v>2813</v>
      </c>
    </row>
    <row r="2675" spans="1:22" ht="15.75" thickBot="1" x14ac:dyDescent="0.3">
      <c r="A2675" t="s">
        <v>4598</v>
      </c>
      <c r="B2675" t="s">
        <v>4598</v>
      </c>
      <c r="C2675" t="s">
        <v>4598</v>
      </c>
      <c r="D2675" s="83" t="s">
        <v>629</v>
      </c>
      <c r="E2675" s="251" t="s">
        <v>1853</v>
      </c>
      <c r="F2675" s="124" t="s">
        <v>620</v>
      </c>
      <c r="G2675" s="130">
        <v>2019</v>
      </c>
      <c r="H2675" s="125" t="s">
        <v>733</v>
      </c>
      <c r="I2675" s="311" t="str">
        <f t="shared" si="110"/>
        <v>Pesado de Passageiros M3: III : Gasóleo : E6</v>
      </c>
      <c r="J2675" s="125">
        <v>24</v>
      </c>
      <c r="K2675" s="253">
        <v>2022</v>
      </c>
      <c r="L2675" s="85">
        <v>11499.560000000001</v>
      </c>
      <c r="M2675" s="85" t="s">
        <v>630</v>
      </c>
      <c r="N2675" s="128">
        <v>69731</v>
      </c>
      <c r="O2675" s="128">
        <f t="shared" si="111"/>
        <v>1673544</v>
      </c>
      <c r="Q2675" t="s">
        <v>47</v>
      </c>
      <c r="R2675" s="214" t="s">
        <v>1869</v>
      </c>
      <c r="S2675" s="214" t="s">
        <v>1861</v>
      </c>
      <c r="T2675" t="s">
        <v>3643</v>
      </c>
      <c r="U2675" t="s">
        <v>1953</v>
      </c>
      <c r="V2675" t="s">
        <v>2813</v>
      </c>
    </row>
    <row r="2676" spans="1:22" ht="15.75" thickBot="1" x14ac:dyDescent="0.3">
      <c r="A2676" t="s">
        <v>4598</v>
      </c>
      <c r="B2676" t="s">
        <v>4598</v>
      </c>
      <c r="C2676" t="s">
        <v>4598</v>
      </c>
      <c r="D2676" s="83" t="s">
        <v>629</v>
      </c>
      <c r="E2676" s="251" t="s">
        <v>1853</v>
      </c>
      <c r="F2676" s="124" t="s">
        <v>620</v>
      </c>
      <c r="G2676" s="130">
        <v>2019</v>
      </c>
      <c r="H2676" s="125" t="s">
        <v>733</v>
      </c>
      <c r="I2676" s="311" t="str">
        <f t="shared" si="110"/>
        <v>Pesado de Passageiros M3: III : Gasóleo : E6</v>
      </c>
      <c r="J2676" s="125">
        <v>24</v>
      </c>
      <c r="K2676" s="253">
        <v>2022</v>
      </c>
      <c r="L2676" s="85">
        <v>16498.239999999998</v>
      </c>
      <c r="M2676" s="85" t="s">
        <v>630</v>
      </c>
      <c r="N2676" s="128">
        <v>43603</v>
      </c>
      <c r="O2676" s="128">
        <f t="shared" si="111"/>
        <v>1046472</v>
      </c>
      <c r="Q2676" t="s">
        <v>47</v>
      </c>
      <c r="R2676" s="214" t="s">
        <v>1869</v>
      </c>
      <c r="S2676" s="214" t="s">
        <v>1861</v>
      </c>
      <c r="T2676" t="s">
        <v>3644</v>
      </c>
      <c r="U2676" t="s">
        <v>1953</v>
      </c>
      <c r="V2676" t="s">
        <v>2813</v>
      </c>
    </row>
    <row r="2677" spans="1:22" ht="15.75" thickBot="1" x14ac:dyDescent="0.3">
      <c r="A2677" t="s">
        <v>4598</v>
      </c>
      <c r="B2677" t="s">
        <v>4598</v>
      </c>
      <c r="C2677" t="s">
        <v>4598</v>
      </c>
      <c r="D2677" s="83" t="s">
        <v>629</v>
      </c>
      <c r="E2677" s="251" t="s">
        <v>1853</v>
      </c>
      <c r="F2677" s="124" t="s">
        <v>620</v>
      </c>
      <c r="G2677" s="130">
        <v>2008</v>
      </c>
      <c r="H2677" s="125" t="s">
        <v>731</v>
      </c>
      <c r="I2677" s="311" t="str">
        <f t="shared" si="110"/>
        <v>Pesado de Passageiros M3: III : Gasóleo : E4</v>
      </c>
      <c r="J2677" s="125">
        <v>59</v>
      </c>
      <c r="K2677" s="253">
        <v>2022</v>
      </c>
      <c r="L2677" s="85">
        <v>7797.869999999999</v>
      </c>
      <c r="M2677" s="85" t="s">
        <v>630</v>
      </c>
      <c r="N2677" s="128">
        <v>20622</v>
      </c>
      <c r="O2677" s="128">
        <f t="shared" si="111"/>
        <v>1216698</v>
      </c>
      <c r="Q2677" t="s">
        <v>47</v>
      </c>
      <c r="R2677" s="214" t="s">
        <v>1869</v>
      </c>
      <c r="S2677" s="214" t="s">
        <v>1861</v>
      </c>
      <c r="T2677" t="s">
        <v>3645</v>
      </c>
      <c r="U2677" t="s">
        <v>1953</v>
      </c>
      <c r="V2677" t="s">
        <v>2813</v>
      </c>
    </row>
    <row r="2678" spans="1:22" ht="15.75" thickBot="1" x14ac:dyDescent="0.3">
      <c r="A2678" t="s">
        <v>4598</v>
      </c>
      <c r="B2678" t="s">
        <v>4598</v>
      </c>
      <c r="C2678" t="s">
        <v>4598</v>
      </c>
      <c r="D2678" s="83" t="s">
        <v>629</v>
      </c>
      <c r="E2678" s="251" t="s">
        <v>1853</v>
      </c>
      <c r="F2678" s="124" t="s">
        <v>620</v>
      </c>
      <c r="G2678" s="130">
        <v>2008</v>
      </c>
      <c r="H2678" s="125" t="s">
        <v>731</v>
      </c>
      <c r="I2678" s="311" t="str">
        <f t="shared" ref="I2678:I2741" si="112">D2678&amp;": "&amp;E2678&amp;" : "&amp;F2678&amp;" : "&amp;H2678</f>
        <v>Pesado de Passageiros M3: III : Gasóleo : E4</v>
      </c>
      <c r="J2678" s="125">
        <v>55</v>
      </c>
      <c r="K2678" s="253">
        <v>2022</v>
      </c>
      <c r="L2678" s="85">
        <v>16978.78</v>
      </c>
      <c r="M2678" s="85" t="s">
        <v>630</v>
      </c>
      <c r="N2678" s="128">
        <v>48392</v>
      </c>
      <c r="O2678" s="128">
        <f t="shared" si="111"/>
        <v>2661560</v>
      </c>
      <c r="Q2678" t="s">
        <v>47</v>
      </c>
      <c r="R2678" s="214" t="s">
        <v>1869</v>
      </c>
      <c r="S2678" s="214" t="s">
        <v>1861</v>
      </c>
      <c r="T2678" t="s">
        <v>3646</v>
      </c>
      <c r="U2678" t="s">
        <v>1953</v>
      </c>
      <c r="V2678" t="s">
        <v>2813</v>
      </c>
    </row>
    <row r="2679" spans="1:22" ht="15.75" thickBot="1" x14ac:dyDescent="0.3">
      <c r="A2679" t="s">
        <v>4598</v>
      </c>
      <c r="B2679" t="s">
        <v>4598</v>
      </c>
      <c r="C2679" t="s">
        <v>4598</v>
      </c>
      <c r="D2679" s="83" t="s">
        <v>629</v>
      </c>
      <c r="E2679" s="251" t="s">
        <v>1853</v>
      </c>
      <c r="F2679" s="124" t="s">
        <v>620</v>
      </c>
      <c r="G2679" s="130">
        <v>2008</v>
      </c>
      <c r="H2679" s="125" t="s">
        <v>731</v>
      </c>
      <c r="I2679" s="311" t="str">
        <f t="shared" si="112"/>
        <v>Pesado de Passageiros M3: III : Gasóleo : E4</v>
      </c>
      <c r="J2679" s="125">
        <v>59</v>
      </c>
      <c r="K2679" s="253">
        <v>2022</v>
      </c>
      <c r="L2679" s="85">
        <v>11983.160000000002</v>
      </c>
      <c r="M2679" s="85" t="s">
        <v>630</v>
      </c>
      <c r="N2679" s="128">
        <v>34473</v>
      </c>
      <c r="O2679" s="128">
        <f t="shared" si="111"/>
        <v>2033907</v>
      </c>
      <c r="Q2679" t="s">
        <v>47</v>
      </c>
      <c r="R2679" s="214" t="s">
        <v>1869</v>
      </c>
      <c r="S2679" s="214" t="s">
        <v>1861</v>
      </c>
      <c r="T2679" t="s">
        <v>3647</v>
      </c>
      <c r="U2679" t="s">
        <v>1953</v>
      </c>
      <c r="V2679" t="s">
        <v>2813</v>
      </c>
    </row>
    <row r="2680" spans="1:22" ht="15.75" thickBot="1" x14ac:dyDescent="0.3">
      <c r="A2680" t="s">
        <v>4598</v>
      </c>
      <c r="B2680" t="s">
        <v>4598</v>
      </c>
      <c r="C2680" t="s">
        <v>4598</v>
      </c>
      <c r="D2680" s="83" t="s">
        <v>629</v>
      </c>
      <c r="E2680" s="251" t="s">
        <v>1853</v>
      </c>
      <c r="F2680" s="124" t="s">
        <v>620</v>
      </c>
      <c r="G2680" s="130">
        <v>2008</v>
      </c>
      <c r="H2680" s="125" t="s">
        <v>731</v>
      </c>
      <c r="I2680" s="311" t="str">
        <f t="shared" si="112"/>
        <v>Pesado de Passageiros M3: III : Gasóleo : E4</v>
      </c>
      <c r="J2680" s="125">
        <v>55</v>
      </c>
      <c r="K2680" s="253">
        <v>2022</v>
      </c>
      <c r="L2680" s="85">
        <v>20117.34</v>
      </c>
      <c r="M2680" s="85" t="s">
        <v>630</v>
      </c>
      <c r="N2680" s="128">
        <v>53137</v>
      </c>
      <c r="O2680" s="128">
        <f t="shared" si="111"/>
        <v>2922535</v>
      </c>
      <c r="Q2680" t="s">
        <v>47</v>
      </c>
      <c r="R2680" s="214" t="s">
        <v>1869</v>
      </c>
      <c r="S2680" s="214" t="s">
        <v>1861</v>
      </c>
      <c r="T2680" t="s">
        <v>3648</v>
      </c>
      <c r="U2680" t="s">
        <v>1953</v>
      </c>
      <c r="V2680" t="s">
        <v>2813</v>
      </c>
    </row>
    <row r="2681" spans="1:22" ht="15.75" thickBot="1" x14ac:dyDescent="0.3">
      <c r="A2681" t="s">
        <v>4598</v>
      </c>
      <c r="B2681" t="s">
        <v>4598</v>
      </c>
      <c r="C2681" t="s">
        <v>4598</v>
      </c>
      <c r="D2681" s="83" t="s">
        <v>629</v>
      </c>
      <c r="E2681" s="251" t="s">
        <v>1853</v>
      </c>
      <c r="F2681" s="124" t="s">
        <v>620</v>
      </c>
      <c r="G2681" s="130">
        <v>2008</v>
      </c>
      <c r="H2681" s="125" t="s">
        <v>731</v>
      </c>
      <c r="I2681" s="311" t="str">
        <f t="shared" si="112"/>
        <v>Pesado de Passageiros M3: III : Gasóleo : E4</v>
      </c>
      <c r="J2681" s="125">
        <v>55</v>
      </c>
      <c r="K2681" s="253">
        <v>2022</v>
      </c>
      <c r="L2681" s="85">
        <v>20416.130000000005</v>
      </c>
      <c r="M2681" s="85" t="s">
        <v>630</v>
      </c>
      <c r="N2681" s="128">
        <v>69016</v>
      </c>
      <c r="O2681" s="128">
        <f t="shared" si="111"/>
        <v>3795880</v>
      </c>
      <c r="Q2681" t="s">
        <v>47</v>
      </c>
      <c r="R2681" s="214" t="s">
        <v>1869</v>
      </c>
      <c r="S2681" s="214" t="s">
        <v>1861</v>
      </c>
      <c r="T2681" t="s">
        <v>3649</v>
      </c>
      <c r="U2681" t="s">
        <v>1953</v>
      </c>
      <c r="V2681" t="s">
        <v>2813</v>
      </c>
    </row>
    <row r="2682" spans="1:22" ht="15.75" thickBot="1" x14ac:dyDescent="0.3">
      <c r="A2682" t="s">
        <v>4598</v>
      </c>
      <c r="B2682" t="s">
        <v>4598</v>
      </c>
      <c r="C2682" t="s">
        <v>4598</v>
      </c>
      <c r="D2682" s="83" t="s">
        <v>629</v>
      </c>
      <c r="E2682" s="251" t="s">
        <v>1853</v>
      </c>
      <c r="F2682" s="124" t="s">
        <v>620</v>
      </c>
      <c r="G2682" s="130">
        <v>2017</v>
      </c>
      <c r="H2682" s="125" t="s">
        <v>733</v>
      </c>
      <c r="I2682" s="311" t="str">
        <f t="shared" si="112"/>
        <v>Pesado de Passageiros M3: III : Gasóleo : E6</v>
      </c>
      <c r="J2682" s="125">
        <v>57</v>
      </c>
      <c r="K2682" s="253">
        <v>2022</v>
      </c>
      <c r="L2682" s="85">
        <v>4704.8</v>
      </c>
      <c r="M2682" s="85" t="s">
        <v>630</v>
      </c>
      <c r="N2682" s="128">
        <v>13074</v>
      </c>
      <c r="O2682" s="128">
        <f t="shared" si="111"/>
        <v>745218</v>
      </c>
      <c r="Q2682" t="s">
        <v>47</v>
      </c>
      <c r="R2682" s="214" t="s">
        <v>1869</v>
      </c>
      <c r="S2682" s="214" t="s">
        <v>1861</v>
      </c>
      <c r="T2682" t="s">
        <v>3650</v>
      </c>
      <c r="U2682" t="s">
        <v>1953</v>
      </c>
      <c r="V2682" t="s">
        <v>2813</v>
      </c>
    </row>
    <row r="2683" spans="1:22" ht="15.75" thickBot="1" x14ac:dyDescent="0.3">
      <c r="A2683" t="s">
        <v>4598</v>
      </c>
      <c r="B2683" t="s">
        <v>4598</v>
      </c>
      <c r="C2683" t="s">
        <v>4598</v>
      </c>
      <c r="D2683" s="83" t="s">
        <v>629</v>
      </c>
      <c r="E2683" s="251" t="s">
        <v>1853</v>
      </c>
      <c r="F2683" s="124" t="s">
        <v>620</v>
      </c>
      <c r="G2683" s="130">
        <v>2000</v>
      </c>
      <c r="H2683" s="125" t="s">
        <v>732</v>
      </c>
      <c r="I2683" s="311" t="str">
        <f t="shared" si="112"/>
        <v>Pesado de Passageiros M3: III : Gasóleo : E3</v>
      </c>
      <c r="J2683" s="125">
        <v>50</v>
      </c>
      <c r="K2683" s="253">
        <v>2022</v>
      </c>
      <c r="L2683" s="85">
        <v>8995.7800000000025</v>
      </c>
      <c r="M2683" s="85" t="s">
        <v>630</v>
      </c>
      <c r="N2683" s="128">
        <v>46630</v>
      </c>
      <c r="O2683" s="128">
        <f t="shared" si="111"/>
        <v>2331500</v>
      </c>
      <c r="Q2683" t="s">
        <v>47</v>
      </c>
      <c r="R2683" s="214" t="s">
        <v>1869</v>
      </c>
      <c r="S2683" s="214" t="s">
        <v>1861</v>
      </c>
      <c r="T2683" t="s">
        <v>3651</v>
      </c>
      <c r="U2683" t="s">
        <v>1953</v>
      </c>
      <c r="V2683" t="s">
        <v>2813</v>
      </c>
    </row>
    <row r="2684" spans="1:22" ht="15.75" thickBot="1" x14ac:dyDescent="0.3">
      <c r="A2684" t="s">
        <v>4598</v>
      </c>
      <c r="B2684" t="s">
        <v>4598</v>
      </c>
      <c r="C2684" t="s">
        <v>4598</v>
      </c>
      <c r="D2684" s="83" t="s">
        <v>629</v>
      </c>
      <c r="E2684" s="251" t="s">
        <v>1853</v>
      </c>
      <c r="F2684" s="124" t="s">
        <v>620</v>
      </c>
      <c r="G2684" s="130">
        <v>2009</v>
      </c>
      <c r="H2684" s="125" t="s">
        <v>731</v>
      </c>
      <c r="I2684" s="311" t="str">
        <f t="shared" si="112"/>
        <v>Pesado de Passageiros M3: III : Gasóleo : E4</v>
      </c>
      <c r="J2684" s="125">
        <v>16</v>
      </c>
      <c r="K2684" s="253">
        <v>2022</v>
      </c>
      <c r="L2684" s="85">
        <v>0</v>
      </c>
      <c r="M2684" s="85" t="s">
        <v>630</v>
      </c>
      <c r="N2684" s="128">
        <v>0</v>
      </c>
      <c r="O2684" s="128">
        <f t="shared" si="111"/>
        <v>0</v>
      </c>
      <c r="Q2684" t="s">
        <v>47</v>
      </c>
      <c r="R2684" s="214" t="s">
        <v>1869</v>
      </c>
      <c r="S2684" s="214" t="s">
        <v>1861</v>
      </c>
      <c r="T2684" t="s">
        <v>3652</v>
      </c>
      <c r="U2684" t="s">
        <v>1953</v>
      </c>
      <c r="V2684" t="s">
        <v>2813</v>
      </c>
    </row>
    <row r="2685" spans="1:22" ht="15.75" thickBot="1" x14ac:dyDescent="0.3">
      <c r="A2685" t="s">
        <v>4598</v>
      </c>
      <c r="B2685" t="s">
        <v>4598</v>
      </c>
      <c r="C2685" t="s">
        <v>4598</v>
      </c>
      <c r="D2685" s="83" t="s">
        <v>629</v>
      </c>
      <c r="E2685" s="251" t="s">
        <v>1853</v>
      </c>
      <c r="F2685" s="124" t="s">
        <v>620</v>
      </c>
      <c r="G2685" s="130">
        <v>2019</v>
      </c>
      <c r="H2685" s="125" t="s">
        <v>733</v>
      </c>
      <c r="I2685" s="311" t="str">
        <f t="shared" si="112"/>
        <v>Pesado de Passageiros M3: III : Gasóleo : E6</v>
      </c>
      <c r="J2685" s="125">
        <v>24</v>
      </c>
      <c r="K2685" s="253">
        <v>2022</v>
      </c>
      <c r="L2685" s="85">
        <v>8990.34</v>
      </c>
      <c r="M2685" s="85" t="s">
        <v>630</v>
      </c>
      <c r="N2685" s="128">
        <v>24919</v>
      </c>
      <c r="O2685" s="128">
        <f t="shared" si="111"/>
        <v>598056</v>
      </c>
      <c r="Q2685" t="s">
        <v>47</v>
      </c>
      <c r="R2685" s="214" t="s">
        <v>1869</v>
      </c>
      <c r="S2685" s="214" t="s">
        <v>1861</v>
      </c>
      <c r="T2685" t="s">
        <v>3653</v>
      </c>
      <c r="U2685" t="s">
        <v>1953</v>
      </c>
      <c r="V2685" t="s">
        <v>2813</v>
      </c>
    </row>
    <row r="2686" spans="1:22" ht="15.75" thickBot="1" x14ac:dyDescent="0.3">
      <c r="A2686" t="s">
        <v>4598</v>
      </c>
      <c r="B2686" t="s">
        <v>4598</v>
      </c>
      <c r="C2686" t="s">
        <v>4598</v>
      </c>
      <c r="D2686" s="83" t="s">
        <v>629</v>
      </c>
      <c r="E2686" s="251" t="s">
        <v>1853</v>
      </c>
      <c r="F2686" s="124" t="s">
        <v>620</v>
      </c>
      <c r="G2686" s="130">
        <v>2009</v>
      </c>
      <c r="H2686" s="125" t="s">
        <v>731</v>
      </c>
      <c r="I2686" s="311" t="str">
        <f t="shared" si="112"/>
        <v>Pesado de Passageiros M3: III : Gasóleo : E4</v>
      </c>
      <c r="J2686" s="125">
        <v>16</v>
      </c>
      <c r="K2686" s="253">
        <v>2022</v>
      </c>
      <c r="L2686" s="85">
        <v>0</v>
      </c>
      <c r="M2686" s="85" t="s">
        <v>630</v>
      </c>
      <c r="N2686" s="128">
        <v>0</v>
      </c>
      <c r="O2686" s="128">
        <f t="shared" si="111"/>
        <v>0</v>
      </c>
      <c r="Q2686" t="s">
        <v>47</v>
      </c>
      <c r="R2686" s="214" t="s">
        <v>1869</v>
      </c>
      <c r="S2686" s="214" t="s">
        <v>1861</v>
      </c>
      <c r="T2686" t="s">
        <v>3654</v>
      </c>
      <c r="U2686" t="s">
        <v>1953</v>
      </c>
      <c r="V2686" t="s">
        <v>2813</v>
      </c>
    </row>
    <row r="2687" spans="1:22" ht="15.75" thickBot="1" x14ac:dyDescent="0.3">
      <c r="A2687" t="s">
        <v>4598</v>
      </c>
      <c r="B2687" t="s">
        <v>4598</v>
      </c>
      <c r="C2687" t="s">
        <v>4598</v>
      </c>
      <c r="D2687" s="83" t="s">
        <v>629</v>
      </c>
      <c r="E2687" s="251" t="s">
        <v>1853</v>
      </c>
      <c r="F2687" s="124" t="s">
        <v>620</v>
      </c>
      <c r="G2687" s="130">
        <v>2004</v>
      </c>
      <c r="H2687" s="125" t="s">
        <v>732</v>
      </c>
      <c r="I2687" s="311" t="str">
        <f t="shared" si="112"/>
        <v>Pesado de Passageiros M3: III : Gasóleo : E3</v>
      </c>
      <c r="J2687" s="125">
        <v>55</v>
      </c>
      <c r="K2687" s="253">
        <v>2022</v>
      </c>
      <c r="L2687" s="85">
        <v>10183.26</v>
      </c>
      <c r="M2687" s="85" t="s">
        <v>630</v>
      </c>
      <c r="N2687" s="128">
        <v>30467</v>
      </c>
      <c r="O2687" s="128">
        <f t="shared" si="111"/>
        <v>1675685</v>
      </c>
      <c r="Q2687" t="s">
        <v>47</v>
      </c>
      <c r="R2687" s="214" t="s">
        <v>1869</v>
      </c>
      <c r="S2687" s="214" t="s">
        <v>1861</v>
      </c>
      <c r="T2687" t="s">
        <v>3655</v>
      </c>
      <c r="U2687" t="s">
        <v>1953</v>
      </c>
      <c r="V2687" t="s">
        <v>2813</v>
      </c>
    </row>
    <row r="2688" spans="1:22" ht="15.75" thickBot="1" x14ac:dyDescent="0.3">
      <c r="A2688" t="s">
        <v>4598</v>
      </c>
      <c r="B2688" t="s">
        <v>4598</v>
      </c>
      <c r="C2688" t="s">
        <v>4598</v>
      </c>
      <c r="D2688" s="83" t="s">
        <v>629</v>
      </c>
      <c r="E2688" s="251" t="s">
        <v>1853</v>
      </c>
      <c r="F2688" s="124" t="s">
        <v>620</v>
      </c>
      <c r="G2688" s="130">
        <v>2004</v>
      </c>
      <c r="H2688" s="125" t="s">
        <v>732</v>
      </c>
      <c r="I2688" s="311" t="str">
        <f t="shared" si="112"/>
        <v>Pesado de Passageiros M3: III : Gasóleo : E3</v>
      </c>
      <c r="J2688" s="125">
        <v>55</v>
      </c>
      <c r="K2688" s="253">
        <v>2022</v>
      </c>
      <c r="L2688" s="85">
        <v>1112.8999999999999</v>
      </c>
      <c r="M2688" s="85" t="s">
        <v>630</v>
      </c>
      <c r="N2688" s="128">
        <v>5858</v>
      </c>
      <c r="O2688" s="128">
        <f t="shared" si="111"/>
        <v>322190</v>
      </c>
      <c r="Q2688" t="s">
        <v>47</v>
      </c>
      <c r="R2688" s="214" t="s">
        <v>1869</v>
      </c>
      <c r="S2688" s="214" t="s">
        <v>1861</v>
      </c>
      <c r="T2688" t="s">
        <v>3656</v>
      </c>
      <c r="U2688" t="s">
        <v>1953</v>
      </c>
      <c r="V2688" t="s">
        <v>2813</v>
      </c>
    </row>
    <row r="2689" spans="1:22" ht="15.75" thickBot="1" x14ac:dyDescent="0.3">
      <c r="A2689" t="s">
        <v>4598</v>
      </c>
      <c r="B2689" t="s">
        <v>4598</v>
      </c>
      <c r="C2689" t="s">
        <v>4598</v>
      </c>
      <c r="D2689" s="83" t="s">
        <v>629</v>
      </c>
      <c r="E2689" s="251" t="s">
        <v>1853</v>
      </c>
      <c r="F2689" s="124" t="s">
        <v>620</v>
      </c>
      <c r="G2689" s="130">
        <v>2010</v>
      </c>
      <c r="H2689" s="125" t="s">
        <v>734</v>
      </c>
      <c r="I2689" s="311" t="str">
        <f t="shared" si="112"/>
        <v>Pesado de Passageiros M3: III : Gasóleo : E5</v>
      </c>
      <c r="J2689" s="125">
        <v>24</v>
      </c>
      <c r="K2689" s="253">
        <v>2022</v>
      </c>
      <c r="L2689" s="85">
        <v>9800.3200000000015</v>
      </c>
      <c r="M2689" s="85" t="s">
        <v>630</v>
      </c>
      <c r="N2689" s="128">
        <v>54512</v>
      </c>
      <c r="O2689" s="128">
        <f t="shared" si="111"/>
        <v>1308288</v>
      </c>
      <c r="Q2689" t="s">
        <v>47</v>
      </c>
      <c r="R2689" s="214" t="s">
        <v>1869</v>
      </c>
      <c r="S2689" s="214" t="s">
        <v>1861</v>
      </c>
      <c r="T2689" t="s">
        <v>3657</v>
      </c>
      <c r="U2689" t="s">
        <v>1953</v>
      </c>
      <c r="V2689" t="s">
        <v>2813</v>
      </c>
    </row>
    <row r="2690" spans="1:22" ht="15.75" thickBot="1" x14ac:dyDescent="0.3">
      <c r="A2690" t="s">
        <v>4598</v>
      </c>
      <c r="B2690" t="s">
        <v>4598</v>
      </c>
      <c r="C2690" t="s">
        <v>4598</v>
      </c>
      <c r="D2690" s="83" t="s">
        <v>629</v>
      </c>
      <c r="E2690" s="251" t="s">
        <v>1853</v>
      </c>
      <c r="F2690" s="124" t="s">
        <v>620</v>
      </c>
      <c r="G2690" s="130">
        <v>2019</v>
      </c>
      <c r="H2690" s="125" t="s">
        <v>733</v>
      </c>
      <c r="I2690" s="311" t="str">
        <f t="shared" si="112"/>
        <v>Pesado de Passageiros M3: III : Gasóleo : E6</v>
      </c>
      <c r="J2690" s="125">
        <v>24</v>
      </c>
      <c r="K2690" s="253">
        <v>2022</v>
      </c>
      <c r="L2690" s="85">
        <v>12803.96</v>
      </c>
      <c r="M2690" s="85" t="s">
        <v>630</v>
      </c>
      <c r="N2690" s="128">
        <v>37509</v>
      </c>
      <c r="O2690" s="128">
        <f t="shared" si="111"/>
        <v>900216</v>
      </c>
      <c r="Q2690" t="s">
        <v>47</v>
      </c>
      <c r="R2690" s="214" t="s">
        <v>1869</v>
      </c>
      <c r="S2690" s="214" t="s">
        <v>1861</v>
      </c>
      <c r="T2690" t="s">
        <v>3658</v>
      </c>
      <c r="U2690" t="s">
        <v>1953</v>
      </c>
      <c r="V2690" t="s">
        <v>2813</v>
      </c>
    </row>
    <row r="2691" spans="1:22" ht="15.75" thickBot="1" x14ac:dyDescent="0.3">
      <c r="A2691" t="s">
        <v>4598</v>
      </c>
      <c r="B2691" t="s">
        <v>4598</v>
      </c>
      <c r="C2691" t="s">
        <v>4598</v>
      </c>
      <c r="D2691" s="83" t="s">
        <v>629</v>
      </c>
      <c r="E2691" s="251" t="s">
        <v>1853</v>
      </c>
      <c r="F2691" s="124" t="s">
        <v>620</v>
      </c>
      <c r="G2691" s="130">
        <v>2008</v>
      </c>
      <c r="H2691" s="125" t="s">
        <v>731</v>
      </c>
      <c r="I2691" s="311" t="str">
        <f t="shared" si="112"/>
        <v>Pesado de Passageiros M3: III : Gasóleo : E4</v>
      </c>
      <c r="J2691" s="125">
        <v>54</v>
      </c>
      <c r="K2691" s="253">
        <v>2022</v>
      </c>
      <c r="L2691" s="85">
        <v>142.51</v>
      </c>
      <c r="M2691" s="85" t="s">
        <v>630</v>
      </c>
      <c r="N2691" s="128">
        <v>609</v>
      </c>
      <c r="O2691" s="128">
        <f t="shared" si="111"/>
        <v>32886</v>
      </c>
      <c r="Q2691" t="s">
        <v>47</v>
      </c>
      <c r="R2691" s="214" t="s">
        <v>1869</v>
      </c>
      <c r="S2691" s="214" t="s">
        <v>1861</v>
      </c>
      <c r="T2691" t="s">
        <v>3659</v>
      </c>
      <c r="U2691" t="s">
        <v>1953</v>
      </c>
      <c r="V2691" t="s">
        <v>2813</v>
      </c>
    </row>
    <row r="2692" spans="1:22" ht="15.75" thickBot="1" x14ac:dyDescent="0.3">
      <c r="A2692" t="s">
        <v>4598</v>
      </c>
      <c r="B2692" t="s">
        <v>4598</v>
      </c>
      <c r="C2692" t="s">
        <v>4598</v>
      </c>
      <c r="D2692" s="83" t="s">
        <v>629</v>
      </c>
      <c r="E2692" s="251" t="s">
        <v>1853</v>
      </c>
      <c r="F2692" s="124" t="s">
        <v>620</v>
      </c>
      <c r="G2692" s="130">
        <v>2008</v>
      </c>
      <c r="H2692" s="125" t="s">
        <v>731</v>
      </c>
      <c r="I2692" s="311" t="str">
        <f t="shared" si="112"/>
        <v>Pesado de Passageiros M3: III : Gasóleo : E4</v>
      </c>
      <c r="J2692" s="125">
        <v>18</v>
      </c>
      <c r="K2692" s="253">
        <v>2022</v>
      </c>
      <c r="L2692" s="85">
        <v>21133.599999999999</v>
      </c>
      <c r="M2692" s="85" t="s">
        <v>630</v>
      </c>
      <c r="N2692" s="128">
        <v>71172</v>
      </c>
      <c r="O2692" s="128">
        <f t="shared" si="111"/>
        <v>1281096</v>
      </c>
      <c r="Q2692" t="s">
        <v>47</v>
      </c>
      <c r="R2692" s="214" t="s">
        <v>1869</v>
      </c>
      <c r="S2692" s="214" t="s">
        <v>1861</v>
      </c>
      <c r="T2692" t="s">
        <v>3660</v>
      </c>
      <c r="U2692" t="s">
        <v>1953</v>
      </c>
      <c r="V2692" t="s">
        <v>2813</v>
      </c>
    </row>
    <row r="2693" spans="1:22" ht="15.75" thickBot="1" x14ac:dyDescent="0.3">
      <c r="A2693" t="s">
        <v>4598</v>
      </c>
      <c r="B2693" t="s">
        <v>4598</v>
      </c>
      <c r="C2693" t="s">
        <v>4598</v>
      </c>
      <c r="D2693" s="83" t="s">
        <v>629</v>
      </c>
      <c r="E2693" s="251" t="s">
        <v>1853</v>
      </c>
      <c r="F2693" s="124" t="s">
        <v>620</v>
      </c>
      <c r="G2693" s="130">
        <v>2011</v>
      </c>
      <c r="H2693" s="125" t="s">
        <v>734</v>
      </c>
      <c r="I2693" s="311" t="str">
        <f t="shared" si="112"/>
        <v>Pesado de Passageiros M3: III : Gasóleo : E5</v>
      </c>
      <c r="J2693" s="125">
        <v>24</v>
      </c>
      <c r="K2693" s="253">
        <v>2022</v>
      </c>
      <c r="L2693" s="85">
        <v>6564.51</v>
      </c>
      <c r="M2693" s="85" t="s">
        <v>630</v>
      </c>
      <c r="N2693" s="128">
        <v>43149</v>
      </c>
      <c r="O2693" s="128">
        <f t="shared" si="111"/>
        <v>1035576</v>
      </c>
      <c r="Q2693" t="s">
        <v>47</v>
      </c>
      <c r="R2693" s="214" t="s">
        <v>1869</v>
      </c>
      <c r="S2693" s="214" t="s">
        <v>1861</v>
      </c>
      <c r="T2693" t="s">
        <v>3661</v>
      </c>
      <c r="U2693" t="s">
        <v>1953</v>
      </c>
      <c r="V2693" t="s">
        <v>2813</v>
      </c>
    </row>
    <row r="2694" spans="1:22" ht="15.75" thickBot="1" x14ac:dyDescent="0.3">
      <c r="A2694" t="s">
        <v>4598</v>
      </c>
      <c r="B2694" t="s">
        <v>4598</v>
      </c>
      <c r="C2694" t="s">
        <v>4598</v>
      </c>
      <c r="D2694" s="83" t="s">
        <v>629</v>
      </c>
      <c r="E2694" s="251" t="s">
        <v>1853</v>
      </c>
      <c r="F2694" s="124" t="s">
        <v>620</v>
      </c>
      <c r="G2694" s="130">
        <v>2016</v>
      </c>
      <c r="H2694" s="125" t="s">
        <v>733</v>
      </c>
      <c r="I2694" s="311" t="str">
        <f t="shared" si="112"/>
        <v>Pesado de Passageiros M3: III : Gasóleo : E6</v>
      </c>
      <c r="J2694" s="125">
        <v>55</v>
      </c>
      <c r="K2694" s="253">
        <v>2022</v>
      </c>
      <c r="L2694" s="85">
        <v>7915.52</v>
      </c>
      <c r="M2694" s="85" t="s">
        <v>630</v>
      </c>
      <c r="N2694" s="128">
        <v>45246</v>
      </c>
      <c r="O2694" s="128">
        <f t="shared" si="111"/>
        <v>2488530</v>
      </c>
      <c r="Q2694" t="s">
        <v>47</v>
      </c>
      <c r="R2694" s="214" t="s">
        <v>1869</v>
      </c>
      <c r="S2694" s="214" t="s">
        <v>1861</v>
      </c>
      <c r="T2694" t="s">
        <v>3662</v>
      </c>
      <c r="U2694" t="s">
        <v>1953</v>
      </c>
      <c r="V2694" t="s">
        <v>2813</v>
      </c>
    </row>
    <row r="2695" spans="1:22" ht="15.75" thickBot="1" x14ac:dyDescent="0.3">
      <c r="A2695" t="s">
        <v>4598</v>
      </c>
      <c r="B2695" t="s">
        <v>4598</v>
      </c>
      <c r="C2695" t="s">
        <v>4598</v>
      </c>
      <c r="D2695" s="83" t="s">
        <v>629</v>
      </c>
      <c r="E2695" s="251" t="s">
        <v>1853</v>
      </c>
      <c r="F2695" s="124" t="s">
        <v>620</v>
      </c>
      <c r="G2695" s="130">
        <v>2020</v>
      </c>
      <c r="H2695" s="125" t="s">
        <v>733</v>
      </c>
      <c r="I2695" s="311" t="str">
        <f t="shared" si="112"/>
        <v>Pesado de Passageiros M3: III : Gasóleo : E6</v>
      </c>
      <c r="J2695" s="125">
        <v>24</v>
      </c>
      <c r="K2695" s="253">
        <v>2022</v>
      </c>
      <c r="L2695" s="85">
        <v>13046.18</v>
      </c>
      <c r="M2695" s="85" t="s">
        <v>630</v>
      </c>
      <c r="N2695" s="128">
        <v>35051</v>
      </c>
      <c r="O2695" s="128">
        <f t="shared" si="111"/>
        <v>841224</v>
      </c>
      <c r="Q2695" t="s">
        <v>47</v>
      </c>
      <c r="R2695" s="214" t="s">
        <v>1869</v>
      </c>
      <c r="S2695" s="214" t="s">
        <v>1861</v>
      </c>
      <c r="T2695" t="s">
        <v>3663</v>
      </c>
      <c r="U2695" t="s">
        <v>1953</v>
      </c>
      <c r="V2695" t="s">
        <v>2813</v>
      </c>
    </row>
    <row r="2696" spans="1:22" ht="15.75" thickBot="1" x14ac:dyDescent="0.3">
      <c r="A2696" t="s">
        <v>4598</v>
      </c>
      <c r="B2696" t="s">
        <v>4598</v>
      </c>
      <c r="C2696" t="s">
        <v>4598</v>
      </c>
      <c r="D2696" s="83" t="s">
        <v>629</v>
      </c>
      <c r="E2696" s="251" t="s">
        <v>1853</v>
      </c>
      <c r="F2696" s="124" t="s">
        <v>620</v>
      </c>
      <c r="G2696" s="130">
        <v>2020</v>
      </c>
      <c r="H2696" s="125" t="s">
        <v>733</v>
      </c>
      <c r="I2696" s="311" t="str">
        <f t="shared" si="112"/>
        <v>Pesado de Passageiros M3: III : Gasóleo : E6</v>
      </c>
      <c r="J2696" s="125">
        <v>24</v>
      </c>
      <c r="K2696" s="253">
        <v>2022</v>
      </c>
      <c r="L2696" s="85">
        <v>9340.89</v>
      </c>
      <c r="M2696" s="85" t="s">
        <v>630</v>
      </c>
      <c r="N2696" s="128">
        <v>54670</v>
      </c>
      <c r="O2696" s="128">
        <f t="shared" si="111"/>
        <v>1312080</v>
      </c>
      <c r="Q2696" t="s">
        <v>47</v>
      </c>
      <c r="R2696" s="214" t="s">
        <v>1869</v>
      </c>
      <c r="S2696" s="214" t="s">
        <v>1861</v>
      </c>
      <c r="T2696" t="s">
        <v>3664</v>
      </c>
      <c r="U2696" t="s">
        <v>1953</v>
      </c>
      <c r="V2696" t="s">
        <v>2813</v>
      </c>
    </row>
    <row r="2697" spans="1:22" ht="15.75" thickBot="1" x14ac:dyDescent="0.3">
      <c r="A2697" t="s">
        <v>4598</v>
      </c>
      <c r="B2697" t="s">
        <v>4598</v>
      </c>
      <c r="C2697" t="s">
        <v>4598</v>
      </c>
      <c r="D2697" s="83" t="s">
        <v>629</v>
      </c>
      <c r="E2697" s="251" t="s">
        <v>1853</v>
      </c>
      <c r="F2697" s="124" t="s">
        <v>620</v>
      </c>
      <c r="G2697" s="130">
        <v>2008</v>
      </c>
      <c r="H2697" s="125" t="s">
        <v>731</v>
      </c>
      <c r="I2697" s="311" t="str">
        <f t="shared" si="112"/>
        <v>Pesado de Passageiros M3: III : Gasóleo : E4</v>
      </c>
      <c r="J2697" s="125">
        <v>49</v>
      </c>
      <c r="K2697" s="253">
        <v>2022</v>
      </c>
      <c r="L2697" s="85">
        <v>15401.109999999999</v>
      </c>
      <c r="M2697" s="85" t="s">
        <v>630</v>
      </c>
      <c r="N2697" s="128">
        <v>45522</v>
      </c>
      <c r="O2697" s="128">
        <f t="shared" si="111"/>
        <v>2230578</v>
      </c>
      <c r="Q2697" t="s">
        <v>47</v>
      </c>
      <c r="R2697" s="214" t="s">
        <v>1869</v>
      </c>
      <c r="S2697" s="214" t="s">
        <v>1861</v>
      </c>
      <c r="T2697" t="s">
        <v>3665</v>
      </c>
      <c r="U2697" t="s">
        <v>1953</v>
      </c>
      <c r="V2697" t="s">
        <v>2813</v>
      </c>
    </row>
    <row r="2698" spans="1:22" ht="15.75" thickBot="1" x14ac:dyDescent="0.3">
      <c r="A2698" t="s">
        <v>4598</v>
      </c>
      <c r="B2698" t="s">
        <v>4598</v>
      </c>
      <c r="C2698" t="s">
        <v>4598</v>
      </c>
      <c r="D2698" s="83" t="s">
        <v>629</v>
      </c>
      <c r="E2698" s="251" t="s">
        <v>1853</v>
      </c>
      <c r="F2698" s="124" t="s">
        <v>620</v>
      </c>
      <c r="G2698" s="130">
        <v>2019</v>
      </c>
      <c r="H2698" s="125" t="s">
        <v>733</v>
      </c>
      <c r="I2698" s="311" t="str">
        <f t="shared" si="112"/>
        <v>Pesado de Passageiros M3: III : Gasóleo : E6</v>
      </c>
      <c r="J2698" s="125">
        <v>24</v>
      </c>
      <c r="K2698" s="253">
        <v>2022</v>
      </c>
      <c r="L2698" s="85">
        <v>11283.21</v>
      </c>
      <c r="M2698" s="85" t="s">
        <v>630</v>
      </c>
      <c r="N2698" s="128">
        <v>34196</v>
      </c>
      <c r="O2698" s="128">
        <f t="shared" si="111"/>
        <v>820704</v>
      </c>
      <c r="Q2698" t="s">
        <v>47</v>
      </c>
      <c r="R2698" s="214" t="s">
        <v>1869</v>
      </c>
      <c r="S2698" s="214" t="s">
        <v>1861</v>
      </c>
      <c r="T2698" t="s">
        <v>3666</v>
      </c>
      <c r="U2698" t="s">
        <v>1953</v>
      </c>
      <c r="V2698" t="s">
        <v>2813</v>
      </c>
    </row>
    <row r="2699" spans="1:22" ht="15.75" thickBot="1" x14ac:dyDescent="0.3">
      <c r="A2699" t="s">
        <v>4598</v>
      </c>
      <c r="B2699" t="s">
        <v>4598</v>
      </c>
      <c r="C2699" t="s">
        <v>4598</v>
      </c>
      <c r="D2699" s="83" t="s">
        <v>629</v>
      </c>
      <c r="E2699" s="251" t="s">
        <v>1853</v>
      </c>
      <c r="F2699" s="124" t="s">
        <v>620</v>
      </c>
      <c r="G2699" s="130">
        <v>2007</v>
      </c>
      <c r="H2699" s="125" t="s">
        <v>731</v>
      </c>
      <c r="I2699" s="311" t="str">
        <f t="shared" si="112"/>
        <v>Pesado de Passageiros M3: III : Gasóleo : E4</v>
      </c>
      <c r="J2699" s="125">
        <v>49</v>
      </c>
      <c r="K2699" s="253">
        <v>2022</v>
      </c>
      <c r="L2699" s="85">
        <v>12596.64</v>
      </c>
      <c r="M2699" s="85" t="s">
        <v>630</v>
      </c>
      <c r="N2699" s="128">
        <v>41971</v>
      </c>
      <c r="O2699" s="128">
        <f t="shared" si="111"/>
        <v>2056579</v>
      </c>
      <c r="Q2699" t="s">
        <v>47</v>
      </c>
      <c r="R2699" s="214" t="s">
        <v>1869</v>
      </c>
      <c r="S2699" s="214" t="s">
        <v>1861</v>
      </c>
      <c r="T2699" t="s">
        <v>3667</v>
      </c>
      <c r="U2699" t="s">
        <v>1953</v>
      </c>
      <c r="V2699" t="s">
        <v>2813</v>
      </c>
    </row>
    <row r="2700" spans="1:22" ht="15.75" thickBot="1" x14ac:dyDescent="0.3">
      <c r="A2700" t="s">
        <v>4598</v>
      </c>
      <c r="B2700" t="s">
        <v>4598</v>
      </c>
      <c r="C2700" t="s">
        <v>4598</v>
      </c>
      <c r="D2700" s="83" t="s">
        <v>629</v>
      </c>
      <c r="E2700" s="251" t="s">
        <v>1853</v>
      </c>
      <c r="F2700" s="124" t="s">
        <v>620</v>
      </c>
      <c r="G2700" s="130">
        <v>2008</v>
      </c>
      <c r="H2700" s="125" t="s">
        <v>731</v>
      </c>
      <c r="I2700" s="311" t="str">
        <f t="shared" si="112"/>
        <v>Pesado de Passageiros M3: III : Gasóleo : E4</v>
      </c>
      <c r="J2700" s="125">
        <v>54</v>
      </c>
      <c r="K2700" s="253">
        <v>2022</v>
      </c>
      <c r="L2700" s="85">
        <v>18418.120000000003</v>
      </c>
      <c r="M2700" s="85" t="s">
        <v>630</v>
      </c>
      <c r="N2700" s="128">
        <v>67982</v>
      </c>
      <c r="O2700" s="128">
        <f t="shared" si="111"/>
        <v>3671028</v>
      </c>
      <c r="Q2700" t="s">
        <v>47</v>
      </c>
      <c r="R2700" s="214" t="s">
        <v>1869</v>
      </c>
      <c r="S2700" s="214" t="s">
        <v>1861</v>
      </c>
      <c r="T2700" t="s">
        <v>3668</v>
      </c>
      <c r="U2700" t="s">
        <v>1953</v>
      </c>
      <c r="V2700" t="s">
        <v>2813</v>
      </c>
    </row>
    <row r="2701" spans="1:22" ht="15.75" thickBot="1" x14ac:dyDescent="0.3">
      <c r="A2701" t="s">
        <v>4598</v>
      </c>
      <c r="B2701" t="s">
        <v>4598</v>
      </c>
      <c r="C2701" t="s">
        <v>4598</v>
      </c>
      <c r="D2701" s="83" t="s">
        <v>629</v>
      </c>
      <c r="E2701" s="251" t="s">
        <v>1853</v>
      </c>
      <c r="F2701" s="124" t="s">
        <v>620</v>
      </c>
      <c r="G2701" s="130">
        <v>2015</v>
      </c>
      <c r="H2701" s="125" t="s">
        <v>733</v>
      </c>
      <c r="I2701" s="311" t="str">
        <f t="shared" si="112"/>
        <v>Pesado de Passageiros M3: III : Gasóleo : E6</v>
      </c>
      <c r="J2701" s="125">
        <v>53</v>
      </c>
      <c r="K2701" s="253">
        <v>2022</v>
      </c>
      <c r="L2701" s="85">
        <v>18715.670000000002</v>
      </c>
      <c r="M2701" s="85" t="s">
        <v>630</v>
      </c>
      <c r="N2701" s="128">
        <v>68547</v>
      </c>
      <c r="O2701" s="128">
        <f t="shared" si="111"/>
        <v>3632991</v>
      </c>
      <c r="Q2701" t="s">
        <v>47</v>
      </c>
      <c r="R2701" s="214" t="s">
        <v>1869</v>
      </c>
      <c r="S2701" s="214" t="s">
        <v>1861</v>
      </c>
      <c r="T2701" t="s">
        <v>3669</v>
      </c>
      <c r="U2701" t="s">
        <v>1953</v>
      </c>
      <c r="V2701" t="s">
        <v>2813</v>
      </c>
    </row>
    <row r="2702" spans="1:22" ht="15.75" thickBot="1" x14ac:dyDescent="0.3">
      <c r="A2702" t="s">
        <v>4598</v>
      </c>
      <c r="B2702" t="s">
        <v>4598</v>
      </c>
      <c r="C2702" t="s">
        <v>4598</v>
      </c>
      <c r="D2702" s="83" t="s">
        <v>629</v>
      </c>
      <c r="E2702" s="251" t="s">
        <v>1853</v>
      </c>
      <c r="F2702" s="124" t="s">
        <v>620</v>
      </c>
      <c r="G2702" s="130">
        <v>2020</v>
      </c>
      <c r="H2702" s="125" t="s">
        <v>733</v>
      </c>
      <c r="I2702" s="311" t="str">
        <f t="shared" si="112"/>
        <v>Pesado de Passageiros M3: III : Gasóleo : E6</v>
      </c>
      <c r="J2702" s="125">
        <v>59</v>
      </c>
      <c r="K2702" s="253">
        <v>2022</v>
      </c>
      <c r="L2702" s="85">
        <v>18871.390000000003</v>
      </c>
      <c r="M2702" s="85" t="s">
        <v>630</v>
      </c>
      <c r="N2702" s="128">
        <v>62902</v>
      </c>
      <c r="O2702" s="128">
        <f t="shared" si="111"/>
        <v>3711218</v>
      </c>
      <c r="Q2702" t="s">
        <v>47</v>
      </c>
      <c r="R2702" s="214" t="s">
        <v>1869</v>
      </c>
      <c r="S2702" s="214" t="s">
        <v>1861</v>
      </c>
      <c r="T2702" t="s">
        <v>3670</v>
      </c>
      <c r="U2702" t="s">
        <v>1953</v>
      </c>
      <c r="V2702" t="s">
        <v>2813</v>
      </c>
    </row>
    <row r="2703" spans="1:22" ht="15.75" thickBot="1" x14ac:dyDescent="0.3">
      <c r="A2703" t="s">
        <v>4598</v>
      </c>
      <c r="B2703" t="s">
        <v>4598</v>
      </c>
      <c r="C2703" t="s">
        <v>4598</v>
      </c>
      <c r="D2703" s="83" t="s">
        <v>629</v>
      </c>
      <c r="E2703" s="251" t="s">
        <v>1853</v>
      </c>
      <c r="F2703" s="124" t="s">
        <v>620</v>
      </c>
      <c r="G2703" s="130">
        <v>2020</v>
      </c>
      <c r="H2703" s="125" t="s">
        <v>733</v>
      </c>
      <c r="I2703" s="311" t="str">
        <f t="shared" si="112"/>
        <v>Pesado de Passageiros M3: III : Gasóleo : E6</v>
      </c>
      <c r="J2703" s="125">
        <v>59</v>
      </c>
      <c r="K2703" s="253">
        <v>2022</v>
      </c>
      <c r="L2703" s="85">
        <v>18611.870000000003</v>
      </c>
      <c r="M2703" s="85" t="s">
        <v>630</v>
      </c>
      <c r="N2703" s="128">
        <v>63027</v>
      </c>
      <c r="O2703" s="128">
        <f t="shared" si="111"/>
        <v>3718593</v>
      </c>
      <c r="Q2703" t="s">
        <v>47</v>
      </c>
      <c r="R2703" s="214" t="s">
        <v>1869</v>
      </c>
      <c r="S2703" s="214" t="s">
        <v>1861</v>
      </c>
      <c r="T2703" t="s">
        <v>3671</v>
      </c>
      <c r="U2703" t="s">
        <v>1953</v>
      </c>
      <c r="V2703" t="s">
        <v>2813</v>
      </c>
    </row>
    <row r="2704" spans="1:22" ht="15.75" thickBot="1" x14ac:dyDescent="0.3">
      <c r="A2704" t="s">
        <v>4598</v>
      </c>
      <c r="B2704" t="s">
        <v>4598</v>
      </c>
      <c r="C2704" t="s">
        <v>4598</v>
      </c>
      <c r="D2704" s="83" t="s">
        <v>629</v>
      </c>
      <c r="E2704" s="251" t="s">
        <v>1853</v>
      </c>
      <c r="F2704" s="124" t="s">
        <v>620</v>
      </c>
      <c r="G2704" s="130">
        <v>2017</v>
      </c>
      <c r="H2704" s="125" t="s">
        <v>733</v>
      </c>
      <c r="I2704" s="311" t="str">
        <f t="shared" si="112"/>
        <v>Pesado de Passageiros M3: III : Gasóleo : E6</v>
      </c>
      <c r="J2704" s="125">
        <v>57</v>
      </c>
      <c r="K2704" s="253">
        <v>2022</v>
      </c>
      <c r="L2704" s="85">
        <v>17550.82</v>
      </c>
      <c r="M2704" s="85" t="s">
        <v>630</v>
      </c>
      <c r="N2704" s="128">
        <v>52133</v>
      </c>
      <c r="O2704" s="128">
        <f t="shared" si="111"/>
        <v>2971581</v>
      </c>
      <c r="Q2704" t="s">
        <v>47</v>
      </c>
      <c r="R2704" s="214" t="s">
        <v>1869</v>
      </c>
      <c r="S2704" s="214" t="s">
        <v>1861</v>
      </c>
      <c r="T2704" t="s">
        <v>3672</v>
      </c>
      <c r="U2704" t="s">
        <v>1953</v>
      </c>
      <c r="V2704" t="s">
        <v>2813</v>
      </c>
    </row>
    <row r="2705" spans="1:22" ht="15.75" thickBot="1" x14ac:dyDescent="0.3">
      <c r="A2705" t="s">
        <v>4598</v>
      </c>
      <c r="B2705" t="s">
        <v>4598</v>
      </c>
      <c r="C2705" t="s">
        <v>4598</v>
      </c>
      <c r="D2705" s="83" t="s">
        <v>629</v>
      </c>
      <c r="E2705" s="251" t="s">
        <v>1853</v>
      </c>
      <c r="F2705" s="124" t="s">
        <v>620</v>
      </c>
      <c r="G2705" s="130">
        <v>2017</v>
      </c>
      <c r="H2705" s="125" t="s">
        <v>733</v>
      </c>
      <c r="I2705" s="311" t="str">
        <f t="shared" si="112"/>
        <v>Pesado de Passageiros M3: III : Gasóleo : E6</v>
      </c>
      <c r="J2705" s="125">
        <v>57</v>
      </c>
      <c r="K2705" s="253">
        <v>2022</v>
      </c>
      <c r="L2705" s="85">
        <v>17013.079999999998</v>
      </c>
      <c r="M2705" s="85" t="s">
        <v>630</v>
      </c>
      <c r="N2705" s="128">
        <v>53514</v>
      </c>
      <c r="O2705" s="128">
        <f t="shared" si="111"/>
        <v>3050298</v>
      </c>
      <c r="Q2705" t="s">
        <v>47</v>
      </c>
      <c r="R2705" s="214" t="s">
        <v>1869</v>
      </c>
      <c r="S2705" s="214" t="s">
        <v>1861</v>
      </c>
      <c r="T2705" t="s">
        <v>3673</v>
      </c>
      <c r="U2705" t="s">
        <v>1953</v>
      </c>
      <c r="V2705" t="s">
        <v>2813</v>
      </c>
    </row>
    <row r="2706" spans="1:22" ht="15.75" thickBot="1" x14ac:dyDescent="0.3">
      <c r="A2706" t="s">
        <v>4598</v>
      </c>
      <c r="B2706" t="s">
        <v>4598</v>
      </c>
      <c r="C2706" t="s">
        <v>4598</v>
      </c>
      <c r="D2706" s="83" t="s">
        <v>629</v>
      </c>
      <c r="E2706" s="251" t="s">
        <v>1853</v>
      </c>
      <c r="F2706" s="124" t="s">
        <v>620</v>
      </c>
      <c r="G2706" s="130">
        <v>2016</v>
      </c>
      <c r="H2706" s="125" t="s">
        <v>733</v>
      </c>
      <c r="I2706" s="311" t="str">
        <f t="shared" si="112"/>
        <v>Pesado de Passageiros M3: III : Gasóleo : E6</v>
      </c>
      <c r="J2706" s="125">
        <v>55</v>
      </c>
      <c r="K2706" s="253">
        <v>2022</v>
      </c>
      <c r="L2706" s="85">
        <v>15069.259999999998</v>
      </c>
      <c r="M2706" s="85" t="s">
        <v>630</v>
      </c>
      <c r="N2706" s="128">
        <v>48478</v>
      </c>
      <c r="O2706" s="128">
        <f t="shared" si="111"/>
        <v>2666290</v>
      </c>
      <c r="Q2706" t="s">
        <v>47</v>
      </c>
      <c r="R2706" s="214" t="s">
        <v>1869</v>
      </c>
      <c r="S2706" s="214" t="s">
        <v>1861</v>
      </c>
      <c r="T2706" t="s">
        <v>3674</v>
      </c>
      <c r="U2706" t="s">
        <v>1953</v>
      </c>
      <c r="V2706" t="s">
        <v>2813</v>
      </c>
    </row>
    <row r="2707" spans="1:22" ht="15.75" thickBot="1" x14ac:dyDescent="0.3">
      <c r="A2707" t="s">
        <v>4598</v>
      </c>
      <c r="B2707" t="s">
        <v>4598</v>
      </c>
      <c r="C2707" t="s">
        <v>4598</v>
      </c>
      <c r="D2707" s="83" t="s">
        <v>629</v>
      </c>
      <c r="E2707" s="251" t="s">
        <v>1853</v>
      </c>
      <c r="F2707" s="124" t="s">
        <v>620</v>
      </c>
      <c r="G2707" s="130">
        <v>2016</v>
      </c>
      <c r="H2707" s="125" t="s">
        <v>733</v>
      </c>
      <c r="I2707" s="311" t="str">
        <f t="shared" si="112"/>
        <v>Pesado de Passageiros M3: III : Gasóleo : E6</v>
      </c>
      <c r="J2707" s="125">
        <v>55</v>
      </c>
      <c r="K2707" s="253">
        <v>2022</v>
      </c>
      <c r="L2707" s="85">
        <v>7600.1399999999994</v>
      </c>
      <c r="M2707" s="85" t="s">
        <v>630</v>
      </c>
      <c r="N2707" s="128">
        <v>50289</v>
      </c>
      <c r="O2707" s="128">
        <f t="shared" si="111"/>
        <v>2765895</v>
      </c>
      <c r="Q2707" t="s">
        <v>47</v>
      </c>
      <c r="R2707" s="214" t="s">
        <v>1869</v>
      </c>
      <c r="S2707" s="214" t="s">
        <v>1861</v>
      </c>
      <c r="T2707" t="s">
        <v>3675</v>
      </c>
      <c r="U2707" t="s">
        <v>1953</v>
      </c>
      <c r="V2707" t="s">
        <v>2813</v>
      </c>
    </row>
    <row r="2708" spans="1:22" ht="15.75" thickBot="1" x14ac:dyDescent="0.3">
      <c r="A2708" t="s">
        <v>4598</v>
      </c>
      <c r="B2708" t="s">
        <v>4598</v>
      </c>
      <c r="C2708" t="s">
        <v>4598</v>
      </c>
      <c r="D2708" s="83" t="s">
        <v>629</v>
      </c>
      <c r="E2708" s="251" t="s">
        <v>1853</v>
      </c>
      <c r="F2708" s="124" t="s">
        <v>620</v>
      </c>
      <c r="G2708" s="130">
        <v>2016</v>
      </c>
      <c r="H2708" s="125" t="s">
        <v>733</v>
      </c>
      <c r="I2708" s="311" t="str">
        <f t="shared" si="112"/>
        <v>Pesado de Passageiros M3: III : Gasóleo : E6</v>
      </c>
      <c r="J2708" s="125">
        <v>55</v>
      </c>
      <c r="K2708" s="253">
        <v>2022</v>
      </c>
      <c r="L2708" s="85">
        <v>11222.027</v>
      </c>
      <c r="M2708" s="85" t="s">
        <v>630</v>
      </c>
      <c r="N2708" s="128">
        <v>65270</v>
      </c>
      <c r="O2708" s="128">
        <f t="shared" si="111"/>
        <v>3589850</v>
      </c>
      <c r="Q2708" t="s">
        <v>47</v>
      </c>
      <c r="R2708" s="214" t="s">
        <v>1869</v>
      </c>
      <c r="S2708" s="214" t="s">
        <v>1861</v>
      </c>
      <c r="T2708" t="s">
        <v>3676</v>
      </c>
      <c r="U2708" t="s">
        <v>1953</v>
      </c>
      <c r="V2708" t="s">
        <v>2813</v>
      </c>
    </row>
    <row r="2709" spans="1:22" ht="15.75" thickBot="1" x14ac:dyDescent="0.3">
      <c r="A2709" t="s">
        <v>4598</v>
      </c>
      <c r="B2709" t="s">
        <v>4598</v>
      </c>
      <c r="C2709" t="s">
        <v>4598</v>
      </c>
      <c r="D2709" s="83" t="s">
        <v>629</v>
      </c>
      <c r="E2709" s="251" t="s">
        <v>1853</v>
      </c>
      <c r="F2709" s="124" t="s">
        <v>620</v>
      </c>
      <c r="G2709" s="130">
        <v>2020</v>
      </c>
      <c r="H2709" s="125" t="s">
        <v>733</v>
      </c>
      <c r="I2709" s="311" t="str">
        <f t="shared" si="112"/>
        <v>Pesado de Passageiros M3: III : Gasóleo : E6</v>
      </c>
      <c r="J2709" s="125">
        <v>24</v>
      </c>
      <c r="K2709" s="253">
        <v>2022</v>
      </c>
      <c r="L2709" s="85">
        <v>11938.04</v>
      </c>
      <c r="M2709" s="85" t="s">
        <v>630</v>
      </c>
      <c r="N2709" s="128">
        <v>49297</v>
      </c>
      <c r="O2709" s="128">
        <f t="shared" si="111"/>
        <v>1183128</v>
      </c>
      <c r="Q2709" t="s">
        <v>47</v>
      </c>
      <c r="R2709" s="214" t="s">
        <v>1869</v>
      </c>
      <c r="S2709" s="214" t="s">
        <v>1861</v>
      </c>
      <c r="T2709" t="s">
        <v>3677</v>
      </c>
      <c r="U2709" t="s">
        <v>1953</v>
      </c>
      <c r="V2709" t="s">
        <v>2813</v>
      </c>
    </row>
    <row r="2710" spans="1:22" ht="15.75" thickBot="1" x14ac:dyDescent="0.3">
      <c r="A2710" t="s">
        <v>4598</v>
      </c>
      <c r="B2710" t="s">
        <v>4598</v>
      </c>
      <c r="C2710" t="s">
        <v>4598</v>
      </c>
      <c r="D2710" s="83" t="s">
        <v>629</v>
      </c>
      <c r="E2710" s="251" t="s">
        <v>1853</v>
      </c>
      <c r="F2710" s="124" t="s">
        <v>620</v>
      </c>
      <c r="G2710" s="130">
        <v>2020</v>
      </c>
      <c r="H2710" s="125" t="s">
        <v>733</v>
      </c>
      <c r="I2710" s="311" t="str">
        <f t="shared" si="112"/>
        <v>Pesado de Passageiros M3: III : Gasóleo : E6</v>
      </c>
      <c r="J2710" s="125">
        <v>24</v>
      </c>
      <c r="K2710" s="253">
        <v>2022</v>
      </c>
      <c r="L2710" s="85">
        <v>18396.309999999998</v>
      </c>
      <c r="M2710" s="85" t="s">
        <v>630</v>
      </c>
      <c r="N2710" s="128">
        <v>60000</v>
      </c>
      <c r="O2710" s="128">
        <f t="shared" si="111"/>
        <v>1440000</v>
      </c>
      <c r="Q2710" t="s">
        <v>47</v>
      </c>
      <c r="R2710" s="214" t="s">
        <v>1869</v>
      </c>
      <c r="S2710" s="214" t="s">
        <v>1861</v>
      </c>
      <c r="T2710" t="s">
        <v>3678</v>
      </c>
      <c r="U2710" t="s">
        <v>1953</v>
      </c>
      <c r="V2710" t="s">
        <v>2813</v>
      </c>
    </row>
    <row r="2711" spans="1:22" ht="15.75" thickBot="1" x14ac:dyDescent="0.3">
      <c r="A2711" t="s">
        <v>4598</v>
      </c>
      <c r="B2711" t="s">
        <v>4598</v>
      </c>
      <c r="C2711" t="s">
        <v>4598</v>
      </c>
      <c r="D2711" s="83" t="s">
        <v>629</v>
      </c>
      <c r="E2711" s="251" t="s">
        <v>1853</v>
      </c>
      <c r="F2711" s="124" t="s">
        <v>620</v>
      </c>
      <c r="G2711" s="130">
        <v>2019</v>
      </c>
      <c r="H2711" s="125" t="s">
        <v>733</v>
      </c>
      <c r="I2711" s="311" t="str">
        <f t="shared" si="112"/>
        <v>Pesado de Passageiros M3: III : Gasóleo : E6</v>
      </c>
      <c r="J2711" s="125">
        <v>35</v>
      </c>
      <c r="K2711" s="253">
        <v>2022</v>
      </c>
      <c r="L2711" s="85">
        <v>13803.44</v>
      </c>
      <c r="M2711" s="85" t="s">
        <v>630</v>
      </c>
      <c r="N2711" s="128">
        <v>54263</v>
      </c>
      <c r="O2711" s="128">
        <f t="shared" si="111"/>
        <v>1899205</v>
      </c>
      <c r="Q2711" t="s">
        <v>47</v>
      </c>
      <c r="R2711" s="214" t="s">
        <v>1869</v>
      </c>
      <c r="S2711" s="214" t="s">
        <v>1861</v>
      </c>
      <c r="T2711" t="s">
        <v>3679</v>
      </c>
      <c r="U2711" t="s">
        <v>1953</v>
      </c>
      <c r="V2711" t="s">
        <v>2813</v>
      </c>
    </row>
    <row r="2712" spans="1:22" ht="15.75" thickBot="1" x14ac:dyDescent="0.3">
      <c r="A2712" t="s">
        <v>4598</v>
      </c>
      <c r="B2712" t="s">
        <v>4598</v>
      </c>
      <c r="C2712" t="s">
        <v>4598</v>
      </c>
      <c r="D2712" s="83" t="s">
        <v>629</v>
      </c>
      <c r="E2712" s="251" t="s">
        <v>1853</v>
      </c>
      <c r="F2712" s="124" t="s">
        <v>620</v>
      </c>
      <c r="G2712" s="130">
        <v>2016</v>
      </c>
      <c r="H2712" s="125" t="s">
        <v>733</v>
      </c>
      <c r="I2712" s="311" t="str">
        <f t="shared" si="112"/>
        <v>Pesado de Passageiros M3: III : Gasóleo : E6</v>
      </c>
      <c r="J2712" s="125">
        <v>55</v>
      </c>
      <c r="K2712" s="253">
        <v>2022</v>
      </c>
      <c r="L2712" s="85">
        <v>8893.6</v>
      </c>
      <c r="M2712" s="85" t="s">
        <v>630</v>
      </c>
      <c r="N2712" s="128">
        <v>23892</v>
      </c>
      <c r="O2712" s="128">
        <f t="shared" si="111"/>
        <v>1314060</v>
      </c>
      <c r="Q2712" t="s">
        <v>47</v>
      </c>
      <c r="R2712" s="214" t="s">
        <v>1869</v>
      </c>
      <c r="S2712" s="214" t="s">
        <v>1861</v>
      </c>
      <c r="T2712" t="s">
        <v>3680</v>
      </c>
      <c r="U2712" t="s">
        <v>1953</v>
      </c>
      <c r="V2712" t="s">
        <v>2813</v>
      </c>
    </row>
    <row r="2713" spans="1:22" ht="15.75" thickBot="1" x14ac:dyDescent="0.3">
      <c r="A2713" t="s">
        <v>4598</v>
      </c>
      <c r="B2713" t="s">
        <v>4598</v>
      </c>
      <c r="C2713" t="s">
        <v>4598</v>
      </c>
      <c r="D2713" s="83" t="s">
        <v>629</v>
      </c>
      <c r="E2713" s="251" t="s">
        <v>1853</v>
      </c>
      <c r="F2713" s="124" t="s">
        <v>620</v>
      </c>
      <c r="G2713" s="130">
        <v>2018</v>
      </c>
      <c r="H2713" s="125" t="s">
        <v>733</v>
      </c>
      <c r="I2713" s="311" t="str">
        <f t="shared" si="112"/>
        <v>Pesado de Passageiros M3: III : Gasóleo : E6</v>
      </c>
      <c r="J2713" s="125">
        <v>39</v>
      </c>
      <c r="K2713" s="253">
        <v>2022</v>
      </c>
      <c r="L2713" s="85">
        <v>15153.110000000002</v>
      </c>
      <c r="M2713" s="85" t="s">
        <v>630</v>
      </c>
      <c r="N2713" s="128">
        <v>49697</v>
      </c>
      <c r="O2713" s="128">
        <f t="shared" si="111"/>
        <v>1938183</v>
      </c>
      <c r="Q2713" t="s">
        <v>47</v>
      </c>
      <c r="R2713" s="214" t="s">
        <v>1869</v>
      </c>
      <c r="S2713" s="214" t="s">
        <v>1861</v>
      </c>
      <c r="T2713" t="s">
        <v>3681</v>
      </c>
      <c r="U2713" t="s">
        <v>1953</v>
      </c>
      <c r="V2713" t="s">
        <v>2813</v>
      </c>
    </row>
    <row r="2714" spans="1:22" ht="15.75" thickBot="1" x14ac:dyDescent="0.3">
      <c r="A2714" t="s">
        <v>4598</v>
      </c>
      <c r="B2714" t="s">
        <v>4598</v>
      </c>
      <c r="C2714" t="s">
        <v>4598</v>
      </c>
      <c r="D2714" s="83" t="s">
        <v>629</v>
      </c>
      <c r="E2714" s="251" t="s">
        <v>1853</v>
      </c>
      <c r="F2714" s="124" t="s">
        <v>620</v>
      </c>
      <c r="G2714" s="130">
        <v>2008</v>
      </c>
      <c r="H2714" s="125" t="s">
        <v>731</v>
      </c>
      <c r="I2714" s="311" t="str">
        <f t="shared" si="112"/>
        <v>Pesado de Passageiros M3: III : Gasóleo : E4</v>
      </c>
      <c r="J2714" s="125">
        <v>55</v>
      </c>
      <c r="K2714" s="253">
        <v>2022</v>
      </c>
      <c r="L2714" s="85">
        <v>10742.07</v>
      </c>
      <c r="M2714" s="85" t="s">
        <v>630</v>
      </c>
      <c r="N2714" s="128">
        <v>28042</v>
      </c>
      <c r="O2714" s="128">
        <f t="shared" si="111"/>
        <v>1542310</v>
      </c>
      <c r="Q2714" t="s">
        <v>47</v>
      </c>
      <c r="R2714" s="214" t="s">
        <v>1869</v>
      </c>
      <c r="S2714" s="214" t="s">
        <v>1861</v>
      </c>
      <c r="T2714" t="s">
        <v>3682</v>
      </c>
      <c r="U2714" t="s">
        <v>1953</v>
      </c>
      <c r="V2714" t="s">
        <v>2813</v>
      </c>
    </row>
    <row r="2715" spans="1:22" ht="15.75" thickBot="1" x14ac:dyDescent="0.3">
      <c r="A2715" t="s">
        <v>4598</v>
      </c>
      <c r="B2715" t="s">
        <v>4598</v>
      </c>
      <c r="C2715" t="s">
        <v>4598</v>
      </c>
      <c r="D2715" s="83" t="s">
        <v>629</v>
      </c>
      <c r="E2715" s="251" t="s">
        <v>1853</v>
      </c>
      <c r="F2715" s="124" t="s">
        <v>620</v>
      </c>
      <c r="G2715" s="130">
        <v>2008</v>
      </c>
      <c r="H2715" s="125" t="s">
        <v>731</v>
      </c>
      <c r="I2715" s="311" t="str">
        <f t="shared" si="112"/>
        <v>Pesado de Passageiros M3: III : Gasóleo : E4</v>
      </c>
      <c r="J2715" s="125">
        <v>55</v>
      </c>
      <c r="K2715" s="253">
        <v>2022</v>
      </c>
      <c r="L2715" s="85">
        <v>15464.710000000001</v>
      </c>
      <c r="M2715" s="85" t="s">
        <v>630</v>
      </c>
      <c r="N2715" s="128">
        <v>43222</v>
      </c>
      <c r="O2715" s="128">
        <f t="shared" si="111"/>
        <v>2377210</v>
      </c>
      <c r="Q2715" t="s">
        <v>47</v>
      </c>
      <c r="R2715" s="214" t="s">
        <v>1869</v>
      </c>
      <c r="S2715" s="214" t="s">
        <v>1861</v>
      </c>
      <c r="T2715" t="s">
        <v>3683</v>
      </c>
      <c r="U2715" t="s">
        <v>1953</v>
      </c>
      <c r="V2715" t="s">
        <v>2813</v>
      </c>
    </row>
    <row r="2716" spans="1:22" ht="15.75" thickBot="1" x14ac:dyDescent="0.3">
      <c r="A2716" t="s">
        <v>4598</v>
      </c>
      <c r="B2716" t="s">
        <v>4598</v>
      </c>
      <c r="C2716" t="s">
        <v>4598</v>
      </c>
      <c r="D2716" s="83" t="s">
        <v>629</v>
      </c>
      <c r="E2716" s="251" t="s">
        <v>1853</v>
      </c>
      <c r="F2716" s="124" t="s">
        <v>620</v>
      </c>
      <c r="G2716" s="130">
        <v>2008</v>
      </c>
      <c r="H2716" s="125" t="s">
        <v>731</v>
      </c>
      <c r="I2716" s="311" t="str">
        <f t="shared" si="112"/>
        <v>Pesado de Passageiros M3: III : Gasóleo : E4</v>
      </c>
      <c r="J2716" s="125">
        <v>59</v>
      </c>
      <c r="K2716" s="253">
        <v>2022</v>
      </c>
      <c r="L2716" s="85">
        <v>12669.29</v>
      </c>
      <c r="M2716" s="85" t="s">
        <v>630</v>
      </c>
      <c r="N2716" s="128">
        <v>37473</v>
      </c>
      <c r="O2716" s="128">
        <f t="shared" si="111"/>
        <v>2210907</v>
      </c>
      <c r="Q2716" t="s">
        <v>47</v>
      </c>
      <c r="R2716" s="214" t="s">
        <v>1869</v>
      </c>
      <c r="S2716" s="214" t="s">
        <v>1861</v>
      </c>
      <c r="T2716" t="s">
        <v>3684</v>
      </c>
      <c r="U2716" t="s">
        <v>1953</v>
      </c>
      <c r="V2716" t="s">
        <v>2813</v>
      </c>
    </row>
    <row r="2717" spans="1:22" ht="15.75" thickBot="1" x14ac:dyDescent="0.3">
      <c r="A2717" t="s">
        <v>4598</v>
      </c>
      <c r="B2717" t="s">
        <v>4598</v>
      </c>
      <c r="C2717" t="s">
        <v>4598</v>
      </c>
      <c r="D2717" s="83" t="s">
        <v>629</v>
      </c>
      <c r="E2717" s="251" t="s">
        <v>1853</v>
      </c>
      <c r="F2717" s="124" t="s">
        <v>620</v>
      </c>
      <c r="G2717" s="130">
        <v>2008</v>
      </c>
      <c r="H2717" s="125" t="s">
        <v>731</v>
      </c>
      <c r="I2717" s="311" t="str">
        <f t="shared" si="112"/>
        <v>Pesado de Passageiros M3: III : Gasóleo : E4</v>
      </c>
      <c r="J2717" s="125">
        <v>55</v>
      </c>
      <c r="K2717" s="253">
        <v>2022</v>
      </c>
      <c r="L2717" s="85">
        <v>14054.269999999997</v>
      </c>
      <c r="M2717" s="85" t="s">
        <v>630</v>
      </c>
      <c r="N2717" s="128">
        <v>37432</v>
      </c>
      <c r="O2717" s="128">
        <f t="shared" si="111"/>
        <v>2058760</v>
      </c>
      <c r="Q2717" t="s">
        <v>47</v>
      </c>
      <c r="R2717" s="214" t="s">
        <v>1869</v>
      </c>
      <c r="S2717" s="214" t="s">
        <v>1861</v>
      </c>
      <c r="T2717" t="s">
        <v>3685</v>
      </c>
      <c r="U2717" t="s">
        <v>1953</v>
      </c>
      <c r="V2717" t="s">
        <v>2813</v>
      </c>
    </row>
    <row r="2718" spans="1:22" ht="15.75" thickBot="1" x14ac:dyDescent="0.3">
      <c r="A2718" t="s">
        <v>4598</v>
      </c>
      <c r="B2718" t="s">
        <v>4598</v>
      </c>
      <c r="C2718" t="s">
        <v>4598</v>
      </c>
      <c r="D2718" s="83" t="s">
        <v>629</v>
      </c>
      <c r="E2718" s="251" t="s">
        <v>1853</v>
      </c>
      <c r="F2718" s="124" t="s">
        <v>620</v>
      </c>
      <c r="G2718" s="130">
        <v>2008</v>
      </c>
      <c r="H2718" s="125" t="s">
        <v>731</v>
      </c>
      <c r="I2718" s="311" t="str">
        <f t="shared" si="112"/>
        <v>Pesado de Passageiros M3: III : Gasóleo : E4</v>
      </c>
      <c r="J2718" s="125">
        <v>55</v>
      </c>
      <c r="K2718" s="253">
        <v>2022</v>
      </c>
      <c r="L2718" s="85">
        <v>13370.49</v>
      </c>
      <c r="M2718" s="85" t="s">
        <v>630</v>
      </c>
      <c r="N2718" s="128">
        <v>31959</v>
      </c>
      <c r="O2718" s="128">
        <f t="shared" si="111"/>
        <v>1757745</v>
      </c>
      <c r="Q2718" t="s">
        <v>47</v>
      </c>
      <c r="R2718" s="214" t="s">
        <v>1869</v>
      </c>
      <c r="S2718" s="214" t="s">
        <v>1861</v>
      </c>
      <c r="T2718" t="s">
        <v>3686</v>
      </c>
      <c r="U2718" t="s">
        <v>1953</v>
      </c>
      <c r="V2718" t="s">
        <v>2813</v>
      </c>
    </row>
    <row r="2719" spans="1:22" ht="15.75" thickBot="1" x14ac:dyDescent="0.3">
      <c r="A2719" t="s">
        <v>4598</v>
      </c>
      <c r="B2719" t="s">
        <v>4598</v>
      </c>
      <c r="C2719" t="s">
        <v>4598</v>
      </c>
      <c r="D2719" s="83" t="s">
        <v>629</v>
      </c>
      <c r="E2719" s="251" t="s">
        <v>1853</v>
      </c>
      <c r="F2719" s="124" t="s">
        <v>620</v>
      </c>
      <c r="G2719" s="130">
        <v>2004</v>
      </c>
      <c r="H2719" s="125" t="s">
        <v>732</v>
      </c>
      <c r="I2719" s="311" t="str">
        <f t="shared" si="112"/>
        <v>Pesado de Passageiros M3: III : Gasóleo : E3</v>
      </c>
      <c r="J2719" s="125">
        <v>49</v>
      </c>
      <c r="K2719" s="253">
        <v>2022</v>
      </c>
      <c r="L2719" s="85">
        <v>12793.380000000001</v>
      </c>
      <c r="M2719" s="85" t="s">
        <v>630</v>
      </c>
      <c r="N2719" s="128">
        <v>35087</v>
      </c>
      <c r="O2719" s="128">
        <f t="shared" si="111"/>
        <v>1719263</v>
      </c>
      <c r="Q2719" t="s">
        <v>47</v>
      </c>
      <c r="R2719" s="214" t="s">
        <v>1869</v>
      </c>
      <c r="S2719" s="214" t="s">
        <v>1861</v>
      </c>
      <c r="T2719" t="s">
        <v>3687</v>
      </c>
      <c r="U2719" t="s">
        <v>1953</v>
      </c>
      <c r="V2719" t="s">
        <v>2813</v>
      </c>
    </row>
    <row r="2720" spans="1:22" ht="15.75" thickBot="1" x14ac:dyDescent="0.3">
      <c r="A2720" t="s">
        <v>4598</v>
      </c>
      <c r="B2720" t="s">
        <v>4598</v>
      </c>
      <c r="C2720" t="s">
        <v>4598</v>
      </c>
      <c r="D2720" s="83" t="s">
        <v>629</v>
      </c>
      <c r="E2720" s="251" t="s">
        <v>1853</v>
      </c>
      <c r="F2720" s="124" t="s">
        <v>620</v>
      </c>
      <c r="G2720" s="130">
        <v>2005</v>
      </c>
      <c r="H2720" s="125" t="s">
        <v>731</v>
      </c>
      <c r="I2720" s="311" t="str">
        <f t="shared" si="112"/>
        <v>Pesado de Passageiros M3: III : Gasóleo : E4</v>
      </c>
      <c r="J2720" s="125">
        <v>49</v>
      </c>
      <c r="K2720" s="253">
        <v>2022</v>
      </c>
      <c r="L2720" s="85">
        <v>10534.720000000001</v>
      </c>
      <c r="M2720" s="85" t="s">
        <v>630</v>
      </c>
      <c r="N2720" s="128">
        <v>29307</v>
      </c>
      <c r="O2720" s="128">
        <f t="shared" si="111"/>
        <v>1436043</v>
      </c>
      <c r="Q2720" t="s">
        <v>47</v>
      </c>
      <c r="R2720" s="214" t="s">
        <v>1869</v>
      </c>
      <c r="S2720" s="214" t="s">
        <v>1861</v>
      </c>
      <c r="T2720" t="s">
        <v>3688</v>
      </c>
      <c r="U2720" t="s">
        <v>1953</v>
      </c>
      <c r="V2720" t="s">
        <v>2813</v>
      </c>
    </row>
    <row r="2721" spans="1:22" ht="15.75" thickBot="1" x14ac:dyDescent="0.3">
      <c r="A2721" t="s">
        <v>4598</v>
      </c>
      <c r="B2721" t="s">
        <v>4598</v>
      </c>
      <c r="C2721" t="s">
        <v>4598</v>
      </c>
      <c r="D2721" s="83" t="s">
        <v>629</v>
      </c>
      <c r="E2721" s="251" t="s">
        <v>1853</v>
      </c>
      <c r="F2721" s="124" t="s">
        <v>620</v>
      </c>
      <c r="G2721" s="130">
        <v>2005</v>
      </c>
      <c r="H2721" s="125" t="s">
        <v>731</v>
      </c>
      <c r="I2721" s="311" t="str">
        <f t="shared" si="112"/>
        <v>Pesado de Passageiros M3: III : Gasóleo : E4</v>
      </c>
      <c r="J2721" s="125">
        <v>49</v>
      </c>
      <c r="K2721" s="253">
        <v>2022</v>
      </c>
      <c r="L2721" s="85">
        <v>8902.0199999999986</v>
      </c>
      <c r="M2721" s="85" t="s">
        <v>630</v>
      </c>
      <c r="N2721" s="128">
        <v>24540</v>
      </c>
      <c r="O2721" s="128">
        <f t="shared" si="111"/>
        <v>1202460</v>
      </c>
      <c r="Q2721" t="s">
        <v>47</v>
      </c>
      <c r="R2721" s="214" t="s">
        <v>1869</v>
      </c>
      <c r="S2721" s="214" t="s">
        <v>1861</v>
      </c>
      <c r="T2721" t="s">
        <v>3689</v>
      </c>
      <c r="U2721" t="s">
        <v>1953</v>
      </c>
      <c r="V2721" t="s">
        <v>2813</v>
      </c>
    </row>
    <row r="2722" spans="1:22" ht="15.75" thickBot="1" x14ac:dyDescent="0.3">
      <c r="A2722" t="s">
        <v>4598</v>
      </c>
      <c r="B2722" t="s">
        <v>4598</v>
      </c>
      <c r="C2722" t="s">
        <v>4598</v>
      </c>
      <c r="D2722" s="83" t="s">
        <v>629</v>
      </c>
      <c r="E2722" s="251" t="s">
        <v>1853</v>
      </c>
      <c r="F2722" s="124" t="s">
        <v>620</v>
      </c>
      <c r="G2722" s="130">
        <v>2007</v>
      </c>
      <c r="H2722" s="125" t="s">
        <v>731</v>
      </c>
      <c r="I2722" s="311" t="str">
        <f t="shared" si="112"/>
        <v>Pesado de Passageiros M3: III : Gasóleo : E4</v>
      </c>
      <c r="J2722" s="125">
        <v>54</v>
      </c>
      <c r="K2722" s="253">
        <v>2022</v>
      </c>
      <c r="L2722" s="85">
        <v>11080.669999999998</v>
      </c>
      <c r="M2722" s="85" t="s">
        <v>630</v>
      </c>
      <c r="N2722" s="128">
        <v>43480</v>
      </c>
      <c r="O2722" s="128">
        <f t="shared" si="111"/>
        <v>2347920</v>
      </c>
      <c r="Q2722" t="s">
        <v>47</v>
      </c>
      <c r="R2722" s="214" t="s">
        <v>1869</v>
      </c>
      <c r="S2722" s="214" t="s">
        <v>1861</v>
      </c>
      <c r="T2722" t="s">
        <v>3690</v>
      </c>
      <c r="U2722" t="s">
        <v>1953</v>
      </c>
      <c r="V2722" t="s">
        <v>2813</v>
      </c>
    </row>
    <row r="2723" spans="1:22" ht="15.75" thickBot="1" x14ac:dyDescent="0.3">
      <c r="A2723" t="s">
        <v>4598</v>
      </c>
      <c r="B2723" t="s">
        <v>4598</v>
      </c>
      <c r="C2723" t="s">
        <v>4598</v>
      </c>
      <c r="D2723" s="83" t="s">
        <v>629</v>
      </c>
      <c r="E2723" s="251" t="s">
        <v>1853</v>
      </c>
      <c r="F2723" s="124" t="s">
        <v>620</v>
      </c>
      <c r="G2723" s="130">
        <v>2007</v>
      </c>
      <c r="H2723" s="125" t="s">
        <v>731</v>
      </c>
      <c r="I2723" s="311" t="str">
        <f t="shared" si="112"/>
        <v>Pesado de Passageiros M3: III : Gasóleo : E4</v>
      </c>
      <c r="J2723" s="125">
        <v>53</v>
      </c>
      <c r="K2723" s="253">
        <v>2022</v>
      </c>
      <c r="L2723" s="85">
        <v>13724.14</v>
      </c>
      <c r="M2723" s="85" t="s">
        <v>630</v>
      </c>
      <c r="N2723" s="128">
        <v>43210</v>
      </c>
      <c r="O2723" s="128">
        <f t="shared" si="111"/>
        <v>2290130</v>
      </c>
      <c r="Q2723" t="s">
        <v>47</v>
      </c>
      <c r="R2723" s="214" t="s">
        <v>1869</v>
      </c>
      <c r="S2723" s="214" t="s">
        <v>1861</v>
      </c>
      <c r="T2723" t="s">
        <v>3691</v>
      </c>
      <c r="U2723" t="s">
        <v>1953</v>
      </c>
      <c r="V2723" t="s">
        <v>2813</v>
      </c>
    </row>
    <row r="2724" spans="1:22" ht="15.75" thickBot="1" x14ac:dyDescent="0.3">
      <c r="A2724" t="s">
        <v>4598</v>
      </c>
      <c r="B2724" t="s">
        <v>4598</v>
      </c>
      <c r="C2724" t="s">
        <v>4598</v>
      </c>
      <c r="D2724" s="83" t="s">
        <v>629</v>
      </c>
      <c r="E2724" s="251" t="s">
        <v>1853</v>
      </c>
      <c r="F2724" s="124" t="s">
        <v>620</v>
      </c>
      <c r="G2724" s="130">
        <v>2019</v>
      </c>
      <c r="H2724" s="125" t="s">
        <v>733</v>
      </c>
      <c r="I2724" s="311" t="str">
        <f t="shared" si="112"/>
        <v>Pesado de Passageiros M3: III : Gasóleo : E6</v>
      </c>
      <c r="J2724" s="125">
        <v>35</v>
      </c>
      <c r="K2724" s="253">
        <v>2022</v>
      </c>
      <c r="L2724" s="85">
        <v>6658.5999999999995</v>
      </c>
      <c r="M2724" s="85" t="s">
        <v>630</v>
      </c>
      <c r="N2724" s="128">
        <v>16981</v>
      </c>
      <c r="O2724" s="128">
        <f t="shared" si="111"/>
        <v>594335</v>
      </c>
      <c r="Q2724" t="s">
        <v>47</v>
      </c>
      <c r="R2724" s="214" t="s">
        <v>1869</v>
      </c>
      <c r="S2724" s="214" t="s">
        <v>1861</v>
      </c>
      <c r="T2724" t="s">
        <v>3692</v>
      </c>
      <c r="U2724" t="s">
        <v>1953</v>
      </c>
      <c r="V2724" t="s">
        <v>2813</v>
      </c>
    </row>
    <row r="2725" spans="1:22" ht="15.75" thickBot="1" x14ac:dyDescent="0.3">
      <c r="A2725" t="s">
        <v>4598</v>
      </c>
      <c r="B2725" t="s">
        <v>4598</v>
      </c>
      <c r="C2725" t="s">
        <v>4598</v>
      </c>
      <c r="D2725" s="83" t="s">
        <v>629</v>
      </c>
      <c r="E2725" s="251" t="s">
        <v>1853</v>
      </c>
      <c r="F2725" s="124" t="s">
        <v>620</v>
      </c>
      <c r="G2725" s="130">
        <v>2008</v>
      </c>
      <c r="H2725" s="125" t="s">
        <v>731</v>
      </c>
      <c r="I2725" s="311" t="str">
        <f t="shared" si="112"/>
        <v>Pesado de Passageiros M3: III : Gasóleo : E4</v>
      </c>
      <c r="J2725" s="125">
        <v>55</v>
      </c>
      <c r="K2725" s="253">
        <v>2022</v>
      </c>
      <c r="L2725" s="85">
        <v>16143.369999999999</v>
      </c>
      <c r="M2725" s="85" t="s">
        <v>630</v>
      </c>
      <c r="N2725" s="128">
        <v>47189</v>
      </c>
      <c r="O2725" s="128">
        <f t="shared" si="111"/>
        <v>2595395</v>
      </c>
      <c r="Q2725" t="s">
        <v>47</v>
      </c>
      <c r="R2725" s="214" t="s">
        <v>1869</v>
      </c>
      <c r="S2725" s="214" t="s">
        <v>1861</v>
      </c>
      <c r="T2725" t="s">
        <v>3693</v>
      </c>
      <c r="U2725" t="s">
        <v>1953</v>
      </c>
      <c r="V2725" t="s">
        <v>2813</v>
      </c>
    </row>
    <row r="2726" spans="1:22" ht="15.75" thickBot="1" x14ac:dyDescent="0.3">
      <c r="A2726" t="s">
        <v>4598</v>
      </c>
      <c r="B2726" t="s">
        <v>4598</v>
      </c>
      <c r="C2726" t="s">
        <v>4598</v>
      </c>
      <c r="D2726" s="83" t="s">
        <v>629</v>
      </c>
      <c r="E2726" s="251" t="s">
        <v>1853</v>
      </c>
      <c r="F2726" s="124" t="s">
        <v>620</v>
      </c>
      <c r="G2726" s="130">
        <v>2008</v>
      </c>
      <c r="H2726" s="125" t="s">
        <v>731</v>
      </c>
      <c r="I2726" s="311" t="str">
        <f t="shared" si="112"/>
        <v>Pesado de Passageiros M3: III : Gasóleo : E4</v>
      </c>
      <c r="J2726" s="125">
        <v>51</v>
      </c>
      <c r="K2726" s="253">
        <v>2022</v>
      </c>
      <c r="L2726" s="85">
        <v>11579.87</v>
      </c>
      <c r="M2726" s="85" t="s">
        <v>630</v>
      </c>
      <c r="N2726" s="128">
        <v>34433</v>
      </c>
      <c r="O2726" s="128">
        <f t="shared" si="111"/>
        <v>1756083</v>
      </c>
      <c r="Q2726" t="s">
        <v>47</v>
      </c>
      <c r="R2726" s="214" t="s">
        <v>1869</v>
      </c>
      <c r="S2726" s="214" t="s">
        <v>1861</v>
      </c>
      <c r="T2726" t="s">
        <v>3694</v>
      </c>
      <c r="U2726" t="s">
        <v>1953</v>
      </c>
      <c r="V2726" t="s">
        <v>2813</v>
      </c>
    </row>
    <row r="2727" spans="1:22" ht="15.75" thickBot="1" x14ac:dyDescent="0.3">
      <c r="A2727" t="s">
        <v>4598</v>
      </c>
      <c r="B2727" t="s">
        <v>4598</v>
      </c>
      <c r="C2727" t="s">
        <v>4598</v>
      </c>
      <c r="D2727" s="83" t="s">
        <v>629</v>
      </c>
      <c r="E2727" s="251" t="s">
        <v>1853</v>
      </c>
      <c r="F2727" s="124" t="s">
        <v>620</v>
      </c>
      <c r="G2727" s="130">
        <v>2008</v>
      </c>
      <c r="H2727" s="125" t="s">
        <v>731</v>
      </c>
      <c r="I2727" s="311" t="str">
        <f t="shared" si="112"/>
        <v>Pesado de Passageiros M3: III : Gasóleo : E4</v>
      </c>
      <c r="J2727" s="125">
        <v>49</v>
      </c>
      <c r="K2727" s="253">
        <v>2022</v>
      </c>
      <c r="L2727" s="85">
        <v>13448.34</v>
      </c>
      <c r="M2727" s="85" t="s">
        <v>630</v>
      </c>
      <c r="N2727" s="128">
        <v>44352</v>
      </c>
      <c r="O2727" s="128">
        <f t="shared" si="111"/>
        <v>2173248</v>
      </c>
      <c r="Q2727" t="s">
        <v>47</v>
      </c>
      <c r="R2727" s="214" t="s">
        <v>1869</v>
      </c>
      <c r="S2727" s="214" t="s">
        <v>1861</v>
      </c>
      <c r="T2727" t="s">
        <v>3695</v>
      </c>
      <c r="U2727" t="s">
        <v>1953</v>
      </c>
      <c r="V2727" t="s">
        <v>2813</v>
      </c>
    </row>
    <row r="2728" spans="1:22" ht="15.75" thickBot="1" x14ac:dyDescent="0.3">
      <c r="A2728" t="s">
        <v>4598</v>
      </c>
      <c r="B2728" t="s">
        <v>4598</v>
      </c>
      <c r="C2728" t="s">
        <v>4598</v>
      </c>
      <c r="D2728" s="83" t="s">
        <v>629</v>
      </c>
      <c r="E2728" s="251" t="s">
        <v>1853</v>
      </c>
      <c r="F2728" s="124" t="s">
        <v>620</v>
      </c>
      <c r="G2728" s="130">
        <v>2004</v>
      </c>
      <c r="H2728" s="125" t="s">
        <v>732</v>
      </c>
      <c r="I2728" s="311" t="str">
        <f t="shared" si="112"/>
        <v>Pesado de Passageiros M3: III : Gasóleo : E3</v>
      </c>
      <c r="J2728" s="125">
        <v>51</v>
      </c>
      <c r="K2728" s="253">
        <v>2022</v>
      </c>
      <c r="L2728" s="85">
        <v>5745.7</v>
      </c>
      <c r="M2728" s="85" t="s">
        <v>630</v>
      </c>
      <c r="N2728" s="128">
        <v>38420</v>
      </c>
      <c r="O2728" s="128">
        <f t="shared" si="111"/>
        <v>1959420</v>
      </c>
      <c r="Q2728" t="s">
        <v>47</v>
      </c>
      <c r="R2728" s="214" t="s">
        <v>1869</v>
      </c>
      <c r="S2728" s="214" t="s">
        <v>1861</v>
      </c>
      <c r="T2728" t="s">
        <v>3696</v>
      </c>
      <c r="U2728" t="s">
        <v>1953</v>
      </c>
      <c r="V2728" t="s">
        <v>2813</v>
      </c>
    </row>
    <row r="2729" spans="1:22" ht="15.75" thickBot="1" x14ac:dyDescent="0.3">
      <c r="A2729" t="s">
        <v>4598</v>
      </c>
      <c r="B2729" t="s">
        <v>4598</v>
      </c>
      <c r="C2729" t="s">
        <v>4598</v>
      </c>
      <c r="D2729" s="83" t="s">
        <v>629</v>
      </c>
      <c r="E2729" s="251" t="s">
        <v>1853</v>
      </c>
      <c r="F2729" s="124" t="s">
        <v>620</v>
      </c>
      <c r="G2729" s="130">
        <v>2007</v>
      </c>
      <c r="H2729" s="125" t="s">
        <v>731</v>
      </c>
      <c r="I2729" s="311" t="str">
        <f t="shared" si="112"/>
        <v>Pesado de Passageiros M3: III : Gasóleo : E4</v>
      </c>
      <c r="J2729" s="125">
        <v>49</v>
      </c>
      <c r="K2729" s="253">
        <v>2022</v>
      </c>
      <c r="L2729" s="85">
        <v>9345.81</v>
      </c>
      <c r="M2729" s="85" t="s">
        <v>630</v>
      </c>
      <c r="N2729" s="128">
        <v>25853</v>
      </c>
      <c r="O2729" s="128">
        <f t="shared" si="111"/>
        <v>1266797</v>
      </c>
      <c r="Q2729" t="s">
        <v>47</v>
      </c>
      <c r="R2729" s="214" t="s">
        <v>1869</v>
      </c>
      <c r="S2729" s="214" t="s">
        <v>1861</v>
      </c>
      <c r="T2729" t="s">
        <v>3697</v>
      </c>
      <c r="U2729" t="s">
        <v>1953</v>
      </c>
      <c r="V2729" t="s">
        <v>2813</v>
      </c>
    </row>
    <row r="2730" spans="1:22" ht="15.75" thickBot="1" x14ac:dyDescent="0.3">
      <c r="A2730" t="s">
        <v>4598</v>
      </c>
      <c r="B2730" t="s">
        <v>4598</v>
      </c>
      <c r="C2730" t="s">
        <v>4598</v>
      </c>
      <c r="D2730" s="83" t="s">
        <v>629</v>
      </c>
      <c r="E2730" s="251" t="s">
        <v>1853</v>
      </c>
      <c r="F2730" s="124" t="s">
        <v>620</v>
      </c>
      <c r="G2730" s="130">
        <v>2008</v>
      </c>
      <c r="H2730" s="125" t="s">
        <v>731</v>
      </c>
      <c r="I2730" s="311" t="str">
        <f t="shared" si="112"/>
        <v>Pesado de Passageiros M3: III : Gasóleo : E4</v>
      </c>
      <c r="J2730" s="125">
        <v>49</v>
      </c>
      <c r="K2730" s="253">
        <v>2022</v>
      </c>
      <c r="L2730" s="85">
        <v>6970.9800000000005</v>
      </c>
      <c r="M2730" s="85" t="s">
        <v>630</v>
      </c>
      <c r="N2730" s="128">
        <v>21111</v>
      </c>
      <c r="O2730" s="128">
        <f t="shared" si="111"/>
        <v>1034439</v>
      </c>
      <c r="Q2730" t="s">
        <v>47</v>
      </c>
      <c r="R2730" s="214" t="s">
        <v>1869</v>
      </c>
      <c r="S2730" s="214" t="s">
        <v>1861</v>
      </c>
      <c r="T2730" t="s">
        <v>3698</v>
      </c>
      <c r="U2730" t="s">
        <v>1953</v>
      </c>
      <c r="V2730" t="s">
        <v>2813</v>
      </c>
    </row>
    <row r="2731" spans="1:22" ht="15.75" thickBot="1" x14ac:dyDescent="0.3">
      <c r="A2731" t="s">
        <v>4598</v>
      </c>
      <c r="B2731" t="s">
        <v>4598</v>
      </c>
      <c r="C2731" t="s">
        <v>4598</v>
      </c>
      <c r="D2731" s="83" t="s">
        <v>629</v>
      </c>
      <c r="E2731" s="251" t="s">
        <v>1853</v>
      </c>
      <c r="F2731" s="124" t="s">
        <v>620</v>
      </c>
      <c r="G2731" s="130">
        <v>2008</v>
      </c>
      <c r="H2731" s="125" t="s">
        <v>731</v>
      </c>
      <c r="I2731" s="311" t="str">
        <f t="shared" si="112"/>
        <v>Pesado de Passageiros M3: III : Gasóleo : E4</v>
      </c>
      <c r="J2731" s="125">
        <v>49</v>
      </c>
      <c r="K2731" s="253">
        <v>2022</v>
      </c>
      <c r="L2731" s="85">
        <v>12801.06</v>
      </c>
      <c r="M2731" s="85" t="s">
        <v>630</v>
      </c>
      <c r="N2731" s="128">
        <v>53610</v>
      </c>
      <c r="O2731" s="128">
        <f t="shared" si="111"/>
        <v>2626890</v>
      </c>
      <c r="Q2731" t="s">
        <v>47</v>
      </c>
      <c r="R2731" s="214" t="s">
        <v>1869</v>
      </c>
      <c r="S2731" s="214" t="s">
        <v>1861</v>
      </c>
      <c r="T2731" t="s">
        <v>3699</v>
      </c>
      <c r="U2731" t="s">
        <v>1953</v>
      </c>
      <c r="V2731" t="s">
        <v>2813</v>
      </c>
    </row>
    <row r="2732" spans="1:22" ht="15.75" thickBot="1" x14ac:dyDescent="0.3">
      <c r="A2732" t="s">
        <v>4598</v>
      </c>
      <c r="B2732" t="s">
        <v>4598</v>
      </c>
      <c r="C2732" t="s">
        <v>4598</v>
      </c>
      <c r="D2732" s="83" t="s">
        <v>629</v>
      </c>
      <c r="E2732" s="251" t="s">
        <v>1853</v>
      </c>
      <c r="F2732" s="124" t="s">
        <v>620</v>
      </c>
      <c r="G2732" s="130">
        <v>2007</v>
      </c>
      <c r="H2732" s="125" t="s">
        <v>731</v>
      </c>
      <c r="I2732" s="311" t="str">
        <f t="shared" si="112"/>
        <v>Pesado de Passageiros M3: III : Gasóleo : E4</v>
      </c>
      <c r="J2732" s="125">
        <v>49</v>
      </c>
      <c r="K2732" s="253">
        <v>2022</v>
      </c>
      <c r="L2732" s="85">
        <v>43000.3</v>
      </c>
      <c r="M2732" s="85" t="s">
        <v>630</v>
      </c>
      <c r="N2732" s="128">
        <v>177166</v>
      </c>
      <c r="O2732" s="128">
        <f t="shared" si="111"/>
        <v>8681134</v>
      </c>
      <c r="Q2732" t="s">
        <v>47</v>
      </c>
      <c r="R2732" s="214" t="s">
        <v>1869</v>
      </c>
      <c r="S2732" s="214" t="s">
        <v>1861</v>
      </c>
      <c r="T2732" t="s">
        <v>3700</v>
      </c>
      <c r="U2732" t="s">
        <v>1953</v>
      </c>
      <c r="V2732" t="s">
        <v>2813</v>
      </c>
    </row>
    <row r="2733" spans="1:22" ht="15.75" thickBot="1" x14ac:dyDescent="0.3">
      <c r="A2733" t="s">
        <v>4598</v>
      </c>
      <c r="B2733" t="s">
        <v>4598</v>
      </c>
      <c r="C2733" t="s">
        <v>4598</v>
      </c>
      <c r="D2733" s="83" t="s">
        <v>629</v>
      </c>
      <c r="E2733" s="251" t="s">
        <v>1853</v>
      </c>
      <c r="F2733" s="124" t="s">
        <v>620</v>
      </c>
      <c r="G2733" s="130">
        <v>2019</v>
      </c>
      <c r="H2733" s="125" t="s">
        <v>733</v>
      </c>
      <c r="I2733" s="311" t="str">
        <f t="shared" si="112"/>
        <v>Pesado de Passageiros M3: III : Gasóleo : E6</v>
      </c>
      <c r="J2733" s="125">
        <v>35</v>
      </c>
      <c r="K2733" s="253">
        <v>2022</v>
      </c>
      <c r="L2733" s="85">
        <v>27869.839999999997</v>
      </c>
      <c r="M2733" s="85" t="s">
        <v>630</v>
      </c>
      <c r="N2733" s="128">
        <v>103459</v>
      </c>
      <c r="O2733" s="128">
        <f t="shared" si="111"/>
        <v>3621065</v>
      </c>
      <c r="Q2733" t="s">
        <v>47</v>
      </c>
      <c r="R2733" s="214" t="s">
        <v>1869</v>
      </c>
      <c r="S2733" s="214" t="s">
        <v>1861</v>
      </c>
      <c r="T2733" t="s">
        <v>3701</v>
      </c>
      <c r="U2733" t="s">
        <v>1953</v>
      </c>
      <c r="V2733" t="s">
        <v>2813</v>
      </c>
    </row>
    <row r="2734" spans="1:22" ht="15.75" thickBot="1" x14ac:dyDescent="0.3">
      <c r="A2734" t="s">
        <v>4598</v>
      </c>
      <c r="B2734" t="s">
        <v>4598</v>
      </c>
      <c r="C2734" t="s">
        <v>4598</v>
      </c>
      <c r="D2734" s="83" t="s">
        <v>629</v>
      </c>
      <c r="E2734" s="251" t="s">
        <v>1853</v>
      </c>
      <c r="F2734" s="124" t="s">
        <v>620</v>
      </c>
      <c r="G2734" s="130">
        <v>2018</v>
      </c>
      <c r="H2734" s="125" t="s">
        <v>733</v>
      </c>
      <c r="I2734" s="311" t="str">
        <f t="shared" si="112"/>
        <v>Pesado de Passageiros M3: III : Gasóleo : E6</v>
      </c>
      <c r="J2734" s="125">
        <v>53</v>
      </c>
      <c r="K2734" s="253">
        <v>2022</v>
      </c>
      <c r="L2734" s="85">
        <v>24967.040000000001</v>
      </c>
      <c r="M2734" s="85" t="s">
        <v>630</v>
      </c>
      <c r="N2734" s="128">
        <v>71574</v>
      </c>
      <c r="O2734" s="128">
        <f t="shared" si="111"/>
        <v>3793422</v>
      </c>
      <c r="Q2734" t="s">
        <v>47</v>
      </c>
      <c r="R2734" s="214" t="s">
        <v>1869</v>
      </c>
      <c r="S2734" s="214" t="s">
        <v>1861</v>
      </c>
      <c r="T2734" t="s">
        <v>3702</v>
      </c>
      <c r="U2734" t="s">
        <v>1953</v>
      </c>
      <c r="V2734" t="s">
        <v>2813</v>
      </c>
    </row>
    <row r="2735" spans="1:22" ht="15.75" thickBot="1" x14ac:dyDescent="0.3">
      <c r="A2735" t="s">
        <v>4598</v>
      </c>
      <c r="B2735" t="s">
        <v>4598</v>
      </c>
      <c r="C2735" t="s">
        <v>4598</v>
      </c>
      <c r="D2735" s="83" t="s">
        <v>629</v>
      </c>
      <c r="E2735" s="251" t="s">
        <v>1853</v>
      </c>
      <c r="F2735" s="124" t="s">
        <v>620</v>
      </c>
      <c r="G2735" s="130">
        <v>2017</v>
      </c>
      <c r="H2735" s="125" t="s">
        <v>733</v>
      </c>
      <c r="I2735" s="311" t="str">
        <f t="shared" si="112"/>
        <v>Pesado de Passageiros M3: III : Gasóleo : E6</v>
      </c>
      <c r="J2735" s="125">
        <v>57</v>
      </c>
      <c r="K2735" s="253">
        <v>2022</v>
      </c>
      <c r="L2735" s="85">
        <v>14413.819999999998</v>
      </c>
      <c r="M2735" s="85" t="s">
        <v>630</v>
      </c>
      <c r="N2735" s="128">
        <v>35522</v>
      </c>
      <c r="O2735" s="128">
        <f t="shared" si="111"/>
        <v>2024754</v>
      </c>
      <c r="Q2735" t="s">
        <v>47</v>
      </c>
      <c r="R2735" s="214" t="s">
        <v>1869</v>
      </c>
      <c r="S2735" s="214" t="s">
        <v>1861</v>
      </c>
      <c r="T2735" t="s">
        <v>3703</v>
      </c>
      <c r="U2735" t="s">
        <v>1953</v>
      </c>
      <c r="V2735" t="s">
        <v>2813</v>
      </c>
    </row>
    <row r="2736" spans="1:22" ht="15.75" thickBot="1" x14ac:dyDescent="0.3">
      <c r="A2736" t="s">
        <v>4598</v>
      </c>
      <c r="B2736" t="s">
        <v>4598</v>
      </c>
      <c r="C2736" t="s">
        <v>4598</v>
      </c>
      <c r="D2736" s="83" t="s">
        <v>629</v>
      </c>
      <c r="E2736" s="251" t="s">
        <v>1853</v>
      </c>
      <c r="F2736" s="124" t="s">
        <v>620</v>
      </c>
      <c r="G2736" s="130">
        <v>2017</v>
      </c>
      <c r="H2736" s="125" t="s">
        <v>733</v>
      </c>
      <c r="I2736" s="311" t="str">
        <f t="shared" si="112"/>
        <v>Pesado de Passageiros M3: III : Gasóleo : E6</v>
      </c>
      <c r="J2736" s="125">
        <v>57</v>
      </c>
      <c r="K2736" s="253">
        <v>2022</v>
      </c>
      <c r="L2736" s="85">
        <v>6049.41</v>
      </c>
      <c r="M2736" s="85" t="s">
        <v>630</v>
      </c>
      <c r="N2736" s="128">
        <v>19005</v>
      </c>
      <c r="O2736" s="128">
        <f t="shared" si="111"/>
        <v>1083285</v>
      </c>
      <c r="Q2736" t="s">
        <v>47</v>
      </c>
      <c r="R2736" s="214" t="s">
        <v>1869</v>
      </c>
      <c r="S2736" s="214" t="s">
        <v>1861</v>
      </c>
      <c r="T2736" t="s">
        <v>3704</v>
      </c>
      <c r="U2736" t="s">
        <v>1953</v>
      </c>
      <c r="V2736" t="s">
        <v>2813</v>
      </c>
    </row>
    <row r="2737" spans="1:22" ht="15.75" thickBot="1" x14ac:dyDescent="0.3">
      <c r="A2737" t="s">
        <v>4598</v>
      </c>
      <c r="B2737" t="s">
        <v>4598</v>
      </c>
      <c r="C2737" t="s">
        <v>4598</v>
      </c>
      <c r="D2737" s="83" t="s">
        <v>629</v>
      </c>
      <c r="E2737" s="251" t="s">
        <v>1853</v>
      </c>
      <c r="F2737" s="124" t="s">
        <v>620</v>
      </c>
      <c r="G2737" s="130">
        <v>2008</v>
      </c>
      <c r="H2737" s="125" t="s">
        <v>731</v>
      </c>
      <c r="I2737" s="311" t="str">
        <f t="shared" si="112"/>
        <v>Pesado de Passageiros M3: III : Gasóleo : E4</v>
      </c>
      <c r="J2737" s="125">
        <v>53</v>
      </c>
      <c r="K2737" s="253">
        <v>2022</v>
      </c>
      <c r="L2737" s="85">
        <v>14804.560000000001</v>
      </c>
      <c r="M2737" s="85" t="s">
        <v>630</v>
      </c>
      <c r="N2737" s="128">
        <v>41766</v>
      </c>
      <c r="O2737" s="128">
        <f t="shared" ref="O2737:O2800" si="113">N2737*J2737</f>
        <v>2213598</v>
      </c>
      <c r="Q2737" t="s">
        <v>47</v>
      </c>
      <c r="R2737" s="214" t="s">
        <v>1869</v>
      </c>
      <c r="S2737" s="214" t="s">
        <v>1861</v>
      </c>
      <c r="T2737" t="s">
        <v>3705</v>
      </c>
      <c r="U2737" t="s">
        <v>1953</v>
      </c>
      <c r="V2737" t="s">
        <v>2813</v>
      </c>
    </row>
    <row r="2738" spans="1:22" ht="15.75" thickBot="1" x14ac:dyDescent="0.3">
      <c r="A2738" t="s">
        <v>4598</v>
      </c>
      <c r="B2738" t="s">
        <v>4598</v>
      </c>
      <c r="C2738" t="s">
        <v>4598</v>
      </c>
      <c r="D2738" s="83" t="s">
        <v>629</v>
      </c>
      <c r="E2738" s="251" t="s">
        <v>1853</v>
      </c>
      <c r="F2738" s="124" t="s">
        <v>620</v>
      </c>
      <c r="G2738" s="130">
        <v>2008</v>
      </c>
      <c r="H2738" s="125" t="s">
        <v>731</v>
      </c>
      <c r="I2738" s="311" t="str">
        <f t="shared" si="112"/>
        <v>Pesado de Passageiros M3: III : Gasóleo : E4</v>
      </c>
      <c r="J2738" s="125">
        <v>53</v>
      </c>
      <c r="K2738" s="253">
        <v>2022</v>
      </c>
      <c r="L2738" s="85">
        <v>14612.85</v>
      </c>
      <c r="M2738" s="85" t="s">
        <v>630</v>
      </c>
      <c r="N2738" s="128">
        <v>42378</v>
      </c>
      <c r="O2738" s="128">
        <f t="shared" si="113"/>
        <v>2246034</v>
      </c>
      <c r="Q2738" t="s">
        <v>47</v>
      </c>
      <c r="R2738" s="214" t="s">
        <v>1869</v>
      </c>
      <c r="S2738" s="214" t="s">
        <v>1861</v>
      </c>
      <c r="T2738" t="s">
        <v>3706</v>
      </c>
      <c r="U2738" t="s">
        <v>1953</v>
      </c>
      <c r="V2738" t="s">
        <v>2813</v>
      </c>
    </row>
    <row r="2739" spans="1:22" ht="15.75" thickBot="1" x14ac:dyDescent="0.3">
      <c r="A2739" t="s">
        <v>4598</v>
      </c>
      <c r="B2739" t="s">
        <v>4598</v>
      </c>
      <c r="C2739" t="s">
        <v>4598</v>
      </c>
      <c r="D2739" s="83" t="s">
        <v>629</v>
      </c>
      <c r="E2739" s="251" t="s">
        <v>1853</v>
      </c>
      <c r="F2739" s="124" t="s">
        <v>620</v>
      </c>
      <c r="G2739" s="130">
        <v>2004</v>
      </c>
      <c r="H2739" s="125" t="s">
        <v>732</v>
      </c>
      <c r="I2739" s="311" t="str">
        <f t="shared" si="112"/>
        <v>Pesado de Passageiros M3: III : Gasóleo : E3</v>
      </c>
      <c r="J2739" s="125">
        <v>51</v>
      </c>
      <c r="K2739" s="253">
        <v>2022</v>
      </c>
      <c r="L2739" s="85">
        <v>11910.05</v>
      </c>
      <c r="M2739" s="85" t="s">
        <v>630</v>
      </c>
      <c r="N2739" s="128">
        <v>37600</v>
      </c>
      <c r="O2739" s="128">
        <f t="shared" si="113"/>
        <v>1917600</v>
      </c>
      <c r="Q2739" t="s">
        <v>47</v>
      </c>
      <c r="R2739" s="214" t="s">
        <v>1869</v>
      </c>
      <c r="S2739" s="214" t="s">
        <v>1861</v>
      </c>
      <c r="T2739" t="s">
        <v>3707</v>
      </c>
      <c r="U2739" t="s">
        <v>1953</v>
      </c>
      <c r="V2739" t="s">
        <v>2813</v>
      </c>
    </row>
    <row r="2740" spans="1:22" ht="15.75" thickBot="1" x14ac:dyDescent="0.3">
      <c r="A2740" t="s">
        <v>4598</v>
      </c>
      <c r="B2740" t="s">
        <v>4598</v>
      </c>
      <c r="C2740" t="s">
        <v>4598</v>
      </c>
      <c r="D2740" s="83" t="s">
        <v>629</v>
      </c>
      <c r="E2740" s="251" t="s">
        <v>1853</v>
      </c>
      <c r="F2740" s="124" t="s">
        <v>620</v>
      </c>
      <c r="G2740" s="130">
        <v>2008</v>
      </c>
      <c r="H2740" s="125" t="s">
        <v>731</v>
      </c>
      <c r="I2740" s="311" t="str">
        <f t="shared" si="112"/>
        <v>Pesado de Passageiros M3: III : Gasóleo : E4</v>
      </c>
      <c r="J2740" s="125">
        <v>49</v>
      </c>
      <c r="K2740" s="253">
        <v>2022</v>
      </c>
      <c r="L2740" s="85">
        <v>17067.57</v>
      </c>
      <c r="M2740" s="85" t="s">
        <v>630</v>
      </c>
      <c r="N2740" s="128">
        <v>55137</v>
      </c>
      <c r="O2740" s="128">
        <f t="shared" si="113"/>
        <v>2701713</v>
      </c>
      <c r="Q2740" t="s">
        <v>47</v>
      </c>
      <c r="R2740" s="214" t="s">
        <v>1869</v>
      </c>
      <c r="S2740" s="214" t="s">
        <v>1861</v>
      </c>
      <c r="T2740" t="s">
        <v>3708</v>
      </c>
      <c r="U2740" t="s">
        <v>1953</v>
      </c>
      <c r="V2740" t="s">
        <v>2813</v>
      </c>
    </row>
    <row r="2741" spans="1:22" ht="15.75" thickBot="1" x14ac:dyDescent="0.3">
      <c r="A2741" t="s">
        <v>4598</v>
      </c>
      <c r="B2741" t="s">
        <v>4598</v>
      </c>
      <c r="C2741" t="s">
        <v>4598</v>
      </c>
      <c r="D2741" s="83" t="s">
        <v>629</v>
      </c>
      <c r="E2741" s="251" t="s">
        <v>1853</v>
      </c>
      <c r="F2741" s="124" t="s">
        <v>620</v>
      </c>
      <c r="G2741" s="130">
        <v>2016</v>
      </c>
      <c r="H2741" s="125" t="s">
        <v>733</v>
      </c>
      <c r="I2741" s="311" t="str">
        <f t="shared" si="112"/>
        <v>Pesado de Passageiros M3: III : Gasóleo : E6</v>
      </c>
      <c r="J2741" s="125">
        <v>53</v>
      </c>
      <c r="K2741" s="253">
        <v>2022</v>
      </c>
      <c r="L2741" s="85">
        <v>21142.770000000004</v>
      </c>
      <c r="M2741" s="85" t="s">
        <v>630</v>
      </c>
      <c r="N2741" s="128">
        <v>78035</v>
      </c>
      <c r="O2741" s="128">
        <f t="shared" si="113"/>
        <v>4135855</v>
      </c>
      <c r="Q2741" t="s">
        <v>47</v>
      </c>
      <c r="R2741" s="214" t="s">
        <v>1869</v>
      </c>
      <c r="S2741" s="214" t="s">
        <v>1861</v>
      </c>
      <c r="T2741" t="s">
        <v>3709</v>
      </c>
      <c r="U2741" t="s">
        <v>1953</v>
      </c>
      <c r="V2741" t="s">
        <v>2813</v>
      </c>
    </row>
    <row r="2742" spans="1:22" ht="15.75" thickBot="1" x14ac:dyDescent="0.3">
      <c r="A2742" t="s">
        <v>4598</v>
      </c>
      <c r="B2742" t="s">
        <v>4598</v>
      </c>
      <c r="C2742" t="s">
        <v>4598</v>
      </c>
      <c r="D2742" s="83" t="s">
        <v>629</v>
      </c>
      <c r="E2742" s="251" t="s">
        <v>1853</v>
      </c>
      <c r="F2742" s="124" t="s">
        <v>620</v>
      </c>
      <c r="G2742" s="130">
        <v>2016</v>
      </c>
      <c r="H2742" s="125" t="s">
        <v>733</v>
      </c>
      <c r="I2742" s="311" t="str">
        <f t="shared" ref="I2742:I2805" si="114">D2742&amp;": "&amp;E2742&amp;" : "&amp;F2742&amp;" : "&amp;H2742</f>
        <v>Pesado de Passageiros M3: III : Gasóleo : E6</v>
      </c>
      <c r="J2742" s="125">
        <v>59</v>
      </c>
      <c r="K2742" s="253">
        <v>2022</v>
      </c>
      <c r="L2742" s="85">
        <v>9488.880000000001</v>
      </c>
      <c r="M2742" s="85" t="s">
        <v>630</v>
      </c>
      <c r="N2742" s="128">
        <v>22112</v>
      </c>
      <c r="O2742" s="128">
        <f t="shared" si="113"/>
        <v>1304608</v>
      </c>
      <c r="Q2742" t="s">
        <v>47</v>
      </c>
      <c r="R2742" s="214" t="s">
        <v>1869</v>
      </c>
      <c r="S2742" s="214" t="s">
        <v>1861</v>
      </c>
      <c r="T2742" t="s">
        <v>3710</v>
      </c>
      <c r="U2742" t="s">
        <v>1953</v>
      </c>
      <c r="V2742" t="s">
        <v>2813</v>
      </c>
    </row>
    <row r="2743" spans="1:22" ht="15.75" thickBot="1" x14ac:dyDescent="0.3">
      <c r="A2743" t="s">
        <v>4598</v>
      </c>
      <c r="B2743" t="s">
        <v>4598</v>
      </c>
      <c r="C2743" t="s">
        <v>4598</v>
      </c>
      <c r="D2743" s="83" t="s">
        <v>629</v>
      </c>
      <c r="E2743" s="251" t="s">
        <v>1853</v>
      </c>
      <c r="F2743" s="124" t="s">
        <v>620</v>
      </c>
      <c r="G2743" s="130">
        <v>2016</v>
      </c>
      <c r="H2743" s="125" t="s">
        <v>733</v>
      </c>
      <c r="I2743" s="311" t="str">
        <f t="shared" si="114"/>
        <v>Pesado de Passageiros M3: III : Gasóleo : E6</v>
      </c>
      <c r="J2743" s="125">
        <v>57</v>
      </c>
      <c r="K2743" s="253">
        <v>2022</v>
      </c>
      <c r="L2743" s="85">
        <v>13245.03</v>
      </c>
      <c r="M2743" s="85" t="s">
        <v>630</v>
      </c>
      <c r="N2743" s="128">
        <v>37846</v>
      </c>
      <c r="O2743" s="128">
        <f t="shared" si="113"/>
        <v>2157222</v>
      </c>
      <c r="Q2743" t="s">
        <v>47</v>
      </c>
      <c r="R2743" s="214" t="s">
        <v>1869</v>
      </c>
      <c r="S2743" s="214" t="s">
        <v>1861</v>
      </c>
      <c r="T2743" t="s">
        <v>3711</v>
      </c>
      <c r="U2743" t="s">
        <v>1953</v>
      </c>
      <c r="V2743" t="s">
        <v>2813</v>
      </c>
    </row>
    <row r="2744" spans="1:22" ht="15.75" thickBot="1" x14ac:dyDescent="0.3">
      <c r="A2744" t="s">
        <v>4598</v>
      </c>
      <c r="B2744" t="s">
        <v>4598</v>
      </c>
      <c r="C2744" t="s">
        <v>4598</v>
      </c>
      <c r="D2744" s="83" t="s">
        <v>629</v>
      </c>
      <c r="E2744" s="251" t="s">
        <v>1853</v>
      </c>
      <c r="F2744" s="124" t="s">
        <v>620</v>
      </c>
      <c r="G2744" s="130">
        <v>2008</v>
      </c>
      <c r="H2744" s="125" t="s">
        <v>731</v>
      </c>
      <c r="I2744" s="311" t="str">
        <f t="shared" si="114"/>
        <v>Pesado de Passageiros M3: III : Gasóleo : E4</v>
      </c>
      <c r="J2744" s="125">
        <v>51</v>
      </c>
      <c r="K2744" s="253">
        <v>2022</v>
      </c>
      <c r="L2744" s="85">
        <v>11565.240000000002</v>
      </c>
      <c r="M2744" s="85" t="s">
        <v>630</v>
      </c>
      <c r="N2744" s="128">
        <v>35424</v>
      </c>
      <c r="O2744" s="128">
        <f t="shared" si="113"/>
        <v>1806624</v>
      </c>
      <c r="Q2744" t="s">
        <v>47</v>
      </c>
      <c r="R2744" s="214" t="s">
        <v>1869</v>
      </c>
      <c r="S2744" s="214" t="s">
        <v>1861</v>
      </c>
      <c r="T2744" t="s">
        <v>3712</v>
      </c>
      <c r="U2744" t="s">
        <v>1953</v>
      </c>
      <c r="V2744" t="s">
        <v>2813</v>
      </c>
    </row>
    <row r="2745" spans="1:22" ht="15.75" thickBot="1" x14ac:dyDescent="0.3">
      <c r="A2745" t="s">
        <v>4598</v>
      </c>
      <c r="B2745" t="s">
        <v>4598</v>
      </c>
      <c r="C2745" t="s">
        <v>4598</v>
      </c>
      <c r="D2745" s="83" t="s">
        <v>629</v>
      </c>
      <c r="E2745" s="251" t="s">
        <v>1853</v>
      </c>
      <c r="F2745" s="124" t="s">
        <v>620</v>
      </c>
      <c r="G2745" s="130">
        <v>2008</v>
      </c>
      <c r="H2745" s="125" t="s">
        <v>731</v>
      </c>
      <c r="I2745" s="311" t="str">
        <f t="shared" si="114"/>
        <v>Pesado de Passageiros M3: III : Gasóleo : E4</v>
      </c>
      <c r="J2745" s="125">
        <v>49</v>
      </c>
      <c r="K2745" s="253">
        <v>2022</v>
      </c>
      <c r="L2745" s="85">
        <v>8303.1</v>
      </c>
      <c r="M2745" s="85" t="s">
        <v>630</v>
      </c>
      <c r="N2745" s="128">
        <v>27246</v>
      </c>
      <c r="O2745" s="128">
        <f t="shared" si="113"/>
        <v>1335054</v>
      </c>
      <c r="Q2745" t="s">
        <v>47</v>
      </c>
      <c r="R2745" s="214" t="s">
        <v>1869</v>
      </c>
      <c r="S2745" s="214" t="s">
        <v>1861</v>
      </c>
      <c r="T2745" t="s">
        <v>3713</v>
      </c>
      <c r="U2745" t="s">
        <v>1953</v>
      </c>
      <c r="V2745" t="s">
        <v>2813</v>
      </c>
    </row>
    <row r="2746" spans="1:22" ht="15.75" thickBot="1" x14ac:dyDescent="0.3">
      <c r="A2746" t="s">
        <v>4598</v>
      </c>
      <c r="B2746" t="s">
        <v>4598</v>
      </c>
      <c r="C2746" t="s">
        <v>4598</v>
      </c>
      <c r="D2746" s="83" t="s">
        <v>629</v>
      </c>
      <c r="E2746" s="251" t="s">
        <v>1853</v>
      </c>
      <c r="F2746" s="124" t="s">
        <v>620</v>
      </c>
      <c r="G2746" s="130">
        <v>2008</v>
      </c>
      <c r="H2746" s="125" t="s">
        <v>731</v>
      </c>
      <c r="I2746" s="311" t="str">
        <f t="shared" si="114"/>
        <v>Pesado de Passageiros M3: III : Gasóleo : E4</v>
      </c>
      <c r="J2746" s="125">
        <v>51</v>
      </c>
      <c r="K2746" s="253">
        <v>2022</v>
      </c>
      <c r="L2746" s="85">
        <v>22192.399999999998</v>
      </c>
      <c r="M2746" s="85" t="s">
        <v>630</v>
      </c>
      <c r="N2746" s="128">
        <v>70931</v>
      </c>
      <c r="O2746" s="128">
        <f t="shared" si="113"/>
        <v>3617481</v>
      </c>
      <c r="Q2746" t="s">
        <v>47</v>
      </c>
      <c r="R2746" s="214" t="s">
        <v>1869</v>
      </c>
      <c r="S2746" s="214" t="s">
        <v>1861</v>
      </c>
      <c r="T2746" t="s">
        <v>3714</v>
      </c>
      <c r="U2746" t="s">
        <v>1953</v>
      </c>
      <c r="V2746" t="s">
        <v>2813</v>
      </c>
    </row>
    <row r="2747" spans="1:22" ht="15.75" thickBot="1" x14ac:dyDescent="0.3">
      <c r="A2747" t="s">
        <v>4598</v>
      </c>
      <c r="B2747" t="s">
        <v>4598</v>
      </c>
      <c r="C2747" t="s">
        <v>4598</v>
      </c>
      <c r="D2747" s="83" t="s">
        <v>629</v>
      </c>
      <c r="E2747" s="251" t="s">
        <v>1853</v>
      </c>
      <c r="F2747" s="124" t="s">
        <v>620</v>
      </c>
      <c r="G2747" s="130">
        <v>2008</v>
      </c>
      <c r="H2747" s="125" t="s">
        <v>731</v>
      </c>
      <c r="I2747" s="311" t="str">
        <f t="shared" si="114"/>
        <v>Pesado de Passageiros M3: III : Gasóleo : E4</v>
      </c>
      <c r="J2747" s="125">
        <v>51</v>
      </c>
      <c r="K2747" s="253">
        <v>2022</v>
      </c>
      <c r="L2747" s="85">
        <v>13327.779999999999</v>
      </c>
      <c r="M2747" s="85" t="s">
        <v>630</v>
      </c>
      <c r="N2747" s="128">
        <v>45024</v>
      </c>
      <c r="O2747" s="128">
        <f t="shared" si="113"/>
        <v>2296224</v>
      </c>
      <c r="Q2747" t="s">
        <v>47</v>
      </c>
      <c r="R2747" s="214" t="s">
        <v>1869</v>
      </c>
      <c r="S2747" s="214" t="s">
        <v>1861</v>
      </c>
      <c r="T2747" t="s">
        <v>3715</v>
      </c>
      <c r="U2747" t="s">
        <v>1953</v>
      </c>
      <c r="V2747" t="s">
        <v>2813</v>
      </c>
    </row>
    <row r="2748" spans="1:22" ht="15.75" thickBot="1" x14ac:dyDescent="0.3">
      <c r="A2748" t="s">
        <v>4598</v>
      </c>
      <c r="B2748" t="s">
        <v>4598</v>
      </c>
      <c r="C2748" t="s">
        <v>4598</v>
      </c>
      <c r="D2748" s="83" t="s">
        <v>629</v>
      </c>
      <c r="E2748" s="251" t="s">
        <v>1853</v>
      </c>
      <c r="F2748" s="124" t="s">
        <v>620</v>
      </c>
      <c r="G2748" s="130">
        <v>2017</v>
      </c>
      <c r="H2748" s="125" t="s">
        <v>733</v>
      </c>
      <c r="I2748" s="311" t="str">
        <f t="shared" si="114"/>
        <v>Pesado de Passageiros M3: III : Gasóleo : E6</v>
      </c>
      <c r="J2748" s="125">
        <v>55</v>
      </c>
      <c r="K2748" s="253">
        <v>2022</v>
      </c>
      <c r="L2748" s="85">
        <v>19072.589999999997</v>
      </c>
      <c r="M2748" s="85" t="s">
        <v>630</v>
      </c>
      <c r="N2748" s="128">
        <v>57203</v>
      </c>
      <c r="O2748" s="128">
        <f t="shared" si="113"/>
        <v>3146165</v>
      </c>
      <c r="Q2748" t="s">
        <v>47</v>
      </c>
      <c r="R2748" s="214" t="s">
        <v>1869</v>
      </c>
      <c r="S2748" s="214" t="s">
        <v>1861</v>
      </c>
      <c r="T2748" t="s">
        <v>3716</v>
      </c>
      <c r="U2748" t="s">
        <v>1953</v>
      </c>
      <c r="V2748" t="s">
        <v>2813</v>
      </c>
    </row>
    <row r="2749" spans="1:22" ht="15.75" thickBot="1" x14ac:dyDescent="0.3">
      <c r="A2749" t="s">
        <v>4598</v>
      </c>
      <c r="B2749" t="s">
        <v>4598</v>
      </c>
      <c r="C2749" t="s">
        <v>4598</v>
      </c>
      <c r="D2749" s="83" t="s">
        <v>629</v>
      </c>
      <c r="E2749" s="251" t="s">
        <v>1853</v>
      </c>
      <c r="F2749" s="124" t="s">
        <v>620</v>
      </c>
      <c r="G2749" s="130">
        <v>2017</v>
      </c>
      <c r="H2749" s="125" t="s">
        <v>733</v>
      </c>
      <c r="I2749" s="311" t="str">
        <f t="shared" si="114"/>
        <v>Pesado de Passageiros M3: III : Gasóleo : E6</v>
      </c>
      <c r="J2749" s="125">
        <v>55</v>
      </c>
      <c r="K2749" s="253">
        <v>2022</v>
      </c>
      <c r="L2749" s="85">
        <v>16121.8</v>
      </c>
      <c r="M2749" s="85" t="s">
        <v>630</v>
      </c>
      <c r="N2749" s="128">
        <v>45073</v>
      </c>
      <c r="O2749" s="128">
        <f t="shared" si="113"/>
        <v>2479015</v>
      </c>
      <c r="Q2749" t="s">
        <v>47</v>
      </c>
      <c r="R2749" s="214" t="s">
        <v>1869</v>
      </c>
      <c r="S2749" s="214" t="s">
        <v>1861</v>
      </c>
      <c r="T2749" t="s">
        <v>3717</v>
      </c>
      <c r="U2749" t="s">
        <v>1953</v>
      </c>
      <c r="V2749" t="s">
        <v>2813</v>
      </c>
    </row>
    <row r="2750" spans="1:22" ht="15.75" thickBot="1" x14ac:dyDescent="0.3">
      <c r="A2750" t="s">
        <v>4598</v>
      </c>
      <c r="B2750" t="s">
        <v>4598</v>
      </c>
      <c r="C2750" t="s">
        <v>4598</v>
      </c>
      <c r="D2750" s="83" t="s">
        <v>629</v>
      </c>
      <c r="E2750" s="251" t="s">
        <v>1853</v>
      </c>
      <c r="F2750" s="124" t="s">
        <v>620</v>
      </c>
      <c r="G2750" s="130">
        <v>2017</v>
      </c>
      <c r="H2750" s="125" t="s">
        <v>733</v>
      </c>
      <c r="I2750" s="311" t="str">
        <f t="shared" si="114"/>
        <v>Pesado de Passageiros M3: III : Gasóleo : E6</v>
      </c>
      <c r="J2750" s="125">
        <v>55</v>
      </c>
      <c r="K2750" s="253">
        <v>2022</v>
      </c>
      <c r="L2750" s="85">
        <v>12666.65</v>
      </c>
      <c r="M2750" s="85" t="s">
        <v>630</v>
      </c>
      <c r="N2750" s="128">
        <v>48741</v>
      </c>
      <c r="O2750" s="128">
        <f t="shared" si="113"/>
        <v>2680755</v>
      </c>
      <c r="Q2750" t="s">
        <v>47</v>
      </c>
      <c r="R2750" s="214" t="s">
        <v>1869</v>
      </c>
      <c r="S2750" s="214" t="s">
        <v>1861</v>
      </c>
      <c r="T2750" t="s">
        <v>3718</v>
      </c>
      <c r="U2750" t="s">
        <v>1953</v>
      </c>
      <c r="V2750" t="s">
        <v>2813</v>
      </c>
    </row>
    <row r="2751" spans="1:22" ht="15.75" thickBot="1" x14ac:dyDescent="0.3">
      <c r="A2751" t="s">
        <v>4598</v>
      </c>
      <c r="B2751" t="s">
        <v>4598</v>
      </c>
      <c r="C2751" t="s">
        <v>4598</v>
      </c>
      <c r="D2751" s="83" t="s">
        <v>629</v>
      </c>
      <c r="E2751" s="251" t="s">
        <v>1853</v>
      </c>
      <c r="F2751" s="124" t="s">
        <v>620</v>
      </c>
      <c r="G2751" s="130">
        <v>2006</v>
      </c>
      <c r="H2751" s="125" t="s">
        <v>731</v>
      </c>
      <c r="I2751" s="311" t="str">
        <f t="shared" si="114"/>
        <v>Pesado de Passageiros M3: III : Gasóleo : E4</v>
      </c>
      <c r="J2751" s="125">
        <v>51</v>
      </c>
      <c r="K2751" s="253">
        <v>2022</v>
      </c>
      <c r="L2751" s="85">
        <v>10353.530000000001</v>
      </c>
      <c r="M2751" s="85" t="s">
        <v>630</v>
      </c>
      <c r="N2751" s="128">
        <v>31116</v>
      </c>
      <c r="O2751" s="128">
        <f t="shared" si="113"/>
        <v>1586916</v>
      </c>
      <c r="Q2751" t="s">
        <v>47</v>
      </c>
      <c r="R2751" s="214" t="s">
        <v>1869</v>
      </c>
      <c r="S2751" s="214" t="s">
        <v>1861</v>
      </c>
      <c r="T2751" t="s">
        <v>3719</v>
      </c>
      <c r="U2751" t="s">
        <v>1953</v>
      </c>
      <c r="V2751" t="s">
        <v>2813</v>
      </c>
    </row>
    <row r="2752" spans="1:22" ht="15.75" thickBot="1" x14ac:dyDescent="0.3">
      <c r="A2752" t="s">
        <v>4598</v>
      </c>
      <c r="B2752" t="s">
        <v>4598</v>
      </c>
      <c r="C2752" t="s">
        <v>4598</v>
      </c>
      <c r="D2752" s="83" t="s">
        <v>629</v>
      </c>
      <c r="E2752" s="251" t="s">
        <v>1853</v>
      </c>
      <c r="F2752" s="124" t="s">
        <v>620</v>
      </c>
      <c r="G2752" s="130">
        <v>2017</v>
      </c>
      <c r="H2752" s="125" t="s">
        <v>733</v>
      </c>
      <c r="I2752" s="311" t="str">
        <f t="shared" si="114"/>
        <v>Pesado de Passageiros M3: III : Gasóleo : E6</v>
      </c>
      <c r="J2752" s="125">
        <v>39</v>
      </c>
      <c r="K2752" s="253">
        <v>2022</v>
      </c>
      <c r="L2752" s="85">
        <v>6189.4299999999994</v>
      </c>
      <c r="M2752" s="85" t="s">
        <v>630</v>
      </c>
      <c r="N2752" s="128">
        <v>29911</v>
      </c>
      <c r="O2752" s="128">
        <f t="shared" si="113"/>
        <v>1166529</v>
      </c>
      <c r="Q2752" t="s">
        <v>47</v>
      </c>
      <c r="R2752" s="214" t="s">
        <v>1869</v>
      </c>
      <c r="S2752" s="214" t="s">
        <v>1861</v>
      </c>
      <c r="T2752" t="s">
        <v>3720</v>
      </c>
      <c r="U2752" t="s">
        <v>1953</v>
      </c>
      <c r="V2752" t="s">
        <v>2813</v>
      </c>
    </row>
    <row r="2753" spans="1:22" ht="15.75" thickBot="1" x14ac:dyDescent="0.3">
      <c r="A2753" t="s">
        <v>4598</v>
      </c>
      <c r="B2753" t="s">
        <v>4598</v>
      </c>
      <c r="C2753" t="s">
        <v>4598</v>
      </c>
      <c r="D2753" s="83" t="s">
        <v>629</v>
      </c>
      <c r="E2753" s="251" t="s">
        <v>1853</v>
      </c>
      <c r="F2753" s="124" t="s">
        <v>620</v>
      </c>
      <c r="G2753" s="130">
        <v>2008</v>
      </c>
      <c r="H2753" s="125" t="s">
        <v>731</v>
      </c>
      <c r="I2753" s="311" t="str">
        <f t="shared" si="114"/>
        <v>Pesado de Passageiros M3: III : Gasóleo : E4</v>
      </c>
      <c r="J2753" s="125">
        <v>49</v>
      </c>
      <c r="K2753" s="253">
        <v>2022</v>
      </c>
      <c r="L2753" s="85">
        <v>5867.36</v>
      </c>
      <c r="M2753" s="85" t="s">
        <v>630</v>
      </c>
      <c r="N2753" s="128">
        <v>34874</v>
      </c>
      <c r="O2753" s="128">
        <f t="shared" si="113"/>
        <v>1708826</v>
      </c>
      <c r="Q2753" t="s">
        <v>47</v>
      </c>
      <c r="R2753" s="214" t="s">
        <v>1869</v>
      </c>
      <c r="S2753" s="214" t="s">
        <v>1861</v>
      </c>
      <c r="T2753" t="s">
        <v>3721</v>
      </c>
      <c r="U2753" t="s">
        <v>1953</v>
      </c>
      <c r="V2753" t="s">
        <v>2813</v>
      </c>
    </row>
    <row r="2754" spans="1:22" ht="15.75" thickBot="1" x14ac:dyDescent="0.3">
      <c r="A2754" t="s">
        <v>4598</v>
      </c>
      <c r="B2754" t="s">
        <v>4598</v>
      </c>
      <c r="C2754" t="s">
        <v>4598</v>
      </c>
      <c r="D2754" s="83" t="s">
        <v>623</v>
      </c>
      <c r="E2754" s="251" t="s">
        <v>2231</v>
      </c>
      <c r="F2754" s="124" t="s">
        <v>620</v>
      </c>
      <c r="G2754" s="130">
        <v>2017</v>
      </c>
      <c r="H2754" s="125" t="s">
        <v>733</v>
      </c>
      <c r="I2754" s="311" t="str">
        <f t="shared" si="114"/>
        <v>Ligeiro de Passageiros M1: Geral : Gasóleo : E6</v>
      </c>
      <c r="J2754" s="125">
        <v>24</v>
      </c>
      <c r="K2754" s="253">
        <v>2022</v>
      </c>
      <c r="L2754" s="85">
        <v>5313.88</v>
      </c>
      <c r="M2754" s="85" t="s">
        <v>630</v>
      </c>
      <c r="N2754" s="128">
        <v>48649</v>
      </c>
      <c r="O2754" s="128">
        <f t="shared" si="113"/>
        <v>1167576</v>
      </c>
      <c r="Q2754" t="s">
        <v>47</v>
      </c>
      <c r="R2754" s="214" t="s">
        <v>1869</v>
      </c>
      <c r="S2754" s="214" t="s">
        <v>1861</v>
      </c>
      <c r="T2754" t="s">
        <v>3722</v>
      </c>
      <c r="U2754" t="s">
        <v>1953</v>
      </c>
      <c r="V2754" t="s">
        <v>2813</v>
      </c>
    </row>
    <row r="2755" spans="1:22" ht="15.75" thickBot="1" x14ac:dyDescent="0.3">
      <c r="A2755" t="s">
        <v>4598</v>
      </c>
      <c r="B2755" t="s">
        <v>4598</v>
      </c>
      <c r="C2755" t="s">
        <v>4598</v>
      </c>
      <c r="D2755" s="83" t="s">
        <v>623</v>
      </c>
      <c r="E2755" s="251" t="s">
        <v>2231</v>
      </c>
      <c r="F2755" s="124" t="s">
        <v>620</v>
      </c>
      <c r="G2755" s="130">
        <v>2018</v>
      </c>
      <c r="H2755" s="125" t="s">
        <v>733</v>
      </c>
      <c r="I2755" s="311" t="str">
        <f t="shared" si="114"/>
        <v>Ligeiro de Passageiros M1: Geral : Gasóleo : E6</v>
      </c>
      <c r="J2755" s="125">
        <v>24</v>
      </c>
      <c r="K2755" s="253">
        <v>2022</v>
      </c>
      <c r="L2755" s="85">
        <v>4566.4100000000008</v>
      </c>
      <c r="M2755" s="85" t="s">
        <v>630</v>
      </c>
      <c r="N2755" s="128">
        <v>45358</v>
      </c>
      <c r="O2755" s="128">
        <f t="shared" si="113"/>
        <v>1088592</v>
      </c>
      <c r="Q2755" t="s">
        <v>47</v>
      </c>
      <c r="R2755" s="214" t="s">
        <v>1869</v>
      </c>
      <c r="S2755" s="214" t="s">
        <v>1861</v>
      </c>
      <c r="T2755" t="s">
        <v>3723</v>
      </c>
      <c r="U2755" t="s">
        <v>1953</v>
      </c>
      <c r="V2755" t="s">
        <v>2813</v>
      </c>
    </row>
    <row r="2756" spans="1:22" ht="15.75" thickBot="1" x14ac:dyDescent="0.3">
      <c r="A2756" t="s">
        <v>4598</v>
      </c>
      <c r="B2756" t="s">
        <v>4598</v>
      </c>
      <c r="C2756" t="s">
        <v>4598</v>
      </c>
      <c r="D2756" s="83" t="s">
        <v>623</v>
      </c>
      <c r="E2756" s="251" t="s">
        <v>2231</v>
      </c>
      <c r="F2756" s="124" t="s">
        <v>620</v>
      </c>
      <c r="G2756" s="130">
        <v>2015</v>
      </c>
      <c r="H2756" s="125" t="s">
        <v>733</v>
      </c>
      <c r="I2756" s="311" t="str">
        <f t="shared" si="114"/>
        <v>Ligeiro de Passageiros M1: Geral : Gasóleo : E6</v>
      </c>
      <c r="J2756" s="125">
        <v>8</v>
      </c>
      <c r="K2756" s="253">
        <v>2022</v>
      </c>
      <c r="L2756" s="85">
        <v>4076.9199999999996</v>
      </c>
      <c r="M2756" s="85" t="s">
        <v>630</v>
      </c>
      <c r="N2756" s="128">
        <v>45205</v>
      </c>
      <c r="O2756" s="128">
        <f t="shared" si="113"/>
        <v>361640</v>
      </c>
      <c r="Q2756" t="s">
        <v>47</v>
      </c>
      <c r="R2756" s="214" t="s">
        <v>1869</v>
      </c>
      <c r="S2756" s="214" t="s">
        <v>1861</v>
      </c>
      <c r="T2756" t="s">
        <v>3724</v>
      </c>
      <c r="U2756" t="s">
        <v>1953</v>
      </c>
      <c r="V2756" t="s">
        <v>2813</v>
      </c>
    </row>
    <row r="2757" spans="1:22" ht="15.75" thickBot="1" x14ac:dyDescent="0.3">
      <c r="A2757" t="s">
        <v>4598</v>
      </c>
      <c r="B2757" t="s">
        <v>4598</v>
      </c>
      <c r="C2757" t="s">
        <v>4598</v>
      </c>
      <c r="D2757" s="83" t="s">
        <v>623</v>
      </c>
      <c r="E2757" s="251" t="s">
        <v>2231</v>
      </c>
      <c r="F2757" s="124" t="s">
        <v>620</v>
      </c>
      <c r="G2757" s="130">
        <v>2015</v>
      </c>
      <c r="H2757" s="125" t="s">
        <v>733</v>
      </c>
      <c r="I2757" s="311" t="str">
        <f t="shared" si="114"/>
        <v>Ligeiro de Passageiros M1: Geral : Gasóleo : E6</v>
      </c>
      <c r="J2757" s="125">
        <v>4</v>
      </c>
      <c r="K2757" s="253">
        <v>2022</v>
      </c>
      <c r="L2757" s="85">
        <v>2835.68</v>
      </c>
      <c r="M2757" s="85" t="s">
        <v>630</v>
      </c>
      <c r="N2757" s="128">
        <v>37224</v>
      </c>
      <c r="O2757" s="128">
        <f t="shared" si="113"/>
        <v>148896</v>
      </c>
      <c r="Q2757" t="s">
        <v>47</v>
      </c>
      <c r="R2757" s="214" t="s">
        <v>1869</v>
      </c>
      <c r="S2757" s="214" t="s">
        <v>1861</v>
      </c>
      <c r="T2757" t="s">
        <v>3725</v>
      </c>
      <c r="U2757" t="s">
        <v>1953</v>
      </c>
      <c r="V2757" t="s">
        <v>2813</v>
      </c>
    </row>
    <row r="2758" spans="1:22" ht="15.75" thickBot="1" x14ac:dyDescent="0.3">
      <c r="A2758" t="s">
        <v>4598</v>
      </c>
      <c r="B2758" t="s">
        <v>4598</v>
      </c>
      <c r="C2758" t="s">
        <v>4598</v>
      </c>
      <c r="D2758" s="83" t="s">
        <v>623</v>
      </c>
      <c r="E2758" s="251" t="s">
        <v>2231</v>
      </c>
      <c r="F2758" s="124" t="s">
        <v>620</v>
      </c>
      <c r="G2758" s="130">
        <v>2017</v>
      </c>
      <c r="H2758" s="125" t="s">
        <v>733</v>
      </c>
      <c r="I2758" s="311" t="str">
        <f t="shared" si="114"/>
        <v>Ligeiro de Passageiros M1: Geral : Gasóleo : E6</v>
      </c>
      <c r="J2758" s="125">
        <v>4</v>
      </c>
      <c r="K2758" s="253">
        <v>2022</v>
      </c>
      <c r="L2758" s="85">
        <v>5198.2400000000007</v>
      </c>
      <c r="M2758" s="85" t="s">
        <v>630</v>
      </c>
      <c r="N2758" s="128">
        <v>66003</v>
      </c>
      <c r="O2758" s="128">
        <f t="shared" si="113"/>
        <v>264012</v>
      </c>
      <c r="Q2758" t="s">
        <v>47</v>
      </c>
      <c r="R2758" s="214" t="s">
        <v>1869</v>
      </c>
      <c r="S2758" s="214" t="s">
        <v>1861</v>
      </c>
      <c r="T2758" t="s">
        <v>3726</v>
      </c>
      <c r="U2758" t="s">
        <v>1953</v>
      </c>
      <c r="V2758" t="s">
        <v>2813</v>
      </c>
    </row>
    <row r="2759" spans="1:22" ht="15.75" thickBot="1" x14ac:dyDescent="0.3">
      <c r="A2759" t="s">
        <v>4598</v>
      </c>
      <c r="B2759" t="s">
        <v>4598</v>
      </c>
      <c r="C2759" t="s">
        <v>4598</v>
      </c>
      <c r="D2759" s="83" t="s">
        <v>623</v>
      </c>
      <c r="E2759" s="251" t="s">
        <v>2231</v>
      </c>
      <c r="F2759" s="124" t="s">
        <v>620</v>
      </c>
      <c r="G2759" s="130">
        <v>2017</v>
      </c>
      <c r="H2759" s="125" t="s">
        <v>733</v>
      </c>
      <c r="I2759" s="311" t="str">
        <f t="shared" si="114"/>
        <v>Ligeiro de Passageiros M1: Geral : Gasóleo : E6</v>
      </c>
      <c r="J2759" s="125">
        <v>8</v>
      </c>
      <c r="K2759" s="253">
        <v>2022</v>
      </c>
      <c r="L2759" s="85">
        <v>7032.34</v>
      </c>
      <c r="M2759" s="85" t="s">
        <v>630</v>
      </c>
      <c r="N2759" s="128">
        <v>85831</v>
      </c>
      <c r="O2759" s="128">
        <f t="shared" si="113"/>
        <v>686648</v>
      </c>
      <c r="Q2759" t="s">
        <v>47</v>
      </c>
      <c r="R2759" s="214" t="s">
        <v>1869</v>
      </c>
      <c r="S2759" s="214" t="s">
        <v>1861</v>
      </c>
      <c r="T2759" t="s">
        <v>3727</v>
      </c>
      <c r="U2759" t="s">
        <v>1953</v>
      </c>
      <c r="V2759" t="s">
        <v>2813</v>
      </c>
    </row>
    <row r="2760" spans="1:22" ht="15.75" thickBot="1" x14ac:dyDescent="0.3">
      <c r="A2760" t="s">
        <v>4598</v>
      </c>
      <c r="B2760" t="s">
        <v>4598</v>
      </c>
      <c r="C2760" t="s">
        <v>4598</v>
      </c>
      <c r="D2760" s="83" t="s">
        <v>623</v>
      </c>
      <c r="E2760" s="251" t="s">
        <v>2231</v>
      </c>
      <c r="F2760" s="124" t="s">
        <v>620</v>
      </c>
      <c r="G2760" s="130">
        <v>2017</v>
      </c>
      <c r="H2760" s="125" t="s">
        <v>733</v>
      </c>
      <c r="I2760" s="311" t="str">
        <f t="shared" si="114"/>
        <v>Ligeiro de Passageiros M1: Geral : Gasóleo : E6</v>
      </c>
      <c r="J2760" s="125">
        <v>8</v>
      </c>
      <c r="K2760" s="253">
        <v>2022</v>
      </c>
      <c r="L2760" s="85">
        <v>818.78000000000009</v>
      </c>
      <c r="M2760" s="85" t="s">
        <v>630</v>
      </c>
      <c r="N2760" s="128">
        <v>9632</v>
      </c>
      <c r="O2760" s="128">
        <f t="shared" si="113"/>
        <v>77056</v>
      </c>
      <c r="Q2760" t="s">
        <v>47</v>
      </c>
      <c r="R2760" s="214" t="s">
        <v>1869</v>
      </c>
      <c r="S2760" s="214" t="s">
        <v>1861</v>
      </c>
      <c r="T2760" t="s">
        <v>3728</v>
      </c>
      <c r="U2760" t="s">
        <v>1953</v>
      </c>
      <c r="V2760" t="s">
        <v>2813</v>
      </c>
    </row>
    <row r="2761" spans="1:22" ht="15.75" thickBot="1" x14ac:dyDescent="0.3">
      <c r="A2761" t="s">
        <v>4598</v>
      </c>
      <c r="B2761" t="s">
        <v>4598</v>
      </c>
      <c r="C2761" t="s">
        <v>4598</v>
      </c>
      <c r="D2761" s="83" t="s">
        <v>623</v>
      </c>
      <c r="E2761" s="251" t="s">
        <v>2231</v>
      </c>
      <c r="F2761" s="124" t="s">
        <v>620</v>
      </c>
      <c r="G2761" s="130">
        <v>2018</v>
      </c>
      <c r="H2761" s="125" t="s">
        <v>733</v>
      </c>
      <c r="I2761" s="311" t="str">
        <f t="shared" si="114"/>
        <v>Ligeiro de Passageiros M1: Geral : Gasóleo : E6</v>
      </c>
      <c r="J2761" s="125">
        <v>8</v>
      </c>
      <c r="K2761" s="253">
        <v>2022</v>
      </c>
      <c r="L2761" s="85">
        <v>6500.52</v>
      </c>
      <c r="M2761" s="85" t="s">
        <v>630</v>
      </c>
      <c r="N2761" s="128">
        <v>83940</v>
      </c>
      <c r="O2761" s="128">
        <f t="shared" si="113"/>
        <v>671520</v>
      </c>
      <c r="Q2761" t="s">
        <v>47</v>
      </c>
      <c r="R2761" s="214" t="s">
        <v>1869</v>
      </c>
      <c r="S2761" s="214" t="s">
        <v>1861</v>
      </c>
      <c r="T2761" t="s">
        <v>3729</v>
      </c>
      <c r="U2761" t="s">
        <v>1953</v>
      </c>
      <c r="V2761" t="s">
        <v>2813</v>
      </c>
    </row>
    <row r="2762" spans="1:22" ht="15.75" thickBot="1" x14ac:dyDescent="0.3">
      <c r="A2762" t="s">
        <v>4598</v>
      </c>
      <c r="B2762" t="s">
        <v>4598</v>
      </c>
      <c r="C2762" t="s">
        <v>4598</v>
      </c>
      <c r="D2762" s="83" t="s">
        <v>623</v>
      </c>
      <c r="E2762" s="251" t="s">
        <v>2231</v>
      </c>
      <c r="F2762" s="124" t="s">
        <v>620</v>
      </c>
      <c r="G2762" s="130">
        <v>2019</v>
      </c>
      <c r="H2762" s="125" t="s">
        <v>733</v>
      </c>
      <c r="I2762" s="311" t="str">
        <f t="shared" si="114"/>
        <v>Ligeiro de Passageiros M1: Geral : Gasóleo : E6</v>
      </c>
      <c r="J2762" s="125">
        <v>8</v>
      </c>
      <c r="K2762" s="253">
        <v>2022</v>
      </c>
      <c r="L2762" s="85">
        <v>6851.4299999999994</v>
      </c>
      <c r="M2762" s="85" t="s">
        <v>630</v>
      </c>
      <c r="N2762" s="128">
        <v>89362</v>
      </c>
      <c r="O2762" s="128">
        <f t="shared" si="113"/>
        <v>714896</v>
      </c>
      <c r="Q2762" t="s">
        <v>47</v>
      </c>
      <c r="R2762" s="214" t="s">
        <v>1869</v>
      </c>
      <c r="S2762" s="214" t="s">
        <v>1861</v>
      </c>
      <c r="T2762" t="s">
        <v>3730</v>
      </c>
      <c r="U2762" t="s">
        <v>1953</v>
      </c>
      <c r="V2762" t="s">
        <v>2813</v>
      </c>
    </row>
    <row r="2763" spans="1:22" ht="15.75" thickBot="1" x14ac:dyDescent="0.3">
      <c r="A2763" t="s">
        <v>4598</v>
      </c>
      <c r="B2763" t="s">
        <v>4598</v>
      </c>
      <c r="C2763" t="s">
        <v>4598</v>
      </c>
      <c r="D2763" s="83" t="s">
        <v>623</v>
      </c>
      <c r="E2763" s="251" t="s">
        <v>2231</v>
      </c>
      <c r="F2763" s="124" t="s">
        <v>620</v>
      </c>
      <c r="G2763" s="130">
        <v>2019</v>
      </c>
      <c r="H2763" s="125" t="s">
        <v>733</v>
      </c>
      <c r="I2763" s="311" t="str">
        <f t="shared" si="114"/>
        <v>Ligeiro de Passageiros M1: Geral : Gasóleo : E6</v>
      </c>
      <c r="J2763" s="125">
        <v>8</v>
      </c>
      <c r="K2763" s="253">
        <v>2022</v>
      </c>
      <c r="L2763" s="85">
        <v>6829.17</v>
      </c>
      <c r="M2763" s="85" t="s">
        <v>630</v>
      </c>
      <c r="N2763" s="128">
        <v>96361</v>
      </c>
      <c r="O2763" s="128">
        <f t="shared" si="113"/>
        <v>770888</v>
      </c>
      <c r="Q2763" t="s">
        <v>47</v>
      </c>
      <c r="R2763" s="214" t="s">
        <v>1869</v>
      </c>
      <c r="S2763" s="214" t="s">
        <v>1861</v>
      </c>
      <c r="T2763" t="s">
        <v>3731</v>
      </c>
      <c r="U2763" t="s">
        <v>1953</v>
      </c>
      <c r="V2763" t="s">
        <v>2813</v>
      </c>
    </row>
    <row r="2764" spans="1:22" ht="15.75" thickBot="1" x14ac:dyDescent="0.3">
      <c r="A2764" t="s">
        <v>4598</v>
      </c>
      <c r="B2764" t="s">
        <v>4598</v>
      </c>
      <c r="C2764" t="s">
        <v>4598</v>
      </c>
      <c r="D2764" s="83" t="s">
        <v>623</v>
      </c>
      <c r="E2764" s="251" t="s">
        <v>2231</v>
      </c>
      <c r="F2764" s="124" t="s">
        <v>620</v>
      </c>
      <c r="G2764" s="130">
        <v>2019</v>
      </c>
      <c r="H2764" s="125" t="s">
        <v>733</v>
      </c>
      <c r="I2764" s="311" t="str">
        <f t="shared" si="114"/>
        <v>Ligeiro de Passageiros M1: Geral : Gasóleo : E6</v>
      </c>
      <c r="J2764" s="125">
        <v>8</v>
      </c>
      <c r="K2764" s="253">
        <v>2022</v>
      </c>
      <c r="L2764" s="85">
        <v>5495.0199999999986</v>
      </c>
      <c r="M2764" s="85" t="s">
        <v>630</v>
      </c>
      <c r="N2764" s="128">
        <v>72711</v>
      </c>
      <c r="O2764" s="128">
        <f t="shared" si="113"/>
        <v>581688</v>
      </c>
      <c r="Q2764" t="s">
        <v>47</v>
      </c>
      <c r="R2764" s="214" t="s">
        <v>1869</v>
      </c>
      <c r="S2764" s="214" t="s">
        <v>1861</v>
      </c>
      <c r="T2764" t="s">
        <v>3732</v>
      </c>
      <c r="U2764" t="s">
        <v>1953</v>
      </c>
      <c r="V2764" t="s">
        <v>2813</v>
      </c>
    </row>
    <row r="2765" spans="1:22" ht="15.75" thickBot="1" x14ac:dyDescent="0.3">
      <c r="A2765" t="s">
        <v>4598</v>
      </c>
      <c r="B2765" t="s">
        <v>4598</v>
      </c>
      <c r="C2765" t="s">
        <v>4598</v>
      </c>
      <c r="D2765" s="83" t="s">
        <v>623</v>
      </c>
      <c r="E2765" s="251" t="s">
        <v>2231</v>
      </c>
      <c r="F2765" s="124" t="s">
        <v>620</v>
      </c>
      <c r="G2765" s="130">
        <v>2019</v>
      </c>
      <c r="H2765" s="125" t="s">
        <v>733</v>
      </c>
      <c r="I2765" s="311" t="str">
        <f t="shared" si="114"/>
        <v>Ligeiro de Passageiros M1: Geral : Gasóleo : E6</v>
      </c>
      <c r="J2765" s="125">
        <v>8</v>
      </c>
      <c r="K2765" s="253">
        <v>2022</v>
      </c>
      <c r="L2765" s="85">
        <v>6137.4699999999993</v>
      </c>
      <c r="M2765" s="85" t="s">
        <v>630</v>
      </c>
      <c r="N2765" s="128">
        <v>81567</v>
      </c>
      <c r="O2765" s="128">
        <f t="shared" si="113"/>
        <v>652536</v>
      </c>
      <c r="Q2765" t="s">
        <v>47</v>
      </c>
      <c r="R2765" s="214" t="s">
        <v>1869</v>
      </c>
      <c r="S2765" s="214" t="s">
        <v>1861</v>
      </c>
      <c r="T2765" t="s">
        <v>3733</v>
      </c>
      <c r="U2765" t="s">
        <v>1953</v>
      </c>
      <c r="V2765" t="s">
        <v>2813</v>
      </c>
    </row>
    <row r="2766" spans="1:22" ht="15.75" thickBot="1" x14ac:dyDescent="0.3">
      <c r="A2766" t="s">
        <v>4598</v>
      </c>
      <c r="B2766" t="s">
        <v>4598</v>
      </c>
      <c r="C2766" t="s">
        <v>4598</v>
      </c>
      <c r="D2766" s="83" t="s">
        <v>623</v>
      </c>
      <c r="E2766" s="251" t="s">
        <v>2231</v>
      </c>
      <c r="F2766" s="124" t="s">
        <v>620</v>
      </c>
      <c r="G2766" s="130">
        <v>2019</v>
      </c>
      <c r="H2766" s="125" t="s">
        <v>733</v>
      </c>
      <c r="I2766" s="311" t="str">
        <f t="shared" si="114"/>
        <v>Ligeiro de Passageiros M1: Geral : Gasóleo : E6</v>
      </c>
      <c r="J2766" s="125">
        <v>8</v>
      </c>
      <c r="K2766" s="253">
        <v>2022</v>
      </c>
      <c r="L2766" s="85">
        <v>5249.54</v>
      </c>
      <c r="M2766" s="85" t="s">
        <v>630</v>
      </c>
      <c r="N2766" s="128">
        <v>73417</v>
      </c>
      <c r="O2766" s="128">
        <f t="shared" si="113"/>
        <v>587336</v>
      </c>
      <c r="Q2766" t="s">
        <v>47</v>
      </c>
      <c r="R2766" s="214" t="s">
        <v>1869</v>
      </c>
      <c r="S2766" s="214" t="s">
        <v>1861</v>
      </c>
      <c r="T2766" t="s">
        <v>3734</v>
      </c>
      <c r="U2766" t="s">
        <v>1953</v>
      </c>
      <c r="V2766" t="s">
        <v>2813</v>
      </c>
    </row>
    <row r="2767" spans="1:22" ht="15.75" thickBot="1" x14ac:dyDescent="0.3">
      <c r="A2767" t="s">
        <v>4598</v>
      </c>
      <c r="B2767" t="s">
        <v>4598</v>
      </c>
      <c r="C2767" t="s">
        <v>4598</v>
      </c>
      <c r="D2767" s="83" t="s">
        <v>623</v>
      </c>
      <c r="E2767" s="251" t="s">
        <v>2231</v>
      </c>
      <c r="F2767" s="124" t="s">
        <v>620</v>
      </c>
      <c r="G2767" s="130">
        <v>2019</v>
      </c>
      <c r="H2767" s="125" t="s">
        <v>733</v>
      </c>
      <c r="I2767" s="311" t="str">
        <f t="shared" si="114"/>
        <v>Ligeiro de Passageiros M1: Geral : Gasóleo : E6</v>
      </c>
      <c r="J2767" s="125">
        <v>8</v>
      </c>
      <c r="K2767" s="253">
        <v>2022</v>
      </c>
      <c r="L2767" s="85">
        <v>6511.54</v>
      </c>
      <c r="M2767" s="85" t="s">
        <v>630</v>
      </c>
      <c r="N2767" s="128">
        <v>73889</v>
      </c>
      <c r="O2767" s="128">
        <f t="shared" si="113"/>
        <v>591112</v>
      </c>
      <c r="Q2767" t="s">
        <v>47</v>
      </c>
      <c r="R2767" s="214" t="s">
        <v>1869</v>
      </c>
      <c r="S2767" s="214" t="s">
        <v>1861</v>
      </c>
      <c r="T2767" t="s">
        <v>3735</v>
      </c>
      <c r="U2767" t="s">
        <v>1953</v>
      </c>
      <c r="V2767" t="s">
        <v>2813</v>
      </c>
    </row>
    <row r="2768" spans="1:22" ht="15.75" thickBot="1" x14ac:dyDescent="0.3">
      <c r="A2768" t="s">
        <v>4598</v>
      </c>
      <c r="B2768" t="s">
        <v>4598</v>
      </c>
      <c r="C2768" t="s">
        <v>4598</v>
      </c>
      <c r="D2768" s="83" t="s">
        <v>623</v>
      </c>
      <c r="E2768" s="251" t="s">
        <v>2231</v>
      </c>
      <c r="F2768" s="124" t="s">
        <v>620</v>
      </c>
      <c r="G2768" s="130">
        <v>2019</v>
      </c>
      <c r="H2768" s="125" t="s">
        <v>733</v>
      </c>
      <c r="I2768" s="311" t="str">
        <f t="shared" si="114"/>
        <v>Ligeiro de Passageiros M1: Geral : Gasóleo : E6</v>
      </c>
      <c r="J2768" s="125">
        <v>8</v>
      </c>
      <c r="K2768" s="253">
        <v>2022</v>
      </c>
      <c r="L2768" s="85">
        <v>6861.3499999999995</v>
      </c>
      <c r="M2768" s="85" t="s">
        <v>630</v>
      </c>
      <c r="N2768" s="128">
        <v>91311</v>
      </c>
      <c r="O2768" s="128">
        <f t="shared" si="113"/>
        <v>730488</v>
      </c>
      <c r="Q2768" t="s">
        <v>47</v>
      </c>
      <c r="R2768" s="214" t="s">
        <v>1869</v>
      </c>
      <c r="S2768" s="214" t="s">
        <v>1861</v>
      </c>
      <c r="T2768" t="s">
        <v>3736</v>
      </c>
      <c r="U2768" t="s">
        <v>1953</v>
      </c>
      <c r="V2768" t="s">
        <v>2813</v>
      </c>
    </row>
    <row r="2769" spans="1:22" ht="15.75" thickBot="1" x14ac:dyDescent="0.3">
      <c r="A2769" t="s">
        <v>4598</v>
      </c>
      <c r="B2769" t="s">
        <v>4598</v>
      </c>
      <c r="C2769" t="s">
        <v>4598</v>
      </c>
      <c r="D2769" s="83" t="s">
        <v>623</v>
      </c>
      <c r="E2769" s="251" t="s">
        <v>2231</v>
      </c>
      <c r="F2769" s="124" t="s">
        <v>620</v>
      </c>
      <c r="G2769" s="130">
        <v>2019</v>
      </c>
      <c r="H2769" s="125" t="s">
        <v>733</v>
      </c>
      <c r="I2769" s="311" t="str">
        <f t="shared" si="114"/>
        <v>Ligeiro de Passageiros M1: Geral : Gasóleo : E6</v>
      </c>
      <c r="J2769" s="125">
        <v>8</v>
      </c>
      <c r="K2769" s="253">
        <v>2022</v>
      </c>
      <c r="L2769" s="85">
        <v>7013.4299999999994</v>
      </c>
      <c r="M2769" s="85" t="s">
        <v>630</v>
      </c>
      <c r="N2769" s="128">
        <v>94830</v>
      </c>
      <c r="O2769" s="128">
        <f t="shared" si="113"/>
        <v>758640</v>
      </c>
      <c r="Q2769" t="s">
        <v>47</v>
      </c>
      <c r="R2769" s="214" t="s">
        <v>1869</v>
      </c>
      <c r="S2769" s="214" t="s">
        <v>1861</v>
      </c>
      <c r="T2769" t="s">
        <v>3737</v>
      </c>
      <c r="U2769" t="s">
        <v>1953</v>
      </c>
      <c r="V2769" t="s">
        <v>2813</v>
      </c>
    </row>
    <row r="2770" spans="1:22" ht="15.75" thickBot="1" x14ac:dyDescent="0.3">
      <c r="A2770" t="s">
        <v>4598</v>
      </c>
      <c r="B2770" t="s">
        <v>4598</v>
      </c>
      <c r="C2770" t="s">
        <v>4598</v>
      </c>
      <c r="D2770" s="83" t="s">
        <v>623</v>
      </c>
      <c r="E2770" s="251" t="s">
        <v>2231</v>
      </c>
      <c r="F2770" s="124" t="s">
        <v>620</v>
      </c>
      <c r="G2770" s="130">
        <v>2019</v>
      </c>
      <c r="H2770" s="125" t="s">
        <v>733</v>
      </c>
      <c r="I2770" s="311" t="str">
        <f t="shared" si="114"/>
        <v>Ligeiro de Passageiros M1: Geral : Gasóleo : E6</v>
      </c>
      <c r="J2770" s="125">
        <v>8</v>
      </c>
      <c r="K2770" s="253">
        <v>2022</v>
      </c>
      <c r="L2770" s="85">
        <v>7117.5700000000006</v>
      </c>
      <c r="M2770" s="85" t="s">
        <v>630</v>
      </c>
      <c r="N2770" s="128">
        <v>90439</v>
      </c>
      <c r="O2770" s="128">
        <f t="shared" si="113"/>
        <v>723512</v>
      </c>
      <c r="Q2770" t="s">
        <v>47</v>
      </c>
      <c r="R2770" s="214" t="s">
        <v>1869</v>
      </c>
      <c r="S2770" s="214" t="s">
        <v>1861</v>
      </c>
      <c r="T2770" t="s">
        <v>3738</v>
      </c>
      <c r="U2770" t="s">
        <v>1953</v>
      </c>
      <c r="V2770" t="s">
        <v>2813</v>
      </c>
    </row>
    <row r="2771" spans="1:22" ht="15.75" thickBot="1" x14ac:dyDescent="0.3">
      <c r="A2771" t="s">
        <v>4643</v>
      </c>
      <c r="B2771" t="s">
        <v>4643</v>
      </c>
      <c r="C2771" t="s">
        <v>4643</v>
      </c>
      <c r="D2771" s="83" t="s">
        <v>623</v>
      </c>
      <c r="E2771" s="251" t="s">
        <v>2231</v>
      </c>
      <c r="F2771" s="124" t="s">
        <v>620</v>
      </c>
      <c r="G2771" s="130">
        <v>2015</v>
      </c>
      <c r="H2771" s="125" t="s">
        <v>733</v>
      </c>
      <c r="I2771" s="311" t="str">
        <f t="shared" si="114"/>
        <v>Ligeiro de Passageiros M1: Geral : Gasóleo : E6</v>
      </c>
      <c r="J2771" s="125">
        <v>8</v>
      </c>
      <c r="K2771" s="253">
        <v>2022</v>
      </c>
      <c r="L2771" s="129">
        <v>2740.3999999999996</v>
      </c>
      <c r="M2771" s="85" t="s">
        <v>630</v>
      </c>
      <c r="N2771" s="128">
        <v>49704</v>
      </c>
      <c r="O2771" s="128">
        <f t="shared" si="113"/>
        <v>397632</v>
      </c>
      <c r="Q2771" t="s">
        <v>47</v>
      </c>
      <c r="R2771" s="214" t="s">
        <v>1869</v>
      </c>
      <c r="S2771" s="214" t="s">
        <v>1861</v>
      </c>
      <c r="T2771" t="s">
        <v>3739</v>
      </c>
      <c r="U2771" t="s">
        <v>1953</v>
      </c>
      <c r="V2771" t="s">
        <v>2813</v>
      </c>
    </row>
    <row r="2772" spans="1:22" ht="15.75" thickBot="1" x14ac:dyDescent="0.3">
      <c r="A2772" t="s">
        <v>4643</v>
      </c>
      <c r="B2772" t="s">
        <v>4643</v>
      </c>
      <c r="C2772" t="s">
        <v>4643</v>
      </c>
      <c r="D2772" s="83" t="s">
        <v>623</v>
      </c>
      <c r="E2772" s="251" t="s">
        <v>2231</v>
      </c>
      <c r="F2772" s="124" t="s">
        <v>620</v>
      </c>
      <c r="G2772" s="130">
        <v>2015</v>
      </c>
      <c r="H2772" s="125" t="s">
        <v>733</v>
      </c>
      <c r="I2772" s="311" t="str">
        <f t="shared" si="114"/>
        <v>Ligeiro de Passageiros M1: Geral : Gasóleo : E6</v>
      </c>
      <c r="J2772" s="125">
        <v>4</v>
      </c>
      <c r="K2772" s="253">
        <v>2022</v>
      </c>
      <c r="L2772" s="129">
        <v>2426.0800000000004</v>
      </c>
      <c r="M2772" s="85" t="s">
        <v>630</v>
      </c>
      <c r="N2772" s="128">
        <v>44269</v>
      </c>
      <c r="O2772" s="128">
        <f t="shared" si="113"/>
        <v>177076</v>
      </c>
      <c r="Q2772" t="s">
        <v>47</v>
      </c>
      <c r="R2772" s="214" t="s">
        <v>1869</v>
      </c>
      <c r="S2772" s="214" t="s">
        <v>1861</v>
      </c>
      <c r="T2772" t="s">
        <v>3740</v>
      </c>
      <c r="U2772" t="s">
        <v>1953</v>
      </c>
      <c r="V2772" t="s">
        <v>2813</v>
      </c>
    </row>
    <row r="2773" spans="1:22" ht="15.75" thickBot="1" x14ac:dyDescent="0.3">
      <c r="A2773" t="s">
        <v>4643</v>
      </c>
      <c r="B2773" t="s">
        <v>4643</v>
      </c>
      <c r="C2773" t="s">
        <v>4643</v>
      </c>
      <c r="D2773" s="83" t="s">
        <v>623</v>
      </c>
      <c r="E2773" s="251" t="s">
        <v>2231</v>
      </c>
      <c r="F2773" s="124" t="s">
        <v>620</v>
      </c>
      <c r="G2773" s="130">
        <v>2019</v>
      </c>
      <c r="H2773" s="125" t="s">
        <v>733</v>
      </c>
      <c r="I2773" s="311" t="str">
        <f t="shared" si="114"/>
        <v>Ligeiro de Passageiros M1: Geral : Gasóleo : E6</v>
      </c>
      <c r="J2773" s="125">
        <v>4</v>
      </c>
      <c r="K2773" s="253">
        <v>2022</v>
      </c>
      <c r="L2773" s="129">
        <v>6905.29</v>
      </c>
      <c r="M2773" s="85" t="s">
        <v>630</v>
      </c>
      <c r="N2773" s="128">
        <v>87724</v>
      </c>
      <c r="O2773" s="128">
        <f t="shared" si="113"/>
        <v>350896</v>
      </c>
      <c r="Q2773" t="s">
        <v>47</v>
      </c>
      <c r="R2773" s="214" t="s">
        <v>1869</v>
      </c>
      <c r="S2773" s="214" t="s">
        <v>1861</v>
      </c>
      <c r="T2773" t="s">
        <v>3741</v>
      </c>
      <c r="U2773" t="s">
        <v>1953</v>
      </c>
      <c r="V2773" t="s">
        <v>2813</v>
      </c>
    </row>
    <row r="2774" spans="1:22" ht="15.75" thickBot="1" x14ac:dyDescent="0.3">
      <c r="A2774" t="s">
        <v>4643</v>
      </c>
      <c r="B2774" t="s">
        <v>4643</v>
      </c>
      <c r="C2774" t="s">
        <v>4643</v>
      </c>
      <c r="D2774" s="83" t="s">
        <v>623</v>
      </c>
      <c r="E2774" s="251" t="s">
        <v>2231</v>
      </c>
      <c r="F2774" s="124" t="s">
        <v>620</v>
      </c>
      <c r="G2774" s="130">
        <v>2016</v>
      </c>
      <c r="H2774" s="125" t="s">
        <v>733</v>
      </c>
      <c r="I2774" s="311" t="str">
        <f t="shared" si="114"/>
        <v>Ligeiro de Passageiros M1: Geral : Gasóleo : E6</v>
      </c>
      <c r="J2774" s="125">
        <v>8</v>
      </c>
      <c r="K2774" s="253">
        <v>2022</v>
      </c>
      <c r="L2774" s="129">
        <v>4022.92</v>
      </c>
      <c r="M2774" s="85" t="s">
        <v>630</v>
      </c>
      <c r="N2774" s="128">
        <v>49504</v>
      </c>
      <c r="O2774" s="128">
        <f t="shared" si="113"/>
        <v>396032</v>
      </c>
      <c r="Q2774" t="s">
        <v>47</v>
      </c>
      <c r="R2774" s="214" t="s">
        <v>1869</v>
      </c>
      <c r="S2774" s="214" t="s">
        <v>1861</v>
      </c>
      <c r="T2774" t="s">
        <v>3742</v>
      </c>
      <c r="U2774" t="s">
        <v>1953</v>
      </c>
      <c r="V2774" t="s">
        <v>2813</v>
      </c>
    </row>
    <row r="2775" spans="1:22" ht="15.75" thickBot="1" x14ac:dyDescent="0.3">
      <c r="A2775" t="s">
        <v>4643</v>
      </c>
      <c r="B2775" t="s">
        <v>4643</v>
      </c>
      <c r="C2775" t="s">
        <v>4643</v>
      </c>
      <c r="D2775" s="83" t="s">
        <v>623</v>
      </c>
      <c r="E2775" s="251" t="s">
        <v>2231</v>
      </c>
      <c r="F2775" s="124" t="s">
        <v>620</v>
      </c>
      <c r="G2775" s="130">
        <v>2019</v>
      </c>
      <c r="H2775" s="125" t="s">
        <v>733</v>
      </c>
      <c r="I2775" s="311" t="str">
        <f t="shared" si="114"/>
        <v>Ligeiro de Passageiros M1: Geral : Gasóleo : E6</v>
      </c>
      <c r="J2775" s="125">
        <v>8</v>
      </c>
      <c r="K2775" s="253">
        <v>2022</v>
      </c>
      <c r="L2775" s="129">
        <v>5116.6100000000006</v>
      </c>
      <c r="M2775" s="85" t="s">
        <v>630</v>
      </c>
      <c r="N2775" s="128">
        <v>67678</v>
      </c>
      <c r="O2775" s="128">
        <f t="shared" si="113"/>
        <v>541424</v>
      </c>
      <c r="Q2775" t="s">
        <v>47</v>
      </c>
      <c r="R2775" s="214" t="s">
        <v>1869</v>
      </c>
      <c r="S2775" s="214" t="s">
        <v>1861</v>
      </c>
      <c r="T2775" t="s">
        <v>3743</v>
      </c>
      <c r="U2775" t="s">
        <v>1953</v>
      </c>
      <c r="V2775" t="s">
        <v>2813</v>
      </c>
    </row>
    <row r="2776" spans="1:22" ht="15.75" thickBot="1" x14ac:dyDescent="0.3">
      <c r="A2776" t="s">
        <v>4643</v>
      </c>
      <c r="B2776" t="s">
        <v>4643</v>
      </c>
      <c r="C2776" t="s">
        <v>4643</v>
      </c>
      <c r="D2776" s="83" t="s">
        <v>623</v>
      </c>
      <c r="E2776" s="251" t="s">
        <v>2231</v>
      </c>
      <c r="F2776" s="124" t="s">
        <v>620</v>
      </c>
      <c r="G2776" s="130">
        <v>2019</v>
      </c>
      <c r="H2776" s="125" t="s">
        <v>733</v>
      </c>
      <c r="I2776" s="311" t="str">
        <f t="shared" si="114"/>
        <v>Ligeiro de Passageiros M1: Geral : Gasóleo : E6</v>
      </c>
      <c r="J2776" s="125">
        <v>8</v>
      </c>
      <c r="K2776" s="253">
        <v>2022</v>
      </c>
      <c r="L2776" s="129">
        <v>5265.91</v>
      </c>
      <c r="M2776" s="85" t="s">
        <v>630</v>
      </c>
      <c r="N2776" s="128">
        <v>69782</v>
      </c>
      <c r="O2776" s="128">
        <f t="shared" si="113"/>
        <v>558256</v>
      </c>
      <c r="Q2776" t="s">
        <v>47</v>
      </c>
      <c r="R2776" s="214" t="s">
        <v>1869</v>
      </c>
      <c r="S2776" s="214" t="s">
        <v>1861</v>
      </c>
      <c r="T2776" t="s">
        <v>3744</v>
      </c>
      <c r="U2776" t="s">
        <v>1953</v>
      </c>
      <c r="V2776" t="s">
        <v>2813</v>
      </c>
    </row>
    <row r="2777" spans="1:22" ht="15.75" thickBot="1" x14ac:dyDescent="0.3">
      <c r="A2777" t="s">
        <v>4643</v>
      </c>
      <c r="B2777" t="s">
        <v>4643</v>
      </c>
      <c r="C2777" t="s">
        <v>4643</v>
      </c>
      <c r="D2777" s="83" t="s">
        <v>623</v>
      </c>
      <c r="E2777" s="251" t="s">
        <v>2231</v>
      </c>
      <c r="F2777" s="124" t="s">
        <v>620</v>
      </c>
      <c r="G2777" s="130">
        <v>2019</v>
      </c>
      <c r="H2777" s="125" t="s">
        <v>733</v>
      </c>
      <c r="I2777" s="311" t="str">
        <f t="shared" si="114"/>
        <v>Ligeiro de Passageiros M1: Geral : Gasóleo : E6</v>
      </c>
      <c r="J2777" s="125">
        <v>8</v>
      </c>
      <c r="K2777" s="253">
        <v>2022</v>
      </c>
      <c r="L2777" s="129">
        <v>5536.47</v>
      </c>
      <c r="M2777" s="85" t="s">
        <v>630</v>
      </c>
      <c r="N2777" s="128">
        <v>72515</v>
      </c>
      <c r="O2777" s="128">
        <f t="shared" si="113"/>
        <v>580120</v>
      </c>
      <c r="Q2777" t="s">
        <v>47</v>
      </c>
      <c r="R2777" s="214" t="s">
        <v>1869</v>
      </c>
      <c r="S2777" s="214" t="s">
        <v>1861</v>
      </c>
      <c r="T2777" t="s">
        <v>3745</v>
      </c>
      <c r="U2777" t="s">
        <v>1953</v>
      </c>
      <c r="V2777" t="s">
        <v>2813</v>
      </c>
    </row>
    <row r="2778" spans="1:22" ht="15.75" thickBot="1" x14ac:dyDescent="0.3">
      <c r="A2778" t="s">
        <v>4643</v>
      </c>
      <c r="B2778" t="s">
        <v>4643</v>
      </c>
      <c r="C2778" t="s">
        <v>4643</v>
      </c>
      <c r="D2778" s="83" t="s">
        <v>623</v>
      </c>
      <c r="E2778" s="251" t="s">
        <v>2231</v>
      </c>
      <c r="F2778" s="124" t="s">
        <v>620</v>
      </c>
      <c r="G2778" s="130">
        <v>2019</v>
      </c>
      <c r="H2778" s="125" t="s">
        <v>733</v>
      </c>
      <c r="I2778" s="311" t="str">
        <f t="shared" si="114"/>
        <v>Ligeiro de Passageiros M1: Geral : Gasóleo : E6</v>
      </c>
      <c r="J2778" s="125">
        <v>8</v>
      </c>
      <c r="K2778" s="253">
        <v>2022</v>
      </c>
      <c r="L2778" s="129">
        <v>6506.8200000000006</v>
      </c>
      <c r="M2778" s="85" t="s">
        <v>630</v>
      </c>
      <c r="N2778" s="128">
        <v>81757</v>
      </c>
      <c r="O2778" s="128">
        <f t="shared" si="113"/>
        <v>654056</v>
      </c>
      <c r="Q2778" t="s">
        <v>47</v>
      </c>
      <c r="R2778" s="214" t="s">
        <v>1869</v>
      </c>
      <c r="S2778" s="214" t="s">
        <v>1861</v>
      </c>
      <c r="T2778" t="s">
        <v>3746</v>
      </c>
      <c r="U2778" t="s">
        <v>1953</v>
      </c>
      <c r="V2778" t="s">
        <v>2813</v>
      </c>
    </row>
    <row r="2779" spans="1:22" ht="15.75" thickBot="1" x14ac:dyDescent="0.3">
      <c r="A2779" t="s">
        <v>4643</v>
      </c>
      <c r="B2779" t="s">
        <v>4643</v>
      </c>
      <c r="C2779" t="s">
        <v>4643</v>
      </c>
      <c r="D2779" s="83" t="s">
        <v>623</v>
      </c>
      <c r="E2779" s="251" t="s">
        <v>2231</v>
      </c>
      <c r="F2779" s="124" t="s">
        <v>620</v>
      </c>
      <c r="G2779" s="130">
        <v>2019</v>
      </c>
      <c r="H2779" s="125" t="s">
        <v>733</v>
      </c>
      <c r="I2779" s="311" t="str">
        <f t="shared" si="114"/>
        <v>Ligeiro de Passageiros M1: Geral : Gasóleo : E6</v>
      </c>
      <c r="J2779" s="125">
        <v>8</v>
      </c>
      <c r="K2779" s="253">
        <v>2022</v>
      </c>
      <c r="L2779" s="129">
        <v>6699.14</v>
      </c>
      <c r="M2779" s="85" t="s">
        <v>630</v>
      </c>
      <c r="N2779" s="128">
        <v>91204</v>
      </c>
      <c r="O2779" s="128">
        <f t="shared" si="113"/>
        <v>729632</v>
      </c>
      <c r="Q2779" t="s">
        <v>47</v>
      </c>
      <c r="R2779" s="214" t="s">
        <v>1869</v>
      </c>
      <c r="S2779" s="214" t="s">
        <v>1861</v>
      </c>
      <c r="T2779" t="s">
        <v>3747</v>
      </c>
      <c r="U2779" t="s">
        <v>1953</v>
      </c>
      <c r="V2779" t="s">
        <v>2813</v>
      </c>
    </row>
    <row r="2780" spans="1:22" ht="15.75" thickBot="1" x14ac:dyDescent="0.3">
      <c r="A2780" t="s">
        <v>4643</v>
      </c>
      <c r="B2780" t="s">
        <v>4643</v>
      </c>
      <c r="C2780" t="s">
        <v>4643</v>
      </c>
      <c r="D2780" s="83" t="s">
        <v>623</v>
      </c>
      <c r="E2780" s="251" t="s">
        <v>2231</v>
      </c>
      <c r="F2780" s="124" t="s">
        <v>620</v>
      </c>
      <c r="G2780" s="130">
        <v>2019</v>
      </c>
      <c r="H2780" s="125" t="s">
        <v>733</v>
      </c>
      <c r="I2780" s="311" t="str">
        <f t="shared" si="114"/>
        <v>Ligeiro de Passageiros M1: Geral : Gasóleo : E6</v>
      </c>
      <c r="J2780" s="125">
        <v>8</v>
      </c>
      <c r="K2780" s="253">
        <v>2022</v>
      </c>
      <c r="L2780" s="129">
        <v>6521.8600000000006</v>
      </c>
      <c r="M2780" s="85" t="s">
        <v>630</v>
      </c>
      <c r="N2780" s="128">
        <v>70160</v>
      </c>
      <c r="O2780" s="128">
        <f t="shared" si="113"/>
        <v>561280</v>
      </c>
      <c r="Q2780" t="s">
        <v>47</v>
      </c>
      <c r="R2780" s="214" t="s">
        <v>1869</v>
      </c>
      <c r="S2780" s="214" t="s">
        <v>1861</v>
      </c>
      <c r="T2780" t="s">
        <v>3748</v>
      </c>
      <c r="U2780" t="s">
        <v>1953</v>
      </c>
      <c r="V2780" t="s">
        <v>2813</v>
      </c>
    </row>
    <row r="2781" spans="1:22" ht="15.75" thickBot="1" x14ac:dyDescent="0.3">
      <c r="A2781" t="s">
        <v>4643</v>
      </c>
      <c r="B2781" t="s">
        <v>4643</v>
      </c>
      <c r="C2781" t="s">
        <v>4643</v>
      </c>
      <c r="D2781" s="83" t="s">
        <v>623</v>
      </c>
      <c r="E2781" s="251" t="s">
        <v>2231</v>
      </c>
      <c r="F2781" s="124" t="s">
        <v>620</v>
      </c>
      <c r="G2781" s="130">
        <v>2019</v>
      </c>
      <c r="H2781" s="125" t="s">
        <v>733</v>
      </c>
      <c r="I2781" s="311" t="str">
        <f t="shared" si="114"/>
        <v>Ligeiro de Passageiros M1: Geral : Gasóleo : E6</v>
      </c>
      <c r="J2781" s="125">
        <v>8</v>
      </c>
      <c r="K2781" s="253">
        <v>2022</v>
      </c>
      <c r="L2781" s="129">
        <v>5706.79</v>
      </c>
      <c r="M2781" s="85" t="s">
        <v>630</v>
      </c>
      <c r="N2781" s="128">
        <v>68868</v>
      </c>
      <c r="O2781" s="128">
        <f t="shared" si="113"/>
        <v>550944</v>
      </c>
      <c r="Q2781" t="s">
        <v>47</v>
      </c>
      <c r="R2781" s="214" t="s">
        <v>1869</v>
      </c>
      <c r="S2781" s="214" t="s">
        <v>1861</v>
      </c>
      <c r="T2781" t="s">
        <v>3749</v>
      </c>
      <c r="U2781" t="s">
        <v>1953</v>
      </c>
      <c r="V2781" t="s">
        <v>2813</v>
      </c>
    </row>
    <row r="2782" spans="1:22" ht="15.75" thickBot="1" x14ac:dyDescent="0.3">
      <c r="A2782" t="s">
        <v>4643</v>
      </c>
      <c r="B2782" t="s">
        <v>4643</v>
      </c>
      <c r="C2782" t="s">
        <v>4643</v>
      </c>
      <c r="D2782" s="83" t="s">
        <v>623</v>
      </c>
      <c r="E2782" s="251" t="s">
        <v>2231</v>
      </c>
      <c r="F2782" s="124" t="s">
        <v>620</v>
      </c>
      <c r="G2782" s="130">
        <v>2019</v>
      </c>
      <c r="H2782" s="125" t="s">
        <v>733</v>
      </c>
      <c r="I2782" s="311" t="str">
        <f t="shared" si="114"/>
        <v>Ligeiro de Passageiros M1: Geral : Gasóleo : E6</v>
      </c>
      <c r="J2782" s="125">
        <v>8</v>
      </c>
      <c r="K2782" s="253">
        <v>2022</v>
      </c>
      <c r="L2782" s="129">
        <v>5362.57</v>
      </c>
      <c r="M2782" s="85" t="s">
        <v>630</v>
      </c>
      <c r="N2782" s="128">
        <v>62321</v>
      </c>
      <c r="O2782" s="128">
        <f t="shared" si="113"/>
        <v>498568</v>
      </c>
      <c r="Q2782" t="s">
        <v>47</v>
      </c>
      <c r="R2782" s="214" t="s">
        <v>1869</v>
      </c>
      <c r="S2782" s="214" t="s">
        <v>1861</v>
      </c>
      <c r="T2782" t="s">
        <v>3750</v>
      </c>
      <c r="U2782" t="s">
        <v>1953</v>
      </c>
      <c r="V2782" t="s">
        <v>2813</v>
      </c>
    </row>
    <row r="2783" spans="1:22" ht="15.75" thickBot="1" x14ac:dyDescent="0.3">
      <c r="A2783" t="s">
        <v>4643</v>
      </c>
      <c r="B2783" t="s">
        <v>4643</v>
      </c>
      <c r="C2783" t="s">
        <v>4643</v>
      </c>
      <c r="D2783" s="83" t="s">
        <v>623</v>
      </c>
      <c r="E2783" s="251" t="s">
        <v>2231</v>
      </c>
      <c r="F2783" s="124" t="s">
        <v>620</v>
      </c>
      <c r="G2783" s="130">
        <v>2019</v>
      </c>
      <c r="H2783" s="125" t="s">
        <v>733</v>
      </c>
      <c r="I2783" s="311" t="str">
        <f t="shared" si="114"/>
        <v>Ligeiro de Passageiros M1: Geral : Gasóleo : E6</v>
      </c>
      <c r="J2783" s="125">
        <v>8</v>
      </c>
      <c r="K2783" s="253">
        <v>2022</v>
      </c>
      <c r="L2783" s="129">
        <v>432.38</v>
      </c>
      <c r="M2783" s="85" t="s">
        <v>630</v>
      </c>
      <c r="N2783" s="128">
        <v>5965</v>
      </c>
      <c r="O2783" s="128">
        <f t="shared" si="113"/>
        <v>47720</v>
      </c>
      <c r="Q2783" t="s">
        <v>47</v>
      </c>
      <c r="R2783" s="214" t="s">
        <v>1869</v>
      </c>
      <c r="S2783" s="214" t="s">
        <v>1861</v>
      </c>
      <c r="T2783" t="s">
        <v>3751</v>
      </c>
      <c r="U2783" t="s">
        <v>1953</v>
      </c>
      <c r="V2783" t="s">
        <v>2813</v>
      </c>
    </row>
    <row r="2784" spans="1:22" ht="15.75" thickBot="1" x14ac:dyDescent="0.3">
      <c r="A2784" t="s">
        <v>4643</v>
      </c>
      <c r="B2784" t="s">
        <v>4643</v>
      </c>
      <c r="C2784" t="s">
        <v>4643</v>
      </c>
      <c r="D2784" s="83" t="s">
        <v>623</v>
      </c>
      <c r="E2784" s="251" t="s">
        <v>2231</v>
      </c>
      <c r="F2784" s="124" t="s">
        <v>620</v>
      </c>
      <c r="G2784" s="130">
        <v>2019</v>
      </c>
      <c r="H2784" s="125" t="s">
        <v>733</v>
      </c>
      <c r="I2784" s="311" t="str">
        <f t="shared" si="114"/>
        <v>Ligeiro de Passageiros M1: Geral : Gasóleo : E6</v>
      </c>
      <c r="J2784" s="125">
        <v>8</v>
      </c>
      <c r="K2784" s="253">
        <v>2022</v>
      </c>
      <c r="L2784" s="129">
        <v>5807.17</v>
      </c>
      <c r="M2784" s="85" t="s">
        <v>630</v>
      </c>
      <c r="N2784" s="128">
        <v>71005</v>
      </c>
      <c r="O2784" s="128">
        <f t="shared" si="113"/>
        <v>568040</v>
      </c>
      <c r="Q2784" t="s">
        <v>47</v>
      </c>
      <c r="R2784" s="214" t="s">
        <v>1869</v>
      </c>
      <c r="S2784" s="214" t="s">
        <v>1861</v>
      </c>
      <c r="T2784" t="s">
        <v>3752</v>
      </c>
      <c r="U2784" t="s">
        <v>1953</v>
      </c>
      <c r="V2784" t="s">
        <v>2813</v>
      </c>
    </row>
    <row r="2785" spans="1:22" ht="15.75" thickBot="1" x14ac:dyDescent="0.3">
      <c r="A2785" t="s">
        <v>4643</v>
      </c>
      <c r="B2785" t="s">
        <v>4643</v>
      </c>
      <c r="C2785" t="s">
        <v>4643</v>
      </c>
      <c r="D2785" s="83" t="s">
        <v>623</v>
      </c>
      <c r="E2785" s="251" t="s">
        <v>2231</v>
      </c>
      <c r="F2785" s="124" t="s">
        <v>620</v>
      </c>
      <c r="G2785" s="130">
        <v>2019</v>
      </c>
      <c r="H2785" s="125" t="s">
        <v>733</v>
      </c>
      <c r="I2785" s="311" t="str">
        <f t="shared" si="114"/>
        <v>Ligeiro de Passageiros M1: Geral : Gasóleo : E6</v>
      </c>
      <c r="J2785" s="125">
        <v>8</v>
      </c>
      <c r="K2785" s="253">
        <v>2022</v>
      </c>
      <c r="L2785" s="129">
        <v>4710.09</v>
      </c>
      <c r="M2785" s="85" t="s">
        <v>630</v>
      </c>
      <c r="N2785" s="128">
        <v>66412</v>
      </c>
      <c r="O2785" s="128">
        <f t="shared" si="113"/>
        <v>531296</v>
      </c>
      <c r="Q2785" t="s">
        <v>47</v>
      </c>
      <c r="R2785" s="214" t="s">
        <v>1869</v>
      </c>
      <c r="S2785" s="214" t="s">
        <v>1861</v>
      </c>
      <c r="T2785" t="s">
        <v>3753</v>
      </c>
      <c r="U2785" t="s">
        <v>1953</v>
      </c>
      <c r="V2785" t="s">
        <v>2813</v>
      </c>
    </row>
    <row r="2786" spans="1:22" ht="15.75" thickBot="1" x14ac:dyDescent="0.3">
      <c r="A2786" t="s">
        <v>4643</v>
      </c>
      <c r="B2786" t="s">
        <v>4643</v>
      </c>
      <c r="C2786" t="s">
        <v>4643</v>
      </c>
      <c r="D2786" s="83" t="s">
        <v>623</v>
      </c>
      <c r="E2786" s="251" t="s">
        <v>2231</v>
      </c>
      <c r="F2786" s="124" t="s">
        <v>620</v>
      </c>
      <c r="G2786" s="130">
        <v>2019</v>
      </c>
      <c r="H2786" s="125" t="s">
        <v>733</v>
      </c>
      <c r="I2786" s="311" t="str">
        <f t="shared" si="114"/>
        <v>Ligeiro de Passageiros M1: Geral : Gasóleo : E6</v>
      </c>
      <c r="J2786" s="125">
        <v>8</v>
      </c>
      <c r="K2786" s="253">
        <v>2022</v>
      </c>
      <c r="L2786" s="129">
        <v>6360.7699999999995</v>
      </c>
      <c r="M2786" s="85" t="s">
        <v>630</v>
      </c>
      <c r="N2786" s="128">
        <v>79232</v>
      </c>
      <c r="O2786" s="128">
        <f t="shared" si="113"/>
        <v>633856</v>
      </c>
      <c r="Q2786" t="s">
        <v>47</v>
      </c>
      <c r="R2786" s="214" t="s">
        <v>1869</v>
      </c>
      <c r="S2786" s="214" t="s">
        <v>1861</v>
      </c>
      <c r="T2786" t="s">
        <v>3754</v>
      </c>
      <c r="U2786" t="s">
        <v>1953</v>
      </c>
      <c r="V2786" t="s">
        <v>2813</v>
      </c>
    </row>
    <row r="2787" spans="1:22" ht="15.75" thickBot="1" x14ac:dyDescent="0.3">
      <c r="A2787" t="s">
        <v>4643</v>
      </c>
      <c r="B2787" t="s">
        <v>4643</v>
      </c>
      <c r="C2787" t="s">
        <v>4643</v>
      </c>
      <c r="D2787" s="83" t="s">
        <v>623</v>
      </c>
      <c r="E2787" s="251" t="s">
        <v>2231</v>
      </c>
      <c r="F2787" s="124" t="s">
        <v>620</v>
      </c>
      <c r="G2787" s="130">
        <v>2019</v>
      </c>
      <c r="H2787" s="125" t="s">
        <v>733</v>
      </c>
      <c r="I2787" s="311" t="str">
        <f t="shared" si="114"/>
        <v>Ligeiro de Passageiros M1: Geral : Gasóleo : E6</v>
      </c>
      <c r="J2787" s="125">
        <v>8</v>
      </c>
      <c r="K2787" s="253">
        <v>2022</v>
      </c>
      <c r="L2787" s="129">
        <v>7461.8899999999994</v>
      </c>
      <c r="M2787" s="85" t="s">
        <v>630</v>
      </c>
      <c r="N2787" s="128">
        <v>91919</v>
      </c>
      <c r="O2787" s="128">
        <f t="shared" si="113"/>
        <v>735352</v>
      </c>
      <c r="Q2787" t="s">
        <v>47</v>
      </c>
      <c r="R2787" s="214" t="s">
        <v>1869</v>
      </c>
      <c r="S2787" s="214" t="s">
        <v>1861</v>
      </c>
      <c r="T2787" t="s">
        <v>3755</v>
      </c>
      <c r="U2787" t="s">
        <v>1953</v>
      </c>
      <c r="V2787" t="s">
        <v>2813</v>
      </c>
    </row>
    <row r="2788" spans="1:22" ht="15.75" thickBot="1" x14ac:dyDescent="0.3">
      <c r="A2788" t="s">
        <v>4643</v>
      </c>
      <c r="B2788" t="s">
        <v>4643</v>
      </c>
      <c r="C2788" t="s">
        <v>4643</v>
      </c>
      <c r="D2788" s="83" t="s">
        <v>623</v>
      </c>
      <c r="E2788" s="251" t="s">
        <v>2231</v>
      </c>
      <c r="F2788" s="124" t="s">
        <v>620</v>
      </c>
      <c r="G2788" s="130">
        <v>2019</v>
      </c>
      <c r="H2788" s="125" t="s">
        <v>733</v>
      </c>
      <c r="I2788" s="311" t="str">
        <f t="shared" si="114"/>
        <v>Ligeiro de Passageiros M1: Geral : Gasóleo : E6</v>
      </c>
      <c r="J2788" s="125">
        <v>8</v>
      </c>
      <c r="K2788" s="253">
        <v>2022</v>
      </c>
      <c r="L2788" s="129">
        <v>6648.5000000000009</v>
      </c>
      <c r="M2788" s="85" t="s">
        <v>630</v>
      </c>
      <c r="N2788" s="128">
        <v>80285</v>
      </c>
      <c r="O2788" s="128">
        <f t="shared" si="113"/>
        <v>642280</v>
      </c>
      <c r="Q2788" t="s">
        <v>47</v>
      </c>
      <c r="R2788" s="214" t="s">
        <v>1869</v>
      </c>
      <c r="S2788" s="214" t="s">
        <v>1861</v>
      </c>
      <c r="T2788" t="s">
        <v>3756</v>
      </c>
      <c r="U2788" t="s">
        <v>1953</v>
      </c>
      <c r="V2788" t="s">
        <v>2813</v>
      </c>
    </row>
    <row r="2789" spans="1:22" ht="15.75" thickBot="1" x14ac:dyDescent="0.3">
      <c r="A2789" t="s">
        <v>4643</v>
      </c>
      <c r="B2789" t="s">
        <v>4643</v>
      </c>
      <c r="C2789" t="s">
        <v>4643</v>
      </c>
      <c r="D2789" s="83" t="s">
        <v>623</v>
      </c>
      <c r="E2789" s="251" t="s">
        <v>2231</v>
      </c>
      <c r="F2789" s="124" t="s">
        <v>620</v>
      </c>
      <c r="G2789" s="130">
        <v>2019</v>
      </c>
      <c r="H2789" s="125" t="s">
        <v>733</v>
      </c>
      <c r="I2789" s="311" t="str">
        <f t="shared" si="114"/>
        <v>Ligeiro de Passageiros M1: Geral : Gasóleo : E6</v>
      </c>
      <c r="J2789" s="125">
        <v>8</v>
      </c>
      <c r="K2789" s="253">
        <v>2022</v>
      </c>
      <c r="L2789" s="129">
        <v>465.48</v>
      </c>
      <c r="M2789" s="85" t="s">
        <v>630</v>
      </c>
      <c r="N2789" s="128">
        <v>6139</v>
      </c>
      <c r="O2789" s="128">
        <f t="shared" si="113"/>
        <v>49112</v>
      </c>
      <c r="Q2789" t="s">
        <v>47</v>
      </c>
      <c r="R2789" s="214" t="s">
        <v>1869</v>
      </c>
      <c r="S2789" s="214" t="s">
        <v>1861</v>
      </c>
      <c r="T2789" t="s">
        <v>3757</v>
      </c>
      <c r="U2789" t="s">
        <v>1953</v>
      </c>
      <c r="V2789" t="s">
        <v>2813</v>
      </c>
    </row>
    <row r="2790" spans="1:22" ht="15.75" thickBot="1" x14ac:dyDescent="0.3">
      <c r="A2790" t="s">
        <v>4643</v>
      </c>
      <c r="B2790" t="s">
        <v>4643</v>
      </c>
      <c r="C2790" t="s">
        <v>4643</v>
      </c>
      <c r="D2790" s="83" t="s">
        <v>623</v>
      </c>
      <c r="E2790" s="251" t="s">
        <v>2231</v>
      </c>
      <c r="F2790" s="124" t="s">
        <v>620</v>
      </c>
      <c r="G2790" s="130">
        <v>2019</v>
      </c>
      <c r="H2790" s="125" t="s">
        <v>733</v>
      </c>
      <c r="I2790" s="311" t="str">
        <f t="shared" si="114"/>
        <v>Ligeiro de Passageiros M1: Geral : Gasóleo : E6</v>
      </c>
      <c r="J2790" s="125">
        <v>8</v>
      </c>
      <c r="K2790" s="253">
        <v>2022</v>
      </c>
      <c r="L2790" s="129">
        <v>5383.95</v>
      </c>
      <c r="M2790" s="85" t="s">
        <v>630</v>
      </c>
      <c r="N2790" s="128">
        <v>69944</v>
      </c>
      <c r="O2790" s="128">
        <f t="shared" si="113"/>
        <v>559552</v>
      </c>
      <c r="Q2790" t="s">
        <v>47</v>
      </c>
      <c r="R2790" s="214" t="s">
        <v>1869</v>
      </c>
      <c r="S2790" s="214" t="s">
        <v>1861</v>
      </c>
      <c r="T2790" t="s">
        <v>3758</v>
      </c>
      <c r="U2790" t="s">
        <v>1953</v>
      </c>
      <c r="V2790" t="s">
        <v>2813</v>
      </c>
    </row>
    <row r="2791" spans="1:22" ht="15.75" thickBot="1" x14ac:dyDescent="0.3">
      <c r="A2791" t="s">
        <v>4643</v>
      </c>
      <c r="B2791" t="s">
        <v>4643</v>
      </c>
      <c r="C2791" t="s">
        <v>4643</v>
      </c>
      <c r="D2791" s="83" t="s">
        <v>623</v>
      </c>
      <c r="E2791" s="251" t="s">
        <v>2231</v>
      </c>
      <c r="F2791" s="124" t="s">
        <v>620</v>
      </c>
      <c r="G2791" s="130">
        <v>2019</v>
      </c>
      <c r="H2791" s="125" t="s">
        <v>733</v>
      </c>
      <c r="I2791" s="311" t="str">
        <f t="shared" si="114"/>
        <v>Ligeiro de Passageiros M1: Geral : Gasóleo : E6</v>
      </c>
      <c r="J2791" s="125">
        <v>8</v>
      </c>
      <c r="K2791" s="253">
        <v>2022</v>
      </c>
      <c r="L2791" s="129">
        <v>565.97</v>
      </c>
      <c r="M2791" s="85" t="s">
        <v>630</v>
      </c>
      <c r="N2791" s="128">
        <v>7531</v>
      </c>
      <c r="O2791" s="128">
        <f t="shared" si="113"/>
        <v>60248</v>
      </c>
      <c r="Q2791" t="s">
        <v>47</v>
      </c>
      <c r="R2791" s="214" t="s">
        <v>1869</v>
      </c>
      <c r="S2791" s="214" t="s">
        <v>1861</v>
      </c>
      <c r="T2791" t="s">
        <v>3759</v>
      </c>
      <c r="U2791" t="s">
        <v>1953</v>
      </c>
      <c r="V2791" t="s">
        <v>2813</v>
      </c>
    </row>
    <row r="2792" spans="1:22" ht="15.75" thickBot="1" x14ac:dyDescent="0.3">
      <c r="A2792" t="s">
        <v>4643</v>
      </c>
      <c r="B2792" t="s">
        <v>4643</v>
      </c>
      <c r="C2792" t="s">
        <v>4643</v>
      </c>
      <c r="D2792" s="83" t="s">
        <v>623</v>
      </c>
      <c r="E2792" s="251" t="s">
        <v>2231</v>
      </c>
      <c r="F2792" s="124" t="s">
        <v>620</v>
      </c>
      <c r="G2792" s="130">
        <v>2019</v>
      </c>
      <c r="H2792" s="125" t="s">
        <v>733</v>
      </c>
      <c r="I2792" s="311" t="str">
        <f t="shared" si="114"/>
        <v>Ligeiro de Passageiros M1: Geral : Gasóleo : E6</v>
      </c>
      <c r="J2792" s="125">
        <v>8</v>
      </c>
      <c r="K2792" s="253">
        <v>2022</v>
      </c>
      <c r="L2792" s="129">
        <v>4798.670000000001</v>
      </c>
      <c r="M2792" s="85" t="s">
        <v>630</v>
      </c>
      <c r="N2792" s="128">
        <v>66807</v>
      </c>
      <c r="O2792" s="128">
        <f t="shared" si="113"/>
        <v>534456</v>
      </c>
      <c r="Q2792" t="s">
        <v>47</v>
      </c>
      <c r="R2792" s="214" t="s">
        <v>1869</v>
      </c>
      <c r="S2792" s="214" t="s">
        <v>1861</v>
      </c>
      <c r="T2792" t="s">
        <v>3760</v>
      </c>
      <c r="U2792" t="s">
        <v>1953</v>
      </c>
      <c r="V2792" t="s">
        <v>2813</v>
      </c>
    </row>
    <row r="2793" spans="1:22" ht="15.75" thickBot="1" x14ac:dyDescent="0.3">
      <c r="A2793" t="s">
        <v>4643</v>
      </c>
      <c r="B2793" t="s">
        <v>4643</v>
      </c>
      <c r="C2793" t="s">
        <v>4643</v>
      </c>
      <c r="D2793" s="83" t="s">
        <v>623</v>
      </c>
      <c r="E2793" s="251" t="s">
        <v>2231</v>
      </c>
      <c r="F2793" s="124" t="s">
        <v>620</v>
      </c>
      <c r="G2793" s="130">
        <v>2019</v>
      </c>
      <c r="H2793" s="125" t="s">
        <v>733</v>
      </c>
      <c r="I2793" s="311" t="str">
        <f t="shared" si="114"/>
        <v>Ligeiro de Passageiros M1: Geral : Gasóleo : E6</v>
      </c>
      <c r="J2793" s="125">
        <v>8</v>
      </c>
      <c r="K2793" s="253">
        <v>2022</v>
      </c>
      <c r="L2793" s="129">
        <v>5517.59</v>
      </c>
      <c r="M2793" s="85" t="s">
        <v>630</v>
      </c>
      <c r="N2793" s="128">
        <v>65494</v>
      </c>
      <c r="O2793" s="128">
        <f t="shared" si="113"/>
        <v>523952</v>
      </c>
      <c r="Q2793" t="s">
        <v>47</v>
      </c>
      <c r="R2793" s="214" t="s">
        <v>1869</v>
      </c>
      <c r="S2793" s="214" t="s">
        <v>1861</v>
      </c>
      <c r="T2793" t="s">
        <v>3761</v>
      </c>
      <c r="U2793" t="s">
        <v>1953</v>
      </c>
      <c r="V2793" t="s">
        <v>2813</v>
      </c>
    </row>
    <row r="2794" spans="1:22" ht="15.75" thickBot="1" x14ac:dyDescent="0.3">
      <c r="A2794" t="s">
        <v>4643</v>
      </c>
      <c r="B2794" t="s">
        <v>4643</v>
      </c>
      <c r="C2794" t="s">
        <v>4643</v>
      </c>
      <c r="D2794" s="83" t="s">
        <v>623</v>
      </c>
      <c r="E2794" s="251" t="s">
        <v>2231</v>
      </c>
      <c r="F2794" s="124" t="s">
        <v>620</v>
      </c>
      <c r="G2794" s="130">
        <v>2019</v>
      </c>
      <c r="H2794" s="125" t="s">
        <v>733</v>
      </c>
      <c r="I2794" s="311" t="str">
        <f t="shared" si="114"/>
        <v>Ligeiro de Passageiros M1: Geral : Gasóleo : E6</v>
      </c>
      <c r="J2794" s="125">
        <v>8</v>
      </c>
      <c r="K2794" s="253">
        <v>2022</v>
      </c>
      <c r="L2794" s="129">
        <v>4082.62</v>
      </c>
      <c r="M2794" s="85" t="s">
        <v>630</v>
      </c>
      <c r="N2794" s="128">
        <v>59257</v>
      </c>
      <c r="O2794" s="128">
        <f t="shared" si="113"/>
        <v>474056</v>
      </c>
      <c r="Q2794" t="s">
        <v>47</v>
      </c>
      <c r="R2794" s="214" t="s">
        <v>1869</v>
      </c>
      <c r="S2794" s="214" t="s">
        <v>1861</v>
      </c>
      <c r="T2794" t="s">
        <v>3762</v>
      </c>
      <c r="U2794" t="s">
        <v>1953</v>
      </c>
      <c r="V2794" t="s">
        <v>2813</v>
      </c>
    </row>
    <row r="2795" spans="1:22" ht="15.75" thickBot="1" x14ac:dyDescent="0.3">
      <c r="A2795" t="s">
        <v>4643</v>
      </c>
      <c r="B2795" t="s">
        <v>4643</v>
      </c>
      <c r="C2795" t="s">
        <v>4643</v>
      </c>
      <c r="D2795" s="83" t="s">
        <v>623</v>
      </c>
      <c r="E2795" s="251" t="s">
        <v>2231</v>
      </c>
      <c r="F2795" s="124" t="s">
        <v>620</v>
      </c>
      <c r="G2795" s="130">
        <v>2019</v>
      </c>
      <c r="H2795" s="125" t="s">
        <v>733</v>
      </c>
      <c r="I2795" s="311" t="str">
        <f t="shared" si="114"/>
        <v>Ligeiro de Passageiros M1: Geral : Gasóleo : E6</v>
      </c>
      <c r="J2795" s="125">
        <v>8</v>
      </c>
      <c r="K2795" s="253">
        <v>2022</v>
      </c>
      <c r="L2795" s="129">
        <v>4782.7700000000004</v>
      </c>
      <c r="M2795" s="85" t="s">
        <v>630</v>
      </c>
      <c r="N2795" s="128">
        <v>58685</v>
      </c>
      <c r="O2795" s="128">
        <f t="shared" si="113"/>
        <v>469480</v>
      </c>
      <c r="Q2795" t="s">
        <v>47</v>
      </c>
      <c r="R2795" s="214" t="s">
        <v>1869</v>
      </c>
      <c r="S2795" s="214" t="s">
        <v>1861</v>
      </c>
      <c r="T2795" t="s">
        <v>3763</v>
      </c>
      <c r="U2795" t="s">
        <v>1953</v>
      </c>
      <c r="V2795" t="s">
        <v>2813</v>
      </c>
    </row>
    <row r="2796" spans="1:22" ht="15.75" thickBot="1" x14ac:dyDescent="0.3">
      <c r="A2796" t="s">
        <v>4643</v>
      </c>
      <c r="B2796" t="s">
        <v>4643</v>
      </c>
      <c r="C2796" t="s">
        <v>4643</v>
      </c>
      <c r="D2796" s="83" t="s">
        <v>623</v>
      </c>
      <c r="E2796" s="251" t="s">
        <v>2231</v>
      </c>
      <c r="F2796" s="124" t="s">
        <v>620</v>
      </c>
      <c r="G2796" s="130">
        <v>2019</v>
      </c>
      <c r="H2796" s="125" t="s">
        <v>733</v>
      </c>
      <c r="I2796" s="311" t="str">
        <f t="shared" si="114"/>
        <v>Ligeiro de Passageiros M1: Geral : Gasóleo : E6</v>
      </c>
      <c r="J2796" s="125">
        <v>8</v>
      </c>
      <c r="K2796" s="253">
        <v>2022</v>
      </c>
      <c r="L2796" s="129">
        <v>4653.9099999999989</v>
      </c>
      <c r="M2796" s="85" t="s">
        <v>630</v>
      </c>
      <c r="N2796" s="128">
        <v>53629</v>
      </c>
      <c r="O2796" s="128">
        <f t="shared" si="113"/>
        <v>429032</v>
      </c>
      <c r="Q2796" t="s">
        <v>47</v>
      </c>
      <c r="R2796" s="214" t="s">
        <v>1869</v>
      </c>
      <c r="S2796" s="214" t="s">
        <v>1861</v>
      </c>
      <c r="T2796" t="s">
        <v>3764</v>
      </c>
      <c r="U2796" t="s">
        <v>1953</v>
      </c>
      <c r="V2796" t="s">
        <v>2813</v>
      </c>
    </row>
    <row r="2797" spans="1:22" ht="15.75" thickBot="1" x14ac:dyDescent="0.3">
      <c r="A2797" t="s">
        <v>4643</v>
      </c>
      <c r="B2797" t="s">
        <v>4643</v>
      </c>
      <c r="C2797" t="s">
        <v>4643</v>
      </c>
      <c r="D2797" s="83" t="s">
        <v>623</v>
      </c>
      <c r="E2797" s="251" t="s">
        <v>2231</v>
      </c>
      <c r="F2797" s="124" t="s">
        <v>620</v>
      </c>
      <c r="G2797" s="130">
        <v>2019</v>
      </c>
      <c r="H2797" s="125" t="s">
        <v>733</v>
      </c>
      <c r="I2797" s="311" t="str">
        <f t="shared" si="114"/>
        <v>Ligeiro de Passageiros M1: Geral : Gasóleo : E6</v>
      </c>
      <c r="J2797" s="125">
        <v>8</v>
      </c>
      <c r="K2797" s="253">
        <v>2022</v>
      </c>
      <c r="L2797" s="129">
        <v>5515.09</v>
      </c>
      <c r="M2797" s="85" t="s">
        <v>630</v>
      </c>
      <c r="N2797" s="128">
        <v>66090</v>
      </c>
      <c r="O2797" s="128">
        <f t="shared" si="113"/>
        <v>528720</v>
      </c>
      <c r="Q2797" t="s">
        <v>47</v>
      </c>
      <c r="R2797" s="214" t="s">
        <v>1869</v>
      </c>
      <c r="S2797" s="214" t="s">
        <v>1861</v>
      </c>
      <c r="T2797" t="s">
        <v>3765</v>
      </c>
      <c r="U2797" t="s">
        <v>1953</v>
      </c>
      <c r="V2797" t="s">
        <v>2813</v>
      </c>
    </row>
    <row r="2798" spans="1:22" ht="15.75" thickBot="1" x14ac:dyDescent="0.3">
      <c r="A2798" t="s">
        <v>4643</v>
      </c>
      <c r="B2798" t="s">
        <v>4643</v>
      </c>
      <c r="C2798" t="s">
        <v>4643</v>
      </c>
      <c r="D2798" s="83" t="s">
        <v>623</v>
      </c>
      <c r="E2798" s="251" t="s">
        <v>2231</v>
      </c>
      <c r="F2798" s="124" t="s">
        <v>620</v>
      </c>
      <c r="G2798" s="130">
        <v>2019</v>
      </c>
      <c r="H2798" s="125" t="s">
        <v>733</v>
      </c>
      <c r="I2798" s="311" t="str">
        <f t="shared" si="114"/>
        <v>Ligeiro de Passageiros M1: Geral : Gasóleo : E6</v>
      </c>
      <c r="J2798" s="125">
        <v>8</v>
      </c>
      <c r="K2798" s="253">
        <v>2022</v>
      </c>
      <c r="L2798" s="129">
        <v>6208.8499999999995</v>
      </c>
      <c r="M2798" s="85" t="s">
        <v>630</v>
      </c>
      <c r="N2798" s="128">
        <v>70570</v>
      </c>
      <c r="O2798" s="128">
        <f t="shared" si="113"/>
        <v>564560</v>
      </c>
      <c r="Q2798" t="s">
        <v>47</v>
      </c>
      <c r="R2798" s="214" t="s">
        <v>1869</v>
      </c>
      <c r="S2798" s="214" t="s">
        <v>1861</v>
      </c>
      <c r="T2798" t="s">
        <v>3766</v>
      </c>
      <c r="U2798" t="s">
        <v>1953</v>
      </c>
      <c r="V2798" t="s">
        <v>2813</v>
      </c>
    </row>
    <row r="2799" spans="1:22" ht="15.75" thickBot="1" x14ac:dyDescent="0.3">
      <c r="A2799" t="s">
        <v>4643</v>
      </c>
      <c r="B2799" t="s">
        <v>4643</v>
      </c>
      <c r="C2799" t="s">
        <v>4643</v>
      </c>
      <c r="D2799" s="83" t="s">
        <v>623</v>
      </c>
      <c r="E2799" s="251" t="s">
        <v>2231</v>
      </c>
      <c r="F2799" s="124" t="s">
        <v>620</v>
      </c>
      <c r="G2799" s="130">
        <v>2019</v>
      </c>
      <c r="H2799" s="125" t="s">
        <v>733</v>
      </c>
      <c r="I2799" s="311" t="str">
        <f t="shared" si="114"/>
        <v>Ligeiro de Passageiros M1: Geral : Gasóleo : E6</v>
      </c>
      <c r="J2799" s="125">
        <v>8</v>
      </c>
      <c r="K2799" s="253">
        <v>2022</v>
      </c>
      <c r="L2799" s="129">
        <v>5615.25</v>
      </c>
      <c r="M2799" s="85" t="s">
        <v>630</v>
      </c>
      <c r="N2799" s="128">
        <v>73147</v>
      </c>
      <c r="O2799" s="128">
        <f t="shared" si="113"/>
        <v>585176</v>
      </c>
      <c r="Q2799" t="s">
        <v>47</v>
      </c>
      <c r="R2799" s="214" t="s">
        <v>1869</v>
      </c>
      <c r="S2799" s="214" t="s">
        <v>1861</v>
      </c>
      <c r="T2799" t="s">
        <v>3767</v>
      </c>
      <c r="U2799" t="s">
        <v>1953</v>
      </c>
      <c r="V2799" t="s">
        <v>2813</v>
      </c>
    </row>
    <row r="2800" spans="1:22" ht="15.75" thickBot="1" x14ac:dyDescent="0.3">
      <c r="A2800" t="s">
        <v>4643</v>
      </c>
      <c r="B2800" t="s">
        <v>4643</v>
      </c>
      <c r="C2800" t="s">
        <v>4643</v>
      </c>
      <c r="D2800" s="83" t="s">
        <v>623</v>
      </c>
      <c r="E2800" s="251" t="s">
        <v>2231</v>
      </c>
      <c r="F2800" s="124" t="s">
        <v>620</v>
      </c>
      <c r="G2800" s="130">
        <v>2019</v>
      </c>
      <c r="H2800" s="125" t="s">
        <v>733</v>
      </c>
      <c r="I2800" s="311" t="str">
        <f t="shared" si="114"/>
        <v>Ligeiro de Passageiros M1: Geral : Gasóleo : E6</v>
      </c>
      <c r="J2800" s="125">
        <v>8</v>
      </c>
      <c r="K2800" s="253">
        <v>2022</v>
      </c>
      <c r="L2800" s="129">
        <v>8026.72</v>
      </c>
      <c r="M2800" s="85" t="s">
        <v>630</v>
      </c>
      <c r="N2800" s="128">
        <v>92050</v>
      </c>
      <c r="O2800" s="128">
        <f t="shared" si="113"/>
        <v>736400</v>
      </c>
      <c r="Q2800" t="s">
        <v>47</v>
      </c>
      <c r="R2800" s="214" t="s">
        <v>1869</v>
      </c>
      <c r="S2800" s="214" t="s">
        <v>1861</v>
      </c>
      <c r="T2800" t="s">
        <v>3768</v>
      </c>
      <c r="U2800" t="s">
        <v>1953</v>
      </c>
      <c r="V2800" t="s">
        <v>2813</v>
      </c>
    </row>
    <row r="2801" spans="1:22" ht="15.75" thickBot="1" x14ac:dyDescent="0.3">
      <c r="A2801" t="s">
        <v>4643</v>
      </c>
      <c r="B2801" t="s">
        <v>4643</v>
      </c>
      <c r="C2801" t="s">
        <v>4643</v>
      </c>
      <c r="D2801" s="83" t="s">
        <v>623</v>
      </c>
      <c r="E2801" s="251" t="s">
        <v>2231</v>
      </c>
      <c r="F2801" s="124" t="s">
        <v>620</v>
      </c>
      <c r="G2801" s="130">
        <v>2019</v>
      </c>
      <c r="H2801" s="125" t="s">
        <v>733</v>
      </c>
      <c r="I2801" s="311" t="str">
        <f t="shared" si="114"/>
        <v>Ligeiro de Passageiros M1: Geral : Gasóleo : E6</v>
      </c>
      <c r="J2801" s="125">
        <v>8</v>
      </c>
      <c r="K2801" s="253">
        <v>2022</v>
      </c>
      <c r="L2801" s="129">
        <v>5358.53</v>
      </c>
      <c r="M2801" s="85" t="s">
        <v>630</v>
      </c>
      <c r="N2801" s="128">
        <v>63745</v>
      </c>
      <c r="O2801" s="128">
        <f t="shared" ref="O2801:O2864" si="115">N2801*J2801</f>
        <v>509960</v>
      </c>
      <c r="Q2801" t="s">
        <v>47</v>
      </c>
      <c r="R2801" s="214" t="s">
        <v>1869</v>
      </c>
      <c r="S2801" s="214" t="s">
        <v>1861</v>
      </c>
      <c r="T2801" t="s">
        <v>3769</v>
      </c>
      <c r="U2801" t="s">
        <v>1953</v>
      </c>
      <c r="V2801" t="s">
        <v>2813</v>
      </c>
    </row>
    <row r="2802" spans="1:22" ht="15.75" thickBot="1" x14ac:dyDescent="0.3">
      <c r="A2802" t="s">
        <v>4643</v>
      </c>
      <c r="B2802" t="s">
        <v>4643</v>
      </c>
      <c r="C2802" t="s">
        <v>4643</v>
      </c>
      <c r="D2802" s="83" t="s">
        <v>623</v>
      </c>
      <c r="E2802" s="251" t="s">
        <v>2231</v>
      </c>
      <c r="F2802" s="124" t="s">
        <v>620</v>
      </c>
      <c r="G2802" s="130">
        <v>2019</v>
      </c>
      <c r="H2802" s="125" t="s">
        <v>733</v>
      </c>
      <c r="I2802" s="311" t="str">
        <f t="shared" si="114"/>
        <v>Ligeiro de Passageiros M1: Geral : Gasóleo : E6</v>
      </c>
      <c r="J2802" s="125">
        <v>8</v>
      </c>
      <c r="K2802" s="253">
        <v>2022</v>
      </c>
      <c r="L2802" s="129">
        <v>5255.63</v>
      </c>
      <c r="M2802" s="85" t="s">
        <v>630</v>
      </c>
      <c r="N2802" s="128">
        <v>67722</v>
      </c>
      <c r="O2802" s="128">
        <f t="shared" si="115"/>
        <v>541776</v>
      </c>
      <c r="Q2802" t="s">
        <v>47</v>
      </c>
      <c r="R2802" s="214" t="s">
        <v>1869</v>
      </c>
      <c r="S2802" s="214" t="s">
        <v>1861</v>
      </c>
      <c r="T2802" t="s">
        <v>3770</v>
      </c>
      <c r="U2802" t="s">
        <v>1953</v>
      </c>
      <c r="V2802" t="s">
        <v>2813</v>
      </c>
    </row>
    <row r="2803" spans="1:22" ht="15.75" thickBot="1" x14ac:dyDescent="0.3">
      <c r="A2803" t="s">
        <v>4643</v>
      </c>
      <c r="B2803" t="s">
        <v>4643</v>
      </c>
      <c r="C2803" t="s">
        <v>4643</v>
      </c>
      <c r="D2803" s="83" t="s">
        <v>623</v>
      </c>
      <c r="E2803" s="251" t="s">
        <v>2231</v>
      </c>
      <c r="F2803" s="124" t="s">
        <v>620</v>
      </c>
      <c r="G2803" s="130">
        <v>2019</v>
      </c>
      <c r="H2803" s="125" t="s">
        <v>733</v>
      </c>
      <c r="I2803" s="311" t="str">
        <f t="shared" si="114"/>
        <v>Ligeiro de Passageiros M1: Geral : Gasóleo : E6</v>
      </c>
      <c r="J2803" s="125">
        <v>8</v>
      </c>
      <c r="K2803" s="253">
        <v>2022</v>
      </c>
      <c r="L2803" s="129">
        <v>6707.579999999999</v>
      </c>
      <c r="M2803" s="85" t="s">
        <v>630</v>
      </c>
      <c r="N2803" s="128">
        <v>85223</v>
      </c>
      <c r="O2803" s="128">
        <f t="shared" si="115"/>
        <v>681784</v>
      </c>
      <c r="Q2803" t="s">
        <v>47</v>
      </c>
      <c r="R2803" s="214" t="s">
        <v>1869</v>
      </c>
      <c r="S2803" s="214" t="s">
        <v>1861</v>
      </c>
      <c r="T2803" t="s">
        <v>3771</v>
      </c>
      <c r="U2803" t="s">
        <v>1953</v>
      </c>
      <c r="V2803" t="s">
        <v>2813</v>
      </c>
    </row>
    <row r="2804" spans="1:22" ht="15.75" thickBot="1" x14ac:dyDescent="0.3">
      <c r="A2804" t="s">
        <v>4643</v>
      </c>
      <c r="B2804" t="s">
        <v>4643</v>
      </c>
      <c r="C2804" t="s">
        <v>4643</v>
      </c>
      <c r="D2804" s="83" t="s">
        <v>623</v>
      </c>
      <c r="E2804" s="251" t="s">
        <v>2231</v>
      </c>
      <c r="F2804" s="124" t="s">
        <v>620</v>
      </c>
      <c r="G2804" s="130">
        <v>2019</v>
      </c>
      <c r="H2804" s="125" t="s">
        <v>733</v>
      </c>
      <c r="I2804" s="311" t="str">
        <f t="shared" si="114"/>
        <v>Ligeiro de Passageiros M1: Geral : Gasóleo : E6</v>
      </c>
      <c r="J2804" s="125">
        <v>8</v>
      </c>
      <c r="K2804" s="253">
        <v>2022</v>
      </c>
      <c r="L2804" s="129">
        <v>5646.26</v>
      </c>
      <c r="M2804" s="85" t="s">
        <v>630</v>
      </c>
      <c r="N2804" s="128">
        <v>70137</v>
      </c>
      <c r="O2804" s="128">
        <f t="shared" si="115"/>
        <v>561096</v>
      </c>
      <c r="Q2804" t="s">
        <v>47</v>
      </c>
      <c r="R2804" s="214" t="s">
        <v>1869</v>
      </c>
      <c r="S2804" s="214" t="s">
        <v>1861</v>
      </c>
      <c r="T2804" t="s">
        <v>3772</v>
      </c>
      <c r="U2804" t="s">
        <v>1953</v>
      </c>
      <c r="V2804" t="s">
        <v>2813</v>
      </c>
    </row>
    <row r="2805" spans="1:22" ht="15.75" thickBot="1" x14ac:dyDescent="0.3">
      <c r="A2805" t="s">
        <v>4643</v>
      </c>
      <c r="B2805" t="s">
        <v>4643</v>
      </c>
      <c r="C2805" t="s">
        <v>4643</v>
      </c>
      <c r="D2805" s="83" t="s">
        <v>623</v>
      </c>
      <c r="E2805" s="251" t="s">
        <v>2231</v>
      </c>
      <c r="F2805" s="124" t="s">
        <v>620</v>
      </c>
      <c r="G2805" s="130">
        <v>2019</v>
      </c>
      <c r="H2805" s="125" t="s">
        <v>733</v>
      </c>
      <c r="I2805" s="311" t="str">
        <f t="shared" si="114"/>
        <v>Ligeiro de Passageiros M1: Geral : Gasóleo : E6</v>
      </c>
      <c r="J2805" s="125">
        <v>8</v>
      </c>
      <c r="K2805" s="253">
        <v>2022</v>
      </c>
      <c r="L2805" s="129">
        <v>5607.89</v>
      </c>
      <c r="M2805" s="85" t="s">
        <v>630</v>
      </c>
      <c r="N2805" s="128">
        <v>65414</v>
      </c>
      <c r="O2805" s="128">
        <f t="shared" si="115"/>
        <v>523312</v>
      </c>
      <c r="Q2805" t="s">
        <v>47</v>
      </c>
      <c r="R2805" s="214" t="s">
        <v>1869</v>
      </c>
      <c r="S2805" s="214" t="s">
        <v>1861</v>
      </c>
      <c r="T2805" t="s">
        <v>3773</v>
      </c>
      <c r="U2805" t="s">
        <v>1953</v>
      </c>
      <c r="V2805" t="s">
        <v>2813</v>
      </c>
    </row>
    <row r="2806" spans="1:22" ht="15.75" thickBot="1" x14ac:dyDescent="0.3">
      <c r="A2806" t="s">
        <v>4643</v>
      </c>
      <c r="B2806" t="s">
        <v>4643</v>
      </c>
      <c r="C2806" t="s">
        <v>4643</v>
      </c>
      <c r="D2806" s="83" t="s">
        <v>623</v>
      </c>
      <c r="E2806" s="251" t="s">
        <v>2231</v>
      </c>
      <c r="F2806" s="124" t="s">
        <v>620</v>
      </c>
      <c r="G2806" s="130">
        <v>2012</v>
      </c>
      <c r="H2806" s="125" t="s">
        <v>734</v>
      </c>
      <c r="I2806" s="311" t="str">
        <f t="shared" ref="I2806:I2869" si="116">D2806&amp;": "&amp;E2806&amp;" : "&amp;F2806&amp;" : "&amp;H2806</f>
        <v>Ligeiro de Passageiros M1: Geral : Gasóleo : E5</v>
      </c>
      <c r="J2806" s="125">
        <v>8</v>
      </c>
      <c r="K2806" s="253">
        <v>2022</v>
      </c>
      <c r="L2806" s="129">
        <v>4373.26</v>
      </c>
      <c r="M2806" s="85" t="s">
        <v>630</v>
      </c>
      <c r="N2806" s="128">
        <v>39733</v>
      </c>
      <c r="O2806" s="128">
        <f t="shared" si="115"/>
        <v>317864</v>
      </c>
      <c r="Q2806" t="s">
        <v>47</v>
      </c>
      <c r="R2806" s="214" t="s">
        <v>1869</v>
      </c>
      <c r="S2806" s="214" t="s">
        <v>1861</v>
      </c>
      <c r="T2806" t="s">
        <v>3774</v>
      </c>
      <c r="U2806" t="s">
        <v>1953</v>
      </c>
      <c r="V2806" t="s">
        <v>2813</v>
      </c>
    </row>
    <row r="2807" spans="1:22" ht="15.75" thickBot="1" x14ac:dyDescent="0.3">
      <c r="A2807" t="s">
        <v>4643</v>
      </c>
      <c r="B2807" t="s">
        <v>4643</v>
      </c>
      <c r="C2807" t="s">
        <v>4643</v>
      </c>
      <c r="D2807" s="83" t="s">
        <v>623</v>
      </c>
      <c r="E2807" s="251" t="s">
        <v>2231</v>
      </c>
      <c r="F2807" s="124" t="s">
        <v>620</v>
      </c>
      <c r="G2807" s="130">
        <v>2017</v>
      </c>
      <c r="H2807" s="125" t="s">
        <v>733</v>
      </c>
      <c r="I2807" s="311" t="str">
        <f t="shared" si="116"/>
        <v>Ligeiro de Passageiros M1: Geral : Gasóleo : E6</v>
      </c>
      <c r="J2807" s="125">
        <v>8</v>
      </c>
      <c r="K2807" s="253">
        <v>2022</v>
      </c>
      <c r="L2807" s="129">
        <v>3472.62</v>
      </c>
      <c r="M2807" s="85" t="s">
        <v>630</v>
      </c>
      <c r="N2807" s="128">
        <v>40767</v>
      </c>
      <c r="O2807" s="128">
        <f t="shared" si="115"/>
        <v>326136</v>
      </c>
      <c r="Q2807" t="s">
        <v>47</v>
      </c>
      <c r="R2807" s="214" t="s">
        <v>1869</v>
      </c>
      <c r="S2807" s="214" t="s">
        <v>1861</v>
      </c>
      <c r="T2807" t="s">
        <v>3775</v>
      </c>
      <c r="U2807" t="s">
        <v>1953</v>
      </c>
      <c r="V2807" t="s">
        <v>2813</v>
      </c>
    </row>
    <row r="2808" spans="1:22" ht="15.75" thickBot="1" x14ac:dyDescent="0.3">
      <c r="A2808" t="s">
        <v>4643</v>
      </c>
      <c r="B2808" t="s">
        <v>4643</v>
      </c>
      <c r="C2808" t="s">
        <v>4643</v>
      </c>
      <c r="D2808" s="83" t="s">
        <v>623</v>
      </c>
      <c r="E2808" s="251" t="s">
        <v>2231</v>
      </c>
      <c r="F2808" s="124" t="s">
        <v>620</v>
      </c>
      <c r="G2808" s="130">
        <v>2017</v>
      </c>
      <c r="H2808" s="125" t="s">
        <v>733</v>
      </c>
      <c r="I2808" s="311" t="str">
        <f t="shared" si="116"/>
        <v>Ligeiro de Passageiros M1: Geral : Gasóleo : E6</v>
      </c>
      <c r="J2808" s="125">
        <v>8</v>
      </c>
      <c r="K2808" s="253">
        <v>2022</v>
      </c>
      <c r="L2808" s="129">
        <v>5491.0300000000007</v>
      </c>
      <c r="M2808" s="85" t="s">
        <v>630</v>
      </c>
      <c r="N2808" s="128">
        <v>60686</v>
      </c>
      <c r="O2808" s="128">
        <f t="shared" si="115"/>
        <v>485488</v>
      </c>
      <c r="Q2808" t="s">
        <v>47</v>
      </c>
      <c r="R2808" s="214" t="s">
        <v>1869</v>
      </c>
      <c r="S2808" s="214" t="s">
        <v>1861</v>
      </c>
      <c r="T2808" t="s">
        <v>3776</v>
      </c>
      <c r="U2808" t="s">
        <v>1953</v>
      </c>
      <c r="V2808" t="s">
        <v>2813</v>
      </c>
    </row>
    <row r="2809" spans="1:22" ht="15.75" thickBot="1" x14ac:dyDescent="0.3">
      <c r="A2809" t="s">
        <v>4643</v>
      </c>
      <c r="B2809" t="s">
        <v>4643</v>
      </c>
      <c r="C2809" t="s">
        <v>4643</v>
      </c>
      <c r="D2809" s="83" t="s">
        <v>623</v>
      </c>
      <c r="E2809" s="251" t="s">
        <v>2231</v>
      </c>
      <c r="F2809" s="124" t="s">
        <v>620</v>
      </c>
      <c r="G2809" s="130">
        <v>2018</v>
      </c>
      <c r="H2809" s="125" t="s">
        <v>733</v>
      </c>
      <c r="I2809" s="311" t="str">
        <f t="shared" si="116"/>
        <v>Ligeiro de Passageiros M1: Geral : Gasóleo : E6</v>
      </c>
      <c r="J2809" s="125">
        <v>8</v>
      </c>
      <c r="K2809" s="253">
        <v>2022</v>
      </c>
      <c r="L2809" s="129">
        <v>3220.54</v>
      </c>
      <c r="M2809" s="85" t="s">
        <v>630</v>
      </c>
      <c r="N2809" s="128">
        <v>37363</v>
      </c>
      <c r="O2809" s="128">
        <f t="shared" si="115"/>
        <v>298904</v>
      </c>
      <c r="Q2809" t="s">
        <v>47</v>
      </c>
      <c r="R2809" s="214" t="s">
        <v>1869</v>
      </c>
      <c r="S2809" s="214" t="s">
        <v>1861</v>
      </c>
      <c r="T2809" t="s">
        <v>3777</v>
      </c>
      <c r="U2809" t="s">
        <v>1953</v>
      </c>
      <c r="V2809" t="s">
        <v>2813</v>
      </c>
    </row>
    <row r="2810" spans="1:22" ht="15.75" thickBot="1" x14ac:dyDescent="0.3">
      <c r="A2810" t="s">
        <v>4643</v>
      </c>
      <c r="B2810" t="s">
        <v>4643</v>
      </c>
      <c r="C2810" t="s">
        <v>4643</v>
      </c>
      <c r="D2810" s="83" t="s">
        <v>623</v>
      </c>
      <c r="E2810" s="251" t="s">
        <v>2231</v>
      </c>
      <c r="F2810" s="124" t="s">
        <v>620</v>
      </c>
      <c r="G2810" s="130">
        <v>2017</v>
      </c>
      <c r="H2810" s="125" t="s">
        <v>733</v>
      </c>
      <c r="I2810" s="311" t="str">
        <f t="shared" si="116"/>
        <v>Ligeiro de Passageiros M1: Geral : Gasóleo : E6</v>
      </c>
      <c r="J2810" s="125">
        <v>8</v>
      </c>
      <c r="K2810" s="253">
        <v>2022</v>
      </c>
      <c r="L2810" s="129">
        <v>4231.24</v>
      </c>
      <c r="M2810" s="85" t="s">
        <v>630</v>
      </c>
      <c r="N2810" s="128">
        <v>53756</v>
      </c>
      <c r="O2810" s="128">
        <f t="shared" si="115"/>
        <v>430048</v>
      </c>
      <c r="Q2810" t="s">
        <v>47</v>
      </c>
      <c r="R2810" s="214" t="s">
        <v>1869</v>
      </c>
      <c r="S2810" s="214" t="s">
        <v>1861</v>
      </c>
      <c r="T2810" t="s">
        <v>3778</v>
      </c>
      <c r="U2810" t="s">
        <v>1953</v>
      </c>
      <c r="V2810" t="s">
        <v>2813</v>
      </c>
    </row>
    <row r="2811" spans="1:22" ht="15.75" thickBot="1" x14ac:dyDescent="0.3">
      <c r="A2811" t="s">
        <v>4643</v>
      </c>
      <c r="B2811" t="s">
        <v>4643</v>
      </c>
      <c r="C2811" t="s">
        <v>4643</v>
      </c>
      <c r="D2811" s="83" t="s">
        <v>623</v>
      </c>
      <c r="E2811" s="251" t="s">
        <v>2231</v>
      </c>
      <c r="F2811" s="124" t="s">
        <v>620</v>
      </c>
      <c r="G2811" s="130">
        <v>2017</v>
      </c>
      <c r="H2811" s="125" t="s">
        <v>733</v>
      </c>
      <c r="I2811" s="311" t="str">
        <f t="shared" si="116"/>
        <v>Ligeiro de Passageiros M1: Geral : Gasóleo : E6</v>
      </c>
      <c r="J2811" s="125">
        <v>8</v>
      </c>
      <c r="K2811" s="253">
        <v>2022</v>
      </c>
      <c r="L2811" s="129">
        <v>4247.01</v>
      </c>
      <c r="M2811" s="85" t="s">
        <v>630</v>
      </c>
      <c r="N2811" s="128">
        <v>52229</v>
      </c>
      <c r="O2811" s="128">
        <f t="shared" si="115"/>
        <v>417832</v>
      </c>
      <c r="Q2811" t="s">
        <v>47</v>
      </c>
      <c r="R2811" s="214" t="s">
        <v>1869</v>
      </c>
      <c r="S2811" s="214" t="s">
        <v>1861</v>
      </c>
      <c r="T2811" t="s">
        <v>3779</v>
      </c>
      <c r="U2811" t="s">
        <v>1953</v>
      </c>
      <c r="V2811" t="s">
        <v>2813</v>
      </c>
    </row>
    <row r="2812" spans="1:22" ht="15.75" thickBot="1" x14ac:dyDescent="0.3">
      <c r="A2812" t="s">
        <v>4642</v>
      </c>
      <c r="B2812" t="s">
        <v>4642</v>
      </c>
      <c r="C2812" t="s">
        <v>4642</v>
      </c>
      <c r="D2812" s="83" t="s">
        <v>629</v>
      </c>
      <c r="E2812" s="251" t="s">
        <v>1853</v>
      </c>
      <c r="F2812" s="124" t="s">
        <v>620</v>
      </c>
      <c r="G2812" s="130">
        <v>2004</v>
      </c>
      <c r="H2812" s="125" t="s">
        <v>732</v>
      </c>
      <c r="I2812" s="311" t="str">
        <f t="shared" si="116"/>
        <v>Pesado de Passageiros M3: III : Gasóleo : E3</v>
      </c>
      <c r="J2812" s="125">
        <v>59</v>
      </c>
      <c r="K2812" s="253">
        <v>2022</v>
      </c>
      <c r="L2812" s="129">
        <v>1419.78</v>
      </c>
      <c r="M2812" s="85" t="s">
        <v>630</v>
      </c>
      <c r="N2812" s="128">
        <v>3036.13</v>
      </c>
      <c r="O2812" s="128">
        <f t="shared" si="115"/>
        <v>179131.67</v>
      </c>
      <c r="Q2812" t="s">
        <v>47</v>
      </c>
      <c r="R2812" s="214" t="s">
        <v>1869</v>
      </c>
      <c r="S2812" s="214" t="s">
        <v>1861</v>
      </c>
      <c r="T2812" t="s">
        <v>3780</v>
      </c>
      <c r="U2812" t="s">
        <v>1953</v>
      </c>
      <c r="V2812" t="s">
        <v>2813</v>
      </c>
    </row>
    <row r="2813" spans="1:22" ht="15.75" thickBot="1" x14ac:dyDescent="0.3">
      <c r="A2813" t="s">
        <v>4642</v>
      </c>
      <c r="B2813" t="s">
        <v>4642</v>
      </c>
      <c r="C2813" t="s">
        <v>4642</v>
      </c>
      <c r="D2813" s="83" t="s">
        <v>629</v>
      </c>
      <c r="E2813" s="251" t="s">
        <v>1853</v>
      </c>
      <c r="F2813" s="124" t="s">
        <v>620</v>
      </c>
      <c r="G2813" s="130">
        <v>2013</v>
      </c>
      <c r="H2813" s="125" t="s">
        <v>733</v>
      </c>
      <c r="I2813" s="311" t="str">
        <f t="shared" si="116"/>
        <v>Pesado de Passageiros M3: III : Gasóleo : E6</v>
      </c>
      <c r="J2813" s="125">
        <v>27</v>
      </c>
      <c r="K2813" s="253">
        <v>2022</v>
      </c>
      <c r="L2813" s="129">
        <v>797.3</v>
      </c>
      <c r="M2813" s="85" t="s">
        <v>630</v>
      </c>
      <c r="N2813" s="128">
        <v>4139.6400000000003</v>
      </c>
      <c r="O2813" s="128">
        <f t="shared" si="115"/>
        <v>111770.28000000001</v>
      </c>
      <c r="Q2813" t="s">
        <v>47</v>
      </c>
      <c r="R2813" s="214" t="s">
        <v>1869</v>
      </c>
      <c r="S2813" s="214" t="s">
        <v>1861</v>
      </c>
      <c r="T2813" t="s">
        <v>3781</v>
      </c>
      <c r="U2813" t="s">
        <v>1953</v>
      </c>
      <c r="V2813" t="s">
        <v>2813</v>
      </c>
    </row>
    <row r="2814" spans="1:22" ht="15.75" thickBot="1" x14ac:dyDescent="0.3">
      <c r="A2814" t="s">
        <v>4642</v>
      </c>
      <c r="B2814" t="s">
        <v>4642</v>
      </c>
      <c r="C2814" t="s">
        <v>4642</v>
      </c>
      <c r="D2814" s="83" t="s">
        <v>629</v>
      </c>
      <c r="E2814" s="251" t="s">
        <v>1853</v>
      </c>
      <c r="F2814" s="124" t="s">
        <v>620</v>
      </c>
      <c r="G2814" s="130">
        <v>2015</v>
      </c>
      <c r="H2814" s="125" t="s">
        <v>733</v>
      </c>
      <c r="I2814" s="311" t="str">
        <f t="shared" si="116"/>
        <v>Pesado de Passageiros M3: III : Gasóleo : E6</v>
      </c>
      <c r="J2814" s="125">
        <v>71</v>
      </c>
      <c r="K2814" s="253">
        <v>2022</v>
      </c>
      <c r="L2814" s="129">
        <v>9075.1299999999992</v>
      </c>
      <c r="M2814" s="85" t="s">
        <v>630</v>
      </c>
      <c r="N2814" s="128">
        <v>22879.98</v>
      </c>
      <c r="O2814" s="128">
        <f t="shared" si="115"/>
        <v>1624478.58</v>
      </c>
      <c r="Q2814" t="s">
        <v>47</v>
      </c>
      <c r="R2814" s="214" t="s">
        <v>1869</v>
      </c>
      <c r="S2814" s="214" t="s">
        <v>1861</v>
      </c>
      <c r="T2814" t="s">
        <v>3782</v>
      </c>
      <c r="U2814" t="s">
        <v>1953</v>
      </c>
      <c r="V2814" t="s">
        <v>2813</v>
      </c>
    </row>
    <row r="2815" spans="1:22" ht="15.75" thickBot="1" x14ac:dyDescent="0.3">
      <c r="A2815" t="s">
        <v>4642</v>
      </c>
      <c r="B2815" t="s">
        <v>4642</v>
      </c>
      <c r="C2815" t="s">
        <v>4642</v>
      </c>
      <c r="D2815" s="83" t="s">
        <v>629</v>
      </c>
      <c r="E2815" s="251" t="s">
        <v>1853</v>
      </c>
      <c r="F2815" s="124" t="s">
        <v>620</v>
      </c>
      <c r="G2815" s="130">
        <v>2016</v>
      </c>
      <c r="H2815" s="125" t="s">
        <v>733</v>
      </c>
      <c r="I2815" s="311" t="str">
        <f t="shared" si="116"/>
        <v>Pesado de Passageiros M3: III : Gasóleo : E6</v>
      </c>
      <c r="J2815" s="125">
        <v>59</v>
      </c>
      <c r="K2815" s="253">
        <v>2022</v>
      </c>
      <c r="L2815" s="129">
        <v>10420.99</v>
      </c>
      <c r="M2815" s="85" t="s">
        <v>630</v>
      </c>
      <c r="N2815" s="128">
        <v>33384.480000000003</v>
      </c>
      <c r="O2815" s="128">
        <f t="shared" si="115"/>
        <v>1969684.3200000003</v>
      </c>
      <c r="Q2815" t="s">
        <v>47</v>
      </c>
      <c r="R2815" s="214" t="s">
        <v>1869</v>
      </c>
      <c r="S2815" s="214" t="s">
        <v>1861</v>
      </c>
      <c r="T2815" t="s">
        <v>3783</v>
      </c>
      <c r="U2815" t="s">
        <v>1953</v>
      </c>
      <c r="V2815" t="s">
        <v>2813</v>
      </c>
    </row>
    <row r="2816" spans="1:22" ht="15.75" thickBot="1" x14ac:dyDescent="0.3">
      <c r="A2816" t="s">
        <v>4642</v>
      </c>
      <c r="B2816" t="s">
        <v>4642</v>
      </c>
      <c r="C2816" t="s">
        <v>4642</v>
      </c>
      <c r="D2816" s="83" t="s">
        <v>629</v>
      </c>
      <c r="E2816" s="251" t="s">
        <v>1853</v>
      </c>
      <c r="F2816" s="124" t="s">
        <v>620</v>
      </c>
      <c r="G2816" s="130">
        <v>2016</v>
      </c>
      <c r="H2816" s="125" t="s">
        <v>733</v>
      </c>
      <c r="I2816" s="311" t="str">
        <f t="shared" si="116"/>
        <v>Pesado de Passageiros M3: III : Gasóleo : E6</v>
      </c>
      <c r="J2816" s="125">
        <v>59</v>
      </c>
      <c r="K2816" s="253">
        <v>2022</v>
      </c>
      <c r="L2816" s="129">
        <v>14592.85</v>
      </c>
      <c r="M2816" s="85" t="s">
        <v>630</v>
      </c>
      <c r="N2816" s="128">
        <v>41034.42</v>
      </c>
      <c r="O2816" s="128">
        <f t="shared" si="115"/>
        <v>2421030.7799999998</v>
      </c>
      <c r="Q2816" t="s">
        <v>47</v>
      </c>
      <c r="R2816" s="214" t="s">
        <v>1869</v>
      </c>
      <c r="S2816" s="214" t="s">
        <v>1861</v>
      </c>
      <c r="T2816" t="s">
        <v>3784</v>
      </c>
      <c r="U2816" t="s">
        <v>1953</v>
      </c>
      <c r="V2816" t="s">
        <v>2813</v>
      </c>
    </row>
    <row r="2817" spans="1:22" ht="15.75" thickBot="1" x14ac:dyDescent="0.3">
      <c r="A2817" t="s">
        <v>4642</v>
      </c>
      <c r="B2817" t="s">
        <v>4642</v>
      </c>
      <c r="C2817" t="s">
        <v>4642</v>
      </c>
      <c r="D2817" s="83" t="s">
        <v>629</v>
      </c>
      <c r="E2817" s="251" t="s">
        <v>1853</v>
      </c>
      <c r="F2817" s="124" t="s">
        <v>620</v>
      </c>
      <c r="G2817" s="130">
        <v>2016</v>
      </c>
      <c r="H2817" s="125" t="s">
        <v>733</v>
      </c>
      <c r="I2817" s="311" t="str">
        <f t="shared" si="116"/>
        <v>Pesado de Passageiros M3: III : Gasóleo : E6</v>
      </c>
      <c r="J2817" s="125">
        <v>59</v>
      </c>
      <c r="K2817" s="253">
        <v>2022</v>
      </c>
      <c r="L2817" s="129">
        <v>11017.39</v>
      </c>
      <c r="M2817" s="85" t="s">
        <v>630</v>
      </c>
      <c r="N2817" s="128">
        <v>32984.550000000003</v>
      </c>
      <c r="O2817" s="128">
        <f t="shared" si="115"/>
        <v>1946088.4500000002</v>
      </c>
      <c r="Q2817" t="s">
        <v>47</v>
      </c>
      <c r="R2817" s="214" t="s">
        <v>1869</v>
      </c>
      <c r="S2817" s="214" t="s">
        <v>1861</v>
      </c>
      <c r="T2817" t="s">
        <v>3785</v>
      </c>
      <c r="U2817" t="s">
        <v>1953</v>
      </c>
      <c r="V2817" t="s">
        <v>2813</v>
      </c>
    </row>
    <row r="2818" spans="1:22" ht="15.75" thickBot="1" x14ac:dyDescent="0.3">
      <c r="A2818" t="s">
        <v>4642</v>
      </c>
      <c r="B2818" t="s">
        <v>4642</v>
      </c>
      <c r="C2818" t="s">
        <v>4642</v>
      </c>
      <c r="D2818" s="83" t="s">
        <v>629</v>
      </c>
      <c r="E2818" s="251" t="s">
        <v>1853</v>
      </c>
      <c r="F2818" s="124" t="s">
        <v>620</v>
      </c>
      <c r="G2818" s="130">
        <v>2017</v>
      </c>
      <c r="H2818" s="125" t="s">
        <v>733</v>
      </c>
      <c r="I2818" s="311" t="str">
        <f t="shared" si="116"/>
        <v>Pesado de Passageiros M3: III : Gasóleo : E6</v>
      </c>
      <c r="J2818" s="125">
        <v>67</v>
      </c>
      <c r="K2818" s="253">
        <v>2022</v>
      </c>
      <c r="L2818" s="129">
        <v>13212.83</v>
      </c>
      <c r="M2818" s="85" t="s">
        <v>630</v>
      </c>
      <c r="N2818" s="128">
        <v>33866.92</v>
      </c>
      <c r="O2818" s="128">
        <f t="shared" si="115"/>
        <v>2269083.6399999997</v>
      </c>
      <c r="Q2818" t="s">
        <v>47</v>
      </c>
      <c r="R2818" s="214" t="s">
        <v>1869</v>
      </c>
      <c r="S2818" s="214" t="s">
        <v>1861</v>
      </c>
      <c r="T2818" t="s">
        <v>3786</v>
      </c>
      <c r="U2818" t="s">
        <v>1953</v>
      </c>
      <c r="V2818" t="s">
        <v>2813</v>
      </c>
    </row>
    <row r="2819" spans="1:22" ht="15.75" thickBot="1" x14ac:dyDescent="0.3">
      <c r="A2819" t="s">
        <v>4642</v>
      </c>
      <c r="B2819" t="s">
        <v>4642</v>
      </c>
      <c r="C2819" t="s">
        <v>4642</v>
      </c>
      <c r="D2819" s="83" t="s">
        <v>629</v>
      </c>
      <c r="E2819" s="251" t="s">
        <v>1853</v>
      </c>
      <c r="F2819" s="124" t="s">
        <v>620</v>
      </c>
      <c r="G2819" s="130">
        <v>2017</v>
      </c>
      <c r="H2819" s="125" t="s">
        <v>733</v>
      </c>
      <c r="I2819" s="311" t="str">
        <f t="shared" si="116"/>
        <v>Pesado de Passageiros M3: III : Gasóleo : E6</v>
      </c>
      <c r="J2819" s="125">
        <v>59</v>
      </c>
      <c r="K2819" s="253">
        <v>2022</v>
      </c>
      <c r="L2819" s="129">
        <v>16835.97</v>
      </c>
      <c r="M2819" s="85" t="s">
        <v>630</v>
      </c>
      <c r="N2819" s="128">
        <v>47207.9</v>
      </c>
      <c r="O2819" s="128">
        <f t="shared" si="115"/>
        <v>2785266.1</v>
      </c>
      <c r="Q2819" t="s">
        <v>47</v>
      </c>
      <c r="R2819" s="214" t="s">
        <v>1869</v>
      </c>
      <c r="S2819" s="214" t="s">
        <v>1861</v>
      </c>
      <c r="T2819" t="s">
        <v>3787</v>
      </c>
      <c r="U2819" t="s">
        <v>1953</v>
      </c>
      <c r="V2819" t="s">
        <v>2813</v>
      </c>
    </row>
    <row r="2820" spans="1:22" ht="15.75" thickBot="1" x14ac:dyDescent="0.3">
      <c r="A2820" t="s">
        <v>4642</v>
      </c>
      <c r="B2820" t="s">
        <v>4642</v>
      </c>
      <c r="C2820" t="s">
        <v>4642</v>
      </c>
      <c r="D2820" s="83" t="s">
        <v>629</v>
      </c>
      <c r="E2820" s="251" t="s">
        <v>1853</v>
      </c>
      <c r="F2820" s="124" t="s">
        <v>620</v>
      </c>
      <c r="G2820" s="130">
        <v>2018</v>
      </c>
      <c r="H2820" s="125" t="s">
        <v>733</v>
      </c>
      <c r="I2820" s="311" t="str">
        <f t="shared" si="116"/>
        <v>Pesado de Passageiros M3: III : Gasóleo : E6</v>
      </c>
      <c r="J2820" s="125">
        <v>59</v>
      </c>
      <c r="K2820" s="253">
        <v>2022</v>
      </c>
      <c r="L2820" s="129">
        <v>17227.98</v>
      </c>
      <c r="M2820" s="85" t="s">
        <v>630</v>
      </c>
      <c r="N2820" s="128">
        <v>52410.97</v>
      </c>
      <c r="O2820" s="128">
        <f t="shared" si="115"/>
        <v>3092247.23</v>
      </c>
      <c r="Q2820" t="s">
        <v>47</v>
      </c>
      <c r="R2820" s="214" t="s">
        <v>1869</v>
      </c>
      <c r="S2820" s="214" t="s">
        <v>1861</v>
      </c>
      <c r="T2820" t="s">
        <v>3788</v>
      </c>
      <c r="U2820" t="s">
        <v>1953</v>
      </c>
      <c r="V2820" t="s">
        <v>2813</v>
      </c>
    </row>
    <row r="2821" spans="1:22" ht="15.75" thickBot="1" x14ac:dyDescent="0.3">
      <c r="A2821" t="s">
        <v>4642</v>
      </c>
      <c r="B2821" t="s">
        <v>4642</v>
      </c>
      <c r="C2821" t="s">
        <v>4642</v>
      </c>
      <c r="D2821" s="83" t="s">
        <v>629</v>
      </c>
      <c r="E2821" s="251" t="s">
        <v>1853</v>
      </c>
      <c r="F2821" s="124" t="s">
        <v>620</v>
      </c>
      <c r="G2821" s="130">
        <v>2018</v>
      </c>
      <c r="H2821" s="125" t="s">
        <v>733</v>
      </c>
      <c r="I2821" s="311" t="str">
        <f t="shared" si="116"/>
        <v>Pesado de Passageiros M3: III : Gasóleo : E6</v>
      </c>
      <c r="J2821" s="125">
        <v>22</v>
      </c>
      <c r="K2821" s="253">
        <v>2022</v>
      </c>
      <c r="L2821" s="129">
        <v>4822.45</v>
      </c>
      <c r="M2821" s="85" t="s">
        <v>630</v>
      </c>
      <c r="N2821" s="128">
        <v>32202.99</v>
      </c>
      <c r="O2821" s="128">
        <f t="shared" si="115"/>
        <v>708465.78</v>
      </c>
      <c r="Q2821" t="s">
        <v>47</v>
      </c>
      <c r="R2821" s="214" t="s">
        <v>1869</v>
      </c>
      <c r="S2821" s="214" t="s">
        <v>1861</v>
      </c>
      <c r="T2821" t="s">
        <v>3789</v>
      </c>
      <c r="U2821" t="s">
        <v>1953</v>
      </c>
      <c r="V2821" t="s">
        <v>2813</v>
      </c>
    </row>
    <row r="2822" spans="1:22" ht="15.75" thickBot="1" x14ac:dyDescent="0.3">
      <c r="A2822" t="s">
        <v>4642</v>
      </c>
      <c r="B2822" t="s">
        <v>4642</v>
      </c>
      <c r="C2822" t="s">
        <v>4642</v>
      </c>
      <c r="D2822" s="83" t="s">
        <v>629</v>
      </c>
      <c r="E2822" s="251" t="s">
        <v>1853</v>
      </c>
      <c r="F2822" s="124" t="s">
        <v>620</v>
      </c>
      <c r="G2822" s="130">
        <v>2020</v>
      </c>
      <c r="H2822" s="125" t="s">
        <v>733</v>
      </c>
      <c r="I2822" s="311" t="str">
        <f t="shared" si="116"/>
        <v>Pesado de Passageiros M3: III : Gasóleo : E6</v>
      </c>
      <c r="J2822" s="125">
        <v>59</v>
      </c>
      <c r="K2822" s="253">
        <v>2022</v>
      </c>
      <c r="L2822" s="129">
        <v>14538.35</v>
      </c>
      <c r="M2822" s="85" t="s">
        <v>630</v>
      </c>
      <c r="N2822" s="128">
        <v>53060.89</v>
      </c>
      <c r="O2822" s="128">
        <f t="shared" si="115"/>
        <v>3130592.51</v>
      </c>
      <c r="Q2822" t="s">
        <v>47</v>
      </c>
      <c r="R2822" s="214" t="s">
        <v>1869</v>
      </c>
      <c r="S2822" s="214" t="s">
        <v>1861</v>
      </c>
      <c r="T2822" t="s">
        <v>3790</v>
      </c>
      <c r="U2822" t="s">
        <v>1953</v>
      </c>
      <c r="V2822" t="s">
        <v>2813</v>
      </c>
    </row>
    <row r="2823" spans="1:22" ht="15.75" thickBot="1" x14ac:dyDescent="0.3">
      <c r="A2823" t="s">
        <v>4642</v>
      </c>
      <c r="B2823" t="s">
        <v>4642</v>
      </c>
      <c r="C2823" t="s">
        <v>4642</v>
      </c>
      <c r="D2823" s="83" t="s">
        <v>623</v>
      </c>
      <c r="E2823" s="251" t="s">
        <v>2231</v>
      </c>
      <c r="F2823" s="124" t="s">
        <v>620</v>
      </c>
      <c r="G2823" s="130">
        <v>2016</v>
      </c>
      <c r="H2823" s="125" t="s">
        <v>733</v>
      </c>
      <c r="I2823" s="311" t="str">
        <f t="shared" si="116"/>
        <v>Ligeiro de Passageiros M1: Geral : Gasóleo : E6</v>
      </c>
      <c r="J2823" s="125">
        <v>8</v>
      </c>
      <c r="K2823" s="253">
        <v>2022</v>
      </c>
      <c r="L2823" s="129">
        <v>3313.75</v>
      </c>
      <c r="M2823" s="85" t="s">
        <v>630</v>
      </c>
      <c r="N2823" s="128">
        <v>41588</v>
      </c>
      <c r="O2823" s="128">
        <f t="shared" si="115"/>
        <v>332704</v>
      </c>
      <c r="Q2823" t="s">
        <v>47</v>
      </c>
      <c r="R2823" s="214" t="s">
        <v>1869</v>
      </c>
      <c r="S2823" s="214" t="s">
        <v>1861</v>
      </c>
      <c r="T2823" t="s">
        <v>3791</v>
      </c>
      <c r="U2823" t="s">
        <v>1953</v>
      </c>
      <c r="V2823" t="s">
        <v>2813</v>
      </c>
    </row>
    <row r="2824" spans="1:22" ht="15.75" thickBot="1" x14ac:dyDescent="0.3">
      <c r="A2824" t="s">
        <v>4642</v>
      </c>
      <c r="B2824" t="s">
        <v>4642</v>
      </c>
      <c r="C2824" t="s">
        <v>4642</v>
      </c>
      <c r="D2824" s="83" t="s">
        <v>623</v>
      </c>
      <c r="E2824" s="251" t="s">
        <v>2231</v>
      </c>
      <c r="F2824" s="124" t="s">
        <v>620</v>
      </c>
      <c r="G2824" s="130">
        <v>2015</v>
      </c>
      <c r="H2824" s="125" t="s">
        <v>733</v>
      </c>
      <c r="I2824" s="311" t="str">
        <f t="shared" si="116"/>
        <v>Ligeiro de Passageiros M1: Geral : Gasóleo : E6</v>
      </c>
      <c r="J2824" s="125">
        <v>8</v>
      </c>
      <c r="K2824" s="253">
        <v>2022</v>
      </c>
      <c r="L2824" s="129">
        <v>6905.63</v>
      </c>
      <c r="M2824" s="85" t="s">
        <v>630</v>
      </c>
      <c r="N2824" s="128">
        <v>89913.5</v>
      </c>
      <c r="O2824" s="128">
        <f t="shared" si="115"/>
        <v>719308</v>
      </c>
      <c r="Q2824" t="s">
        <v>47</v>
      </c>
      <c r="R2824" s="214" t="s">
        <v>1869</v>
      </c>
      <c r="S2824" s="214" t="s">
        <v>1861</v>
      </c>
      <c r="T2824" t="s">
        <v>3792</v>
      </c>
      <c r="U2824" t="s">
        <v>1953</v>
      </c>
      <c r="V2824" t="s">
        <v>2813</v>
      </c>
    </row>
    <row r="2825" spans="1:22" ht="15.75" thickBot="1" x14ac:dyDescent="0.3">
      <c r="A2825" t="s">
        <v>4642</v>
      </c>
      <c r="B2825" t="s">
        <v>4642</v>
      </c>
      <c r="C2825" t="s">
        <v>4642</v>
      </c>
      <c r="D2825" s="83" t="s">
        <v>623</v>
      </c>
      <c r="E2825" s="251" t="s">
        <v>2231</v>
      </c>
      <c r="F2825" s="124" t="s">
        <v>620</v>
      </c>
      <c r="G2825" s="130">
        <v>2016</v>
      </c>
      <c r="H2825" s="125" t="s">
        <v>733</v>
      </c>
      <c r="I2825" s="311" t="str">
        <f t="shared" si="116"/>
        <v>Ligeiro de Passageiros M1: Geral : Gasóleo : E6</v>
      </c>
      <c r="J2825" s="125">
        <v>8</v>
      </c>
      <c r="K2825" s="253">
        <v>2022</v>
      </c>
      <c r="L2825" s="129">
        <v>8220.69</v>
      </c>
      <c r="M2825" s="85" t="s">
        <v>630</v>
      </c>
      <c r="N2825" s="128">
        <v>95372.4</v>
      </c>
      <c r="O2825" s="128">
        <f t="shared" si="115"/>
        <v>762979.2</v>
      </c>
      <c r="Q2825" t="s">
        <v>47</v>
      </c>
      <c r="R2825" s="214" t="s">
        <v>1869</v>
      </c>
      <c r="S2825" s="214" t="s">
        <v>1861</v>
      </c>
      <c r="T2825" t="s">
        <v>3793</v>
      </c>
      <c r="U2825" t="s">
        <v>1953</v>
      </c>
      <c r="V2825" t="s">
        <v>2813</v>
      </c>
    </row>
    <row r="2826" spans="1:22" ht="15.75" thickBot="1" x14ac:dyDescent="0.3">
      <c r="A2826" t="s">
        <v>4642</v>
      </c>
      <c r="B2826" t="s">
        <v>4642</v>
      </c>
      <c r="C2826" t="s">
        <v>4642</v>
      </c>
      <c r="D2826" s="83" t="s">
        <v>623</v>
      </c>
      <c r="E2826" s="251" t="s">
        <v>2231</v>
      </c>
      <c r="F2826" s="124" t="s">
        <v>620</v>
      </c>
      <c r="G2826" s="130">
        <v>2019</v>
      </c>
      <c r="H2826" s="125" t="s">
        <v>733</v>
      </c>
      <c r="I2826" s="311" t="str">
        <f t="shared" si="116"/>
        <v>Ligeiro de Passageiros M1: Geral : Gasóleo : E6</v>
      </c>
      <c r="J2826" s="125">
        <v>8</v>
      </c>
      <c r="K2826" s="253">
        <v>2022</v>
      </c>
      <c r="L2826" s="129">
        <v>9443.58</v>
      </c>
      <c r="M2826" s="85" t="s">
        <v>630</v>
      </c>
      <c r="N2826" s="128">
        <v>110080.5</v>
      </c>
      <c r="O2826" s="128">
        <f t="shared" si="115"/>
        <v>880644</v>
      </c>
      <c r="Q2826" t="s">
        <v>47</v>
      </c>
      <c r="R2826" s="214" t="s">
        <v>1869</v>
      </c>
      <c r="S2826" s="214" t="s">
        <v>1861</v>
      </c>
      <c r="T2826" t="s">
        <v>3794</v>
      </c>
      <c r="U2826" t="s">
        <v>1953</v>
      </c>
      <c r="V2826" t="s">
        <v>2813</v>
      </c>
    </row>
    <row r="2827" spans="1:22" ht="15.75" thickBot="1" x14ac:dyDescent="0.3">
      <c r="A2827" t="s">
        <v>4642</v>
      </c>
      <c r="B2827" t="s">
        <v>4642</v>
      </c>
      <c r="C2827" t="s">
        <v>4642</v>
      </c>
      <c r="D2827" s="83" t="s">
        <v>623</v>
      </c>
      <c r="E2827" s="251" t="s">
        <v>2231</v>
      </c>
      <c r="F2827" s="124" t="s">
        <v>620</v>
      </c>
      <c r="G2827" s="130">
        <v>2019</v>
      </c>
      <c r="H2827" s="125" t="s">
        <v>733</v>
      </c>
      <c r="I2827" s="311" t="str">
        <f t="shared" si="116"/>
        <v>Ligeiro de Passageiros M1: Geral : Gasóleo : E6</v>
      </c>
      <c r="J2827" s="125">
        <v>8</v>
      </c>
      <c r="K2827" s="253">
        <v>2022</v>
      </c>
      <c r="L2827" s="129">
        <v>3188.05</v>
      </c>
      <c r="M2827" s="85" t="s">
        <v>630</v>
      </c>
      <c r="N2827" s="128">
        <v>37444</v>
      </c>
      <c r="O2827" s="128">
        <f t="shared" si="115"/>
        <v>299552</v>
      </c>
      <c r="Q2827" t="s">
        <v>47</v>
      </c>
      <c r="R2827" s="214" t="s">
        <v>1869</v>
      </c>
      <c r="S2827" s="214" t="s">
        <v>1861</v>
      </c>
      <c r="T2827" t="s">
        <v>3795</v>
      </c>
      <c r="U2827" t="s">
        <v>1953</v>
      </c>
      <c r="V2827" t="s">
        <v>2813</v>
      </c>
    </row>
    <row r="2828" spans="1:22" ht="15.75" thickBot="1" x14ac:dyDescent="0.3">
      <c r="A2828" t="s">
        <v>4642</v>
      </c>
      <c r="B2828" t="s">
        <v>4642</v>
      </c>
      <c r="C2828" t="s">
        <v>4642</v>
      </c>
      <c r="D2828" s="83" t="s">
        <v>623</v>
      </c>
      <c r="E2828" s="251" t="s">
        <v>2231</v>
      </c>
      <c r="F2828" s="124" t="s">
        <v>620</v>
      </c>
      <c r="G2828" s="130">
        <v>2019</v>
      </c>
      <c r="H2828" s="125" t="s">
        <v>733</v>
      </c>
      <c r="I2828" s="311" t="str">
        <f t="shared" si="116"/>
        <v>Ligeiro de Passageiros M1: Geral : Gasóleo : E6</v>
      </c>
      <c r="J2828" s="125">
        <v>8</v>
      </c>
      <c r="K2828" s="253">
        <v>2022</v>
      </c>
      <c r="L2828" s="129">
        <v>6697.63</v>
      </c>
      <c r="M2828" s="85" t="s">
        <v>630</v>
      </c>
      <c r="N2828" s="128">
        <v>79039</v>
      </c>
      <c r="O2828" s="128">
        <f t="shared" si="115"/>
        <v>632312</v>
      </c>
      <c r="Q2828" t="s">
        <v>47</v>
      </c>
      <c r="R2828" s="214" t="s">
        <v>1869</v>
      </c>
      <c r="S2828" s="214" t="s">
        <v>1861</v>
      </c>
      <c r="T2828" t="s">
        <v>3796</v>
      </c>
      <c r="U2828" t="s">
        <v>1953</v>
      </c>
      <c r="V2828" t="s">
        <v>2813</v>
      </c>
    </row>
    <row r="2829" spans="1:22" ht="15.75" thickBot="1" x14ac:dyDescent="0.3">
      <c r="A2829" t="s">
        <v>1910</v>
      </c>
      <c r="B2829" t="s">
        <v>1910</v>
      </c>
      <c r="C2829" s="82" t="s">
        <v>1910</v>
      </c>
      <c r="D2829" s="83" t="s">
        <v>629</v>
      </c>
      <c r="E2829" s="251" t="s">
        <v>1951</v>
      </c>
      <c r="F2829" s="124" t="s">
        <v>620</v>
      </c>
      <c r="G2829" s="130"/>
      <c r="H2829" s="125" t="s">
        <v>731</v>
      </c>
      <c r="I2829" s="311" t="str">
        <f t="shared" si="116"/>
        <v>Pesado de Passageiros M3: I : Gasóleo : E4</v>
      </c>
      <c r="J2829" s="125"/>
      <c r="K2829" s="253">
        <v>2022</v>
      </c>
      <c r="L2829" s="242">
        <v>10804.336499999999</v>
      </c>
      <c r="M2829" s="242" t="s">
        <v>630</v>
      </c>
      <c r="N2829" s="243">
        <v>21761</v>
      </c>
      <c r="O2829" s="243">
        <f t="shared" si="115"/>
        <v>0</v>
      </c>
      <c r="P2829" s="257" t="s">
        <v>2155</v>
      </c>
      <c r="Q2829" s="85" t="s">
        <v>47</v>
      </c>
      <c r="R2829" s="214" t="s">
        <v>1869</v>
      </c>
      <c r="S2829" s="214" t="s">
        <v>1861</v>
      </c>
      <c r="T2829" s="85" t="s">
        <v>3449</v>
      </c>
      <c r="U2829" s="422" t="s">
        <v>1953</v>
      </c>
      <c r="V2829" s="422" t="s">
        <v>2813</v>
      </c>
    </row>
    <row r="2830" spans="1:22" ht="15.75" thickBot="1" x14ac:dyDescent="0.3">
      <c r="A2830" t="s">
        <v>1910</v>
      </c>
      <c r="B2830" t="s">
        <v>1910</v>
      </c>
      <c r="C2830" s="82" t="s">
        <v>1910</v>
      </c>
      <c r="D2830" s="83" t="s">
        <v>629</v>
      </c>
      <c r="E2830" s="251" t="s">
        <v>1951</v>
      </c>
      <c r="F2830" s="124" t="s">
        <v>620</v>
      </c>
      <c r="G2830" s="130">
        <v>2002</v>
      </c>
      <c r="H2830" s="125" t="s">
        <v>732</v>
      </c>
      <c r="I2830" s="311" t="str">
        <f t="shared" si="116"/>
        <v>Pesado de Passageiros M3: I : Gasóleo : E3</v>
      </c>
      <c r="J2830" s="125">
        <v>81</v>
      </c>
      <c r="K2830" s="253">
        <v>2022</v>
      </c>
      <c r="L2830" s="129">
        <v>20138.536499999998</v>
      </c>
      <c r="M2830" s="85" t="s">
        <v>630</v>
      </c>
      <c r="N2830" s="128">
        <v>40561</v>
      </c>
      <c r="O2830" s="128">
        <f t="shared" si="115"/>
        <v>3285441</v>
      </c>
      <c r="P2830" s="125" t="s">
        <v>2155</v>
      </c>
      <c r="Q2830" s="85" t="s">
        <v>47</v>
      </c>
      <c r="R2830" s="214" t="s">
        <v>1869</v>
      </c>
      <c r="S2830" s="214" t="s">
        <v>1861</v>
      </c>
      <c r="T2830" s="85" t="s">
        <v>3449</v>
      </c>
      <c r="U2830" s="422" t="s">
        <v>1953</v>
      </c>
      <c r="V2830" s="422" t="s">
        <v>2813</v>
      </c>
    </row>
    <row r="2831" spans="1:22" ht="15.75" thickBot="1" x14ac:dyDescent="0.3">
      <c r="A2831" t="s">
        <v>1910</v>
      </c>
      <c r="B2831" t="s">
        <v>1910</v>
      </c>
      <c r="C2831" s="82" t="s">
        <v>1910</v>
      </c>
      <c r="D2831" s="83" t="s">
        <v>629</v>
      </c>
      <c r="E2831" s="251" t="s">
        <v>1951</v>
      </c>
      <c r="F2831" s="124" t="s">
        <v>620</v>
      </c>
      <c r="G2831" s="130">
        <v>2011</v>
      </c>
      <c r="H2831" s="125" t="s">
        <v>734</v>
      </c>
      <c r="I2831" s="311" t="str">
        <f t="shared" si="116"/>
        <v>Pesado de Passageiros M3: I : Gasóleo : E5</v>
      </c>
      <c r="J2831" s="125">
        <v>61</v>
      </c>
      <c r="K2831" s="253">
        <v>2022</v>
      </c>
      <c r="L2831" s="129">
        <v>10571.968399999998</v>
      </c>
      <c r="M2831" s="85" t="s">
        <v>630</v>
      </c>
      <c r="N2831" s="128">
        <v>27524</v>
      </c>
      <c r="O2831" s="128">
        <f t="shared" si="115"/>
        <v>1678964</v>
      </c>
      <c r="P2831" s="125" t="s">
        <v>1962</v>
      </c>
      <c r="Q2831" s="85" t="s">
        <v>47</v>
      </c>
      <c r="R2831" s="214" t="s">
        <v>1869</v>
      </c>
      <c r="S2831" s="214" t="s">
        <v>1861</v>
      </c>
      <c r="T2831" s="85" t="s">
        <v>3866</v>
      </c>
      <c r="U2831" s="422" t="s">
        <v>1953</v>
      </c>
      <c r="V2831" s="422" t="s">
        <v>2813</v>
      </c>
    </row>
    <row r="2832" spans="1:22" ht="15.75" thickBot="1" x14ac:dyDescent="0.3">
      <c r="A2832" t="s">
        <v>1910</v>
      </c>
      <c r="B2832" t="s">
        <v>1910</v>
      </c>
      <c r="C2832" s="82" t="s">
        <v>1910</v>
      </c>
      <c r="D2832" s="83" t="s">
        <v>629</v>
      </c>
      <c r="E2832" s="251" t="s">
        <v>1951</v>
      </c>
      <c r="F2832" s="124" t="s">
        <v>620</v>
      </c>
      <c r="G2832" s="130"/>
      <c r="H2832" s="125" t="s">
        <v>731</v>
      </c>
      <c r="I2832" s="311" t="str">
        <f t="shared" si="116"/>
        <v>Pesado de Passageiros M3: I : Gasóleo : E4</v>
      </c>
      <c r="J2832" s="125"/>
      <c r="K2832" s="253">
        <v>2022</v>
      </c>
      <c r="L2832" s="85">
        <v>3547.06</v>
      </c>
      <c r="M2832" s="85" t="s">
        <v>630</v>
      </c>
      <c r="N2832" s="128">
        <v>7711</v>
      </c>
      <c r="O2832" s="128">
        <f t="shared" si="115"/>
        <v>0</v>
      </c>
      <c r="P2832" s="249" t="s">
        <v>3355</v>
      </c>
      <c r="Q2832" s="85" t="s">
        <v>47</v>
      </c>
      <c r="R2832" s="214" t="s">
        <v>1869</v>
      </c>
      <c r="S2832" s="214" t="s">
        <v>1861</v>
      </c>
      <c r="T2832" s="379" t="s">
        <v>3867</v>
      </c>
      <c r="U2832" s="422" t="s">
        <v>1953</v>
      </c>
      <c r="V2832" s="422" t="s">
        <v>2813</v>
      </c>
    </row>
    <row r="2833" spans="1:22" ht="15.75" thickBot="1" x14ac:dyDescent="0.3">
      <c r="A2833" t="s">
        <v>1910</v>
      </c>
      <c r="B2833" t="s">
        <v>1910</v>
      </c>
      <c r="C2833" s="82" t="s">
        <v>1910</v>
      </c>
      <c r="D2833" s="83" t="s">
        <v>629</v>
      </c>
      <c r="E2833" s="251" t="s">
        <v>1951</v>
      </c>
      <c r="F2833" s="124" t="s">
        <v>620</v>
      </c>
      <c r="G2833" s="130"/>
      <c r="H2833" s="125" t="s">
        <v>731</v>
      </c>
      <c r="I2833" s="311" t="str">
        <f t="shared" si="116"/>
        <v>Pesado de Passageiros M3: I : Gasóleo : E4</v>
      </c>
      <c r="J2833" s="125"/>
      <c r="K2833" s="253">
        <v>2022</v>
      </c>
      <c r="L2833" s="85">
        <v>7762.04</v>
      </c>
      <c r="M2833" s="85" t="s">
        <v>630</v>
      </c>
      <c r="N2833" s="128">
        <v>16874</v>
      </c>
      <c r="O2833" s="128">
        <f t="shared" si="115"/>
        <v>0</v>
      </c>
      <c r="P2833" s="125" t="s">
        <v>3356</v>
      </c>
      <c r="Q2833" s="85" t="s">
        <v>47</v>
      </c>
      <c r="R2833" s="214" t="s">
        <v>1869</v>
      </c>
      <c r="S2833" s="214" t="s">
        <v>1861</v>
      </c>
      <c r="T2833" s="85" t="s">
        <v>3868</v>
      </c>
      <c r="U2833" s="422" t="s">
        <v>1953</v>
      </c>
      <c r="V2833" s="422" t="s">
        <v>2813</v>
      </c>
    </row>
    <row r="2834" spans="1:22" ht="15.75" thickBot="1" x14ac:dyDescent="0.3">
      <c r="A2834" t="s">
        <v>1910</v>
      </c>
      <c r="B2834" t="s">
        <v>1910</v>
      </c>
      <c r="C2834" s="82" t="s">
        <v>1910</v>
      </c>
      <c r="D2834" s="83" t="s">
        <v>629</v>
      </c>
      <c r="E2834" s="251" t="s">
        <v>1951</v>
      </c>
      <c r="F2834" s="124" t="s">
        <v>620</v>
      </c>
      <c r="G2834" s="130">
        <v>2006</v>
      </c>
      <c r="H2834" s="125" t="s">
        <v>731</v>
      </c>
      <c r="I2834" s="311" t="str">
        <f t="shared" si="116"/>
        <v>Pesado de Passageiros M3: I : Gasóleo : E4</v>
      </c>
      <c r="J2834" s="125">
        <v>68</v>
      </c>
      <c r="K2834" s="253">
        <v>2022</v>
      </c>
      <c r="L2834" s="129">
        <v>35620.300799999997</v>
      </c>
      <c r="M2834" s="85" t="s">
        <v>630</v>
      </c>
      <c r="N2834" s="128">
        <v>68712</v>
      </c>
      <c r="O2834" s="128">
        <f t="shared" si="115"/>
        <v>4672416</v>
      </c>
      <c r="P2834" s="125" t="s">
        <v>1973</v>
      </c>
      <c r="Q2834" s="85" t="s">
        <v>47</v>
      </c>
      <c r="R2834" s="214" t="s">
        <v>1869</v>
      </c>
      <c r="S2834" s="214" t="s">
        <v>1861</v>
      </c>
      <c r="T2834" s="85" t="s">
        <v>3869</v>
      </c>
      <c r="U2834" s="422" t="s">
        <v>1953</v>
      </c>
      <c r="V2834" s="422" t="s">
        <v>2813</v>
      </c>
    </row>
    <row r="2835" spans="1:22" ht="15.75" thickBot="1" x14ac:dyDescent="0.3">
      <c r="A2835" t="s">
        <v>1910</v>
      </c>
      <c r="B2835" t="s">
        <v>1910</v>
      </c>
      <c r="C2835" s="82" t="s">
        <v>1910</v>
      </c>
      <c r="D2835" s="83" t="s">
        <v>629</v>
      </c>
      <c r="E2835" s="251" t="s">
        <v>1951</v>
      </c>
      <c r="F2835" s="124" t="s">
        <v>620</v>
      </c>
      <c r="G2835" s="130"/>
      <c r="H2835" s="125" t="s">
        <v>732</v>
      </c>
      <c r="I2835" s="311" t="str">
        <f t="shared" si="116"/>
        <v>Pesado de Passageiros M3: I : Gasóleo : E3</v>
      </c>
      <c r="J2835" s="125"/>
      <c r="K2835" s="253">
        <v>2022</v>
      </c>
      <c r="L2835" s="85">
        <v>19882.5</v>
      </c>
      <c r="M2835" s="85" t="s">
        <v>630</v>
      </c>
      <c r="N2835" s="128">
        <v>36150</v>
      </c>
      <c r="O2835" s="128">
        <f t="shared" si="115"/>
        <v>0</v>
      </c>
      <c r="P2835" s="125" t="s">
        <v>3370</v>
      </c>
      <c r="Q2835" s="85" t="s">
        <v>47</v>
      </c>
      <c r="R2835" s="214" t="s">
        <v>1869</v>
      </c>
      <c r="S2835" s="214" t="s">
        <v>1861</v>
      </c>
      <c r="T2835" s="85" t="s">
        <v>3870</v>
      </c>
      <c r="U2835" s="422" t="s">
        <v>1953</v>
      </c>
      <c r="V2835" s="422" t="s">
        <v>2813</v>
      </c>
    </row>
    <row r="2836" spans="1:22" ht="15.75" thickBot="1" x14ac:dyDescent="0.3">
      <c r="A2836" t="s">
        <v>1910</v>
      </c>
      <c r="B2836" t="s">
        <v>1910</v>
      </c>
      <c r="C2836" s="82" t="s">
        <v>1910</v>
      </c>
      <c r="D2836" s="83" t="s">
        <v>629</v>
      </c>
      <c r="E2836" s="251" t="s">
        <v>1951</v>
      </c>
      <c r="F2836" s="124" t="s">
        <v>620</v>
      </c>
      <c r="G2836" s="130">
        <v>1999</v>
      </c>
      <c r="H2836" s="125" t="s">
        <v>735</v>
      </c>
      <c r="I2836" s="311" t="str">
        <f t="shared" si="116"/>
        <v>Pesado de Passageiros M3: I : Gasóleo : E2</v>
      </c>
      <c r="J2836" s="125">
        <v>82</v>
      </c>
      <c r="K2836" s="253">
        <v>2022</v>
      </c>
      <c r="L2836" s="129">
        <v>17585.000400000001</v>
      </c>
      <c r="M2836" s="85" t="s">
        <v>630</v>
      </c>
      <c r="N2836" s="128">
        <v>28127</v>
      </c>
      <c r="O2836" s="128">
        <f t="shared" si="115"/>
        <v>2306414</v>
      </c>
      <c r="P2836" s="125" t="s">
        <v>2132</v>
      </c>
      <c r="Q2836" s="85" t="s">
        <v>47</v>
      </c>
      <c r="R2836" s="214" t="s">
        <v>1869</v>
      </c>
      <c r="S2836" s="214" t="s">
        <v>1861</v>
      </c>
      <c r="T2836" s="85" t="s">
        <v>3871</v>
      </c>
      <c r="U2836" s="422" t="s">
        <v>1953</v>
      </c>
      <c r="V2836" s="422" t="s">
        <v>2813</v>
      </c>
    </row>
    <row r="2837" spans="1:22" ht="15.75" thickBot="1" x14ac:dyDescent="0.3">
      <c r="A2837" t="s">
        <v>1910</v>
      </c>
      <c r="B2837" t="s">
        <v>1910</v>
      </c>
      <c r="C2837" s="82" t="s">
        <v>1910</v>
      </c>
      <c r="D2837" s="83" t="s">
        <v>629</v>
      </c>
      <c r="E2837" s="251" t="s">
        <v>1951</v>
      </c>
      <c r="F2837" s="124" t="s">
        <v>620</v>
      </c>
      <c r="G2837" s="130">
        <v>1997</v>
      </c>
      <c r="H2837" s="125" t="s">
        <v>735</v>
      </c>
      <c r="I2837" s="311" t="str">
        <f t="shared" si="116"/>
        <v>Pesado de Passageiros M3: I : Gasóleo : E2</v>
      </c>
      <c r="J2837" s="125">
        <v>84</v>
      </c>
      <c r="K2837" s="253">
        <v>2022</v>
      </c>
      <c r="L2837" s="129">
        <v>14038.813599999999</v>
      </c>
      <c r="M2837" s="85" t="s">
        <v>630</v>
      </c>
      <c r="N2837" s="128">
        <v>25921</v>
      </c>
      <c r="O2837" s="128">
        <f t="shared" si="115"/>
        <v>2177364</v>
      </c>
      <c r="P2837" s="125" t="s">
        <v>1996</v>
      </c>
      <c r="Q2837" s="85" t="s">
        <v>47</v>
      </c>
      <c r="R2837" s="214" t="s">
        <v>1869</v>
      </c>
      <c r="S2837" s="214" t="s">
        <v>1861</v>
      </c>
      <c r="T2837" s="85" t="s">
        <v>3872</v>
      </c>
      <c r="U2837" s="422" t="s">
        <v>1953</v>
      </c>
      <c r="V2837" s="422" t="s">
        <v>2813</v>
      </c>
    </row>
    <row r="2838" spans="1:22" ht="15.75" thickBot="1" x14ac:dyDescent="0.3">
      <c r="A2838" t="s">
        <v>1910</v>
      </c>
      <c r="B2838" t="s">
        <v>1910</v>
      </c>
      <c r="C2838" s="82" t="s">
        <v>1910</v>
      </c>
      <c r="D2838" s="83" t="s">
        <v>629</v>
      </c>
      <c r="E2838" s="251" t="s">
        <v>1951</v>
      </c>
      <c r="F2838" s="124" t="s">
        <v>620</v>
      </c>
      <c r="G2838" s="130">
        <v>1997</v>
      </c>
      <c r="H2838" s="125" t="s">
        <v>735</v>
      </c>
      <c r="I2838" s="311" t="str">
        <f t="shared" si="116"/>
        <v>Pesado de Passageiros M3: I : Gasóleo : E2</v>
      </c>
      <c r="J2838" s="125">
        <v>84</v>
      </c>
      <c r="K2838" s="253">
        <v>2022</v>
      </c>
      <c r="L2838" s="129">
        <v>20488.04</v>
      </c>
      <c r="M2838" s="85" t="s">
        <v>630</v>
      </c>
      <c r="N2838" s="128">
        <v>31888</v>
      </c>
      <c r="O2838" s="128">
        <f t="shared" si="115"/>
        <v>2678592</v>
      </c>
      <c r="P2838" s="125" t="s">
        <v>1998</v>
      </c>
      <c r="Q2838" s="85" t="s">
        <v>47</v>
      </c>
      <c r="R2838" s="214" t="s">
        <v>1869</v>
      </c>
      <c r="S2838" s="214" t="s">
        <v>1861</v>
      </c>
      <c r="T2838" s="85" t="s">
        <v>3873</v>
      </c>
      <c r="U2838" s="422" t="s">
        <v>1953</v>
      </c>
      <c r="V2838" s="422" t="s">
        <v>2813</v>
      </c>
    </row>
    <row r="2839" spans="1:22" ht="15.75" thickBot="1" x14ac:dyDescent="0.3">
      <c r="A2839" t="s">
        <v>1910</v>
      </c>
      <c r="B2839" t="s">
        <v>1910</v>
      </c>
      <c r="C2839" s="82" t="s">
        <v>1910</v>
      </c>
      <c r="D2839" s="83" t="s">
        <v>629</v>
      </c>
      <c r="E2839" s="251" t="s">
        <v>1951</v>
      </c>
      <c r="F2839" s="124" t="s">
        <v>620</v>
      </c>
      <c r="G2839" s="130">
        <v>1997</v>
      </c>
      <c r="H2839" s="125" t="s">
        <v>735</v>
      </c>
      <c r="I2839" s="311" t="str">
        <f t="shared" si="116"/>
        <v>Pesado de Passageiros M3: I : Gasóleo : E2</v>
      </c>
      <c r="J2839" s="125">
        <v>84</v>
      </c>
      <c r="K2839" s="253">
        <v>2022</v>
      </c>
      <c r="L2839" s="129">
        <v>18655.752</v>
      </c>
      <c r="M2839" s="85" t="s">
        <v>630</v>
      </c>
      <c r="N2839" s="128">
        <v>38229</v>
      </c>
      <c r="O2839" s="128">
        <f t="shared" si="115"/>
        <v>3211236</v>
      </c>
      <c r="P2839" s="125" t="s">
        <v>1992</v>
      </c>
      <c r="Q2839" s="85" t="s">
        <v>47</v>
      </c>
      <c r="R2839" s="214" t="s">
        <v>1869</v>
      </c>
      <c r="S2839" s="214" t="s">
        <v>1861</v>
      </c>
      <c r="T2839" s="85" t="s">
        <v>3874</v>
      </c>
      <c r="U2839" s="422" t="s">
        <v>1953</v>
      </c>
      <c r="V2839" s="422" t="s">
        <v>2813</v>
      </c>
    </row>
    <row r="2840" spans="1:22" ht="15.75" thickBot="1" x14ac:dyDescent="0.3">
      <c r="A2840" t="s">
        <v>1910</v>
      </c>
      <c r="B2840" t="s">
        <v>1910</v>
      </c>
      <c r="C2840" s="82" t="s">
        <v>1910</v>
      </c>
      <c r="D2840" s="83" t="s">
        <v>629</v>
      </c>
      <c r="E2840" s="251" t="s">
        <v>1951</v>
      </c>
      <c r="F2840" s="124" t="s">
        <v>620</v>
      </c>
      <c r="G2840" s="130">
        <v>1997</v>
      </c>
      <c r="H2840" s="125" t="s">
        <v>735</v>
      </c>
      <c r="I2840" s="311" t="str">
        <f t="shared" si="116"/>
        <v>Pesado de Passageiros M3: I : Gasóleo : E2</v>
      </c>
      <c r="J2840" s="125">
        <v>84</v>
      </c>
      <c r="K2840" s="253">
        <v>2022</v>
      </c>
      <c r="L2840" s="129">
        <v>8872.73</v>
      </c>
      <c r="M2840" s="85" t="s">
        <v>630</v>
      </c>
      <c r="N2840" s="128">
        <v>16741</v>
      </c>
      <c r="O2840" s="128">
        <f t="shared" si="115"/>
        <v>1406244</v>
      </c>
      <c r="P2840" s="125" t="s">
        <v>1997</v>
      </c>
      <c r="Q2840" s="85" t="s">
        <v>47</v>
      </c>
      <c r="R2840" s="214" t="s">
        <v>1869</v>
      </c>
      <c r="S2840" s="214" t="s">
        <v>1861</v>
      </c>
      <c r="T2840" s="85" t="s">
        <v>3875</v>
      </c>
      <c r="U2840" s="422" t="s">
        <v>1953</v>
      </c>
      <c r="V2840" s="422" t="s">
        <v>2813</v>
      </c>
    </row>
    <row r="2841" spans="1:22" ht="15.75" thickBot="1" x14ac:dyDescent="0.3">
      <c r="A2841" t="s">
        <v>1910</v>
      </c>
      <c r="B2841" t="s">
        <v>1910</v>
      </c>
      <c r="C2841" s="82" t="s">
        <v>1910</v>
      </c>
      <c r="D2841" s="83" t="s">
        <v>629</v>
      </c>
      <c r="E2841" s="251" t="s">
        <v>1951</v>
      </c>
      <c r="F2841" s="124" t="s">
        <v>620</v>
      </c>
      <c r="G2841" s="130">
        <v>2015</v>
      </c>
      <c r="H2841" s="125" t="s">
        <v>733</v>
      </c>
      <c r="I2841" s="311" t="str">
        <f t="shared" si="116"/>
        <v>Pesado de Passageiros M3: I : Gasóleo : E6</v>
      </c>
      <c r="J2841" s="125">
        <v>61</v>
      </c>
      <c r="K2841" s="253">
        <v>2022</v>
      </c>
      <c r="L2841" s="129">
        <v>26109.1656</v>
      </c>
      <c r="M2841" s="85" t="s">
        <v>630</v>
      </c>
      <c r="N2841" s="128">
        <v>58884</v>
      </c>
      <c r="O2841" s="128">
        <f t="shared" si="115"/>
        <v>3591924</v>
      </c>
      <c r="P2841" s="125" t="s">
        <v>2006</v>
      </c>
      <c r="Q2841" s="85" t="s">
        <v>47</v>
      </c>
      <c r="R2841" s="214" t="s">
        <v>1869</v>
      </c>
      <c r="S2841" s="214" t="s">
        <v>1861</v>
      </c>
      <c r="T2841" s="85" t="s">
        <v>3876</v>
      </c>
      <c r="U2841" s="422" t="s">
        <v>1953</v>
      </c>
      <c r="V2841" s="422" t="s">
        <v>2813</v>
      </c>
    </row>
    <row r="2842" spans="1:22" ht="15.75" thickBot="1" x14ac:dyDescent="0.3">
      <c r="A2842" t="s">
        <v>1910</v>
      </c>
      <c r="B2842" t="s">
        <v>1910</v>
      </c>
      <c r="C2842" s="82" t="s">
        <v>1910</v>
      </c>
      <c r="D2842" s="83" t="s">
        <v>629</v>
      </c>
      <c r="E2842" s="251" t="s">
        <v>1951</v>
      </c>
      <c r="F2842" s="124" t="s">
        <v>620</v>
      </c>
      <c r="G2842" s="130">
        <v>2015</v>
      </c>
      <c r="H2842" s="125" t="s">
        <v>733</v>
      </c>
      <c r="I2842" s="311" t="str">
        <f t="shared" si="116"/>
        <v>Pesado de Passageiros M3: I : Gasóleo : E6</v>
      </c>
      <c r="J2842" s="125">
        <v>61</v>
      </c>
      <c r="K2842" s="253">
        <v>2022</v>
      </c>
      <c r="L2842" s="129">
        <v>27309.387599999998</v>
      </c>
      <c r="M2842" s="85" t="s">
        <v>630</v>
      </c>
      <c r="N2842" s="128">
        <v>61758</v>
      </c>
      <c r="O2842" s="128">
        <f t="shared" si="115"/>
        <v>3767238</v>
      </c>
      <c r="P2842" s="125" t="s">
        <v>2007</v>
      </c>
      <c r="Q2842" s="85" t="s">
        <v>47</v>
      </c>
      <c r="R2842" s="214" t="s">
        <v>1869</v>
      </c>
      <c r="S2842" s="214" t="s">
        <v>1861</v>
      </c>
      <c r="T2842" s="85" t="s">
        <v>3877</v>
      </c>
      <c r="U2842" s="422" t="s">
        <v>1953</v>
      </c>
      <c r="V2842" s="422" t="s">
        <v>2813</v>
      </c>
    </row>
    <row r="2843" spans="1:22" ht="15.75" thickBot="1" x14ac:dyDescent="0.3">
      <c r="A2843" t="s">
        <v>1910</v>
      </c>
      <c r="B2843" t="s">
        <v>1910</v>
      </c>
      <c r="C2843" s="82" t="s">
        <v>1910</v>
      </c>
      <c r="D2843" s="83" t="s">
        <v>629</v>
      </c>
      <c r="E2843" s="251" t="s">
        <v>1951</v>
      </c>
      <c r="F2843" s="124" t="s">
        <v>620</v>
      </c>
      <c r="G2843" s="130"/>
      <c r="H2843" s="125" t="s">
        <v>732</v>
      </c>
      <c r="I2843" s="311" t="str">
        <f t="shared" si="116"/>
        <v>Pesado de Passageiros M3: I : Gasóleo : E3</v>
      </c>
      <c r="J2843" s="125"/>
      <c r="K2843" s="253">
        <v>2022</v>
      </c>
      <c r="L2843" s="85">
        <v>10944.09</v>
      </c>
      <c r="M2843" s="85" t="s">
        <v>630</v>
      </c>
      <c r="N2843" s="128">
        <v>21459</v>
      </c>
      <c r="O2843" s="128">
        <f t="shared" si="115"/>
        <v>0</v>
      </c>
      <c r="P2843" s="125" t="s">
        <v>3369</v>
      </c>
      <c r="Q2843" s="85" t="s">
        <v>47</v>
      </c>
      <c r="R2843" s="214" t="s">
        <v>1869</v>
      </c>
      <c r="S2843" s="214" t="s">
        <v>1861</v>
      </c>
      <c r="T2843" s="85" t="s">
        <v>3878</v>
      </c>
      <c r="U2843" s="422" t="s">
        <v>1953</v>
      </c>
      <c r="V2843" s="422" t="s">
        <v>2813</v>
      </c>
    </row>
    <row r="2844" spans="1:22" ht="15.75" thickBot="1" x14ac:dyDescent="0.3">
      <c r="A2844" t="s">
        <v>1910</v>
      </c>
      <c r="B2844" t="s">
        <v>1910</v>
      </c>
      <c r="C2844" s="82" t="s">
        <v>1910</v>
      </c>
      <c r="D2844" s="83" t="s">
        <v>629</v>
      </c>
      <c r="E2844" s="251" t="s">
        <v>1951</v>
      </c>
      <c r="F2844" s="124" t="s">
        <v>620</v>
      </c>
      <c r="G2844" s="130">
        <v>2011</v>
      </c>
      <c r="H2844" s="125" t="s">
        <v>734</v>
      </c>
      <c r="I2844" s="311" t="str">
        <f t="shared" si="116"/>
        <v>Pesado de Passageiros M3: I : Gasóleo : E5</v>
      </c>
      <c r="J2844" s="125">
        <v>144</v>
      </c>
      <c r="K2844" s="253">
        <v>2022</v>
      </c>
      <c r="L2844" s="129">
        <v>45749.264400000007</v>
      </c>
      <c r="M2844" s="85" t="s">
        <v>630</v>
      </c>
      <c r="N2844" s="128">
        <v>71194</v>
      </c>
      <c r="O2844" s="128">
        <f t="shared" si="115"/>
        <v>10251936</v>
      </c>
      <c r="P2844" s="125" t="s">
        <v>2068</v>
      </c>
      <c r="Q2844" s="85" t="s">
        <v>47</v>
      </c>
      <c r="R2844" s="214" t="s">
        <v>1869</v>
      </c>
      <c r="S2844" s="214" t="s">
        <v>1861</v>
      </c>
      <c r="T2844" s="85" t="s">
        <v>3879</v>
      </c>
      <c r="U2844" s="422" t="s">
        <v>1953</v>
      </c>
      <c r="V2844" s="422" t="s">
        <v>2813</v>
      </c>
    </row>
    <row r="2845" spans="1:22" ht="15.75" thickBot="1" x14ac:dyDescent="0.3">
      <c r="A2845" t="s">
        <v>1910</v>
      </c>
      <c r="B2845" t="s">
        <v>1910</v>
      </c>
      <c r="C2845" s="82" t="s">
        <v>1910</v>
      </c>
      <c r="D2845" s="83" t="s">
        <v>629</v>
      </c>
      <c r="E2845" s="251" t="s">
        <v>1951</v>
      </c>
      <c r="F2845" s="124" t="s">
        <v>620</v>
      </c>
      <c r="G2845" s="130">
        <v>2003</v>
      </c>
      <c r="H2845" s="125" t="s">
        <v>732</v>
      </c>
      <c r="I2845" s="311" t="str">
        <f t="shared" si="116"/>
        <v>Pesado de Passageiros M3: I : Gasóleo : E3</v>
      </c>
      <c r="J2845" s="125">
        <v>77</v>
      </c>
      <c r="K2845" s="253">
        <v>2022</v>
      </c>
      <c r="L2845" s="129">
        <v>28369.097999999998</v>
      </c>
      <c r="M2845" s="85" t="s">
        <v>630</v>
      </c>
      <c r="N2845" s="128">
        <v>62487</v>
      </c>
      <c r="O2845" s="128">
        <f t="shared" si="115"/>
        <v>4811499</v>
      </c>
      <c r="P2845" s="125" t="s">
        <v>2074</v>
      </c>
      <c r="Q2845" s="85" t="s">
        <v>47</v>
      </c>
      <c r="R2845" s="214" t="s">
        <v>1869</v>
      </c>
      <c r="S2845" s="214" t="s">
        <v>1861</v>
      </c>
      <c r="T2845" s="85" t="s">
        <v>3880</v>
      </c>
      <c r="U2845" s="422" t="s">
        <v>1953</v>
      </c>
      <c r="V2845" s="422" t="s">
        <v>2813</v>
      </c>
    </row>
    <row r="2846" spans="1:22" ht="15.75" thickBot="1" x14ac:dyDescent="0.3">
      <c r="A2846" t="s">
        <v>1910</v>
      </c>
      <c r="B2846" t="s">
        <v>1910</v>
      </c>
      <c r="C2846" s="82" t="s">
        <v>1910</v>
      </c>
      <c r="D2846" s="83" t="s">
        <v>629</v>
      </c>
      <c r="E2846" s="251" t="s">
        <v>1951</v>
      </c>
      <c r="F2846" s="124" t="s">
        <v>620</v>
      </c>
      <c r="G2846" s="130">
        <v>2003</v>
      </c>
      <c r="H2846" s="125" t="s">
        <v>732</v>
      </c>
      <c r="I2846" s="311" t="str">
        <f t="shared" si="116"/>
        <v>Pesado de Passageiros M3: I : Gasóleo : E3</v>
      </c>
      <c r="J2846" s="125">
        <v>77</v>
      </c>
      <c r="K2846" s="253">
        <v>2022</v>
      </c>
      <c r="L2846" s="129">
        <v>10682.55</v>
      </c>
      <c r="M2846" s="85" t="s">
        <v>630</v>
      </c>
      <c r="N2846" s="128">
        <v>23739</v>
      </c>
      <c r="O2846" s="128">
        <f t="shared" si="115"/>
        <v>1827903</v>
      </c>
      <c r="P2846" s="125" t="s">
        <v>2073</v>
      </c>
      <c r="Q2846" s="85" t="s">
        <v>47</v>
      </c>
      <c r="R2846" s="214" t="s">
        <v>1869</v>
      </c>
      <c r="S2846" s="214" t="s">
        <v>1861</v>
      </c>
      <c r="T2846" s="85" t="s">
        <v>3881</v>
      </c>
      <c r="U2846" s="422" t="s">
        <v>1953</v>
      </c>
      <c r="V2846" s="422" t="s">
        <v>2813</v>
      </c>
    </row>
    <row r="2847" spans="1:22" ht="15.75" thickBot="1" x14ac:dyDescent="0.3">
      <c r="A2847" t="s">
        <v>1910</v>
      </c>
      <c r="B2847" t="s">
        <v>1910</v>
      </c>
      <c r="C2847" s="82" t="s">
        <v>1910</v>
      </c>
      <c r="D2847" s="83" t="s">
        <v>629</v>
      </c>
      <c r="E2847" s="251" t="s">
        <v>1951</v>
      </c>
      <c r="F2847" s="124" t="s">
        <v>620</v>
      </c>
      <c r="G2847" s="130">
        <v>2003</v>
      </c>
      <c r="H2847" s="125" t="s">
        <v>732</v>
      </c>
      <c r="I2847" s="311" t="str">
        <f t="shared" si="116"/>
        <v>Pesado de Passageiros M3: I : Gasóleo : E3</v>
      </c>
      <c r="J2847" s="125">
        <v>77</v>
      </c>
      <c r="K2847" s="253">
        <v>2022</v>
      </c>
      <c r="L2847" s="129">
        <v>21137.806799999998</v>
      </c>
      <c r="M2847" s="85" t="s">
        <v>630</v>
      </c>
      <c r="N2847" s="128">
        <v>38148</v>
      </c>
      <c r="O2847" s="128">
        <f t="shared" si="115"/>
        <v>2937396</v>
      </c>
      <c r="P2847" s="125" t="s">
        <v>2072</v>
      </c>
      <c r="Q2847" s="85" t="s">
        <v>47</v>
      </c>
      <c r="R2847" s="214" t="s">
        <v>1869</v>
      </c>
      <c r="S2847" s="214" t="s">
        <v>1861</v>
      </c>
      <c r="T2847" s="85" t="s">
        <v>3882</v>
      </c>
      <c r="U2847" s="422" t="s">
        <v>1953</v>
      </c>
      <c r="V2847" s="422" t="s">
        <v>2813</v>
      </c>
    </row>
    <row r="2848" spans="1:22" ht="15.75" thickBot="1" x14ac:dyDescent="0.3">
      <c r="A2848" t="s">
        <v>1910</v>
      </c>
      <c r="B2848" t="s">
        <v>1910</v>
      </c>
      <c r="C2848" s="82" t="s">
        <v>1910</v>
      </c>
      <c r="D2848" s="83" t="s">
        <v>629</v>
      </c>
      <c r="E2848" s="251" t="s">
        <v>1951</v>
      </c>
      <c r="F2848" s="124" t="s">
        <v>620</v>
      </c>
      <c r="G2848" s="130">
        <v>1997</v>
      </c>
      <c r="H2848" s="125" t="s">
        <v>735</v>
      </c>
      <c r="I2848" s="311" t="str">
        <f t="shared" si="116"/>
        <v>Pesado de Passageiros M3: I : Gasóleo : E2</v>
      </c>
      <c r="J2848" s="125">
        <v>84</v>
      </c>
      <c r="K2848" s="253">
        <v>2022</v>
      </c>
      <c r="L2848" s="129">
        <v>17907.314399999999</v>
      </c>
      <c r="M2848" s="85" t="s">
        <v>630</v>
      </c>
      <c r="N2848" s="128">
        <v>35786</v>
      </c>
      <c r="O2848" s="128">
        <f t="shared" si="115"/>
        <v>3006024</v>
      </c>
      <c r="P2848" s="125" t="s">
        <v>2000</v>
      </c>
      <c r="Q2848" s="85" t="s">
        <v>47</v>
      </c>
      <c r="R2848" s="214" t="s">
        <v>1869</v>
      </c>
      <c r="S2848" s="214" t="s">
        <v>1861</v>
      </c>
      <c r="T2848" s="85" t="s">
        <v>3883</v>
      </c>
      <c r="U2848" s="422" t="s">
        <v>1953</v>
      </c>
      <c r="V2848" s="422" t="s">
        <v>2813</v>
      </c>
    </row>
    <row r="2849" spans="1:22" ht="15.75" thickBot="1" x14ac:dyDescent="0.3">
      <c r="A2849" t="s">
        <v>1910</v>
      </c>
      <c r="B2849" t="s">
        <v>1910</v>
      </c>
      <c r="C2849" s="82" t="s">
        <v>1910</v>
      </c>
      <c r="D2849" s="83" t="s">
        <v>629</v>
      </c>
      <c r="E2849" s="251" t="s">
        <v>1951</v>
      </c>
      <c r="F2849" s="124" t="s">
        <v>620</v>
      </c>
      <c r="G2849" s="130">
        <v>1997</v>
      </c>
      <c r="H2849" s="125" t="s">
        <v>735</v>
      </c>
      <c r="I2849" s="311" t="str">
        <f t="shared" si="116"/>
        <v>Pesado de Passageiros M3: I : Gasóleo : E2</v>
      </c>
      <c r="J2849" s="125">
        <v>84</v>
      </c>
      <c r="K2849" s="253">
        <v>2022</v>
      </c>
      <c r="L2849" s="129">
        <v>18872.947799999998</v>
      </c>
      <c r="M2849" s="85" t="s">
        <v>630</v>
      </c>
      <c r="N2849" s="128">
        <v>37761</v>
      </c>
      <c r="O2849" s="128">
        <f t="shared" si="115"/>
        <v>3171924</v>
      </c>
      <c r="P2849" s="125" t="s">
        <v>2001</v>
      </c>
      <c r="Q2849" s="85" t="s">
        <v>47</v>
      </c>
      <c r="R2849" s="214" t="s">
        <v>1869</v>
      </c>
      <c r="S2849" s="214" t="s">
        <v>1861</v>
      </c>
      <c r="T2849" s="85" t="s">
        <v>3884</v>
      </c>
      <c r="U2849" s="422" t="s">
        <v>1953</v>
      </c>
      <c r="V2849" s="422" t="s">
        <v>2813</v>
      </c>
    </row>
    <row r="2850" spans="1:22" ht="15.75" thickBot="1" x14ac:dyDescent="0.3">
      <c r="A2850" t="s">
        <v>1910</v>
      </c>
      <c r="B2850" t="s">
        <v>1910</v>
      </c>
      <c r="C2850" s="82" t="s">
        <v>1910</v>
      </c>
      <c r="D2850" s="83" t="s">
        <v>629</v>
      </c>
      <c r="E2850" s="251" t="s">
        <v>1951</v>
      </c>
      <c r="F2850" s="124" t="s">
        <v>620</v>
      </c>
      <c r="G2850" s="130">
        <v>1997</v>
      </c>
      <c r="H2850" s="125" t="s">
        <v>735</v>
      </c>
      <c r="I2850" s="311" t="str">
        <f t="shared" si="116"/>
        <v>Pesado de Passageiros M3: I : Gasóleo : E2</v>
      </c>
      <c r="J2850" s="125">
        <v>84</v>
      </c>
      <c r="K2850" s="253">
        <v>2022</v>
      </c>
      <c r="L2850" s="129">
        <v>13533.478999999999</v>
      </c>
      <c r="M2850" s="85" t="s">
        <v>630</v>
      </c>
      <c r="N2850" s="128">
        <v>26986</v>
      </c>
      <c r="O2850" s="128">
        <f t="shared" si="115"/>
        <v>2266824</v>
      </c>
      <c r="P2850" s="125" t="s">
        <v>1987</v>
      </c>
      <c r="Q2850" s="85" t="s">
        <v>47</v>
      </c>
      <c r="R2850" s="214" t="s">
        <v>1869</v>
      </c>
      <c r="S2850" s="214" t="s">
        <v>1861</v>
      </c>
      <c r="T2850" s="85" t="s">
        <v>3885</v>
      </c>
      <c r="U2850" s="422" t="s">
        <v>1953</v>
      </c>
      <c r="V2850" s="422" t="s">
        <v>2813</v>
      </c>
    </row>
    <row r="2851" spans="1:22" ht="15.75" thickBot="1" x14ac:dyDescent="0.3">
      <c r="A2851" t="s">
        <v>1910</v>
      </c>
      <c r="B2851" t="s">
        <v>1910</v>
      </c>
      <c r="C2851" s="82" t="s">
        <v>1910</v>
      </c>
      <c r="D2851" s="83" t="s">
        <v>629</v>
      </c>
      <c r="E2851" s="251" t="s">
        <v>1951</v>
      </c>
      <c r="F2851" s="124" t="s">
        <v>620</v>
      </c>
      <c r="G2851" s="130">
        <v>1997</v>
      </c>
      <c r="H2851" s="125" t="s">
        <v>735</v>
      </c>
      <c r="I2851" s="311" t="str">
        <f t="shared" si="116"/>
        <v>Pesado de Passageiros M3: I : Gasóleo : E2</v>
      </c>
      <c r="J2851" s="125">
        <v>84</v>
      </c>
      <c r="K2851" s="253">
        <v>2022</v>
      </c>
      <c r="L2851" s="129">
        <v>15490.74</v>
      </c>
      <c r="M2851" s="85" t="s">
        <v>630</v>
      </c>
      <c r="N2851" s="128">
        <v>30374</v>
      </c>
      <c r="O2851" s="128">
        <f t="shared" si="115"/>
        <v>2551416</v>
      </c>
      <c r="P2851" s="125" t="s">
        <v>2003</v>
      </c>
      <c r="Q2851" s="85" t="s">
        <v>47</v>
      </c>
      <c r="R2851" s="214" t="s">
        <v>1869</v>
      </c>
      <c r="S2851" s="214" t="s">
        <v>1861</v>
      </c>
      <c r="T2851" s="85" t="s">
        <v>3886</v>
      </c>
      <c r="U2851" s="422" t="s">
        <v>1953</v>
      </c>
      <c r="V2851" s="422" t="s">
        <v>2813</v>
      </c>
    </row>
    <row r="2852" spans="1:22" ht="15.75" thickBot="1" x14ac:dyDescent="0.3">
      <c r="A2852" t="s">
        <v>1910</v>
      </c>
      <c r="B2852" t="s">
        <v>1910</v>
      </c>
      <c r="C2852" s="82" t="s">
        <v>1910</v>
      </c>
      <c r="D2852" s="83" t="s">
        <v>629</v>
      </c>
      <c r="E2852" s="251" t="s">
        <v>1951</v>
      </c>
      <c r="F2852" s="124" t="s">
        <v>620</v>
      </c>
      <c r="G2852" s="130">
        <v>1997</v>
      </c>
      <c r="H2852" s="125" t="s">
        <v>735</v>
      </c>
      <c r="I2852" s="311" t="str">
        <f t="shared" si="116"/>
        <v>Pesado de Passageiros M3: I : Gasóleo : E2</v>
      </c>
      <c r="J2852" s="125">
        <v>84</v>
      </c>
      <c r="K2852" s="253">
        <v>2022</v>
      </c>
      <c r="L2852" s="129">
        <v>20302.434499999999</v>
      </c>
      <c r="M2852" s="85" t="s">
        <v>630</v>
      </c>
      <c r="N2852" s="128">
        <v>37055</v>
      </c>
      <c r="O2852" s="128">
        <f t="shared" si="115"/>
        <v>3112620</v>
      </c>
      <c r="P2852" s="125" t="s">
        <v>1988</v>
      </c>
      <c r="Q2852" s="85" t="s">
        <v>47</v>
      </c>
      <c r="R2852" s="214" t="s">
        <v>1869</v>
      </c>
      <c r="S2852" s="214" t="s">
        <v>1861</v>
      </c>
      <c r="T2852" s="85" t="s">
        <v>3887</v>
      </c>
      <c r="U2852" s="422" t="s">
        <v>1953</v>
      </c>
      <c r="V2852" s="422" t="s">
        <v>2813</v>
      </c>
    </row>
    <row r="2853" spans="1:22" ht="15.75" thickBot="1" x14ac:dyDescent="0.3">
      <c r="A2853" t="s">
        <v>1910</v>
      </c>
      <c r="B2853" t="s">
        <v>1910</v>
      </c>
      <c r="C2853" s="82" t="s">
        <v>1910</v>
      </c>
      <c r="D2853" s="83" t="s">
        <v>629</v>
      </c>
      <c r="E2853" s="251" t="s">
        <v>1951</v>
      </c>
      <c r="F2853" s="124" t="s">
        <v>620</v>
      </c>
      <c r="G2853" s="130">
        <v>1997</v>
      </c>
      <c r="H2853" s="125" t="s">
        <v>735</v>
      </c>
      <c r="I2853" s="311" t="str">
        <f t="shared" si="116"/>
        <v>Pesado de Passageiros M3: I : Gasóleo : E2</v>
      </c>
      <c r="J2853" s="125">
        <v>84</v>
      </c>
      <c r="K2853" s="253">
        <v>2022</v>
      </c>
      <c r="L2853" s="129">
        <v>16549.967400000001</v>
      </c>
      <c r="M2853" s="85" t="s">
        <v>630</v>
      </c>
      <c r="N2853" s="128">
        <v>31422</v>
      </c>
      <c r="O2853" s="128">
        <f t="shared" si="115"/>
        <v>2639448</v>
      </c>
      <c r="P2853" s="125" t="s">
        <v>2002</v>
      </c>
      <c r="Q2853" s="85" t="s">
        <v>47</v>
      </c>
      <c r="R2853" s="214" t="s">
        <v>1869</v>
      </c>
      <c r="S2853" s="214" t="s">
        <v>1861</v>
      </c>
      <c r="T2853" s="85" t="s">
        <v>3888</v>
      </c>
      <c r="U2853" s="422" t="s">
        <v>1953</v>
      </c>
      <c r="V2853" s="422" t="s">
        <v>2813</v>
      </c>
    </row>
    <row r="2854" spans="1:22" ht="15.75" thickBot="1" x14ac:dyDescent="0.3">
      <c r="A2854" t="s">
        <v>1910</v>
      </c>
      <c r="B2854" t="s">
        <v>1910</v>
      </c>
      <c r="C2854" s="82" t="s">
        <v>1910</v>
      </c>
      <c r="D2854" s="83" t="s">
        <v>629</v>
      </c>
      <c r="E2854" s="251" t="s">
        <v>1951</v>
      </c>
      <c r="F2854" s="124" t="s">
        <v>620</v>
      </c>
      <c r="G2854" s="130"/>
      <c r="H2854" s="125" t="s">
        <v>731</v>
      </c>
      <c r="I2854" s="311" t="str">
        <f t="shared" si="116"/>
        <v>Pesado de Passageiros M3: I : Gasóleo : E4</v>
      </c>
      <c r="J2854" s="125"/>
      <c r="K2854" s="253">
        <v>2022</v>
      </c>
      <c r="L2854" s="85">
        <v>12500.58</v>
      </c>
      <c r="M2854" s="85" t="s">
        <v>630</v>
      </c>
      <c r="N2854" s="128">
        <v>23586</v>
      </c>
      <c r="O2854" s="128">
        <f t="shared" si="115"/>
        <v>0</v>
      </c>
      <c r="P2854" s="125" t="s">
        <v>3308</v>
      </c>
      <c r="Q2854" s="85" t="s">
        <v>47</v>
      </c>
      <c r="R2854" s="214" t="s">
        <v>1869</v>
      </c>
      <c r="S2854" s="214" t="s">
        <v>1861</v>
      </c>
      <c r="T2854" s="85" t="s">
        <v>3889</v>
      </c>
      <c r="U2854" s="422" t="s">
        <v>1953</v>
      </c>
      <c r="V2854" s="422" t="s">
        <v>2813</v>
      </c>
    </row>
    <row r="2855" spans="1:22" ht="15.75" thickBot="1" x14ac:dyDescent="0.3">
      <c r="A2855" t="s">
        <v>1910</v>
      </c>
      <c r="B2855" t="s">
        <v>1910</v>
      </c>
      <c r="C2855" s="82" t="s">
        <v>1910</v>
      </c>
      <c r="D2855" s="83" t="s">
        <v>629</v>
      </c>
      <c r="E2855" s="251" t="s">
        <v>1951</v>
      </c>
      <c r="F2855" s="124" t="s">
        <v>620</v>
      </c>
      <c r="G2855" s="130">
        <v>2005</v>
      </c>
      <c r="H2855" s="125" t="s">
        <v>732</v>
      </c>
      <c r="I2855" s="311" t="str">
        <f t="shared" si="116"/>
        <v>Pesado de Passageiros M3: I : Gasóleo : E3</v>
      </c>
      <c r="J2855" s="125">
        <v>89</v>
      </c>
      <c r="K2855" s="253">
        <v>2022</v>
      </c>
      <c r="L2855" s="129">
        <v>28780.155499999997</v>
      </c>
      <c r="M2855" s="85" t="s">
        <v>630</v>
      </c>
      <c r="N2855" s="128">
        <v>54251</v>
      </c>
      <c r="O2855" s="128">
        <f t="shared" si="115"/>
        <v>4828339</v>
      </c>
      <c r="P2855" s="125" t="s">
        <v>2121</v>
      </c>
      <c r="Q2855" s="85" t="s">
        <v>47</v>
      </c>
      <c r="R2855" s="214" t="s">
        <v>1869</v>
      </c>
      <c r="S2855" s="214" t="s">
        <v>1861</v>
      </c>
      <c r="T2855" s="85" t="s">
        <v>3890</v>
      </c>
      <c r="U2855" s="422" t="s">
        <v>1953</v>
      </c>
      <c r="V2855" s="422" t="s">
        <v>2813</v>
      </c>
    </row>
    <row r="2856" spans="1:22" ht="15.75" thickBot="1" x14ac:dyDescent="0.3">
      <c r="A2856" t="s">
        <v>1910</v>
      </c>
      <c r="B2856" t="s">
        <v>1910</v>
      </c>
      <c r="C2856" s="82" t="s">
        <v>1910</v>
      </c>
      <c r="D2856" s="83" t="s">
        <v>629</v>
      </c>
      <c r="E2856" s="251" t="s">
        <v>1951</v>
      </c>
      <c r="F2856" s="124" t="s">
        <v>620</v>
      </c>
      <c r="G2856" s="130"/>
      <c r="H2856" s="125" t="s">
        <v>732</v>
      </c>
      <c r="I2856" s="311" t="str">
        <f t="shared" si="116"/>
        <v>Pesado de Passageiros M3: I : Gasóleo : E3</v>
      </c>
      <c r="J2856" s="125"/>
      <c r="K2856" s="253">
        <v>2022</v>
      </c>
      <c r="L2856" s="85">
        <v>13318.56</v>
      </c>
      <c r="M2856" s="85" t="s">
        <v>630</v>
      </c>
      <c r="N2856" s="128">
        <v>27747</v>
      </c>
      <c r="O2856" s="128">
        <f t="shared" si="115"/>
        <v>0</v>
      </c>
      <c r="P2856" s="125" t="s">
        <v>3323</v>
      </c>
      <c r="Q2856" s="85" t="s">
        <v>47</v>
      </c>
      <c r="R2856" s="214" t="s">
        <v>1869</v>
      </c>
      <c r="S2856" s="214" t="s">
        <v>1861</v>
      </c>
      <c r="T2856" s="85" t="s">
        <v>3442</v>
      </c>
      <c r="U2856" s="422" t="s">
        <v>1953</v>
      </c>
      <c r="V2856" s="422" t="s">
        <v>2813</v>
      </c>
    </row>
    <row r="2857" spans="1:22" ht="15.75" thickBot="1" x14ac:dyDescent="0.3">
      <c r="A2857" t="s">
        <v>1910</v>
      </c>
      <c r="B2857" t="s">
        <v>1910</v>
      </c>
      <c r="C2857" s="82" t="s">
        <v>1910</v>
      </c>
      <c r="D2857" s="83" t="s">
        <v>629</v>
      </c>
      <c r="E2857" s="251" t="s">
        <v>1951</v>
      </c>
      <c r="F2857" s="124" t="s">
        <v>620</v>
      </c>
      <c r="G2857" s="130">
        <v>2005</v>
      </c>
      <c r="H2857" s="125" t="s">
        <v>732</v>
      </c>
      <c r="I2857" s="311" t="str">
        <f t="shared" si="116"/>
        <v>Pesado de Passageiros M3: I : Gasóleo : E3</v>
      </c>
      <c r="J2857" s="125">
        <v>89</v>
      </c>
      <c r="K2857" s="253">
        <v>2022</v>
      </c>
      <c r="L2857" s="129">
        <v>24397.895100000002</v>
      </c>
      <c r="M2857" s="85" t="s">
        <v>630</v>
      </c>
      <c r="N2857" s="128">
        <v>43889</v>
      </c>
      <c r="O2857" s="128">
        <f t="shared" si="115"/>
        <v>3906121</v>
      </c>
      <c r="P2857" s="125" t="s">
        <v>2122</v>
      </c>
      <c r="Q2857" s="85" t="s">
        <v>47</v>
      </c>
      <c r="R2857" s="214" t="s">
        <v>1869</v>
      </c>
      <c r="S2857" s="214" t="s">
        <v>1861</v>
      </c>
      <c r="T2857" s="85" t="s">
        <v>3891</v>
      </c>
      <c r="U2857" s="422" t="s">
        <v>1953</v>
      </c>
      <c r="V2857" s="422" t="s">
        <v>2813</v>
      </c>
    </row>
    <row r="2858" spans="1:22" ht="15.75" thickBot="1" x14ac:dyDescent="0.3">
      <c r="A2858" t="s">
        <v>1910</v>
      </c>
      <c r="B2858" t="s">
        <v>1910</v>
      </c>
      <c r="C2858" s="82" t="s">
        <v>1910</v>
      </c>
      <c r="D2858" s="83" t="s">
        <v>629</v>
      </c>
      <c r="E2858" s="251" t="s">
        <v>1951</v>
      </c>
      <c r="F2858" s="124" t="s">
        <v>620</v>
      </c>
      <c r="G2858" s="130">
        <v>2005</v>
      </c>
      <c r="H2858" s="125" t="s">
        <v>732</v>
      </c>
      <c r="I2858" s="311" t="str">
        <f t="shared" si="116"/>
        <v>Pesado de Passageiros M3: I : Gasóleo : E3</v>
      </c>
      <c r="J2858" s="125">
        <v>89</v>
      </c>
      <c r="K2858" s="253">
        <v>2022</v>
      </c>
      <c r="L2858" s="129">
        <v>19585.125</v>
      </c>
      <c r="M2858" s="85" t="s">
        <v>630</v>
      </c>
      <c r="N2858" s="128">
        <v>37305</v>
      </c>
      <c r="O2858" s="128">
        <f t="shared" si="115"/>
        <v>3320145</v>
      </c>
      <c r="P2858" s="125" t="s">
        <v>2123</v>
      </c>
      <c r="Q2858" s="85" t="s">
        <v>47</v>
      </c>
      <c r="R2858" s="214" t="s">
        <v>1869</v>
      </c>
      <c r="S2858" s="214" t="s">
        <v>1861</v>
      </c>
      <c r="T2858" s="85" t="s">
        <v>3892</v>
      </c>
      <c r="U2858" s="422" t="s">
        <v>1953</v>
      </c>
      <c r="V2858" s="422" t="s">
        <v>2813</v>
      </c>
    </row>
    <row r="2859" spans="1:22" ht="15.75" thickBot="1" x14ac:dyDescent="0.3">
      <c r="A2859" t="s">
        <v>1910</v>
      </c>
      <c r="B2859" t="s">
        <v>1910</v>
      </c>
      <c r="C2859" s="82" t="s">
        <v>1910</v>
      </c>
      <c r="D2859" s="83" t="s">
        <v>629</v>
      </c>
      <c r="E2859" s="251" t="s">
        <v>1951</v>
      </c>
      <c r="F2859" s="124" t="s">
        <v>620</v>
      </c>
      <c r="G2859" s="130"/>
      <c r="H2859" s="125" t="s">
        <v>732</v>
      </c>
      <c r="I2859" s="311" t="str">
        <f t="shared" si="116"/>
        <v>Pesado de Passageiros M3: I : Gasóleo : E3</v>
      </c>
      <c r="J2859" s="125"/>
      <c r="K2859" s="253">
        <v>2022</v>
      </c>
      <c r="L2859" s="85">
        <v>19484.64</v>
      </c>
      <c r="M2859" s="85" t="s">
        <v>630</v>
      </c>
      <c r="N2859" s="128">
        <v>40593</v>
      </c>
      <c r="O2859" s="128">
        <f t="shared" si="115"/>
        <v>0</v>
      </c>
      <c r="P2859" s="125" t="s">
        <v>3324</v>
      </c>
      <c r="Q2859" s="85" t="s">
        <v>47</v>
      </c>
      <c r="R2859" s="214" t="s">
        <v>1869</v>
      </c>
      <c r="S2859" s="214" t="s">
        <v>1861</v>
      </c>
      <c r="T2859" s="85" t="s">
        <v>3443</v>
      </c>
      <c r="U2859" s="422" t="s">
        <v>1953</v>
      </c>
      <c r="V2859" s="422" t="s">
        <v>2813</v>
      </c>
    </row>
    <row r="2860" spans="1:22" ht="15.75" thickBot="1" x14ac:dyDescent="0.3">
      <c r="A2860" t="s">
        <v>1910</v>
      </c>
      <c r="B2860" t="s">
        <v>1910</v>
      </c>
      <c r="C2860" s="82" t="s">
        <v>1910</v>
      </c>
      <c r="D2860" s="83" t="s">
        <v>629</v>
      </c>
      <c r="E2860" s="251" t="s">
        <v>1951</v>
      </c>
      <c r="F2860" s="124" t="s">
        <v>620</v>
      </c>
      <c r="G2860" s="130">
        <v>2005</v>
      </c>
      <c r="H2860" s="125" t="s">
        <v>732</v>
      </c>
      <c r="I2860" s="311" t="str">
        <f t="shared" si="116"/>
        <v>Pesado de Passageiros M3: I : Gasóleo : E3</v>
      </c>
      <c r="J2860" s="125">
        <v>89</v>
      </c>
      <c r="K2860" s="253">
        <v>2022</v>
      </c>
      <c r="L2860" s="129">
        <v>22445.665199999999</v>
      </c>
      <c r="M2860" s="85" t="s">
        <v>630</v>
      </c>
      <c r="N2860" s="128">
        <v>45612</v>
      </c>
      <c r="O2860" s="128">
        <f t="shared" si="115"/>
        <v>4059468</v>
      </c>
      <c r="P2860" s="125" t="s">
        <v>2124</v>
      </c>
      <c r="Q2860" s="85" t="s">
        <v>47</v>
      </c>
      <c r="R2860" s="214" t="s">
        <v>1869</v>
      </c>
      <c r="S2860" s="214" t="s">
        <v>1861</v>
      </c>
      <c r="T2860" s="85" t="s">
        <v>3893</v>
      </c>
      <c r="U2860" s="422" t="s">
        <v>1953</v>
      </c>
      <c r="V2860" s="422" t="s">
        <v>2813</v>
      </c>
    </row>
    <row r="2861" spans="1:22" ht="15.75" thickBot="1" x14ac:dyDescent="0.3">
      <c r="A2861" t="s">
        <v>1910</v>
      </c>
      <c r="B2861" t="s">
        <v>1910</v>
      </c>
      <c r="C2861" s="82" t="s">
        <v>1910</v>
      </c>
      <c r="D2861" s="83" t="s">
        <v>629</v>
      </c>
      <c r="E2861" s="251" t="s">
        <v>1951</v>
      </c>
      <c r="F2861" s="124" t="s">
        <v>620</v>
      </c>
      <c r="G2861" s="130">
        <v>1996</v>
      </c>
      <c r="H2861" s="125" t="s">
        <v>736</v>
      </c>
      <c r="I2861" s="311" t="str">
        <f t="shared" si="116"/>
        <v>Pesado de Passageiros M3: I : Gasóleo : E1</v>
      </c>
      <c r="J2861" s="125">
        <v>84</v>
      </c>
      <c r="K2861" s="253">
        <v>2022</v>
      </c>
      <c r="L2861" s="129">
        <v>13402.752</v>
      </c>
      <c r="M2861" s="85" t="s">
        <v>630</v>
      </c>
      <c r="N2861" s="128">
        <v>26752</v>
      </c>
      <c r="O2861" s="128">
        <f t="shared" si="115"/>
        <v>2247168</v>
      </c>
      <c r="P2861" s="125" t="s">
        <v>2137</v>
      </c>
      <c r="Q2861" s="85" t="s">
        <v>47</v>
      </c>
      <c r="R2861" s="214" t="s">
        <v>1869</v>
      </c>
      <c r="S2861" s="214" t="s">
        <v>1861</v>
      </c>
      <c r="T2861" s="85" t="s">
        <v>3894</v>
      </c>
      <c r="U2861" s="422" t="s">
        <v>1953</v>
      </c>
      <c r="V2861" s="422" t="s">
        <v>2813</v>
      </c>
    </row>
    <row r="2862" spans="1:22" ht="15.75" thickBot="1" x14ac:dyDescent="0.3">
      <c r="A2862" t="s">
        <v>1910</v>
      </c>
      <c r="B2862" t="s">
        <v>1910</v>
      </c>
      <c r="C2862" s="82" t="s">
        <v>1910</v>
      </c>
      <c r="D2862" s="83" t="s">
        <v>629</v>
      </c>
      <c r="E2862" s="251" t="s">
        <v>1951</v>
      </c>
      <c r="F2862" s="124" t="s">
        <v>620</v>
      </c>
      <c r="G2862" s="130">
        <v>2009</v>
      </c>
      <c r="H2862" s="125" t="s">
        <v>731</v>
      </c>
      <c r="I2862" s="311" t="str">
        <f t="shared" si="116"/>
        <v>Pesado de Passageiros M3: I : Gasóleo : E4</v>
      </c>
      <c r="J2862" s="125">
        <v>21</v>
      </c>
      <c r="K2862" s="253">
        <v>2022</v>
      </c>
      <c r="L2862" s="129">
        <v>9242.3485000000001</v>
      </c>
      <c r="M2862" s="85" t="s">
        <v>630</v>
      </c>
      <c r="N2862" s="128">
        <v>39413</v>
      </c>
      <c r="O2862" s="128">
        <f t="shared" si="115"/>
        <v>827673</v>
      </c>
      <c r="P2862" s="125" t="s">
        <v>1966</v>
      </c>
      <c r="Q2862" s="85" t="s">
        <v>47</v>
      </c>
      <c r="R2862" s="214" t="s">
        <v>1869</v>
      </c>
      <c r="S2862" s="214" t="s">
        <v>1861</v>
      </c>
      <c r="T2862" s="85" t="s">
        <v>3895</v>
      </c>
      <c r="U2862" s="422" t="s">
        <v>1953</v>
      </c>
      <c r="V2862" s="422" t="s">
        <v>2813</v>
      </c>
    </row>
    <row r="2863" spans="1:22" ht="15.75" thickBot="1" x14ac:dyDescent="0.3">
      <c r="A2863" t="s">
        <v>1910</v>
      </c>
      <c r="B2863" t="s">
        <v>1910</v>
      </c>
      <c r="C2863" s="82" t="s">
        <v>1910</v>
      </c>
      <c r="D2863" s="83" t="s">
        <v>629</v>
      </c>
      <c r="E2863" s="251" t="s">
        <v>1951</v>
      </c>
      <c r="F2863" s="124" t="s">
        <v>620</v>
      </c>
      <c r="G2863" s="130">
        <v>2005</v>
      </c>
      <c r="H2863" s="125" t="s">
        <v>732</v>
      </c>
      <c r="I2863" s="311" t="str">
        <f t="shared" si="116"/>
        <v>Pesado de Passageiros M3: I : Gasóleo : E3</v>
      </c>
      <c r="J2863" s="125">
        <v>93</v>
      </c>
      <c r="K2863" s="253">
        <v>2022</v>
      </c>
      <c r="L2863" s="129">
        <v>27955.572</v>
      </c>
      <c r="M2863" s="85" t="s">
        <v>630</v>
      </c>
      <c r="N2863" s="128">
        <v>58460</v>
      </c>
      <c r="O2863" s="128">
        <f t="shared" si="115"/>
        <v>5436780</v>
      </c>
      <c r="P2863" s="125" t="s">
        <v>2110</v>
      </c>
      <c r="Q2863" s="85" t="s">
        <v>47</v>
      </c>
      <c r="R2863" s="214" t="s">
        <v>1869</v>
      </c>
      <c r="S2863" s="214" t="s">
        <v>1861</v>
      </c>
      <c r="T2863" s="85" t="s">
        <v>3896</v>
      </c>
      <c r="U2863" s="422" t="s">
        <v>1953</v>
      </c>
      <c r="V2863" s="422" t="s">
        <v>2813</v>
      </c>
    </row>
    <row r="2864" spans="1:22" ht="15.75" thickBot="1" x14ac:dyDescent="0.3">
      <c r="A2864" t="s">
        <v>1910</v>
      </c>
      <c r="B2864" t="s">
        <v>1910</v>
      </c>
      <c r="C2864" s="82" t="s">
        <v>1910</v>
      </c>
      <c r="D2864" s="83" t="s">
        <v>629</v>
      </c>
      <c r="E2864" s="251" t="s">
        <v>1951</v>
      </c>
      <c r="F2864" s="124" t="s">
        <v>620</v>
      </c>
      <c r="G2864" s="130"/>
      <c r="H2864" s="125" t="s">
        <v>732</v>
      </c>
      <c r="I2864" s="311" t="str">
        <f t="shared" si="116"/>
        <v>Pesado de Passageiros M3: I : Gasóleo : E3</v>
      </c>
      <c r="J2864" s="125"/>
      <c r="K2864" s="253">
        <v>2022</v>
      </c>
      <c r="L2864" s="85">
        <v>25540.35</v>
      </c>
      <c r="M2864" s="85" t="s">
        <v>630</v>
      </c>
      <c r="N2864" s="128">
        <v>46437</v>
      </c>
      <c r="O2864" s="128">
        <f t="shared" si="115"/>
        <v>0</v>
      </c>
      <c r="P2864" s="125" t="s">
        <v>3321</v>
      </c>
      <c r="Q2864" s="85" t="s">
        <v>47</v>
      </c>
      <c r="R2864" s="214" t="s">
        <v>1869</v>
      </c>
      <c r="S2864" s="214" t="s">
        <v>1861</v>
      </c>
      <c r="T2864" s="85" t="s">
        <v>3441</v>
      </c>
      <c r="U2864" s="422" t="s">
        <v>1953</v>
      </c>
      <c r="V2864" s="422" t="s">
        <v>2813</v>
      </c>
    </row>
    <row r="2865" spans="1:22" ht="15.75" thickBot="1" x14ac:dyDescent="0.3">
      <c r="A2865" t="s">
        <v>1910</v>
      </c>
      <c r="B2865" t="s">
        <v>1910</v>
      </c>
      <c r="C2865" s="82" t="s">
        <v>1910</v>
      </c>
      <c r="D2865" s="83" t="s">
        <v>629</v>
      </c>
      <c r="E2865" s="251" t="s">
        <v>1951</v>
      </c>
      <c r="F2865" s="124" t="s">
        <v>620</v>
      </c>
      <c r="G2865" s="130"/>
      <c r="H2865" s="125" t="s">
        <v>731</v>
      </c>
      <c r="I2865" s="311" t="str">
        <f t="shared" si="116"/>
        <v>Pesado de Passageiros M3: I : Gasóleo : E4</v>
      </c>
      <c r="J2865" s="125"/>
      <c r="K2865" s="253">
        <v>2022</v>
      </c>
      <c r="L2865" s="85">
        <v>10402.98</v>
      </c>
      <c r="M2865" s="85" t="s">
        <v>630</v>
      </c>
      <c r="N2865" s="128">
        <v>20398</v>
      </c>
      <c r="O2865" s="128">
        <f t="shared" ref="O2865:O2928" si="117">N2865*J2865</f>
        <v>0</v>
      </c>
      <c r="P2865" s="125" t="s">
        <v>3341</v>
      </c>
      <c r="Q2865" s="85" t="s">
        <v>47</v>
      </c>
      <c r="R2865" s="214" t="s">
        <v>1869</v>
      </c>
      <c r="S2865" s="214" t="s">
        <v>1861</v>
      </c>
      <c r="T2865" s="85" t="s">
        <v>3451</v>
      </c>
      <c r="U2865" s="422" t="s">
        <v>1953</v>
      </c>
      <c r="V2865" s="422" t="s">
        <v>2813</v>
      </c>
    </row>
    <row r="2866" spans="1:22" ht="15.75" thickBot="1" x14ac:dyDescent="0.3">
      <c r="A2866" t="s">
        <v>1910</v>
      </c>
      <c r="B2866" t="s">
        <v>1910</v>
      </c>
      <c r="C2866" s="82" t="s">
        <v>1910</v>
      </c>
      <c r="D2866" s="83" t="s">
        <v>629</v>
      </c>
      <c r="E2866" s="251" t="s">
        <v>1951</v>
      </c>
      <c r="F2866" s="124" t="s">
        <v>620</v>
      </c>
      <c r="G2866" s="130"/>
      <c r="H2866" s="125" t="s">
        <v>732</v>
      </c>
      <c r="I2866" s="311" t="str">
        <f t="shared" si="116"/>
        <v>Pesado de Passageiros M3: I : Gasóleo : E3</v>
      </c>
      <c r="J2866" s="125"/>
      <c r="K2866" s="253">
        <v>2022</v>
      </c>
      <c r="L2866" s="242">
        <v>15634.65</v>
      </c>
      <c r="M2866" s="85" t="s">
        <v>630</v>
      </c>
      <c r="N2866" s="128">
        <v>31568</v>
      </c>
      <c r="O2866" s="128">
        <f t="shared" si="117"/>
        <v>0</v>
      </c>
      <c r="P2866" s="125" t="s">
        <v>3363</v>
      </c>
      <c r="Q2866" s="85" t="s">
        <v>47</v>
      </c>
      <c r="R2866" s="214" t="s">
        <v>1869</v>
      </c>
      <c r="S2866" s="214" t="s">
        <v>1861</v>
      </c>
      <c r="T2866" s="85" t="s">
        <v>3459</v>
      </c>
      <c r="U2866" s="422" t="s">
        <v>1953</v>
      </c>
      <c r="V2866" s="422" t="s">
        <v>2813</v>
      </c>
    </row>
    <row r="2867" spans="1:22" ht="15.75" thickBot="1" x14ac:dyDescent="0.3">
      <c r="A2867" t="s">
        <v>1910</v>
      </c>
      <c r="B2867" t="s">
        <v>1910</v>
      </c>
      <c r="C2867" s="82" t="s">
        <v>1910</v>
      </c>
      <c r="D2867" s="83" t="s">
        <v>629</v>
      </c>
      <c r="E2867" s="251" t="s">
        <v>1951</v>
      </c>
      <c r="F2867" s="124" t="s">
        <v>620</v>
      </c>
      <c r="G2867" s="130"/>
      <c r="H2867" s="125" t="s">
        <v>732</v>
      </c>
      <c r="I2867" s="311" t="str">
        <f t="shared" si="116"/>
        <v>Pesado de Passageiros M3: I : Gasóleo : E3</v>
      </c>
      <c r="J2867" s="125"/>
      <c r="K2867" s="253">
        <v>2022</v>
      </c>
      <c r="L2867" s="242">
        <v>4378.8999999999996</v>
      </c>
      <c r="M2867" s="85" t="s">
        <v>630</v>
      </c>
      <c r="N2867" s="128">
        <v>8861</v>
      </c>
      <c r="O2867" s="128">
        <f t="shared" si="117"/>
        <v>0</v>
      </c>
      <c r="P2867" s="125" t="s">
        <v>3372</v>
      </c>
      <c r="Q2867" s="85" t="s">
        <v>47</v>
      </c>
      <c r="R2867" s="214" t="s">
        <v>1869</v>
      </c>
      <c r="S2867" s="214" t="s">
        <v>1861</v>
      </c>
      <c r="T2867" s="85" t="s">
        <v>3897</v>
      </c>
      <c r="U2867" s="422" t="s">
        <v>1953</v>
      </c>
      <c r="V2867" s="422" t="s">
        <v>2813</v>
      </c>
    </row>
    <row r="2868" spans="1:22" ht="15.75" thickBot="1" x14ac:dyDescent="0.3">
      <c r="A2868" t="s">
        <v>1910</v>
      </c>
      <c r="B2868" t="s">
        <v>1910</v>
      </c>
      <c r="C2868" s="82" t="s">
        <v>1910</v>
      </c>
      <c r="D2868" s="83" t="s">
        <v>629</v>
      </c>
      <c r="E2868" s="251" t="s">
        <v>1951</v>
      </c>
      <c r="F2868" s="124" t="s">
        <v>620</v>
      </c>
      <c r="G2868" s="130">
        <v>2007</v>
      </c>
      <c r="H2868" s="125" t="s">
        <v>731</v>
      </c>
      <c r="I2868" s="311" t="str">
        <f t="shared" si="116"/>
        <v>Pesado de Passageiros M3: I : Gasóleo : E4</v>
      </c>
      <c r="J2868" s="125">
        <v>59</v>
      </c>
      <c r="K2868" s="253">
        <v>2022</v>
      </c>
      <c r="L2868" s="129">
        <v>32452.897399999998</v>
      </c>
      <c r="M2868" s="85" t="s">
        <v>630</v>
      </c>
      <c r="N2868" s="128">
        <v>66803</v>
      </c>
      <c r="O2868" s="128">
        <f t="shared" si="117"/>
        <v>3941377</v>
      </c>
      <c r="P2868" s="125" t="s">
        <v>2020</v>
      </c>
      <c r="Q2868" s="85" t="s">
        <v>47</v>
      </c>
      <c r="R2868" s="214" t="s">
        <v>1869</v>
      </c>
      <c r="S2868" s="214" t="s">
        <v>1861</v>
      </c>
      <c r="T2868" s="85" t="s">
        <v>3898</v>
      </c>
      <c r="U2868" s="422" t="s">
        <v>1953</v>
      </c>
      <c r="V2868" s="422" t="s">
        <v>2813</v>
      </c>
    </row>
    <row r="2869" spans="1:22" ht="15.75" thickBot="1" x14ac:dyDescent="0.3">
      <c r="A2869" t="s">
        <v>1910</v>
      </c>
      <c r="B2869" t="s">
        <v>1910</v>
      </c>
      <c r="C2869" s="82" t="s">
        <v>1910</v>
      </c>
      <c r="D2869" s="83" t="s">
        <v>629</v>
      </c>
      <c r="E2869" s="251" t="s">
        <v>1951</v>
      </c>
      <c r="F2869" s="124" t="s">
        <v>620</v>
      </c>
      <c r="G2869" s="130">
        <v>2007</v>
      </c>
      <c r="H2869" s="125" t="s">
        <v>731</v>
      </c>
      <c r="I2869" s="311" t="str">
        <f t="shared" si="116"/>
        <v>Pesado de Passageiros M3: I : Gasóleo : E4</v>
      </c>
      <c r="J2869" s="125">
        <v>59</v>
      </c>
      <c r="K2869" s="253">
        <v>2022</v>
      </c>
      <c r="L2869" s="129">
        <v>35760.452000000005</v>
      </c>
      <c r="M2869" s="85" t="s">
        <v>630</v>
      </c>
      <c r="N2869" s="128">
        <v>75127</v>
      </c>
      <c r="O2869" s="128">
        <f t="shared" si="117"/>
        <v>4432493</v>
      </c>
      <c r="P2869" s="125" t="s">
        <v>2023</v>
      </c>
      <c r="Q2869" s="85" t="s">
        <v>47</v>
      </c>
      <c r="R2869" s="214" t="s">
        <v>1869</v>
      </c>
      <c r="S2869" s="214" t="s">
        <v>1861</v>
      </c>
      <c r="T2869" s="85" t="s">
        <v>3899</v>
      </c>
      <c r="U2869" s="422" t="s">
        <v>1953</v>
      </c>
      <c r="V2869" s="422" t="s">
        <v>2813</v>
      </c>
    </row>
    <row r="2870" spans="1:22" ht="15.75" thickBot="1" x14ac:dyDescent="0.3">
      <c r="A2870" t="s">
        <v>1910</v>
      </c>
      <c r="B2870" t="s">
        <v>1910</v>
      </c>
      <c r="C2870" s="82" t="s">
        <v>1910</v>
      </c>
      <c r="D2870" s="83" t="s">
        <v>629</v>
      </c>
      <c r="E2870" s="251" t="s">
        <v>1951</v>
      </c>
      <c r="F2870" s="124" t="s">
        <v>620</v>
      </c>
      <c r="G2870" s="130">
        <v>2007</v>
      </c>
      <c r="H2870" s="125" t="s">
        <v>731</v>
      </c>
      <c r="I2870" s="311" t="str">
        <f t="shared" ref="I2870:I2933" si="118">D2870&amp;": "&amp;E2870&amp;" : "&amp;F2870&amp;" : "&amp;H2870</f>
        <v>Pesado de Passageiros M3: I : Gasóleo : E4</v>
      </c>
      <c r="J2870" s="125">
        <v>59</v>
      </c>
      <c r="K2870" s="253">
        <v>2022</v>
      </c>
      <c r="L2870" s="129">
        <v>29742.281999999996</v>
      </c>
      <c r="M2870" s="85" t="s">
        <v>630</v>
      </c>
      <c r="N2870" s="128">
        <v>64798</v>
      </c>
      <c r="O2870" s="128">
        <f t="shared" si="117"/>
        <v>3823082</v>
      </c>
      <c r="P2870" s="125" t="s">
        <v>2022</v>
      </c>
      <c r="Q2870" s="85" t="s">
        <v>47</v>
      </c>
      <c r="R2870" s="214" t="s">
        <v>1869</v>
      </c>
      <c r="S2870" s="214" t="s">
        <v>1861</v>
      </c>
      <c r="T2870" s="85" t="s">
        <v>3900</v>
      </c>
      <c r="U2870" s="422" t="s">
        <v>1953</v>
      </c>
      <c r="V2870" s="422" t="s">
        <v>2813</v>
      </c>
    </row>
    <row r="2871" spans="1:22" ht="15.75" thickBot="1" x14ac:dyDescent="0.3">
      <c r="A2871" t="s">
        <v>1910</v>
      </c>
      <c r="B2871" t="s">
        <v>1910</v>
      </c>
      <c r="C2871" s="82" t="s">
        <v>1910</v>
      </c>
      <c r="D2871" s="83" t="s">
        <v>629</v>
      </c>
      <c r="E2871" s="251" t="s">
        <v>1951</v>
      </c>
      <c r="F2871" s="124" t="s">
        <v>620</v>
      </c>
      <c r="G2871" s="130">
        <v>2002</v>
      </c>
      <c r="H2871" s="125" t="s">
        <v>732</v>
      </c>
      <c r="I2871" s="311" t="str">
        <f t="shared" si="118"/>
        <v>Pesado de Passageiros M3: I : Gasóleo : E3</v>
      </c>
      <c r="J2871" s="125">
        <v>97</v>
      </c>
      <c r="K2871" s="253">
        <v>2022</v>
      </c>
      <c r="L2871" s="129">
        <v>22845.0396</v>
      </c>
      <c r="M2871" s="85" t="s">
        <v>630</v>
      </c>
      <c r="N2871" s="128">
        <v>43899</v>
      </c>
      <c r="O2871" s="128">
        <f t="shared" si="117"/>
        <v>4258203</v>
      </c>
      <c r="P2871" s="125" t="s">
        <v>2107</v>
      </c>
      <c r="Q2871" s="85" t="s">
        <v>47</v>
      </c>
      <c r="R2871" s="214" t="s">
        <v>1869</v>
      </c>
      <c r="S2871" s="214" t="s">
        <v>1861</v>
      </c>
      <c r="T2871" s="85" t="s">
        <v>3901</v>
      </c>
      <c r="U2871" s="422" t="s">
        <v>1953</v>
      </c>
      <c r="V2871" s="422" t="s">
        <v>2813</v>
      </c>
    </row>
    <row r="2872" spans="1:22" ht="15.75" thickBot="1" x14ac:dyDescent="0.3">
      <c r="A2872" t="s">
        <v>1910</v>
      </c>
      <c r="B2872" t="s">
        <v>1910</v>
      </c>
      <c r="C2872" s="82" t="s">
        <v>1910</v>
      </c>
      <c r="D2872" s="83" t="s">
        <v>629</v>
      </c>
      <c r="E2872" s="251" t="s">
        <v>1951</v>
      </c>
      <c r="F2872" s="124" t="s">
        <v>620</v>
      </c>
      <c r="G2872" s="130">
        <v>2010</v>
      </c>
      <c r="H2872" s="125" t="s">
        <v>734</v>
      </c>
      <c r="I2872" s="311" t="str">
        <f t="shared" si="118"/>
        <v>Pesado de Passageiros M3: I : Gasóleo : E5</v>
      </c>
      <c r="J2872" s="125">
        <v>57</v>
      </c>
      <c r="K2872" s="253">
        <v>2022</v>
      </c>
      <c r="L2872" s="129">
        <v>9371.4599999999991</v>
      </c>
      <c r="M2872" s="85" t="s">
        <v>630</v>
      </c>
      <c r="N2872" s="128">
        <v>22313</v>
      </c>
      <c r="O2872" s="128">
        <f t="shared" si="117"/>
        <v>1271841</v>
      </c>
      <c r="P2872" s="125" t="s">
        <v>1955</v>
      </c>
      <c r="Q2872" s="85" t="s">
        <v>47</v>
      </c>
      <c r="R2872" s="214" t="s">
        <v>1869</v>
      </c>
      <c r="S2872" s="214" t="s">
        <v>1861</v>
      </c>
      <c r="T2872" s="85" t="s">
        <v>3902</v>
      </c>
      <c r="U2872" s="422" t="s">
        <v>1953</v>
      </c>
      <c r="V2872" s="422" t="s">
        <v>2813</v>
      </c>
    </row>
    <row r="2873" spans="1:22" ht="15.75" thickBot="1" x14ac:dyDescent="0.3">
      <c r="A2873" t="s">
        <v>1910</v>
      </c>
      <c r="B2873" t="s">
        <v>1910</v>
      </c>
      <c r="C2873" s="82" t="s">
        <v>1910</v>
      </c>
      <c r="D2873" s="83" t="s">
        <v>629</v>
      </c>
      <c r="E2873" s="251" t="s">
        <v>1951</v>
      </c>
      <c r="F2873" s="124" t="s">
        <v>620</v>
      </c>
      <c r="G2873" s="130">
        <v>2010</v>
      </c>
      <c r="H2873" s="125" t="s">
        <v>734</v>
      </c>
      <c r="I2873" s="311" t="str">
        <f t="shared" si="118"/>
        <v>Pesado de Passageiros M3: I : Gasóleo : E5</v>
      </c>
      <c r="J2873" s="125">
        <v>88</v>
      </c>
      <c r="K2873" s="253">
        <v>2022</v>
      </c>
      <c r="L2873" s="129">
        <v>32460.240000000002</v>
      </c>
      <c r="M2873" s="85" t="s">
        <v>630</v>
      </c>
      <c r="N2873" s="128">
        <v>64100</v>
      </c>
      <c r="O2873" s="128">
        <f t="shared" si="117"/>
        <v>5640800</v>
      </c>
      <c r="P2873" s="125" t="s">
        <v>2115</v>
      </c>
      <c r="Q2873" s="85" t="s">
        <v>47</v>
      </c>
      <c r="R2873" s="214" t="s">
        <v>1869</v>
      </c>
      <c r="S2873" s="214" t="s">
        <v>1861</v>
      </c>
      <c r="T2873" s="85" t="s">
        <v>3903</v>
      </c>
      <c r="U2873" s="422" t="s">
        <v>1953</v>
      </c>
      <c r="V2873" s="422" t="s">
        <v>2813</v>
      </c>
    </row>
    <row r="2874" spans="1:22" ht="15.75" thickBot="1" x14ac:dyDescent="0.3">
      <c r="A2874" t="s">
        <v>1910</v>
      </c>
      <c r="B2874" t="s">
        <v>1910</v>
      </c>
      <c r="C2874" s="82" t="s">
        <v>1910</v>
      </c>
      <c r="D2874" s="83" t="s">
        <v>629</v>
      </c>
      <c r="E2874" s="251" t="s">
        <v>1951</v>
      </c>
      <c r="F2874" s="124" t="s">
        <v>620</v>
      </c>
      <c r="G2874" s="130"/>
      <c r="H2874" s="125" t="s">
        <v>732</v>
      </c>
      <c r="I2874" s="311" t="str">
        <f t="shared" si="118"/>
        <v>Pesado de Passageiros M3: I : Gasóleo : E3</v>
      </c>
      <c r="J2874" s="125"/>
      <c r="K2874" s="253">
        <v>2022</v>
      </c>
      <c r="L2874" s="85">
        <v>15227.85</v>
      </c>
      <c r="M2874" s="85" t="s">
        <v>630</v>
      </c>
      <c r="N2874" s="128">
        <v>27687</v>
      </c>
      <c r="O2874" s="128">
        <f t="shared" si="117"/>
        <v>0</v>
      </c>
      <c r="P2874" s="125" t="s">
        <v>3367</v>
      </c>
      <c r="Q2874" s="85" t="s">
        <v>47</v>
      </c>
      <c r="R2874" s="214" t="s">
        <v>1869</v>
      </c>
      <c r="S2874" s="214" t="s">
        <v>1861</v>
      </c>
      <c r="T2874" s="85" t="s">
        <v>3904</v>
      </c>
      <c r="U2874" s="422" t="s">
        <v>1953</v>
      </c>
      <c r="V2874" s="422" t="s">
        <v>2813</v>
      </c>
    </row>
    <row r="2875" spans="1:22" ht="15.75" thickBot="1" x14ac:dyDescent="0.3">
      <c r="A2875" t="s">
        <v>1910</v>
      </c>
      <c r="B2875" t="s">
        <v>1910</v>
      </c>
      <c r="C2875" s="82" t="s">
        <v>1910</v>
      </c>
      <c r="D2875" s="83" t="s">
        <v>629</v>
      </c>
      <c r="E2875" s="251" t="s">
        <v>1951</v>
      </c>
      <c r="F2875" s="124" t="s">
        <v>620</v>
      </c>
      <c r="G2875" s="130">
        <v>2004</v>
      </c>
      <c r="H2875" s="125" t="s">
        <v>732</v>
      </c>
      <c r="I2875" s="311" t="str">
        <f t="shared" si="118"/>
        <v>Pesado de Passageiros M3: I : Gasóleo : E3</v>
      </c>
      <c r="J2875" s="125">
        <v>54</v>
      </c>
      <c r="K2875" s="253">
        <v>2022</v>
      </c>
      <c r="L2875" s="129">
        <v>11432.858999999999</v>
      </c>
      <c r="M2875" s="85" t="s">
        <v>630</v>
      </c>
      <c r="N2875" s="128">
        <v>24693</v>
      </c>
      <c r="O2875" s="128">
        <f t="shared" si="117"/>
        <v>1333422</v>
      </c>
      <c r="P2875" s="125" t="s">
        <v>1978</v>
      </c>
      <c r="Q2875" s="85" t="s">
        <v>47</v>
      </c>
      <c r="R2875" s="214" t="s">
        <v>1869</v>
      </c>
      <c r="S2875" s="214" t="s">
        <v>1861</v>
      </c>
      <c r="T2875" s="85" t="s">
        <v>3905</v>
      </c>
      <c r="U2875" s="422" t="s">
        <v>1953</v>
      </c>
      <c r="V2875" s="422" t="s">
        <v>2813</v>
      </c>
    </row>
    <row r="2876" spans="1:22" ht="15.75" thickBot="1" x14ac:dyDescent="0.3">
      <c r="A2876" t="s">
        <v>1910</v>
      </c>
      <c r="B2876" t="s">
        <v>1910</v>
      </c>
      <c r="C2876" s="82" t="s">
        <v>1910</v>
      </c>
      <c r="D2876" s="83" t="s">
        <v>629</v>
      </c>
      <c r="E2876" s="251" t="s">
        <v>1951</v>
      </c>
      <c r="F2876" s="124" t="s">
        <v>620</v>
      </c>
      <c r="G2876" s="130"/>
      <c r="H2876" s="125" t="s">
        <v>731</v>
      </c>
      <c r="I2876" s="311" t="str">
        <f t="shared" si="118"/>
        <v>Pesado de Passageiros M3: I : Gasóleo : E4</v>
      </c>
      <c r="J2876" s="125"/>
      <c r="K2876" s="253">
        <v>2022</v>
      </c>
      <c r="L2876" s="85">
        <v>10562.95</v>
      </c>
      <c r="M2876" s="85" t="s">
        <v>630</v>
      </c>
      <c r="N2876" s="128">
        <v>24565</v>
      </c>
      <c r="O2876" s="128">
        <f t="shared" si="117"/>
        <v>0</v>
      </c>
      <c r="P2876" s="125" t="s">
        <v>3301</v>
      </c>
      <c r="Q2876" s="85" t="s">
        <v>47</v>
      </c>
      <c r="R2876" s="214" t="s">
        <v>1869</v>
      </c>
      <c r="S2876" s="214" t="s">
        <v>1861</v>
      </c>
      <c r="T2876" s="85" t="s">
        <v>3906</v>
      </c>
      <c r="U2876" s="422" t="s">
        <v>1953</v>
      </c>
      <c r="V2876" s="422" t="s">
        <v>2813</v>
      </c>
    </row>
    <row r="2877" spans="1:22" ht="15.75" thickBot="1" x14ac:dyDescent="0.3">
      <c r="A2877" t="s">
        <v>1910</v>
      </c>
      <c r="B2877" t="s">
        <v>1910</v>
      </c>
      <c r="C2877" s="82" t="s">
        <v>1910</v>
      </c>
      <c r="D2877" s="83" t="s">
        <v>629</v>
      </c>
      <c r="E2877" s="251" t="s">
        <v>1951</v>
      </c>
      <c r="F2877" s="124" t="s">
        <v>620</v>
      </c>
      <c r="G2877" s="130">
        <v>2008</v>
      </c>
      <c r="H2877" s="125" t="s">
        <v>731</v>
      </c>
      <c r="I2877" s="311" t="str">
        <f t="shared" si="118"/>
        <v>Pesado de Passageiros M3: I : Gasóleo : E4</v>
      </c>
      <c r="J2877" s="125">
        <v>52</v>
      </c>
      <c r="K2877" s="253">
        <v>2022</v>
      </c>
      <c r="L2877" s="129">
        <v>15535.845300000001</v>
      </c>
      <c r="M2877" s="85" t="s">
        <v>630</v>
      </c>
      <c r="N2877" s="128">
        <v>35543</v>
      </c>
      <c r="O2877" s="128">
        <f t="shared" si="117"/>
        <v>1848236</v>
      </c>
      <c r="P2877" s="125" t="s">
        <v>1956</v>
      </c>
      <c r="Q2877" s="85" t="s">
        <v>47</v>
      </c>
      <c r="R2877" s="214" t="s">
        <v>1869</v>
      </c>
      <c r="S2877" s="214" t="s">
        <v>1861</v>
      </c>
      <c r="T2877" s="85" t="s">
        <v>3907</v>
      </c>
      <c r="U2877" s="422" t="s">
        <v>1953</v>
      </c>
      <c r="V2877" s="422" t="s">
        <v>2813</v>
      </c>
    </row>
    <row r="2878" spans="1:22" ht="15.75" thickBot="1" x14ac:dyDescent="0.3">
      <c r="A2878" t="s">
        <v>1910</v>
      </c>
      <c r="B2878" t="s">
        <v>1910</v>
      </c>
      <c r="C2878" s="82" t="s">
        <v>1910</v>
      </c>
      <c r="D2878" s="83" t="s">
        <v>629</v>
      </c>
      <c r="E2878" s="251" t="s">
        <v>1951</v>
      </c>
      <c r="F2878" s="124" t="s">
        <v>620</v>
      </c>
      <c r="G2878" s="130">
        <v>2008</v>
      </c>
      <c r="H2878" s="125" t="s">
        <v>731</v>
      </c>
      <c r="I2878" s="311" t="str">
        <f t="shared" si="118"/>
        <v>Pesado de Passageiros M3: I : Gasóleo : E4</v>
      </c>
      <c r="J2878" s="125">
        <v>21</v>
      </c>
      <c r="K2878" s="253">
        <v>2022</v>
      </c>
      <c r="L2878" s="129">
        <v>8742.1460000000006</v>
      </c>
      <c r="M2878" s="85" t="s">
        <v>630</v>
      </c>
      <c r="N2878" s="128">
        <v>36365</v>
      </c>
      <c r="O2878" s="128">
        <f t="shared" si="117"/>
        <v>763665</v>
      </c>
      <c r="P2878" s="125" t="s">
        <v>1958</v>
      </c>
      <c r="Q2878" s="85" t="s">
        <v>47</v>
      </c>
      <c r="R2878" s="214" t="s">
        <v>1869</v>
      </c>
      <c r="S2878" s="214" t="s">
        <v>1861</v>
      </c>
      <c r="T2878" s="85" t="s">
        <v>3908</v>
      </c>
      <c r="U2878" s="422" t="s">
        <v>1953</v>
      </c>
      <c r="V2878" s="422" t="s">
        <v>2813</v>
      </c>
    </row>
    <row r="2879" spans="1:22" ht="15.75" thickBot="1" x14ac:dyDescent="0.3">
      <c r="A2879" t="s">
        <v>1910</v>
      </c>
      <c r="B2879" t="s">
        <v>1910</v>
      </c>
      <c r="C2879" s="82" t="s">
        <v>1910</v>
      </c>
      <c r="D2879" s="83" t="s">
        <v>629</v>
      </c>
      <c r="E2879" s="251" t="s">
        <v>1951</v>
      </c>
      <c r="F2879" s="124" t="s">
        <v>620</v>
      </c>
      <c r="G2879" s="130"/>
      <c r="H2879" s="125" t="s">
        <v>732</v>
      </c>
      <c r="I2879" s="311" t="str">
        <f t="shared" si="118"/>
        <v>Pesado de Passageiros M3: I : Gasóleo : E3</v>
      </c>
      <c r="J2879" s="125"/>
      <c r="K2879" s="253">
        <v>2022</v>
      </c>
      <c r="L2879" s="85">
        <v>28078.6</v>
      </c>
      <c r="M2879" s="85" t="s">
        <v>630</v>
      </c>
      <c r="N2879" s="128">
        <v>51052</v>
      </c>
      <c r="O2879" s="128">
        <f t="shared" si="117"/>
        <v>0</v>
      </c>
      <c r="P2879" s="125" t="s">
        <v>3368</v>
      </c>
      <c r="Q2879" s="85" t="s">
        <v>47</v>
      </c>
      <c r="R2879" s="214" t="s">
        <v>1869</v>
      </c>
      <c r="S2879" s="214" t="s">
        <v>1861</v>
      </c>
      <c r="T2879" s="85" t="s">
        <v>3909</v>
      </c>
      <c r="U2879" s="422" t="s">
        <v>1953</v>
      </c>
      <c r="V2879" s="422" t="s">
        <v>2813</v>
      </c>
    </row>
    <row r="2880" spans="1:22" ht="15.75" thickBot="1" x14ac:dyDescent="0.3">
      <c r="A2880" t="s">
        <v>1910</v>
      </c>
      <c r="B2880" t="s">
        <v>1910</v>
      </c>
      <c r="C2880" s="82" t="s">
        <v>1910</v>
      </c>
      <c r="D2880" s="83" t="s">
        <v>629</v>
      </c>
      <c r="E2880" s="251" t="s">
        <v>1951</v>
      </c>
      <c r="F2880" s="124" t="s">
        <v>620</v>
      </c>
      <c r="G2880" s="130">
        <v>2009</v>
      </c>
      <c r="H2880" s="125" t="s">
        <v>731</v>
      </c>
      <c r="I2880" s="311" t="str">
        <f t="shared" si="118"/>
        <v>Pesado de Passageiros M3: I : Gasóleo : E4</v>
      </c>
      <c r="J2880" s="125">
        <v>56</v>
      </c>
      <c r="K2880" s="253">
        <v>2022</v>
      </c>
      <c r="L2880" s="129">
        <v>14531.97</v>
      </c>
      <c r="M2880" s="85" t="s">
        <v>630</v>
      </c>
      <c r="N2880" s="128">
        <v>39012</v>
      </c>
      <c r="O2880" s="128">
        <f t="shared" si="117"/>
        <v>2184672</v>
      </c>
      <c r="P2880" s="125" t="s">
        <v>1974</v>
      </c>
      <c r="Q2880" s="85" t="s">
        <v>47</v>
      </c>
      <c r="R2880" s="214" t="s">
        <v>1869</v>
      </c>
      <c r="S2880" s="214" t="s">
        <v>1861</v>
      </c>
      <c r="T2880" s="85" t="s">
        <v>3910</v>
      </c>
      <c r="U2880" s="422" t="s">
        <v>1953</v>
      </c>
      <c r="V2880" s="422" t="s">
        <v>2813</v>
      </c>
    </row>
    <row r="2881" spans="1:22" ht="15.75" thickBot="1" x14ac:dyDescent="0.3">
      <c r="A2881" t="s">
        <v>1910</v>
      </c>
      <c r="B2881" t="s">
        <v>1910</v>
      </c>
      <c r="C2881" s="82" t="s">
        <v>1910</v>
      </c>
      <c r="D2881" s="83" t="s">
        <v>629</v>
      </c>
      <c r="E2881" s="251" t="s">
        <v>1951</v>
      </c>
      <c r="F2881" s="124" t="s">
        <v>620</v>
      </c>
      <c r="G2881" s="130"/>
      <c r="H2881" s="125" t="s">
        <v>731</v>
      </c>
      <c r="I2881" s="311" t="str">
        <f t="shared" si="118"/>
        <v>Pesado de Passageiros M3: I : Gasóleo : E4</v>
      </c>
      <c r="J2881" s="125"/>
      <c r="K2881" s="253">
        <v>2022</v>
      </c>
      <c r="L2881" s="85">
        <v>2673.09</v>
      </c>
      <c r="M2881" s="85" t="s">
        <v>630</v>
      </c>
      <c r="N2881" s="128">
        <v>12729</v>
      </c>
      <c r="O2881" s="128">
        <f t="shared" si="117"/>
        <v>0</v>
      </c>
      <c r="P2881" s="125" t="s">
        <v>3293</v>
      </c>
      <c r="Q2881" s="85" t="s">
        <v>47</v>
      </c>
      <c r="R2881" s="214" t="s">
        <v>1869</v>
      </c>
      <c r="S2881" s="214" t="s">
        <v>1861</v>
      </c>
      <c r="T2881" s="85" t="s">
        <v>3911</v>
      </c>
      <c r="U2881" s="422" t="s">
        <v>1953</v>
      </c>
      <c r="V2881" s="422" t="s">
        <v>2813</v>
      </c>
    </row>
    <row r="2882" spans="1:22" ht="15.75" thickBot="1" x14ac:dyDescent="0.3">
      <c r="A2882" t="s">
        <v>1910</v>
      </c>
      <c r="B2882" t="s">
        <v>1910</v>
      </c>
      <c r="C2882" s="82" t="s">
        <v>1910</v>
      </c>
      <c r="D2882" s="83" t="s">
        <v>629</v>
      </c>
      <c r="E2882" s="251" t="s">
        <v>1951</v>
      </c>
      <c r="F2882" s="124" t="s">
        <v>620</v>
      </c>
      <c r="G2882" s="130"/>
      <c r="H2882" s="125" t="s">
        <v>731</v>
      </c>
      <c r="I2882" s="311" t="str">
        <f t="shared" si="118"/>
        <v>Pesado de Passageiros M3: I : Gasóleo : E4</v>
      </c>
      <c r="J2882" s="125"/>
      <c r="K2882" s="253">
        <v>2022</v>
      </c>
      <c r="L2882" s="85">
        <v>9269.0956000000006</v>
      </c>
      <c r="M2882" s="85" t="s">
        <v>630</v>
      </c>
      <c r="N2882" s="128">
        <v>21526</v>
      </c>
      <c r="O2882" s="128">
        <f t="shared" si="117"/>
        <v>0</v>
      </c>
      <c r="P2882" s="125" t="s">
        <v>2158</v>
      </c>
      <c r="Q2882" s="85" t="s">
        <v>47</v>
      </c>
      <c r="R2882" s="214" t="s">
        <v>1869</v>
      </c>
      <c r="S2882" s="214" t="s">
        <v>1861</v>
      </c>
      <c r="T2882" s="85" t="s">
        <v>3912</v>
      </c>
      <c r="U2882" s="422" t="s">
        <v>1953</v>
      </c>
      <c r="V2882" s="422" t="s">
        <v>2813</v>
      </c>
    </row>
    <row r="2883" spans="1:22" ht="15.75" thickBot="1" x14ac:dyDescent="0.3">
      <c r="A2883" t="s">
        <v>1910</v>
      </c>
      <c r="B2883" t="s">
        <v>1910</v>
      </c>
      <c r="C2883" s="82" t="s">
        <v>1910</v>
      </c>
      <c r="D2883" s="83" t="s">
        <v>629</v>
      </c>
      <c r="E2883" s="251" t="s">
        <v>1951</v>
      </c>
      <c r="F2883" s="124" t="s">
        <v>620</v>
      </c>
      <c r="G2883" s="130">
        <v>2001</v>
      </c>
      <c r="H2883" s="125" t="s">
        <v>732</v>
      </c>
      <c r="I2883" s="311" t="str">
        <f t="shared" si="118"/>
        <v>Pesado de Passageiros M3: I : Gasóleo : E3</v>
      </c>
      <c r="J2883" s="125">
        <v>73</v>
      </c>
      <c r="K2883" s="253">
        <v>2022</v>
      </c>
      <c r="L2883" s="381">
        <v>9164.5544000000009</v>
      </c>
      <c r="M2883" s="85" t="s">
        <v>630</v>
      </c>
      <c r="N2883" s="128">
        <v>18242</v>
      </c>
      <c r="O2883" s="128">
        <f t="shared" si="117"/>
        <v>1331666</v>
      </c>
      <c r="P2883" s="125" t="s">
        <v>2158</v>
      </c>
      <c r="Q2883" s="85" t="s">
        <v>47</v>
      </c>
      <c r="R2883" s="214" t="s">
        <v>1869</v>
      </c>
      <c r="S2883" s="214" t="s">
        <v>1861</v>
      </c>
      <c r="T2883" s="85" t="s">
        <v>3912</v>
      </c>
      <c r="U2883" s="422" t="s">
        <v>1953</v>
      </c>
      <c r="V2883" s="422" t="s">
        <v>2813</v>
      </c>
    </row>
    <row r="2884" spans="1:22" ht="15.75" thickBot="1" x14ac:dyDescent="0.3">
      <c r="A2884" t="s">
        <v>1910</v>
      </c>
      <c r="B2884" t="s">
        <v>1910</v>
      </c>
      <c r="C2884" s="82" t="s">
        <v>1910</v>
      </c>
      <c r="D2884" s="83" t="s">
        <v>629</v>
      </c>
      <c r="E2884" s="251" t="s">
        <v>1951</v>
      </c>
      <c r="F2884" s="124" t="s">
        <v>620</v>
      </c>
      <c r="G2884" s="130"/>
      <c r="H2884" s="125" t="s">
        <v>731</v>
      </c>
      <c r="I2884" s="311" t="str">
        <f t="shared" si="118"/>
        <v>Pesado de Passageiros M3: I : Gasóleo : E4</v>
      </c>
      <c r="J2884" s="125"/>
      <c r="K2884" s="253">
        <v>2022</v>
      </c>
      <c r="L2884" s="85">
        <v>4102.95</v>
      </c>
      <c r="M2884" s="85" t="s">
        <v>630</v>
      </c>
      <c r="N2884" s="128">
        <v>27353</v>
      </c>
      <c r="O2884" s="128">
        <f t="shared" si="117"/>
        <v>0</v>
      </c>
      <c r="P2884" s="125" t="s">
        <v>3298</v>
      </c>
      <c r="Q2884" s="85" t="s">
        <v>47</v>
      </c>
      <c r="R2884" s="214" t="s">
        <v>1869</v>
      </c>
      <c r="S2884" s="214" t="s">
        <v>1861</v>
      </c>
      <c r="T2884" s="85" t="s">
        <v>3913</v>
      </c>
      <c r="U2884" s="422" t="s">
        <v>1953</v>
      </c>
      <c r="V2884" s="422" t="s">
        <v>2813</v>
      </c>
    </row>
    <row r="2885" spans="1:22" ht="15.75" thickBot="1" x14ac:dyDescent="0.3">
      <c r="A2885" t="s">
        <v>1910</v>
      </c>
      <c r="B2885" t="s">
        <v>1910</v>
      </c>
      <c r="C2885" s="82" t="s">
        <v>1910</v>
      </c>
      <c r="D2885" s="83" t="s">
        <v>629</v>
      </c>
      <c r="E2885" s="251" t="s">
        <v>1951</v>
      </c>
      <c r="F2885" s="124" t="s">
        <v>620</v>
      </c>
      <c r="G2885" s="130"/>
      <c r="H2885" s="125" t="s">
        <v>731</v>
      </c>
      <c r="I2885" s="311" t="str">
        <f t="shared" si="118"/>
        <v>Pesado de Passageiros M3: I : Gasóleo : E4</v>
      </c>
      <c r="J2885" s="125"/>
      <c r="K2885" s="253">
        <v>2022</v>
      </c>
      <c r="L2885" s="85">
        <v>4565.7</v>
      </c>
      <c r="M2885" s="85" t="s">
        <v>630</v>
      </c>
      <c r="N2885" s="128">
        <v>30438</v>
      </c>
      <c r="O2885" s="128">
        <f t="shared" si="117"/>
        <v>0</v>
      </c>
      <c r="P2885" s="125" t="s">
        <v>3299</v>
      </c>
      <c r="Q2885" s="85" t="s">
        <v>47</v>
      </c>
      <c r="R2885" s="214" t="s">
        <v>1869</v>
      </c>
      <c r="S2885" s="214" t="s">
        <v>1861</v>
      </c>
      <c r="T2885" s="85" t="s">
        <v>3420</v>
      </c>
      <c r="U2885" s="422" t="s">
        <v>1953</v>
      </c>
      <c r="V2885" s="422" t="s">
        <v>2813</v>
      </c>
    </row>
    <row r="2886" spans="1:22" ht="15.75" thickBot="1" x14ac:dyDescent="0.3">
      <c r="A2886" t="s">
        <v>1910</v>
      </c>
      <c r="B2886" t="s">
        <v>1910</v>
      </c>
      <c r="C2886" s="82" t="s">
        <v>1910</v>
      </c>
      <c r="D2886" s="83" t="s">
        <v>629</v>
      </c>
      <c r="E2886" s="251" t="s">
        <v>1951</v>
      </c>
      <c r="F2886" s="124" t="s">
        <v>620</v>
      </c>
      <c r="G2886" s="130"/>
      <c r="H2886" s="125" t="s">
        <v>731</v>
      </c>
      <c r="I2886" s="311" t="str">
        <f t="shared" si="118"/>
        <v>Pesado de Passageiros M3: I : Gasóleo : E4</v>
      </c>
      <c r="J2886" s="125"/>
      <c r="K2886" s="253">
        <v>2022</v>
      </c>
      <c r="L2886" s="85">
        <v>6113.7</v>
      </c>
      <c r="M2886" s="85" t="s">
        <v>630</v>
      </c>
      <c r="N2886" s="128">
        <v>40758</v>
      </c>
      <c r="O2886" s="128">
        <f t="shared" si="117"/>
        <v>0</v>
      </c>
      <c r="P2886" s="125" t="s">
        <v>3300</v>
      </c>
      <c r="Q2886" s="85" t="s">
        <v>47</v>
      </c>
      <c r="R2886" s="214" t="s">
        <v>1869</v>
      </c>
      <c r="S2886" s="214" t="s">
        <v>1861</v>
      </c>
      <c r="T2886" s="85" t="s">
        <v>3914</v>
      </c>
      <c r="U2886" s="422" t="s">
        <v>1953</v>
      </c>
      <c r="V2886" s="422" t="s">
        <v>2813</v>
      </c>
    </row>
    <row r="2887" spans="1:22" ht="15.75" thickBot="1" x14ac:dyDescent="0.3">
      <c r="A2887" t="s">
        <v>1910</v>
      </c>
      <c r="B2887" t="s">
        <v>1910</v>
      </c>
      <c r="C2887" s="82" t="s">
        <v>1910</v>
      </c>
      <c r="D2887" s="83" t="s">
        <v>629</v>
      </c>
      <c r="E2887" s="251" t="s">
        <v>1951</v>
      </c>
      <c r="F2887" s="124" t="s">
        <v>620</v>
      </c>
      <c r="G2887" s="130">
        <v>2008</v>
      </c>
      <c r="H2887" s="125" t="s">
        <v>734</v>
      </c>
      <c r="I2887" s="311" t="str">
        <f t="shared" si="118"/>
        <v>Pesado de Passageiros M3: I : Gasóleo : E5</v>
      </c>
      <c r="J2887" s="125">
        <v>57</v>
      </c>
      <c r="K2887" s="253">
        <v>2022</v>
      </c>
      <c r="L2887" s="129">
        <v>32034.5389</v>
      </c>
      <c r="M2887" s="85" t="s">
        <v>630</v>
      </c>
      <c r="N2887" s="128">
        <v>78767</v>
      </c>
      <c r="O2887" s="128">
        <f t="shared" si="117"/>
        <v>4489719</v>
      </c>
      <c r="P2887" s="125" t="s">
        <v>2026</v>
      </c>
      <c r="Q2887" s="85" t="s">
        <v>47</v>
      </c>
      <c r="R2887" s="214" t="s">
        <v>1869</v>
      </c>
      <c r="S2887" s="214" t="s">
        <v>1861</v>
      </c>
      <c r="T2887" s="85" t="s">
        <v>3915</v>
      </c>
      <c r="U2887" s="422" t="s">
        <v>1953</v>
      </c>
      <c r="V2887" s="422" t="s">
        <v>2813</v>
      </c>
    </row>
    <row r="2888" spans="1:22" ht="15.75" thickBot="1" x14ac:dyDescent="0.3">
      <c r="A2888" t="s">
        <v>1910</v>
      </c>
      <c r="B2888" t="s">
        <v>1910</v>
      </c>
      <c r="C2888" s="82" t="s">
        <v>1910</v>
      </c>
      <c r="D2888" s="83" t="s">
        <v>629</v>
      </c>
      <c r="E2888" s="251" t="s">
        <v>1951</v>
      </c>
      <c r="F2888" s="124" t="s">
        <v>620</v>
      </c>
      <c r="G2888" s="130"/>
      <c r="H2888" s="125" t="s">
        <v>732</v>
      </c>
      <c r="I2888" s="311" t="str">
        <f t="shared" si="118"/>
        <v>Pesado de Passageiros M3: I : Gasóleo : E3</v>
      </c>
      <c r="J2888" s="125"/>
      <c r="K2888" s="253">
        <v>2022</v>
      </c>
      <c r="L2888" s="242">
        <v>1420.23</v>
      </c>
      <c r="M2888" s="85" t="s">
        <v>630</v>
      </c>
      <c r="N2888" s="128">
        <v>2733</v>
      </c>
      <c r="O2888" s="128">
        <f t="shared" si="117"/>
        <v>0</v>
      </c>
      <c r="P2888" s="125" t="s">
        <v>3310</v>
      </c>
      <c r="Q2888" s="85" t="s">
        <v>47</v>
      </c>
      <c r="R2888" s="214" t="s">
        <v>1869</v>
      </c>
      <c r="S2888" s="214" t="s">
        <v>1861</v>
      </c>
      <c r="T2888" s="85" t="s">
        <v>3429</v>
      </c>
      <c r="U2888" s="422" t="s">
        <v>1953</v>
      </c>
      <c r="V2888" s="422" t="s">
        <v>2813</v>
      </c>
    </row>
    <row r="2889" spans="1:22" ht="15.75" thickBot="1" x14ac:dyDescent="0.3">
      <c r="A2889" t="s">
        <v>1910</v>
      </c>
      <c r="B2889" t="s">
        <v>1910</v>
      </c>
      <c r="C2889" s="82" t="s">
        <v>1910</v>
      </c>
      <c r="D2889" s="83" t="s">
        <v>629</v>
      </c>
      <c r="E2889" s="251" t="s">
        <v>1951</v>
      </c>
      <c r="F2889" s="124" t="s">
        <v>620</v>
      </c>
      <c r="G2889" s="130"/>
      <c r="H2889" s="125" t="s">
        <v>732</v>
      </c>
      <c r="I2889" s="311" t="str">
        <f t="shared" si="118"/>
        <v>Pesado de Passageiros M3: I : Gasóleo : E3</v>
      </c>
      <c r="J2889" s="125"/>
      <c r="K2889" s="253">
        <v>2022</v>
      </c>
      <c r="L2889" s="85">
        <v>24520</v>
      </c>
      <c r="M2889" s="85" t="s">
        <v>630</v>
      </c>
      <c r="N2889" s="128">
        <v>49040</v>
      </c>
      <c r="O2889" s="128">
        <f t="shared" si="117"/>
        <v>0</v>
      </c>
      <c r="P2889" s="125" t="s">
        <v>3311</v>
      </c>
      <c r="Q2889" s="85" t="s">
        <v>47</v>
      </c>
      <c r="R2889" s="214" t="s">
        <v>1869</v>
      </c>
      <c r="S2889" s="214" t="s">
        <v>1861</v>
      </c>
      <c r="T2889" s="85" t="s">
        <v>3430</v>
      </c>
      <c r="U2889" s="422" t="s">
        <v>1953</v>
      </c>
      <c r="V2889" s="422" t="s">
        <v>2813</v>
      </c>
    </row>
    <row r="2890" spans="1:22" ht="15.75" thickBot="1" x14ac:dyDescent="0.3">
      <c r="A2890" t="s">
        <v>1910</v>
      </c>
      <c r="B2890" t="s">
        <v>1910</v>
      </c>
      <c r="C2890" s="82" t="s">
        <v>1910</v>
      </c>
      <c r="D2890" s="83" t="s">
        <v>629</v>
      </c>
      <c r="E2890" s="251" t="s">
        <v>1951</v>
      </c>
      <c r="F2890" s="124" t="s">
        <v>620</v>
      </c>
      <c r="G2890" s="130"/>
      <c r="H2890" s="125" t="s">
        <v>732</v>
      </c>
      <c r="I2890" s="311" t="str">
        <f t="shared" si="118"/>
        <v>Pesado de Passageiros M3: I : Gasóleo : E3</v>
      </c>
      <c r="J2890" s="125"/>
      <c r="K2890" s="253">
        <v>2022</v>
      </c>
      <c r="L2890" s="85">
        <v>10385.76</v>
      </c>
      <c r="M2890" s="85" t="s">
        <v>630</v>
      </c>
      <c r="N2890" s="128">
        <v>24728</v>
      </c>
      <c r="O2890" s="128">
        <f t="shared" si="117"/>
        <v>0</v>
      </c>
      <c r="P2890" s="125" t="s">
        <v>3337</v>
      </c>
      <c r="Q2890" s="85" t="s">
        <v>47</v>
      </c>
      <c r="R2890" s="214" t="s">
        <v>1869</v>
      </c>
      <c r="S2890" s="214" t="s">
        <v>1861</v>
      </c>
      <c r="T2890" s="85" t="s">
        <v>3916</v>
      </c>
      <c r="U2890" s="422" t="s">
        <v>1953</v>
      </c>
      <c r="V2890" s="422" t="s">
        <v>2813</v>
      </c>
    </row>
    <row r="2891" spans="1:22" ht="15.75" thickBot="1" x14ac:dyDescent="0.3">
      <c r="A2891" t="s">
        <v>1910</v>
      </c>
      <c r="B2891" t="s">
        <v>1910</v>
      </c>
      <c r="C2891" s="82" t="s">
        <v>1910</v>
      </c>
      <c r="D2891" s="83" t="s">
        <v>629</v>
      </c>
      <c r="E2891" s="251" t="s">
        <v>1951</v>
      </c>
      <c r="F2891" s="124" t="s">
        <v>620</v>
      </c>
      <c r="G2891" s="130">
        <v>1998</v>
      </c>
      <c r="H2891" s="125" t="s">
        <v>735</v>
      </c>
      <c r="I2891" s="311" t="str">
        <f t="shared" si="118"/>
        <v>Pesado de Passageiros M3: I : Gasóleo : E2</v>
      </c>
      <c r="J2891" s="125">
        <v>84</v>
      </c>
      <c r="K2891" s="253">
        <v>2022</v>
      </c>
      <c r="L2891" s="129">
        <v>18478.126799999998</v>
      </c>
      <c r="M2891" s="85" t="s">
        <v>630</v>
      </c>
      <c r="N2891" s="128">
        <v>33348</v>
      </c>
      <c r="O2891" s="128">
        <f t="shared" si="117"/>
        <v>2801232</v>
      </c>
      <c r="P2891" s="125" t="s">
        <v>1983</v>
      </c>
      <c r="Q2891" s="85" t="s">
        <v>47</v>
      </c>
      <c r="R2891" s="214" t="s">
        <v>1869</v>
      </c>
      <c r="S2891" s="214" t="s">
        <v>1861</v>
      </c>
      <c r="T2891" s="85" t="s">
        <v>3917</v>
      </c>
      <c r="U2891" s="422" t="s">
        <v>1953</v>
      </c>
      <c r="V2891" s="422" t="s">
        <v>2813</v>
      </c>
    </row>
    <row r="2892" spans="1:22" ht="15.75" thickBot="1" x14ac:dyDescent="0.3">
      <c r="A2892" t="s">
        <v>1910</v>
      </c>
      <c r="B2892" t="s">
        <v>1910</v>
      </c>
      <c r="C2892" s="82" t="s">
        <v>1910</v>
      </c>
      <c r="D2892" s="83" t="s">
        <v>629</v>
      </c>
      <c r="E2892" s="251" t="s">
        <v>1951</v>
      </c>
      <c r="F2892" s="124" t="s">
        <v>620</v>
      </c>
      <c r="G2892" s="130">
        <v>1998</v>
      </c>
      <c r="H2892" s="125" t="s">
        <v>735</v>
      </c>
      <c r="I2892" s="311" t="str">
        <f t="shared" si="118"/>
        <v>Pesado de Passageiros M3: I : Gasóleo : E2</v>
      </c>
      <c r="J2892" s="125">
        <v>84</v>
      </c>
      <c r="K2892" s="253">
        <v>2022</v>
      </c>
      <c r="L2892" s="129">
        <v>16675.640800000001</v>
      </c>
      <c r="M2892" s="85" t="s">
        <v>630</v>
      </c>
      <c r="N2892" s="128">
        <v>31304</v>
      </c>
      <c r="O2892" s="128">
        <f t="shared" si="117"/>
        <v>2629536</v>
      </c>
      <c r="P2892" s="125" t="s">
        <v>1984</v>
      </c>
      <c r="Q2892" s="85" t="s">
        <v>47</v>
      </c>
      <c r="R2892" s="214" t="s">
        <v>1869</v>
      </c>
      <c r="S2892" s="214" t="s">
        <v>1861</v>
      </c>
      <c r="T2892" s="85" t="s">
        <v>3918</v>
      </c>
      <c r="U2892" s="422" t="s">
        <v>1953</v>
      </c>
      <c r="V2892" s="422" t="s">
        <v>2813</v>
      </c>
    </row>
    <row r="2893" spans="1:22" ht="15.75" thickBot="1" x14ac:dyDescent="0.3">
      <c r="A2893" t="s">
        <v>1910</v>
      </c>
      <c r="B2893" t="s">
        <v>1910</v>
      </c>
      <c r="C2893" s="82" t="s">
        <v>1910</v>
      </c>
      <c r="D2893" s="83" t="s">
        <v>629</v>
      </c>
      <c r="E2893" s="251" t="s">
        <v>1951</v>
      </c>
      <c r="F2893" s="124" t="s">
        <v>620</v>
      </c>
      <c r="G2893" s="130">
        <v>1998</v>
      </c>
      <c r="H2893" s="125" t="s">
        <v>735</v>
      </c>
      <c r="I2893" s="311" t="str">
        <f t="shared" si="118"/>
        <v>Pesado de Passageiros M3: I : Gasóleo : E2</v>
      </c>
      <c r="J2893" s="125">
        <v>84</v>
      </c>
      <c r="K2893" s="253">
        <v>2022</v>
      </c>
      <c r="L2893" s="129">
        <v>19741.639800000001</v>
      </c>
      <c r="M2893" s="85" t="s">
        <v>630</v>
      </c>
      <c r="N2893" s="128">
        <v>33118</v>
      </c>
      <c r="O2893" s="128">
        <f t="shared" si="117"/>
        <v>2781912</v>
      </c>
      <c r="P2893" s="125" t="s">
        <v>2005</v>
      </c>
      <c r="Q2893" s="85" t="s">
        <v>47</v>
      </c>
      <c r="R2893" s="214" t="s">
        <v>1869</v>
      </c>
      <c r="S2893" s="214" t="s">
        <v>1861</v>
      </c>
      <c r="T2893" s="85" t="s">
        <v>3919</v>
      </c>
      <c r="U2893" s="422" t="s">
        <v>1953</v>
      </c>
      <c r="V2893" s="422" t="s">
        <v>2813</v>
      </c>
    </row>
    <row r="2894" spans="1:22" ht="15.75" thickBot="1" x14ac:dyDescent="0.3">
      <c r="A2894" t="s">
        <v>1910</v>
      </c>
      <c r="B2894" t="s">
        <v>1910</v>
      </c>
      <c r="C2894" s="82" t="s">
        <v>1910</v>
      </c>
      <c r="D2894" s="83" t="s">
        <v>629</v>
      </c>
      <c r="E2894" s="251" t="s">
        <v>1951</v>
      </c>
      <c r="F2894" s="124" t="s">
        <v>620</v>
      </c>
      <c r="G2894" s="130">
        <v>1997</v>
      </c>
      <c r="H2894" s="125" t="s">
        <v>735</v>
      </c>
      <c r="I2894" s="311" t="str">
        <f t="shared" si="118"/>
        <v>Pesado de Passageiros M3: I : Gasóleo : E2</v>
      </c>
      <c r="J2894" s="125">
        <v>84</v>
      </c>
      <c r="K2894" s="253">
        <v>2022</v>
      </c>
      <c r="L2894" s="129">
        <v>15919.275</v>
      </c>
      <c r="M2894" s="85" t="s">
        <v>630</v>
      </c>
      <c r="N2894" s="128">
        <v>31775</v>
      </c>
      <c r="O2894" s="128">
        <f t="shared" si="117"/>
        <v>2669100</v>
      </c>
      <c r="P2894" s="125" t="s">
        <v>1986</v>
      </c>
      <c r="Q2894" s="85" t="s">
        <v>47</v>
      </c>
      <c r="R2894" s="214" t="s">
        <v>1869</v>
      </c>
      <c r="S2894" s="214" t="s">
        <v>1861</v>
      </c>
      <c r="T2894" s="85" t="s">
        <v>3920</v>
      </c>
      <c r="U2894" s="422" t="s">
        <v>1953</v>
      </c>
      <c r="V2894" s="422" t="s">
        <v>2813</v>
      </c>
    </row>
    <row r="2895" spans="1:22" ht="15.75" thickBot="1" x14ac:dyDescent="0.3">
      <c r="A2895" t="s">
        <v>1910</v>
      </c>
      <c r="B2895" t="s">
        <v>1910</v>
      </c>
      <c r="C2895" s="82" t="s">
        <v>1910</v>
      </c>
      <c r="D2895" s="83" t="s">
        <v>629</v>
      </c>
      <c r="E2895" s="251" t="s">
        <v>1951</v>
      </c>
      <c r="F2895" s="124" t="s">
        <v>620</v>
      </c>
      <c r="G2895" s="130">
        <v>1997</v>
      </c>
      <c r="H2895" s="125" t="s">
        <v>735</v>
      </c>
      <c r="I2895" s="311" t="str">
        <f t="shared" si="118"/>
        <v>Pesado de Passageiros M3: I : Gasóleo : E2</v>
      </c>
      <c r="J2895" s="125">
        <v>84</v>
      </c>
      <c r="K2895" s="253">
        <v>2022</v>
      </c>
      <c r="L2895" s="129">
        <v>16641.606</v>
      </c>
      <c r="M2895" s="85" t="s">
        <v>630</v>
      </c>
      <c r="N2895" s="128">
        <v>30039</v>
      </c>
      <c r="O2895" s="128">
        <f t="shared" si="117"/>
        <v>2523276</v>
      </c>
      <c r="P2895" s="125" t="s">
        <v>1999</v>
      </c>
      <c r="Q2895" s="85" t="s">
        <v>47</v>
      </c>
      <c r="R2895" s="214" t="s">
        <v>1869</v>
      </c>
      <c r="S2895" s="214" t="s">
        <v>1861</v>
      </c>
      <c r="T2895" s="85" t="s">
        <v>3921</v>
      </c>
      <c r="U2895" s="422" t="s">
        <v>1953</v>
      </c>
      <c r="V2895" s="422" t="s">
        <v>2813</v>
      </c>
    </row>
    <row r="2896" spans="1:22" ht="15.75" thickBot="1" x14ac:dyDescent="0.3">
      <c r="A2896" t="s">
        <v>1910</v>
      </c>
      <c r="B2896" t="s">
        <v>1910</v>
      </c>
      <c r="C2896" s="82" t="s">
        <v>1910</v>
      </c>
      <c r="D2896" s="83" t="s">
        <v>629</v>
      </c>
      <c r="E2896" s="251" t="s">
        <v>1951</v>
      </c>
      <c r="F2896" s="124" t="s">
        <v>620</v>
      </c>
      <c r="G2896" s="130">
        <v>1997</v>
      </c>
      <c r="H2896" s="125" t="s">
        <v>735</v>
      </c>
      <c r="I2896" s="311" t="str">
        <f t="shared" si="118"/>
        <v>Pesado de Passageiros M3: I : Gasóleo : E2</v>
      </c>
      <c r="J2896" s="125">
        <v>84</v>
      </c>
      <c r="K2896" s="253">
        <v>2022</v>
      </c>
      <c r="L2896" s="129">
        <v>19956.583900000001</v>
      </c>
      <c r="M2896" s="85" t="s">
        <v>630</v>
      </c>
      <c r="N2896" s="128">
        <v>33167</v>
      </c>
      <c r="O2896" s="128">
        <f t="shared" si="117"/>
        <v>2786028</v>
      </c>
      <c r="P2896" s="125" t="s">
        <v>1993</v>
      </c>
      <c r="Q2896" s="85" t="s">
        <v>47</v>
      </c>
      <c r="R2896" s="214" t="s">
        <v>1869</v>
      </c>
      <c r="S2896" s="214" t="s">
        <v>1861</v>
      </c>
      <c r="T2896" s="85" t="s">
        <v>3922</v>
      </c>
      <c r="U2896" s="422" t="s">
        <v>1953</v>
      </c>
      <c r="V2896" s="422" t="s">
        <v>2813</v>
      </c>
    </row>
    <row r="2897" spans="1:22" ht="15.75" thickBot="1" x14ac:dyDescent="0.3">
      <c r="A2897" t="s">
        <v>1910</v>
      </c>
      <c r="B2897" t="s">
        <v>1910</v>
      </c>
      <c r="C2897" s="82" t="s">
        <v>1910</v>
      </c>
      <c r="D2897" s="83" t="s">
        <v>629</v>
      </c>
      <c r="E2897" s="251" t="s">
        <v>1951</v>
      </c>
      <c r="F2897" s="124" t="s">
        <v>620</v>
      </c>
      <c r="G2897" s="130">
        <v>1998</v>
      </c>
      <c r="H2897" s="125" t="s">
        <v>735</v>
      </c>
      <c r="I2897" s="311" t="str">
        <f t="shared" si="118"/>
        <v>Pesado de Passageiros M3: I : Gasóleo : E2</v>
      </c>
      <c r="J2897" s="125">
        <v>84</v>
      </c>
      <c r="K2897" s="253">
        <v>2022</v>
      </c>
      <c r="L2897" s="129">
        <v>18560.649600000001</v>
      </c>
      <c r="M2897" s="85" t="s">
        <v>630</v>
      </c>
      <c r="N2897" s="128">
        <v>32944</v>
      </c>
      <c r="O2897" s="128">
        <f t="shared" si="117"/>
        <v>2767296</v>
      </c>
      <c r="P2897" s="125" t="s">
        <v>1981</v>
      </c>
      <c r="Q2897" s="85" t="s">
        <v>47</v>
      </c>
      <c r="R2897" s="214" t="s">
        <v>1869</v>
      </c>
      <c r="S2897" s="214" t="s">
        <v>1861</v>
      </c>
      <c r="T2897" s="85" t="s">
        <v>3923</v>
      </c>
      <c r="U2897" s="422" t="s">
        <v>1953</v>
      </c>
      <c r="V2897" s="422" t="s">
        <v>2813</v>
      </c>
    </row>
    <row r="2898" spans="1:22" ht="15.75" thickBot="1" x14ac:dyDescent="0.3">
      <c r="A2898" t="s">
        <v>1910</v>
      </c>
      <c r="B2898" t="s">
        <v>1910</v>
      </c>
      <c r="C2898" s="82" t="s">
        <v>1910</v>
      </c>
      <c r="D2898" s="83" t="s">
        <v>629</v>
      </c>
      <c r="E2898" s="251" t="s">
        <v>1951</v>
      </c>
      <c r="F2898" s="124" t="s">
        <v>620</v>
      </c>
      <c r="G2898" s="130">
        <v>1998</v>
      </c>
      <c r="H2898" s="125" t="s">
        <v>735</v>
      </c>
      <c r="I2898" s="311" t="str">
        <f t="shared" si="118"/>
        <v>Pesado de Passageiros M3: I : Gasóleo : E2</v>
      </c>
      <c r="J2898" s="125">
        <v>84</v>
      </c>
      <c r="K2898" s="253">
        <v>2022</v>
      </c>
      <c r="L2898" s="129">
        <v>21195.763199999998</v>
      </c>
      <c r="M2898" s="85" t="s">
        <v>630</v>
      </c>
      <c r="N2898" s="128">
        <v>39456</v>
      </c>
      <c r="O2898" s="128">
        <f t="shared" si="117"/>
        <v>3314304</v>
      </c>
      <c r="P2898" s="125" t="s">
        <v>2004</v>
      </c>
      <c r="Q2898" s="85" t="s">
        <v>47</v>
      </c>
      <c r="R2898" s="214" t="s">
        <v>1869</v>
      </c>
      <c r="S2898" s="214" t="s">
        <v>1861</v>
      </c>
      <c r="T2898" s="85" t="s">
        <v>3924</v>
      </c>
      <c r="U2898" s="422" t="s">
        <v>1953</v>
      </c>
      <c r="V2898" s="422" t="s">
        <v>2813</v>
      </c>
    </row>
    <row r="2899" spans="1:22" ht="15.75" thickBot="1" x14ac:dyDescent="0.3">
      <c r="A2899" t="s">
        <v>1910</v>
      </c>
      <c r="B2899" t="s">
        <v>1910</v>
      </c>
      <c r="C2899" s="82" t="s">
        <v>1910</v>
      </c>
      <c r="D2899" s="83" t="s">
        <v>629</v>
      </c>
      <c r="E2899" s="251" t="s">
        <v>1951</v>
      </c>
      <c r="F2899" s="124" t="s">
        <v>620</v>
      </c>
      <c r="G2899" s="130">
        <v>1998</v>
      </c>
      <c r="H2899" s="125" t="s">
        <v>735</v>
      </c>
      <c r="I2899" s="311" t="str">
        <f t="shared" si="118"/>
        <v>Pesado de Passageiros M3: I : Gasóleo : E2</v>
      </c>
      <c r="J2899" s="125">
        <v>84</v>
      </c>
      <c r="K2899" s="253">
        <v>2022</v>
      </c>
      <c r="L2899" s="129">
        <v>17111.441699999999</v>
      </c>
      <c r="M2899" s="85" t="s">
        <v>630</v>
      </c>
      <c r="N2899" s="128">
        <v>33181</v>
      </c>
      <c r="O2899" s="128">
        <f t="shared" si="117"/>
        <v>2787204</v>
      </c>
      <c r="P2899" s="125" t="s">
        <v>1982</v>
      </c>
      <c r="Q2899" s="85" t="s">
        <v>47</v>
      </c>
      <c r="R2899" s="214" t="s">
        <v>1869</v>
      </c>
      <c r="S2899" s="214" t="s">
        <v>1861</v>
      </c>
      <c r="T2899" s="85" t="s">
        <v>3925</v>
      </c>
      <c r="U2899" s="422" t="s">
        <v>1953</v>
      </c>
      <c r="V2899" s="422" t="s">
        <v>2813</v>
      </c>
    </row>
    <row r="2900" spans="1:22" ht="15.75" thickBot="1" x14ac:dyDescent="0.3">
      <c r="A2900" t="s">
        <v>1910</v>
      </c>
      <c r="B2900" t="s">
        <v>1910</v>
      </c>
      <c r="C2900" s="82" t="s">
        <v>1910</v>
      </c>
      <c r="D2900" s="83" t="s">
        <v>629</v>
      </c>
      <c r="E2900" s="251" t="s">
        <v>1951</v>
      </c>
      <c r="F2900" s="124" t="s">
        <v>620</v>
      </c>
      <c r="G2900" s="130"/>
      <c r="H2900" s="125" t="s">
        <v>732</v>
      </c>
      <c r="I2900" s="311" t="str">
        <f t="shared" si="118"/>
        <v>Pesado de Passageiros M3: I : Gasóleo : E3</v>
      </c>
      <c r="J2900" s="125"/>
      <c r="K2900" s="253">
        <v>2022</v>
      </c>
      <c r="L2900" s="85">
        <v>25827</v>
      </c>
      <c r="M2900" s="85" t="s">
        <v>630</v>
      </c>
      <c r="N2900" s="128">
        <v>51654</v>
      </c>
      <c r="O2900" s="128">
        <f t="shared" si="117"/>
        <v>0</v>
      </c>
      <c r="P2900" s="125" t="s">
        <v>3318</v>
      </c>
      <c r="Q2900" s="85" t="s">
        <v>47</v>
      </c>
      <c r="R2900" s="214" t="s">
        <v>1869</v>
      </c>
      <c r="S2900" s="214" t="s">
        <v>1861</v>
      </c>
      <c r="T2900" s="85" t="s">
        <v>3437</v>
      </c>
      <c r="U2900" s="422" t="s">
        <v>1953</v>
      </c>
      <c r="V2900" s="422" t="s">
        <v>2813</v>
      </c>
    </row>
    <row r="2901" spans="1:22" ht="15.75" thickBot="1" x14ac:dyDescent="0.3">
      <c r="A2901" t="s">
        <v>1910</v>
      </c>
      <c r="B2901" t="s">
        <v>1910</v>
      </c>
      <c r="C2901" s="82" t="s">
        <v>1910</v>
      </c>
      <c r="D2901" s="83" t="s">
        <v>629</v>
      </c>
      <c r="E2901" s="251" t="s">
        <v>1951</v>
      </c>
      <c r="F2901" s="124" t="s">
        <v>620</v>
      </c>
      <c r="G2901" s="130"/>
      <c r="H2901" s="125" t="s">
        <v>732</v>
      </c>
      <c r="I2901" s="311" t="str">
        <f t="shared" si="118"/>
        <v>Pesado de Passageiros M3: I : Gasóleo : E3</v>
      </c>
      <c r="J2901" s="125"/>
      <c r="K2901" s="253">
        <v>2022</v>
      </c>
      <c r="L2901" s="85">
        <v>22007.5</v>
      </c>
      <c r="M2901" s="85" t="s">
        <v>630</v>
      </c>
      <c r="N2901" s="128">
        <v>44015</v>
      </c>
      <c r="O2901" s="128">
        <f t="shared" si="117"/>
        <v>0</v>
      </c>
      <c r="P2901" s="125" t="s">
        <v>3319</v>
      </c>
      <c r="Q2901" s="85" t="s">
        <v>47</v>
      </c>
      <c r="R2901" s="214" t="s">
        <v>1869</v>
      </c>
      <c r="S2901" s="214" t="s">
        <v>1861</v>
      </c>
      <c r="T2901" s="85" t="s">
        <v>3438</v>
      </c>
      <c r="U2901" s="422" t="s">
        <v>1953</v>
      </c>
      <c r="V2901" s="422" t="s">
        <v>2813</v>
      </c>
    </row>
    <row r="2902" spans="1:22" ht="15.75" thickBot="1" x14ac:dyDescent="0.3">
      <c r="A2902" t="s">
        <v>1910</v>
      </c>
      <c r="B2902" t="s">
        <v>1910</v>
      </c>
      <c r="C2902" s="82" t="s">
        <v>1910</v>
      </c>
      <c r="D2902" s="83" t="s">
        <v>629</v>
      </c>
      <c r="E2902" s="251" t="s">
        <v>1951</v>
      </c>
      <c r="F2902" s="124" t="s">
        <v>620</v>
      </c>
      <c r="G2902" s="130">
        <v>2005</v>
      </c>
      <c r="H2902" s="125" t="s">
        <v>732</v>
      </c>
      <c r="I2902" s="311" t="str">
        <f t="shared" si="118"/>
        <v>Pesado de Passageiros M3: I : Gasóleo : E3</v>
      </c>
      <c r="J2902" s="125">
        <v>95</v>
      </c>
      <c r="K2902" s="253">
        <v>2022</v>
      </c>
      <c r="L2902" s="129">
        <v>33011.364500000003</v>
      </c>
      <c r="M2902" s="85" t="s">
        <v>630</v>
      </c>
      <c r="N2902" s="128">
        <v>67577</v>
      </c>
      <c r="O2902" s="128">
        <f t="shared" si="117"/>
        <v>6419815</v>
      </c>
      <c r="P2902" s="125" t="s">
        <v>2105</v>
      </c>
      <c r="Q2902" s="85" t="s">
        <v>47</v>
      </c>
      <c r="R2902" s="214" t="s">
        <v>1869</v>
      </c>
      <c r="S2902" s="214" t="s">
        <v>1861</v>
      </c>
      <c r="T2902" s="85" t="s">
        <v>3926</v>
      </c>
      <c r="U2902" s="422" t="s">
        <v>1953</v>
      </c>
      <c r="V2902" s="422" t="s">
        <v>2813</v>
      </c>
    </row>
    <row r="2903" spans="1:22" ht="15.75" thickBot="1" x14ac:dyDescent="0.3">
      <c r="A2903" t="s">
        <v>1910</v>
      </c>
      <c r="B2903" t="s">
        <v>1910</v>
      </c>
      <c r="C2903" s="82" t="s">
        <v>1910</v>
      </c>
      <c r="D2903" s="83" t="s">
        <v>629</v>
      </c>
      <c r="E2903" s="251" t="s">
        <v>1951</v>
      </c>
      <c r="F2903" s="124" t="s">
        <v>620</v>
      </c>
      <c r="G2903" s="130"/>
      <c r="H2903" s="125" t="s">
        <v>731</v>
      </c>
      <c r="I2903" s="311" t="str">
        <f t="shared" si="118"/>
        <v>Pesado de Passageiros M3: I : Gasóleo : E4</v>
      </c>
      <c r="J2903" s="125"/>
      <c r="K2903" s="253">
        <v>2022</v>
      </c>
      <c r="L2903" s="85">
        <v>10312.709999999999</v>
      </c>
      <c r="M2903" s="85" t="s">
        <v>630</v>
      </c>
      <c r="N2903" s="128">
        <v>20221</v>
      </c>
      <c r="O2903" s="128">
        <f t="shared" si="117"/>
        <v>0</v>
      </c>
      <c r="P2903" s="125" t="s">
        <v>3345</v>
      </c>
      <c r="Q2903" s="85" t="s">
        <v>47</v>
      </c>
      <c r="R2903" s="214" t="s">
        <v>1869</v>
      </c>
      <c r="S2903" s="214" t="s">
        <v>1861</v>
      </c>
      <c r="T2903" s="85" t="s">
        <v>3927</v>
      </c>
      <c r="U2903" s="422" t="s">
        <v>1953</v>
      </c>
      <c r="V2903" s="422" t="s">
        <v>2813</v>
      </c>
    </row>
    <row r="2904" spans="1:22" ht="15.75" thickBot="1" x14ac:dyDescent="0.3">
      <c r="A2904" t="s">
        <v>1910</v>
      </c>
      <c r="B2904" t="s">
        <v>1910</v>
      </c>
      <c r="C2904" s="82" t="s">
        <v>1910</v>
      </c>
      <c r="D2904" s="83" t="s">
        <v>629</v>
      </c>
      <c r="E2904" s="251" t="s">
        <v>1951</v>
      </c>
      <c r="F2904" s="124" t="s">
        <v>620</v>
      </c>
      <c r="G2904" s="130">
        <v>1996</v>
      </c>
      <c r="H2904" s="125" t="s">
        <v>736</v>
      </c>
      <c r="I2904" s="311" t="str">
        <f t="shared" si="118"/>
        <v>Pesado de Passageiros M3: I : Gasóleo : E1</v>
      </c>
      <c r="J2904" s="125">
        <v>77</v>
      </c>
      <c r="K2904" s="253">
        <v>2022</v>
      </c>
      <c r="L2904" s="129">
        <v>16705.4175</v>
      </c>
      <c r="M2904" s="85" t="s">
        <v>630</v>
      </c>
      <c r="N2904" s="128">
        <v>32775</v>
      </c>
      <c r="O2904" s="128">
        <f t="shared" si="117"/>
        <v>2523675</v>
      </c>
      <c r="P2904" s="125" t="s">
        <v>2139</v>
      </c>
      <c r="Q2904" s="85" t="s">
        <v>47</v>
      </c>
      <c r="R2904" s="214" t="s">
        <v>1869</v>
      </c>
      <c r="S2904" s="214" t="s">
        <v>1861</v>
      </c>
      <c r="T2904" s="85" t="s">
        <v>3928</v>
      </c>
      <c r="U2904" s="422" t="s">
        <v>1953</v>
      </c>
      <c r="V2904" s="422" t="s">
        <v>2813</v>
      </c>
    </row>
    <row r="2905" spans="1:22" ht="15.75" thickBot="1" x14ac:dyDescent="0.3">
      <c r="A2905" t="s">
        <v>1910</v>
      </c>
      <c r="B2905" t="s">
        <v>1910</v>
      </c>
      <c r="C2905" s="82" t="s">
        <v>1910</v>
      </c>
      <c r="D2905" s="83" t="s">
        <v>629</v>
      </c>
      <c r="E2905" s="251" t="s">
        <v>1951</v>
      </c>
      <c r="F2905" s="124" t="s">
        <v>620</v>
      </c>
      <c r="G2905" s="130">
        <v>2000</v>
      </c>
      <c r="H2905" s="125" t="s">
        <v>732</v>
      </c>
      <c r="I2905" s="311" t="str">
        <f t="shared" si="118"/>
        <v>Pesado de Passageiros M3: I : Gasóleo : E3</v>
      </c>
      <c r="J2905" s="125">
        <v>64</v>
      </c>
      <c r="K2905" s="253">
        <v>2022</v>
      </c>
      <c r="L2905" s="129">
        <v>6686.55</v>
      </c>
      <c r="M2905" s="85" t="s">
        <v>630</v>
      </c>
      <c r="N2905" s="128">
        <v>14859</v>
      </c>
      <c r="O2905" s="128">
        <f t="shared" si="117"/>
        <v>950976</v>
      </c>
      <c r="P2905" s="125" t="s">
        <v>2169</v>
      </c>
      <c r="Q2905" s="85" t="s">
        <v>47</v>
      </c>
      <c r="R2905" s="214" t="s">
        <v>1869</v>
      </c>
      <c r="S2905" s="214" t="s">
        <v>1861</v>
      </c>
      <c r="T2905" s="85" t="s">
        <v>3929</v>
      </c>
      <c r="U2905" s="422" t="s">
        <v>1953</v>
      </c>
      <c r="V2905" s="422" t="s">
        <v>2813</v>
      </c>
    </row>
    <row r="2906" spans="1:22" ht="15.75" thickBot="1" x14ac:dyDescent="0.3">
      <c r="A2906" t="s">
        <v>1910</v>
      </c>
      <c r="B2906" t="s">
        <v>1910</v>
      </c>
      <c r="C2906" s="82" t="s">
        <v>1910</v>
      </c>
      <c r="D2906" s="83" t="s">
        <v>629</v>
      </c>
      <c r="E2906" s="251" t="s">
        <v>1951</v>
      </c>
      <c r="F2906" s="124" t="s">
        <v>620</v>
      </c>
      <c r="G2906" s="130">
        <v>2012</v>
      </c>
      <c r="H2906" s="125" t="s">
        <v>734</v>
      </c>
      <c r="I2906" s="311" t="str">
        <f t="shared" si="118"/>
        <v>Pesado de Passageiros M3: I : Gasóleo : E5</v>
      </c>
      <c r="J2906" s="125">
        <v>51</v>
      </c>
      <c r="K2906" s="253">
        <v>2022</v>
      </c>
      <c r="L2906" s="129">
        <v>13212.562200000002</v>
      </c>
      <c r="M2906" s="85" t="s">
        <v>630</v>
      </c>
      <c r="N2906" s="128">
        <v>33861</v>
      </c>
      <c r="O2906" s="128">
        <f t="shared" si="117"/>
        <v>1726911</v>
      </c>
      <c r="P2906" s="125" t="s">
        <v>1960</v>
      </c>
      <c r="Q2906" s="85" t="s">
        <v>47</v>
      </c>
      <c r="R2906" s="214" t="s">
        <v>1869</v>
      </c>
      <c r="S2906" s="214" t="s">
        <v>1861</v>
      </c>
      <c r="T2906" s="85" t="s">
        <v>3930</v>
      </c>
      <c r="U2906" s="422" t="s">
        <v>1953</v>
      </c>
      <c r="V2906" s="422" t="s">
        <v>2813</v>
      </c>
    </row>
    <row r="2907" spans="1:22" ht="15.75" thickBot="1" x14ac:dyDescent="0.3">
      <c r="A2907" t="s">
        <v>1910</v>
      </c>
      <c r="B2907" t="s">
        <v>1910</v>
      </c>
      <c r="C2907" s="82" t="s">
        <v>1910</v>
      </c>
      <c r="D2907" s="83" t="s">
        <v>629</v>
      </c>
      <c r="E2907" s="251" t="s">
        <v>1951</v>
      </c>
      <c r="F2907" s="124" t="s">
        <v>620</v>
      </c>
      <c r="G2907" s="130">
        <v>2012</v>
      </c>
      <c r="H2907" s="125" t="s">
        <v>734</v>
      </c>
      <c r="I2907" s="311" t="str">
        <f t="shared" si="118"/>
        <v>Pesado de Passageiros M3: I : Gasóleo : E5</v>
      </c>
      <c r="J2907" s="125">
        <v>51</v>
      </c>
      <c r="K2907" s="253">
        <v>2022</v>
      </c>
      <c r="L2907" s="129">
        <v>11766.972</v>
      </c>
      <c r="M2907" s="85" t="s">
        <v>630</v>
      </c>
      <c r="N2907" s="128">
        <v>29595</v>
      </c>
      <c r="O2907" s="128">
        <f t="shared" si="117"/>
        <v>1509345</v>
      </c>
      <c r="P2907" s="125" t="s">
        <v>1961</v>
      </c>
      <c r="Q2907" s="85" t="s">
        <v>47</v>
      </c>
      <c r="R2907" s="214" t="s">
        <v>1869</v>
      </c>
      <c r="S2907" s="214" t="s">
        <v>1861</v>
      </c>
      <c r="T2907" s="85" t="s">
        <v>3931</v>
      </c>
      <c r="U2907" s="422" t="s">
        <v>1953</v>
      </c>
      <c r="V2907" s="422" t="s">
        <v>2813</v>
      </c>
    </row>
    <row r="2908" spans="1:22" ht="15.75" thickBot="1" x14ac:dyDescent="0.3">
      <c r="A2908" t="s">
        <v>1910</v>
      </c>
      <c r="B2908" t="s">
        <v>1910</v>
      </c>
      <c r="C2908" s="82" t="s">
        <v>1910</v>
      </c>
      <c r="D2908" s="83" t="s">
        <v>629</v>
      </c>
      <c r="E2908" s="251" t="s">
        <v>1951</v>
      </c>
      <c r="F2908" s="124" t="s">
        <v>620</v>
      </c>
      <c r="G2908" s="130">
        <v>2004</v>
      </c>
      <c r="H2908" s="125" t="s">
        <v>732</v>
      </c>
      <c r="I2908" s="311" t="str">
        <f t="shared" si="118"/>
        <v>Pesado de Passageiros M3: I : Gasóleo : E3</v>
      </c>
      <c r="J2908" s="125">
        <v>68</v>
      </c>
      <c r="K2908" s="253">
        <v>2022</v>
      </c>
      <c r="L2908" s="129">
        <v>29864.924999999999</v>
      </c>
      <c r="M2908" s="85" t="s">
        <v>630</v>
      </c>
      <c r="N2908" s="128">
        <v>60030</v>
      </c>
      <c r="O2908" s="128">
        <f t="shared" si="117"/>
        <v>4082040</v>
      </c>
      <c r="P2908" s="125" t="s">
        <v>2185</v>
      </c>
      <c r="Q2908" s="85" t="s">
        <v>47</v>
      </c>
      <c r="R2908" s="214" t="s">
        <v>1869</v>
      </c>
      <c r="S2908" s="214" t="s">
        <v>1861</v>
      </c>
      <c r="T2908" s="85" t="s">
        <v>3932</v>
      </c>
      <c r="U2908" s="422" t="s">
        <v>1953</v>
      </c>
      <c r="V2908" s="422" t="s">
        <v>2813</v>
      </c>
    </row>
    <row r="2909" spans="1:22" ht="15.75" thickBot="1" x14ac:dyDescent="0.3">
      <c r="A2909" t="s">
        <v>1910</v>
      </c>
      <c r="B2909" t="s">
        <v>1910</v>
      </c>
      <c r="C2909" s="82" t="s">
        <v>1910</v>
      </c>
      <c r="D2909" s="83" t="s">
        <v>629</v>
      </c>
      <c r="E2909" s="251" t="s">
        <v>1951</v>
      </c>
      <c r="F2909" s="124" t="s">
        <v>620</v>
      </c>
      <c r="G2909" s="130"/>
      <c r="H2909" s="125" t="s">
        <v>732</v>
      </c>
      <c r="I2909" s="311" t="str">
        <f t="shared" si="118"/>
        <v>Pesado de Passageiros M3: I : Gasóleo : E3</v>
      </c>
      <c r="J2909" s="125"/>
      <c r="K2909" s="253">
        <v>2022</v>
      </c>
      <c r="L2909" s="85">
        <v>8298.6299999999992</v>
      </c>
      <c r="M2909" s="85" t="s">
        <v>630</v>
      </c>
      <c r="N2909" s="128">
        <v>14559</v>
      </c>
      <c r="O2909" s="128">
        <f t="shared" si="117"/>
        <v>0</v>
      </c>
      <c r="P2909" s="125" t="s">
        <v>3327</v>
      </c>
      <c r="Q2909" s="85" t="s">
        <v>47</v>
      </c>
      <c r="R2909" s="214" t="s">
        <v>1869</v>
      </c>
      <c r="S2909" s="214" t="s">
        <v>1861</v>
      </c>
      <c r="T2909" s="85" t="s">
        <v>3445</v>
      </c>
      <c r="U2909" s="422" t="s">
        <v>1953</v>
      </c>
      <c r="V2909" s="422" t="s">
        <v>2813</v>
      </c>
    </row>
    <row r="2910" spans="1:22" ht="15.75" thickBot="1" x14ac:dyDescent="0.3">
      <c r="A2910" t="s">
        <v>1910</v>
      </c>
      <c r="B2910" t="s">
        <v>1910</v>
      </c>
      <c r="C2910" s="82" t="s">
        <v>1910</v>
      </c>
      <c r="D2910" s="83" t="s">
        <v>629</v>
      </c>
      <c r="E2910" s="251" t="s">
        <v>1951</v>
      </c>
      <c r="F2910" s="124" t="s">
        <v>620</v>
      </c>
      <c r="G2910" s="130">
        <v>2005</v>
      </c>
      <c r="H2910" s="125" t="s">
        <v>732</v>
      </c>
      <c r="I2910" s="311" t="str">
        <f t="shared" si="118"/>
        <v>Pesado de Passageiros M3: I : Gasóleo : E3</v>
      </c>
      <c r="J2910" s="125">
        <v>93</v>
      </c>
      <c r="K2910" s="253">
        <v>2022</v>
      </c>
      <c r="L2910" s="129">
        <v>31685.1633</v>
      </c>
      <c r="M2910" s="85" t="s">
        <v>630</v>
      </c>
      <c r="N2910" s="128">
        <v>61873</v>
      </c>
      <c r="O2910" s="128">
        <f t="shared" si="117"/>
        <v>5754189</v>
      </c>
      <c r="P2910" s="125" t="s">
        <v>2113</v>
      </c>
      <c r="Q2910" s="85" t="s">
        <v>47</v>
      </c>
      <c r="R2910" s="214" t="s">
        <v>1869</v>
      </c>
      <c r="S2910" s="214" t="s">
        <v>1861</v>
      </c>
      <c r="T2910" s="85" t="s">
        <v>3933</v>
      </c>
      <c r="U2910" s="422" t="s">
        <v>1953</v>
      </c>
      <c r="V2910" s="422" t="s">
        <v>2813</v>
      </c>
    </row>
    <row r="2911" spans="1:22" ht="15.75" thickBot="1" x14ac:dyDescent="0.3">
      <c r="A2911" t="s">
        <v>1910</v>
      </c>
      <c r="B2911" t="s">
        <v>1910</v>
      </c>
      <c r="C2911" s="82" t="s">
        <v>1910</v>
      </c>
      <c r="D2911" s="83" t="s">
        <v>629</v>
      </c>
      <c r="E2911" s="251" t="s">
        <v>1951</v>
      </c>
      <c r="F2911" s="124" t="s">
        <v>620</v>
      </c>
      <c r="G2911" s="130"/>
      <c r="H2911" s="125" t="s">
        <v>731</v>
      </c>
      <c r="I2911" s="311" t="str">
        <f t="shared" si="118"/>
        <v>Pesado de Passageiros M3: I : Gasóleo : E4</v>
      </c>
      <c r="J2911" s="125"/>
      <c r="K2911" s="253">
        <v>2022</v>
      </c>
      <c r="L2911" s="85">
        <v>13841.7</v>
      </c>
      <c r="M2911" s="85" t="s">
        <v>630</v>
      </c>
      <c r="N2911" s="128">
        <v>32190</v>
      </c>
      <c r="O2911" s="128">
        <f t="shared" si="117"/>
        <v>0</v>
      </c>
      <c r="P2911" s="125" t="s">
        <v>3354</v>
      </c>
      <c r="Q2911" s="85" t="s">
        <v>47</v>
      </c>
      <c r="R2911" s="214" t="s">
        <v>1869</v>
      </c>
      <c r="S2911" s="214" t="s">
        <v>1861</v>
      </c>
      <c r="T2911" s="85" t="s">
        <v>3456</v>
      </c>
      <c r="U2911" s="422" t="s">
        <v>1953</v>
      </c>
      <c r="V2911" s="422" t="s">
        <v>2813</v>
      </c>
    </row>
    <row r="2912" spans="1:22" ht="15.75" thickBot="1" x14ac:dyDescent="0.3">
      <c r="A2912" t="s">
        <v>1910</v>
      </c>
      <c r="B2912" t="s">
        <v>1910</v>
      </c>
      <c r="C2912" s="82" t="s">
        <v>1910</v>
      </c>
      <c r="D2912" s="83" t="s">
        <v>629</v>
      </c>
      <c r="E2912" s="251" t="s">
        <v>1951</v>
      </c>
      <c r="F2912" s="124" t="s">
        <v>620</v>
      </c>
      <c r="G2912" s="130"/>
      <c r="H2912" s="125" t="s">
        <v>732</v>
      </c>
      <c r="I2912" s="311" t="str">
        <f t="shared" si="118"/>
        <v>Pesado de Passageiros M3: I : Gasóleo : E3</v>
      </c>
      <c r="J2912" s="125"/>
      <c r="K2912" s="253">
        <v>2022</v>
      </c>
      <c r="L2912" s="85">
        <v>14852.39</v>
      </c>
      <c r="M2912" s="85" t="s">
        <v>630</v>
      </c>
      <c r="N2912" s="128">
        <v>30311</v>
      </c>
      <c r="O2912" s="128">
        <f t="shared" si="117"/>
        <v>0</v>
      </c>
      <c r="P2912" s="125" t="s">
        <v>3364</v>
      </c>
      <c r="Q2912" s="85" t="s">
        <v>47</v>
      </c>
      <c r="R2912" s="214" t="s">
        <v>1869</v>
      </c>
      <c r="S2912" s="214" t="s">
        <v>1861</v>
      </c>
      <c r="T2912" s="85" t="s">
        <v>3460</v>
      </c>
      <c r="U2912" s="422" t="s">
        <v>1953</v>
      </c>
      <c r="V2912" s="422" t="s">
        <v>2813</v>
      </c>
    </row>
    <row r="2913" spans="1:22" ht="15.75" thickBot="1" x14ac:dyDescent="0.3">
      <c r="A2913" t="s">
        <v>1910</v>
      </c>
      <c r="B2913" t="s">
        <v>1910</v>
      </c>
      <c r="C2913" s="82" t="s">
        <v>1910</v>
      </c>
      <c r="D2913" s="83" t="s">
        <v>629</v>
      </c>
      <c r="E2913" s="251" t="s">
        <v>1951</v>
      </c>
      <c r="F2913" s="124" t="s">
        <v>620</v>
      </c>
      <c r="G2913" s="130">
        <v>2005</v>
      </c>
      <c r="H2913" s="125" t="s">
        <v>732</v>
      </c>
      <c r="I2913" s="311" t="str">
        <f t="shared" si="118"/>
        <v>Pesado de Passageiros M3: I : Gasóleo : E3</v>
      </c>
      <c r="J2913" s="125">
        <v>93</v>
      </c>
      <c r="K2913" s="253">
        <v>2022</v>
      </c>
      <c r="L2913" s="129">
        <v>24505.326699999998</v>
      </c>
      <c r="M2913" s="85" t="s">
        <v>630</v>
      </c>
      <c r="N2913" s="128">
        <v>52373</v>
      </c>
      <c r="O2913" s="128">
        <f t="shared" si="117"/>
        <v>4870689</v>
      </c>
      <c r="P2913" s="125" t="s">
        <v>2109</v>
      </c>
      <c r="Q2913" s="85" t="s">
        <v>47</v>
      </c>
      <c r="R2913" s="214" t="s">
        <v>1869</v>
      </c>
      <c r="S2913" s="214" t="s">
        <v>1861</v>
      </c>
      <c r="T2913" s="85" t="s">
        <v>3934</v>
      </c>
      <c r="U2913" s="422" t="s">
        <v>1953</v>
      </c>
      <c r="V2913" s="422" t="s">
        <v>2813</v>
      </c>
    </row>
    <row r="2914" spans="1:22" ht="15.75" thickBot="1" x14ac:dyDescent="0.3">
      <c r="A2914" t="s">
        <v>1910</v>
      </c>
      <c r="B2914" t="s">
        <v>1910</v>
      </c>
      <c r="C2914" s="82" t="s">
        <v>1910</v>
      </c>
      <c r="D2914" s="83" t="s">
        <v>629</v>
      </c>
      <c r="E2914" s="251" t="s">
        <v>1951</v>
      </c>
      <c r="F2914" s="124" t="s">
        <v>620</v>
      </c>
      <c r="G2914" s="130">
        <v>2005</v>
      </c>
      <c r="H2914" s="125" t="s">
        <v>732</v>
      </c>
      <c r="I2914" s="311" t="str">
        <f t="shared" si="118"/>
        <v>Pesado de Passageiros M3: I : Gasóleo : E3</v>
      </c>
      <c r="J2914" s="125">
        <v>93</v>
      </c>
      <c r="K2914" s="253">
        <v>2022</v>
      </c>
      <c r="L2914" s="129">
        <v>30858.93</v>
      </c>
      <c r="M2914" s="85" t="s">
        <v>630</v>
      </c>
      <c r="N2914" s="128">
        <v>62028</v>
      </c>
      <c r="O2914" s="128">
        <f t="shared" si="117"/>
        <v>5768604</v>
      </c>
      <c r="P2914" s="125" t="s">
        <v>2111</v>
      </c>
      <c r="Q2914" s="85" t="s">
        <v>47</v>
      </c>
      <c r="R2914" s="214" t="s">
        <v>1869</v>
      </c>
      <c r="S2914" s="214" t="s">
        <v>1861</v>
      </c>
      <c r="T2914" s="85" t="s">
        <v>3935</v>
      </c>
      <c r="U2914" s="422" t="s">
        <v>1953</v>
      </c>
      <c r="V2914" s="422" t="s">
        <v>2813</v>
      </c>
    </row>
    <row r="2915" spans="1:22" ht="15.75" thickBot="1" x14ac:dyDescent="0.3">
      <c r="A2915" t="s">
        <v>1910</v>
      </c>
      <c r="B2915" t="s">
        <v>1910</v>
      </c>
      <c r="C2915" s="82" t="s">
        <v>1910</v>
      </c>
      <c r="D2915" s="83" t="s">
        <v>629</v>
      </c>
      <c r="E2915" s="251" t="s">
        <v>1951</v>
      </c>
      <c r="F2915" s="124" t="s">
        <v>620</v>
      </c>
      <c r="G2915" s="130">
        <v>2009</v>
      </c>
      <c r="H2915" s="125" t="s">
        <v>734</v>
      </c>
      <c r="I2915" s="311" t="str">
        <f t="shared" si="118"/>
        <v>Pesado de Passageiros M3: I : Gasóleo : E5</v>
      </c>
      <c r="J2915" s="125">
        <v>80</v>
      </c>
      <c r="K2915" s="253">
        <v>2022</v>
      </c>
      <c r="L2915" s="129">
        <v>35755.306799999998</v>
      </c>
      <c r="M2915" s="85" t="s">
        <v>630</v>
      </c>
      <c r="N2915" s="128">
        <v>66361</v>
      </c>
      <c r="O2915" s="128">
        <f t="shared" si="117"/>
        <v>5308880</v>
      </c>
      <c r="P2915" s="125" t="s">
        <v>2167</v>
      </c>
      <c r="Q2915" s="85" t="s">
        <v>47</v>
      </c>
      <c r="R2915" s="214" t="s">
        <v>1869</v>
      </c>
      <c r="S2915" s="214" t="s">
        <v>1861</v>
      </c>
      <c r="T2915" s="85" t="s">
        <v>3936</v>
      </c>
      <c r="U2915" s="422" t="s">
        <v>1953</v>
      </c>
      <c r="V2915" s="422" t="s">
        <v>2813</v>
      </c>
    </row>
    <row r="2916" spans="1:22" ht="15.75" thickBot="1" x14ac:dyDescent="0.3">
      <c r="A2916" t="s">
        <v>1910</v>
      </c>
      <c r="B2916" t="s">
        <v>1910</v>
      </c>
      <c r="C2916" s="82" t="s">
        <v>1910</v>
      </c>
      <c r="D2916" s="83" t="s">
        <v>629</v>
      </c>
      <c r="E2916" s="251" t="s">
        <v>1951</v>
      </c>
      <c r="F2916" s="124" t="s">
        <v>620</v>
      </c>
      <c r="G2916" s="130">
        <v>1997</v>
      </c>
      <c r="H2916" s="125" t="s">
        <v>735</v>
      </c>
      <c r="I2916" s="311" t="str">
        <f t="shared" si="118"/>
        <v>Pesado de Passageiros M3: I : Gasóleo : E2</v>
      </c>
      <c r="J2916" s="125">
        <v>74</v>
      </c>
      <c r="K2916" s="253">
        <v>2022</v>
      </c>
      <c r="L2916" s="129">
        <v>18808.93</v>
      </c>
      <c r="M2916" s="85" t="s">
        <v>630</v>
      </c>
      <c r="N2916" s="128">
        <v>40019</v>
      </c>
      <c r="O2916" s="128">
        <f t="shared" si="117"/>
        <v>2961406</v>
      </c>
      <c r="P2916" s="125" t="s">
        <v>2148</v>
      </c>
      <c r="Q2916" s="85" t="s">
        <v>47</v>
      </c>
      <c r="R2916" s="214" t="s">
        <v>1869</v>
      </c>
      <c r="S2916" s="214" t="s">
        <v>1861</v>
      </c>
      <c r="T2916" s="85" t="s">
        <v>3937</v>
      </c>
      <c r="U2916" s="422" t="s">
        <v>1953</v>
      </c>
      <c r="V2916" s="422" t="s">
        <v>2813</v>
      </c>
    </row>
    <row r="2917" spans="1:22" ht="15.75" thickBot="1" x14ac:dyDescent="0.3">
      <c r="A2917" t="s">
        <v>1910</v>
      </c>
      <c r="B2917" t="s">
        <v>1910</v>
      </c>
      <c r="C2917" s="82" t="s">
        <v>1910</v>
      </c>
      <c r="D2917" s="83" t="s">
        <v>629</v>
      </c>
      <c r="E2917" s="251" t="s">
        <v>1951</v>
      </c>
      <c r="F2917" s="124" t="s">
        <v>620</v>
      </c>
      <c r="G2917" s="130"/>
      <c r="H2917" s="125" t="s">
        <v>732</v>
      </c>
      <c r="I2917" s="311" t="str">
        <f t="shared" si="118"/>
        <v>Pesado de Passageiros M3: I : Gasóleo : E3</v>
      </c>
      <c r="J2917" s="125"/>
      <c r="K2917" s="253">
        <v>2022</v>
      </c>
      <c r="L2917" s="85">
        <v>12538.8</v>
      </c>
      <c r="M2917" s="85" t="s">
        <v>630</v>
      </c>
      <c r="N2917" s="128">
        <v>27864</v>
      </c>
      <c r="O2917" s="128">
        <f t="shared" si="117"/>
        <v>0</v>
      </c>
      <c r="P2917" s="125" t="s">
        <v>3312</v>
      </c>
      <c r="Q2917" s="85" t="s">
        <v>47</v>
      </c>
      <c r="R2917" s="214" t="s">
        <v>1869</v>
      </c>
      <c r="S2917" s="214" t="s">
        <v>1861</v>
      </c>
      <c r="T2917" s="85" t="s">
        <v>3431</v>
      </c>
      <c r="U2917" s="422" t="s">
        <v>1953</v>
      </c>
      <c r="V2917" s="422" t="s">
        <v>2813</v>
      </c>
    </row>
    <row r="2918" spans="1:22" ht="15.75" thickBot="1" x14ac:dyDescent="0.3">
      <c r="A2918" t="s">
        <v>1910</v>
      </c>
      <c r="B2918" t="s">
        <v>1910</v>
      </c>
      <c r="C2918" s="82" t="s">
        <v>1910</v>
      </c>
      <c r="D2918" s="83" t="s">
        <v>629</v>
      </c>
      <c r="E2918" s="251" t="s">
        <v>1951</v>
      </c>
      <c r="F2918" s="124" t="s">
        <v>620</v>
      </c>
      <c r="G2918" s="130">
        <v>2003</v>
      </c>
      <c r="H2918" s="125" t="s">
        <v>732</v>
      </c>
      <c r="I2918" s="311" t="str">
        <f t="shared" si="118"/>
        <v>Pesado de Passageiros M3: I : Gasóleo : E3</v>
      </c>
      <c r="J2918" s="125">
        <v>62</v>
      </c>
      <c r="K2918" s="253">
        <v>2022</v>
      </c>
      <c r="L2918" s="129">
        <v>27049.5</v>
      </c>
      <c r="M2918" s="85" t="s">
        <v>630</v>
      </c>
      <c r="N2918" s="128">
        <v>54099</v>
      </c>
      <c r="O2918" s="128">
        <f t="shared" si="117"/>
        <v>3354138</v>
      </c>
      <c r="P2918" s="125" t="s">
        <v>2086</v>
      </c>
      <c r="Q2918" s="85" t="s">
        <v>47</v>
      </c>
      <c r="R2918" s="214" t="s">
        <v>1869</v>
      </c>
      <c r="S2918" s="214" t="s">
        <v>1861</v>
      </c>
      <c r="T2918" s="85" t="s">
        <v>3938</v>
      </c>
      <c r="U2918" s="422" t="s">
        <v>1953</v>
      </c>
      <c r="V2918" s="422" t="s">
        <v>2813</v>
      </c>
    </row>
    <row r="2919" spans="1:22" ht="15.75" thickBot="1" x14ac:dyDescent="0.3">
      <c r="A2919" t="s">
        <v>1910</v>
      </c>
      <c r="B2919" t="s">
        <v>1910</v>
      </c>
      <c r="C2919" s="82" t="s">
        <v>1910</v>
      </c>
      <c r="D2919" s="83" t="s">
        <v>629</v>
      </c>
      <c r="E2919" s="251" t="s">
        <v>1951</v>
      </c>
      <c r="F2919" s="124" t="s">
        <v>620</v>
      </c>
      <c r="G2919" s="130">
        <v>2013</v>
      </c>
      <c r="H2919" s="125" t="s">
        <v>733</v>
      </c>
      <c r="I2919" s="311" t="str">
        <f t="shared" si="118"/>
        <v>Pesado de Passageiros M3: I : Gasóleo : E6</v>
      </c>
      <c r="J2919" s="125">
        <v>96</v>
      </c>
      <c r="K2919" s="253">
        <v>2022</v>
      </c>
      <c r="L2919" s="129">
        <v>33307.275000000001</v>
      </c>
      <c r="M2919" s="85" t="s">
        <v>630</v>
      </c>
      <c r="N2919" s="128">
        <v>75750</v>
      </c>
      <c r="O2919" s="128">
        <f t="shared" si="117"/>
        <v>7272000</v>
      </c>
      <c r="P2919" s="125" t="s">
        <v>2036</v>
      </c>
      <c r="Q2919" s="85" t="s">
        <v>47</v>
      </c>
      <c r="R2919" s="214" t="s">
        <v>1869</v>
      </c>
      <c r="S2919" s="214" t="s">
        <v>1861</v>
      </c>
      <c r="T2919" s="85" t="s">
        <v>3939</v>
      </c>
      <c r="U2919" s="422" t="s">
        <v>1953</v>
      </c>
      <c r="V2919" s="422" t="s">
        <v>2813</v>
      </c>
    </row>
    <row r="2920" spans="1:22" ht="15.75" thickBot="1" x14ac:dyDescent="0.3">
      <c r="A2920" t="s">
        <v>1910</v>
      </c>
      <c r="B2920" t="s">
        <v>1910</v>
      </c>
      <c r="C2920" s="82" t="s">
        <v>1910</v>
      </c>
      <c r="D2920" s="83" t="s">
        <v>629</v>
      </c>
      <c r="E2920" s="251" t="s">
        <v>1951</v>
      </c>
      <c r="F2920" s="124" t="s">
        <v>620</v>
      </c>
      <c r="G2920" s="130">
        <v>2014</v>
      </c>
      <c r="H2920" s="125" t="s">
        <v>733</v>
      </c>
      <c r="I2920" s="311" t="str">
        <f t="shared" si="118"/>
        <v>Pesado de Passageiros M3: I : Gasóleo : E6</v>
      </c>
      <c r="J2920" s="125">
        <v>72</v>
      </c>
      <c r="K2920" s="253">
        <v>2022</v>
      </c>
      <c r="L2920" s="129">
        <v>27227.937599999997</v>
      </c>
      <c r="M2920" s="85" t="s">
        <v>630</v>
      </c>
      <c r="N2920" s="128">
        <v>65201</v>
      </c>
      <c r="O2920" s="128">
        <f t="shared" si="117"/>
        <v>4694472</v>
      </c>
      <c r="P2920" s="125" t="s">
        <v>2049</v>
      </c>
      <c r="Q2920" s="85" t="s">
        <v>47</v>
      </c>
      <c r="R2920" s="214" t="s">
        <v>1869</v>
      </c>
      <c r="S2920" s="214" t="s">
        <v>1861</v>
      </c>
      <c r="T2920" s="85" t="s">
        <v>3940</v>
      </c>
      <c r="U2920" s="422" t="s">
        <v>1953</v>
      </c>
      <c r="V2920" s="422" t="s">
        <v>2813</v>
      </c>
    </row>
    <row r="2921" spans="1:22" ht="15.75" thickBot="1" x14ac:dyDescent="0.3">
      <c r="A2921" t="s">
        <v>1910</v>
      </c>
      <c r="B2921" t="s">
        <v>1910</v>
      </c>
      <c r="C2921" s="82" t="s">
        <v>1910</v>
      </c>
      <c r="D2921" s="83" t="s">
        <v>629</v>
      </c>
      <c r="E2921" s="251" t="s">
        <v>1951</v>
      </c>
      <c r="F2921" s="124" t="s">
        <v>620</v>
      </c>
      <c r="G2921" s="130">
        <v>2009</v>
      </c>
      <c r="H2921" s="125" t="s">
        <v>731</v>
      </c>
      <c r="I2921" s="311" t="str">
        <f t="shared" si="118"/>
        <v>Pesado de Passageiros M3: I : Gasóleo : E4</v>
      </c>
      <c r="J2921" s="125">
        <v>21</v>
      </c>
      <c r="K2921" s="253">
        <v>2022</v>
      </c>
      <c r="L2921" s="129">
        <v>6486.3744000000006</v>
      </c>
      <c r="M2921" s="85" t="s">
        <v>630</v>
      </c>
      <c r="N2921" s="128">
        <v>30712</v>
      </c>
      <c r="O2921" s="128">
        <f t="shared" si="117"/>
        <v>644952</v>
      </c>
      <c r="P2921" s="125" t="s">
        <v>1965</v>
      </c>
      <c r="Q2921" s="85" t="s">
        <v>47</v>
      </c>
      <c r="R2921" s="214" t="s">
        <v>1869</v>
      </c>
      <c r="S2921" s="214" t="s">
        <v>1861</v>
      </c>
      <c r="T2921" s="85" t="s">
        <v>3941</v>
      </c>
      <c r="U2921" s="422" t="s">
        <v>1953</v>
      </c>
      <c r="V2921" s="422" t="s">
        <v>2813</v>
      </c>
    </row>
    <row r="2922" spans="1:22" ht="15.75" thickBot="1" x14ac:dyDescent="0.3">
      <c r="A2922" t="s">
        <v>1910</v>
      </c>
      <c r="B2922" t="s">
        <v>1910</v>
      </c>
      <c r="C2922" s="82" t="s">
        <v>1910</v>
      </c>
      <c r="D2922" s="83" t="s">
        <v>629</v>
      </c>
      <c r="E2922" s="251" t="s">
        <v>1951</v>
      </c>
      <c r="F2922" s="124" t="s">
        <v>620</v>
      </c>
      <c r="G2922" s="130">
        <v>2013</v>
      </c>
      <c r="H2922" s="125" t="s">
        <v>733</v>
      </c>
      <c r="I2922" s="311" t="str">
        <f t="shared" si="118"/>
        <v>Pesado de Passageiros M3: I : Gasóleo : E6</v>
      </c>
      <c r="J2922" s="125">
        <v>72</v>
      </c>
      <c r="K2922" s="253">
        <v>2022</v>
      </c>
      <c r="L2922" s="129">
        <v>23798.547299999998</v>
      </c>
      <c r="M2922" s="85" t="s">
        <v>630</v>
      </c>
      <c r="N2922" s="128">
        <v>55051</v>
      </c>
      <c r="O2922" s="128">
        <f t="shared" si="117"/>
        <v>3963672</v>
      </c>
      <c r="P2922" s="125" t="s">
        <v>2050</v>
      </c>
      <c r="Q2922" s="85" t="s">
        <v>47</v>
      </c>
      <c r="R2922" s="214" t="s">
        <v>1869</v>
      </c>
      <c r="S2922" s="214" t="s">
        <v>1861</v>
      </c>
      <c r="T2922" s="85" t="s">
        <v>3942</v>
      </c>
      <c r="U2922" s="422" t="s">
        <v>1953</v>
      </c>
      <c r="V2922" s="422" t="s">
        <v>2813</v>
      </c>
    </row>
    <row r="2923" spans="1:22" ht="15.75" thickBot="1" x14ac:dyDescent="0.3">
      <c r="A2923" t="s">
        <v>1910</v>
      </c>
      <c r="B2923" t="s">
        <v>1910</v>
      </c>
      <c r="C2923" s="82" t="s">
        <v>1910</v>
      </c>
      <c r="D2923" s="83" t="s">
        <v>629</v>
      </c>
      <c r="E2923" s="251" t="s">
        <v>1951</v>
      </c>
      <c r="F2923" s="124" t="s">
        <v>620</v>
      </c>
      <c r="G2923" s="130"/>
      <c r="H2923" s="125" t="s">
        <v>732</v>
      </c>
      <c r="I2923" s="311" t="str">
        <f t="shared" si="118"/>
        <v>Pesado de Passageiros M3: I : Gasóleo : E3</v>
      </c>
      <c r="J2923" s="125"/>
      <c r="K2923" s="253">
        <v>2022</v>
      </c>
      <c r="L2923" s="85">
        <v>6606.03</v>
      </c>
      <c r="M2923" s="85" t="s">
        <v>630</v>
      </c>
      <c r="N2923" s="128">
        <v>12953</v>
      </c>
      <c r="O2923" s="128">
        <f t="shared" si="117"/>
        <v>0</v>
      </c>
      <c r="P2923" s="125" t="s">
        <v>3375</v>
      </c>
      <c r="Q2923" s="85" t="s">
        <v>47</v>
      </c>
      <c r="R2923" s="214" t="s">
        <v>1869</v>
      </c>
      <c r="S2923" s="214" t="s">
        <v>1861</v>
      </c>
      <c r="T2923" s="85" t="s">
        <v>3943</v>
      </c>
      <c r="U2923" s="422" t="s">
        <v>1953</v>
      </c>
      <c r="V2923" s="422" t="s">
        <v>2813</v>
      </c>
    </row>
    <row r="2924" spans="1:22" ht="15.75" thickBot="1" x14ac:dyDescent="0.3">
      <c r="A2924" t="s">
        <v>1910</v>
      </c>
      <c r="B2924" t="s">
        <v>1910</v>
      </c>
      <c r="C2924" s="82" t="s">
        <v>1910</v>
      </c>
      <c r="D2924" s="83" t="s">
        <v>629</v>
      </c>
      <c r="E2924" s="251" t="s">
        <v>1951</v>
      </c>
      <c r="F2924" s="124" t="s">
        <v>620</v>
      </c>
      <c r="G2924" s="130">
        <v>2014</v>
      </c>
      <c r="H2924" s="125" t="s">
        <v>733</v>
      </c>
      <c r="I2924" s="311" t="str">
        <f t="shared" si="118"/>
        <v>Pesado de Passageiros M3: I : Gasóleo : E6</v>
      </c>
      <c r="J2924" s="125">
        <v>99</v>
      </c>
      <c r="K2924" s="253">
        <v>2022</v>
      </c>
      <c r="L2924" s="129">
        <v>35983.683400000002</v>
      </c>
      <c r="M2924" s="85" t="s">
        <v>630</v>
      </c>
      <c r="N2924" s="128">
        <v>89201</v>
      </c>
      <c r="O2924" s="128">
        <f t="shared" si="117"/>
        <v>8830899</v>
      </c>
      <c r="P2924" s="125" t="s">
        <v>2035</v>
      </c>
      <c r="Q2924" s="85" t="s">
        <v>47</v>
      </c>
      <c r="R2924" s="214" t="s">
        <v>1869</v>
      </c>
      <c r="S2924" s="214" t="s">
        <v>1861</v>
      </c>
      <c r="T2924" s="85" t="s">
        <v>3944</v>
      </c>
      <c r="U2924" s="422" t="s">
        <v>1953</v>
      </c>
      <c r="V2924" s="422" t="s">
        <v>2813</v>
      </c>
    </row>
    <row r="2925" spans="1:22" ht="15.75" thickBot="1" x14ac:dyDescent="0.3">
      <c r="A2925" t="s">
        <v>1910</v>
      </c>
      <c r="B2925" t="s">
        <v>1910</v>
      </c>
      <c r="C2925" s="82" t="s">
        <v>1910</v>
      </c>
      <c r="D2925" s="83" t="s">
        <v>629</v>
      </c>
      <c r="E2925" s="251" t="s">
        <v>1951</v>
      </c>
      <c r="F2925" s="124" t="s">
        <v>620</v>
      </c>
      <c r="G2925" s="130"/>
      <c r="H2925" s="125" t="s">
        <v>732</v>
      </c>
      <c r="I2925" s="311" t="str">
        <f t="shared" si="118"/>
        <v>Pesado de Passageiros M3: I : Gasóleo : E3</v>
      </c>
      <c r="J2925" s="125"/>
      <c r="K2925" s="253">
        <v>2022</v>
      </c>
      <c r="L2925" s="85">
        <v>8907.15</v>
      </c>
      <c r="M2925" s="85" t="s">
        <v>630</v>
      </c>
      <c r="N2925" s="128">
        <v>25449</v>
      </c>
      <c r="O2925" s="128">
        <f t="shared" si="117"/>
        <v>0</v>
      </c>
      <c r="P2925" s="125" t="s">
        <v>3332</v>
      </c>
      <c r="Q2925" s="85" t="s">
        <v>47</v>
      </c>
      <c r="R2925" s="214" t="s">
        <v>1869</v>
      </c>
      <c r="S2925" s="214" t="s">
        <v>1861</v>
      </c>
      <c r="T2925" s="85" t="s">
        <v>3945</v>
      </c>
      <c r="U2925" s="422" t="s">
        <v>1953</v>
      </c>
      <c r="V2925" s="422" t="s">
        <v>2813</v>
      </c>
    </row>
    <row r="2926" spans="1:22" ht="15.75" thickBot="1" x14ac:dyDescent="0.3">
      <c r="A2926" t="s">
        <v>1910</v>
      </c>
      <c r="B2926" t="s">
        <v>1910</v>
      </c>
      <c r="C2926" s="82" t="s">
        <v>1910</v>
      </c>
      <c r="D2926" s="83" t="s">
        <v>629</v>
      </c>
      <c r="E2926" s="251" t="s">
        <v>1951</v>
      </c>
      <c r="F2926" s="124" t="s">
        <v>620</v>
      </c>
      <c r="G2926" s="130"/>
      <c r="H2926" s="125" t="s">
        <v>732</v>
      </c>
      <c r="I2926" s="311" t="str">
        <f t="shared" si="118"/>
        <v>Pesado de Passageiros M3: I : Gasóleo : E3</v>
      </c>
      <c r="J2926" s="125"/>
      <c r="K2926" s="253">
        <v>2022</v>
      </c>
      <c r="L2926" s="85">
        <v>7312.2</v>
      </c>
      <c r="M2926" s="85" t="s">
        <v>630</v>
      </c>
      <c r="N2926" s="128">
        <v>20892</v>
      </c>
      <c r="O2926" s="128">
        <f t="shared" si="117"/>
        <v>0</v>
      </c>
      <c r="P2926" s="125" t="s">
        <v>3333</v>
      </c>
      <c r="Q2926" s="85" t="s">
        <v>47</v>
      </c>
      <c r="R2926" s="214" t="s">
        <v>1869</v>
      </c>
      <c r="S2926" s="214" t="s">
        <v>1861</v>
      </c>
      <c r="T2926" s="85" t="s">
        <v>3446</v>
      </c>
      <c r="U2926" s="422" t="s">
        <v>1953</v>
      </c>
      <c r="V2926" s="422" t="s">
        <v>2813</v>
      </c>
    </row>
    <row r="2927" spans="1:22" ht="15.75" thickBot="1" x14ac:dyDescent="0.3">
      <c r="A2927" t="s">
        <v>1910</v>
      </c>
      <c r="B2927" t="s">
        <v>1910</v>
      </c>
      <c r="C2927" s="82" t="s">
        <v>1910</v>
      </c>
      <c r="D2927" s="83" t="s">
        <v>629</v>
      </c>
      <c r="E2927" s="251" t="s">
        <v>1951</v>
      </c>
      <c r="F2927" s="124" t="s">
        <v>620</v>
      </c>
      <c r="G2927" s="130">
        <v>2003</v>
      </c>
      <c r="H2927" s="125" t="s">
        <v>732</v>
      </c>
      <c r="I2927" s="311" t="str">
        <f t="shared" si="118"/>
        <v>Pesado de Passageiros M3: I : Gasóleo : E3</v>
      </c>
      <c r="J2927" s="125">
        <v>106</v>
      </c>
      <c r="K2927" s="253">
        <v>2022</v>
      </c>
      <c r="L2927" s="129">
        <v>26908.044499999996</v>
      </c>
      <c r="M2927" s="85" t="s">
        <v>630</v>
      </c>
      <c r="N2927" s="128">
        <v>49655</v>
      </c>
      <c r="O2927" s="128">
        <f t="shared" si="117"/>
        <v>5263430</v>
      </c>
      <c r="P2927" s="125" t="s">
        <v>2149</v>
      </c>
      <c r="Q2927" s="85" t="s">
        <v>47</v>
      </c>
      <c r="R2927" s="214" t="s">
        <v>1869</v>
      </c>
      <c r="S2927" s="214" t="s">
        <v>1861</v>
      </c>
      <c r="T2927" s="85" t="s">
        <v>3946</v>
      </c>
      <c r="U2927" s="422" t="s">
        <v>1953</v>
      </c>
      <c r="V2927" s="422" t="s">
        <v>2813</v>
      </c>
    </row>
    <row r="2928" spans="1:22" ht="15.75" thickBot="1" x14ac:dyDescent="0.3">
      <c r="A2928" t="s">
        <v>1910</v>
      </c>
      <c r="B2928" t="s">
        <v>1910</v>
      </c>
      <c r="C2928" s="82" t="s">
        <v>1910</v>
      </c>
      <c r="D2928" s="83" t="s">
        <v>629</v>
      </c>
      <c r="E2928" s="251" t="s">
        <v>1951</v>
      </c>
      <c r="F2928" s="124" t="s">
        <v>620</v>
      </c>
      <c r="G2928" s="130">
        <v>2003</v>
      </c>
      <c r="H2928" s="125" t="s">
        <v>732</v>
      </c>
      <c r="I2928" s="311" t="str">
        <f t="shared" si="118"/>
        <v>Pesado de Passageiros M3: I : Gasóleo : E3</v>
      </c>
      <c r="J2928" s="125">
        <v>106</v>
      </c>
      <c r="K2928" s="253">
        <v>2022</v>
      </c>
      <c r="L2928" s="129">
        <v>25823.337500000001</v>
      </c>
      <c r="M2928" s="85" t="s">
        <v>630</v>
      </c>
      <c r="N2928" s="128">
        <v>50387</v>
      </c>
      <c r="O2928" s="128">
        <f t="shared" si="117"/>
        <v>5341022</v>
      </c>
      <c r="P2928" s="125" t="s">
        <v>2150</v>
      </c>
      <c r="Q2928" s="85" t="s">
        <v>47</v>
      </c>
      <c r="R2928" s="214" t="s">
        <v>1869</v>
      </c>
      <c r="S2928" s="214" t="s">
        <v>1861</v>
      </c>
      <c r="T2928" s="85" t="s">
        <v>3947</v>
      </c>
      <c r="U2928" s="422" t="s">
        <v>1953</v>
      </c>
      <c r="V2928" s="422" t="s">
        <v>2813</v>
      </c>
    </row>
    <row r="2929" spans="1:22" ht="15.75" thickBot="1" x14ac:dyDescent="0.3">
      <c r="A2929" t="s">
        <v>1910</v>
      </c>
      <c r="B2929" t="s">
        <v>1910</v>
      </c>
      <c r="C2929" s="82" t="s">
        <v>1910</v>
      </c>
      <c r="D2929" s="83" t="s">
        <v>629</v>
      </c>
      <c r="E2929" s="251" t="s">
        <v>1951</v>
      </c>
      <c r="F2929" s="124" t="s">
        <v>620</v>
      </c>
      <c r="G2929" s="130">
        <v>2003</v>
      </c>
      <c r="H2929" s="125" t="s">
        <v>732</v>
      </c>
      <c r="I2929" s="311" t="str">
        <f t="shared" si="118"/>
        <v>Pesado de Passageiros M3: I : Gasóleo : E3</v>
      </c>
      <c r="J2929" s="125">
        <v>106</v>
      </c>
      <c r="K2929" s="253">
        <v>2022</v>
      </c>
      <c r="L2929" s="129">
        <v>25489.764800000001</v>
      </c>
      <c r="M2929" s="85" t="s">
        <v>630</v>
      </c>
      <c r="N2929" s="128">
        <v>43409</v>
      </c>
      <c r="O2929" s="128">
        <f t="shared" ref="O2929:O2992" si="119">N2929*J2929</f>
        <v>4601354</v>
      </c>
      <c r="P2929" s="125" t="s">
        <v>2151</v>
      </c>
      <c r="Q2929" s="85" t="s">
        <v>47</v>
      </c>
      <c r="R2929" s="214" t="s">
        <v>1869</v>
      </c>
      <c r="S2929" s="214" t="s">
        <v>1861</v>
      </c>
      <c r="T2929" s="85" t="s">
        <v>3948</v>
      </c>
      <c r="U2929" s="422" t="s">
        <v>1953</v>
      </c>
      <c r="V2929" s="422" t="s">
        <v>2813</v>
      </c>
    </row>
    <row r="2930" spans="1:22" ht="15.75" thickBot="1" x14ac:dyDescent="0.3">
      <c r="A2930" t="s">
        <v>1910</v>
      </c>
      <c r="B2930" t="s">
        <v>1910</v>
      </c>
      <c r="C2930" s="82" t="s">
        <v>1910</v>
      </c>
      <c r="D2930" s="83" t="s">
        <v>629</v>
      </c>
      <c r="E2930" s="251" t="s">
        <v>1951</v>
      </c>
      <c r="F2930" s="124" t="s">
        <v>620</v>
      </c>
      <c r="G2930" s="130">
        <v>2004</v>
      </c>
      <c r="H2930" s="125" t="s">
        <v>732</v>
      </c>
      <c r="I2930" s="311" t="str">
        <f t="shared" si="118"/>
        <v>Pesado de Passageiros M3: I : Gasóleo : E3</v>
      </c>
      <c r="J2930" s="125">
        <v>84</v>
      </c>
      <c r="K2930" s="253">
        <v>2022</v>
      </c>
      <c r="L2930" s="129">
        <v>25543.591499999999</v>
      </c>
      <c r="M2930" s="85" t="s">
        <v>630</v>
      </c>
      <c r="N2930" s="128">
        <v>48981</v>
      </c>
      <c r="O2930" s="128">
        <f t="shared" si="119"/>
        <v>4114404</v>
      </c>
      <c r="P2930" s="125" t="s">
        <v>2189</v>
      </c>
      <c r="Q2930" s="85" t="s">
        <v>47</v>
      </c>
      <c r="R2930" s="214" t="s">
        <v>1869</v>
      </c>
      <c r="S2930" s="214" t="s">
        <v>1861</v>
      </c>
      <c r="T2930" s="85" t="s">
        <v>3949</v>
      </c>
      <c r="U2930" s="422" t="s">
        <v>1953</v>
      </c>
      <c r="V2930" s="422" t="s">
        <v>2813</v>
      </c>
    </row>
    <row r="2931" spans="1:22" ht="15.75" thickBot="1" x14ac:dyDescent="0.3">
      <c r="A2931" t="s">
        <v>1910</v>
      </c>
      <c r="B2931" t="s">
        <v>1910</v>
      </c>
      <c r="C2931" s="82" t="s">
        <v>1910</v>
      </c>
      <c r="D2931" s="83" t="s">
        <v>629</v>
      </c>
      <c r="E2931" s="251" t="s">
        <v>1951</v>
      </c>
      <c r="F2931" s="124" t="s">
        <v>620</v>
      </c>
      <c r="G2931" s="130">
        <v>2000</v>
      </c>
      <c r="H2931" s="125" t="s">
        <v>732</v>
      </c>
      <c r="I2931" s="311" t="str">
        <f t="shared" si="118"/>
        <v>Pesado de Passageiros M3: I : Gasóleo : E3</v>
      </c>
      <c r="J2931" s="125">
        <v>80</v>
      </c>
      <c r="K2931" s="253">
        <v>2022</v>
      </c>
      <c r="L2931" s="129">
        <v>13591.696800000002</v>
      </c>
      <c r="M2931" s="85" t="s">
        <v>630</v>
      </c>
      <c r="N2931" s="128">
        <v>28578</v>
      </c>
      <c r="O2931" s="128">
        <f t="shared" si="119"/>
        <v>2286240</v>
      </c>
      <c r="P2931" s="125" t="s">
        <v>2187</v>
      </c>
      <c r="Q2931" s="85" t="s">
        <v>47</v>
      </c>
      <c r="R2931" s="214" t="s">
        <v>1869</v>
      </c>
      <c r="S2931" s="214" t="s">
        <v>1861</v>
      </c>
      <c r="T2931" s="85" t="s">
        <v>3950</v>
      </c>
      <c r="U2931" s="422" t="s">
        <v>1953</v>
      </c>
      <c r="V2931" s="422" t="s">
        <v>2813</v>
      </c>
    </row>
    <row r="2932" spans="1:22" ht="15.75" thickBot="1" x14ac:dyDescent="0.3">
      <c r="A2932" t="s">
        <v>1910</v>
      </c>
      <c r="B2932" t="s">
        <v>1910</v>
      </c>
      <c r="C2932" s="82" t="s">
        <v>1910</v>
      </c>
      <c r="D2932" s="83" t="s">
        <v>629</v>
      </c>
      <c r="E2932" s="251" t="s">
        <v>1951</v>
      </c>
      <c r="F2932" s="124" t="s">
        <v>620</v>
      </c>
      <c r="G2932" s="130">
        <v>2000</v>
      </c>
      <c r="H2932" s="125" t="s">
        <v>732</v>
      </c>
      <c r="I2932" s="311" t="str">
        <f t="shared" si="118"/>
        <v>Pesado de Passageiros M3: I : Gasóleo : E3</v>
      </c>
      <c r="J2932" s="125">
        <v>80</v>
      </c>
      <c r="K2932" s="253">
        <v>2022</v>
      </c>
      <c r="L2932" s="129">
        <v>9588.3060000000005</v>
      </c>
      <c r="M2932" s="85" t="s">
        <v>630</v>
      </c>
      <c r="N2932" s="128">
        <v>23205</v>
      </c>
      <c r="O2932" s="128">
        <f t="shared" si="119"/>
        <v>1856400</v>
      </c>
      <c r="P2932" s="125" t="s">
        <v>2188</v>
      </c>
      <c r="Q2932" s="85" t="s">
        <v>47</v>
      </c>
      <c r="R2932" s="214" t="s">
        <v>1869</v>
      </c>
      <c r="S2932" s="214" t="s">
        <v>1861</v>
      </c>
      <c r="T2932" s="85" t="s">
        <v>3951</v>
      </c>
      <c r="U2932" s="422" t="s">
        <v>1953</v>
      </c>
      <c r="V2932" s="422" t="s">
        <v>2813</v>
      </c>
    </row>
    <row r="2933" spans="1:22" ht="15.75" thickBot="1" x14ac:dyDescent="0.3">
      <c r="A2933" t="s">
        <v>1910</v>
      </c>
      <c r="B2933" t="s">
        <v>1910</v>
      </c>
      <c r="C2933" s="82" t="s">
        <v>1910</v>
      </c>
      <c r="D2933" s="83" t="s">
        <v>629</v>
      </c>
      <c r="E2933" s="251" t="s">
        <v>1951</v>
      </c>
      <c r="F2933" s="124" t="s">
        <v>620</v>
      </c>
      <c r="G2933" s="130">
        <v>2005</v>
      </c>
      <c r="H2933" s="125" t="s">
        <v>732</v>
      </c>
      <c r="I2933" s="311" t="str">
        <f t="shared" si="118"/>
        <v>Pesado de Passageiros M3: I : Gasóleo : E3</v>
      </c>
      <c r="J2933" s="125">
        <v>69</v>
      </c>
      <c r="K2933" s="253">
        <v>2022</v>
      </c>
      <c r="L2933" s="129">
        <v>29344.14</v>
      </c>
      <c r="M2933" s="85" t="s">
        <v>630</v>
      </c>
      <c r="N2933" s="128">
        <v>55450</v>
      </c>
      <c r="O2933" s="128">
        <f t="shared" si="119"/>
        <v>3826050</v>
      </c>
      <c r="P2933" s="125" t="s">
        <v>2089</v>
      </c>
      <c r="Q2933" s="85" t="s">
        <v>47</v>
      </c>
      <c r="R2933" s="214" t="s">
        <v>1869</v>
      </c>
      <c r="S2933" s="214" t="s">
        <v>1861</v>
      </c>
      <c r="T2933" s="85" t="s">
        <v>3952</v>
      </c>
      <c r="U2933" s="422" t="s">
        <v>1953</v>
      </c>
      <c r="V2933" s="422" t="s">
        <v>2813</v>
      </c>
    </row>
    <row r="2934" spans="1:22" ht="15.75" thickBot="1" x14ac:dyDescent="0.3">
      <c r="A2934" t="s">
        <v>1910</v>
      </c>
      <c r="B2934" t="s">
        <v>1910</v>
      </c>
      <c r="C2934" s="82" t="s">
        <v>1910</v>
      </c>
      <c r="D2934" s="83" t="s">
        <v>629</v>
      </c>
      <c r="E2934" s="251" t="s">
        <v>1951</v>
      </c>
      <c r="F2934" s="124" t="s">
        <v>620</v>
      </c>
      <c r="G2934" s="130">
        <v>2005</v>
      </c>
      <c r="H2934" s="125" t="s">
        <v>732</v>
      </c>
      <c r="I2934" s="311" t="str">
        <f t="shared" ref="I2934:I2997" si="120">D2934&amp;": "&amp;E2934&amp;" : "&amp;F2934&amp;" : "&amp;H2934</f>
        <v>Pesado de Passageiros M3: I : Gasóleo : E3</v>
      </c>
      <c r="J2934" s="125">
        <v>69</v>
      </c>
      <c r="K2934" s="253">
        <v>2022</v>
      </c>
      <c r="L2934" s="129">
        <v>31860.6646</v>
      </c>
      <c r="M2934" s="85" t="s">
        <v>630</v>
      </c>
      <c r="N2934" s="128">
        <v>59821</v>
      </c>
      <c r="O2934" s="128">
        <f t="shared" si="119"/>
        <v>4127649</v>
      </c>
      <c r="P2934" s="125" t="s">
        <v>2090</v>
      </c>
      <c r="Q2934" s="85" t="s">
        <v>47</v>
      </c>
      <c r="R2934" s="214" t="s">
        <v>1869</v>
      </c>
      <c r="S2934" s="214" t="s">
        <v>1861</v>
      </c>
      <c r="T2934" s="85" t="s">
        <v>3953</v>
      </c>
      <c r="U2934" s="422" t="s">
        <v>1953</v>
      </c>
      <c r="V2934" s="422" t="s">
        <v>2813</v>
      </c>
    </row>
    <row r="2935" spans="1:22" ht="15.75" thickBot="1" x14ac:dyDescent="0.3">
      <c r="A2935" t="s">
        <v>1910</v>
      </c>
      <c r="B2935" t="s">
        <v>1910</v>
      </c>
      <c r="C2935" s="82" t="s">
        <v>1910</v>
      </c>
      <c r="D2935" s="83" t="s">
        <v>629</v>
      </c>
      <c r="E2935" s="251" t="s">
        <v>1951</v>
      </c>
      <c r="F2935" s="124" t="s">
        <v>620</v>
      </c>
      <c r="G2935" s="130">
        <v>2013</v>
      </c>
      <c r="H2935" s="125" t="s">
        <v>733</v>
      </c>
      <c r="I2935" s="311" t="str">
        <f t="shared" si="120"/>
        <v>Pesado de Passageiros M3: I : Gasóleo : E6</v>
      </c>
      <c r="J2935" s="125">
        <v>100</v>
      </c>
      <c r="K2935" s="253">
        <v>2022</v>
      </c>
      <c r="L2935" s="129">
        <v>14749.44</v>
      </c>
      <c r="M2935" s="85" t="s">
        <v>630</v>
      </c>
      <c r="N2935" s="128">
        <v>30728</v>
      </c>
      <c r="O2935" s="128">
        <f t="shared" si="119"/>
        <v>3072800</v>
      </c>
      <c r="P2935" s="125" t="s">
        <v>2039</v>
      </c>
      <c r="Q2935" s="85" t="s">
        <v>47</v>
      </c>
      <c r="R2935" s="214" t="s">
        <v>1869</v>
      </c>
      <c r="S2935" s="214" t="s">
        <v>1861</v>
      </c>
      <c r="T2935" s="85" t="s">
        <v>3954</v>
      </c>
      <c r="U2935" s="422" t="s">
        <v>1953</v>
      </c>
      <c r="V2935" s="422" t="s">
        <v>2813</v>
      </c>
    </row>
    <row r="2936" spans="1:22" ht="15.75" thickBot="1" x14ac:dyDescent="0.3">
      <c r="A2936" t="s">
        <v>1910</v>
      </c>
      <c r="B2936" t="s">
        <v>1910</v>
      </c>
      <c r="C2936" s="82" t="s">
        <v>1910</v>
      </c>
      <c r="D2936" s="83" t="s">
        <v>629</v>
      </c>
      <c r="E2936" s="251" t="s">
        <v>1951</v>
      </c>
      <c r="F2936" s="124" t="s">
        <v>620</v>
      </c>
      <c r="G2936" s="130">
        <v>2013</v>
      </c>
      <c r="H2936" s="125" t="s">
        <v>733</v>
      </c>
      <c r="I2936" s="311" t="str">
        <f t="shared" si="120"/>
        <v>Pesado de Passageiros M3: I : Gasóleo : E6</v>
      </c>
      <c r="J2936" s="125">
        <v>72</v>
      </c>
      <c r="K2936" s="253">
        <v>2022</v>
      </c>
      <c r="L2936" s="129">
        <v>33282.753700000001</v>
      </c>
      <c r="M2936" s="85" t="s">
        <v>630</v>
      </c>
      <c r="N2936" s="128">
        <v>79681</v>
      </c>
      <c r="O2936" s="128">
        <f t="shared" si="119"/>
        <v>5737032</v>
      </c>
      <c r="P2936" s="125" t="s">
        <v>2040</v>
      </c>
      <c r="Q2936" s="85" t="s">
        <v>47</v>
      </c>
      <c r="R2936" s="214" t="s">
        <v>1869</v>
      </c>
      <c r="S2936" s="214" t="s">
        <v>1861</v>
      </c>
      <c r="T2936" s="85" t="s">
        <v>3955</v>
      </c>
      <c r="U2936" s="422" t="s">
        <v>1953</v>
      </c>
      <c r="V2936" s="422" t="s">
        <v>2813</v>
      </c>
    </row>
    <row r="2937" spans="1:22" ht="15.75" thickBot="1" x14ac:dyDescent="0.3">
      <c r="A2937" t="s">
        <v>1910</v>
      </c>
      <c r="B2937" t="s">
        <v>1910</v>
      </c>
      <c r="C2937" s="82" t="s">
        <v>1910</v>
      </c>
      <c r="D2937" s="83" t="s">
        <v>629</v>
      </c>
      <c r="E2937" s="251" t="s">
        <v>1951</v>
      </c>
      <c r="F2937" s="124" t="s">
        <v>620</v>
      </c>
      <c r="G2937" s="130">
        <v>1994</v>
      </c>
      <c r="H2937" s="125" t="s">
        <v>736</v>
      </c>
      <c r="I2937" s="311" t="str">
        <f t="shared" si="120"/>
        <v>Pesado de Passageiros M3: I : Gasóleo : E1</v>
      </c>
      <c r="J2937" s="125">
        <v>70</v>
      </c>
      <c r="K2937" s="253">
        <v>2022</v>
      </c>
      <c r="L2937" s="129">
        <v>17320.1083</v>
      </c>
      <c r="M2937" s="85" t="s">
        <v>630</v>
      </c>
      <c r="N2937" s="128">
        <v>40477</v>
      </c>
      <c r="O2937" s="128">
        <f t="shared" si="119"/>
        <v>2833390</v>
      </c>
      <c r="P2937" s="125" t="s">
        <v>2192</v>
      </c>
      <c r="Q2937" s="85" t="s">
        <v>47</v>
      </c>
      <c r="R2937" s="214" t="s">
        <v>1869</v>
      </c>
      <c r="S2937" s="214" t="s">
        <v>1861</v>
      </c>
      <c r="T2937" s="85" t="s">
        <v>3956</v>
      </c>
      <c r="U2937" s="422" t="s">
        <v>1953</v>
      </c>
      <c r="V2937" s="422" t="s">
        <v>2813</v>
      </c>
    </row>
    <row r="2938" spans="1:22" ht="15.75" thickBot="1" x14ac:dyDescent="0.3">
      <c r="A2938" t="s">
        <v>1910</v>
      </c>
      <c r="B2938" t="s">
        <v>1910</v>
      </c>
      <c r="C2938" s="82" t="s">
        <v>1910</v>
      </c>
      <c r="D2938" s="83" t="s">
        <v>629</v>
      </c>
      <c r="E2938" s="251" t="s">
        <v>1951</v>
      </c>
      <c r="F2938" s="124" t="s">
        <v>620</v>
      </c>
      <c r="G2938" s="130">
        <v>2003</v>
      </c>
      <c r="H2938" s="125" t="s">
        <v>732</v>
      </c>
      <c r="I2938" s="311" t="str">
        <f t="shared" si="120"/>
        <v>Pesado de Passageiros M3: I : Gasóleo : E3</v>
      </c>
      <c r="J2938" s="125">
        <v>77</v>
      </c>
      <c r="K2938" s="253">
        <v>2022</v>
      </c>
      <c r="L2938" s="129">
        <v>33410.85</v>
      </c>
      <c r="M2938" s="85" t="s">
        <v>630</v>
      </c>
      <c r="N2938" s="128">
        <v>60747</v>
      </c>
      <c r="O2938" s="128">
        <f t="shared" si="119"/>
        <v>4677519</v>
      </c>
      <c r="P2938" s="125" t="s">
        <v>2080</v>
      </c>
      <c r="Q2938" s="85" t="s">
        <v>47</v>
      </c>
      <c r="R2938" s="214" t="s">
        <v>1869</v>
      </c>
      <c r="S2938" s="214" t="s">
        <v>1861</v>
      </c>
      <c r="T2938" s="85" t="s">
        <v>3957</v>
      </c>
      <c r="U2938" s="422" t="s">
        <v>1953</v>
      </c>
      <c r="V2938" s="422" t="s">
        <v>2813</v>
      </c>
    </row>
    <row r="2939" spans="1:22" ht="15.75" thickBot="1" x14ac:dyDescent="0.3">
      <c r="A2939" t="s">
        <v>1910</v>
      </c>
      <c r="B2939" t="s">
        <v>1910</v>
      </c>
      <c r="C2939" s="82" t="s">
        <v>1910</v>
      </c>
      <c r="D2939" s="83" t="s">
        <v>629</v>
      </c>
      <c r="E2939" s="251" t="s">
        <v>1951</v>
      </c>
      <c r="F2939" s="124" t="s">
        <v>620</v>
      </c>
      <c r="G2939" s="130">
        <v>2013</v>
      </c>
      <c r="H2939" s="125" t="s">
        <v>733</v>
      </c>
      <c r="I2939" s="311" t="str">
        <f t="shared" si="120"/>
        <v>Pesado de Passageiros M3: I : Gasóleo : E6</v>
      </c>
      <c r="J2939" s="125">
        <v>100</v>
      </c>
      <c r="K2939" s="253">
        <v>2022</v>
      </c>
      <c r="L2939" s="129">
        <v>24381.016</v>
      </c>
      <c r="M2939" s="85" t="s">
        <v>630</v>
      </c>
      <c r="N2939" s="128">
        <v>49808</v>
      </c>
      <c r="O2939" s="128">
        <f t="shared" si="119"/>
        <v>4980800</v>
      </c>
      <c r="P2939" s="125" t="s">
        <v>2042</v>
      </c>
      <c r="Q2939" s="85" t="s">
        <v>47</v>
      </c>
      <c r="R2939" s="214" t="s">
        <v>1869</v>
      </c>
      <c r="S2939" s="214" t="s">
        <v>1861</v>
      </c>
      <c r="T2939" s="85" t="s">
        <v>3958</v>
      </c>
      <c r="U2939" s="422" t="s">
        <v>1953</v>
      </c>
      <c r="V2939" s="422" t="s">
        <v>2813</v>
      </c>
    </row>
    <row r="2940" spans="1:22" ht="15.75" thickBot="1" x14ac:dyDescent="0.3">
      <c r="A2940" t="s">
        <v>1910</v>
      </c>
      <c r="B2940" t="s">
        <v>1910</v>
      </c>
      <c r="C2940" s="82" t="s">
        <v>1910</v>
      </c>
      <c r="D2940" s="83" t="s">
        <v>629</v>
      </c>
      <c r="E2940" s="251" t="s">
        <v>1951</v>
      </c>
      <c r="F2940" s="124" t="s">
        <v>620</v>
      </c>
      <c r="G2940" s="130">
        <v>2013</v>
      </c>
      <c r="H2940" s="125" t="s">
        <v>733</v>
      </c>
      <c r="I2940" s="311" t="str">
        <f t="shared" si="120"/>
        <v>Pesado de Passageiros M3: I : Gasóleo : E6</v>
      </c>
      <c r="J2940" s="125">
        <v>100</v>
      </c>
      <c r="K2940" s="253">
        <v>2022</v>
      </c>
      <c r="L2940" s="129">
        <v>12961.89</v>
      </c>
      <c r="M2940" s="85" t="s">
        <v>630</v>
      </c>
      <c r="N2940" s="128">
        <v>27450</v>
      </c>
      <c r="O2940" s="128">
        <f t="shared" si="119"/>
        <v>2745000</v>
      </c>
      <c r="P2940" s="125" t="s">
        <v>2041</v>
      </c>
      <c r="Q2940" s="85" t="s">
        <v>47</v>
      </c>
      <c r="R2940" s="214" t="s">
        <v>1869</v>
      </c>
      <c r="S2940" s="214" t="s">
        <v>1861</v>
      </c>
      <c r="T2940" s="85" t="s">
        <v>3959</v>
      </c>
      <c r="U2940" s="422" t="s">
        <v>1953</v>
      </c>
      <c r="V2940" s="422" t="s">
        <v>2813</v>
      </c>
    </row>
    <row r="2941" spans="1:22" ht="15.75" thickBot="1" x14ac:dyDescent="0.3">
      <c r="A2941" t="s">
        <v>1910</v>
      </c>
      <c r="B2941" t="s">
        <v>1910</v>
      </c>
      <c r="C2941" s="82" t="s">
        <v>1910</v>
      </c>
      <c r="D2941" s="83" t="s">
        <v>629</v>
      </c>
      <c r="E2941" s="251" t="s">
        <v>1951</v>
      </c>
      <c r="F2941" s="124" t="s">
        <v>620</v>
      </c>
      <c r="G2941" s="130">
        <v>2008</v>
      </c>
      <c r="H2941" s="125" t="s">
        <v>731</v>
      </c>
      <c r="I2941" s="311" t="str">
        <f t="shared" si="120"/>
        <v>Pesado de Passageiros M3: I : Gasóleo : E4</v>
      </c>
      <c r="J2941" s="125">
        <v>21</v>
      </c>
      <c r="K2941" s="253">
        <v>2022</v>
      </c>
      <c r="L2941" s="129">
        <v>9138.222600000001</v>
      </c>
      <c r="M2941" s="85" t="s">
        <v>630</v>
      </c>
      <c r="N2941" s="128">
        <v>37102</v>
      </c>
      <c r="O2941" s="128">
        <f t="shared" si="119"/>
        <v>779142</v>
      </c>
      <c r="P2941" s="125" t="s">
        <v>1959</v>
      </c>
      <c r="Q2941" s="85" t="s">
        <v>47</v>
      </c>
      <c r="R2941" s="214" t="s">
        <v>1869</v>
      </c>
      <c r="S2941" s="214" t="s">
        <v>1861</v>
      </c>
      <c r="T2941" s="85" t="s">
        <v>3960</v>
      </c>
      <c r="U2941" s="422" t="s">
        <v>1953</v>
      </c>
      <c r="V2941" s="422" t="s">
        <v>2813</v>
      </c>
    </row>
    <row r="2942" spans="1:22" ht="15.75" thickBot="1" x14ac:dyDescent="0.3">
      <c r="A2942" t="s">
        <v>1910</v>
      </c>
      <c r="B2942" t="s">
        <v>1910</v>
      </c>
      <c r="C2942" s="82" t="s">
        <v>1910</v>
      </c>
      <c r="D2942" s="83" t="s">
        <v>629</v>
      </c>
      <c r="E2942" s="251" t="s">
        <v>1951</v>
      </c>
      <c r="F2942" s="124" t="s">
        <v>620</v>
      </c>
      <c r="G2942" s="130">
        <v>2003</v>
      </c>
      <c r="H2942" s="125" t="s">
        <v>732</v>
      </c>
      <c r="I2942" s="311" t="str">
        <f t="shared" si="120"/>
        <v>Pesado de Passageiros M3: I : Gasóleo : E3</v>
      </c>
      <c r="J2942" s="125">
        <v>80</v>
      </c>
      <c r="K2942" s="253">
        <v>2022</v>
      </c>
      <c r="L2942" s="129">
        <v>29015.3</v>
      </c>
      <c r="M2942" s="85" t="s">
        <v>630</v>
      </c>
      <c r="N2942" s="128">
        <v>51400</v>
      </c>
      <c r="O2942" s="128">
        <f t="shared" si="119"/>
        <v>4112000</v>
      </c>
      <c r="P2942" s="125" t="s">
        <v>2174</v>
      </c>
      <c r="Q2942" s="85" t="s">
        <v>47</v>
      </c>
      <c r="R2942" s="214" t="s">
        <v>1869</v>
      </c>
      <c r="S2942" s="214" t="s">
        <v>1861</v>
      </c>
      <c r="T2942" s="85" t="s">
        <v>3961</v>
      </c>
      <c r="U2942" s="422" t="s">
        <v>1953</v>
      </c>
      <c r="V2942" s="422" t="s">
        <v>2813</v>
      </c>
    </row>
    <row r="2943" spans="1:22" ht="15.75" thickBot="1" x14ac:dyDescent="0.3">
      <c r="A2943" t="s">
        <v>1910</v>
      </c>
      <c r="B2943" t="s">
        <v>1910</v>
      </c>
      <c r="C2943" s="82" t="s">
        <v>1910</v>
      </c>
      <c r="D2943" s="83" t="s">
        <v>629</v>
      </c>
      <c r="E2943" s="251" t="s">
        <v>1951</v>
      </c>
      <c r="F2943" s="124" t="s">
        <v>620</v>
      </c>
      <c r="G2943" s="130">
        <v>2003</v>
      </c>
      <c r="H2943" s="125" t="s">
        <v>732</v>
      </c>
      <c r="I2943" s="311" t="str">
        <f t="shared" si="120"/>
        <v>Pesado de Passageiros M3: I : Gasóleo : E3</v>
      </c>
      <c r="J2943" s="125">
        <v>77</v>
      </c>
      <c r="K2943" s="253">
        <v>2022</v>
      </c>
      <c r="L2943" s="129">
        <v>29443.15</v>
      </c>
      <c r="M2943" s="85" t="s">
        <v>630</v>
      </c>
      <c r="N2943" s="128">
        <v>53533</v>
      </c>
      <c r="O2943" s="128">
        <f t="shared" si="119"/>
        <v>4122041</v>
      </c>
      <c r="P2943" s="125" t="s">
        <v>2081</v>
      </c>
      <c r="Q2943" s="85" t="s">
        <v>47</v>
      </c>
      <c r="R2943" s="214" t="s">
        <v>1869</v>
      </c>
      <c r="S2943" s="214" t="s">
        <v>1861</v>
      </c>
      <c r="T2943" s="85" t="s">
        <v>3962</v>
      </c>
      <c r="U2943" s="422" t="s">
        <v>1953</v>
      </c>
      <c r="V2943" s="422" t="s">
        <v>2813</v>
      </c>
    </row>
    <row r="2944" spans="1:22" ht="15.75" thickBot="1" x14ac:dyDescent="0.3">
      <c r="A2944" t="s">
        <v>1910</v>
      </c>
      <c r="B2944" t="s">
        <v>1910</v>
      </c>
      <c r="C2944" s="82" t="s">
        <v>1910</v>
      </c>
      <c r="D2944" s="83" t="s">
        <v>629</v>
      </c>
      <c r="E2944" s="251" t="s">
        <v>1951</v>
      </c>
      <c r="F2944" s="124" t="s">
        <v>620</v>
      </c>
      <c r="G2944" s="130"/>
      <c r="H2944" s="125" t="s">
        <v>732</v>
      </c>
      <c r="I2944" s="311" t="str">
        <f t="shared" si="120"/>
        <v>Pesado de Passageiros M3: I : Gasóleo : E3</v>
      </c>
      <c r="J2944" s="125"/>
      <c r="K2944" s="253">
        <v>2022</v>
      </c>
      <c r="L2944" s="242">
        <v>11609</v>
      </c>
      <c r="M2944" s="85" t="s">
        <v>630</v>
      </c>
      <c r="N2944" s="128">
        <v>23593</v>
      </c>
      <c r="O2944" s="128">
        <f t="shared" si="119"/>
        <v>0</v>
      </c>
      <c r="P2944" s="125" t="s">
        <v>3336</v>
      </c>
      <c r="Q2944" s="85" t="s">
        <v>47</v>
      </c>
      <c r="R2944" s="214" t="s">
        <v>1869</v>
      </c>
      <c r="S2944" s="214" t="s">
        <v>1861</v>
      </c>
      <c r="T2944" s="85" t="s">
        <v>3447</v>
      </c>
      <c r="U2944" s="422" t="s">
        <v>1953</v>
      </c>
      <c r="V2944" s="422" t="s">
        <v>2813</v>
      </c>
    </row>
    <row r="2945" spans="1:22" ht="15.75" thickBot="1" x14ac:dyDescent="0.3">
      <c r="A2945" t="s">
        <v>1910</v>
      </c>
      <c r="B2945" t="s">
        <v>1910</v>
      </c>
      <c r="C2945" s="82" t="s">
        <v>1910</v>
      </c>
      <c r="D2945" s="83" t="s">
        <v>629</v>
      </c>
      <c r="E2945" s="251" t="s">
        <v>1951</v>
      </c>
      <c r="F2945" s="124" t="s">
        <v>620</v>
      </c>
      <c r="G2945" s="130"/>
      <c r="H2945" s="125" t="s">
        <v>731</v>
      </c>
      <c r="I2945" s="311" t="str">
        <f t="shared" si="120"/>
        <v>Pesado de Passageiros M3: I : Gasóleo : E4</v>
      </c>
      <c r="J2945" s="125"/>
      <c r="K2945" s="253">
        <v>2022</v>
      </c>
      <c r="L2945" s="242">
        <v>8412.85</v>
      </c>
      <c r="M2945" s="85" t="s">
        <v>630</v>
      </c>
      <c r="N2945" s="128">
        <v>16410</v>
      </c>
      <c r="O2945" s="128">
        <f t="shared" si="119"/>
        <v>0</v>
      </c>
      <c r="P2945" s="125" t="s">
        <v>3309</v>
      </c>
      <c r="Q2945" s="85" t="s">
        <v>47</v>
      </c>
      <c r="R2945" s="214" t="s">
        <v>1869</v>
      </c>
      <c r="S2945" s="214" t="s">
        <v>1861</v>
      </c>
      <c r="T2945" s="85" t="s">
        <v>3424</v>
      </c>
      <c r="U2945" s="422" t="s">
        <v>1953</v>
      </c>
      <c r="V2945" s="422" t="s">
        <v>2813</v>
      </c>
    </row>
    <row r="2946" spans="1:22" ht="15.75" thickBot="1" x14ac:dyDescent="0.3">
      <c r="A2946" t="s">
        <v>1910</v>
      </c>
      <c r="B2946" t="s">
        <v>1910</v>
      </c>
      <c r="C2946" s="82" t="s">
        <v>1910</v>
      </c>
      <c r="D2946" s="83" t="s">
        <v>629</v>
      </c>
      <c r="E2946" s="251" t="s">
        <v>1951</v>
      </c>
      <c r="F2946" s="124" t="s">
        <v>620</v>
      </c>
      <c r="G2946" s="130">
        <v>1998</v>
      </c>
      <c r="H2946" s="125" t="s">
        <v>735</v>
      </c>
      <c r="I2946" s="311" t="str">
        <f t="shared" si="120"/>
        <v>Pesado de Passageiros M3: I : Gasóleo : E2</v>
      </c>
      <c r="J2946" s="125">
        <v>84</v>
      </c>
      <c r="K2946" s="253">
        <v>2022</v>
      </c>
      <c r="L2946" s="129">
        <v>13701.734199999999</v>
      </c>
      <c r="M2946" s="85" t="s">
        <v>630</v>
      </c>
      <c r="N2946" s="128">
        <v>25322</v>
      </c>
      <c r="O2946" s="128">
        <f t="shared" si="119"/>
        <v>2127048</v>
      </c>
      <c r="P2946" s="125" t="s">
        <v>1989</v>
      </c>
      <c r="Q2946" s="85" t="s">
        <v>47</v>
      </c>
      <c r="R2946" s="214" t="s">
        <v>1869</v>
      </c>
      <c r="S2946" s="214" t="s">
        <v>1861</v>
      </c>
      <c r="T2946" s="85" t="s">
        <v>3963</v>
      </c>
      <c r="U2946" s="422" t="s">
        <v>1953</v>
      </c>
      <c r="V2946" s="422" t="s">
        <v>2813</v>
      </c>
    </row>
    <row r="2947" spans="1:22" ht="15.75" thickBot="1" x14ac:dyDescent="0.3">
      <c r="A2947" t="s">
        <v>1910</v>
      </c>
      <c r="B2947" t="s">
        <v>1910</v>
      </c>
      <c r="C2947" s="82" t="s">
        <v>1910</v>
      </c>
      <c r="D2947" s="83" t="s">
        <v>629</v>
      </c>
      <c r="E2947" s="251" t="s">
        <v>1951</v>
      </c>
      <c r="F2947" s="124" t="s">
        <v>620</v>
      </c>
      <c r="G2947" s="130"/>
      <c r="H2947" s="125" t="s">
        <v>731</v>
      </c>
      <c r="I2947" s="311" t="str">
        <f t="shared" si="120"/>
        <v>Pesado de Passageiros M3: I : Gasóleo : E4</v>
      </c>
      <c r="J2947" s="125"/>
      <c r="K2947" s="253">
        <v>2022</v>
      </c>
      <c r="L2947" s="85">
        <v>4806.57</v>
      </c>
      <c r="M2947" s="85" t="s">
        <v>630</v>
      </c>
      <c r="N2947" s="128">
        <v>9069</v>
      </c>
      <c r="O2947" s="128">
        <f t="shared" si="119"/>
        <v>0</v>
      </c>
      <c r="P2947" s="125" t="s">
        <v>3304</v>
      </c>
      <c r="Q2947" s="85" t="s">
        <v>47</v>
      </c>
      <c r="R2947" s="214" t="s">
        <v>1869</v>
      </c>
      <c r="S2947" s="214" t="s">
        <v>1861</v>
      </c>
      <c r="T2947" s="85" t="s">
        <v>3422</v>
      </c>
      <c r="U2947" s="422" t="s">
        <v>1953</v>
      </c>
      <c r="V2947" s="422" t="s">
        <v>2813</v>
      </c>
    </row>
    <row r="2948" spans="1:22" ht="15.75" thickBot="1" x14ac:dyDescent="0.3">
      <c r="A2948" t="s">
        <v>1910</v>
      </c>
      <c r="B2948" t="s">
        <v>1910</v>
      </c>
      <c r="C2948" s="82" t="s">
        <v>1910</v>
      </c>
      <c r="D2948" s="83" t="s">
        <v>629</v>
      </c>
      <c r="E2948" s="251" t="s">
        <v>1951</v>
      </c>
      <c r="F2948" s="124" t="s">
        <v>620</v>
      </c>
      <c r="G2948" s="130"/>
      <c r="H2948" s="125" t="s">
        <v>731</v>
      </c>
      <c r="I2948" s="311" t="str">
        <f t="shared" si="120"/>
        <v>Pesado de Passageiros M3: I : Gasóleo : E4</v>
      </c>
      <c r="J2948" s="125"/>
      <c r="K2948" s="253">
        <v>2022</v>
      </c>
      <c r="L2948" s="85">
        <v>4704.24</v>
      </c>
      <c r="M2948" s="85" t="s">
        <v>630</v>
      </c>
      <c r="N2948" s="128">
        <v>9224</v>
      </c>
      <c r="O2948" s="128">
        <f t="shared" si="119"/>
        <v>0</v>
      </c>
      <c r="P2948" s="125" t="s">
        <v>3306</v>
      </c>
      <c r="Q2948" s="85" t="s">
        <v>47</v>
      </c>
      <c r="R2948" s="214" t="s">
        <v>1869</v>
      </c>
      <c r="S2948" s="214" t="s">
        <v>1861</v>
      </c>
      <c r="T2948" s="85" t="s">
        <v>3423</v>
      </c>
      <c r="U2948" s="422" t="s">
        <v>1953</v>
      </c>
      <c r="V2948" s="422" t="s">
        <v>2813</v>
      </c>
    </row>
    <row r="2949" spans="1:22" ht="15.75" thickBot="1" x14ac:dyDescent="0.3">
      <c r="A2949" t="s">
        <v>1910</v>
      </c>
      <c r="B2949" t="s">
        <v>1910</v>
      </c>
      <c r="C2949" s="82" t="s">
        <v>1910</v>
      </c>
      <c r="D2949" s="83" t="s">
        <v>629</v>
      </c>
      <c r="E2949" s="251" t="s">
        <v>1951</v>
      </c>
      <c r="F2949" s="124" t="s">
        <v>620</v>
      </c>
      <c r="G2949" s="130">
        <v>1998</v>
      </c>
      <c r="H2949" s="125" t="s">
        <v>735</v>
      </c>
      <c r="I2949" s="311" t="str">
        <f t="shared" si="120"/>
        <v>Pesado de Passageiros M3: I : Gasóleo : E2</v>
      </c>
      <c r="J2949" s="125">
        <v>84</v>
      </c>
      <c r="K2949" s="253">
        <v>2022</v>
      </c>
      <c r="L2949" s="129">
        <v>15217.682999999997</v>
      </c>
      <c r="M2949" s="85" t="s">
        <v>630</v>
      </c>
      <c r="N2949" s="128">
        <v>33046</v>
      </c>
      <c r="O2949" s="128">
        <f t="shared" si="119"/>
        <v>2775864</v>
      </c>
      <c r="P2949" s="125" t="s">
        <v>1985</v>
      </c>
      <c r="Q2949" s="85" t="s">
        <v>47</v>
      </c>
      <c r="R2949" s="214" t="s">
        <v>1869</v>
      </c>
      <c r="S2949" s="214" t="s">
        <v>1861</v>
      </c>
      <c r="T2949" s="85" t="s">
        <v>3964</v>
      </c>
      <c r="U2949" s="422" t="s">
        <v>1953</v>
      </c>
      <c r="V2949" s="422" t="s">
        <v>2813</v>
      </c>
    </row>
    <row r="2950" spans="1:22" ht="15.75" thickBot="1" x14ac:dyDescent="0.3">
      <c r="A2950" t="s">
        <v>1910</v>
      </c>
      <c r="B2950" t="s">
        <v>1910</v>
      </c>
      <c r="C2950" s="82" t="s">
        <v>1910</v>
      </c>
      <c r="D2950" s="83" t="s">
        <v>629</v>
      </c>
      <c r="E2950" s="251" t="s">
        <v>1951</v>
      </c>
      <c r="F2950" s="124" t="s">
        <v>620</v>
      </c>
      <c r="G2950" s="130"/>
      <c r="H2950" s="125" t="s">
        <v>731</v>
      </c>
      <c r="I2950" s="311" t="str">
        <f t="shared" si="120"/>
        <v>Pesado de Passageiros M3: I : Gasóleo : E4</v>
      </c>
      <c r="J2950" s="125"/>
      <c r="K2950" s="253">
        <v>2022</v>
      </c>
      <c r="L2950" s="85">
        <v>16653.03</v>
      </c>
      <c r="M2950" s="85" t="s">
        <v>630</v>
      </c>
      <c r="N2950" s="128">
        <v>32653</v>
      </c>
      <c r="O2950" s="128">
        <f t="shared" si="119"/>
        <v>0</v>
      </c>
      <c r="P2950" s="125" t="s">
        <v>3307</v>
      </c>
      <c r="Q2950" s="85" t="s">
        <v>47</v>
      </c>
      <c r="R2950" s="214" t="s">
        <v>1869</v>
      </c>
      <c r="S2950" s="214" t="s">
        <v>1861</v>
      </c>
      <c r="T2950" s="85" t="s">
        <v>3965</v>
      </c>
      <c r="U2950" s="422" t="s">
        <v>1953</v>
      </c>
      <c r="V2950" s="422" t="s">
        <v>2813</v>
      </c>
    </row>
    <row r="2951" spans="1:22" ht="15.75" thickBot="1" x14ac:dyDescent="0.3">
      <c r="A2951" t="s">
        <v>1910</v>
      </c>
      <c r="B2951" t="s">
        <v>1910</v>
      </c>
      <c r="C2951" s="82" t="s">
        <v>1910</v>
      </c>
      <c r="D2951" s="83" t="s">
        <v>629</v>
      </c>
      <c r="E2951" s="251" t="s">
        <v>1951</v>
      </c>
      <c r="F2951" s="124" t="s">
        <v>620</v>
      </c>
      <c r="G2951" s="130">
        <v>2006</v>
      </c>
      <c r="H2951" s="125" t="s">
        <v>732</v>
      </c>
      <c r="I2951" s="311" t="str">
        <f t="shared" si="120"/>
        <v>Pesado de Passageiros M3: I : Gasóleo : E3</v>
      </c>
      <c r="J2951" s="125">
        <v>53</v>
      </c>
      <c r="K2951" s="253">
        <v>2022</v>
      </c>
      <c r="L2951" s="129">
        <v>9798.3927999999996</v>
      </c>
      <c r="M2951" s="85" t="s">
        <v>630</v>
      </c>
      <c r="N2951" s="128">
        <v>23252</v>
      </c>
      <c r="O2951" s="128">
        <f t="shared" si="119"/>
        <v>1232356</v>
      </c>
      <c r="P2951" s="125" t="s">
        <v>2200</v>
      </c>
      <c r="Q2951" s="85" t="s">
        <v>47</v>
      </c>
      <c r="R2951" s="214" t="s">
        <v>1869</v>
      </c>
      <c r="S2951" s="214" t="s">
        <v>1861</v>
      </c>
      <c r="T2951" s="85" t="s">
        <v>3966</v>
      </c>
      <c r="U2951" s="422" t="s">
        <v>1953</v>
      </c>
      <c r="V2951" s="422" t="s">
        <v>2813</v>
      </c>
    </row>
    <row r="2952" spans="1:22" ht="15.75" thickBot="1" x14ac:dyDescent="0.3">
      <c r="A2952" t="s">
        <v>1910</v>
      </c>
      <c r="B2952" t="s">
        <v>1910</v>
      </c>
      <c r="C2952" s="82" t="s">
        <v>1910</v>
      </c>
      <c r="D2952" s="83" t="s">
        <v>629</v>
      </c>
      <c r="E2952" s="251" t="s">
        <v>1951</v>
      </c>
      <c r="F2952" s="124" t="s">
        <v>620</v>
      </c>
      <c r="G2952" s="130"/>
      <c r="H2952" s="125" t="s">
        <v>732</v>
      </c>
      <c r="I2952" s="311" t="str">
        <f t="shared" si="120"/>
        <v>Pesado de Passageiros M3: I : Gasóleo : E3</v>
      </c>
      <c r="J2952" s="125"/>
      <c r="K2952" s="253">
        <v>2022</v>
      </c>
      <c r="L2952" s="242">
        <v>8289.9500000000007</v>
      </c>
      <c r="M2952" s="85" t="s">
        <v>630</v>
      </c>
      <c r="N2952" s="128">
        <v>18243</v>
      </c>
      <c r="O2952" s="128">
        <f t="shared" si="119"/>
        <v>0</v>
      </c>
      <c r="P2952" s="125" t="s">
        <v>3322</v>
      </c>
      <c r="Q2952" s="85" t="s">
        <v>47</v>
      </c>
      <c r="R2952" s="214" t="s">
        <v>1869</v>
      </c>
      <c r="S2952" s="214" t="s">
        <v>1861</v>
      </c>
      <c r="T2952" s="85" t="s">
        <v>3967</v>
      </c>
      <c r="U2952" s="422" t="s">
        <v>1953</v>
      </c>
      <c r="V2952" s="422" t="s">
        <v>2813</v>
      </c>
    </row>
    <row r="2953" spans="1:22" ht="15.75" thickBot="1" x14ac:dyDescent="0.3">
      <c r="A2953" t="s">
        <v>1910</v>
      </c>
      <c r="B2953" t="s">
        <v>1910</v>
      </c>
      <c r="C2953" s="82" t="s">
        <v>1910</v>
      </c>
      <c r="D2953" s="83" t="s">
        <v>629</v>
      </c>
      <c r="E2953" s="251" t="s">
        <v>1951</v>
      </c>
      <c r="F2953" s="124" t="s">
        <v>620</v>
      </c>
      <c r="G2953" s="130"/>
      <c r="H2953" s="125" t="s">
        <v>731</v>
      </c>
      <c r="I2953" s="311" t="str">
        <f t="shared" si="120"/>
        <v>Pesado de Passageiros M3: I : Gasóleo : E4</v>
      </c>
      <c r="J2953" s="125"/>
      <c r="K2953" s="253">
        <v>2022</v>
      </c>
      <c r="L2953" s="85">
        <v>2312.16</v>
      </c>
      <c r="M2953" s="85" t="s">
        <v>630</v>
      </c>
      <c r="N2953" s="128">
        <v>4817</v>
      </c>
      <c r="O2953" s="128">
        <f t="shared" si="119"/>
        <v>0</v>
      </c>
      <c r="P2953" s="125" t="s">
        <v>3362</v>
      </c>
      <c r="Q2953" s="85" t="s">
        <v>47</v>
      </c>
      <c r="R2953" s="214" t="s">
        <v>1869</v>
      </c>
      <c r="S2953" s="214" t="s">
        <v>1861</v>
      </c>
      <c r="T2953" s="85" t="s">
        <v>3458</v>
      </c>
      <c r="U2953" s="422" t="s">
        <v>1953</v>
      </c>
      <c r="V2953" s="422" t="s">
        <v>2813</v>
      </c>
    </row>
    <row r="2954" spans="1:22" ht="15.75" thickBot="1" x14ac:dyDescent="0.3">
      <c r="A2954" t="s">
        <v>1910</v>
      </c>
      <c r="B2954" t="s">
        <v>1910</v>
      </c>
      <c r="C2954" s="82" t="s">
        <v>1910</v>
      </c>
      <c r="D2954" s="83" t="s">
        <v>629</v>
      </c>
      <c r="E2954" s="251" t="s">
        <v>1951</v>
      </c>
      <c r="F2954" s="124" t="s">
        <v>620</v>
      </c>
      <c r="G2954" s="130">
        <v>2000</v>
      </c>
      <c r="H2954" s="125" t="s">
        <v>732</v>
      </c>
      <c r="I2954" s="311" t="str">
        <f t="shared" si="120"/>
        <v>Pesado de Passageiros M3: I : Gasóleo : E3</v>
      </c>
      <c r="J2954" s="125">
        <v>81</v>
      </c>
      <c r="K2954" s="253">
        <v>2022</v>
      </c>
      <c r="L2954" s="129">
        <v>21990.001</v>
      </c>
      <c r="M2954" s="85" t="s">
        <v>630</v>
      </c>
      <c r="N2954" s="128">
        <v>41569</v>
      </c>
      <c r="O2954" s="128">
        <f t="shared" si="119"/>
        <v>3367089</v>
      </c>
      <c r="P2954" s="125" t="s">
        <v>2131</v>
      </c>
      <c r="Q2954" s="85" t="s">
        <v>47</v>
      </c>
      <c r="R2954" s="214" t="s">
        <v>1869</v>
      </c>
      <c r="S2954" s="214" t="s">
        <v>1861</v>
      </c>
      <c r="T2954" s="85" t="s">
        <v>3968</v>
      </c>
      <c r="U2954" s="422" t="s">
        <v>1953</v>
      </c>
      <c r="V2954" s="422" t="s">
        <v>2813</v>
      </c>
    </row>
    <row r="2955" spans="1:22" ht="15.75" thickBot="1" x14ac:dyDescent="0.3">
      <c r="A2955" t="s">
        <v>1910</v>
      </c>
      <c r="B2955" t="s">
        <v>1910</v>
      </c>
      <c r="C2955" s="82" t="s">
        <v>1910</v>
      </c>
      <c r="D2955" s="83" t="s">
        <v>629</v>
      </c>
      <c r="E2955" s="251" t="s">
        <v>1951</v>
      </c>
      <c r="F2955" s="124" t="s">
        <v>620</v>
      </c>
      <c r="G2955" s="130">
        <v>2010</v>
      </c>
      <c r="H2955" s="125" t="s">
        <v>734</v>
      </c>
      <c r="I2955" s="311" t="str">
        <f t="shared" si="120"/>
        <v>Pesado de Passageiros M3: I : Gasóleo : E5</v>
      </c>
      <c r="J2955" s="125">
        <v>90</v>
      </c>
      <c r="K2955" s="253">
        <v>2022</v>
      </c>
      <c r="L2955" s="129">
        <v>29551.502099999998</v>
      </c>
      <c r="M2955" s="85" t="s">
        <v>630</v>
      </c>
      <c r="N2955" s="128">
        <v>71157</v>
      </c>
      <c r="O2955" s="128">
        <f t="shared" si="119"/>
        <v>6404130</v>
      </c>
      <c r="P2955" s="125" t="s">
        <v>2114</v>
      </c>
      <c r="Q2955" s="85" t="s">
        <v>47</v>
      </c>
      <c r="R2955" s="214" t="s">
        <v>1869</v>
      </c>
      <c r="S2955" s="214" t="s">
        <v>1861</v>
      </c>
      <c r="T2955" s="85" t="s">
        <v>3969</v>
      </c>
      <c r="U2955" s="422" t="s">
        <v>1953</v>
      </c>
      <c r="V2955" s="422" t="s">
        <v>2813</v>
      </c>
    </row>
    <row r="2956" spans="1:22" ht="15.75" thickBot="1" x14ac:dyDescent="0.3">
      <c r="A2956" t="s">
        <v>1910</v>
      </c>
      <c r="B2956" t="s">
        <v>1910</v>
      </c>
      <c r="C2956" s="82" t="s">
        <v>1910</v>
      </c>
      <c r="D2956" s="83" t="s">
        <v>629</v>
      </c>
      <c r="E2956" s="251" t="s">
        <v>1951</v>
      </c>
      <c r="F2956" s="124" t="s">
        <v>620</v>
      </c>
      <c r="G2956" s="130">
        <v>1996</v>
      </c>
      <c r="H2956" s="125" t="s">
        <v>736</v>
      </c>
      <c r="I2956" s="311" t="str">
        <f t="shared" si="120"/>
        <v>Pesado de Passageiros M3: I : Gasóleo : E1</v>
      </c>
      <c r="J2956" s="125">
        <v>74</v>
      </c>
      <c r="K2956" s="253">
        <v>2022</v>
      </c>
      <c r="L2956" s="129">
        <v>23711.1</v>
      </c>
      <c r="M2956" s="85" t="s">
        <v>630</v>
      </c>
      <c r="N2956" s="128">
        <v>48390</v>
      </c>
      <c r="O2956" s="128">
        <f t="shared" si="119"/>
        <v>3580860</v>
      </c>
      <c r="P2956" s="125" t="s">
        <v>2193</v>
      </c>
      <c r="Q2956" s="85" t="s">
        <v>47</v>
      </c>
      <c r="R2956" s="214" t="s">
        <v>1869</v>
      </c>
      <c r="S2956" s="214" t="s">
        <v>1861</v>
      </c>
      <c r="T2956" s="85" t="s">
        <v>3970</v>
      </c>
      <c r="U2956" s="422" t="s">
        <v>1953</v>
      </c>
      <c r="V2956" s="422" t="s">
        <v>2813</v>
      </c>
    </row>
    <row r="2957" spans="1:22" ht="15.75" thickBot="1" x14ac:dyDescent="0.3">
      <c r="A2957" t="s">
        <v>1910</v>
      </c>
      <c r="B2957" t="s">
        <v>1910</v>
      </c>
      <c r="C2957" s="82" t="s">
        <v>1910</v>
      </c>
      <c r="D2957" s="83" t="s">
        <v>629</v>
      </c>
      <c r="E2957" s="251" t="s">
        <v>1951</v>
      </c>
      <c r="F2957" s="124" t="s">
        <v>620</v>
      </c>
      <c r="G2957" s="130"/>
      <c r="H2957" s="125" t="s">
        <v>731</v>
      </c>
      <c r="I2957" s="311" t="str">
        <f t="shared" si="120"/>
        <v>Pesado de Passageiros M3: I : Gasóleo : E4</v>
      </c>
      <c r="J2957" s="125"/>
      <c r="K2957" s="253">
        <v>2022</v>
      </c>
      <c r="L2957" s="85">
        <v>8707.23</v>
      </c>
      <c r="M2957" s="85" t="s">
        <v>630</v>
      </c>
      <c r="N2957" s="128">
        <v>17073</v>
      </c>
      <c r="O2957" s="128">
        <f t="shared" si="119"/>
        <v>0</v>
      </c>
      <c r="P2957" s="125" t="s">
        <v>3357</v>
      </c>
      <c r="Q2957" s="85" t="s">
        <v>47</v>
      </c>
      <c r="R2957" s="214" t="s">
        <v>1869</v>
      </c>
      <c r="S2957" s="214" t="s">
        <v>1861</v>
      </c>
      <c r="T2957" s="85" t="s">
        <v>3971</v>
      </c>
      <c r="U2957" s="422" t="s">
        <v>1953</v>
      </c>
      <c r="V2957" s="422" t="s">
        <v>2813</v>
      </c>
    </row>
    <row r="2958" spans="1:22" ht="15.75" thickBot="1" x14ac:dyDescent="0.3">
      <c r="A2958" t="s">
        <v>1910</v>
      </c>
      <c r="B2958" t="s">
        <v>1910</v>
      </c>
      <c r="C2958" s="82" t="s">
        <v>1910</v>
      </c>
      <c r="D2958" s="83" t="s">
        <v>629</v>
      </c>
      <c r="E2958" s="251" t="s">
        <v>1951</v>
      </c>
      <c r="F2958" s="124" t="s">
        <v>620</v>
      </c>
      <c r="G2958" s="130">
        <v>2013</v>
      </c>
      <c r="H2958" s="125" t="s">
        <v>733</v>
      </c>
      <c r="I2958" s="311" t="str">
        <f t="shared" si="120"/>
        <v>Pesado de Passageiros M3: I : Gasóleo : E6</v>
      </c>
      <c r="J2958" s="125">
        <v>72</v>
      </c>
      <c r="K2958" s="253">
        <v>2022</v>
      </c>
      <c r="L2958" s="129">
        <v>24662.65</v>
      </c>
      <c r="M2958" s="85" t="s">
        <v>630</v>
      </c>
      <c r="N2958" s="128">
        <v>57355</v>
      </c>
      <c r="O2958" s="128">
        <f t="shared" si="119"/>
        <v>4129560</v>
      </c>
      <c r="P2958" s="125" t="s">
        <v>2048</v>
      </c>
      <c r="Q2958" s="85" t="s">
        <v>47</v>
      </c>
      <c r="R2958" s="214" t="s">
        <v>1869</v>
      </c>
      <c r="S2958" s="214" t="s">
        <v>1861</v>
      </c>
      <c r="T2958" s="85" t="s">
        <v>3972</v>
      </c>
      <c r="U2958" s="422" t="s">
        <v>1953</v>
      </c>
      <c r="V2958" s="422" t="s">
        <v>2813</v>
      </c>
    </row>
    <row r="2959" spans="1:22" ht="15.75" thickBot="1" x14ac:dyDescent="0.3">
      <c r="A2959" t="s">
        <v>1910</v>
      </c>
      <c r="B2959" t="s">
        <v>1910</v>
      </c>
      <c r="C2959" s="82" t="s">
        <v>1910</v>
      </c>
      <c r="D2959" s="83" t="s">
        <v>629</v>
      </c>
      <c r="E2959" s="251" t="s">
        <v>1951</v>
      </c>
      <c r="F2959" s="124" t="s">
        <v>620</v>
      </c>
      <c r="G2959" s="130">
        <v>2014</v>
      </c>
      <c r="H2959" s="125" t="s">
        <v>733</v>
      </c>
      <c r="I2959" s="311" t="str">
        <f t="shared" si="120"/>
        <v>Pesado de Passageiros M3: I : Gasóleo : E6</v>
      </c>
      <c r="J2959" s="125">
        <v>72</v>
      </c>
      <c r="K2959" s="253">
        <v>2022</v>
      </c>
      <c r="L2959" s="129">
        <v>29812.519</v>
      </c>
      <c r="M2959" s="85" t="s">
        <v>630</v>
      </c>
      <c r="N2959" s="128">
        <v>71510</v>
      </c>
      <c r="O2959" s="128">
        <f t="shared" si="119"/>
        <v>5148720</v>
      </c>
      <c r="P2959" s="125" t="s">
        <v>2047</v>
      </c>
      <c r="Q2959" s="85" t="s">
        <v>47</v>
      </c>
      <c r="R2959" s="214" t="s">
        <v>1869</v>
      </c>
      <c r="S2959" s="214" t="s">
        <v>1861</v>
      </c>
      <c r="T2959" s="85" t="s">
        <v>3973</v>
      </c>
      <c r="U2959" s="422" t="s">
        <v>1953</v>
      </c>
      <c r="V2959" s="422" t="s">
        <v>2813</v>
      </c>
    </row>
    <row r="2960" spans="1:22" ht="15.75" thickBot="1" x14ac:dyDescent="0.3">
      <c r="A2960" t="s">
        <v>1910</v>
      </c>
      <c r="B2960" t="s">
        <v>1910</v>
      </c>
      <c r="C2960" s="82" t="s">
        <v>1910</v>
      </c>
      <c r="D2960" s="83" t="s">
        <v>629</v>
      </c>
      <c r="E2960" s="251" t="s">
        <v>1951</v>
      </c>
      <c r="F2960" s="124" t="s">
        <v>620</v>
      </c>
      <c r="G2960" s="130">
        <v>2013</v>
      </c>
      <c r="H2960" s="125" t="s">
        <v>733</v>
      </c>
      <c r="I2960" s="311" t="str">
        <f t="shared" si="120"/>
        <v>Pesado de Passageiros M3: I : Gasóleo : E6</v>
      </c>
      <c r="J2960" s="125">
        <v>72</v>
      </c>
      <c r="K2960" s="253">
        <v>2022</v>
      </c>
      <c r="L2960" s="129">
        <v>18434.775799999999</v>
      </c>
      <c r="M2960" s="85" t="s">
        <v>630</v>
      </c>
      <c r="N2960" s="128">
        <v>42301</v>
      </c>
      <c r="O2960" s="128">
        <f t="shared" si="119"/>
        <v>3045672</v>
      </c>
      <c r="P2960" s="125" t="s">
        <v>2046</v>
      </c>
      <c r="Q2960" s="85" t="s">
        <v>47</v>
      </c>
      <c r="R2960" s="214" t="s">
        <v>1869</v>
      </c>
      <c r="S2960" s="214" t="s">
        <v>1861</v>
      </c>
      <c r="T2960" s="85" t="s">
        <v>3974</v>
      </c>
      <c r="U2960" s="422" t="s">
        <v>1953</v>
      </c>
      <c r="V2960" s="422" t="s">
        <v>2813</v>
      </c>
    </row>
    <row r="2961" spans="1:22" ht="15.75" thickBot="1" x14ac:dyDescent="0.3">
      <c r="A2961" t="s">
        <v>1910</v>
      </c>
      <c r="B2961" t="s">
        <v>1910</v>
      </c>
      <c r="C2961" s="82" t="s">
        <v>1910</v>
      </c>
      <c r="D2961" s="83" t="s">
        <v>629</v>
      </c>
      <c r="E2961" s="251" t="s">
        <v>1951</v>
      </c>
      <c r="F2961" s="124" t="s">
        <v>620</v>
      </c>
      <c r="G2961" s="130">
        <v>2005</v>
      </c>
      <c r="H2961" s="125" t="s">
        <v>732</v>
      </c>
      <c r="I2961" s="311" t="str">
        <f t="shared" si="120"/>
        <v>Pesado de Passageiros M3: I : Gasóleo : E3</v>
      </c>
      <c r="J2961" s="125">
        <v>95</v>
      </c>
      <c r="K2961" s="253">
        <v>2022</v>
      </c>
      <c r="L2961" s="129">
        <v>25699.408500000001</v>
      </c>
      <c r="M2961" s="85" t="s">
        <v>630</v>
      </c>
      <c r="N2961" s="128">
        <v>55735</v>
      </c>
      <c r="O2961" s="128">
        <f t="shared" si="119"/>
        <v>5294825</v>
      </c>
      <c r="P2961" s="125" t="s">
        <v>2106</v>
      </c>
      <c r="Q2961" s="85" t="s">
        <v>47</v>
      </c>
      <c r="R2961" s="214" t="s">
        <v>1869</v>
      </c>
      <c r="S2961" s="214" t="s">
        <v>1861</v>
      </c>
      <c r="T2961" s="85" t="s">
        <v>3975</v>
      </c>
      <c r="U2961" s="422" t="s">
        <v>1953</v>
      </c>
      <c r="V2961" s="422" t="s">
        <v>2813</v>
      </c>
    </row>
    <row r="2962" spans="1:22" ht="15.75" thickBot="1" x14ac:dyDescent="0.3">
      <c r="A2962" t="s">
        <v>1910</v>
      </c>
      <c r="B2962" t="s">
        <v>1910</v>
      </c>
      <c r="C2962" s="82" t="s">
        <v>1910</v>
      </c>
      <c r="D2962" s="83" t="s">
        <v>629</v>
      </c>
      <c r="E2962" s="251" t="s">
        <v>1951</v>
      </c>
      <c r="F2962" s="124" t="s">
        <v>620</v>
      </c>
      <c r="G2962" s="130"/>
      <c r="H2962" s="125" t="s">
        <v>731</v>
      </c>
      <c r="I2962" s="311" t="str">
        <f t="shared" si="120"/>
        <v>Pesado de Passageiros M3: I : Gasóleo : E4</v>
      </c>
      <c r="J2962" s="125"/>
      <c r="K2962" s="253">
        <v>2022</v>
      </c>
      <c r="L2962" s="85">
        <v>23375</v>
      </c>
      <c r="M2962" s="85" t="s">
        <v>630</v>
      </c>
      <c r="N2962" s="128">
        <v>42500</v>
      </c>
      <c r="O2962" s="128">
        <f t="shared" si="119"/>
        <v>0</v>
      </c>
      <c r="P2962" s="125" t="s">
        <v>3342</v>
      </c>
      <c r="Q2962" s="85" t="s">
        <v>47</v>
      </c>
      <c r="R2962" s="214" t="s">
        <v>1869</v>
      </c>
      <c r="S2962" s="214" t="s">
        <v>1861</v>
      </c>
      <c r="T2962" s="85" t="s">
        <v>3452</v>
      </c>
      <c r="U2962" s="422" t="s">
        <v>1953</v>
      </c>
      <c r="V2962" s="422" t="s">
        <v>2813</v>
      </c>
    </row>
    <row r="2963" spans="1:22" ht="15.75" thickBot="1" x14ac:dyDescent="0.3">
      <c r="A2963" t="s">
        <v>1910</v>
      </c>
      <c r="B2963" t="s">
        <v>1910</v>
      </c>
      <c r="C2963" s="82" t="s">
        <v>1910</v>
      </c>
      <c r="D2963" s="83" t="s">
        <v>629</v>
      </c>
      <c r="E2963" s="251" t="s">
        <v>1951</v>
      </c>
      <c r="F2963" s="124" t="s">
        <v>620</v>
      </c>
      <c r="G2963" s="130">
        <v>2004</v>
      </c>
      <c r="H2963" s="125" t="s">
        <v>732</v>
      </c>
      <c r="I2963" s="311" t="str">
        <f t="shared" si="120"/>
        <v>Pesado de Passageiros M3: I : Gasóleo : E3</v>
      </c>
      <c r="J2963" s="125">
        <v>68</v>
      </c>
      <c r="K2963" s="253">
        <v>2022</v>
      </c>
      <c r="L2963" s="129">
        <v>23655.720600000001</v>
      </c>
      <c r="M2963" s="85" t="s">
        <v>630</v>
      </c>
      <c r="N2963" s="128">
        <v>44474</v>
      </c>
      <c r="O2963" s="128">
        <f t="shared" si="119"/>
        <v>3024232</v>
      </c>
      <c r="P2963" s="125" t="s">
        <v>2165</v>
      </c>
      <c r="Q2963" s="85" t="s">
        <v>47</v>
      </c>
      <c r="R2963" s="214" t="s">
        <v>1869</v>
      </c>
      <c r="S2963" s="214" t="s">
        <v>1861</v>
      </c>
      <c r="T2963" s="85" t="s">
        <v>3976</v>
      </c>
      <c r="U2963" s="422" t="s">
        <v>1953</v>
      </c>
      <c r="V2963" s="422" t="s">
        <v>2813</v>
      </c>
    </row>
    <row r="2964" spans="1:22" ht="15.75" thickBot="1" x14ac:dyDescent="0.3">
      <c r="A2964" t="s">
        <v>1910</v>
      </c>
      <c r="B2964" t="s">
        <v>1910</v>
      </c>
      <c r="C2964" s="82" t="s">
        <v>1910</v>
      </c>
      <c r="D2964" s="83" t="s">
        <v>629</v>
      </c>
      <c r="E2964" s="251" t="s">
        <v>1951</v>
      </c>
      <c r="F2964" s="124" t="s">
        <v>620</v>
      </c>
      <c r="G2964" s="130"/>
      <c r="H2964" s="125" t="s">
        <v>732</v>
      </c>
      <c r="I2964" s="311" t="str">
        <f t="shared" si="120"/>
        <v>Pesado de Passageiros M3: I : Gasóleo : E3</v>
      </c>
      <c r="J2964" s="125"/>
      <c r="K2964" s="253">
        <v>2022</v>
      </c>
      <c r="L2964" s="85">
        <v>2255.73</v>
      </c>
      <c r="M2964" s="85" t="s">
        <v>630</v>
      </c>
      <c r="N2964" s="128">
        <v>4423</v>
      </c>
      <c r="O2964" s="128">
        <f t="shared" si="119"/>
        <v>0</v>
      </c>
      <c r="P2964" s="125" t="s">
        <v>3374</v>
      </c>
      <c r="Q2964" s="85" t="s">
        <v>47</v>
      </c>
      <c r="R2964" s="214" t="s">
        <v>1869</v>
      </c>
      <c r="S2964" s="214" t="s">
        <v>1861</v>
      </c>
      <c r="T2964" s="85" t="s">
        <v>3977</v>
      </c>
      <c r="U2964" s="422" t="s">
        <v>1953</v>
      </c>
      <c r="V2964" s="422" t="s">
        <v>2813</v>
      </c>
    </row>
    <row r="2965" spans="1:22" ht="15.75" thickBot="1" x14ac:dyDescent="0.3">
      <c r="A2965" t="s">
        <v>1910</v>
      </c>
      <c r="B2965" t="s">
        <v>1910</v>
      </c>
      <c r="C2965" s="82" t="s">
        <v>1910</v>
      </c>
      <c r="D2965" s="83" t="s">
        <v>629</v>
      </c>
      <c r="E2965" s="251" t="s">
        <v>1951</v>
      </c>
      <c r="F2965" s="124" t="s">
        <v>620</v>
      </c>
      <c r="G2965" s="130">
        <v>2005</v>
      </c>
      <c r="H2965" s="125" t="s">
        <v>732</v>
      </c>
      <c r="I2965" s="311" t="str">
        <f t="shared" si="120"/>
        <v>Pesado de Passageiros M3: I : Gasóleo : E3</v>
      </c>
      <c r="J2965" s="125">
        <v>93</v>
      </c>
      <c r="K2965" s="253">
        <v>2022</v>
      </c>
      <c r="L2965" s="129">
        <v>15790.3274</v>
      </c>
      <c r="M2965" s="85" t="s">
        <v>630</v>
      </c>
      <c r="N2965" s="128">
        <v>34193</v>
      </c>
      <c r="O2965" s="128">
        <f t="shared" si="119"/>
        <v>3179949</v>
      </c>
      <c r="P2965" s="125" t="s">
        <v>2112</v>
      </c>
      <c r="Q2965" s="85" t="s">
        <v>47</v>
      </c>
      <c r="R2965" s="214" t="s">
        <v>1869</v>
      </c>
      <c r="S2965" s="214" t="s">
        <v>1861</v>
      </c>
      <c r="T2965" s="85" t="s">
        <v>3978</v>
      </c>
      <c r="U2965" s="422" t="s">
        <v>1953</v>
      </c>
      <c r="V2965" s="422" t="s">
        <v>2813</v>
      </c>
    </row>
    <row r="2966" spans="1:22" ht="15.75" thickBot="1" x14ac:dyDescent="0.3">
      <c r="A2966" t="s">
        <v>1910</v>
      </c>
      <c r="B2966" t="s">
        <v>1910</v>
      </c>
      <c r="C2966" s="82" t="s">
        <v>1910</v>
      </c>
      <c r="D2966" s="83" t="s">
        <v>629</v>
      </c>
      <c r="E2966" s="251" t="s">
        <v>1951</v>
      </c>
      <c r="F2966" s="124" t="s">
        <v>620</v>
      </c>
      <c r="G2966" s="130"/>
      <c r="H2966" s="125" t="s">
        <v>731</v>
      </c>
      <c r="I2966" s="311" t="str">
        <f t="shared" si="120"/>
        <v>Pesado de Passageiros M3: I : Gasóleo : E4</v>
      </c>
      <c r="J2966" s="125"/>
      <c r="K2966" s="253">
        <v>2022</v>
      </c>
      <c r="L2966" s="85">
        <v>11769.45</v>
      </c>
      <c r="M2966" s="85" t="s">
        <v>630</v>
      </c>
      <c r="N2966" s="128">
        <v>21399</v>
      </c>
      <c r="O2966" s="128">
        <f t="shared" si="119"/>
        <v>0</v>
      </c>
      <c r="P2966" s="125" t="s">
        <v>3343</v>
      </c>
      <c r="Q2966" s="85" t="s">
        <v>47</v>
      </c>
      <c r="R2966" s="214" t="s">
        <v>1869</v>
      </c>
      <c r="S2966" s="214" t="s">
        <v>1861</v>
      </c>
      <c r="T2966" s="85" t="s">
        <v>3979</v>
      </c>
      <c r="U2966" s="422" t="s">
        <v>1953</v>
      </c>
      <c r="V2966" s="422" t="s">
        <v>2813</v>
      </c>
    </row>
    <row r="2967" spans="1:22" ht="15.75" thickBot="1" x14ac:dyDescent="0.3">
      <c r="A2967" t="s">
        <v>1910</v>
      </c>
      <c r="B2967" t="s">
        <v>1910</v>
      </c>
      <c r="C2967" s="82" t="s">
        <v>1910</v>
      </c>
      <c r="D2967" s="83" t="s">
        <v>629</v>
      </c>
      <c r="E2967" s="251" t="s">
        <v>1951</v>
      </c>
      <c r="F2967" s="124" t="s">
        <v>620</v>
      </c>
      <c r="G2967" s="130">
        <v>2007</v>
      </c>
      <c r="H2967" s="125" t="s">
        <v>731</v>
      </c>
      <c r="I2967" s="311" t="str">
        <f t="shared" si="120"/>
        <v>Pesado de Passageiros M3: I : Gasóleo : E4</v>
      </c>
      <c r="J2967" s="125">
        <v>120</v>
      </c>
      <c r="K2967" s="253">
        <v>2022</v>
      </c>
      <c r="L2967" s="129">
        <v>35676.959999999999</v>
      </c>
      <c r="M2967" s="85" t="s">
        <v>630</v>
      </c>
      <c r="N2967" s="128">
        <v>54056</v>
      </c>
      <c r="O2967" s="128">
        <f t="shared" si="119"/>
        <v>6486720</v>
      </c>
      <c r="P2967" s="125" t="s">
        <v>2066</v>
      </c>
      <c r="Q2967" s="85" t="s">
        <v>47</v>
      </c>
      <c r="R2967" s="214" t="s">
        <v>1869</v>
      </c>
      <c r="S2967" s="214" t="s">
        <v>1861</v>
      </c>
      <c r="T2967" s="85" t="s">
        <v>3980</v>
      </c>
      <c r="U2967" s="422" t="s">
        <v>1953</v>
      </c>
      <c r="V2967" s="422" t="s">
        <v>2813</v>
      </c>
    </row>
    <row r="2968" spans="1:22" ht="15.75" thickBot="1" x14ac:dyDescent="0.3">
      <c r="A2968" t="s">
        <v>1910</v>
      </c>
      <c r="B2968" t="s">
        <v>1910</v>
      </c>
      <c r="C2968" s="82" t="s">
        <v>1910</v>
      </c>
      <c r="D2968" s="83" t="s">
        <v>629</v>
      </c>
      <c r="E2968" s="251" t="s">
        <v>1951</v>
      </c>
      <c r="F2968" s="124" t="s">
        <v>620</v>
      </c>
      <c r="G2968" s="130">
        <v>2003</v>
      </c>
      <c r="H2968" s="125" t="s">
        <v>732</v>
      </c>
      <c r="I2968" s="311" t="str">
        <f t="shared" si="120"/>
        <v>Pesado de Passageiros M3: I : Gasóleo : E3</v>
      </c>
      <c r="J2968" s="125">
        <v>77</v>
      </c>
      <c r="K2968" s="253">
        <v>2022</v>
      </c>
      <c r="L2968" s="129">
        <v>27436.582000000002</v>
      </c>
      <c r="M2968" s="85" t="s">
        <v>630</v>
      </c>
      <c r="N2968" s="128">
        <v>50621</v>
      </c>
      <c r="O2968" s="128">
        <f t="shared" si="119"/>
        <v>3897817</v>
      </c>
      <c r="P2968" s="125" t="s">
        <v>2077</v>
      </c>
      <c r="Q2968" s="85" t="s">
        <v>47</v>
      </c>
      <c r="R2968" s="214" t="s">
        <v>1869</v>
      </c>
      <c r="S2968" s="214" t="s">
        <v>1861</v>
      </c>
      <c r="T2968" s="85" t="s">
        <v>3981</v>
      </c>
      <c r="U2968" s="422" t="s">
        <v>1953</v>
      </c>
      <c r="V2968" s="422" t="s">
        <v>2813</v>
      </c>
    </row>
    <row r="2969" spans="1:22" ht="15.75" thickBot="1" x14ac:dyDescent="0.3">
      <c r="A2969" t="s">
        <v>1910</v>
      </c>
      <c r="B2969" t="s">
        <v>1910</v>
      </c>
      <c r="C2969" s="82" t="s">
        <v>1910</v>
      </c>
      <c r="D2969" s="83" t="s">
        <v>629</v>
      </c>
      <c r="E2969" s="251" t="s">
        <v>1951</v>
      </c>
      <c r="F2969" s="124" t="s">
        <v>620</v>
      </c>
      <c r="G2969" s="130">
        <v>2007</v>
      </c>
      <c r="H2969" s="125" t="s">
        <v>731</v>
      </c>
      <c r="I2969" s="311" t="str">
        <f t="shared" si="120"/>
        <v>Pesado de Passageiros M3: I : Gasóleo : E4</v>
      </c>
      <c r="J2969" s="125">
        <v>64</v>
      </c>
      <c r="K2969" s="253">
        <v>2022</v>
      </c>
      <c r="L2969" s="129">
        <v>28894.261200000001</v>
      </c>
      <c r="M2969" s="85" t="s">
        <v>630</v>
      </c>
      <c r="N2969" s="128">
        <v>57092</v>
      </c>
      <c r="O2969" s="128">
        <f t="shared" si="119"/>
        <v>3653888</v>
      </c>
      <c r="P2969" s="125" t="s">
        <v>2019</v>
      </c>
      <c r="Q2969" s="85" t="s">
        <v>47</v>
      </c>
      <c r="R2969" s="214" t="s">
        <v>1869</v>
      </c>
      <c r="S2969" s="214" t="s">
        <v>1861</v>
      </c>
      <c r="T2969" s="85" t="s">
        <v>3982</v>
      </c>
      <c r="U2969" s="422" t="s">
        <v>1953</v>
      </c>
      <c r="V2969" s="422" t="s">
        <v>2813</v>
      </c>
    </row>
    <row r="2970" spans="1:22" ht="15.75" thickBot="1" x14ac:dyDescent="0.3">
      <c r="A2970" t="s">
        <v>1910</v>
      </c>
      <c r="B2970" t="s">
        <v>1910</v>
      </c>
      <c r="C2970" s="82" t="s">
        <v>1910</v>
      </c>
      <c r="D2970" s="83" t="s">
        <v>629</v>
      </c>
      <c r="E2970" s="251" t="s">
        <v>1951</v>
      </c>
      <c r="F2970" s="124" t="s">
        <v>620</v>
      </c>
      <c r="G2970" s="130"/>
      <c r="H2970" s="125" t="s">
        <v>732</v>
      </c>
      <c r="I2970" s="311" t="str">
        <f t="shared" si="120"/>
        <v>Pesado de Passageiros M3: I : Gasóleo : E3</v>
      </c>
      <c r="J2970" s="125"/>
      <c r="K2970" s="253">
        <v>2022</v>
      </c>
      <c r="L2970" s="85">
        <v>9768.66</v>
      </c>
      <c r="M2970" s="85" t="s">
        <v>630</v>
      </c>
      <c r="N2970" s="128">
        <v>17138</v>
      </c>
      <c r="O2970" s="128">
        <f t="shared" si="119"/>
        <v>0</v>
      </c>
      <c r="P2970" s="125" t="s">
        <v>3326</v>
      </c>
      <c r="Q2970" s="85" t="s">
        <v>47</v>
      </c>
      <c r="R2970" s="214" t="s">
        <v>1869</v>
      </c>
      <c r="S2970" s="214" t="s">
        <v>1861</v>
      </c>
      <c r="T2970" s="85" t="s">
        <v>3983</v>
      </c>
      <c r="U2970" s="422" t="s">
        <v>1953</v>
      </c>
      <c r="V2970" s="422" t="s">
        <v>2813</v>
      </c>
    </row>
    <row r="2971" spans="1:22" ht="15.75" thickBot="1" x14ac:dyDescent="0.3">
      <c r="A2971" t="s">
        <v>1910</v>
      </c>
      <c r="B2971" t="s">
        <v>1910</v>
      </c>
      <c r="C2971" s="82" t="s">
        <v>1910</v>
      </c>
      <c r="D2971" s="83" t="s">
        <v>629</v>
      </c>
      <c r="E2971" s="251" t="s">
        <v>1951</v>
      </c>
      <c r="F2971" s="124" t="s">
        <v>620</v>
      </c>
      <c r="G2971" s="130">
        <v>2005</v>
      </c>
      <c r="H2971" s="125" t="s">
        <v>732</v>
      </c>
      <c r="I2971" s="311" t="str">
        <f t="shared" si="120"/>
        <v>Pesado de Passageiros M3: I : Gasóleo : E3</v>
      </c>
      <c r="J2971" s="125">
        <v>81</v>
      </c>
      <c r="K2971" s="253">
        <v>2022</v>
      </c>
      <c r="L2971" s="129">
        <v>13566.473100000001</v>
      </c>
      <c r="M2971" s="85" t="s">
        <v>630</v>
      </c>
      <c r="N2971" s="128">
        <v>22959</v>
      </c>
      <c r="O2971" s="128">
        <f t="shared" si="119"/>
        <v>1859679</v>
      </c>
      <c r="P2971" s="125" t="s">
        <v>2125</v>
      </c>
      <c r="Q2971" s="85" t="s">
        <v>47</v>
      </c>
      <c r="R2971" s="214" t="s">
        <v>1869</v>
      </c>
      <c r="S2971" s="214" t="s">
        <v>1861</v>
      </c>
      <c r="T2971" s="85" t="s">
        <v>3984</v>
      </c>
      <c r="U2971" s="422" t="s">
        <v>1953</v>
      </c>
      <c r="V2971" s="422" t="s">
        <v>2813</v>
      </c>
    </row>
    <row r="2972" spans="1:22" ht="15.75" thickBot="1" x14ac:dyDescent="0.3">
      <c r="A2972" t="s">
        <v>1910</v>
      </c>
      <c r="B2972" t="s">
        <v>1910</v>
      </c>
      <c r="C2972" s="82" t="s">
        <v>1910</v>
      </c>
      <c r="D2972" s="83" t="s">
        <v>629</v>
      </c>
      <c r="E2972" s="251" t="s">
        <v>1951</v>
      </c>
      <c r="F2972" s="124" t="s">
        <v>620</v>
      </c>
      <c r="G2972" s="130">
        <v>2005</v>
      </c>
      <c r="H2972" s="125" t="s">
        <v>732</v>
      </c>
      <c r="I2972" s="311" t="str">
        <f t="shared" si="120"/>
        <v>Pesado de Passageiros M3: I : Gasóleo : E3</v>
      </c>
      <c r="J2972" s="125">
        <v>81</v>
      </c>
      <c r="K2972" s="253">
        <v>2022</v>
      </c>
      <c r="L2972" s="129">
        <v>14072.6332</v>
      </c>
      <c r="M2972" s="85" t="s">
        <v>630</v>
      </c>
      <c r="N2972" s="128">
        <v>24551</v>
      </c>
      <c r="O2972" s="128">
        <f t="shared" si="119"/>
        <v>1988631</v>
      </c>
      <c r="P2972" s="125" t="s">
        <v>2126</v>
      </c>
      <c r="Q2972" s="85" t="s">
        <v>47</v>
      </c>
      <c r="R2972" s="214" t="s">
        <v>1869</v>
      </c>
      <c r="S2972" s="214" t="s">
        <v>1861</v>
      </c>
      <c r="T2972" s="85" t="s">
        <v>3985</v>
      </c>
      <c r="U2972" s="422" t="s">
        <v>1953</v>
      </c>
      <c r="V2972" s="422" t="s">
        <v>2813</v>
      </c>
    </row>
    <row r="2973" spans="1:22" ht="15.75" thickBot="1" x14ac:dyDescent="0.3">
      <c r="A2973" t="s">
        <v>1910</v>
      </c>
      <c r="B2973" t="s">
        <v>1910</v>
      </c>
      <c r="C2973" s="82" t="s">
        <v>1910</v>
      </c>
      <c r="D2973" s="83" t="s">
        <v>629</v>
      </c>
      <c r="E2973" s="251" t="s">
        <v>1951</v>
      </c>
      <c r="F2973" s="124" t="s">
        <v>620</v>
      </c>
      <c r="G2973" s="130">
        <v>2019</v>
      </c>
      <c r="H2973" s="125" t="s">
        <v>733</v>
      </c>
      <c r="I2973" s="311" t="str">
        <f t="shared" si="120"/>
        <v>Pesado de Passageiros M3: I : Gasóleo : E6</v>
      </c>
      <c r="J2973" s="125">
        <v>95</v>
      </c>
      <c r="K2973" s="253">
        <v>2022</v>
      </c>
      <c r="L2973" s="129">
        <v>26255.757199999996</v>
      </c>
      <c r="M2973" s="85" t="s">
        <v>630</v>
      </c>
      <c r="N2973" s="128">
        <v>65738</v>
      </c>
      <c r="O2973" s="128">
        <f t="shared" si="119"/>
        <v>6245110</v>
      </c>
      <c r="P2973" s="125" t="s">
        <v>2061</v>
      </c>
      <c r="Q2973" s="85" t="s">
        <v>47</v>
      </c>
      <c r="R2973" s="214" t="s">
        <v>1869</v>
      </c>
      <c r="S2973" s="214" t="s">
        <v>1861</v>
      </c>
      <c r="T2973" s="85" t="s">
        <v>3986</v>
      </c>
      <c r="U2973" s="422" t="s">
        <v>1953</v>
      </c>
      <c r="V2973" s="422" t="s">
        <v>2813</v>
      </c>
    </row>
    <row r="2974" spans="1:22" ht="15.75" thickBot="1" x14ac:dyDescent="0.3">
      <c r="A2974" t="s">
        <v>1910</v>
      </c>
      <c r="B2974" t="s">
        <v>1910</v>
      </c>
      <c r="C2974" s="82" t="s">
        <v>1910</v>
      </c>
      <c r="D2974" s="83" t="s">
        <v>629</v>
      </c>
      <c r="E2974" s="251" t="s">
        <v>1951</v>
      </c>
      <c r="F2974" s="124" t="s">
        <v>620</v>
      </c>
      <c r="G2974" s="130"/>
      <c r="H2974" s="125" t="s">
        <v>731</v>
      </c>
      <c r="I2974" s="311" t="str">
        <f t="shared" si="120"/>
        <v>Pesado de Passageiros M3: I : Gasóleo : E4</v>
      </c>
      <c r="J2974" s="125"/>
      <c r="K2974" s="253">
        <v>2022</v>
      </c>
      <c r="L2974" s="85">
        <v>12845.8</v>
      </c>
      <c r="M2974" s="85" t="s">
        <v>630</v>
      </c>
      <c r="N2974" s="128">
        <v>23356</v>
      </c>
      <c r="O2974" s="128">
        <f t="shared" si="119"/>
        <v>0</v>
      </c>
      <c r="P2974" s="125" t="s">
        <v>3347</v>
      </c>
      <c r="Q2974" s="85" t="s">
        <v>47</v>
      </c>
      <c r="R2974" s="214" t="s">
        <v>1869</v>
      </c>
      <c r="S2974" s="214" t="s">
        <v>1861</v>
      </c>
      <c r="T2974" s="85" t="s">
        <v>3987</v>
      </c>
      <c r="U2974" s="422" t="s">
        <v>1953</v>
      </c>
      <c r="V2974" s="422" t="s">
        <v>2813</v>
      </c>
    </row>
    <row r="2975" spans="1:22" ht="15.75" thickBot="1" x14ac:dyDescent="0.3">
      <c r="A2975" t="s">
        <v>1910</v>
      </c>
      <c r="B2975" t="s">
        <v>1910</v>
      </c>
      <c r="C2975" s="82" t="s">
        <v>1910</v>
      </c>
      <c r="D2975" s="83" t="s">
        <v>629</v>
      </c>
      <c r="E2975" s="251" t="s">
        <v>1951</v>
      </c>
      <c r="F2975" s="124" t="s">
        <v>620</v>
      </c>
      <c r="G2975" s="130">
        <v>2009</v>
      </c>
      <c r="H2975" s="125" t="s">
        <v>734</v>
      </c>
      <c r="I2975" s="311" t="str">
        <f t="shared" si="120"/>
        <v>Pesado de Passageiros M3: I : Gasóleo : E5</v>
      </c>
      <c r="J2975" s="125">
        <v>95</v>
      </c>
      <c r="K2975" s="253">
        <v>2022</v>
      </c>
      <c r="L2975" s="129">
        <v>24859.132800000003</v>
      </c>
      <c r="M2975" s="85" t="s">
        <v>630</v>
      </c>
      <c r="N2975" s="128">
        <v>53472</v>
      </c>
      <c r="O2975" s="128">
        <f t="shared" si="119"/>
        <v>5079840</v>
      </c>
      <c r="P2975" s="125" t="s">
        <v>2119</v>
      </c>
      <c r="Q2975" s="85" t="s">
        <v>47</v>
      </c>
      <c r="R2975" s="214" t="s">
        <v>1869</v>
      </c>
      <c r="S2975" s="214" t="s">
        <v>1861</v>
      </c>
      <c r="T2975" s="85" t="s">
        <v>3988</v>
      </c>
      <c r="U2975" s="422" t="s">
        <v>1953</v>
      </c>
      <c r="V2975" s="422" t="s">
        <v>2813</v>
      </c>
    </row>
    <row r="2976" spans="1:22" ht="15.75" thickBot="1" x14ac:dyDescent="0.3">
      <c r="A2976" t="s">
        <v>1910</v>
      </c>
      <c r="B2976" t="s">
        <v>1910</v>
      </c>
      <c r="C2976" s="82" t="s">
        <v>1910</v>
      </c>
      <c r="D2976" s="83" t="s">
        <v>629</v>
      </c>
      <c r="E2976" s="251" t="s">
        <v>1951</v>
      </c>
      <c r="F2976" s="124" t="s">
        <v>620</v>
      </c>
      <c r="G2976" s="130">
        <v>1995</v>
      </c>
      <c r="H2976" s="125" t="s">
        <v>736</v>
      </c>
      <c r="I2976" s="311" t="str">
        <f t="shared" si="120"/>
        <v>Pesado de Passageiros M3: I : Gasóleo : E1</v>
      </c>
      <c r="J2976" s="125">
        <v>78</v>
      </c>
      <c r="K2976" s="253">
        <v>2022</v>
      </c>
      <c r="L2976" s="129">
        <v>13867.5851</v>
      </c>
      <c r="M2976" s="85" t="s">
        <v>630</v>
      </c>
      <c r="N2976" s="128">
        <v>22933</v>
      </c>
      <c r="O2976" s="128">
        <f t="shared" si="119"/>
        <v>1788774</v>
      </c>
      <c r="P2976" s="125">
        <v>9116</v>
      </c>
      <c r="Q2976" s="85" t="s">
        <v>47</v>
      </c>
      <c r="R2976" s="214" t="s">
        <v>1869</v>
      </c>
      <c r="S2976" s="214" t="s">
        <v>1861</v>
      </c>
      <c r="T2976" s="85" t="s">
        <v>3989</v>
      </c>
      <c r="U2976" s="422" t="s">
        <v>1953</v>
      </c>
      <c r="V2976" s="422" t="s">
        <v>2813</v>
      </c>
    </row>
    <row r="2977" spans="1:22" ht="15.75" thickBot="1" x14ac:dyDescent="0.3">
      <c r="A2977" t="s">
        <v>1910</v>
      </c>
      <c r="B2977" t="s">
        <v>1910</v>
      </c>
      <c r="C2977" s="82" t="s">
        <v>1910</v>
      </c>
      <c r="D2977" s="83" t="s">
        <v>629</v>
      </c>
      <c r="E2977" s="251" t="s">
        <v>1951</v>
      </c>
      <c r="F2977" s="124" t="s">
        <v>620</v>
      </c>
      <c r="G2977" s="130">
        <v>2006</v>
      </c>
      <c r="H2977" s="125" t="s">
        <v>732</v>
      </c>
      <c r="I2977" s="311" t="str">
        <f t="shared" si="120"/>
        <v>Pesado de Passageiros M3: I : Gasóleo : E3</v>
      </c>
      <c r="J2977" s="125">
        <v>69</v>
      </c>
      <c r="K2977" s="253">
        <v>2022</v>
      </c>
      <c r="L2977" s="129">
        <v>31389.4362</v>
      </c>
      <c r="M2977" s="85" t="s">
        <v>630</v>
      </c>
      <c r="N2977" s="128">
        <v>58486</v>
      </c>
      <c r="O2977" s="128">
        <f t="shared" si="119"/>
        <v>4035534</v>
      </c>
      <c r="P2977" s="125" t="s">
        <v>2092</v>
      </c>
      <c r="Q2977" s="85" t="s">
        <v>47</v>
      </c>
      <c r="R2977" s="214" t="s">
        <v>1869</v>
      </c>
      <c r="S2977" s="214" t="s">
        <v>1861</v>
      </c>
      <c r="T2977" s="85" t="s">
        <v>3990</v>
      </c>
      <c r="U2977" s="422" t="s">
        <v>1953</v>
      </c>
      <c r="V2977" s="422" t="s">
        <v>2813</v>
      </c>
    </row>
    <row r="2978" spans="1:22" ht="15.75" thickBot="1" x14ac:dyDescent="0.3">
      <c r="A2978" t="s">
        <v>1910</v>
      </c>
      <c r="B2978" t="s">
        <v>1910</v>
      </c>
      <c r="C2978" s="82" t="s">
        <v>1910</v>
      </c>
      <c r="D2978" s="83" t="s">
        <v>629</v>
      </c>
      <c r="E2978" s="251" t="s">
        <v>1951</v>
      </c>
      <c r="F2978" s="124" t="s">
        <v>620</v>
      </c>
      <c r="G2978" s="130">
        <v>2013</v>
      </c>
      <c r="H2978" s="125" t="s">
        <v>733</v>
      </c>
      <c r="I2978" s="311" t="str">
        <f t="shared" si="120"/>
        <v>Pesado de Passageiros M3: I : Gasóleo : E6</v>
      </c>
      <c r="J2978" s="125">
        <v>72</v>
      </c>
      <c r="K2978" s="253">
        <v>2022</v>
      </c>
      <c r="L2978" s="129">
        <v>30524.13</v>
      </c>
      <c r="M2978" s="85" t="s">
        <v>630</v>
      </c>
      <c r="N2978" s="128">
        <v>74540</v>
      </c>
      <c r="O2978" s="128">
        <f t="shared" si="119"/>
        <v>5366880</v>
      </c>
      <c r="P2978" s="125" t="s">
        <v>2051</v>
      </c>
      <c r="Q2978" s="85" t="s">
        <v>47</v>
      </c>
      <c r="R2978" s="214" t="s">
        <v>1869</v>
      </c>
      <c r="S2978" s="214" t="s">
        <v>1861</v>
      </c>
      <c r="T2978" s="85" t="s">
        <v>3991</v>
      </c>
      <c r="U2978" s="422" t="s">
        <v>1953</v>
      </c>
      <c r="V2978" s="422" t="s">
        <v>2813</v>
      </c>
    </row>
    <row r="2979" spans="1:22" ht="15.75" thickBot="1" x14ac:dyDescent="0.3">
      <c r="A2979" t="s">
        <v>1910</v>
      </c>
      <c r="B2979" t="s">
        <v>1910</v>
      </c>
      <c r="C2979" s="82" t="s">
        <v>1910</v>
      </c>
      <c r="D2979" s="83" t="s">
        <v>629</v>
      </c>
      <c r="E2979" s="251" t="s">
        <v>1951</v>
      </c>
      <c r="F2979" s="124" t="s">
        <v>620</v>
      </c>
      <c r="G2979" s="130">
        <v>1997</v>
      </c>
      <c r="H2979" s="125" t="s">
        <v>735</v>
      </c>
      <c r="I2979" s="311" t="str">
        <f t="shared" si="120"/>
        <v>Pesado de Passageiros M3: I : Gasóleo : E2</v>
      </c>
      <c r="J2979" s="125">
        <v>84</v>
      </c>
      <c r="K2979" s="253">
        <v>2022</v>
      </c>
      <c r="L2979" s="129">
        <v>19601.922999999999</v>
      </c>
      <c r="M2979" s="85" t="s">
        <v>630</v>
      </c>
      <c r="N2979" s="128">
        <v>39955</v>
      </c>
      <c r="O2979" s="128">
        <f t="shared" si="119"/>
        <v>3356220</v>
      </c>
      <c r="P2979" s="125" t="s">
        <v>1990</v>
      </c>
      <c r="Q2979" s="85" t="s">
        <v>47</v>
      </c>
      <c r="R2979" s="214" t="s">
        <v>1869</v>
      </c>
      <c r="S2979" s="214" t="s">
        <v>1861</v>
      </c>
      <c r="T2979" s="85" t="s">
        <v>3992</v>
      </c>
      <c r="U2979" s="422" t="s">
        <v>1953</v>
      </c>
      <c r="V2979" s="422" t="s">
        <v>2813</v>
      </c>
    </row>
    <row r="2980" spans="1:22" ht="15.75" thickBot="1" x14ac:dyDescent="0.3">
      <c r="A2980" t="s">
        <v>1910</v>
      </c>
      <c r="B2980" t="s">
        <v>1910</v>
      </c>
      <c r="C2980" s="82" t="s">
        <v>1910</v>
      </c>
      <c r="D2980" s="83" t="s">
        <v>629</v>
      </c>
      <c r="E2980" s="251" t="s">
        <v>1951</v>
      </c>
      <c r="F2980" s="124" t="s">
        <v>620</v>
      </c>
      <c r="G2980" s="130">
        <v>1997</v>
      </c>
      <c r="H2980" s="125" t="s">
        <v>735</v>
      </c>
      <c r="I2980" s="311" t="str">
        <f t="shared" si="120"/>
        <v>Pesado de Passageiros M3: I : Gasóleo : E2</v>
      </c>
      <c r="J2980" s="125">
        <v>84</v>
      </c>
      <c r="K2980" s="253">
        <v>2022</v>
      </c>
      <c r="L2980" s="129">
        <v>16936.59</v>
      </c>
      <c r="M2980" s="85" t="s">
        <v>630</v>
      </c>
      <c r="N2980" s="128">
        <v>33209</v>
      </c>
      <c r="O2980" s="128">
        <f t="shared" si="119"/>
        <v>2789556</v>
      </c>
      <c r="P2980" s="125" t="s">
        <v>1994</v>
      </c>
      <c r="Q2980" s="85" t="s">
        <v>47</v>
      </c>
      <c r="R2980" s="214" t="s">
        <v>1869</v>
      </c>
      <c r="S2980" s="214" t="s">
        <v>1861</v>
      </c>
      <c r="T2980" s="85" t="s">
        <v>3993</v>
      </c>
      <c r="U2980" s="422" t="s">
        <v>1953</v>
      </c>
      <c r="V2980" s="422" t="s">
        <v>2813</v>
      </c>
    </row>
    <row r="2981" spans="1:22" ht="15.75" thickBot="1" x14ac:dyDescent="0.3">
      <c r="A2981" t="s">
        <v>1910</v>
      </c>
      <c r="B2981" t="s">
        <v>1910</v>
      </c>
      <c r="C2981" s="82" t="s">
        <v>1910</v>
      </c>
      <c r="D2981" s="83" t="s">
        <v>629</v>
      </c>
      <c r="E2981" s="251" t="s">
        <v>1951</v>
      </c>
      <c r="F2981" s="124" t="s">
        <v>620</v>
      </c>
      <c r="G2981" s="130">
        <v>2011</v>
      </c>
      <c r="H2981" s="125" t="s">
        <v>734</v>
      </c>
      <c r="I2981" s="311" t="str">
        <f t="shared" si="120"/>
        <v>Pesado de Passageiros M3: I : Gasóleo : E5</v>
      </c>
      <c r="J2981" s="125">
        <v>62</v>
      </c>
      <c r="K2981" s="253">
        <v>2022</v>
      </c>
      <c r="L2981" s="129">
        <v>3614.1</v>
      </c>
      <c r="M2981" s="85" t="s">
        <v>630</v>
      </c>
      <c r="N2981" s="128">
        <v>8605</v>
      </c>
      <c r="O2981" s="128">
        <f t="shared" si="119"/>
        <v>533510</v>
      </c>
      <c r="P2981" s="125" t="s">
        <v>1976</v>
      </c>
      <c r="Q2981" s="85" t="s">
        <v>47</v>
      </c>
      <c r="R2981" s="214" t="s">
        <v>1869</v>
      </c>
      <c r="S2981" s="214" t="s">
        <v>1861</v>
      </c>
      <c r="T2981" s="85" t="s">
        <v>3994</v>
      </c>
      <c r="U2981" s="422" t="s">
        <v>1953</v>
      </c>
      <c r="V2981" s="422" t="s">
        <v>2813</v>
      </c>
    </row>
    <row r="2982" spans="1:22" ht="15.75" thickBot="1" x14ac:dyDescent="0.3">
      <c r="A2982" t="s">
        <v>1910</v>
      </c>
      <c r="B2982" t="s">
        <v>1910</v>
      </c>
      <c r="C2982" s="82" t="s">
        <v>1910</v>
      </c>
      <c r="D2982" s="83" t="s">
        <v>629</v>
      </c>
      <c r="E2982" s="251" t="s">
        <v>1951</v>
      </c>
      <c r="F2982" s="124" t="s">
        <v>620</v>
      </c>
      <c r="G2982" s="130">
        <v>2011</v>
      </c>
      <c r="H2982" s="125" t="s">
        <v>734</v>
      </c>
      <c r="I2982" s="311" t="str">
        <f t="shared" si="120"/>
        <v>Pesado de Passageiros M3: I : Gasóleo : E5</v>
      </c>
      <c r="J2982" s="125">
        <v>144</v>
      </c>
      <c r="K2982" s="253">
        <v>2022</v>
      </c>
      <c r="L2982" s="129">
        <v>42671.380400000002</v>
      </c>
      <c r="M2982" s="85" t="s">
        <v>630</v>
      </c>
      <c r="N2982" s="128">
        <v>70114</v>
      </c>
      <c r="O2982" s="128">
        <f t="shared" si="119"/>
        <v>10096416</v>
      </c>
      <c r="P2982" s="125" t="s">
        <v>2069</v>
      </c>
      <c r="Q2982" s="85" t="s">
        <v>47</v>
      </c>
      <c r="R2982" s="214" t="s">
        <v>1869</v>
      </c>
      <c r="S2982" s="214" t="s">
        <v>1861</v>
      </c>
      <c r="T2982" s="85" t="s">
        <v>3995</v>
      </c>
      <c r="U2982" s="422" t="s">
        <v>1953</v>
      </c>
      <c r="V2982" s="422" t="s">
        <v>2813</v>
      </c>
    </row>
    <row r="2983" spans="1:22" ht="15.75" thickBot="1" x14ac:dyDescent="0.3">
      <c r="A2983" t="s">
        <v>1910</v>
      </c>
      <c r="B2983" t="s">
        <v>1910</v>
      </c>
      <c r="C2983" s="82" t="s">
        <v>1910</v>
      </c>
      <c r="D2983" s="83" t="s">
        <v>629</v>
      </c>
      <c r="E2983" s="251" t="s">
        <v>1951</v>
      </c>
      <c r="F2983" s="124" t="s">
        <v>620</v>
      </c>
      <c r="G2983" s="130">
        <v>2004</v>
      </c>
      <c r="H2983" s="125" t="s">
        <v>732</v>
      </c>
      <c r="I2983" s="311" t="str">
        <f t="shared" si="120"/>
        <v>Pesado de Passageiros M3: I : Gasóleo : E3</v>
      </c>
      <c r="J2983" s="125">
        <v>74</v>
      </c>
      <c r="K2983" s="253">
        <v>2022</v>
      </c>
      <c r="L2983" s="129">
        <v>25526.3148</v>
      </c>
      <c r="M2983" s="85" t="s">
        <v>630</v>
      </c>
      <c r="N2983" s="128">
        <v>46932</v>
      </c>
      <c r="O2983" s="128">
        <f t="shared" si="119"/>
        <v>3472968</v>
      </c>
      <c r="P2983" s="125" t="s">
        <v>2101</v>
      </c>
      <c r="Q2983" s="85" t="s">
        <v>47</v>
      </c>
      <c r="R2983" s="214" t="s">
        <v>1869</v>
      </c>
      <c r="S2983" s="214" t="s">
        <v>1861</v>
      </c>
      <c r="T2983" s="85" t="s">
        <v>3996</v>
      </c>
      <c r="U2983" s="422" t="s">
        <v>1953</v>
      </c>
      <c r="V2983" s="422" t="s">
        <v>2813</v>
      </c>
    </row>
    <row r="2984" spans="1:22" ht="15.75" thickBot="1" x14ac:dyDescent="0.3">
      <c r="A2984" t="s">
        <v>1910</v>
      </c>
      <c r="B2984" t="s">
        <v>1910</v>
      </c>
      <c r="C2984" s="82" t="s">
        <v>1910</v>
      </c>
      <c r="D2984" s="83" t="s">
        <v>629</v>
      </c>
      <c r="E2984" s="251" t="s">
        <v>1951</v>
      </c>
      <c r="F2984" s="124" t="s">
        <v>620</v>
      </c>
      <c r="G2984" s="130">
        <v>2004</v>
      </c>
      <c r="H2984" s="125" t="s">
        <v>732</v>
      </c>
      <c r="I2984" s="311" t="str">
        <f t="shared" si="120"/>
        <v>Pesado de Passageiros M3: I : Gasóleo : E3</v>
      </c>
      <c r="J2984" s="125">
        <v>72</v>
      </c>
      <c r="K2984" s="253">
        <v>2022</v>
      </c>
      <c r="L2984" s="129">
        <v>21346.214400000001</v>
      </c>
      <c r="M2984" s="85" t="s">
        <v>630</v>
      </c>
      <c r="N2984" s="128">
        <v>43176</v>
      </c>
      <c r="O2984" s="128">
        <f t="shared" si="119"/>
        <v>3108672</v>
      </c>
      <c r="P2984" s="125" t="s">
        <v>2099</v>
      </c>
      <c r="Q2984" s="85" t="s">
        <v>47</v>
      </c>
      <c r="R2984" s="214" t="s">
        <v>1869</v>
      </c>
      <c r="S2984" s="214" t="s">
        <v>1861</v>
      </c>
      <c r="T2984" s="85" t="s">
        <v>3997</v>
      </c>
      <c r="U2984" s="422" t="s">
        <v>1953</v>
      </c>
      <c r="V2984" s="422" t="s">
        <v>2813</v>
      </c>
    </row>
    <row r="2985" spans="1:22" ht="15.75" thickBot="1" x14ac:dyDescent="0.3">
      <c r="A2985" t="s">
        <v>1910</v>
      </c>
      <c r="B2985" t="s">
        <v>1910</v>
      </c>
      <c r="C2985" s="82" t="s">
        <v>1910</v>
      </c>
      <c r="D2985" s="83" t="s">
        <v>629</v>
      </c>
      <c r="E2985" s="251" t="s">
        <v>1951</v>
      </c>
      <c r="F2985" s="124" t="s">
        <v>620</v>
      </c>
      <c r="G2985" s="130">
        <v>2004</v>
      </c>
      <c r="H2985" s="125" t="s">
        <v>732</v>
      </c>
      <c r="I2985" s="311" t="str">
        <f t="shared" si="120"/>
        <v>Pesado de Passageiros M3: I : Gasóleo : E3</v>
      </c>
      <c r="J2985" s="125">
        <v>72</v>
      </c>
      <c r="K2985" s="253">
        <v>2022</v>
      </c>
      <c r="L2985" s="129">
        <v>24630.177500000002</v>
      </c>
      <c r="M2985" s="85" t="s">
        <v>630</v>
      </c>
      <c r="N2985" s="128">
        <v>51047</v>
      </c>
      <c r="O2985" s="128">
        <f t="shared" si="119"/>
        <v>3675384</v>
      </c>
      <c r="P2985" s="125" t="s">
        <v>2098</v>
      </c>
      <c r="Q2985" s="85" t="s">
        <v>47</v>
      </c>
      <c r="R2985" s="214" t="s">
        <v>1869</v>
      </c>
      <c r="S2985" s="214" t="s">
        <v>1861</v>
      </c>
      <c r="T2985" s="85" t="s">
        <v>3998</v>
      </c>
      <c r="U2985" s="422" t="s">
        <v>1953</v>
      </c>
      <c r="V2985" s="422" t="s">
        <v>2813</v>
      </c>
    </row>
    <row r="2986" spans="1:22" ht="15.75" thickBot="1" x14ac:dyDescent="0.3">
      <c r="A2986" t="s">
        <v>1910</v>
      </c>
      <c r="B2986" t="s">
        <v>1910</v>
      </c>
      <c r="C2986" s="82" t="s">
        <v>1910</v>
      </c>
      <c r="D2986" s="83" t="s">
        <v>629</v>
      </c>
      <c r="E2986" s="251" t="s">
        <v>1951</v>
      </c>
      <c r="F2986" s="124" t="s">
        <v>620</v>
      </c>
      <c r="G2986" s="130">
        <v>2004</v>
      </c>
      <c r="H2986" s="125" t="s">
        <v>732</v>
      </c>
      <c r="I2986" s="311" t="str">
        <f t="shared" si="120"/>
        <v>Pesado de Passageiros M3: I : Gasóleo : E3</v>
      </c>
      <c r="J2986" s="125">
        <v>74</v>
      </c>
      <c r="K2986" s="253">
        <v>2022</v>
      </c>
      <c r="L2986" s="129">
        <v>22316.963399999997</v>
      </c>
      <c r="M2986" s="85" t="s">
        <v>630</v>
      </c>
      <c r="N2986" s="128">
        <v>42219</v>
      </c>
      <c r="O2986" s="128">
        <f t="shared" si="119"/>
        <v>3124206</v>
      </c>
      <c r="P2986" s="125" t="s">
        <v>2100</v>
      </c>
      <c r="Q2986" s="85" t="s">
        <v>47</v>
      </c>
      <c r="R2986" s="214" t="s">
        <v>1869</v>
      </c>
      <c r="S2986" s="214" t="s">
        <v>1861</v>
      </c>
      <c r="T2986" s="85" t="s">
        <v>3999</v>
      </c>
      <c r="U2986" s="422" t="s">
        <v>1953</v>
      </c>
      <c r="V2986" s="422" t="s">
        <v>2813</v>
      </c>
    </row>
    <row r="2987" spans="1:22" ht="15.75" thickBot="1" x14ac:dyDescent="0.3">
      <c r="A2987" t="s">
        <v>1910</v>
      </c>
      <c r="B2987" t="s">
        <v>1910</v>
      </c>
      <c r="C2987" s="82" t="s">
        <v>1910</v>
      </c>
      <c r="D2987" s="83" t="s">
        <v>629</v>
      </c>
      <c r="E2987" s="251" t="s">
        <v>1951</v>
      </c>
      <c r="F2987" s="124" t="s">
        <v>620</v>
      </c>
      <c r="G2987" s="130"/>
      <c r="H2987" s="125" t="s">
        <v>732</v>
      </c>
      <c r="I2987" s="311" t="str">
        <f t="shared" si="120"/>
        <v>Pesado de Passageiros M3: I : Gasóleo : E3</v>
      </c>
      <c r="J2987" s="125"/>
      <c r="K2987" s="253">
        <v>2022</v>
      </c>
      <c r="L2987" s="85">
        <v>1497.36</v>
      </c>
      <c r="M2987" s="85" t="s">
        <v>630</v>
      </c>
      <c r="N2987" s="128">
        <v>2936</v>
      </c>
      <c r="O2987" s="128">
        <f t="shared" si="119"/>
        <v>0</v>
      </c>
      <c r="P2987" s="125" t="s">
        <v>3373</v>
      </c>
      <c r="Q2987" s="85" t="s">
        <v>47</v>
      </c>
      <c r="R2987" s="214" t="s">
        <v>1869</v>
      </c>
      <c r="S2987" s="214" t="s">
        <v>1861</v>
      </c>
      <c r="T2987" s="85" t="s">
        <v>4000</v>
      </c>
      <c r="U2987" s="422" t="s">
        <v>1953</v>
      </c>
      <c r="V2987" s="422" t="s">
        <v>2813</v>
      </c>
    </row>
    <row r="2988" spans="1:22" ht="15.75" thickBot="1" x14ac:dyDescent="0.3">
      <c r="A2988" t="s">
        <v>1910</v>
      </c>
      <c r="B2988" t="s">
        <v>1910</v>
      </c>
      <c r="C2988" s="82" t="s">
        <v>1910</v>
      </c>
      <c r="D2988" s="83" t="s">
        <v>629</v>
      </c>
      <c r="E2988" s="251" t="s">
        <v>1951</v>
      </c>
      <c r="F2988" s="124" t="s">
        <v>620</v>
      </c>
      <c r="G2988" s="130">
        <v>2003</v>
      </c>
      <c r="H2988" s="125" t="s">
        <v>732</v>
      </c>
      <c r="I2988" s="311" t="str">
        <f t="shared" si="120"/>
        <v>Pesado de Passageiros M3: I : Gasóleo : E3</v>
      </c>
      <c r="J2988" s="125">
        <v>77</v>
      </c>
      <c r="K2988" s="253">
        <v>2022</v>
      </c>
      <c r="L2988" s="129">
        <v>27463.827599999997</v>
      </c>
      <c r="M2988" s="85" t="s">
        <v>630</v>
      </c>
      <c r="N2988" s="128">
        <v>47466</v>
      </c>
      <c r="O2988" s="128">
        <f t="shared" si="119"/>
        <v>3654882</v>
      </c>
      <c r="P2988" s="125" t="s">
        <v>2076</v>
      </c>
      <c r="Q2988" s="85" t="s">
        <v>47</v>
      </c>
      <c r="R2988" s="214" t="s">
        <v>1869</v>
      </c>
      <c r="S2988" s="214" t="s">
        <v>1861</v>
      </c>
      <c r="T2988" s="85" t="s">
        <v>4001</v>
      </c>
      <c r="U2988" s="422" t="s">
        <v>1953</v>
      </c>
      <c r="V2988" s="422" t="s">
        <v>2813</v>
      </c>
    </row>
    <row r="2989" spans="1:22" ht="15.75" thickBot="1" x14ac:dyDescent="0.3">
      <c r="A2989" t="s">
        <v>1910</v>
      </c>
      <c r="B2989" t="s">
        <v>1910</v>
      </c>
      <c r="C2989" s="82" t="s">
        <v>1910</v>
      </c>
      <c r="D2989" s="83" t="s">
        <v>629</v>
      </c>
      <c r="E2989" s="251" t="s">
        <v>1951</v>
      </c>
      <c r="F2989" s="124" t="s">
        <v>620</v>
      </c>
      <c r="G2989" s="130">
        <v>2003</v>
      </c>
      <c r="H2989" s="125" t="s">
        <v>732</v>
      </c>
      <c r="I2989" s="311" t="str">
        <f t="shared" si="120"/>
        <v>Pesado de Passageiros M3: I : Gasóleo : E3</v>
      </c>
      <c r="J2989" s="125">
        <v>77</v>
      </c>
      <c r="K2989" s="253">
        <v>2022</v>
      </c>
      <c r="L2989" s="129">
        <v>28450.877</v>
      </c>
      <c r="M2989" s="85" t="s">
        <v>630</v>
      </c>
      <c r="N2989" s="128">
        <v>48230</v>
      </c>
      <c r="O2989" s="128">
        <f t="shared" si="119"/>
        <v>3713710</v>
      </c>
      <c r="P2989" s="125" t="s">
        <v>2075</v>
      </c>
      <c r="Q2989" s="85" t="s">
        <v>47</v>
      </c>
      <c r="R2989" s="214" t="s">
        <v>1869</v>
      </c>
      <c r="S2989" s="214" t="s">
        <v>1861</v>
      </c>
      <c r="T2989" s="85" t="s">
        <v>4002</v>
      </c>
      <c r="U2989" s="422" t="s">
        <v>1953</v>
      </c>
      <c r="V2989" s="422" t="s">
        <v>2813</v>
      </c>
    </row>
    <row r="2990" spans="1:22" ht="15.75" thickBot="1" x14ac:dyDescent="0.3">
      <c r="A2990" t="s">
        <v>1910</v>
      </c>
      <c r="B2990" t="s">
        <v>1910</v>
      </c>
      <c r="C2990" s="82" t="s">
        <v>1910</v>
      </c>
      <c r="D2990" s="83" t="s">
        <v>629</v>
      </c>
      <c r="E2990" s="251" t="s">
        <v>1951</v>
      </c>
      <c r="F2990" s="124" t="s">
        <v>620</v>
      </c>
      <c r="G2990" s="130">
        <v>2003</v>
      </c>
      <c r="H2990" s="125" t="s">
        <v>732</v>
      </c>
      <c r="I2990" s="311" t="str">
        <f t="shared" si="120"/>
        <v>Pesado de Passageiros M3: I : Gasóleo : E3</v>
      </c>
      <c r="J2990" s="125">
        <v>76</v>
      </c>
      <c r="K2990" s="253">
        <v>2022</v>
      </c>
      <c r="L2990" s="129">
        <v>34556.281199999998</v>
      </c>
      <c r="M2990" s="85" t="s">
        <v>630</v>
      </c>
      <c r="N2990" s="128">
        <v>80532</v>
      </c>
      <c r="O2990" s="128">
        <f t="shared" si="119"/>
        <v>6120432</v>
      </c>
      <c r="P2990" s="125" t="s">
        <v>2085</v>
      </c>
      <c r="Q2990" s="85" t="s">
        <v>47</v>
      </c>
      <c r="R2990" s="214" t="s">
        <v>1869</v>
      </c>
      <c r="S2990" s="214" t="s">
        <v>1861</v>
      </c>
      <c r="T2990" s="85" t="s">
        <v>4003</v>
      </c>
      <c r="U2990" s="422" t="s">
        <v>1953</v>
      </c>
      <c r="V2990" s="422" t="s">
        <v>2813</v>
      </c>
    </row>
    <row r="2991" spans="1:22" ht="15.75" thickBot="1" x14ac:dyDescent="0.3">
      <c r="A2991" t="s">
        <v>1910</v>
      </c>
      <c r="B2991" t="s">
        <v>1910</v>
      </c>
      <c r="C2991" s="82" t="s">
        <v>1910</v>
      </c>
      <c r="D2991" s="83" t="s">
        <v>629</v>
      </c>
      <c r="E2991" s="251" t="s">
        <v>1951</v>
      </c>
      <c r="F2991" s="124" t="s">
        <v>620</v>
      </c>
      <c r="G2991" s="130">
        <v>2009</v>
      </c>
      <c r="H2991" s="125" t="s">
        <v>734</v>
      </c>
      <c r="I2991" s="311" t="str">
        <f t="shared" si="120"/>
        <v>Pesado de Passageiros M3: I : Gasóleo : E5</v>
      </c>
      <c r="J2991" s="125">
        <v>72</v>
      </c>
      <c r="K2991" s="253">
        <v>2022</v>
      </c>
      <c r="L2991" s="129">
        <v>35809.753100000002</v>
      </c>
      <c r="M2991" s="85" t="s">
        <v>630</v>
      </c>
      <c r="N2991" s="128">
        <v>87277</v>
      </c>
      <c r="O2991" s="128">
        <f t="shared" si="119"/>
        <v>6283944</v>
      </c>
      <c r="P2991" s="125" t="s">
        <v>2029</v>
      </c>
      <c r="Q2991" s="85" t="s">
        <v>47</v>
      </c>
      <c r="R2991" s="214" t="s">
        <v>1869</v>
      </c>
      <c r="S2991" s="214" t="s">
        <v>1861</v>
      </c>
      <c r="T2991" s="85" t="s">
        <v>4004</v>
      </c>
      <c r="U2991" s="422" t="s">
        <v>1953</v>
      </c>
      <c r="V2991" s="422" t="s">
        <v>2813</v>
      </c>
    </row>
    <row r="2992" spans="1:22" ht="15.75" thickBot="1" x14ac:dyDescent="0.3">
      <c r="A2992" t="s">
        <v>1910</v>
      </c>
      <c r="B2992" t="s">
        <v>1910</v>
      </c>
      <c r="C2992" s="82" t="s">
        <v>1910</v>
      </c>
      <c r="D2992" s="83" t="s">
        <v>629</v>
      </c>
      <c r="E2992" s="251" t="s">
        <v>1951</v>
      </c>
      <c r="F2992" s="124" t="s">
        <v>620</v>
      </c>
      <c r="G2992" s="130">
        <v>2003</v>
      </c>
      <c r="H2992" s="125" t="s">
        <v>732</v>
      </c>
      <c r="I2992" s="311" t="str">
        <f t="shared" si="120"/>
        <v>Pesado de Passageiros M3: I : Gasóleo : E3</v>
      </c>
      <c r="J2992" s="125">
        <v>74</v>
      </c>
      <c r="K2992" s="253">
        <v>2022</v>
      </c>
      <c r="L2992" s="129">
        <v>28227.022599999997</v>
      </c>
      <c r="M2992" s="85" t="s">
        <v>630</v>
      </c>
      <c r="N2992" s="128">
        <v>52166</v>
      </c>
      <c r="O2992" s="128">
        <f t="shared" si="119"/>
        <v>3860284</v>
      </c>
      <c r="P2992" s="125" t="s">
        <v>2190</v>
      </c>
      <c r="Q2992" s="85" t="s">
        <v>47</v>
      </c>
      <c r="R2992" s="214" t="s">
        <v>1869</v>
      </c>
      <c r="S2992" s="214" t="s">
        <v>1861</v>
      </c>
      <c r="T2992" s="85" t="s">
        <v>4005</v>
      </c>
      <c r="U2992" s="422" t="s">
        <v>1953</v>
      </c>
      <c r="V2992" s="422" t="s">
        <v>2813</v>
      </c>
    </row>
    <row r="2993" spans="1:22" ht="15.75" thickBot="1" x14ac:dyDescent="0.3">
      <c r="A2993" t="s">
        <v>1910</v>
      </c>
      <c r="B2993" t="s">
        <v>1910</v>
      </c>
      <c r="C2993" s="82" t="s">
        <v>1910</v>
      </c>
      <c r="D2993" s="83" t="s">
        <v>629</v>
      </c>
      <c r="E2993" s="251" t="s">
        <v>1951</v>
      </c>
      <c r="F2993" s="124" t="s">
        <v>620</v>
      </c>
      <c r="G2993" s="130">
        <v>2007</v>
      </c>
      <c r="H2993" s="125" t="s">
        <v>731</v>
      </c>
      <c r="I2993" s="311" t="str">
        <f t="shared" si="120"/>
        <v>Pesado de Passageiros M3: I : Gasóleo : E4</v>
      </c>
      <c r="J2993" s="125">
        <v>59</v>
      </c>
      <c r="K2993" s="253">
        <v>2022</v>
      </c>
      <c r="L2993" s="129">
        <v>36061.4473</v>
      </c>
      <c r="M2993" s="85" t="s">
        <v>630</v>
      </c>
      <c r="N2993" s="128">
        <v>87337</v>
      </c>
      <c r="O2993" s="128">
        <f t="shared" ref="O2993:O3056" si="121">N2993*J2993</f>
        <v>5152883</v>
      </c>
      <c r="P2993" s="125" t="s">
        <v>2033</v>
      </c>
      <c r="Q2993" s="85" t="s">
        <v>47</v>
      </c>
      <c r="R2993" s="214" t="s">
        <v>1869</v>
      </c>
      <c r="S2993" s="214" t="s">
        <v>1861</v>
      </c>
      <c r="T2993" s="85" t="s">
        <v>4006</v>
      </c>
      <c r="U2993" s="422" t="s">
        <v>1953</v>
      </c>
      <c r="V2993" s="422" t="s">
        <v>2813</v>
      </c>
    </row>
    <row r="2994" spans="1:22" ht="15.75" thickBot="1" x14ac:dyDescent="0.3">
      <c r="A2994" t="s">
        <v>1910</v>
      </c>
      <c r="B2994" t="s">
        <v>1910</v>
      </c>
      <c r="C2994" s="82" t="s">
        <v>1910</v>
      </c>
      <c r="D2994" s="83" t="s">
        <v>629</v>
      </c>
      <c r="E2994" s="251" t="s">
        <v>1951</v>
      </c>
      <c r="F2994" s="124" t="s">
        <v>620</v>
      </c>
      <c r="G2994" s="130"/>
      <c r="H2994" s="125" t="s">
        <v>731</v>
      </c>
      <c r="I2994" s="311" t="str">
        <f t="shared" si="120"/>
        <v>Pesado de Passageiros M3: I : Gasóleo : E4</v>
      </c>
      <c r="J2994" s="125"/>
      <c r="K2994" s="253">
        <v>2022</v>
      </c>
      <c r="L2994" s="85">
        <v>14750.73</v>
      </c>
      <c r="M2994" s="85" t="s">
        <v>630</v>
      </c>
      <c r="N2994" s="128">
        <v>28923</v>
      </c>
      <c r="O2994" s="128">
        <f t="shared" si="121"/>
        <v>0</v>
      </c>
      <c r="P2994" s="125" t="s">
        <v>3340</v>
      </c>
      <c r="Q2994" s="85" t="s">
        <v>47</v>
      </c>
      <c r="R2994" s="214" t="s">
        <v>1869</v>
      </c>
      <c r="S2994" s="214" t="s">
        <v>1861</v>
      </c>
      <c r="T2994" s="85" t="s">
        <v>3450</v>
      </c>
      <c r="U2994" s="422" t="s">
        <v>1953</v>
      </c>
      <c r="V2994" s="422" t="s">
        <v>2813</v>
      </c>
    </row>
    <row r="2995" spans="1:22" ht="15.75" thickBot="1" x14ac:dyDescent="0.3">
      <c r="A2995" t="s">
        <v>1910</v>
      </c>
      <c r="B2995" t="s">
        <v>1910</v>
      </c>
      <c r="C2995" s="82" t="s">
        <v>1910</v>
      </c>
      <c r="D2995" s="83" t="s">
        <v>629</v>
      </c>
      <c r="E2995" s="251" t="s">
        <v>1951</v>
      </c>
      <c r="F2995" s="124" t="s">
        <v>620</v>
      </c>
      <c r="G2995" s="130"/>
      <c r="H2995" s="125" t="s">
        <v>731</v>
      </c>
      <c r="I2995" s="311" t="str">
        <f t="shared" si="120"/>
        <v>Pesado de Passageiros M3: I : Gasóleo : E4</v>
      </c>
      <c r="J2995" s="125"/>
      <c r="K2995" s="253">
        <v>2022</v>
      </c>
      <c r="L2995" s="85">
        <v>15778.38</v>
      </c>
      <c r="M2995" s="85" t="s">
        <v>630</v>
      </c>
      <c r="N2995" s="128">
        <v>30938</v>
      </c>
      <c r="O2995" s="128">
        <f t="shared" si="121"/>
        <v>0</v>
      </c>
      <c r="P2995" s="125" t="s">
        <v>3349</v>
      </c>
      <c r="Q2995" s="85" t="s">
        <v>47</v>
      </c>
      <c r="R2995" s="214" t="s">
        <v>1869</v>
      </c>
      <c r="S2995" s="214" t="s">
        <v>1861</v>
      </c>
      <c r="T2995" s="85" t="s">
        <v>4007</v>
      </c>
      <c r="U2995" s="422" t="s">
        <v>1953</v>
      </c>
      <c r="V2995" s="422" t="s">
        <v>2813</v>
      </c>
    </row>
    <row r="2996" spans="1:22" ht="15.75" thickBot="1" x14ac:dyDescent="0.3">
      <c r="A2996" t="s">
        <v>1910</v>
      </c>
      <c r="B2996" t="s">
        <v>1910</v>
      </c>
      <c r="C2996" s="82" t="s">
        <v>1910</v>
      </c>
      <c r="D2996" s="83" t="s">
        <v>629</v>
      </c>
      <c r="E2996" s="251" t="s">
        <v>1951</v>
      </c>
      <c r="F2996" s="124" t="s">
        <v>620</v>
      </c>
      <c r="G2996" s="130"/>
      <c r="H2996" s="125" t="s">
        <v>732</v>
      </c>
      <c r="I2996" s="311" t="str">
        <f t="shared" si="120"/>
        <v>Pesado de Passageiros M3: I : Gasóleo : E3</v>
      </c>
      <c r="J2996" s="125"/>
      <c r="K2996" s="253">
        <v>2022</v>
      </c>
      <c r="L2996" s="242">
        <v>14946.31</v>
      </c>
      <c r="M2996" s="85" t="s">
        <v>630</v>
      </c>
      <c r="N2996" s="128">
        <v>29108</v>
      </c>
      <c r="O2996" s="128">
        <f t="shared" si="121"/>
        <v>0</v>
      </c>
      <c r="P2996" s="125" t="s">
        <v>3320</v>
      </c>
      <c r="Q2996" s="85" t="s">
        <v>47</v>
      </c>
      <c r="R2996" s="214" t="s">
        <v>1869</v>
      </c>
      <c r="S2996" s="214" t="s">
        <v>1861</v>
      </c>
      <c r="T2996" s="85" t="s">
        <v>3440</v>
      </c>
      <c r="U2996" s="422" t="s">
        <v>1953</v>
      </c>
      <c r="V2996" s="422" t="s">
        <v>2813</v>
      </c>
    </row>
    <row r="2997" spans="1:22" ht="15.75" thickBot="1" x14ac:dyDescent="0.3">
      <c r="A2997" t="s">
        <v>1910</v>
      </c>
      <c r="B2997" t="s">
        <v>1910</v>
      </c>
      <c r="C2997" s="82" t="s">
        <v>1910</v>
      </c>
      <c r="D2997" s="83" t="s">
        <v>629</v>
      </c>
      <c r="E2997" s="251" t="s">
        <v>1951</v>
      </c>
      <c r="F2997" s="124" t="s">
        <v>620</v>
      </c>
      <c r="G2997" s="130">
        <v>1997</v>
      </c>
      <c r="H2997" s="125" t="s">
        <v>735</v>
      </c>
      <c r="I2997" s="311" t="str">
        <f t="shared" si="120"/>
        <v>Pesado de Passageiros M3: I : Gasóleo : E2</v>
      </c>
      <c r="J2997" s="125">
        <v>84</v>
      </c>
      <c r="K2997" s="253">
        <v>2022</v>
      </c>
      <c r="L2997" s="129">
        <v>8003.94</v>
      </c>
      <c r="M2997" s="85" t="s">
        <v>630</v>
      </c>
      <c r="N2997" s="128">
        <v>15694</v>
      </c>
      <c r="O2997" s="128">
        <f t="shared" si="121"/>
        <v>1318296</v>
      </c>
      <c r="P2997" s="125" t="s">
        <v>1995</v>
      </c>
      <c r="Q2997" s="85" t="s">
        <v>47</v>
      </c>
      <c r="R2997" s="214" t="s">
        <v>1869</v>
      </c>
      <c r="S2997" s="214" t="s">
        <v>1861</v>
      </c>
      <c r="T2997" s="85" t="s">
        <v>4008</v>
      </c>
      <c r="U2997" s="422" t="s">
        <v>1953</v>
      </c>
      <c r="V2997" s="422" t="s">
        <v>2813</v>
      </c>
    </row>
    <row r="2998" spans="1:22" ht="15.75" thickBot="1" x14ac:dyDescent="0.3">
      <c r="A2998" t="s">
        <v>1910</v>
      </c>
      <c r="B2998" t="s">
        <v>1910</v>
      </c>
      <c r="C2998" s="82" t="s">
        <v>1910</v>
      </c>
      <c r="D2998" s="83" t="s">
        <v>629</v>
      </c>
      <c r="E2998" s="251" t="s">
        <v>1951</v>
      </c>
      <c r="F2998" s="124" t="s">
        <v>620</v>
      </c>
      <c r="G2998" s="130">
        <v>1997</v>
      </c>
      <c r="H2998" s="125" t="s">
        <v>735</v>
      </c>
      <c r="I2998" s="311" t="str">
        <f t="shared" ref="I2998:I3061" si="122">D2998&amp;": "&amp;E2998&amp;" : "&amp;F2998&amp;" : "&amp;H2998</f>
        <v>Pesado de Passageiros M3: I : Gasóleo : E2</v>
      </c>
      <c r="J2998" s="125">
        <v>84</v>
      </c>
      <c r="K2998" s="253">
        <v>2022</v>
      </c>
      <c r="L2998" s="129">
        <v>14611.301100000001</v>
      </c>
      <c r="M2998" s="85" t="s">
        <v>630</v>
      </c>
      <c r="N2998" s="128">
        <v>28939</v>
      </c>
      <c r="O2998" s="128">
        <f t="shared" si="121"/>
        <v>2430876</v>
      </c>
      <c r="P2998" s="125" t="s">
        <v>1991</v>
      </c>
      <c r="Q2998" s="85" t="s">
        <v>47</v>
      </c>
      <c r="R2998" s="214" t="s">
        <v>1869</v>
      </c>
      <c r="S2998" s="214" t="s">
        <v>1861</v>
      </c>
      <c r="T2998" s="85" t="s">
        <v>4009</v>
      </c>
      <c r="U2998" s="422" t="s">
        <v>1953</v>
      </c>
      <c r="V2998" s="422" t="s">
        <v>2813</v>
      </c>
    </row>
    <row r="2999" spans="1:22" ht="15.75" thickBot="1" x14ac:dyDescent="0.3">
      <c r="A2999" t="s">
        <v>1910</v>
      </c>
      <c r="B2999" t="s">
        <v>1910</v>
      </c>
      <c r="C2999" s="82" t="s">
        <v>1910</v>
      </c>
      <c r="D2999" s="83" t="s">
        <v>629</v>
      </c>
      <c r="E2999" s="251" t="s">
        <v>1951</v>
      </c>
      <c r="F2999" s="124" t="s">
        <v>620</v>
      </c>
      <c r="G2999" s="130">
        <v>2014</v>
      </c>
      <c r="H2999" s="125" t="s">
        <v>733</v>
      </c>
      <c r="I2999" s="311" t="str">
        <f t="shared" si="122"/>
        <v>Pesado de Passageiros M3: I : Gasóleo : E6</v>
      </c>
      <c r="J2999" s="125">
        <v>96</v>
      </c>
      <c r="K2999" s="253">
        <v>2022</v>
      </c>
      <c r="L2999" s="129">
        <v>33675.333600000005</v>
      </c>
      <c r="M2999" s="85" t="s">
        <v>630</v>
      </c>
      <c r="N2999" s="128">
        <v>70806</v>
      </c>
      <c r="O2999" s="128">
        <f t="shared" si="121"/>
        <v>6797376</v>
      </c>
      <c r="P2999" s="125" t="s">
        <v>2038</v>
      </c>
      <c r="Q2999" s="85" t="s">
        <v>47</v>
      </c>
      <c r="R2999" s="214" t="s">
        <v>1869</v>
      </c>
      <c r="S2999" s="214" t="s">
        <v>1861</v>
      </c>
      <c r="T2999" s="85" t="s">
        <v>4010</v>
      </c>
      <c r="U2999" s="422" t="s">
        <v>1953</v>
      </c>
      <c r="V2999" s="422" t="s">
        <v>2813</v>
      </c>
    </row>
    <row r="3000" spans="1:22" ht="15.75" thickBot="1" x14ac:dyDescent="0.3">
      <c r="A3000" t="s">
        <v>1910</v>
      </c>
      <c r="B3000" t="s">
        <v>1910</v>
      </c>
      <c r="C3000" s="82" t="s">
        <v>1910</v>
      </c>
      <c r="D3000" s="83" t="s">
        <v>629</v>
      </c>
      <c r="E3000" s="251" t="s">
        <v>1951</v>
      </c>
      <c r="F3000" s="124" t="s">
        <v>620</v>
      </c>
      <c r="G3000" s="130"/>
      <c r="H3000" s="125" t="s">
        <v>731</v>
      </c>
      <c r="I3000" s="311" t="str">
        <f t="shared" si="122"/>
        <v>Pesado de Passageiros M3: I : Gasóleo : E4</v>
      </c>
      <c r="J3000" s="125"/>
      <c r="K3000" s="253">
        <v>2022</v>
      </c>
      <c r="L3000" s="85">
        <v>3125.5702999999999</v>
      </c>
      <c r="M3000" s="85" t="s">
        <v>630</v>
      </c>
      <c r="N3000" s="128">
        <v>4541</v>
      </c>
      <c r="O3000" s="128">
        <f t="shared" si="121"/>
        <v>0</v>
      </c>
      <c r="P3000" s="125" t="s">
        <v>2070</v>
      </c>
      <c r="Q3000" s="85" t="s">
        <v>47</v>
      </c>
      <c r="R3000" s="214" t="s">
        <v>1869</v>
      </c>
      <c r="S3000" s="214" t="s">
        <v>1861</v>
      </c>
      <c r="T3000" s="85" t="s">
        <v>3426</v>
      </c>
      <c r="U3000" s="422" t="s">
        <v>1953</v>
      </c>
      <c r="V3000" s="422" t="s">
        <v>2813</v>
      </c>
    </row>
    <row r="3001" spans="1:22" ht="15.75" thickBot="1" x14ac:dyDescent="0.3">
      <c r="A3001" t="s">
        <v>1910</v>
      </c>
      <c r="B3001" t="s">
        <v>1910</v>
      </c>
      <c r="C3001" s="82" t="s">
        <v>1910</v>
      </c>
      <c r="D3001" s="83" t="s">
        <v>629</v>
      </c>
      <c r="E3001" s="251" t="s">
        <v>1951</v>
      </c>
      <c r="F3001" s="124" t="s">
        <v>620</v>
      </c>
      <c r="G3001" s="130">
        <v>2011</v>
      </c>
      <c r="H3001" s="125" t="s">
        <v>734</v>
      </c>
      <c r="I3001" s="311" t="str">
        <f t="shared" si="122"/>
        <v>Pesado de Passageiros M3: I : Gasóleo : E5</v>
      </c>
      <c r="J3001" s="125">
        <v>147</v>
      </c>
      <c r="K3001" s="253">
        <v>2022</v>
      </c>
      <c r="L3001" s="381">
        <v>26844.429700000001</v>
      </c>
      <c r="M3001" s="85" t="s">
        <v>630</v>
      </c>
      <c r="N3001" s="128">
        <v>37962</v>
      </c>
      <c r="O3001" s="128">
        <f t="shared" si="121"/>
        <v>5580414</v>
      </c>
      <c r="P3001" s="125" t="s">
        <v>2070</v>
      </c>
      <c r="Q3001" s="85" t="s">
        <v>47</v>
      </c>
      <c r="R3001" s="214" t="s">
        <v>1869</v>
      </c>
      <c r="S3001" s="214" t="s">
        <v>1861</v>
      </c>
      <c r="T3001" s="85" t="s">
        <v>3426</v>
      </c>
      <c r="U3001" s="422" t="s">
        <v>1953</v>
      </c>
      <c r="V3001" s="422" t="s">
        <v>2813</v>
      </c>
    </row>
    <row r="3002" spans="1:22" ht="15.75" thickBot="1" x14ac:dyDescent="0.3">
      <c r="A3002" t="s">
        <v>1910</v>
      </c>
      <c r="B3002" t="s">
        <v>1910</v>
      </c>
      <c r="C3002" s="82" t="s">
        <v>1910</v>
      </c>
      <c r="D3002" s="83" t="s">
        <v>629</v>
      </c>
      <c r="E3002" s="251" t="s">
        <v>1951</v>
      </c>
      <c r="F3002" s="124" t="s">
        <v>620</v>
      </c>
      <c r="G3002" s="130">
        <v>2006</v>
      </c>
      <c r="H3002" s="125" t="s">
        <v>732</v>
      </c>
      <c r="I3002" s="311" t="str">
        <f t="shared" si="122"/>
        <v>Pesado de Passageiros M3: I : Gasóleo : E3</v>
      </c>
      <c r="J3002" s="125">
        <v>27</v>
      </c>
      <c r="K3002" s="253">
        <v>2022</v>
      </c>
      <c r="L3002" s="129">
        <v>9005.4071999999996</v>
      </c>
      <c r="M3002" s="85" t="s">
        <v>630</v>
      </c>
      <c r="N3002" s="128">
        <v>43886</v>
      </c>
      <c r="O3002" s="128">
        <f t="shared" si="121"/>
        <v>1184922</v>
      </c>
      <c r="P3002" s="125" t="s">
        <v>1963</v>
      </c>
      <c r="Q3002" s="85" t="s">
        <v>47</v>
      </c>
      <c r="R3002" s="214" t="s">
        <v>1869</v>
      </c>
      <c r="S3002" s="214" t="s">
        <v>1861</v>
      </c>
      <c r="T3002" s="85" t="s">
        <v>4011</v>
      </c>
      <c r="U3002" s="422" t="s">
        <v>1953</v>
      </c>
      <c r="V3002" s="422" t="s">
        <v>2813</v>
      </c>
    </row>
    <row r="3003" spans="1:22" ht="15.75" thickBot="1" x14ac:dyDescent="0.3">
      <c r="A3003" t="s">
        <v>1910</v>
      </c>
      <c r="B3003" t="s">
        <v>1910</v>
      </c>
      <c r="C3003" s="82" t="s">
        <v>1910</v>
      </c>
      <c r="D3003" s="83" t="s">
        <v>629</v>
      </c>
      <c r="E3003" s="251" t="s">
        <v>1951</v>
      </c>
      <c r="F3003" s="124" t="s">
        <v>620</v>
      </c>
      <c r="G3003" s="130">
        <v>2009</v>
      </c>
      <c r="H3003" s="125" t="s">
        <v>731</v>
      </c>
      <c r="I3003" s="311" t="str">
        <f t="shared" si="122"/>
        <v>Pesado de Passageiros M3: I : Gasóleo : E4</v>
      </c>
      <c r="J3003" s="125">
        <v>21</v>
      </c>
      <c r="K3003" s="253">
        <v>2022</v>
      </c>
      <c r="L3003" s="129">
        <v>13114.256400000002</v>
      </c>
      <c r="M3003" s="85" t="s">
        <v>630</v>
      </c>
      <c r="N3003" s="128">
        <v>58914</v>
      </c>
      <c r="O3003" s="128">
        <f t="shared" si="121"/>
        <v>1237194</v>
      </c>
      <c r="P3003" s="125" t="s">
        <v>1969</v>
      </c>
      <c r="Q3003" s="85" t="s">
        <v>47</v>
      </c>
      <c r="R3003" s="214" t="s">
        <v>1869</v>
      </c>
      <c r="S3003" s="214" t="s">
        <v>1861</v>
      </c>
      <c r="T3003" s="85" t="s">
        <v>4012</v>
      </c>
      <c r="U3003" s="422" t="s">
        <v>1953</v>
      </c>
      <c r="V3003" s="422" t="s">
        <v>2813</v>
      </c>
    </row>
    <row r="3004" spans="1:22" ht="15.75" thickBot="1" x14ac:dyDescent="0.3">
      <c r="A3004" t="s">
        <v>1910</v>
      </c>
      <c r="B3004" t="s">
        <v>1910</v>
      </c>
      <c r="C3004" s="82" t="s">
        <v>1910</v>
      </c>
      <c r="D3004" s="83" t="s">
        <v>629</v>
      </c>
      <c r="E3004" s="251" t="s">
        <v>1951</v>
      </c>
      <c r="F3004" s="124" t="s">
        <v>620</v>
      </c>
      <c r="G3004" s="130"/>
      <c r="H3004" s="125" t="s">
        <v>732</v>
      </c>
      <c r="I3004" s="311" t="str">
        <f t="shared" si="122"/>
        <v>Pesado de Passageiros M3: I : Gasóleo : E3</v>
      </c>
      <c r="J3004" s="125"/>
      <c r="K3004" s="253">
        <v>2022</v>
      </c>
      <c r="L3004" s="85">
        <v>18836.580000000002</v>
      </c>
      <c r="M3004" s="85" t="s">
        <v>630</v>
      </c>
      <c r="N3004" s="128">
        <v>38442</v>
      </c>
      <c r="O3004" s="128">
        <f t="shared" si="121"/>
        <v>0</v>
      </c>
      <c r="P3004" s="125" t="s">
        <v>3365</v>
      </c>
      <c r="Q3004" s="85" t="s">
        <v>47</v>
      </c>
      <c r="R3004" s="214" t="s">
        <v>1869</v>
      </c>
      <c r="S3004" s="214" t="s">
        <v>1861</v>
      </c>
      <c r="T3004" s="85" t="s">
        <v>4013</v>
      </c>
      <c r="U3004" s="422" t="s">
        <v>1953</v>
      </c>
      <c r="V3004" s="422" t="s">
        <v>2813</v>
      </c>
    </row>
    <row r="3005" spans="1:22" ht="15.75" thickBot="1" x14ac:dyDescent="0.3">
      <c r="A3005" t="s">
        <v>1910</v>
      </c>
      <c r="B3005" t="s">
        <v>1910</v>
      </c>
      <c r="C3005" s="82" t="s">
        <v>1910</v>
      </c>
      <c r="D3005" s="83" t="s">
        <v>629</v>
      </c>
      <c r="E3005" s="251" t="s">
        <v>1951</v>
      </c>
      <c r="F3005" s="124" t="s">
        <v>620</v>
      </c>
      <c r="G3005" s="130">
        <v>2002</v>
      </c>
      <c r="H3005" s="125" t="s">
        <v>732</v>
      </c>
      <c r="I3005" s="311" t="str">
        <f t="shared" si="122"/>
        <v>Pesado de Passageiros M3: I : Gasóleo : E3</v>
      </c>
      <c r="J3005" s="125">
        <v>64</v>
      </c>
      <c r="K3005" s="253">
        <v>2022</v>
      </c>
      <c r="L3005" s="129">
        <v>25405.160400000001</v>
      </c>
      <c r="M3005" s="85" t="s">
        <v>630</v>
      </c>
      <c r="N3005" s="128">
        <v>49436</v>
      </c>
      <c r="O3005" s="128">
        <f t="shared" si="121"/>
        <v>3163904</v>
      </c>
      <c r="P3005" s="125" t="s">
        <v>2172</v>
      </c>
      <c r="Q3005" s="85" t="s">
        <v>47</v>
      </c>
      <c r="R3005" s="214" t="s">
        <v>1869</v>
      </c>
      <c r="S3005" s="214" t="s">
        <v>1861</v>
      </c>
      <c r="T3005" s="85" t="s">
        <v>4014</v>
      </c>
      <c r="U3005" s="422" t="s">
        <v>1953</v>
      </c>
      <c r="V3005" s="422" t="s">
        <v>2813</v>
      </c>
    </row>
    <row r="3006" spans="1:22" ht="15.75" thickBot="1" x14ac:dyDescent="0.3">
      <c r="A3006" t="s">
        <v>1910</v>
      </c>
      <c r="B3006" t="s">
        <v>1910</v>
      </c>
      <c r="C3006" s="82" t="s">
        <v>1910</v>
      </c>
      <c r="D3006" s="83" t="s">
        <v>629</v>
      </c>
      <c r="E3006" s="251" t="s">
        <v>1951</v>
      </c>
      <c r="F3006" s="124" t="s">
        <v>620</v>
      </c>
      <c r="G3006" s="130">
        <v>2004</v>
      </c>
      <c r="H3006" s="125" t="s">
        <v>732</v>
      </c>
      <c r="I3006" s="311" t="str">
        <f t="shared" si="122"/>
        <v>Pesado de Passageiros M3: I : Gasóleo : E3</v>
      </c>
      <c r="J3006" s="125">
        <v>74</v>
      </c>
      <c r="K3006" s="253">
        <v>2022</v>
      </c>
      <c r="L3006" s="129">
        <v>25667.5288</v>
      </c>
      <c r="M3006" s="85" t="s">
        <v>630</v>
      </c>
      <c r="N3006" s="128">
        <v>49724</v>
      </c>
      <c r="O3006" s="128">
        <f t="shared" si="121"/>
        <v>3679576</v>
      </c>
      <c r="P3006" s="125" t="s">
        <v>2094</v>
      </c>
      <c r="Q3006" s="85" t="s">
        <v>47</v>
      </c>
      <c r="R3006" s="214" t="s">
        <v>1869</v>
      </c>
      <c r="S3006" s="214" t="s">
        <v>1861</v>
      </c>
      <c r="T3006" s="85" t="s">
        <v>4015</v>
      </c>
      <c r="U3006" s="422" t="s">
        <v>1953</v>
      </c>
      <c r="V3006" s="422" t="s">
        <v>2813</v>
      </c>
    </row>
    <row r="3007" spans="1:22" ht="15.75" thickBot="1" x14ac:dyDescent="0.3">
      <c r="A3007" t="s">
        <v>1910</v>
      </c>
      <c r="B3007" t="s">
        <v>1910</v>
      </c>
      <c r="C3007" s="82" t="s">
        <v>1910</v>
      </c>
      <c r="D3007" s="83" t="s">
        <v>629</v>
      </c>
      <c r="E3007" s="251" t="s">
        <v>1951</v>
      </c>
      <c r="F3007" s="124" t="s">
        <v>620</v>
      </c>
      <c r="G3007" s="130">
        <v>2004</v>
      </c>
      <c r="H3007" s="125" t="s">
        <v>732</v>
      </c>
      <c r="I3007" s="311" t="str">
        <f t="shared" si="122"/>
        <v>Pesado de Passageiros M3: I : Gasóleo : E3</v>
      </c>
      <c r="J3007" s="125">
        <v>74</v>
      </c>
      <c r="K3007" s="253">
        <v>2022</v>
      </c>
      <c r="L3007" s="129">
        <v>17878.518</v>
      </c>
      <c r="M3007" s="85" t="s">
        <v>630</v>
      </c>
      <c r="N3007" s="128">
        <v>36228</v>
      </c>
      <c r="O3007" s="128">
        <f t="shared" si="121"/>
        <v>2680872</v>
      </c>
      <c r="P3007" s="125" t="s">
        <v>2093</v>
      </c>
      <c r="Q3007" s="85" t="s">
        <v>47</v>
      </c>
      <c r="R3007" s="214" t="s">
        <v>1869</v>
      </c>
      <c r="S3007" s="214" t="s">
        <v>1861</v>
      </c>
      <c r="T3007" s="85" t="s">
        <v>4016</v>
      </c>
      <c r="U3007" s="422" t="s">
        <v>1953</v>
      </c>
      <c r="V3007" s="422" t="s">
        <v>2813</v>
      </c>
    </row>
    <row r="3008" spans="1:22" ht="15.75" thickBot="1" x14ac:dyDescent="0.3">
      <c r="A3008" t="s">
        <v>1910</v>
      </c>
      <c r="B3008" t="s">
        <v>1910</v>
      </c>
      <c r="C3008" s="82" t="s">
        <v>1910</v>
      </c>
      <c r="D3008" s="83" t="s">
        <v>629</v>
      </c>
      <c r="E3008" s="251" t="s">
        <v>1951</v>
      </c>
      <c r="F3008" s="124" t="s">
        <v>620</v>
      </c>
      <c r="G3008" s="130">
        <v>2011</v>
      </c>
      <c r="H3008" s="125" t="s">
        <v>734</v>
      </c>
      <c r="I3008" s="311" t="str">
        <f t="shared" si="122"/>
        <v>Pesado de Passageiros M3: I : Gasóleo : E5</v>
      </c>
      <c r="J3008" s="125">
        <v>144</v>
      </c>
      <c r="K3008" s="253">
        <v>2022</v>
      </c>
      <c r="L3008" s="129">
        <v>43312.354799999994</v>
      </c>
      <c r="M3008" s="85" t="s">
        <v>630</v>
      </c>
      <c r="N3008" s="128">
        <v>66902</v>
      </c>
      <c r="O3008" s="128">
        <f t="shared" si="121"/>
        <v>9633888</v>
      </c>
      <c r="P3008" s="125" t="s">
        <v>2067</v>
      </c>
      <c r="Q3008" s="85" t="s">
        <v>47</v>
      </c>
      <c r="R3008" s="214" t="s">
        <v>1869</v>
      </c>
      <c r="S3008" s="214" t="s">
        <v>1861</v>
      </c>
      <c r="T3008" s="85" t="s">
        <v>4017</v>
      </c>
      <c r="U3008" s="422" t="s">
        <v>1953</v>
      </c>
      <c r="V3008" s="422" t="s">
        <v>2813</v>
      </c>
    </row>
    <row r="3009" spans="1:22" ht="15.75" thickBot="1" x14ac:dyDescent="0.3">
      <c r="A3009" t="s">
        <v>1910</v>
      </c>
      <c r="B3009" t="s">
        <v>1910</v>
      </c>
      <c r="C3009" s="82" t="s">
        <v>1910</v>
      </c>
      <c r="D3009" s="83" t="s">
        <v>629</v>
      </c>
      <c r="E3009" s="251" t="s">
        <v>1951</v>
      </c>
      <c r="F3009" s="124" t="s">
        <v>620</v>
      </c>
      <c r="G3009" s="130"/>
      <c r="H3009" s="125" t="s">
        <v>731</v>
      </c>
      <c r="I3009" s="311" t="str">
        <f t="shared" si="122"/>
        <v>Pesado de Passageiros M3: I : Gasóleo : E4</v>
      </c>
      <c r="J3009" s="125"/>
      <c r="K3009" s="253">
        <v>2022</v>
      </c>
      <c r="L3009" s="242">
        <v>7812.23</v>
      </c>
      <c r="M3009" s="85" t="s">
        <v>630</v>
      </c>
      <c r="N3009" s="128">
        <v>15317</v>
      </c>
      <c r="O3009" s="128">
        <f t="shared" si="121"/>
        <v>0</v>
      </c>
      <c r="P3009" s="125" t="s">
        <v>3305</v>
      </c>
      <c r="Q3009" s="85" t="s">
        <v>47</v>
      </c>
      <c r="R3009" s="214" t="s">
        <v>1869</v>
      </c>
      <c r="S3009" s="214" t="s">
        <v>1861</v>
      </c>
      <c r="T3009" s="85" t="s">
        <v>4018</v>
      </c>
      <c r="U3009" s="422" t="s">
        <v>1953</v>
      </c>
      <c r="V3009" s="422" t="s">
        <v>2813</v>
      </c>
    </row>
    <row r="3010" spans="1:22" ht="15.75" thickBot="1" x14ac:dyDescent="0.3">
      <c r="A3010" t="s">
        <v>1910</v>
      </c>
      <c r="B3010" t="s">
        <v>1910</v>
      </c>
      <c r="C3010" s="82" t="s">
        <v>1910</v>
      </c>
      <c r="D3010" s="83" t="s">
        <v>629</v>
      </c>
      <c r="E3010" s="251" t="s">
        <v>1951</v>
      </c>
      <c r="F3010" s="124" t="s">
        <v>620</v>
      </c>
      <c r="G3010" s="130">
        <v>2009</v>
      </c>
      <c r="H3010" s="125" t="s">
        <v>734</v>
      </c>
      <c r="I3010" s="311" t="str">
        <f t="shared" si="122"/>
        <v>Pesado de Passageiros M3: I : Gasóleo : E5</v>
      </c>
      <c r="J3010" s="125">
        <v>97</v>
      </c>
      <c r="K3010" s="253">
        <v>2022</v>
      </c>
      <c r="L3010" s="129">
        <v>26511.298999999999</v>
      </c>
      <c r="M3010" s="85" t="s">
        <v>630</v>
      </c>
      <c r="N3010" s="128">
        <v>64426</v>
      </c>
      <c r="O3010" s="128">
        <f t="shared" si="121"/>
        <v>6249322</v>
      </c>
      <c r="P3010" s="125" t="s">
        <v>2118</v>
      </c>
      <c r="Q3010" s="85" t="s">
        <v>47</v>
      </c>
      <c r="R3010" s="214" t="s">
        <v>1869</v>
      </c>
      <c r="S3010" s="214" t="s">
        <v>1861</v>
      </c>
      <c r="T3010" s="85" t="s">
        <v>4019</v>
      </c>
      <c r="U3010" s="422" t="s">
        <v>1953</v>
      </c>
      <c r="V3010" s="422" t="s">
        <v>2813</v>
      </c>
    </row>
    <row r="3011" spans="1:22" ht="15.75" thickBot="1" x14ac:dyDescent="0.3">
      <c r="A3011" t="s">
        <v>1910</v>
      </c>
      <c r="B3011" t="s">
        <v>1910</v>
      </c>
      <c r="C3011" s="82" t="s">
        <v>1910</v>
      </c>
      <c r="D3011" s="83" t="s">
        <v>629</v>
      </c>
      <c r="E3011" s="251" t="s">
        <v>1951</v>
      </c>
      <c r="F3011" s="124" t="s">
        <v>620</v>
      </c>
      <c r="G3011" s="130">
        <v>2013</v>
      </c>
      <c r="H3011" s="125" t="s">
        <v>733</v>
      </c>
      <c r="I3011" s="311" t="str">
        <f t="shared" si="122"/>
        <v>Pesado de Passageiros M3: I : Gasóleo : E6</v>
      </c>
      <c r="J3011" s="125">
        <v>72</v>
      </c>
      <c r="K3011" s="253">
        <v>2022</v>
      </c>
      <c r="L3011" s="129">
        <v>26279.45</v>
      </c>
      <c r="M3011" s="85" t="s">
        <v>630</v>
      </c>
      <c r="N3011" s="128">
        <v>61115</v>
      </c>
      <c r="O3011" s="128">
        <f t="shared" si="121"/>
        <v>4400280</v>
      </c>
      <c r="P3011" s="125" t="s">
        <v>2054</v>
      </c>
      <c r="Q3011" s="85" t="s">
        <v>47</v>
      </c>
      <c r="R3011" s="214" t="s">
        <v>1869</v>
      </c>
      <c r="S3011" s="214" t="s">
        <v>1861</v>
      </c>
      <c r="T3011" s="85" t="s">
        <v>4020</v>
      </c>
      <c r="U3011" s="422" t="s">
        <v>1953</v>
      </c>
      <c r="V3011" s="422" t="s">
        <v>2813</v>
      </c>
    </row>
    <row r="3012" spans="1:22" ht="15.75" thickBot="1" x14ac:dyDescent="0.3">
      <c r="A3012" t="s">
        <v>1910</v>
      </c>
      <c r="B3012" t="s">
        <v>1910</v>
      </c>
      <c r="C3012" s="82" t="s">
        <v>1910</v>
      </c>
      <c r="D3012" s="83" t="s">
        <v>629</v>
      </c>
      <c r="E3012" s="251" t="s">
        <v>1951</v>
      </c>
      <c r="F3012" s="124" t="s">
        <v>620</v>
      </c>
      <c r="G3012" s="130"/>
      <c r="H3012" s="125" t="s">
        <v>732</v>
      </c>
      <c r="I3012" s="311" t="str">
        <f t="shared" si="122"/>
        <v>Pesado de Passageiros M3: I : Gasóleo : E3</v>
      </c>
      <c r="J3012" s="125"/>
      <c r="K3012" s="253">
        <v>2022</v>
      </c>
      <c r="L3012" s="85">
        <v>2953.8</v>
      </c>
      <c r="M3012" s="85" t="s">
        <v>630</v>
      </c>
      <c r="N3012" s="128">
        <v>5470</v>
      </c>
      <c r="O3012" s="128">
        <f t="shared" si="121"/>
        <v>0</v>
      </c>
      <c r="P3012" s="125" t="s">
        <v>3325</v>
      </c>
      <c r="Q3012" s="85" t="s">
        <v>47</v>
      </c>
      <c r="R3012" s="214" t="s">
        <v>1869</v>
      </c>
      <c r="S3012" s="214" t="s">
        <v>1861</v>
      </c>
      <c r="T3012" s="85" t="s">
        <v>3444</v>
      </c>
      <c r="U3012" s="422" t="s">
        <v>1953</v>
      </c>
      <c r="V3012" s="422" t="s">
        <v>2813</v>
      </c>
    </row>
    <row r="3013" spans="1:22" ht="15.75" thickBot="1" x14ac:dyDescent="0.3">
      <c r="A3013" t="s">
        <v>1910</v>
      </c>
      <c r="B3013" t="s">
        <v>1910</v>
      </c>
      <c r="C3013" s="82" t="s">
        <v>1910</v>
      </c>
      <c r="D3013" s="83" t="s">
        <v>629</v>
      </c>
      <c r="E3013" s="251" t="s">
        <v>1951</v>
      </c>
      <c r="F3013" s="124" t="s">
        <v>620</v>
      </c>
      <c r="G3013" s="130">
        <v>2001</v>
      </c>
      <c r="H3013" s="125" t="s">
        <v>732</v>
      </c>
      <c r="I3013" s="311" t="str">
        <f t="shared" si="122"/>
        <v>Pesado de Passageiros M3: I : Gasóleo : E3</v>
      </c>
      <c r="J3013" s="125">
        <v>72</v>
      </c>
      <c r="K3013" s="253">
        <v>2022</v>
      </c>
      <c r="L3013" s="129">
        <v>30607.220400000002</v>
      </c>
      <c r="M3013" s="85" t="s">
        <v>630</v>
      </c>
      <c r="N3013" s="128">
        <v>67506</v>
      </c>
      <c r="O3013" s="128">
        <f t="shared" si="121"/>
        <v>4860432</v>
      </c>
      <c r="P3013" s="125" t="s">
        <v>2140</v>
      </c>
      <c r="Q3013" s="85" t="s">
        <v>47</v>
      </c>
      <c r="R3013" s="214" t="s">
        <v>1869</v>
      </c>
      <c r="S3013" s="214" t="s">
        <v>1861</v>
      </c>
      <c r="T3013" s="85" t="s">
        <v>4021</v>
      </c>
      <c r="U3013" s="422" t="s">
        <v>1953</v>
      </c>
      <c r="V3013" s="422" t="s">
        <v>2813</v>
      </c>
    </row>
    <row r="3014" spans="1:22" ht="15.75" thickBot="1" x14ac:dyDescent="0.3">
      <c r="A3014" t="s">
        <v>1910</v>
      </c>
      <c r="B3014" t="s">
        <v>1910</v>
      </c>
      <c r="C3014" s="82" t="s">
        <v>1910</v>
      </c>
      <c r="D3014" s="83" t="s">
        <v>629</v>
      </c>
      <c r="E3014" s="251" t="s">
        <v>1951</v>
      </c>
      <c r="F3014" s="124" t="s">
        <v>620</v>
      </c>
      <c r="G3014" s="130">
        <v>2001</v>
      </c>
      <c r="H3014" s="125" t="s">
        <v>732</v>
      </c>
      <c r="I3014" s="311" t="str">
        <f t="shared" si="122"/>
        <v>Pesado de Passageiros M3: I : Gasóleo : E3</v>
      </c>
      <c r="J3014" s="125">
        <v>72</v>
      </c>
      <c r="K3014" s="253">
        <v>2022</v>
      </c>
      <c r="L3014" s="129">
        <v>28785.760899999997</v>
      </c>
      <c r="M3014" s="85" t="s">
        <v>630</v>
      </c>
      <c r="N3014" s="128">
        <v>52847</v>
      </c>
      <c r="O3014" s="128">
        <f t="shared" si="121"/>
        <v>3804984</v>
      </c>
      <c r="P3014" s="125" t="s">
        <v>2141</v>
      </c>
      <c r="Q3014" s="85" t="s">
        <v>47</v>
      </c>
      <c r="R3014" s="214" t="s">
        <v>1869</v>
      </c>
      <c r="S3014" s="214" t="s">
        <v>1861</v>
      </c>
      <c r="T3014" s="85" t="s">
        <v>4022</v>
      </c>
      <c r="U3014" s="422" t="s">
        <v>1953</v>
      </c>
      <c r="V3014" s="422" t="s">
        <v>2813</v>
      </c>
    </row>
    <row r="3015" spans="1:22" ht="15.75" thickBot="1" x14ac:dyDescent="0.3">
      <c r="A3015" t="s">
        <v>1910</v>
      </c>
      <c r="B3015" t="s">
        <v>1910</v>
      </c>
      <c r="C3015" s="82" t="s">
        <v>1910</v>
      </c>
      <c r="D3015" s="83" t="s">
        <v>629</v>
      </c>
      <c r="E3015" s="251" t="s">
        <v>1951</v>
      </c>
      <c r="F3015" s="124" t="s">
        <v>620</v>
      </c>
      <c r="G3015" s="130">
        <v>2001</v>
      </c>
      <c r="H3015" s="125" t="s">
        <v>732</v>
      </c>
      <c r="I3015" s="311" t="str">
        <f t="shared" si="122"/>
        <v>Pesado de Passageiros M3: I : Gasóleo : E3</v>
      </c>
      <c r="J3015" s="125">
        <v>72</v>
      </c>
      <c r="K3015" s="253">
        <v>2022</v>
      </c>
      <c r="L3015" s="129">
        <v>30096.625100000001</v>
      </c>
      <c r="M3015" s="85" t="s">
        <v>630</v>
      </c>
      <c r="N3015" s="128">
        <v>64049</v>
      </c>
      <c r="O3015" s="128">
        <f t="shared" si="121"/>
        <v>4611528</v>
      </c>
      <c r="P3015" s="125" t="s">
        <v>2142</v>
      </c>
      <c r="Q3015" s="85" t="s">
        <v>47</v>
      </c>
      <c r="R3015" s="214" t="s">
        <v>1869</v>
      </c>
      <c r="S3015" s="214" t="s">
        <v>1861</v>
      </c>
      <c r="T3015" s="85" t="s">
        <v>4023</v>
      </c>
      <c r="U3015" s="422" t="s">
        <v>1953</v>
      </c>
      <c r="V3015" s="422" t="s">
        <v>2813</v>
      </c>
    </row>
    <row r="3016" spans="1:22" ht="15.75" thickBot="1" x14ac:dyDescent="0.3">
      <c r="A3016" t="s">
        <v>1910</v>
      </c>
      <c r="B3016" t="s">
        <v>1910</v>
      </c>
      <c r="C3016" s="82" t="s">
        <v>1910</v>
      </c>
      <c r="D3016" s="83" t="s">
        <v>629</v>
      </c>
      <c r="E3016" s="251" t="s">
        <v>1951</v>
      </c>
      <c r="F3016" s="124" t="s">
        <v>620</v>
      </c>
      <c r="G3016" s="130">
        <v>2001</v>
      </c>
      <c r="H3016" s="125" t="s">
        <v>732</v>
      </c>
      <c r="I3016" s="311" t="str">
        <f t="shared" si="122"/>
        <v>Pesado de Passageiros M3: I : Gasóleo : E3</v>
      </c>
      <c r="J3016" s="125">
        <v>72</v>
      </c>
      <c r="K3016" s="253">
        <v>2022</v>
      </c>
      <c r="L3016" s="129">
        <v>25074.056099999998</v>
      </c>
      <c r="M3016" s="85" t="s">
        <v>630</v>
      </c>
      <c r="N3016" s="128">
        <v>48007</v>
      </c>
      <c r="O3016" s="128">
        <f t="shared" si="121"/>
        <v>3456504</v>
      </c>
      <c r="P3016" s="125" t="s">
        <v>2143</v>
      </c>
      <c r="Q3016" s="85" t="s">
        <v>47</v>
      </c>
      <c r="R3016" s="214" t="s">
        <v>1869</v>
      </c>
      <c r="S3016" s="214" t="s">
        <v>1861</v>
      </c>
      <c r="T3016" s="85" t="s">
        <v>4024</v>
      </c>
      <c r="U3016" s="422" t="s">
        <v>1953</v>
      </c>
      <c r="V3016" s="422" t="s">
        <v>2813</v>
      </c>
    </row>
    <row r="3017" spans="1:22" ht="15.75" thickBot="1" x14ac:dyDescent="0.3">
      <c r="A3017" t="s">
        <v>1910</v>
      </c>
      <c r="B3017" t="s">
        <v>1910</v>
      </c>
      <c r="C3017" s="82" t="s">
        <v>1910</v>
      </c>
      <c r="D3017" s="83" t="s">
        <v>629</v>
      </c>
      <c r="E3017" s="251" t="s">
        <v>1951</v>
      </c>
      <c r="F3017" s="124" t="s">
        <v>620</v>
      </c>
      <c r="G3017" s="130">
        <v>2001</v>
      </c>
      <c r="H3017" s="125" t="s">
        <v>732</v>
      </c>
      <c r="I3017" s="311" t="str">
        <f t="shared" si="122"/>
        <v>Pesado de Passageiros M3: I : Gasóleo : E3</v>
      </c>
      <c r="J3017" s="125">
        <v>72</v>
      </c>
      <c r="K3017" s="253">
        <v>2022</v>
      </c>
      <c r="L3017" s="129">
        <v>25291.342800000002</v>
      </c>
      <c r="M3017" s="85" t="s">
        <v>630</v>
      </c>
      <c r="N3017" s="128">
        <v>57822</v>
      </c>
      <c r="O3017" s="128">
        <f t="shared" si="121"/>
        <v>4163184</v>
      </c>
      <c r="P3017" s="125" t="s">
        <v>2144</v>
      </c>
      <c r="Q3017" s="85" t="s">
        <v>47</v>
      </c>
      <c r="R3017" s="214" t="s">
        <v>1869</v>
      </c>
      <c r="S3017" s="214" t="s">
        <v>1861</v>
      </c>
      <c r="T3017" s="85" t="s">
        <v>4025</v>
      </c>
      <c r="U3017" s="422" t="s">
        <v>1953</v>
      </c>
      <c r="V3017" s="422" t="s">
        <v>2813</v>
      </c>
    </row>
    <row r="3018" spans="1:22" ht="15.75" thickBot="1" x14ac:dyDescent="0.3">
      <c r="A3018" t="s">
        <v>1910</v>
      </c>
      <c r="B3018" t="s">
        <v>1910</v>
      </c>
      <c r="C3018" s="82" t="s">
        <v>1910</v>
      </c>
      <c r="D3018" s="83" t="s">
        <v>629</v>
      </c>
      <c r="E3018" s="251" t="s">
        <v>1951</v>
      </c>
      <c r="F3018" s="124" t="s">
        <v>620</v>
      </c>
      <c r="G3018" s="130">
        <v>2001</v>
      </c>
      <c r="H3018" s="125" t="s">
        <v>732</v>
      </c>
      <c r="I3018" s="311" t="str">
        <f t="shared" si="122"/>
        <v>Pesado de Passageiros M3: I : Gasóleo : E3</v>
      </c>
      <c r="J3018" s="125">
        <v>72</v>
      </c>
      <c r="K3018" s="253">
        <v>2022</v>
      </c>
      <c r="L3018" s="129">
        <v>29119.152300000002</v>
      </c>
      <c r="M3018" s="85" t="s">
        <v>630</v>
      </c>
      <c r="N3018" s="128">
        <v>62367</v>
      </c>
      <c r="O3018" s="128">
        <f t="shared" si="121"/>
        <v>4490424</v>
      </c>
      <c r="P3018" s="125" t="s">
        <v>2145</v>
      </c>
      <c r="Q3018" s="85" t="s">
        <v>47</v>
      </c>
      <c r="R3018" s="214" t="s">
        <v>1869</v>
      </c>
      <c r="S3018" s="214" t="s">
        <v>1861</v>
      </c>
      <c r="T3018" s="85" t="s">
        <v>4026</v>
      </c>
      <c r="U3018" s="422" t="s">
        <v>1953</v>
      </c>
      <c r="V3018" s="422" t="s">
        <v>2813</v>
      </c>
    </row>
    <row r="3019" spans="1:22" ht="15.75" thickBot="1" x14ac:dyDescent="0.3">
      <c r="A3019" t="s">
        <v>1910</v>
      </c>
      <c r="B3019" t="s">
        <v>1910</v>
      </c>
      <c r="C3019" s="82" t="s">
        <v>1910</v>
      </c>
      <c r="D3019" s="83" t="s">
        <v>629</v>
      </c>
      <c r="E3019" s="251" t="s">
        <v>1951</v>
      </c>
      <c r="F3019" s="124" t="s">
        <v>620</v>
      </c>
      <c r="G3019" s="130"/>
      <c r="H3019" s="125" t="s">
        <v>732</v>
      </c>
      <c r="I3019" s="311" t="str">
        <f t="shared" si="122"/>
        <v>Pesado de Passageiros M3: I : Gasóleo : E3</v>
      </c>
      <c r="J3019" s="125"/>
      <c r="K3019" s="253">
        <v>2022</v>
      </c>
      <c r="L3019" s="85">
        <v>11243.4</v>
      </c>
      <c r="M3019" s="85" t="s">
        <v>630</v>
      </c>
      <c r="N3019" s="128">
        <v>32124</v>
      </c>
      <c r="O3019" s="128">
        <f t="shared" si="121"/>
        <v>0</v>
      </c>
      <c r="P3019" s="125" t="s">
        <v>3329</v>
      </c>
      <c r="Q3019" s="85" t="s">
        <v>47</v>
      </c>
      <c r="R3019" s="214" t="s">
        <v>1869</v>
      </c>
      <c r="S3019" s="214" t="s">
        <v>1861</v>
      </c>
      <c r="T3019" s="85" t="s">
        <v>4027</v>
      </c>
      <c r="U3019" s="422" t="s">
        <v>1953</v>
      </c>
      <c r="V3019" s="422" t="s">
        <v>2813</v>
      </c>
    </row>
    <row r="3020" spans="1:22" ht="15.75" thickBot="1" x14ac:dyDescent="0.3">
      <c r="A3020" t="s">
        <v>1910</v>
      </c>
      <c r="B3020" t="s">
        <v>1910</v>
      </c>
      <c r="C3020" s="82" t="s">
        <v>1910</v>
      </c>
      <c r="D3020" s="83" t="s">
        <v>629</v>
      </c>
      <c r="E3020" s="251" t="s">
        <v>1951</v>
      </c>
      <c r="F3020" s="124" t="s">
        <v>620</v>
      </c>
      <c r="G3020" s="130"/>
      <c r="H3020" s="125" t="s">
        <v>731</v>
      </c>
      <c r="I3020" s="311" t="str">
        <f t="shared" si="122"/>
        <v>Pesado de Passageiros M3: I : Gasóleo : E4</v>
      </c>
      <c r="J3020" s="125"/>
      <c r="K3020" s="253">
        <v>2022</v>
      </c>
      <c r="L3020" s="85">
        <v>4552.21</v>
      </c>
      <c r="M3020" s="85" t="s">
        <v>630</v>
      </c>
      <c r="N3020" s="128">
        <v>23959</v>
      </c>
      <c r="O3020" s="128">
        <f t="shared" si="121"/>
        <v>0</v>
      </c>
      <c r="P3020" s="125" t="s">
        <v>3295</v>
      </c>
      <c r="Q3020" s="85" t="s">
        <v>47</v>
      </c>
      <c r="R3020" s="214" t="s">
        <v>1869</v>
      </c>
      <c r="S3020" s="214" t="s">
        <v>1861</v>
      </c>
      <c r="T3020" s="85" t="s">
        <v>4028</v>
      </c>
      <c r="U3020" s="422" t="s">
        <v>1953</v>
      </c>
      <c r="V3020" s="422" t="s">
        <v>2813</v>
      </c>
    </row>
    <row r="3021" spans="1:22" ht="15.75" thickBot="1" x14ac:dyDescent="0.3">
      <c r="A3021" t="s">
        <v>1910</v>
      </c>
      <c r="B3021" t="s">
        <v>1910</v>
      </c>
      <c r="C3021" s="82" t="s">
        <v>1910</v>
      </c>
      <c r="D3021" s="83" t="s">
        <v>629</v>
      </c>
      <c r="E3021" s="251" t="s">
        <v>1951</v>
      </c>
      <c r="F3021" s="124" t="s">
        <v>620</v>
      </c>
      <c r="G3021" s="130"/>
      <c r="H3021" s="125" t="s">
        <v>731</v>
      </c>
      <c r="I3021" s="311" t="str">
        <f t="shared" si="122"/>
        <v>Pesado de Passageiros M3: I : Gasóleo : E4</v>
      </c>
      <c r="J3021" s="125"/>
      <c r="K3021" s="253">
        <v>2022</v>
      </c>
      <c r="L3021" s="242">
        <v>4346.74</v>
      </c>
      <c r="M3021" s="85" t="s">
        <v>630</v>
      </c>
      <c r="N3021" s="128">
        <v>18105</v>
      </c>
      <c r="O3021" s="128">
        <f t="shared" si="121"/>
        <v>0</v>
      </c>
      <c r="P3021" s="125" t="s">
        <v>3294</v>
      </c>
      <c r="Q3021" s="85" t="s">
        <v>47</v>
      </c>
      <c r="R3021" s="214" t="s">
        <v>1869</v>
      </c>
      <c r="S3021" s="214" t="s">
        <v>1861</v>
      </c>
      <c r="T3021" s="85" t="s">
        <v>4029</v>
      </c>
      <c r="U3021" s="422" t="s">
        <v>1953</v>
      </c>
      <c r="V3021" s="422" t="s">
        <v>2813</v>
      </c>
    </row>
    <row r="3022" spans="1:22" ht="15.75" thickBot="1" x14ac:dyDescent="0.3">
      <c r="A3022" t="s">
        <v>1910</v>
      </c>
      <c r="B3022" t="s">
        <v>1910</v>
      </c>
      <c r="C3022" s="82" t="s">
        <v>1910</v>
      </c>
      <c r="D3022" s="83" t="s">
        <v>629</v>
      </c>
      <c r="E3022" s="251" t="s">
        <v>1951</v>
      </c>
      <c r="F3022" s="124" t="s">
        <v>620</v>
      </c>
      <c r="G3022" s="130">
        <v>1997</v>
      </c>
      <c r="H3022" s="125" t="s">
        <v>735</v>
      </c>
      <c r="I3022" s="311" t="str">
        <f t="shared" si="122"/>
        <v>Pesado de Passageiros M3: I : Gasóleo : E2</v>
      </c>
      <c r="J3022" s="125">
        <v>110</v>
      </c>
      <c r="K3022" s="253">
        <v>2022</v>
      </c>
      <c r="L3022" s="129">
        <v>16458.55</v>
      </c>
      <c r="M3022" s="85" t="s">
        <v>630</v>
      </c>
      <c r="N3022" s="128">
        <v>24565</v>
      </c>
      <c r="O3022" s="128">
        <f t="shared" si="121"/>
        <v>2702150</v>
      </c>
      <c r="P3022" s="125" t="s">
        <v>2197</v>
      </c>
      <c r="Q3022" s="85" t="s">
        <v>47</v>
      </c>
      <c r="R3022" s="214" t="s">
        <v>1869</v>
      </c>
      <c r="S3022" s="214" t="s">
        <v>1861</v>
      </c>
      <c r="T3022" s="85" t="s">
        <v>4030</v>
      </c>
      <c r="U3022" s="422" t="s">
        <v>1953</v>
      </c>
      <c r="V3022" s="422" t="s">
        <v>2813</v>
      </c>
    </row>
    <row r="3023" spans="1:22" ht="15.75" thickBot="1" x14ac:dyDescent="0.3">
      <c r="A3023" t="s">
        <v>1910</v>
      </c>
      <c r="B3023" t="s">
        <v>1910</v>
      </c>
      <c r="C3023" s="82" t="s">
        <v>1910</v>
      </c>
      <c r="D3023" s="83" t="s">
        <v>629</v>
      </c>
      <c r="E3023" s="251" t="s">
        <v>1951</v>
      </c>
      <c r="F3023" s="124" t="s">
        <v>620</v>
      </c>
      <c r="G3023" s="130">
        <v>2003</v>
      </c>
      <c r="H3023" s="125" t="s">
        <v>732</v>
      </c>
      <c r="I3023" s="311" t="str">
        <f t="shared" si="122"/>
        <v>Pesado de Passageiros M3: I : Gasóleo : E3</v>
      </c>
      <c r="J3023" s="125">
        <v>73</v>
      </c>
      <c r="K3023" s="253">
        <v>2022</v>
      </c>
      <c r="L3023" s="129">
        <v>15849.947099999999</v>
      </c>
      <c r="M3023" s="85" t="s">
        <v>630</v>
      </c>
      <c r="N3023" s="128">
        <v>30711</v>
      </c>
      <c r="O3023" s="128">
        <f t="shared" si="121"/>
        <v>2241903</v>
      </c>
      <c r="P3023" s="125" t="s">
        <v>2166</v>
      </c>
      <c r="Q3023" s="85" t="s">
        <v>47</v>
      </c>
      <c r="R3023" s="214" t="s">
        <v>1869</v>
      </c>
      <c r="S3023" s="214" t="s">
        <v>1861</v>
      </c>
      <c r="T3023" s="85" t="s">
        <v>4031</v>
      </c>
      <c r="U3023" s="422" t="s">
        <v>1953</v>
      </c>
      <c r="V3023" s="422" t="s">
        <v>2813</v>
      </c>
    </row>
    <row r="3024" spans="1:22" ht="15.75" thickBot="1" x14ac:dyDescent="0.3">
      <c r="A3024" t="s">
        <v>1910</v>
      </c>
      <c r="B3024" t="s">
        <v>1910</v>
      </c>
      <c r="C3024" s="82" t="s">
        <v>1910</v>
      </c>
      <c r="D3024" s="83" t="s">
        <v>629</v>
      </c>
      <c r="E3024" s="251" t="s">
        <v>1951</v>
      </c>
      <c r="F3024" s="124" t="s">
        <v>620</v>
      </c>
      <c r="G3024" s="130"/>
      <c r="H3024" s="125" t="s">
        <v>731</v>
      </c>
      <c r="I3024" s="311" t="str">
        <f t="shared" si="122"/>
        <v>Pesado de Passageiros M3: I : Gasóleo : E4</v>
      </c>
      <c r="J3024" s="125"/>
      <c r="K3024" s="253">
        <v>2022</v>
      </c>
      <c r="L3024" s="85">
        <v>46.92</v>
      </c>
      <c r="M3024" s="85" t="s">
        <v>630</v>
      </c>
      <c r="N3024" s="128">
        <v>102</v>
      </c>
      <c r="O3024" s="128">
        <f t="shared" si="121"/>
        <v>0</v>
      </c>
      <c r="P3024" s="125" t="s">
        <v>4391</v>
      </c>
      <c r="Q3024" s="85" t="s">
        <v>47</v>
      </c>
      <c r="R3024" s="214" t="s">
        <v>1869</v>
      </c>
      <c r="S3024" s="214" t="s">
        <v>1861</v>
      </c>
      <c r="T3024" s="85" t="s">
        <v>4032</v>
      </c>
      <c r="U3024" s="422" t="s">
        <v>1953</v>
      </c>
      <c r="V3024" s="422" t="s">
        <v>2813</v>
      </c>
    </row>
    <row r="3025" spans="1:22" ht="15.75" thickBot="1" x14ac:dyDescent="0.3">
      <c r="A3025" t="s">
        <v>1910</v>
      </c>
      <c r="B3025" t="s">
        <v>1910</v>
      </c>
      <c r="C3025" s="82" t="s">
        <v>1910</v>
      </c>
      <c r="D3025" s="83" t="s">
        <v>629</v>
      </c>
      <c r="E3025" s="251" t="s">
        <v>1951</v>
      </c>
      <c r="F3025" s="124" t="s">
        <v>620</v>
      </c>
      <c r="G3025" s="130">
        <v>1996</v>
      </c>
      <c r="H3025" s="125" t="s">
        <v>736</v>
      </c>
      <c r="I3025" s="311" t="str">
        <f t="shared" si="122"/>
        <v>Pesado de Passageiros M3: I : Gasóleo : E1</v>
      </c>
      <c r="J3025" s="125">
        <v>116</v>
      </c>
      <c r="K3025" s="253">
        <v>2022</v>
      </c>
      <c r="L3025" s="129">
        <v>21879.471599999997</v>
      </c>
      <c r="M3025" s="85" t="s">
        <v>630</v>
      </c>
      <c r="N3025" s="128">
        <v>31563</v>
      </c>
      <c r="O3025" s="128">
        <f t="shared" si="121"/>
        <v>3661308</v>
      </c>
      <c r="P3025" s="125" t="s">
        <v>2196</v>
      </c>
      <c r="Q3025" s="85" t="s">
        <v>47</v>
      </c>
      <c r="R3025" s="214" t="s">
        <v>1869</v>
      </c>
      <c r="S3025" s="214" t="s">
        <v>1861</v>
      </c>
      <c r="T3025" s="85" t="s">
        <v>4033</v>
      </c>
      <c r="U3025" s="422" t="s">
        <v>1953</v>
      </c>
      <c r="V3025" s="422" t="s">
        <v>2813</v>
      </c>
    </row>
    <row r="3026" spans="1:22" ht="15.75" thickBot="1" x14ac:dyDescent="0.3">
      <c r="A3026" t="s">
        <v>1910</v>
      </c>
      <c r="B3026" t="s">
        <v>1910</v>
      </c>
      <c r="C3026" s="82" t="s">
        <v>1910</v>
      </c>
      <c r="D3026" s="83" t="s">
        <v>629</v>
      </c>
      <c r="E3026" s="251" t="s">
        <v>1951</v>
      </c>
      <c r="F3026" s="124" t="s">
        <v>620</v>
      </c>
      <c r="G3026" s="130"/>
      <c r="H3026" s="125" t="s">
        <v>732</v>
      </c>
      <c r="I3026" s="311" t="str">
        <f t="shared" si="122"/>
        <v>Pesado de Passageiros M3: I : Gasóleo : E3</v>
      </c>
      <c r="J3026" s="125"/>
      <c r="K3026" s="253">
        <v>2022</v>
      </c>
      <c r="L3026" s="85">
        <v>9683.73</v>
      </c>
      <c r="M3026" s="85" t="s">
        <v>630</v>
      </c>
      <c r="N3026" s="128">
        <v>16989</v>
      </c>
      <c r="O3026" s="128">
        <f t="shared" si="121"/>
        <v>0</v>
      </c>
      <c r="P3026" s="125" t="s">
        <v>3328</v>
      </c>
      <c r="Q3026" s="85" t="s">
        <v>47</v>
      </c>
      <c r="R3026" s="214" t="s">
        <v>1869</v>
      </c>
      <c r="S3026" s="214" t="s">
        <v>1861</v>
      </c>
      <c r="T3026" s="85" t="s">
        <v>4034</v>
      </c>
      <c r="U3026" s="422" t="s">
        <v>1953</v>
      </c>
      <c r="V3026" s="422" t="s">
        <v>2813</v>
      </c>
    </row>
    <row r="3027" spans="1:22" ht="15.75" thickBot="1" x14ac:dyDescent="0.3">
      <c r="A3027" t="s">
        <v>1910</v>
      </c>
      <c r="B3027" t="s">
        <v>1910</v>
      </c>
      <c r="C3027" s="82" t="s">
        <v>1910</v>
      </c>
      <c r="D3027" s="83" t="s">
        <v>629</v>
      </c>
      <c r="E3027" s="251" t="s">
        <v>1951</v>
      </c>
      <c r="F3027" s="124" t="s">
        <v>620</v>
      </c>
      <c r="G3027" s="130">
        <v>2007</v>
      </c>
      <c r="H3027" s="125" t="s">
        <v>731</v>
      </c>
      <c r="I3027" s="311" t="str">
        <f t="shared" si="122"/>
        <v>Pesado de Passageiros M3: I : Gasóleo : E4</v>
      </c>
      <c r="J3027" s="125">
        <v>61</v>
      </c>
      <c r="K3027" s="253">
        <v>2022</v>
      </c>
      <c r="L3027" s="129">
        <v>32791.852500000001</v>
      </c>
      <c r="M3027" s="85" t="s">
        <v>630</v>
      </c>
      <c r="N3027" s="128">
        <v>62425</v>
      </c>
      <c r="O3027" s="128">
        <f t="shared" si="121"/>
        <v>3807925</v>
      </c>
      <c r="P3027" s="125" t="s">
        <v>2030</v>
      </c>
      <c r="Q3027" s="85" t="s">
        <v>47</v>
      </c>
      <c r="R3027" s="214" t="s">
        <v>1869</v>
      </c>
      <c r="S3027" s="214" t="s">
        <v>1861</v>
      </c>
      <c r="T3027" s="85" t="s">
        <v>4035</v>
      </c>
      <c r="U3027" s="422" t="s">
        <v>1953</v>
      </c>
      <c r="V3027" s="422" t="s">
        <v>2813</v>
      </c>
    </row>
    <row r="3028" spans="1:22" ht="15.75" thickBot="1" x14ac:dyDescent="0.3">
      <c r="A3028" t="s">
        <v>1910</v>
      </c>
      <c r="B3028" t="s">
        <v>1910</v>
      </c>
      <c r="C3028" s="82" t="s">
        <v>1910</v>
      </c>
      <c r="D3028" s="83" t="s">
        <v>629</v>
      </c>
      <c r="E3028" s="251" t="s">
        <v>1951</v>
      </c>
      <c r="F3028" s="124" t="s">
        <v>620</v>
      </c>
      <c r="G3028" s="130">
        <v>1997</v>
      </c>
      <c r="H3028" s="125" t="s">
        <v>735</v>
      </c>
      <c r="I3028" s="311" t="str">
        <f t="shared" si="122"/>
        <v>Pesado de Passageiros M3: I : Gasóleo : E2</v>
      </c>
      <c r="J3028" s="125">
        <v>72</v>
      </c>
      <c r="K3028" s="253">
        <v>2022</v>
      </c>
      <c r="L3028" s="129">
        <v>15074.4</v>
      </c>
      <c r="M3028" s="85" t="s">
        <v>630</v>
      </c>
      <c r="N3028" s="128">
        <v>31405</v>
      </c>
      <c r="O3028" s="128">
        <f t="shared" si="121"/>
        <v>2261160</v>
      </c>
      <c r="P3028" s="125" t="s">
        <v>2146</v>
      </c>
      <c r="Q3028" s="85" t="s">
        <v>47</v>
      </c>
      <c r="R3028" s="214" t="s">
        <v>1869</v>
      </c>
      <c r="S3028" s="214" t="s">
        <v>1861</v>
      </c>
      <c r="T3028" s="85" t="s">
        <v>4036</v>
      </c>
      <c r="U3028" s="422" t="s">
        <v>1953</v>
      </c>
      <c r="V3028" s="422" t="s">
        <v>2813</v>
      </c>
    </row>
    <row r="3029" spans="1:22" ht="15.75" thickBot="1" x14ac:dyDescent="0.3">
      <c r="A3029" t="s">
        <v>1910</v>
      </c>
      <c r="B3029" t="s">
        <v>1910</v>
      </c>
      <c r="C3029" s="82" t="s">
        <v>1910</v>
      </c>
      <c r="D3029" s="83" t="s">
        <v>629</v>
      </c>
      <c r="E3029" s="251" t="s">
        <v>1951</v>
      </c>
      <c r="F3029" s="124" t="s">
        <v>620</v>
      </c>
      <c r="G3029" s="130">
        <v>2006</v>
      </c>
      <c r="H3029" s="125" t="s">
        <v>731</v>
      </c>
      <c r="I3029" s="311" t="str">
        <f t="shared" si="122"/>
        <v>Pesado de Passageiros M3: I : Gasóleo : E4</v>
      </c>
      <c r="J3029" s="125">
        <v>137</v>
      </c>
      <c r="K3029" s="253">
        <v>2022</v>
      </c>
      <c r="L3029" s="129">
        <v>27824.203799999999</v>
      </c>
      <c r="M3029" s="85" t="s">
        <v>630</v>
      </c>
      <c r="N3029" s="128">
        <v>43866</v>
      </c>
      <c r="O3029" s="128">
        <f t="shared" si="121"/>
        <v>6009642</v>
      </c>
      <c r="P3029" s="125" t="s">
        <v>2064</v>
      </c>
      <c r="Q3029" s="85" t="s">
        <v>47</v>
      </c>
      <c r="R3029" s="214" t="s">
        <v>1869</v>
      </c>
      <c r="S3029" s="214" t="s">
        <v>1861</v>
      </c>
      <c r="T3029" s="85" t="s">
        <v>4037</v>
      </c>
      <c r="U3029" s="422" t="s">
        <v>1953</v>
      </c>
      <c r="V3029" s="422" t="s">
        <v>2813</v>
      </c>
    </row>
    <row r="3030" spans="1:22" ht="15.75" thickBot="1" x14ac:dyDescent="0.3">
      <c r="A3030" t="s">
        <v>1910</v>
      </c>
      <c r="B3030" t="s">
        <v>1910</v>
      </c>
      <c r="C3030" s="82" t="s">
        <v>1910</v>
      </c>
      <c r="D3030" s="83" t="s">
        <v>629</v>
      </c>
      <c r="E3030" s="251" t="s">
        <v>1951</v>
      </c>
      <c r="F3030" s="124" t="s">
        <v>620</v>
      </c>
      <c r="G3030" s="130">
        <v>2009</v>
      </c>
      <c r="H3030" s="125" t="s">
        <v>734</v>
      </c>
      <c r="I3030" s="311" t="str">
        <f t="shared" si="122"/>
        <v>Pesado de Passageiros M3: I : Gasóleo : E5</v>
      </c>
      <c r="J3030" s="125">
        <v>66</v>
      </c>
      <c r="K3030" s="253">
        <v>2022</v>
      </c>
      <c r="L3030" s="129">
        <v>22958.264999999999</v>
      </c>
      <c r="M3030" s="85" t="s">
        <v>630</v>
      </c>
      <c r="N3030" s="128">
        <v>50182</v>
      </c>
      <c r="O3030" s="128">
        <f t="shared" si="121"/>
        <v>3312012</v>
      </c>
      <c r="P3030" s="125" t="s">
        <v>2116</v>
      </c>
      <c r="Q3030" s="85" t="s">
        <v>47</v>
      </c>
      <c r="R3030" s="214" t="s">
        <v>1869</v>
      </c>
      <c r="S3030" s="214" t="s">
        <v>1861</v>
      </c>
      <c r="T3030" s="85" t="s">
        <v>4038</v>
      </c>
      <c r="U3030" s="422" t="s">
        <v>1953</v>
      </c>
      <c r="V3030" s="422" t="s">
        <v>2813</v>
      </c>
    </row>
    <row r="3031" spans="1:22" ht="15.75" thickBot="1" x14ac:dyDescent="0.3">
      <c r="A3031" t="s">
        <v>1910</v>
      </c>
      <c r="B3031" t="s">
        <v>1910</v>
      </c>
      <c r="C3031" s="82" t="s">
        <v>1910</v>
      </c>
      <c r="D3031" s="83" t="s">
        <v>629</v>
      </c>
      <c r="E3031" s="251" t="s">
        <v>1951</v>
      </c>
      <c r="F3031" s="124" t="s">
        <v>620</v>
      </c>
      <c r="G3031" s="130">
        <v>2000</v>
      </c>
      <c r="H3031" s="125" t="s">
        <v>732</v>
      </c>
      <c r="I3031" s="311" t="str">
        <f t="shared" si="122"/>
        <v>Pesado de Passageiros M3: I : Gasóleo : E3</v>
      </c>
      <c r="J3031" s="125">
        <v>81</v>
      </c>
      <c r="K3031" s="253">
        <v>2022</v>
      </c>
      <c r="L3031" s="129">
        <v>20843.52</v>
      </c>
      <c r="M3031" s="85" t="s">
        <v>630</v>
      </c>
      <c r="N3031" s="128">
        <v>43424</v>
      </c>
      <c r="O3031" s="128">
        <f t="shared" si="121"/>
        <v>3517344</v>
      </c>
      <c r="P3031" s="125" t="s">
        <v>2175</v>
      </c>
      <c r="Q3031" s="85" t="s">
        <v>47</v>
      </c>
      <c r="R3031" s="214" t="s">
        <v>1869</v>
      </c>
      <c r="S3031" s="214" t="s">
        <v>1861</v>
      </c>
      <c r="T3031" s="85" t="s">
        <v>4039</v>
      </c>
      <c r="U3031" s="422" t="s">
        <v>1953</v>
      </c>
      <c r="V3031" s="422" t="s">
        <v>2813</v>
      </c>
    </row>
    <row r="3032" spans="1:22" ht="15.75" thickBot="1" x14ac:dyDescent="0.3">
      <c r="A3032" t="s">
        <v>1910</v>
      </c>
      <c r="B3032" t="s">
        <v>1910</v>
      </c>
      <c r="C3032" s="82" t="s">
        <v>1910</v>
      </c>
      <c r="D3032" s="83" t="s">
        <v>629</v>
      </c>
      <c r="E3032" s="251" t="s">
        <v>1951</v>
      </c>
      <c r="F3032" s="124" t="s">
        <v>620</v>
      </c>
      <c r="G3032" s="130">
        <v>2000</v>
      </c>
      <c r="H3032" s="125" t="s">
        <v>732</v>
      </c>
      <c r="I3032" s="311" t="str">
        <f t="shared" si="122"/>
        <v>Pesado de Passageiros M3: I : Gasóleo : E3</v>
      </c>
      <c r="J3032" s="125">
        <v>81</v>
      </c>
      <c r="K3032" s="253">
        <v>2022</v>
      </c>
      <c r="L3032" s="129">
        <v>28055.147999999997</v>
      </c>
      <c r="M3032" s="85" t="s">
        <v>630</v>
      </c>
      <c r="N3032" s="128">
        <v>56540</v>
      </c>
      <c r="O3032" s="128">
        <f t="shared" si="121"/>
        <v>4579740</v>
      </c>
      <c r="P3032" s="125" t="s">
        <v>2152</v>
      </c>
      <c r="Q3032" s="85" t="s">
        <v>47</v>
      </c>
      <c r="R3032" s="214" t="s">
        <v>1869</v>
      </c>
      <c r="S3032" s="214" t="s">
        <v>1861</v>
      </c>
      <c r="T3032" s="85" t="s">
        <v>4040</v>
      </c>
      <c r="U3032" s="422" t="s">
        <v>1953</v>
      </c>
      <c r="V3032" s="422" t="s">
        <v>2813</v>
      </c>
    </row>
    <row r="3033" spans="1:22" ht="15.75" thickBot="1" x14ac:dyDescent="0.3">
      <c r="A3033" t="s">
        <v>1910</v>
      </c>
      <c r="B3033" t="s">
        <v>1910</v>
      </c>
      <c r="C3033" s="82" t="s">
        <v>1910</v>
      </c>
      <c r="D3033" s="83" t="s">
        <v>629</v>
      </c>
      <c r="E3033" s="251" t="s">
        <v>1951</v>
      </c>
      <c r="F3033" s="124" t="s">
        <v>620</v>
      </c>
      <c r="G3033" s="130">
        <v>2002</v>
      </c>
      <c r="H3033" s="125" t="s">
        <v>732</v>
      </c>
      <c r="I3033" s="311" t="str">
        <f t="shared" si="122"/>
        <v>Pesado de Passageiros M3: I : Gasóleo : E3</v>
      </c>
      <c r="J3033" s="125">
        <v>81</v>
      </c>
      <c r="K3033" s="253">
        <v>2022</v>
      </c>
      <c r="L3033" s="129">
        <v>25580.639800000001</v>
      </c>
      <c r="M3033" s="85" t="s">
        <v>630</v>
      </c>
      <c r="N3033" s="128">
        <v>55598</v>
      </c>
      <c r="O3033" s="128">
        <f t="shared" si="121"/>
        <v>4503438</v>
      </c>
      <c r="P3033" s="125" t="s">
        <v>2156</v>
      </c>
      <c r="Q3033" s="85" t="s">
        <v>47</v>
      </c>
      <c r="R3033" s="214" t="s">
        <v>1869</v>
      </c>
      <c r="S3033" s="214" t="s">
        <v>1861</v>
      </c>
      <c r="T3033" s="85" t="s">
        <v>4041</v>
      </c>
      <c r="U3033" s="422" t="s">
        <v>1953</v>
      </c>
      <c r="V3033" s="422" t="s">
        <v>2813</v>
      </c>
    </row>
    <row r="3034" spans="1:22" ht="15.75" thickBot="1" x14ac:dyDescent="0.3">
      <c r="A3034" t="s">
        <v>1910</v>
      </c>
      <c r="B3034" t="s">
        <v>1910</v>
      </c>
      <c r="C3034" s="82" t="s">
        <v>1910</v>
      </c>
      <c r="D3034" s="83" t="s">
        <v>629</v>
      </c>
      <c r="E3034" s="251" t="s">
        <v>1951</v>
      </c>
      <c r="F3034" s="124" t="s">
        <v>620</v>
      </c>
      <c r="G3034" s="130">
        <v>2000</v>
      </c>
      <c r="H3034" s="125" t="s">
        <v>732</v>
      </c>
      <c r="I3034" s="311" t="str">
        <f t="shared" si="122"/>
        <v>Pesado de Passageiros M3: I : Gasóleo : E3</v>
      </c>
      <c r="J3034" s="125">
        <v>73</v>
      </c>
      <c r="K3034" s="253">
        <v>2022</v>
      </c>
      <c r="L3034" s="129">
        <v>22848.995999999999</v>
      </c>
      <c r="M3034" s="85" t="s">
        <v>630</v>
      </c>
      <c r="N3034" s="128">
        <v>44281</v>
      </c>
      <c r="O3034" s="128">
        <f t="shared" si="121"/>
        <v>3232513</v>
      </c>
      <c r="P3034" s="125" t="s">
        <v>2157</v>
      </c>
      <c r="Q3034" s="85" t="s">
        <v>47</v>
      </c>
      <c r="R3034" s="214" t="s">
        <v>1869</v>
      </c>
      <c r="S3034" s="214" t="s">
        <v>1861</v>
      </c>
      <c r="T3034" s="85" t="s">
        <v>4042</v>
      </c>
      <c r="U3034" s="422" t="s">
        <v>1953</v>
      </c>
      <c r="V3034" s="422" t="s">
        <v>2813</v>
      </c>
    </row>
    <row r="3035" spans="1:22" ht="15.75" thickBot="1" x14ac:dyDescent="0.3">
      <c r="A3035" t="s">
        <v>1910</v>
      </c>
      <c r="B3035" t="s">
        <v>1910</v>
      </c>
      <c r="C3035" s="82" t="s">
        <v>1910</v>
      </c>
      <c r="D3035" s="83" t="s">
        <v>629</v>
      </c>
      <c r="E3035" s="251" t="s">
        <v>1951</v>
      </c>
      <c r="F3035" s="124" t="s">
        <v>620</v>
      </c>
      <c r="G3035" s="130">
        <v>2007</v>
      </c>
      <c r="H3035" s="125" t="s">
        <v>731</v>
      </c>
      <c r="I3035" s="311" t="str">
        <f t="shared" si="122"/>
        <v>Pesado de Passageiros M3: I : Gasóleo : E4</v>
      </c>
      <c r="J3035" s="125">
        <v>61</v>
      </c>
      <c r="K3035" s="253">
        <v>2022</v>
      </c>
      <c r="L3035" s="129">
        <v>31907.423599999998</v>
      </c>
      <c r="M3035" s="85" t="s">
        <v>630</v>
      </c>
      <c r="N3035" s="128">
        <v>64084</v>
      </c>
      <c r="O3035" s="128">
        <f t="shared" si="121"/>
        <v>3909124</v>
      </c>
      <c r="P3035" s="125" t="s">
        <v>2032</v>
      </c>
      <c r="Q3035" s="85" t="s">
        <v>47</v>
      </c>
      <c r="R3035" s="214" t="s">
        <v>1869</v>
      </c>
      <c r="S3035" s="214" t="s">
        <v>1861</v>
      </c>
      <c r="T3035" s="85" t="s">
        <v>4043</v>
      </c>
      <c r="U3035" s="422" t="s">
        <v>1953</v>
      </c>
      <c r="V3035" s="422" t="s">
        <v>2813</v>
      </c>
    </row>
    <row r="3036" spans="1:22" ht="15.75" thickBot="1" x14ac:dyDescent="0.3">
      <c r="A3036" t="s">
        <v>1910</v>
      </c>
      <c r="B3036" t="s">
        <v>1910</v>
      </c>
      <c r="C3036" s="82" t="s">
        <v>1910</v>
      </c>
      <c r="D3036" s="83" t="s">
        <v>629</v>
      </c>
      <c r="E3036" s="251" t="s">
        <v>1951</v>
      </c>
      <c r="F3036" s="124" t="s">
        <v>620</v>
      </c>
      <c r="G3036" s="130">
        <v>2001</v>
      </c>
      <c r="H3036" s="125" t="s">
        <v>732</v>
      </c>
      <c r="I3036" s="311" t="str">
        <f t="shared" si="122"/>
        <v>Pesado de Passageiros M3: I : Gasóleo : E3</v>
      </c>
      <c r="J3036" s="125">
        <v>64</v>
      </c>
      <c r="K3036" s="253">
        <v>2022</v>
      </c>
      <c r="L3036" s="129">
        <v>26122.105800000001</v>
      </c>
      <c r="M3036" s="85" t="s">
        <v>630</v>
      </c>
      <c r="N3036" s="128">
        <v>50841</v>
      </c>
      <c r="O3036" s="128">
        <f t="shared" si="121"/>
        <v>3253824</v>
      </c>
      <c r="P3036" s="125" t="s">
        <v>2171</v>
      </c>
      <c r="Q3036" s="85" t="s">
        <v>47</v>
      </c>
      <c r="R3036" s="214" t="s">
        <v>1869</v>
      </c>
      <c r="S3036" s="214" t="s">
        <v>1861</v>
      </c>
      <c r="T3036" s="85" t="s">
        <v>4044</v>
      </c>
      <c r="U3036" s="422" t="s">
        <v>1953</v>
      </c>
      <c r="V3036" s="422" t="s">
        <v>2813</v>
      </c>
    </row>
    <row r="3037" spans="1:22" ht="15.75" thickBot="1" x14ac:dyDescent="0.3">
      <c r="A3037" t="s">
        <v>1910</v>
      </c>
      <c r="B3037" t="s">
        <v>1910</v>
      </c>
      <c r="C3037" s="82" t="s">
        <v>1910</v>
      </c>
      <c r="D3037" s="83" t="s">
        <v>629</v>
      </c>
      <c r="E3037" s="251" t="s">
        <v>1951</v>
      </c>
      <c r="F3037" s="124" t="s">
        <v>620</v>
      </c>
      <c r="G3037" s="130">
        <v>2007</v>
      </c>
      <c r="H3037" s="125" t="s">
        <v>731</v>
      </c>
      <c r="I3037" s="311" t="str">
        <f t="shared" si="122"/>
        <v>Pesado de Passageiros M3: I : Gasóleo : E4</v>
      </c>
      <c r="J3037" s="125">
        <v>63</v>
      </c>
      <c r="K3037" s="253">
        <v>2022</v>
      </c>
      <c r="L3037" s="129">
        <v>32471.312399999999</v>
      </c>
      <c r="M3037" s="85" t="s">
        <v>630</v>
      </c>
      <c r="N3037" s="128">
        <v>58953</v>
      </c>
      <c r="O3037" s="128">
        <f t="shared" si="121"/>
        <v>3714039</v>
      </c>
      <c r="P3037" s="125" t="s">
        <v>2031</v>
      </c>
      <c r="Q3037" s="85" t="s">
        <v>47</v>
      </c>
      <c r="R3037" s="214" t="s">
        <v>1869</v>
      </c>
      <c r="S3037" s="214" t="s">
        <v>1861</v>
      </c>
      <c r="T3037" s="85" t="s">
        <v>4045</v>
      </c>
      <c r="U3037" s="422" t="s">
        <v>1953</v>
      </c>
      <c r="V3037" s="422" t="s">
        <v>2813</v>
      </c>
    </row>
    <row r="3038" spans="1:22" ht="15.75" thickBot="1" x14ac:dyDescent="0.3">
      <c r="A3038" t="s">
        <v>1910</v>
      </c>
      <c r="B3038" t="s">
        <v>1910</v>
      </c>
      <c r="C3038" s="82" t="s">
        <v>1910</v>
      </c>
      <c r="D3038" s="83" t="s">
        <v>629</v>
      </c>
      <c r="E3038" s="251" t="s">
        <v>1951</v>
      </c>
      <c r="F3038" s="124" t="s">
        <v>620</v>
      </c>
      <c r="G3038" s="130"/>
      <c r="H3038" s="125" t="s">
        <v>731</v>
      </c>
      <c r="I3038" s="311" t="str">
        <f t="shared" si="122"/>
        <v>Pesado de Passageiros M3: I : Gasóleo : E4</v>
      </c>
      <c r="J3038" s="125"/>
      <c r="K3038" s="253">
        <v>2022</v>
      </c>
      <c r="L3038" s="85">
        <v>17205.650000000001</v>
      </c>
      <c r="M3038" s="85" t="s">
        <v>630</v>
      </c>
      <c r="N3038" s="128">
        <v>31283</v>
      </c>
      <c r="O3038" s="128">
        <f t="shared" si="121"/>
        <v>0</v>
      </c>
      <c r="P3038" s="125" t="s">
        <v>3346</v>
      </c>
      <c r="Q3038" s="85" t="s">
        <v>47</v>
      </c>
      <c r="R3038" s="214" t="s">
        <v>1869</v>
      </c>
      <c r="S3038" s="214" t="s">
        <v>1861</v>
      </c>
      <c r="T3038" s="85" t="s">
        <v>4046</v>
      </c>
      <c r="U3038" s="422" t="s">
        <v>1953</v>
      </c>
      <c r="V3038" s="422" t="s">
        <v>2813</v>
      </c>
    </row>
    <row r="3039" spans="1:22" ht="15.75" thickBot="1" x14ac:dyDescent="0.3">
      <c r="A3039" t="s">
        <v>1910</v>
      </c>
      <c r="B3039" t="s">
        <v>1910</v>
      </c>
      <c r="C3039" s="82" t="s">
        <v>1910</v>
      </c>
      <c r="D3039" s="83" t="s">
        <v>629</v>
      </c>
      <c r="E3039" s="251" t="s">
        <v>1951</v>
      </c>
      <c r="F3039" s="124" t="s">
        <v>620</v>
      </c>
      <c r="G3039" s="130">
        <v>1998</v>
      </c>
      <c r="H3039" s="125" t="s">
        <v>735</v>
      </c>
      <c r="I3039" s="311" t="str">
        <f t="shared" si="122"/>
        <v>Pesado de Passageiros M3: I : Gasóleo : E2</v>
      </c>
      <c r="J3039" s="125">
        <v>78</v>
      </c>
      <c r="K3039" s="253">
        <v>2022</v>
      </c>
      <c r="L3039" s="129">
        <v>29916.066199999997</v>
      </c>
      <c r="M3039" s="85" t="s">
        <v>630</v>
      </c>
      <c r="N3039" s="128">
        <v>54482</v>
      </c>
      <c r="O3039" s="128">
        <f t="shared" si="121"/>
        <v>4249596</v>
      </c>
      <c r="P3039" s="125" t="s">
        <v>2138</v>
      </c>
      <c r="Q3039" s="85" t="s">
        <v>47</v>
      </c>
      <c r="R3039" s="214" t="s">
        <v>1869</v>
      </c>
      <c r="S3039" s="214" t="s">
        <v>1861</v>
      </c>
      <c r="T3039" s="85" t="s">
        <v>4047</v>
      </c>
      <c r="U3039" s="422" t="s">
        <v>1953</v>
      </c>
      <c r="V3039" s="422" t="s">
        <v>2813</v>
      </c>
    </row>
    <row r="3040" spans="1:22" ht="15.75" thickBot="1" x14ac:dyDescent="0.3">
      <c r="A3040" t="s">
        <v>1910</v>
      </c>
      <c r="B3040" t="s">
        <v>1910</v>
      </c>
      <c r="C3040" s="82" t="s">
        <v>1910</v>
      </c>
      <c r="D3040" s="83" t="s">
        <v>629</v>
      </c>
      <c r="E3040" s="251" t="s">
        <v>1951</v>
      </c>
      <c r="F3040" s="124" t="s">
        <v>620</v>
      </c>
      <c r="G3040" s="130">
        <v>2008</v>
      </c>
      <c r="H3040" s="125" t="s">
        <v>731</v>
      </c>
      <c r="I3040" s="311" t="str">
        <f t="shared" si="122"/>
        <v>Pesado de Passageiros M3: I : Gasóleo : E4</v>
      </c>
      <c r="J3040" s="125">
        <v>21</v>
      </c>
      <c r="K3040" s="253">
        <v>2022</v>
      </c>
      <c r="L3040" s="129">
        <v>9156.2425000000003</v>
      </c>
      <c r="M3040" s="85" t="s">
        <v>630</v>
      </c>
      <c r="N3040" s="128">
        <v>37145</v>
      </c>
      <c r="O3040" s="128">
        <f t="shared" si="121"/>
        <v>780045</v>
      </c>
      <c r="P3040" s="125" t="s">
        <v>1957</v>
      </c>
      <c r="Q3040" s="85" t="s">
        <v>47</v>
      </c>
      <c r="R3040" s="214" t="s">
        <v>1869</v>
      </c>
      <c r="S3040" s="214" t="s">
        <v>1861</v>
      </c>
      <c r="T3040" s="85" t="s">
        <v>4048</v>
      </c>
      <c r="U3040" s="422" t="s">
        <v>1953</v>
      </c>
      <c r="V3040" s="422" t="s">
        <v>2813</v>
      </c>
    </row>
    <row r="3041" spans="1:22" ht="15.75" thickBot="1" x14ac:dyDescent="0.3">
      <c r="A3041" t="s">
        <v>1910</v>
      </c>
      <c r="B3041" t="s">
        <v>1910</v>
      </c>
      <c r="C3041" s="82" t="s">
        <v>1910</v>
      </c>
      <c r="D3041" s="83" t="s">
        <v>629</v>
      </c>
      <c r="E3041" s="251" t="s">
        <v>1951</v>
      </c>
      <c r="F3041" s="124" t="s">
        <v>620</v>
      </c>
      <c r="G3041" s="130">
        <v>2010</v>
      </c>
      <c r="H3041" s="125" t="s">
        <v>734</v>
      </c>
      <c r="I3041" s="311" t="str">
        <f t="shared" si="122"/>
        <v>Pesado de Passageiros M3: I : Gasóleo : E5</v>
      </c>
      <c r="J3041" s="125">
        <v>56</v>
      </c>
      <c r="K3041" s="253">
        <v>2022</v>
      </c>
      <c r="L3041" s="129">
        <v>14780.326799999999</v>
      </c>
      <c r="M3041" s="85" t="s">
        <v>630</v>
      </c>
      <c r="N3041" s="128">
        <v>38074</v>
      </c>
      <c r="O3041" s="128">
        <f t="shared" si="121"/>
        <v>2132144</v>
      </c>
      <c r="P3041" s="125" t="s">
        <v>1975</v>
      </c>
      <c r="Q3041" s="85" t="s">
        <v>47</v>
      </c>
      <c r="R3041" s="214" t="s">
        <v>1869</v>
      </c>
      <c r="S3041" s="214" t="s">
        <v>1861</v>
      </c>
      <c r="T3041" s="85" t="s">
        <v>4049</v>
      </c>
      <c r="U3041" s="422" t="s">
        <v>1953</v>
      </c>
      <c r="V3041" s="422" t="s">
        <v>2813</v>
      </c>
    </row>
    <row r="3042" spans="1:22" ht="15.75" thickBot="1" x14ac:dyDescent="0.3">
      <c r="A3042" t="s">
        <v>1910</v>
      </c>
      <c r="B3042" t="s">
        <v>1910</v>
      </c>
      <c r="C3042" s="82" t="s">
        <v>1910</v>
      </c>
      <c r="D3042" s="83" t="s">
        <v>629</v>
      </c>
      <c r="E3042" s="251" t="s">
        <v>1951</v>
      </c>
      <c r="F3042" s="124" t="s">
        <v>620</v>
      </c>
      <c r="G3042" s="130"/>
      <c r="H3042" s="125" t="s">
        <v>732</v>
      </c>
      <c r="I3042" s="311" t="str">
        <f t="shared" si="122"/>
        <v>Pesado de Passageiros M3: I : Gasóleo : E3</v>
      </c>
      <c r="J3042" s="125"/>
      <c r="K3042" s="253">
        <v>2022</v>
      </c>
      <c r="L3042" s="85">
        <v>18288.8946</v>
      </c>
      <c r="M3042" s="85" t="s">
        <v>630</v>
      </c>
      <c r="N3042" s="128">
        <v>39129</v>
      </c>
      <c r="O3042" s="128">
        <f t="shared" si="121"/>
        <v>0</v>
      </c>
      <c r="P3042" s="125" t="s">
        <v>2079</v>
      </c>
      <c r="Q3042" s="85" t="s">
        <v>47</v>
      </c>
      <c r="R3042" s="214" t="s">
        <v>1869</v>
      </c>
      <c r="S3042" s="214" t="s">
        <v>1861</v>
      </c>
      <c r="T3042" s="85" t="s">
        <v>3428</v>
      </c>
      <c r="U3042" s="422" t="s">
        <v>1953</v>
      </c>
      <c r="V3042" s="422" t="s">
        <v>2813</v>
      </c>
    </row>
    <row r="3043" spans="1:22" ht="15.75" thickBot="1" x14ac:dyDescent="0.3">
      <c r="A3043" t="s">
        <v>1910</v>
      </c>
      <c r="B3043" t="s">
        <v>1910</v>
      </c>
      <c r="C3043" s="82" t="s">
        <v>1910</v>
      </c>
      <c r="D3043" s="83" t="s">
        <v>629</v>
      </c>
      <c r="E3043" s="251" t="s">
        <v>1951</v>
      </c>
      <c r="F3043" s="124" t="s">
        <v>620</v>
      </c>
      <c r="G3043" s="130">
        <v>2003</v>
      </c>
      <c r="H3043" s="125" t="s">
        <v>732</v>
      </c>
      <c r="I3043" s="311" t="str">
        <f t="shared" si="122"/>
        <v>Pesado de Passageiros M3: I : Gasóleo : E3</v>
      </c>
      <c r="J3043" s="125">
        <v>77</v>
      </c>
      <c r="K3043" s="253">
        <v>2022</v>
      </c>
      <c r="L3043" s="381">
        <v>5855.6054000000004</v>
      </c>
      <c r="M3043" s="85" t="s">
        <v>630</v>
      </c>
      <c r="N3043" s="128">
        <v>12642</v>
      </c>
      <c r="O3043" s="128">
        <f t="shared" si="121"/>
        <v>973434</v>
      </c>
      <c r="P3043" s="125" t="s">
        <v>2079</v>
      </c>
      <c r="Q3043" s="85" t="s">
        <v>47</v>
      </c>
      <c r="R3043" s="214" t="s">
        <v>1869</v>
      </c>
      <c r="S3043" s="214" t="s">
        <v>1861</v>
      </c>
      <c r="T3043" s="85" t="s">
        <v>3428</v>
      </c>
      <c r="U3043" s="422" t="s">
        <v>1953</v>
      </c>
      <c r="V3043" s="422" t="s">
        <v>2813</v>
      </c>
    </row>
    <row r="3044" spans="1:22" ht="15.75" thickBot="1" x14ac:dyDescent="0.3">
      <c r="A3044" t="s">
        <v>1910</v>
      </c>
      <c r="B3044" t="s">
        <v>1910</v>
      </c>
      <c r="C3044" s="82" t="s">
        <v>1910</v>
      </c>
      <c r="D3044" s="83" t="s">
        <v>629</v>
      </c>
      <c r="E3044" s="251" t="s">
        <v>1951</v>
      </c>
      <c r="F3044" s="124" t="s">
        <v>620</v>
      </c>
      <c r="G3044" s="130">
        <v>2003</v>
      </c>
      <c r="H3044" s="125" t="s">
        <v>732</v>
      </c>
      <c r="I3044" s="311" t="str">
        <f t="shared" si="122"/>
        <v>Pesado de Passageiros M3: I : Gasóleo : E3</v>
      </c>
      <c r="J3044" s="125">
        <v>77</v>
      </c>
      <c r="K3044" s="253">
        <v>2022</v>
      </c>
      <c r="L3044" s="129">
        <v>30455.428500000002</v>
      </c>
      <c r="M3044" s="85" t="s">
        <v>630</v>
      </c>
      <c r="N3044" s="128">
        <v>64785</v>
      </c>
      <c r="O3044" s="128">
        <f t="shared" si="121"/>
        <v>4988445</v>
      </c>
      <c r="P3044" s="125" t="s">
        <v>2078</v>
      </c>
      <c r="Q3044" s="85" t="s">
        <v>47</v>
      </c>
      <c r="R3044" s="214" t="s">
        <v>1869</v>
      </c>
      <c r="S3044" s="214" t="s">
        <v>1861</v>
      </c>
      <c r="T3044" s="85" t="s">
        <v>4050</v>
      </c>
      <c r="U3044" s="422" t="s">
        <v>1953</v>
      </c>
      <c r="V3044" s="422" t="s">
        <v>2813</v>
      </c>
    </row>
    <row r="3045" spans="1:22" ht="15.75" thickBot="1" x14ac:dyDescent="0.3">
      <c r="A3045" t="s">
        <v>1910</v>
      </c>
      <c r="B3045" t="s">
        <v>1910</v>
      </c>
      <c r="C3045" s="82" t="s">
        <v>1910</v>
      </c>
      <c r="D3045" s="83" t="s">
        <v>629</v>
      </c>
      <c r="E3045" s="251" t="s">
        <v>1951</v>
      </c>
      <c r="F3045" s="124" t="s">
        <v>620</v>
      </c>
      <c r="G3045" s="130">
        <v>2008</v>
      </c>
      <c r="H3045" s="125" t="s">
        <v>734</v>
      </c>
      <c r="I3045" s="311" t="str">
        <f t="shared" si="122"/>
        <v>Pesado de Passageiros M3: I : Gasóleo : E5</v>
      </c>
      <c r="J3045" s="125">
        <v>57</v>
      </c>
      <c r="K3045" s="253">
        <v>2022</v>
      </c>
      <c r="L3045" s="129">
        <v>34450.897600000004</v>
      </c>
      <c r="M3045" s="85" t="s">
        <v>630</v>
      </c>
      <c r="N3045" s="128">
        <v>75484</v>
      </c>
      <c r="O3045" s="128">
        <f t="shared" si="121"/>
        <v>4302588</v>
      </c>
      <c r="P3045" s="125" t="s">
        <v>2027</v>
      </c>
      <c r="Q3045" s="85" t="s">
        <v>47</v>
      </c>
      <c r="R3045" s="214" t="s">
        <v>1869</v>
      </c>
      <c r="S3045" s="214" t="s">
        <v>1861</v>
      </c>
      <c r="T3045" s="85" t="s">
        <v>4051</v>
      </c>
      <c r="U3045" s="422" t="s">
        <v>1953</v>
      </c>
      <c r="V3045" s="422" t="s">
        <v>2813</v>
      </c>
    </row>
    <row r="3046" spans="1:22" ht="15.75" thickBot="1" x14ac:dyDescent="0.3">
      <c r="A3046" t="s">
        <v>1910</v>
      </c>
      <c r="B3046" t="s">
        <v>1910</v>
      </c>
      <c r="C3046" s="82" t="s">
        <v>1910</v>
      </c>
      <c r="D3046" s="83" t="s">
        <v>629</v>
      </c>
      <c r="E3046" s="251" t="s">
        <v>1951</v>
      </c>
      <c r="F3046" s="124" t="s">
        <v>620</v>
      </c>
      <c r="G3046" s="130">
        <v>2008</v>
      </c>
      <c r="H3046" s="125" t="s">
        <v>734</v>
      </c>
      <c r="I3046" s="311" t="str">
        <f t="shared" si="122"/>
        <v>Pesado de Passageiros M3: I : Gasóleo : E5</v>
      </c>
      <c r="J3046" s="125">
        <v>61</v>
      </c>
      <c r="K3046" s="253">
        <v>2022</v>
      </c>
      <c r="L3046" s="129">
        <v>26528.575400000002</v>
      </c>
      <c r="M3046" s="85" t="s">
        <v>630</v>
      </c>
      <c r="N3046" s="128">
        <v>50234</v>
      </c>
      <c r="O3046" s="128">
        <f t="shared" si="121"/>
        <v>3064274</v>
      </c>
      <c r="P3046" s="125" t="s">
        <v>2028</v>
      </c>
      <c r="Q3046" s="85" t="s">
        <v>47</v>
      </c>
      <c r="R3046" s="214" t="s">
        <v>1869</v>
      </c>
      <c r="S3046" s="214" t="s">
        <v>1861</v>
      </c>
      <c r="T3046" s="85" t="s">
        <v>4052</v>
      </c>
      <c r="U3046" s="422" t="s">
        <v>1953</v>
      </c>
      <c r="V3046" s="422" t="s">
        <v>2813</v>
      </c>
    </row>
    <row r="3047" spans="1:22" ht="15.75" thickBot="1" x14ac:dyDescent="0.3">
      <c r="A3047" t="s">
        <v>1910</v>
      </c>
      <c r="B3047" t="s">
        <v>1910</v>
      </c>
      <c r="C3047" s="82" t="s">
        <v>1910</v>
      </c>
      <c r="D3047" s="83" t="s">
        <v>629</v>
      </c>
      <c r="E3047" s="251" t="s">
        <v>1951</v>
      </c>
      <c r="F3047" s="124" t="s">
        <v>620</v>
      </c>
      <c r="G3047" s="130">
        <v>2003</v>
      </c>
      <c r="H3047" s="125" t="s">
        <v>732</v>
      </c>
      <c r="I3047" s="311" t="str">
        <f t="shared" si="122"/>
        <v>Pesado de Passageiros M3: I : Gasóleo : E3</v>
      </c>
      <c r="J3047" s="125">
        <v>68</v>
      </c>
      <c r="K3047" s="253">
        <v>2022</v>
      </c>
      <c r="L3047" s="129">
        <v>32563.785599999996</v>
      </c>
      <c r="M3047" s="85" t="s">
        <v>630</v>
      </c>
      <c r="N3047" s="128">
        <v>59772</v>
      </c>
      <c r="O3047" s="128">
        <f t="shared" si="121"/>
        <v>4064496</v>
      </c>
      <c r="P3047" s="125" t="s">
        <v>2091</v>
      </c>
      <c r="Q3047" s="85" t="s">
        <v>47</v>
      </c>
      <c r="R3047" s="214" t="s">
        <v>1869</v>
      </c>
      <c r="S3047" s="214" t="s">
        <v>1861</v>
      </c>
      <c r="T3047" s="85" t="s">
        <v>4053</v>
      </c>
      <c r="U3047" s="422" t="s">
        <v>1953</v>
      </c>
      <c r="V3047" s="422" t="s">
        <v>2813</v>
      </c>
    </row>
    <row r="3048" spans="1:22" ht="15.75" thickBot="1" x14ac:dyDescent="0.3">
      <c r="A3048" t="s">
        <v>1910</v>
      </c>
      <c r="B3048" t="s">
        <v>1910</v>
      </c>
      <c r="C3048" s="82" t="s">
        <v>1910</v>
      </c>
      <c r="D3048" s="83" t="s">
        <v>629</v>
      </c>
      <c r="E3048" s="251" t="s">
        <v>1951</v>
      </c>
      <c r="F3048" s="124" t="s">
        <v>620</v>
      </c>
      <c r="G3048" s="130">
        <v>2004</v>
      </c>
      <c r="H3048" s="125" t="s">
        <v>732</v>
      </c>
      <c r="I3048" s="311" t="str">
        <f t="shared" si="122"/>
        <v>Pesado de Passageiros M3: I : Gasóleo : E3</v>
      </c>
      <c r="J3048" s="125">
        <v>74</v>
      </c>
      <c r="K3048" s="253">
        <v>2022</v>
      </c>
      <c r="L3048" s="129">
        <v>27881.4408</v>
      </c>
      <c r="M3048" s="85" t="s">
        <v>630</v>
      </c>
      <c r="N3048" s="128">
        <v>50264</v>
      </c>
      <c r="O3048" s="128">
        <f t="shared" si="121"/>
        <v>3719536</v>
      </c>
      <c r="P3048" s="125" t="s">
        <v>2104</v>
      </c>
      <c r="Q3048" s="85" t="s">
        <v>47</v>
      </c>
      <c r="R3048" s="214" t="s">
        <v>1869</v>
      </c>
      <c r="S3048" s="214" t="s">
        <v>1861</v>
      </c>
      <c r="T3048" s="85" t="s">
        <v>4054</v>
      </c>
      <c r="U3048" s="422" t="s">
        <v>1953</v>
      </c>
      <c r="V3048" s="422" t="s">
        <v>2813</v>
      </c>
    </row>
    <row r="3049" spans="1:22" ht="15.75" thickBot="1" x14ac:dyDescent="0.3">
      <c r="A3049" t="s">
        <v>1910</v>
      </c>
      <c r="B3049" t="s">
        <v>1910</v>
      </c>
      <c r="C3049" s="82" t="s">
        <v>1910</v>
      </c>
      <c r="D3049" s="83" t="s">
        <v>629</v>
      </c>
      <c r="E3049" s="251" t="s">
        <v>1951</v>
      </c>
      <c r="F3049" s="124" t="s">
        <v>620</v>
      </c>
      <c r="G3049" s="130">
        <v>2004</v>
      </c>
      <c r="H3049" s="125" t="s">
        <v>732</v>
      </c>
      <c r="I3049" s="311" t="str">
        <f t="shared" si="122"/>
        <v>Pesado de Passageiros M3: I : Gasóleo : E3</v>
      </c>
      <c r="J3049" s="125">
        <v>74</v>
      </c>
      <c r="K3049" s="253">
        <v>2022</v>
      </c>
      <c r="L3049" s="129">
        <v>25277.8848</v>
      </c>
      <c r="M3049" s="85" t="s">
        <v>630</v>
      </c>
      <c r="N3049" s="128">
        <v>47328</v>
      </c>
      <c r="O3049" s="128">
        <f t="shared" si="121"/>
        <v>3502272</v>
      </c>
      <c r="P3049" s="125" t="s">
        <v>2102</v>
      </c>
      <c r="Q3049" s="85" t="s">
        <v>47</v>
      </c>
      <c r="R3049" s="214" t="s">
        <v>1869</v>
      </c>
      <c r="S3049" s="214" t="s">
        <v>1861</v>
      </c>
      <c r="T3049" s="85" t="s">
        <v>4055</v>
      </c>
      <c r="U3049" s="422" t="s">
        <v>1953</v>
      </c>
      <c r="V3049" s="422" t="s">
        <v>2813</v>
      </c>
    </row>
    <row r="3050" spans="1:22" ht="15.75" thickBot="1" x14ac:dyDescent="0.3">
      <c r="A3050" t="s">
        <v>1910</v>
      </c>
      <c r="B3050" t="s">
        <v>1910</v>
      </c>
      <c r="C3050" s="82" t="s">
        <v>1910</v>
      </c>
      <c r="D3050" s="83" t="s">
        <v>629</v>
      </c>
      <c r="E3050" s="251" t="s">
        <v>1951</v>
      </c>
      <c r="F3050" s="124" t="s">
        <v>620</v>
      </c>
      <c r="G3050" s="130">
        <v>2004</v>
      </c>
      <c r="H3050" s="125" t="s">
        <v>732</v>
      </c>
      <c r="I3050" s="311" t="str">
        <f t="shared" si="122"/>
        <v>Pesado de Passageiros M3: I : Gasóleo : E3</v>
      </c>
      <c r="J3050" s="125">
        <v>74</v>
      </c>
      <c r="K3050" s="253">
        <v>2022</v>
      </c>
      <c r="L3050" s="129">
        <v>26428.109900000003</v>
      </c>
      <c r="M3050" s="85" t="s">
        <v>630</v>
      </c>
      <c r="N3050" s="128">
        <v>44801</v>
      </c>
      <c r="O3050" s="128">
        <f t="shared" si="121"/>
        <v>3315274</v>
      </c>
      <c r="P3050" s="125" t="s">
        <v>2103</v>
      </c>
      <c r="Q3050" s="85" t="s">
        <v>47</v>
      </c>
      <c r="R3050" s="214" t="s">
        <v>1869</v>
      </c>
      <c r="S3050" s="214" t="s">
        <v>1861</v>
      </c>
      <c r="T3050" s="85" t="s">
        <v>4056</v>
      </c>
      <c r="U3050" s="422" t="s">
        <v>1953</v>
      </c>
      <c r="V3050" s="422" t="s">
        <v>2813</v>
      </c>
    </row>
    <row r="3051" spans="1:22" ht="15.75" thickBot="1" x14ac:dyDescent="0.3">
      <c r="A3051" t="s">
        <v>1910</v>
      </c>
      <c r="B3051" t="s">
        <v>1910</v>
      </c>
      <c r="C3051" s="82" t="s">
        <v>1910</v>
      </c>
      <c r="D3051" s="83" t="s">
        <v>629</v>
      </c>
      <c r="E3051" s="251" t="s">
        <v>1951</v>
      </c>
      <c r="F3051" s="124" t="s">
        <v>620</v>
      </c>
      <c r="G3051" s="130"/>
      <c r="H3051" s="125" t="s">
        <v>731</v>
      </c>
      <c r="I3051" s="311" t="str">
        <f t="shared" si="122"/>
        <v>Pesado de Passageiros M3: I : Gasóleo : E4</v>
      </c>
      <c r="J3051" s="125"/>
      <c r="K3051" s="253">
        <v>2022</v>
      </c>
      <c r="L3051" s="242">
        <v>16661.07</v>
      </c>
      <c r="M3051" s="85" t="s">
        <v>630</v>
      </c>
      <c r="N3051" s="128">
        <v>33747</v>
      </c>
      <c r="O3051" s="128">
        <f t="shared" si="121"/>
        <v>0</v>
      </c>
      <c r="P3051" s="125" t="s">
        <v>3338</v>
      </c>
      <c r="Q3051" s="85" t="s">
        <v>47</v>
      </c>
      <c r="R3051" s="214" t="s">
        <v>1869</v>
      </c>
      <c r="S3051" s="214" t="s">
        <v>1861</v>
      </c>
      <c r="T3051" s="85" t="s">
        <v>3448</v>
      </c>
      <c r="U3051" s="422" t="s">
        <v>1953</v>
      </c>
      <c r="V3051" s="422" t="s">
        <v>2813</v>
      </c>
    </row>
    <row r="3052" spans="1:22" ht="15.75" thickBot="1" x14ac:dyDescent="0.3">
      <c r="A3052" t="s">
        <v>1910</v>
      </c>
      <c r="B3052" t="s">
        <v>1910</v>
      </c>
      <c r="C3052" s="82" t="s">
        <v>1910</v>
      </c>
      <c r="D3052" s="83" t="s">
        <v>629</v>
      </c>
      <c r="E3052" s="251" t="s">
        <v>1951</v>
      </c>
      <c r="F3052" s="124" t="s">
        <v>620</v>
      </c>
      <c r="G3052" s="130">
        <v>1997</v>
      </c>
      <c r="H3052" s="125" t="s">
        <v>735</v>
      </c>
      <c r="I3052" s="311" t="str">
        <f t="shared" si="122"/>
        <v>Pesado de Passageiros M3: I : Gasóleo : E2</v>
      </c>
      <c r="J3052" s="125">
        <v>74</v>
      </c>
      <c r="K3052" s="253">
        <v>2022</v>
      </c>
      <c r="L3052" s="129">
        <v>18098.368000000002</v>
      </c>
      <c r="M3052" s="85" t="s">
        <v>630</v>
      </c>
      <c r="N3052" s="128">
        <v>37760</v>
      </c>
      <c r="O3052" s="128">
        <f t="shared" si="121"/>
        <v>2794240</v>
      </c>
      <c r="P3052" s="125" t="s">
        <v>2134</v>
      </c>
      <c r="Q3052" s="85" t="s">
        <v>47</v>
      </c>
      <c r="R3052" s="214" t="s">
        <v>1869</v>
      </c>
      <c r="S3052" s="214" t="s">
        <v>1861</v>
      </c>
      <c r="T3052" s="85" t="s">
        <v>4057</v>
      </c>
      <c r="U3052" s="422" t="s">
        <v>1953</v>
      </c>
      <c r="V3052" s="422" t="s">
        <v>2813</v>
      </c>
    </row>
    <row r="3053" spans="1:22" ht="15.75" thickBot="1" x14ac:dyDescent="0.3">
      <c r="A3053" t="s">
        <v>1910</v>
      </c>
      <c r="B3053" t="s">
        <v>1910</v>
      </c>
      <c r="C3053" s="82" t="s">
        <v>1910</v>
      </c>
      <c r="D3053" s="83" t="s">
        <v>629</v>
      </c>
      <c r="E3053" s="251" t="s">
        <v>1951</v>
      </c>
      <c r="F3053" s="124" t="s">
        <v>620</v>
      </c>
      <c r="G3053" s="130">
        <v>1998</v>
      </c>
      <c r="H3053" s="125" t="s">
        <v>735</v>
      </c>
      <c r="I3053" s="311" t="str">
        <f t="shared" si="122"/>
        <v>Pesado de Passageiros M3: I : Gasóleo : E2</v>
      </c>
      <c r="J3053" s="125">
        <v>75</v>
      </c>
      <c r="K3053" s="253">
        <v>2022</v>
      </c>
      <c r="L3053" s="129">
        <v>13445.9776</v>
      </c>
      <c r="M3053" s="85" t="s">
        <v>630</v>
      </c>
      <c r="N3053" s="128">
        <v>26048</v>
      </c>
      <c r="O3053" s="128">
        <f t="shared" si="121"/>
        <v>1953600</v>
      </c>
      <c r="P3053" s="125" t="s">
        <v>2135</v>
      </c>
      <c r="Q3053" s="85" t="s">
        <v>47</v>
      </c>
      <c r="R3053" s="214" t="s">
        <v>1869</v>
      </c>
      <c r="S3053" s="214" t="s">
        <v>1861</v>
      </c>
      <c r="T3053" s="85" t="s">
        <v>4058</v>
      </c>
      <c r="U3053" s="422" t="s">
        <v>1953</v>
      </c>
      <c r="V3053" s="422" t="s">
        <v>2813</v>
      </c>
    </row>
    <row r="3054" spans="1:22" ht="15.75" thickBot="1" x14ac:dyDescent="0.3">
      <c r="A3054" t="s">
        <v>1910</v>
      </c>
      <c r="B3054" t="s">
        <v>1910</v>
      </c>
      <c r="C3054" s="82" t="s">
        <v>1910</v>
      </c>
      <c r="D3054" s="83" t="s">
        <v>629</v>
      </c>
      <c r="E3054" s="251" t="s">
        <v>1951</v>
      </c>
      <c r="F3054" s="124" t="s">
        <v>620</v>
      </c>
      <c r="G3054" s="130">
        <v>1997</v>
      </c>
      <c r="H3054" s="125" t="s">
        <v>735</v>
      </c>
      <c r="I3054" s="311" t="str">
        <f t="shared" si="122"/>
        <v>Pesado de Passageiros M3: I : Gasóleo : E2</v>
      </c>
      <c r="J3054" s="125">
        <v>74</v>
      </c>
      <c r="K3054" s="253">
        <v>2022</v>
      </c>
      <c r="L3054" s="129">
        <v>20932.0524</v>
      </c>
      <c r="M3054" s="85" t="s">
        <v>630</v>
      </c>
      <c r="N3054" s="128">
        <v>38003</v>
      </c>
      <c r="O3054" s="128">
        <f t="shared" si="121"/>
        <v>2812222</v>
      </c>
      <c r="P3054" s="125" t="s">
        <v>2147</v>
      </c>
      <c r="Q3054" s="85" t="s">
        <v>47</v>
      </c>
      <c r="R3054" s="214" t="s">
        <v>1869</v>
      </c>
      <c r="S3054" s="214" t="s">
        <v>1861</v>
      </c>
      <c r="T3054" s="85" t="s">
        <v>4059</v>
      </c>
      <c r="U3054" s="422" t="s">
        <v>1953</v>
      </c>
      <c r="V3054" s="422" t="s">
        <v>2813</v>
      </c>
    </row>
    <row r="3055" spans="1:22" ht="15.75" thickBot="1" x14ac:dyDescent="0.3">
      <c r="A3055" t="s">
        <v>1910</v>
      </c>
      <c r="B3055" t="s">
        <v>1910</v>
      </c>
      <c r="C3055" s="82" t="s">
        <v>1910</v>
      </c>
      <c r="D3055" s="83" t="s">
        <v>629</v>
      </c>
      <c r="E3055" s="251" t="s">
        <v>1951</v>
      </c>
      <c r="F3055" s="124" t="s">
        <v>620</v>
      </c>
      <c r="G3055" s="130">
        <v>2013</v>
      </c>
      <c r="H3055" s="125" t="s">
        <v>733</v>
      </c>
      <c r="I3055" s="311" t="str">
        <f t="shared" si="122"/>
        <v>Pesado de Passageiros M3: I : Gasóleo : E6</v>
      </c>
      <c r="J3055" s="125">
        <v>96</v>
      </c>
      <c r="K3055" s="253">
        <v>2022</v>
      </c>
      <c r="L3055" s="129">
        <v>15129.687000000002</v>
      </c>
      <c r="M3055" s="85" t="s">
        <v>630</v>
      </c>
      <c r="N3055" s="128">
        <v>36066</v>
      </c>
      <c r="O3055" s="128">
        <f t="shared" si="121"/>
        <v>3462336</v>
      </c>
      <c r="P3055" s="125" t="s">
        <v>2053</v>
      </c>
      <c r="Q3055" s="85" t="s">
        <v>47</v>
      </c>
      <c r="R3055" s="214" t="s">
        <v>1869</v>
      </c>
      <c r="S3055" s="214" t="s">
        <v>1861</v>
      </c>
      <c r="T3055" s="85" t="s">
        <v>4060</v>
      </c>
      <c r="U3055" s="422" t="s">
        <v>1953</v>
      </c>
      <c r="V3055" s="422" t="s">
        <v>2813</v>
      </c>
    </row>
    <row r="3056" spans="1:22" ht="15.75" thickBot="1" x14ac:dyDescent="0.3">
      <c r="A3056" t="s">
        <v>1910</v>
      </c>
      <c r="B3056" t="s">
        <v>1910</v>
      </c>
      <c r="C3056" s="82" t="s">
        <v>1910</v>
      </c>
      <c r="D3056" s="83" t="s">
        <v>629</v>
      </c>
      <c r="E3056" s="251" t="s">
        <v>1951</v>
      </c>
      <c r="F3056" s="124" t="s">
        <v>620</v>
      </c>
      <c r="G3056" s="130"/>
      <c r="H3056" s="125" t="s">
        <v>733</v>
      </c>
      <c r="I3056" s="311" t="str">
        <f t="shared" si="122"/>
        <v>Pesado de Passageiros M3: I : Gasóleo : E6</v>
      </c>
      <c r="J3056" s="125"/>
      <c r="K3056" s="253">
        <v>2022</v>
      </c>
      <c r="L3056" s="85">
        <v>151.62</v>
      </c>
      <c r="M3056" s="85" t="s">
        <v>630</v>
      </c>
      <c r="N3056" s="128">
        <v>266</v>
      </c>
      <c r="O3056" s="128">
        <f t="shared" si="121"/>
        <v>0</v>
      </c>
      <c r="P3056" s="125" t="s">
        <v>4392</v>
      </c>
      <c r="Q3056" s="85" t="s">
        <v>47</v>
      </c>
      <c r="R3056" s="214" t="s">
        <v>1869</v>
      </c>
      <c r="S3056" s="214" t="s">
        <v>1861</v>
      </c>
      <c r="T3056" s="85" t="s">
        <v>4061</v>
      </c>
      <c r="U3056" s="422" t="s">
        <v>1953</v>
      </c>
      <c r="V3056" s="422" t="s">
        <v>2813</v>
      </c>
    </row>
    <row r="3057" spans="1:22" ht="15.75" thickBot="1" x14ac:dyDescent="0.3">
      <c r="A3057" t="s">
        <v>1910</v>
      </c>
      <c r="B3057" t="s">
        <v>1910</v>
      </c>
      <c r="C3057" s="82" t="s">
        <v>1910</v>
      </c>
      <c r="D3057" s="83" t="s">
        <v>629</v>
      </c>
      <c r="E3057" s="251" t="s">
        <v>1951</v>
      </c>
      <c r="F3057" s="124" t="s">
        <v>620</v>
      </c>
      <c r="G3057" s="130">
        <v>2005</v>
      </c>
      <c r="H3057" s="125" t="s">
        <v>732</v>
      </c>
      <c r="I3057" s="311" t="str">
        <f t="shared" si="122"/>
        <v>Pesado de Passageiros M3: I : Gasóleo : E3</v>
      </c>
      <c r="J3057" s="125">
        <v>81</v>
      </c>
      <c r="K3057" s="253">
        <v>2022</v>
      </c>
      <c r="L3057" s="129">
        <v>16505.043400000002</v>
      </c>
      <c r="M3057" s="85" t="s">
        <v>630</v>
      </c>
      <c r="N3057" s="128">
        <v>29426</v>
      </c>
      <c r="O3057" s="128">
        <f t="shared" ref="O3057:O3120" si="123">N3057*J3057</f>
        <v>2383506</v>
      </c>
      <c r="P3057" s="125" t="s">
        <v>2127</v>
      </c>
      <c r="Q3057" s="85" t="s">
        <v>47</v>
      </c>
      <c r="R3057" s="214" t="s">
        <v>1869</v>
      </c>
      <c r="S3057" s="214" t="s">
        <v>1861</v>
      </c>
      <c r="T3057" s="85" t="s">
        <v>4062</v>
      </c>
      <c r="U3057" s="422" t="s">
        <v>1953</v>
      </c>
      <c r="V3057" s="422" t="s">
        <v>2813</v>
      </c>
    </row>
    <row r="3058" spans="1:22" ht="15.75" thickBot="1" x14ac:dyDescent="0.3">
      <c r="A3058" t="s">
        <v>1910</v>
      </c>
      <c r="B3058" t="s">
        <v>1910</v>
      </c>
      <c r="C3058" s="82" t="s">
        <v>1910</v>
      </c>
      <c r="D3058" s="83" t="s">
        <v>629</v>
      </c>
      <c r="E3058" s="251" t="s">
        <v>1951</v>
      </c>
      <c r="F3058" s="124" t="s">
        <v>620</v>
      </c>
      <c r="G3058" s="130">
        <v>2005</v>
      </c>
      <c r="H3058" s="125" t="s">
        <v>732</v>
      </c>
      <c r="I3058" s="311" t="str">
        <f t="shared" si="122"/>
        <v>Pesado de Passageiros M3: I : Gasóleo : E3</v>
      </c>
      <c r="J3058" s="125">
        <v>79</v>
      </c>
      <c r="K3058" s="253">
        <v>2022</v>
      </c>
      <c r="L3058" s="129">
        <v>13301.55</v>
      </c>
      <c r="M3058" s="85" t="s">
        <v>630</v>
      </c>
      <c r="N3058" s="128">
        <v>22545</v>
      </c>
      <c r="O3058" s="128">
        <f t="shared" si="123"/>
        <v>1781055</v>
      </c>
      <c r="P3058" s="125" t="s">
        <v>2128</v>
      </c>
      <c r="Q3058" s="85" t="s">
        <v>47</v>
      </c>
      <c r="R3058" s="214" t="s">
        <v>1869</v>
      </c>
      <c r="S3058" s="214" t="s">
        <v>1861</v>
      </c>
      <c r="T3058" s="85" t="s">
        <v>4063</v>
      </c>
      <c r="U3058" s="422" t="s">
        <v>1953</v>
      </c>
      <c r="V3058" s="422" t="s">
        <v>2813</v>
      </c>
    </row>
    <row r="3059" spans="1:22" ht="15.75" thickBot="1" x14ac:dyDescent="0.3">
      <c r="A3059" t="s">
        <v>1910</v>
      </c>
      <c r="B3059" t="s">
        <v>1910</v>
      </c>
      <c r="C3059" s="82" t="s">
        <v>1910</v>
      </c>
      <c r="D3059" s="83" t="s">
        <v>629</v>
      </c>
      <c r="E3059" s="251" t="s">
        <v>1951</v>
      </c>
      <c r="F3059" s="124" t="s">
        <v>620</v>
      </c>
      <c r="G3059" s="130"/>
      <c r="H3059" s="125" t="s">
        <v>732</v>
      </c>
      <c r="I3059" s="311" t="str">
        <f t="shared" si="122"/>
        <v>Pesado de Passageiros M3: I : Gasóleo : E3</v>
      </c>
      <c r="J3059" s="125"/>
      <c r="K3059" s="253">
        <v>2022</v>
      </c>
      <c r="L3059" s="242">
        <v>5870.3156999999992</v>
      </c>
      <c r="M3059" s="85" t="s">
        <v>630</v>
      </c>
      <c r="N3059" s="128">
        <v>15053</v>
      </c>
      <c r="O3059" s="128">
        <f t="shared" si="123"/>
        <v>0</v>
      </c>
      <c r="P3059" s="125" t="s">
        <v>2108</v>
      </c>
      <c r="Q3059" s="85" t="s">
        <v>47</v>
      </c>
      <c r="R3059" s="214" t="s">
        <v>1869</v>
      </c>
      <c r="S3059" s="214" t="s">
        <v>1861</v>
      </c>
      <c r="T3059" s="85" t="s">
        <v>3439</v>
      </c>
      <c r="U3059" s="422" t="s">
        <v>1953</v>
      </c>
      <c r="V3059" s="422" t="s">
        <v>2813</v>
      </c>
    </row>
    <row r="3060" spans="1:22" ht="15.75" thickBot="1" x14ac:dyDescent="0.3">
      <c r="A3060" t="s">
        <v>1910</v>
      </c>
      <c r="B3060" t="s">
        <v>1910</v>
      </c>
      <c r="C3060" s="82" t="s">
        <v>1910</v>
      </c>
      <c r="D3060" s="83" t="s">
        <v>629</v>
      </c>
      <c r="E3060" s="251" t="s">
        <v>1951</v>
      </c>
      <c r="F3060" s="124" t="s">
        <v>620</v>
      </c>
      <c r="G3060" s="130">
        <v>2004</v>
      </c>
      <c r="H3060" s="125" t="s">
        <v>732</v>
      </c>
      <c r="I3060" s="311" t="str">
        <f t="shared" si="122"/>
        <v>Pesado de Passageiros M3: I : Gasóleo : E3</v>
      </c>
      <c r="J3060" s="125">
        <v>97</v>
      </c>
      <c r="K3060" s="253">
        <v>2022</v>
      </c>
      <c r="L3060" s="129">
        <v>16674.034299999999</v>
      </c>
      <c r="M3060" s="85" t="s">
        <v>630</v>
      </c>
      <c r="N3060" s="128">
        <v>28391</v>
      </c>
      <c r="O3060" s="128">
        <f t="shared" si="123"/>
        <v>2753927</v>
      </c>
      <c r="P3060" s="125" t="s">
        <v>2108</v>
      </c>
      <c r="Q3060" s="85" t="s">
        <v>47</v>
      </c>
      <c r="R3060" s="214" t="s">
        <v>1869</v>
      </c>
      <c r="S3060" s="214" t="s">
        <v>1861</v>
      </c>
      <c r="T3060" s="85" t="s">
        <v>3439</v>
      </c>
      <c r="U3060" s="422" t="s">
        <v>1953</v>
      </c>
      <c r="V3060" s="422" t="s">
        <v>2813</v>
      </c>
    </row>
    <row r="3061" spans="1:22" ht="15.75" thickBot="1" x14ac:dyDescent="0.3">
      <c r="A3061" t="s">
        <v>1910</v>
      </c>
      <c r="B3061" t="s">
        <v>1910</v>
      </c>
      <c r="C3061" s="82" t="s">
        <v>1910</v>
      </c>
      <c r="D3061" s="83" t="s">
        <v>629</v>
      </c>
      <c r="E3061" s="251" t="s">
        <v>1951</v>
      </c>
      <c r="F3061" s="124" t="s">
        <v>620</v>
      </c>
      <c r="G3061" s="130">
        <v>2009</v>
      </c>
      <c r="H3061" s="125" t="s">
        <v>734</v>
      </c>
      <c r="I3061" s="311" t="str">
        <f t="shared" si="122"/>
        <v>Pesado de Passageiros M3: I : Gasóleo : E5</v>
      </c>
      <c r="J3061" s="125">
        <v>97</v>
      </c>
      <c r="K3061" s="253">
        <v>2022</v>
      </c>
      <c r="L3061" s="129">
        <v>28011.2196</v>
      </c>
      <c r="M3061" s="85" t="s">
        <v>630</v>
      </c>
      <c r="N3061" s="128">
        <v>69836</v>
      </c>
      <c r="O3061" s="128">
        <f t="shared" si="123"/>
        <v>6774092</v>
      </c>
      <c r="P3061" s="125" t="s">
        <v>2117</v>
      </c>
      <c r="Q3061" s="85" t="s">
        <v>47</v>
      </c>
      <c r="R3061" s="214" t="s">
        <v>1869</v>
      </c>
      <c r="S3061" s="214" t="s">
        <v>1861</v>
      </c>
      <c r="T3061" s="85" t="s">
        <v>4064</v>
      </c>
      <c r="U3061" s="422" t="s">
        <v>1953</v>
      </c>
      <c r="V3061" s="422" t="s">
        <v>2813</v>
      </c>
    </row>
    <row r="3062" spans="1:22" ht="15.75" thickBot="1" x14ac:dyDescent="0.3">
      <c r="A3062" t="s">
        <v>1910</v>
      </c>
      <c r="B3062" t="s">
        <v>1910</v>
      </c>
      <c r="C3062" s="82" t="s">
        <v>1910</v>
      </c>
      <c r="D3062" s="83" t="s">
        <v>629</v>
      </c>
      <c r="E3062" s="251" t="s">
        <v>1951</v>
      </c>
      <c r="F3062" s="124" t="s">
        <v>620</v>
      </c>
      <c r="G3062" s="130">
        <v>2013</v>
      </c>
      <c r="H3062" s="125" t="s">
        <v>733</v>
      </c>
      <c r="I3062" s="311" t="str">
        <f t="shared" ref="I3062:I3125" si="124">D3062&amp;": "&amp;E3062&amp;" : "&amp;F3062&amp;" : "&amp;H3062</f>
        <v>Pesado de Passageiros M3: I : Gasóleo : E6</v>
      </c>
      <c r="J3062" s="125">
        <v>73</v>
      </c>
      <c r="K3062" s="253">
        <v>2022</v>
      </c>
      <c r="L3062" s="129">
        <v>24677.913600000003</v>
      </c>
      <c r="M3062" s="85" t="s">
        <v>630</v>
      </c>
      <c r="N3062" s="128">
        <v>62208</v>
      </c>
      <c r="O3062" s="128">
        <f t="shared" si="123"/>
        <v>4541184</v>
      </c>
      <c r="P3062" s="125" t="s">
        <v>2052</v>
      </c>
      <c r="Q3062" s="85" t="s">
        <v>47</v>
      </c>
      <c r="R3062" s="214" t="s">
        <v>1869</v>
      </c>
      <c r="S3062" s="214" t="s">
        <v>1861</v>
      </c>
      <c r="T3062" s="85" t="s">
        <v>4065</v>
      </c>
      <c r="U3062" s="422" t="s">
        <v>1953</v>
      </c>
      <c r="V3062" s="422" t="s">
        <v>2813</v>
      </c>
    </row>
    <row r="3063" spans="1:22" ht="15.75" thickBot="1" x14ac:dyDescent="0.3">
      <c r="A3063" t="s">
        <v>1910</v>
      </c>
      <c r="B3063" t="s">
        <v>1910</v>
      </c>
      <c r="C3063" s="82" t="s">
        <v>1910</v>
      </c>
      <c r="D3063" s="83" t="s">
        <v>629</v>
      </c>
      <c r="E3063" s="251" t="s">
        <v>1951</v>
      </c>
      <c r="F3063" s="124" t="s">
        <v>620</v>
      </c>
      <c r="G3063" s="130">
        <v>2000</v>
      </c>
      <c r="H3063" s="125" t="s">
        <v>732</v>
      </c>
      <c r="I3063" s="311" t="str">
        <f t="shared" si="124"/>
        <v>Pesado de Passageiros M3: I : Gasóleo : E3</v>
      </c>
      <c r="J3063" s="125">
        <v>81</v>
      </c>
      <c r="K3063" s="253">
        <v>2022</v>
      </c>
      <c r="L3063" s="129">
        <v>22628.560000000001</v>
      </c>
      <c r="M3063" s="85" t="s">
        <v>630</v>
      </c>
      <c r="N3063" s="128">
        <v>46370</v>
      </c>
      <c r="O3063" s="128">
        <f t="shared" si="123"/>
        <v>3755970</v>
      </c>
      <c r="P3063" s="125" t="s">
        <v>2176</v>
      </c>
      <c r="Q3063" s="85" t="s">
        <v>47</v>
      </c>
      <c r="R3063" s="214" t="s">
        <v>1869</v>
      </c>
      <c r="S3063" s="214" t="s">
        <v>1861</v>
      </c>
      <c r="T3063" s="85" t="s">
        <v>4066</v>
      </c>
      <c r="U3063" s="422" t="s">
        <v>1953</v>
      </c>
      <c r="V3063" s="422" t="s">
        <v>2813</v>
      </c>
    </row>
    <row r="3064" spans="1:22" ht="15.75" thickBot="1" x14ac:dyDescent="0.3">
      <c r="A3064" t="s">
        <v>1910</v>
      </c>
      <c r="B3064" t="s">
        <v>1910</v>
      </c>
      <c r="C3064" s="82" t="s">
        <v>1910</v>
      </c>
      <c r="D3064" s="83" t="s">
        <v>629</v>
      </c>
      <c r="E3064" s="251" t="s">
        <v>1951</v>
      </c>
      <c r="F3064" s="124" t="s">
        <v>620</v>
      </c>
      <c r="G3064" s="130">
        <v>2000</v>
      </c>
      <c r="H3064" s="125" t="s">
        <v>732</v>
      </c>
      <c r="I3064" s="311" t="str">
        <f t="shared" si="124"/>
        <v>Pesado de Passageiros M3: I : Gasóleo : E3</v>
      </c>
      <c r="J3064" s="125">
        <v>81</v>
      </c>
      <c r="K3064" s="253">
        <v>2022</v>
      </c>
      <c r="L3064" s="129">
        <v>23333.183999999997</v>
      </c>
      <c r="M3064" s="85" t="s">
        <v>630</v>
      </c>
      <c r="N3064" s="128">
        <v>51440</v>
      </c>
      <c r="O3064" s="128">
        <f t="shared" si="123"/>
        <v>4166640</v>
      </c>
      <c r="P3064" s="125" t="s">
        <v>2177</v>
      </c>
      <c r="Q3064" s="85" t="s">
        <v>47</v>
      </c>
      <c r="R3064" s="214" t="s">
        <v>1869</v>
      </c>
      <c r="S3064" s="214" t="s">
        <v>1861</v>
      </c>
      <c r="T3064" s="85" t="s">
        <v>4067</v>
      </c>
      <c r="U3064" s="422" t="s">
        <v>1953</v>
      </c>
      <c r="V3064" s="422" t="s">
        <v>2813</v>
      </c>
    </row>
    <row r="3065" spans="1:22" ht="15.75" thickBot="1" x14ac:dyDescent="0.3">
      <c r="A3065" t="s">
        <v>1910</v>
      </c>
      <c r="B3065" t="s">
        <v>1910</v>
      </c>
      <c r="C3065" s="82" t="s">
        <v>1910</v>
      </c>
      <c r="D3065" s="83" t="s">
        <v>629</v>
      </c>
      <c r="E3065" s="251" t="s">
        <v>1951</v>
      </c>
      <c r="F3065" s="124" t="s">
        <v>620</v>
      </c>
      <c r="G3065" s="130">
        <v>2000</v>
      </c>
      <c r="H3065" s="125" t="s">
        <v>732</v>
      </c>
      <c r="I3065" s="311" t="str">
        <f t="shared" si="124"/>
        <v>Pesado de Passageiros M3: I : Gasóleo : E3</v>
      </c>
      <c r="J3065" s="125">
        <v>81</v>
      </c>
      <c r="K3065" s="253">
        <v>2022</v>
      </c>
      <c r="L3065" s="129">
        <v>20297.28</v>
      </c>
      <c r="M3065" s="85" t="s">
        <v>630</v>
      </c>
      <c r="N3065" s="128">
        <v>42286</v>
      </c>
      <c r="O3065" s="128">
        <f t="shared" si="123"/>
        <v>3425166</v>
      </c>
      <c r="P3065" s="125" t="s">
        <v>2178</v>
      </c>
      <c r="Q3065" s="85" t="s">
        <v>47</v>
      </c>
      <c r="R3065" s="214" t="s">
        <v>1869</v>
      </c>
      <c r="S3065" s="214" t="s">
        <v>1861</v>
      </c>
      <c r="T3065" s="85" t="s">
        <v>4068</v>
      </c>
      <c r="U3065" s="422" t="s">
        <v>1953</v>
      </c>
      <c r="V3065" s="422" t="s">
        <v>2813</v>
      </c>
    </row>
    <row r="3066" spans="1:22" ht="15.75" thickBot="1" x14ac:dyDescent="0.3">
      <c r="A3066" t="s">
        <v>1910</v>
      </c>
      <c r="B3066" t="s">
        <v>1910</v>
      </c>
      <c r="C3066" s="82" t="s">
        <v>1910</v>
      </c>
      <c r="D3066" s="83" t="s">
        <v>629</v>
      </c>
      <c r="E3066" s="251" t="s">
        <v>1951</v>
      </c>
      <c r="F3066" s="124" t="s">
        <v>620</v>
      </c>
      <c r="G3066" s="130">
        <v>2000</v>
      </c>
      <c r="H3066" s="125" t="s">
        <v>732</v>
      </c>
      <c r="I3066" s="311" t="str">
        <f t="shared" si="124"/>
        <v>Pesado de Passageiros M3: I : Gasóleo : E3</v>
      </c>
      <c r="J3066" s="125">
        <v>81</v>
      </c>
      <c r="K3066" s="253">
        <v>2022</v>
      </c>
      <c r="L3066" s="129">
        <v>29002.039199999999</v>
      </c>
      <c r="M3066" s="85" t="s">
        <v>630</v>
      </c>
      <c r="N3066" s="128">
        <v>55116</v>
      </c>
      <c r="O3066" s="128">
        <f t="shared" si="123"/>
        <v>4464396</v>
      </c>
      <c r="P3066" s="125" t="s">
        <v>2153</v>
      </c>
      <c r="Q3066" s="85" t="s">
        <v>47</v>
      </c>
      <c r="R3066" s="214" t="s">
        <v>1869</v>
      </c>
      <c r="S3066" s="214" t="s">
        <v>1861</v>
      </c>
      <c r="T3066" s="85" t="s">
        <v>4069</v>
      </c>
      <c r="U3066" s="422" t="s">
        <v>1953</v>
      </c>
      <c r="V3066" s="422" t="s">
        <v>2813</v>
      </c>
    </row>
    <row r="3067" spans="1:22" ht="15.75" thickBot="1" x14ac:dyDescent="0.3">
      <c r="A3067" t="s">
        <v>1910</v>
      </c>
      <c r="B3067" t="s">
        <v>1910</v>
      </c>
      <c r="C3067" s="82" t="s">
        <v>1910</v>
      </c>
      <c r="D3067" s="83" t="s">
        <v>629</v>
      </c>
      <c r="E3067" s="251" t="s">
        <v>1951</v>
      </c>
      <c r="F3067" s="124" t="s">
        <v>620</v>
      </c>
      <c r="G3067" s="130">
        <v>2008</v>
      </c>
      <c r="H3067" s="125" t="s">
        <v>734</v>
      </c>
      <c r="I3067" s="311" t="str">
        <f t="shared" si="124"/>
        <v>Pesado de Passageiros M3: I : Gasóleo : E5</v>
      </c>
      <c r="J3067" s="125">
        <v>57</v>
      </c>
      <c r="K3067" s="253">
        <v>2022</v>
      </c>
      <c r="L3067" s="129">
        <v>18948.531199999998</v>
      </c>
      <c r="M3067" s="85" t="s">
        <v>630</v>
      </c>
      <c r="N3067" s="128">
        <v>39296</v>
      </c>
      <c r="O3067" s="128">
        <f t="shared" si="123"/>
        <v>2239872</v>
      </c>
      <c r="P3067" s="125" t="s">
        <v>2025</v>
      </c>
      <c r="Q3067" s="85" t="s">
        <v>47</v>
      </c>
      <c r="R3067" s="214" t="s">
        <v>1869</v>
      </c>
      <c r="S3067" s="214" t="s">
        <v>1861</v>
      </c>
      <c r="T3067" s="85" t="s">
        <v>4070</v>
      </c>
      <c r="U3067" s="422" t="s">
        <v>1953</v>
      </c>
      <c r="V3067" s="422" t="s">
        <v>2813</v>
      </c>
    </row>
    <row r="3068" spans="1:22" ht="15.75" thickBot="1" x14ac:dyDescent="0.3">
      <c r="A3068" t="s">
        <v>1910</v>
      </c>
      <c r="B3068" t="s">
        <v>1910</v>
      </c>
      <c r="C3068" s="82" t="s">
        <v>1910</v>
      </c>
      <c r="D3068" s="83" t="s">
        <v>629</v>
      </c>
      <c r="E3068" s="251" t="s">
        <v>1951</v>
      </c>
      <c r="F3068" s="124" t="s">
        <v>620</v>
      </c>
      <c r="G3068" s="130"/>
      <c r="H3068" s="125" t="s">
        <v>731</v>
      </c>
      <c r="I3068" s="311" t="str">
        <f t="shared" si="124"/>
        <v>Pesado de Passageiros M3: I : Gasóleo : E4</v>
      </c>
      <c r="J3068" s="125"/>
      <c r="K3068" s="253">
        <v>2022</v>
      </c>
      <c r="L3068" s="85">
        <v>17713.5</v>
      </c>
      <c r="M3068" s="85" t="s">
        <v>630</v>
      </c>
      <c r="N3068" s="128">
        <v>36150</v>
      </c>
      <c r="O3068" s="128">
        <f t="shared" si="123"/>
        <v>0</v>
      </c>
      <c r="P3068" s="125" t="s">
        <v>3352</v>
      </c>
      <c r="Q3068" s="85" t="s">
        <v>47</v>
      </c>
      <c r="R3068" s="214" t="s">
        <v>1869</v>
      </c>
      <c r="S3068" s="214" t="s">
        <v>1861</v>
      </c>
      <c r="T3068" s="85" t="s">
        <v>3454</v>
      </c>
      <c r="U3068" s="422" t="s">
        <v>1953</v>
      </c>
      <c r="V3068" s="422" t="s">
        <v>2813</v>
      </c>
    </row>
    <row r="3069" spans="1:22" ht="15.75" thickBot="1" x14ac:dyDescent="0.3">
      <c r="A3069" t="s">
        <v>1910</v>
      </c>
      <c r="B3069" t="s">
        <v>1910</v>
      </c>
      <c r="C3069" s="82" t="s">
        <v>1910</v>
      </c>
      <c r="D3069" s="83" t="s">
        <v>629</v>
      </c>
      <c r="E3069" s="251" t="s">
        <v>1951</v>
      </c>
      <c r="F3069" s="124" t="s">
        <v>620</v>
      </c>
      <c r="G3069" s="130">
        <v>2010</v>
      </c>
      <c r="H3069" s="125" t="s">
        <v>734</v>
      </c>
      <c r="I3069" s="311" t="str">
        <f t="shared" si="124"/>
        <v>Pesado de Passageiros M3: I : Gasóleo : E5</v>
      </c>
      <c r="J3069" s="125">
        <v>29</v>
      </c>
      <c r="K3069" s="253">
        <v>2022</v>
      </c>
      <c r="L3069" s="129">
        <v>9184.3387999999995</v>
      </c>
      <c r="M3069" s="85" t="s">
        <v>630</v>
      </c>
      <c r="N3069" s="128">
        <v>30758</v>
      </c>
      <c r="O3069" s="128">
        <f t="shared" si="123"/>
        <v>891982</v>
      </c>
      <c r="P3069" s="125" t="s">
        <v>1972</v>
      </c>
      <c r="Q3069" s="85" t="s">
        <v>47</v>
      </c>
      <c r="R3069" s="214" t="s">
        <v>1869</v>
      </c>
      <c r="S3069" s="214" t="s">
        <v>1861</v>
      </c>
      <c r="T3069" s="85" t="s">
        <v>4071</v>
      </c>
      <c r="U3069" s="422" t="s">
        <v>1953</v>
      </c>
      <c r="V3069" s="422" t="s">
        <v>2813</v>
      </c>
    </row>
    <row r="3070" spans="1:22" ht="15.75" thickBot="1" x14ac:dyDescent="0.3">
      <c r="A3070" t="s">
        <v>1910</v>
      </c>
      <c r="B3070" t="s">
        <v>1910</v>
      </c>
      <c r="C3070" s="82" t="s">
        <v>1910</v>
      </c>
      <c r="D3070" s="83" t="s">
        <v>629</v>
      </c>
      <c r="E3070" s="251" t="s">
        <v>1951</v>
      </c>
      <c r="F3070" s="124" t="s">
        <v>620</v>
      </c>
      <c r="G3070" s="130">
        <v>2009</v>
      </c>
      <c r="H3070" s="125" t="s">
        <v>731</v>
      </c>
      <c r="I3070" s="311" t="str">
        <f t="shared" si="124"/>
        <v>Pesado de Passageiros M3: I : Gasóleo : E4</v>
      </c>
      <c r="J3070" s="125">
        <v>21</v>
      </c>
      <c r="K3070" s="253">
        <v>2022</v>
      </c>
      <c r="L3070" s="129">
        <v>8110.4655999999995</v>
      </c>
      <c r="M3070" s="85" t="s">
        <v>630</v>
      </c>
      <c r="N3070" s="128">
        <v>50564</v>
      </c>
      <c r="O3070" s="128">
        <f t="shared" si="123"/>
        <v>1061844</v>
      </c>
      <c r="P3070" s="125" t="s">
        <v>1964</v>
      </c>
      <c r="Q3070" s="85" t="s">
        <v>47</v>
      </c>
      <c r="R3070" s="214" t="s">
        <v>1869</v>
      </c>
      <c r="S3070" s="214" t="s">
        <v>1861</v>
      </c>
      <c r="T3070" s="85" t="s">
        <v>4072</v>
      </c>
      <c r="U3070" s="422" t="s">
        <v>1953</v>
      </c>
      <c r="V3070" s="422" t="s">
        <v>2813</v>
      </c>
    </row>
    <row r="3071" spans="1:22" ht="15.75" thickBot="1" x14ac:dyDescent="0.3">
      <c r="A3071" t="s">
        <v>1910</v>
      </c>
      <c r="B3071" t="s">
        <v>1910</v>
      </c>
      <c r="C3071" s="82" t="s">
        <v>1910</v>
      </c>
      <c r="D3071" s="83" t="s">
        <v>629</v>
      </c>
      <c r="E3071" s="251" t="s">
        <v>1951</v>
      </c>
      <c r="F3071" s="124" t="s">
        <v>620</v>
      </c>
      <c r="G3071" s="130">
        <v>2004</v>
      </c>
      <c r="H3071" s="125" t="s">
        <v>732</v>
      </c>
      <c r="I3071" s="311" t="str">
        <f t="shared" si="124"/>
        <v>Pesado de Passageiros M3: I : Gasóleo : E3</v>
      </c>
      <c r="J3071" s="125">
        <v>74</v>
      </c>
      <c r="K3071" s="253">
        <v>2022</v>
      </c>
      <c r="L3071" s="129">
        <v>25294.350200000001</v>
      </c>
      <c r="M3071" s="85" t="s">
        <v>630</v>
      </c>
      <c r="N3071" s="128">
        <v>50327</v>
      </c>
      <c r="O3071" s="128">
        <f t="shared" si="123"/>
        <v>3724198</v>
      </c>
      <c r="P3071" s="125" t="s">
        <v>2186</v>
      </c>
      <c r="Q3071" s="85" t="s">
        <v>47</v>
      </c>
      <c r="R3071" s="214" t="s">
        <v>1869</v>
      </c>
      <c r="S3071" s="214" t="s">
        <v>1861</v>
      </c>
      <c r="T3071" s="85" t="s">
        <v>4073</v>
      </c>
      <c r="U3071" s="422" t="s">
        <v>1953</v>
      </c>
      <c r="V3071" s="422" t="s">
        <v>2813</v>
      </c>
    </row>
    <row r="3072" spans="1:22" ht="15.75" thickBot="1" x14ac:dyDescent="0.3">
      <c r="A3072" t="s">
        <v>1910</v>
      </c>
      <c r="B3072" t="s">
        <v>1910</v>
      </c>
      <c r="C3072" s="82" t="s">
        <v>1910</v>
      </c>
      <c r="D3072" s="83" t="s">
        <v>629</v>
      </c>
      <c r="E3072" s="251" t="s">
        <v>1951</v>
      </c>
      <c r="F3072" s="124" t="s">
        <v>620</v>
      </c>
      <c r="G3072" s="130">
        <v>2003</v>
      </c>
      <c r="H3072" s="125" t="s">
        <v>732</v>
      </c>
      <c r="I3072" s="311" t="str">
        <f t="shared" si="124"/>
        <v>Pesado de Passageiros M3: I : Gasóleo : E3</v>
      </c>
      <c r="J3072" s="125">
        <v>78</v>
      </c>
      <c r="K3072" s="253">
        <v>2022</v>
      </c>
      <c r="L3072" s="129">
        <v>27703.845000000001</v>
      </c>
      <c r="M3072" s="85" t="s">
        <v>630</v>
      </c>
      <c r="N3072" s="128">
        <v>52026</v>
      </c>
      <c r="O3072" s="128">
        <f t="shared" si="123"/>
        <v>4058028</v>
      </c>
      <c r="P3072" s="125" t="s">
        <v>2087</v>
      </c>
      <c r="Q3072" s="85" t="s">
        <v>47</v>
      </c>
      <c r="R3072" s="214" t="s">
        <v>1869</v>
      </c>
      <c r="S3072" s="214" t="s">
        <v>1861</v>
      </c>
      <c r="T3072" s="85" t="s">
        <v>4074</v>
      </c>
      <c r="U3072" s="422" t="s">
        <v>1953</v>
      </c>
      <c r="V3072" s="422" t="s">
        <v>2813</v>
      </c>
    </row>
    <row r="3073" spans="1:22" ht="15.75" thickBot="1" x14ac:dyDescent="0.3">
      <c r="A3073" t="s">
        <v>1910</v>
      </c>
      <c r="B3073" t="s">
        <v>1910</v>
      </c>
      <c r="C3073" s="82" t="s">
        <v>1910</v>
      </c>
      <c r="D3073" s="83" t="s">
        <v>629</v>
      </c>
      <c r="E3073" s="251" t="s">
        <v>1951</v>
      </c>
      <c r="F3073" s="124" t="s">
        <v>620</v>
      </c>
      <c r="G3073" s="130">
        <v>2013</v>
      </c>
      <c r="H3073" s="125" t="s">
        <v>733</v>
      </c>
      <c r="I3073" s="311" t="str">
        <f t="shared" si="124"/>
        <v>Pesado de Passageiros M3: I : Gasóleo : E6</v>
      </c>
      <c r="J3073" s="125">
        <v>72</v>
      </c>
      <c r="K3073" s="253">
        <v>2022</v>
      </c>
      <c r="L3073" s="129">
        <v>12928.902900000001</v>
      </c>
      <c r="M3073" s="85" t="s">
        <v>630</v>
      </c>
      <c r="N3073" s="128">
        <v>31557</v>
      </c>
      <c r="O3073" s="128">
        <f t="shared" si="123"/>
        <v>2272104</v>
      </c>
      <c r="P3073" s="125" t="s">
        <v>2045</v>
      </c>
      <c r="Q3073" s="85" t="s">
        <v>47</v>
      </c>
      <c r="R3073" s="214" t="s">
        <v>1869</v>
      </c>
      <c r="S3073" s="214" t="s">
        <v>1861</v>
      </c>
      <c r="T3073" s="85" t="s">
        <v>4075</v>
      </c>
      <c r="U3073" s="422" t="s">
        <v>1953</v>
      </c>
      <c r="V3073" s="422" t="s">
        <v>2813</v>
      </c>
    </row>
    <row r="3074" spans="1:22" ht="15.75" thickBot="1" x14ac:dyDescent="0.3">
      <c r="A3074" t="s">
        <v>1910</v>
      </c>
      <c r="B3074" t="s">
        <v>1910</v>
      </c>
      <c r="C3074" s="82" t="s">
        <v>1910</v>
      </c>
      <c r="D3074" s="83" t="s">
        <v>629</v>
      </c>
      <c r="E3074" s="251" t="s">
        <v>1951</v>
      </c>
      <c r="F3074" s="124" t="s">
        <v>620</v>
      </c>
      <c r="G3074" s="130"/>
      <c r="H3074" s="125" t="s">
        <v>731</v>
      </c>
      <c r="I3074" s="311" t="str">
        <f t="shared" si="124"/>
        <v>Pesado de Passageiros M3: I : Gasóleo : E4</v>
      </c>
      <c r="J3074" s="125"/>
      <c r="K3074" s="253">
        <v>2022</v>
      </c>
      <c r="L3074" s="85">
        <v>17934.400000000001</v>
      </c>
      <c r="M3074" s="85" t="s">
        <v>630</v>
      </c>
      <c r="N3074" s="128">
        <v>32608</v>
      </c>
      <c r="O3074" s="128">
        <f t="shared" si="123"/>
        <v>0</v>
      </c>
      <c r="P3074" s="125" t="s">
        <v>3351</v>
      </c>
      <c r="Q3074" s="85" t="s">
        <v>47</v>
      </c>
      <c r="R3074" s="214" t="s">
        <v>1869</v>
      </c>
      <c r="S3074" s="214" t="s">
        <v>1861</v>
      </c>
      <c r="T3074" s="85" t="s">
        <v>3453</v>
      </c>
      <c r="U3074" s="422" t="s">
        <v>1953</v>
      </c>
      <c r="V3074" s="422" t="s">
        <v>2813</v>
      </c>
    </row>
    <row r="3075" spans="1:22" ht="15.75" thickBot="1" x14ac:dyDescent="0.3">
      <c r="A3075" t="s">
        <v>1910</v>
      </c>
      <c r="B3075" t="s">
        <v>1910</v>
      </c>
      <c r="C3075" s="82" t="s">
        <v>1910</v>
      </c>
      <c r="D3075" s="83" t="s">
        <v>629</v>
      </c>
      <c r="E3075" s="251" t="s">
        <v>1951</v>
      </c>
      <c r="F3075" s="124" t="s">
        <v>620</v>
      </c>
      <c r="G3075" s="130"/>
      <c r="H3075" s="125" t="s">
        <v>731</v>
      </c>
      <c r="I3075" s="311" t="str">
        <f t="shared" si="124"/>
        <v>Pesado de Passageiros M3: I : Gasóleo : E4</v>
      </c>
      <c r="J3075" s="125"/>
      <c r="K3075" s="253">
        <v>2022</v>
      </c>
      <c r="L3075" s="85">
        <v>13603.23</v>
      </c>
      <c r="M3075" s="85" t="s">
        <v>630</v>
      </c>
      <c r="N3075" s="128">
        <v>26673</v>
      </c>
      <c r="O3075" s="128">
        <f t="shared" si="123"/>
        <v>0</v>
      </c>
      <c r="P3075" s="125" t="s">
        <v>3358</v>
      </c>
      <c r="Q3075" s="85" t="s">
        <v>47</v>
      </c>
      <c r="R3075" s="214" t="s">
        <v>1869</v>
      </c>
      <c r="S3075" s="214" t="s">
        <v>1861</v>
      </c>
      <c r="T3075" s="85" t="s">
        <v>4076</v>
      </c>
      <c r="U3075" s="422" t="s">
        <v>1953</v>
      </c>
      <c r="V3075" s="422" t="s">
        <v>2813</v>
      </c>
    </row>
    <row r="3076" spans="1:22" ht="15.75" thickBot="1" x14ac:dyDescent="0.3">
      <c r="A3076" t="s">
        <v>1910</v>
      </c>
      <c r="B3076" t="s">
        <v>1910</v>
      </c>
      <c r="C3076" s="82" t="s">
        <v>1910</v>
      </c>
      <c r="D3076" s="83" t="s">
        <v>629</v>
      </c>
      <c r="E3076" s="251" t="s">
        <v>1951</v>
      </c>
      <c r="F3076" s="124" t="s">
        <v>620</v>
      </c>
      <c r="G3076" s="130"/>
      <c r="H3076" s="125" t="s">
        <v>731</v>
      </c>
      <c r="I3076" s="311" t="str">
        <f t="shared" si="124"/>
        <v>Pesado de Passageiros M3: I : Gasóleo : E4</v>
      </c>
      <c r="J3076" s="125"/>
      <c r="K3076" s="253">
        <v>2022</v>
      </c>
      <c r="L3076" s="85">
        <v>14553</v>
      </c>
      <c r="M3076" s="85" t="s">
        <v>630</v>
      </c>
      <c r="N3076" s="128">
        <v>26460</v>
      </c>
      <c r="O3076" s="128">
        <f t="shared" si="123"/>
        <v>0</v>
      </c>
      <c r="P3076" s="125" t="s">
        <v>3350</v>
      </c>
      <c r="Q3076" s="85" t="s">
        <v>47</v>
      </c>
      <c r="R3076" s="214" t="s">
        <v>1869</v>
      </c>
      <c r="S3076" s="214" t="s">
        <v>1861</v>
      </c>
      <c r="T3076" s="85" t="s">
        <v>4077</v>
      </c>
      <c r="U3076" s="422" t="s">
        <v>1953</v>
      </c>
      <c r="V3076" s="422" t="s">
        <v>2813</v>
      </c>
    </row>
    <row r="3077" spans="1:22" ht="15.75" thickBot="1" x14ac:dyDescent="0.3">
      <c r="A3077" t="s">
        <v>1910</v>
      </c>
      <c r="B3077" t="s">
        <v>1910</v>
      </c>
      <c r="C3077" s="82" t="s">
        <v>1910</v>
      </c>
      <c r="D3077" s="83" t="s">
        <v>629</v>
      </c>
      <c r="E3077" s="251" t="s">
        <v>1951</v>
      </c>
      <c r="F3077" s="124" t="s">
        <v>620</v>
      </c>
      <c r="G3077" s="130">
        <v>2014</v>
      </c>
      <c r="H3077" s="125" t="s">
        <v>733</v>
      </c>
      <c r="I3077" s="311" t="str">
        <f t="shared" si="124"/>
        <v>Pesado de Passageiros M3: I : Gasóleo : E6</v>
      </c>
      <c r="J3077" s="125">
        <v>72</v>
      </c>
      <c r="K3077" s="253">
        <v>2022</v>
      </c>
      <c r="L3077" s="129">
        <v>17815.551600000003</v>
      </c>
      <c r="M3077" s="85" t="s">
        <v>630</v>
      </c>
      <c r="N3077" s="128">
        <v>41998</v>
      </c>
      <c r="O3077" s="128">
        <f t="shared" si="123"/>
        <v>3023856</v>
      </c>
      <c r="P3077" s="125" t="s">
        <v>2044</v>
      </c>
      <c r="Q3077" s="85" t="s">
        <v>47</v>
      </c>
      <c r="R3077" s="214" t="s">
        <v>1869</v>
      </c>
      <c r="S3077" s="214" t="s">
        <v>1861</v>
      </c>
      <c r="T3077" s="85" t="s">
        <v>4078</v>
      </c>
      <c r="U3077" s="422" t="s">
        <v>1953</v>
      </c>
      <c r="V3077" s="422" t="s">
        <v>2813</v>
      </c>
    </row>
    <row r="3078" spans="1:22" ht="15.75" thickBot="1" x14ac:dyDescent="0.3">
      <c r="A3078" t="s">
        <v>1910</v>
      </c>
      <c r="B3078" t="s">
        <v>1910</v>
      </c>
      <c r="C3078" s="82" t="s">
        <v>1910</v>
      </c>
      <c r="D3078" s="83" t="s">
        <v>629</v>
      </c>
      <c r="E3078" s="251" t="s">
        <v>1951</v>
      </c>
      <c r="F3078" s="124" t="s">
        <v>620</v>
      </c>
      <c r="G3078" s="130">
        <v>2014</v>
      </c>
      <c r="H3078" s="125" t="s">
        <v>733</v>
      </c>
      <c r="I3078" s="311" t="str">
        <f t="shared" si="124"/>
        <v>Pesado de Passageiros M3: I : Gasóleo : E6</v>
      </c>
      <c r="J3078" s="125">
        <v>96</v>
      </c>
      <c r="K3078" s="253">
        <v>2022</v>
      </c>
      <c r="L3078" s="129">
        <v>28090.985099999998</v>
      </c>
      <c r="M3078" s="85" t="s">
        <v>630</v>
      </c>
      <c r="N3078" s="128">
        <v>56487</v>
      </c>
      <c r="O3078" s="128">
        <f t="shared" si="123"/>
        <v>5422752</v>
      </c>
      <c r="P3078" s="125" t="s">
        <v>2043</v>
      </c>
      <c r="Q3078" s="85" t="s">
        <v>47</v>
      </c>
      <c r="R3078" s="214" t="s">
        <v>1869</v>
      </c>
      <c r="S3078" s="214" t="s">
        <v>1861</v>
      </c>
      <c r="T3078" s="85" t="s">
        <v>4079</v>
      </c>
      <c r="U3078" s="422" t="s">
        <v>1953</v>
      </c>
      <c r="V3078" s="422" t="s">
        <v>2813</v>
      </c>
    </row>
    <row r="3079" spans="1:22" ht="15.75" thickBot="1" x14ac:dyDescent="0.3">
      <c r="A3079" t="s">
        <v>1910</v>
      </c>
      <c r="B3079" t="s">
        <v>1910</v>
      </c>
      <c r="C3079" s="82" t="s">
        <v>1910</v>
      </c>
      <c r="D3079" s="83" t="s">
        <v>629</v>
      </c>
      <c r="E3079" s="251" t="s">
        <v>1951</v>
      </c>
      <c r="F3079" s="124" t="s">
        <v>620</v>
      </c>
      <c r="G3079" s="130"/>
      <c r="H3079" s="125" t="s">
        <v>731</v>
      </c>
      <c r="I3079" s="311" t="str">
        <f t="shared" si="124"/>
        <v>Pesado de Passageiros M3: I : Gasóleo : E4</v>
      </c>
      <c r="J3079" s="125"/>
      <c r="K3079" s="253">
        <v>2022</v>
      </c>
      <c r="L3079" s="85">
        <v>9814.44</v>
      </c>
      <c r="M3079" s="85" t="s">
        <v>630</v>
      </c>
      <c r="N3079" s="128">
        <v>19244</v>
      </c>
      <c r="O3079" s="128">
        <f t="shared" si="123"/>
        <v>0</v>
      </c>
      <c r="P3079" s="125" t="s">
        <v>3348</v>
      </c>
      <c r="Q3079" s="85" t="s">
        <v>47</v>
      </c>
      <c r="R3079" s="214" t="s">
        <v>1869</v>
      </c>
      <c r="S3079" s="214" t="s">
        <v>1861</v>
      </c>
      <c r="T3079" s="85" t="s">
        <v>4080</v>
      </c>
      <c r="U3079" s="422" t="s">
        <v>1953</v>
      </c>
      <c r="V3079" s="422" t="s">
        <v>2813</v>
      </c>
    </row>
    <row r="3080" spans="1:22" ht="15.75" thickBot="1" x14ac:dyDescent="0.3">
      <c r="A3080" t="s">
        <v>1910</v>
      </c>
      <c r="B3080" t="s">
        <v>1910</v>
      </c>
      <c r="C3080" s="82" t="s">
        <v>1910</v>
      </c>
      <c r="D3080" s="83" t="s">
        <v>629</v>
      </c>
      <c r="E3080" s="251" t="s">
        <v>1951</v>
      </c>
      <c r="F3080" s="124" t="s">
        <v>620</v>
      </c>
      <c r="G3080" s="130">
        <v>2014</v>
      </c>
      <c r="H3080" s="125" t="s">
        <v>733</v>
      </c>
      <c r="I3080" s="311" t="str">
        <f t="shared" si="124"/>
        <v>Pesado de Passageiros M3: I : Gasóleo : E6</v>
      </c>
      <c r="J3080" s="125">
        <v>96</v>
      </c>
      <c r="K3080" s="253">
        <v>2022</v>
      </c>
      <c r="L3080" s="129">
        <v>25628.86</v>
      </c>
      <c r="M3080" s="85" t="s">
        <v>630</v>
      </c>
      <c r="N3080" s="128">
        <v>59602</v>
      </c>
      <c r="O3080" s="128">
        <f t="shared" si="123"/>
        <v>5721792</v>
      </c>
      <c r="P3080" s="125" t="s">
        <v>2034</v>
      </c>
      <c r="Q3080" s="85" t="s">
        <v>47</v>
      </c>
      <c r="R3080" s="214" t="s">
        <v>1869</v>
      </c>
      <c r="S3080" s="214" t="s">
        <v>1861</v>
      </c>
      <c r="T3080" s="85" t="s">
        <v>4081</v>
      </c>
      <c r="U3080" s="422" t="s">
        <v>1953</v>
      </c>
      <c r="V3080" s="422" t="s">
        <v>2813</v>
      </c>
    </row>
    <row r="3081" spans="1:22" ht="15.75" thickBot="1" x14ac:dyDescent="0.3">
      <c r="A3081" t="s">
        <v>1910</v>
      </c>
      <c r="B3081" t="s">
        <v>1910</v>
      </c>
      <c r="C3081" s="82" t="s">
        <v>1910</v>
      </c>
      <c r="D3081" s="83" t="s">
        <v>629</v>
      </c>
      <c r="E3081" s="251" t="s">
        <v>1951</v>
      </c>
      <c r="F3081" s="124" t="s">
        <v>620</v>
      </c>
      <c r="G3081" s="130"/>
      <c r="H3081" s="125" t="s">
        <v>732</v>
      </c>
      <c r="I3081" s="311" t="str">
        <f t="shared" si="124"/>
        <v>Pesado de Passageiros M3: I : Gasóleo : E3</v>
      </c>
      <c r="J3081" s="125"/>
      <c r="K3081" s="253">
        <v>2022</v>
      </c>
      <c r="L3081" s="85">
        <v>9534.35</v>
      </c>
      <c r="M3081" s="85" t="s">
        <v>630</v>
      </c>
      <c r="N3081" s="128">
        <v>27241</v>
      </c>
      <c r="O3081" s="128">
        <f t="shared" si="123"/>
        <v>0</v>
      </c>
      <c r="P3081" s="125" t="s">
        <v>3334</v>
      </c>
      <c r="Q3081" s="85" t="s">
        <v>47</v>
      </c>
      <c r="R3081" s="214" t="s">
        <v>1869</v>
      </c>
      <c r="S3081" s="214" t="s">
        <v>1861</v>
      </c>
      <c r="T3081" s="85" t="s">
        <v>4082</v>
      </c>
      <c r="U3081" s="422" t="s">
        <v>1953</v>
      </c>
      <c r="V3081" s="422" t="s">
        <v>2813</v>
      </c>
    </row>
    <row r="3082" spans="1:22" ht="15.75" thickBot="1" x14ac:dyDescent="0.3">
      <c r="A3082" t="s">
        <v>1910</v>
      </c>
      <c r="B3082" t="s">
        <v>1910</v>
      </c>
      <c r="C3082" s="82" t="s">
        <v>1910</v>
      </c>
      <c r="D3082" s="83" t="s">
        <v>629</v>
      </c>
      <c r="E3082" s="251" t="s">
        <v>1951</v>
      </c>
      <c r="F3082" s="124" t="s">
        <v>620</v>
      </c>
      <c r="G3082" s="130"/>
      <c r="H3082" s="125" t="s">
        <v>732</v>
      </c>
      <c r="I3082" s="311" t="str">
        <f t="shared" si="124"/>
        <v>Pesado de Passageiros M3: I : Gasóleo : E3</v>
      </c>
      <c r="J3082" s="125"/>
      <c r="K3082" s="253">
        <v>2022</v>
      </c>
      <c r="L3082" s="85">
        <v>11374.3</v>
      </c>
      <c r="M3082" s="85" t="s">
        <v>630</v>
      </c>
      <c r="N3082" s="128">
        <v>32498</v>
      </c>
      <c r="O3082" s="128">
        <f t="shared" si="123"/>
        <v>0</v>
      </c>
      <c r="P3082" s="125" t="s">
        <v>3330</v>
      </c>
      <c r="Q3082" s="85" t="s">
        <v>47</v>
      </c>
      <c r="R3082" s="214" t="s">
        <v>1869</v>
      </c>
      <c r="S3082" s="214" t="s">
        <v>1861</v>
      </c>
      <c r="T3082" s="85" t="s">
        <v>4083</v>
      </c>
      <c r="U3082" s="422" t="s">
        <v>1953</v>
      </c>
      <c r="V3082" s="422" t="s">
        <v>2813</v>
      </c>
    </row>
    <row r="3083" spans="1:22" ht="15.75" thickBot="1" x14ac:dyDescent="0.3">
      <c r="A3083" t="s">
        <v>1910</v>
      </c>
      <c r="B3083" t="s">
        <v>1910</v>
      </c>
      <c r="C3083" s="82" t="s">
        <v>1910</v>
      </c>
      <c r="D3083" s="83" t="s">
        <v>629</v>
      </c>
      <c r="E3083" s="251" t="s">
        <v>1951</v>
      </c>
      <c r="F3083" s="124" t="s">
        <v>620</v>
      </c>
      <c r="G3083" s="130">
        <v>2009</v>
      </c>
      <c r="H3083" s="125" t="s">
        <v>731</v>
      </c>
      <c r="I3083" s="311" t="str">
        <f t="shared" si="124"/>
        <v>Pesado de Passageiros M3: I : Gasóleo : E4</v>
      </c>
      <c r="J3083" s="125">
        <v>21</v>
      </c>
      <c r="K3083" s="253">
        <v>2022</v>
      </c>
      <c r="L3083" s="129">
        <v>10832.0049</v>
      </c>
      <c r="M3083" s="85" t="s">
        <v>630</v>
      </c>
      <c r="N3083" s="128">
        <v>41077</v>
      </c>
      <c r="O3083" s="128">
        <f t="shared" si="123"/>
        <v>862617</v>
      </c>
      <c r="P3083" s="125" t="s">
        <v>1970</v>
      </c>
      <c r="Q3083" s="85" t="s">
        <v>47</v>
      </c>
      <c r="R3083" s="214" t="s">
        <v>1869</v>
      </c>
      <c r="S3083" s="214" t="s">
        <v>1861</v>
      </c>
      <c r="T3083" s="85" t="s">
        <v>4084</v>
      </c>
      <c r="U3083" s="422" t="s">
        <v>1953</v>
      </c>
      <c r="V3083" s="422" t="s">
        <v>2813</v>
      </c>
    </row>
    <row r="3084" spans="1:22" ht="15.75" thickBot="1" x14ac:dyDescent="0.3">
      <c r="A3084" t="s">
        <v>1910</v>
      </c>
      <c r="B3084" t="s">
        <v>1910</v>
      </c>
      <c r="C3084" s="82" t="s">
        <v>1910</v>
      </c>
      <c r="D3084" s="83" t="s">
        <v>629</v>
      </c>
      <c r="E3084" s="251" t="s">
        <v>1951</v>
      </c>
      <c r="F3084" s="124" t="s">
        <v>620</v>
      </c>
      <c r="G3084" s="130">
        <v>1997</v>
      </c>
      <c r="H3084" s="125" t="s">
        <v>735</v>
      </c>
      <c r="I3084" s="311" t="str">
        <f t="shared" si="124"/>
        <v>Pesado de Passageiros M3: I : Gasóleo : E2</v>
      </c>
      <c r="J3084" s="125">
        <v>110</v>
      </c>
      <c r="K3084" s="253">
        <v>2022</v>
      </c>
      <c r="L3084" s="129">
        <v>20809.8488</v>
      </c>
      <c r="M3084" s="85" t="s">
        <v>630</v>
      </c>
      <c r="N3084" s="128">
        <v>25688</v>
      </c>
      <c r="O3084" s="128">
        <f t="shared" si="123"/>
        <v>2825680</v>
      </c>
      <c r="P3084" s="125" t="s">
        <v>2198</v>
      </c>
      <c r="Q3084" s="85" t="s">
        <v>47</v>
      </c>
      <c r="R3084" s="214" t="s">
        <v>1869</v>
      </c>
      <c r="S3084" s="214" t="s">
        <v>1861</v>
      </c>
      <c r="T3084" s="85" t="s">
        <v>4085</v>
      </c>
      <c r="U3084" s="422" t="s">
        <v>1953</v>
      </c>
      <c r="V3084" s="422" t="s">
        <v>2813</v>
      </c>
    </row>
    <row r="3085" spans="1:22" ht="15.75" thickBot="1" x14ac:dyDescent="0.3">
      <c r="A3085" t="s">
        <v>1910</v>
      </c>
      <c r="B3085" t="s">
        <v>1910</v>
      </c>
      <c r="C3085" s="82" t="s">
        <v>1910</v>
      </c>
      <c r="D3085" s="83" t="s">
        <v>629</v>
      </c>
      <c r="E3085" s="251" t="s">
        <v>1951</v>
      </c>
      <c r="F3085" s="124" t="s">
        <v>620</v>
      </c>
      <c r="G3085" s="130">
        <v>2004</v>
      </c>
      <c r="H3085" s="125" t="s">
        <v>732</v>
      </c>
      <c r="I3085" s="311" t="str">
        <f t="shared" si="124"/>
        <v>Pesado de Passageiros M3: I : Gasóleo : E3</v>
      </c>
      <c r="J3085" s="125">
        <v>88</v>
      </c>
      <c r="K3085" s="253">
        <v>2022</v>
      </c>
      <c r="L3085" s="129">
        <v>31925.995200000001</v>
      </c>
      <c r="M3085" s="85" t="s">
        <v>630</v>
      </c>
      <c r="N3085" s="128">
        <v>57816</v>
      </c>
      <c r="O3085" s="128">
        <f t="shared" si="123"/>
        <v>5087808</v>
      </c>
      <c r="P3085" s="125" t="s">
        <v>2160</v>
      </c>
      <c r="Q3085" s="85" t="s">
        <v>47</v>
      </c>
      <c r="R3085" s="214" t="s">
        <v>1869</v>
      </c>
      <c r="S3085" s="214" t="s">
        <v>1861</v>
      </c>
      <c r="T3085" s="85" t="s">
        <v>4086</v>
      </c>
      <c r="U3085" s="422" t="s">
        <v>1953</v>
      </c>
      <c r="V3085" s="422" t="s">
        <v>2813</v>
      </c>
    </row>
    <row r="3086" spans="1:22" ht="15.75" thickBot="1" x14ac:dyDescent="0.3">
      <c r="A3086" t="s">
        <v>1910</v>
      </c>
      <c r="B3086" t="s">
        <v>1910</v>
      </c>
      <c r="C3086" s="82" t="s">
        <v>1910</v>
      </c>
      <c r="D3086" s="83" t="s">
        <v>629</v>
      </c>
      <c r="E3086" s="251" t="s">
        <v>1951</v>
      </c>
      <c r="F3086" s="124" t="s">
        <v>620</v>
      </c>
      <c r="G3086" s="130">
        <v>2004</v>
      </c>
      <c r="H3086" s="125" t="s">
        <v>732</v>
      </c>
      <c r="I3086" s="311" t="str">
        <f t="shared" si="124"/>
        <v>Pesado de Passageiros M3: I : Gasóleo : E3</v>
      </c>
      <c r="J3086" s="125">
        <v>88</v>
      </c>
      <c r="K3086" s="253">
        <v>2022</v>
      </c>
      <c r="L3086" s="129">
        <v>34705.831600000005</v>
      </c>
      <c r="M3086" s="85" t="s">
        <v>630</v>
      </c>
      <c r="N3086" s="128">
        <v>62612</v>
      </c>
      <c r="O3086" s="128">
        <f t="shared" si="123"/>
        <v>5509856</v>
      </c>
      <c r="P3086" s="125" t="s">
        <v>2161</v>
      </c>
      <c r="Q3086" s="85" t="s">
        <v>47</v>
      </c>
      <c r="R3086" s="214" t="s">
        <v>1869</v>
      </c>
      <c r="S3086" s="214" t="s">
        <v>1861</v>
      </c>
      <c r="T3086" s="85" t="s">
        <v>4087</v>
      </c>
      <c r="U3086" s="422" t="s">
        <v>1953</v>
      </c>
      <c r="V3086" s="422" t="s">
        <v>2813</v>
      </c>
    </row>
    <row r="3087" spans="1:22" ht="15.75" thickBot="1" x14ac:dyDescent="0.3">
      <c r="A3087" t="s">
        <v>1910</v>
      </c>
      <c r="B3087" t="s">
        <v>1910</v>
      </c>
      <c r="C3087" s="82" t="s">
        <v>1910</v>
      </c>
      <c r="D3087" s="83" t="s">
        <v>629</v>
      </c>
      <c r="E3087" s="251" t="s">
        <v>1951</v>
      </c>
      <c r="F3087" s="124" t="s">
        <v>620</v>
      </c>
      <c r="G3087" s="130">
        <v>2004</v>
      </c>
      <c r="H3087" s="125" t="s">
        <v>732</v>
      </c>
      <c r="I3087" s="311" t="str">
        <f t="shared" si="124"/>
        <v>Pesado de Passageiros M3: I : Gasóleo : E3</v>
      </c>
      <c r="J3087" s="125">
        <v>92</v>
      </c>
      <c r="K3087" s="253">
        <v>2022</v>
      </c>
      <c r="L3087" s="129">
        <v>27299.624100000001</v>
      </c>
      <c r="M3087" s="85" t="s">
        <v>630</v>
      </c>
      <c r="N3087" s="128">
        <v>48207</v>
      </c>
      <c r="O3087" s="128">
        <f t="shared" si="123"/>
        <v>4435044</v>
      </c>
      <c r="P3087" s="125" t="s">
        <v>2163</v>
      </c>
      <c r="Q3087" s="85" t="s">
        <v>47</v>
      </c>
      <c r="R3087" s="214" t="s">
        <v>1869</v>
      </c>
      <c r="S3087" s="214" t="s">
        <v>1861</v>
      </c>
      <c r="T3087" s="85" t="s">
        <v>4088</v>
      </c>
      <c r="U3087" s="422" t="s">
        <v>1953</v>
      </c>
      <c r="V3087" s="422" t="s">
        <v>2813</v>
      </c>
    </row>
    <row r="3088" spans="1:22" ht="15.75" thickBot="1" x14ac:dyDescent="0.3">
      <c r="A3088" t="s">
        <v>1910</v>
      </c>
      <c r="B3088" t="s">
        <v>1910</v>
      </c>
      <c r="C3088" s="82" t="s">
        <v>1910</v>
      </c>
      <c r="D3088" s="83" t="s">
        <v>629</v>
      </c>
      <c r="E3088" s="251" t="s">
        <v>1951</v>
      </c>
      <c r="F3088" s="124" t="s">
        <v>620</v>
      </c>
      <c r="G3088" s="130">
        <v>2004</v>
      </c>
      <c r="H3088" s="125" t="s">
        <v>732</v>
      </c>
      <c r="I3088" s="311" t="str">
        <f t="shared" si="124"/>
        <v>Pesado de Passageiros M3: I : Gasóleo : E3</v>
      </c>
      <c r="J3088" s="125">
        <v>72</v>
      </c>
      <c r="K3088" s="253">
        <v>2022</v>
      </c>
      <c r="L3088" s="129">
        <v>25769.270100000002</v>
      </c>
      <c r="M3088" s="85" t="s">
        <v>630</v>
      </c>
      <c r="N3088" s="128">
        <v>54677</v>
      </c>
      <c r="O3088" s="128">
        <f t="shared" si="123"/>
        <v>3936744</v>
      </c>
      <c r="P3088" s="125" t="s">
        <v>2096</v>
      </c>
      <c r="Q3088" s="85" t="s">
        <v>47</v>
      </c>
      <c r="R3088" s="214" t="s">
        <v>1869</v>
      </c>
      <c r="S3088" s="214" t="s">
        <v>1861</v>
      </c>
      <c r="T3088" s="85" t="s">
        <v>4089</v>
      </c>
      <c r="U3088" s="422" t="s">
        <v>1953</v>
      </c>
      <c r="V3088" s="422" t="s">
        <v>2813</v>
      </c>
    </row>
    <row r="3089" spans="1:22" ht="15.75" thickBot="1" x14ac:dyDescent="0.3">
      <c r="A3089" t="s">
        <v>1910</v>
      </c>
      <c r="B3089" t="s">
        <v>1910</v>
      </c>
      <c r="C3089" s="82" t="s">
        <v>1910</v>
      </c>
      <c r="D3089" s="83" t="s">
        <v>629</v>
      </c>
      <c r="E3089" s="251" t="s">
        <v>1951</v>
      </c>
      <c r="F3089" s="124" t="s">
        <v>620</v>
      </c>
      <c r="G3089" s="130">
        <v>2004</v>
      </c>
      <c r="H3089" s="125" t="s">
        <v>732</v>
      </c>
      <c r="I3089" s="311" t="str">
        <f t="shared" si="124"/>
        <v>Pesado de Passageiros M3: I : Gasóleo : E3</v>
      </c>
      <c r="J3089" s="125">
        <v>74</v>
      </c>
      <c r="K3089" s="253">
        <v>2022</v>
      </c>
      <c r="L3089" s="129">
        <v>33130.151600000005</v>
      </c>
      <c r="M3089" s="85" t="s">
        <v>630</v>
      </c>
      <c r="N3089" s="128">
        <v>62699</v>
      </c>
      <c r="O3089" s="128">
        <f t="shared" si="123"/>
        <v>4639726</v>
      </c>
      <c r="P3089" s="125" t="s">
        <v>2097</v>
      </c>
      <c r="Q3089" s="85" t="s">
        <v>47</v>
      </c>
      <c r="R3089" s="214" t="s">
        <v>1869</v>
      </c>
      <c r="S3089" s="214" t="s">
        <v>1861</v>
      </c>
      <c r="T3089" s="85" t="s">
        <v>4090</v>
      </c>
      <c r="U3089" s="422" t="s">
        <v>1953</v>
      </c>
      <c r="V3089" s="422" t="s">
        <v>2813</v>
      </c>
    </row>
    <row r="3090" spans="1:22" ht="15.75" thickBot="1" x14ac:dyDescent="0.3">
      <c r="A3090" t="s">
        <v>1910</v>
      </c>
      <c r="B3090" t="s">
        <v>1910</v>
      </c>
      <c r="C3090" s="82" t="s">
        <v>1910</v>
      </c>
      <c r="D3090" s="83" t="s">
        <v>629</v>
      </c>
      <c r="E3090" s="251" t="s">
        <v>1951</v>
      </c>
      <c r="F3090" s="124" t="s">
        <v>620</v>
      </c>
      <c r="G3090" s="130">
        <v>1996</v>
      </c>
      <c r="H3090" s="125" t="s">
        <v>736</v>
      </c>
      <c r="I3090" s="311" t="str">
        <f t="shared" si="124"/>
        <v>Pesado de Passageiros M3: I : Gasóleo : E1</v>
      </c>
      <c r="J3090" s="125">
        <v>110</v>
      </c>
      <c r="K3090" s="253">
        <v>2022</v>
      </c>
      <c r="L3090" s="129">
        <v>17753.226000000002</v>
      </c>
      <c r="M3090" s="85" t="s">
        <v>630</v>
      </c>
      <c r="N3090" s="128">
        <v>27653</v>
      </c>
      <c r="O3090" s="128">
        <f t="shared" si="123"/>
        <v>3041830</v>
      </c>
      <c r="P3090" s="125" t="s">
        <v>2199</v>
      </c>
      <c r="Q3090" s="85" t="s">
        <v>47</v>
      </c>
      <c r="R3090" s="214" t="s">
        <v>1869</v>
      </c>
      <c r="S3090" s="214" t="s">
        <v>1861</v>
      </c>
      <c r="T3090" s="85" t="s">
        <v>4091</v>
      </c>
      <c r="U3090" s="422" t="s">
        <v>1953</v>
      </c>
      <c r="V3090" s="422" t="s">
        <v>2813</v>
      </c>
    </row>
    <row r="3091" spans="1:22" ht="15.75" thickBot="1" x14ac:dyDescent="0.3">
      <c r="A3091" t="s">
        <v>1910</v>
      </c>
      <c r="B3091" t="s">
        <v>1910</v>
      </c>
      <c r="C3091" s="82" t="s">
        <v>1910</v>
      </c>
      <c r="D3091" s="83" t="s">
        <v>629</v>
      </c>
      <c r="E3091" s="251" t="s">
        <v>1951</v>
      </c>
      <c r="F3091" s="124" t="s">
        <v>620</v>
      </c>
      <c r="G3091" s="130">
        <v>1995</v>
      </c>
      <c r="H3091" s="125" t="s">
        <v>736</v>
      </c>
      <c r="I3091" s="311" t="str">
        <f t="shared" si="124"/>
        <v>Pesado de Passageiros M3: I : Gasóleo : E1</v>
      </c>
      <c r="J3091" s="125">
        <v>120</v>
      </c>
      <c r="K3091" s="253">
        <v>2022</v>
      </c>
      <c r="L3091" s="129">
        <v>21585.39</v>
      </c>
      <c r="M3091" s="85" t="s">
        <v>630</v>
      </c>
      <c r="N3091" s="128">
        <v>32217</v>
      </c>
      <c r="O3091" s="128">
        <f t="shared" si="123"/>
        <v>3866040</v>
      </c>
      <c r="P3091" s="125" t="s">
        <v>2194</v>
      </c>
      <c r="Q3091" s="85" t="s">
        <v>47</v>
      </c>
      <c r="R3091" s="214" t="s">
        <v>1869</v>
      </c>
      <c r="S3091" s="214" t="s">
        <v>1861</v>
      </c>
      <c r="T3091" s="85" t="s">
        <v>4092</v>
      </c>
      <c r="U3091" s="422" t="s">
        <v>1953</v>
      </c>
      <c r="V3091" s="422" t="s">
        <v>2813</v>
      </c>
    </row>
    <row r="3092" spans="1:22" ht="15.75" thickBot="1" x14ac:dyDescent="0.3">
      <c r="A3092" t="s">
        <v>1910</v>
      </c>
      <c r="B3092" t="s">
        <v>1910</v>
      </c>
      <c r="C3092" s="82" t="s">
        <v>1910</v>
      </c>
      <c r="D3092" s="83" t="s">
        <v>629</v>
      </c>
      <c r="E3092" s="251" t="s">
        <v>1951</v>
      </c>
      <c r="F3092" s="124" t="s">
        <v>620</v>
      </c>
      <c r="G3092" s="130"/>
      <c r="H3092" s="125" t="s">
        <v>731</v>
      </c>
      <c r="I3092" s="311" t="str">
        <f t="shared" si="124"/>
        <v>Pesado de Passageiros M3: I : Gasóleo : E4</v>
      </c>
      <c r="J3092" s="125"/>
      <c r="K3092" s="253">
        <v>2022</v>
      </c>
      <c r="L3092" s="85">
        <v>8564.0499999999993</v>
      </c>
      <c r="M3092" s="85" t="s">
        <v>630</v>
      </c>
      <c r="N3092" s="128">
        <v>15571</v>
      </c>
      <c r="O3092" s="128">
        <f t="shared" si="123"/>
        <v>0</v>
      </c>
      <c r="P3092" s="125" t="s">
        <v>3360</v>
      </c>
      <c r="Q3092" s="85" t="s">
        <v>47</v>
      </c>
      <c r="R3092" s="214" t="s">
        <v>1869</v>
      </c>
      <c r="S3092" s="214" t="s">
        <v>1861</v>
      </c>
      <c r="T3092" s="85" t="s">
        <v>4093</v>
      </c>
      <c r="U3092" s="422" t="s">
        <v>1953</v>
      </c>
      <c r="V3092" s="422" t="s">
        <v>2813</v>
      </c>
    </row>
    <row r="3093" spans="1:22" ht="15.75" thickBot="1" x14ac:dyDescent="0.3">
      <c r="A3093" t="s">
        <v>1910</v>
      </c>
      <c r="B3093" t="s">
        <v>1910</v>
      </c>
      <c r="C3093" s="82" t="s">
        <v>1910</v>
      </c>
      <c r="D3093" s="83" t="s">
        <v>629</v>
      </c>
      <c r="E3093" s="251" t="s">
        <v>1951</v>
      </c>
      <c r="F3093" s="124" t="s">
        <v>620</v>
      </c>
      <c r="G3093" s="130"/>
      <c r="H3093" s="125" t="s">
        <v>731</v>
      </c>
      <c r="I3093" s="311" t="str">
        <f t="shared" si="124"/>
        <v>Pesado de Passageiros M3: I : Gasóleo : E4</v>
      </c>
      <c r="J3093" s="125"/>
      <c r="K3093" s="253">
        <v>2022</v>
      </c>
      <c r="L3093" s="85">
        <v>10393.9</v>
      </c>
      <c r="M3093" s="85" t="s">
        <v>630</v>
      </c>
      <c r="N3093" s="128">
        <v>18898</v>
      </c>
      <c r="O3093" s="128">
        <f t="shared" si="123"/>
        <v>0</v>
      </c>
      <c r="P3093" s="125" t="s">
        <v>3359</v>
      </c>
      <c r="Q3093" s="85" t="s">
        <v>47</v>
      </c>
      <c r="R3093" s="214" t="s">
        <v>1869</v>
      </c>
      <c r="S3093" s="214" t="s">
        <v>1861</v>
      </c>
      <c r="T3093" s="85" t="s">
        <v>3457</v>
      </c>
      <c r="U3093" s="422" t="s">
        <v>1953</v>
      </c>
      <c r="V3093" s="422" t="s">
        <v>2813</v>
      </c>
    </row>
    <row r="3094" spans="1:22" ht="15.75" thickBot="1" x14ac:dyDescent="0.3">
      <c r="A3094" t="s">
        <v>1910</v>
      </c>
      <c r="B3094" t="s">
        <v>1910</v>
      </c>
      <c r="C3094" s="82" t="s">
        <v>1910</v>
      </c>
      <c r="D3094" s="83" t="s">
        <v>629</v>
      </c>
      <c r="E3094" s="251" t="s">
        <v>1951</v>
      </c>
      <c r="F3094" s="124" t="s">
        <v>620</v>
      </c>
      <c r="G3094" s="130">
        <v>2004</v>
      </c>
      <c r="H3094" s="125" t="s">
        <v>732</v>
      </c>
      <c r="I3094" s="311" t="str">
        <f t="shared" si="124"/>
        <v>Pesado de Passageiros M3: I : Gasóleo : E3</v>
      </c>
      <c r="J3094" s="125">
        <v>72</v>
      </c>
      <c r="K3094" s="253">
        <v>2022</v>
      </c>
      <c r="L3094" s="129">
        <v>26729.751600000003</v>
      </c>
      <c r="M3094" s="85" t="s">
        <v>630</v>
      </c>
      <c r="N3094" s="128">
        <v>59638</v>
      </c>
      <c r="O3094" s="128">
        <f t="shared" si="123"/>
        <v>4293936</v>
      </c>
      <c r="P3094" s="125" t="s">
        <v>2095</v>
      </c>
      <c r="Q3094" s="85" t="s">
        <v>47</v>
      </c>
      <c r="R3094" s="214" t="s">
        <v>1869</v>
      </c>
      <c r="S3094" s="214" t="s">
        <v>1861</v>
      </c>
      <c r="T3094" s="85" t="s">
        <v>4094</v>
      </c>
      <c r="U3094" s="422" t="s">
        <v>1953</v>
      </c>
      <c r="V3094" s="422" t="s">
        <v>2813</v>
      </c>
    </row>
    <row r="3095" spans="1:22" ht="15.75" thickBot="1" x14ac:dyDescent="0.3">
      <c r="A3095" t="s">
        <v>1910</v>
      </c>
      <c r="B3095" t="s">
        <v>1910</v>
      </c>
      <c r="C3095" s="82" t="s">
        <v>1910</v>
      </c>
      <c r="D3095" s="83" t="s">
        <v>629</v>
      </c>
      <c r="E3095" s="251" t="s">
        <v>1951</v>
      </c>
      <c r="F3095" s="124" t="s">
        <v>620</v>
      </c>
      <c r="G3095" s="130">
        <v>2013</v>
      </c>
      <c r="H3095" s="125" t="s">
        <v>733</v>
      </c>
      <c r="I3095" s="311" t="str">
        <f t="shared" si="124"/>
        <v>Pesado de Passageiros M3: I : Gasóleo : E6</v>
      </c>
      <c r="J3095" s="125">
        <v>72</v>
      </c>
      <c r="K3095" s="253">
        <v>2022</v>
      </c>
      <c r="L3095" s="129">
        <v>29987.317500000001</v>
      </c>
      <c r="M3095" s="85" t="s">
        <v>630</v>
      </c>
      <c r="N3095" s="128">
        <v>70575</v>
      </c>
      <c r="O3095" s="128">
        <f t="shared" si="123"/>
        <v>5081400</v>
      </c>
      <c r="P3095" s="125" t="s">
        <v>2055</v>
      </c>
      <c r="Q3095" s="85" t="s">
        <v>47</v>
      </c>
      <c r="R3095" s="214" t="s">
        <v>1869</v>
      </c>
      <c r="S3095" s="214" t="s">
        <v>1861</v>
      </c>
      <c r="T3095" s="85" t="s">
        <v>4095</v>
      </c>
      <c r="U3095" s="422" t="s">
        <v>1953</v>
      </c>
      <c r="V3095" s="422" t="s">
        <v>2813</v>
      </c>
    </row>
    <row r="3096" spans="1:22" ht="15.75" thickBot="1" x14ac:dyDescent="0.3">
      <c r="A3096" t="s">
        <v>1910</v>
      </c>
      <c r="B3096" t="s">
        <v>1910</v>
      </c>
      <c r="C3096" s="82" t="s">
        <v>1910</v>
      </c>
      <c r="D3096" s="83" t="s">
        <v>629</v>
      </c>
      <c r="E3096" s="251" t="s">
        <v>1951</v>
      </c>
      <c r="F3096" s="124" t="s">
        <v>620</v>
      </c>
      <c r="G3096" s="130">
        <v>2000</v>
      </c>
      <c r="H3096" s="125" t="s">
        <v>732</v>
      </c>
      <c r="I3096" s="311" t="str">
        <f t="shared" si="124"/>
        <v>Pesado de Passageiros M3: I : Gasóleo : E3</v>
      </c>
      <c r="J3096" s="125">
        <v>81</v>
      </c>
      <c r="K3096" s="253">
        <v>2022</v>
      </c>
      <c r="L3096" s="129">
        <v>11524.957</v>
      </c>
      <c r="M3096" s="85" t="s">
        <v>630</v>
      </c>
      <c r="N3096" s="128">
        <v>23110</v>
      </c>
      <c r="O3096" s="128">
        <f t="shared" si="123"/>
        <v>1871910</v>
      </c>
      <c r="P3096" s="125" t="s">
        <v>2154</v>
      </c>
      <c r="Q3096" s="85" t="s">
        <v>47</v>
      </c>
      <c r="R3096" s="214" t="s">
        <v>1869</v>
      </c>
      <c r="S3096" s="214" t="s">
        <v>1861</v>
      </c>
      <c r="T3096" s="85" t="s">
        <v>4096</v>
      </c>
      <c r="U3096" s="422" t="s">
        <v>1953</v>
      </c>
      <c r="V3096" s="422" t="s">
        <v>2813</v>
      </c>
    </row>
    <row r="3097" spans="1:22" ht="15.75" thickBot="1" x14ac:dyDescent="0.3">
      <c r="A3097" t="s">
        <v>1910</v>
      </c>
      <c r="B3097" t="s">
        <v>1910</v>
      </c>
      <c r="C3097" s="82" t="s">
        <v>1910</v>
      </c>
      <c r="D3097" s="83" t="s">
        <v>629</v>
      </c>
      <c r="E3097" s="251" t="s">
        <v>1951</v>
      </c>
      <c r="F3097" s="124" t="s">
        <v>620</v>
      </c>
      <c r="G3097" s="130"/>
      <c r="H3097" s="125" t="s">
        <v>731</v>
      </c>
      <c r="I3097" s="311" t="str">
        <f t="shared" si="124"/>
        <v>Pesado de Passageiros M3: I : Gasóleo : E4</v>
      </c>
      <c r="J3097" s="125"/>
      <c r="K3097" s="253">
        <v>2022</v>
      </c>
      <c r="L3097" s="85">
        <v>7944.25</v>
      </c>
      <c r="M3097" s="85" t="s">
        <v>630</v>
      </c>
      <c r="N3097" s="128">
        <v>18475</v>
      </c>
      <c r="O3097" s="128">
        <f t="shared" si="123"/>
        <v>0</v>
      </c>
      <c r="P3097" s="125" t="s">
        <v>3353</v>
      </c>
      <c r="Q3097" s="85" t="s">
        <v>47</v>
      </c>
      <c r="R3097" s="214" t="s">
        <v>1869</v>
      </c>
      <c r="S3097" s="214" t="s">
        <v>1861</v>
      </c>
      <c r="T3097" s="85" t="s">
        <v>3455</v>
      </c>
      <c r="U3097" s="422" t="s">
        <v>1953</v>
      </c>
      <c r="V3097" s="422" t="s">
        <v>2813</v>
      </c>
    </row>
    <row r="3098" spans="1:22" ht="15.75" thickBot="1" x14ac:dyDescent="0.3">
      <c r="A3098" t="s">
        <v>1910</v>
      </c>
      <c r="B3098" t="s">
        <v>1910</v>
      </c>
      <c r="C3098" s="82" t="s">
        <v>1910</v>
      </c>
      <c r="D3098" s="83" t="s">
        <v>629</v>
      </c>
      <c r="E3098" s="251" t="s">
        <v>1951</v>
      </c>
      <c r="F3098" s="124" t="s">
        <v>620</v>
      </c>
      <c r="G3098" s="130"/>
      <c r="H3098" s="125" t="s">
        <v>731</v>
      </c>
      <c r="I3098" s="311" t="str">
        <f t="shared" si="124"/>
        <v>Pesado de Passageiros M3: I : Gasóleo : E4</v>
      </c>
      <c r="J3098" s="125"/>
      <c r="K3098" s="253">
        <v>2022</v>
      </c>
      <c r="L3098" s="85">
        <v>27616.6</v>
      </c>
      <c r="M3098" s="85" t="s">
        <v>630</v>
      </c>
      <c r="N3098" s="128">
        <v>50212</v>
      </c>
      <c r="O3098" s="128">
        <f t="shared" si="123"/>
        <v>0</v>
      </c>
      <c r="P3098" s="125" t="s">
        <v>3344</v>
      </c>
      <c r="Q3098" s="85" t="s">
        <v>47</v>
      </c>
      <c r="R3098" s="214" t="s">
        <v>1869</v>
      </c>
      <c r="S3098" s="214" t="s">
        <v>1861</v>
      </c>
      <c r="T3098" s="85" t="s">
        <v>4097</v>
      </c>
      <c r="U3098" s="422" t="s">
        <v>1953</v>
      </c>
      <c r="V3098" s="422" t="s">
        <v>2813</v>
      </c>
    </row>
    <row r="3099" spans="1:22" ht="15.75" thickBot="1" x14ac:dyDescent="0.3">
      <c r="A3099" t="s">
        <v>1910</v>
      </c>
      <c r="B3099" t="s">
        <v>1910</v>
      </c>
      <c r="C3099" s="82" t="s">
        <v>1910</v>
      </c>
      <c r="D3099" s="83" t="s">
        <v>629</v>
      </c>
      <c r="E3099" s="251" t="s">
        <v>1951</v>
      </c>
      <c r="F3099" s="124" t="s">
        <v>620</v>
      </c>
      <c r="G3099" s="130">
        <v>2020</v>
      </c>
      <c r="H3099" s="125" t="s">
        <v>733</v>
      </c>
      <c r="I3099" s="311" t="str">
        <f t="shared" si="124"/>
        <v>Pesado de Passageiros M3: I : Gasóleo : E6</v>
      </c>
      <c r="J3099" s="125">
        <v>108</v>
      </c>
      <c r="K3099" s="253">
        <v>2022</v>
      </c>
      <c r="L3099" s="129">
        <v>27477.19</v>
      </c>
      <c r="M3099" s="85" t="s">
        <v>630</v>
      </c>
      <c r="N3099" s="128">
        <v>63050</v>
      </c>
      <c r="O3099" s="128">
        <f t="shared" si="123"/>
        <v>6809400</v>
      </c>
      <c r="P3099" s="125" t="s">
        <v>2062</v>
      </c>
      <c r="Q3099" s="85" t="s">
        <v>47</v>
      </c>
      <c r="R3099" s="214" t="s">
        <v>1869</v>
      </c>
      <c r="S3099" s="214" t="s">
        <v>1861</v>
      </c>
      <c r="T3099" s="85" t="s">
        <v>4098</v>
      </c>
      <c r="U3099" s="422" t="s">
        <v>1953</v>
      </c>
      <c r="V3099" s="422" t="s">
        <v>2813</v>
      </c>
    </row>
    <row r="3100" spans="1:22" ht="15.75" thickBot="1" x14ac:dyDescent="0.3">
      <c r="A3100" t="s">
        <v>1910</v>
      </c>
      <c r="B3100" t="s">
        <v>1910</v>
      </c>
      <c r="C3100" s="82" t="s">
        <v>1910</v>
      </c>
      <c r="D3100" s="83" t="s">
        <v>629</v>
      </c>
      <c r="E3100" s="251" t="s">
        <v>1951</v>
      </c>
      <c r="F3100" s="124" t="s">
        <v>620</v>
      </c>
      <c r="G3100" s="130">
        <v>2020</v>
      </c>
      <c r="H3100" s="125" t="s">
        <v>733</v>
      </c>
      <c r="I3100" s="311" t="str">
        <f t="shared" si="124"/>
        <v>Pesado de Passageiros M3: I : Gasóleo : E6</v>
      </c>
      <c r="J3100" s="125">
        <v>108</v>
      </c>
      <c r="K3100" s="253">
        <v>2022</v>
      </c>
      <c r="L3100" s="129">
        <v>30274.3125</v>
      </c>
      <c r="M3100" s="85" t="s">
        <v>630</v>
      </c>
      <c r="N3100" s="128">
        <v>66875</v>
      </c>
      <c r="O3100" s="128">
        <f t="shared" si="123"/>
        <v>7222500</v>
      </c>
      <c r="P3100" s="125" t="s">
        <v>2063</v>
      </c>
      <c r="Q3100" s="85" t="s">
        <v>47</v>
      </c>
      <c r="R3100" s="214" t="s">
        <v>1869</v>
      </c>
      <c r="S3100" s="214" t="s">
        <v>1861</v>
      </c>
      <c r="T3100" s="85" t="s">
        <v>4099</v>
      </c>
      <c r="U3100" s="422" t="s">
        <v>1953</v>
      </c>
      <c r="V3100" s="422" t="s">
        <v>2813</v>
      </c>
    </row>
    <row r="3101" spans="1:22" ht="15.75" thickBot="1" x14ac:dyDescent="0.3">
      <c r="A3101" t="s">
        <v>1910</v>
      </c>
      <c r="B3101" t="s">
        <v>1910</v>
      </c>
      <c r="C3101" s="82" t="s">
        <v>1910</v>
      </c>
      <c r="D3101" s="83" t="s">
        <v>629</v>
      </c>
      <c r="E3101" s="251" t="s">
        <v>1951</v>
      </c>
      <c r="F3101" s="124" t="s">
        <v>620</v>
      </c>
      <c r="G3101" s="130">
        <v>1994</v>
      </c>
      <c r="H3101" s="125" t="s">
        <v>736</v>
      </c>
      <c r="I3101" s="311" t="str">
        <f t="shared" si="124"/>
        <v>Pesado de Passageiros M3: I : Gasóleo : E1</v>
      </c>
      <c r="J3101" s="125">
        <v>70</v>
      </c>
      <c r="K3101" s="253">
        <v>2022</v>
      </c>
      <c r="L3101" s="129">
        <v>16615.439999999999</v>
      </c>
      <c r="M3101" s="85" t="s">
        <v>630</v>
      </c>
      <c r="N3101" s="128">
        <v>35352</v>
      </c>
      <c r="O3101" s="128">
        <f t="shared" si="123"/>
        <v>2474640</v>
      </c>
      <c r="P3101" s="125" t="s">
        <v>2191</v>
      </c>
      <c r="Q3101" s="85" t="s">
        <v>47</v>
      </c>
      <c r="R3101" s="214" t="s">
        <v>1869</v>
      </c>
      <c r="S3101" s="214" t="s">
        <v>1861</v>
      </c>
      <c r="T3101" s="85" t="s">
        <v>4100</v>
      </c>
      <c r="U3101" s="422" t="s">
        <v>1953</v>
      </c>
      <c r="V3101" s="422" t="s">
        <v>2813</v>
      </c>
    </row>
    <row r="3102" spans="1:22" ht="15.75" thickBot="1" x14ac:dyDescent="0.3">
      <c r="A3102" t="s">
        <v>1910</v>
      </c>
      <c r="B3102" t="s">
        <v>1910</v>
      </c>
      <c r="C3102" s="82" t="s">
        <v>1910</v>
      </c>
      <c r="D3102" s="83" t="s">
        <v>629</v>
      </c>
      <c r="E3102" s="251" t="s">
        <v>1951</v>
      </c>
      <c r="F3102" s="124" t="s">
        <v>620</v>
      </c>
      <c r="G3102" s="130">
        <v>2007</v>
      </c>
      <c r="H3102" s="125" t="s">
        <v>731</v>
      </c>
      <c r="I3102" s="311" t="str">
        <f t="shared" si="124"/>
        <v>Pesado de Passageiros M3: I : Gasóleo : E4</v>
      </c>
      <c r="J3102" s="125">
        <v>54</v>
      </c>
      <c r="K3102" s="253">
        <v>2022</v>
      </c>
      <c r="L3102" s="129">
        <v>16053.056799999998</v>
      </c>
      <c r="M3102" s="85" t="s">
        <v>630</v>
      </c>
      <c r="N3102" s="128">
        <v>38258</v>
      </c>
      <c r="O3102" s="128">
        <f t="shared" si="123"/>
        <v>2065932</v>
      </c>
      <c r="P3102" s="125" t="s">
        <v>1979</v>
      </c>
      <c r="Q3102" s="85" t="s">
        <v>47</v>
      </c>
      <c r="R3102" s="214" t="s">
        <v>1869</v>
      </c>
      <c r="S3102" s="214" t="s">
        <v>1861</v>
      </c>
      <c r="T3102" s="85" t="s">
        <v>4101</v>
      </c>
      <c r="U3102" s="422" t="s">
        <v>1953</v>
      </c>
      <c r="V3102" s="422" t="s">
        <v>2813</v>
      </c>
    </row>
    <row r="3103" spans="1:22" ht="15.75" thickBot="1" x14ac:dyDescent="0.3">
      <c r="A3103" t="s">
        <v>1910</v>
      </c>
      <c r="B3103" t="s">
        <v>1910</v>
      </c>
      <c r="C3103" s="82" t="s">
        <v>1910</v>
      </c>
      <c r="D3103" s="83" t="s">
        <v>629</v>
      </c>
      <c r="E3103" s="251" t="s">
        <v>1951</v>
      </c>
      <c r="F3103" s="124" t="s">
        <v>620</v>
      </c>
      <c r="G3103" s="130"/>
      <c r="H3103" s="125" t="s">
        <v>731</v>
      </c>
      <c r="I3103" s="311" t="str">
        <f t="shared" si="124"/>
        <v>Pesado de Passageiros M3: I : Gasóleo : E4</v>
      </c>
      <c r="J3103" s="125"/>
      <c r="K3103" s="253">
        <v>2022</v>
      </c>
      <c r="L3103" s="85">
        <v>12968.78</v>
      </c>
      <c r="M3103" s="85" t="s">
        <v>630</v>
      </c>
      <c r="N3103" s="128">
        <v>28193</v>
      </c>
      <c r="O3103" s="128">
        <f t="shared" si="123"/>
        <v>0</v>
      </c>
      <c r="P3103" s="125" t="s">
        <v>3303</v>
      </c>
      <c r="Q3103" s="85" t="s">
        <v>47</v>
      </c>
      <c r="R3103" s="214" t="s">
        <v>1869</v>
      </c>
      <c r="S3103" s="214" t="s">
        <v>1861</v>
      </c>
      <c r="T3103" s="85" t="s">
        <v>3421</v>
      </c>
      <c r="U3103" s="422" t="s">
        <v>1953</v>
      </c>
      <c r="V3103" s="422" t="s">
        <v>2813</v>
      </c>
    </row>
    <row r="3104" spans="1:22" ht="15.75" thickBot="1" x14ac:dyDescent="0.3">
      <c r="A3104" t="s">
        <v>1910</v>
      </c>
      <c r="B3104" t="s">
        <v>1910</v>
      </c>
      <c r="C3104" s="82" t="s">
        <v>1910</v>
      </c>
      <c r="D3104" s="83" t="s">
        <v>629</v>
      </c>
      <c r="E3104" s="251" t="s">
        <v>1951</v>
      </c>
      <c r="F3104" s="124" t="s">
        <v>620</v>
      </c>
      <c r="G3104" s="130">
        <v>2007</v>
      </c>
      <c r="H3104" s="125" t="s">
        <v>731</v>
      </c>
      <c r="I3104" s="311" t="str">
        <f t="shared" si="124"/>
        <v>Pesado de Passageiros M3: I : Gasóleo : E4</v>
      </c>
      <c r="J3104" s="125">
        <v>54</v>
      </c>
      <c r="K3104" s="253">
        <v>2022</v>
      </c>
      <c r="L3104" s="129">
        <v>17639.184999999998</v>
      </c>
      <c r="M3104" s="85" t="s">
        <v>630</v>
      </c>
      <c r="N3104" s="128">
        <v>42970</v>
      </c>
      <c r="O3104" s="128">
        <f t="shared" si="123"/>
        <v>2320380</v>
      </c>
      <c r="P3104" s="125" t="s">
        <v>1980</v>
      </c>
      <c r="Q3104" s="85" t="s">
        <v>47</v>
      </c>
      <c r="R3104" s="214" t="s">
        <v>1869</v>
      </c>
      <c r="S3104" s="214" t="s">
        <v>1861</v>
      </c>
      <c r="T3104" s="85" t="s">
        <v>4102</v>
      </c>
      <c r="U3104" s="422" t="s">
        <v>1953</v>
      </c>
      <c r="V3104" s="422" t="s">
        <v>2813</v>
      </c>
    </row>
    <row r="3105" spans="1:22" ht="15.75" thickBot="1" x14ac:dyDescent="0.3">
      <c r="A3105" t="s">
        <v>1910</v>
      </c>
      <c r="B3105" t="s">
        <v>1910</v>
      </c>
      <c r="C3105" s="82" t="s">
        <v>1910</v>
      </c>
      <c r="D3105" s="83" t="s">
        <v>629</v>
      </c>
      <c r="E3105" s="251" t="s">
        <v>1951</v>
      </c>
      <c r="F3105" s="124" t="s">
        <v>620</v>
      </c>
      <c r="G3105" s="130"/>
      <c r="H3105" s="125" t="s">
        <v>731</v>
      </c>
      <c r="I3105" s="311" t="str">
        <f t="shared" si="124"/>
        <v>Pesado de Passageiros M3: I : Gasóleo : E4</v>
      </c>
      <c r="J3105" s="125"/>
      <c r="K3105" s="253">
        <v>2022</v>
      </c>
      <c r="L3105" s="85">
        <v>18744.54</v>
      </c>
      <c r="M3105" s="85" t="s">
        <v>630</v>
      </c>
      <c r="N3105" s="128">
        <v>40749</v>
      </c>
      <c r="O3105" s="128">
        <f t="shared" si="123"/>
        <v>0</v>
      </c>
      <c r="P3105" s="125" t="s">
        <v>3302</v>
      </c>
      <c r="Q3105" s="85" t="s">
        <v>47</v>
      </c>
      <c r="R3105" s="214" t="s">
        <v>1869</v>
      </c>
      <c r="S3105" s="214" t="s">
        <v>1861</v>
      </c>
      <c r="T3105" s="85" t="s">
        <v>4103</v>
      </c>
      <c r="U3105" s="422" t="s">
        <v>1953</v>
      </c>
      <c r="V3105" s="422" t="s">
        <v>2813</v>
      </c>
    </row>
    <row r="3106" spans="1:22" ht="15.75" thickBot="1" x14ac:dyDescent="0.3">
      <c r="A3106" t="s">
        <v>1910</v>
      </c>
      <c r="B3106" t="s">
        <v>1910</v>
      </c>
      <c r="C3106" s="82" t="s">
        <v>1910</v>
      </c>
      <c r="D3106" s="83" t="s">
        <v>629</v>
      </c>
      <c r="E3106" s="251" t="s">
        <v>1951</v>
      </c>
      <c r="F3106" s="124" t="s">
        <v>620</v>
      </c>
      <c r="G3106" s="130">
        <v>2005</v>
      </c>
      <c r="H3106" s="125" t="s">
        <v>732</v>
      </c>
      <c r="I3106" s="311" t="str">
        <f t="shared" si="124"/>
        <v>Pesado de Passageiros M3: I : Gasóleo : E3</v>
      </c>
      <c r="J3106" s="125">
        <v>79</v>
      </c>
      <c r="K3106" s="253">
        <v>2022</v>
      </c>
      <c r="L3106" s="129">
        <v>16044.364</v>
      </c>
      <c r="M3106" s="85" t="s">
        <v>630</v>
      </c>
      <c r="N3106" s="128">
        <v>26705</v>
      </c>
      <c r="O3106" s="128">
        <f t="shared" si="123"/>
        <v>2109695</v>
      </c>
      <c r="P3106" s="125" t="s">
        <v>2129</v>
      </c>
      <c r="Q3106" s="85" t="s">
        <v>47</v>
      </c>
      <c r="R3106" s="214" t="s">
        <v>1869</v>
      </c>
      <c r="S3106" s="214" t="s">
        <v>1861</v>
      </c>
      <c r="T3106" s="85" t="s">
        <v>4104</v>
      </c>
      <c r="U3106" s="422" t="s">
        <v>1953</v>
      </c>
      <c r="V3106" s="422" t="s">
        <v>2813</v>
      </c>
    </row>
    <row r="3107" spans="1:22" ht="15.75" thickBot="1" x14ac:dyDescent="0.3">
      <c r="A3107" t="s">
        <v>1910</v>
      </c>
      <c r="B3107" t="s">
        <v>1910</v>
      </c>
      <c r="C3107" s="82" t="s">
        <v>1910</v>
      </c>
      <c r="D3107" s="83" t="s">
        <v>629</v>
      </c>
      <c r="E3107" s="251" t="s">
        <v>1951</v>
      </c>
      <c r="F3107" s="124" t="s">
        <v>620</v>
      </c>
      <c r="G3107" s="130"/>
      <c r="H3107" s="125" t="s">
        <v>732</v>
      </c>
      <c r="I3107" s="311" t="str">
        <f t="shared" si="124"/>
        <v>Pesado de Passageiros M3: I : Gasóleo : E3</v>
      </c>
      <c r="J3107" s="125"/>
      <c r="K3107" s="253">
        <v>2022</v>
      </c>
      <c r="L3107" s="85">
        <v>3976.32</v>
      </c>
      <c r="M3107" s="85" t="s">
        <v>630</v>
      </c>
      <c r="N3107" s="128">
        <v>20928</v>
      </c>
      <c r="O3107" s="128">
        <f t="shared" si="123"/>
        <v>0</v>
      </c>
      <c r="P3107" s="125" t="s">
        <v>3335</v>
      </c>
      <c r="Q3107" s="85" t="s">
        <v>47</v>
      </c>
      <c r="R3107" s="214" t="s">
        <v>1869</v>
      </c>
      <c r="S3107" s="214" t="s">
        <v>1861</v>
      </c>
      <c r="T3107" s="85" t="s">
        <v>4105</v>
      </c>
      <c r="U3107" s="422" t="s">
        <v>1953</v>
      </c>
      <c r="V3107" s="422" t="s">
        <v>2813</v>
      </c>
    </row>
    <row r="3108" spans="1:22" ht="15.75" thickBot="1" x14ac:dyDescent="0.3">
      <c r="A3108" t="s">
        <v>1910</v>
      </c>
      <c r="B3108" t="s">
        <v>1910</v>
      </c>
      <c r="C3108" s="82" t="s">
        <v>1910</v>
      </c>
      <c r="D3108" s="83" t="s">
        <v>629</v>
      </c>
      <c r="E3108" s="251" t="s">
        <v>1951</v>
      </c>
      <c r="F3108" s="124" t="s">
        <v>620</v>
      </c>
      <c r="G3108" s="130">
        <v>1997</v>
      </c>
      <c r="H3108" s="125" t="s">
        <v>735</v>
      </c>
      <c r="I3108" s="311" t="str">
        <f t="shared" si="124"/>
        <v>Pesado de Passageiros M3: I : Gasóleo : E2</v>
      </c>
      <c r="J3108" s="125">
        <v>79</v>
      </c>
      <c r="K3108" s="253">
        <v>2022</v>
      </c>
      <c r="L3108" s="129">
        <v>19092.805400000001</v>
      </c>
      <c r="M3108" s="85" t="s">
        <v>630</v>
      </c>
      <c r="N3108" s="128">
        <v>39661</v>
      </c>
      <c r="O3108" s="128">
        <f t="shared" si="123"/>
        <v>3133219</v>
      </c>
      <c r="P3108" s="125" t="s">
        <v>2136</v>
      </c>
      <c r="Q3108" s="85" t="s">
        <v>47</v>
      </c>
      <c r="R3108" s="214" t="s">
        <v>1869</v>
      </c>
      <c r="S3108" s="214" t="s">
        <v>1861</v>
      </c>
      <c r="T3108" s="85" t="s">
        <v>4106</v>
      </c>
      <c r="U3108" s="422" t="s">
        <v>1953</v>
      </c>
      <c r="V3108" s="422" t="s">
        <v>2813</v>
      </c>
    </row>
    <row r="3109" spans="1:22" ht="15.75" thickBot="1" x14ac:dyDescent="0.3">
      <c r="A3109" t="s">
        <v>1910</v>
      </c>
      <c r="B3109" t="s">
        <v>1910</v>
      </c>
      <c r="C3109" s="82" t="s">
        <v>1910</v>
      </c>
      <c r="D3109" s="83" t="s">
        <v>629</v>
      </c>
      <c r="E3109" s="251" t="s">
        <v>1951</v>
      </c>
      <c r="F3109" s="124" t="s">
        <v>620</v>
      </c>
      <c r="G3109" s="130">
        <v>2004</v>
      </c>
      <c r="H3109" s="125" t="s">
        <v>732</v>
      </c>
      <c r="I3109" s="311" t="str">
        <f t="shared" si="124"/>
        <v>Pesado de Passageiros M3: I : Gasóleo : E3</v>
      </c>
      <c r="J3109" s="125">
        <v>69</v>
      </c>
      <c r="K3109" s="253">
        <v>2022</v>
      </c>
      <c r="L3109" s="129">
        <v>27761.714199999999</v>
      </c>
      <c r="M3109" s="85" t="s">
        <v>630</v>
      </c>
      <c r="N3109" s="128">
        <v>52799</v>
      </c>
      <c r="O3109" s="128">
        <f t="shared" si="123"/>
        <v>3643131</v>
      </c>
      <c r="P3109" s="125" t="s">
        <v>2173</v>
      </c>
      <c r="Q3109" s="85" t="s">
        <v>47</v>
      </c>
      <c r="R3109" s="214" t="s">
        <v>1869</v>
      </c>
      <c r="S3109" s="214" t="s">
        <v>1861</v>
      </c>
      <c r="T3109" s="85" t="s">
        <v>4107</v>
      </c>
      <c r="U3109" s="422" t="s">
        <v>1953</v>
      </c>
      <c r="V3109" s="422" t="s">
        <v>2813</v>
      </c>
    </row>
    <row r="3110" spans="1:22" ht="15.75" thickBot="1" x14ac:dyDescent="0.3">
      <c r="A3110" t="s">
        <v>1910</v>
      </c>
      <c r="B3110" t="s">
        <v>1910</v>
      </c>
      <c r="C3110" s="82" t="s">
        <v>1910</v>
      </c>
      <c r="D3110" s="83" t="s">
        <v>629</v>
      </c>
      <c r="E3110" s="251" t="s">
        <v>1951</v>
      </c>
      <c r="F3110" s="124" t="s">
        <v>620</v>
      </c>
      <c r="G3110" s="130">
        <v>2019</v>
      </c>
      <c r="H3110" s="125" t="s">
        <v>733</v>
      </c>
      <c r="I3110" s="311" t="str">
        <f t="shared" si="124"/>
        <v>Pesado de Passageiros M3: I : Gasóleo : E6</v>
      </c>
      <c r="J3110" s="125">
        <v>95</v>
      </c>
      <c r="K3110" s="253">
        <v>2022</v>
      </c>
      <c r="L3110" s="129">
        <v>28389.599999999999</v>
      </c>
      <c r="M3110" s="85" t="s">
        <v>630</v>
      </c>
      <c r="N3110" s="128">
        <v>63088</v>
      </c>
      <c r="O3110" s="128">
        <f t="shared" si="123"/>
        <v>5993360</v>
      </c>
      <c r="P3110" s="125" t="s">
        <v>2017</v>
      </c>
      <c r="Q3110" s="85" t="s">
        <v>47</v>
      </c>
      <c r="R3110" s="214" t="s">
        <v>1869</v>
      </c>
      <c r="S3110" s="214" t="s">
        <v>1861</v>
      </c>
      <c r="T3110" s="85" t="s">
        <v>4108</v>
      </c>
      <c r="U3110" s="422" t="s">
        <v>1953</v>
      </c>
      <c r="V3110" s="422" t="s">
        <v>2813</v>
      </c>
    </row>
    <row r="3111" spans="1:22" ht="15.75" thickBot="1" x14ac:dyDescent="0.3">
      <c r="A3111" t="s">
        <v>1910</v>
      </c>
      <c r="B3111" t="s">
        <v>1910</v>
      </c>
      <c r="C3111" s="82" t="s">
        <v>1910</v>
      </c>
      <c r="D3111" s="83" t="s">
        <v>629</v>
      </c>
      <c r="E3111" s="251" t="s">
        <v>1951</v>
      </c>
      <c r="F3111" s="124" t="s">
        <v>620</v>
      </c>
      <c r="G3111" s="130">
        <v>2003</v>
      </c>
      <c r="H3111" s="125" t="s">
        <v>732</v>
      </c>
      <c r="I3111" s="311" t="str">
        <f t="shared" si="124"/>
        <v>Pesado de Passageiros M3: I : Gasóleo : E3</v>
      </c>
      <c r="J3111" s="125">
        <v>77</v>
      </c>
      <c r="K3111" s="253">
        <v>2022</v>
      </c>
      <c r="L3111" s="129">
        <v>24614.785099999997</v>
      </c>
      <c r="M3111" s="85" t="s">
        <v>630</v>
      </c>
      <c r="N3111" s="128">
        <v>41869</v>
      </c>
      <c r="O3111" s="128">
        <f t="shared" si="123"/>
        <v>3223913</v>
      </c>
      <c r="P3111" s="125" t="s">
        <v>2082</v>
      </c>
      <c r="Q3111" s="85" t="s">
        <v>47</v>
      </c>
      <c r="R3111" s="214" t="s">
        <v>1869</v>
      </c>
      <c r="S3111" s="214" t="s">
        <v>1861</v>
      </c>
      <c r="T3111" s="85" t="s">
        <v>4109</v>
      </c>
      <c r="U3111" s="422" t="s">
        <v>1953</v>
      </c>
      <c r="V3111" s="422" t="s">
        <v>2813</v>
      </c>
    </row>
    <row r="3112" spans="1:22" ht="15.75" thickBot="1" x14ac:dyDescent="0.3">
      <c r="A3112" t="s">
        <v>1910</v>
      </c>
      <c r="B3112" t="s">
        <v>1910</v>
      </c>
      <c r="C3112" s="82" t="s">
        <v>1910</v>
      </c>
      <c r="D3112" s="83" t="s">
        <v>629</v>
      </c>
      <c r="E3112" s="251" t="s">
        <v>1951</v>
      </c>
      <c r="F3112" s="124" t="s">
        <v>620</v>
      </c>
      <c r="G3112" s="130">
        <v>2003</v>
      </c>
      <c r="H3112" s="125" t="s">
        <v>732</v>
      </c>
      <c r="I3112" s="311" t="str">
        <f t="shared" si="124"/>
        <v>Pesado de Passageiros M3: I : Gasóleo : E3</v>
      </c>
      <c r="J3112" s="125">
        <v>76</v>
      </c>
      <c r="K3112" s="253">
        <v>2022</v>
      </c>
      <c r="L3112" s="129">
        <v>28498.4352</v>
      </c>
      <c r="M3112" s="85" t="s">
        <v>630</v>
      </c>
      <c r="N3112" s="128">
        <v>57364</v>
      </c>
      <c r="O3112" s="128">
        <f t="shared" si="123"/>
        <v>4359664</v>
      </c>
      <c r="P3112" s="125" t="s">
        <v>2084</v>
      </c>
      <c r="Q3112" s="85" t="s">
        <v>47</v>
      </c>
      <c r="R3112" s="214" t="s">
        <v>1869</v>
      </c>
      <c r="S3112" s="214" t="s">
        <v>1861</v>
      </c>
      <c r="T3112" s="85" t="s">
        <v>4110</v>
      </c>
      <c r="U3112" s="422" t="s">
        <v>1953</v>
      </c>
      <c r="V3112" s="422" t="s">
        <v>2813</v>
      </c>
    </row>
    <row r="3113" spans="1:22" ht="15.75" thickBot="1" x14ac:dyDescent="0.3">
      <c r="A3113" t="s">
        <v>1910</v>
      </c>
      <c r="B3113" t="s">
        <v>1910</v>
      </c>
      <c r="C3113" s="82" t="s">
        <v>1910</v>
      </c>
      <c r="D3113" s="83" t="s">
        <v>629</v>
      </c>
      <c r="E3113" s="251" t="s">
        <v>1951</v>
      </c>
      <c r="F3113" s="124" t="s">
        <v>620</v>
      </c>
      <c r="G3113" s="130">
        <v>2008</v>
      </c>
      <c r="H3113" s="125" t="s">
        <v>734</v>
      </c>
      <c r="I3113" s="311" t="str">
        <f t="shared" si="124"/>
        <v>Pesado de Passageiros M3: I : Gasóleo : E5</v>
      </c>
      <c r="J3113" s="125">
        <v>57</v>
      </c>
      <c r="K3113" s="253">
        <v>2022</v>
      </c>
      <c r="L3113" s="129">
        <v>27066.971099999999</v>
      </c>
      <c r="M3113" s="85" t="s">
        <v>630</v>
      </c>
      <c r="N3113" s="128">
        <v>66651</v>
      </c>
      <c r="O3113" s="128">
        <f t="shared" si="123"/>
        <v>3799107</v>
      </c>
      <c r="P3113" s="125" t="s">
        <v>2024</v>
      </c>
      <c r="Q3113" s="85" t="s">
        <v>47</v>
      </c>
      <c r="R3113" s="214" t="s">
        <v>1869</v>
      </c>
      <c r="S3113" s="214" t="s">
        <v>1861</v>
      </c>
      <c r="T3113" s="85" t="s">
        <v>4111</v>
      </c>
      <c r="U3113" s="422" t="s">
        <v>1953</v>
      </c>
      <c r="V3113" s="422" t="s">
        <v>2813</v>
      </c>
    </row>
    <row r="3114" spans="1:22" ht="15.75" thickBot="1" x14ac:dyDescent="0.3">
      <c r="A3114" t="s">
        <v>1910</v>
      </c>
      <c r="B3114" t="s">
        <v>1910</v>
      </c>
      <c r="C3114" s="82" t="s">
        <v>1910</v>
      </c>
      <c r="D3114" s="83" t="s">
        <v>629</v>
      </c>
      <c r="E3114" s="251" t="s">
        <v>1951</v>
      </c>
      <c r="F3114" s="124" t="s">
        <v>620</v>
      </c>
      <c r="G3114" s="130">
        <v>2003</v>
      </c>
      <c r="H3114" s="125" t="s">
        <v>732</v>
      </c>
      <c r="I3114" s="311" t="str">
        <f t="shared" si="124"/>
        <v>Pesado de Passageiros M3: I : Gasóleo : E3</v>
      </c>
      <c r="J3114" s="125">
        <v>76</v>
      </c>
      <c r="K3114" s="253">
        <v>2022</v>
      </c>
      <c r="L3114" s="129">
        <v>25011.882399999999</v>
      </c>
      <c r="M3114" s="85" t="s">
        <v>630</v>
      </c>
      <c r="N3114" s="128">
        <v>52924</v>
      </c>
      <c r="O3114" s="128">
        <f t="shared" si="123"/>
        <v>4022224</v>
      </c>
      <c r="P3114" s="125" t="s">
        <v>2083</v>
      </c>
      <c r="Q3114" s="85" t="s">
        <v>47</v>
      </c>
      <c r="R3114" s="214" t="s">
        <v>1869</v>
      </c>
      <c r="S3114" s="214" t="s">
        <v>1861</v>
      </c>
      <c r="T3114" s="85" t="s">
        <v>4112</v>
      </c>
      <c r="U3114" s="422" t="s">
        <v>1953</v>
      </c>
      <c r="V3114" s="422" t="s">
        <v>2813</v>
      </c>
    </row>
    <row r="3115" spans="1:22" ht="15.75" thickBot="1" x14ac:dyDescent="0.3">
      <c r="A3115" t="s">
        <v>1910</v>
      </c>
      <c r="B3115" t="s">
        <v>1910</v>
      </c>
      <c r="C3115" s="82" t="s">
        <v>1910</v>
      </c>
      <c r="D3115" s="83" t="s">
        <v>629</v>
      </c>
      <c r="E3115" s="251" t="s">
        <v>1951</v>
      </c>
      <c r="F3115" s="124" t="s">
        <v>620</v>
      </c>
      <c r="G3115" s="130">
        <v>2019</v>
      </c>
      <c r="H3115" s="125" t="s">
        <v>733</v>
      </c>
      <c r="I3115" s="311" t="str">
        <f t="shared" si="124"/>
        <v>Pesado de Passageiros M3: I : Gasóleo : E6</v>
      </c>
      <c r="J3115" s="125">
        <v>95</v>
      </c>
      <c r="K3115" s="253">
        <v>2022</v>
      </c>
      <c r="L3115" s="129">
        <v>28648.163700000001</v>
      </c>
      <c r="M3115" s="85" t="s">
        <v>630</v>
      </c>
      <c r="N3115" s="128">
        <v>59721</v>
      </c>
      <c r="O3115" s="128">
        <f t="shared" si="123"/>
        <v>5673495</v>
      </c>
      <c r="P3115" s="125" t="s">
        <v>2015</v>
      </c>
      <c r="Q3115" s="85" t="s">
        <v>47</v>
      </c>
      <c r="R3115" s="214" t="s">
        <v>1869</v>
      </c>
      <c r="S3115" s="214" t="s">
        <v>1861</v>
      </c>
      <c r="T3115" s="85" t="s">
        <v>4113</v>
      </c>
      <c r="U3115" s="422" t="s">
        <v>1953</v>
      </c>
      <c r="V3115" s="422" t="s">
        <v>2813</v>
      </c>
    </row>
    <row r="3116" spans="1:22" ht="15.75" thickBot="1" x14ac:dyDescent="0.3">
      <c r="A3116" t="s">
        <v>1910</v>
      </c>
      <c r="B3116" t="s">
        <v>1910</v>
      </c>
      <c r="C3116" s="82" t="s">
        <v>1910</v>
      </c>
      <c r="D3116" s="83" t="s">
        <v>629</v>
      </c>
      <c r="E3116" s="251" t="s">
        <v>1951</v>
      </c>
      <c r="F3116" s="124" t="s">
        <v>620</v>
      </c>
      <c r="G3116" s="130">
        <v>2019</v>
      </c>
      <c r="H3116" s="125" t="s">
        <v>733</v>
      </c>
      <c r="I3116" s="311" t="str">
        <f t="shared" si="124"/>
        <v>Pesado de Passageiros M3: I : Gasóleo : E6</v>
      </c>
      <c r="J3116" s="125">
        <v>95</v>
      </c>
      <c r="K3116" s="253">
        <v>2022</v>
      </c>
      <c r="L3116" s="129">
        <v>21638.299199999998</v>
      </c>
      <c r="M3116" s="85" t="s">
        <v>630</v>
      </c>
      <c r="N3116" s="128">
        <v>46554</v>
      </c>
      <c r="O3116" s="128">
        <f t="shared" si="123"/>
        <v>4422630</v>
      </c>
      <c r="P3116" s="125" t="s">
        <v>2013</v>
      </c>
      <c r="Q3116" s="85" t="s">
        <v>47</v>
      </c>
      <c r="R3116" s="214" t="s">
        <v>1869</v>
      </c>
      <c r="S3116" s="214" t="s">
        <v>1861</v>
      </c>
      <c r="T3116" s="85" t="s">
        <v>4114</v>
      </c>
      <c r="U3116" s="422" t="s">
        <v>1953</v>
      </c>
      <c r="V3116" s="422" t="s">
        <v>2813</v>
      </c>
    </row>
    <row r="3117" spans="1:22" ht="15.75" thickBot="1" x14ac:dyDescent="0.3">
      <c r="A3117" t="s">
        <v>1910</v>
      </c>
      <c r="B3117" t="s">
        <v>1910</v>
      </c>
      <c r="C3117" s="82" t="s">
        <v>1910</v>
      </c>
      <c r="D3117" s="83" t="s">
        <v>629</v>
      </c>
      <c r="E3117" s="251" t="s">
        <v>1951</v>
      </c>
      <c r="F3117" s="124" t="s">
        <v>620</v>
      </c>
      <c r="G3117" s="130">
        <v>2007</v>
      </c>
      <c r="H3117" s="125" t="s">
        <v>731</v>
      </c>
      <c r="I3117" s="311" t="str">
        <f t="shared" si="124"/>
        <v>Pesado de Passageiros M3: I : Gasóleo : E4</v>
      </c>
      <c r="J3117" s="125">
        <v>21</v>
      </c>
      <c r="K3117" s="253">
        <v>2022</v>
      </c>
      <c r="L3117" s="129">
        <v>8138.9834999999994</v>
      </c>
      <c r="M3117" s="85" t="s">
        <v>630</v>
      </c>
      <c r="N3117" s="128">
        <v>33045</v>
      </c>
      <c r="O3117" s="128">
        <f t="shared" si="123"/>
        <v>693945</v>
      </c>
      <c r="P3117" s="125" t="s">
        <v>1977</v>
      </c>
      <c r="Q3117" s="85" t="s">
        <v>47</v>
      </c>
      <c r="R3117" s="214" t="s">
        <v>1869</v>
      </c>
      <c r="S3117" s="214" t="s">
        <v>1861</v>
      </c>
      <c r="T3117" s="85" t="s">
        <v>4115</v>
      </c>
      <c r="U3117" s="422" t="s">
        <v>1953</v>
      </c>
      <c r="V3117" s="422" t="s">
        <v>2813</v>
      </c>
    </row>
    <row r="3118" spans="1:22" ht="15.75" thickBot="1" x14ac:dyDescent="0.3">
      <c r="A3118" t="s">
        <v>1910</v>
      </c>
      <c r="B3118" t="s">
        <v>1910</v>
      </c>
      <c r="C3118" s="82" t="s">
        <v>1910</v>
      </c>
      <c r="D3118" s="83" t="s">
        <v>629</v>
      </c>
      <c r="E3118" s="251" t="s">
        <v>1951</v>
      </c>
      <c r="F3118" s="124" t="s">
        <v>620</v>
      </c>
      <c r="G3118" s="130">
        <v>2009</v>
      </c>
      <c r="H3118" s="125" t="s">
        <v>731</v>
      </c>
      <c r="I3118" s="311" t="str">
        <f t="shared" si="124"/>
        <v>Pesado de Passageiros M3: I : Gasóleo : E4</v>
      </c>
      <c r="J3118" s="125">
        <v>21</v>
      </c>
      <c r="K3118" s="253">
        <v>2022</v>
      </c>
      <c r="L3118" s="129">
        <v>7889.92</v>
      </c>
      <c r="M3118" s="85" t="s">
        <v>630</v>
      </c>
      <c r="N3118" s="128">
        <v>34304</v>
      </c>
      <c r="O3118" s="128">
        <f t="shared" si="123"/>
        <v>720384</v>
      </c>
      <c r="P3118" s="125" t="s">
        <v>1968</v>
      </c>
      <c r="Q3118" s="85" t="s">
        <v>47</v>
      </c>
      <c r="R3118" s="214" t="s">
        <v>1869</v>
      </c>
      <c r="S3118" s="214" t="s">
        <v>1861</v>
      </c>
      <c r="T3118" s="85" t="s">
        <v>4116</v>
      </c>
      <c r="U3118" s="422" t="s">
        <v>1953</v>
      </c>
      <c r="V3118" s="422" t="s">
        <v>2813</v>
      </c>
    </row>
    <row r="3119" spans="1:22" ht="15.75" thickBot="1" x14ac:dyDescent="0.3">
      <c r="A3119" t="s">
        <v>1910</v>
      </c>
      <c r="B3119" t="s">
        <v>1910</v>
      </c>
      <c r="C3119" s="82" t="s">
        <v>1910</v>
      </c>
      <c r="D3119" s="83" t="s">
        <v>629</v>
      </c>
      <c r="E3119" s="251" t="s">
        <v>1951</v>
      </c>
      <c r="F3119" s="124" t="s">
        <v>620</v>
      </c>
      <c r="G3119" s="130">
        <v>2009</v>
      </c>
      <c r="H3119" s="125" t="s">
        <v>731</v>
      </c>
      <c r="I3119" s="311" t="str">
        <f t="shared" si="124"/>
        <v>Pesado de Passageiros M3: I : Gasóleo : E4</v>
      </c>
      <c r="J3119" s="125">
        <v>21</v>
      </c>
      <c r="K3119" s="253">
        <v>2022</v>
      </c>
      <c r="L3119" s="129">
        <v>10479.905000000001</v>
      </c>
      <c r="M3119" s="85" t="s">
        <v>630</v>
      </c>
      <c r="N3119" s="128">
        <v>44350</v>
      </c>
      <c r="O3119" s="128">
        <f t="shared" si="123"/>
        <v>931350</v>
      </c>
      <c r="P3119" s="125" t="s">
        <v>1967</v>
      </c>
      <c r="Q3119" s="85" t="s">
        <v>47</v>
      </c>
      <c r="R3119" s="214" t="s">
        <v>1869</v>
      </c>
      <c r="S3119" s="214" t="s">
        <v>1861</v>
      </c>
      <c r="T3119" s="85" t="s">
        <v>4117</v>
      </c>
      <c r="U3119" s="422" t="s">
        <v>1953</v>
      </c>
      <c r="V3119" s="422" t="s">
        <v>2813</v>
      </c>
    </row>
    <row r="3120" spans="1:22" ht="15.75" thickBot="1" x14ac:dyDescent="0.3">
      <c r="A3120" t="s">
        <v>1910</v>
      </c>
      <c r="B3120" t="s">
        <v>1910</v>
      </c>
      <c r="C3120" s="82" t="s">
        <v>1910</v>
      </c>
      <c r="D3120" s="83" t="s">
        <v>629</v>
      </c>
      <c r="E3120" s="251" t="s">
        <v>1951</v>
      </c>
      <c r="F3120" s="124" t="s">
        <v>620</v>
      </c>
      <c r="G3120" s="130">
        <v>2005</v>
      </c>
      <c r="H3120" s="125" t="s">
        <v>732</v>
      </c>
      <c r="I3120" s="311" t="str">
        <f t="shared" si="124"/>
        <v>Pesado de Passageiros M3: I : Gasóleo : E3</v>
      </c>
      <c r="J3120" s="125">
        <v>79</v>
      </c>
      <c r="K3120" s="253">
        <v>2022</v>
      </c>
      <c r="L3120" s="129">
        <v>13920.36</v>
      </c>
      <c r="M3120" s="85" t="s">
        <v>630</v>
      </c>
      <c r="N3120" s="128">
        <v>24880</v>
      </c>
      <c r="O3120" s="128">
        <f t="shared" si="123"/>
        <v>1965520</v>
      </c>
      <c r="P3120" s="125" t="s">
        <v>2130</v>
      </c>
      <c r="Q3120" s="85" t="s">
        <v>47</v>
      </c>
      <c r="R3120" s="214" t="s">
        <v>1869</v>
      </c>
      <c r="S3120" s="214" t="s">
        <v>1861</v>
      </c>
      <c r="T3120" s="85" t="s">
        <v>4118</v>
      </c>
      <c r="U3120" s="422" t="s">
        <v>1953</v>
      </c>
      <c r="V3120" s="422" t="s">
        <v>2813</v>
      </c>
    </row>
    <row r="3121" spans="1:22" ht="15.75" thickBot="1" x14ac:dyDescent="0.3">
      <c r="A3121" t="s">
        <v>1910</v>
      </c>
      <c r="B3121" t="s">
        <v>1910</v>
      </c>
      <c r="C3121" s="82" t="s">
        <v>1910</v>
      </c>
      <c r="D3121" s="83" t="s">
        <v>629</v>
      </c>
      <c r="E3121" s="251" t="s">
        <v>1951</v>
      </c>
      <c r="F3121" s="124" t="s">
        <v>620</v>
      </c>
      <c r="G3121" s="130">
        <v>2019</v>
      </c>
      <c r="H3121" s="125" t="s">
        <v>733</v>
      </c>
      <c r="I3121" s="311" t="str">
        <f t="shared" si="124"/>
        <v>Pesado de Passageiros M3: I : Gasóleo : E6</v>
      </c>
      <c r="J3121" s="125">
        <v>95</v>
      </c>
      <c r="K3121" s="253">
        <v>2022</v>
      </c>
      <c r="L3121" s="129">
        <v>19169.757900000001</v>
      </c>
      <c r="M3121" s="85" t="s">
        <v>630</v>
      </c>
      <c r="N3121" s="128">
        <v>36327</v>
      </c>
      <c r="O3121" s="128">
        <f t="shared" ref="O3121:O3184" si="125">N3121*J3121</f>
        <v>3451065</v>
      </c>
      <c r="P3121" s="125" t="s">
        <v>2012</v>
      </c>
      <c r="Q3121" s="85" t="s">
        <v>47</v>
      </c>
      <c r="R3121" s="214" t="s">
        <v>1869</v>
      </c>
      <c r="S3121" s="214" t="s">
        <v>1861</v>
      </c>
      <c r="T3121" s="85" t="s">
        <v>4119</v>
      </c>
      <c r="U3121" s="422" t="s">
        <v>1953</v>
      </c>
      <c r="V3121" s="422" t="s">
        <v>2813</v>
      </c>
    </row>
    <row r="3122" spans="1:22" ht="15.75" thickBot="1" x14ac:dyDescent="0.3">
      <c r="A3122" t="s">
        <v>1910</v>
      </c>
      <c r="B3122" t="s">
        <v>1910</v>
      </c>
      <c r="C3122" s="82" t="s">
        <v>1910</v>
      </c>
      <c r="D3122" s="83" t="s">
        <v>629</v>
      </c>
      <c r="E3122" s="251" t="s">
        <v>1951</v>
      </c>
      <c r="F3122" s="124" t="s">
        <v>620</v>
      </c>
      <c r="G3122" s="130">
        <v>2019</v>
      </c>
      <c r="H3122" s="125" t="s">
        <v>733</v>
      </c>
      <c r="I3122" s="311" t="str">
        <f t="shared" si="124"/>
        <v>Pesado de Passageiros M3: I : Gasóleo : E6</v>
      </c>
      <c r="J3122" s="125">
        <v>95</v>
      </c>
      <c r="K3122" s="253">
        <v>2022</v>
      </c>
      <c r="L3122" s="129">
        <v>28641.435400000002</v>
      </c>
      <c r="M3122" s="85" t="s">
        <v>630</v>
      </c>
      <c r="N3122" s="128">
        <v>59018</v>
      </c>
      <c r="O3122" s="128">
        <f t="shared" si="125"/>
        <v>5606710</v>
      </c>
      <c r="P3122" s="125" t="s">
        <v>2016</v>
      </c>
      <c r="Q3122" s="85" t="s">
        <v>47</v>
      </c>
      <c r="R3122" s="214" t="s">
        <v>1869</v>
      </c>
      <c r="S3122" s="214" t="s">
        <v>1861</v>
      </c>
      <c r="T3122" s="85" t="s">
        <v>4120</v>
      </c>
      <c r="U3122" s="422" t="s">
        <v>1953</v>
      </c>
      <c r="V3122" s="422" t="s">
        <v>2813</v>
      </c>
    </row>
    <row r="3123" spans="1:22" ht="15.75" thickBot="1" x14ac:dyDescent="0.3">
      <c r="A3123" t="s">
        <v>1910</v>
      </c>
      <c r="B3123" t="s">
        <v>1910</v>
      </c>
      <c r="C3123" s="82" t="s">
        <v>1910</v>
      </c>
      <c r="D3123" s="83" t="s">
        <v>629</v>
      </c>
      <c r="E3123" s="251" t="s">
        <v>1951</v>
      </c>
      <c r="F3123" s="124" t="s">
        <v>620</v>
      </c>
      <c r="G3123" s="130">
        <v>2019</v>
      </c>
      <c r="H3123" s="125" t="s">
        <v>733</v>
      </c>
      <c r="I3123" s="311" t="str">
        <f t="shared" si="124"/>
        <v>Pesado de Passageiros M3: I : Gasóleo : E6</v>
      </c>
      <c r="J3123" s="125">
        <v>95</v>
      </c>
      <c r="K3123" s="253">
        <v>2022</v>
      </c>
      <c r="L3123" s="129">
        <v>20328.059400000002</v>
      </c>
      <c r="M3123" s="85" t="s">
        <v>630</v>
      </c>
      <c r="N3123" s="128">
        <v>38522</v>
      </c>
      <c r="O3123" s="128">
        <f t="shared" si="125"/>
        <v>3659590</v>
      </c>
      <c r="P3123" s="125" t="s">
        <v>2011</v>
      </c>
      <c r="Q3123" s="85" t="s">
        <v>47</v>
      </c>
      <c r="R3123" s="214" t="s">
        <v>1869</v>
      </c>
      <c r="S3123" s="214" t="s">
        <v>1861</v>
      </c>
      <c r="T3123" s="85" t="s">
        <v>4121</v>
      </c>
      <c r="U3123" s="422" t="s">
        <v>1953</v>
      </c>
      <c r="V3123" s="422" t="s">
        <v>2813</v>
      </c>
    </row>
    <row r="3124" spans="1:22" ht="15.75" thickBot="1" x14ac:dyDescent="0.3">
      <c r="A3124" t="s">
        <v>1910</v>
      </c>
      <c r="B3124" t="s">
        <v>1910</v>
      </c>
      <c r="C3124" s="82" t="s">
        <v>1910</v>
      </c>
      <c r="D3124" s="83" t="s">
        <v>629</v>
      </c>
      <c r="E3124" s="251" t="s">
        <v>1951</v>
      </c>
      <c r="F3124" s="124" t="s">
        <v>620</v>
      </c>
      <c r="G3124" s="130">
        <v>2019</v>
      </c>
      <c r="H3124" s="125" t="s">
        <v>733</v>
      </c>
      <c r="I3124" s="311" t="str">
        <f t="shared" si="124"/>
        <v>Pesado de Passageiros M3: I : Gasóleo : E6</v>
      </c>
      <c r="J3124" s="125">
        <v>95</v>
      </c>
      <c r="K3124" s="253">
        <v>2022</v>
      </c>
      <c r="L3124" s="129">
        <v>22250.782500000001</v>
      </c>
      <c r="M3124" s="85" t="s">
        <v>630</v>
      </c>
      <c r="N3124" s="128">
        <v>49173</v>
      </c>
      <c r="O3124" s="128">
        <f t="shared" si="125"/>
        <v>4671435</v>
      </c>
      <c r="P3124" s="125" t="s">
        <v>2018</v>
      </c>
      <c r="Q3124" s="85" t="s">
        <v>47</v>
      </c>
      <c r="R3124" s="214" t="s">
        <v>1869</v>
      </c>
      <c r="S3124" s="214" t="s">
        <v>1861</v>
      </c>
      <c r="T3124" s="85" t="s">
        <v>4122</v>
      </c>
      <c r="U3124" s="422" t="s">
        <v>1953</v>
      </c>
      <c r="V3124" s="422" t="s">
        <v>2813</v>
      </c>
    </row>
    <row r="3125" spans="1:22" ht="15.75" thickBot="1" x14ac:dyDescent="0.3">
      <c r="A3125" t="s">
        <v>1910</v>
      </c>
      <c r="B3125" t="s">
        <v>1910</v>
      </c>
      <c r="C3125" s="82" t="s">
        <v>1910</v>
      </c>
      <c r="D3125" s="83" t="s">
        <v>629</v>
      </c>
      <c r="E3125" s="251" t="s">
        <v>1951</v>
      </c>
      <c r="F3125" s="124" t="s">
        <v>620</v>
      </c>
      <c r="G3125" s="130">
        <v>2019</v>
      </c>
      <c r="H3125" s="125" t="s">
        <v>733</v>
      </c>
      <c r="I3125" s="311" t="str">
        <f t="shared" si="124"/>
        <v>Pesado de Passageiros M3: I : Gasóleo : E6</v>
      </c>
      <c r="J3125" s="125">
        <v>95</v>
      </c>
      <c r="K3125" s="253">
        <v>2022</v>
      </c>
      <c r="L3125" s="129">
        <v>20844.941599999998</v>
      </c>
      <c r="M3125" s="85" t="s">
        <v>630</v>
      </c>
      <c r="N3125" s="128">
        <v>38066</v>
      </c>
      <c r="O3125" s="128">
        <f t="shared" si="125"/>
        <v>3616270</v>
      </c>
      <c r="P3125" s="125" t="s">
        <v>2010</v>
      </c>
      <c r="Q3125" s="85" t="s">
        <v>47</v>
      </c>
      <c r="R3125" s="214" t="s">
        <v>1869</v>
      </c>
      <c r="S3125" s="214" t="s">
        <v>1861</v>
      </c>
      <c r="T3125" s="85" t="s">
        <v>4123</v>
      </c>
      <c r="U3125" s="422" t="s">
        <v>1953</v>
      </c>
      <c r="V3125" s="422" t="s">
        <v>2813</v>
      </c>
    </row>
    <row r="3126" spans="1:22" ht="15.75" thickBot="1" x14ac:dyDescent="0.3">
      <c r="A3126" t="s">
        <v>1910</v>
      </c>
      <c r="B3126" t="s">
        <v>1910</v>
      </c>
      <c r="C3126" s="82" t="s">
        <v>1910</v>
      </c>
      <c r="D3126" s="83" t="s">
        <v>629</v>
      </c>
      <c r="E3126" s="251" t="s">
        <v>1951</v>
      </c>
      <c r="F3126" s="124" t="s">
        <v>620</v>
      </c>
      <c r="G3126" s="130">
        <v>2019</v>
      </c>
      <c r="H3126" s="125" t="s">
        <v>733</v>
      </c>
      <c r="I3126" s="311" t="str">
        <f t="shared" ref="I3126:I3189" si="126">D3126&amp;": "&amp;E3126&amp;" : "&amp;F3126&amp;" : "&amp;H3126</f>
        <v>Pesado de Passageiros M3: I : Gasóleo : E6</v>
      </c>
      <c r="J3126" s="125">
        <v>95</v>
      </c>
      <c r="K3126" s="253">
        <v>2022</v>
      </c>
      <c r="L3126" s="129">
        <v>31899.429499999998</v>
      </c>
      <c r="M3126" s="85" t="s">
        <v>630</v>
      </c>
      <c r="N3126" s="128">
        <v>67799</v>
      </c>
      <c r="O3126" s="128">
        <f t="shared" si="125"/>
        <v>6440905</v>
      </c>
      <c r="P3126" s="125" t="s">
        <v>2014</v>
      </c>
      <c r="Q3126" s="85" t="s">
        <v>47</v>
      </c>
      <c r="R3126" s="214" t="s">
        <v>1869</v>
      </c>
      <c r="S3126" s="214" t="s">
        <v>1861</v>
      </c>
      <c r="T3126" s="85" t="s">
        <v>4124</v>
      </c>
      <c r="U3126" s="422" t="s">
        <v>1953</v>
      </c>
      <c r="V3126" s="422" t="s">
        <v>2813</v>
      </c>
    </row>
    <row r="3127" spans="1:22" ht="15.75" thickBot="1" x14ac:dyDescent="0.3">
      <c r="A3127" t="s">
        <v>1910</v>
      </c>
      <c r="B3127" t="s">
        <v>1910</v>
      </c>
      <c r="C3127" s="82" t="s">
        <v>1910</v>
      </c>
      <c r="D3127" s="83" t="s">
        <v>629</v>
      </c>
      <c r="E3127" s="251" t="s">
        <v>1951</v>
      </c>
      <c r="F3127" s="124" t="s">
        <v>620</v>
      </c>
      <c r="G3127" s="130"/>
      <c r="H3127" s="125" t="s">
        <v>733</v>
      </c>
      <c r="I3127" s="311" t="str">
        <f t="shared" si="126"/>
        <v>Pesado de Passageiros M3: I : Gasóleo : E6</v>
      </c>
      <c r="J3127" s="125"/>
      <c r="K3127" s="253">
        <v>2022</v>
      </c>
      <c r="L3127" s="85">
        <v>5500.5</v>
      </c>
      <c r="M3127" s="85" t="s">
        <v>630</v>
      </c>
      <c r="N3127" s="128">
        <v>9650</v>
      </c>
      <c r="O3127" s="128">
        <f t="shared" si="125"/>
        <v>0</v>
      </c>
      <c r="P3127" s="125" t="s">
        <v>4393</v>
      </c>
      <c r="Q3127" s="85" t="s">
        <v>47</v>
      </c>
      <c r="R3127" s="214" t="s">
        <v>1869</v>
      </c>
      <c r="S3127" s="214" t="s">
        <v>1861</v>
      </c>
      <c r="T3127" s="85" t="s">
        <v>2232</v>
      </c>
      <c r="U3127" s="422" t="s">
        <v>1953</v>
      </c>
      <c r="V3127" s="422" t="s">
        <v>2813</v>
      </c>
    </row>
    <row r="3128" spans="1:22" ht="15.75" thickBot="1" x14ac:dyDescent="0.3">
      <c r="A3128" t="s">
        <v>1910</v>
      </c>
      <c r="B3128" t="s">
        <v>1910</v>
      </c>
      <c r="C3128" s="82" t="s">
        <v>1910</v>
      </c>
      <c r="D3128" s="83" t="s">
        <v>629</v>
      </c>
      <c r="E3128" s="251" t="s">
        <v>1951</v>
      </c>
      <c r="F3128" s="124" t="s">
        <v>620</v>
      </c>
      <c r="G3128" s="130"/>
      <c r="H3128" s="125" t="s">
        <v>733</v>
      </c>
      <c r="I3128" s="311" t="str">
        <f t="shared" si="126"/>
        <v>Pesado de Passageiros M3: I : Gasóleo : E6</v>
      </c>
      <c r="J3128" s="125"/>
      <c r="K3128" s="253">
        <v>2022</v>
      </c>
      <c r="L3128" s="85">
        <v>5877.27</v>
      </c>
      <c r="M3128" s="85" t="s">
        <v>630</v>
      </c>
      <c r="N3128" s="128">
        <v>10311</v>
      </c>
      <c r="O3128" s="128">
        <f t="shared" si="125"/>
        <v>0</v>
      </c>
      <c r="P3128" s="125" t="s">
        <v>4394</v>
      </c>
      <c r="Q3128" s="85" t="s">
        <v>47</v>
      </c>
      <c r="R3128" s="214" t="s">
        <v>1869</v>
      </c>
      <c r="S3128" s="214" t="s">
        <v>1861</v>
      </c>
      <c r="T3128" s="85" t="s">
        <v>2233</v>
      </c>
      <c r="U3128" s="422" t="s">
        <v>1953</v>
      </c>
      <c r="V3128" s="422" t="s">
        <v>2813</v>
      </c>
    </row>
    <row r="3129" spans="1:22" ht="15.75" thickBot="1" x14ac:dyDescent="0.3">
      <c r="A3129" t="s">
        <v>1910</v>
      </c>
      <c r="B3129" t="s">
        <v>1910</v>
      </c>
      <c r="C3129" s="82" t="s">
        <v>1910</v>
      </c>
      <c r="D3129" s="83" t="s">
        <v>629</v>
      </c>
      <c r="E3129" s="251" t="s">
        <v>1951</v>
      </c>
      <c r="F3129" s="124" t="s">
        <v>620</v>
      </c>
      <c r="G3129" s="130"/>
      <c r="H3129" s="125" t="s">
        <v>733</v>
      </c>
      <c r="I3129" s="311" t="str">
        <f t="shared" si="126"/>
        <v>Pesado de Passageiros M3: I : Gasóleo : E6</v>
      </c>
      <c r="J3129" s="125"/>
      <c r="K3129" s="253">
        <v>2022</v>
      </c>
      <c r="L3129" s="85">
        <v>5207.5200000000004</v>
      </c>
      <c r="M3129" s="85" t="s">
        <v>630</v>
      </c>
      <c r="N3129" s="128">
        <v>9136</v>
      </c>
      <c r="O3129" s="128">
        <f t="shared" si="125"/>
        <v>0</v>
      </c>
      <c r="P3129" s="125" t="s">
        <v>4395</v>
      </c>
      <c r="Q3129" s="85" t="s">
        <v>47</v>
      </c>
      <c r="R3129" s="214" t="s">
        <v>1869</v>
      </c>
      <c r="S3129" s="214" t="s">
        <v>1861</v>
      </c>
      <c r="T3129" s="85" t="s">
        <v>2234</v>
      </c>
      <c r="U3129" s="422" t="s">
        <v>1953</v>
      </c>
      <c r="V3129" s="422" t="s">
        <v>2813</v>
      </c>
    </row>
    <row r="3130" spans="1:22" ht="15.75" thickBot="1" x14ac:dyDescent="0.3">
      <c r="A3130" t="s">
        <v>1910</v>
      </c>
      <c r="B3130" t="s">
        <v>1910</v>
      </c>
      <c r="C3130" s="82" t="s">
        <v>1910</v>
      </c>
      <c r="D3130" s="83" t="s">
        <v>629</v>
      </c>
      <c r="E3130" s="251" t="s">
        <v>1951</v>
      </c>
      <c r="F3130" s="124" t="s">
        <v>620</v>
      </c>
      <c r="G3130" s="130"/>
      <c r="H3130" s="125" t="s">
        <v>733</v>
      </c>
      <c r="I3130" s="311" t="str">
        <f t="shared" si="126"/>
        <v>Pesado de Passageiros M3: I : Gasóleo : E6</v>
      </c>
      <c r="J3130" s="125"/>
      <c r="K3130" s="253">
        <v>2022</v>
      </c>
      <c r="L3130" s="85">
        <v>4593.0600000000004</v>
      </c>
      <c r="M3130" s="85" t="s">
        <v>630</v>
      </c>
      <c r="N3130" s="128">
        <v>8058</v>
      </c>
      <c r="O3130" s="128">
        <f t="shared" si="125"/>
        <v>0</v>
      </c>
      <c r="P3130" s="125" t="s">
        <v>4396</v>
      </c>
      <c r="Q3130" s="85" t="s">
        <v>47</v>
      </c>
      <c r="R3130" s="214" t="s">
        <v>1869</v>
      </c>
      <c r="S3130" s="214" t="s">
        <v>1861</v>
      </c>
      <c r="T3130" s="85" t="s">
        <v>2456</v>
      </c>
      <c r="U3130" s="422" t="s">
        <v>1953</v>
      </c>
      <c r="V3130" s="422" t="s">
        <v>2813</v>
      </c>
    </row>
    <row r="3131" spans="1:22" ht="15.75" thickBot="1" x14ac:dyDescent="0.3">
      <c r="A3131" t="s">
        <v>1910</v>
      </c>
      <c r="B3131" t="s">
        <v>1910</v>
      </c>
      <c r="C3131" s="82" t="s">
        <v>1910</v>
      </c>
      <c r="D3131" s="83" t="s">
        <v>629</v>
      </c>
      <c r="E3131" s="251" t="s">
        <v>1951</v>
      </c>
      <c r="F3131" s="124" t="s">
        <v>620</v>
      </c>
      <c r="G3131" s="130"/>
      <c r="H3131" s="125" t="s">
        <v>733</v>
      </c>
      <c r="I3131" s="311" t="str">
        <f t="shared" si="126"/>
        <v>Pesado de Passageiros M3: I : Gasóleo : E6</v>
      </c>
      <c r="J3131" s="125"/>
      <c r="K3131" s="253">
        <v>2022</v>
      </c>
      <c r="L3131" s="85">
        <v>189.81</v>
      </c>
      <c r="M3131" s="85" t="s">
        <v>630</v>
      </c>
      <c r="N3131" s="128">
        <v>333</v>
      </c>
      <c r="O3131" s="128">
        <f t="shared" si="125"/>
        <v>0</v>
      </c>
      <c r="P3131" s="125" t="s">
        <v>4397</v>
      </c>
      <c r="Q3131" s="85" t="s">
        <v>47</v>
      </c>
      <c r="R3131" s="214" t="s">
        <v>1869</v>
      </c>
      <c r="S3131" s="214" t="s">
        <v>1861</v>
      </c>
      <c r="T3131" s="85" t="s">
        <v>2454</v>
      </c>
      <c r="U3131" s="422" t="s">
        <v>1953</v>
      </c>
      <c r="V3131" s="422" t="s">
        <v>2813</v>
      </c>
    </row>
    <row r="3132" spans="1:22" ht="15.75" thickBot="1" x14ac:dyDescent="0.3">
      <c r="A3132" t="s">
        <v>1910</v>
      </c>
      <c r="B3132" t="s">
        <v>1910</v>
      </c>
      <c r="C3132" s="82" t="s">
        <v>1910</v>
      </c>
      <c r="D3132" s="83" t="s">
        <v>629</v>
      </c>
      <c r="E3132" s="251" t="s">
        <v>1951</v>
      </c>
      <c r="F3132" s="124" t="s">
        <v>620</v>
      </c>
      <c r="G3132" s="130"/>
      <c r="H3132" s="125" t="s">
        <v>733</v>
      </c>
      <c r="I3132" s="311" t="str">
        <f t="shared" si="126"/>
        <v>Pesado de Passageiros M3: I : Gasóleo : E6</v>
      </c>
      <c r="J3132" s="125"/>
      <c r="K3132" s="253">
        <v>2022</v>
      </c>
      <c r="L3132" s="85">
        <v>5246.28</v>
      </c>
      <c r="M3132" s="85" t="s">
        <v>630</v>
      </c>
      <c r="N3132" s="128">
        <v>9204</v>
      </c>
      <c r="O3132" s="128">
        <f t="shared" si="125"/>
        <v>0</v>
      </c>
      <c r="P3132" s="125" t="s">
        <v>4398</v>
      </c>
      <c r="Q3132" s="85" t="s">
        <v>47</v>
      </c>
      <c r="R3132" s="214" t="s">
        <v>1869</v>
      </c>
      <c r="S3132" s="214" t="s">
        <v>1861</v>
      </c>
      <c r="T3132" s="85" t="s">
        <v>2455</v>
      </c>
      <c r="U3132" s="422" t="s">
        <v>1953</v>
      </c>
      <c r="V3132" s="422" t="s">
        <v>2813</v>
      </c>
    </row>
    <row r="3133" spans="1:22" ht="15.75" thickBot="1" x14ac:dyDescent="0.3">
      <c r="A3133" t="s">
        <v>1910</v>
      </c>
      <c r="B3133" t="s">
        <v>1910</v>
      </c>
      <c r="C3133" s="82" t="s">
        <v>1910</v>
      </c>
      <c r="D3133" s="83" t="s">
        <v>629</v>
      </c>
      <c r="E3133" s="251" t="s">
        <v>1951</v>
      </c>
      <c r="F3133" s="124" t="s">
        <v>620</v>
      </c>
      <c r="G3133" s="130"/>
      <c r="H3133" s="125" t="s">
        <v>731</v>
      </c>
      <c r="I3133" s="311" t="str">
        <f t="shared" si="126"/>
        <v>Pesado de Passageiros M3: I : Gasóleo : E4</v>
      </c>
      <c r="J3133" s="125"/>
      <c r="K3133" s="253">
        <v>2022</v>
      </c>
      <c r="L3133" s="85">
        <v>6137.78</v>
      </c>
      <c r="M3133" s="85" t="s">
        <v>630</v>
      </c>
      <c r="N3133" s="128">
        <v>26686</v>
      </c>
      <c r="O3133" s="128">
        <f t="shared" si="125"/>
        <v>0</v>
      </c>
      <c r="P3133" s="125" t="s">
        <v>3296</v>
      </c>
      <c r="Q3133" s="85" t="s">
        <v>47</v>
      </c>
      <c r="R3133" s="214" t="s">
        <v>1869</v>
      </c>
      <c r="S3133" s="214" t="s">
        <v>1861</v>
      </c>
      <c r="T3133" s="85" t="s">
        <v>4125</v>
      </c>
      <c r="U3133" s="422" t="s">
        <v>1953</v>
      </c>
      <c r="V3133" s="422" t="s">
        <v>2813</v>
      </c>
    </row>
    <row r="3134" spans="1:22" ht="15.75" thickBot="1" x14ac:dyDescent="0.3">
      <c r="A3134" t="s">
        <v>1910</v>
      </c>
      <c r="B3134" t="s">
        <v>1910</v>
      </c>
      <c r="C3134" s="82" t="s">
        <v>1910</v>
      </c>
      <c r="D3134" s="83" t="s">
        <v>629</v>
      </c>
      <c r="E3134" s="251" t="s">
        <v>1951</v>
      </c>
      <c r="F3134" s="124" t="s">
        <v>620</v>
      </c>
      <c r="G3134" s="130"/>
      <c r="H3134" s="125" t="s">
        <v>731</v>
      </c>
      <c r="I3134" s="311" t="str">
        <f t="shared" si="126"/>
        <v>Pesado de Passageiros M3: I : Gasóleo : E4</v>
      </c>
      <c r="J3134" s="125"/>
      <c r="K3134" s="253">
        <v>2022</v>
      </c>
      <c r="L3134" s="85">
        <v>3286.24</v>
      </c>
      <c r="M3134" s="85" t="s">
        <v>630</v>
      </c>
      <c r="N3134" s="128">
        <v>14288</v>
      </c>
      <c r="O3134" s="128">
        <f t="shared" si="125"/>
        <v>0</v>
      </c>
      <c r="P3134" s="125" t="s">
        <v>3297</v>
      </c>
      <c r="Q3134" s="85" t="s">
        <v>47</v>
      </c>
      <c r="R3134" s="214" t="s">
        <v>1869</v>
      </c>
      <c r="S3134" s="214" t="s">
        <v>1861</v>
      </c>
      <c r="T3134" s="85" t="s">
        <v>4126</v>
      </c>
      <c r="U3134" s="422" t="s">
        <v>1953</v>
      </c>
      <c r="V3134" s="422" t="s">
        <v>2813</v>
      </c>
    </row>
    <row r="3135" spans="1:22" ht="15.75" thickBot="1" x14ac:dyDescent="0.3">
      <c r="A3135" t="s">
        <v>1910</v>
      </c>
      <c r="B3135" t="s">
        <v>1910</v>
      </c>
      <c r="C3135" s="82" t="s">
        <v>1910</v>
      </c>
      <c r="D3135" s="83" t="s">
        <v>629</v>
      </c>
      <c r="E3135" s="251" t="s">
        <v>1951</v>
      </c>
      <c r="F3135" s="124" t="s">
        <v>620</v>
      </c>
      <c r="G3135" s="130">
        <v>2001</v>
      </c>
      <c r="H3135" s="125" t="s">
        <v>732</v>
      </c>
      <c r="I3135" s="311" t="str">
        <f t="shared" si="126"/>
        <v>Pesado de Passageiros M3: I : Gasóleo : E3</v>
      </c>
      <c r="J3135" s="125">
        <v>64</v>
      </c>
      <c r="K3135" s="253">
        <v>2022</v>
      </c>
      <c r="L3135" s="129">
        <v>14129.286</v>
      </c>
      <c r="M3135" s="85" t="s">
        <v>630</v>
      </c>
      <c r="N3135" s="128">
        <v>30165</v>
      </c>
      <c r="O3135" s="128">
        <f t="shared" si="125"/>
        <v>1930560</v>
      </c>
      <c r="P3135" s="125" t="s">
        <v>2170</v>
      </c>
      <c r="Q3135" s="85" t="s">
        <v>47</v>
      </c>
      <c r="R3135" s="214" t="s">
        <v>1869</v>
      </c>
      <c r="S3135" s="214" t="s">
        <v>1861</v>
      </c>
      <c r="T3135" s="85" t="s">
        <v>4127</v>
      </c>
      <c r="U3135" s="422" t="s">
        <v>1953</v>
      </c>
      <c r="V3135" s="422" t="s">
        <v>2813</v>
      </c>
    </row>
    <row r="3136" spans="1:22" ht="15.75" thickBot="1" x14ac:dyDescent="0.3">
      <c r="A3136" t="s">
        <v>1910</v>
      </c>
      <c r="B3136" t="s">
        <v>1910</v>
      </c>
      <c r="C3136" s="82" t="s">
        <v>1910</v>
      </c>
      <c r="D3136" s="83" t="s">
        <v>629</v>
      </c>
      <c r="E3136" s="251" t="s">
        <v>1951</v>
      </c>
      <c r="F3136" s="124" t="s">
        <v>620</v>
      </c>
      <c r="G3136" s="130">
        <v>2019</v>
      </c>
      <c r="H3136" s="125" t="s">
        <v>733</v>
      </c>
      <c r="I3136" s="311" t="str">
        <f t="shared" si="126"/>
        <v>Pesado de Passageiros M3: I : Gasóleo : E6</v>
      </c>
      <c r="J3136" s="125">
        <v>68</v>
      </c>
      <c r="K3136" s="253">
        <v>2022</v>
      </c>
      <c r="L3136" s="129">
        <v>11504.025600000001</v>
      </c>
      <c r="M3136" s="85" t="s">
        <v>630</v>
      </c>
      <c r="N3136" s="128">
        <v>24576</v>
      </c>
      <c r="O3136" s="128">
        <f t="shared" si="125"/>
        <v>1671168</v>
      </c>
      <c r="P3136" s="125" t="s">
        <v>2008</v>
      </c>
      <c r="Q3136" s="85" t="s">
        <v>47</v>
      </c>
      <c r="R3136" s="214" t="s">
        <v>1869</v>
      </c>
      <c r="S3136" s="214" t="s">
        <v>1861</v>
      </c>
      <c r="T3136" s="85" t="s">
        <v>4128</v>
      </c>
      <c r="U3136" s="422" t="s">
        <v>1953</v>
      </c>
      <c r="V3136" s="422" t="s">
        <v>2813</v>
      </c>
    </row>
    <row r="3137" spans="1:22" ht="15.75" thickBot="1" x14ac:dyDescent="0.3">
      <c r="A3137" t="s">
        <v>1910</v>
      </c>
      <c r="B3137" t="s">
        <v>1910</v>
      </c>
      <c r="C3137" s="82" t="s">
        <v>1910</v>
      </c>
      <c r="D3137" s="83" t="s">
        <v>629</v>
      </c>
      <c r="E3137" s="251" t="s">
        <v>1951</v>
      </c>
      <c r="F3137" s="124" t="s">
        <v>620</v>
      </c>
      <c r="G3137" s="130">
        <v>2019</v>
      </c>
      <c r="H3137" s="125" t="s">
        <v>733</v>
      </c>
      <c r="I3137" s="311" t="str">
        <f t="shared" si="126"/>
        <v>Pesado de Passageiros M3: I : Gasóleo : E6</v>
      </c>
      <c r="J3137" s="125">
        <v>68</v>
      </c>
      <c r="K3137" s="253">
        <v>2022</v>
      </c>
      <c r="L3137" s="129">
        <v>11599.1744</v>
      </c>
      <c r="M3137" s="85" t="s">
        <v>630</v>
      </c>
      <c r="N3137" s="128">
        <v>25696</v>
      </c>
      <c r="O3137" s="128">
        <f t="shared" si="125"/>
        <v>1747328</v>
      </c>
      <c r="P3137" s="125" t="s">
        <v>2009</v>
      </c>
      <c r="Q3137" s="85" t="s">
        <v>47</v>
      </c>
      <c r="R3137" s="214" t="s">
        <v>1869</v>
      </c>
      <c r="S3137" s="214" t="s">
        <v>1861</v>
      </c>
      <c r="T3137" s="85" t="s">
        <v>4129</v>
      </c>
      <c r="U3137" s="422" t="s">
        <v>1953</v>
      </c>
      <c r="V3137" s="422" t="s">
        <v>2813</v>
      </c>
    </row>
    <row r="3138" spans="1:22" ht="15.75" thickBot="1" x14ac:dyDescent="0.3">
      <c r="A3138" t="s">
        <v>1910</v>
      </c>
      <c r="B3138" t="s">
        <v>1910</v>
      </c>
      <c r="C3138" s="82" t="s">
        <v>1910</v>
      </c>
      <c r="D3138" s="83" t="s">
        <v>629</v>
      </c>
      <c r="E3138" s="251" t="s">
        <v>1951</v>
      </c>
      <c r="F3138" s="124" t="s">
        <v>620</v>
      </c>
      <c r="G3138" s="130"/>
      <c r="H3138" s="125" t="s">
        <v>732</v>
      </c>
      <c r="I3138" s="311" t="str">
        <f t="shared" si="126"/>
        <v>Pesado de Passageiros M3: I : Gasóleo : E3</v>
      </c>
      <c r="J3138" s="125"/>
      <c r="K3138" s="253">
        <v>2022</v>
      </c>
      <c r="L3138" s="85">
        <v>24025.65</v>
      </c>
      <c r="M3138" s="85" t="s">
        <v>630</v>
      </c>
      <c r="N3138" s="128">
        <v>43683</v>
      </c>
      <c r="O3138" s="128">
        <f t="shared" si="125"/>
        <v>0</v>
      </c>
      <c r="P3138" s="125" t="s">
        <v>3371</v>
      </c>
      <c r="Q3138" s="85" t="s">
        <v>47</v>
      </c>
      <c r="R3138" s="214" t="s">
        <v>1869</v>
      </c>
      <c r="S3138" s="214" t="s">
        <v>1861</v>
      </c>
      <c r="T3138" s="85" t="s">
        <v>4130</v>
      </c>
      <c r="U3138" s="422" t="s">
        <v>1953</v>
      </c>
      <c r="V3138" s="422" t="s">
        <v>2813</v>
      </c>
    </row>
    <row r="3139" spans="1:22" ht="15.75" thickBot="1" x14ac:dyDescent="0.3">
      <c r="A3139" t="s">
        <v>1910</v>
      </c>
      <c r="B3139" t="s">
        <v>1910</v>
      </c>
      <c r="C3139" s="82" t="s">
        <v>1910</v>
      </c>
      <c r="D3139" s="83" t="s">
        <v>629</v>
      </c>
      <c r="E3139" s="251" t="s">
        <v>1951</v>
      </c>
      <c r="F3139" s="124" t="s">
        <v>620</v>
      </c>
      <c r="G3139" s="130">
        <v>2006</v>
      </c>
      <c r="H3139" s="125" t="s">
        <v>732</v>
      </c>
      <c r="I3139" s="311" t="str">
        <f t="shared" si="126"/>
        <v>Pesado de Passageiros M3: I : Gasóleo : E3</v>
      </c>
      <c r="J3139" s="125">
        <v>149</v>
      </c>
      <c r="K3139" s="253">
        <v>2022</v>
      </c>
      <c r="L3139" s="129">
        <v>26044.141999999996</v>
      </c>
      <c r="M3139" s="85" t="s">
        <v>630</v>
      </c>
      <c r="N3139" s="128">
        <v>41170</v>
      </c>
      <c r="O3139" s="128">
        <f t="shared" si="125"/>
        <v>6134330</v>
      </c>
      <c r="P3139" s="125" t="s">
        <v>2065</v>
      </c>
      <c r="Q3139" s="85" t="s">
        <v>47</v>
      </c>
      <c r="R3139" s="214" t="s">
        <v>1869</v>
      </c>
      <c r="S3139" s="214" t="s">
        <v>1861</v>
      </c>
      <c r="T3139" s="85" t="s">
        <v>4131</v>
      </c>
      <c r="U3139" s="422" t="s">
        <v>1953</v>
      </c>
      <c r="V3139" s="422" t="s">
        <v>2813</v>
      </c>
    </row>
    <row r="3140" spans="1:22" ht="15.75" thickBot="1" x14ac:dyDescent="0.3">
      <c r="A3140" t="s">
        <v>1910</v>
      </c>
      <c r="B3140" t="s">
        <v>1910</v>
      </c>
      <c r="C3140" s="82" t="s">
        <v>1910</v>
      </c>
      <c r="D3140" s="83" t="s">
        <v>629</v>
      </c>
      <c r="E3140" s="251" t="s">
        <v>1951</v>
      </c>
      <c r="F3140" s="124" t="s">
        <v>620</v>
      </c>
      <c r="G3140" s="130">
        <v>2000</v>
      </c>
      <c r="H3140" s="125" t="s">
        <v>732</v>
      </c>
      <c r="I3140" s="311" t="str">
        <f t="shared" si="126"/>
        <v>Pesado de Passageiros M3: I : Gasóleo : E3</v>
      </c>
      <c r="J3140" s="125">
        <v>79</v>
      </c>
      <c r="K3140" s="253">
        <v>2022</v>
      </c>
      <c r="L3140" s="129">
        <v>22657.439999999999</v>
      </c>
      <c r="M3140" s="85" t="s">
        <v>630</v>
      </c>
      <c r="N3140" s="128">
        <v>47203</v>
      </c>
      <c r="O3140" s="128">
        <f t="shared" si="125"/>
        <v>3729037</v>
      </c>
      <c r="P3140" s="125" t="s">
        <v>2179</v>
      </c>
      <c r="Q3140" s="85" t="s">
        <v>47</v>
      </c>
      <c r="R3140" s="214" t="s">
        <v>1869</v>
      </c>
      <c r="S3140" s="214" t="s">
        <v>1861</v>
      </c>
      <c r="T3140" s="85" t="s">
        <v>4132</v>
      </c>
      <c r="U3140" s="422" t="s">
        <v>1953</v>
      </c>
      <c r="V3140" s="422" t="s">
        <v>2813</v>
      </c>
    </row>
    <row r="3141" spans="1:22" ht="15.75" thickBot="1" x14ac:dyDescent="0.3">
      <c r="A3141" t="s">
        <v>1910</v>
      </c>
      <c r="B3141" t="s">
        <v>1910</v>
      </c>
      <c r="C3141" s="82" t="s">
        <v>1910</v>
      </c>
      <c r="D3141" s="83" t="s">
        <v>629</v>
      </c>
      <c r="E3141" s="251" t="s">
        <v>1951</v>
      </c>
      <c r="F3141" s="124" t="s">
        <v>620</v>
      </c>
      <c r="G3141" s="130">
        <v>2000</v>
      </c>
      <c r="H3141" s="125" t="s">
        <v>732</v>
      </c>
      <c r="I3141" s="311" t="str">
        <f t="shared" si="126"/>
        <v>Pesado de Passageiros M3: I : Gasóleo : E3</v>
      </c>
      <c r="J3141" s="125">
        <v>79</v>
      </c>
      <c r="K3141" s="253">
        <v>2022</v>
      </c>
      <c r="L3141" s="129">
        <v>24513.383999999998</v>
      </c>
      <c r="M3141" s="85" t="s">
        <v>630</v>
      </c>
      <c r="N3141" s="128">
        <v>51716</v>
      </c>
      <c r="O3141" s="128">
        <f t="shared" si="125"/>
        <v>4085564</v>
      </c>
      <c r="P3141" s="125" t="s">
        <v>2180</v>
      </c>
      <c r="Q3141" s="85" t="s">
        <v>47</v>
      </c>
      <c r="R3141" s="214" t="s">
        <v>1869</v>
      </c>
      <c r="S3141" s="214" t="s">
        <v>1861</v>
      </c>
      <c r="T3141" s="85" t="s">
        <v>4133</v>
      </c>
      <c r="U3141" s="422" t="s">
        <v>1953</v>
      </c>
      <c r="V3141" s="422" t="s">
        <v>2813</v>
      </c>
    </row>
    <row r="3142" spans="1:22" ht="15.75" thickBot="1" x14ac:dyDescent="0.3">
      <c r="A3142" t="s">
        <v>1910</v>
      </c>
      <c r="B3142" t="s">
        <v>1910</v>
      </c>
      <c r="C3142" s="82" t="s">
        <v>1910</v>
      </c>
      <c r="D3142" s="83" t="s">
        <v>629</v>
      </c>
      <c r="E3142" s="251" t="s">
        <v>1951</v>
      </c>
      <c r="F3142" s="124" t="s">
        <v>620</v>
      </c>
      <c r="G3142" s="130">
        <v>2000</v>
      </c>
      <c r="H3142" s="125" t="s">
        <v>732</v>
      </c>
      <c r="I3142" s="311" t="str">
        <f t="shared" si="126"/>
        <v>Pesado de Passageiros M3: I : Gasóleo : E3</v>
      </c>
      <c r="J3142" s="125">
        <v>79</v>
      </c>
      <c r="K3142" s="253">
        <v>2022</v>
      </c>
      <c r="L3142" s="129">
        <v>21396.1594</v>
      </c>
      <c r="M3142" s="85" t="s">
        <v>630</v>
      </c>
      <c r="N3142" s="128">
        <v>45826</v>
      </c>
      <c r="O3142" s="128">
        <f t="shared" si="125"/>
        <v>3620254</v>
      </c>
      <c r="P3142" s="125" t="s">
        <v>2181</v>
      </c>
      <c r="Q3142" s="85" t="s">
        <v>47</v>
      </c>
      <c r="R3142" s="214" t="s">
        <v>1869</v>
      </c>
      <c r="S3142" s="214" t="s">
        <v>1861</v>
      </c>
      <c r="T3142" s="85" t="s">
        <v>4134</v>
      </c>
      <c r="U3142" s="422" t="s">
        <v>1953</v>
      </c>
      <c r="V3142" s="422" t="s">
        <v>2813</v>
      </c>
    </row>
    <row r="3143" spans="1:22" ht="15.75" thickBot="1" x14ac:dyDescent="0.3">
      <c r="A3143" t="s">
        <v>1910</v>
      </c>
      <c r="B3143" t="s">
        <v>1910</v>
      </c>
      <c r="C3143" s="82" t="s">
        <v>1910</v>
      </c>
      <c r="D3143" s="83" t="s">
        <v>629</v>
      </c>
      <c r="E3143" s="251" t="s">
        <v>1951</v>
      </c>
      <c r="F3143" s="124" t="s">
        <v>620</v>
      </c>
      <c r="G3143" s="130"/>
      <c r="H3143" s="125" t="s">
        <v>731</v>
      </c>
      <c r="I3143" s="311" t="str">
        <f t="shared" si="126"/>
        <v>Pesado de Passageiros M3: I : Gasóleo : E4</v>
      </c>
      <c r="J3143" s="125"/>
      <c r="K3143" s="253">
        <v>2022</v>
      </c>
      <c r="L3143" s="85">
        <v>4441.92</v>
      </c>
      <c r="M3143" s="85" t="s">
        <v>630</v>
      </c>
      <c r="N3143" s="128">
        <v>9254</v>
      </c>
      <c r="O3143" s="128">
        <f t="shared" si="125"/>
        <v>0</v>
      </c>
      <c r="P3143" s="125" t="s">
        <v>3339</v>
      </c>
      <c r="Q3143" s="85" t="s">
        <v>47</v>
      </c>
      <c r="R3143" s="214" t="s">
        <v>1869</v>
      </c>
      <c r="S3143" s="214" t="s">
        <v>1861</v>
      </c>
      <c r="T3143" s="85" t="s">
        <v>4135</v>
      </c>
      <c r="U3143" s="422" t="s">
        <v>1953</v>
      </c>
      <c r="V3143" s="422" t="s">
        <v>2813</v>
      </c>
    </row>
    <row r="3144" spans="1:22" ht="15.75" thickBot="1" x14ac:dyDescent="0.3">
      <c r="A3144" t="s">
        <v>1910</v>
      </c>
      <c r="B3144" t="s">
        <v>1910</v>
      </c>
      <c r="C3144" s="82" t="s">
        <v>1910</v>
      </c>
      <c r="D3144" s="83" t="s">
        <v>629</v>
      </c>
      <c r="E3144" s="251" t="s">
        <v>1951</v>
      </c>
      <c r="F3144" s="124" t="s">
        <v>620</v>
      </c>
      <c r="G3144" s="130"/>
      <c r="H3144" s="125" t="s">
        <v>731</v>
      </c>
      <c r="I3144" s="311" t="str">
        <f t="shared" si="126"/>
        <v>Pesado de Passageiros M3: I : Gasóleo : E4</v>
      </c>
      <c r="J3144" s="125"/>
      <c r="K3144" s="253">
        <v>2022</v>
      </c>
      <c r="L3144" s="85">
        <v>9599.2644</v>
      </c>
      <c r="M3144" s="85" t="s">
        <v>630</v>
      </c>
      <c r="N3144" s="128">
        <v>17737</v>
      </c>
      <c r="O3144" s="128">
        <f t="shared" si="125"/>
        <v>0</v>
      </c>
      <c r="P3144" s="125" t="s">
        <v>2159</v>
      </c>
      <c r="Q3144" s="85" t="s">
        <v>47</v>
      </c>
      <c r="R3144" s="214" t="s">
        <v>1869</v>
      </c>
      <c r="S3144" s="214" t="s">
        <v>1861</v>
      </c>
      <c r="T3144" s="85" t="s">
        <v>4136</v>
      </c>
      <c r="U3144" s="422" t="s">
        <v>1953</v>
      </c>
      <c r="V3144" s="422" t="s">
        <v>2813</v>
      </c>
    </row>
    <row r="3145" spans="1:22" ht="15.75" thickBot="1" x14ac:dyDescent="0.3">
      <c r="A3145" t="s">
        <v>1910</v>
      </c>
      <c r="B3145" t="s">
        <v>1910</v>
      </c>
      <c r="C3145" s="82" t="s">
        <v>1910</v>
      </c>
      <c r="D3145" s="83" t="s">
        <v>629</v>
      </c>
      <c r="E3145" s="251" t="s">
        <v>1951</v>
      </c>
      <c r="F3145" s="124" t="s">
        <v>620</v>
      </c>
      <c r="G3145" s="130">
        <v>2000</v>
      </c>
      <c r="H3145" s="125" t="s">
        <v>732</v>
      </c>
      <c r="I3145" s="311" t="str">
        <f t="shared" si="126"/>
        <v>Pesado de Passageiros M3: I : Gasóleo : E3</v>
      </c>
      <c r="J3145" s="125">
        <v>79</v>
      </c>
      <c r="K3145" s="253">
        <v>2022</v>
      </c>
      <c r="L3145" s="381">
        <v>8119.1656000000003</v>
      </c>
      <c r="M3145" s="85" t="s">
        <v>630</v>
      </c>
      <c r="N3145" s="128">
        <v>16288</v>
      </c>
      <c r="O3145" s="128">
        <f t="shared" si="125"/>
        <v>1286752</v>
      </c>
      <c r="P3145" s="125" t="s">
        <v>2159</v>
      </c>
      <c r="Q3145" s="85" t="s">
        <v>47</v>
      </c>
      <c r="R3145" s="214" t="s">
        <v>1869</v>
      </c>
      <c r="S3145" s="214" t="s">
        <v>1861</v>
      </c>
      <c r="T3145" s="85" t="s">
        <v>4136</v>
      </c>
      <c r="U3145" s="422" t="s">
        <v>1953</v>
      </c>
      <c r="V3145" s="422" t="s">
        <v>2813</v>
      </c>
    </row>
    <row r="3146" spans="1:22" ht="15.75" thickBot="1" x14ac:dyDescent="0.3">
      <c r="A3146" t="s">
        <v>1910</v>
      </c>
      <c r="B3146" t="s">
        <v>1910</v>
      </c>
      <c r="C3146" s="82" t="s">
        <v>1910</v>
      </c>
      <c r="D3146" s="83" t="s">
        <v>629</v>
      </c>
      <c r="E3146" s="251" t="s">
        <v>1951</v>
      </c>
      <c r="F3146" s="124" t="s">
        <v>620</v>
      </c>
      <c r="G3146" s="130"/>
      <c r="H3146" s="125" t="s">
        <v>732</v>
      </c>
      <c r="I3146" s="311" t="str">
        <f t="shared" si="126"/>
        <v>Pesado de Passageiros M3: I : Gasóleo : E3</v>
      </c>
      <c r="J3146" s="125"/>
      <c r="K3146" s="253">
        <v>2022</v>
      </c>
      <c r="L3146" s="85">
        <v>9633.4874999999993</v>
      </c>
      <c r="M3146" s="85" t="s">
        <v>630</v>
      </c>
      <c r="N3146" s="128">
        <v>19761</v>
      </c>
      <c r="O3146" s="128">
        <f t="shared" si="125"/>
        <v>0</v>
      </c>
      <c r="P3146" s="125" t="s">
        <v>2182</v>
      </c>
      <c r="Q3146" s="85" t="s">
        <v>47</v>
      </c>
      <c r="R3146" s="214" t="s">
        <v>1869</v>
      </c>
      <c r="S3146" s="214" t="s">
        <v>1861</v>
      </c>
      <c r="T3146" s="85" t="s">
        <v>4137</v>
      </c>
      <c r="U3146" s="422" t="s">
        <v>1953</v>
      </c>
      <c r="V3146" s="422" t="s">
        <v>2813</v>
      </c>
    </row>
    <row r="3147" spans="1:22" ht="15.75" thickBot="1" x14ac:dyDescent="0.3">
      <c r="A3147" t="s">
        <v>1910</v>
      </c>
      <c r="B3147" t="s">
        <v>1910</v>
      </c>
      <c r="C3147" s="82" t="s">
        <v>1910</v>
      </c>
      <c r="D3147" s="83" t="s">
        <v>629</v>
      </c>
      <c r="E3147" s="251" t="s">
        <v>1951</v>
      </c>
      <c r="F3147" s="124" t="s">
        <v>620</v>
      </c>
      <c r="G3147" s="130">
        <v>2003</v>
      </c>
      <c r="H3147" s="125" t="s">
        <v>732</v>
      </c>
      <c r="I3147" s="311" t="str">
        <f t="shared" si="126"/>
        <v>Pesado de Passageiros M3: I : Gasóleo : E3</v>
      </c>
      <c r="J3147" s="125">
        <v>81</v>
      </c>
      <c r="K3147" s="253">
        <v>2022</v>
      </c>
      <c r="L3147" s="381">
        <v>8901.6324999999997</v>
      </c>
      <c r="M3147" s="85" t="s">
        <v>630</v>
      </c>
      <c r="N3147" s="128">
        <v>21764</v>
      </c>
      <c r="O3147" s="128">
        <f t="shared" si="125"/>
        <v>1762884</v>
      </c>
      <c r="P3147" s="125" t="s">
        <v>2182</v>
      </c>
      <c r="Q3147" s="85" t="s">
        <v>47</v>
      </c>
      <c r="R3147" s="214" t="s">
        <v>1869</v>
      </c>
      <c r="S3147" s="214" t="s">
        <v>1861</v>
      </c>
      <c r="T3147" s="85" t="s">
        <v>4137</v>
      </c>
      <c r="U3147" s="422" t="s">
        <v>1953</v>
      </c>
      <c r="V3147" s="422" t="s">
        <v>2813</v>
      </c>
    </row>
    <row r="3148" spans="1:22" ht="15.75" thickBot="1" x14ac:dyDescent="0.3">
      <c r="A3148" t="s">
        <v>1910</v>
      </c>
      <c r="B3148" t="s">
        <v>1910</v>
      </c>
      <c r="C3148" s="82" t="s">
        <v>1910</v>
      </c>
      <c r="D3148" s="83" t="s">
        <v>629</v>
      </c>
      <c r="E3148" s="251" t="s">
        <v>1951</v>
      </c>
      <c r="F3148" s="124" t="s">
        <v>620</v>
      </c>
      <c r="G3148" s="130"/>
      <c r="H3148" s="125" t="s">
        <v>732</v>
      </c>
      <c r="I3148" s="311" t="str">
        <f t="shared" si="126"/>
        <v>Pesado de Passageiros M3: I : Gasóleo : E3</v>
      </c>
      <c r="J3148" s="125"/>
      <c r="K3148" s="253">
        <v>2022</v>
      </c>
      <c r="L3148" s="85">
        <v>23104.36</v>
      </c>
      <c r="M3148" s="85" t="s">
        <v>630</v>
      </c>
      <c r="N3148" s="128">
        <v>37876</v>
      </c>
      <c r="O3148" s="128">
        <f t="shared" si="125"/>
        <v>0</v>
      </c>
      <c r="P3148" s="125" t="s">
        <v>3366</v>
      </c>
      <c r="Q3148" s="85" t="s">
        <v>47</v>
      </c>
      <c r="R3148" s="214" t="s">
        <v>1869</v>
      </c>
      <c r="S3148" s="214" t="s">
        <v>1861</v>
      </c>
      <c r="T3148" s="85" t="s">
        <v>4138</v>
      </c>
      <c r="U3148" s="422" t="s">
        <v>1953</v>
      </c>
      <c r="V3148" s="422" t="s">
        <v>2813</v>
      </c>
    </row>
    <row r="3149" spans="1:22" ht="15.75" thickBot="1" x14ac:dyDescent="0.3">
      <c r="A3149" t="s">
        <v>1910</v>
      </c>
      <c r="B3149" t="s">
        <v>1910</v>
      </c>
      <c r="C3149" s="82" t="s">
        <v>1910</v>
      </c>
      <c r="D3149" s="83" t="s">
        <v>629</v>
      </c>
      <c r="E3149" s="251" t="s">
        <v>1951</v>
      </c>
      <c r="F3149" s="124" t="s">
        <v>620</v>
      </c>
      <c r="G3149" s="130">
        <v>2000</v>
      </c>
      <c r="H3149" s="125" t="s">
        <v>732</v>
      </c>
      <c r="I3149" s="311" t="str">
        <f t="shared" si="126"/>
        <v>Pesado de Passageiros M3: I : Gasóleo : E3</v>
      </c>
      <c r="J3149" s="125">
        <v>74</v>
      </c>
      <c r="K3149" s="253">
        <v>2022</v>
      </c>
      <c r="L3149" s="129">
        <v>28426.277099999999</v>
      </c>
      <c r="M3149" s="85" t="s">
        <v>630</v>
      </c>
      <c r="N3149" s="128">
        <v>53463</v>
      </c>
      <c r="O3149" s="128">
        <f t="shared" si="125"/>
        <v>3956262</v>
      </c>
      <c r="P3149" s="125" t="s">
        <v>2120</v>
      </c>
      <c r="Q3149" s="85" t="s">
        <v>47</v>
      </c>
      <c r="R3149" s="214" t="s">
        <v>1869</v>
      </c>
      <c r="S3149" s="214" t="s">
        <v>1861</v>
      </c>
      <c r="T3149" s="85" t="s">
        <v>4139</v>
      </c>
      <c r="U3149" s="422" t="s">
        <v>1953</v>
      </c>
      <c r="V3149" s="422" t="s">
        <v>2813</v>
      </c>
    </row>
    <row r="3150" spans="1:22" ht="15.75" thickBot="1" x14ac:dyDescent="0.3">
      <c r="A3150" t="s">
        <v>1910</v>
      </c>
      <c r="B3150" t="s">
        <v>1910</v>
      </c>
      <c r="C3150" s="82" t="s">
        <v>1910</v>
      </c>
      <c r="D3150" s="83" t="s">
        <v>629</v>
      </c>
      <c r="E3150" s="251" t="s">
        <v>1951</v>
      </c>
      <c r="F3150" s="124" t="s">
        <v>620</v>
      </c>
      <c r="G3150" s="130">
        <v>2010</v>
      </c>
      <c r="H3150" s="125" t="s">
        <v>731</v>
      </c>
      <c r="I3150" s="311" t="str">
        <f t="shared" si="126"/>
        <v>Pesado de Passageiros M3: I : Gasóleo : E4</v>
      </c>
      <c r="J3150" s="125">
        <v>52</v>
      </c>
      <c r="K3150" s="253">
        <v>2022</v>
      </c>
      <c r="L3150" s="129">
        <v>12243.0105</v>
      </c>
      <c r="M3150" s="85" t="s">
        <v>630</v>
      </c>
      <c r="N3150" s="128">
        <v>29005</v>
      </c>
      <c r="O3150" s="128">
        <f t="shared" si="125"/>
        <v>1508260</v>
      </c>
      <c r="P3150" s="125" t="s">
        <v>1971</v>
      </c>
      <c r="Q3150" s="85" t="s">
        <v>47</v>
      </c>
      <c r="R3150" s="214" t="s">
        <v>1869</v>
      </c>
      <c r="S3150" s="214" t="s">
        <v>1861</v>
      </c>
      <c r="T3150" s="85" t="s">
        <v>4140</v>
      </c>
      <c r="U3150" s="422" t="s">
        <v>1953</v>
      </c>
      <c r="V3150" s="422" t="s">
        <v>2813</v>
      </c>
    </row>
    <row r="3151" spans="1:22" ht="15.75" thickBot="1" x14ac:dyDescent="0.3">
      <c r="A3151" t="s">
        <v>1910</v>
      </c>
      <c r="B3151" t="s">
        <v>1910</v>
      </c>
      <c r="C3151" s="82" t="s">
        <v>1910</v>
      </c>
      <c r="D3151" s="83" t="s">
        <v>629</v>
      </c>
      <c r="E3151" s="251" t="s">
        <v>1951</v>
      </c>
      <c r="F3151" s="124" t="s">
        <v>620</v>
      </c>
      <c r="G3151" s="130">
        <v>2004</v>
      </c>
      <c r="H3151" s="125" t="s">
        <v>732</v>
      </c>
      <c r="I3151" s="311" t="str">
        <f t="shared" si="126"/>
        <v>Pesado de Passageiros M3: I : Gasóleo : E3</v>
      </c>
      <c r="J3151" s="125">
        <v>74</v>
      </c>
      <c r="K3151" s="253">
        <v>2022</v>
      </c>
      <c r="L3151" s="129">
        <v>24822.849600000001</v>
      </c>
      <c r="M3151" s="85" t="s">
        <v>630</v>
      </c>
      <c r="N3151" s="128">
        <v>48558</v>
      </c>
      <c r="O3151" s="128">
        <f t="shared" si="125"/>
        <v>3593292</v>
      </c>
      <c r="P3151" s="125" t="s">
        <v>2184</v>
      </c>
      <c r="Q3151" s="85" t="s">
        <v>47</v>
      </c>
      <c r="R3151" s="214" t="s">
        <v>1869</v>
      </c>
      <c r="S3151" s="214" t="s">
        <v>1861</v>
      </c>
      <c r="T3151" s="85" t="s">
        <v>4141</v>
      </c>
      <c r="U3151" s="422" t="s">
        <v>1953</v>
      </c>
      <c r="V3151" s="422" t="s">
        <v>2813</v>
      </c>
    </row>
    <row r="3152" spans="1:22" ht="15.75" thickBot="1" x14ac:dyDescent="0.3">
      <c r="A3152" t="s">
        <v>1910</v>
      </c>
      <c r="B3152" t="s">
        <v>1910</v>
      </c>
      <c r="C3152" s="82" t="s">
        <v>1910</v>
      </c>
      <c r="D3152" s="83" t="s">
        <v>629</v>
      </c>
      <c r="E3152" s="251" t="s">
        <v>1951</v>
      </c>
      <c r="F3152" s="124" t="s">
        <v>620</v>
      </c>
      <c r="G3152" s="130">
        <v>2004</v>
      </c>
      <c r="H3152" s="125" t="s">
        <v>732</v>
      </c>
      <c r="I3152" s="311" t="str">
        <f t="shared" si="126"/>
        <v>Pesado de Passageiros M3: I : Gasóleo : E3</v>
      </c>
      <c r="J3152" s="125">
        <v>74</v>
      </c>
      <c r="K3152" s="253">
        <v>2022</v>
      </c>
      <c r="L3152" s="129">
        <v>20841.981600000003</v>
      </c>
      <c r="M3152" s="85" t="s">
        <v>630</v>
      </c>
      <c r="N3152" s="128">
        <v>42674</v>
      </c>
      <c r="O3152" s="128">
        <f t="shared" si="125"/>
        <v>3157876</v>
      </c>
      <c r="P3152" s="125" t="s">
        <v>2183</v>
      </c>
      <c r="Q3152" s="85" t="s">
        <v>47</v>
      </c>
      <c r="R3152" s="214" t="s">
        <v>1869</v>
      </c>
      <c r="S3152" s="214" t="s">
        <v>1861</v>
      </c>
      <c r="T3152" s="85" t="s">
        <v>4142</v>
      </c>
      <c r="U3152" s="422" t="s">
        <v>1953</v>
      </c>
      <c r="V3152" s="422" t="s">
        <v>2813</v>
      </c>
    </row>
    <row r="3153" spans="1:22" ht="15.75" thickBot="1" x14ac:dyDescent="0.3">
      <c r="A3153" t="s">
        <v>1910</v>
      </c>
      <c r="B3153" t="s">
        <v>1910</v>
      </c>
      <c r="C3153" s="82" t="s">
        <v>1910</v>
      </c>
      <c r="D3153" s="83" t="s">
        <v>629</v>
      </c>
      <c r="E3153" s="251" t="s">
        <v>1951</v>
      </c>
      <c r="F3153" s="124" t="s">
        <v>620</v>
      </c>
      <c r="G3153" s="130">
        <v>2004</v>
      </c>
      <c r="H3153" s="125" t="s">
        <v>732</v>
      </c>
      <c r="I3153" s="311" t="str">
        <f t="shared" si="126"/>
        <v>Pesado de Passageiros M3: I : Gasóleo : E3</v>
      </c>
      <c r="J3153" s="125">
        <v>73</v>
      </c>
      <c r="K3153" s="253">
        <v>2022</v>
      </c>
      <c r="L3153" s="129">
        <v>21191.519699999997</v>
      </c>
      <c r="M3153" s="85" t="s">
        <v>630</v>
      </c>
      <c r="N3153" s="128">
        <v>44343</v>
      </c>
      <c r="O3153" s="128">
        <f t="shared" si="125"/>
        <v>3237039</v>
      </c>
      <c r="P3153" s="125" t="s">
        <v>2164</v>
      </c>
      <c r="Q3153" s="85" t="s">
        <v>47</v>
      </c>
      <c r="R3153" s="214" t="s">
        <v>1869</v>
      </c>
      <c r="S3153" s="214" t="s">
        <v>1861</v>
      </c>
      <c r="T3153" s="85" t="s">
        <v>4143</v>
      </c>
      <c r="U3153" s="422" t="s">
        <v>1953</v>
      </c>
      <c r="V3153" s="422" t="s">
        <v>2813</v>
      </c>
    </row>
    <row r="3154" spans="1:22" ht="15.75" thickBot="1" x14ac:dyDescent="0.3">
      <c r="A3154" t="s">
        <v>1910</v>
      </c>
      <c r="B3154" t="s">
        <v>1910</v>
      </c>
      <c r="C3154" s="82" t="s">
        <v>1910</v>
      </c>
      <c r="D3154" s="83" t="s">
        <v>629</v>
      </c>
      <c r="E3154" s="251" t="s">
        <v>1951</v>
      </c>
      <c r="F3154" s="124" t="s">
        <v>620</v>
      </c>
      <c r="G3154" s="130">
        <v>2004</v>
      </c>
      <c r="H3154" s="125" t="s">
        <v>732</v>
      </c>
      <c r="I3154" s="311" t="str">
        <f t="shared" si="126"/>
        <v>Pesado de Passageiros M3: I : Gasóleo : E3</v>
      </c>
      <c r="J3154" s="125">
        <v>77</v>
      </c>
      <c r="K3154" s="253">
        <v>2022</v>
      </c>
      <c r="L3154" s="129">
        <v>28597.374</v>
      </c>
      <c r="M3154" s="85" t="s">
        <v>630</v>
      </c>
      <c r="N3154" s="128">
        <v>51948</v>
      </c>
      <c r="O3154" s="128">
        <f t="shared" si="125"/>
        <v>3999996</v>
      </c>
      <c r="P3154" s="125" t="s">
        <v>2088</v>
      </c>
      <c r="Q3154" s="85" t="s">
        <v>47</v>
      </c>
      <c r="R3154" s="214" t="s">
        <v>1869</v>
      </c>
      <c r="S3154" s="214" t="s">
        <v>1861</v>
      </c>
      <c r="T3154" s="85" t="s">
        <v>4144</v>
      </c>
      <c r="U3154" s="422" t="s">
        <v>1953</v>
      </c>
      <c r="V3154" s="422" t="s">
        <v>2813</v>
      </c>
    </row>
    <row r="3155" spans="1:22" ht="15.75" thickBot="1" x14ac:dyDescent="0.3">
      <c r="A3155" t="s">
        <v>1910</v>
      </c>
      <c r="B3155" t="s">
        <v>1910</v>
      </c>
      <c r="C3155" s="82" t="s">
        <v>1910</v>
      </c>
      <c r="D3155" s="83" t="s">
        <v>629</v>
      </c>
      <c r="E3155" s="251" t="s">
        <v>1951</v>
      </c>
      <c r="F3155" s="124" t="s">
        <v>620</v>
      </c>
      <c r="G3155" s="130"/>
      <c r="H3155" s="125" t="s">
        <v>732</v>
      </c>
      <c r="I3155" s="311" t="str">
        <f t="shared" si="126"/>
        <v>Pesado de Passageiros M3: I : Gasóleo : E3</v>
      </c>
      <c r="J3155" s="125"/>
      <c r="K3155" s="253">
        <v>2022</v>
      </c>
      <c r="L3155" s="85">
        <v>37125.160000000003</v>
      </c>
      <c r="M3155" s="85" t="s">
        <v>630</v>
      </c>
      <c r="N3155" s="128">
        <v>62924</v>
      </c>
      <c r="O3155" s="128">
        <f t="shared" si="125"/>
        <v>0</v>
      </c>
      <c r="P3155" s="125" t="s">
        <v>3314</v>
      </c>
      <c r="Q3155" s="85" t="s">
        <v>47</v>
      </c>
      <c r="R3155" s="214" t="s">
        <v>1869</v>
      </c>
      <c r="S3155" s="214" t="s">
        <v>1861</v>
      </c>
      <c r="T3155" s="85" t="s">
        <v>3433</v>
      </c>
      <c r="U3155" s="422" t="s">
        <v>1953</v>
      </c>
      <c r="V3155" s="422" t="s">
        <v>2813</v>
      </c>
    </row>
    <row r="3156" spans="1:22" ht="15.75" thickBot="1" x14ac:dyDescent="0.3">
      <c r="A3156" t="s">
        <v>1910</v>
      </c>
      <c r="B3156" t="s">
        <v>1910</v>
      </c>
      <c r="C3156" s="82" t="s">
        <v>1910</v>
      </c>
      <c r="D3156" s="83" t="s">
        <v>629</v>
      </c>
      <c r="E3156" s="251" t="s">
        <v>1951</v>
      </c>
      <c r="F3156" s="124" t="s">
        <v>620</v>
      </c>
      <c r="G3156" s="130"/>
      <c r="H3156" s="125" t="s">
        <v>732</v>
      </c>
      <c r="I3156" s="311" t="str">
        <f t="shared" si="126"/>
        <v>Pesado de Passageiros M3: I : Gasóleo : E3</v>
      </c>
      <c r="J3156" s="125"/>
      <c r="K3156" s="253">
        <v>2022</v>
      </c>
      <c r="L3156" s="85">
        <v>29630.788500000002</v>
      </c>
      <c r="M3156" s="85" t="s">
        <v>630</v>
      </c>
      <c r="N3156" s="128">
        <v>52121</v>
      </c>
      <c r="O3156" s="128">
        <f t="shared" si="125"/>
        <v>0</v>
      </c>
      <c r="P3156" s="125" t="s">
        <v>3316</v>
      </c>
      <c r="Q3156" s="85" t="s">
        <v>47</v>
      </c>
      <c r="R3156" s="214" t="s">
        <v>1869</v>
      </c>
      <c r="S3156" s="214" t="s">
        <v>1861</v>
      </c>
      <c r="T3156" s="85" t="s">
        <v>3435</v>
      </c>
      <c r="U3156" s="422" t="s">
        <v>1953</v>
      </c>
      <c r="V3156" s="422" t="s">
        <v>2813</v>
      </c>
    </row>
    <row r="3157" spans="1:22" ht="15.75" thickBot="1" x14ac:dyDescent="0.3">
      <c r="A3157" t="s">
        <v>1910</v>
      </c>
      <c r="B3157" t="s">
        <v>1910</v>
      </c>
      <c r="C3157" s="82" t="s">
        <v>1910</v>
      </c>
      <c r="D3157" s="83" t="s">
        <v>629</v>
      </c>
      <c r="E3157" s="251" t="s">
        <v>1951</v>
      </c>
      <c r="F3157" s="124" t="s">
        <v>620</v>
      </c>
      <c r="G3157" s="130"/>
      <c r="H3157" s="125" t="s">
        <v>732</v>
      </c>
      <c r="I3157" s="311" t="str">
        <f t="shared" si="126"/>
        <v>Pesado de Passageiros M3: I : Gasóleo : E3</v>
      </c>
      <c r="J3157" s="125"/>
      <c r="K3157" s="253">
        <v>2022</v>
      </c>
      <c r="L3157" s="85">
        <v>28957.217999999997</v>
      </c>
      <c r="M3157" s="85" t="s">
        <v>630</v>
      </c>
      <c r="N3157" s="128">
        <v>56337</v>
      </c>
      <c r="O3157" s="128">
        <f t="shared" si="125"/>
        <v>0</v>
      </c>
      <c r="P3157" s="125" t="s">
        <v>3315</v>
      </c>
      <c r="Q3157" s="85" t="s">
        <v>47</v>
      </c>
      <c r="R3157" s="214" t="s">
        <v>1869</v>
      </c>
      <c r="S3157" s="214" t="s">
        <v>1861</v>
      </c>
      <c r="T3157" s="85" t="s">
        <v>3434</v>
      </c>
      <c r="U3157" s="422" t="s">
        <v>1953</v>
      </c>
      <c r="V3157" s="422" t="s">
        <v>2813</v>
      </c>
    </row>
    <row r="3158" spans="1:22" ht="15.75" thickBot="1" x14ac:dyDescent="0.3">
      <c r="A3158" t="s">
        <v>1910</v>
      </c>
      <c r="B3158" t="s">
        <v>1910</v>
      </c>
      <c r="C3158" s="82" t="s">
        <v>1910</v>
      </c>
      <c r="D3158" s="83" t="s">
        <v>629</v>
      </c>
      <c r="E3158" s="251" t="s">
        <v>1951</v>
      </c>
      <c r="F3158" s="124" t="s">
        <v>620</v>
      </c>
      <c r="G3158" s="130"/>
      <c r="H3158" s="125" t="s">
        <v>732</v>
      </c>
      <c r="I3158" s="311" t="str">
        <f t="shared" si="126"/>
        <v>Pesado de Passageiros M3: I : Gasóleo : E3</v>
      </c>
      <c r="J3158" s="125"/>
      <c r="K3158" s="253">
        <v>2022</v>
      </c>
      <c r="L3158" s="85">
        <v>32805.306299999997</v>
      </c>
      <c r="M3158" s="85" t="s">
        <v>630</v>
      </c>
      <c r="N3158" s="128">
        <v>62049</v>
      </c>
      <c r="O3158" s="128">
        <f t="shared" si="125"/>
        <v>0</v>
      </c>
      <c r="P3158" s="125" t="s">
        <v>3317</v>
      </c>
      <c r="Q3158" s="85" t="s">
        <v>47</v>
      </c>
      <c r="R3158" s="214" t="s">
        <v>1869</v>
      </c>
      <c r="S3158" s="214" t="s">
        <v>1861</v>
      </c>
      <c r="T3158" s="85" t="s">
        <v>3436</v>
      </c>
      <c r="U3158" s="422" t="s">
        <v>1953</v>
      </c>
      <c r="V3158" s="422" t="s">
        <v>2813</v>
      </c>
    </row>
    <row r="3159" spans="1:22" ht="15.75" thickBot="1" x14ac:dyDescent="0.3">
      <c r="A3159" t="s">
        <v>1910</v>
      </c>
      <c r="B3159" t="s">
        <v>1910</v>
      </c>
      <c r="C3159" s="82" t="s">
        <v>1910</v>
      </c>
      <c r="D3159" s="83" t="s">
        <v>629</v>
      </c>
      <c r="E3159" s="251" t="s">
        <v>1951</v>
      </c>
      <c r="F3159" s="124" t="s">
        <v>620</v>
      </c>
      <c r="G3159" s="130"/>
      <c r="H3159" s="125" t="s">
        <v>732</v>
      </c>
      <c r="I3159" s="311" t="str">
        <f t="shared" si="126"/>
        <v>Pesado de Passageiros M3: I : Gasóleo : E3</v>
      </c>
      <c r="J3159" s="125"/>
      <c r="K3159" s="253">
        <v>2022</v>
      </c>
      <c r="L3159" s="85">
        <v>30820</v>
      </c>
      <c r="M3159" s="85" t="s">
        <v>630</v>
      </c>
      <c r="N3159" s="128">
        <v>61640</v>
      </c>
      <c r="O3159" s="128">
        <f t="shared" si="125"/>
        <v>0</v>
      </c>
      <c r="P3159" s="125" t="s">
        <v>3313</v>
      </c>
      <c r="Q3159" s="85" t="s">
        <v>47</v>
      </c>
      <c r="R3159" s="214" t="s">
        <v>1869</v>
      </c>
      <c r="S3159" s="214" t="s">
        <v>1861</v>
      </c>
      <c r="T3159" s="85" t="s">
        <v>3432</v>
      </c>
      <c r="U3159" s="422" t="s">
        <v>1953</v>
      </c>
      <c r="V3159" s="422" t="s">
        <v>2813</v>
      </c>
    </row>
    <row r="3160" spans="1:22" ht="15.75" thickBot="1" x14ac:dyDescent="0.3">
      <c r="A3160" t="s">
        <v>1910</v>
      </c>
      <c r="B3160" t="s">
        <v>1910</v>
      </c>
      <c r="C3160" s="82" t="s">
        <v>1910</v>
      </c>
      <c r="D3160" s="83" t="s">
        <v>629</v>
      </c>
      <c r="E3160" s="251" t="s">
        <v>1951</v>
      </c>
      <c r="F3160" s="124" t="s">
        <v>620</v>
      </c>
      <c r="G3160" s="130">
        <v>1997</v>
      </c>
      <c r="H3160" s="125" t="s">
        <v>735</v>
      </c>
      <c r="I3160" s="311" t="str">
        <f t="shared" si="126"/>
        <v>Pesado de Passageiros M3: I : Gasóleo : E2</v>
      </c>
      <c r="J3160" s="125">
        <v>121</v>
      </c>
      <c r="K3160" s="253">
        <v>2022</v>
      </c>
      <c r="L3160" s="129">
        <v>21279.390599999999</v>
      </c>
      <c r="M3160" s="85" t="s">
        <v>630</v>
      </c>
      <c r="N3160" s="128">
        <v>32869</v>
      </c>
      <c r="O3160" s="128">
        <f t="shared" si="125"/>
        <v>3977149</v>
      </c>
      <c r="P3160" s="125" t="s">
        <v>2195</v>
      </c>
      <c r="Q3160" s="85" t="s">
        <v>47</v>
      </c>
      <c r="R3160" s="214" t="s">
        <v>1869</v>
      </c>
      <c r="S3160" s="214" t="s">
        <v>1861</v>
      </c>
      <c r="T3160" s="85" t="s">
        <v>4145</v>
      </c>
      <c r="U3160" s="422" t="s">
        <v>1953</v>
      </c>
      <c r="V3160" s="422" t="s">
        <v>2813</v>
      </c>
    </row>
    <row r="3161" spans="1:22" ht="15.75" thickBot="1" x14ac:dyDescent="0.3">
      <c r="A3161" t="s">
        <v>1910</v>
      </c>
      <c r="B3161" t="s">
        <v>1910</v>
      </c>
      <c r="C3161" s="82" t="s">
        <v>1910</v>
      </c>
      <c r="D3161" s="83" t="s">
        <v>629</v>
      </c>
      <c r="E3161" s="251" t="s">
        <v>1951</v>
      </c>
      <c r="F3161" s="124" t="s">
        <v>620</v>
      </c>
      <c r="G3161" s="130"/>
      <c r="H3161" s="125" t="s">
        <v>731</v>
      </c>
      <c r="I3161" s="311" t="str">
        <f t="shared" si="126"/>
        <v>Pesado de Passageiros M3: I : Gasóleo : E4</v>
      </c>
      <c r="J3161" s="125"/>
      <c r="K3161" s="253">
        <v>2022</v>
      </c>
      <c r="L3161" s="85">
        <v>6561.15</v>
      </c>
      <c r="M3161" s="85" t="s">
        <v>630</v>
      </c>
      <c r="N3161" s="128">
        <v>12865</v>
      </c>
      <c r="O3161" s="128">
        <f t="shared" si="125"/>
        <v>0</v>
      </c>
      <c r="P3161" s="125" t="s">
        <v>3361</v>
      </c>
      <c r="Q3161" s="85" t="s">
        <v>47</v>
      </c>
      <c r="R3161" s="214" t="s">
        <v>1869</v>
      </c>
      <c r="S3161" s="214" t="s">
        <v>1861</v>
      </c>
      <c r="T3161" s="85" t="s">
        <v>4146</v>
      </c>
      <c r="U3161" s="422" t="s">
        <v>1953</v>
      </c>
      <c r="V3161" s="422" t="s">
        <v>2813</v>
      </c>
    </row>
    <row r="3162" spans="1:22" ht="15.75" thickBot="1" x14ac:dyDescent="0.3">
      <c r="A3162" t="s">
        <v>1910</v>
      </c>
      <c r="B3162" t="s">
        <v>1910</v>
      </c>
      <c r="C3162" s="82" t="s">
        <v>1910</v>
      </c>
      <c r="D3162" s="83" t="s">
        <v>629</v>
      </c>
      <c r="E3162" s="251" t="s">
        <v>1951</v>
      </c>
      <c r="F3162" s="124" t="s">
        <v>620</v>
      </c>
      <c r="G3162" s="130">
        <v>2013</v>
      </c>
      <c r="H3162" s="125" t="s">
        <v>733</v>
      </c>
      <c r="I3162" s="311" t="str">
        <f t="shared" si="126"/>
        <v>Pesado de Passageiros M3: I : Gasóleo : E6</v>
      </c>
      <c r="J3162" s="125">
        <v>100</v>
      </c>
      <c r="K3162" s="253">
        <v>2022</v>
      </c>
      <c r="L3162" s="129">
        <v>25653.827099999999</v>
      </c>
      <c r="M3162" s="85" t="s">
        <v>630</v>
      </c>
      <c r="N3162" s="128">
        <v>51711</v>
      </c>
      <c r="O3162" s="128">
        <f t="shared" si="125"/>
        <v>5171100</v>
      </c>
      <c r="P3162" s="125" t="s">
        <v>2037</v>
      </c>
      <c r="Q3162" s="85" t="s">
        <v>47</v>
      </c>
      <c r="R3162" s="214" t="s">
        <v>1869</v>
      </c>
      <c r="S3162" s="214" t="s">
        <v>1861</v>
      </c>
      <c r="T3162" s="85" t="s">
        <v>4147</v>
      </c>
      <c r="U3162" s="422" t="s">
        <v>1953</v>
      </c>
      <c r="V3162" s="422" t="s">
        <v>2813</v>
      </c>
    </row>
    <row r="3163" spans="1:22" ht="15.75" thickBot="1" x14ac:dyDescent="0.3">
      <c r="A3163" t="s">
        <v>1910</v>
      </c>
      <c r="B3163" t="s">
        <v>1910</v>
      </c>
      <c r="C3163" s="82" t="s">
        <v>1910</v>
      </c>
      <c r="D3163" s="83" t="s">
        <v>629</v>
      </c>
      <c r="E3163" s="251" t="s">
        <v>1951</v>
      </c>
      <c r="F3163" s="124" t="s">
        <v>620</v>
      </c>
      <c r="G3163" s="130"/>
      <c r="H3163" s="125" t="s">
        <v>732</v>
      </c>
      <c r="I3163" s="311" t="str">
        <f t="shared" si="126"/>
        <v>Pesado de Passageiros M3: I : Gasóleo : E3</v>
      </c>
      <c r="J3163" s="125"/>
      <c r="K3163" s="253">
        <v>2022</v>
      </c>
      <c r="L3163" s="85">
        <v>10130.4</v>
      </c>
      <c r="M3163" s="85" t="s">
        <v>630</v>
      </c>
      <c r="N3163" s="128">
        <v>28944</v>
      </c>
      <c r="O3163" s="128">
        <f t="shared" si="125"/>
        <v>0</v>
      </c>
      <c r="P3163" s="125" t="s">
        <v>3331</v>
      </c>
      <c r="Q3163" s="85" t="s">
        <v>47</v>
      </c>
      <c r="R3163" s="214" t="s">
        <v>1869</v>
      </c>
      <c r="S3163" s="214" t="s">
        <v>1861</v>
      </c>
      <c r="T3163" s="85" t="s">
        <v>4148</v>
      </c>
      <c r="U3163" s="422" t="s">
        <v>1953</v>
      </c>
      <c r="V3163" s="422" t="s">
        <v>2813</v>
      </c>
    </row>
    <row r="3164" spans="1:22" ht="15.75" thickBot="1" x14ac:dyDescent="0.3">
      <c r="A3164" t="s">
        <v>1910</v>
      </c>
      <c r="B3164" t="s">
        <v>1910</v>
      </c>
      <c r="C3164" s="82" t="s">
        <v>1910</v>
      </c>
      <c r="D3164" s="83" t="s">
        <v>629</v>
      </c>
      <c r="E3164" s="251" t="s">
        <v>1951</v>
      </c>
      <c r="F3164" s="124" t="s">
        <v>620</v>
      </c>
      <c r="G3164" s="130">
        <v>1999</v>
      </c>
      <c r="H3164" s="125" t="s">
        <v>735</v>
      </c>
      <c r="I3164" s="311" t="str">
        <f t="shared" si="126"/>
        <v>Pesado de Passageiros M3: I : Gasóleo : E2</v>
      </c>
      <c r="J3164" s="125">
        <v>82</v>
      </c>
      <c r="K3164" s="253">
        <v>2022</v>
      </c>
      <c r="L3164" s="129">
        <v>18014.62</v>
      </c>
      <c r="M3164" s="85" t="s">
        <v>630</v>
      </c>
      <c r="N3164" s="128">
        <v>35900</v>
      </c>
      <c r="O3164" s="128">
        <f t="shared" si="125"/>
        <v>2943800</v>
      </c>
      <c r="P3164" s="125" t="s">
        <v>2133</v>
      </c>
      <c r="Q3164" s="85" t="s">
        <v>47</v>
      </c>
      <c r="R3164" s="214" t="s">
        <v>1869</v>
      </c>
      <c r="S3164" s="214" t="s">
        <v>1861</v>
      </c>
      <c r="T3164" s="85" t="s">
        <v>4149</v>
      </c>
      <c r="U3164" s="422" t="s">
        <v>1953</v>
      </c>
      <c r="V3164" s="422" t="s">
        <v>2813</v>
      </c>
    </row>
    <row r="3165" spans="1:22" ht="15.75" thickBot="1" x14ac:dyDescent="0.3">
      <c r="A3165" t="s">
        <v>1910</v>
      </c>
      <c r="B3165" t="s">
        <v>1910</v>
      </c>
      <c r="C3165" s="82" t="s">
        <v>1910</v>
      </c>
      <c r="D3165" s="83" t="s">
        <v>629</v>
      </c>
      <c r="E3165" s="251" t="s">
        <v>1951</v>
      </c>
      <c r="F3165" s="124" t="s">
        <v>620</v>
      </c>
      <c r="G3165" s="130">
        <v>2009</v>
      </c>
      <c r="H3165" s="125" t="s">
        <v>734</v>
      </c>
      <c r="I3165" s="311" t="str">
        <f t="shared" si="126"/>
        <v>Pesado de Passageiros M3: I : Gasóleo : E5</v>
      </c>
      <c r="J3165" s="125">
        <v>66</v>
      </c>
      <c r="K3165" s="253">
        <v>2022</v>
      </c>
      <c r="L3165" s="129">
        <v>37219.368200000004</v>
      </c>
      <c r="M3165" s="85" t="s">
        <v>630</v>
      </c>
      <c r="N3165" s="128">
        <v>67993</v>
      </c>
      <c r="O3165" s="128">
        <f t="shared" si="125"/>
        <v>4487538</v>
      </c>
      <c r="P3165" s="125" t="s">
        <v>2168</v>
      </c>
      <c r="Q3165" s="85" t="s">
        <v>47</v>
      </c>
      <c r="R3165" s="214" t="s">
        <v>1869</v>
      </c>
      <c r="S3165" s="214" t="s">
        <v>1861</v>
      </c>
      <c r="T3165" s="85" t="s">
        <v>4150</v>
      </c>
      <c r="U3165" s="422" t="s">
        <v>1953</v>
      </c>
      <c r="V3165" s="422" t="s">
        <v>2813</v>
      </c>
    </row>
    <row r="3166" spans="1:22" ht="15.75" thickBot="1" x14ac:dyDescent="0.3">
      <c r="A3166" t="s">
        <v>1910</v>
      </c>
      <c r="B3166" t="s">
        <v>1910</v>
      </c>
      <c r="C3166" s="82" t="s">
        <v>1910</v>
      </c>
      <c r="D3166" s="83" t="s">
        <v>629</v>
      </c>
      <c r="E3166" s="251" t="s">
        <v>1951</v>
      </c>
      <c r="F3166" s="124" t="s">
        <v>620</v>
      </c>
      <c r="G3166" s="130">
        <v>2007</v>
      </c>
      <c r="H3166" s="125" t="s">
        <v>731</v>
      </c>
      <c r="I3166" s="311" t="str">
        <f t="shared" si="126"/>
        <v>Pesado de Passageiros M3: I : Gasóleo : E4</v>
      </c>
      <c r="J3166" s="125">
        <v>64</v>
      </c>
      <c r="K3166" s="253">
        <v>2022</v>
      </c>
      <c r="L3166" s="129">
        <v>39549.356999999996</v>
      </c>
      <c r="M3166" s="85" t="s">
        <v>630</v>
      </c>
      <c r="N3166" s="128">
        <v>76203</v>
      </c>
      <c r="O3166" s="128">
        <f t="shared" si="125"/>
        <v>4876992</v>
      </c>
      <c r="P3166" s="125" t="s">
        <v>2021</v>
      </c>
      <c r="Q3166" s="85" t="s">
        <v>47</v>
      </c>
      <c r="R3166" s="214" t="s">
        <v>1869</v>
      </c>
      <c r="S3166" s="214" t="s">
        <v>1861</v>
      </c>
      <c r="T3166" s="85" t="s">
        <v>4151</v>
      </c>
      <c r="U3166" s="422" t="s">
        <v>1953</v>
      </c>
      <c r="V3166" s="422" t="s">
        <v>2813</v>
      </c>
    </row>
    <row r="3167" spans="1:22" ht="15.75" thickBot="1" x14ac:dyDescent="0.3">
      <c r="A3167" t="s">
        <v>1910</v>
      </c>
      <c r="B3167" t="s">
        <v>1910</v>
      </c>
      <c r="C3167" s="82" t="s">
        <v>1910</v>
      </c>
      <c r="D3167" s="83" t="s">
        <v>629</v>
      </c>
      <c r="E3167" s="251" t="s">
        <v>1951</v>
      </c>
      <c r="F3167" s="124" t="s">
        <v>620</v>
      </c>
      <c r="G3167" s="130"/>
      <c r="H3167" s="125" t="s">
        <v>731</v>
      </c>
      <c r="I3167" s="311" t="str">
        <f t="shared" si="126"/>
        <v>Pesado de Passageiros M3: I : Gasóleo : E4</v>
      </c>
      <c r="J3167" s="125"/>
      <c r="K3167" s="253">
        <v>2022</v>
      </c>
      <c r="L3167" s="85">
        <v>2228.7930000000001</v>
      </c>
      <c r="M3167" s="85" t="s">
        <v>630</v>
      </c>
      <c r="N3167" s="128">
        <v>3165</v>
      </c>
      <c r="O3167" s="128">
        <f t="shared" si="125"/>
        <v>0</v>
      </c>
      <c r="P3167" s="125" t="s">
        <v>2071</v>
      </c>
      <c r="Q3167" s="85" t="s">
        <v>47</v>
      </c>
      <c r="R3167" s="214" t="s">
        <v>1869</v>
      </c>
      <c r="S3167" s="214" t="s">
        <v>1861</v>
      </c>
      <c r="T3167" s="85" t="s">
        <v>3427</v>
      </c>
      <c r="U3167" s="422" t="s">
        <v>1953</v>
      </c>
      <c r="V3167" s="422" t="s">
        <v>2813</v>
      </c>
    </row>
    <row r="3168" spans="1:22" ht="15.75" thickBot="1" x14ac:dyDescent="0.3">
      <c r="A3168" t="s">
        <v>1910</v>
      </c>
      <c r="B3168" t="s">
        <v>1910</v>
      </c>
      <c r="C3168" s="82" t="s">
        <v>1910</v>
      </c>
      <c r="D3168" s="83" t="s">
        <v>629</v>
      </c>
      <c r="E3168" s="251" t="s">
        <v>1951</v>
      </c>
      <c r="F3168" s="124" t="s">
        <v>620</v>
      </c>
      <c r="G3168" s="130">
        <v>2011</v>
      </c>
      <c r="H3168" s="125" t="s">
        <v>734</v>
      </c>
      <c r="I3168" s="311" t="str">
        <f t="shared" si="126"/>
        <v>Pesado de Passageiros M3: I : Gasóleo : E5</v>
      </c>
      <c r="J3168" s="125">
        <v>147</v>
      </c>
      <c r="K3168" s="253">
        <v>2022</v>
      </c>
      <c r="L3168" s="242">
        <v>22035.826999999997</v>
      </c>
      <c r="M3168" s="85" t="s">
        <v>630</v>
      </c>
      <c r="N3168" s="128">
        <v>34429</v>
      </c>
      <c r="O3168" s="128">
        <f t="shared" si="125"/>
        <v>5061063</v>
      </c>
      <c r="P3168" s="125" t="s">
        <v>2071</v>
      </c>
      <c r="Q3168" s="85" t="s">
        <v>47</v>
      </c>
      <c r="R3168" s="214" t="s">
        <v>1869</v>
      </c>
      <c r="S3168" s="214" t="s">
        <v>1861</v>
      </c>
      <c r="T3168" s="85" t="s">
        <v>3427</v>
      </c>
      <c r="U3168" s="422" t="s">
        <v>1953</v>
      </c>
      <c r="V3168" s="422" t="s">
        <v>2813</v>
      </c>
    </row>
    <row r="3169" spans="1:22" ht="15.75" thickBot="1" x14ac:dyDescent="0.3">
      <c r="A3169" t="s">
        <v>1910</v>
      </c>
      <c r="B3169" t="s">
        <v>1910</v>
      </c>
      <c r="C3169" s="82" t="s">
        <v>1910</v>
      </c>
      <c r="D3169" s="83" t="s">
        <v>629</v>
      </c>
      <c r="E3169" s="251" t="s">
        <v>1951</v>
      </c>
      <c r="F3169" s="124" t="s">
        <v>620</v>
      </c>
      <c r="G3169" s="130">
        <v>2020</v>
      </c>
      <c r="H3169" s="125" t="s">
        <v>733</v>
      </c>
      <c r="I3169" s="311" t="str">
        <f t="shared" si="126"/>
        <v>Pesado de Passageiros M3: I : Gasóleo : E6</v>
      </c>
      <c r="J3169" s="125">
        <v>106</v>
      </c>
      <c r="K3169" s="253">
        <v>2022</v>
      </c>
      <c r="L3169" s="129">
        <v>32805.204899999997</v>
      </c>
      <c r="M3169" s="85" t="s">
        <v>630</v>
      </c>
      <c r="N3169" s="128">
        <v>78613</v>
      </c>
      <c r="O3169" s="128">
        <f t="shared" si="125"/>
        <v>8332978</v>
      </c>
      <c r="P3169" s="125" t="s">
        <v>2059</v>
      </c>
      <c r="Q3169" s="85" t="s">
        <v>47</v>
      </c>
      <c r="R3169" s="214" t="s">
        <v>1869</v>
      </c>
      <c r="S3169" s="214" t="s">
        <v>1861</v>
      </c>
      <c r="T3169" s="85" t="s">
        <v>4152</v>
      </c>
      <c r="U3169" s="422" t="s">
        <v>1953</v>
      </c>
      <c r="V3169" s="422" t="s">
        <v>2813</v>
      </c>
    </row>
    <row r="3170" spans="1:22" ht="15.75" thickBot="1" x14ac:dyDescent="0.3">
      <c r="A3170" t="s">
        <v>1910</v>
      </c>
      <c r="B3170" t="s">
        <v>1910</v>
      </c>
      <c r="C3170" s="82" t="s">
        <v>1910</v>
      </c>
      <c r="D3170" s="83" t="s">
        <v>629</v>
      </c>
      <c r="E3170" s="251" t="s">
        <v>1951</v>
      </c>
      <c r="F3170" s="124" t="s">
        <v>620</v>
      </c>
      <c r="G3170" s="130"/>
      <c r="H3170" s="125" t="s">
        <v>731</v>
      </c>
      <c r="I3170" s="311" t="str">
        <f t="shared" si="126"/>
        <v>Pesado de Passageiros M3: I : Gasóleo : E4</v>
      </c>
      <c r="J3170" s="125"/>
      <c r="K3170" s="253">
        <v>2022</v>
      </c>
      <c r="L3170" s="242">
        <v>6304.7453999999962</v>
      </c>
      <c r="M3170" s="85" t="s">
        <v>630</v>
      </c>
      <c r="N3170" s="128">
        <v>16616</v>
      </c>
      <c r="O3170" s="128">
        <f t="shared" si="125"/>
        <v>0</v>
      </c>
      <c r="P3170" s="125" t="s">
        <v>2056</v>
      </c>
      <c r="Q3170" s="85" t="s">
        <v>47</v>
      </c>
      <c r="R3170" s="214" t="s">
        <v>1869</v>
      </c>
      <c r="S3170" s="214" t="s">
        <v>1861</v>
      </c>
      <c r="T3170" s="85" t="s">
        <v>3425</v>
      </c>
      <c r="U3170" s="422" t="s">
        <v>1953</v>
      </c>
      <c r="V3170" s="422" t="s">
        <v>2813</v>
      </c>
    </row>
    <row r="3171" spans="1:22" ht="15.75" thickBot="1" x14ac:dyDescent="0.3">
      <c r="A3171" t="s">
        <v>1910</v>
      </c>
      <c r="B3171" t="s">
        <v>1910</v>
      </c>
      <c r="C3171" s="82" t="s">
        <v>1910</v>
      </c>
      <c r="D3171" s="83" t="s">
        <v>629</v>
      </c>
      <c r="E3171" s="251" t="s">
        <v>1951</v>
      </c>
      <c r="F3171" s="124" t="s">
        <v>620</v>
      </c>
      <c r="G3171" s="130">
        <v>2020</v>
      </c>
      <c r="H3171" s="125" t="s">
        <v>733</v>
      </c>
      <c r="I3171" s="311" t="str">
        <f t="shared" si="126"/>
        <v>Pesado de Passageiros M3: I : Gasóleo : E6</v>
      </c>
      <c r="J3171" s="125">
        <v>106</v>
      </c>
      <c r="K3171" s="253">
        <v>2022</v>
      </c>
      <c r="L3171" s="129">
        <v>20745.534600000003</v>
      </c>
      <c r="M3171" s="85" t="s">
        <v>630</v>
      </c>
      <c r="N3171" s="128">
        <v>48223</v>
      </c>
      <c r="O3171" s="128">
        <f t="shared" si="125"/>
        <v>5111638</v>
      </c>
      <c r="P3171" s="125" t="s">
        <v>2056</v>
      </c>
      <c r="Q3171" s="85" t="s">
        <v>47</v>
      </c>
      <c r="R3171" s="214" t="s">
        <v>1869</v>
      </c>
      <c r="S3171" s="214" t="s">
        <v>1861</v>
      </c>
      <c r="T3171" s="85" t="s">
        <v>3425</v>
      </c>
      <c r="U3171" s="422" t="s">
        <v>1953</v>
      </c>
      <c r="V3171" s="422" t="s">
        <v>2813</v>
      </c>
    </row>
    <row r="3172" spans="1:22" ht="15.75" thickBot="1" x14ac:dyDescent="0.3">
      <c r="A3172" t="s">
        <v>1910</v>
      </c>
      <c r="B3172" t="s">
        <v>1910</v>
      </c>
      <c r="C3172" s="82" t="s">
        <v>1910</v>
      </c>
      <c r="D3172" s="83" t="s">
        <v>629</v>
      </c>
      <c r="E3172" s="251" t="s">
        <v>1951</v>
      </c>
      <c r="F3172" s="124" t="s">
        <v>620</v>
      </c>
      <c r="G3172" s="130">
        <v>2020</v>
      </c>
      <c r="H3172" s="125" t="s">
        <v>733</v>
      </c>
      <c r="I3172" s="311" t="str">
        <f t="shared" si="126"/>
        <v>Pesado de Passageiros M3: I : Gasóleo : E6</v>
      </c>
      <c r="J3172" s="125">
        <v>106</v>
      </c>
      <c r="K3172" s="253">
        <v>2022</v>
      </c>
      <c r="L3172" s="129">
        <v>31787.584199999998</v>
      </c>
      <c r="M3172" s="85" t="s">
        <v>630</v>
      </c>
      <c r="N3172" s="128">
        <v>75793</v>
      </c>
      <c r="O3172" s="128">
        <f t="shared" si="125"/>
        <v>8034058</v>
      </c>
      <c r="P3172" s="125" t="s">
        <v>2057</v>
      </c>
      <c r="Q3172" s="85" t="s">
        <v>47</v>
      </c>
      <c r="R3172" s="214" t="s">
        <v>1869</v>
      </c>
      <c r="S3172" s="214" t="s">
        <v>1861</v>
      </c>
      <c r="T3172" s="85" t="s">
        <v>4153</v>
      </c>
      <c r="U3172" s="422" t="s">
        <v>1953</v>
      </c>
      <c r="V3172" s="422" t="s">
        <v>2813</v>
      </c>
    </row>
    <row r="3173" spans="1:22" ht="15.75" thickBot="1" x14ac:dyDescent="0.3">
      <c r="A3173" t="s">
        <v>1910</v>
      </c>
      <c r="B3173" t="s">
        <v>1910</v>
      </c>
      <c r="C3173" s="82" t="s">
        <v>1910</v>
      </c>
      <c r="D3173" s="83" t="s">
        <v>629</v>
      </c>
      <c r="E3173" s="251" t="s">
        <v>1951</v>
      </c>
      <c r="F3173" s="124" t="s">
        <v>620</v>
      </c>
      <c r="G3173" s="130">
        <v>2020</v>
      </c>
      <c r="H3173" s="125" t="s">
        <v>733</v>
      </c>
      <c r="I3173" s="311" t="str">
        <f t="shared" si="126"/>
        <v>Pesado de Passageiros M3: I : Gasóleo : E6</v>
      </c>
      <c r="J3173" s="125">
        <v>106</v>
      </c>
      <c r="K3173" s="253">
        <v>2022</v>
      </c>
      <c r="L3173" s="129">
        <v>25517.52</v>
      </c>
      <c r="M3173" s="85" t="s">
        <v>630</v>
      </c>
      <c r="N3173" s="128">
        <v>60756</v>
      </c>
      <c r="O3173" s="128">
        <f t="shared" si="125"/>
        <v>6440136</v>
      </c>
      <c r="P3173" s="125" t="s">
        <v>2060</v>
      </c>
      <c r="Q3173" s="85" t="s">
        <v>47</v>
      </c>
      <c r="R3173" s="214" t="s">
        <v>1869</v>
      </c>
      <c r="S3173" s="214" t="s">
        <v>1861</v>
      </c>
      <c r="T3173" s="85" t="s">
        <v>4154</v>
      </c>
      <c r="U3173" s="422" t="s">
        <v>1953</v>
      </c>
      <c r="V3173" s="422" t="s">
        <v>2813</v>
      </c>
    </row>
    <row r="3174" spans="1:22" ht="15.75" thickBot="1" x14ac:dyDescent="0.3">
      <c r="A3174" t="s">
        <v>1910</v>
      </c>
      <c r="B3174" t="s">
        <v>1910</v>
      </c>
      <c r="C3174" s="82" t="s">
        <v>1910</v>
      </c>
      <c r="D3174" s="83" t="s">
        <v>629</v>
      </c>
      <c r="E3174" s="251" t="s">
        <v>1951</v>
      </c>
      <c r="F3174" s="124" t="s">
        <v>620</v>
      </c>
      <c r="G3174" s="130">
        <v>2020</v>
      </c>
      <c r="H3174" s="125" t="s">
        <v>733</v>
      </c>
      <c r="I3174" s="311" t="str">
        <f t="shared" si="126"/>
        <v>Pesado de Passageiros M3: I : Gasóleo : E6</v>
      </c>
      <c r="J3174" s="125">
        <v>106</v>
      </c>
      <c r="K3174" s="253">
        <v>2022</v>
      </c>
      <c r="L3174" s="129">
        <v>40264.561200000004</v>
      </c>
      <c r="M3174" s="85" t="s">
        <v>630</v>
      </c>
      <c r="N3174" s="128">
        <v>88377</v>
      </c>
      <c r="O3174" s="128">
        <f t="shared" si="125"/>
        <v>9367962</v>
      </c>
      <c r="P3174" s="125" t="s">
        <v>2058</v>
      </c>
      <c r="Q3174" s="85" t="s">
        <v>47</v>
      </c>
      <c r="R3174" s="214" t="s">
        <v>1869</v>
      </c>
      <c r="S3174" s="214" t="s">
        <v>1861</v>
      </c>
      <c r="T3174" s="85" t="s">
        <v>4155</v>
      </c>
      <c r="U3174" s="422" t="s">
        <v>1953</v>
      </c>
      <c r="V3174" s="422" t="s">
        <v>2813</v>
      </c>
    </row>
    <row r="3175" spans="1:22" ht="15.75" thickBot="1" x14ac:dyDescent="0.3">
      <c r="A3175" t="s">
        <v>1910</v>
      </c>
      <c r="B3175" t="s">
        <v>1910</v>
      </c>
      <c r="C3175" s="82" t="s">
        <v>1910</v>
      </c>
      <c r="D3175" s="83" t="s">
        <v>629</v>
      </c>
      <c r="E3175" s="251" t="s">
        <v>1951</v>
      </c>
      <c r="F3175" s="124" t="s">
        <v>1944</v>
      </c>
      <c r="G3175" s="130">
        <v>2014</v>
      </c>
      <c r="H3175" s="125" t="s">
        <v>733</v>
      </c>
      <c r="I3175" s="311" t="str">
        <f t="shared" si="126"/>
        <v>Pesado de Passageiros M3: I : GNC : E6</v>
      </c>
      <c r="J3175" s="125">
        <v>69</v>
      </c>
      <c r="K3175" s="253">
        <v>2022</v>
      </c>
      <c r="L3175" s="129">
        <v>34759.335599999999</v>
      </c>
      <c r="M3175" s="85" t="s">
        <v>1924</v>
      </c>
      <c r="N3175" s="128">
        <v>60588</v>
      </c>
      <c r="O3175" s="128">
        <f t="shared" si="125"/>
        <v>4180572</v>
      </c>
      <c r="P3175" s="125" t="s">
        <v>2162</v>
      </c>
      <c r="Q3175" s="85" t="s">
        <v>47</v>
      </c>
      <c r="R3175" s="214" t="s">
        <v>1869</v>
      </c>
      <c r="S3175" s="214" t="s">
        <v>1945</v>
      </c>
      <c r="T3175" s="85" t="s">
        <v>4156</v>
      </c>
      <c r="U3175" s="422" t="s">
        <v>1953</v>
      </c>
      <c r="V3175" s="422" t="s">
        <v>2813</v>
      </c>
    </row>
    <row r="3176" spans="1:22" ht="15.75" thickBot="1" x14ac:dyDescent="0.3">
      <c r="A3176" t="s">
        <v>1910</v>
      </c>
      <c r="B3176" t="s">
        <v>1910</v>
      </c>
      <c r="C3176" s="82" t="s">
        <v>1910</v>
      </c>
      <c r="D3176" s="83" t="s">
        <v>629</v>
      </c>
      <c r="E3176" s="251" t="s">
        <v>1951</v>
      </c>
      <c r="F3176" s="124" t="s">
        <v>620</v>
      </c>
      <c r="G3176" s="130"/>
      <c r="H3176" s="125" t="s">
        <v>731</v>
      </c>
      <c r="I3176" s="311" t="str">
        <f t="shared" si="126"/>
        <v>Pesado de Passageiros M3: I : Gasóleo : E4</v>
      </c>
      <c r="J3176" s="125"/>
      <c r="K3176" s="253">
        <v>2022</v>
      </c>
      <c r="L3176" s="85">
        <v>32493.635200000001</v>
      </c>
      <c r="M3176" s="85" t="s">
        <v>630</v>
      </c>
      <c r="N3176" s="128">
        <v>36088</v>
      </c>
      <c r="O3176" s="128">
        <f t="shared" si="125"/>
        <v>0</v>
      </c>
      <c r="P3176" s="125" t="s">
        <v>3292</v>
      </c>
      <c r="Q3176" s="85" t="s">
        <v>47</v>
      </c>
      <c r="R3176" s="214" t="s">
        <v>1869</v>
      </c>
      <c r="S3176" s="214" t="s">
        <v>1861</v>
      </c>
      <c r="T3176" s="85" t="s">
        <v>4157</v>
      </c>
      <c r="U3176" s="422" t="s">
        <v>1953</v>
      </c>
      <c r="V3176" s="422" t="s">
        <v>2813</v>
      </c>
    </row>
    <row r="3177" spans="1:22" ht="15.75" thickBot="1" x14ac:dyDescent="0.3">
      <c r="A3177" t="s">
        <v>1910</v>
      </c>
      <c r="B3177" t="s">
        <v>1910</v>
      </c>
      <c r="C3177" s="82" t="s">
        <v>1910</v>
      </c>
      <c r="D3177" s="83" t="s">
        <v>629</v>
      </c>
      <c r="E3177" s="251" t="s">
        <v>1951</v>
      </c>
      <c r="F3177" s="124" t="s">
        <v>620</v>
      </c>
      <c r="G3177" s="125">
        <v>2021</v>
      </c>
      <c r="H3177" s="125" t="s">
        <v>733</v>
      </c>
      <c r="I3177" s="311" t="str">
        <f t="shared" si="126"/>
        <v>Pesado de Passageiros M3: I : Gasóleo : E6</v>
      </c>
      <c r="J3177" s="125">
        <v>109</v>
      </c>
      <c r="K3177" s="253">
        <v>2022</v>
      </c>
      <c r="L3177" s="129">
        <v>18892.672000000002</v>
      </c>
      <c r="M3177" s="85" t="s">
        <v>630</v>
      </c>
      <c r="N3177" s="128">
        <v>45856</v>
      </c>
      <c r="O3177" s="128">
        <f t="shared" si="125"/>
        <v>4998304</v>
      </c>
      <c r="P3177" s="380">
        <v>2304</v>
      </c>
      <c r="Q3177" s="85" t="s">
        <v>47</v>
      </c>
      <c r="R3177" s="214" t="s">
        <v>1869</v>
      </c>
      <c r="S3177" s="214" t="s">
        <v>1861</v>
      </c>
      <c r="T3177" s="85" t="s">
        <v>4158</v>
      </c>
      <c r="U3177" s="422" t="s">
        <v>1953</v>
      </c>
      <c r="V3177" s="422" t="s">
        <v>2813</v>
      </c>
    </row>
    <row r="3178" spans="1:22" ht="15.75" thickBot="1" x14ac:dyDescent="0.3">
      <c r="A3178" t="s">
        <v>1910</v>
      </c>
      <c r="B3178" t="s">
        <v>1910</v>
      </c>
      <c r="C3178" s="82" t="s">
        <v>1910</v>
      </c>
      <c r="D3178" s="83" t="s">
        <v>629</v>
      </c>
      <c r="E3178" s="251" t="s">
        <v>1951</v>
      </c>
      <c r="F3178" s="124" t="s">
        <v>620</v>
      </c>
      <c r="G3178" s="130"/>
      <c r="H3178" s="125" t="s">
        <v>733</v>
      </c>
      <c r="I3178" s="311" t="str">
        <f t="shared" si="126"/>
        <v>Pesado de Passageiros M3: I : Gasóleo : E6</v>
      </c>
      <c r="J3178" s="125"/>
      <c r="K3178" s="253">
        <v>2022</v>
      </c>
      <c r="L3178" s="85">
        <v>230.40940000000003</v>
      </c>
      <c r="M3178" s="85" t="s">
        <v>630</v>
      </c>
      <c r="N3178" s="128">
        <v>598</v>
      </c>
      <c r="O3178" s="128">
        <f t="shared" si="125"/>
        <v>0</v>
      </c>
      <c r="P3178" s="125" t="s">
        <v>4399</v>
      </c>
      <c r="Q3178" s="85" t="s">
        <v>47</v>
      </c>
      <c r="R3178" s="214" t="s">
        <v>1869</v>
      </c>
      <c r="S3178" s="214" t="s">
        <v>1861</v>
      </c>
      <c r="T3178" s="85" t="s">
        <v>4159</v>
      </c>
      <c r="U3178" s="422" t="s">
        <v>1953</v>
      </c>
      <c r="V3178" s="422" t="s">
        <v>2813</v>
      </c>
    </row>
    <row r="3179" spans="1:22" ht="15.75" thickBot="1" x14ac:dyDescent="0.3">
      <c r="A3179" t="s">
        <v>1910</v>
      </c>
      <c r="B3179" t="s">
        <v>1910</v>
      </c>
      <c r="C3179" s="82" t="s">
        <v>1910</v>
      </c>
      <c r="D3179" s="83" t="s">
        <v>629</v>
      </c>
      <c r="E3179" s="251" t="s">
        <v>1951</v>
      </c>
      <c r="F3179" s="124" t="s">
        <v>620</v>
      </c>
      <c r="G3179" s="130">
        <v>2021</v>
      </c>
      <c r="H3179" s="125" t="s">
        <v>733</v>
      </c>
      <c r="I3179" s="311" t="str">
        <f t="shared" si="126"/>
        <v>Pesado de Passageiros M3: I : Gasóleo : E6</v>
      </c>
      <c r="J3179" s="125">
        <v>109</v>
      </c>
      <c r="K3179" s="253">
        <v>2022</v>
      </c>
      <c r="L3179" s="129">
        <v>7825.2431999999999</v>
      </c>
      <c r="M3179" s="85" t="s">
        <v>630</v>
      </c>
      <c r="N3179" s="128">
        <v>21328</v>
      </c>
      <c r="O3179" s="128">
        <f t="shared" si="125"/>
        <v>2324752</v>
      </c>
      <c r="P3179" s="125">
        <v>2508</v>
      </c>
      <c r="Q3179" s="85" t="s">
        <v>47</v>
      </c>
      <c r="R3179" s="214" t="s">
        <v>1869</v>
      </c>
      <c r="S3179" s="214" t="s">
        <v>1861</v>
      </c>
      <c r="T3179" s="85" t="s">
        <v>4160</v>
      </c>
      <c r="U3179" s="422" t="s">
        <v>1953</v>
      </c>
      <c r="V3179" s="422" t="s">
        <v>2813</v>
      </c>
    </row>
    <row r="3180" spans="1:22" ht="15.75" thickBot="1" x14ac:dyDescent="0.3">
      <c r="A3180" t="s">
        <v>1910</v>
      </c>
      <c r="B3180" t="s">
        <v>1910</v>
      </c>
      <c r="C3180" s="82" t="s">
        <v>1910</v>
      </c>
      <c r="D3180" s="83" t="s">
        <v>629</v>
      </c>
      <c r="E3180" s="251" t="s">
        <v>1951</v>
      </c>
      <c r="F3180" s="124" t="s">
        <v>620</v>
      </c>
      <c r="G3180" s="125">
        <v>2021</v>
      </c>
      <c r="H3180" s="125" t="s">
        <v>733</v>
      </c>
      <c r="I3180" s="311" t="str">
        <f t="shared" si="126"/>
        <v>Pesado de Passageiros M3: I : Gasóleo : E6</v>
      </c>
      <c r="J3180" s="125">
        <v>109</v>
      </c>
      <c r="K3180" s="253">
        <v>2022</v>
      </c>
      <c r="L3180" s="129">
        <v>22328.869500000001</v>
      </c>
      <c r="M3180" s="85" t="s">
        <v>630</v>
      </c>
      <c r="N3180" s="128">
        <v>53585</v>
      </c>
      <c r="O3180" s="128">
        <f t="shared" si="125"/>
        <v>5840765</v>
      </c>
      <c r="P3180" s="380">
        <v>2308</v>
      </c>
      <c r="Q3180" s="85" t="s">
        <v>47</v>
      </c>
      <c r="R3180" s="214" t="s">
        <v>1869</v>
      </c>
      <c r="S3180" s="214" t="s">
        <v>1861</v>
      </c>
      <c r="T3180" s="85" t="s">
        <v>4161</v>
      </c>
      <c r="U3180" s="422" t="s">
        <v>1953</v>
      </c>
      <c r="V3180" s="422" t="s">
        <v>2813</v>
      </c>
    </row>
    <row r="3181" spans="1:22" ht="15.75" thickBot="1" x14ac:dyDescent="0.3">
      <c r="A3181" t="s">
        <v>1910</v>
      </c>
      <c r="B3181" t="s">
        <v>1910</v>
      </c>
      <c r="C3181" s="82" t="s">
        <v>1910</v>
      </c>
      <c r="D3181" s="83" t="s">
        <v>629</v>
      </c>
      <c r="E3181" s="251" t="s">
        <v>1951</v>
      </c>
      <c r="F3181" s="124" t="s">
        <v>620</v>
      </c>
      <c r="G3181" s="130"/>
      <c r="H3181" s="125" t="s">
        <v>733</v>
      </c>
      <c r="I3181" s="311" t="str">
        <f t="shared" si="126"/>
        <v>Pesado de Passageiros M3: I : Gasóleo : E6</v>
      </c>
      <c r="J3181" s="125"/>
      <c r="K3181" s="253">
        <v>2022</v>
      </c>
      <c r="L3181" s="85">
        <v>97.44</v>
      </c>
      <c r="M3181" s="85" t="s">
        <v>630</v>
      </c>
      <c r="N3181" s="128">
        <v>232</v>
      </c>
      <c r="O3181" s="128">
        <f t="shared" si="125"/>
        <v>0</v>
      </c>
      <c r="P3181" s="125" t="s">
        <v>4400</v>
      </c>
      <c r="Q3181" s="85" t="s">
        <v>47</v>
      </c>
      <c r="R3181" s="214" t="s">
        <v>1869</v>
      </c>
      <c r="S3181" s="214" t="s">
        <v>1861</v>
      </c>
      <c r="T3181" s="85" t="s">
        <v>4162</v>
      </c>
      <c r="U3181" s="422" t="s">
        <v>1953</v>
      </c>
      <c r="V3181" s="422" t="s">
        <v>2813</v>
      </c>
    </row>
    <row r="3182" spans="1:22" ht="15.75" thickBot="1" x14ac:dyDescent="0.3">
      <c r="A3182" t="s">
        <v>1910</v>
      </c>
      <c r="B3182" t="s">
        <v>1910</v>
      </c>
      <c r="C3182" s="82" t="s">
        <v>1910</v>
      </c>
      <c r="D3182" s="83" t="s">
        <v>629</v>
      </c>
      <c r="E3182" s="251" t="s">
        <v>1951</v>
      </c>
      <c r="F3182" s="124" t="s">
        <v>620</v>
      </c>
      <c r="G3182" s="130"/>
      <c r="H3182" s="125" t="s">
        <v>733</v>
      </c>
      <c r="I3182" s="311" t="str">
        <f t="shared" si="126"/>
        <v>Pesado de Passageiros M3: I : Gasóleo : E6</v>
      </c>
      <c r="J3182" s="125"/>
      <c r="K3182" s="253">
        <v>2022</v>
      </c>
      <c r="L3182" s="85">
        <v>188.16</v>
      </c>
      <c r="M3182" s="85" t="s">
        <v>630</v>
      </c>
      <c r="N3182" s="128">
        <v>448</v>
      </c>
      <c r="O3182" s="128">
        <f t="shared" si="125"/>
        <v>0</v>
      </c>
      <c r="P3182" s="125" t="s">
        <v>4401</v>
      </c>
      <c r="Q3182" s="85" t="s">
        <v>47</v>
      </c>
      <c r="R3182" s="214" t="s">
        <v>1869</v>
      </c>
      <c r="S3182" s="214" t="s">
        <v>1861</v>
      </c>
      <c r="T3182" s="85" t="s">
        <v>4163</v>
      </c>
      <c r="U3182" s="422" t="s">
        <v>1953</v>
      </c>
      <c r="V3182" s="422" t="s">
        <v>2813</v>
      </c>
    </row>
    <row r="3183" spans="1:22" ht="15.75" thickBot="1" x14ac:dyDescent="0.3">
      <c r="A3183" t="s">
        <v>1910</v>
      </c>
      <c r="B3183" t="s">
        <v>1910</v>
      </c>
      <c r="C3183" s="82" t="s">
        <v>1910</v>
      </c>
      <c r="D3183" s="83" t="s">
        <v>629</v>
      </c>
      <c r="E3183" s="251" t="s">
        <v>1951</v>
      </c>
      <c r="F3183" s="124" t="s">
        <v>620</v>
      </c>
      <c r="G3183" s="125">
        <v>2021</v>
      </c>
      <c r="H3183" s="125" t="s">
        <v>733</v>
      </c>
      <c r="I3183" s="311" t="str">
        <f t="shared" si="126"/>
        <v>Pesado de Passageiros M3: I : Gasóleo : E6</v>
      </c>
      <c r="J3183" s="125">
        <v>109</v>
      </c>
      <c r="K3183" s="253">
        <v>2022</v>
      </c>
      <c r="L3183" s="129">
        <v>18070.272000000001</v>
      </c>
      <c r="M3183" s="85" t="s">
        <v>630</v>
      </c>
      <c r="N3183" s="128">
        <v>44640</v>
      </c>
      <c r="O3183" s="128">
        <f t="shared" si="125"/>
        <v>4865760</v>
      </c>
      <c r="P3183" s="380">
        <v>2305</v>
      </c>
      <c r="Q3183" s="85" t="s">
        <v>47</v>
      </c>
      <c r="R3183" s="214" t="s">
        <v>1869</v>
      </c>
      <c r="S3183" s="214" t="s">
        <v>1861</v>
      </c>
      <c r="T3183" s="85" t="s">
        <v>4164</v>
      </c>
      <c r="U3183" s="422" t="s">
        <v>1953</v>
      </c>
      <c r="V3183" s="422" t="s">
        <v>2813</v>
      </c>
    </row>
    <row r="3184" spans="1:22" ht="15.75" thickBot="1" x14ac:dyDescent="0.3">
      <c r="A3184" t="s">
        <v>1910</v>
      </c>
      <c r="B3184" t="s">
        <v>1910</v>
      </c>
      <c r="C3184" s="82" t="s">
        <v>1910</v>
      </c>
      <c r="D3184" s="83" t="s">
        <v>629</v>
      </c>
      <c r="E3184" s="251" t="s">
        <v>1951</v>
      </c>
      <c r="F3184" s="124" t="s">
        <v>620</v>
      </c>
      <c r="G3184" s="130">
        <v>2021</v>
      </c>
      <c r="H3184" s="125" t="s">
        <v>733</v>
      </c>
      <c r="I3184" s="311" t="str">
        <f t="shared" si="126"/>
        <v>Pesado de Passageiros M3: I : Gasóleo : E6</v>
      </c>
      <c r="J3184" s="125">
        <v>109</v>
      </c>
      <c r="K3184" s="253">
        <v>2022</v>
      </c>
      <c r="L3184" s="129">
        <v>18017.7376</v>
      </c>
      <c r="M3184" s="85" t="s">
        <v>630</v>
      </c>
      <c r="N3184" s="128">
        <v>48644</v>
      </c>
      <c r="O3184" s="128">
        <f t="shared" si="125"/>
        <v>5302196</v>
      </c>
      <c r="P3184" s="125">
        <v>2507</v>
      </c>
      <c r="Q3184" s="85" t="s">
        <v>47</v>
      </c>
      <c r="R3184" s="214" t="s">
        <v>1869</v>
      </c>
      <c r="S3184" s="214" t="s">
        <v>1861</v>
      </c>
      <c r="T3184" s="85" t="s">
        <v>4165</v>
      </c>
      <c r="U3184" s="422" t="s">
        <v>1953</v>
      </c>
      <c r="V3184" s="422" t="s">
        <v>2813</v>
      </c>
    </row>
    <row r="3185" spans="1:22" ht="15.75" thickBot="1" x14ac:dyDescent="0.3">
      <c r="A3185" t="s">
        <v>1910</v>
      </c>
      <c r="B3185" t="s">
        <v>1910</v>
      </c>
      <c r="C3185" s="82" t="s">
        <v>1910</v>
      </c>
      <c r="D3185" s="83" t="s">
        <v>629</v>
      </c>
      <c r="E3185" s="251" t="s">
        <v>1951</v>
      </c>
      <c r="F3185" s="124" t="s">
        <v>620</v>
      </c>
      <c r="G3185" s="125">
        <v>2021</v>
      </c>
      <c r="H3185" s="125" t="s">
        <v>733</v>
      </c>
      <c r="I3185" s="311" t="str">
        <f t="shared" si="126"/>
        <v>Pesado de Passageiros M3: I : Gasóleo : E6</v>
      </c>
      <c r="J3185" s="125">
        <v>109</v>
      </c>
      <c r="K3185" s="253">
        <v>2022</v>
      </c>
      <c r="L3185" s="129">
        <v>18999.337500000001</v>
      </c>
      <c r="M3185" s="85" t="s">
        <v>630</v>
      </c>
      <c r="N3185" s="128">
        <v>46059</v>
      </c>
      <c r="O3185" s="128">
        <f t="shared" ref="O3185:O3248" si="127">N3185*J3185</f>
        <v>5020431</v>
      </c>
      <c r="P3185" s="380">
        <v>2310</v>
      </c>
      <c r="Q3185" s="85" t="s">
        <v>47</v>
      </c>
      <c r="R3185" s="214" t="s">
        <v>1869</v>
      </c>
      <c r="S3185" s="214" t="s">
        <v>1861</v>
      </c>
      <c r="T3185" s="85" t="s">
        <v>4166</v>
      </c>
      <c r="U3185" s="422" t="s">
        <v>1953</v>
      </c>
      <c r="V3185" s="422" t="s">
        <v>2813</v>
      </c>
    </row>
    <row r="3186" spans="1:22" ht="15.75" thickBot="1" x14ac:dyDescent="0.3">
      <c r="A3186" t="s">
        <v>1910</v>
      </c>
      <c r="B3186" t="s">
        <v>1910</v>
      </c>
      <c r="C3186" s="82" t="s">
        <v>1910</v>
      </c>
      <c r="D3186" s="83" t="s">
        <v>629</v>
      </c>
      <c r="E3186" s="251" t="s">
        <v>1951</v>
      </c>
      <c r="F3186" s="124" t="s">
        <v>620</v>
      </c>
      <c r="G3186" s="130"/>
      <c r="H3186" s="125" t="s">
        <v>733</v>
      </c>
      <c r="I3186" s="311" t="str">
        <f t="shared" si="126"/>
        <v>Pesado de Passageiros M3: I : Gasóleo : E6</v>
      </c>
      <c r="J3186" s="125"/>
      <c r="K3186" s="253">
        <v>2022</v>
      </c>
      <c r="L3186" s="85">
        <v>79.8</v>
      </c>
      <c r="M3186" s="85" t="s">
        <v>630</v>
      </c>
      <c r="N3186" s="128">
        <v>190</v>
      </c>
      <c r="O3186" s="128">
        <f t="shared" si="127"/>
        <v>0</v>
      </c>
      <c r="P3186" s="125" t="s">
        <v>4402</v>
      </c>
      <c r="Q3186" s="85" t="s">
        <v>47</v>
      </c>
      <c r="R3186" s="214" t="s">
        <v>1869</v>
      </c>
      <c r="S3186" s="214" t="s">
        <v>1861</v>
      </c>
      <c r="T3186" s="85" t="s">
        <v>4167</v>
      </c>
      <c r="U3186" s="422" t="s">
        <v>1953</v>
      </c>
      <c r="V3186" s="422" t="s">
        <v>2813</v>
      </c>
    </row>
    <row r="3187" spans="1:22" ht="15.75" thickBot="1" x14ac:dyDescent="0.3">
      <c r="A3187" t="s">
        <v>1910</v>
      </c>
      <c r="B3187" t="s">
        <v>1910</v>
      </c>
      <c r="C3187" s="82" t="s">
        <v>1910</v>
      </c>
      <c r="D3187" s="83" t="s">
        <v>629</v>
      </c>
      <c r="E3187" s="251" t="s">
        <v>1951</v>
      </c>
      <c r="F3187" s="124" t="s">
        <v>620</v>
      </c>
      <c r="G3187" s="130">
        <v>2021</v>
      </c>
      <c r="H3187" s="125" t="s">
        <v>733</v>
      </c>
      <c r="I3187" s="311" t="str">
        <f t="shared" si="126"/>
        <v>Pesado de Passageiros M3: I : Gasóleo : E6</v>
      </c>
      <c r="J3187" s="125">
        <v>109</v>
      </c>
      <c r="K3187" s="253">
        <v>2022</v>
      </c>
      <c r="L3187" s="129">
        <v>18422.144200000002</v>
      </c>
      <c r="M3187" s="85" t="s">
        <v>630</v>
      </c>
      <c r="N3187" s="128">
        <v>50527</v>
      </c>
      <c r="O3187" s="128">
        <f t="shared" si="127"/>
        <v>5507443</v>
      </c>
      <c r="P3187" s="125">
        <v>2505</v>
      </c>
      <c r="Q3187" s="85" t="s">
        <v>47</v>
      </c>
      <c r="R3187" s="214" t="s">
        <v>1869</v>
      </c>
      <c r="S3187" s="214" t="s">
        <v>1861</v>
      </c>
      <c r="T3187" s="85" t="s">
        <v>4168</v>
      </c>
      <c r="U3187" s="422" t="s">
        <v>1953</v>
      </c>
      <c r="V3187" s="422" t="s">
        <v>2813</v>
      </c>
    </row>
    <row r="3188" spans="1:22" ht="15.75" thickBot="1" x14ac:dyDescent="0.3">
      <c r="A3188" t="s">
        <v>1910</v>
      </c>
      <c r="B3188" t="s">
        <v>1910</v>
      </c>
      <c r="C3188" s="82" t="s">
        <v>1910</v>
      </c>
      <c r="D3188" s="83" t="s">
        <v>629</v>
      </c>
      <c r="E3188" s="251" t="s">
        <v>1951</v>
      </c>
      <c r="F3188" s="124" t="s">
        <v>620</v>
      </c>
      <c r="G3188" s="125">
        <v>2021</v>
      </c>
      <c r="H3188" s="125" t="s">
        <v>733</v>
      </c>
      <c r="I3188" s="311" t="str">
        <f t="shared" si="126"/>
        <v>Pesado de Passageiros M3: I : Gasóleo : E6</v>
      </c>
      <c r="J3188" s="125">
        <v>109</v>
      </c>
      <c r="K3188" s="253">
        <v>2022</v>
      </c>
      <c r="L3188" s="129">
        <v>20803.785</v>
      </c>
      <c r="M3188" s="85" t="s">
        <v>630</v>
      </c>
      <c r="N3188" s="128">
        <v>50865</v>
      </c>
      <c r="O3188" s="128">
        <f t="shared" si="127"/>
        <v>5544285</v>
      </c>
      <c r="P3188" s="380">
        <v>2307</v>
      </c>
      <c r="Q3188" s="85" t="s">
        <v>47</v>
      </c>
      <c r="R3188" s="214" t="s">
        <v>1869</v>
      </c>
      <c r="S3188" s="214" t="s">
        <v>1861</v>
      </c>
      <c r="T3188" s="85" t="s">
        <v>4169</v>
      </c>
      <c r="U3188" s="422" t="s">
        <v>1953</v>
      </c>
      <c r="V3188" s="422" t="s">
        <v>2813</v>
      </c>
    </row>
    <row r="3189" spans="1:22" ht="15.75" thickBot="1" x14ac:dyDescent="0.3">
      <c r="A3189" t="s">
        <v>1910</v>
      </c>
      <c r="B3189" t="s">
        <v>1910</v>
      </c>
      <c r="C3189" s="82" t="s">
        <v>1910</v>
      </c>
      <c r="D3189" s="83" t="s">
        <v>629</v>
      </c>
      <c r="E3189" s="251" t="s">
        <v>1951</v>
      </c>
      <c r="F3189" s="124" t="s">
        <v>620</v>
      </c>
      <c r="G3189" s="130">
        <v>2021</v>
      </c>
      <c r="H3189" s="125" t="s">
        <v>733</v>
      </c>
      <c r="I3189" s="311" t="str">
        <f t="shared" si="126"/>
        <v>Pesado de Passageiros M3: I : Gasóleo : E6</v>
      </c>
      <c r="J3189" s="125">
        <v>109</v>
      </c>
      <c r="K3189" s="253">
        <v>2022</v>
      </c>
      <c r="L3189" s="129">
        <v>17870.835399999996</v>
      </c>
      <c r="M3189" s="85" t="s">
        <v>630</v>
      </c>
      <c r="N3189" s="128">
        <v>42866</v>
      </c>
      <c r="O3189" s="128">
        <f t="shared" si="127"/>
        <v>4672394</v>
      </c>
      <c r="P3189" s="125">
        <v>2500</v>
      </c>
      <c r="Q3189" s="85" t="s">
        <v>47</v>
      </c>
      <c r="R3189" s="214" t="s">
        <v>1869</v>
      </c>
      <c r="S3189" s="214" t="s">
        <v>1861</v>
      </c>
      <c r="T3189" s="85" t="s">
        <v>4170</v>
      </c>
      <c r="U3189" s="422" t="s">
        <v>1953</v>
      </c>
      <c r="V3189" s="422" t="s">
        <v>2813</v>
      </c>
    </row>
    <row r="3190" spans="1:22" ht="15.75" thickBot="1" x14ac:dyDescent="0.3">
      <c r="A3190" t="s">
        <v>1910</v>
      </c>
      <c r="B3190" t="s">
        <v>1910</v>
      </c>
      <c r="C3190" s="82" t="s">
        <v>1910</v>
      </c>
      <c r="D3190" s="83" t="s">
        <v>629</v>
      </c>
      <c r="E3190" s="251" t="s">
        <v>1951</v>
      </c>
      <c r="F3190" s="124" t="s">
        <v>620</v>
      </c>
      <c r="G3190" s="130">
        <v>2021</v>
      </c>
      <c r="H3190" s="125" t="s">
        <v>733</v>
      </c>
      <c r="I3190" s="311" t="str">
        <f t="shared" ref="I3190:I3253" si="128">D3190&amp;": "&amp;E3190&amp;" : "&amp;F3190&amp;" : "&amp;H3190</f>
        <v>Pesado de Passageiros M3: I : Gasóleo : E6</v>
      </c>
      <c r="J3190" s="125">
        <v>109</v>
      </c>
      <c r="K3190" s="253">
        <v>2022</v>
      </c>
      <c r="L3190" s="129">
        <v>19497.28</v>
      </c>
      <c r="M3190" s="85" t="s">
        <v>630</v>
      </c>
      <c r="N3190" s="128">
        <v>52525</v>
      </c>
      <c r="O3190" s="128">
        <f t="shared" si="127"/>
        <v>5725225</v>
      </c>
      <c r="P3190" s="125">
        <v>2504</v>
      </c>
      <c r="Q3190" s="85" t="s">
        <v>47</v>
      </c>
      <c r="R3190" s="214" t="s">
        <v>1869</v>
      </c>
      <c r="S3190" s="214" t="s">
        <v>1861</v>
      </c>
      <c r="T3190" s="85" t="s">
        <v>4171</v>
      </c>
      <c r="U3190" s="422" t="s">
        <v>1953</v>
      </c>
      <c r="V3190" s="422" t="s">
        <v>2813</v>
      </c>
    </row>
    <row r="3191" spans="1:22" ht="15.75" thickBot="1" x14ac:dyDescent="0.3">
      <c r="A3191" t="s">
        <v>1910</v>
      </c>
      <c r="B3191" t="s">
        <v>1910</v>
      </c>
      <c r="C3191" s="82" t="s">
        <v>1910</v>
      </c>
      <c r="D3191" s="83" t="s">
        <v>629</v>
      </c>
      <c r="E3191" s="251" t="s">
        <v>1951</v>
      </c>
      <c r="F3191" s="124" t="s">
        <v>620</v>
      </c>
      <c r="G3191" s="130">
        <v>2021</v>
      </c>
      <c r="H3191" s="125" t="s">
        <v>733</v>
      </c>
      <c r="I3191" s="311" t="str">
        <f t="shared" si="128"/>
        <v>Pesado de Passageiros M3: I : Gasóleo : E6</v>
      </c>
      <c r="J3191" s="125">
        <v>109</v>
      </c>
      <c r="K3191" s="253">
        <v>2022</v>
      </c>
      <c r="L3191" s="129">
        <v>17300.063599999998</v>
      </c>
      <c r="M3191" s="85" t="s">
        <v>630</v>
      </c>
      <c r="N3191" s="128">
        <v>41707</v>
      </c>
      <c r="O3191" s="128">
        <f t="shared" si="127"/>
        <v>4546063</v>
      </c>
      <c r="P3191" s="125">
        <v>2501</v>
      </c>
      <c r="Q3191" s="85" t="s">
        <v>47</v>
      </c>
      <c r="R3191" s="214" t="s">
        <v>1869</v>
      </c>
      <c r="S3191" s="214" t="s">
        <v>1861</v>
      </c>
      <c r="T3191" s="85" t="s">
        <v>4172</v>
      </c>
      <c r="U3191" s="422" t="s">
        <v>1953</v>
      </c>
      <c r="V3191" s="422" t="s">
        <v>2813</v>
      </c>
    </row>
    <row r="3192" spans="1:22" ht="15.75" thickBot="1" x14ac:dyDescent="0.3">
      <c r="A3192" t="s">
        <v>1910</v>
      </c>
      <c r="B3192" t="s">
        <v>1910</v>
      </c>
      <c r="C3192" s="82" t="s">
        <v>1910</v>
      </c>
      <c r="D3192" s="83" t="s">
        <v>629</v>
      </c>
      <c r="E3192" s="251" t="s">
        <v>1951</v>
      </c>
      <c r="F3192" s="124" t="s">
        <v>620</v>
      </c>
      <c r="G3192" s="125">
        <v>2021</v>
      </c>
      <c r="H3192" s="125" t="s">
        <v>733</v>
      </c>
      <c r="I3192" s="311" t="str">
        <f t="shared" si="128"/>
        <v>Pesado de Passageiros M3: I : Gasóleo : E6</v>
      </c>
      <c r="J3192" s="125">
        <v>109</v>
      </c>
      <c r="K3192" s="253">
        <v>2022</v>
      </c>
      <c r="L3192" s="129">
        <v>20677.702500000003</v>
      </c>
      <c r="M3192" s="85" t="s">
        <v>630</v>
      </c>
      <c r="N3192" s="128">
        <v>50495</v>
      </c>
      <c r="O3192" s="128">
        <f t="shared" si="127"/>
        <v>5503955</v>
      </c>
      <c r="P3192" s="380">
        <v>2303</v>
      </c>
      <c r="Q3192" s="85" t="s">
        <v>47</v>
      </c>
      <c r="R3192" s="214" t="s">
        <v>1869</v>
      </c>
      <c r="S3192" s="214" t="s">
        <v>1861</v>
      </c>
      <c r="T3192" s="85" t="s">
        <v>4173</v>
      </c>
      <c r="U3192" s="422" t="s">
        <v>1953</v>
      </c>
      <c r="V3192" s="422" t="s">
        <v>2813</v>
      </c>
    </row>
    <row r="3193" spans="1:22" ht="15.75" thickBot="1" x14ac:dyDescent="0.3">
      <c r="A3193" t="s">
        <v>1910</v>
      </c>
      <c r="B3193" t="s">
        <v>1910</v>
      </c>
      <c r="C3193" s="82" t="s">
        <v>1910</v>
      </c>
      <c r="D3193" s="83" t="s">
        <v>629</v>
      </c>
      <c r="E3193" s="251" t="s">
        <v>1951</v>
      </c>
      <c r="F3193" s="124" t="s">
        <v>620</v>
      </c>
      <c r="G3193" s="130">
        <v>2021</v>
      </c>
      <c r="H3193" s="125" t="s">
        <v>733</v>
      </c>
      <c r="I3193" s="311" t="str">
        <f t="shared" si="128"/>
        <v>Pesado de Passageiros M3: I : Gasóleo : E6</v>
      </c>
      <c r="J3193" s="125">
        <v>109</v>
      </c>
      <c r="K3193" s="253">
        <v>2022</v>
      </c>
      <c r="L3193" s="129">
        <v>15575.013000000001</v>
      </c>
      <c r="M3193" s="85" t="s">
        <v>630</v>
      </c>
      <c r="N3193" s="128">
        <v>42765</v>
      </c>
      <c r="O3193" s="128">
        <f t="shared" si="127"/>
        <v>4661385</v>
      </c>
      <c r="P3193" s="125">
        <v>2509</v>
      </c>
      <c r="Q3193" s="85" t="s">
        <v>47</v>
      </c>
      <c r="R3193" s="214" t="s">
        <v>1869</v>
      </c>
      <c r="S3193" s="214" t="s">
        <v>1861</v>
      </c>
      <c r="T3193" s="85" t="s">
        <v>4174</v>
      </c>
      <c r="U3193" s="422" t="s">
        <v>1953</v>
      </c>
      <c r="V3193" s="422" t="s">
        <v>2813</v>
      </c>
    </row>
    <row r="3194" spans="1:22" ht="15.75" thickBot="1" x14ac:dyDescent="0.3">
      <c r="A3194" t="s">
        <v>1910</v>
      </c>
      <c r="B3194" t="s">
        <v>1910</v>
      </c>
      <c r="C3194" s="82" t="s">
        <v>1910</v>
      </c>
      <c r="D3194" s="83" t="s">
        <v>629</v>
      </c>
      <c r="E3194" s="251" t="s">
        <v>1951</v>
      </c>
      <c r="F3194" s="124" t="s">
        <v>620</v>
      </c>
      <c r="G3194" s="130">
        <v>2021</v>
      </c>
      <c r="H3194" s="125" t="s">
        <v>733</v>
      </c>
      <c r="I3194" s="311" t="str">
        <f t="shared" si="128"/>
        <v>Pesado de Passageiros M3: I : Gasóleo : E6</v>
      </c>
      <c r="J3194" s="125">
        <v>109</v>
      </c>
      <c r="K3194" s="253">
        <v>2022</v>
      </c>
      <c r="L3194" s="129">
        <v>18076.354800000001</v>
      </c>
      <c r="M3194" s="85" t="s">
        <v>630</v>
      </c>
      <c r="N3194" s="128">
        <v>50862</v>
      </c>
      <c r="O3194" s="128">
        <f t="shared" si="127"/>
        <v>5543958</v>
      </c>
      <c r="P3194" s="125">
        <v>2510</v>
      </c>
      <c r="Q3194" s="85" t="s">
        <v>47</v>
      </c>
      <c r="R3194" s="214" t="s">
        <v>1869</v>
      </c>
      <c r="S3194" s="214" t="s">
        <v>1861</v>
      </c>
      <c r="T3194" s="85" t="s">
        <v>4175</v>
      </c>
      <c r="U3194" s="422" t="s">
        <v>1953</v>
      </c>
      <c r="V3194" s="422" t="s">
        <v>2813</v>
      </c>
    </row>
    <row r="3195" spans="1:22" ht="15.75" thickBot="1" x14ac:dyDescent="0.3">
      <c r="A3195" t="s">
        <v>1910</v>
      </c>
      <c r="B3195" t="s">
        <v>1910</v>
      </c>
      <c r="C3195" s="82" t="s">
        <v>1910</v>
      </c>
      <c r="D3195" s="83" t="s">
        <v>629</v>
      </c>
      <c r="E3195" s="251" t="s">
        <v>1951</v>
      </c>
      <c r="F3195" s="124" t="s">
        <v>620</v>
      </c>
      <c r="G3195" s="125">
        <v>2021</v>
      </c>
      <c r="H3195" s="125" t="s">
        <v>733</v>
      </c>
      <c r="I3195" s="311" t="str">
        <f t="shared" si="128"/>
        <v>Pesado de Passageiros M3: I : Gasóleo : E6</v>
      </c>
      <c r="J3195" s="125">
        <v>109</v>
      </c>
      <c r="K3195" s="253">
        <v>2022</v>
      </c>
      <c r="L3195" s="129">
        <v>21785.7906</v>
      </c>
      <c r="M3195" s="85" t="s">
        <v>630</v>
      </c>
      <c r="N3195" s="128">
        <v>53739</v>
      </c>
      <c r="O3195" s="128">
        <f t="shared" si="127"/>
        <v>5857551</v>
      </c>
      <c r="P3195" s="380">
        <v>2309</v>
      </c>
      <c r="Q3195" s="85" t="s">
        <v>47</v>
      </c>
      <c r="R3195" s="214" t="s">
        <v>1869</v>
      </c>
      <c r="S3195" s="214" t="s">
        <v>1861</v>
      </c>
      <c r="T3195" s="85" t="s">
        <v>4176</v>
      </c>
      <c r="U3195" s="422" t="s">
        <v>1953</v>
      </c>
      <c r="V3195" s="422" t="s">
        <v>2813</v>
      </c>
    </row>
    <row r="3196" spans="1:22" ht="15.75" thickBot="1" x14ac:dyDescent="0.3">
      <c r="A3196" t="s">
        <v>1910</v>
      </c>
      <c r="B3196" t="s">
        <v>1910</v>
      </c>
      <c r="C3196" s="82" t="s">
        <v>1910</v>
      </c>
      <c r="D3196" s="83" t="s">
        <v>629</v>
      </c>
      <c r="E3196" s="251" t="s">
        <v>1951</v>
      </c>
      <c r="F3196" s="124" t="s">
        <v>620</v>
      </c>
      <c r="G3196" s="125">
        <v>2021</v>
      </c>
      <c r="H3196" s="125" t="s">
        <v>733</v>
      </c>
      <c r="I3196" s="311" t="str">
        <f t="shared" si="128"/>
        <v>Pesado de Passageiros M3: I : Gasóleo : E6</v>
      </c>
      <c r="J3196" s="125">
        <v>109</v>
      </c>
      <c r="K3196" s="253">
        <v>2022</v>
      </c>
      <c r="L3196" s="129">
        <v>19695.614399999999</v>
      </c>
      <c r="M3196" s="85" t="s">
        <v>630</v>
      </c>
      <c r="N3196" s="128">
        <v>49104</v>
      </c>
      <c r="O3196" s="128">
        <f t="shared" si="127"/>
        <v>5352336</v>
      </c>
      <c r="P3196" s="380">
        <v>2301</v>
      </c>
      <c r="Q3196" s="85" t="s">
        <v>47</v>
      </c>
      <c r="R3196" s="214" t="s">
        <v>1869</v>
      </c>
      <c r="S3196" s="214" t="s">
        <v>1861</v>
      </c>
      <c r="T3196" s="85" t="s">
        <v>4177</v>
      </c>
      <c r="U3196" s="422" t="s">
        <v>1953</v>
      </c>
      <c r="V3196" s="422" t="s">
        <v>2813</v>
      </c>
    </row>
    <row r="3197" spans="1:22" ht="15.75" thickBot="1" x14ac:dyDescent="0.3">
      <c r="A3197" t="s">
        <v>1910</v>
      </c>
      <c r="B3197" t="s">
        <v>1910</v>
      </c>
      <c r="C3197" s="82" t="s">
        <v>1910</v>
      </c>
      <c r="D3197" s="83" t="s">
        <v>629</v>
      </c>
      <c r="E3197" s="251" t="s">
        <v>1951</v>
      </c>
      <c r="F3197" s="124" t="s">
        <v>620</v>
      </c>
      <c r="G3197" s="130"/>
      <c r="H3197" s="125" t="s">
        <v>733</v>
      </c>
      <c r="I3197" s="311" t="str">
        <f t="shared" si="128"/>
        <v>Pesado de Passageiros M3: I : Gasóleo : E6</v>
      </c>
      <c r="J3197" s="125"/>
      <c r="K3197" s="253">
        <v>2022</v>
      </c>
      <c r="L3197" s="85">
        <v>153.33760000000001</v>
      </c>
      <c r="M3197" s="85" t="s">
        <v>630</v>
      </c>
      <c r="N3197" s="128">
        <v>388</v>
      </c>
      <c r="O3197" s="128">
        <f t="shared" si="127"/>
        <v>0</v>
      </c>
      <c r="P3197" s="125" t="s">
        <v>4403</v>
      </c>
      <c r="Q3197" s="85" t="s">
        <v>47</v>
      </c>
      <c r="R3197" s="214" t="s">
        <v>1869</v>
      </c>
      <c r="S3197" s="214" t="s">
        <v>1861</v>
      </c>
      <c r="T3197" s="85" t="s">
        <v>4178</v>
      </c>
      <c r="U3197" s="422" t="s">
        <v>1953</v>
      </c>
      <c r="V3197" s="422" t="s">
        <v>2813</v>
      </c>
    </row>
    <row r="3198" spans="1:22" ht="15.75" thickBot="1" x14ac:dyDescent="0.3">
      <c r="A3198" t="s">
        <v>1910</v>
      </c>
      <c r="B3198" t="s">
        <v>1910</v>
      </c>
      <c r="C3198" s="82" t="s">
        <v>1910</v>
      </c>
      <c r="D3198" s="83" t="s">
        <v>629</v>
      </c>
      <c r="E3198" s="251" t="s">
        <v>1951</v>
      </c>
      <c r="F3198" s="124" t="s">
        <v>620</v>
      </c>
      <c r="G3198" s="130"/>
      <c r="H3198" s="125" t="s">
        <v>733</v>
      </c>
      <c r="I3198" s="311" t="str">
        <f t="shared" si="128"/>
        <v>Pesado de Passageiros M3: I : Gasóleo : E6</v>
      </c>
      <c r="J3198" s="125"/>
      <c r="K3198" s="253">
        <v>2022</v>
      </c>
      <c r="L3198" s="85">
        <v>174.80680000000001</v>
      </c>
      <c r="M3198" s="85" t="s">
        <v>630</v>
      </c>
      <c r="N3198" s="128">
        <v>419</v>
      </c>
      <c r="O3198" s="128">
        <f t="shared" si="127"/>
        <v>0</v>
      </c>
      <c r="P3198" s="125" t="s">
        <v>4404</v>
      </c>
      <c r="Q3198" s="85" t="s">
        <v>47</v>
      </c>
      <c r="R3198" s="214" t="s">
        <v>1869</v>
      </c>
      <c r="S3198" s="214" t="s">
        <v>1861</v>
      </c>
      <c r="T3198" s="85" t="s">
        <v>4179</v>
      </c>
      <c r="U3198" s="422" t="s">
        <v>1953</v>
      </c>
      <c r="V3198" s="422" t="s">
        <v>2813</v>
      </c>
    </row>
    <row r="3199" spans="1:22" ht="15.75" thickBot="1" x14ac:dyDescent="0.3">
      <c r="A3199" t="s">
        <v>1910</v>
      </c>
      <c r="B3199" t="s">
        <v>1910</v>
      </c>
      <c r="C3199" s="82" t="s">
        <v>1910</v>
      </c>
      <c r="D3199" s="83" t="s">
        <v>629</v>
      </c>
      <c r="E3199" s="251" t="s">
        <v>1951</v>
      </c>
      <c r="F3199" s="124" t="s">
        <v>620</v>
      </c>
      <c r="G3199" s="130"/>
      <c r="H3199" s="125" t="s">
        <v>733</v>
      </c>
      <c r="I3199" s="311" t="str">
        <f t="shared" si="128"/>
        <v>Pesado de Passageiros M3: I : Gasóleo : E6</v>
      </c>
      <c r="J3199" s="125"/>
      <c r="K3199" s="253">
        <v>2022</v>
      </c>
      <c r="L3199" s="85">
        <v>104.16</v>
      </c>
      <c r="M3199" s="85" t="s">
        <v>630</v>
      </c>
      <c r="N3199" s="128">
        <v>248</v>
      </c>
      <c r="O3199" s="128">
        <f t="shared" si="127"/>
        <v>0</v>
      </c>
      <c r="P3199" s="125" t="s">
        <v>4405</v>
      </c>
      <c r="Q3199" s="85" t="s">
        <v>47</v>
      </c>
      <c r="R3199" s="214" t="s">
        <v>1869</v>
      </c>
      <c r="S3199" s="214" t="s">
        <v>1861</v>
      </c>
      <c r="T3199" s="85" t="s">
        <v>4180</v>
      </c>
      <c r="U3199" s="422" t="s">
        <v>1953</v>
      </c>
      <c r="V3199" s="422" t="s">
        <v>2813</v>
      </c>
    </row>
    <row r="3200" spans="1:22" ht="15.75" thickBot="1" x14ac:dyDescent="0.3">
      <c r="A3200" t="s">
        <v>1910</v>
      </c>
      <c r="B3200" t="s">
        <v>1910</v>
      </c>
      <c r="C3200" s="82" t="s">
        <v>1910</v>
      </c>
      <c r="D3200" s="83" t="s">
        <v>629</v>
      </c>
      <c r="E3200" s="251" t="s">
        <v>1951</v>
      </c>
      <c r="F3200" s="124" t="s">
        <v>620</v>
      </c>
      <c r="G3200" s="125">
        <v>2021</v>
      </c>
      <c r="H3200" s="125" t="s">
        <v>733</v>
      </c>
      <c r="I3200" s="311" t="str">
        <f t="shared" si="128"/>
        <v>Pesado de Passageiros M3: I : Gasóleo : E6</v>
      </c>
      <c r="J3200" s="125">
        <v>109</v>
      </c>
      <c r="K3200" s="253">
        <v>2022</v>
      </c>
      <c r="L3200" s="129">
        <v>22121.82</v>
      </c>
      <c r="M3200" s="85" t="s">
        <v>630</v>
      </c>
      <c r="N3200" s="128">
        <v>52671</v>
      </c>
      <c r="O3200" s="128">
        <f t="shared" si="127"/>
        <v>5741139</v>
      </c>
      <c r="P3200" s="380">
        <v>2300</v>
      </c>
      <c r="Q3200" s="85" t="s">
        <v>47</v>
      </c>
      <c r="R3200" s="214" t="s">
        <v>1869</v>
      </c>
      <c r="S3200" s="214" t="s">
        <v>1861</v>
      </c>
      <c r="T3200" s="85" t="s">
        <v>4181</v>
      </c>
      <c r="U3200" s="422" t="s">
        <v>1953</v>
      </c>
      <c r="V3200" s="422" t="s">
        <v>2813</v>
      </c>
    </row>
    <row r="3201" spans="1:22" ht="15.75" thickBot="1" x14ac:dyDescent="0.3">
      <c r="A3201" t="s">
        <v>1910</v>
      </c>
      <c r="B3201" t="s">
        <v>1910</v>
      </c>
      <c r="C3201" s="82" t="s">
        <v>1910</v>
      </c>
      <c r="D3201" s="83" t="s">
        <v>629</v>
      </c>
      <c r="E3201" s="251" t="s">
        <v>1951</v>
      </c>
      <c r="F3201" s="124" t="s">
        <v>620</v>
      </c>
      <c r="G3201" s="125">
        <v>2021</v>
      </c>
      <c r="H3201" s="125" t="s">
        <v>733</v>
      </c>
      <c r="I3201" s="311" t="str">
        <f t="shared" si="128"/>
        <v>Pesado de Passageiros M3: I : Gasóleo : E6</v>
      </c>
      <c r="J3201" s="125">
        <v>109</v>
      </c>
      <c r="K3201" s="253">
        <v>2022</v>
      </c>
      <c r="L3201" s="129">
        <v>18134.739700000002</v>
      </c>
      <c r="M3201" s="85" t="s">
        <v>630</v>
      </c>
      <c r="N3201" s="128">
        <v>44437</v>
      </c>
      <c r="O3201" s="128">
        <f t="shared" si="127"/>
        <v>4843633</v>
      </c>
      <c r="P3201" s="380">
        <v>2302</v>
      </c>
      <c r="Q3201" s="85" t="s">
        <v>47</v>
      </c>
      <c r="R3201" s="214" t="s">
        <v>1869</v>
      </c>
      <c r="S3201" s="214" t="s">
        <v>1861</v>
      </c>
      <c r="T3201" s="85" t="s">
        <v>4182</v>
      </c>
      <c r="U3201" s="422" t="s">
        <v>1953</v>
      </c>
      <c r="V3201" s="422" t="s">
        <v>2813</v>
      </c>
    </row>
    <row r="3202" spans="1:22" ht="15.75" thickBot="1" x14ac:dyDescent="0.3">
      <c r="A3202" t="s">
        <v>1910</v>
      </c>
      <c r="B3202" t="s">
        <v>1910</v>
      </c>
      <c r="C3202" s="82" t="s">
        <v>1910</v>
      </c>
      <c r="D3202" s="83" t="s">
        <v>629</v>
      </c>
      <c r="E3202" s="251" t="s">
        <v>1951</v>
      </c>
      <c r="F3202" s="124" t="s">
        <v>620</v>
      </c>
      <c r="G3202" s="130"/>
      <c r="H3202" s="125" t="s">
        <v>733</v>
      </c>
      <c r="I3202" s="311" t="str">
        <f t="shared" si="128"/>
        <v>Pesado de Passageiros M3: I : Gasóleo : E6</v>
      </c>
      <c r="J3202" s="125"/>
      <c r="K3202" s="253">
        <v>2022</v>
      </c>
      <c r="L3202" s="85">
        <v>160.66560000000001</v>
      </c>
      <c r="M3202" s="85" t="s">
        <v>630</v>
      </c>
      <c r="N3202" s="128">
        <v>384</v>
      </c>
      <c r="O3202" s="128">
        <f t="shared" si="127"/>
        <v>0</v>
      </c>
      <c r="P3202" s="125" t="s">
        <v>4406</v>
      </c>
      <c r="Q3202" s="85" t="s">
        <v>47</v>
      </c>
      <c r="R3202" s="214" t="s">
        <v>1869</v>
      </c>
      <c r="S3202" s="214" t="s">
        <v>1861</v>
      </c>
      <c r="T3202" s="85" t="s">
        <v>4183</v>
      </c>
      <c r="U3202" s="422" t="s">
        <v>1953</v>
      </c>
      <c r="V3202" s="422" t="s">
        <v>2813</v>
      </c>
    </row>
    <row r="3203" spans="1:22" ht="15.75" thickBot="1" x14ac:dyDescent="0.3">
      <c r="A3203" t="s">
        <v>1910</v>
      </c>
      <c r="B3203" t="s">
        <v>1910</v>
      </c>
      <c r="C3203" s="82" t="s">
        <v>1910</v>
      </c>
      <c r="D3203" s="83" t="s">
        <v>629</v>
      </c>
      <c r="E3203" s="251" t="s">
        <v>1951</v>
      </c>
      <c r="F3203" s="124" t="s">
        <v>620</v>
      </c>
      <c r="G3203" s="130"/>
      <c r="H3203" s="125" t="s">
        <v>733</v>
      </c>
      <c r="I3203" s="311" t="str">
        <f t="shared" si="128"/>
        <v>Pesado de Passageiros M3: I : Gasóleo : E6</v>
      </c>
      <c r="J3203" s="125"/>
      <c r="K3203" s="253">
        <v>2022</v>
      </c>
      <c r="L3203" s="85">
        <v>267.17450000000002</v>
      </c>
      <c r="M3203" s="85" t="s">
        <v>630</v>
      </c>
      <c r="N3203" s="128">
        <v>655</v>
      </c>
      <c r="O3203" s="128">
        <f t="shared" si="127"/>
        <v>0</v>
      </c>
      <c r="P3203" s="125" t="s">
        <v>4407</v>
      </c>
      <c r="Q3203" s="85" t="s">
        <v>47</v>
      </c>
      <c r="R3203" s="214" t="s">
        <v>1869</v>
      </c>
      <c r="S3203" s="214" t="s">
        <v>1861</v>
      </c>
      <c r="T3203" s="85" t="s">
        <v>4184</v>
      </c>
      <c r="U3203" s="422" t="s">
        <v>1953</v>
      </c>
      <c r="V3203" s="422" t="s">
        <v>2813</v>
      </c>
    </row>
    <row r="3204" spans="1:22" ht="15.75" thickBot="1" x14ac:dyDescent="0.3">
      <c r="A3204" t="s">
        <v>1910</v>
      </c>
      <c r="B3204" t="s">
        <v>1910</v>
      </c>
      <c r="C3204" s="82" t="s">
        <v>1910</v>
      </c>
      <c r="D3204" s="83" t="s">
        <v>629</v>
      </c>
      <c r="E3204" s="251" t="s">
        <v>1951</v>
      </c>
      <c r="F3204" s="124" t="s">
        <v>620</v>
      </c>
      <c r="G3204" s="130">
        <v>2021</v>
      </c>
      <c r="H3204" s="125" t="s">
        <v>733</v>
      </c>
      <c r="I3204" s="311" t="str">
        <f t="shared" si="128"/>
        <v>Pesado de Passageiros M3: I : Gasóleo : E6</v>
      </c>
      <c r="J3204" s="125">
        <v>109</v>
      </c>
      <c r="K3204" s="253">
        <v>2022</v>
      </c>
      <c r="L3204" s="129">
        <v>13572.902400000003</v>
      </c>
      <c r="M3204" s="85" t="s">
        <v>630</v>
      </c>
      <c r="N3204" s="128">
        <v>38212</v>
      </c>
      <c r="O3204" s="128">
        <f t="shared" si="127"/>
        <v>4165108</v>
      </c>
      <c r="P3204" s="125">
        <v>2506</v>
      </c>
      <c r="Q3204" s="85" t="s">
        <v>47</v>
      </c>
      <c r="R3204" s="214" t="s">
        <v>1869</v>
      </c>
      <c r="S3204" s="214" t="s">
        <v>1861</v>
      </c>
      <c r="T3204" s="85" t="s">
        <v>4185</v>
      </c>
      <c r="U3204" s="422" t="s">
        <v>1953</v>
      </c>
      <c r="V3204" s="422" t="s">
        <v>2813</v>
      </c>
    </row>
    <row r="3205" spans="1:22" ht="15.75" thickBot="1" x14ac:dyDescent="0.3">
      <c r="A3205" t="s">
        <v>1910</v>
      </c>
      <c r="B3205" t="s">
        <v>1910</v>
      </c>
      <c r="C3205" s="82" t="s">
        <v>1910</v>
      </c>
      <c r="D3205" s="83" t="s">
        <v>629</v>
      </c>
      <c r="E3205" s="251" t="s">
        <v>1951</v>
      </c>
      <c r="F3205" s="124" t="s">
        <v>620</v>
      </c>
      <c r="G3205" s="130"/>
      <c r="H3205" s="125" t="s">
        <v>733</v>
      </c>
      <c r="I3205" s="311" t="str">
        <f t="shared" si="128"/>
        <v>Pesado de Passageiros M3: I : Gasóleo : E6</v>
      </c>
      <c r="J3205" s="125"/>
      <c r="K3205" s="253">
        <v>2022</v>
      </c>
      <c r="L3205" s="85">
        <v>102.06</v>
      </c>
      <c r="M3205" s="85" t="s">
        <v>630</v>
      </c>
      <c r="N3205" s="128">
        <v>243</v>
      </c>
      <c r="O3205" s="128">
        <f t="shared" si="127"/>
        <v>0</v>
      </c>
      <c r="P3205" s="125" t="s">
        <v>4408</v>
      </c>
      <c r="Q3205" s="85" t="s">
        <v>47</v>
      </c>
      <c r="R3205" s="214" t="s">
        <v>1869</v>
      </c>
      <c r="S3205" s="214" t="s">
        <v>1861</v>
      </c>
      <c r="T3205" s="85" t="s">
        <v>4186</v>
      </c>
      <c r="U3205" s="422" t="s">
        <v>1953</v>
      </c>
      <c r="V3205" s="422" t="s">
        <v>2813</v>
      </c>
    </row>
    <row r="3206" spans="1:22" ht="15.75" thickBot="1" x14ac:dyDescent="0.3">
      <c r="A3206" t="s">
        <v>1910</v>
      </c>
      <c r="B3206" t="s">
        <v>1910</v>
      </c>
      <c r="C3206" s="82" t="s">
        <v>1910</v>
      </c>
      <c r="D3206" s="83" t="s">
        <v>629</v>
      </c>
      <c r="E3206" s="251" t="s">
        <v>1951</v>
      </c>
      <c r="F3206" s="124" t="s">
        <v>620</v>
      </c>
      <c r="G3206" s="130">
        <v>2021</v>
      </c>
      <c r="H3206" s="125" t="s">
        <v>733</v>
      </c>
      <c r="I3206" s="311" t="str">
        <f t="shared" si="128"/>
        <v>Pesado de Passageiros M3: I : Gasóleo : E6</v>
      </c>
      <c r="J3206" s="125">
        <v>109</v>
      </c>
      <c r="K3206" s="253">
        <v>2022</v>
      </c>
      <c r="L3206" s="129">
        <v>18314.804899999999</v>
      </c>
      <c r="M3206" s="85" t="s">
        <v>630</v>
      </c>
      <c r="N3206" s="128">
        <v>46949</v>
      </c>
      <c r="O3206" s="128">
        <f t="shared" si="127"/>
        <v>5117441</v>
      </c>
      <c r="P3206" s="125">
        <v>2511</v>
      </c>
      <c r="Q3206" s="85" t="s">
        <v>47</v>
      </c>
      <c r="R3206" s="214" t="s">
        <v>1869</v>
      </c>
      <c r="S3206" s="214" t="s">
        <v>1861</v>
      </c>
      <c r="T3206" s="85" t="s">
        <v>4187</v>
      </c>
      <c r="U3206" s="422" t="s">
        <v>1953</v>
      </c>
      <c r="V3206" s="422" t="s">
        <v>2813</v>
      </c>
    </row>
    <row r="3207" spans="1:22" ht="15.75" thickBot="1" x14ac:dyDescent="0.3">
      <c r="A3207" t="s">
        <v>1910</v>
      </c>
      <c r="B3207" t="s">
        <v>1910</v>
      </c>
      <c r="C3207" s="82" t="s">
        <v>1910</v>
      </c>
      <c r="D3207" s="83" t="s">
        <v>629</v>
      </c>
      <c r="E3207" s="251" t="s">
        <v>1951</v>
      </c>
      <c r="F3207" s="124" t="s">
        <v>620</v>
      </c>
      <c r="G3207" s="130">
        <v>2021</v>
      </c>
      <c r="H3207" s="125" t="s">
        <v>733</v>
      </c>
      <c r="I3207" s="311" t="str">
        <f t="shared" si="128"/>
        <v>Pesado de Passageiros M3: I : Gasóleo : E6</v>
      </c>
      <c r="J3207" s="125">
        <v>109</v>
      </c>
      <c r="K3207" s="253">
        <v>2022</v>
      </c>
      <c r="L3207" s="129">
        <v>16111.464599999999</v>
      </c>
      <c r="M3207" s="85" t="s">
        <v>630</v>
      </c>
      <c r="N3207" s="128">
        <v>42702</v>
      </c>
      <c r="O3207" s="128">
        <f t="shared" si="127"/>
        <v>4654518</v>
      </c>
      <c r="P3207" s="125">
        <v>2503</v>
      </c>
      <c r="Q3207" s="85" t="s">
        <v>47</v>
      </c>
      <c r="R3207" s="214" t="s">
        <v>1869</v>
      </c>
      <c r="S3207" s="214" t="s">
        <v>1861</v>
      </c>
      <c r="T3207" s="85" t="s">
        <v>4188</v>
      </c>
      <c r="U3207" s="422" t="s">
        <v>1953</v>
      </c>
      <c r="V3207" s="422" t="s">
        <v>2813</v>
      </c>
    </row>
    <row r="3208" spans="1:22" ht="15.75" thickBot="1" x14ac:dyDescent="0.3">
      <c r="A3208" t="s">
        <v>1910</v>
      </c>
      <c r="B3208" t="s">
        <v>1910</v>
      </c>
      <c r="C3208" s="82" t="s">
        <v>1910</v>
      </c>
      <c r="D3208" s="83" t="s">
        <v>629</v>
      </c>
      <c r="E3208" s="251" t="s">
        <v>1951</v>
      </c>
      <c r="F3208" s="124" t="s">
        <v>620</v>
      </c>
      <c r="G3208" s="125">
        <v>2021</v>
      </c>
      <c r="H3208" s="125" t="s">
        <v>733</v>
      </c>
      <c r="I3208" s="311" t="str">
        <f t="shared" si="128"/>
        <v>Pesado de Passageiros M3: I : Gasóleo : E6</v>
      </c>
      <c r="J3208" s="125">
        <v>109</v>
      </c>
      <c r="K3208" s="253">
        <v>2022</v>
      </c>
      <c r="L3208" s="129">
        <v>18754.372500000001</v>
      </c>
      <c r="M3208" s="85" t="s">
        <v>630</v>
      </c>
      <c r="N3208" s="128">
        <v>46023</v>
      </c>
      <c r="O3208" s="128">
        <f t="shared" si="127"/>
        <v>5016507</v>
      </c>
      <c r="P3208" s="380">
        <v>2306</v>
      </c>
      <c r="Q3208" s="85" t="s">
        <v>47</v>
      </c>
      <c r="R3208" s="214" t="s">
        <v>1869</v>
      </c>
      <c r="S3208" s="214" t="s">
        <v>1861</v>
      </c>
      <c r="T3208" s="85" t="s">
        <v>4189</v>
      </c>
      <c r="U3208" s="422" t="s">
        <v>1953</v>
      </c>
      <c r="V3208" s="422" t="s">
        <v>2813</v>
      </c>
    </row>
    <row r="3209" spans="1:22" ht="15.75" thickBot="1" x14ac:dyDescent="0.3">
      <c r="A3209" t="s">
        <v>1910</v>
      </c>
      <c r="B3209" t="s">
        <v>1910</v>
      </c>
      <c r="C3209" s="82" t="s">
        <v>1910</v>
      </c>
      <c r="D3209" s="83" t="s">
        <v>629</v>
      </c>
      <c r="E3209" s="251" t="s">
        <v>1951</v>
      </c>
      <c r="F3209" s="124" t="s">
        <v>620</v>
      </c>
      <c r="G3209" s="130">
        <v>2021</v>
      </c>
      <c r="H3209" s="125" t="s">
        <v>733</v>
      </c>
      <c r="I3209" s="311" t="str">
        <f t="shared" si="128"/>
        <v>Pesado de Passageiros M3: I : Gasóleo : E6</v>
      </c>
      <c r="J3209" s="125">
        <v>109</v>
      </c>
      <c r="K3209" s="253">
        <v>2022</v>
      </c>
      <c r="L3209" s="129">
        <v>7307.5415000000003</v>
      </c>
      <c r="M3209" s="85" t="s">
        <v>630</v>
      </c>
      <c r="N3209" s="128">
        <v>16135</v>
      </c>
      <c r="O3209" s="128">
        <f t="shared" si="127"/>
        <v>1758715</v>
      </c>
      <c r="P3209" s="125">
        <v>2502</v>
      </c>
      <c r="Q3209" s="85" t="s">
        <v>47</v>
      </c>
      <c r="R3209" s="214" t="s">
        <v>1869</v>
      </c>
      <c r="S3209" s="214" t="s">
        <v>1861</v>
      </c>
      <c r="T3209" s="85" t="s">
        <v>4190</v>
      </c>
      <c r="U3209" s="422" t="s">
        <v>1953</v>
      </c>
      <c r="V3209" s="422" t="s">
        <v>2813</v>
      </c>
    </row>
    <row r="3210" spans="1:22" ht="15.75" thickBot="1" x14ac:dyDescent="0.3">
      <c r="A3210" t="s">
        <v>1910</v>
      </c>
      <c r="B3210" t="s">
        <v>1910</v>
      </c>
      <c r="C3210" s="82" t="s">
        <v>1910</v>
      </c>
      <c r="D3210" s="83" t="s">
        <v>629</v>
      </c>
      <c r="E3210" s="251" t="s">
        <v>1951</v>
      </c>
      <c r="F3210" s="124" t="s">
        <v>620</v>
      </c>
      <c r="G3210" s="130"/>
      <c r="H3210" s="125" t="s">
        <v>733</v>
      </c>
      <c r="I3210" s="311" t="str">
        <f t="shared" si="128"/>
        <v>Pesado de Passageiros M3: I : Gasóleo : E6</v>
      </c>
      <c r="J3210" s="125"/>
      <c r="K3210" s="253">
        <v>2022</v>
      </c>
      <c r="L3210" s="85">
        <v>107.52</v>
      </c>
      <c r="M3210" s="85" t="s">
        <v>630</v>
      </c>
      <c r="N3210" s="128">
        <v>256</v>
      </c>
      <c r="O3210" s="128">
        <f t="shared" si="127"/>
        <v>0</v>
      </c>
      <c r="P3210" s="125" t="s">
        <v>4409</v>
      </c>
      <c r="Q3210" s="85" t="s">
        <v>47</v>
      </c>
      <c r="R3210" s="214" t="s">
        <v>1869</v>
      </c>
      <c r="S3210" s="214" t="s">
        <v>1861</v>
      </c>
      <c r="T3210" s="85" t="s">
        <v>3390</v>
      </c>
      <c r="U3210" s="422" t="s">
        <v>1953</v>
      </c>
      <c r="V3210" s="422" t="s">
        <v>2813</v>
      </c>
    </row>
    <row r="3211" spans="1:22" ht="15.75" thickBot="1" x14ac:dyDescent="0.3">
      <c r="A3211" t="s">
        <v>1910</v>
      </c>
      <c r="B3211" t="s">
        <v>1910</v>
      </c>
      <c r="C3211" s="82" t="s">
        <v>1910</v>
      </c>
      <c r="D3211" s="83" t="s">
        <v>629</v>
      </c>
      <c r="E3211" s="251" t="s">
        <v>1951</v>
      </c>
      <c r="F3211" s="124" t="s">
        <v>620</v>
      </c>
      <c r="G3211" s="130"/>
      <c r="H3211" s="125" t="s">
        <v>733</v>
      </c>
      <c r="I3211" s="311" t="str">
        <f t="shared" si="128"/>
        <v>Pesado de Passageiros M3: I : Gasóleo : E6</v>
      </c>
      <c r="J3211" s="125"/>
      <c r="K3211" s="253">
        <v>2022</v>
      </c>
      <c r="L3211" s="242">
        <v>2696.9712</v>
      </c>
      <c r="M3211" s="85" t="s">
        <v>630</v>
      </c>
      <c r="N3211" s="128">
        <v>5350</v>
      </c>
      <c r="O3211" s="128">
        <f t="shared" si="127"/>
        <v>0</v>
      </c>
      <c r="P3211" s="125" t="s">
        <v>4410</v>
      </c>
      <c r="Q3211" s="85" t="s">
        <v>47</v>
      </c>
      <c r="R3211" s="214" t="s">
        <v>1869</v>
      </c>
      <c r="S3211" s="214" t="s">
        <v>1861</v>
      </c>
      <c r="T3211" s="85" t="s">
        <v>4191</v>
      </c>
      <c r="U3211" s="422" t="s">
        <v>1953</v>
      </c>
      <c r="V3211" s="422" t="s">
        <v>2813</v>
      </c>
    </row>
    <row r="3212" spans="1:22" ht="15.75" thickBot="1" x14ac:dyDescent="0.3">
      <c r="A3212" t="s">
        <v>1910</v>
      </c>
      <c r="B3212" t="s">
        <v>1910</v>
      </c>
      <c r="C3212" s="82" t="s">
        <v>1910</v>
      </c>
      <c r="D3212" s="83" t="s">
        <v>629</v>
      </c>
      <c r="E3212" s="251" t="s">
        <v>1951</v>
      </c>
      <c r="F3212" s="124" t="s">
        <v>620</v>
      </c>
      <c r="G3212" s="130">
        <v>2022</v>
      </c>
      <c r="H3212" s="125" t="s">
        <v>733</v>
      </c>
      <c r="I3212" s="311" t="str">
        <f t="shared" si="128"/>
        <v>Pesado de Passageiros M3: I : Gasóleo : E6</v>
      </c>
      <c r="J3212" s="125">
        <v>109</v>
      </c>
      <c r="K3212" s="253">
        <v>2022</v>
      </c>
      <c r="L3212" s="129">
        <v>11366.308800000001</v>
      </c>
      <c r="M3212" s="85" t="s">
        <v>630</v>
      </c>
      <c r="N3212" s="128">
        <v>25326</v>
      </c>
      <c r="O3212" s="128">
        <f t="shared" si="127"/>
        <v>2760534</v>
      </c>
      <c r="P3212" s="125">
        <v>2527</v>
      </c>
      <c r="Q3212" s="85" t="s">
        <v>47</v>
      </c>
      <c r="R3212" s="214" t="s">
        <v>1869</v>
      </c>
      <c r="S3212" s="214" t="s">
        <v>1861</v>
      </c>
      <c r="T3212" s="85" t="s">
        <v>4191</v>
      </c>
      <c r="U3212" s="422" t="s">
        <v>1953</v>
      </c>
      <c r="V3212" s="422" t="s">
        <v>2813</v>
      </c>
    </row>
    <row r="3213" spans="1:22" ht="15.75" thickBot="1" x14ac:dyDescent="0.3">
      <c r="A3213" t="s">
        <v>1910</v>
      </c>
      <c r="B3213" t="s">
        <v>1910</v>
      </c>
      <c r="C3213" s="82" t="s">
        <v>1910</v>
      </c>
      <c r="D3213" s="83" t="s">
        <v>629</v>
      </c>
      <c r="E3213" s="251" t="s">
        <v>1951</v>
      </c>
      <c r="F3213" s="124" t="s">
        <v>620</v>
      </c>
      <c r="G3213" s="130"/>
      <c r="H3213" s="125" t="s">
        <v>733</v>
      </c>
      <c r="I3213" s="311" t="str">
        <f t="shared" si="128"/>
        <v>Pesado de Passageiros M3: I : Gasóleo : E6</v>
      </c>
      <c r="J3213" s="125"/>
      <c r="K3213" s="253">
        <v>2022</v>
      </c>
      <c r="L3213" s="242">
        <v>2521.3543000000009</v>
      </c>
      <c r="M3213" s="85" t="s">
        <v>630</v>
      </c>
      <c r="N3213" s="128">
        <v>5149</v>
      </c>
      <c r="O3213" s="128">
        <f t="shared" si="127"/>
        <v>0</v>
      </c>
      <c r="P3213" s="125" t="s">
        <v>4411</v>
      </c>
      <c r="Q3213" s="85" t="s">
        <v>47</v>
      </c>
      <c r="R3213" s="214" t="s">
        <v>1869</v>
      </c>
      <c r="S3213" s="214" t="s">
        <v>1861</v>
      </c>
      <c r="T3213" s="85" t="s">
        <v>4192</v>
      </c>
      <c r="U3213" s="422" t="s">
        <v>1953</v>
      </c>
      <c r="V3213" s="422" t="s">
        <v>2813</v>
      </c>
    </row>
    <row r="3214" spans="1:22" ht="15.75" thickBot="1" x14ac:dyDescent="0.3">
      <c r="A3214" t="s">
        <v>1910</v>
      </c>
      <c r="B3214" t="s">
        <v>1910</v>
      </c>
      <c r="C3214" s="82" t="s">
        <v>1910</v>
      </c>
      <c r="D3214" s="83" t="s">
        <v>629</v>
      </c>
      <c r="E3214" s="251" t="s">
        <v>1951</v>
      </c>
      <c r="F3214" s="124" t="s">
        <v>620</v>
      </c>
      <c r="G3214" s="130">
        <v>2022</v>
      </c>
      <c r="H3214" s="125" t="s">
        <v>733</v>
      </c>
      <c r="I3214" s="311" t="str">
        <f t="shared" si="128"/>
        <v>Pesado de Passageiros M3: I : Gasóleo : E6</v>
      </c>
      <c r="J3214" s="125">
        <v>109</v>
      </c>
      <c r="K3214" s="253">
        <v>2022</v>
      </c>
      <c r="L3214" s="129">
        <v>13557.215699999999</v>
      </c>
      <c r="M3214" s="85" t="s">
        <v>630</v>
      </c>
      <c r="N3214" s="128">
        <v>30309</v>
      </c>
      <c r="O3214" s="128">
        <f t="shared" si="127"/>
        <v>3303681</v>
      </c>
      <c r="P3214" s="125">
        <v>2528</v>
      </c>
      <c r="Q3214" s="85" t="s">
        <v>47</v>
      </c>
      <c r="R3214" s="214" t="s">
        <v>1869</v>
      </c>
      <c r="S3214" s="214" t="s">
        <v>1861</v>
      </c>
      <c r="T3214" s="85" t="s">
        <v>4192</v>
      </c>
      <c r="U3214" s="422" t="s">
        <v>1953</v>
      </c>
      <c r="V3214" s="422" t="s">
        <v>2813</v>
      </c>
    </row>
    <row r="3215" spans="1:22" ht="15.75" thickBot="1" x14ac:dyDescent="0.3">
      <c r="A3215" t="s">
        <v>1910</v>
      </c>
      <c r="B3215" t="s">
        <v>1910</v>
      </c>
      <c r="C3215" s="82" t="s">
        <v>1910</v>
      </c>
      <c r="D3215" s="83" t="s">
        <v>629</v>
      </c>
      <c r="E3215" s="251" t="s">
        <v>1951</v>
      </c>
      <c r="F3215" s="124" t="s">
        <v>620</v>
      </c>
      <c r="G3215" s="125">
        <v>2022</v>
      </c>
      <c r="H3215" s="125" t="s">
        <v>733</v>
      </c>
      <c r="I3215" s="311" t="str">
        <f t="shared" si="128"/>
        <v>Pesado de Passageiros M3: I : Gasóleo : E6</v>
      </c>
      <c r="J3215" s="125">
        <v>109</v>
      </c>
      <c r="K3215" s="253">
        <v>2022</v>
      </c>
      <c r="L3215" s="129">
        <v>18566.570399999997</v>
      </c>
      <c r="M3215" s="85" t="s">
        <v>630</v>
      </c>
      <c r="N3215" s="128">
        <v>51204</v>
      </c>
      <c r="O3215" s="128">
        <f t="shared" si="127"/>
        <v>5581236</v>
      </c>
      <c r="P3215" s="380">
        <v>2316</v>
      </c>
      <c r="Q3215" s="85" t="s">
        <v>47</v>
      </c>
      <c r="R3215" s="214" t="s">
        <v>1869</v>
      </c>
      <c r="S3215" s="214" t="s">
        <v>1861</v>
      </c>
      <c r="T3215" s="85" t="s">
        <v>4193</v>
      </c>
      <c r="U3215" s="422" t="s">
        <v>1953</v>
      </c>
      <c r="V3215" s="422" t="s">
        <v>2813</v>
      </c>
    </row>
    <row r="3216" spans="1:22" ht="15.75" thickBot="1" x14ac:dyDescent="0.3">
      <c r="A3216" t="s">
        <v>1910</v>
      </c>
      <c r="B3216" t="s">
        <v>1910</v>
      </c>
      <c r="C3216" s="82" t="s">
        <v>1910</v>
      </c>
      <c r="D3216" s="83" t="s">
        <v>629</v>
      </c>
      <c r="E3216" s="251" t="s">
        <v>1951</v>
      </c>
      <c r="F3216" s="124" t="s">
        <v>620</v>
      </c>
      <c r="G3216" s="125">
        <v>2022</v>
      </c>
      <c r="H3216" s="125" t="s">
        <v>733</v>
      </c>
      <c r="I3216" s="311" t="str">
        <f t="shared" si="128"/>
        <v>Pesado de Passageiros M3: I : Gasóleo : E6</v>
      </c>
      <c r="J3216" s="125">
        <v>109</v>
      </c>
      <c r="K3216" s="253">
        <v>2022</v>
      </c>
      <c r="L3216" s="129">
        <v>19295.9856</v>
      </c>
      <c r="M3216" s="85" t="s">
        <v>630</v>
      </c>
      <c r="N3216" s="128">
        <v>50566</v>
      </c>
      <c r="O3216" s="128">
        <f t="shared" si="127"/>
        <v>5511694</v>
      </c>
      <c r="P3216" s="380">
        <v>2315</v>
      </c>
      <c r="Q3216" s="85" t="s">
        <v>47</v>
      </c>
      <c r="R3216" s="214" t="s">
        <v>1869</v>
      </c>
      <c r="S3216" s="214" t="s">
        <v>1861</v>
      </c>
      <c r="T3216" s="85" t="s">
        <v>4194</v>
      </c>
      <c r="U3216" s="422" t="s">
        <v>1953</v>
      </c>
      <c r="V3216" s="422" t="s">
        <v>2813</v>
      </c>
    </row>
    <row r="3217" spans="1:22" ht="15.75" thickBot="1" x14ac:dyDescent="0.3">
      <c r="A3217" t="s">
        <v>1910</v>
      </c>
      <c r="B3217" t="s">
        <v>1910</v>
      </c>
      <c r="C3217" s="82" t="s">
        <v>1910</v>
      </c>
      <c r="D3217" s="83" t="s">
        <v>629</v>
      </c>
      <c r="E3217" s="251" t="s">
        <v>1951</v>
      </c>
      <c r="F3217" s="124" t="s">
        <v>620</v>
      </c>
      <c r="G3217" s="130"/>
      <c r="H3217" s="125" t="s">
        <v>733</v>
      </c>
      <c r="I3217" s="311" t="str">
        <f t="shared" si="128"/>
        <v>Pesado de Passageiros M3: I : Gasóleo : E6</v>
      </c>
      <c r="J3217" s="125"/>
      <c r="K3217" s="253">
        <v>2022</v>
      </c>
      <c r="L3217" s="283">
        <v>2688.2893999999997</v>
      </c>
      <c r="M3217" s="85" t="s">
        <v>630</v>
      </c>
      <c r="N3217" s="128">
        <v>5776</v>
      </c>
      <c r="O3217" s="128">
        <f t="shared" si="127"/>
        <v>0</v>
      </c>
      <c r="P3217" s="125" t="s">
        <v>4412</v>
      </c>
      <c r="Q3217" s="85" t="s">
        <v>47</v>
      </c>
      <c r="R3217" s="214" t="s">
        <v>1869</v>
      </c>
      <c r="S3217" s="214" t="s">
        <v>1861</v>
      </c>
      <c r="T3217" s="85" t="s">
        <v>4195</v>
      </c>
      <c r="U3217" s="422" t="s">
        <v>1953</v>
      </c>
      <c r="V3217" s="422" t="s">
        <v>2813</v>
      </c>
    </row>
    <row r="3218" spans="1:22" ht="15.75" thickBot="1" x14ac:dyDescent="0.3">
      <c r="A3218" t="s">
        <v>1910</v>
      </c>
      <c r="B3218" t="s">
        <v>1910</v>
      </c>
      <c r="C3218" s="82" t="s">
        <v>1910</v>
      </c>
      <c r="D3218" s="83" t="s">
        <v>629</v>
      </c>
      <c r="E3218" s="251" t="s">
        <v>1951</v>
      </c>
      <c r="F3218" s="124" t="s">
        <v>620</v>
      </c>
      <c r="G3218" s="130">
        <v>2022</v>
      </c>
      <c r="H3218" s="125" t="s">
        <v>733</v>
      </c>
      <c r="I3218" s="311" t="str">
        <f t="shared" si="128"/>
        <v>Pesado de Passageiros M3: I : Gasóleo : E6</v>
      </c>
      <c r="J3218" s="125">
        <v>109</v>
      </c>
      <c r="K3218" s="253">
        <v>2022</v>
      </c>
      <c r="L3218" s="129">
        <v>12471.240600000001</v>
      </c>
      <c r="M3218" s="85" t="s">
        <v>630</v>
      </c>
      <c r="N3218" s="128">
        <v>28782</v>
      </c>
      <c r="O3218" s="128">
        <f t="shared" si="127"/>
        <v>3137238</v>
      </c>
      <c r="P3218" s="125">
        <v>2529</v>
      </c>
      <c r="Q3218" s="85" t="s">
        <v>47</v>
      </c>
      <c r="R3218" s="214" t="s">
        <v>1869</v>
      </c>
      <c r="S3218" s="214" t="s">
        <v>1861</v>
      </c>
      <c r="T3218" s="85" t="s">
        <v>4195</v>
      </c>
      <c r="U3218" s="422" t="s">
        <v>1953</v>
      </c>
      <c r="V3218" s="422" t="s">
        <v>2813</v>
      </c>
    </row>
    <row r="3219" spans="1:22" ht="15.75" thickBot="1" x14ac:dyDescent="0.3">
      <c r="A3219" t="s">
        <v>1910</v>
      </c>
      <c r="B3219" t="s">
        <v>1910</v>
      </c>
      <c r="C3219" s="82" t="s">
        <v>1910</v>
      </c>
      <c r="D3219" s="83" t="s">
        <v>629</v>
      </c>
      <c r="E3219" s="251" t="s">
        <v>1951</v>
      </c>
      <c r="F3219" s="124" t="s">
        <v>620</v>
      </c>
      <c r="G3219" s="125">
        <v>2022</v>
      </c>
      <c r="H3219" s="125" t="s">
        <v>733</v>
      </c>
      <c r="I3219" s="311" t="str">
        <f t="shared" si="128"/>
        <v>Pesado de Passageiros M3: I : Gasóleo : E6</v>
      </c>
      <c r="J3219" s="125">
        <v>109</v>
      </c>
      <c r="K3219" s="253">
        <v>2022</v>
      </c>
      <c r="L3219" s="129">
        <v>15775.504800000002</v>
      </c>
      <c r="M3219" s="85" t="s">
        <v>630</v>
      </c>
      <c r="N3219" s="128">
        <v>41646</v>
      </c>
      <c r="O3219" s="128">
        <f t="shared" si="127"/>
        <v>4539414</v>
      </c>
      <c r="P3219" s="380">
        <v>2314</v>
      </c>
      <c r="Q3219" s="85" t="s">
        <v>47</v>
      </c>
      <c r="R3219" s="214" t="s">
        <v>1869</v>
      </c>
      <c r="S3219" s="214" t="s">
        <v>1861</v>
      </c>
      <c r="T3219" s="85" t="s">
        <v>4196</v>
      </c>
      <c r="U3219" s="422" t="s">
        <v>1953</v>
      </c>
      <c r="V3219" s="422" t="s">
        <v>2813</v>
      </c>
    </row>
    <row r="3220" spans="1:22" ht="15.75" thickBot="1" x14ac:dyDescent="0.3">
      <c r="A3220" t="s">
        <v>1910</v>
      </c>
      <c r="B3220" t="s">
        <v>1910</v>
      </c>
      <c r="C3220" s="82" t="s">
        <v>1910</v>
      </c>
      <c r="D3220" s="83" t="s">
        <v>629</v>
      </c>
      <c r="E3220" s="251" t="s">
        <v>1951</v>
      </c>
      <c r="F3220" s="124" t="s">
        <v>620</v>
      </c>
      <c r="G3220" s="125">
        <v>2022</v>
      </c>
      <c r="H3220" s="125" t="s">
        <v>733</v>
      </c>
      <c r="I3220" s="311" t="str">
        <f t="shared" si="128"/>
        <v>Pesado de Passageiros M3: I : Gasóleo : E6</v>
      </c>
      <c r="J3220" s="125">
        <v>109</v>
      </c>
      <c r="K3220" s="253">
        <v>2022</v>
      </c>
      <c r="L3220" s="129">
        <v>18736.117399999999</v>
      </c>
      <c r="M3220" s="85" t="s">
        <v>630</v>
      </c>
      <c r="N3220" s="128">
        <v>44759</v>
      </c>
      <c r="O3220" s="128">
        <f t="shared" si="127"/>
        <v>4878731</v>
      </c>
      <c r="P3220" s="380">
        <v>2313</v>
      </c>
      <c r="Q3220" s="85" t="s">
        <v>47</v>
      </c>
      <c r="R3220" s="214" t="s">
        <v>1869</v>
      </c>
      <c r="S3220" s="214" t="s">
        <v>1861</v>
      </c>
      <c r="T3220" s="85" t="s">
        <v>4197</v>
      </c>
      <c r="U3220" s="422" t="s">
        <v>1953</v>
      </c>
      <c r="V3220" s="422" t="s">
        <v>2813</v>
      </c>
    </row>
    <row r="3221" spans="1:22" ht="15.75" thickBot="1" x14ac:dyDescent="0.3">
      <c r="A3221" t="s">
        <v>1910</v>
      </c>
      <c r="B3221" t="s">
        <v>1910</v>
      </c>
      <c r="C3221" s="82" t="s">
        <v>1910</v>
      </c>
      <c r="D3221" s="83" t="s">
        <v>629</v>
      </c>
      <c r="E3221" s="251" t="s">
        <v>1951</v>
      </c>
      <c r="F3221" s="124" t="s">
        <v>620</v>
      </c>
      <c r="G3221" s="130"/>
      <c r="H3221" s="125" t="s">
        <v>733</v>
      </c>
      <c r="I3221" s="311" t="str">
        <f t="shared" si="128"/>
        <v>Pesado de Passageiros M3: I : Gasóleo : E6</v>
      </c>
      <c r="J3221" s="125"/>
      <c r="K3221" s="253">
        <v>2022</v>
      </c>
      <c r="L3221" s="242">
        <v>3001.0135999999984</v>
      </c>
      <c r="M3221" s="85" t="s">
        <v>630</v>
      </c>
      <c r="N3221" s="128">
        <v>5758</v>
      </c>
      <c r="O3221" s="128">
        <f t="shared" si="127"/>
        <v>0</v>
      </c>
      <c r="P3221" s="125" t="s">
        <v>4413</v>
      </c>
      <c r="Q3221" s="85" t="s">
        <v>47</v>
      </c>
      <c r="R3221" s="214" t="s">
        <v>1869</v>
      </c>
      <c r="S3221" s="214" t="s">
        <v>1861</v>
      </c>
      <c r="T3221" s="85" t="s">
        <v>4198</v>
      </c>
      <c r="U3221" s="422" t="s">
        <v>1953</v>
      </c>
      <c r="V3221" s="422" t="s">
        <v>2813</v>
      </c>
    </row>
    <row r="3222" spans="1:22" ht="15.75" thickBot="1" x14ac:dyDescent="0.3">
      <c r="A3222" t="s">
        <v>1910</v>
      </c>
      <c r="B3222" t="s">
        <v>1910</v>
      </c>
      <c r="C3222" s="82" t="s">
        <v>1910</v>
      </c>
      <c r="D3222" s="83" t="s">
        <v>629</v>
      </c>
      <c r="E3222" s="251" t="s">
        <v>1951</v>
      </c>
      <c r="F3222" s="124" t="s">
        <v>620</v>
      </c>
      <c r="G3222" s="130">
        <v>2022</v>
      </c>
      <c r="H3222" s="125" t="s">
        <v>733</v>
      </c>
      <c r="I3222" s="311" t="str">
        <f t="shared" si="128"/>
        <v>Pesado de Passageiros M3: I : Gasóleo : E6</v>
      </c>
      <c r="J3222" s="125">
        <v>109</v>
      </c>
      <c r="K3222" s="253">
        <v>2022</v>
      </c>
      <c r="L3222" s="129">
        <v>13743.896400000001</v>
      </c>
      <c r="M3222" s="85" t="s">
        <v>630</v>
      </c>
      <c r="N3222" s="128">
        <v>33246</v>
      </c>
      <c r="O3222" s="128">
        <f t="shared" si="127"/>
        <v>3623814</v>
      </c>
      <c r="P3222" s="125">
        <v>2530</v>
      </c>
      <c r="Q3222" s="85" t="s">
        <v>47</v>
      </c>
      <c r="R3222" s="214" t="s">
        <v>1869</v>
      </c>
      <c r="S3222" s="214" t="s">
        <v>1861</v>
      </c>
      <c r="T3222" s="85" t="s">
        <v>4198</v>
      </c>
      <c r="U3222" s="422" t="s">
        <v>1953</v>
      </c>
      <c r="V3222" s="422" t="s">
        <v>2813</v>
      </c>
    </row>
    <row r="3223" spans="1:22" ht="15.75" thickBot="1" x14ac:dyDescent="0.3">
      <c r="A3223" t="s">
        <v>1910</v>
      </c>
      <c r="B3223" t="s">
        <v>1910</v>
      </c>
      <c r="C3223" s="82" t="s">
        <v>1910</v>
      </c>
      <c r="D3223" s="83" t="s">
        <v>629</v>
      </c>
      <c r="E3223" s="251" t="s">
        <v>1951</v>
      </c>
      <c r="F3223" s="124" t="s">
        <v>620</v>
      </c>
      <c r="G3223" s="125">
        <v>2022</v>
      </c>
      <c r="H3223" s="125" t="s">
        <v>733</v>
      </c>
      <c r="I3223" s="311" t="str">
        <f t="shared" si="128"/>
        <v>Pesado de Passageiros M3: I : Gasóleo : E6</v>
      </c>
      <c r="J3223" s="125">
        <v>109</v>
      </c>
      <c r="K3223" s="253">
        <v>2022</v>
      </c>
      <c r="L3223" s="129">
        <v>19814.580000000002</v>
      </c>
      <c r="M3223" s="85" t="s">
        <v>630</v>
      </c>
      <c r="N3223" s="128">
        <v>49290</v>
      </c>
      <c r="O3223" s="128">
        <f t="shared" si="127"/>
        <v>5372610</v>
      </c>
      <c r="P3223" s="380">
        <v>2312</v>
      </c>
      <c r="Q3223" s="85" t="s">
        <v>47</v>
      </c>
      <c r="R3223" s="214" t="s">
        <v>1869</v>
      </c>
      <c r="S3223" s="214" t="s">
        <v>1861</v>
      </c>
      <c r="T3223" s="85" t="s">
        <v>4199</v>
      </c>
      <c r="U3223" s="422" t="s">
        <v>1953</v>
      </c>
      <c r="V3223" s="422" t="s">
        <v>2813</v>
      </c>
    </row>
    <row r="3224" spans="1:22" ht="15.75" thickBot="1" x14ac:dyDescent="0.3">
      <c r="A3224" t="s">
        <v>1910</v>
      </c>
      <c r="B3224" t="s">
        <v>1910</v>
      </c>
      <c r="C3224" s="82" t="s">
        <v>1910</v>
      </c>
      <c r="D3224" s="83" t="s">
        <v>629</v>
      </c>
      <c r="E3224" s="251" t="s">
        <v>1951</v>
      </c>
      <c r="F3224" s="124" t="s">
        <v>620</v>
      </c>
      <c r="G3224" s="130"/>
      <c r="H3224" s="125" t="s">
        <v>733</v>
      </c>
      <c r="I3224" s="311" t="str">
        <f t="shared" si="128"/>
        <v>Pesado de Passageiros M3: I : Gasóleo : E6</v>
      </c>
      <c r="J3224" s="125"/>
      <c r="K3224" s="253">
        <v>2022</v>
      </c>
      <c r="L3224" s="242">
        <v>2673.6269000000029</v>
      </c>
      <c r="M3224" s="85" t="s">
        <v>630</v>
      </c>
      <c r="N3224" s="128">
        <v>5147</v>
      </c>
      <c r="O3224" s="128">
        <f t="shared" si="127"/>
        <v>0</v>
      </c>
      <c r="P3224" s="125" t="s">
        <v>4414</v>
      </c>
      <c r="Q3224" s="85" t="s">
        <v>47</v>
      </c>
      <c r="R3224" s="214" t="s">
        <v>1869</v>
      </c>
      <c r="S3224" s="214" t="s">
        <v>1861</v>
      </c>
      <c r="T3224" s="85" t="s">
        <v>4200</v>
      </c>
      <c r="U3224" s="422" t="s">
        <v>1953</v>
      </c>
      <c r="V3224" s="422" t="s">
        <v>2813</v>
      </c>
    </row>
    <row r="3225" spans="1:22" ht="15.75" thickBot="1" x14ac:dyDescent="0.3">
      <c r="A3225" t="s">
        <v>1910</v>
      </c>
      <c r="B3225" t="s">
        <v>1910</v>
      </c>
      <c r="C3225" s="82" t="s">
        <v>1910</v>
      </c>
      <c r="D3225" s="83" t="s">
        <v>629</v>
      </c>
      <c r="E3225" s="251" t="s">
        <v>1951</v>
      </c>
      <c r="F3225" s="124" t="s">
        <v>620</v>
      </c>
      <c r="G3225" s="130">
        <v>2022</v>
      </c>
      <c r="H3225" s="125" t="s">
        <v>733</v>
      </c>
      <c r="I3225" s="311" t="str">
        <f t="shared" si="128"/>
        <v>Pesado de Passageiros M3: I : Gasóleo : E6</v>
      </c>
      <c r="J3225" s="125">
        <v>109</v>
      </c>
      <c r="K3225" s="253">
        <v>2022</v>
      </c>
      <c r="L3225" s="129">
        <v>14441.393099999998</v>
      </c>
      <c r="M3225" s="85" t="s">
        <v>630</v>
      </c>
      <c r="N3225" s="128">
        <v>34197</v>
      </c>
      <c r="O3225" s="128">
        <f t="shared" si="127"/>
        <v>3727473</v>
      </c>
      <c r="P3225" s="125">
        <v>2525</v>
      </c>
      <c r="Q3225" s="85" t="s">
        <v>47</v>
      </c>
      <c r="R3225" s="214" t="s">
        <v>1869</v>
      </c>
      <c r="S3225" s="214" t="s">
        <v>1861</v>
      </c>
      <c r="T3225" s="85" t="s">
        <v>4200</v>
      </c>
      <c r="U3225" s="422" t="s">
        <v>1953</v>
      </c>
      <c r="V3225" s="422" t="s">
        <v>2813</v>
      </c>
    </row>
    <row r="3226" spans="1:22" ht="15.75" thickBot="1" x14ac:dyDescent="0.3">
      <c r="A3226" t="s">
        <v>1910</v>
      </c>
      <c r="B3226" t="s">
        <v>1910</v>
      </c>
      <c r="C3226" s="82" t="s">
        <v>1910</v>
      </c>
      <c r="D3226" s="83" t="s">
        <v>629</v>
      </c>
      <c r="E3226" s="251" t="s">
        <v>1951</v>
      </c>
      <c r="F3226" s="124" t="s">
        <v>620</v>
      </c>
      <c r="G3226" s="125">
        <v>2022</v>
      </c>
      <c r="H3226" s="125" t="s">
        <v>733</v>
      </c>
      <c r="I3226" s="311" t="str">
        <f t="shared" si="128"/>
        <v>Pesado de Passageiros M3: I : Gasóleo : E6</v>
      </c>
      <c r="J3226" s="125">
        <v>109</v>
      </c>
      <c r="K3226" s="253">
        <v>2022</v>
      </c>
      <c r="L3226" s="129">
        <v>20052.485099999998</v>
      </c>
      <c r="M3226" s="85" t="s">
        <v>630</v>
      </c>
      <c r="N3226" s="128">
        <v>47529</v>
      </c>
      <c r="O3226" s="128">
        <f t="shared" si="127"/>
        <v>5180661</v>
      </c>
      <c r="P3226" s="380">
        <v>2311</v>
      </c>
      <c r="Q3226" s="85" t="s">
        <v>47</v>
      </c>
      <c r="R3226" s="214" t="s">
        <v>1869</v>
      </c>
      <c r="S3226" s="214" t="s">
        <v>1861</v>
      </c>
      <c r="T3226" s="85" t="s">
        <v>4201</v>
      </c>
      <c r="U3226" s="422" t="s">
        <v>1953</v>
      </c>
      <c r="V3226" s="422" t="s">
        <v>2813</v>
      </c>
    </row>
    <row r="3227" spans="1:22" ht="15.75" thickBot="1" x14ac:dyDescent="0.3">
      <c r="A3227" t="s">
        <v>1910</v>
      </c>
      <c r="B3227" t="s">
        <v>1910</v>
      </c>
      <c r="C3227" s="82" t="s">
        <v>1910</v>
      </c>
      <c r="D3227" s="83" t="s">
        <v>629</v>
      </c>
      <c r="E3227" s="251" t="s">
        <v>1951</v>
      </c>
      <c r="F3227" s="124" t="s">
        <v>620</v>
      </c>
      <c r="G3227" s="130"/>
      <c r="H3227" s="125" t="s">
        <v>733</v>
      </c>
      <c r="I3227" s="311" t="str">
        <f t="shared" si="128"/>
        <v>Pesado de Passageiros M3: I : Gasóleo : E6</v>
      </c>
      <c r="J3227" s="125"/>
      <c r="K3227" s="253">
        <v>2022</v>
      </c>
      <c r="L3227" s="242">
        <v>2747.6538</v>
      </c>
      <c r="M3227" s="85" t="s">
        <v>630</v>
      </c>
      <c r="N3227" s="128">
        <v>6162</v>
      </c>
      <c r="O3227" s="128">
        <f t="shared" si="127"/>
        <v>0</v>
      </c>
      <c r="P3227" s="125" t="s">
        <v>4415</v>
      </c>
      <c r="Q3227" s="85" t="s">
        <v>47</v>
      </c>
      <c r="R3227" s="214" t="s">
        <v>1869</v>
      </c>
      <c r="S3227" s="214" t="s">
        <v>1861</v>
      </c>
      <c r="T3227" s="85" t="s">
        <v>4202</v>
      </c>
      <c r="U3227" s="422" t="s">
        <v>1953</v>
      </c>
      <c r="V3227" s="422" t="s">
        <v>2813</v>
      </c>
    </row>
    <row r="3228" spans="1:22" ht="15.75" thickBot="1" x14ac:dyDescent="0.3">
      <c r="A3228" t="s">
        <v>1910</v>
      </c>
      <c r="B3228" t="s">
        <v>1910</v>
      </c>
      <c r="C3228" s="82" t="s">
        <v>1910</v>
      </c>
      <c r="D3228" s="83" t="s">
        <v>629</v>
      </c>
      <c r="E3228" s="251" t="s">
        <v>1951</v>
      </c>
      <c r="F3228" s="124" t="s">
        <v>620</v>
      </c>
      <c r="G3228" s="130">
        <v>2022</v>
      </c>
      <c r="H3228" s="125" t="s">
        <v>733</v>
      </c>
      <c r="I3228" s="311" t="str">
        <f t="shared" si="128"/>
        <v>Pesado de Passageiros M3: I : Gasóleo : E6</v>
      </c>
      <c r="J3228" s="125">
        <v>109</v>
      </c>
      <c r="K3228" s="253">
        <v>2022</v>
      </c>
      <c r="L3228" s="129">
        <v>11390.566199999999</v>
      </c>
      <c r="M3228" s="85" t="s">
        <v>630</v>
      </c>
      <c r="N3228" s="128">
        <v>25923</v>
      </c>
      <c r="O3228" s="128">
        <f t="shared" si="127"/>
        <v>2825607</v>
      </c>
      <c r="P3228" s="125">
        <v>2526</v>
      </c>
      <c r="Q3228" s="85" t="s">
        <v>47</v>
      </c>
      <c r="R3228" s="214" t="s">
        <v>1869</v>
      </c>
      <c r="S3228" s="214" t="s">
        <v>1861</v>
      </c>
      <c r="T3228" s="85" t="s">
        <v>4202</v>
      </c>
      <c r="U3228" s="422" t="s">
        <v>1953</v>
      </c>
      <c r="V3228" s="422" t="s">
        <v>2813</v>
      </c>
    </row>
    <row r="3229" spans="1:22" ht="15.75" thickBot="1" x14ac:dyDescent="0.3">
      <c r="A3229" t="s">
        <v>1910</v>
      </c>
      <c r="B3229" t="s">
        <v>1910</v>
      </c>
      <c r="C3229" s="82" t="s">
        <v>1910</v>
      </c>
      <c r="D3229" s="83" t="s">
        <v>629</v>
      </c>
      <c r="E3229" s="251" t="s">
        <v>1951</v>
      </c>
      <c r="F3229" s="124" t="s">
        <v>620</v>
      </c>
      <c r="G3229" s="130"/>
      <c r="H3229" s="125" t="s">
        <v>733</v>
      </c>
      <c r="I3229" s="311" t="str">
        <f t="shared" si="128"/>
        <v>Pesado de Passageiros M3: I : Gasóleo : E6</v>
      </c>
      <c r="J3229" s="125"/>
      <c r="K3229" s="253">
        <v>2022</v>
      </c>
      <c r="L3229" s="85">
        <v>222.42099999999999</v>
      </c>
      <c r="M3229" s="85" t="s">
        <v>630</v>
      </c>
      <c r="N3229" s="128">
        <v>485</v>
      </c>
      <c r="O3229" s="128">
        <f t="shared" si="127"/>
        <v>0</v>
      </c>
      <c r="P3229" s="125" t="s">
        <v>4416</v>
      </c>
      <c r="Q3229" s="85" t="s">
        <v>47</v>
      </c>
      <c r="R3229" s="214" t="s">
        <v>1869</v>
      </c>
      <c r="S3229" s="214" t="s">
        <v>1861</v>
      </c>
      <c r="T3229" s="85" t="s">
        <v>4203</v>
      </c>
      <c r="U3229" s="422" t="s">
        <v>1953</v>
      </c>
      <c r="V3229" s="422" t="s">
        <v>2813</v>
      </c>
    </row>
    <row r="3230" spans="1:22" ht="15.75" thickBot="1" x14ac:dyDescent="0.3">
      <c r="A3230" t="s">
        <v>1910</v>
      </c>
      <c r="B3230" t="s">
        <v>1910</v>
      </c>
      <c r="C3230" s="82" t="s">
        <v>1910</v>
      </c>
      <c r="D3230" s="83" t="s">
        <v>629</v>
      </c>
      <c r="E3230" s="251" t="s">
        <v>1951</v>
      </c>
      <c r="F3230" s="124" t="s">
        <v>620</v>
      </c>
      <c r="G3230" s="130"/>
      <c r="H3230" s="125" t="s">
        <v>733</v>
      </c>
      <c r="I3230" s="311" t="str">
        <f t="shared" si="128"/>
        <v>Pesado de Passageiros M3: I : Gasóleo : E6</v>
      </c>
      <c r="J3230" s="125"/>
      <c r="K3230" s="253">
        <v>2022</v>
      </c>
      <c r="L3230" s="85">
        <v>7.56</v>
      </c>
      <c r="M3230" s="85" t="s">
        <v>630</v>
      </c>
      <c r="N3230" s="128">
        <v>18</v>
      </c>
      <c r="O3230" s="128">
        <f t="shared" si="127"/>
        <v>0</v>
      </c>
      <c r="P3230" s="125" t="s">
        <v>4417</v>
      </c>
      <c r="Q3230" s="85" t="s">
        <v>47</v>
      </c>
      <c r="R3230" s="214" t="s">
        <v>1869</v>
      </c>
      <c r="S3230" s="214" t="s">
        <v>1861</v>
      </c>
      <c r="T3230" s="85" t="s">
        <v>4204</v>
      </c>
      <c r="U3230" s="422" t="s">
        <v>1953</v>
      </c>
      <c r="V3230" s="422" t="s">
        <v>2813</v>
      </c>
    </row>
    <row r="3231" spans="1:22" ht="15.75" thickBot="1" x14ac:dyDescent="0.3">
      <c r="A3231" t="s">
        <v>1910</v>
      </c>
      <c r="B3231" t="s">
        <v>1910</v>
      </c>
      <c r="C3231" s="82" t="s">
        <v>1910</v>
      </c>
      <c r="D3231" s="83" t="s">
        <v>629</v>
      </c>
      <c r="E3231" s="251" t="s">
        <v>1951</v>
      </c>
      <c r="F3231" s="124" t="s">
        <v>620</v>
      </c>
      <c r="G3231" s="130"/>
      <c r="H3231" s="125" t="s">
        <v>733</v>
      </c>
      <c r="I3231" s="311" t="str">
        <f t="shared" si="128"/>
        <v>Pesado de Passageiros M3: I : Gasóleo : E6</v>
      </c>
      <c r="J3231" s="125"/>
      <c r="K3231" s="253">
        <v>2022</v>
      </c>
      <c r="L3231" s="85">
        <v>324.71370000000002</v>
      </c>
      <c r="M3231" s="85" t="s">
        <v>630</v>
      </c>
      <c r="N3231" s="128">
        <v>711</v>
      </c>
      <c r="O3231" s="128">
        <f t="shared" si="127"/>
        <v>0</v>
      </c>
      <c r="P3231" s="125" t="s">
        <v>4418</v>
      </c>
      <c r="Q3231" s="85" t="s">
        <v>47</v>
      </c>
      <c r="R3231" s="214" t="s">
        <v>1869</v>
      </c>
      <c r="S3231" s="214" t="s">
        <v>1861</v>
      </c>
      <c r="T3231" s="85" t="s">
        <v>4205</v>
      </c>
      <c r="U3231" s="422" t="s">
        <v>1953</v>
      </c>
      <c r="V3231" s="422" t="s">
        <v>2813</v>
      </c>
    </row>
    <row r="3232" spans="1:22" ht="15.75" thickBot="1" x14ac:dyDescent="0.3">
      <c r="A3232" t="s">
        <v>1910</v>
      </c>
      <c r="B3232" t="s">
        <v>1910</v>
      </c>
      <c r="C3232" s="82" t="s">
        <v>1910</v>
      </c>
      <c r="D3232" s="83" t="s">
        <v>629</v>
      </c>
      <c r="E3232" s="251" t="s">
        <v>1951</v>
      </c>
      <c r="F3232" s="124" t="s">
        <v>620</v>
      </c>
      <c r="G3232" s="130"/>
      <c r="H3232" s="125" t="s">
        <v>733</v>
      </c>
      <c r="I3232" s="311" t="str">
        <f t="shared" si="128"/>
        <v>Pesado de Passageiros M3: I : Gasóleo : E6</v>
      </c>
      <c r="J3232" s="125"/>
      <c r="K3232" s="253">
        <v>2022</v>
      </c>
      <c r="L3232" s="85">
        <v>88.62</v>
      </c>
      <c r="M3232" s="85" t="s">
        <v>630</v>
      </c>
      <c r="N3232" s="128">
        <v>211</v>
      </c>
      <c r="O3232" s="128">
        <f t="shared" si="127"/>
        <v>0</v>
      </c>
      <c r="P3232" s="125" t="s">
        <v>4419</v>
      </c>
      <c r="Q3232" s="85" t="s">
        <v>47</v>
      </c>
      <c r="R3232" s="214" t="s">
        <v>1869</v>
      </c>
      <c r="S3232" s="214" t="s">
        <v>1861</v>
      </c>
      <c r="T3232" s="85" t="s">
        <v>3392</v>
      </c>
      <c r="U3232" s="422" t="s">
        <v>1953</v>
      </c>
      <c r="V3232" s="422" t="s">
        <v>2813</v>
      </c>
    </row>
    <row r="3233" spans="1:22" ht="15.75" thickBot="1" x14ac:dyDescent="0.3">
      <c r="A3233" t="s">
        <v>1910</v>
      </c>
      <c r="B3233" t="s">
        <v>1910</v>
      </c>
      <c r="C3233" s="82" t="s">
        <v>1910</v>
      </c>
      <c r="D3233" s="83" t="s">
        <v>629</v>
      </c>
      <c r="E3233" s="251" t="s">
        <v>1951</v>
      </c>
      <c r="F3233" s="124" t="s">
        <v>620</v>
      </c>
      <c r="G3233" s="130"/>
      <c r="H3233" s="125" t="s">
        <v>733</v>
      </c>
      <c r="I3233" s="311" t="str">
        <f t="shared" si="128"/>
        <v>Pesado de Passageiros M3: I : Gasóleo : E6</v>
      </c>
      <c r="J3233" s="125"/>
      <c r="K3233" s="253">
        <v>2022</v>
      </c>
      <c r="L3233" s="85">
        <v>117.0395</v>
      </c>
      <c r="M3233" s="85" t="s">
        <v>630</v>
      </c>
      <c r="N3233" s="128">
        <v>745</v>
      </c>
      <c r="O3233" s="128">
        <f t="shared" si="127"/>
        <v>0</v>
      </c>
      <c r="P3233" s="125" t="s">
        <v>4420</v>
      </c>
      <c r="Q3233" s="85" t="s">
        <v>47</v>
      </c>
      <c r="R3233" s="214" t="s">
        <v>1869</v>
      </c>
      <c r="S3233" s="214" t="s">
        <v>1861</v>
      </c>
      <c r="T3233" s="85" t="s">
        <v>3381</v>
      </c>
      <c r="U3233" s="422" t="s">
        <v>1953</v>
      </c>
      <c r="V3233" s="422" t="s">
        <v>2813</v>
      </c>
    </row>
    <row r="3234" spans="1:22" ht="15.75" thickBot="1" x14ac:dyDescent="0.3">
      <c r="A3234" t="s">
        <v>1910</v>
      </c>
      <c r="B3234" t="s">
        <v>1910</v>
      </c>
      <c r="C3234" s="82" t="s">
        <v>1910</v>
      </c>
      <c r="D3234" s="83" t="s">
        <v>629</v>
      </c>
      <c r="E3234" s="251" t="s">
        <v>1951</v>
      </c>
      <c r="F3234" s="124" t="s">
        <v>620</v>
      </c>
      <c r="G3234" s="130"/>
      <c r="H3234" s="125" t="s">
        <v>733</v>
      </c>
      <c r="I3234" s="311" t="str">
        <f t="shared" si="128"/>
        <v>Pesado de Passageiros M3: I : Gasóleo : E6</v>
      </c>
      <c r="J3234" s="125"/>
      <c r="K3234" s="253">
        <v>2022</v>
      </c>
      <c r="L3234" s="85">
        <v>695.13149999999996</v>
      </c>
      <c r="M3234" s="85" t="s">
        <v>630</v>
      </c>
      <c r="N3234" s="128">
        <v>1673</v>
      </c>
      <c r="O3234" s="128">
        <f t="shared" si="127"/>
        <v>0</v>
      </c>
      <c r="P3234" s="125" t="s">
        <v>4421</v>
      </c>
      <c r="Q3234" s="85" t="s">
        <v>47</v>
      </c>
      <c r="R3234" s="214" t="s">
        <v>1869</v>
      </c>
      <c r="S3234" s="214" t="s">
        <v>1861</v>
      </c>
      <c r="T3234" s="85" t="s">
        <v>4206</v>
      </c>
      <c r="U3234" s="422" t="s">
        <v>1953</v>
      </c>
      <c r="V3234" s="422" t="s">
        <v>2813</v>
      </c>
    </row>
    <row r="3235" spans="1:22" ht="15.75" thickBot="1" x14ac:dyDescent="0.3">
      <c r="A3235" t="s">
        <v>1910</v>
      </c>
      <c r="B3235" t="s">
        <v>1910</v>
      </c>
      <c r="C3235" s="82" t="s">
        <v>1910</v>
      </c>
      <c r="D3235" s="83" t="s">
        <v>629</v>
      </c>
      <c r="E3235" s="251" t="s">
        <v>1951</v>
      </c>
      <c r="F3235" s="124" t="s">
        <v>620</v>
      </c>
      <c r="G3235" s="130"/>
      <c r="H3235" s="125" t="s">
        <v>733</v>
      </c>
      <c r="I3235" s="311" t="str">
        <f t="shared" si="128"/>
        <v>Pesado de Passageiros M3: I : Gasóleo : E6</v>
      </c>
      <c r="J3235" s="125"/>
      <c r="K3235" s="253">
        <v>2022</v>
      </c>
      <c r="L3235" s="85">
        <v>907.83</v>
      </c>
      <c r="M3235" s="85" t="s">
        <v>630</v>
      </c>
      <c r="N3235" s="128">
        <v>2310</v>
      </c>
      <c r="O3235" s="128">
        <f t="shared" si="127"/>
        <v>0</v>
      </c>
      <c r="P3235" s="125" t="s">
        <v>4422</v>
      </c>
      <c r="Q3235" s="85" t="s">
        <v>47</v>
      </c>
      <c r="R3235" s="214" t="s">
        <v>1869</v>
      </c>
      <c r="S3235" s="214" t="s">
        <v>1861</v>
      </c>
      <c r="T3235" s="85" t="s">
        <v>4207</v>
      </c>
      <c r="U3235" s="422" t="s">
        <v>1953</v>
      </c>
      <c r="V3235" s="422" t="s">
        <v>2813</v>
      </c>
    </row>
    <row r="3236" spans="1:22" ht="15.75" thickBot="1" x14ac:dyDescent="0.3">
      <c r="A3236" t="s">
        <v>1910</v>
      </c>
      <c r="B3236" t="s">
        <v>1910</v>
      </c>
      <c r="C3236" s="82" t="s">
        <v>1910</v>
      </c>
      <c r="D3236" s="83" t="s">
        <v>629</v>
      </c>
      <c r="E3236" s="251" t="s">
        <v>1951</v>
      </c>
      <c r="F3236" s="124" t="s">
        <v>620</v>
      </c>
      <c r="G3236" s="130"/>
      <c r="H3236" s="125" t="s">
        <v>733</v>
      </c>
      <c r="I3236" s="311" t="str">
        <f t="shared" si="128"/>
        <v>Pesado de Passageiros M3: I : Gasóleo : E6</v>
      </c>
      <c r="J3236" s="125"/>
      <c r="K3236" s="253">
        <v>2022</v>
      </c>
      <c r="L3236" s="85">
        <v>54.232200000000006</v>
      </c>
      <c r="M3236" s="85" t="s">
        <v>630</v>
      </c>
      <c r="N3236" s="128">
        <v>363</v>
      </c>
      <c r="O3236" s="128">
        <f t="shared" si="127"/>
        <v>0</v>
      </c>
      <c r="P3236" s="125" t="s">
        <v>4423</v>
      </c>
      <c r="Q3236" s="85" t="s">
        <v>47</v>
      </c>
      <c r="R3236" s="214" t="s">
        <v>1869</v>
      </c>
      <c r="S3236" s="214" t="s">
        <v>1861</v>
      </c>
      <c r="T3236" s="85" t="s">
        <v>3380</v>
      </c>
      <c r="U3236" s="422" t="s">
        <v>1953</v>
      </c>
      <c r="V3236" s="422" t="s">
        <v>2813</v>
      </c>
    </row>
    <row r="3237" spans="1:22" ht="15.75" thickBot="1" x14ac:dyDescent="0.3">
      <c r="A3237" t="s">
        <v>1910</v>
      </c>
      <c r="B3237" t="s">
        <v>1910</v>
      </c>
      <c r="C3237" s="82" t="s">
        <v>1910</v>
      </c>
      <c r="D3237" s="83" t="s">
        <v>629</v>
      </c>
      <c r="E3237" s="251" t="s">
        <v>1951</v>
      </c>
      <c r="F3237" s="124" t="s">
        <v>620</v>
      </c>
      <c r="G3237" s="130">
        <v>2022</v>
      </c>
      <c r="H3237" s="125" t="s">
        <v>733</v>
      </c>
      <c r="I3237" s="311" t="str">
        <f t="shared" si="128"/>
        <v>Pesado de Passageiros M3: I : Gasóleo : E6</v>
      </c>
      <c r="J3237" s="125">
        <v>89</v>
      </c>
      <c r="K3237" s="253">
        <v>2022</v>
      </c>
      <c r="L3237" s="129">
        <v>7976.2449999999999</v>
      </c>
      <c r="M3237" s="85" t="s">
        <v>630</v>
      </c>
      <c r="N3237" s="128">
        <v>20270</v>
      </c>
      <c r="O3237" s="128">
        <f t="shared" si="127"/>
        <v>1804030</v>
      </c>
      <c r="P3237" s="125">
        <v>2701</v>
      </c>
      <c r="Q3237" s="85" t="s">
        <v>47</v>
      </c>
      <c r="R3237" s="214" t="s">
        <v>1869</v>
      </c>
      <c r="S3237" s="214" t="s">
        <v>1861</v>
      </c>
      <c r="T3237" s="85" t="s">
        <v>4208</v>
      </c>
      <c r="U3237" s="422" t="s">
        <v>1953</v>
      </c>
      <c r="V3237" s="422" t="s">
        <v>2813</v>
      </c>
    </row>
    <row r="3238" spans="1:22" ht="15.75" thickBot="1" x14ac:dyDescent="0.3">
      <c r="A3238" t="s">
        <v>1910</v>
      </c>
      <c r="B3238" t="s">
        <v>1910</v>
      </c>
      <c r="C3238" s="82" t="s">
        <v>1910</v>
      </c>
      <c r="D3238" s="83" t="s">
        <v>629</v>
      </c>
      <c r="E3238" s="251" t="s">
        <v>1951</v>
      </c>
      <c r="F3238" s="124" t="s">
        <v>620</v>
      </c>
      <c r="G3238" s="130"/>
      <c r="H3238" s="125" t="s">
        <v>733</v>
      </c>
      <c r="I3238" s="311" t="str">
        <f t="shared" si="128"/>
        <v>Pesado de Passageiros M3: I : Gasóleo : E6</v>
      </c>
      <c r="J3238" s="125"/>
      <c r="K3238" s="253">
        <v>2022</v>
      </c>
      <c r="L3238" s="85">
        <v>125.58</v>
      </c>
      <c r="M3238" s="85" t="s">
        <v>630</v>
      </c>
      <c r="N3238" s="128">
        <v>299</v>
      </c>
      <c r="O3238" s="128">
        <f t="shared" si="127"/>
        <v>0</v>
      </c>
      <c r="P3238" s="125" t="s">
        <v>4424</v>
      </c>
      <c r="Q3238" s="85" t="s">
        <v>47</v>
      </c>
      <c r="R3238" s="214" t="s">
        <v>1869</v>
      </c>
      <c r="S3238" s="214" t="s">
        <v>1861</v>
      </c>
      <c r="T3238" s="85" t="s">
        <v>4209</v>
      </c>
      <c r="U3238" s="422" t="s">
        <v>1953</v>
      </c>
      <c r="V3238" s="422" t="s">
        <v>2813</v>
      </c>
    </row>
    <row r="3239" spans="1:22" ht="15.75" thickBot="1" x14ac:dyDescent="0.3">
      <c r="A3239" t="s">
        <v>1910</v>
      </c>
      <c r="B3239" t="s">
        <v>1910</v>
      </c>
      <c r="C3239" s="82" t="s">
        <v>1910</v>
      </c>
      <c r="D3239" s="83" t="s">
        <v>629</v>
      </c>
      <c r="E3239" s="251" t="s">
        <v>1951</v>
      </c>
      <c r="F3239" s="124" t="s">
        <v>620</v>
      </c>
      <c r="G3239" s="130"/>
      <c r="H3239" s="125" t="s">
        <v>733</v>
      </c>
      <c r="I3239" s="311" t="str">
        <f t="shared" si="128"/>
        <v>Pesado de Passageiros M3: I : Gasóleo : E6</v>
      </c>
      <c r="J3239" s="125"/>
      <c r="K3239" s="253">
        <v>2022</v>
      </c>
      <c r="L3239" s="85">
        <v>8.4</v>
      </c>
      <c r="M3239" s="85" t="s">
        <v>630</v>
      </c>
      <c r="N3239" s="128">
        <v>20</v>
      </c>
      <c r="O3239" s="128">
        <f t="shared" si="127"/>
        <v>0</v>
      </c>
      <c r="P3239" s="125" t="s">
        <v>1445</v>
      </c>
      <c r="Q3239" s="85" t="s">
        <v>47</v>
      </c>
      <c r="R3239" s="214" t="s">
        <v>1869</v>
      </c>
      <c r="S3239" s="214" t="s">
        <v>1861</v>
      </c>
      <c r="T3239" s="85" t="s">
        <v>4210</v>
      </c>
      <c r="U3239" s="422" t="s">
        <v>1953</v>
      </c>
      <c r="V3239" s="422" t="s">
        <v>2813</v>
      </c>
    </row>
    <row r="3240" spans="1:22" ht="15.75" thickBot="1" x14ac:dyDescent="0.3">
      <c r="A3240" t="s">
        <v>1910</v>
      </c>
      <c r="B3240" t="s">
        <v>1910</v>
      </c>
      <c r="C3240" s="82" t="s">
        <v>1910</v>
      </c>
      <c r="D3240" s="83" t="s">
        <v>629</v>
      </c>
      <c r="E3240" s="251" t="s">
        <v>1951</v>
      </c>
      <c r="F3240" s="124" t="s">
        <v>620</v>
      </c>
      <c r="G3240" s="130"/>
      <c r="H3240" s="125" t="s">
        <v>733</v>
      </c>
      <c r="I3240" s="311" t="str">
        <f t="shared" si="128"/>
        <v>Pesado de Passageiros M3: I : Gasóleo : E6</v>
      </c>
      <c r="J3240" s="125"/>
      <c r="K3240" s="253">
        <v>2022</v>
      </c>
      <c r="L3240" s="85">
        <v>81.06</v>
      </c>
      <c r="M3240" s="85" t="s">
        <v>630</v>
      </c>
      <c r="N3240" s="128">
        <v>193</v>
      </c>
      <c r="O3240" s="128">
        <f t="shared" si="127"/>
        <v>0</v>
      </c>
      <c r="P3240" s="125" t="s">
        <v>1424</v>
      </c>
      <c r="Q3240" s="85" t="s">
        <v>47</v>
      </c>
      <c r="R3240" s="214" t="s">
        <v>1869</v>
      </c>
      <c r="S3240" s="214" t="s">
        <v>1861</v>
      </c>
      <c r="T3240" s="85" t="s">
        <v>4211</v>
      </c>
      <c r="U3240" s="422" t="s">
        <v>1953</v>
      </c>
      <c r="V3240" s="422" t="s">
        <v>2813</v>
      </c>
    </row>
    <row r="3241" spans="1:22" ht="15.75" thickBot="1" x14ac:dyDescent="0.3">
      <c r="A3241" t="s">
        <v>1910</v>
      </c>
      <c r="B3241" t="s">
        <v>1910</v>
      </c>
      <c r="C3241" s="82" t="s">
        <v>1910</v>
      </c>
      <c r="D3241" s="83" t="s">
        <v>629</v>
      </c>
      <c r="E3241" s="251" t="s">
        <v>1951</v>
      </c>
      <c r="F3241" s="124" t="s">
        <v>620</v>
      </c>
      <c r="G3241" s="130"/>
      <c r="H3241" s="125" t="s">
        <v>733</v>
      </c>
      <c r="I3241" s="311" t="str">
        <f t="shared" si="128"/>
        <v>Pesado de Passageiros M3: I : Gasóleo : E6</v>
      </c>
      <c r="J3241" s="125"/>
      <c r="K3241" s="253">
        <v>2022</v>
      </c>
      <c r="L3241" s="85">
        <v>223.02</v>
      </c>
      <c r="M3241" s="85" t="s">
        <v>630</v>
      </c>
      <c r="N3241" s="128">
        <v>531</v>
      </c>
      <c r="O3241" s="128">
        <f t="shared" si="127"/>
        <v>0</v>
      </c>
      <c r="P3241" s="125" t="s">
        <v>4425</v>
      </c>
      <c r="Q3241" s="85" t="s">
        <v>47</v>
      </c>
      <c r="R3241" s="214" t="s">
        <v>1869</v>
      </c>
      <c r="S3241" s="214" t="s">
        <v>1861</v>
      </c>
      <c r="T3241" s="85" t="s">
        <v>4212</v>
      </c>
      <c r="U3241" s="422" t="s">
        <v>1953</v>
      </c>
      <c r="V3241" s="422" t="s">
        <v>2813</v>
      </c>
    </row>
    <row r="3242" spans="1:22" ht="15.75" thickBot="1" x14ac:dyDescent="0.3">
      <c r="A3242" t="s">
        <v>1910</v>
      </c>
      <c r="B3242" t="s">
        <v>1910</v>
      </c>
      <c r="C3242" s="82" t="s">
        <v>1910</v>
      </c>
      <c r="D3242" s="83" t="s">
        <v>629</v>
      </c>
      <c r="E3242" s="251" t="s">
        <v>1951</v>
      </c>
      <c r="F3242" s="124" t="s">
        <v>620</v>
      </c>
      <c r="G3242" s="130"/>
      <c r="H3242" s="125" t="s">
        <v>733</v>
      </c>
      <c r="I3242" s="311" t="str">
        <f t="shared" si="128"/>
        <v>Pesado de Passageiros M3: I : Gasóleo : E6</v>
      </c>
      <c r="J3242" s="125"/>
      <c r="K3242" s="253">
        <v>2022</v>
      </c>
      <c r="L3242" s="85">
        <v>230.79870000000003</v>
      </c>
      <c r="M3242" s="85" t="s">
        <v>630</v>
      </c>
      <c r="N3242" s="128">
        <v>513</v>
      </c>
      <c r="O3242" s="128">
        <f t="shared" si="127"/>
        <v>0</v>
      </c>
      <c r="P3242" s="125" t="s">
        <v>4426</v>
      </c>
      <c r="Q3242" s="85" t="s">
        <v>47</v>
      </c>
      <c r="R3242" s="214" t="s">
        <v>1869</v>
      </c>
      <c r="S3242" s="214" t="s">
        <v>1861</v>
      </c>
      <c r="T3242" s="85" t="s">
        <v>4213</v>
      </c>
      <c r="U3242" s="422" t="s">
        <v>1953</v>
      </c>
      <c r="V3242" s="422" t="s">
        <v>2813</v>
      </c>
    </row>
    <row r="3243" spans="1:22" ht="15.75" thickBot="1" x14ac:dyDescent="0.3">
      <c r="A3243" t="s">
        <v>1910</v>
      </c>
      <c r="B3243" t="s">
        <v>1910</v>
      </c>
      <c r="C3243" s="82" t="s">
        <v>1910</v>
      </c>
      <c r="D3243" s="83" t="s">
        <v>629</v>
      </c>
      <c r="E3243" s="251" t="s">
        <v>1951</v>
      </c>
      <c r="F3243" s="124" t="s">
        <v>620</v>
      </c>
      <c r="G3243" s="130"/>
      <c r="H3243" s="125" t="s">
        <v>733</v>
      </c>
      <c r="I3243" s="311" t="str">
        <f t="shared" si="128"/>
        <v>Pesado de Passageiros M3: I : Gasóleo : E6</v>
      </c>
      <c r="J3243" s="125"/>
      <c r="K3243" s="253">
        <v>2022</v>
      </c>
      <c r="L3243" s="85">
        <v>89.7864</v>
      </c>
      <c r="M3243" s="85" t="s">
        <v>630</v>
      </c>
      <c r="N3243" s="128">
        <v>537</v>
      </c>
      <c r="O3243" s="128">
        <f t="shared" si="127"/>
        <v>0</v>
      </c>
      <c r="P3243" s="125" t="s">
        <v>4427</v>
      </c>
      <c r="Q3243" s="85" t="s">
        <v>47</v>
      </c>
      <c r="R3243" s="214" t="s">
        <v>1869</v>
      </c>
      <c r="S3243" s="214" t="s">
        <v>1861</v>
      </c>
      <c r="T3243" s="85" t="s">
        <v>4214</v>
      </c>
      <c r="U3243" s="422" t="s">
        <v>1953</v>
      </c>
      <c r="V3243" s="422" t="s">
        <v>2813</v>
      </c>
    </row>
    <row r="3244" spans="1:22" ht="15.75" thickBot="1" x14ac:dyDescent="0.3">
      <c r="A3244" t="s">
        <v>1910</v>
      </c>
      <c r="B3244" t="s">
        <v>1910</v>
      </c>
      <c r="C3244" s="82" t="s">
        <v>1910</v>
      </c>
      <c r="D3244" s="83" t="s">
        <v>629</v>
      </c>
      <c r="E3244" s="251" t="s">
        <v>1951</v>
      </c>
      <c r="F3244" s="124" t="s">
        <v>620</v>
      </c>
      <c r="G3244" s="130"/>
      <c r="H3244" s="125" t="s">
        <v>733</v>
      </c>
      <c r="I3244" s="311" t="str">
        <f t="shared" si="128"/>
        <v>Pesado de Passageiros M3: I : Gasóleo : E6</v>
      </c>
      <c r="J3244" s="125"/>
      <c r="K3244" s="253">
        <v>2022</v>
      </c>
      <c r="L3244" s="85">
        <v>49.35</v>
      </c>
      <c r="M3244" s="85" t="s">
        <v>630</v>
      </c>
      <c r="N3244" s="128">
        <v>235</v>
      </c>
      <c r="O3244" s="128">
        <f t="shared" si="127"/>
        <v>0</v>
      </c>
      <c r="P3244" s="125" t="s">
        <v>4428</v>
      </c>
      <c r="Q3244" s="85" t="s">
        <v>47</v>
      </c>
      <c r="R3244" s="214" t="s">
        <v>1869</v>
      </c>
      <c r="S3244" s="214" t="s">
        <v>1861</v>
      </c>
      <c r="T3244" s="85" t="s">
        <v>3382</v>
      </c>
      <c r="U3244" s="422" t="s">
        <v>1953</v>
      </c>
      <c r="V3244" s="422" t="s">
        <v>2813</v>
      </c>
    </row>
    <row r="3245" spans="1:22" ht="15.75" thickBot="1" x14ac:dyDescent="0.3">
      <c r="A3245" t="s">
        <v>1910</v>
      </c>
      <c r="B3245" t="s">
        <v>1910</v>
      </c>
      <c r="C3245" s="82" t="s">
        <v>1910</v>
      </c>
      <c r="D3245" s="83" t="s">
        <v>629</v>
      </c>
      <c r="E3245" s="251" t="s">
        <v>1951</v>
      </c>
      <c r="F3245" s="124" t="s">
        <v>620</v>
      </c>
      <c r="G3245" s="130"/>
      <c r="H3245" s="125" t="s">
        <v>733</v>
      </c>
      <c r="I3245" s="311" t="str">
        <f t="shared" si="128"/>
        <v>Pesado de Passageiros M3: I : Gasóleo : E6</v>
      </c>
      <c r="J3245" s="125"/>
      <c r="K3245" s="253">
        <v>2022</v>
      </c>
      <c r="L3245" s="85">
        <v>73.717799999999997</v>
      </c>
      <c r="M3245" s="85" t="s">
        <v>630</v>
      </c>
      <c r="N3245" s="128">
        <v>338</v>
      </c>
      <c r="O3245" s="128">
        <f t="shared" si="127"/>
        <v>0</v>
      </c>
      <c r="P3245" s="125" t="s">
        <v>4429</v>
      </c>
      <c r="Q3245" s="85" t="s">
        <v>47</v>
      </c>
      <c r="R3245" s="214" t="s">
        <v>1869</v>
      </c>
      <c r="S3245" s="214" t="s">
        <v>1861</v>
      </c>
      <c r="T3245" s="85" t="s">
        <v>4215</v>
      </c>
      <c r="U3245" s="422" t="s">
        <v>1953</v>
      </c>
      <c r="V3245" s="422" t="s">
        <v>2813</v>
      </c>
    </row>
    <row r="3246" spans="1:22" ht="15.75" thickBot="1" x14ac:dyDescent="0.3">
      <c r="A3246" t="s">
        <v>1910</v>
      </c>
      <c r="B3246" t="s">
        <v>1910</v>
      </c>
      <c r="C3246" s="82" t="s">
        <v>1910</v>
      </c>
      <c r="D3246" s="83" t="s">
        <v>629</v>
      </c>
      <c r="E3246" s="251" t="s">
        <v>1951</v>
      </c>
      <c r="F3246" s="124" t="s">
        <v>620</v>
      </c>
      <c r="G3246" s="130"/>
      <c r="H3246" s="125" t="s">
        <v>733</v>
      </c>
      <c r="I3246" s="311" t="str">
        <f t="shared" si="128"/>
        <v>Pesado de Passageiros M3: I : Gasóleo : E6</v>
      </c>
      <c r="J3246" s="125"/>
      <c r="K3246" s="253">
        <v>2022</v>
      </c>
      <c r="L3246" s="85">
        <v>4446.5160000000005</v>
      </c>
      <c r="M3246" s="85" t="s">
        <v>630</v>
      </c>
      <c r="N3246" s="128">
        <v>11953</v>
      </c>
      <c r="O3246" s="128">
        <f t="shared" si="127"/>
        <v>0</v>
      </c>
      <c r="P3246" s="125" t="s">
        <v>4430</v>
      </c>
      <c r="Q3246" s="85" t="s">
        <v>47</v>
      </c>
      <c r="R3246" s="214" t="s">
        <v>1869</v>
      </c>
      <c r="S3246" s="214" t="s">
        <v>1861</v>
      </c>
      <c r="T3246" s="85" t="s">
        <v>4216</v>
      </c>
      <c r="U3246" s="422" t="s">
        <v>1953</v>
      </c>
      <c r="V3246" s="422" t="s">
        <v>2813</v>
      </c>
    </row>
    <row r="3247" spans="1:22" ht="15.75" thickBot="1" x14ac:dyDescent="0.3">
      <c r="A3247" t="s">
        <v>1910</v>
      </c>
      <c r="B3247" t="s">
        <v>1910</v>
      </c>
      <c r="C3247" s="82" t="s">
        <v>1910</v>
      </c>
      <c r="D3247" s="83" t="s">
        <v>629</v>
      </c>
      <c r="E3247" s="251" t="s">
        <v>1951</v>
      </c>
      <c r="F3247" s="124" t="s">
        <v>620</v>
      </c>
      <c r="G3247" s="130">
        <v>2022</v>
      </c>
      <c r="H3247" s="125" t="s">
        <v>733</v>
      </c>
      <c r="I3247" s="311" t="str">
        <f t="shared" si="128"/>
        <v>Pesado de Passageiros M3: I : Gasóleo : E6</v>
      </c>
      <c r="J3247" s="125">
        <v>83</v>
      </c>
      <c r="K3247" s="253">
        <v>2022</v>
      </c>
      <c r="L3247" s="381">
        <v>2778.9239999999991</v>
      </c>
      <c r="M3247" s="85" t="s">
        <v>630</v>
      </c>
      <c r="N3247" s="128">
        <v>7147</v>
      </c>
      <c r="O3247" s="128">
        <f t="shared" si="127"/>
        <v>593201</v>
      </c>
      <c r="P3247" s="125">
        <v>2751</v>
      </c>
      <c r="Q3247" s="85" t="s">
        <v>47</v>
      </c>
      <c r="R3247" s="214" t="s">
        <v>1869</v>
      </c>
      <c r="S3247" s="214" t="s">
        <v>1861</v>
      </c>
      <c r="T3247" s="85" t="s">
        <v>4217</v>
      </c>
      <c r="U3247" s="422" t="s">
        <v>1953</v>
      </c>
      <c r="V3247" s="422" t="s">
        <v>2813</v>
      </c>
    </row>
    <row r="3248" spans="1:22" ht="15.75" thickBot="1" x14ac:dyDescent="0.3">
      <c r="A3248" t="s">
        <v>1910</v>
      </c>
      <c r="B3248" t="s">
        <v>1910</v>
      </c>
      <c r="C3248" s="82" t="s">
        <v>1910</v>
      </c>
      <c r="D3248" s="83" t="s">
        <v>629</v>
      </c>
      <c r="E3248" s="251" t="s">
        <v>1951</v>
      </c>
      <c r="F3248" s="124" t="s">
        <v>620</v>
      </c>
      <c r="G3248" s="130"/>
      <c r="H3248" s="125" t="s">
        <v>733</v>
      </c>
      <c r="I3248" s="311" t="str">
        <f t="shared" si="128"/>
        <v>Pesado de Passageiros M3: I : Gasóleo : E6</v>
      </c>
      <c r="J3248" s="125"/>
      <c r="K3248" s="253">
        <v>2022</v>
      </c>
      <c r="L3248" s="85">
        <v>1380.3555000000001</v>
      </c>
      <c r="M3248" s="85" t="s">
        <v>630</v>
      </c>
      <c r="N3248" s="128">
        <v>3945</v>
      </c>
      <c r="O3248" s="128">
        <f t="shared" si="127"/>
        <v>0</v>
      </c>
      <c r="P3248" s="125" t="s">
        <v>4431</v>
      </c>
      <c r="Q3248" s="85" t="s">
        <v>47</v>
      </c>
      <c r="R3248" s="214" t="s">
        <v>1869</v>
      </c>
      <c r="S3248" s="214" t="s">
        <v>1861</v>
      </c>
      <c r="T3248" s="85" t="s">
        <v>4218</v>
      </c>
      <c r="U3248" s="422" t="s">
        <v>1953</v>
      </c>
      <c r="V3248" s="422" t="s">
        <v>2813</v>
      </c>
    </row>
    <row r="3249" spans="1:22" ht="15.75" thickBot="1" x14ac:dyDescent="0.3">
      <c r="A3249" t="s">
        <v>1910</v>
      </c>
      <c r="B3249" t="s">
        <v>1910</v>
      </c>
      <c r="C3249" s="82" t="s">
        <v>1910</v>
      </c>
      <c r="D3249" s="83" t="s">
        <v>629</v>
      </c>
      <c r="E3249" s="251" t="s">
        <v>1951</v>
      </c>
      <c r="F3249" s="124" t="s">
        <v>620</v>
      </c>
      <c r="G3249" s="130">
        <v>2022</v>
      </c>
      <c r="H3249" s="125" t="s">
        <v>733</v>
      </c>
      <c r="I3249" s="311" t="str">
        <f t="shared" si="128"/>
        <v>Pesado de Passageiros M3: I : Gasóleo : E6</v>
      </c>
      <c r="J3249" s="125">
        <v>109</v>
      </c>
      <c r="K3249" s="253">
        <v>2022</v>
      </c>
      <c r="L3249" s="129">
        <v>6650.1233999999995</v>
      </c>
      <c r="M3249" s="85" t="s">
        <v>630</v>
      </c>
      <c r="N3249" s="128">
        <v>15138</v>
      </c>
      <c r="O3249" s="128">
        <f t="shared" ref="O3249:O3312" si="129">N3249*J3249</f>
        <v>1650042</v>
      </c>
      <c r="P3249" s="125">
        <v>2539</v>
      </c>
      <c r="Q3249" s="85" t="s">
        <v>47</v>
      </c>
      <c r="R3249" s="214" t="s">
        <v>1869</v>
      </c>
      <c r="S3249" s="214" t="s">
        <v>1861</v>
      </c>
      <c r="T3249" s="85" t="s">
        <v>4219</v>
      </c>
      <c r="U3249" s="422" t="s">
        <v>1953</v>
      </c>
      <c r="V3249" s="422" t="s">
        <v>2813</v>
      </c>
    </row>
    <row r="3250" spans="1:22" ht="15.75" thickBot="1" x14ac:dyDescent="0.3">
      <c r="A3250" t="s">
        <v>1910</v>
      </c>
      <c r="B3250" t="s">
        <v>1910</v>
      </c>
      <c r="C3250" s="82" t="s">
        <v>1910</v>
      </c>
      <c r="D3250" s="83" t="s">
        <v>629</v>
      </c>
      <c r="E3250" s="251" t="s">
        <v>1951</v>
      </c>
      <c r="F3250" s="124" t="s">
        <v>620</v>
      </c>
      <c r="G3250" s="130"/>
      <c r="H3250" s="125" t="s">
        <v>733</v>
      </c>
      <c r="I3250" s="311" t="str">
        <f t="shared" si="128"/>
        <v>Pesado de Passageiros M3: I : Gasóleo : E6</v>
      </c>
      <c r="J3250" s="125"/>
      <c r="K3250" s="253">
        <v>2022</v>
      </c>
      <c r="L3250" s="85">
        <v>771.12</v>
      </c>
      <c r="M3250" s="85" t="s">
        <v>630</v>
      </c>
      <c r="N3250" s="128">
        <v>1836</v>
      </c>
      <c r="O3250" s="128">
        <f t="shared" si="129"/>
        <v>0</v>
      </c>
      <c r="P3250" s="125" t="s">
        <v>4432</v>
      </c>
      <c r="Q3250" s="85" t="s">
        <v>47</v>
      </c>
      <c r="R3250" s="214" t="s">
        <v>1869</v>
      </c>
      <c r="S3250" s="214" t="s">
        <v>1861</v>
      </c>
      <c r="T3250" s="85" t="s">
        <v>4220</v>
      </c>
      <c r="U3250" s="422" t="s">
        <v>1953</v>
      </c>
      <c r="V3250" s="422" t="s">
        <v>2813</v>
      </c>
    </row>
    <row r="3251" spans="1:22" ht="15.75" thickBot="1" x14ac:dyDescent="0.3">
      <c r="A3251" t="s">
        <v>1910</v>
      </c>
      <c r="B3251" t="s">
        <v>1910</v>
      </c>
      <c r="C3251" s="82" t="s">
        <v>1910</v>
      </c>
      <c r="D3251" s="83" t="s">
        <v>629</v>
      </c>
      <c r="E3251" s="251" t="s">
        <v>1951</v>
      </c>
      <c r="F3251" s="124" t="s">
        <v>620</v>
      </c>
      <c r="G3251" s="130"/>
      <c r="H3251" s="125" t="s">
        <v>733</v>
      </c>
      <c r="I3251" s="311" t="str">
        <f t="shared" si="128"/>
        <v>Pesado de Passageiros M3: I : Gasóleo : E6</v>
      </c>
      <c r="J3251" s="125"/>
      <c r="K3251" s="253">
        <v>2022</v>
      </c>
      <c r="L3251" s="85">
        <v>172.62</v>
      </c>
      <c r="M3251" s="85" t="s">
        <v>630</v>
      </c>
      <c r="N3251" s="128">
        <v>411</v>
      </c>
      <c r="O3251" s="128">
        <f t="shared" si="129"/>
        <v>0</v>
      </c>
      <c r="P3251" s="125" t="s">
        <v>4433</v>
      </c>
      <c r="Q3251" s="85" t="s">
        <v>47</v>
      </c>
      <c r="R3251" s="214" t="s">
        <v>1869</v>
      </c>
      <c r="S3251" s="214" t="s">
        <v>1861</v>
      </c>
      <c r="T3251" s="85" t="s">
        <v>4221</v>
      </c>
      <c r="U3251" s="422" t="s">
        <v>1953</v>
      </c>
      <c r="V3251" s="422" t="s">
        <v>2813</v>
      </c>
    </row>
    <row r="3252" spans="1:22" ht="15.75" thickBot="1" x14ac:dyDescent="0.3">
      <c r="A3252" t="s">
        <v>1910</v>
      </c>
      <c r="B3252" t="s">
        <v>1910</v>
      </c>
      <c r="C3252" s="82" t="s">
        <v>1910</v>
      </c>
      <c r="D3252" s="83" t="s">
        <v>629</v>
      </c>
      <c r="E3252" s="251" t="s">
        <v>1951</v>
      </c>
      <c r="F3252" s="124" t="s">
        <v>620</v>
      </c>
      <c r="G3252" s="130"/>
      <c r="H3252" s="125" t="s">
        <v>733</v>
      </c>
      <c r="I3252" s="311" t="str">
        <f t="shared" si="128"/>
        <v>Pesado de Passageiros M3: I : Gasóleo : E6</v>
      </c>
      <c r="J3252" s="125"/>
      <c r="K3252" s="253">
        <v>2022</v>
      </c>
      <c r="L3252" s="85">
        <v>380.22399999999999</v>
      </c>
      <c r="M3252" s="85" t="s">
        <v>630</v>
      </c>
      <c r="N3252" s="128">
        <v>914</v>
      </c>
      <c r="O3252" s="128">
        <f t="shared" si="129"/>
        <v>0</v>
      </c>
      <c r="P3252" s="125" t="s">
        <v>4434</v>
      </c>
      <c r="Q3252" s="85" t="s">
        <v>47</v>
      </c>
      <c r="R3252" s="214" t="s">
        <v>1869</v>
      </c>
      <c r="S3252" s="214" t="s">
        <v>1861</v>
      </c>
      <c r="T3252" s="85" t="s">
        <v>4222</v>
      </c>
      <c r="U3252" s="422" t="s">
        <v>1953</v>
      </c>
      <c r="V3252" s="422" t="s">
        <v>2813</v>
      </c>
    </row>
    <row r="3253" spans="1:22" ht="15.75" thickBot="1" x14ac:dyDescent="0.3">
      <c r="A3253" t="s">
        <v>1910</v>
      </c>
      <c r="B3253" t="s">
        <v>1910</v>
      </c>
      <c r="C3253" s="82" t="s">
        <v>1910</v>
      </c>
      <c r="D3253" s="83" t="s">
        <v>629</v>
      </c>
      <c r="E3253" s="251" t="s">
        <v>1951</v>
      </c>
      <c r="F3253" s="124" t="s">
        <v>620</v>
      </c>
      <c r="G3253" s="130"/>
      <c r="H3253" s="125" t="s">
        <v>733</v>
      </c>
      <c r="I3253" s="311" t="str">
        <f t="shared" si="128"/>
        <v>Pesado de Passageiros M3: I : Gasóleo : E6</v>
      </c>
      <c r="J3253" s="125"/>
      <c r="K3253" s="253">
        <v>2022</v>
      </c>
      <c r="L3253" s="85">
        <v>663.4144</v>
      </c>
      <c r="M3253" s="85" t="s">
        <v>630</v>
      </c>
      <c r="N3253" s="128">
        <v>2068</v>
      </c>
      <c r="O3253" s="128">
        <f t="shared" si="129"/>
        <v>0</v>
      </c>
      <c r="P3253" s="125" t="s">
        <v>4435</v>
      </c>
      <c r="Q3253" s="85" t="s">
        <v>47</v>
      </c>
      <c r="R3253" s="214" t="s">
        <v>1869</v>
      </c>
      <c r="S3253" s="214" t="s">
        <v>1861</v>
      </c>
      <c r="T3253" s="85" t="s">
        <v>4223</v>
      </c>
      <c r="U3253" s="422" t="s">
        <v>1953</v>
      </c>
      <c r="V3253" s="422" t="s">
        <v>2813</v>
      </c>
    </row>
    <row r="3254" spans="1:22" ht="15.75" thickBot="1" x14ac:dyDescent="0.3">
      <c r="A3254" t="s">
        <v>1910</v>
      </c>
      <c r="B3254" t="s">
        <v>1910</v>
      </c>
      <c r="C3254" s="82" t="s">
        <v>1910</v>
      </c>
      <c r="D3254" s="83" t="s">
        <v>629</v>
      </c>
      <c r="E3254" s="251" t="s">
        <v>1951</v>
      </c>
      <c r="F3254" s="124" t="s">
        <v>620</v>
      </c>
      <c r="G3254" s="130"/>
      <c r="H3254" s="125" t="s">
        <v>733</v>
      </c>
      <c r="I3254" s="311" t="str">
        <f t="shared" ref="I3254:I3317" si="130">D3254&amp;": "&amp;E3254&amp;" : "&amp;F3254&amp;" : "&amp;H3254</f>
        <v>Pesado de Passageiros M3: I : Gasóleo : E6</v>
      </c>
      <c r="J3254" s="125"/>
      <c r="K3254" s="253">
        <v>2022</v>
      </c>
      <c r="L3254" s="85">
        <v>52.08</v>
      </c>
      <c r="M3254" s="85" t="s">
        <v>630</v>
      </c>
      <c r="N3254" s="128">
        <v>248</v>
      </c>
      <c r="O3254" s="128">
        <f t="shared" si="129"/>
        <v>0</v>
      </c>
      <c r="P3254" s="125" t="s">
        <v>4436</v>
      </c>
      <c r="Q3254" s="85" t="s">
        <v>47</v>
      </c>
      <c r="R3254" s="214" t="s">
        <v>1869</v>
      </c>
      <c r="S3254" s="214" t="s">
        <v>1861</v>
      </c>
      <c r="T3254" s="85" t="s">
        <v>4224</v>
      </c>
      <c r="U3254" s="422" t="s">
        <v>1953</v>
      </c>
      <c r="V3254" s="422" t="s">
        <v>2813</v>
      </c>
    </row>
    <row r="3255" spans="1:22" ht="15.75" thickBot="1" x14ac:dyDescent="0.3">
      <c r="A3255" t="s">
        <v>1910</v>
      </c>
      <c r="B3255" t="s">
        <v>1910</v>
      </c>
      <c r="C3255" s="82" t="s">
        <v>1910</v>
      </c>
      <c r="D3255" s="83" t="s">
        <v>629</v>
      </c>
      <c r="E3255" s="251" t="s">
        <v>1951</v>
      </c>
      <c r="F3255" s="124" t="s">
        <v>620</v>
      </c>
      <c r="G3255" s="130"/>
      <c r="H3255" s="125" t="s">
        <v>733</v>
      </c>
      <c r="I3255" s="311" t="str">
        <f t="shared" si="130"/>
        <v>Pesado de Passageiros M3: I : Gasóleo : E6</v>
      </c>
      <c r="J3255" s="125"/>
      <c r="K3255" s="253">
        <v>2022</v>
      </c>
      <c r="L3255" s="85">
        <v>256.2</v>
      </c>
      <c r="M3255" s="85" t="s">
        <v>630</v>
      </c>
      <c r="N3255" s="128">
        <v>610</v>
      </c>
      <c r="O3255" s="128">
        <f t="shared" si="129"/>
        <v>0</v>
      </c>
      <c r="P3255" s="125" t="s">
        <v>4437</v>
      </c>
      <c r="Q3255" s="85" t="s">
        <v>47</v>
      </c>
      <c r="R3255" s="214" t="s">
        <v>1869</v>
      </c>
      <c r="S3255" s="214" t="s">
        <v>1861</v>
      </c>
      <c r="T3255" s="85" t="s">
        <v>4225</v>
      </c>
      <c r="U3255" s="422" t="s">
        <v>1953</v>
      </c>
      <c r="V3255" s="422" t="s">
        <v>2813</v>
      </c>
    </row>
    <row r="3256" spans="1:22" ht="15.75" thickBot="1" x14ac:dyDescent="0.3">
      <c r="A3256" t="s">
        <v>1910</v>
      </c>
      <c r="B3256" t="s">
        <v>1910</v>
      </c>
      <c r="C3256" s="82" t="s">
        <v>1910</v>
      </c>
      <c r="D3256" s="83" t="s">
        <v>629</v>
      </c>
      <c r="E3256" s="251" t="s">
        <v>1951</v>
      </c>
      <c r="F3256" s="124" t="s">
        <v>620</v>
      </c>
      <c r="G3256" s="130"/>
      <c r="H3256" s="125" t="s">
        <v>733</v>
      </c>
      <c r="I3256" s="311" t="str">
        <f t="shared" si="130"/>
        <v>Pesado de Passageiros M3: I : Gasóleo : E6</v>
      </c>
      <c r="J3256" s="125"/>
      <c r="K3256" s="253">
        <v>2022</v>
      </c>
      <c r="L3256" s="85">
        <v>44.1</v>
      </c>
      <c r="M3256" s="85" t="s">
        <v>630</v>
      </c>
      <c r="N3256" s="128">
        <v>210</v>
      </c>
      <c r="O3256" s="128">
        <f t="shared" si="129"/>
        <v>0</v>
      </c>
      <c r="P3256" s="125" t="s">
        <v>4438</v>
      </c>
      <c r="Q3256" s="85" t="s">
        <v>47</v>
      </c>
      <c r="R3256" s="214" t="s">
        <v>1869</v>
      </c>
      <c r="S3256" s="214" t="s">
        <v>1861</v>
      </c>
      <c r="T3256" s="85" t="s">
        <v>3383</v>
      </c>
      <c r="U3256" s="422" t="s">
        <v>1953</v>
      </c>
      <c r="V3256" s="422" t="s">
        <v>2813</v>
      </c>
    </row>
    <row r="3257" spans="1:22" ht="15.75" thickBot="1" x14ac:dyDescent="0.3">
      <c r="A3257" t="s">
        <v>1910</v>
      </c>
      <c r="B3257" t="s">
        <v>1910</v>
      </c>
      <c r="C3257" s="82" t="s">
        <v>1910</v>
      </c>
      <c r="D3257" s="83" t="s">
        <v>629</v>
      </c>
      <c r="E3257" s="251" t="s">
        <v>1951</v>
      </c>
      <c r="F3257" s="124" t="s">
        <v>620</v>
      </c>
      <c r="G3257" s="130"/>
      <c r="H3257" s="125" t="s">
        <v>733</v>
      </c>
      <c r="I3257" s="311" t="str">
        <f t="shared" si="130"/>
        <v>Pesado de Passageiros M3: I : Gasóleo : E6</v>
      </c>
      <c r="J3257" s="125"/>
      <c r="K3257" s="253">
        <v>2022</v>
      </c>
      <c r="L3257" s="85">
        <v>277.20329999999996</v>
      </c>
      <c r="M3257" s="85" t="s">
        <v>630</v>
      </c>
      <c r="N3257" s="128">
        <v>501</v>
      </c>
      <c r="O3257" s="128">
        <f t="shared" si="129"/>
        <v>0</v>
      </c>
      <c r="P3257" s="125" t="s">
        <v>4439</v>
      </c>
      <c r="Q3257" s="85" t="s">
        <v>47</v>
      </c>
      <c r="R3257" s="214" t="s">
        <v>1869</v>
      </c>
      <c r="S3257" s="214" t="s">
        <v>1861</v>
      </c>
      <c r="T3257" s="85" t="s">
        <v>4226</v>
      </c>
      <c r="U3257" s="422" t="s">
        <v>1953</v>
      </c>
      <c r="V3257" s="422" t="s">
        <v>2813</v>
      </c>
    </row>
    <row r="3258" spans="1:22" ht="15.75" thickBot="1" x14ac:dyDescent="0.3">
      <c r="A3258" t="s">
        <v>1910</v>
      </c>
      <c r="B3258" t="s">
        <v>1910</v>
      </c>
      <c r="C3258" s="82" t="s">
        <v>1910</v>
      </c>
      <c r="D3258" s="83" t="s">
        <v>629</v>
      </c>
      <c r="E3258" s="251" t="s">
        <v>1951</v>
      </c>
      <c r="F3258" s="124" t="s">
        <v>620</v>
      </c>
      <c r="G3258" s="130"/>
      <c r="H3258" s="125" t="s">
        <v>733</v>
      </c>
      <c r="I3258" s="311" t="str">
        <f t="shared" si="130"/>
        <v>Pesado de Passageiros M3: I : Gasóleo : E6</v>
      </c>
      <c r="J3258" s="125"/>
      <c r="K3258" s="253">
        <v>2022</v>
      </c>
      <c r="L3258" s="85">
        <v>3490.4011999999998</v>
      </c>
      <c r="M3258" s="85" t="s">
        <v>630</v>
      </c>
      <c r="N3258" s="128">
        <v>11414</v>
      </c>
      <c r="O3258" s="128">
        <f t="shared" si="129"/>
        <v>0</v>
      </c>
      <c r="P3258" s="125" t="s">
        <v>4440</v>
      </c>
      <c r="Q3258" s="85" t="s">
        <v>47</v>
      </c>
      <c r="R3258" s="214" t="s">
        <v>1869</v>
      </c>
      <c r="S3258" s="214" t="s">
        <v>1861</v>
      </c>
      <c r="T3258" s="85" t="s">
        <v>3409</v>
      </c>
      <c r="U3258" s="422" t="s">
        <v>1953</v>
      </c>
      <c r="V3258" s="422" t="s">
        <v>2813</v>
      </c>
    </row>
    <row r="3259" spans="1:22" ht="15.75" thickBot="1" x14ac:dyDescent="0.3">
      <c r="A3259" t="s">
        <v>1910</v>
      </c>
      <c r="B3259" t="s">
        <v>1910</v>
      </c>
      <c r="C3259" s="82" t="s">
        <v>1910</v>
      </c>
      <c r="D3259" s="83" t="s">
        <v>629</v>
      </c>
      <c r="E3259" s="251" t="s">
        <v>1951</v>
      </c>
      <c r="F3259" s="124" t="s">
        <v>620</v>
      </c>
      <c r="G3259" s="130">
        <v>2022</v>
      </c>
      <c r="H3259" s="125" t="s">
        <v>733</v>
      </c>
      <c r="I3259" s="311" t="str">
        <f t="shared" si="130"/>
        <v>Pesado de Passageiros M3: I : Gasóleo : E6</v>
      </c>
      <c r="J3259" s="125">
        <v>83</v>
      </c>
      <c r="K3259" s="253">
        <v>2022</v>
      </c>
      <c r="L3259" s="381">
        <v>3430.6588000000006</v>
      </c>
      <c r="M3259" s="85" t="s">
        <v>630</v>
      </c>
      <c r="N3259" s="128">
        <v>9632</v>
      </c>
      <c r="O3259" s="128">
        <f t="shared" si="129"/>
        <v>799456</v>
      </c>
      <c r="P3259" s="125">
        <v>2752</v>
      </c>
      <c r="Q3259" s="85" t="s">
        <v>47</v>
      </c>
      <c r="R3259" s="214" t="s">
        <v>1869</v>
      </c>
      <c r="S3259" s="214" t="s">
        <v>1861</v>
      </c>
      <c r="T3259" s="85" t="s">
        <v>3409</v>
      </c>
      <c r="U3259" s="422" t="s">
        <v>1953</v>
      </c>
      <c r="V3259" s="422" t="s">
        <v>2813</v>
      </c>
    </row>
    <row r="3260" spans="1:22" ht="15.75" thickBot="1" x14ac:dyDescent="0.3">
      <c r="A3260" t="s">
        <v>1910</v>
      </c>
      <c r="B3260" t="s">
        <v>1910</v>
      </c>
      <c r="C3260" s="82" t="s">
        <v>1910</v>
      </c>
      <c r="D3260" s="83" t="s">
        <v>629</v>
      </c>
      <c r="E3260" s="251" t="s">
        <v>1951</v>
      </c>
      <c r="F3260" s="124" t="s">
        <v>620</v>
      </c>
      <c r="G3260" s="130"/>
      <c r="H3260" s="125" t="s">
        <v>733</v>
      </c>
      <c r="I3260" s="311" t="str">
        <f t="shared" si="130"/>
        <v>Pesado de Passageiros M3: I : Gasóleo : E6</v>
      </c>
      <c r="J3260" s="125"/>
      <c r="K3260" s="253">
        <v>2022</v>
      </c>
      <c r="L3260" s="85">
        <v>231.52500000000001</v>
      </c>
      <c r="M3260" s="85" t="s">
        <v>630</v>
      </c>
      <c r="N3260" s="128">
        <v>490</v>
      </c>
      <c r="O3260" s="128">
        <f t="shared" si="129"/>
        <v>0</v>
      </c>
      <c r="P3260" s="125" t="s">
        <v>4441</v>
      </c>
      <c r="Q3260" s="85" t="s">
        <v>47</v>
      </c>
      <c r="R3260" s="214" t="s">
        <v>1869</v>
      </c>
      <c r="S3260" s="214" t="s">
        <v>1861</v>
      </c>
      <c r="T3260" s="85" t="s">
        <v>4227</v>
      </c>
      <c r="U3260" s="422" t="s">
        <v>1953</v>
      </c>
      <c r="V3260" s="422" t="s">
        <v>2813</v>
      </c>
    </row>
    <row r="3261" spans="1:22" ht="15.75" thickBot="1" x14ac:dyDescent="0.3">
      <c r="A3261" t="s">
        <v>1910</v>
      </c>
      <c r="B3261" t="s">
        <v>1910</v>
      </c>
      <c r="C3261" s="82" t="s">
        <v>1910</v>
      </c>
      <c r="D3261" s="83" t="s">
        <v>629</v>
      </c>
      <c r="E3261" s="251" t="s">
        <v>1951</v>
      </c>
      <c r="F3261" s="124" t="s">
        <v>620</v>
      </c>
      <c r="G3261" s="130"/>
      <c r="H3261" s="125" t="s">
        <v>733</v>
      </c>
      <c r="I3261" s="311" t="str">
        <f t="shared" si="130"/>
        <v>Pesado de Passageiros M3: I : Gasóleo : E6</v>
      </c>
      <c r="J3261" s="125"/>
      <c r="K3261" s="253">
        <v>2022</v>
      </c>
      <c r="L3261" s="85">
        <v>269.65039999999999</v>
      </c>
      <c r="M3261" s="85" t="s">
        <v>630</v>
      </c>
      <c r="N3261" s="128">
        <v>664</v>
      </c>
      <c r="O3261" s="128">
        <f t="shared" si="129"/>
        <v>0</v>
      </c>
      <c r="P3261" s="125" t="s">
        <v>1448</v>
      </c>
      <c r="Q3261" s="85" t="s">
        <v>47</v>
      </c>
      <c r="R3261" s="214" t="s">
        <v>1869</v>
      </c>
      <c r="S3261" s="214" t="s">
        <v>1861</v>
      </c>
      <c r="T3261" s="85" t="s">
        <v>4228</v>
      </c>
      <c r="U3261" s="422" t="s">
        <v>1953</v>
      </c>
      <c r="V3261" s="422" t="s">
        <v>2813</v>
      </c>
    </row>
    <row r="3262" spans="1:22" ht="15.75" thickBot="1" x14ac:dyDescent="0.3">
      <c r="A3262" t="s">
        <v>1910</v>
      </c>
      <c r="B3262" t="s">
        <v>1910</v>
      </c>
      <c r="C3262" s="82" t="s">
        <v>1910</v>
      </c>
      <c r="D3262" s="83" t="s">
        <v>629</v>
      </c>
      <c r="E3262" s="251" t="s">
        <v>1951</v>
      </c>
      <c r="F3262" s="124" t="s">
        <v>620</v>
      </c>
      <c r="G3262" s="130">
        <v>2022</v>
      </c>
      <c r="H3262" s="125" t="s">
        <v>733</v>
      </c>
      <c r="I3262" s="311" t="str">
        <f t="shared" si="130"/>
        <v>Pesado de Passageiros M3: I : Gasóleo : E6</v>
      </c>
      <c r="J3262" s="125">
        <v>89</v>
      </c>
      <c r="K3262" s="253">
        <v>2022</v>
      </c>
      <c r="L3262" s="129">
        <v>7785.0209999999997</v>
      </c>
      <c r="M3262" s="85" t="s">
        <v>630</v>
      </c>
      <c r="N3262" s="128">
        <v>20810</v>
      </c>
      <c r="O3262" s="128">
        <f t="shared" si="129"/>
        <v>1852090</v>
      </c>
      <c r="P3262" s="125">
        <v>2703</v>
      </c>
      <c r="Q3262" s="85" t="s">
        <v>47</v>
      </c>
      <c r="R3262" s="214" t="s">
        <v>1869</v>
      </c>
      <c r="S3262" s="214" t="s">
        <v>1861</v>
      </c>
      <c r="T3262" s="85" t="s">
        <v>4229</v>
      </c>
      <c r="U3262" s="422" t="s">
        <v>1953</v>
      </c>
      <c r="V3262" s="422" t="s">
        <v>2813</v>
      </c>
    </row>
    <row r="3263" spans="1:22" ht="15.75" thickBot="1" x14ac:dyDescent="0.3">
      <c r="A3263" t="s">
        <v>1910</v>
      </c>
      <c r="B3263" t="s">
        <v>1910</v>
      </c>
      <c r="C3263" s="82" t="s">
        <v>1910</v>
      </c>
      <c r="D3263" s="83" t="s">
        <v>629</v>
      </c>
      <c r="E3263" s="251" t="s">
        <v>1951</v>
      </c>
      <c r="F3263" s="124" t="s">
        <v>620</v>
      </c>
      <c r="G3263" s="130"/>
      <c r="H3263" s="125" t="s">
        <v>733</v>
      </c>
      <c r="I3263" s="311" t="str">
        <f t="shared" si="130"/>
        <v>Pesado de Passageiros M3: I : Gasóleo : E6</v>
      </c>
      <c r="J3263" s="125"/>
      <c r="K3263" s="253">
        <v>2022</v>
      </c>
      <c r="L3263" s="85">
        <v>157.608</v>
      </c>
      <c r="M3263" s="85" t="s">
        <v>630</v>
      </c>
      <c r="N3263" s="128">
        <v>396</v>
      </c>
      <c r="O3263" s="128">
        <f t="shared" si="129"/>
        <v>0</v>
      </c>
      <c r="P3263" s="125" t="s">
        <v>4442</v>
      </c>
      <c r="Q3263" s="85" t="s">
        <v>47</v>
      </c>
      <c r="R3263" s="214" t="s">
        <v>1869</v>
      </c>
      <c r="S3263" s="214" t="s">
        <v>1861</v>
      </c>
      <c r="T3263" s="85" t="s">
        <v>4230</v>
      </c>
      <c r="U3263" s="422" t="s">
        <v>1953</v>
      </c>
      <c r="V3263" s="422" t="s">
        <v>2813</v>
      </c>
    </row>
    <row r="3264" spans="1:22" ht="15.75" thickBot="1" x14ac:dyDescent="0.3">
      <c r="A3264" t="s">
        <v>1910</v>
      </c>
      <c r="B3264" t="s">
        <v>1910</v>
      </c>
      <c r="C3264" s="82" t="s">
        <v>1910</v>
      </c>
      <c r="D3264" s="83" t="s">
        <v>629</v>
      </c>
      <c r="E3264" s="251" t="s">
        <v>1951</v>
      </c>
      <c r="F3264" s="124" t="s">
        <v>620</v>
      </c>
      <c r="G3264" s="130"/>
      <c r="H3264" s="125" t="s">
        <v>733</v>
      </c>
      <c r="I3264" s="311" t="str">
        <f t="shared" si="130"/>
        <v>Pesado de Passageiros M3: I : Gasóleo : E6</v>
      </c>
      <c r="J3264" s="125"/>
      <c r="K3264" s="253">
        <v>2022</v>
      </c>
      <c r="L3264" s="85">
        <v>158.76</v>
      </c>
      <c r="M3264" s="85" t="s">
        <v>630</v>
      </c>
      <c r="N3264" s="128">
        <v>378</v>
      </c>
      <c r="O3264" s="128">
        <f t="shared" si="129"/>
        <v>0</v>
      </c>
      <c r="P3264" s="125" t="s">
        <v>4443</v>
      </c>
      <c r="Q3264" s="85" t="s">
        <v>47</v>
      </c>
      <c r="R3264" s="214" t="s">
        <v>1869</v>
      </c>
      <c r="S3264" s="214" t="s">
        <v>1861</v>
      </c>
      <c r="T3264" s="85" t="s">
        <v>4231</v>
      </c>
      <c r="U3264" s="422" t="s">
        <v>1953</v>
      </c>
      <c r="V3264" s="422" t="s">
        <v>2813</v>
      </c>
    </row>
    <row r="3265" spans="1:22" ht="15.75" thickBot="1" x14ac:dyDescent="0.3">
      <c r="A3265" t="s">
        <v>1910</v>
      </c>
      <c r="B3265" t="s">
        <v>1910</v>
      </c>
      <c r="C3265" s="82" t="s">
        <v>1910</v>
      </c>
      <c r="D3265" s="83" t="s">
        <v>629</v>
      </c>
      <c r="E3265" s="251" t="s">
        <v>1951</v>
      </c>
      <c r="F3265" s="124" t="s">
        <v>620</v>
      </c>
      <c r="G3265" s="130"/>
      <c r="H3265" s="125" t="s">
        <v>733</v>
      </c>
      <c r="I3265" s="311" t="str">
        <f t="shared" si="130"/>
        <v>Pesado de Passageiros M3: I : Gasóleo : E6</v>
      </c>
      <c r="J3265" s="125"/>
      <c r="K3265" s="253">
        <v>2022</v>
      </c>
      <c r="L3265" s="85">
        <v>414.96</v>
      </c>
      <c r="M3265" s="85" t="s">
        <v>630</v>
      </c>
      <c r="N3265" s="128">
        <v>988</v>
      </c>
      <c r="O3265" s="128">
        <f t="shared" si="129"/>
        <v>0</v>
      </c>
      <c r="P3265" s="125" t="s">
        <v>1444</v>
      </c>
      <c r="Q3265" s="85" t="s">
        <v>47</v>
      </c>
      <c r="R3265" s="214" t="s">
        <v>1869</v>
      </c>
      <c r="S3265" s="214" t="s">
        <v>1861</v>
      </c>
      <c r="T3265" s="85" t="s">
        <v>4232</v>
      </c>
      <c r="U3265" s="422" t="s">
        <v>1953</v>
      </c>
      <c r="V3265" s="422" t="s">
        <v>2813</v>
      </c>
    </row>
    <row r="3266" spans="1:22" ht="15.75" thickBot="1" x14ac:dyDescent="0.3">
      <c r="A3266" t="s">
        <v>1910</v>
      </c>
      <c r="B3266" t="s">
        <v>1910</v>
      </c>
      <c r="C3266" s="82" t="s">
        <v>1910</v>
      </c>
      <c r="D3266" s="83" t="s">
        <v>629</v>
      </c>
      <c r="E3266" s="251" t="s">
        <v>1951</v>
      </c>
      <c r="F3266" s="124" t="s">
        <v>620</v>
      </c>
      <c r="G3266" s="130"/>
      <c r="H3266" s="125" t="s">
        <v>733</v>
      </c>
      <c r="I3266" s="311" t="str">
        <f t="shared" si="130"/>
        <v>Pesado de Passageiros M3: I : Gasóleo : E6</v>
      </c>
      <c r="J3266" s="125"/>
      <c r="K3266" s="253">
        <v>2022</v>
      </c>
      <c r="L3266" s="85">
        <v>191.52</v>
      </c>
      <c r="M3266" s="85" t="s">
        <v>630</v>
      </c>
      <c r="N3266" s="128">
        <v>456</v>
      </c>
      <c r="O3266" s="128">
        <f t="shared" si="129"/>
        <v>0</v>
      </c>
      <c r="P3266" s="125" t="s">
        <v>4444</v>
      </c>
      <c r="Q3266" s="85" t="s">
        <v>47</v>
      </c>
      <c r="R3266" s="214" t="s">
        <v>1869</v>
      </c>
      <c r="S3266" s="214" t="s">
        <v>1861</v>
      </c>
      <c r="T3266" s="85" t="s">
        <v>4233</v>
      </c>
      <c r="U3266" s="422" t="s">
        <v>1953</v>
      </c>
      <c r="V3266" s="422" t="s">
        <v>2813</v>
      </c>
    </row>
    <row r="3267" spans="1:22" ht="15.75" thickBot="1" x14ac:dyDescent="0.3">
      <c r="A3267" t="s">
        <v>1910</v>
      </c>
      <c r="B3267" t="s">
        <v>1910</v>
      </c>
      <c r="C3267" s="82" t="s">
        <v>1910</v>
      </c>
      <c r="D3267" s="83" t="s">
        <v>629</v>
      </c>
      <c r="E3267" s="251" t="s">
        <v>1951</v>
      </c>
      <c r="F3267" s="124" t="s">
        <v>620</v>
      </c>
      <c r="G3267" s="130"/>
      <c r="H3267" s="125" t="s">
        <v>733</v>
      </c>
      <c r="I3267" s="311" t="str">
        <f t="shared" si="130"/>
        <v>Pesado de Passageiros M3: I : Gasóleo : E6</v>
      </c>
      <c r="J3267" s="125"/>
      <c r="K3267" s="253">
        <v>2022</v>
      </c>
      <c r="L3267" s="85">
        <v>199.92</v>
      </c>
      <c r="M3267" s="85" t="s">
        <v>630</v>
      </c>
      <c r="N3267" s="128">
        <v>476</v>
      </c>
      <c r="O3267" s="128">
        <f t="shared" si="129"/>
        <v>0</v>
      </c>
      <c r="P3267" s="125" t="s">
        <v>1432</v>
      </c>
      <c r="Q3267" s="85" t="s">
        <v>47</v>
      </c>
      <c r="R3267" s="214" t="s">
        <v>1869</v>
      </c>
      <c r="S3267" s="214" t="s">
        <v>1861</v>
      </c>
      <c r="T3267" s="85" t="s">
        <v>4234</v>
      </c>
      <c r="U3267" s="422" t="s">
        <v>1953</v>
      </c>
      <c r="V3267" s="422" t="s">
        <v>2813</v>
      </c>
    </row>
    <row r="3268" spans="1:22" ht="15.75" thickBot="1" x14ac:dyDescent="0.3">
      <c r="A3268" t="s">
        <v>1910</v>
      </c>
      <c r="B3268" t="s">
        <v>1910</v>
      </c>
      <c r="C3268" s="82" t="s">
        <v>1910</v>
      </c>
      <c r="D3268" s="83" t="s">
        <v>629</v>
      </c>
      <c r="E3268" s="251" t="s">
        <v>1951</v>
      </c>
      <c r="F3268" s="124" t="s">
        <v>620</v>
      </c>
      <c r="G3268" s="130"/>
      <c r="H3268" s="125" t="s">
        <v>733</v>
      </c>
      <c r="I3268" s="311" t="str">
        <f t="shared" si="130"/>
        <v>Pesado de Passageiros M3: I : Gasóleo : E6</v>
      </c>
      <c r="J3268" s="125"/>
      <c r="K3268" s="253">
        <v>2022</v>
      </c>
      <c r="L3268" s="85">
        <v>365.33069999999998</v>
      </c>
      <c r="M3268" s="85" t="s">
        <v>630</v>
      </c>
      <c r="N3268" s="128">
        <v>927</v>
      </c>
      <c r="O3268" s="128">
        <f t="shared" si="129"/>
        <v>0</v>
      </c>
      <c r="P3268" s="125" t="s">
        <v>4445</v>
      </c>
      <c r="Q3268" s="85" t="s">
        <v>47</v>
      </c>
      <c r="R3268" s="214" t="s">
        <v>1869</v>
      </c>
      <c r="S3268" s="214" t="s">
        <v>1861</v>
      </c>
      <c r="T3268" s="85" t="s">
        <v>4235</v>
      </c>
      <c r="U3268" s="422" t="s">
        <v>1953</v>
      </c>
      <c r="V3268" s="422" t="s">
        <v>2813</v>
      </c>
    </row>
    <row r="3269" spans="1:22" ht="15.75" thickBot="1" x14ac:dyDescent="0.3">
      <c r="A3269" t="s">
        <v>1910</v>
      </c>
      <c r="B3269" t="s">
        <v>1910</v>
      </c>
      <c r="C3269" s="82" t="s">
        <v>1910</v>
      </c>
      <c r="D3269" s="83" t="s">
        <v>629</v>
      </c>
      <c r="E3269" s="251" t="s">
        <v>1951</v>
      </c>
      <c r="F3269" s="124" t="s">
        <v>620</v>
      </c>
      <c r="G3269" s="130">
        <v>2022</v>
      </c>
      <c r="H3269" s="125" t="s">
        <v>733</v>
      </c>
      <c r="I3269" s="311" t="str">
        <f t="shared" si="130"/>
        <v>Pesado de Passageiros M3: I : Gasóleo : E6</v>
      </c>
      <c r="J3269" s="125">
        <v>83</v>
      </c>
      <c r="K3269" s="253">
        <v>2022</v>
      </c>
      <c r="L3269" s="381">
        <v>6112.56</v>
      </c>
      <c r="M3269" s="85" t="s">
        <v>630</v>
      </c>
      <c r="N3269" s="128">
        <v>6151</v>
      </c>
      <c r="O3269" s="128">
        <f t="shared" si="129"/>
        <v>510533</v>
      </c>
      <c r="P3269" s="125">
        <v>2750</v>
      </c>
      <c r="Q3269" s="85" t="s">
        <v>47</v>
      </c>
      <c r="R3269" s="214" t="s">
        <v>1869</v>
      </c>
      <c r="S3269" s="214" t="s">
        <v>1861</v>
      </c>
      <c r="T3269" s="85" t="s">
        <v>4235</v>
      </c>
      <c r="U3269" s="422" t="s">
        <v>1953</v>
      </c>
      <c r="V3269" s="422" t="s">
        <v>2813</v>
      </c>
    </row>
    <row r="3270" spans="1:22" ht="15.75" thickBot="1" x14ac:dyDescent="0.3">
      <c r="A3270" t="s">
        <v>1910</v>
      </c>
      <c r="B3270" t="s">
        <v>1910</v>
      </c>
      <c r="C3270" s="82" t="s">
        <v>1910</v>
      </c>
      <c r="D3270" s="83" t="s">
        <v>629</v>
      </c>
      <c r="E3270" s="251" t="s">
        <v>1951</v>
      </c>
      <c r="F3270" s="124" t="s">
        <v>620</v>
      </c>
      <c r="G3270" s="130"/>
      <c r="H3270" s="125" t="s">
        <v>733</v>
      </c>
      <c r="I3270" s="311" t="str">
        <f t="shared" si="130"/>
        <v>Pesado de Passageiros M3: I : Gasóleo : E6</v>
      </c>
      <c r="J3270" s="125"/>
      <c r="K3270" s="253">
        <v>2022</v>
      </c>
      <c r="L3270" s="85">
        <v>7410.7759999999998</v>
      </c>
      <c r="M3270" s="85" t="s">
        <v>630</v>
      </c>
      <c r="N3270" s="128">
        <v>19720</v>
      </c>
      <c r="O3270" s="128">
        <f t="shared" si="129"/>
        <v>0</v>
      </c>
      <c r="P3270" s="125" t="s">
        <v>4446</v>
      </c>
      <c r="Q3270" s="85" t="s">
        <v>47</v>
      </c>
      <c r="R3270" s="214" t="s">
        <v>1869</v>
      </c>
      <c r="S3270" s="214" t="s">
        <v>1861</v>
      </c>
      <c r="T3270" s="85" t="s">
        <v>4236</v>
      </c>
      <c r="U3270" s="422" t="s">
        <v>1953</v>
      </c>
      <c r="V3270" s="422" t="s">
        <v>2813</v>
      </c>
    </row>
    <row r="3271" spans="1:22" ht="15.75" thickBot="1" x14ac:dyDescent="0.3">
      <c r="A3271" t="s">
        <v>1910</v>
      </c>
      <c r="B3271" t="s">
        <v>1910</v>
      </c>
      <c r="C3271" s="82" t="s">
        <v>1910</v>
      </c>
      <c r="D3271" s="83" t="s">
        <v>629</v>
      </c>
      <c r="E3271" s="251" t="s">
        <v>1951</v>
      </c>
      <c r="F3271" s="124" t="s">
        <v>620</v>
      </c>
      <c r="G3271" s="130">
        <v>2022</v>
      </c>
      <c r="H3271" s="125" t="s">
        <v>733</v>
      </c>
      <c r="I3271" s="311" t="str">
        <f t="shared" si="130"/>
        <v>Pesado de Passageiros M3: I : Gasóleo : E6</v>
      </c>
      <c r="J3271" s="125">
        <v>89</v>
      </c>
      <c r="K3271" s="253">
        <v>2022</v>
      </c>
      <c r="L3271" s="129">
        <v>0</v>
      </c>
      <c r="M3271" s="85" t="s">
        <v>630</v>
      </c>
      <c r="N3271" s="128">
        <v>0</v>
      </c>
      <c r="O3271" s="128">
        <f t="shared" si="129"/>
        <v>0</v>
      </c>
      <c r="P3271" s="125">
        <v>2700</v>
      </c>
      <c r="Q3271" s="85" t="s">
        <v>47</v>
      </c>
      <c r="R3271" s="214" t="s">
        <v>1869</v>
      </c>
      <c r="S3271" s="214" t="s">
        <v>1861</v>
      </c>
      <c r="T3271" s="85" t="s">
        <v>4236</v>
      </c>
      <c r="U3271" s="422" t="s">
        <v>1953</v>
      </c>
      <c r="V3271" s="422" t="s">
        <v>2813</v>
      </c>
    </row>
    <row r="3272" spans="1:22" ht="15.75" thickBot="1" x14ac:dyDescent="0.3">
      <c r="A3272" t="s">
        <v>1910</v>
      </c>
      <c r="B3272" t="s">
        <v>1910</v>
      </c>
      <c r="C3272" s="82" t="s">
        <v>1910</v>
      </c>
      <c r="D3272" s="83" t="s">
        <v>629</v>
      </c>
      <c r="E3272" s="251" t="s">
        <v>1951</v>
      </c>
      <c r="F3272" s="124" t="s">
        <v>620</v>
      </c>
      <c r="G3272" s="130"/>
      <c r="H3272" s="125" t="s">
        <v>733</v>
      </c>
      <c r="I3272" s="311" t="str">
        <f t="shared" si="130"/>
        <v>Pesado de Passageiros M3: I : Gasóleo : E6</v>
      </c>
      <c r="J3272" s="125"/>
      <c r="K3272" s="253">
        <v>2022</v>
      </c>
      <c r="L3272" s="85">
        <v>184.38</v>
      </c>
      <c r="M3272" s="85" t="s">
        <v>630</v>
      </c>
      <c r="N3272" s="128">
        <v>439</v>
      </c>
      <c r="O3272" s="128">
        <f t="shared" si="129"/>
        <v>0</v>
      </c>
      <c r="P3272" s="125" t="s">
        <v>1419</v>
      </c>
      <c r="Q3272" s="85" t="s">
        <v>47</v>
      </c>
      <c r="R3272" s="214" t="s">
        <v>1869</v>
      </c>
      <c r="S3272" s="214" t="s">
        <v>1861</v>
      </c>
      <c r="T3272" s="85" t="s">
        <v>4237</v>
      </c>
      <c r="U3272" s="422" t="s">
        <v>1953</v>
      </c>
      <c r="V3272" s="422" t="s">
        <v>2813</v>
      </c>
    </row>
    <row r="3273" spans="1:22" ht="15.75" thickBot="1" x14ac:dyDescent="0.3">
      <c r="A3273" t="s">
        <v>1910</v>
      </c>
      <c r="B3273" t="s">
        <v>1910</v>
      </c>
      <c r="C3273" s="82" t="s">
        <v>1910</v>
      </c>
      <c r="D3273" s="83" t="s">
        <v>629</v>
      </c>
      <c r="E3273" s="251" t="s">
        <v>1951</v>
      </c>
      <c r="F3273" s="124" t="s">
        <v>620</v>
      </c>
      <c r="G3273" s="130"/>
      <c r="H3273" s="125" t="s">
        <v>733</v>
      </c>
      <c r="I3273" s="311" t="str">
        <f t="shared" si="130"/>
        <v>Pesado de Passageiros M3: I : Gasóleo : E6</v>
      </c>
      <c r="J3273" s="125"/>
      <c r="K3273" s="253">
        <v>2022</v>
      </c>
      <c r="L3273" s="85">
        <v>309.46800000000002</v>
      </c>
      <c r="M3273" s="85" t="s">
        <v>630</v>
      </c>
      <c r="N3273" s="128">
        <v>697</v>
      </c>
      <c r="O3273" s="128">
        <f t="shared" si="129"/>
        <v>0</v>
      </c>
      <c r="P3273" s="125" t="s">
        <v>1427</v>
      </c>
      <c r="Q3273" s="85" t="s">
        <v>47</v>
      </c>
      <c r="R3273" s="214" t="s">
        <v>1869</v>
      </c>
      <c r="S3273" s="214" t="s">
        <v>1861</v>
      </c>
      <c r="T3273" s="85" t="s">
        <v>4238</v>
      </c>
      <c r="U3273" s="422" t="s">
        <v>1953</v>
      </c>
      <c r="V3273" s="422" t="s">
        <v>2813</v>
      </c>
    </row>
    <row r="3274" spans="1:22" ht="15.75" thickBot="1" x14ac:dyDescent="0.3">
      <c r="A3274" t="s">
        <v>1910</v>
      </c>
      <c r="B3274" t="s">
        <v>1910</v>
      </c>
      <c r="C3274" s="82" t="s">
        <v>1910</v>
      </c>
      <c r="D3274" s="83" t="s">
        <v>629</v>
      </c>
      <c r="E3274" s="251" t="s">
        <v>1951</v>
      </c>
      <c r="F3274" s="124" t="s">
        <v>620</v>
      </c>
      <c r="G3274" s="130"/>
      <c r="H3274" s="125" t="s">
        <v>733</v>
      </c>
      <c r="I3274" s="311" t="str">
        <f t="shared" si="130"/>
        <v>Pesado de Passageiros M3: I : Gasóleo : E6</v>
      </c>
      <c r="J3274" s="125"/>
      <c r="K3274" s="253">
        <v>2022</v>
      </c>
      <c r="L3274" s="85">
        <v>158.76</v>
      </c>
      <c r="M3274" s="85" t="s">
        <v>630</v>
      </c>
      <c r="N3274" s="128">
        <v>378</v>
      </c>
      <c r="O3274" s="128">
        <f t="shared" si="129"/>
        <v>0</v>
      </c>
      <c r="P3274" s="125" t="s">
        <v>1434</v>
      </c>
      <c r="Q3274" s="85" t="s">
        <v>47</v>
      </c>
      <c r="R3274" s="214" t="s">
        <v>1869</v>
      </c>
      <c r="S3274" s="214" t="s">
        <v>1861</v>
      </c>
      <c r="T3274" s="85" t="s">
        <v>4239</v>
      </c>
      <c r="U3274" s="422" t="s">
        <v>1953</v>
      </c>
      <c r="V3274" s="422" t="s">
        <v>2813</v>
      </c>
    </row>
    <row r="3275" spans="1:22" ht="15.75" thickBot="1" x14ac:dyDescent="0.3">
      <c r="A3275" t="s">
        <v>1910</v>
      </c>
      <c r="B3275" t="s">
        <v>1910</v>
      </c>
      <c r="C3275" s="82" t="s">
        <v>1910</v>
      </c>
      <c r="D3275" s="83" t="s">
        <v>629</v>
      </c>
      <c r="E3275" s="251" t="s">
        <v>1951</v>
      </c>
      <c r="F3275" s="124" t="s">
        <v>620</v>
      </c>
      <c r="G3275" s="130"/>
      <c r="H3275" s="125" t="s">
        <v>733</v>
      </c>
      <c r="I3275" s="311" t="str">
        <f t="shared" si="130"/>
        <v>Pesado de Passageiros M3: I : Gasóleo : E6</v>
      </c>
      <c r="J3275" s="125"/>
      <c r="K3275" s="253">
        <v>2022</v>
      </c>
      <c r="L3275" s="85">
        <v>174.17179999999999</v>
      </c>
      <c r="M3275" s="85" t="s">
        <v>630</v>
      </c>
      <c r="N3275" s="128">
        <v>374</v>
      </c>
      <c r="O3275" s="128">
        <f t="shared" si="129"/>
        <v>0</v>
      </c>
      <c r="P3275" s="125" t="s">
        <v>1425</v>
      </c>
      <c r="Q3275" s="85" t="s">
        <v>47</v>
      </c>
      <c r="R3275" s="214" t="s">
        <v>1869</v>
      </c>
      <c r="S3275" s="214" t="s">
        <v>1861</v>
      </c>
      <c r="T3275" s="85" t="s">
        <v>4240</v>
      </c>
      <c r="U3275" s="422" t="s">
        <v>1953</v>
      </c>
      <c r="V3275" s="422" t="s">
        <v>2813</v>
      </c>
    </row>
    <row r="3276" spans="1:22" ht="15.75" thickBot="1" x14ac:dyDescent="0.3">
      <c r="A3276" t="s">
        <v>1910</v>
      </c>
      <c r="B3276" t="s">
        <v>1910</v>
      </c>
      <c r="C3276" s="82" t="s">
        <v>1910</v>
      </c>
      <c r="D3276" s="83" t="s">
        <v>629</v>
      </c>
      <c r="E3276" s="251" t="s">
        <v>1951</v>
      </c>
      <c r="F3276" s="124" t="s">
        <v>620</v>
      </c>
      <c r="G3276" s="125">
        <v>2022</v>
      </c>
      <c r="H3276" s="125" t="s">
        <v>733</v>
      </c>
      <c r="I3276" s="311" t="str">
        <f t="shared" si="130"/>
        <v>Pesado de Passageiros M3: I : Gasóleo : E6</v>
      </c>
      <c r="J3276" s="125">
        <v>85</v>
      </c>
      <c r="K3276" s="253">
        <v>2022</v>
      </c>
      <c r="L3276" s="129">
        <v>7858.2582000000002</v>
      </c>
      <c r="M3276" s="85" t="s">
        <v>630</v>
      </c>
      <c r="N3276" s="128">
        <v>18538</v>
      </c>
      <c r="O3276" s="128">
        <f t="shared" si="129"/>
        <v>1575730</v>
      </c>
      <c r="P3276" s="380">
        <v>2200</v>
      </c>
      <c r="Q3276" s="85" t="s">
        <v>47</v>
      </c>
      <c r="R3276" s="214" t="s">
        <v>1869</v>
      </c>
      <c r="S3276" s="214" t="s">
        <v>1861</v>
      </c>
      <c r="T3276" s="85" t="s">
        <v>4241</v>
      </c>
      <c r="U3276" s="422" t="s">
        <v>1953</v>
      </c>
      <c r="V3276" s="422" t="s">
        <v>2813</v>
      </c>
    </row>
    <row r="3277" spans="1:22" ht="15.75" thickBot="1" x14ac:dyDescent="0.3">
      <c r="A3277" t="s">
        <v>1910</v>
      </c>
      <c r="B3277" t="s">
        <v>1910</v>
      </c>
      <c r="C3277" s="82" t="s">
        <v>1910</v>
      </c>
      <c r="D3277" s="83" t="s">
        <v>629</v>
      </c>
      <c r="E3277" s="251" t="s">
        <v>1951</v>
      </c>
      <c r="F3277" s="124" t="s">
        <v>620</v>
      </c>
      <c r="G3277" s="130"/>
      <c r="H3277" s="125" t="s">
        <v>733</v>
      </c>
      <c r="I3277" s="311" t="str">
        <f t="shared" si="130"/>
        <v>Pesado de Passageiros M3: I : Gasóleo : E6</v>
      </c>
      <c r="J3277" s="125"/>
      <c r="K3277" s="253">
        <v>2022</v>
      </c>
      <c r="L3277" s="85">
        <v>266.27999999999997</v>
      </c>
      <c r="M3277" s="85" t="s">
        <v>630</v>
      </c>
      <c r="N3277" s="128">
        <v>634</v>
      </c>
      <c r="O3277" s="128">
        <f t="shared" si="129"/>
        <v>0</v>
      </c>
      <c r="P3277" s="125" t="s">
        <v>1433</v>
      </c>
      <c r="Q3277" s="85" t="s">
        <v>47</v>
      </c>
      <c r="R3277" s="214" t="s">
        <v>1869</v>
      </c>
      <c r="S3277" s="214" t="s">
        <v>1861</v>
      </c>
      <c r="T3277" s="85" t="s">
        <v>4242</v>
      </c>
      <c r="U3277" s="422" t="s">
        <v>1953</v>
      </c>
      <c r="V3277" s="422" t="s">
        <v>2813</v>
      </c>
    </row>
    <row r="3278" spans="1:22" ht="15.75" thickBot="1" x14ac:dyDescent="0.3">
      <c r="A3278" t="s">
        <v>1910</v>
      </c>
      <c r="B3278" t="s">
        <v>1910</v>
      </c>
      <c r="C3278" s="82" t="s">
        <v>1910</v>
      </c>
      <c r="D3278" s="83" t="s">
        <v>629</v>
      </c>
      <c r="E3278" s="251" t="s">
        <v>1951</v>
      </c>
      <c r="F3278" s="124" t="s">
        <v>620</v>
      </c>
      <c r="G3278" s="130">
        <v>2022</v>
      </c>
      <c r="H3278" s="125" t="s">
        <v>733</v>
      </c>
      <c r="I3278" s="311" t="str">
        <f t="shared" si="130"/>
        <v>Pesado de Passageiros M3: I : Gasóleo : E6</v>
      </c>
      <c r="J3278" s="125">
        <v>109</v>
      </c>
      <c r="K3278" s="253">
        <v>2022</v>
      </c>
      <c r="L3278" s="129">
        <v>8819.6327999999994</v>
      </c>
      <c r="M3278" s="85" t="s">
        <v>630</v>
      </c>
      <c r="N3278" s="128">
        <v>23444</v>
      </c>
      <c r="O3278" s="128">
        <f t="shared" si="129"/>
        <v>2555396</v>
      </c>
      <c r="P3278" s="125">
        <v>2340</v>
      </c>
      <c r="Q3278" s="85" t="s">
        <v>47</v>
      </c>
      <c r="R3278" s="214" t="s">
        <v>1869</v>
      </c>
      <c r="S3278" s="214" t="s">
        <v>1861</v>
      </c>
      <c r="T3278" s="85" t="s">
        <v>4243</v>
      </c>
      <c r="U3278" s="422" t="s">
        <v>1953</v>
      </c>
      <c r="V3278" s="422" t="s">
        <v>2813</v>
      </c>
    </row>
    <row r="3279" spans="1:22" ht="15.75" thickBot="1" x14ac:dyDescent="0.3">
      <c r="A3279" t="s">
        <v>1910</v>
      </c>
      <c r="B3279" t="s">
        <v>1910</v>
      </c>
      <c r="C3279" s="82" t="s">
        <v>1910</v>
      </c>
      <c r="D3279" s="83" t="s">
        <v>629</v>
      </c>
      <c r="E3279" s="251" t="s">
        <v>1951</v>
      </c>
      <c r="F3279" s="124" t="s">
        <v>620</v>
      </c>
      <c r="G3279" s="130">
        <v>2022</v>
      </c>
      <c r="H3279" s="125" t="s">
        <v>733</v>
      </c>
      <c r="I3279" s="311" t="str">
        <f t="shared" si="130"/>
        <v>Pesado de Passageiros M3: I : Gasóleo : E6</v>
      </c>
      <c r="J3279" s="125">
        <v>83</v>
      </c>
      <c r="K3279" s="253">
        <v>2022</v>
      </c>
      <c r="L3279" s="129">
        <v>7334.0398999999998</v>
      </c>
      <c r="M3279" s="85" t="s">
        <v>630</v>
      </c>
      <c r="N3279" s="128">
        <v>18469</v>
      </c>
      <c r="O3279" s="128">
        <f t="shared" si="129"/>
        <v>1532927</v>
      </c>
      <c r="P3279" s="125">
        <v>2760</v>
      </c>
      <c r="Q3279" s="85" t="s">
        <v>47</v>
      </c>
      <c r="R3279" s="214" t="s">
        <v>1869</v>
      </c>
      <c r="S3279" s="214" t="s">
        <v>1861</v>
      </c>
      <c r="T3279" s="85" t="s">
        <v>4244</v>
      </c>
      <c r="U3279" s="422" t="s">
        <v>1953</v>
      </c>
      <c r="V3279" s="422" t="s">
        <v>2813</v>
      </c>
    </row>
    <row r="3280" spans="1:22" ht="15.75" thickBot="1" x14ac:dyDescent="0.3">
      <c r="A3280" t="s">
        <v>1910</v>
      </c>
      <c r="B3280" t="s">
        <v>1910</v>
      </c>
      <c r="C3280" s="82" t="s">
        <v>1910</v>
      </c>
      <c r="D3280" s="83" t="s">
        <v>629</v>
      </c>
      <c r="E3280" s="251" t="s">
        <v>1951</v>
      </c>
      <c r="F3280" s="124" t="s">
        <v>620</v>
      </c>
      <c r="G3280" s="130"/>
      <c r="H3280" s="125" t="s">
        <v>733</v>
      </c>
      <c r="I3280" s="311" t="str">
        <f t="shared" si="130"/>
        <v>Pesado de Passageiros M3: I : Gasóleo : E6</v>
      </c>
      <c r="J3280" s="125"/>
      <c r="K3280" s="253">
        <v>2022</v>
      </c>
      <c r="L3280" s="85">
        <v>368.91360000000003</v>
      </c>
      <c r="M3280" s="85" t="s">
        <v>630</v>
      </c>
      <c r="N3280" s="128">
        <v>816</v>
      </c>
      <c r="O3280" s="128">
        <f t="shared" si="129"/>
        <v>0</v>
      </c>
      <c r="P3280" s="125" t="s">
        <v>4447</v>
      </c>
      <c r="Q3280" s="85" t="s">
        <v>47</v>
      </c>
      <c r="R3280" s="214" t="s">
        <v>1869</v>
      </c>
      <c r="S3280" s="214" t="s">
        <v>1861</v>
      </c>
      <c r="T3280" s="85" t="s">
        <v>4245</v>
      </c>
      <c r="U3280" s="422" t="s">
        <v>1953</v>
      </c>
      <c r="V3280" s="422" t="s">
        <v>2813</v>
      </c>
    </row>
    <row r="3281" spans="1:22" ht="15.75" thickBot="1" x14ac:dyDescent="0.3">
      <c r="A3281" t="s">
        <v>1910</v>
      </c>
      <c r="B3281" t="s">
        <v>1910</v>
      </c>
      <c r="C3281" s="82" t="s">
        <v>1910</v>
      </c>
      <c r="D3281" s="83" t="s">
        <v>629</v>
      </c>
      <c r="E3281" s="251" t="s">
        <v>1951</v>
      </c>
      <c r="F3281" s="124" t="s">
        <v>620</v>
      </c>
      <c r="G3281" s="130"/>
      <c r="H3281" s="125" t="s">
        <v>733</v>
      </c>
      <c r="I3281" s="311" t="str">
        <f t="shared" si="130"/>
        <v>Pesado de Passageiros M3: I : Gasóleo : E6</v>
      </c>
      <c r="J3281" s="125"/>
      <c r="K3281" s="253">
        <v>2022</v>
      </c>
      <c r="L3281" s="85">
        <v>164.64</v>
      </c>
      <c r="M3281" s="85" t="s">
        <v>630</v>
      </c>
      <c r="N3281" s="128">
        <v>392</v>
      </c>
      <c r="O3281" s="128">
        <f t="shared" si="129"/>
        <v>0</v>
      </c>
      <c r="P3281" s="125" t="s">
        <v>1439</v>
      </c>
      <c r="Q3281" s="85" t="s">
        <v>47</v>
      </c>
      <c r="R3281" s="214" t="s">
        <v>1869</v>
      </c>
      <c r="S3281" s="214" t="s">
        <v>1861</v>
      </c>
      <c r="T3281" s="85" t="s">
        <v>4246</v>
      </c>
      <c r="U3281" s="422" t="s">
        <v>1953</v>
      </c>
      <c r="V3281" s="422" t="s">
        <v>2813</v>
      </c>
    </row>
    <row r="3282" spans="1:22" ht="15.75" thickBot="1" x14ac:dyDescent="0.3">
      <c r="A3282" t="s">
        <v>1910</v>
      </c>
      <c r="B3282" t="s">
        <v>1910</v>
      </c>
      <c r="C3282" s="82" t="s">
        <v>1910</v>
      </c>
      <c r="D3282" s="83" t="s">
        <v>629</v>
      </c>
      <c r="E3282" s="251" t="s">
        <v>1951</v>
      </c>
      <c r="F3282" s="124" t="s">
        <v>620</v>
      </c>
      <c r="G3282" s="130"/>
      <c r="H3282" s="125" t="s">
        <v>733</v>
      </c>
      <c r="I3282" s="311" t="str">
        <f t="shared" si="130"/>
        <v>Pesado de Passageiros M3: I : Gasóleo : E6</v>
      </c>
      <c r="J3282" s="125"/>
      <c r="K3282" s="253">
        <v>2022</v>
      </c>
      <c r="L3282" s="85">
        <v>411.86559999999997</v>
      </c>
      <c r="M3282" s="85" t="s">
        <v>630</v>
      </c>
      <c r="N3282" s="128">
        <v>736</v>
      </c>
      <c r="O3282" s="128">
        <f t="shared" si="129"/>
        <v>0</v>
      </c>
      <c r="P3282" s="125" t="s">
        <v>4448</v>
      </c>
      <c r="Q3282" s="85" t="s">
        <v>47</v>
      </c>
      <c r="R3282" s="214" t="s">
        <v>1869</v>
      </c>
      <c r="S3282" s="214" t="s">
        <v>1861</v>
      </c>
      <c r="T3282" s="85" t="s">
        <v>3394</v>
      </c>
      <c r="U3282" s="422" t="s">
        <v>1953</v>
      </c>
      <c r="V3282" s="422" t="s">
        <v>2813</v>
      </c>
    </row>
    <row r="3283" spans="1:22" ht="15.75" thickBot="1" x14ac:dyDescent="0.3">
      <c r="A3283" t="s">
        <v>1910</v>
      </c>
      <c r="B3283" t="s">
        <v>1910</v>
      </c>
      <c r="C3283" s="82" t="s">
        <v>1910</v>
      </c>
      <c r="D3283" s="83" t="s">
        <v>629</v>
      </c>
      <c r="E3283" s="251" t="s">
        <v>1951</v>
      </c>
      <c r="F3283" s="124" t="s">
        <v>620</v>
      </c>
      <c r="G3283" s="130"/>
      <c r="H3283" s="125" t="s">
        <v>733</v>
      </c>
      <c r="I3283" s="311" t="str">
        <f t="shared" si="130"/>
        <v>Pesado de Passageiros M3: I : Gasóleo : E6</v>
      </c>
      <c r="J3283" s="125"/>
      <c r="K3283" s="253">
        <v>2022</v>
      </c>
      <c r="L3283" s="85">
        <v>110.04</v>
      </c>
      <c r="M3283" s="85" t="s">
        <v>630</v>
      </c>
      <c r="N3283" s="128">
        <v>262</v>
      </c>
      <c r="O3283" s="128">
        <f t="shared" si="129"/>
        <v>0</v>
      </c>
      <c r="P3283" s="125" t="s">
        <v>1440</v>
      </c>
      <c r="Q3283" s="85" t="s">
        <v>47</v>
      </c>
      <c r="R3283" s="214" t="s">
        <v>1869</v>
      </c>
      <c r="S3283" s="214" t="s">
        <v>1861</v>
      </c>
      <c r="T3283" s="85" t="s">
        <v>4247</v>
      </c>
      <c r="U3283" s="422" t="s">
        <v>1953</v>
      </c>
      <c r="V3283" s="422" t="s">
        <v>2813</v>
      </c>
    </row>
    <row r="3284" spans="1:22" ht="15.75" thickBot="1" x14ac:dyDescent="0.3">
      <c r="A3284" t="s">
        <v>1910</v>
      </c>
      <c r="B3284" t="s">
        <v>1910</v>
      </c>
      <c r="C3284" s="82" t="s">
        <v>1910</v>
      </c>
      <c r="D3284" s="83" t="s">
        <v>629</v>
      </c>
      <c r="E3284" s="251" t="s">
        <v>1951</v>
      </c>
      <c r="F3284" s="124" t="s">
        <v>620</v>
      </c>
      <c r="G3284" s="130"/>
      <c r="H3284" s="125" t="s">
        <v>733</v>
      </c>
      <c r="I3284" s="311" t="str">
        <f t="shared" si="130"/>
        <v>Pesado de Passageiros M3: I : Gasóleo : E6</v>
      </c>
      <c r="J3284" s="125"/>
      <c r="K3284" s="253">
        <v>2022</v>
      </c>
      <c r="L3284" s="85">
        <v>250.90259999999998</v>
      </c>
      <c r="M3284" s="85" t="s">
        <v>630</v>
      </c>
      <c r="N3284" s="128">
        <v>494</v>
      </c>
      <c r="O3284" s="128">
        <f t="shared" si="129"/>
        <v>0</v>
      </c>
      <c r="P3284" s="125" t="s">
        <v>4449</v>
      </c>
      <c r="Q3284" s="85" t="s">
        <v>47</v>
      </c>
      <c r="R3284" s="214" t="s">
        <v>1869</v>
      </c>
      <c r="S3284" s="214" t="s">
        <v>1861</v>
      </c>
      <c r="T3284" s="85" t="s">
        <v>3391</v>
      </c>
      <c r="U3284" s="422" t="s">
        <v>1953</v>
      </c>
      <c r="V3284" s="422" t="s">
        <v>2813</v>
      </c>
    </row>
    <row r="3285" spans="1:22" ht="15.75" thickBot="1" x14ac:dyDescent="0.3">
      <c r="A3285" t="s">
        <v>1910</v>
      </c>
      <c r="B3285" t="s">
        <v>1910</v>
      </c>
      <c r="C3285" s="82" t="s">
        <v>1910</v>
      </c>
      <c r="D3285" s="83" t="s">
        <v>629</v>
      </c>
      <c r="E3285" s="251" t="s">
        <v>1951</v>
      </c>
      <c r="F3285" s="124" t="s">
        <v>620</v>
      </c>
      <c r="G3285" s="130">
        <v>2022</v>
      </c>
      <c r="H3285" s="125" t="s">
        <v>733</v>
      </c>
      <c r="I3285" s="311" t="str">
        <f t="shared" si="130"/>
        <v>Pesado de Passageiros M3: I : Gasóleo : E6</v>
      </c>
      <c r="J3285" s="125">
        <v>83</v>
      </c>
      <c r="K3285" s="253">
        <v>2022</v>
      </c>
      <c r="L3285" s="129">
        <v>6837.1758000000009</v>
      </c>
      <c r="M3285" s="85" t="s">
        <v>630</v>
      </c>
      <c r="N3285" s="128">
        <v>19698</v>
      </c>
      <c r="O3285" s="128">
        <f t="shared" si="129"/>
        <v>1634934</v>
      </c>
      <c r="P3285" s="125">
        <v>2758</v>
      </c>
      <c r="Q3285" s="85" t="s">
        <v>47</v>
      </c>
      <c r="R3285" s="214" t="s">
        <v>1869</v>
      </c>
      <c r="S3285" s="214" t="s">
        <v>1861</v>
      </c>
      <c r="T3285" s="85" t="s">
        <v>4248</v>
      </c>
      <c r="U3285" s="422" t="s">
        <v>1953</v>
      </c>
      <c r="V3285" s="422" t="s">
        <v>2813</v>
      </c>
    </row>
    <row r="3286" spans="1:22" ht="15.75" thickBot="1" x14ac:dyDescent="0.3">
      <c r="A3286" t="s">
        <v>1910</v>
      </c>
      <c r="B3286" t="s">
        <v>1910</v>
      </c>
      <c r="C3286" s="82" t="s">
        <v>1910</v>
      </c>
      <c r="D3286" s="83" t="s">
        <v>629</v>
      </c>
      <c r="E3286" s="251" t="s">
        <v>1951</v>
      </c>
      <c r="F3286" s="124" t="s">
        <v>620</v>
      </c>
      <c r="G3286" s="130"/>
      <c r="H3286" s="125" t="s">
        <v>733</v>
      </c>
      <c r="I3286" s="311" t="str">
        <f t="shared" si="130"/>
        <v>Pesado de Passageiros M3: I : Gasóleo : E6</v>
      </c>
      <c r="J3286" s="125"/>
      <c r="K3286" s="253">
        <v>2022</v>
      </c>
      <c r="L3286" s="85">
        <v>2920.0155</v>
      </c>
      <c r="M3286" s="85" t="s">
        <v>630</v>
      </c>
      <c r="N3286" s="128">
        <v>8331</v>
      </c>
      <c r="O3286" s="128">
        <f t="shared" si="129"/>
        <v>0</v>
      </c>
      <c r="P3286" s="125" t="s">
        <v>4450</v>
      </c>
      <c r="Q3286" s="85" t="s">
        <v>47</v>
      </c>
      <c r="R3286" s="214" t="s">
        <v>1869</v>
      </c>
      <c r="S3286" s="214" t="s">
        <v>1861</v>
      </c>
      <c r="T3286" s="85" t="s">
        <v>4249</v>
      </c>
      <c r="U3286" s="422" t="s">
        <v>1953</v>
      </c>
      <c r="V3286" s="422" t="s">
        <v>2813</v>
      </c>
    </row>
    <row r="3287" spans="1:22" ht="15.75" thickBot="1" x14ac:dyDescent="0.3">
      <c r="A3287" t="s">
        <v>1910</v>
      </c>
      <c r="B3287" t="s">
        <v>1910</v>
      </c>
      <c r="C3287" s="82" t="s">
        <v>1910</v>
      </c>
      <c r="D3287" s="83" t="s">
        <v>629</v>
      </c>
      <c r="E3287" s="251" t="s">
        <v>1951</v>
      </c>
      <c r="F3287" s="124" t="s">
        <v>620</v>
      </c>
      <c r="G3287" s="130">
        <v>2022</v>
      </c>
      <c r="H3287" s="125" t="s">
        <v>733</v>
      </c>
      <c r="I3287" s="311" t="str">
        <f t="shared" si="130"/>
        <v>Pesado de Passageiros M3: I : Gasóleo : E6</v>
      </c>
      <c r="J3287" s="125">
        <v>83</v>
      </c>
      <c r="K3287" s="253">
        <v>2022</v>
      </c>
      <c r="L3287" s="381">
        <v>3068.7644999999998</v>
      </c>
      <c r="M3287" s="85" t="s">
        <v>630</v>
      </c>
      <c r="N3287" s="128">
        <v>8334</v>
      </c>
      <c r="O3287" s="128">
        <f t="shared" si="129"/>
        <v>691722</v>
      </c>
      <c r="P3287" s="125">
        <v>2756</v>
      </c>
      <c r="Q3287" s="85" t="s">
        <v>47</v>
      </c>
      <c r="R3287" s="214" t="s">
        <v>1869</v>
      </c>
      <c r="S3287" s="214" t="s">
        <v>1861</v>
      </c>
      <c r="T3287" s="85" t="s">
        <v>4249</v>
      </c>
      <c r="U3287" s="422" t="s">
        <v>1953</v>
      </c>
      <c r="V3287" s="422" t="s">
        <v>2813</v>
      </c>
    </row>
    <row r="3288" spans="1:22" ht="15.75" thickBot="1" x14ac:dyDescent="0.3">
      <c r="A3288" t="s">
        <v>1910</v>
      </c>
      <c r="B3288" t="s">
        <v>1910</v>
      </c>
      <c r="C3288" s="82" t="s">
        <v>1910</v>
      </c>
      <c r="D3288" s="83" t="s">
        <v>629</v>
      </c>
      <c r="E3288" s="251" t="s">
        <v>1951</v>
      </c>
      <c r="F3288" s="124" t="s">
        <v>620</v>
      </c>
      <c r="G3288" s="130"/>
      <c r="H3288" s="125" t="s">
        <v>733</v>
      </c>
      <c r="I3288" s="311" t="str">
        <f t="shared" si="130"/>
        <v>Pesado de Passageiros M3: I : Gasóleo : E6</v>
      </c>
      <c r="J3288" s="125"/>
      <c r="K3288" s="253">
        <v>2022</v>
      </c>
      <c r="L3288" s="85">
        <v>459.8</v>
      </c>
      <c r="M3288" s="85" t="s">
        <v>630</v>
      </c>
      <c r="N3288" s="128">
        <v>968</v>
      </c>
      <c r="O3288" s="128">
        <f t="shared" si="129"/>
        <v>0</v>
      </c>
      <c r="P3288" s="125" t="s">
        <v>1426</v>
      </c>
      <c r="Q3288" s="85" t="s">
        <v>47</v>
      </c>
      <c r="R3288" s="214" t="s">
        <v>1869</v>
      </c>
      <c r="S3288" s="214" t="s">
        <v>1861</v>
      </c>
      <c r="T3288" s="85" t="s">
        <v>4250</v>
      </c>
      <c r="U3288" s="422" t="s">
        <v>1953</v>
      </c>
      <c r="V3288" s="422" t="s">
        <v>2813</v>
      </c>
    </row>
    <row r="3289" spans="1:22" ht="15.75" thickBot="1" x14ac:dyDescent="0.3">
      <c r="A3289" t="s">
        <v>1910</v>
      </c>
      <c r="B3289" t="s">
        <v>1910</v>
      </c>
      <c r="C3289" s="82" t="s">
        <v>1910</v>
      </c>
      <c r="D3289" s="83" t="s">
        <v>629</v>
      </c>
      <c r="E3289" s="251" t="s">
        <v>1951</v>
      </c>
      <c r="F3289" s="124" t="s">
        <v>620</v>
      </c>
      <c r="G3289" s="130"/>
      <c r="H3289" s="125" t="s">
        <v>733</v>
      </c>
      <c r="I3289" s="311" t="str">
        <f t="shared" si="130"/>
        <v>Pesado de Passageiros M3: I : Gasóleo : E6</v>
      </c>
      <c r="J3289" s="125"/>
      <c r="K3289" s="253">
        <v>2022</v>
      </c>
      <c r="L3289" s="85">
        <v>145.74</v>
      </c>
      <c r="M3289" s="85" t="s">
        <v>630</v>
      </c>
      <c r="N3289" s="128">
        <v>347</v>
      </c>
      <c r="O3289" s="128">
        <f t="shared" si="129"/>
        <v>0</v>
      </c>
      <c r="P3289" s="125" t="s">
        <v>4451</v>
      </c>
      <c r="Q3289" s="85" t="s">
        <v>47</v>
      </c>
      <c r="R3289" s="214" t="s">
        <v>1869</v>
      </c>
      <c r="S3289" s="214" t="s">
        <v>1861</v>
      </c>
      <c r="T3289" s="85" t="s">
        <v>4251</v>
      </c>
      <c r="U3289" s="422" t="s">
        <v>1953</v>
      </c>
      <c r="V3289" s="422" t="s">
        <v>2813</v>
      </c>
    </row>
    <row r="3290" spans="1:22" ht="15.75" thickBot="1" x14ac:dyDescent="0.3">
      <c r="A3290" t="s">
        <v>1910</v>
      </c>
      <c r="B3290" t="s">
        <v>1910</v>
      </c>
      <c r="C3290" s="82" t="s">
        <v>1910</v>
      </c>
      <c r="D3290" s="83" t="s">
        <v>629</v>
      </c>
      <c r="E3290" s="251" t="s">
        <v>1951</v>
      </c>
      <c r="F3290" s="124" t="s">
        <v>620</v>
      </c>
      <c r="G3290" s="130">
        <v>2022</v>
      </c>
      <c r="H3290" s="125" t="s">
        <v>733</v>
      </c>
      <c r="I3290" s="311" t="str">
        <f t="shared" si="130"/>
        <v>Pesado de Passageiros M3: I : Gasóleo : E6</v>
      </c>
      <c r="J3290" s="125">
        <v>83</v>
      </c>
      <c r="K3290" s="253">
        <v>2022</v>
      </c>
      <c r="L3290" s="129">
        <v>7990.8074999999999</v>
      </c>
      <c r="M3290" s="85" t="s">
        <v>630</v>
      </c>
      <c r="N3290" s="128">
        <v>20891</v>
      </c>
      <c r="O3290" s="128">
        <f t="shared" si="129"/>
        <v>1733953</v>
      </c>
      <c r="P3290" s="125">
        <v>2761</v>
      </c>
      <c r="Q3290" s="85" t="s">
        <v>47</v>
      </c>
      <c r="R3290" s="214" t="s">
        <v>1869</v>
      </c>
      <c r="S3290" s="214" t="s">
        <v>1861</v>
      </c>
      <c r="T3290" s="85" t="s">
        <v>4252</v>
      </c>
      <c r="U3290" s="422" t="s">
        <v>1953</v>
      </c>
      <c r="V3290" s="422" t="s">
        <v>2813</v>
      </c>
    </row>
    <row r="3291" spans="1:22" ht="15.75" thickBot="1" x14ac:dyDescent="0.3">
      <c r="A3291" t="s">
        <v>1910</v>
      </c>
      <c r="B3291" t="s">
        <v>1910</v>
      </c>
      <c r="C3291" s="82" t="s">
        <v>1910</v>
      </c>
      <c r="D3291" s="83" t="s">
        <v>629</v>
      </c>
      <c r="E3291" s="251" t="s">
        <v>1951</v>
      </c>
      <c r="F3291" s="124" t="s">
        <v>620</v>
      </c>
      <c r="G3291" s="130"/>
      <c r="H3291" s="125" t="s">
        <v>733</v>
      </c>
      <c r="I3291" s="311" t="str">
        <f t="shared" si="130"/>
        <v>Pesado de Passageiros M3: I : Gasóleo : E6</v>
      </c>
      <c r="J3291" s="125"/>
      <c r="K3291" s="253">
        <v>2022</v>
      </c>
      <c r="L3291" s="85">
        <v>10.08</v>
      </c>
      <c r="M3291" s="85" t="s">
        <v>630</v>
      </c>
      <c r="N3291" s="128">
        <v>24</v>
      </c>
      <c r="O3291" s="128">
        <f t="shared" si="129"/>
        <v>0</v>
      </c>
      <c r="P3291" s="125" t="s">
        <v>1447</v>
      </c>
      <c r="Q3291" s="85" t="s">
        <v>47</v>
      </c>
      <c r="R3291" s="214" t="s">
        <v>1869</v>
      </c>
      <c r="S3291" s="214" t="s">
        <v>1861</v>
      </c>
      <c r="T3291" s="85" t="s">
        <v>4253</v>
      </c>
      <c r="U3291" s="422" t="s">
        <v>1953</v>
      </c>
      <c r="V3291" s="422" t="s">
        <v>2813</v>
      </c>
    </row>
    <row r="3292" spans="1:22" ht="15.75" thickBot="1" x14ac:dyDescent="0.3">
      <c r="A3292" t="s">
        <v>1910</v>
      </c>
      <c r="B3292" t="s">
        <v>1910</v>
      </c>
      <c r="C3292" s="82" t="s">
        <v>1910</v>
      </c>
      <c r="D3292" s="83" t="s">
        <v>629</v>
      </c>
      <c r="E3292" s="251" t="s">
        <v>1951</v>
      </c>
      <c r="F3292" s="124" t="s">
        <v>620</v>
      </c>
      <c r="G3292" s="130"/>
      <c r="H3292" s="125" t="s">
        <v>733</v>
      </c>
      <c r="I3292" s="311" t="str">
        <f t="shared" si="130"/>
        <v>Pesado de Passageiros M3: I : Gasóleo : E6</v>
      </c>
      <c r="J3292" s="125"/>
      <c r="K3292" s="253">
        <v>2022</v>
      </c>
      <c r="L3292" s="85">
        <v>46.62</v>
      </c>
      <c r="M3292" s="85" t="s">
        <v>630</v>
      </c>
      <c r="N3292" s="128">
        <v>111</v>
      </c>
      <c r="O3292" s="128">
        <f t="shared" si="129"/>
        <v>0</v>
      </c>
      <c r="P3292" s="125" t="s">
        <v>1421</v>
      </c>
      <c r="Q3292" s="85" t="s">
        <v>47</v>
      </c>
      <c r="R3292" s="214" t="s">
        <v>1869</v>
      </c>
      <c r="S3292" s="214" t="s">
        <v>1861</v>
      </c>
      <c r="T3292" s="85" t="s">
        <v>4254</v>
      </c>
      <c r="U3292" s="422" t="s">
        <v>1953</v>
      </c>
      <c r="V3292" s="422" t="s">
        <v>2813</v>
      </c>
    </row>
    <row r="3293" spans="1:22" ht="15.75" thickBot="1" x14ac:dyDescent="0.3">
      <c r="A3293" t="s">
        <v>1910</v>
      </c>
      <c r="B3293" t="s">
        <v>1910</v>
      </c>
      <c r="C3293" s="82" t="s">
        <v>1910</v>
      </c>
      <c r="D3293" s="83" t="s">
        <v>629</v>
      </c>
      <c r="E3293" s="251" t="s">
        <v>1951</v>
      </c>
      <c r="F3293" s="124" t="s">
        <v>620</v>
      </c>
      <c r="G3293" s="130"/>
      <c r="H3293" s="125" t="s">
        <v>733</v>
      </c>
      <c r="I3293" s="311" t="str">
        <f t="shared" si="130"/>
        <v>Pesado de Passageiros M3: I : Gasóleo : E6</v>
      </c>
      <c r="J3293" s="125"/>
      <c r="K3293" s="253">
        <v>2022</v>
      </c>
      <c r="L3293" s="85">
        <v>291.7808</v>
      </c>
      <c r="M3293" s="85" t="s">
        <v>630</v>
      </c>
      <c r="N3293" s="128">
        <v>688</v>
      </c>
      <c r="O3293" s="128">
        <f t="shared" si="129"/>
        <v>0</v>
      </c>
      <c r="P3293" s="125" t="s">
        <v>4452</v>
      </c>
      <c r="Q3293" s="85" t="s">
        <v>47</v>
      </c>
      <c r="R3293" s="214" t="s">
        <v>1869</v>
      </c>
      <c r="S3293" s="214" t="s">
        <v>1861</v>
      </c>
      <c r="T3293" s="85" t="s">
        <v>4255</v>
      </c>
      <c r="U3293" s="422" t="s">
        <v>1953</v>
      </c>
      <c r="V3293" s="422" t="s">
        <v>2813</v>
      </c>
    </row>
    <row r="3294" spans="1:22" ht="15.75" thickBot="1" x14ac:dyDescent="0.3">
      <c r="A3294" t="s">
        <v>1910</v>
      </c>
      <c r="B3294" t="s">
        <v>1910</v>
      </c>
      <c r="C3294" s="82" t="s">
        <v>1910</v>
      </c>
      <c r="D3294" s="83" t="s">
        <v>629</v>
      </c>
      <c r="E3294" s="251" t="s">
        <v>1951</v>
      </c>
      <c r="F3294" s="124" t="s">
        <v>620</v>
      </c>
      <c r="G3294" s="130">
        <v>2022</v>
      </c>
      <c r="H3294" s="125" t="s">
        <v>733</v>
      </c>
      <c r="I3294" s="311" t="str">
        <f t="shared" si="130"/>
        <v>Pesado de Passageiros M3: I : Gasóleo : E6</v>
      </c>
      <c r="J3294" s="125">
        <v>109</v>
      </c>
      <c r="K3294" s="253">
        <v>2022</v>
      </c>
      <c r="L3294" s="129">
        <v>4269.4445999999998</v>
      </c>
      <c r="M3294" s="85" t="s">
        <v>630</v>
      </c>
      <c r="N3294" s="128">
        <v>11101</v>
      </c>
      <c r="O3294" s="128">
        <f t="shared" si="129"/>
        <v>1210009</v>
      </c>
      <c r="P3294" s="125">
        <v>2342</v>
      </c>
      <c r="Q3294" s="85" t="s">
        <v>47</v>
      </c>
      <c r="R3294" s="214" t="s">
        <v>1869</v>
      </c>
      <c r="S3294" s="214" t="s">
        <v>1861</v>
      </c>
      <c r="T3294" s="85" t="s">
        <v>4256</v>
      </c>
      <c r="U3294" s="422" t="s">
        <v>1953</v>
      </c>
      <c r="V3294" s="422" t="s">
        <v>2813</v>
      </c>
    </row>
    <row r="3295" spans="1:22" ht="15.75" thickBot="1" x14ac:dyDescent="0.3">
      <c r="A3295" t="s">
        <v>1910</v>
      </c>
      <c r="B3295" t="s">
        <v>1910</v>
      </c>
      <c r="C3295" s="82" t="s">
        <v>1910</v>
      </c>
      <c r="D3295" s="83" t="s">
        <v>629</v>
      </c>
      <c r="E3295" s="251" t="s">
        <v>1951</v>
      </c>
      <c r="F3295" s="124" t="s">
        <v>620</v>
      </c>
      <c r="G3295" s="125">
        <v>2022</v>
      </c>
      <c r="H3295" s="125" t="s">
        <v>733</v>
      </c>
      <c r="I3295" s="311" t="str">
        <f t="shared" si="130"/>
        <v>Pesado de Passageiros M3: I : Gasóleo : E6</v>
      </c>
      <c r="J3295" s="125">
        <v>109</v>
      </c>
      <c r="K3295" s="253">
        <v>2022</v>
      </c>
      <c r="L3295" s="129">
        <v>1118.8668</v>
      </c>
      <c r="M3295" s="85" t="s">
        <v>630</v>
      </c>
      <c r="N3295" s="128">
        <v>2687</v>
      </c>
      <c r="O3295" s="128">
        <f t="shared" si="129"/>
        <v>292883</v>
      </c>
      <c r="P3295" s="380">
        <v>2317</v>
      </c>
      <c r="Q3295" s="85" t="s">
        <v>47</v>
      </c>
      <c r="R3295" s="214" t="s">
        <v>1869</v>
      </c>
      <c r="S3295" s="214" t="s">
        <v>1861</v>
      </c>
      <c r="T3295" s="85" t="s">
        <v>4257</v>
      </c>
      <c r="U3295" s="422" t="s">
        <v>1953</v>
      </c>
      <c r="V3295" s="422" t="s">
        <v>2813</v>
      </c>
    </row>
    <row r="3296" spans="1:22" ht="15.75" thickBot="1" x14ac:dyDescent="0.3">
      <c r="A3296" t="s">
        <v>1910</v>
      </c>
      <c r="B3296" t="s">
        <v>1910</v>
      </c>
      <c r="C3296" s="82" t="s">
        <v>1910</v>
      </c>
      <c r="D3296" s="83" t="s">
        <v>629</v>
      </c>
      <c r="E3296" s="251" t="s">
        <v>1951</v>
      </c>
      <c r="F3296" s="124" t="s">
        <v>620</v>
      </c>
      <c r="G3296" s="130"/>
      <c r="H3296" s="125" t="s">
        <v>733</v>
      </c>
      <c r="I3296" s="311" t="str">
        <f t="shared" si="130"/>
        <v>Pesado de Passageiros M3: I : Gasóleo : E6</v>
      </c>
      <c r="J3296" s="125"/>
      <c r="K3296" s="253">
        <v>2022</v>
      </c>
      <c r="L3296" s="85">
        <v>65.94</v>
      </c>
      <c r="M3296" s="85" t="s">
        <v>630</v>
      </c>
      <c r="N3296" s="128">
        <v>157</v>
      </c>
      <c r="O3296" s="128">
        <f t="shared" si="129"/>
        <v>0</v>
      </c>
      <c r="P3296" s="125" t="s">
        <v>1420</v>
      </c>
      <c r="Q3296" s="85" t="s">
        <v>47</v>
      </c>
      <c r="R3296" s="214" t="s">
        <v>1869</v>
      </c>
      <c r="S3296" s="214" t="s">
        <v>1861</v>
      </c>
      <c r="T3296" s="85" t="s">
        <v>4258</v>
      </c>
      <c r="U3296" s="422" t="s">
        <v>1953</v>
      </c>
      <c r="V3296" s="422" t="s">
        <v>2813</v>
      </c>
    </row>
    <row r="3297" spans="1:22" ht="15.75" thickBot="1" x14ac:dyDescent="0.3">
      <c r="A3297" t="s">
        <v>1910</v>
      </c>
      <c r="B3297" t="s">
        <v>1910</v>
      </c>
      <c r="C3297" s="82" t="s">
        <v>1910</v>
      </c>
      <c r="D3297" s="83" t="s">
        <v>629</v>
      </c>
      <c r="E3297" s="251" t="s">
        <v>1951</v>
      </c>
      <c r="F3297" s="124" t="s">
        <v>620</v>
      </c>
      <c r="G3297" s="130"/>
      <c r="H3297" s="125" t="s">
        <v>733</v>
      </c>
      <c r="I3297" s="311" t="str">
        <f t="shared" si="130"/>
        <v>Pesado de Passageiros M3: I : Gasóleo : E6</v>
      </c>
      <c r="J3297" s="125"/>
      <c r="K3297" s="253">
        <v>2022</v>
      </c>
      <c r="L3297" s="85">
        <v>106.26</v>
      </c>
      <c r="M3297" s="85" t="s">
        <v>630</v>
      </c>
      <c r="N3297" s="128">
        <v>253</v>
      </c>
      <c r="O3297" s="128">
        <f t="shared" si="129"/>
        <v>0</v>
      </c>
      <c r="P3297" s="125" t="s">
        <v>1446</v>
      </c>
      <c r="Q3297" s="85" t="s">
        <v>47</v>
      </c>
      <c r="R3297" s="214" t="s">
        <v>1869</v>
      </c>
      <c r="S3297" s="214" t="s">
        <v>1861</v>
      </c>
      <c r="T3297" s="85" t="s">
        <v>4259</v>
      </c>
      <c r="U3297" s="422" t="s">
        <v>1953</v>
      </c>
      <c r="V3297" s="422" t="s">
        <v>2813</v>
      </c>
    </row>
    <row r="3298" spans="1:22" ht="15.75" thickBot="1" x14ac:dyDescent="0.3">
      <c r="A3298" t="s">
        <v>1910</v>
      </c>
      <c r="B3298" t="s">
        <v>1910</v>
      </c>
      <c r="C3298" s="82" t="s">
        <v>1910</v>
      </c>
      <c r="D3298" s="83" t="s">
        <v>629</v>
      </c>
      <c r="E3298" s="251" t="s">
        <v>1951</v>
      </c>
      <c r="F3298" s="124" t="s">
        <v>620</v>
      </c>
      <c r="G3298" s="125">
        <v>2022</v>
      </c>
      <c r="H3298" s="125" t="s">
        <v>733</v>
      </c>
      <c r="I3298" s="311" t="str">
        <f t="shared" si="130"/>
        <v>Pesado de Passageiros M3: I : Gasóleo : E6</v>
      </c>
      <c r="J3298" s="125">
        <v>109</v>
      </c>
      <c r="K3298" s="253">
        <v>2022</v>
      </c>
      <c r="L3298" s="129">
        <v>1271.3399999999999</v>
      </c>
      <c r="M3298" s="85" t="s">
        <v>630</v>
      </c>
      <c r="N3298" s="128">
        <v>3027</v>
      </c>
      <c r="O3298" s="128">
        <f t="shared" si="129"/>
        <v>329943</v>
      </c>
      <c r="P3298" s="380">
        <v>2320</v>
      </c>
      <c r="Q3298" s="85" t="s">
        <v>47</v>
      </c>
      <c r="R3298" s="214" t="s">
        <v>1869</v>
      </c>
      <c r="S3298" s="214" t="s">
        <v>1861</v>
      </c>
      <c r="T3298" s="85" t="s">
        <v>4260</v>
      </c>
      <c r="U3298" s="422" t="s">
        <v>1953</v>
      </c>
      <c r="V3298" s="422" t="s">
        <v>2813</v>
      </c>
    </row>
    <row r="3299" spans="1:22" ht="15.75" thickBot="1" x14ac:dyDescent="0.3">
      <c r="A3299" t="s">
        <v>1910</v>
      </c>
      <c r="B3299" t="s">
        <v>1910</v>
      </c>
      <c r="C3299" s="82" t="s">
        <v>1910</v>
      </c>
      <c r="D3299" s="83" t="s">
        <v>629</v>
      </c>
      <c r="E3299" s="251" t="s">
        <v>1951</v>
      </c>
      <c r="F3299" s="124" t="s">
        <v>620</v>
      </c>
      <c r="G3299" s="125">
        <v>2022</v>
      </c>
      <c r="H3299" s="125" t="s">
        <v>733</v>
      </c>
      <c r="I3299" s="311" t="str">
        <f t="shared" si="130"/>
        <v>Pesado de Passageiros M3: I : Gasóleo : E6</v>
      </c>
      <c r="J3299" s="125">
        <v>109</v>
      </c>
      <c r="K3299" s="253">
        <v>2022</v>
      </c>
      <c r="L3299" s="129">
        <v>9751.3801999999996</v>
      </c>
      <c r="M3299" s="85" t="s">
        <v>630</v>
      </c>
      <c r="N3299" s="128">
        <v>25381</v>
      </c>
      <c r="O3299" s="128">
        <f t="shared" si="129"/>
        <v>2766529</v>
      </c>
      <c r="P3299" s="380">
        <v>2336</v>
      </c>
      <c r="Q3299" s="85" t="s">
        <v>47</v>
      </c>
      <c r="R3299" s="214" t="s">
        <v>1869</v>
      </c>
      <c r="S3299" s="214" t="s">
        <v>1861</v>
      </c>
      <c r="T3299" s="85" t="s">
        <v>4261</v>
      </c>
      <c r="U3299" s="422" t="s">
        <v>1953</v>
      </c>
      <c r="V3299" s="422" t="s">
        <v>2813</v>
      </c>
    </row>
    <row r="3300" spans="1:22" ht="15.75" thickBot="1" x14ac:dyDescent="0.3">
      <c r="A3300" t="s">
        <v>1910</v>
      </c>
      <c r="B3300" t="s">
        <v>1910</v>
      </c>
      <c r="C3300" s="82" t="s">
        <v>1910</v>
      </c>
      <c r="D3300" s="83" t="s">
        <v>629</v>
      </c>
      <c r="E3300" s="251" t="s">
        <v>1951</v>
      </c>
      <c r="F3300" s="124" t="s">
        <v>620</v>
      </c>
      <c r="G3300" s="130"/>
      <c r="H3300" s="125" t="s">
        <v>733</v>
      </c>
      <c r="I3300" s="311" t="str">
        <f t="shared" si="130"/>
        <v>Pesado de Passageiros M3: I : Gasóleo : E6</v>
      </c>
      <c r="J3300" s="125"/>
      <c r="K3300" s="253">
        <v>2022</v>
      </c>
      <c r="L3300" s="85">
        <v>326.97899999999998</v>
      </c>
      <c r="M3300" s="85" t="s">
        <v>630</v>
      </c>
      <c r="N3300" s="128">
        <v>773</v>
      </c>
      <c r="O3300" s="128">
        <f t="shared" si="129"/>
        <v>0</v>
      </c>
      <c r="P3300" s="125" t="s">
        <v>4453</v>
      </c>
      <c r="Q3300" s="85" t="s">
        <v>47</v>
      </c>
      <c r="R3300" s="214" t="s">
        <v>1869</v>
      </c>
      <c r="S3300" s="214" t="s">
        <v>1861</v>
      </c>
      <c r="T3300" s="85" t="s">
        <v>4262</v>
      </c>
      <c r="U3300" s="422" t="s">
        <v>1953</v>
      </c>
      <c r="V3300" s="422" t="s">
        <v>2813</v>
      </c>
    </row>
    <row r="3301" spans="1:22" ht="15.75" thickBot="1" x14ac:dyDescent="0.3">
      <c r="A3301" t="s">
        <v>1910</v>
      </c>
      <c r="B3301" t="s">
        <v>1910</v>
      </c>
      <c r="C3301" s="82" t="s">
        <v>1910</v>
      </c>
      <c r="D3301" s="83" t="s">
        <v>629</v>
      </c>
      <c r="E3301" s="251" t="s">
        <v>1951</v>
      </c>
      <c r="F3301" s="124" t="s">
        <v>620</v>
      </c>
      <c r="G3301" s="130"/>
      <c r="H3301" s="125" t="s">
        <v>733</v>
      </c>
      <c r="I3301" s="311" t="str">
        <f t="shared" si="130"/>
        <v>Pesado de Passageiros M3: I : Gasóleo : E6</v>
      </c>
      <c r="J3301" s="125"/>
      <c r="K3301" s="253">
        <v>2022</v>
      </c>
      <c r="L3301" s="85">
        <v>59.64</v>
      </c>
      <c r="M3301" s="85" t="s">
        <v>630</v>
      </c>
      <c r="N3301" s="128">
        <v>142</v>
      </c>
      <c r="O3301" s="128">
        <f t="shared" si="129"/>
        <v>0</v>
      </c>
      <c r="P3301" s="125" t="s">
        <v>1436</v>
      </c>
      <c r="Q3301" s="85" t="s">
        <v>47</v>
      </c>
      <c r="R3301" s="214" t="s">
        <v>1869</v>
      </c>
      <c r="S3301" s="214" t="s">
        <v>1861</v>
      </c>
      <c r="T3301" s="85" t="s">
        <v>4263</v>
      </c>
      <c r="U3301" s="422" t="s">
        <v>1953</v>
      </c>
      <c r="V3301" s="422" t="s">
        <v>2813</v>
      </c>
    </row>
    <row r="3302" spans="1:22" ht="15.75" thickBot="1" x14ac:dyDescent="0.3">
      <c r="A3302" t="s">
        <v>1910</v>
      </c>
      <c r="B3302" t="s">
        <v>1910</v>
      </c>
      <c r="C3302" s="82" t="s">
        <v>1910</v>
      </c>
      <c r="D3302" s="83" t="s">
        <v>629</v>
      </c>
      <c r="E3302" s="251" t="s">
        <v>1951</v>
      </c>
      <c r="F3302" s="124" t="s">
        <v>620</v>
      </c>
      <c r="G3302" s="130"/>
      <c r="H3302" s="125" t="s">
        <v>733</v>
      </c>
      <c r="I3302" s="311" t="str">
        <f t="shared" si="130"/>
        <v>Pesado de Passageiros M3: I : Gasóleo : E6</v>
      </c>
      <c r="J3302" s="125"/>
      <c r="K3302" s="253">
        <v>2022</v>
      </c>
      <c r="L3302" s="85">
        <v>76.44</v>
      </c>
      <c r="M3302" s="85" t="s">
        <v>630</v>
      </c>
      <c r="N3302" s="128">
        <v>182</v>
      </c>
      <c r="O3302" s="128">
        <f t="shared" si="129"/>
        <v>0</v>
      </c>
      <c r="P3302" s="125" t="s">
        <v>1438</v>
      </c>
      <c r="Q3302" s="85" t="s">
        <v>47</v>
      </c>
      <c r="R3302" s="214" t="s">
        <v>1869</v>
      </c>
      <c r="S3302" s="214" t="s">
        <v>1861</v>
      </c>
      <c r="T3302" s="85" t="s">
        <v>4264</v>
      </c>
      <c r="U3302" s="422" t="s">
        <v>1953</v>
      </c>
      <c r="V3302" s="422" t="s">
        <v>2813</v>
      </c>
    </row>
    <row r="3303" spans="1:22" ht="15.75" thickBot="1" x14ac:dyDescent="0.3">
      <c r="A3303" t="s">
        <v>1910</v>
      </c>
      <c r="B3303" t="s">
        <v>1910</v>
      </c>
      <c r="C3303" s="82" t="s">
        <v>1910</v>
      </c>
      <c r="D3303" s="83" t="s">
        <v>629</v>
      </c>
      <c r="E3303" s="251" t="s">
        <v>1951</v>
      </c>
      <c r="F3303" s="124" t="s">
        <v>620</v>
      </c>
      <c r="G3303" s="130"/>
      <c r="H3303" s="125" t="s">
        <v>733</v>
      </c>
      <c r="I3303" s="311" t="str">
        <f t="shared" si="130"/>
        <v>Pesado de Passageiros M3: I : Gasóleo : E6</v>
      </c>
      <c r="J3303" s="125"/>
      <c r="K3303" s="253">
        <v>2022</v>
      </c>
      <c r="L3303" s="85">
        <v>354.9504</v>
      </c>
      <c r="M3303" s="85" t="s">
        <v>630</v>
      </c>
      <c r="N3303" s="128">
        <v>834</v>
      </c>
      <c r="O3303" s="128">
        <f t="shared" si="129"/>
        <v>0</v>
      </c>
      <c r="P3303" s="125" t="s">
        <v>4454</v>
      </c>
      <c r="Q3303" s="85" t="s">
        <v>47</v>
      </c>
      <c r="R3303" s="214" t="s">
        <v>1869</v>
      </c>
      <c r="S3303" s="214" t="s">
        <v>1861</v>
      </c>
      <c r="T3303" s="85" t="s">
        <v>4265</v>
      </c>
      <c r="U3303" s="422" t="s">
        <v>1953</v>
      </c>
      <c r="V3303" s="422" t="s">
        <v>2813</v>
      </c>
    </row>
    <row r="3304" spans="1:22" ht="15.75" thickBot="1" x14ac:dyDescent="0.3">
      <c r="A3304" t="s">
        <v>1910</v>
      </c>
      <c r="B3304" t="s">
        <v>1910</v>
      </c>
      <c r="C3304" s="82" t="s">
        <v>1910</v>
      </c>
      <c r="D3304" s="83" t="s">
        <v>629</v>
      </c>
      <c r="E3304" s="251" t="s">
        <v>1951</v>
      </c>
      <c r="F3304" s="124" t="s">
        <v>620</v>
      </c>
      <c r="G3304" s="130"/>
      <c r="H3304" s="125" t="s">
        <v>733</v>
      </c>
      <c r="I3304" s="311" t="str">
        <f t="shared" si="130"/>
        <v>Pesado de Passageiros M3: I : Gasóleo : E6</v>
      </c>
      <c r="J3304" s="125"/>
      <c r="K3304" s="253">
        <v>2022</v>
      </c>
      <c r="L3304" s="85">
        <v>3966.0390000000002</v>
      </c>
      <c r="M3304" s="85" t="s">
        <v>630</v>
      </c>
      <c r="N3304" s="128">
        <v>10670</v>
      </c>
      <c r="O3304" s="128">
        <f t="shared" si="129"/>
        <v>0</v>
      </c>
      <c r="P3304" s="125" t="s">
        <v>4455</v>
      </c>
      <c r="Q3304" s="85" t="s">
        <v>47</v>
      </c>
      <c r="R3304" s="214" t="s">
        <v>1869</v>
      </c>
      <c r="S3304" s="214" t="s">
        <v>1861</v>
      </c>
      <c r="T3304" s="85" t="s">
        <v>3408</v>
      </c>
      <c r="U3304" s="422" t="s">
        <v>1953</v>
      </c>
      <c r="V3304" s="422" t="s">
        <v>2813</v>
      </c>
    </row>
    <row r="3305" spans="1:22" ht="15.75" thickBot="1" x14ac:dyDescent="0.3">
      <c r="A3305" t="s">
        <v>1910</v>
      </c>
      <c r="B3305" t="s">
        <v>1910</v>
      </c>
      <c r="C3305" s="82" t="s">
        <v>1910</v>
      </c>
      <c r="D3305" s="83" t="s">
        <v>629</v>
      </c>
      <c r="E3305" s="251" t="s">
        <v>1951</v>
      </c>
      <c r="F3305" s="124" t="s">
        <v>620</v>
      </c>
      <c r="G3305" s="130"/>
      <c r="H3305" s="125" t="s">
        <v>733</v>
      </c>
      <c r="I3305" s="311" t="str">
        <f t="shared" si="130"/>
        <v>Pesado de Passageiros M3: I : Gasóleo : E6</v>
      </c>
      <c r="J3305" s="125"/>
      <c r="K3305" s="253">
        <v>2022</v>
      </c>
      <c r="L3305" s="85">
        <v>17.64</v>
      </c>
      <c r="M3305" s="85" t="s">
        <v>630</v>
      </c>
      <c r="N3305" s="128">
        <v>84</v>
      </c>
      <c r="O3305" s="128">
        <f t="shared" si="129"/>
        <v>0</v>
      </c>
      <c r="P3305" s="125" t="s">
        <v>4456</v>
      </c>
      <c r="Q3305" s="85" t="s">
        <v>47</v>
      </c>
      <c r="R3305" s="214" t="s">
        <v>1869</v>
      </c>
      <c r="S3305" s="214" t="s">
        <v>1861</v>
      </c>
      <c r="T3305" s="85" t="s">
        <v>3379</v>
      </c>
      <c r="U3305" s="422" t="s">
        <v>1953</v>
      </c>
      <c r="V3305" s="422" t="s">
        <v>2813</v>
      </c>
    </row>
    <row r="3306" spans="1:22" ht="15.75" thickBot="1" x14ac:dyDescent="0.3">
      <c r="A3306" t="s">
        <v>1910</v>
      </c>
      <c r="B3306" t="s">
        <v>1910</v>
      </c>
      <c r="C3306" s="82" t="s">
        <v>1910</v>
      </c>
      <c r="D3306" s="83" t="s">
        <v>629</v>
      </c>
      <c r="E3306" s="251" t="s">
        <v>1951</v>
      </c>
      <c r="F3306" s="124" t="s">
        <v>620</v>
      </c>
      <c r="G3306" s="130">
        <v>2022</v>
      </c>
      <c r="H3306" s="125" t="s">
        <v>733</v>
      </c>
      <c r="I3306" s="311" t="str">
        <f t="shared" si="130"/>
        <v>Pesado de Passageiros M3: I : Gasóleo : E6</v>
      </c>
      <c r="J3306" s="125">
        <v>83</v>
      </c>
      <c r="K3306" s="253">
        <v>2022</v>
      </c>
      <c r="L3306" s="129">
        <v>7947.3394000000008</v>
      </c>
      <c r="M3306" s="85" t="s">
        <v>630</v>
      </c>
      <c r="N3306" s="128">
        <v>19474</v>
      </c>
      <c r="O3306" s="128">
        <f t="shared" si="129"/>
        <v>1616342</v>
      </c>
      <c r="P3306" s="125">
        <v>2759</v>
      </c>
      <c r="Q3306" s="85" t="s">
        <v>47</v>
      </c>
      <c r="R3306" s="214" t="s">
        <v>1869</v>
      </c>
      <c r="S3306" s="214" t="s">
        <v>1861</v>
      </c>
      <c r="T3306" s="85" t="s">
        <v>4266</v>
      </c>
      <c r="U3306" s="422" t="s">
        <v>1953</v>
      </c>
      <c r="V3306" s="422" t="s">
        <v>2813</v>
      </c>
    </row>
    <row r="3307" spans="1:22" ht="15.75" thickBot="1" x14ac:dyDescent="0.3">
      <c r="A3307" t="s">
        <v>1910</v>
      </c>
      <c r="B3307" t="s">
        <v>1910</v>
      </c>
      <c r="C3307" s="82" t="s">
        <v>1910</v>
      </c>
      <c r="D3307" s="83" t="s">
        <v>629</v>
      </c>
      <c r="E3307" s="251" t="s">
        <v>1951</v>
      </c>
      <c r="F3307" s="124" t="s">
        <v>620</v>
      </c>
      <c r="G3307" s="125">
        <v>2022</v>
      </c>
      <c r="H3307" s="125" t="s">
        <v>733</v>
      </c>
      <c r="I3307" s="311" t="str">
        <f t="shared" si="130"/>
        <v>Pesado de Passageiros M3: I : Gasóleo : E6</v>
      </c>
      <c r="J3307" s="125">
        <v>109</v>
      </c>
      <c r="K3307" s="253">
        <v>2022</v>
      </c>
      <c r="L3307" s="129">
        <v>1088.4665</v>
      </c>
      <c r="M3307" s="85" t="s">
        <v>630</v>
      </c>
      <c r="N3307" s="128">
        <v>2711</v>
      </c>
      <c r="O3307" s="128">
        <f t="shared" si="129"/>
        <v>295499</v>
      </c>
      <c r="P3307" s="380">
        <v>2318</v>
      </c>
      <c r="Q3307" s="85" t="s">
        <v>47</v>
      </c>
      <c r="R3307" s="214" t="s">
        <v>1869</v>
      </c>
      <c r="S3307" s="214" t="s">
        <v>1861</v>
      </c>
      <c r="T3307" s="85" t="s">
        <v>4267</v>
      </c>
      <c r="U3307" s="422" t="s">
        <v>1953</v>
      </c>
      <c r="V3307" s="422" t="s">
        <v>2813</v>
      </c>
    </row>
    <row r="3308" spans="1:22" ht="15.75" thickBot="1" x14ac:dyDescent="0.3">
      <c r="A3308" t="s">
        <v>1910</v>
      </c>
      <c r="B3308" t="s">
        <v>1910</v>
      </c>
      <c r="C3308" s="82" t="s">
        <v>1910</v>
      </c>
      <c r="D3308" s="83" t="s">
        <v>629</v>
      </c>
      <c r="E3308" s="251" t="s">
        <v>1951</v>
      </c>
      <c r="F3308" s="124" t="s">
        <v>620</v>
      </c>
      <c r="G3308" s="130">
        <v>2022</v>
      </c>
      <c r="H3308" s="125" t="s">
        <v>733</v>
      </c>
      <c r="I3308" s="311" t="str">
        <f t="shared" si="130"/>
        <v>Pesado de Passageiros M3: I : Gasóleo : E6</v>
      </c>
      <c r="J3308" s="125">
        <v>83</v>
      </c>
      <c r="K3308" s="253">
        <v>2022</v>
      </c>
      <c r="L3308" s="129">
        <v>7153.6910000000007</v>
      </c>
      <c r="M3308" s="85" t="s">
        <v>630</v>
      </c>
      <c r="N3308" s="128">
        <v>21830</v>
      </c>
      <c r="O3308" s="128">
        <f t="shared" si="129"/>
        <v>1811890</v>
      </c>
      <c r="P3308" s="125">
        <v>2757</v>
      </c>
      <c r="Q3308" s="85" t="s">
        <v>47</v>
      </c>
      <c r="R3308" s="214" t="s">
        <v>1869</v>
      </c>
      <c r="S3308" s="214" t="s">
        <v>1861</v>
      </c>
      <c r="T3308" s="85" t="s">
        <v>4268</v>
      </c>
      <c r="U3308" s="422" t="s">
        <v>1953</v>
      </c>
      <c r="V3308" s="422" t="s">
        <v>2813</v>
      </c>
    </row>
    <row r="3309" spans="1:22" ht="15.75" thickBot="1" x14ac:dyDescent="0.3">
      <c r="A3309" t="s">
        <v>1910</v>
      </c>
      <c r="B3309" t="s">
        <v>1910</v>
      </c>
      <c r="C3309" s="82" t="s">
        <v>1910</v>
      </c>
      <c r="D3309" s="83" t="s">
        <v>629</v>
      </c>
      <c r="E3309" s="251" t="s">
        <v>1951</v>
      </c>
      <c r="F3309" s="124" t="s">
        <v>620</v>
      </c>
      <c r="G3309" s="130"/>
      <c r="H3309" s="125" t="s">
        <v>733</v>
      </c>
      <c r="I3309" s="311" t="str">
        <f t="shared" si="130"/>
        <v>Pesado de Passageiros M3: I : Gasóleo : E6</v>
      </c>
      <c r="J3309" s="125"/>
      <c r="K3309" s="253">
        <v>2022</v>
      </c>
      <c r="L3309" s="85">
        <v>247.05450000000002</v>
      </c>
      <c r="M3309" s="85" t="s">
        <v>630</v>
      </c>
      <c r="N3309" s="128">
        <v>465</v>
      </c>
      <c r="O3309" s="128">
        <f t="shared" si="129"/>
        <v>0</v>
      </c>
      <c r="P3309" s="125" t="s">
        <v>4457</v>
      </c>
      <c r="Q3309" s="85" t="s">
        <v>47</v>
      </c>
      <c r="R3309" s="214" t="s">
        <v>1869</v>
      </c>
      <c r="S3309" s="214" t="s">
        <v>1861</v>
      </c>
      <c r="T3309" s="85" t="s">
        <v>4269</v>
      </c>
      <c r="U3309" s="422" t="s">
        <v>1953</v>
      </c>
      <c r="V3309" s="422" t="s">
        <v>2813</v>
      </c>
    </row>
    <row r="3310" spans="1:22" ht="15.75" thickBot="1" x14ac:dyDescent="0.3">
      <c r="A3310" t="s">
        <v>1910</v>
      </c>
      <c r="B3310" t="s">
        <v>1910</v>
      </c>
      <c r="C3310" s="82" t="s">
        <v>1910</v>
      </c>
      <c r="D3310" s="83" t="s">
        <v>629</v>
      </c>
      <c r="E3310" s="251" t="s">
        <v>1951</v>
      </c>
      <c r="F3310" s="124" t="s">
        <v>620</v>
      </c>
      <c r="G3310" s="125">
        <v>2022</v>
      </c>
      <c r="H3310" s="125" t="s">
        <v>733</v>
      </c>
      <c r="I3310" s="311" t="str">
        <f t="shared" si="130"/>
        <v>Pesado de Passageiros M3: I : Gasóleo : E6</v>
      </c>
      <c r="J3310" s="125">
        <v>109</v>
      </c>
      <c r="K3310" s="253">
        <v>2022</v>
      </c>
      <c r="L3310" s="129">
        <v>1095.4629</v>
      </c>
      <c r="M3310" s="85" t="s">
        <v>630</v>
      </c>
      <c r="N3310" s="128">
        <v>2723</v>
      </c>
      <c r="O3310" s="128">
        <f t="shared" si="129"/>
        <v>296807</v>
      </c>
      <c r="P3310" s="380">
        <v>2319</v>
      </c>
      <c r="Q3310" s="85" t="s">
        <v>47</v>
      </c>
      <c r="R3310" s="214" t="s">
        <v>1869</v>
      </c>
      <c r="S3310" s="214" t="s">
        <v>1861</v>
      </c>
      <c r="T3310" s="85" t="s">
        <v>4270</v>
      </c>
      <c r="U3310" s="422" t="s">
        <v>1953</v>
      </c>
      <c r="V3310" s="422" t="s">
        <v>2813</v>
      </c>
    </row>
    <row r="3311" spans="1:22" ht="15.75" thickBot="1" x14ac:dyDescent="0.3">
      <c r="A3311" t="s">
        <v>1910</v>
      </c>
      <c r="B3311" t="s">
        <v>1910</v>
      </c>
      <c r="C3311" s="82" t="s">
        <v>1910</v>
      </c>
      <c r="D3311" s="83" t="s">
        <v>629</v>
      </c>
      <c r="E3311" s="251" t="s">
        <v>1951</v>
      </c>
      <c r="F3311" s="124" t="s">
        <v>620</v>
      </c>
      <c r="G3311" s="130"/>
      <c r="H3311" s="125" t="s">
        <v>733</v>
      </c>
      <c r="I3311" s="311" t="str">
        <f t="shared" si="130"/>
        <v>Pesado de Passageiros M3: I : Gasóleo : E6</v>
      </c>
      <c r="J3311" s="125"/>
      <c r="K3311" s="253">
        <v>2022</v>
      </c>
      <c r="L3311" s="85">
        <v>130.62</v>
      </c>
      <c r="M3311" s="85" t="s">
        <v>630</v>
      </c>
      <c r="N3311" s="128">
        <v>311</v>
      </c>
      <c r="O3311" s="128">
        <f t="shared" si="129"/>
        <v>0</v>
      </c>
      <c r="P3311" s="125" t="s">
        <v>4458</v>
      </c>
      <c r="Q3311" s="85" t="s">
        <v>47</v>
      </c>
      <c r="R3311" s="214" t="s">
        <v>1869</v>
      </c>
      <c r="S3311" s="214" t="s">
        <v>1861</v>
      </c>
      <c r="T3311" s="85" t="s">
        <v>3395</v>
      </c>
      <c r="U3311" s="422" t="s">
        <v>1953</v>
      </c>
      <c r="V3311" s="422" t="s">
        <v>2813</v>
      </c>
    </row>
    <row r="3312" spans="1:22" ht="15.75" thickBot="1" x14ac:dyDescent="0.3">
      <c r="A3312" t="s">
        <v>1910</v>
      </c>
      <c r="B3312" t="s">
        <v>1910</v>
      </c>
      <c r="C3312" s="82" t="s">
        <v>1910</v>
      </c>
      <c r="D3312" s="83" t="s">
        <v>629</v>
      </c>
      <c r="E3312" s="251" t="s">
        <v>1951</v>
      </c>
      <c r="F3312" s="124" t="s">
        <v>620</v>
      </c>
      <c r="G3312" s="130"/>
      <c r="H3312" s="125" t="s">
        <v>733</v>
      </c>
      <c r="I3312" s="311" t="str">
        <f t="shared" si="130"/>
        <v>Pesado de Passageiros M3: I : Gasóleo : E6</v>
      </c>
      <c r="J3312" s="125"/>
      <c r="K3312" s="253">
        <v>2022</v>
      </c>
      <c r="L3312" s="85">
        <v>298.77850000000001</v>
      </c>
      <c r="M3312" s="85" t="s">
        <v>630</v>
      </c>
      <c r="N3312" s="128">
        <v>631</v>
      </c>
      <c r="O3312" s="128">
        <f t="shared" si="129"/>
        <v>0</v>
      </c>
      <c r="P3312" s="125" t="s">
        <v>4459</v>
      </c>
      <c r="Q3312" s="85" t="s">
        <v>47</v>
      </c>
      <c r="R3312" s="214" t="s">
        <v>1869</v>
      </c>
      <c r="S3312" s="214" t="s">
        <v>1861</v>
      </c>
      <c r="T3312" s="85" t="s">
        <v>3396</v>
      </c>
      <c r="U3312" s="422" t="s">
        <v>1953</v>
      </c>
      <c r="V3312" s="422" t="s">
        <v>2813</v>
      </c>
    </row>
    <row r="3313" spans="1:22" ht="15.75" thickBot="1" x14ac:dyDescent="0.3">
      <c r="A3313" t="s">
        <v>1910</v>
      </c>
      <c r="B3313" t="s">
        <v>1910</v>
      </c>
      <c r="C3313" s="82" t="s">
        <v>1910</v>
      </c>
      <c r="D3313" s="83" t="s">
        <v>629</v>
      </c>
      <c r="E3313" s="251" t="s">
        <v>1951</v>
      </c>
      <c r="F3313" s="124" t="s">
        <v>620</v>
      </c>
      <c r="G3313" s="125">
        <v>2022</v>
      </c>
      <c r="H3313" s="125" t="s">
        <v>733</v>
      </c>
      <c r="I3313" s="311" t="str">
        <f t="shared" si="130"/>
        <v>Pesado de Passageiros M3: I : Gasóleo : E6</v>
      </c>
      <c r="J3313" s="125">
        <v>109</v>
      </c>
      <c r="K3313" s="253">
        <v>2022</v>
      </c>
      <c r="L3313" s="129">
        <v>9561.7992000000013</v>
      </c>
      <c r="M3313" s="85" t="s">
        <v>630</v>
      </c>
      <c r="N3313" s="128">
        <v>25044</v>
      </c>
      <c r="O3313" s="128">
        <f t="shared" ref="O3313:O3376" si="131">N3313*J3313</f>
        <v>2729796</v>
      </c>
      <c r="P3313" s="380">
        <v>2338</v>
      </c>
      <c r="Q3313" s="85" t="s">
        <v>47</v>
      </c>
      <c r="R3313" s="214" t="s">
        <v>1869</v>
      </c>
      <c r="S3313" s="214" t="s">
        <v>1861</v>
      </c>
      <c r="T3313" s="85" t="s">
        <v>4271</v>
      </c>
      <c r="U3313" s="422" t="s">
        <v>1953</v>
      </c>
      <c r="V3313" s="422" t="s">
        <v>2813</v>
      </c>
    </row>
    <row r="3314" spans="1:22" ht="15.75" thickBot="1" x14ac:dyDescent="0.3">
      <c r="A3314" t="s">
        <v>1910</v>
      </c>
      <c r="B3314" t="s">
        <v>1910</v>
      </c>
      <c r="C3314" s="82" t="s">
        <v>1910</v>
      </c>
      <c r="D3314" s="83" t="s">
        <v>629</v>
      </c>
      <c r="E3314" s="251" t="s">
        <v>1951</v>
      </c>
      <c r="F3314" s="124" t="s">
        <v>620</v>
      </c>
      <c r="G3314" s="130"/>
      <c r="H3314" s="125" t="s">
        <v>733</v>
      </c>
      <c r="I3314" s="311" t="str">
        <f t="shared" si="130"/>
        <v>Pesado de Passageiros M3: I : Gasóleo : E6</v>
      </c>
      <c r="J3314" s="125"/>
      <c r="K3314" s="253">
        <v>2022</v>
      </c>
      <c r="L3314" s="85">
        <v>401.36250000000001</v>
      </c>
      <c r="M3314" s="85" t="s">
        <v>630</v>
      </c>
      <c r="N3314" s="128">
        <v>875</v>
      </c>
      <c r="O3314" s="128">
        <f t="shared" si="131"/>
        <v>0</v>
      </c>
      <c r="P3314" s="125" t="s">
        <v>4460</v>
      </c>
      <c r="Q3314" s="85" t="s">
        <v>47</v>
      </c>
      <c r="R3314" s="214" t="s">
        <v>1869</v>
      </c>
      <c r="S3314" s="214" t="s">
        <v>1861</v>
      </c>
      <c r="T3314" s="85" t="s">
        <v>4272</v>
      </c>
      <c r="U3314" s="422" t="s">
        <v>1953</v>
      </c>
      <c r="V3314" s="422" t="s">
        <v>2813</v>
      </c>
    </row>
    <row r="3315" spans="1:22" ht="15.75" thickBot="1" x14ac:dyDescent="0.3">
      <c r="A3315" t="s">
        <v>1910</v>
      </c>
      <c r="B3315" t="s">
        <v>1910</v>
      </c>
      <c r="C3315" s="82" t="s">
        <v>1910</v>
      </c>
      <c r="D3315" s="83" t="s">
        <v>629</v>
      </c>
      <c r="E3315" s="251" t="s">
        <v>1951</v>
      </c>
      <c r="F3315" s="124" t="s">
        <v>620</v>
      </c>
      <c r="G3315" s="130"/>
      <c r="H3315" s="125" t="s">
        <v>733</v>
      </c>
      <c r="I3315" s="311" t="str">
        <f t="shared" si="130"/>
        <v>Pesado de Passageiros M3: I : Gasóleo : E6</v>
      </c>
      <c r="J3315" s="125"/>
      <c r="K3315" s="253">
        <v>2022</v>
      </c>
      <c r="L3315" s="85">
        <v>27.72</v>
      </c>
      <c r="M3315" s="85" t="s">
        <v>630</v>
      </c>
      <c r="N3315" s="128">
        <v>66</v>
      </c>
      <c r="O3315" s="128">
        <f t="shared" si="131"/>
        <v>0</v>
      </c>
      <c r="P3315" s="125" t="s">
        <v>4461</v>
      </c>
      <c r="Q3315" s="85" t="s">
        <v>47</v>
      </c>
      <c r="R3315" s="214" t="s">
        <v>1869</v>
      </c>
      <c r="S3315" s="214" t="s">
        <v>1861</v>
      </c>
      <c r="T3315" s="85" t="s">
        <v>4273</v>
      </c>
      <c r="U3315" s="422" t="s">
        <v>1953</v>
      </c>
      <c r="V3315" s="422" t="s">
        <v>2813</v>
      </c>
    </row>
    <row r="3316" spans="1:22" ht="15.75" thickBot="1" x14ac:dyDescent="0.3">
      <c r="A3316" t="s">
        <v>1910</v>
      </c>
      <c r="B3316" t="s">
        <v>1910</v>
      </c>
      <c r="C3316" s="82" t="s">
        <v>1910</v>
      </c>
      <c r="D3316" s="83" t="s">
        <v>629</v>
      </c>
      <c r="E3316" s="251" t="s">
        <v>1951</v>
      </c>
      <c r="F3316" s="124" t="s">
        <v>620</v>
      </c>
      <c r="G3316" s="125">
        <v>2022</v>
      </c>
      <c r="H3316" s="125" t="s">
        <v>733</v>
      </c>
      <c r="I3316" s="311" t="str">
        <f t="shared" si="130"/>
        <v>Pesado de Passageiros M3: I : Gasóleo : E6</v>
      </c>
      <c r="J3316" s="125">
        <v>109</v>
      </c>
      <c r="K3316" s="253">
        <v>2022</v>
      </c>
      <c r="L3316" s="129">
        <v>9581.204099999999</v>
      </c>
      <c r="M3316" s="85" t="s">
        <v>630</v>
      </c>
      <c r="N3316" s="128">
        <v>25327</v>
      </c>
      <c r="O3316" s="128">
        <f t="shared" si="131"/>
        <v>2760643</v>
      </c>
      <c r="P3316" s="380">
        <v>2337</v>
      </c>
      <c r="Q3316" s="85" t="s">
        <v>47</v>
      </c>
      <c r="R3316" s="214" t="s">
        <v>1869</v>
      </c>
      <c r="S3316" s="214" t="s">
        <v>1861</v>
      </c>
      <c r="T3316" s="85" t="s">
        <v>4274</v>
      </c>
      <c r="U3316" s="422" t="s">
        <v>1953</v>
      </c>
      <c r="V3316" s="422" t="s">
        <v>2813</v>
      </c>
    </row>
    <row r="3317" spans="1:22" ht="15.75" thickBot="1" x14ac:dyDescent="0.3">
      <c r="A3317" t="s">
        <v>1910</v>
      </c>
      <c r="B3317" t="s">
        <v>1910</v>
      </c>
      <c r="C3317" s="82" t="s">
        <v>1910</v>
      </c>
      <c r="D3317" s="83" t="s">
        <v>629</v>
      </c>
      <c r="E3317" s="251" t="s">
        <v>1951</v>
      </c>
      <c r="F3317" s="124" t="s">
        <v>620</v>
      </c>
      <c r="G3317" s="130"/>
      <c r="H3317" s="125" t="s">
        <v>733</v>
      </c>
      <c r="I3317" s="311" t="str">
        <f t="shared" si="130"/>
        <v>Pesado de Passageiros M3: I : Gasóleo : E6</v>
      </c>
      <c r="J3317" s="125"/>
      <c r="K3317" s="253">
        <v>2022</v>
      </c>
      <c r="L3317" s="85">
        <v>70.600200000000001</v>
      </c>
      <c r="M3317" s="85" t="s">
        <v>630</v>
      </c>
      <c r="N3317" s="128">
        <v>418</v>
      </c>
      <c r="O3317" s="128">
        <f t="shared" si="131"/>
        <v>0</v>
      </c>
      <c r="P3317" s="125" t="s">
        <v>4462</v>
      </c>
      <c r="Q3317" s="85" t="s">
        <v>47</v>
      </c>
      <c r="R3317" s="214" t="s">
        <v>1869</v>
      </c>
      <c r="S3317" s="214" t="s">
        <v>1861</v>
      </c>
      <c r="T3317" s="85" t="s">
        <v>3378</v>
      </c>
      <c r="U3317" s="422" t="s">
        <v>1953</v>
      </c>
      <c r="V3317" s="422" t="s">
        <v>2813</v>
      </c>
    </row>
    <row r="3318" spans="1:22" ht="15.75" thickBot="1" x14ac:dyDescent="0.3">
      <c r="A3318" t="s">
        <v>1910</v>
      </c>
      <c r="B3318" t="s">
        <v>1910</v>
      </c>
      <c r="C3318" s="82" t="s">
        <v>1910</v>
      </c>
      <c r="D3318" s="83" t="s">
        <v>629</v>
      </c>
      <c r="E3318" s="251" t="s">
        <v>1951</v>
      </c>
      <c r="F3318" s="124" t="s">
        <v>620</v>
      </c>
      <c r="G3318" s="130"/>
      <c r="H3318" s="125" t="s">
        <v>733</v>
      </c>
      <c r="I3318" s="311" t="str">
        <f t="shared" ref="I3318:I3381" si="132">D3318&amp;": "&amp;E3318&amp;" : "&amp;F3318&amp;" : "&amp;H3318</f>
        <v>Pesado de Passageiros M3: I : Gasóleo : E6</v>
      </c>
      <c r="J3318" s="125"/>
      <c r="K3318" s="253">
        <v>2022</v>
      </c>
      <c r="L3318" s="85">
        <v>252.09209999999999</v>
      </c>
      <c r="M3318" s="85" t="s">
        <v>630</v>
      </c>
      <c r="N3318" s="128">
        <v>481</v>
      </c>
      <c r="O3318" s="128">
        <f t="shared" si="131"/>
        <v>0</v>
      </c>
      <c r="P3318" s="125" t="s">
        <v>4463</v>
      </c>
      <c r="Q3318" s="85" t="s">
        <v>47</v>
      </c>
      <c r="R3318" s="214" t="s">
        <v>1869</v>
      </c>
      <c r="S3318" s="214" t="s">
        <v>1861</v>
      </c>
      <c r="T3318" s="85" t="s">
        <v>4275</v>
      </c>
      <c r="U3318" s="422" t="s">
        <v>1953</v>
      </c>
      <c r="V3318" s="422" t="s">
        <v>2813</v>
      </c>
    </row>
    <row r="3319" spans="1:22" ht="15.75" thickBot="1" x14ac:dyDescent="0.3">
      <c r="A3319" t="s">
        <v>1910</v>
      </c>
      <c r="B3319" t="s">
        <v>1910</v>
      </c>
      <c r="C3319" s="82" t="s">
        <v>1910</v>
      </c>
      <c r="D3319" s="83" t="s">
        <v>629</v>
      </c>
      <c r="E3319" s="251" t="s">
        <v>1951</v>
      </c>
      <c r="F3319" s="124" t="s">
        <v>620</v>
      </c>
      <c r="G3319" s="130"/>
      <c r="H3319" s="125" t="s">
        <v>733</v>
      </c>
      <c r="I3319" s="311" t="str">
        <f t="shared" si="132"/>
        <v>Pesado de Passageiros M3: I : Gasóleo : E6</v>
      </c>
      <c r="J3319" s="125"/>
      <c r="K3319" s="253">
        <v>2022</v>
      </c>
      <c r="L3319" s="85">
        <v>347.51429999999999</v>
      </c>
      <c r="M3319" s="85" t="s">
        <v>630</v>
      </c>
      <c r="N3319" s="128">
        <v>729</v>
      </c>
      <c r="O3319" s="128">
        <f t="shared" si="131"/>
        <v>0</v>
      </c>
      <c r="P3319" s="125" t="s">
        <v>4464</v>
      </c>
      <c r="Q3319" s="85" t="s">
        <v>47</v>
      </c>
      <c r="R3319" s="214" t="s">
        <v>1869</v>
      </c>
      <c r="S3319" s="214" t="s">
        <v>1861</v>
      </c>
      <c r="T3319" s="85" t="s">
        <v>3393</v>
      </c>
      <c r="U3319" s="422" t="s">
        <v>1953</v>
      </c>
      <c r="V3319" s="422" t="s">
        <v>2813</v>
      </c>
    </row>
    <row r="3320" spans="1:22" ht="15.75" thickBot="1" x14ac:dyDescent="0.3">
      <c r="A3320" t="s">
        <v>1910</v>
      </c>
      <c r="B3320" t="s">
        <v>1910</v>
      </c>
      <c r="C3320" s="82" t="s">
        <v>1910</v>
      </c>
      <c r="D3320" s="83" t="s">
        <v>629</v>
      </c>
      <c r="E3320" s="251" t="s">
        <v>1951</v>
      </c>
      <c r="F3320" s="124" t="s">
        <v>620</v>
      </c>
      <c r="G3320" s="130"/>
      <c r="H3320" s="125" t="s">
        <v>733</v>
      </c>
      <c r="I3320" s="311" t="str">
        <f t="shared" si="132"/>
        <v>Pesado de Passageiros M3: I : Gasóleo : E6</v>
      </c>
      <c r="J3320" s="125"/>
      <c r="K3320" s="253">
        <v>2022</v>
      </c>
      <c r="L3320" s="85">
        <v>118.44</v>
      </c>
      <c r="M3320" s="85" t="s">
        <v>630</v>
      </c>
      <c r="N3320" s="128">
        <v>282</v>
      </c>
      <c r="O3320" s="128">
        <f t="shared" si="131"/>
        <v>0</v>
      </c>
      <c r="P3320" s="125" t="s">
        <v>4465</v>
      </c>
      <c r="Q3320" s="85" t="s">
        <v>47</v>
      </c>
      <c r="R3320" s="214" t="s">
        <v>1869</v>
      </c>
      <c r="S3320" s="214" t="s">
        <v>1861</v>
      </c>
      <c r="T3320" s="85" t="s">
        <v>4276</v>
      </c>
      <c r="U3320" s="422" t="s">
        <v>1953</v>
      </c>
      <c r="V3320" s="422" t="s">
        <v>2813</v>
      </c>
    </row>
    <row r="3321" spans="1:22" ht="15.75" thickBot="1" x14ac:dyDescent="0.3">
      <c r="A3321" t="s">
        <v>1910</v>
      </c>
      <c r="B3321" t="s">
        <v>1910</v>
      </c>
      <c r="C3321" s="82" t="s">
        <v>1910</v>
      </c>
      <c r="D3321" s="83" t="s">
        <v>629</v>
      </c>
      <c r="E3321" s="251" t="s">
        <v>1951</v>
      </c>
      <c r="F3321" s="124" t="s">
        <v>620</v>
      </c>
      <c r="G3321" s="130">
        <v>2022</v>
      </c>
      <c r="H3321" s="125" t="s">
        <v>733</v>
      </c>
      <c r="I3321" s="311" t="str">
        <f t="shared" si="132"/>
        <v>Pesado de Passageiros M3: I : Gasóleo : E6</v>
      </c>
      <c r="J3321" s="125">
        <v>83</v>
      </c>
      <c r="K3321" s="253">
        <v>2022</v>
      </c>
      <c r="L3321" s="129">
        <v>7623.2708999999995</v>
      </c>
      <c r="M3321" s="85" t="s">
        <v>630</v>
      </c>
      <c r="N3321" s="128">
        <v>18921</v>
      </c>
      <c r="O3321" s="128">
        <f t="shared" si="131"/>
        <v>1570443</v>
      </c>
      <c r="P3321" s="125">
        <v>2762</v>
      </c>
      <c r="Q3321" s="85" t="s">
        <v>47</v>
      </c>
      <c r="R3321" s="214" t="s">
        <v>1869</v>
      </c>
      <c r="S3321" s="214" t="s">
        <v>1861</v>
      </c>
      <c r="T3321" s="85" t="s">
        <v>4277</v>
      </c>
      <c r="U3321" s="422" t="s">
        <v>1953</v>
      </c>
      <c r="V3321" s="422" t="s">
        <v>2813</v>
      </c>
    </row>
    <row r="3322" spans="1:22" ht="15.75" thickBot="1" x14ac:dyDescent="0.3">
      <c r="A3322" t="s">
        <v>1910</v>
      </c>
      <c r="B3322" t="s">
        <v>1910</v>
      </c>
      <c r="C3322" s="82" t="s">
        <v>1910</v>
      </c>
      <c r="D3322" s="83" t="s">
        <v>629</v>
      </c>
      <c r="E3322" s="251" t="s">
        <v>1951</v>
      </c>
      <c r="F3322" s="124" t="s">
        <v>620</v>
      </c>
      <c r="G3322" s="125">
        <v>2022</v>
      </c>
      <c r="H3322" s="125" t="s">
        <v>733</v>
      </c>
      <c r="I3322" s="311" t="str">
        <f t="shared" si="132"/>
        <v>Pesado de Passageiros M3: I : Gasóleo : E6</v>
      </c>
      <c r="J3322" s="125">
        <v>25</v>
      </c>
      <c r="K3322" s="253">
        <v>2022</v>
      </c>
      <c r="L3322" s="129">
        <v>717.11919999999998</v>
      </c>
      <c r="M3322" s="85" t="s">
        <v>630</v>
      </c>
      <c r="N3322" s="128">
        <v>3461</v>
      </c>
      <c r="O3322" s="128">
        <f t="shared" si="131"/>
        <v>86525</v>
      </c>
      <c r="P3322" s="380">
        <v>2051</v>
      </c>
      <c r="Q3322" s="85" t="s">
        <v>47</v>
      </c>
      <c r="R3322" s="214" t="s">
        <v>1869</v>
      </c>
      <c r="S3322" s="214" t="s">
        <v>1861</v>
      </c>
      <c r="T3322" s="85" t="s">
        <v>4278</v>
      </c>
      <c r="U3322" s="422" t="s">
        <v>1953</v>
      </c>
      <c r="V3322" s="422" t="s">
        <v>2813</v>
      </c>
    </row>
    <row r="3323" spans="1:22" ht="15.75" thickBot="1" x14ac:dyDescent="0.3">
      <c r="A3323" t="s">
        <v>1910</v>
      </c>
      <c r="B3323" t="s">
        <v>1910</v>
      </c>
      <c r="C3323" s="82" t="s">
        <v>1910</v>
      </c>
      <c r="D3323" s="83" t="s">
        <v>629</v>
      </c>
      <c r="E3323" s="251" t="s">
        <v>1951</v>
      </c>
      <c r="F3323" s="124" t="s">
        <v>620</v>
      </c>
      <c r="G3323" s="130"/>
      <c r="H3323" s="125" t="s">
        <v>733</v>
      </c>
      <c r="I3323" s="311" t="str">
        <f t="shared" si="132"/>
        <v>Pesado de Passageiros M3: I : Gasóleo : E6</v>
      </c>
      <c r="J3323" s="125"/>
      <c r="K3323" s="253">
        <v>2022</v>
      </c>
      <c r="L3323" s="85">
        <v>284.37530000000004</v>
      </c>
      <c r="M3323" s="85" t="s">
        <v>630</v>
      </c>
      <c r="N3323" s="128">
        <v>617</v>
      </c>
      <c r="O3323" s="128">
        <f t="shared" si="131"/>
        <v>0</v>
      </c>
      <c r="P3323" s="125" t="s">
        <v>4466</v>
      </c>
      <c r="Q3323" s="85" t="s">
        <v>47</v>
      </c>
      <c r="R3323" s="214" t="s">
        <v>1869</v>
      </c>
      <c r="S3323" s="214" t="s">
        <v>1861</v>
      </c>
      <c r="T3323" s="85" t="s">
        <v>4279</v>
      </c>
      <c r="U3323" s="422" t="s">
        <v>1953</v>
      </c>
      <c r="V3323" s="422" t="s">
        <v>2813</v>
      </c>
    </row>
    <row r="3324" spans="1:22" ht="15.75" thickBot="1" x14ac:dyDescent="0.3">
      <c r="A3324" t="s">
        <v>1910</v>
      </c>
      <c r="B3324" t="s">
        <v>1910</v>
      </c>
      <c r="C3324" s="82" t="s">
        <v>1910</v>
      </c>
      <c r="D3324" s="83" t="s">
        <v>629</v>
      </c>
      <c r="E3324" s="251" t="s">
        <v>1951</v>
      </c>
      <c r="F3324" s="124" t="s">
        <v>620</v>
      </c>
      <c r="G3324" s="130"/>
      <c r="H3324" s="125" t="s">
        <v>733</v>
      </c>
      <c r="I3324" s="311" t="str">
        <f t="shared" si="132"/>
        <v>Pesado de Passageiros M3: I : Gasóleo : E6</v>
      </c>
      <c r="J3324" s="125"/>
      <c r="K3324" s="253">
        <v>2022</v>
      </c>
      <c r="L3324" s="85">
        <v>297.84999999999997</v>
      </c>
      <c r="M3324" s="85" t="s">
        <v>630</v>
      </c>
      <c r="N3324" s="128">
        <v>700</v>
      </c>
      <c r="O3324" s="128">
        <f t="shared" si="131"/>
        <v>0</v>
      </c>
      <c r="P3324" s="125" t="s">
        <v>4467</v>
      </c>
      <c r="Q3324" s="85" t="s">
        <v>47</v>
      </c>
      <c r="R3324" s="214" t="s">
        <v>1869</v>
      </c>
      <c r="S3324" s="214" t="s">
        <v>1861</v>
      </c>
      <c r="T3324" s="85" t="s">
        <v>4280</v>
      </c>
      <c r="U3324" s="422" t="s">
        <v>1953</v>
      </c>
      <c r="V3324" s="422" t="s">
        <v>2813</v>
      </c>
    </row>
    <row r="3325" spans="1:22" ht="15.75" thickBot="1" x14ac:dyDescent="0.3">
      <c r="A3325" t="s">
        <v>1910</v>
      </c>
      <c r="B3325" t="s">
        <v>1910</v>
      </c>
      <c r="C3325" s="82" t="s">
        <v>1910</v>
      </c>
      <c r="D3325" s="83" t="s">
        <v>629</v>
      </c>
      <c r="E3325" s="251" t="s">
        <v>1951</v>
      </c>
      <c r="F3325" s="124" t="s">
        <v>620</v>
      </c>
      <c r="G3325" s="130"/>
      <c r="H3325" s="125" t="s">
        <v>733</v>
      </c>
      <c r="I3325" s="311" t="str">
        <f t="shared" si="132"/>
        <v>Pesado de Passageiros M3: I : Gasóleo : E6</v>
      </c>
      <c r="J3325" s="125"/>
      <c r="K3325" s="253">
        <v>2022</v>
      </c>
      <c r="L3325" s="242">
        <v>179.45699999999999</v>
      </c>
      <c r="M3325" s="85" t="s">
        <v>630</v>
      </c>
      <c r="N3325" s="128">
        <v>427</v>
      </c>
      <c r="O3325" s="128">
        <f t="shared" si="131"/>
        <v>0</v>
      </c>
      <c r="P3325" s="125" t="s">
        <v>4468</v>
      </c>
      <c r="Q3325" s="85" t="s">
        <v>47</v>
      </c>
      <c r="R3325" s="214" t="s">
        <v>1869</v>
      </c>
      <c r="S3325" s="214" t="s">
        <v>1861</v>
      </c>
      <c r="T3325" s="85" t="s">
        <v>4281</v>
      </c>
      <c r="U3325" s="422" t="s">
        <v>1953</v>
      </c>
      <c r="V3325" s="422" t="s">
        <v>2813</v>
      </c>
    </row>
    <row r="3326" spans="1:22" ht="15.75" thickBot="1" x14ac:dyDescent="0.3">
      <c r="A3326" t="s">
        <v>1910</v>
      </c>
      <c r="B3326" t="s">
        <v>1910</v>
      </c>
      <c r="C3326" s="82" t="s">
        <v>1910</v>
      </c>
      <c r="D3326" s="83" t="s">
        <v>629</v>
      </c>
      <c r="E3326" s="251" t="s">
        <v>1951</v>
      </c>
      <c r="F3326" s="124" t="s">
        <v>620</v>
      </c>
      <c r="G3326" s="130"/>
      <c r="H3326" s="125" t="s">
        <v>733</v>
      </c>
      <c r="I3326" s="311" t="str">
        <f t="shared" si="132"/>
        <v>Pesado de Passageiros M3: I : Gasóleo : E6</v>
      </c>
      <c r="J3326" s="125"/>
      <c r="K3326" s="253">
        <v>2022</v>
      </c>
      <c r="L3326" s="85">
        <v>634.54300000000001</v>
      </c>
      <c r="M3326" s="85" t="s">
        <v>630</v>
      </c>
      <c r="N3326" s="128">
        <v>1835</v>
      </c>
      <c r="O3326" s="128">
        <f t="shared" si="131"/>
        <v>0</v>
      </c>
      <c r="P3326" s="125" t="s">
        <v>4468</v>
      </c>
      <c r="Q3326" s="85" t="s">
        <v>47</v>
      </c>
      <c r="R3326" s="214" t="s">
        <v>1869</v>
      </c>
      <c r="S3326" s="214" t="s">
        <v>1861</v>
      </c>
      <c r="T3326" s="85" t="s">
        <v>4281</v>
      </c>
      <c r="U3326" s="422" t="s">
        <v>1953</v>
      </c>
      <c r="V3326" s="422" t="s">
        <v>2813</v>
      </c>
    </row>
    <row r="3327" spans="1:22" ht="15.75" thickBot="1" x14ac:dyDescent="0.3">
      <c r="A3327" t="s">
        <v>1910</v>
      </c>
      <c r="B3327" t="s">
        <v>1910</v>
      </c>
      <c r="C3327" s="82" t="s">
        <v>1910</v>
      </c>
      <c r="D3327" s="83" t="s">
        <v>629</v>
      </c>
      <c r="E3327" s="251" t="s">
        <v>1951</v>
      </c>
      <c r="F3327" s="124" t="s">
        <v>620</v>
      </c>
      <c r="G3327" s="130"/>
      <c r="H3327" s="125" t="s">
        <v>733</v>
      </c>
      <c r="I3327" s="311" t="str">
        <f t="shared" si="132"/>
        <v>Pesado de Passageiros M3: I : Gasóleo : E6</v>
      </c>
      <c r="J3327" s="125"/>
      <c r="K3327" s="253">
        <v>2022</v>
      </c>
      <c r="L3327" s="85">
        <v>235.29300000000001</v>
      </c>
      <c r="M3327" s="85" t="s">
        <v>630</v>
      </c>
      <c r="N3327" s="128">
        <v>535</v>
      </c>
      <c r="O3327" s="128">
        <f t="shared" si="131"/>
        <v>0</v>
      </c>
      <c r="P3327" s="125" t="s">
        <v>4469</v>
      </c>
      <c r="Q3327" s="85" t="s">
        <v>47</v>
      </c>
      <c r="R3327" s="214" t="s">
        <v>1869</v>
      </c>
      <c r="S3327" s="214" t="s">
        <v>1861</v>
      </c>
      <c r="T3327" s="85" t="s">
        <v>4282</v>
      </c>
      <c r="U3327" s="422" t="s">
        <v>1953</v>
      </c>
      <c r="V3327" s="422" t="s">
        <v>2813</v>
      </c>
    </row>
    <row r="3328" spans="1:22" ht="15.75" thickBot="1" x14ac:dyDescent="0.3">
      <c r="A3328" t="s">
        <v>1910</v>
      </c>
      <c r="B3328" t="s">
        <v>1910</v>
      </c>
      <c r="C3328" s="82" t="s">
        <v>1910</v>
      </c>
      <c r="D3328" s="83" t="s">
        <v>629</v>
      </c>
      <c r="E3328" s="251" t="s">
        <v>1951</v>
      </c>
      <c r="F3328" s="124" t="s">
        <v>620</v>
      </c>
      <c r="G3328" s="130"/>
      <c r="H3328" s="125" t="s">
        <v>733</v>
      </c>
      <c r="I3328" s="311" t="str">
        <f t="shared" si="132"/>
        <v>Pesado de Passageiros M3: I : Gasóleo : E6</v>
      </c>
      <c r="J3328" s="125"/>
      <c r="K3328" s="253">
        <v>2022</v>
      </c>
      <c r="L3328" s="85">
        <v>1033.9423999999999</v>
      </c>
      <c r="M3328" s="85" t="s">
        <v>630</v>
      </c>
      <c r="N3328" s="128">
        <v>6662</v>
      </c>
      <c r="O3328" s="128">
        <f t="shared" si="131"/>
        <v>0</v>
      </c>
      <c r="P3328" s="125" t="s">
        <v>4470</v>
      </c>
      <c r="Q3328" s="85" t="s">
        <v>47</v>
      </c>
      <c r="R3328" s="214" t="s">
        <v>1869</v>
      </c>
      <c r="S3328" s="214" t="s">
        <v>1861</v>
      </c>
      <c r="T3328" s="85" t="s">
        <v>4283</v>
      </c>
      <c r="U3328" s="422" t="s">
        <v>1953</v>
      </c>
      <c r="V3328" s="422" t="s">
        <v>2813</v>
      </c>
    </row>
    <row r="3329" spans="1:22" ht="15.75" thickBot="1" x14ac:dyDescent="0.3">
      <c r="A3329" t="s">
        <v>1910</v>
      </c>
      <c r="B3329" t="s">
        <v>1910</v>
      </c>
      <c r="C3329" s="82" t="s">
        <v>1910</v>
      </c>
      <c r="D3329" s="83" t="s">
        <v>629</v>
      </c>
      <c r="E3329" s="251" t="s">
        <v>1951</v>
      </c>
      <c r="F3329" s="124" t="s">
        <v>620</v>
      </c>
      <c r="G3329" s="130"/>
      <c r="H3329" s="125" t="s">
        <v>733</v>
      </c>
      <c r="I3329" s="311" t="str">
        <f t="shared" si="132"/>
        <v>Pesado de Passageiros M3: I : Gasóleo : E6</v>
      </c>
      <c r="J3329" s="125"/>
      <c r="K3329" s="253">
        <v>2022</v>
      </c>
      <c r="L3329" s="85">
        <v>82.08</v>
      </c>
      <c r="M3329" s="85" t="s">
        <v>630</v>
      </c>
      <c r="N3329" s="128">
        <v>171</v>
      </c>
      <c r="O3329" s="128">
        <f t="shared" si="131"/>
        <v>0</v>
      </c>
      <c r="P3329" s="125" t="s">
        <v>4471</v>
      </c>
      <c r="Q3329" s="85" t="s">
        <v>47</v>
      </c>
      <c r="R3329" s="214" t="s">
        <v>1869</v>
      </c>
      <c r="S3329" s="214" t="s">
        <v>1861</v>
      </c>
      <c r="T3329" s="85" t="s">
        <v>4284</v>
      </c>
      <c r="U3329" s="422" t="s">
        <v>1953</v>
      </c>
      <c r="V3329" s="422" t="s">
        <v>2813</v>
      </c>
    </row>
    <row r="3330" spans="1:22" ht="15.75" thickBot="1" x14ac:dyDescent="0.3">
      <c r="A3330" t="s">
        <v>1910</v>
      </c>
      <c r="B3330" t="s">
        <v>1910</v>
      </c>
      <c r="C3330" s="82" t="s">
        <v>1910</v>
      </c>
      <c r="D3330" s="83" t="s">
        <v>629</v>
      </c>
      <c r="E3330" s="251" t="s">
        <v>1951</v>
      </c>
      <c r="F3330" s="124" t="s">
        <v>620</v>
      </c>
      <c r="G3330" s="130"/>
      <c r="H3330" s="125" t="s">
        <v>733</v>
      </c>
      <c r="I3330" s="311" t="str">
        <f t="shared" si="132"/>
        <v>Pesado de Passageiros M3: I : Gasóleo : E6</v>
      </c>
      <c r="J3330" s="125"/>
      <c r="K3330" s="253">
        <v>2022</v>
      </c>
      <c r="L3330" s="85">
        <v>55</v>
      </c>
      <c r="M3330" s="85" t="s">
        <v>630</v>
      </c>
      <c r="N3330" s="128">
        <v>250</v>
      </c>
      <c r="O3330" s="128">
        <f t="shared" si="131"/>
        <v>0</v>
      </c>
      <c r="P3330" s="125" t="s">
        <v>2214</v>
      </c>
      <c r="Q3330" s="85" t="s">
        <v>47</v>
      </c>
      <c r="R3330" s="214" t="s">
        <v>1869</v>
      </c>
      <c r="S3330" s="214" t="s">
        <v>1861</v>
      </c>
      <c r="T3330" s="85" t="s">
        <v>4285</v>
      </c>
      <c r="U3330" s="422" t="s">
        <v>1953</v>
      </c>
      <c r="V3330" s="422" t="s">
        <v>2813</v>
      </c>
    </row>
    <row r="3331" spans="1:22" ht="15.75" thickBot="1" x14ac:dyDescent="0.3">
      <c r="A3331" t="s">
        <v>1910</v>
      </c>
      <c r="B3331" t="s">
        <v>1910</v>
      </c>
      <c r="C3331" s="82" t="s">
        <v>1910</v>
      </c>
      <c r="D3331" s="83" t="s">
        <v>629</v>
      </c>
      <c r="E3331" s="251" t="s">
        <v>1951</v>
      </c>
      <c r="F3331" s="124" t="s">
        <v>620</v>
      </c>
      <c r="G3331" s="130"/>
      <c r="H3331" s="125" t="s">
        <v>733</v>
      </c>
      <c r="I3331" s="311" t="str">
        <f t="shared" si="132"/>
        <v>Pesado de Passageiros M3: I : Gasóleo : E6</v>
      </c>
      <c r="J3331" s="125"/>
      <c r="K3331" s="253">
        <v>2022</v>
      </c>
      <c r="L3331" s="85">
        <v>339.08359999999999</v>
      </c>
      <c r="M3331" s="85" t="s">
        <v>630</v>
      </c>
      <c r="N3331" s="128">
        <v>878</v>
      </c>
      <c r="O3331" s="128">
        <f t="shared" si="131"/>
        <v>0</v>
      </c>
      <c r="P3331" s="125" t="s">
        <v>4472</v>
      </c>
      <c r="Q3331" s="85" t="s">
        <v>47</v>
      </c>
      <c r="R3331" s="214" t="s">
        <v>1869</v>
      </c>
      <c r="S3331" s="214" t="s">
        <v>1861</v>
      </c>
      <c r="T3331" s="85" t="s">
        <v>4286</v>
      </c>
      <c r="U3331" s="422" t="s">
        <v>1953</v>
      </c>
      <c r="V3331" s="422" t="s">
        <v>2813</v>
      </c>
    </row>
    <row r="3332" spans="1:22" ht="15.75" thickBot="1" x14ac:dyDescent="0.3">
      <c r="A3332" t="s">
        <v>1910</v>
      </c>
      <c r="B3332" t="s">
        <v>1910</v>
      </c>
      <c r="C3332" s="82" t="s">
        <v>1910</v>
      </c>
      <c r="D3332" s="83" t="s">
        <v>629</v>
      </c>
      <c r="E3332" s="251" t="s">
        <v>1951</v>
      </c>
      <c r="F3332" s="124" t="s">
        <v>620</v>
      </c>
      <c r="G3332" s="130"/>
      <c r="H3332" s="125" t="s">
        <v>733</v>
      </c>
      <c r="I3332" s="311" t="str">
        <f t="shared" si="132"/>
        <v>Pesado de Passageiros M3: I : Gasóleo : E6</v>
      </c>
      <c r="J3332" s="125"/>
      <c r="K3332" s="253">
        <v>2022</v>
      </c>
      <c r="L3332" s="85">
        <v>82.4739</v>
      </c>
      <c r="M3332" s="85" t="s">
        <v>630</v>
      </c>
      <c r="N3332" s="128">
        <v>421</v>
      </c>
      <c r="O3332" s="128">
        <f t="shared" si="131"/>
        <v>0</v>
      </c>
      <c r="P3332" s="125" t="s">
        <v>2221</v>
      </c>
      <c r="Q3332" s="85" t="s">
        <v>47</v>
      </c>
      <c r="R3332" s="214" t="s">
        <v>1869</v>
      </c>
      <c r="S3332" s="214" t="s">
        <v>1861</v>
      </c>
      <c r="T3332" s="85" t="s">
        <v>4287</v>
      </c>
      <c r="U3332" s="422" t="s">
        <v>1953</v>
      </c>
      <c r="V3332" s="422" t="s">
        <v>2813</v>
      </c>
    </row>
    <row r="3333" spans="1:22" ht="15.75" thickBot="1" x14ac:dyDescent="0.3">
      <c r="A3333" t="s">
        <v>1910</v>
      </c>
      <c r="B3333" t="s">
        <v>1910</v>
      </c>
      <c r="C3333" s="82" t="s">
        <v>1910</v>
      </c>
      <c r="D3333" s="83" t="s">
        <v>629</v>
      </c>
      <c r="E3333" s="251" t="s">
        <v>1951</v>
      </c>
      <c r="F3333" s="124" t="s">
        <v>620</v>
      </c>
      <c r="G3333" s="130"/>
      <c r="H3333" s="125" t="s">
        <v>733</v>
      </c>
      <c r="I3333" s="311" t="str">
        <f t="shared" si="132"/>
        <v>Pesado de Passageiros M3: I : Gasóleo : E6</v>
      </c>
      <c r="J3333" s="125"/>
      <c r="K3333" s="253">
        <v>2022</v>
      </c>
      <c r="L3333" s="85">
        <v>417.72239999999999</v>
      </c>
      <c r="M3333" s="85" t="s">
        <v>630</v>
      </c>
      <c r="N3333" s="128">
        <v>996</v>
      </c>
      <c r="O3333" s="128">
        <f t="shared" si="131"/>
        <v>0</v>
      </c>
      <c r="P3333" s="125" t="s">
        <v>4473</v>
      </c>
      <c r="Q3333" s="85" t="s">
        <v>47</v>
      </c>
      <c r="R3333" s="214" t="s">
        <v>1869</v>
      </c>
      <c r="S3333" s="214" t="s">
        <v>1861</v>
      </c>
      <c r="T3333" s="85" t="s">
        <v>4288</v>
      </c>
      <c r="U3333" s="422" t="s">
        <v>1953</v>
      </c>
      <c r="V3333" s="422" t="s">
        <v>2813</v>
      </c>
    </row>
    <row r="3334" spans="1:22" ht="15.75" thickBot="1" x14ac:dyDescent="0.3">
      <c r="A3334" t="s">
        <v>1910</v>
      </c>
      <c r="B3334" t="s">
        <v>1910</v>
      </c>
      <c r="C3334" s="82" t="s">
        <v>1910</v>
      </c>
      <c r="D3334" s="83" t="s">
        <v>629</v>
      </c>
      <c r="E3334" s="251" t="s">
        <v>1951</v>
      </c>
      <c r="F3334" s="124" t="s">
        <v>620</v>
      </c>
      <c r="G3334" s="125">
        <v>2022</v>
      </c>
      <c r="H3334" s="125" t="s">
        <v>733</v>
      </c>
      <c r="I3334" s="311" t="str">
        <f t="shared" si="132"/>
        <v>Pesado de Passageiros M3: I : Gasóleo : E6</v>
      </c>
      <c r="J3334" s="125">
        <v>85</v>
      </c>
      <c r="K3334" s="253">
        <v>2022</v>
      </c>
      <c r="L3334" s="129">
        <v>7322.6417999999994</v>
      </c>
      <c r="M3334" s="85" t="s">
        <v>630</v>
      </c>
      <c r="N3334" s="128">
        <v>18094</v>
      </c>
      <c r="O3334" s="128">
        <f t="shared" si="131"/>
        <v>1537990</v>
      </c>
      <c r="P3334" s="380">
        <v>2202</v>
      </c>
      <c r="Q3334" s="85" t="s">
        <v>47</v>
      </c>
      <c r="R3334" s="214" t="s">
        <v>1869</v>
      </c>
      <c r="S3334" s="214" t="s">
        <v>1861</v>
      </c>
      <c r="T3334" s="85" t="s">
        <v>4289</v>
      </c>
      <c r="U3334" s="422" t="s">
        <v>1953</v>
      </c>
      <c r="V3334" s="422" t="s">
        <v>2813</v>
      </c>
    </row>
    <row r="3335" spans="1:22" ht="15.75" thickBot="1" x14ac:dyDescent="0.3">
      <c r="A3335" t="s">
        <v>1910</v>
      </c>
      <c r="B3335" t="s">
        <v>1910</v>
      </c>
      <c r="C3335" s="82" t="s">
        <v>1910</v>
      </c>
      <c r="D3335" s="83" t="s">
        <v>629</v>
      </c>
      <c r="E3335" s="251" t="s">
        <v>1951</v>
      </c>
      <c r="F3335" s="124" t="s">
        <v>620</v>
      </c>
      <c r="G3335" s="130"/>
      <c r="H3335" s="125" t="s">
        <v>733</v>
      </c>
      <c r="I3335" s="311" t="str">
        <f t="shared" si="132"/>
        <v>Pesado de Passageiros M3: I : Gasóleo : E6</v>
      </c>
      <c r="J3335" s="125"/>
      <c r="K3335" s="253">
        <v>2022</v>
      </c>
      <c r="L3335" s="85">
        <v>431.37899999999996</v>
      </c>
      <c r="M3335" s="85" t="s">
        <v>630</v>
      </c>
      <c r="N3335" s="128">
        <v>1170</v>
      </c>
      <c r="O3335" s="128">
        <f t="shared" si="131"/>
        <v>0</v>
      </c>
      <c r="P3335" s="125" t="s">
        <v>4474</v>
      </c>
      <c r="Q3335" s="85" t="s">
        <v>47</v>
      </c>
      <c r="R3335" s="214" t="s">
        <v>1869</v>
      </c>
      <c r="S3335" s="214" t="s">
        <v>1861</v>
      </c>
      <c r="T3335" s="85" t="s">
        <v>4290</v>
      </c>
      <c r="U3335" s="422" t="s">
        <v>1953</v>
      </c>
      <c r="V3335" s="422" t="s">
        <v>2813</v>
      </c>
    </row>
    <row r="3336" spans="1:22" ht="15.75" thickBot="1" x14ac:dyDescent="0.3">
      <c r="A3336" t="s">
        <v>1910</v>
      </c>
      <c r="B3336" t="s">
        <v>1910</v>
      </c>
      <c r="C3336" s="82" t="s">
        <v>1910</v>
      </c>
      <c r="D3336" s="83" t="s">
        <v>629</v>
      </c>
      <c r="E3336" s="251" t="s">
        <v>1951</v>
      </c>
      <c r="F3336" s="124" t="s">
        <v>620</v>
      </c>
      <c r="G3336" s="130"/>
      <c r="H3336" s="125" t="s">
        <v>733</v>
      </c>
      <c r="I3336" s="311" t="str">
        <f t="shared" si="132"/>
        <v>Pesado de Passageiros M3: I : Gasóleo : E6</v>
      </c>
      <c r="J3336" s="125"/>
      <c r="K3336" s="253">
        <v>2022</v>
      </c>
      <c r="L3336" s="85">
        <v>364.70979999999997</v>
      </c>
      <c r="M3336" s="85" t="s">
        <v>630</v>
      </c>
      <c r="N3336" s="128">
        <v>754</v>
      </c>
      <c r="O3336" s="128">
        <f t="shared" si="131"/>
        <v>0</v>
      </c>
      <c r="P3336" s="125" t="s">
        <v>4475</v>
      </c>
      <c r="Q3336" s="85" t="s">
        <v>47</v>
      </c>
      <c r="R3336" s="214" t="s">
        <v>1869</v>
      </c>
      <c r="S3336" s="214" t="s">
        <v>1861</v>
      </c>
      <c r="T3336" s="85" t="s">
        <v>4291</v>
      </c>
      <c r="U3336" s="422" t="s">
        <v>1953</v>
      </c>
      <c r="V3336" s="422" t="s">
        <v>2813</v>
      </c>
    </row>
    <row r="3337" spans="1:22" ht="15.75" thickBot="1" x14ac:dyDescent="0.3">
      <c r="A3337" t="s">
        <v>1910</v>
      </c>
      <c r="B3337" t="s">
        <v>1910</v>
      </c>
      <c r="C3337" s="82" t="s">
        <v>1910</v>
      </c>
      <c r="D3337" s="83" t="s">
        <v>629</v>
      </c>
      <c r="E3337" s="251" t="s">
        <v>1951</v>
      </c>
      <c r="F3337" s="124" t="s">
        <v>620</v>
      </c>
      <c r="G3337" s="130"/>
      <c r="H3337" s="125" t="s">
        <v>733</v>
      </c>
      <c r="I3337" s="311" t="str">
        <f t="shared" si="132"/>
        <v>Pesado de Passageiros M3: I : Gasóleo : E6</v>
      </c>
      <c r="J3337" s="125"/>
      <c r="K3337" s="253">
        <v>2022</v>
      </c>
      <c r="L3337" s="85">
        <v>62.7</v>
      </c>
      <c r="M3337" s="85" t="s">
        <v>630</v>
      </c>
      <c r="N3337" s="128">
        <v>285</v>
      </c>
      <c r="O3337" s="128">
        <f t="shared" si="131"/>
        <v>0</v>
      </c>
      <c r="P3337" s="125" t="s">
        <v>2212</v>
      </c>
      <c r="Q3337" s="85" t="s">
        <v>47</v>
      </c>
      <c r="R3337" s="214" t="s">
        <v>1869</v>
      </c>
      <c r="S3337" s="214" t="s">
        <v>1861</v>
      </c>
      <c r="T3337" s="85" t="s">
        <v>4292</v>
      </c>
      <c r="U3337" s="422" t="s">
        <v>1953</v>
      </c>
      <c r="V3337" s="422" t="s">
        <v>2813</v>
      </c>
    </row>
    <row r="3338" spans="1:22" ht="15.75" thickBot="1" x14ac:dyDescent="0.3">
      <c r="A3338" t="s">
        <v>1910</v>
      </c>
      <c r="B3338" t="s">
        <v>1910</v>
      </c>
      <c r="C3338" s="82" t="s">
        <v>1910</v>
      </c>
      <c r="D3338" s="83" t="s">
        <v>629</v>
      </c>
      <c r="E3338" s="251" t="s">
        <v>1951</v>
      </c>
      <c r="F3338" s="124" t="s">
        <v>620</v>
      </c>
      <c r="G3338" s="130"/>
      <c r="H3338" s="125" t="s">
        <v>733</v>
      </c>
      <c r="I3338" s="311" t="str">
        <f t="shared" si="132"/>
        <v>Pesado de Passageiros M3: I : Gasóleo : E6</v>
      </c>
      <c r="J3338" s="125"/>
      <c r="K3338" s="253">
        <v>2022</v>
      </c>
      <c r="L3338" s="85">
        <v>173.6</v>
      </c>
      <c r="M3338" s="85" t="s">
        <v>630</v>
      </c>
      <c r="N3338" s="128">
        <v>434</v>
      </c>
      <c r="O3338" s="128">
        <f t="shared" si="131"/>
        <v>0</v>
      </c>
      <c r="P3338" s="125" t="s">
        <v>4476</v>
      </c>
      <c r="Q3338" s="85" t="s">
        <v>47</v>
      </c>
      <c r="R3338" s="214" t="s">
        <v>1869</v>
      </c>
      <c r="S3338" s="214" t="s">
        <v>1861</v>
      </c>
      <c r="T3338" s="85" t="s">
        <v>4293</v>
      </c>
      <c r="U3338" s="422" t="s">
        <v>1953</v>
      </c>
      <c r="V3338" s="422" t="s">
        <v>2813</v>
      </c>
    </row>
    <row r="3339" spans="1:22" ht="15.75" thickBot="1" x14ac:dyDescent="0.3">
      <c r="A3339" t="s">
        <v>1910</v>
      </c>
      <c r="B3339" t="s">
        <v>1910</v>
      </c>
      <c r="C3339" s="82" t="s">
        <v>1910</v>
      </c>
      <c r="D3339" s="83" t="s">
        <v>629</v>
      </c>
      <c r="E3339" s="251" t="s">
        <v>1951</v>
      </c>
      <c r="F3339" s="124" t="s">
        <v>620</v>
      </c>
      <c r="G3339" s="130"/>
      <c r="H3339" s="125" t="s">
        <v>733</v>
      </c>
      <c r="I3339" s="311" t="str">
        <f t="shared" si="132"/>
        <v>Pesado de Passageiros M3: I : Gasóleo : E6</v>
      </c>
      <c r="J3339" s="125"/>
      <c r="K3339" s="253">
        <v>2022</v>
      </c>
      <c r="L3339" s="85">
        <v>210.72</v>
      </c>
      <c r="M3339" s="85" t="s">
        <v>630</v>
      </c>
      <c r="N3339" s="128">
        <v>439</v>
      </c>
      <c r="O3339" s="128">
        <f t="shared" si="131"/>
        <v>0</v>
      </c>
      <c r="P3339" s="125" t="s">
        <v>4477</v>
      </c>
      <c r="Q3339" s="85" t="s">
        <v>47</v>
      </c>
      <c r="R3339" s="214" t="s">
        <v>1869</v>
      </c>
      <c r="S3339" s="214" t="s">
        <v>1861</v>
      </c>
      <c r="T3339" s="85" t="s">
        <v>4294</v>
      </c>
      <c r="U3339" s="422" t="s">
        <v>1953</v>
      </c>
      <c r="V3339" s="422" t="s">
        <v>2813</v>
      </c>
    </row>
    <row r="3340" spans="1:22" ht="15.75" thickBot="1" x14ac:dyDescent="0.3">
      <c r="A3340" t="s">
        <v>1910</v>
      </c>
      <c r="B3340" t="s">
        <v>1910</v>
      </c>
      <c r="C3340" s="82" t="s">
        <v>1910</v>
      </c>
      <c r="D3340" s="83" t="s">
        <v>629</v>
      </c>
      <c r="E3340" s="251" t="s">
        <v>1951</v>
      </c>
      <c r="F3340" s="124" t="s">
        <v>620</v>
      </c>
      <c r="G3340" s="130"/>
      <c r="H3340" s="125" t="s">
        <v>733</v>
      </c>
      <c r="I3340" s="311" t="str">
        <f t="shared" si="132"/>
        <v>Pesado de Passageiros M3: I : Gasóleo : E6</v>
      </c>
      <c r="J3340" s="125"/>
      <c r="K3340" s="253">
        <v>2022</v>
      </c>
      <c r="L3340" s="85">
        <v>407.48399999999992</v>
      </c>
      <c r="M3340" s="85" t="s">
        <v>630</v>
      </c>
      <c r="N3340" s="128">
        <v>1080</v>
      </c>
      <c r="O3340" s="128">
        <f t="shared" si="131"/>
        <v>0</v>
      </c>
      <c r="P3340" s="125" t="s">
        <v>4478</v>
      </c>
      <c r="Q3340" s="85" t="s">
        <v>47</v>
      </c>
      <c r="R3340" s="214" t="s">
        <v>1869</v>
      </c>
      <c r="S3340" s="214" t="s">
        <v>1861</v>
      </c>
      <c r="T3340" s="85" t="s">
        <v>4295</v>
      </c>
      <c r="U3340" s="422" t="s">
        <v>1953</v>
      </c>
      <c r="V3340" s="422" t="s">
        <v>2813</v>
      </c>
    </row>
    <row r="3341" spans="1:22" ht="15.75" thickBot="1" x14ac:dyDescent="0.3">
      <c r="A3341" t="s">
        <v>1910</v>
      </c>
      <c r="B3341" t="s">
        <v>1910</v>
      </c>
      <c r="C3341" s="82" t="s">
        <v>1910</v>
      </c>
      <c r="D3341" s="83" t="s">
        <v>629</v>
      </c>
      <c r="E3341" s="251" t="s">
        <v>1951</v>
      </c>
      <c r="F3341" s="124" t="s">
        <v>620</v>
      </c>
      <c r="G3341" s="130"/>
      <c r="H3341" s="125" t="s">
        <v>733</v>
      </c>
      <c r="I3341" s="311" t="str">
        <f t="shared" si="132"/>
        <v>Pesado de Passageiros M3: I : Gasóleo : E6</v>
      </c>
      <c r="J3341" s="125"/>
      <c r="K3341" s="253">
        <v>2022</v>
      </c>
      <c r="L3341" s="85">
        <v>637.0104</v>
      </c>
      <c r="M3341" s="85" t="s">
        <v>630</v>
      </c>
      <c r="N3341" s="128">
        <v>1768</v>
      </c>
      <c r="O3341" s="128">
        <f t="shared" si="131"/>
        <v>0</v>
      </c>
      <c r="P3341" s="125" t="s">
        <v>4479</v>
      </c>
      <c r="Q3341" s="85" t="s">
        <v>47</v>
      </c>
      <c r="R3341" s="214" t="s">
        <v>1869</v>
      </c>
      <c r="S3341" s="214" t="s">
        <v>1861</v>
      </c>
      <c r="T3341" s="85" t="s">
        <v>3413</v>
      </c>
      <c r="U3341" s="422" t="s">
        <v>1953</v>
      </c>
      <c r="V3341" s="422" t="s">
        <v>2813</v>
      </c>
    </row>
    <row r="3342" spans="1:22" ht="15.75" thickBot="1" x14ac:dyDescent="0.3">
      <c r="A3342" t="s">
        <v>1910</v>
      </c>
      <c r="B3342" t="s">
        <v>1910</v>
      </c>
      <c r="C3342" s="82" t="s">
        <v>1910</v>
      </c>
      <c r="D3342" s="83" t="s">
        <v>629</v>
      </c>
      <c r="E3342" s="251" t="s">
        <v>1951</v>
      </c>
      <c r="F3342" s="124" t="s">
        <v>620</v>
      </c>
      <c r="G3342" s="130"/>
      <c r="H3342" s="125" t="s">
        <v>733</v>
      </c>
      <c r="I3342" s="311" t="str">
        <f t="shared" si="132"/>
        <v>Pesado de Passageiros M3: I : Gasóleo : E6</v>
      </c>
      <c r="J3342" s="125"/>
      <c r="K3342" s="253">
        <v>2022</v>
      </c>
      <c r="L3342" s="85">
        <v>327.161</v>
      </c>
      <c r="M3342" s="85" t="s">
        <v>630</v>
      </c>
      <c r="N3342" s="128">
        <v>670</v>
      </c>
      <c r="O3342" s="128">
        <f t="shared" si="131"/>
        <v>0</v>
      </c>
      <c r="P3342" s="125" t="s">
        <v>4480</v>
      </c>
      <c r="Q3342" s="85" t="s">
        <v>47</v>
      </c>
      <c r="R3342" s="214" t="s">
        <v>1869</v>
      </c>
      <c r="S3342" s="214" t="s">
        <v>1861</v>
      </c>
      <c r="T3342" s="85" t="s">
        <v>3388</v>
      </c>
      <c r="U3342" s="422" t="s">
        <v>1953</v>
      </c>
      <c r="V3342" s="422" t="s">
        <v>2813</v>
      </c>
    </row>
    <row r="3343" spans="1:22" ht="15.75" thickBot="1" x14ac:dyDescent="0.3">
      <c r="A3343" t="s">
        <v>1910</v>
      </c>
      <c r="B3343" t="s">
        <v>1910</v>
      </c>
      <c r="C3343" s="82" t="s">
        <v>1910</v>
      </c>
      <c r="D3343" s="83" t="s">
        <v>629</v>
      </c>
      <c r="E3343" s="251" t="s">
        <v>1951</v>
      </c>
      <c r="F3343" s="124" t="s">
        <v>620</v>
      </c>
      <c r="G3343" s="130"/>
      <c r="H3343" s="125" t="s">
        <v>733</v>
      </c>
      <c r="I3343" s="311" t="str">
        <f t="shared" si="132"/>
        <v>Pesado de Passageiros M3: I : Gasóleo : E6</v>
      </c>
      <c r="J3343" s="125"/>
      <c r="K3343" s="253">
        <v>2022</v>
      </c>
      <c r="L3343" s="85">
        <v>52.36</v>
      </c>
      <c r="M3343" s="85" t="s">
        <v>630</v>
      </c>
      <c r="N3343" s="128">
        <v>238</v>
      </c>
      <c r="O3343" s="128">
        <f t="shared" si="131"/>
        <v>0</v>
      </c>
      <c r="P3343" s="125" t="s">
        <v>2213</v>
      </c>
      <c r="Q3343" s="85" t="s">
        <v>47</v>
      </c>
      <c r="R3343" s="214" t="s">
        <v>1869</v>
      </c>
      <c r="S3343" s="214" t="s">
        <v>1861</v>
      </c>
      <c r="T3343" s="85" t="s">
        <v>4296</v>
      </c>
      <c r="U3343" s="422" t="s">
        <v>1953</v>
      </c>
      <c r="V3343" s="422" t="s">
        <v>2813</v>
      </c>
    </row>
    <row r="3344" spans="1:22" ht="15.75" thickBot="1" x14ac:dyDescent="0.3">
      <c r="A3344" t="s">
        <v>1910</v>
      </c>
      <c r="B3344" t="s">
        <v>1910</v>
      </c>
      <c r="C3344" s="82" t="s">
        <v>1910</v>
      </c>
      <c r="D3344" s="83" t="s">
        <v>629</v>
      </c>
      <c r="E3344" s="251" t="s">
        <v>1951</v>
      </c>
      <c r="F3344" s="124" t="s">
        <v>620</v>
      </c>
      <c r="G3344" s="130"/>
      <c r="H3344" s="125" t="s">
        <v>733</v>
      </c>
      <c r="I3344" s="311" t="str">
        <f t="shared" si="132"/>
        <v>Pesado de Passageiros M3: I : Gasóleo : E6</v>
      </c>
      <c r="J3344" s="125"/>
      <c r="K3344" s="253">
        <v>2022</v>
      </c>
      <c r="L3344" s="85">
        <v>227.4804</v>
      </c>
      <c r="M3344" s="85" t="s">
        <v>630</v>
      </c>
      <c r="N3344" s="128">
        <v>531</v>
      </c>
      <c r="O3344" s="128">
        <f t="shared" si="131"/>
        <v>0</v>
      </c>
      <c r="P3344" s="125" t="s">
        <v>4481</v>
      </c>
      <c r="Q3344" s="85" t="s">
        <v>47</v>
      </c>
      <c r="R3344" s="214" t="s">
        <v>1869</v>
      </c>
      <c r="S3344" s="214" t="s">
        <v>1861</v>
      </c>
      <c r="T3344" s="85" t="s">
        <v>4297</v>
      </c>
      <c r="U3344" s="422" t="s">
        <v>1953</v>
      </c>
      <c r="V3344" s="422" t="s">
        <v>2813</v>
      </c>
    </row>
    <row r="3345" spans="1:22" ht="15.75" thickBot="1" x14ac:dyDescent="0.3">
      <c r="A3345" t="s">
        <v>1910</v>
      </c>
      <c r="B3345" t="s">
        <v>1910</v>
      </c>
      <c r="C3345" s="82" t="s">
        <v>1910</v>
      </c>
      <c r="D3345" s="83" t="s">
        <v>629</v>
      </c>
      <c r="E3345" s="251" t="s">
        <v>1951</v>
      </c>
      <c r="F3345" s="124" t="s">
        <v>620</v>
      </c>
      <c r="G3345" s="130"/>
      <c r="H3345" s="125" t="s">
        <v>733</v>
      </c>
      <c r="I3345" s="311" t="str">
        <f t="shared" si="132"/>
        <v>Pesado de Passageiros M3: I : Gasóleo : E6</v>
      </c>
      <c r="J3345" s="125"/>
      <c r="K3345" s="253">
        <v>2022</v>
      </c>
      <c r="L3345" s="85">
        <v>260.35000000000002</v>
      </c>
      <c r="M3345" s="85" t="s">
        <v>630</v>
      </c>
      <c r="N3345" s="128">
        <v>635</v>
      </c>
      <c r="O3345" s="128">
        <f t="shared" si="131"/>
        <v>0</v>
      </c>
      <c r="P3345" s="125" t="s">
        <v>4482</v>
      </c>
      <c r="Q3345" s="85" t="s">
        <v>47</v>
      </c>
      <c r="R3345" s="214" t="s">
        <v>1869</v>
      </c>
      <c r="S3345" s="214" t="s">
        <v>1861</v>
      </c>
      <c r="T3345" s="85" t="s">
        <v>4298</v>
      </c>
      <c r="U3345" s="422" t="s">
        <v>1953</v>
      </c>
      <c r="V3345" s="422" t="s">
        <v>2813</v>
      </c>
    </row>
    <row r="3346" spans="1:22" ht="15.75" thickBot="1" x14ac:dyDescent="0.3">
      <c r="A3346" t="s">
        <v>1910</v>
      </c>
      <c r="B3346" t="s">
        <v>1910</v>
      </c>
      <c r="C3346" s="82" t="s">
        <v>1910</v>
      </c>
      <c r="D3346" s="83" t="s">
        <v>629</v>
      </c>
      <c r="E3346" s="251" t="s">
        <v>1951</v>
      </c>
      <c r="F3346" s="124" t="s">
        <v>620</v>
      </c>
      <c r="G3346" s="130"/>
      <c r="H3346" s="125" t="s">
        <v>733</v>
      </c>
      <c r="I3346" s="311" t="str">
        <f t="shared" si="132"/>
        <v>Pesado de Passageiros M3: I : Gasóleo : E6</v>
      </c>
      <c r="J3346" s="125"/>
      <c r="K3346" s="253">
        <v>2022</v>
      </c>
      <c r="L3346" s="85">
        <v>265.41579999999999</v>
      </c>
      <c r="M3346" s="85" t="s">
        <v>630</v>
      </c>
      <c r="N3346" s="128">
        <v>481</v>
      </c>
      <c r="O3346" s="128">
        <f t="shared" si="131"/>
        <v>0</v>
      </c>
      <c r="P3346" s="125" t="s">
        <v>4483</v>
      </c>
      <c r="Q3346" s="85" t="s">
        <v>47</v>
      </c>
      <c r="R3346" s="214" t="s">
        <v>1869</v>
      </c>
      <c r="S3346" s="214" t="s">
        <v>1861</v>
      </c>
      <c r="T3346" s="85" t="s">
        <v>4299</v>
      </c>
      <c r="U3346" s="422" t="s">
        <v>1953</v>
      </c>
      <c r="V3346" s="422" t="s">
        <v>2813</v>
      </c>
    </row>
    <row r="3347" spans="1:22" ht="15.75" thickBot="1" x14ac:dyDescent="0.3">
      <c r="A3347" t="s">
        <v>1910</v>
      </c>
      <c r="B3347" t="s">
        <v>1910</v>
      </c>
      <c r="C3347" s="82" t="s">
        <v>1910</v>
      </c>
      <c r="D3347" s="83" t="s">
        <v>629</v>
      </c>
      <c r="E3347" s="251" t="s">
        <v>1951</v>
      </c>
      <c r="F3347" s="124" t="s">
        <v>620</v>
      </c>
      <c r="G3347" s="130"/>
      <c r="H3347" s="125" t="s">
        <v>733</v>
      </c>
      <c r="I3347" s="311" t="str">
        <f t="shared" si="132"/>
        <v>Pesado de Passageiros M3: I : Gasóleo : E6</v>
      </c>
      <c r="J3347" s="125"/>
      <c r="K3347" s="253">
        <v>2022</v>
      </c>
      <c r="L3347" s="85">
        <v>342.29360000000003</v>
      </c>
      <c r="M3347" s="85" t="s">
        <v>630</v>
      </c>
      <c r="N3347" s="128">
        <v>776</v>
      </c>
      <c r="O3347" s="128">
        <f t="shared" si="131"/>
        <v>0</v>
      </c>
      <c r="P3347" s="125" t="s">
        <v>4484</v>
      </c>
      <c r="Q3347" s="85" t="s">
        <v>47</v>
      </c>
      <c r="R3347" s="214" t="s">
        <v>1869</v>
      </c>
      <c r="S3347" s="214" t="s">
        <v>1861</v>
      </c>
      <c r="T3347" s="85" t="s">
        <v>4300</v>
      </c>
      <c r="U3347" s="422" t="s">
        <v>1953</v>
      </c>
      <c r="V3347" s="422" t="s">
        <v>2813</v>
      </c>
    </row>
    <row r="3348" spans="1:22" ht="15.75" thickBot="1" x14ac:dyDescent="0.3">
      <c r="A3348" t="s">
        <v>1910</v>
      </c>
      <c r="B3348" t="s">
        <v>1910</v>
      </c>
      <c r="C3348" s="82" t="s">
        <v>1910</v>
      </c>
      <c r="D3348" s="83" t="s">
        <v>629</v>
      </c>
      <c r="E3348" s="251" t="s">
        <v>1951</v>
      </c>
      <c r="F3348" s="124" t="s">
        <v>620</v>
      </c>
      <c r="G3348" s="130"/>
      <c r="H3348" s="125" t="s">
        <v>733</v>
      </c>
      <c r="I3348" s="311" t="str">
        <f t="shared" si="132"/>
        <v>Pesado de Passageiros M3: I : Gasóleo : E6</v>
      </c>
      <c r="J3348" s="125"/>
      <c r="K3348" s="253">
        <v>2022</v>
      </c>
      <c r="L3348" s="85">
        <v>195.84</v>
      </c>
      <c r="M3348" s="85" t="s">
        <v>630</v>
      </c>
      <c r="N3348" s="128">
        <v>408</v>
      </c>
      <c r="O3348" s="128">
        <f t="shared" si="131"/>
        <v>0</v>
      </c>
      <c r="P3348" s="125" t="s">
        <v>4485</v>
      </c>
      <c r="Q3348" s="85" t="s">
        <v>47</v>
      </c>
      <c r="R3348" s="214" t="s">
        <v>1869</v>
      </c>
      <c r="S3348" s="214" t="s">
        <v>1861</v>
      </c>
      <c r="T3348" s="85" t="s">
        <v>4301</v>
      </c>
      <c r="U3348" s="422" t="s">
        <v>1953</v>
      </c>
      <c r="V3348" s="422" t="s">
        <v>2813</v>
      </c>
    </row>
    <row r="3349" spans="1:22" ht="15.75" thickBot="1" x14ac:dyDescent="0.3">
      <c r="A3349" t="s">
        <v>1910</v>
      </c>
      <c r="B3349" t="s">
        <v>1910</v>
      </c>
      <c r="C3349" s="82" t="s">
        <v>1910</v>
      </c>
      <c r="D3349" s="83" t="s">
        <v>629</v>
      </c>
      <c r="E3349" s="251" t="s">
        <v>1951</v>
      </c>
      <c r="F3349" s="124" t="s">
        <v>620</v>
      </c>
      <c r="G3349" s="130"/>
      <c r="H3349" s="125" t="s">
        <v>733</v>
      </c>
      <c r="I3349" s="311" t="str">
        <f t="shared" si="132"/>
        <v>Pesado de Passageiros M3: I : Gasóleo : E6</v>
      </c>
      <c r="J3349" s="125"/>
      <c r="K3349" s="253">
        <v>2022</v>
      </c>
      <c r="L3349" s="85">
        <v>142.08000000000001</v>
      </c>
      <c r="M3349" s="85" t="s">
        <v>630</v>
      </c>
      <c r="N3349" s="128">
        <v>296</v>
      </c>
      <c r="O3349" s="128">
        <f t="shared" si="131"/>
        <v>0</v>
      </c>
      <c r="P3349" s="125" t="s">
        <v>4486</v>
      </c>
      <c r="Q3349" s="85" t="s">
        <v>47</v>
      </c>
      <c r="R3349" s="214" t="s">
        <v>1869</v>
      </c>
      <c r="S3349" s="214" t="s">
        <v>1861</v>
      </c>
      <c r="T3349" s="85" t="s">
        <v>3384</v>
      </c>
      <c r="U3349" s="422" t="s">
        <v>1953</v>
      </c>
      <c r="V3349" s="422" t="s">
        <v>2813</v>
      </c>
    </row>
    <row r="3350" spans="1:22" ht="15.75" thickBot="1" x14ac:dyDescent="0.3">
      <c r="A3350" t="s">
        <v>1910</v>
      </c>
      <c r="B3350" t="s">
        <v>1910</v>
      </c>
      <c r="C3350" s="82" t="s">
        <v>1910</v>
      </c>
      <c r="D3350" s="83" t="s">
        <v>629</v>
      </c>
      <c r="E3350" s="251" t="s">
        <v>1951</v>
      </c>
      <c r="F3350" s="124" t="s">
        <v>620</v>
      </c>
      <c r="G3350" s="130">
        <v>2022</v>
      </c>
      <c r="H3350" s="125" t="s">
        <v>733</v>
      </c>
      <c r="I3350" s="311" t="str">
        <f t="shared" si="132"/>
        <v>Pesado de Passageiros M3: I : Gasóleo : E6</v>
      </c>
      <c r="J3350" s="125">
        <v>89</v>
      </c>
      <c r="K3350" s="253">
        <v>2022</v>
      </c>
      <c r="L3350" s="129">
        <v>8559.6669999999995</v>
      </c>
      <c r="M3350" s="85" t="s">
        <v>630</v>
      </c>
      <c r="N3350" s="128">
        <v>22349</v>
      </c>
      <c r="O3350" s="128">
        <f t="shared" si="131"/>
        <v>1989061</v>
      </c>
      <c r="P3350" s="125">
        <v>2705</v>
      </c>
      <c r="Q3350" s="85" t="s">
        <v>47</v>
      </c>
      <c r="R3350" s="214" t="s">
        <v>1869</v>
      </c>
      <c r="S3350" s="214" t="s">
        <v>1861</v>
      </c>
      <c r="T3350" s="85" t="s">
        <v>4302</v>
      </c>
      <c r="U3350" s="422" t="s">
        <v>1953</v>
      </c>
      <c r="V3350" s="422" t="s">
        <v>2813</v>
      </c>
    </row>
    <row r="3351" spans="1:22" ht="15.75" thickBot="1" x14ac:dyDescent="0.3">
      <c r="A3351" t="s">
        <v>1910</v>
      </c>
      <c r="B3351" t="s">
        <v>1910</v>
      </c>
      <c r="C3351" s="82" t="s">
        <v>1910</v>
      </c>
      <c r="D3351" s="83" t="s">
        <v>629</v>
      </c>
      <c r="E3351" s="251" t="s">
        <v>1951</v>
      </c>
      <c r="F3351" s="124" t="s">
        <v>620</v>
      </c>
      <c r="G3351" s="125">
        <v>2022</v>
      </c>
      <c r="H3351" s="125" t="s">
        <v>733</v>
      </c>
      <c r="I3351" s="311" t="str">
        <f t="shared" si="132"/>
        <v>Pesado de Passageiros M3: I : Gasóleo : E6</v>
      </c>
      <c r="J3351" s="125">
        <v>85</v>
      </c>
      <c r="K3351" s="253">
        <v>2022</v>
      </c>
      <c r="L3351" s="129">
        <v>8136.9118000000008</v>
      </c>
      <c r="M3351" s="85" t="s">
        <v>630</v>
      </c>
      <c r="N3351" s="128">
        <v>19574</v>
      </c>
      <c r="O3351" s="128">
        <f t="shared" si="131"/>
        <v>1663790</v>
      </c>
      <c r="P3351" s="380">
        <v>2201</v>
      </c>
      <c r="Q3351" s="85" t="s">
        <v>47</v>
      </c>
      <c r="R3351" s="214" t="s">
        <v>1869</v>
      </c>
      <c r="S3351" s="214" t="s">
        <v>1861</v>
      </c>
      <c r="T3351" s="85" t="s">
        <v>4303</v>
      </c>
      <c r="U3351" s="422" t="s">
        <v>1953</v>
      </c>
      <c r="V3351" s="422" t="s">
        <v>2813</v>
      </c>
    </row>
    <row r="3352" spans="1:22" ht="15.75" thickBot="1" x14ac:dyDescent="0.3">
      <c r="A3352" t="s">
        <v>1910</v>
      </c>
      <c r="B3352" t="s">
        <v>1910</v>
      </c>
      <c r="C3352" s="82" t="s">
        <v>1910</v>
      </c>
      <c r="D3352" s="83" t="s">
        <v>629</v>
      </c>
      <c r="E3352" s="251" t="s">
        <v>1951</v>
      </c>
      <c r="F3352" s="124" t="s">
        <v>620</v>
      </c>
      <c r="G3352" s="130"/>
      <c r="H3352" s="125" t="s">
        <v>733</v>
      </c>
      <c r="I3352" s="311" t="str">
        <f t="shared" si="132"/>
        <v>Pesado de Passageiros M3: I : Gasóleo : E6</v>
      </c>
      <c r="J3352" s="125"/>
      <c r="K3352" s="253">
        <v>2022</v>
      </c>
      <c r="L3352" s="85">
        <v>238.08</v>
      </c>
      <c r="M3352" s="85" t="s">
        <v>630</v>
      </c>
      <c r="N3352" s="128">
        <v>496</v>
      </c>
      <c r="O3352" s="128">
        <f t="shared" si="131"/>
        <v>0</v>
      </c>
      <c r="P3352" s="125" t="s">
        <v>4487</v>
      </c>
      <c r="Q3352" s="85" t="s">
        <v>47</v>
      </c>
      <c r="R3352" s="214" t="s">
        <v>1869</v>
      </c>
      <c r="S3352" s="214" t="s">
        <v>1861</v>
      </c>
      <c r="T3352" s="85" t="s">
        <v>4304</v>
      </c>
      <c r="U3352" s="422" t="s">
        <v>1953</v>
      </c>
      <c r="V3352" s="422" t="s">
        <v>2813</v>
      </c>
    </row>
    <row r="3353" spans="1:22" ht="15.75" thickBot="1" x14ac:dyDescent="0.3">
      <c r="A3353" t="s">
        <v>1910</v>
      </c>
      <c r="B3353" t="s">
        <v>1910</v>
      </c>
      <c r="C3353" s="82" t="s">
        <v>1910</v>
      </c>
      <c r="D3353" s="83" t="s">
        <v>629</v>
      </c>
      <c r="E3353" s="251" t="s">
        <v>1951</v>
      </c>
      <c r="F3353" s="124" t="s">
        <v>620</v>
      </c>
      <c r="G3353" s="130"/>
      <c r="H3353" s="125" t="s">
        <v>733</v>
      </c>
      <c r="I3353" s="311" t="str">
        <f t="shared" si="132"/>
        <v>Pesado de Passageiros M3: I : Gasóleo : E6</v>
      </c>
      <c r="J3353" s="125"/>
      <c r="K3353" s="253">
        <v>2022</v>
      </c>
      <c r="L3353" s="85">
        <v>276.37959999999998</v>
      </c>
      <c r="M3353" s="85" t="s">
        <v>630</v>
      </c>
      <c r="N3353" s="128">
        <v>826</v>
      </c>
      <c r="O3353" s="128">
        <f t="shared" si="131"/>
        <v>0</v>
      </c>
      <c r="P3353" s="125" t="s">
        <v>4488</v>
      </c>
      <c r="Q3353" s="85" t="s">
        <v>47</v>
      </c>
      <c r="R3353" s="214" t="s">
        <v>1869</v>
      </c>
      <c r="S3353" s="214" t="s">
        <v>1861</v>
      </c>
      <c r="T3353" s="85" t="s">
        <v>4305</v>
      </c>
      <c r="U3353" s="422" t="s">
        <v>1953</v>
      </c>
      <c r="V3353" s="422" t="s">
        <v>2813</v>
      </c>
    </row>
    <row r="3354" spans="1:22" ht="15.75" thickBot="1" x14ac:dyDescent="0.3">
      <c r="A3354" t="s">
        <v>1910</v>
      </c>
      <c r="B3354" t="s">
        <v>1910</v>
      </c>
      <c r="C3354" s="82" t="s">
        <v>1910</v>
      </c>
      <c r="D3354" s="83" t="s">
        <v>629</v>
      </c>
      <c r="E3354" s="251" t="s">
        <v>1951</v>
      </c>
      <c r="F3354" s="124" t="s">
        <v>620</v>
      </c>
      <c r="G3354" s="130"/>
      <c r="H3354" s="125" t="s">
        <v>733</v>
      </c>
      <c r="I3354" s="311" t="str">
        <f t="shared" si="132"/>
        <v>Pesado de Passageiros M3: I : Gasóleo : E6</v>
      </c>
      <c r="J3354" s="125"/>
      <c r="K3354" s="253">
        <v>2022</v>
      </c>
      <c r="L3354" s="85">
        <v>416.12300000000005</v>
      </c>
      <c r="M3354" s="85" t="s">
        <v>630</v>
      </c>
      <c r="N3354" s="128">
        <v>1070</v>
      </c>
      <c r="O3354" s="128">
        <f t="shared" si="131"/>
        <v>0</v>
      </c>
      <c r="P3354" s="125" t="s">
        <v>4489</v>
      </c>
      <c r="Q3354" s="85" t="s">
        <v>47</v>
      </c>
      <c r="R3354" s="214" t="s">
        <v>1869</v>
      </c>
      <c r="S3354" s="214" t="s">
        <v>1861</v>
      </c>
      <c r="T3354" s="85" t="s">
        <v>3415</v>
      </c>
      <c r="U3354" s="422" t="s">
        <v>1953</v>
      </c>
      <c r="V3354" s="422" t="s">
        <v>2813</v>
      </c>
    </row>
    <row r="3355" spans="1:22" ht="15.75" thickBot="1" x14ac:dyDescent="0.3">
      <c r="A3355" t="s">
        <v>1910</v>
      </c>
      <c r="B3355" t="s">
        <v>1910</v>
      </c>
      <c r="C3355" s="82" t="s">
        <v>1910</v>
      </c>
      <c r="D3355" s="83" t="s">
        <v>629</v>
      </c>
      <c r="E3355" s="251" t="s">
        <v>1951</v>
      </c>
      <c r="F3355" s="124" t="s">
        <v>620</v>
      </c>
      <c r="G3355" s="130"/>
      <c r="H3355" s="125" t="s">
        <v>733</v>
      </c>
      <c r="I3355" s="311" t="str">
        <f t="shared" si="132"/>
        <v>Pesado de Passageiros M3: I : Gasóleo : E6</v>
      </c>
      <c r="J3355" s="125"/>
      <c r="K3355" s="253">
        <v>2022</v>
      </c>
      <c r="L3355" s="85">
        <v>241.27680000000001</v>
      </c>
      <c r="M3355" s="85" t="s">
        <v>630</v>
      </c>
      <c r="N3355" s="128">
        <v>492</v>
      </c>
      <c r="O3355" s="128">
        <f t="shared" si="131"/>
        <v>0</v>
      </c>
      <c r="P3355" s="125" t="s">
        <v>4490</v>
      </c>
      <c r="Q3355" s="85" t="s">
        <v>47</v>
      </c>
      <c r="R3355" s="214" t="s">
        <v>1869</v>
      </c>
      <c r="S3355" s="214" t="s">
        <v>1861</v>
      </c>
      <c r="T3355" s="85" t="s">
        <v>4306</v>
      </c>
      <c r="U3355" s="422" t="s">
        <v>1953</v>
      </c>
      <c r="V3355" s="422" t="s">
        <v>2813</v>
      </c>
    </row>
    <row r="3356" spans="1:22" ht="15.75" thickBot="1" x14ac:dyDescent="0.3">
      <c r="A3356" t="s">
        <v>1910</v>
      </c>
      <c r="B3356" t="s">
        <v>1910</v>
      </c>
      <c r="C3356" s="82" t="s">
        <v>1910</v>
      </c>
      <c r="D3356" s="83" t="s">
        <v>629</v>
      </c>
      <c r="E3356" s="251" t="s">
        <v>1951</v>
      </c>
      <c r="F3356" s="124" t="s">
        <v>620</v>
      </c>
      <c r="G3356" s="130"/>
      <c r="H3356" s="125" t="s">
        <v>733</v>
      </c>
      <c r="I3356" s="311" t="str">
        <f t="shared" si="132"/>
        <v>Pesado de Passageiros M3: I : Gasóleo : E6</v>
      </c>
      <c r="J3356" s="125"/>
      <c r="K3356" s="253">
        <v>2022</v>
      </c>
      <c r="L3356" s="242">
        <v>50.340800000000002</v>
      </c>
      <c r="M3356" s="85" t="s">
        <v>630</v>
      </c>
      <c r="N3356" s="128">
        <v>119</v>
      </c>
      <c r="O3356" s="128">
        <f t="shared" si="131"/>
        <v>0</v>
      </c>
      <c r="P3356" s="125" t="s">
        <v>4491</v>
      </c>
      <c r="Q3356" s="85" t="s">
        <v>47</v>
      </c>
      <c r="R3356" s="214" t="s">
        <v>1869</v>
      </c>
      <c r="S3356" s="214" t="s">
        <v>1861</v>
      </c>
      <c r="T3356" s="85" t="s">
        <v>4307</v>
      </c>
      <c r="U3356" s="422" t="s">
        <v>1953</v>
      </c>
      <c r="V3356" s="422" t="s">
        <v>2813</v>
      </c>
    </row>
    <row r="3357" spans="1:22" ht="15.75" thickBot="1" x14ac:dyDescent="0.3">
      <c r="A3357" t="s">
        <v>1910</v>
      </c>
      <c r="B3357" t="s">
        <v>1910</v>
      </c>
      <c r="C3357" s="82" t="s">
        <v>1910</v>
      </c>
      <c r="D3357" s="83" t="s">
        <v>629</v>
      </c>
      <c r="E3357" s="251" t="s">
        <v>1951</v>
      </c>
      <c r="F3357" s="124" t="s">
        <v>620</v>
      </c>
      <c r="G3357" s="130"/>
      <c r="H3357" s="125" t="s">
        <v>733</v>
      </c>
      <c r="I3357" s="311" t="str">
        <f t="shared" si="132"/>
        <v>Pesado de Passageiros M3: I : Gasóleo : E6</v>
      </c>
      <c r="J3357" s="125"/>
      <c r="K3357" s="253">
        <v>2022</v>
      </c>
      <c r="L3357" s="85">
        <v>261.2192</v>
      </c>
      <c r="M3357" s="85" t="s">
        <v>630</v>
      </c>
      <c r="N3357" s="128">
        <v>724</v>
      </c>
      <c r="O3357" s="128">
        <f t="shared" si="131"/>
        <v>0</v>
      </c>
      <c r="P3357" s="125" t="s">
        <v>4491</v>
      </c>
      <c r="Q3357" s="85" t="s">
        <v>47</v>
      </c>
      <c r="R3357" s="214" t="s">
        <v>1869</v>
      </c>
      <c r="S3357" s="214" t="s">
        <v>1861</v>
      </c>
      <c r="T3357" s="85" t="s">
        <v>4307</v>
      </c>
      <c r="U3357" s="422" t="s">
        <v>1953</v>
      </c>
      <c r="V3357" s="422" t="s">
        <v>2813</v>
      </c>
    </row>
    <row r="3358" spans="1:22" ht="15.75" thickBot="1" x14ac:dyDescent="0.3">
      <c r="A3358" t="s">
        <v>1910</v>
      </c>
      <c r="B3358" t="s">
        <v>1910</v>
      </c>
      <c r="C3358" s="82" t="s">
        <v>1910</v>
      </c>
      <c r="D3358" s="83" t="s">
        <v>629</v>
      </c>
      <c r="E3358" s="251" t="s">
        <v>1951</v>
      </c>
      <c r="F3358" s="124" t="s">
        <v>620</v>
      </c>
      <c r="G3358" s="130"/>
      <c r="H3358" s="125" t="s">
        <v>733</v>
      </c>
      <c r="I3358" s="311" t="str">
        <f t="shared" si="132"/>
        <v>Pesado de Passageiros M3: I : Gasóleo : E6</v>
      </c>
      <c r="J3358" s="125"/>
      <c r="K3358" s="253">
        <v>2022</v>
      </c>
      <c r="L3358" s="85">
        <v>325</v>
      </c>
      <c r="M3358" s="85" t="s">
        <v>630</v>
      </c>
      <c r="N3358" s="128">
        <v>650</v>
      </c>
      <c r="O3358" s="128">
        <f t="shared" si="131"/>
        <v>0</v>
      </c>
      <c r="P3358" s="125" t="s">
        <v>4492</v>
      </c>
      <c r="Q3358" s="85" t="s">
        <v>47</v>
      </c>
      <c r="R3358" s="214" t="s">
        <v>1869</v>
      </c>
      <c r="S3358" s="214" t="s">
        <v>1861</v>
      </c>
      <c r="T3358" s="85" t="s">
        <v>3401</v>
      </c>
      <c r="U3358" s="422" t="s">
        <v>1953</v>
      </c>
      <c r="V3358" s="422" t="s">
        <v>2813</v>
      </c>
    </row>
    <row r="3359" spans="1:22" ht="15.75" thickBot="1" x14ac:dyDescent="0.3">
      <c r="A3359" t="s">
        <v>1910</v>
      </c>
      <c r="B3359" t="s">
        <v>1910</v>
      </c>
      <c r="C3359" s="82" t="s">
        <v>1910</v>
      </c>
      <c r="D3359" s="83" t="s">
        <v>629</v>
      </c>
      <c r="E3359" s="251" t="s">
        <v>1951</v>
      </c>
      <c r="F3359" s="124" t="s">
        <v>620</v>
      </c>
      <c r="G3359" s="130"/>
      <c r="H3359" s="125" t="s">
        <v>733</v>
      </c>
      <c r="I3359" s="311" t="str">
        <f t="shared" si="132"/>
        <v>Pesado de Passageiros M3: I : Gasóleo : E6</v>
      </c>
      <c r="J3359" s="125"/>
      <c r="K3359" s="253">
        <v>2022</v>
      </c>
      <c r="L3359" s="242">
        <v>91.170999999999992</v>
      </c>
      <c r="M3359" s="85" t="s">
        <v>630</v>
      </c>
      <c r="N3359" s="128">
        <v>216</v>
      </c>
      <c r="O3359" s="128">
        <f t="shared" si="131"/>
        <v>0</v>
      </c>
      <c r="P3359" s="125" t="s">
        <v>4493</v>
      </c>
      <c r="Q3359" s="85" t="s">
        <v>47</v>
      </c>
      <c r="R3359" s="214" t="s">
        <v>1869</v>
      </c>
      <c r="S3359" s="214" t="s">
        <v>1861</v>
      </c>
      <c r="T3359" s="85" t="s">
        <v>3402</v>
      </c>
      <c r="U3359" s="422" t="s">
        <v>1953</v>
      </c>
      <c r="V3359" s="422" t="s">
        <v>2813</v>
      </c>
    </row>
    <row r="3360" spans="1:22" ht="15.75" thickBot="1" x14ac:dyDescent="0.3">
      <c r="A3360" t="s">
        <v>1910</v>
      </c>
      <c r="B3360" t="s">
        <v>1910</v>
      </c>
      <c r="C3360" s="82" t="s">
        <v>1910</v>
      </c>
      <c r="D3360" s="83" t="s">
        <v>629</v>
      </c>
      <c r="E3360" s="251" t="s">
        <v>1951</v>
      </c>
      <c r="F3360" s="124" t="s">
        <v>620</v>
      </c>
      <c r="G3360" s="130"/>
      <c r="H3360" s="125" t="s">
        <v>733</v>
      </c>
      <c r="I3360" s="311" t="str">
        <f t="shared" si="132"/>
        <v>Pesado de Passageiros M3: I : Gasóleo : E6</v>
      </c>
      <c r="J3360" s="125"/>
      <c r="K3360" s="253">
        <v>2022</v>
      </c>
      <c r="L3360" s="85">
        <v>327.65899999999999</v>
      </c>
      <c r="M3360" s="85" t="s">
        <v>630</v>
      </c>
      <c r="N3360" s="128">
        <v>785</v>
      </c>
      <c r="O3360" s="128">
        <f t="shared" si="131"/>
        <v>0</v>
      </c>
      <c r="P3360" s="125" t="s">
        <v>4493</v>
      </c>
      <c r="Q3360" s="85" t="s">
        <v>47</v>
      </c>
      <c r="R3360" s="214" t="s">
        <v>1869</v>
      </c>
      <c r="S3360" s="214" t="s">
        <v>1861</v>
      </c>
      <c r="T3360" s="85" t="s">
        <v>3402</v>
      </c>
      <c r="U3360" s="422" t="s">
        <v>1953</v>
      </c>
      <c r="V3360" s="422" t="s">
        <v>2813</v>
      </c>
    </row>
    <row r="3361" spans="1:22" ht="15.75" thickBot="1" x14ac:dyDescent="0.3">
      <c r="A3361" t="s">
        <v>1910</v>
      </c>
      <c r="B3361" t="s">
        <v>1910</v>
      </c>
      <c r="C3361" s="82" t="s">
        <v>1910</v>
      </c>
      <c r="D3361" s="83" t="s">
        <v>629</v>
      </c>
      <c r="E3361" s="251" t="s">
        <v>1951</v>
      </c>
      <c r="F3361" s="124" t="s">
        <v>620</v>
      </c>
      <c r="G3361" s="130"/>
      <c r="H3361" s="125" t="s">
        <v>733</v>
      </c>
      <c r="I3361" s="311" t="str">
        <f t="shared" si="132"/>
        <v>Pesado de Passageiros M3: I : Gasóleo : E6</v>
      </c>
      <c r="J3361" s="125"/>
      <c r="K3361" s="253">
        <v>2022</v>
      </c>
      <c r="L3361" s="85">
        <v>295.55540000000002</v>
      </c>
      <c r="M3361" s="85" t="s">
        <v>630</v>
      </c>
      <c r="N3361" s="128">
        <v>749</v>
      </c>
      <c r="O3361" s="128">
        <f t="shared" si="131"/>
        <v>0</v>
      </c>
      <c r="P3361" s="125" t="s">
        <v>4494</v>
      </c>
      <c r="Q3361" s="85" t="s">
        <v>47</v>
      </c>
      <c r="R3361" s="214" t="s">
        <v>1869</v>
      </c>
      <c r="S3361" s="214" t="s">
        <v>1861</v>
      </c>
      <c r="T3361" s="85" t="s">
        <v>4308</v>
      </c>
      <c r="U3361" s="422" t="s">
        <v>1953</v>
      </c>
      <c r="V3361" s="422" t="s">
        <v>2813</v>
      </c>
    </row>
    <row r="3362" spans="1:22" ht="15.75" thickBot="1" x14ac:dyDescent="0.3">
      <c r="A3362" t="s">
        <v>1910</v>
      </c>
      <c r="B3362" t="s">
        <v>1910</v>
      </c>
      <c r="C3362" s="82" t="s">
        <v>1910</v>
      </c>
      <c r="D3362" s="83" t="s">
        <v>629</v>
      </c>
      <c r="E3362" s="251" t="s">
        <v>1951</v>
      </c>
      <c r="F3362" s="124" t="s">
        <v>620</v>
      </c>
      <c r="G3362" s="130"/>
      <c r="H3362" s="125" t="s">
        <v>733</v>
      </c>
      <c r="I3362" s="311" t="str">
        <f t="shared" si="132"/>
        <v>Pesado de Passageiros M3: I : Gasóleo : E6</v>
      </c>
      <c r="J3362" s="125"/>
      <c r="K3362" s="253">
        <v>2022</v>
      </c>
      <c r="L3362" s="85">
        <v>370.72649999999999</v>
      </c>
      <c r="M3362" s="85" t="s">
        <v>630</v>
      </c>
      <c r="N3362" s="128">
        <v>885</v>
      </c>
      <c r="O3362" s="128">
        <f t="shared" si="131"/>
        <v>0</v>
      </c>
      <c r="P3362" s="125" t="s">
        <v>4495</v>
      </c>
      <c r="Q3362" s="85" t="s">
        <v>47</v>
      </c>
      <c r="R3362" s="214" t="s">
        <v>1869</v>
      </c>
      <c r="S3362" s="214" t="s">
        <v>1861</v>
      </c>
      <c r="T3362" s="85" t="s">
        <v>4309</v>
      </c>
      <c r="U3362" s="422" t="s">
        <v>1953</v>
      </c>
      <c r="V3362" s="422" t="s">
        <v>2813</v>
      </c>
    </row>
    <row r="3363" spans="1:22" ht="15.75" thickBot="1" x14ac:dyDescent="0.3">
      <c r="A3363" t="s">
        <v>1910</v>
      </c>
      <c r="B3363" t="s">
        <v>1910</v>
      </c>
      <c r="C3363" s="82" t="s">
        <v>1910</v>
      </c>
      <c r="D3363" s="83" t="s">
        <v>629</v>
      </c>
      <c r="E3363" s="251" t="s">
        <v>1951</v>
      </c>
      <c r="F3363" s="124" t="s">
        <v>620</v>
      </c>
      <c r="G3363" s="130"/>
      <c r="H3363" s="125" t="s">
        <v>733</v>
      </c>
      <c r="I3363" s="311" t="str">
        <f t="shared" si="132"/>
        <v>Pesado de Passageiros M3: I : Gasóleo : E6</v>
      </c>
      <c r="J3363" s="125"/>
      <c r="K3363" s="253">
        <v>2022</v>
      </c>
      <c r="L3363" s="85">
        <v>175.14</v>
      </c>
      <c r="M3363" s="85" t="s">
        <v>630</v>
      </c>
      <c r="N3363" s="128">
        <v>417</v>
      </c>
      <c r="O3363" s="128">
        <f t="shared" si="131"/>
        <v>0</v>
      </c>
      <c r="P3363" s="125" t="s">
        <v>4496</v>
      </c>
      <c r="Q3363" s="85" t="s">
        <v>47</v>
      </c>
      <c r="R3363" s="214" t="s">
        <v>1869</v>
      </c>
      <c r="S3363" s="214" t="s">
        <v>1861</v>
      </c>
      <c r="T3363" s="85" t="s">
        <v>4310</v>
      </c>
      <c r="U3363" s="422" t="s">
        <v>1953</v>
      </c>
      <c r="V3363" s="422" t="s">
        <v>2813</v>
      </c>
    </row>
    <row r="3364" spans="1:22" ht="15.75" thickBot="1" x14ac:dyDescent="0.3">
      <c r="A3364" t="s">
        <v>1910</v>
      </c>
      <c r="B3364" t="s">
        <v>1910</v>
      </c>
      <c r="C3364" s="82" t="s">
        <v>1910</v>
      </c>
      <c r="D3364" s="83" t="s">
        <v>629</v>
      </c>
      <c r="E3364" s="251" t="s">
        <v>1951</v>
      </c>
      <c r="F3364" s="124" t="s">
        <v>620</v>
      </c>
      <c r="G3364" s="130"/>
      <c r="H3364" s="125" t="s">
        <v>733</v>
      </c>
      <c r="I3364" s="311" t="str">
        <f t="shared" si="132"/>
        <v>Pesado de Passageiros M3: I : Gasóleo : E6</v>
      </c>
      <c r="J3364" s="125"/>
      <c r="K3364" s="253">
        <v>2022</v>
      </c>
      <c r="L3364" s="242">
        <v>30.080000000000013</v>
      </c>
      <c r="M3364" s="85" t="s">
        <v>630</v>
      </c>
      <c r="N3364" s="128">
        <v>71</v>
      </c>
      <c r="O3364" s="128">
        <f t="shared" si="131"/>
        <v>0</v>
      </c>
      <c r="P3364" s="125" t="s">
        <v>4497</v>
      </c>
      <c r="Q3364" s="85" t="s">
        <v>47</v>
      </c>
      <c r="R3364" s="214" t="s">
        <v>1869</v>
      </c>
      <c r="S3364" s="214" t="s">
        <v>1861</v>
      </c>
      <c r="T3364" s="85" t="s">
        <v>4311</v>
      </c>
      <c r="U3364" s="422" t="s">
        <v>1953</v>
      </c>
      <c r="V3364" s="422" t="s">
        <v>2813</v>
      </c>
    </row>
    <row r="3365" spans="1:22" ht="15.75" thickBot="1" x14ac:dyDescent="0.3">
      <c r="A3365" t="s">
        <v>1910</v>
      </c>
      <c r="B3365" t="s">
        <v>1910</v>
      </c>
      <c r="C3365" s="82" t="s">
        <v>1910</v>
      </c>
      <c r="D3365" s="83" t="s">
        <v>629</v>
      </c>
      <c r="E3365" s="251" t="s">
        <v>1951</v>
      </c>
      <c r="F3365" s="124" t="s">
        <v>620</v>
      </c>
      <c r="G3365" s="130"/>
      <c r="H3365" s="125" t="s">
        <v>733</v>
      </c>
      <c r="I3365" s="311" t="str">
        <f t="shared" si="132"/>
        <v>Pesado de Passageiros M3: I : Gasóleo : E6</v>
      </c>
      <c r="J3365" s="125"/>
      <c r="K3365" s="253">
        <v>2022</v>
      </c>
      <c r="L3365" s="85">
        <v>223.2</v>
      </c>
      <c r="M3365" s="85" t="s">
        <v>630</v>
      </c>
      <c r="N3365" s="128">
        <v>558</v>
      </c>
      <c r="O3365" s="128">
        <f t="shared" si="131"/>
        <v>0</v>
      </c>
      <c r="P3365" s="125" t="s">
        <v>4497</v>
      </c>
      <c r="Q3365" s="85" t="s">
        <v>47</v>
      </c>
      <c r="R3365" s="214" t="s">
        <v>1869</v>
      </c>
      <c r="S3365" s="214" t="s">
        <v>1861</v>
      </c>
      <c r="T3365" s="85" t="s">
        <v>4311</v>
      </c>
      <c r="U3365" s="422" t="s">
        <v>1953</v>
      </c>
      <c r="V3365" s="422" t="s">
        <v>2813</v>
      </c>
    </row>
    <row r="3366" spans="1:22" ht="15.75" thickBot="1" x14ac:dyDescent="0.3">
      <c r="A3366" t="s">
        <v>1910</v>
      </c>
      <c r="B3366" t="s">
        <v>1910</v>
      </c>
      <c r="C3366" s="82" t="s">
        <v>1910</v>
      </c>
      <c r="D3366" s="83" t="s">
        <v>629</v>
      </c>
      <c r="E3366" s="251" t="s">
        <v>1951</v>
      </c>
      <c r="F3366" s="124" t="s">
        <v>620</v>
      </c>
      <c r="G3366" s="130"/>
      <c r="H3366" s="125" t="s">
        <v>733</v>
      </c>
      <c r="I3366" s="311" t="str">
        <f t="shared" si="132"/>
        <v>Pesado de Passageiros M3: I : Gasóleo : E6</v>
      </c>
      <c r="J3366" s="125"/>
      <c r="K3366" s="253">
        <v>2022</v>
      </c>
      <c r="L3366" s="85">
        <v>422.18989999999997</v>
      </c>
      <c r="M3366" s="85" t="s">
        <v>630</v>
      </c>
      <c r="N3366" s="128">
        <v>1177</v>
      </c>
      <c r="O3366" s="128">
        <f t="shared" si="131"/>
        <v>0</v>
      </c>
      <c r="P3366" s="125" t="s">
        <v>4498</v>
      </c>
      <c r="Q3366" s="85" t="s">
        <v>47</v>
      </c>
      <c r="R3366" s="214" t="s">
        <v>1869</v>
      </c>
      <c r="S3366" s="214" t="s">
        <v>1861</v>
      </c>
      <c r="T3366" s="85" t="s">
        <v>4312</v>
      </c>
      <c r="U3366" s="422" t="s">
        <v>1953</v>
      </c>
      <c r="V3366" s="422" t="s">
        <v>2813</v>
      </c>
    </row>
    <row r="3367" spans="1:22" ht="15.75" thickBot="1" x14ac:dyDescent="0.3">
      <c r="A3367" t="s">
        <v>1910</v>
      </c>
      <c r="B3367" t="s">
        <v>1910</v>
      </c>
      <c r="C3367" s="82" t="s">
        <v>1910</v>
      </c>
      <c r="D3367" s="83" t="s">
        <v>629</v>
      </c>
      <c r="E3367" s="251" t="s">
        <v>1951</v>
      </c>
      <c r="F3367" s="124" t="s">
        <v>620</v>
      </c>
      <c r="G3367" s="130"/>
      <c r="H3367" s="125" t="s">
        <v>733</v>
      </c>
      <c r="I3367" s="311" t="str">
        <f t="shared" si="132"/>
        <v>Pesado de Passageiros M3: I : Gasóleo : E6</v>
      </c>
      <c r="J3367" s="125"/>
      <c r="K3367" s="253">
        <v>2022</v>
      </c>
      <c r="L3367" s="242">
        <v>30.059999999999945</v>
      </c>
      <c r="M3367" s="85" t="s">
        <v>630</v>
      </c>
      <c r="N3367" s="128">
        <v>85</v>
      </c>
      <c r="O3367" s="128">
        <f t="shared" si="131"/>
        <v>0</v>
      </c>
      <c r="P3367" s="125" t="s">
        <v>4499</v>
      </c>
      <c r="Q3367" s="85" t="s">
        <v>47</v>
      </c>
      <c r="R3367" s="214" t="s">
        <v>1869</v>
      </c>
      <c r="S3367" s="214" t="s">
        <v>1861</v>
      </c>
      <c r="T3367" s="85" t="s">
        <v>3414</v>
      </c>
      <c r="U3367" s="422" t="s">
        <v>1953</v>
      </c>
      <c r="V3367" s="422" t="s">
        <v>2813</v>
      </c>
    </row>
    <row r="3368" spans="1:22" ht="15.75" thickBot="1" x14ac:dyDescent="0.3">
      <c r="A3368" t="s">
        <v>1910</v>
      </c>
      <c r="B3368" t="s">
        <v>1910</v>
      </c>
      <c r="C3368" s="82" t="s">
        <v>1910</v>
      </c>
      <c r="D3368" s="83" t="s">
        <v>629</v>
      </c>
      <c r="E3368" s="251" t="s">
        <v>1951</v>
      </c>
      <c r="F3368" s="124" t="s">
        <v>620</v>
      </c>
      <c r="G3368" s="130"/>
      <c r="H3368" s="125" t="s">
        <v>733</v>
      </c>
      <c r="I3368" s="311" t="str">
        <f t="shared" si="132"/>
        <v>Pesado de Passageiros M3: I : Gasóleo : E6</v>
      </c>
      <c r="J3368" s="125"/>
      <c r="K3368" s="253">
        <v>2022</v>
      </c>
      <c r="L3368" s="85">
        <v>500.5</v>
      </c>
      <c r="M3368" s="85" t="s">
        <v>630</v>
      </c>
      <c r="N3368" s="128">
        <v>1430</v>
      </c>
      <c r="O3368" s="128">
        <f t="shared" si="131"/>
        <v>0</v>
      </c>
      <c r="P3368" s="125" t="s">
        <v>4499</v>
      </c>
      <c r="Q3368" s="85" t="s">
        <v>47</v>
      </c>
      <c r="R3368" s="214" t="s">
        <v>1869</v>
      </c>
      <c r="S3368" s="214" t="s">
        <v>1861</v>
      </c>
      <c r="T3368" s="85" t="s">
        <v>3414</v>
      </c>
      <c r="U3368" s="422" t="s">
        <v>1953</v>
      </c>
      <c r="V3368" s="422" t="s">
        <v>2813</v>
      </c>
    </row>
    <row r="3369" spans="1:22" ht="15.75" thickBot="1" x14ac:dyDescent="0.3">
      <c r="A3369" t="s">
        <v>1910</v>
      </c>
      <c r="B3369" t="s">
        <v>1910</v>
      </c>
      <c r="C3369" s="82" t="s">
        <v>1910</v>
      </c>
      <c r="D3369" s="83" t="s">
        <v>629</v>
      </c>
      <c r="E3369" s="251" t="s">
        <v>1951</v>
      </c>
      <c r="F3369" s="124" t="s">
        <v>620</v>
      </c>
      <c r="G3369" s="130"/>
      <c r="H3369" s="125" t="s">
        <v>733</v>
      </c>
      <c r="I3369" s="311" t="str">
        <f t="shared" si="132"/>
        <v>Pesado de Passageiros M3: I : Gasóleo : E6</v>
      </c>
      <c r="J3369" s="125"/>
      <c r="K3369" s="253">
        <v>2022</v>
      </c>
      <c r="L3369" s="85">
        <v>64.459999999999994</v>
      </c>
      <c r="M3369" s="85" t="s">
        <v>630</v>
      </c>
      <c r="N3369" s="128">
        <v>293</v>
      </c>
      <c r="O3369" s="128">
        <f t="shared" si="131"/>
        <v>0</v>
      </c>
      <c r="P3369" s="125" t="s">
        <v>4500</v>
      </c>
      <c r="Q3369" s="85" t="s">
        <v>47</v>
      </c>
      <c r="R3369" s="214" t="s">
        <v>1869</v>
      </c>
      <c r="S3369" s="214" t="s">
        <v>1861</v>
      </c>
      <c r="T3369" s="85" t="s">
        <v>4313</v>
      </c>
      <c r="U3369" s="422" t="s">
        <v>1953</v>
      </c>
      <c r="V3369" s="422" t="s">
        <v>2813</v>
      </c>
    </row>
    <row r="3370" spans="1:22" ht="15.75" thickBot="1" x14ac:dyDescent="0.3">
      <c r="A3370" t="s">
        <v>1910</v>
      </c>
      <c r="B3370" t="s">
        <v>1910</v>
      </c>
      <c r="C3370" s="82" t="s">
        <v>1910</v>
      </c>
      <c r="D3370" s="83" t="s">
        <v>629</v>
      </c>
      <c r="E3370" s="251" t="s">
        <v>1951</v>
      </c>
      <c r="F3370" s="124" t="s">
        <v>620</v>
      </c>
      <c r="G3370" s="130"/>
      <c r="H3370" s="125" t="s">
        <v>733</v>
      </c>
      <c r="I3370" s="311" t="str">
        <f t="shared" si="132"/>
        <v>Pesado de Passageiros M3: I : Gasóleo : E6</v>
      </c>
      <c r="J3370" s="125"/>
      <c r="K3370" s="253">
        <v>2022</v>
      </c>
      <c r="L3370" s="85">
        <v>90.65</v>
      </c>
      <c r="M3370" s="85" t="s">
        <v>630</v>
      </c>
      <c r="N3370" s="128">
        <v>500</v>
      </c>
      <c r="O3370" s="128">
        <f t="shared" si="131"/>
        <v>0</v>
      </c>
      <c r="P3370" s="125" t="s">
        <v>2224</v>
      </c>
      <c r="Q3370" s="85" t="s">
        <v>47</v>
      </c>
      <c r="R3370" s="214" t="s">
        <v>1869</v>
      </c>
      <c r="S3370" s="214" t="s">
        <v>1861</v>
      </c>
      <c r="T3370" s="85" t="s">
        <v>4314</v>
      </c>
      <c r="U3370" s="422" t="s">
        <v>1953</v>
      </c>
      <c r="V3370" s="422" t="s">
        <v>2813</v>
      </c>
    </row>
    <row r="3371" spans="1:22" ht="15.75" thickBot="1" x14ac:dyDescent="0.3">
      <c r="A3371" t="s">
        <v>1910</v>
      </c>
      <c r="B3371" t="s">
        <v>1910</v>
      </c>
      <c r="C3371" s="82" t="s">
        <v>1910</v>
      </c>
      <c r="D3371" s="83" t="s">
        <v>629</v>
      </c>
      <c r="E3371" s="251" t="s">
        <v>1951</v>
      </c>
      <c r="F3371" s="124" t="s">
        <v>620</v>
      </c>
      <c r="G3371" s="130"/>
      <c r="H3371" s="125" t="s">
        <v>733</v>
      </c>
      <c r="I3371" s="311" t="str">
        <f t="shared" si="132"/>
        <v>Pesado de Passageiros M3: I : Gasóleo : E6</v>
      </c>
      <c r="J3371" s="125"/>
      <c r="K3371" s="253">
        <v>2022</v>
      </c>
      <c r="L3371" s="85">
        <v>62.48</v>
      </c>
      <c r="M3371" s="85" t="s">
        <v>630</v>
      </c>
      <c r="N3371" s="128">
        <v>284</v>
      </c>
      <c r="O3371" s="128">
        <f t="shared" si="131"/>
        <v>0</v>
      </c>
      <c r="P3371" s="125" t="s">
        <v>2229</v>
      </c>
      <c r="Q3371" s="85" t="s">
        <v>47</v>
      </c>
      <c r="R3371" s="214" t="s">
        <v>1869</v>
      </c>
      <c r="S3371" s="214" t="s">
        <v>1861</v>
      </c>
      <c r="T3371" s="85" t="s">
        <v>4315</v>
      </c>
      <c r="U3371" s="422" t="s">
        <v>1953</v>
      </c>
      <c r="V3371" s="422" t="s">
        <v>2813</v>
      </c>
    </row>
    <row r="3372" spans="1:22" ht="15.75" thickBot="1" x14ac:dyDescent="0.3">
      <c r="A3372" t="s">
        <v>1910</v>
      </c>
      <c r="B3372" t="s">
        <v>1910</v>
      </c>
      <c r="C3372" s="82" t="s">
        <v>1910</v>
      </c>
      <c r="D3372" s="83" t="s">
        <v>629</v>
      </c>
      <c r="E3372" s="251" t="s">
        <v>1951</v>
      </c>
      <c r="F3372" s="124" t="s">
        <v>620</v>
      </c>
      <c r="G3372" s="130">
        <v>2022</v>
      </c>
      <c r="H3372" s="125" t="s">
        <v>733</v>
      </c>
      <c r="I3372" s="311" t="str">
        <f t="shared" si="132"/>
        <v>Pesado de Passageiros M3: I : Gasóleo : E6</v>
      </c>
      <c r="J3372" s="125">
        <v>89</v>
      </c>
      <c r="K3372" s="253">
        <v>2022</v>
      </c>
      <c r="L3372" s="129">
        <v>8449.4058000000005</v>
      </c>
      <c r="M3372" s="85" t="s">
        <v>630</v>
      </c>
      <c r="N3372" s="128">
        <v>21901</v>
      </c>
      <c r="O3372" s="128">
        <f t="shared" si="131"/>
        <v>1949189</v>
      </c>
      <c r="P3372" s="125">
        <v>2702</v>
      </c>
      <c r="Q3372" s="85" t="s">
        <v>47</v>
      </c>
      <c r="R3372" s="214" t="s">
        <v>1869</v>
      </c>
      <c r="S3372" s="214" t="s">
        <v>1861</v>
      </c>
      <c r="T3372" s="85" t="s">
        <v>4316</v>
      </c>
      <c r="U3372" s="422" t="s">
        <v>1953</v>
      </c>
      <c r="V3372" s="422" t="s">
        <v>2813</v>
      </c>
    </row>
    <row r="3373" spans="1:22" ht="15.75" thickBot="1" x14ac:dyDescent="0.3">
      <c r="A3373" t="s">
        <v>1910</v>
      </c>
      <c r="B3373" t="s">
        <v>1910</v>
      </c>
      <c r="C3373" s="82" t="s">
        <v>1910</v>
      </c>
      <c r="D3373" s="83" t="s">
        <v>629</v>
      </c>
      <c r="E3373" s="251" t="s">
        <v>1951</v>
      </c>
      <c r="F3373" s="124" t="s">
        <v>620</v>
      </c>
      <c r="G3373" s="130"/>
      <c r="H3373" s="125" t="s">
        <v>733</v>
      </c>
      <c r="I3373" s="311" t="str">
        <f t="shared" si="132"/>
        <v>Pesado de Passageiros M3: I : Gasóleo : E6</v>
      </c>
      <c r="J3373" s="125"/>
      <c r="K3373" s="253">
        <v>2022</v>
      </c>
      <c r="L3373" s="85">
        <v>55.88</v>
      </c>
      <c r="M3373" s="85" t="s">
        <v>630</v>
      </c>
      <c r="N3373" s="128">
        <v>254</v>
      </c>
      <c r="O3373" s="128">
        <f t="shared" si="131"/>
        <v>0</v>
      </c>
      <c r="P3373" s="125" t="s">
        <v>2202</v>
      </c>
      <c r="Q3373" s="85" t="s">
        <v>47</v>
      </c>
      <c r="R3373" s="214" t="s">
        <v>1869</v>
      </c>
      <c r="S3373" s="214" t="s">
        <v>1861</v>
      </c>
      <c r="T3373" s="85" t="s">
        <v>4317</v>
      </c>
      <c r="U3373" s="422" t="s">
        <v>1953</v>
      </c>
      <c r="V3373" s="422" t="s">
        <v>2813</v>
      </c>
    </row>
    <row r="3374" spans="1:22" ht="15.75" thickBot="1" x14ac:dyDescent="0.3">
      <c r="A3374" t="s">
        <v>1910</v>
      </c>
      <c r="B3374" t="s">
        <v>1910</v>
      </c>
      <c r="C3374" s="82" t="s">
        <v>1910</v>
      </c>
      <c r="D3374" s="83" t="s">
        <v>629</v>
      </c>
      <c r="E3374" s="251" t="s">
        <v>1951</v>
      </c>
      <c r="F3374" s="124" t="s">
        <v>620</v>
      </c>
      <c r="G3374" s="130">
        <v>2022</v>
      </c>
      <c r="H3374" s="125" t="s">
        <v>733</v>
      </c>
      <c r="I3374" s="311" t="str">
        <f t="shared" si="132"/>
        <v>Pesado de Passageiros M3: I : Gasóleo : E6</v>
      </c>
      <c r="J3374" s="125">
        <v>109</v>
      </c>
      <c r="K3374" s="253">
        <v>2022</v>
      </c>
      <c r="L3374" s="129">
        <v>3868.3456000000001</v>
      </c>
      <c r="M3374" s="85" t="s">
        <v>630</v>
      </c>
      <c r="N3374" s="128">
        <v>8744</v>
      </c>
      <c r="O3374" s="128">
        <f t="shared" si="131"/>
        <v>953096</v>
      </c>
      <c r="P3374" s="125">
        <v>2590</v>
      </c>
      <c r="Q3374" s="85" t="s">
        <v>47</v>
      </c>
      <c r="R3374" s="214" t="s">
        <v>1869</v>
      </c>
      <c r="S3374" s="214" t="s">
        <v>1861</v>
      </c>
      <c r="T3374" s="85" t="s">
        <v>4318</v>
      </c>
      <c r="U3374" s="422" t="s">
        <v>1953</v>
      </c>
      <c r="V3374" s="422" t="s">
        <v>2813</v>
      </c>
    </row>
    <row r="3375" spans="1:22" ht="15.75" thickBot="1" x14ac:dyDescent="0.3">
      <c r="A3375" t="s">
        <v>1910</v>
      </c>
      <c r="B3375" t="s">
        <v>1910</v>
      </c>
      <c r="C3375" s="82" t="s">
        <v>1910</v>
      </c>
      <c r="D3375" s="83" t="s">
        <v>629</v>
      </c>
      <c r="E3375" s="251" t="s">
        <v>1951</v>
      </c>
      <c r="F3375" s="124" t="s">
        <v>620</v>
      </c>
      <c r="G3375" s="125">
        <v>2022</v>
      </c>
      <c r="H3375" s="125" t="s">
        <v>733</v>
      </c>
      <c r="I3375" s="311" t="str">
        <f t="shared" si="132"/>
        <v>Pesado de Passageiros M3: I : Gasóleo : E6</v>
      </c>
      <c r="J3375" s="125">
        <v>37</v>
      </c>
      <c r="K3375" s="253">
        <v>2022</v>
      </c>
      <c r="L3375" s="129">
        <v>794.80239999999992</v>
      </c>
      <c r="M3375" s="85" t="s">
        <v>630</v>
      </c>
      <c r="N3375" s="128">
        <v>3998</v>
      </c>
      <c r="O3375" s="128">
        <f t="shared" si="131"/>
        <v>147926</v>
      </c>
      <c r="P3375" s="380" t="s">
        <v>1954</v>
      </c>
      <c r="Q3375" s="85" t="s">
        <v>47</v>
      </c>
      <c r="R3375" s="214" t="s">
        <v>1869</v>
      </c>
      <c r="S3375" s="214" t="s">
        <v>1861</v>
      </c>
      <c r="T3375" s="85" t="s">
        <v>4319</v>
      </c>
      <c r="U3375" s="422" t="s">
        <v>1953</v>
      </c>
      <c r="V3375" s="422" t="s">
        <v>2813</v>
      </c>
    </row>
    <row r="3376" spans="1:22" ht="15.75" thickBot="1" x14ac:dyDescent="0.3">
      <c r="A3376" t="s">
        <v>1910</v>
      </c>
      <c r="B3376" t="s">
        <v>1910</v>
      </c>
      <c r="C3376" s="82" t="s">
        <v>1910</v>
      </c>
      <c r="D3376" s="83" t="s">
        <v>629</v>
      </c>
      <c r="E3376" s="251" t="s">
        <v>1951</v>
      </c>
      <c r="F3376" s="124" t="s">
        <v>620</v>
      </c>
      <c r="G3376" s="130"/>
      <c r="H3376" s="125" t="s">
        <v>733</v>
      </c>
      <c r="I3376" s="311" t="str">
        <f t="shared" si="132"/>
        <v>Pesado de Passageiros M3: I : Gasóleo : E6</v>
      </c>
      <c r="J3376" s="125"/>
      <c r="K3376" s="253">
        <v>2022</v>
      </c>
      <c r="L3376" s="85">
        <v>277.7688</v>
      </c>
      <c r="M3376" s="85" t="s">
        <v>630</v>
      </c>
      <c r="N3376" s="128">
        <v>669</v>
      </c>
      <c r="O3376" s="128">
        <f t="shared" si="131"/>
        <v>0</v>
      </c>
      <c r="P3376" s="125" t="s">
        <v>4501</v>
      </c>
      <c r="Q3376" s="85" t="s">
        <v>47</v>
      </c>
      <c r="R3376" s="214" t="s">
        <v>1869</v>
      </c>
      <c r="S3376" s="214" t="s">
        <v>1861</v>
      </c>
      <c r="T3376" s="85" t="s">
        <v>4320</v>
      </c>
      <c r="U3376" s="422" t="s">
        <v>1953</v>
      </c>
      <c r="V3376" s="422" t="s">
        <v>2813</v>
      </c>
    </row>
    <row r="3377" spans="1:22" ht="15.75" thickBot="1" x14ac:dyDescent="0.3">
      <c r="A3377" t="s">
        <v>1910</v>
      </c>
      <c r="B3377" t="s">
        <v>1910</v>
      </c>
      <c r="C3377" s="82" t="s">
        <v>1910</v>
      </c>
      <c r="D3377" s="83" t="s">
        <v>629</v>
      </c>
      <c r="E3377" s="251" t="s">
        <v>1951</v>
      </c>
      <c r="F3377" s="124" t="s">
        <v>620</v>
      </c>
      <c r="G3377" s="125">
        <v>2022</v>
      </c>
      <c r="H3377" s="125" t="s">
        <v>733</v>
      </c>
      <c r="I3377" s="311" t="str">
        <f t="shared" si="132"/>
        <v>Pesado de Passageiros M3: I : Gasóleo : E6</v>
      </c>
      <c r="J3377" s="125">
        <v>37</v>
      </c>
      <c r="K3377" s="253">
        <v>2022</v>
      </c>
      <c r="L3377" s="129">
        <v>1769.2379999999998</v>
      </c>
      <c r="M3377" s="85" t="s">
        <v>630</v>
      </c>
      <c r="N3377" s="128">
        <v>8172</v>
      </c>
      <c r="O3377" s="128">
        <f t="shared" ref="O3377:O3440" si="133">N3377*J3377</f>
        <v>302364</v>
      </c>
      <c r="P3377" s="380">
        <v>2001</v>
      </c>
      <c r="Q3377" s="85" t="s">
        <v>47</v>
      </c>
      <c r="R3377" s="214" t="s">
        <v>1869</v>
      </c>
      <c r="S3377" s="214" t="s">
        <v>1861</v>
      </c>
      <c r="T3377" s="85" t="s">
        <v>4321</v>
      </c>
      <c r="U3377" s="422" t="s">
        <v>1953</v>
      </c>
      <c r="V3377" s="422" t="s">
        <v>2813</v>
      </c>
    </row>
    <row r="3378" spans="1:22" ht="15.75" thickBot="1" x14ac:dyDescent="0.3">
      <c r="A3378" t="s">
        <v>1910</v>
      </c>
      <c r="B3378" t="s">
        <v>1910</v>
      </c>
      <c r="C3378" s="82" t="s">
        <v>1910</v>
      </c>
      <c r="D3378" s="83" t="s">
        <v>629</v>
      </c>
      <c r="E3378" s="251" t="s">
        <v>1951</v>
      </c>
      <c r="F3378" s="124" t="s">
        <v>620</v>
      </c>
      <c r="G3378" s="130">
        <v>2022</v>
      </c>
      <c r="H3378" s="125" t="s">
        <v>733</v>
      </c>
      <c r="I3378" s="311" t="str">
        <f t="shared" si="132"/>
        <v>Pesado de Passageiros M3: I : Gasóleo : E6</v>
      </c>
      <c r="J3378" s="125">
        <v>89</v>
      </c>
      <c r="K3378" s="253">
        <v>2022</v>
      </c>
      <c r="L3378" s="129">
        <v>9007.6188000000002</v>
      </c>
      <c r="M3378" s="85" t="s">
        <v>630</v>
      </c>
      <c r="N3378" s="128">
        <v>22002</v>
      </c>
      <c r="O3378" s="128">
        <f t="shared" si="133"/>
        <v>1958178</v>
      </c>
      <c r="P3378" s="125">
        <v>2704</v>
      </c>
      <c r="Q3378" s="85" t="s">
        <v>47</v>
      </c>
      <c r="R3378" s="214" t="s">
        <v>1869</v>
      </c>
      <c r="S3378" s="214" t="s">
        <v>1861</v>
      </c>
      <c r="T3378" s="85" t="s">
        <v>4322</v>
      </c>
      <c r="U3378" s="422" t="s">
        <v>1953</v>
      </c>
      <c r="V3378" s="422" t="s">
        <v>2813</v>
      </c>
    </row>
    <row r="3379" spans="1:22" ht="15.75" thickBot="1" x14ac:dyDescent="0.3">
      <c r="A3379" t="s">
        <v>1910</v>
      </c>
      <c r="B3379" t="s">
        <v>1910</v>
      </c>
      <c r="C3379" s="82" t="s">
        <v>1910</v>
      </c>
      <c r="D3379" s="83" t="s">
        <v>629</v>
      </c>
      <c r="E3379" s="251" t="s">
        <v>1951</v>
      </c>
      <c r="F3379" s="124" t="s">
        <v>620</v>
      </c>
      <c r="G3379" s="130">
        <v>2022</v>
      </c>
      <c r="H3379" s="125" t="s">
        <v>733</v>
      </c>
      <c r="I3379" s="311" t="str">
        <f t="shared" si="132"/>
        <v>Pesado de Passageiros M3: I : Gasóleo : E6</v>
      </c>
      <c r="J3379" s="125">
        <v>89</v>
      </c>
      <c r="K3379" s="253">
        <v>2022</v>
      </c>
      <c r="L3379" s="129">
        <v>7872.6869999999999</v>
      </c>
      <c r="M3379" s="85" t="s">
        <v>630</v>
      </c>
      <c r="N3379" s="128">
        <v>20385</v>
      </c>
      <c r="O3379" s="128">
        <f t="shared" si="133"/>
        <v>1814265</v>
      </c>
      <c r="P3379" s="125">
        <v>2706</v>
      </c>
      <c r="Q3379" s="85" t="s">
        <v>47</v>
      </c>
      <c r="R3379" s="214" t="s">
        <v>1869</v>
      </c>
      <c r="S3379" s="214" t="s">
        <v>1861</v>
      </c>
      <c r="T3379" s="85" t="s">
        <v>4323</v>
      </c>
      <c r="U3379" s="422" t="s">
        <v>1953</v>
      </c>
      <c r="V3379" s="422" t="s">
        <v>2813</v>
      </c>
    </row>
    <row r="3380" spans="1:22" ht="15.75" thickBot="1" x14ac:dyDescent="0.3">
      <c r="A3380" t="s">
        <v>1910</v>
      </c>
      <c r="B3380" t="s">
        <v>1910</v>
      </c>
      <c r="C3380" s="82" t="s">
        <v>1910</v>
      </c>
      <c r="D3380" s="83" t="s">
        <v>629</v>
      </c>
      <c r="E3380" s="251" t="s">
        <v>1951</v>
      </c>
      <c r="F3380" s="124" t="s">
        <v>620</v>
      </c>
      <c r="G3380" s="130"/>
      <c r="H3380" s="125" t="s">
        <v>733</v>
      </c>
      <c r="I3380" s="311" t="str">
        <f t="shared" si="132"/>
        <v>Pesado de Passageiros M3: I : Gasóleo : E6</v>
      </c>
      <c r="J3380" s="125"/>
      <c r="K3380" s="253">
        <v>2022</v>
      </c>
      <c r="L3380" s="85">
        <v>3196.44</v>
      </c>
      <c r="M3380" s="85" t="s">
        <v>630</v>
      </c>
      <c r="N3380" s="128">
        <v>8879</v>
      </c>
      <c r="O3380" s="128">
        <f t="shared" si="133"/>
        <v>0</v>
      </c>
      <c r="P3380" s="125" t="s">
        <v>4502</v>
      </c>
      <c r="Q3380" s="85" t="s">
        <v>47</v>
      </c>
      <c r="R3380" s="214" t="s">
        <v>1869</v>
      </c>
      <c r="S3380" s="214" t="s">
        <v>1861</v>
      </c>
      <c r="T3380" s="85" t="s">
        <v>3410</v>
      </c>
      <c r="U3380" s="422" t="s">
        <v>1953</v>
      </c>
      <c r="V3380" s="422" t="s">
        <v>2813</v>
      </c>
    </row>
    <row r="3381" spans="1:22" ht="15.75" thickBot="1" x14ac:dyDescent="0.3">
      <c r="A3381" t="s">
        <v>1910</v>
      </c>
      <c r="B3381" t="s">
        <v>1910</v>
      </c>
      <c r="C3381" s="82" t="s">
        <v>1910</v>
      </c>
      <c r="D3381" s="83" t="s">
        <v>629</v>
      </c>
      <c r="E3381" s="251" t="s">
        <v>1951</v>
      </c>
      <c r="F3381" s="124" t="s">
        <v>620</v>
      </c>
      <c r="G3381" s="130">
        <v>2022</v>
      </c>
      <c r="H3381" s="125" t="s">
        <v>733</v>
      </c>
      <c r="I3381" s="311" t="str">
        <f t="shared" si="132"/>
        <v>Pesado de Passageiros M3: I : Gasóleo : E6</v>
      </c>
      <c r="J3381" s="125">
        <v>83</v>
      </c>
      <c r="K3381" s="253">
        <v>2022</v>
      </c>
      <c r="L3381" s="381">
        <v>3530.44</v>
      </c>
      <c r="M3381" s="85" t="s">
        <v>630</v>
      </c>
      <c r="N3381" s="128">
        <v>10439</v>
      </c>
      <c r="O3381" s="128">
        <f t="shared" si="133"/>
        <v>866437</v>
      </c>
      <c r="P3381" s="125">
        <v>2753</v>
      </c>
      <c r="Q3381" s="85" t="s">
        <v>47</v>
      </c>
      <c r="R3381" s="214" t="s">
        <v>1869</v>
      </c>
      <c r="S3381" s="214" t="s">
        <v>1861</v>
      </c>
      <c r="T3381" s="85" t="s">
        <v>3410</v>
      </c>
      <c r="U3381" s="422" t="s">
        <v>1953</v>
      </c>
      <c r="V3381" s="422" t="s">
        <v>2813</v>
      </c>
    </row>
    <row r="3382" spans="1:22" ht="15.75" thickBot="1" x14ac:dyDescent="0.3">
      <c r="A3382" t="s">
        <v>1910</v>
      </c>
      <c r="B3382" t="s">
        <v>1910</v>
      </c>
      <c r="C3382" s="82" t="s">
        <v>1910</v>
      </c>
      <c r="D3382" s="83" t="s">
        <v>629</v>
      </c>
      <c r="E3382" s="251" t="s">
        <v>1951</v>
      </c>
      <c r="F3382" s="124" t="s">
        <v>620</v>
      </c>
      <c r="G3382" s="130"/>
      <c r="H3382" s="125" t="s">
        <v>733</v>
      </c>
      <c r="I3382" s="311" t="str">
        <f t="shared" ref="I3382:I3445" si="134">D3382&amp;": "&amp;E3382&amp;" : "&amp;F3382&amp;" : "&amp;H3382</f>
        <v>Pesado de Passageiros M3: I : Gasóleo : E6</v>
      </c>
      <c r="J3382" s="125"/>
      <c r="K3382" s="253">
        <v>2022</v>
      </c>
      <c r="L3382" s="85">
        <v>75.418500000000009</v>
      </c>
      <c r="M3382" s="85" t="s">
        <v>630</v>
      </c>
      <c r="N3382" s="128">
        <v>411</v>
      </c>
      <c r="O3382" s="128">
        <f t="shared" si="133"/>
        <v>0</v>
      </c>
      <c r="P3382" s="125" t="s">
        <v>2222</v>
      </c>
      <c r="Q3382" s="85" t="s">
        <v>47</v>
      </c>
      <c r="R3382" s="214" t="s">
        <v>1869</v>
      </c>
      <c r="S3382" s="214" t="s">
        <v>1861</v>
      </c>
      <c r="T3382" s="85" t="s">
        <v>3376</v>
      </c>
      <c r="U3382" s="422" t="s">
        <v>1953</v>
      </c>
      <c r="V3382" s="422" t="s">
        <v>2813</v>
      </c>
    </row>
    <row r="3383" spans="1:22" ht="15.75" thickBot="1" x14ac:dyDescent="0.3">
      <c r="A3383" t="s">
        <v>1910</v>
      </c>
      <c r="B3383" t="s">
        <v>1910</v>
      </c>
      <c r="C3383" s="82" t="s">
        <v>1910</v>
      </c>
      <c r="D3383" s="83" t="s">
        <v>629</v>
      </c>
      <c r="E3383" s="251" t="s">
        <v>1951</v>
      </c>
      <c r="F3383" s="124" t="s">
        <v>620</v>
      </c>
      <c r="G3383" s="130"/>
      <c r="H3383" s="125" t="s">
        <v>733</v>
      </c>
      <c r="I3383" s="311" t="str">
        <f t="shared" si="134"/>
        <v>Pesado de Passageiros M3: I : Gasóleo : E6</v>
      </c>
      <c r="J3383" s="125"/>
      <c r="K3383" s="253">
        <v>2022</v>
      </c>
      <c r="L3383" s="85">
        <v>4040.2740000000003</v>
      </c>
      <c r="M3383" s="85" t="s">
        <v>630</v>
      </c>
      <c r="N3383" s="128">
        <v>11620</v>
      </c>
      <c r="O3383" s="128">
        <f t="shared" si="133"/>
        <v>0</v>
      </c>
      <c r="P3383" s="125" t="s">
        <v>4503</v>
      </c>
      <c r="Q3383" s="85" t="s">
        <v>47</v>
      </c>
      <c r="R3383" s="214" t="s">
        <v>1869</v>
      </c>
      <c r="S3383" s="214" t="s">
        <v>1861</v>
      </c>
      <c r="T3383" s="85" t="s">
        <v>4324</v>
      </c>
      <c r="U3383" s="422" t="s">
        <v>1953</v>
      </c>
      <c r="V3383" s="422" t="s">
        <v>2813</v>
      </c>
    </row>
    <row r="3384" spans="1:22" ht="15.75" thickBot="1" x14ac:dyDescent="0.3">
      <c r="A3384" t="s">
        <v>1910</v>
      </c>
      <c r="B3384" t="s">
        <v>1910</v>
      </c>
      <c r="C3384" s="82" t="s">
        <v>1910</v>
      </c>
      <c r="D3384" s="83" t="s">
        <v>629</v>
      </c>
      <c r="E3384" s="251" t="s">
        <v>1951</v>
      </c>
      <c r="F3384" s="124" t="s">
        <v>620</v>
      </c>
      <c r="G3384" s="130">
        <v>2022</v>
      </c>
      <c r="H3384" s="125" t="s">
        <v>733</v>
      </c>
      <c r="I3384" s="311" t="str">
        <f t="shared" si="134"/>
        <v>Pesado de Passageiros M3: I : Gasóleo : E6</v>
      </c>
      <c r="J3384" s="125">
        <v>83</v>
      </c>
      <c r="K3384" s="253">
        <v>2022</v>
      </c>
      <c r="L3384" s="381">
        <v>3306.9059999999999</v>
      </c>
      <c r="M3384" s="85" t="s">
        <v>630</v>
      </c>
      <c r="N3384" s="128">
        <v>9274</v>
      </c>
      <c r="O3384" s="128">
        <f t="shared" si="133"/>
        <v>769742</v>
      </c>
      <c r="P3384" s="125">
        <v>2755</v>
      </c>
      <c r="Q3384" s="85" t="s">
        <v>47</v>
      </c>
      <c r="R3384" s="214" t="s">
        <v>1869</v>
      </c>
      <c r="S3384" s="214" t="s">
        <v>1861</v>
      </c>
      <c r="T3384" s="85" t="s">
        <v>4324</v>
      </c>
      <c r="U3384" s="422" t="s">
        <v>1953</v>
      </c>
      <c r="V3384" s="422" t="s">
        <v>2813</v>
      </c>
    </row>
    <row r="3385" spans="1:22" ht="15.75" thickBot="1" x14ac:dyDescent="0.3">
      <c r="A3385" t="s">
        <v>1910</v>
      </c>
      <c r="B3385" t="s">
        <v>1910</v>
      </c>
      <c r="C3385" s="82" t="s">
        <v>1910</v>
      </c>
      <c r="D3385" s="83" t="s">
        <v>629</v>
      </c>
      <c r="E3385" s="251" t="s">
        <v>1951</v>
      </c>
      <c r="F3385" s="124" t="s">
        <v>620</v>
      </c>
      <c r="G3385" s="130"/>
      <c r="H3385" s="125" t="s">
        <v>733</v>
      </c>
      <c r="I3385" s="311" t="str">
        <f t="shared" si="134"/>
        <v>Pesado de Passageiros M3: I : Gasóleo : E6</v>
      </c>
      <c r="J3385" s="125"/>
      <c r="K3385" s="253">
        <v>2022</v>
      </c>
      <c r="L3385" s="85">
        <v>85.88130000000001</v>
      </c>
      <c r="M3385" s="85" t="s">
        <v>630</v>
      </c>
      <c r="N3385" s="128">
        <v>467</v>
      </c>
      <c r="O3385" s="128">
        <f t="shared" si="133"/>
        <v>0</v>
      </c>
      <c r="P3385" s="125" t="s">
        <v>2228</v>
      </c>
      <c r="Q3385" s="85" t="s">
        <v>47</v>
      </c>
      <c r="R3385" s="214" t="s">
        <v>1869</v>
      </c>
      <c r="S3385" s="214" t="s">
        <v>1861</v>
      </c>
      <c r="T3385" s="85" t="s">
        <v>4325</v>
      </c>
      <c r="U3385" s="422" t="s">
        <v>1953</v>
      </c>
      <c r="V3385" s="422" t="s">
        <v>2813</v>
      </c>
    </row>
    <row r="3386" spans="1:22" ht="15.75" thickBot="1" x14ac:dyDescent="0.3">
      <c r="A3386" t="s">
        <v>1910</v>
      </c>
      <c r="B3386" t="s">
        <v>1910</v>
      </c>
      <c r="C3386" s="82" t="s">
        <v>1910</v>
      </c>
      <c r="D3386" s="83" t="s">
        <v>629</v>
      </c>
      <c r="E3386" s="251" t="s">
        <v>1951</v>
      </c>
      <c r="F3386" s="124" t="s">
        <v>620</v>
      </c>
      <c r="G3386" s="130"/>
      <c r="H3386" s="125" t="s">
        <v>733</v>
      </c>
      <c r="I3386" s="311" t="str">
        <f t="shared" si="134"/>
        <v>Pesado de Passageiros M3: I : Gasóleo : E6</v>
      </c>
      <c r="J3386" s="125"/>
      <c r="K3386" s="253">
        <v>2022</v>
      </c>
      <c r="L3386" s="85">
        <v>55.44</v>
      </c>
      <c r="M3386" s="85" t="s">
        <v>630</v>
      </c>
      <c r="N3386" s="128">
        <v>252</v>
      </c>
      <c r="O3386" s="128">
        <f t="shared" si="133"/>
        <v>0</v>
      </c>
      <c r="P3386" s="125" t="s">
        <v>2211</v>
      </c>
      <c r="Q3386" s="85" t="s">
        <v>47</v>
      </c>
      <c r="R3386" s="214" t="s">
        <v>1869</v>
      </c>
      <c r="S3386" s="214" t="s">
        <v>1861</v>
      </c>
      <c r="T3386" s="85" t="s">
        <v>4326</v>
      </c>
      <c r="U3386" s="422" t="s">
        <v>1953</v>
      </c>
      <c r="V3386" s="422" t="s">
        <v>2813</v>
      </c>
    </row>
    <row r="3387" spans="1:22" ht="15.75" thickBot="1" x14ac:dyDescent="0.3">
      <c r="A3387" t="s">
        <v>1910</v>
      </c>
      <c r="B3387" t="s">
        <v>1910</v>
      </c>
      <c r="C3387" s="82" t="s">
        <v>1910</v>
      </c>
      <c r="D3387" s="83" t="s">
        <v>629</v>
      </c>
      <c r="E3387" s="251" t="s">
        <v>1951</v>
      </c>
      <c r="F3387" s="124" t="s">
        <v>620</v>
      </c>
      <c r="G3387" s="130"/>
      <c r="H3387" s="125" t="s">
        <v>733</v>
      </c>
      <c r="I3387" s="311" t="str">
        <f t="shared" si="134"/>
        <v>Pesado de Passageiros M3: I : Gasóleo : E6</v>
      </c>
      <c r="J3387" s="125"/>
      <c r="K3387" s="253">
        <v>2022</v>
      </c>
      <c r="L3387" s="85">
        <v>52.58</v>
      </c>
      <c r="M3387" s="85" t="s">
        <v>630</v>
      </c>
      <c r="N3387" s="128">
        <v>239</v>
      </c>
      <c r="O3387" s="128">
        <f t="shared" si="133"/>
        <v>0</v>
      </c>
      <c r="P3387" s="125" t="s">
        <v>2204</v>
      </c>
      <c r="Q3387" s="85" t="s">
        <v>47</v>
      </c>
      <c r="R3387" s="214" t="s">
        <v>1869</v>
      </c>
      <c r="S3387" s="214" t="s">
        <v>1861</v>
      </c>
      <c r="T3387" s="85" t="s">
        <v>4327</v>
      </c>
      <c r="U3387" s="422" t="s">
        <v>1953</v>
      </c>
      <c r="V3387" s="422" t="s">
        <v>2813</v>
      </c>
    </row>
    <row r="3388" spans="1:22" ht="15.75" thickBot="1" x14ac:dyDescent="0.3">
      <c r="A3388" t="s">
        <v>1910</v>
      </c>
      <c r="B3388" t="s">
        <v>1910</v>
      </c>
      <c r="C3388" s="82" t="s">
        <v>1910</v>
      </c>
      <c r="D3388" s="83" t="s">
        <v>629</v>
      </c>
      <c r="E3388" s="251" t="s">
        <v>1951</v>
      </c>
      <c r="F3388" s="124" t="s">
        <v>620</v>
      </c>
      <c r="G3388" s="130"/>
      <c r="H3388" s="125" t="s">
        <v>733</v>
      </c>
      <c r="I3388" s="311" t="str">
        <f t="shared" si="134"/>
        <v>Pesado de Passageiros M3: I : Gasóleo : E6</v>
      </c>
      <c r="J3388" s="125"/>
      <c r="K3388" s="253">
        <v>2022</v>
      </c>
      <c r="L3388" s="85">
        <v>51.7</v>
      </c>
      <c r="M3388" s="85" t="s">
        <v>630</v>
      </c>
      <c r="N3388" s="128">
        <v>235</v>
      </c>
      <c r="O3388" s="128">
        <f t="shared" si="133"/>
        <v>0</v>
      </c>
      <c r="P3388" s="125" t="s">
        <v>2225</v>
      </c>
      <c r="Q3388" s="85" t="s">
        <v>47</v>
      </c>
      <c r="R3388" s="214" t="s">
        <v>1869</v>
      </c>
      <c r="S3388" s="214" t="s">
        <v>1861</v>
      </c>
      <c r="T3388" s="85" t="s">
        <v>4328</v>
      </c>
      <c r="U3388" s="422" t="s">
        <v>1953</v>
      </c>
      <c r="V3388" s="422" t="s">
        <v>2813</v>
      </c>
    </row>
    <row r="3389" spans="1:22" ht="15.75" thickBot="1" x14ac:dyDescent="0.3">
      <c r="A3389" t="s">
        <v>1910</v>
      </c>
      <c r="B3389" t="s">
        <v>1910</v>
      </c>
      <c r="C3389" s="82" t="s">
        <v>1910</v>
      </c>
      <c r="D3389" s="83" t="s">
        <v>629</v>
      </c>
      <c r="E3389" s="251" t="s">
        <v>1951</v>
      </c>
      <c r="F3389" s="124" t="s">
        <v>620</v>
      </c>
      <c r="G3389" s="130"/>
      <c r="H3389" s="125" t="s">
        <v>733</v>
      </c>
      <c r="I3389" s="311" t="str">
        <f t="shared" si="134"/>
        <v>Pesado de Passageiros M3: I : Gasóleo : E6</v>
      </c>
      <c r="J3389" s="125"/>
      <c r="K3389" s="253">
        <v>2022</v>
      </c>
      <c r="L3389" s="85">
        <v>60.06</v>
      </c>
      <c r="M3389" s="85" t="s">
        <v>630</v>
      </c>
      <c r="N3389" s="128">
        <v>273</v>
      </c>
      <c r="O3389" s="128">
        <f t="shared" si="133"/>
        <v>0</v>
      </c>
      <c r="P3389" s="125" t="s">
        <v>2220</v>
      </c>
      <c r="Q3389" s="85" t="s">
        <v>47</v>
      </c>
      <c r="R3389" s="214" t="s">
        <v>1869</v>
      </c>
      <c r="S3389" s="214" t="s">
        <v>1861</v>
      </c>
      <c r="T3389" s="85" t="s">
        <v>4329</v>
      </c>
      <c r="U3389" s="422" t="s">
        <v>1953</v>
      </c>
      <c r="V3389" s="422" t="s">
        <v>2813</v>
      </c>
    </row>
    <row r="3390" spans="1:22" ht="15.75" thickBot="1" x14ac:dyDescent="0.3">
      <c r="A3390" t="s">
        <v>1910</v>
      </c>
      <c r="B3390" t="s">
        <v>1910</v>
      </c>
      <c r="C3390" s="82" t="s">
        <v>1910</v>
      </c>
      <c r="D3390" s="83" t="s">
        <v>629</v>
      </c>
      <c r="E3390" s="251" t="s">
        <v>1951</v>
      </c>
      <c r="F3390" s="124" t="s">
        <v>620</v>
      </c>
      <c r="G3390" s="130"/>
      <c r="H3390" s="125" t="s">
        <v>733</v>
      </c>
      <c r="I3390" s="311" t="str">
        <f t="shared" si="134"/>
        <v>Pesado de Passageiros M3: I : Gasóleo : E6</v>
      </c>
      <c r="J3390" s="125"/>
      <c r="K3390" s="253">
        <v>2022</v>
      </c>
      <c r="L3390" s="85">
        <v>58.74</v>
      </c>
      <c r="M3390" s="85" t="s">
        <v>630</v>
      </c>
      <c r="N3390" s="128">
        <v>267</v>
      </c>
      <c r="O3390" s="128">
        <f t="shared" si="133"/>
        <v>0</v>
      </c>
      <c r="P3390" s="125" t="s">
        <v>2205</v>
      </c>
      <c r="Q3390" s="85" t="s">
        <v>47</v>
      </c>
      <c r="R3390" s="214" t="s">
        <v>1869</v>
      </c>
      <c r="S3390" s="214" t="s">
        <v>1861</v>
      </c>
      <c r="T3390" s="85" t="s">
        <v>4330</v>
      </c>
      <c r="U3390" s="422" t="s">
        <v>1953</v>
      </c>
      <c r="V3390" s="422" t="s">
        <v>2813</v>
      </c>
    </row>
    <row r="3391" spans="1:22" ht="15.75" thickBot="1" x14ac:dyDescent="0.3">
      <c r="A3391" t="s">
        <v>1910</v>
      </c>
      <c r="B3391" t="s">
        <v>1910</v>
      </c>
      <c r="C3391" s="82" t="s">
        <v>1910</v>
      </c>
      <c r="D3391" s="83" t="s">
        <v>629</v>
      </c>
      <c r="E3391" s="251" t="s">
        <v>1951</v>
      </c>
      <c r="F3391" s="124" t="s">
        <v>620</v>
      </c>
      <c r="G3391" s="130"/>
      <c r="H3391" s="125" t="s">
        <v>733</v>
      </c>
      <c r="I3391" s="311" t="str">
        <f t="shared" si="134"/>
        <v>Pesado de Passageiros M3: I : Gasóleo : E6</v>
      </c>
      <c r="J3391" s="125"/>
      <c r="K3391" s="253">
        <v>2022</v>
      </c>
      <c r="L3391" s="85">
        <v>67.966400000000007</v>
      </c>
      <c r="M3391" s="85" t="s">
        <v>630</v>
      </c>
      <c r="N3391" s="128">
        <v>397</v>
      </c>
      <c r="O3391" s="128">
        <f t="shared" si="133"/>
        <v>0</v>
      </c>
      <c r="P3391" s="125" t="s">
        <v>2219</v>
      </c>
      <c r="Q3391" s="85" t="s">
        <v>47</v>
      </c>
      <c r="R3391" s="214" t="s">
        <v>1869</v>
      </c>
      <c r="S3391" s="214" t="s">
        <v>1861</v>
      </c>
      <c r="T3391" s="85" t="s">
        <v>3377</v>
      </c>
      <c r="U3391" s="422" t="s">
        <v>1953</v>
      </c>
      <c r="V3391" s="422" t="s">
        <v>2813</v>
      </c>
    </row>
    <row r="3392" spans="1:22" ht="15.75" thickBot="1" x14ac:dyDescent="0.3">
      <c r="A3392" t="s">
        <v>1910</v>
      </c>
      <c r="B3392" t="s">
        <v>1910</v>
      </c>
      <c r="C3392" s="82" t="s">
        <v>1910</v>
      </c>
      <c r="D3392" s="83" t="s">
        <v>629</v>
      </c>
      <c r="E3392" s="251" t="s">
        <v>1951</v>
      </c>
      <c r="F3392" s="124" t="s">
        <v>620</v>
      </c>
      <c r="G3392" s="130"/>
      <c r="H3392" s="125" t="s">
        <v>733</v>
      </c>
      <c r="I3392" s="311" t="str">
        <f t="shared" si="134"/>
        <v>Pesado de Passageiros M3: I : Gasóleo : E6</v>
      </c>
      <c r="J3392" s="125"/>
      <c r="K3392" s="253">
        <v>2022</v>
      </c>
      <c r="L3392" s="85">
        <v>240.51599999999999</v>
      </c>
      <c r="M3392" s="85" t="s">
        <v>630</v>
      </c>
      <c r="N3392" s="128">
        <v>655</v>
      </c>
      <c r="O3392" s="128">
        <f t="shared" si="133"/>
        <v>0</v>
      </c>
      <c r="P3392" s="125" t="s">
        <v>4504</v>
      </c>
      <c r="Q3392" s="85" t="s">
        <v>47</v>
      </c>
      <c r="R3392" s="214" t="s">
        <v>1869</v>
      </c>
      <c r="S3392" s="214" t="s">
        <v>1861</v>
      </c>
      <c r="T3392" s="85" t="s">
        <v>4331</v>
      </c>
      <c r="U3392" s="422" t="s">
        <v>1953</v>
      </c>
      <c r="V3392" s="422" t="s">
        <v>2813</v>
      </c>
    </row>
    <row r="3393" spans="1:22" ht="15.75" thickBot="1" x14ac:dyDescent="0.3">
      <c r="A3393" t="s">
        <v>1910</v>
      </c>
      <c r="B3393" t="s">
        <v>1910</v>
      </c>
      <c r="C3393" s="82" t="s">
        <v>1910</v>
      </c>
      <c r="D3393" s="83" t="s">
        <v>629</v>
      </c>
      <c r="E3393" s="251" t="s">
        <v>1951</v>
      </c>
      <c r="F3393" s="124" t="s">
        <v>620</v>
      </c>
      <c r="G3393" s="130"/>
      <c r="H3393" s="125" t="s">
        <v>733</v>
      </c>
      <c r="I3393" s="311" t="str">
        <f t="shared" si="134"/>
        <v>Pesado de Passageiros M3: I : Gasóleo : E6</v>
      </c>
      <c r="J3393" s="125"/>
      <c r="K3393" s="253">
        <v>2022</v>
      </c>
      <c r="L3393" s="85">
        <v>230.8845</v>
      </c>
      <c r="M3393" s="85" t="s">
        <v>630</v>
      </c>
      <c r="N3393" s="128">
        <v>385</v>
      </c>
      <c r="O3393" s="128">
        <f t="shared" si="133"/>
        <v>0</v>
      </c>
      <c r="P3393" s="125" t="s">
        <v>4505</v>
      </c>
      <c r="Q3393" s="85" t="s">
        <v>47</v>
      </c>
      <c r="R3393" s="214" t="s">
        <v>1869</v>
      </c>
      <c r="S3393" s="214" t="s">
        <v>1861</v>
      </c>
      <c r="T3393" s="85" t="s">
        <v>4332</v>
      </c>
      <c r="U3393" s="422" t="s">
        <v>1953</v>
      </c>
      <c r="V3393" s="422" t="s">
        <v>2813</v>
      </c>
    </row>
    <row r="3394" spans="1:22" ht="15.75" thickBot="1" x14ac:dyDescent="0.3">
      <c r="A3394" t="s">
        <v>1910</v>
      </c>
      <c r="B3394" t="s">
        <v>1910</v>
      </c>
      <c r="C3394" s="82" t="s">
        <v>1910</v>
      </c>
      <c r="D3394" s="83" t="s">
        <v>629</v>
      </c>
      <c r="E3394" s="251" t="s">
        <v>1951</v>
      </c>
      <c r="F3394" s="124" t="s">
        <v>620</v>
      </c>
      <c r="G3394" s="130"/>
      <c r="H3394" s="125" t="s">
        <v>733</v>
      </c>
      <c r="I3394" s="311" t="str">
        <f t="shared" si="134"/>
        <v>Pesado de Passageiros M3: I : Gasóleo : E6</v>
      </c>
      <c r="J3394" s="125"/>
      <c r="K3394" s="253">
        <v>2022</v>
      </c>
      <c r="L3394" s="85">
        <v>190.26</v>
      </c>
      <c r="M3394" s="85" t="s">
        <v>630</v>
      </c>
      <c r="N3394" s="128">
        <v>453</v>
      </c>
      <c r="O3394" s="128">
        <f t="shared" si="133"/>
        <v>0</v>
      </c>
      <c r="P3394" s="125" t="s">
        <v>4506</v>
      </c>
      <c r="Q3394" s="85" t="s">
        <v>47</v>
      </c>
      <c r="R3394" s="214" t="s">
        <v>1869</v>
      </c>
      <c r="S3394" s="214" t="s">
        <v>1861</v>
      </c>
      <c r="T3394" s="85" t="s">
        <v>4333</v>
      </c>
      <c r="U3394" s="422" t="s">
        <v>1953</v>
      </c>
      <c r="V3394" s="422" t="s">
        <v>2813</v>
      </c>
    </row>
    <row r="3395" spans="1:22" ht="15.75" thickBot="1" x14ac:dyDescent="0.3">
      <c r="A3395" t="s">
        <v>1910</v>
      </c>
      <c r="B3395" t="s">
        <v>1910</v>
      </c>
      <c r="C3395" s="82" t="s">
        <v>1910</v>
      </c>
      <c r="D3395" s="83" t="s">
        <v>629</v>
      </c>
      <c r="E3395" s="251" t="s">
        <v>1951</v>
      </c>
      <c r="F3395" s="124" t="s">
        <v>620</v>
      </c>
      <c r="G3395" s="130"/>
      <c r="H3395" s="125" t="s">
        <v>733</v>
      </c>
      <c r="I3395" s="311" t="str">
        <f t="shared" si="134"/>
        <v>Pesado de Passageiros M3: I : Gasóleo : E6</v>
      </c>
      <c r="J3395" s="125"/>
      <c r="K3395" s="253">
        <v>2022</v>
      </c>
      <c r="L3395" s="85">
        <v>316.6028</v>
      </c>
      <c r="M3395" s="85" t="s">
        <v>630</v>
      </c>
      <c r="N3395" s="128">
        <v>694</v>
      </c>
      <c r="O3395" s="128">
        <f t="shared" si="133"/>
        <v>0</v>
      </c>
      <c r="P3395" s="125" t="s">
        <v>4507</v>
      </c>
      <c r="Q3395" s="85" t="s">
        <v>47</v>
      </c>
      <c r="R3395" s="214" t="s">
        <v>1869</v>
      </c>
      <c r="S3395" s="214" t="s">
        <v>1861</v>
      </c>
      <c r="T3395" s="85" t="s">
        <v>3398</v>
      </c>
      <c r="U3395" s="422" t="s">
        <v>1953</v>
      </c>
      <c r="V3395" s="422" t="s">
        <v>2813</v>
      </c>
    </row>
    <row r="3396" spans="1:22" ht="15.75" thickBot="1" x14ac:dyDescent="0.3">
      <c r="A3396" t="s">
        <v>1910</v>
      </c>
      <c r="B3396" t="s">
        <v>1910</v>
      </c>
      <c r="C3396" s="82" t="s">
        <v>1910</v>
      </c>
      <c r="D3396" s="83" t="s">
        <v>629</v>
      </c>
      <c r="E3396" s="251" t="s">
        <v>1951</v>
      </c>
      <c r="F3396" s="124" t="s">
        <v>620</v>
      </c>
      <c r="G3396" s="130"/>
      <c r="H3396" s="125" t="s">
        <v>733</v>
      </c>
      <c r="I3396" s="311" t="str">
        <f t="shared" si="134"/>
        <v>Pesado de Passageiros M3: I : Gasóleo : E6</v>
      </c>
      <c r="J3396" s="125"/>
      <c r="K3396" s="253">
        <v>2022</v>
      </c>
      <c r="L3396" s="85">
        <v>146.16</v>
      </c>
      <c r="M3396" s="85" t="s">
        <v>630</v>
      </c>
      <c r="N3396" s="128">
        <v>348</v>
      </c>
      <c r="O3396" s="128">
        <f t="shared" si="133"/>
        <v>0</v>
      </c>
      <c r="P3396" s="125" t="s">
        <v>4508</v>
      </c>
      <c r="Q3396" s="85" t="s">
        <v>47</v>
      </c>
      <c r="R3396" s="214" t="s">
        <v>1869</v>
      </c>
      <c r="S3396" s="214" t="s">
        <v>1861</v>
      </c>
      <c r="T3396" s="85" t="s">
        <v>4334</v>
      </c>
      <c r="U3396" s="422" t="s">
        <v>1953</v>
      </c>
      <c r="V3396" s="422" t="s">
        <v>2813</v>
      </c>
    </row>
    <row r="3397" spans="1:22" ht="15.75" thickBot="1" x14ac:dyDescent="0.3">
      <c r="A3397" t="s">
        <v>1910</v>
      </c>
      <c r="B3397" t="s">
        <v>1910</v>
      </c>
      <c r="C3397" s="82" t="s">
        <v>1910</v>
      </c>
      <c r="D3397" s="83" t="s">
        <v>629</v>
      </c>
      <c r="E3397" s="251" t="s">
        <v>1951</v>
      </c>
      <c r="F3397" s="124" t="s">
        <v>620</v>
      </c>
      <c r="G3397" s="130"/>
      <c r="H3397" s="125" t="s">
        <v>733</v>
      </c>
      <c r="I3397" s="311" t="str">
        <f t="shared" si="134"/>
        <v>Pesado de Passageiros M3: I : Gasóleo : E6</v>
      </c>
      <c r="J3397" s="125"/>
      <c r="K3397" s="253">
        <v>2022</v>
      </c>
      <c r="L3397" s="85">
        <v>166.32</v>
      </c>
      <c r="M3397" s="85" t="s">
        <v>630</v>
      </c>
      <c r="N3397" s="128">
        <v>396</v>
      </c>
      <c r="O3397" s="128">
        <f t="shared" si="133"/>
        <v>0</v>
      </c>
      <c r="P3397" s="125" t="s">
        <v>4509</v>
      </c>
      <c r="Q3397" s="85" t="s">
        <v>47</v>
      </c>
      <c r="R3397" s="214" t="s">
        <v>1869</v>
      </c>
      <c r="S3397" s="214" t="s">
        <v>1861</v>
      </c>
      <c r="T3397" s="85" t="s">
        <v>4335</v>
      </c>
      <c r="U3397" s="422" t="s">
        <v>1953</v>
      </c>
      <c r="V3397" s="422" t="s">
        <v>2813</v>
      </c>
    </row>
    <row r="3398" spans="1:22" ht="15.75" thickBot="1" x14ac:dyDescent="0.3">
      <c r="A3398" t="s">
        <v>1910</v>
      </c>
      <c r="B3398" t="s">
        <v>1910</v>
      </c>
      <c r="C3398" s="82" t="s">
        <v>1910</v>
      </c>
      <c r="D3398" s="83" t="s">
        <v>629</v>
      </c>
      <c r="E3398" s="251" t="s">
        <v>1951</v>
      </c>
      <c r="F3398" s="124" t="s">
        <v>620</v>
      </c>
      <c r="G3398" s="130"/>
      <c r="H3398" s="125" t="s">
        <v>733</v>
      </c>
      <c r="I3398" s="311" t="str">
        <f t="shared" si="134"/>
        <v>Pesado de Passageiros M3: I : Gasóleo : E6</v>
      </c>
      <c r="J3398" s="125"/>
      <c r="K3398" s="253">
        <v>2022</v>
      </c>
      <c r="L3398" s="85">
        <v>60</v>
      </c>
      <c r="M3398" s="85" t="s">
        <v>630</v>
      </c>
      <c r="N3398" s="128">
        <v>125</v>
      </c>
      <c r="O3398" s="128">
        <f t="shared" si="133"/>
        <v>0</v>
      </c>
      <c r="P3398" s="125" t="s">
        <v>4510</v>
      </c>
      <c r="Q3398" s="85" t="s">
        <v>47</v>
      </c>
      <c r="R3398" s="214" t="s">
        <v>1869</v>
      </c>
      <c r="S3398" s="214" t="s">
        <v>1861</v>
      </c>
      <c r="T3398" s="85" t="s">
        <v>3386</v>
      </c>
      <c r="U3398" s="422" t="s">
        <v>1953</v>
      </c>
      <c r="V3398" s="422" t="s">
        <v>2813</v>
      </c>
    </row>
    <row r="3399" spans="1:22" ht="15.75" thickBot="1" x14ac:dyDescent="0.3">
      <c r="A3399" t="s">
        <v>1910</v>
      </c>
      <c r="B3399" t="s">
        <v>1910</v>
      </c>
      <c r="C3399" s="82" t="s">
        <v>1910</v>
      </c>
      <c r="D3399" s="83" t="s">
        <v>629</v>
      </c>
      <c r="E3399" s="251" t="s">
        <v>1951</v>
      </c>
      <c r="F3399" s="124" t="s">
        <v>620</v>
      </c>
      <c r="G3399" s="130"/>
      <c r="H3399" s="125" t="s">
        <v>733</v>
      </c>
      <c r="I3399" s="311" t="str">
        <f t="shared" si="134"/>
        <v>Pesado de Passageiros M3: I : Gasóleo : E6</v>
      </c>
      <c r="J3399" s="125"/>
      <c r="K3399" s="253">
        <v>2022</v>
      </c>
      <c r="L3399" s="85">
        <v>466.72199999999998</v>
      </c>
      <c r="M3399" s="85" t="s">
        <v>630</v>
      </c>
      <c r="N3399" s="128">
        <v>1005</v>
      </c>
      <c r="O3399" s="128">
        <f t="shared" si="133"/>
        <v>0</v>
      </c>
      <c r="P3399" s="125" t="s">
        <v>4511</v>
      </c>
      <c r="Q3399" s="85" t="s">
        <v>47</v>
      </c>
      <c r="R3399" s="214" t="s">
        <v>1869</v>
      </c>
      <c r="S3399" s="214" t="s">
        <v>1861</v>
      </c>
      <c r="T3399" s="85" t="s">
        <v>4336</v>
      </c>
      <c r="U3399" s="422" t="s">
        <v>1953</v>
      </c>
      <c r="V3399" s="422" t="s">
        <v>2813</v>
      </c>
    </row>
    <row r="3400" spans="1:22" ht="15.75" thickBot="1" x14ac:dyDescent="0.3">
      <c r="A3400" t="s">
        <v>1910</v>
      </c>
      <c r="B3400" t="s">
        <v>1910</v>
      </c>
      <c r="C3400" s="82" t="s">
        <v>1910</v>
      </c>
      <c r="D3400" s="83" t="s">
        <v>629</v>
      </c>
      <c r="E3400" s="251" t="s">
        <v>1951</v>
      </c>
      <c r="F3400" s="124" t="s">
        <v>620</v>
      </c>
      <c r="G3400" s="130"/>
      <c r="H3400" s="125" t="s">
        <v>733</v>
      </c>
      <c r="I3400" s="311" t="str">
        <f t="shared" si="134"/>
        <v>Pesado de Passageiros M3: I : Gasóleo : E6</v>
      </c>
      <c r="J3400" s="125"/>
      <c r="K3400" s="253">
        <v>2022</v>
      </c>
      <c r="L3400" s="85">
        <v>162.232</v>
      </c>
      <c r="M3400" s="85" t="s">
        <v>630</v>
      </c>
      <c r="N3400" s="128">
        <v>560</v>
      </c>
      <c r="O3400" s="128">
        <f t="shared" si="133"/>
        <v>0</v>
      </c>
      <c r="P3400" s="125" t="s">
        <v>4512</v>
      </c>
      <c r="Q3400" s="85" t="s">
        <v>47</v>
      </c>
      <c r="R3400" s="214" t="s">
        <v>1869</v>
      </c>
      <c r="S3400" s="214" t="s">
        <v>1861</v>
      </c>
      <c r="T3400" s="85" t="s">
        <v>4337</v>
      </c>
      <c r="U3400" s="422" t="s">
        <v>1953</v>
      </c>
      <c r="V3400" s="422" t="s">
        <v>2813</v>
      </c>
    </row>
    <row r="3401" spans="1:22" ht="15.75" thickBot="1" x14ac:dyDescent="0.3">
      <c r="A3401" t="s">
        <v>1910</v>
      </c>
      <c r="B3401" t="s">
        <v>1910</v>
      </c>
      <c r="C3401" s="82" t="s">
        <v>1910</v>
      </c>
      <c r="D3401" s="83" t="s">
        <v>629</v>
      </c>
      <c r="E3401" s="251" t="s">
        <v>1951</v>
      </c>
      <c r="F3401" s="124" t="s">
        <v>620</v>
      </c>
      <c r="G3401" s="130"/>
      <c r="H3401" s="125" t="s">
        <v>733</v>
      </c>
      <c r="I3401" s="311" t="str">
        <f t="shared" si="134"/>
        <v>Pesado de Passageiros M3: I : Gasóleo : E6</v>
      </c>
      <c r="J3401" s="125"/>
      <c r="K3401" s="253">
        <v>2022</v>
      </c>
      <c r="L3401" s="85">
        <v>3367.9187999999999</v>
      </c>
      <c r="M3401" s="85" t="s">
        <v>630</v>
      </c>
      <c r="N3401" s="128">
        <v>9332</v>
      </c>
      <c r="O3401" s="128">
        <f t="shared" si="133"/>
        <v>0</v>
      </c>
      <c r="P3401" s="125" t="s">
        <v>4513</v>
      </c>
      <c r="Q3401" s="85" t="s">
        <v>47</v>
      </c>
      <c r="R3401" s="214" t="s">
        <v>1869</v>
      </c>
      <c r="S3401" s="214" t="s">
        <v>1861</v>
      </c>
      <c r="T3401" s="85" t="s">
        <v>4338</v>
      </c>
      <c r="U3401" s="422" t="s">
        <v>1953</v>
      </c>
      <c r="V3401" s="422" t="s">
        <v>2813</v>
      </c>
    </row>
    <row r="3402" spans="1:22" ht="15.75" thickBot="1" x14ac:dyDescent="0.3">
      <c r="A3402" t="s">
        <v>1910</v>
      </c>
      <c r="B3402" t="s">
        <v>1910</v>
      </c>
      <c r="C3402" s="82" t="s">
        <v>1910</v>
      </c>
      <c r="D3402" s="83" t="s">
        <v>629</v>
      </c>
      <c r="E3402" s="251" t="s">
        <v>1951</v>
      </c>
      <c r="F3402" s="124" t="s">
        <v>620</v>
      </c>
      <c r="G3402" s="130">
        <v>2022</v>
      </c>
      <c r="H3402" s="125" t="s">
        <v>733</v>
      </c>
      <c r="I3402" s="311" t="str">
        <f t="shared" si="134"/>
        <v>Pesado de Passageiros M3: I : Gasóleo : E6</v>
      </c>
      <c r="J3402" s="125">
        <v>83</v>
      </c>
      <c r="K3402" s="253">
        <v>2022</v>
      </c>
      <c r="L3402" s="381">
        <v>3254.7012</v>
      </c>
      <c r="M3402" s="85" t="s">
        <v>630</v>
      </c>
      <c r="N3402" s="128">
        <v>8828</v>
      </c>
      <c r="O3402" s="128">
        <f t="shared" si="133"/>
        <v>732724</v>
      </c>
      <c r="P3402" s="125">
        <v>2754</v>
      </c>
      <c r="Q3402" s="85" t="s">
        <v>47</v>
      </c>
      <c r="R3402" s="214" t="s">
        <v>1869</v>
      </c>
      <c r="S3402" s="214" t="s">
        <v>1861</v>
      </c>
      <c r="T3402" s="85" t="s">
        <v>4338</v>
      </c>
      <c r="U3402" s="422" t="s">
        <v>1953</v>
      </c>
      <c r="V3402" s="422" t="s">
        <v>2813</v>
      </c>
    </row>
    <row r="3403" spans="1:22" ht="15.75" thickBot="1" x14ac:dyDescent="0.3">
      <c r="A3403" t="s">
        <v>1910</v>
      </c>
      <c r="B3403" t="s">
        <v>1910</v>
      </c>
      <c r="C3403" s="82" t="s">
        <v>1910</v>
      </c>
      <c r="D3403" s="83" t="s">
        <v>629</v>
      </c>
      <c r="E3403" s="251" t="s">
        <v>1951</v>
      </c>
      <c r="F3403" s="124" t="s">
        <v>620</v>
      </c>
      <c r="G3403" s="130"/>
      <c r="H3403" s="125" t="s">
        <v>733</v>
      </c>
      <c r="I3403" s="311" t="str">
        <f t="shared" si="134"/>
        <v>Pesado de Passageiros M3: I : Gasóleo : E6</v>
      </c>
      <c r="J3403" s="125"/>
      <c r="K3403" s="253">
        <v>2022</v>
      </c>
      <c r="L3403" s="85">
        <v>297.12</v>
      </c>
      <c r="M3403" s="85" t="s">
        <v>630</v>
      </c>
      <c r="N3403" s="128">
        <v>619</v>
      </c>
      <c r="O3403" s="128">
        <f t="shared" si="133"/>
        <v>0</v>
      </c>
      <c r="P3403" s="125" t="s">
        <v>4514</v>
      </c>
      <c r="Q3403" s="85" t="s">
        <v>47</v>
      </c>
      <c r="R3403" s="214" t="s">
        <v>1869</v>
      </c>
      <c r="S3403" s="214" t="s">
        <v>1861</v>
      </c>
      <c r="T3403" s="85" t="s">
        <v>4339</v>
      </c>
      <c r="U3403" s="422" t="s">
        <v>1953</v>
      </c>
      <c r="V3403" s="422" t="s">
        <v>2813</v>
      </c>
    </row>
    <row r="3404" spans="1:22" ht="15.75" thickBot="1" x14ac:dyDescent="0.3">
      <c r="A3404" t="s">
        <v>1910</v>
      </c>
      <c r="B3404" t="s">
        <v>1910</v>
      </c>
      <c r="C3404" s="82" t="s">
        <v>1910</v>
      </c>
      <c r="D3404" s="83" t="s">
        <v>629</v>
      </c>
      <c r="E3404" s="251" t="s">
        <v>1951</v>
      </c>
      <c r="F3404" s="124" t="s">
        <v>620</v>
      </c>
      <c r="G3404" s="130"/>
      <c r="H3404" s="125" t="s">
        <v>733</v>
      </c>
      <c r="I3404" s="311" t="str">
        <f t="shared" si="134"/>
        <v>Pesado de Passageiros M3: I : Gasóleo : E6</v>
      </c>
      <c r="J3404" s="125"/>
      <c r="K3404" s="253">
        <v>2022</v>
      </c>
      <c r="L3404" s="85">
        <v>65.28</v>
      </c>
      <c r="M3404" s="85" t="s">
        <v>630</v>
      </c>
      <c r="N3404" s="128">
        <v>136</v>
      </c>
      <c r="O3404" s="128">
        <f t="shared" si="133"/>
        <v>0</v>
      </c>
      <c r="P3404" s="125" t="s">
        <v>4515</v>
      </c>
      <c r="Q3404" s="85" t="s">
        <v>47</v>
      </c>
      <c r="R3404" s="214" t="s">
        <v>1869</v>
      </c>
      <c r="S3404" s="214" t="s">
        <v>1861</v>
      </c>
      <c r="T3404" s="85" t="s">
        <v>4340</v>
      </c>
      <c r="U3404" s="422" t="s">
        <v>1953</v>
      </c>
      <c r="V3404" s="422" t="s">
        <v>2813</v>
      </c>
    </row>
    <row r="3405" spans="1:22" ht="15.75" thickBot="1" x14ac:dyDescent="0.3">
      <c r="A3405" t="s">
        <v>1910</v>
      </c>
      <c r="B3405" t="s">
        <v>1910</v>
      </c>
      <c r="C3405" s="82" t="s">
        <v>1910</v>
      </c>
      <c r="D3405" s="83" t="s">
        <v>629</v>
      </c>
      <c r="E3405" s="251" t="s">
        <v>1951</v>
      </c>
      <c r="F3405" s="124" t="s">
        <v>620</v>
      </c>
      <c r="G3405" s="130"/>
      <c r="H3405" s="125" t="s">
        <v>733</v>
      </c>
      <c r="I3405" s="311" t="str">
        <f t="shared" si="134"/>
        <v>Pesado de Passageiros M3: I : Gasóleo : E6</v>
      </c>
      <c r="J3405" s="125"/>
      <c r="K3405" s="253">
        <v>2022</v>
      </c>
      <c r="L3405" s="85">
        <v>204.96</v>
      </c>
      <c r="M3405" s="85" t="s">
        <v>630</v>
      </c>
      <c r="N3405" s="128">
        <v>427</v>
      </c>
      <c r="O3405" s="128">
        <f t="shared" si="133"/>
        <v>0</v>
      </c>
      <c r="P3405" s="125" t="s">
        <v>4516</v>
      </c>
      <c r="Q3405" s="85" t="s">
        <v>47</v>
      </c>
      <c r="R3405" s="214" t="s">
        <v>1869</v>
      </c>
      <c r="S3405" s="214" t="s">
        <v>1861</v>
      </c>
      <c r="T3405" s="85" t="s">
        <v>4341</v>
      </c>
      <c r="U3405" s="422" t="s">
        <v>1953</v>
      </c>
      <c r="V3405" s="422" t="s">
        <v>2813</v>
      </c>
    </row>
    <row r="3406" spans="1:22" ht="15.75" thickBot="1" x14ac:dyDescent="0.3">
      <c r="A3406" t="s">
        <v>1910</v>
      </c>
      <c r="B3406" t="s">
        <v>1910</v>
      </c>
      <c r="C3406" s="82" t="s">
        <v>1910</v>
      </c>
      <c r="D3406" s="83" t="s">
        <v>629</v>
      </c>
      <c r="E3406" s="251" t="s">
        <v>1951</v>
      </c>
      <c r="F3406" s="124" t="s">
        <v>620</v>
      </c>
      <c r="G3406" s="130"/>
      <c r="H3406" s="125" t="s">
        <v>733</v>
      </c>
      <c r="I3406" s="311" t="str">
        <f t="shared" si="134"/>
        <v>Pesado de Passageiros M3: I : Gasóleo : E6</v>
      </c>
      <c r="J3406" s="125"/>
      <c r="K3406" s="253">
        <v>2022</v>
      </c>
      <c r="L3406" s="242">
        <v>50.023000000000025</v>
      </c>
      <c r="M3406" s="85" t="s">
        <v>630</v>
      </c>
      <c r="N3406" s="128">
        <v>104</v>
      </c>
      <c r="O3406" s="128">
        <f t="shared" si="133"/>
        <v>0</v>
      </c>
      <c r="P3406" s="125" t="s">
        <v>4517</v>
      </c>
      <c r="Q3406" s="85" t="s">
        <v>47</v>
      </c>
      <c r="R3406" s="214" t="s">
        <v>1869</v>
      </c>
      <c r="S3406" s="214" t="s">
        <v>1861</v>
      </c>
      <c r="T3406" s="85" t="s">
        <v>4342</v>
      </c>
      <c r="U3406" s="422" t="s">
        <v>1953</v>
      </c>
      <c r="V3406" s="422" t="s">
        <v>2813</v>
      </c>
    </row>
    <row r="3407" spans="1:22" ht="15.75" thickBot="1" x14ac:dyDescent="0.3">
      <c r="A3407" t="s">
        <v>1910</v>
      </c>
      <c r="B3407" t="s">
        <v>1910</v>
      </c>
      <c r="C3407" s="82" t="s">
        <v>1910</v>
      </c>
      <c r="D3407" s="83" t="s">
        <v>629</v>
      </c>
      <c r="E3407" s="251" t="s">
        <v>1951</v>
      </c>
      <c r="F3407" s="124" t="s">
        <v>620</v>
      </c>
      <c r="G3407" s="130"/>
      <c r="H3407" s="125" t="s">
        <v>733</v>
      </c>
      <c r="I3407" s="311" t="str">
        <f t="shared" si="134"/>
        <v>Pesado de Passageiros M3: I : Gasóleo : E6</v>
      </c>
      <c r="J3407" s="125"/>
      <c r="K3407" s="253">
        <v>2022</v>
      </c>
      <c r="L3407" s="85">
        <v>451.02699999999999</v>
      </c>
      <c r="M3407" s="85" t="s">
        <v>630</v>
      </c>
      <c r="N3407" s="128">
        <v>1234</v>
      </c>
      <c r="O3407" s="128">
        <f t="shared" si="133"/>
        <v>0</v>
      </c>
      <c r="P3407" s="125" t="s">
        <v>4517</v>
      </c>
      <c r="Q3407" s="85" t="s">
        <v>47</v>
      </c>
      <c r="R3407" s="214" t="s">
        <v>1869</v>
      </c>
      <c r="S3407" s="214" t="s">
        <v>1861</v>
      </c>
      <c r="T3407" s="85" t="s">
        <v>4342</v>
      </c>
      <c r="U3407" s="422" t="s">
        <v>1953</v>
      </c>
      <c r="V3407" s="422" t="s">
        <v>2813</v>
      </c>
    </row>
    <row r="3408" spans="1:22" ht="15.75" thickBot="1" x14ac:dyDescent="0.3">
      <c r="A3408" t="s">
        <v>1910</v>
      </c>
      <c r="B3408" t="s">
        <v>1910</v>
      </c>
      <c r="C3408" s="82" t="s">
        <v>1910</v>
      </c>
      <c r="D3408" s="83" t="s">
        <v>629</v>
      </c>
      <c r="E3408" s="251" t="s">
        <v>1951</v>
      </c>
      <c r="F3408" s="124" t="s">
        <v>620</v>
      </c>
      <c r="G3408" s="130"/>
      <c r="H3408" s="125" t="s">
        <v>733</v>
      </c>
      <c r="I3408" s="311" t="str">
        <f t="shared" si="134"/>
        <v>Pesado de Passageiros M3: I : Gasóleo : E6</v>
      </c>
      <c r="J3408" s="125"/>
      <c r="K3408" s="253">
        <v>2022</v>
      </c>
      <c r="L3408" s="85">
        <v>341.31120000000004</v>
      </c>
      <c r="M3408" s="85" t="s">
        <v>630</v>
      </c>
      <c r="N3408" s="128">
        <v>852</v>
      </c>
      <c r="O3408" s="128">
        <f t="shared" si="133"/>
        <v>0</v>
      </c>
      <c r="P3408" s="125" t="s">
        <v>4518</v>
      </c>
      <c r="Q3408" s="85" t="s">
        <v>47</v>
      </c>
      <c r="R3408" s="214" t="s">
        <v>1869</v>
      </c>
      <c r="S3408" s="214" t="s">
        <v>1861</v>
      </c>
      <c r="T3408" s="85" t="s">
        <v>4343</v>
      </c>
      <c r="U3408" s="422" t="s">
        <v>1953</v>
      </c>
      <c r="V3408" s="422" t="s">
        <v>2813</v>
      </c>
    </row>
    <row r="3409" spans="1:22" ht="15.75" thickBot="1" x14ac:dyDescent="0.3">
      <c r="A3409" t="s">
        <v>1910</v>
      </c>
      <c r="B3409" t="s">
        <v>1910</v>
      </c>
      <c r="C3409" s="82" t="s">
        <v>1910</v>
      </c>
      <c r="D3409" s="83" t="s">
        <v>629</v>
      </c>
      <c r="E3409" s="251" t="s">
        <v>1951</v>
      </c>
      <c r="F3409" s="124" t="s">
        <v>620</v>
      </c>
      <c r="G3409" s="130">
        <v>2022</v>
      </c>
      <c r="H3409" s="125" t="s">
        <v>733</v>
      </c>
      <c r="I3409" s="311" t="str">
        <f t="shared" si="134"/>
        <v>Pesado de Passageiros M3: I : Gasóleo : E6</v>
      </c>
      <c r="J3409" s="125">
        <v>109</v>
      </c>
      <c r="K3409" s="253">
        <v>2022</v>
      </c>
      <c r="L3409" s="129">
        <v>4432.6127999999999</v>
      </c>
      <c r="M3409" s="85" t="s">
        <v>630</v>
      </c>
      <c r="N3409" s="128">
        <v>11792</v>
      </c>
      <c r="O3409" s="128">
        <f t="shared" si="133"/>
        <v>1285328</v>
      </c>
      <c r="P3409" s="125">
        <v>2371</v>
      </c>
      <c r="Q3409" s="85" t="s">
        <v>47</v>
      </c>
      <c r="R3409" s="214" t="s">
        <v>1869</v>
      </c>
      <c r="S3409" s="214" t="s">
        <v>1861</v>
      </c>
      <c r="T3409" s="85" t="s">
        <v>4344</v>
      </c>
      <c r="U3409" s="422" t="s">
        <v>1953</v>
      </c>
      <c r="V3409" s="422" t="s">
        <v>2813</v>
      </c>
    </row>
    <row r="3410" spans="1:22" ht="15.75" thickBot="1" x14ac:dyDescent="0.3">
      <c r="A3410" t="s">
        <v>1910</v>
      </c>
      <c r="B3410" t="s">
        <v>1910</v>
      </c>
      <c r="C3410" s="82" t="s">
        <v>1910</v>
      </c>
      <c r="D3410" s="83" t="s">
        <v>629</v>
      </c>
      <c r="E3410" s="251" t="s">
        <v>1951</v>
      </c>
      <c r="F3410" s="124" t="s">
        <v>620</v>
      </c>
      <c r="G3410" s="130"/>
      <c r="H3410" s="125" t="s">
        <v>733</v>
      </c>
      <c r="I3410" s="311" t="str">
        <f t="shared" si="134"/>
        <v>Pesado de Passageiros M3: I : Gasóleo : E6</v>
      </c>
      <c r="J3410" s="125"/>
      <c r="K3410" s="253">
        <v>2022</v>
      </c>
      <c r="L3410" s="85">
        <v>173.88</v>
      </c>
      <c r="M3410" s="85" t="s">
        <v>630</v>
      </c>
      <c r="N3410" s="128">
        <v>414</v>
      </c>
      <c r="O3410" s="128">
        <f t="shared" si="133"/>
        <v>0</v>
      </c>
      <c r="P3410" s="125" t="s">
        <v>4519</v>
      </c>
      <c r="Q3410" s="85" t="s">
        <v>47</v>
      </c>
      <c r="R3410" s="214" t="s">
        <v>1869</v>
      </c>
      <c r="S3410" s="214" t="s">
        <v>1861</v>
      </c>
      <c r="T3410" s="85" t="s">
        <v>3400</v>
      </c>
      <c r="U3410" s="422" t="s">
        <v>1953</v>
      </c>
      <c r="V3410" s="422" t="s">
        <v>2813</v>
      </c>
    </row>
    <row r="3411" spans="1:22" ht="15.75" thickBot="1" x14ac:dyDescent="0.3">
      <c r="A3411" t="s">
        <v>1910</v>
      </c>
      <c r="B3411" t="s">
        <v>1910</v>
      </c>
      <c r="C3411" s="82" t="s">
        <v>1910</v>
      </c>
      <c r="D3411" s="83" t="s">
        <v>629</v>
      </c>
      <c r="E3411" s="251" t="s">
        <v>1951</v>
      </c>
      <c r="F3411" s="124" t="s">
        <v>620</v>
      </c>
      <c r="G3411" s="130"/>
      <c r="H3411" s="125" t="s">
        <v>733</v>
      </c>
      <c r="I3411" s="311" t="str">
        <f t="shared" si="134"/>
        <v>Pesado de Passageiros M3: I : Gasóleo : E6</v>
      </c>
      <c r="J3411" s="125"/>
      <c r="K3411" s="253">
        <v>2022</v>
      </c>
      <c r="L3411" s="85">
        <v>235.84540000000001</v>
      </c>
      <c r="M3411" s="85" t="s">
        <v>630</v>
      </c>
      <c r="N3411" s="128">
        <v>406</v>
      </c>
      <c r="O3411" s="128">
        <f t="shared" si="133"/>
        <v>0</v>
      </c>
      <c r="P3411" s="125" t="s">
        <v>4520</v>
      </c>
      <c r="Q3411" s="85" t="s">
        <v>47</v>
      </c>
      <c r="R3411" s="214" t="s">
        <v>1869</v>
      </c>
      <c r="S3411" s="214" t="s">
        <v>1861</v>
      </c>
      <c r="T3411" s="85" t="s">
        <v>4345</v>
      </c>
      <c r="U3411" s="422" t="s">
        <v>1953</v>
      </c>
      <c r="V3411" s="422" t="s">
        <v>2813</v>
      </c>
    </row>
    <row r="3412" spans="1:22" ht="15.75" thickBot="1" x14ac:dyDescent="0.3">
      <c r="A3412" t="s">
        <v>1910</v>
      </c>
      <c r="B3412" t="s">
        <v>1910</v>
      </c>
      <c r="C3412" s="82" t="s">
        <v>1910</v>
      </c>
      <c r="D3412" s="83" t="s">
        <v>629</v>
      </c>
      <c r="E3412" s="251" t="s">
        <v>1951</v>
      </c>
      <c r="F3412" s="124" t="s">
        <v>620</v>
      </c>
      <c r="G3412" s="130"/>
      <c r="H3412" s="125" t="s">
        <v>733</v>
      </c>
      <c r="I3412" s="311" t="str">
        <f t="shared" si="134"/>
        <v>Pesado de Passageiros M3: I : Gasóleo : E6</v>
      </c>
      <c r="J3412" s="125"/>
      <c r="K3412" s="253">
        <v>2022</v>
      </c>
      <c r="L3412" s="85">
        <v>61.92</v>
      </c>
      <c r="M3412" s="85" t="s">
        <v>630</v>
      </c>
      <c r="N3412" s="128">
        <v>129</v>
      </c>
      <c r="O3412" s="128">
        <f t="shared" si="133"/>
        <v>0</v>
      </c>
      <c r="P3412" s="125" t="s">
        <v>4521</v>
      </c>
      <c r="Q3412" s="85" t="s">
        <v>47</v>
      </c>
      <c r="R3412" s="214" t="s">
        <v>1869</v>
      </c>
      <c r="S3412" s="214" t="s">
        <v>1861</v>
      </c>
      <c r="T3412" s="85" t="s">
        <v>3387</v>
      </c>
      <c r="U3412" s="422" t="s">
        <v>1953</v>
      </c>
      <c r="V3412" s="422" t="s">
        <v>2813</v>
      </c>
    </row>
    <row r="3413" spans="1:22" ht="15.75" thickBot="1" x14ac:dyDescent="0.3">
      <c r="A3413" t="s">
        <v>1910</v>
      </c>
      <c r="B3413" t="s">
        <v>1910</v>
      </c>
      <c r="C3413" s="82" t="s">
        <v>1910</v>
      </c>
      <c r="D3413" s="83" t="s">
        <v>629</v>
      </c>
      <c r="E3413" s="251" t="s">
        <v>1951</v>
      </c>
      <c r="F3413" s="124" t="s">
        <v>620</v>
      </c>
      <c r="G3413" s="130"/>
      <c r="H3413" s="125" t="s">
        <v>733</v>
      </c>
      <c r="I3413" s="311" t="str">
        <f t="shared" si="134"/>
        <v>Pesado de Passageiros M3: I : Gasóleo : E6</v>
      </c>
      <c r="J3413" s="125"/>
      <c r="K3413" s="253">
        <v>2022</v>
      </c>
      <c r="L3413" s="85">
        <v>373.48739999999998</v>
      </c>
      <c r="M3413" s="85" t="s">
        <v>630</v>
      </c>
      <c r="N3413" s="128">
        <v>858</v>
      </c>
      <c r="O3413" s="128">
        <f t="shared" si="133"/>
        <v>0</v>
      </c>
      <c r="P3413" s="125" t="s">
        <v>4522</v>
      </c>
      <c r="Q3413" s="85" t="s">
        <v>47</v>
      </c>
      <c r="R3413" s="214" t="s">
        <v>1869</v>
      </c>
      <c r="S3413" s="214" t="s">
        <v>1861</v>
      </c>
      <c r="T3413" s="85" t="s">
        <v>3397</v>
      </c>
      <c r="U3413" s="422" t="s">
        <v>1953</v>
      </c>
      <c r="V3413" s="422" t="s">
        <v>2813</v>
      </c>
    </row>
    <row r="3414" spans="1:22" ht="15.75" thickBot="1" x14ac:dyDescent="0.3">
      <c r="A3414" t="s">
        <v>1910</v>
      </c>
      <c r="B3414" t="s">
        <v>1910</v>
      </c>
      <c r="C3414" s="82" t="s">
        <v>1910</v>
      </c>
      <c r="D3414" s="83" t="s">
        <v>629</v>
      </c>
      <c r="E3414" s="251" t="s">
        <v>1951</v>
      </c>
      <c r="F3414" s="124" t="s">
        <v>620</v>
      </c>
      <c r="G3414" s="130"/>
      <c r="H3414" s="125" t="s">
        <v>733</v>
      </c>
      <c r="I3414" s="311" t="str">
        <f t="shared" si="134"/>
        <v>Pesado de Passageiros M3: I : Gasóleo : E6</v>
      </c>
      <c r="J3414" s="125"/>
      <c r="K3414" s="253">
        <v>2022</v>
      </c>
      <c r="L3414" s="85">
        <v>60</v>
      </c>
      <c r="M3414" s="85" t="s">
        <v>630</v>
      </c>
      <c r="N3414" s="128">
        <v>125</v>
      </c>
      <c r="O3414" s="128">
        <f t="shared" si="133"/>
        <v>0</v>
      </c>
      <c r="P3414" s="125" t="s">
        <v>4523</v>
      </c>
      <c r="Q3414" s="85" t="s">
        <v>47</v>
      </c>
      <c r="R3414" s="214" t="s">
        <v>1869</v>
      </c>
      <c r="S3414" s="214" t="s">
        <v>1861</v>
      </c>
      <c r="T3414" s="85" t="s">
        <v>4346</v>
      </c>
      <c r="U3414" s="422" t="s">
        <v>1953</v>
      </c>
      <c r="V3414" s="422" t="s">
        <v>2813</v>
      </c>
    </row>
    <row r="3415" spans="1:22" ht="15.75" thickBot="1" x14ac:dyDescent="0.3">
      <c r="A3415" t="s">
        <v>1910</v>
      </c>
      <c r="B3415" t="s">
        <v>1910</v>
      </c>
      <c r="C3415" s="82" t="s">
        <v>1910</v>
      </c>
      <c r="D3415" s="83" t="s">
        <v>629</v>
      </c>
      <c r="E3415" s="251" t="s">
        <v>1951</v>
      </c>
      <c r="F3415" s="124" t="s">
        <v>620</v>
      </c>
      <c r="G3415" s="130"/>
      <c r="H3415" s="125" t="s">
        <v>733</v>
      </c>
      <c r="I3415" s="311" t="str">
        <f t="shared" si="134"/>
        <v>Pesado de Passageiros M3: I : Gasóleo : E6</v>
      </c>
      <c r="J3415" s="125"/>
      <c r="K3415" s="253">
        <v>2022</v>
      </c>
      <c r="L3415" s="85">
        <v>194.8</v>
      </c>
      <c r="M3415" s="85" t="s">
        <v>630</v>
      </c>
      <c r="N3415" s="128">
        <v>487</v>
      </c>
      <c r="O3415" s="128">
        <f t="shared" si="133"/>
        <v>0</v>
      </c>
      <c r="P3415" s="125" t="s">
        <v>4524</v>
      </c>
      <c r="Q3415" s="85" t="s">
        <v>47</v>
      </c>
      <c r="R3415" s="214" t="s">
        <v>1869</v>
      </c>
      <c r="S3415" s="214" t="s">
        <v>1861</v>
      </c>
      <c r="T3415" s="85" t="s">
        <v>4347</v>
      </c>
      <c r="U3415" s="422" t="s">
        <v>1953</v>
      </c>
      <c r="V3415" s="422" t="s">
        <v>2813</v>
      </c>
    </row>
    <row r="3416" spans="1:22" ht="15.75" thickBot="1" x14ac:dyDescent="0.3">
      <c r="A3416" t="s">
        <v>1910</v>
      </c>
      <c r="B3416" t="s">
        <v>1910</v>
      </c>
      <c r="C3416" s="82" t="s">
        <v>1910</v>
      </c>
      <c r="D3416" s="83" t="s">
        <v>629</v>
      </c>
      <c r="E3416" s="251" t="s">
        <v>1951</v>
      </c>
      <c r="F3416" s="124" t="s">
        <v>620</v>
      </c>
      <c r="G3416" s="130"/>
      <c r="H3416" s="125" t="s">
        <v>733</v>
      </c>
      <c r="I3416" s="311" t="str">
        <f t="shared" si="134"/>
        <v>Pesado de Passageiros M3: I : Gasóleo : E6</v>
      </c>
      <c r="J3416" s="125"/>
      <c r="K3416" s="253">
        <v>2022</v>
      </c>
      <c r="L3416" s="85">
        <v>200.34</v>
      </c>
      <c r="M3416" s="85" t="s">
        <v>630</v>
      </c>
      <c r="N3416" s="128">
        <v>477</v>
      </c>
      <c r="O3416" s="128">
        <f t="shared" si="133"/>
        <v>0</v>
      </c>
      <c r="P3416" s="125" t="s">
        <v>4525</v>
      </c>
      <c r="Q3416" s="85" t="s">
        <v>47</v>
      </c>
      <c r="R3416" s="214" t="s">
        <v>1869</v>
      </c>
      <c r="S3416" s="214" t="s">
        <v>1861</v>
      </c>
      <c r="T3416" s="85" t="s">
        <v>4348</v>
      </c>
      <c r="U3416" s="422" t="s">
        <v>1953</v>
      </c>
      <c r="V3416" s="422" t="s">
        <v>2813</v>
      </c>
    </row>
    <row r="3417" spans="1:22" ht="15.75" thickBot="1" x14ac:dyDescent="0.3">
      <c r="A3417" t="s">
        <v>1910</v>
      </c>
      <c r="B3417" t="s">
        <v>1910</v>
      </c>
      <c r="C3417" s="82" t="s">
        <v>1910</v>
      </c>
      <c r="D3417" s="83" t="s">
        <v>629</v>
      </c>
      <c r="E3417" s="251" t="s">
        <v>1951</v>
      </c>
      <c r="F3417" s="124" t="s">
        <v>620</v>
      </c>
      <c r="G3417" s="130"/>
      <c r="H3417" s="125" t="s">
        <v>733</v>
      </c>
      <c r="I3417" s="311" t="str">
        <f t="shared" si="134"/>
        <v>Pesado de Passageiros M3: I : Gasóleo : E6</v>
      </c>
      <c r="J3417" s="125"/>
      <c r="K3417" s="253">
        <v>2022</v>
      </c>
      <c r="L3417" s="85">
        <v>49.92</v>
      </c>
      <c r="M3417" s="85" t="s">
        <v>630</v>
      </c>
      <c r="N3417" s="128">
        <v>104</v>
      </c>
      <c r="O3417" s="128">
        <f t="shared" si="133"/>
        <v>0</v>
      </c>
      <c r="P3417" s="125" t="s">
        <v>4526</v>
      </c>
      <c r="Q3417" s="85" t="s">
        <v>47</v>
      </c>
      <c r="R3417" s="214" t="s">
        <v>1869</v>
      </c>
      <c r="S3417" s="214" t="s">
        <v>1861</v>
      </c>
      <c r="T3417" s="85" t="s">
        <v>3385</v>
      </c>
      <c r="U3417" s="422" t="s">
        <v>1953</v>
      </c>
      <c r="V3417" s="422" t="s">
        <v>2813</v>
      </c>
    </row>
    <row r="3418" spans="1:22" ht="15.75" thickBot="1" x14ac:dyDescent="0.3">
      <c r="A3418" t="s">
        <v>1910</v>
      </c>
      <c r="B3418" t="s">
        <v>1910</v>
      </c>
      <c r="C3418" s="82" t="s">
        <v>1910</v>
      </c>
      <c r="D3418" s="83" t="s">
        <v>629</v>
      </c>
      <c r="E3418" s="251" t="s">
        <v>1951</v>
      </c>
      <c r="F3418" s="124" t="s">
        <v>620</v>
      </c>
      <c r="G3418" s="130"/>
      <c r="H3418" s="125" t="s">
        <v>733</v>
      </c>
      <c r="I3418" s="311" t="str">
        <f t="shared" si="134"/>
        <v>Pesado de Passageiros M3: I : Gasóleo : E6</v>
      </c>
      <c r="J3418" s="125"/>
      <c r="K3418" s="253">
        <v>2022</v>
      </c>
      <c r="L3418" s="85">
        <v>316.11950000000002</v>
      </c>
      <c r="M3418" s="85" t="s">
        <v>630</v>
      </c>
      <c r="N3418" s="128">
        <v>785</v>
      </c>
      <c r="O3418" s="128">
        <f t="shared" si="133"/>
        <v>0</v>
      </c>
      <c r="P3418" s="125" t="s">
        <v>4527</v>
      </c>
      <c r="Q3418" s="85" t="s">
        <v>47</v>
      </c>
      <c r="R3418" s="214" t="s">
        <v>1869</v>
      </c>
      <c r="S3418" s="214" t="s">
        <v>1861</v>
      </c>
      <c r="T3418" s="85" t="s">
        <v>4349</v>
      </c>
      <c r="U3418" s="422" t="s">
        <v>1953</v>
      </c>
      <c r="V3418" s="422" t="s">
        <v>2813</v>
      </c>
    </row>
    <row r="3419" spans="1:22" ht="15.75" thickBot="1" x14ac:dyDescent="0.3">
      <c r="A3419" t="s">
        <v>1910</v>
      </c>
      <c r="B3419" t="s">
        <v>1910</v>
      </c>
      <c r="C3419" s="82" t="s">
        <v>1910</v>
      </c>
      <c r="D3419" s="83" t="s">
        <v>629</v>
      </c>
      <c r="E3419" s="251" t="s">
        <v>1951</v>
      </c>
      <c r="F3419" s="124" t="s">
        <v>620</v>
      </c>
      <c r="G3419" s="130"/>
      <c r="H3419" s="125" t="s">
        <v>733</v>
      </c>
      <c r="I3419" s="311" t="str">
        <f t="shared" si="134"/>
        <v>Pesado de Passageiros M3: I : Gasóleo : E6</v>
      </c>
      <c r="J3419" s="125"/>
      <c r="K3419" s="253">
        <v>2022</v>
      </c>
      <c r="L3419" s="242">
        <v>42.48</v>
      </c>
      <c r="M3419" s="85" t="s">
        <v>630</v>
      </c>
      <c r="N3419" s="128">
        <v>88</v>
      </c>
      <c r="O3419" s="128">
        <f t="shared" si="133"/>
        <v>0</v>
      </c>
      <c r="P3419" s="125" t="s">
        <v>4528</v>
      </c>
      <c r="Q3419" s="85" t="s">
        <v>47</v>
      </c>
      <c r="R3419" s="214" t="s">
        <v>1869</v>
      </c>
      <c r="S3419" s="214" t="s">
        <v>1861</v>
      </c>
      <c r="T3419" s="85" t="s">
        <v>4350</v>
      </c>
      <c r="U3419" s="422" t="s">
        <v>1953</v>
      </c>
      <c r="V3419" s="422" t="s">
        <v>2813</v>
      </c>
    </row>
    <row r="3420" spans="1:22" ht="15.75" thickBot="1" x14ac:dyDescent="0.3">
      <c r="A3420" t="s">
        <v>1910</v>
      </c>
      <c r="B3420" t="s">
        <v>1910</v>
      </c>
      <c r="C3420" s="82" t="s">
        <v>1910</v>
      </c>
      <c r="D3420" s="83" t="s">
        <v>629</v>
      </c>
      <c r="E3420" s="251" t="s">
        <v>1951</v>
      </c>
      <c r="F3420" s="124" t="s">
        <v>620</v>
      </c>
      <c r="G3420" s="130"/>
      <c r="H3420" s="125" t="s">
        <v>733</v>
      </c>
      <c r="I3420" s="311" t="str">
        <f t="shared" si="134"/>
        <v>Pesado de Passageiros M3: I : Gasóleo : E6</v>
      </c>
      <c r="J3420" s="125"/>
      <c r="K3420" s="253">
        <v>2022</v>
      </c>
      <c r="L3420" s="85">
        <v>265.87080000000003</v>
      </c>
      <c r="M3420" s="85" t="s">
        <v>630</v>
      </c>
      <c r="N3420" s="128">
        <v>494</v>
      </c>
      <c r="O3420" s="128">
        <f t="shared" si="133"/>
        <v>0</v>
      </c>
      <c r="P3420" s="125" t="s">
        <v>4529</v>
      </c>
      <c r="Q3420" s="85" t="s">
        <v>47</v>
      </c>
      <c r="R3420" s="214" t="s">
        <v>1869</v>
      </c>
      <c r="S3420" s="214" t="s">
        <v>1861</v>
      </c>
      <c r="T3420" s="85" t="s">
        <v>3399</v>
      </c>
      <c r="U3420" s="422" t="s">
        <v>1953</v>
      </c>
      <c r="V3420" s="422" t="s">
        <v>2813</v>
      </c>
    </row>
    <row r="3421" spans="1:22" ht="15.75" thickBot="1" x14ac:dyDescent="0.3">
      <c r="A3421" t="s">
        <v>1910</v>
      </c>
      <c r="B3421" t="s">
        <v>1910</v>
      </c>
      <c r="C3421" s="82" t="s">
        <v>1910</v>
      </c>
      <c r="D3421" s="83" t="s">
        <v>629</v>
      </c>
      <c r="E3421" s="251" t="s">
        <v>1951</v>
      </c>
      <c r="F3421" s="124" t="s">
        <v>620</v>
      </c>
      <c r="G3421" s="130"/>
      <c r="H3421" s="125" t="s">
        <v>733</v>
      </c>
      <c r="I3421" s="311" t="str">
        <f t="shared" si="134"/>
        <v>Pesado de Passageiros M3: I : Gasóleo : E6</v>
      </c>
      <c r="J3421" s="125"/>
      <c r="K3421" s="253">
        <v>2022</v>
      </c>
      <c r="L3421" s="85">
        <v>60</v>
      </c>
      <c r="M3421" s="85" t="s">
        <v>630</v>
      </c>
      <c r="N3421" s="128">
        <v>125</v>
      </c>
      <c r="O3421" s="128">
        <f t="shared" si="133"/>
        <v>0</v>
      </c>
      <c r="P3421" s="125" t="s">
        <v>4530</v>
      </c>
      <c r="Q3421" s="85" t="s">
        <v>47</v>
      </c>
      <c r="R3421" s="214" t="s">
        <v>1869</v>
      </c>
      <c r="S3421" s="214" t="s">
        <v>1861</v>
      </c>
      <c r="T3421" s="85" t="s">
        <v>4351</v>
      </c>
      <c r="U3421" s="422" t="s">
        <v>1953</v>
      </c>
      <c r="V3421" s="422" t="s">
        <v>2813</v>
      </c>
    </row>
    <row r="3422" spans="1:22" ht="15.75" thickBot="1" x14ac:dyDescent="0.3">
      <c r="A3422" t="s">
        <v>1910</v>
      </c>
      <c r="B3422" t="s">
        <v>1910</v>
      </c>
      <c r="C3422" s="82" t="s">
        <v>1910</v>
      </c>
      <c r="D3422" s="83" t="s">
        <v>629</v>
      </c>
      <c r="E3422" s="251" t="s">
        <v>1951</v>
      </c>
      <c r="F3422" s="124" t="s">
        <v>620</v>
      </c>
      <c r="G3422" s="130"/>
      <c r="H3422" s="125" t="s">
        <v>733</v>
      </c>
      <c r="I3422" s="311" t="str">
        <f t="shared" si="134"/>
        <v>Pesado de Passageiros M3: I : Gasóleo : E6</v>
      </c>
      <c r="J3422" s="125"/>
      <c r="K3422" s="253">
        <v>2022</v>
      </c>
      <c r="L3422" s="85">
        <v>232.26</v>
      </c>
      <c r="M3422" s="85" t="s">
        <v>630</v>
      </c>
      <c r="N3422" s="128">
        <v>553</v>
      </c>
      <c r="O3422" s="128">
        <f t="shared" si="133"/>
        <v>0</v>
      </c>
      <c r="P3422" s="125" t="s">
        <v>4531</v>
      </c>
      <c r="Q3422" s="85" t="s">
        <v>47</v>
      </c>
      <c r="R3422" s="214" t="s">
        <v>1869</v>
      </c>
      <c r="S3422" s="214" t="s">
        <v>1861</v>
      </c>
      <c r="T3422" s="85" t="s">
        <v>3405</v>
      </c>
      <c r="U3422" s="422" t="s">
        <v>1953</v>
      </c>
      <c r="V3422" s="422" t="s">
        <v>2813</v>
      </c>
    </row>
    <row r="3423" spans="1:22" ht="15.75" thickBot="1" x14ac:dyDescent="0.3">
      <c r="A3423" t="s">
        <v>1910</v>
      </c>
      <c r="B3423" t="s">
        <v>1910</v>
      </c>
      <c r="C3423" s="82" t="s">
        <v>1910</v>
      </c>
      <c r="D3423" s="83" t="s">
        <v>629</v>
      </c>
      <c r="E3423" s="251" t="s">
        <v>1951</v>
      </c>
      <c r="F3423" s="124" t="s">
        <v>620</v>
      </c>
      <c r="G3423" s="130"/>
      <c r="H3423" s="125" t="s">
        <v>733</v>
      </c>
      <c r="I3423" s="311" t="str">
        <f t="shared" si="134"/>
        <v>Pesado de Passageiros M3: I : Gasóleo : E6</v>
      </c>
      <c r="J3423" s="125"/>
      <c r="K3423" s="253">
        <v>2022</v>
      </c>
      <c r="L3423" s="242">
        <v>50.01</v>
      </c>
      <c r="M3423" s="85" t="s">
        <v>630</v>
      </c>
      <c r="N3423" s="128">
        <v>104</v>
      </c>
      <c r="O3423" s="128">
        <f t="shared" si="133"/>
        <v>0</v>
      </c>
      <c r="P3423" s="125" t="s">
        <v>4532</v>
      </c>
      <c r="Q3423" s="85" t="s">
        <v>47</v>
      </c>
      <c r="R3423" s="214" t="s">
        <v>1869</v>
      </c>
      <c r="S3423" s="214" t="s">
        <v>1861</v>
      </c>
      <c r="T3423" s="85" t="s">
        <v>4352</v>
      </c>
      <c r="U3423" s="422" t="s">
        <v>1953</v>
      </c>
      <c r="V3423" s="422" t="s">
        <v>2813</v>
      </c>
    </row>
    <row r="3424" spans="1:22" ht="15.75" thickBot="1" x14ac:dyDescent="0.3">
      <c r="A3424" t="s">
        <v>1910</v>
      </c>
      <c r="B3424" t="s">
        <v>1910</v>
      </c>
      <c r="C3424" s="82" t="s">
        <v>1910</v>
      </c>
      <c r="D3424" s="83" t="s">
        <v>629</v>
      </c>
      <c r="E3424" s="251" t="s">
        <v>1951</v>
      </c>
      <c r="F3424" s="124" t="s">
        <v>620</v>
      </c>
      <c r="G3424" s="130"/>
      <c r="H3424" s="125" t="s">
        <v>733</v>
      </c>
      <c r="I3424" s="311" t="str">
        <f t="shared" si="134"/>
        <v>Pesado de Passageiros M3: I : Gasóleo : E6</v>
      </c>
      <c r="J3424" s="125"/>
      <c r="K3424" s="253">
        <v>2022</v>
      </c>
      <c r="L3424" s="85">
        <v>349.90899999999999</v>
      </c>
      <c r="M3424" s="85" t="s">
        <v>630</v>
      </c>
      <c r="N3424" s="128">
        <v>965</v>
      </c>
      <c r="O3424" s="128">
        <f t="shared" si="133"/>
        <v>0</v>
      </c>
      <c r="P3424" s="125" t="s">
        <v>4533</v>
      </c>
      <c r="Q3424" s="85" t="s">
        <v>47</v>
      </c>
      <c r="R3424" s="214" t="s">
        <v>1869</v>
      </c>
      <c r="S3424" s="214" t="s">
        <v>1861</v>
      </c>
      <c r="T3424" s="85" t="s">
        <v>4353</v>
      </c>
      <c r="U3424" s="422" t="s">
        <v>1953</v>
      </c>
      <c r="V3424" s="422" t="s">
        <v>2813</v>
      </c>
    </row>
    <row r="3425" spans="1:22" ht="15.75" thickBot="1" x14ac:dyDescent="0.3">
      <c r="A3425" t="s">
        <v>1910</v>
      </c>
      <c r="B3425" t="s">
        <v>1910</v>
      </c>
      <c r="C3425" s="82" t="s">
        <v>1910</v>
      </c>
      <c r="D3425" s="83" t="s">
        <v>629</v>
      </c>
      <c r="E3425" s="251" t="s">
        <v>1951</v>
      </c>
      <c r="F3425" s="124" t="s">
        <v>620</v>
      </c>
      <c r="G3425" s="130"/>
      <c r="H3425" s="125" t="s">
        <v>733</v>
      </c>
      <c r="I3425" s="311" t="str">
        <f t="shared" si="134"/>
        <v>Pesado de Passageiros M3: I : Gasóleo : E6</v>
      </c>
      <c r="J3425" s="125"/>
      <c r="K3425" s="253">
        <v>2022</v>
      </c>
      <c r="L3425" s="85">
        <v>252.96</v>
      </c>
      <c r="M3425" s="85" t="s">
        <v>630</v>
      </c>
      <c r="N3425" s="128">
        <v>527</v>
      </c>
      <c r="O3425" s="128">
        <f t="shared" si="133"/>
        <v>0</v>
      </c>
      <c r="P3425" s="125" t="s">
        <v>4534</v>
      </c>
      <c r="Q3425" s="85" t="s">
        <v>47</v>
      </c>
      <c r="R3425" s="214" t="s">
        <v>1869</v>
      </c>
      <c r="S3425" s="214" t="s">
        <v>1861</v>
      </c>
      <c r="T3425" s="85" t="s">
        <v>4354</v>
      </c>
      <c r="U3425" s="422" t="s">
        <v>1953</v>
      </c>
      <c r="V3425" s="422" t="s">
        <v>2813</v>
      </c>
    </row>
    <row r="3426" spans="1:22" ht="15.75" thickBot="1" x14ac:dyDescent="0.3">
      <c r="A3426" t="s">
        <v>1910</v>
      </c>
      <c r="B3426" t="s">
        <v>1910</v>
      </c>
      <c r="C3426" s="82" t="s">
        <v>1910</v>
      </c>
      <c r="D3426" s="83" t="s">
        <v>629</v>
      </c>
      <c r="E3426" s="251" t="s">
        <v>1951</v>
      </c>
      <c r="F3426" s="124" t="s">
        <v>620</v>
      </c>
      <c r="G3426" s="130"/>
      <c r="H3426" s="125" t="s">
        <v>733</v>
      </c>
      <c r="I3426" s="311" t="str">
        <f t="shared" si="134"/>
        <v>Pesado de Passageiros M3: I : Gasóleo : E6</v>
      </c>
      <c r="J3426" s="125"/>
      <c r="K3426" s="253">
        <v>2022</v>
      </c>
      <c r="L3426" s="85">
        <v>405.88419999999996</v>
      </c>
      <c r="M3426" s="85" t="s">
        <v>630</v>
      </c>
      <c r="N3426" s="128">
        <v>947</v>
      </c>
      <c r="O3426" s="128">
        <f t="shared" si="133"/>
        <v>0</v>
      </c>
      <c r="P3426" s="125" t="s">
        <v>4535</v>
      </c>
      <c r="Q3426" s="85" t="s">
        <v>47</v>
      </c>
      <c r="R3426" s="214" t="s">
        <v>1869</v>
      </c>
      <c r="S3426" s="214" t="s">
        <v>1861</v>
      </c>
      <c r="T3426" s="85" t="s">
        <v>4355</v>
      </c>
      <c r="U3426" s="422" t="s">
        <v>1953</v>
      </c>
      <c r="V3426" s="422" t="s">
        <v>2813</v>
      </c>
    </row>
    <row r="3427" spans="1:22" ht="15.75" thickBot="1" x14ac:dyDescent="0.3">
      <c r="A3427" t="s">
        <v>1910</v>
      </c>
      <c r="B3427" t="s">
        <v>1910</v>
      </c>
      <c r="C3427" s="82" t="s">
        <v>1910</v>
      </c>
      <c r="D3427" s="83" t="s">
        <v>629</v>
      </c>
      <c r="E3427" s="251" t="s">
        <v>1951</v>
      </c>
      <c r="F3427" s="124" t="s">
        <v>620</v>
      </c>
      <c r="G3427" s="130"/>
      <c r="H3427" s="125" t="s">
        <v>733</v>
      </c>
      <c r="I3427" s="311" t="str">
        <f t="shared" si="134"/>
        <v>Pesado de Passageiros M3: I : Gasóleo : E6</v>
      </c>
      <c r="J3427" s="125"/>
      <c r="K3427" s="253">
        <v>2022</v>
      </c>
      <c r="L3427" s="85">
        <v>62.92</v>
      </c>
      <c r="M3427" s="85" t="s">
        <v>630</v>
      </c>
      <c r="N3427" s="128">
        <v>286</v>
      </c>
      <c r="O3427" s="128">
        <f t="shared" si="133"/>
        <v>0</v>
      </c>
      <c r="P3427" s="125" t="s">
        <v>4536</v>
      </c>
      <c r="Q3427" s="85" t="s">
        <v>47</v>
      </c>
      <c r="R3427" s="214" t="s">
        <v>1869</v>
      </c>
      <c r="S3427" s="214" t="s">
        <v>1861</v>
      </c>
      <c r="T3427" s="85" t="s">
        <v>4356</v>
      </c>
      <c r="U3427" s="422" t="s">
        <v>1953</v>
      </c>
      <c r="V3427" s="422" t="s">
        <v>2813</v>
      </c>
    </row>
    <row r="3428" spans="1:22" ht="15.75" thickBot="1" x14ac:dyDescent="0.3">
      <c r="A3428" t="s">
        <v>1910</v>
      </c>
      <c r="B3428" t="s">
        <v>1910</v>
      </c>
      <c r="C3428" s="82" t="s">
        <v>1910</v>
      </c>
      <c r="D3428" s="83" t="s">
        <v>629</v>
      </c>
      <c r="E3428" s="251" t="s">
        <v>1951</v>
      </c>
      <c r="F3428" s="124" t="s">
        <v>620</v>
      </c>
      <c r="G3428" s="130"/>
      <c r="H3428" s="125" t="s">
        <v>733</v>
      </c>
      <c r="I3428" s="311" t="str">
        <f t="shared" si="134"/>
        <v>Pesado de Passageiros M3: I : Gasóleo : E6</v>
      </c>
      <c r="J3428" s="125"/>
      <c r="K3428" s="253">
        <v>2022</v>
      </c>
      <c r="L3428" s="85">
        <v>55.68</v>
      </c>
      <c r="M3428" s="85" t="s">
        <v>630</v>
      </c>
      <c r="N3428" s="128">
        <v>116</v>
      </c>
      <c r="O3428" s="128">
        <f t="shared" si="133"/>
        <v>0</v>
      </c>
      <c r="P3428" s="125" t="s">
        <v>4537</v>
      </c>
      <c r="Q3428" s="85" t="s">
        <v>47</v>
      </c>
      <c r="R3428" s="214" t="s">
        <v>1869</v>
      </c>
      <c r="S3428" s="214" t="s">
        <v>1861</v>
      </c>
      <c r="T3428" s="85" t="s">
        <v>4357</v>
      </c>
      <c r="U3428" s="422" t="s">
        <v>1953</v>
      </c>
      <c r="V3428" s="422" t="s">
        <v>2813</v>
      </c>
    </row>
    <row r="3429" spans="1:22" ht="15.75" thickBot="1" x14ac:dyDescent="0.3">
      <c r="A3429" t="s">
        <v>1910</v>
      </c>
      <c r="B3429" t="s">
        <v>1910</v>
      </c>
      <c r="C3429" s="82" t="s">
        <v>1910</v>
      </c>
      <c r="D3429" s="83" t="s">
        <v>629</v>
      </c>
      <c r="E3429" s="251" t="s">
        <v>1951</v>
      </c>
      <c r="F3429" s="124" t="s">
        <v>620</v>
      </c>
      <c r="G3429" s="130"/>
      <c r="H3429" s="125" t="s">
        <v>733</v>
      </c>
      <c r="I3429" s="311" t="str">
        <f t="shared" si="134"/>
        <v>Pesado de Passageiros M3: I : Gasóleo : E6</v>
      </c>
      <c r="J3429" s="125"/>
      <c r="K3429" s="253">
        <v>2022</v>
      </c>
      <c r="L3429" s="85">
        <v>244.32</v>
      </c>
      <c r="M3429" s="85" t="s">
        <v>630</v>
      </c>
      <c r="N3429" s="128">
        <v>509</v>
      </c>
      <c r="O3429" s="128">
        <f t="shared" si="133"/>
        <v>0</v>
      </c>
      <c r="P3429" s="125" t="s">
        <v>4538</v>
      </c>
      <c r="Q3429" s="85" t="s">
        <v>47</v>
      </c>
      <c r="R3429" s="214" t="s">
        <v>1869</v>
      </c>
      <c r="S3429" s="214" t="s">
        <v>1861</v>
      </c>
      <c r="T3429" s="85" t="s">
        <v>4358</v>
      </c>
      <c r="U3429" s="422" t="s">
        <v>1953</v>
      </c>
      <c r="V3429" s="422" t="s">
        <v>2813</v>
      </c>
    </row>
    <row r="3430" spans="1:22" ht="15.75" thickBot="1" x14ac:dyDescent="0.3">
      <c r="A3430" t="s">
        <v>1910</v>
      </c>
      <c r="B3430" t="s">
        <v>1910</v>
      </c>
      <c r="C3430" s="82" t="s">
        <v>1910</v>
      </c>
      <c r="D3430" s="83" t="s">
        <v>629</v>
      </c>
      <c r="E3430" s="251" t="s">
        <v>1951</v>
      </c>
      <c r="F3430" s="124" t="s">
        <v>620</v>
      </c>
      <c r="G3430" s="130"/>
      <c r="H3430" s="125" t="s">
        <v>733</v>
      </c>
      <c r="I3430" s="311" t="str">
        <f t="shared" si="134"/>
        <v>Pesado de Passageiros M3: I : Gasóleo : E6</v>
      </c>
      <c r="J3430" s="125"/>
      <c r="K3430" s="253">
        <v>2022</v>
      </c>
      <c r="L3430" s="85">
        <v>242.88</v>
      </c>
      <c r="M3430" s="85" t="s">
        <v>630</v>
      </c>
      <c r="N3430" s="128">
        <v>506</v>
      </c>
      <c r="O3430" s="128">
        <f t="shared" si="133"/>
        <v>0</v>
      </c>
      <c r="P3430" s="125" t="s">
        <v>4539</v>
      </c>
      <c r="Q3430" s="85" t="s">
        <v>47</v>
      </c>
      <c r="R3430" s="214" t="s">
        <v>1869</v>
      </c>
      <c r="S3430" s="214" t="s">
        <v>1861</v>
      </c>
      <c r="T3430" s="85" t="s">
        <v>3389</v>
      </c>
      <c r="U3430" s="422" t="s">
        <v>1953</v>
      </c>
      <c r="V3430" s="422" t="s">
        <v>2813</v>
      </c>
    </row>
    <row r="3431" spans="1:22" ht="15.75" thickBot="1" x14ac:dyDescent="0.3">
      <c r="A3431" t="s">
        <v>1910</v>
      </c>
      <c r="B3431" t="s">
        <v>1910</v>
      </c>
      <c r="C3431" s="82" t="s">
        <v>1910</v>
      </c>
      <c r="D3431" s="83" t="s">
        <v>629</v>
      </c>
      <c r="E3431" s="251" t="s">
        <v>1951</v>
      </c>
      <c r="F3431" s="124" t="s">
        <v>620</v>
      </c>
      <c r="G3431" s="130"/>
      <c r="H3431" s="125" t="s">
        <v>733</v>
      </c>
      <c r="I3431" s="311" t="str">
        <f t="shared" si="134"/>
        <v>Pesado de Passageiros M3: I : Gasóleo : E6</v>
      </c>
      <c r="J3431" s="125"/>
      <c r="K3431" s="253">
        <v>2022</v>
      </c>
      <c r="L3431" s="85">
        <v>281.1669</v>
      </c>
      <c r="M3431" s="85" t="s">
        <v>630</v>
      </c>
      <c r="N3431" s="128">
        <v>651</v>
      </c>
      <c r="O3431" s="128">
        <f t="shared" si="133"/>
        <v>0</v>
      </c>
      <c r="P3431" s="125" t="s">
        <v>4540</v>
      </c>
      <c r="Q3431" s="85" t="s">
        <v>47</v>
      </c>
      <c r="R3431" s="214" t="s">
        <v>1869</v>
      </c>
      <c r="S3431" s="214" t="s">
        <v>1861</v>
      </c>
      <c r="T3431" s="85" t="s">
        <v>4359</v>
      </c>
      <c r="U3431" s="422" t="s">
        <v>1953</v>
      </c>
      <c r="V3431" s="422" t="s">
        <v>2813</v>
      </c>
    </row>
    <row r="3432" spans="1:22" ht="15.75" thickBot="1" x14ac:dyDescent="0.3">
      <c r="A3432" t="s">
        <v>1910</v>
      </c>
      <c r="B3432" t="s">
        <v>1910</v>
      </c>
      <c r="C3432" s="82" t="s">
        <v>1910</v>
      </c>
      <c r="D3432" s="83" t="s">
        <v>629</v>
      </c>
      <c r="E3432" s="251" t="s">
        <v>1951</v>
      </c>
      <c r="F3432" s="124" t="s">
        <v>620</v>
      </c>
      <c r="G3432" s="130"/>
      <c r="H3432" s="125" t="s">
        <v>733</v>
      </c>
      <c r="I3432" s="311" t="str">
        <f t="shared" si="134"/>
        <v>Pesado de Passageiros M3: I : Gasóleo : E6</v>
      </c>
      <c r="J3432" s="125"/>
      <c r="K3432" s="253">
        <v>2022</v>
      </c>
      <c r="L3432" s="85">
        <v>233.76</v>
      </c>
      <c r="M3432" s="85" t="s">
        <v>630</v>
      </c>
      <c r="N3432" s="128">
        <v>487</v>
      </c>
      <c r="O3432" s="128">
        <f t="shared" si="133"/>
        <v>0</v>
      </c>
      <c r="P3432" s="125" t="s">
        <v>4541</v>
      </c>
      <c r="Q3432" s="85" t="s">
        <v>47</v>
      </c>
      <c r="R3432" s="214" t="s">
        <v>1869</v>
      </c>
      <c r="S3432" s="214" t="s">
        <v>1861</v>
      </c>
      <c r="T3432" s="85" t="s">
        <v>4360</v>
      </c>
      <c r="U3432" s="422" t="s">
        <v>1953</v>
      </c>
      <c r="V3432" s="422" t="s">
        <v>2813</v>
      </c>
    </row>
    <row r="3433" spans="1:22" ht="15.75" thickBot="1" x14ac:dyDescent="0.3">
      <c r="A3433" t="s">
        <v>1910</v>
      </c>
      <c r="B3433" t="s">
        <v>1910</v>
      </c>
      <c r="C3433" s="82" t="s">
        <v>1910</v>
      </c>
      <c r="D3433" s="83" t="s">
        <v>629</v>
      </c>
      <c r="E3433" s="251" t="s">
        <v>1951</v>
      </c>
      <c r="F3433" s="124" t="s">
        <v>620</v>
      </c>
      <c r="G3433" s="130"/>
      <c r="H3433" s="125" t="s">
        <v>733</v>
      </c>
      <c r="I3433" s="311" t="str">
        <f t="shared" si="134"/>
        <v>Pesado de Passageiros M3: I : Gasóleo : E6</v>
      </c>
      <c r="J3433" s="125"/>
      <c r="K3433" s="253">
        <v>2022</v>
      </c>
      <c r="L3433" s="85">
        <v>268.8</v>
      </c>
      <c r="M3433" s="85" t="s">
        <v>630</v>
      </c>
      <c r="N3433" s="128">
        <v>640</v>
      </c>
      <c r="O3433" s="128">
        <f t="shared" si="133"/>
        <v>0</v>
      </c>
      <c r="P3433" s="125" t="s">
        <v>4542</v>
      </c>
      <c r="Q3433" s="85" t="s">
        <v>47</v>
      </c>
      <c r="R3433" s="214" t="s">
        <v>1869</v>
      </c>
      <c r="S3433" s="214" t="s">
        <v>1861</v>
      </c>
      <c r="T3433" s="85" t="s">
        <v>4361</v>
      </c>
      <c r="U3433" s="422" t="s">
        <v>1953</v>
      </c>
      <c r="V3433" s="422" t="s">
        <v>2813</v>
      </c>
    </row>
    <row r="3434" spans="1:22" ht="15.75" thickBot="1" x14ac:dyDescent="0.3">
      <c r="A3434" t="s">
        <v>1910</v>
      </c>
      <c r="B3434" t="s">
        <v>1910</v>
      </c>
      <c r="C3434" s="82" t="s">
        <v>1910</v>
      </c>
      <c r="D3434" s="83" t="s">
        <v>629</v>
      </c>
      <c r="E3434" s="251" t="s">
        <v>1951</v>
      </c>
      <c r="F3434" s="124" t="s">
        <v>620</v>
      </c>
      <c r="G3434" s="130"/>
      <c r="H3434" s="125" t="s">
        <v>733</v>
      </c>
      <c r="I3434" s="311" t="str">
        <f t="shared" si="134"/>
        <v>Pesado de Passageiros M3: I : Gasóleo : E6</v>
      </c>
      <c r="J3434" s="125"/>
      <c r="K3434" s="253">
        <v>2022</v>
      </c>
      <c r="L3434" s="85">
        <v>78.231999999999999</v>
      </c>
      <c r="M3434" s="85" t="s">
        <v>630</v>
      </c>
      <c r="N3434" s="128">
        <v>508</v>
      </c>
      <c r="O3434" s="128">
        <f t="shared" si="133"/>
        <v>0</v>
      </c>
      <c r="P3434" s="125" t="s">
        <v>2226</v>
      </c>
      <c r="Q3434" s="85" t="s">
        <v>47</v>
      </c>
      <c r="R3434" s="214" t="s">
        <v>1869</v>
      </c>
      <c r="S3434" s="214" t="s">
        <v>1861</v>
      </c>
      <c r="T3434" s="85" t="s">
        <v>4362</v>
      </c>
      <c r="U3434" s="422" t="s">
        <v>1953</v>
      </c>
      <c r="V3434" s="422" t="s">
        <v>2813</v>
      </c>
    </row>
    <row r="3435" spans="1:22" ht="15.75" thickBot="1" x14ac:dyDescent="0.3">
      <c r="A3435" t="s">
        <v>1910</v>
      </c>
      <c r="B3435" t="s">
        <v>1910</v>
      </c>
      <c r="C3435" s="82" t="s">
        <v>1910</v>
      </c>
      <c r="D3435" s="83" t="s">
        <v>629</v>
      </c>
      <c r="E3435" s="251" t="s">
        <v>1951</v>
      </c>
      <c r="F3435" s="124" t="s">
        <v>620</v>
      </c>
      <c r="G3435" s="130"/>
      <c r="H3435" s="125" t="s">
        <v>733</v>
      </c>
      <c r="I3435" s="311" t="str">
        <f t="shared" si="134"/>
        <v>Pesado de Passageiros M3: I : Gasóleo : E6</v>
      </c>
      <c r="J3435" s="125"/>
      <c r="K3435" s="253">
        <v>2022</v>
      </c>
      <c r="L3435" s="85">
        <v>181.92</v>
      </c>
      <c r="M3435" s="85" t="s">
        <v>630</v>
      </c>
      <c r="N3435" s="128">
        <v>379</v>
      </c>
      <c r="O3435" s="128">
        <f t="shared" si="133"/>
        <v>0</v>
      </c>
      <c r="P3435" s="125" t="s">
        <v>4543</v>
      </c>
      <c r="Q3435" s="85" t="s">
        <v>47</v>
      </c>
      <c r="R3435" s="214" t="s">
        <v>1869</v>
      </c>
      <c r="S3435" s="214" t="s">
        <v>1861</v>
      </c>
      <c r="T3435" s="85" t="s">
        <v>4363</v>
      </c>
      <c r="U3435" s="422" t="s">
        <v>1953</v>
      </c>
      <c r="V3435" s="422" t="s">
        <v>2813</v>
      </c>
    </row>
    <row r="3436" spans="1:22" ht="15.75" thickBot="1" x14ac:dyDescent="0.3">
      <c r="A3436" t="s">
        <v>1910</v>
      </c>
      <c r="B3436" t="s">
        <v>1910</v>
      </c>
      <c r="C3436" s="82" t="s">
        <v>1910</v>
      </c>
      <c r="D3436" s="83" t="s">
        <v>629</v>
      </c>
      <c r="E3436" s="251" t="s">
        <v>1951</v>
      </c>
      <c r="F3436" s="124" t="s">
        <v>620</v>
      </c>
      <c r="G3436" s="130"/>
      <c r="H3436" s="125" t="s">
        <v>733</v>
      </c>
      <c r="I3436" s="311" t="str">
        <f t="shared" si="134"/>
        <v>Pesado de Passageiros M3: I : Gasóleo : E6</v>
      </c>
      <c r="J3436" s="125"/>
      <c r="K3436" s="253">
        <v>2022</v>
      </c>
      <c r="L3436" s="85">
        <v>69.928600000000003</v>
      </c>
      <c r="M3436" s="85" t="s">
        <v>630</v>
      </c>
      <c r="N3436" s="128">
        <v>398</v>
      </c>
      <c r="O3436" s="128">
        <f t="shared" si="133"/>
        <v>0</v>
      </c>
      <c r="P3436" s="125" t="s">
        <v>2227</v>
      </c>
      <c r="Q3436" s="85" t="s">
        <v>47</v>
      </c>
      <c r="R3436" s="214" t="s">
        <v>1869</v>
      </c>
      <c r="S3436" s="214" t="s">
        <v>1861</v>
      </c>
      <c r="T3436" s="85" t="s">
        <v>4364</v>
      </c>
      <c r="U3436" s="422" t="s">
        <v>1953</v>
      </c>
      <c r="V3436" s="422" t="s">
        <v>2813</v>
      </c>
    </row>
    <row r="3437" spans="1:22" ht="15.75" thickBot="1" x14ac:dyDescent="0.3">
      <c r="A3437" t="s">
        <v>1910</v>
      </c>
      <c r="B3437" t="s">
        <v>1910</v>
      </c>
      <c r="C3437" s="82" t="s">
        <v>1910</v>
      </c>
      <c r="D3437" s="83" t="s">
        <v>629</v>
      </c>
      <c r="E3437" s="251" t="s">
        <v>1951</v>
      </c>
      <c r="F3437" s="124" t="s">
        <v>620</v>
      </c>
      <c r="G3437" s="130"/>
      <c r="H3437" s="125" t="s">
        <v>733</v>
      </c>
      <c r="I3437" s="311" t="str">
        <f t="shared" si="134"/>
        <v>Pesado de Passageiros M3: I : Gasóleo : E6</v>
      </c>
      <c r="J3437" s="125"/>
      <c r="K3437" s="253">
        <v>2022</v>
      </c>
      <c r="L3437" s="85">
        <v>116.16</v>
      </c>
      <c r="M3437" s="85" t="s">
        <v>630</v>
      </c>
      <c r="N3437" s="128">
        <v>242</v>
      </c>
      <c r="O3437" s="128">
        <f t="shared" si="133"/>
        <v>0</v>
      </c>
      <c r="P3437" s="125" t="s">
        <v>4544</v>
      </c>
      <c r="Q3437" s="85" t="s">
        <v>47</v>
      </c>
      <c r="R3437" s="214" t="s">
        <v>1869</v>
      </c>
      <c r="S3437" s="214" t="s">
        <v>1861</v>
      </c>
      <c r="T3437" s="85" t="s">
        <v>4365</v>
      </c>
      <c r="U3437" s="422" t="s">
        <v>1953</v>
      </c>
      <c r="V3437" s="422" t="s">
        <v>2813</v>
      </c>
    </row>
    <row r="3438" spans="1:22" ht="15.75" thickBot="1" x14ac:dyDescent="0.3">
      <c r="A3438" t="s">
        <v>1910</v>
      </c>
      <c r="B3438" t="s">
        <v>1910</v>
      </c>
      <c r="C3438" s="82" t="s">
        <v>1910</v>
      </c>
      <c r="D3438" s="83" t="s">
        <v>629</v>
      </c>
      <c r="E3438" s="251" t="s">
        <v>1951</v>
      </c>
      <c r="F3438" s="124" t="s">
        <v>620</v>
      </c>
      <c r="G3438" s="130"/>
      <c r="H3438" s="125" t="s">
        <v>733</v>
      </c>
      <c r="I3438" s="311" t="str">
        <f t="shared" si="134"/>
        <v>Pesado de Passageiros M3: I : Gasóleo : E6</v>
      </c>
      <c r="J3438" s="125"/>
      <c r="K3438" s="253">
        <v>2022</v>
      </c>
      <c r="L3438" s="85">
        <v>290.88</v>
      </c>
      <c r="M3438" s="85" t="s">
        <v>630</v>
      </c>
      <c r="N3438" s="128">
        <v>606</v>
      </c>
      <c r="O3438" s="128">
        <f t="shared" si="133"/>
        <v>0</v>
      </c>
      <c r="P3438" s="125" t="s">
        <v>4545</v>
      </c>
      <c r="Q3438" s="85" t="s">
        <v>47</v>
      </c>
      <c r="R3438" s="214" t="s">
        <v>1869</v>
      </c>
      <c r="S3438" s="214" t="s">
        <v>1861</v>
      </c>
      <c r="T3438" s="85" t="s">
        <v>4366</v>
      </c>
      <c r="U3438" s="422" t="s">
        <v>1953</v>
      </c>
      <c r="V3438" s="422" t="s">
        <v>2813</v>
      </c>
    </row>
    <row r="3439" spans="1:22" ht="15.75" thickBot="1" x14ac:dyDescent="0.3">
      <c r="A3439" t="s">
        <v>1910</v>
      </c>
      <c r="B3439" t="s">
        <v>1910</v>
      </c>
      <c r="C3439" s="82" t="s">
        <v>1910</v>
      </c>
      <c r="D3439" s="83" t="s">
        <v>629</v>
      </c>
      <c r="E3439" s="251" t="s">
        <v>1951</v>
      </c>
      <c r="F3439" s="124" t="s">
        <v>620</v>
      </c>
      <c r="G3439" s="130"/>
      <c r="H3439" s="125" t="s">
        <v>733</v>
      </c>
      <c r="I3439" s="311" t="str">
        <f t="shared" si="134"/>
        <v>Pesado de Passageiros M3: I : Gasóleo : E6</v>
      </c>
      <c r="J3439" s="125"/>
      <c r="K3439" s="253">
        <v>2022</v>
      </c>
      <c r="L3439" s="85">
        <v>296.30840000000001</v>
      </c>
      <c r="M3439" s="85" t="s">
        <v>630</v>
      </c>
      <c r="N3439" s="128">
        <v>1486</v>
      </c>
      <c r="O3439" s="128">
        <f t="shared" si="133"/>
        <v>0</v>
      </c>
      <c r="P3439" s="125" t="s">
        <v>2203</v>
      </c>
      <c r="Q3439" s="85" t="s">
        <v>47</v>
      </c>
      <c r="R3439" s="214" t="s">
        <v>1869</v>
      </c>
      <c r="S3439" s="214" t="s">
        <v>1861</v>
      </c>
      <c r="T3439" s="85" t="s">
        <v>4367</v>
      </c>
      <c r="U3439" s="422" t="s">
        <v>1953</v>
      </c>
      <c r="V3439" s="422" t="s">
        <v>2813</v>
      </c>
    </row>
    <row r="3440" spans="1:22" ht="15.75" thickBot="1" x14ac:dyDescent="0.3">
      <c r="A3440" t="s">
        <v>1910</v>
      </c>
      <c r="B3440" t="s">
        <v>1910</v>
      </c>
      <c r="C3440" s="82" t="s">
        <v>1910</v>
      </c>
      <c r="D3440" s="83" t="s">
        <v>629</v>
      </c>
      <c r="E3440" s="251" t="s">
        <v>1951</v>
      </c>
      <c r="F3440" s="124" t="s">
        <v>620</v>
      </c>
      <c r="G3440" s="130"/>
      <c r="H3440" s="125" t="s">
        <v>733</v>
      </c>
      <c r="I3440" s="311" t="str">
        <f t="shared" si="134"/>
        <v>Pesado de Passageiros M3: I : Gasóleo : E6</v>
      </c>
      <c r="J3440" s="125"/>
      <c r="K3440" s="253">
        <v>2022</v>
      </c>
      <c r="L3440" s="242">
        <v>50.309999999999974</v>
      </c>
      <c r="M3440" s="85" t="s">
        <v>630</v>
      </c>
      <c r="N3440" s="128">
        <v>142</v>
      </c>
      <c r="O3440" s="128">
        <f t="shared" si="133"/>
        <v>0</v>
      </c>
      <c r="P3440" s="125" t="s">
        <v>4546</v>
      </c>
      <c r="Q3440" s="85" t="s">
        <v>47</v>
      </c>
      <c r="R3440" s="214" t="s">
        <v>1869</v>
      </c>
      <c r="S3440" s="214" t="s">
        <v>1861</v>
      </c>
      <c r="T3440" s="85" t="s">
        <v>4368</v>
      </c>
      <c r="U3440" s="422" t="s">
        <v>1953</v>
      </c>
      <c r="V3440" s="422" t="s">
        <v>2813</v>
      </c>
    </row>
    <row r="3441" spans="1:22" ht="15.75" thickBot="1" x14ac:dyDescent="0.3">
      <c r="A3441" t="s">
        <v>1910</v>
      </c>
      <c r="B3441" t="s">
        <v>1910</v>
      </c>
      <c r="C3441" s="82" t="s">
        <v>1910</v>
      </c>
      <c r="D3441" s="83" t="s">
        <v>629</v>
      </c>
      <c r="E3441" s="251" t="s">
        <v>1951</v>
      </c>
      <c r="F3441" s="124" t="s">
        <v>620</v>
      </c>
      <c r="G3441" s="130"/>
      <c r="H3441" s="125" t="s">
        <v>733</v>
      </c>
      <c r="I3441" s="311" t="str">
        <f t="shared" si="134"/>
        <v>Pesado de Passageiros M3: I : Gasóleo : E6</v>
      </c>
      <c r="J3441" s="125"/>
      <c r="K3441" s="253">
        <v>2022</v>
      </c>
      <c r="L3441" s="85">
        <v>248.15</v>
      </c>
      <c r="M3441" s="85" t="s">
        <v>630</v>
      </c>
      <c r="N3441" s="128">
        <v>709</v>
      </c>
      <c r="O3441" s="128">
        <f t="shared" ref="O3441:O3478" si="135">N3441*J3441</f>
        <v>0</v>
      </c>
      <c r="P3441" s="125" t="s">
        <v>4546</v>
      </c>
      <c r="Q3441" s="85" t="s">
        <v>47</v>
      </c>
      <c r="R3441" s="214" t="s">
        <v>1869</v>
      </c>
      <c r="S3441" s="214" t="s">
        <v>1861</v>
      </c>
      <c r="T3441" s="85" t="s">
        <v>4368</v>
      </c>
      <c r="U3441" s="422" t="s">
        <v>1953</v>
      </c>
      <c r="V3441" s="422" t="s">
        <v>2813</v>
      </c>
    </row>
    <row r="3442" spans="1:22" ht="15.75" thickBot="1" x14ac:dyDescent="0.3">
      <c r="A3442" t="s">
        <v>1910</v>
      </c>
      <c r="B3442" t="s">
        <v>1910</v>
      </c>
      <c r="C3442" s="82" t="s">
        <v>1910</v>
      </c>
      <c r="D3442" s="83" t="s">
        <v>629</v>
      </c>
      <c r="E3442" s="251" t="s">
        <v>1951</v>
      </c>
      <c r="F3442" s="124" t="s">
        <v>620</v>
      </c>
      <c r="G3442" s="130"/>
      <c r="H3442" s="125" t="s">
        <v>733</v>
      </c>
      <c r="I3442" s="311" t="str">
        <f t="shared" si="134"/>
        <v>Pesado de Passageiros M3: I : Gasóleo : E6</v>
      </c>
      <c r="J3442" s="125"/>
      <c r="K3442" s="253">
        <v>2022</v>
      </c>
      <c r="L3442" s="85">
        <v>70</v>
      </c>
      <c r="M3442" s="85" t="s">
        <v>630</v>
      </c>
      <c r="N3442" s="128">
        <v>200</v>
      </c>
      <c r="O3442" s="128">
        <f t="shared" si="135"/>
        <v>0</v>
      </c>
      <c r="P3442" s="125" t="s">
        <v>4547</v>
      </c>
      <c r="Q3442" s="85" t="s">
        <v>47</v>
      </c>
      <c r="R3442" s="214" t="s">
        <v>1869</v>
      </c>
      <c r="S3442" s="214" t="s">
        <v>1861</v>
      </c>
      <c r="T3442" s="85" t="s">
        <v>3418</v>
      </c>
      <c r="U3442" s="422" t="s">
        <v>1953</v>
      </c>
      <c r="V3442" s="422" t="s">
        <v>2813</v>
      </c>
    </row>
    <row r="3443" spans="1:22" ht="15.75" thickBot="1" x14ac:dyDescent="0.3">
      <c r="A3443" t="s">
        <v>1910</v>
      </c>
      <c r="B3443" t="s">
        <v>1910</v>
      </c>
      <c r="C3443" s="82" t="s">
        <v>1910</v>
      </c>
      <c r="D3443" s="83" t="s">
        <v>629</v>
      </c>
      <c r="E3443" s="251" t="s">
        <v>1951</v>
      </c>
      <c r="F3443" s="124" t="s">
        <v>620</v>
      </c>
      <c r="G3443" s="130"/>
      <c r="H3443" s="125" t="s">
        <v>733</v>
      </c>
      <c r="I3443" s="311" t="str">
        <f t="shared" si="134"/>
        <v>Pesado de Passageiros M3: I : Gasóleo : E6</v>
      </c>
      <c r="J3443" s="125"/>
      <c r="K3443" s="253">
        <v>2022</v>
      </c>
      <c r="L3443" s="85">
        <v>71.75</v>
      </c>
      <c r="M3443" s="85" t="s">
        <v>630</v>
      </c>
      <c r="N3443" s="128">
        <v>205</v>
      </c>
      <c r="O3443" s="128">
        <f t="shared" si="135"/>
        <v>0</v>
      </c>
      <c r="P3443" s="125" t="s">
        <v>4548</v>
      </c>
      <c r="Q3443" s="85" t="s">
        <v>47</v>
      </c>
      <c r="R3443" s="214" t="s">
        <v>1869</v>
      </c>
      <c r="S3443" s="214" t="s">
        <v>1861</v>
      </c>
      <c r="T3443" s="85" t="s">
        <v>3419</v>
      </c>
      <c r="U3443" s="422" t="s">
        <v>1953</v>
      </c>
      <c r="V3443" s="422" t="s">
        <v>2813</v>
      </c>
    </row>
    <row r="3444" spans="1:22" ht="15.75" thickBot="1" x14ac:dyDescent="0.3">
      <c r="A3444" t="s">
        <v>1910</v>
      </c>
      <c r="B3444" t="s">
        <v>1910</v>
      </c>
      <c r="C3444" s="82" t="s">
        <v>1910</v>
      </c>
      <c r="D3444" s="83" t="s">
        <v>629</v>
      </c>
      <c r="E3444" s="251" t="s">
        <v>1951</v>
      </c>
      <c r="F3444" s="124" t="s">
        <v>620</v>
      </c>
      <c r="G3444" s="130"/>
      <c r="H3444" s="125" t="s">
        <v>733</v>
      </c>
      <c r="I3444" s="311" t="str">
        <f t="shared" si="134"/>
        <v>Pesado de Passageiros M3: I : Gasóleo : E6</v>
      </c>
      <c r="J3444" s="125"/>
      <c r="K3444" s="253">
        <v>2022</v>
      </c>
      <c r="L3444" s="85">
        <v>147</v>
      </c>
      <c r="M3444" s="85" t="s">
        <v>630</v>
      </c>
      <c r="N3444" s="128">
        <v>420</v>
      </c>
      <c r="O3444" s="128">
        <f t="shared" si="135"/>
        <v>0</v>
      </c>
      <c r="P3444" s="125" t="s">
        <v>4549</v>
      </c>
      <c r="Q3444" s="85" t="s">
        <v>47</v>
      </c>
      <c r="R3444" s="214" t="s">
        <v>1869</v>
      </c>
      <c r="S3444" s="214" t="s">
        <v>1861</v>
      </c>
      <c r="T3444" s="85" t="s">
        <v>3416</v>
      </c>
      <c r="U3444" s="422" t="s">
        <v>1953</v>
      </c>
      <c r="V3444" s="422" t="s">
        <v>2813</v>
      </c>
    </row>
    <row r="3445" spans="1:22" ht="15.75" thickBot="1" x14ac:dyDescent="0.3">
      <c r="A3445" t="s">
        <v>1910</v>
      </c>
      <c r="B3445" t="s">
        <v>1910</v>
      </c>
      <c r="C3445" s="82" t="s">
        <v>1910</v>
      </c>
      <c r="D3445" s="83" t="s">
        <v>629</v>
      </c>
      <c r="E3445" s="251" t="s">
        <v>1951</v>
      </c>
      <c r="F3445" s="124" t="s">
        <v>620</v>
      </c>
      <c r="G3445" s="130"/>
      <c r="H3445" s="125" t="s">
        <v>733</v>
      </c>
      <c r="I3445" s="311" t="str">
        <f t="shared" si="134"/>
        <v>Pesado de Passageiros M3: I : Gasóleo : E6</v>
      </c>
      <c r="J3445" s="125"/>
      <c r="K3445" s="253">
        <v>2022</v>
      </c>
      <c r="L3445" s="85">
        <v>50.05</v>
      </c>
      <c r="M3445" s="85" t="s">
        <v>630</v>
      </c>
      <c r="N3445" s="128">
        <v>143</v>
      </c>
      <c r="O3445" s="128">
        <f t="shared" si="135"/>
        <v>0</v>
      </c>
      <c r="P3445" s="125" t="s">
        <v>4550</v>
      </c>
      <c r="Q3445" s="85" t="s">
        <v>47</v>
      </c>
      <c r="R3445" s="214" t="s">
        <v>1869</v>
      </c>
      <c r="S3445" s="214" t="s">
        <v>1861</v>
      </c>
      <c r="T3445" s="85" t="s">
        <v>4369</v>
      </c>
      <c r="U3445" s="422" t="s">
        <v>1953</v>
      </c>
      <c r="V3445" s="422" t="s">
        <v>2813</v>
      </c>
    </row>
    <row r="3446" spans="1:22" ht="15.75" thickBot="1" x14ac:dyDescent="0.3">
      <c r="A3446" t="s">
        <v>1910</v>
      </c>
      <c r="B3446" t="s">
        <v>1910</v>
      </c>
      <c r="C3446" s="82" t="s">
        <v>1910</v>
      </c>
      <c r="D3446" s="83" t="s">
        <v>629</v>
      </c>
      <c r="E3446" s="251" t="s">
        <v>1951</v>
      </c>
      <c r="F3446" s="124" t="s">
        <v>620</v>
      </c>
      <c r="G3446" s="130"/>
      <c r="H3446" s="125" t="s">
        <v>733</v>
      </c>
      <c r="I3446" s="311" t="str">
        <f t="shared" ref="I3446:I3509" si="136">D3446&amp;": "&amp;E3446&amp;" : "&amp;F3446&amp;" : "&amp;H3446</f>
        <v>Pesado de Passageiros M3: I : Gasóleo : E6</v>
      </c>
      <c r="J3446" s="125"/>
      <c r="K3446" s="253">
        <v>2022</v>
      </c>
      <c r="L3446" s="85">
        <v>333.81739999999996</v>
      </c>
      <c r="M3446" s="85" t="s">
        <v>630</v>
      </c>
      <c r="N3446" s="128">
        <v>1127</v>
      </c>
      <c r="O3446" s="128">
        <f t="shared" si="135"/>
        <v>0</v>
      </c>
      <c r="P3446" s="125" t="s">
        <v>4551</v>
      </c>
      <c r="Q3446" s="85" t="s">
        <v>47</v>
      </c>
      <c r="R3446" s="214" t="s">
        <v>1869</v>
      </c>
      <c r="S3446" s="214" t="s">
        <v>1861</v>
      </c>
      <c r="T3446" s="85" t="s">
        <v>4370</v>
      </c>
      <c r="U3446" s="422" t="s">
        <v>1953</v>
      </c>
      <c r="V3446" s="422" t="s">
        <v>2813</v>
      </c>
    </row>
    <row r="3447" spans="1:22" ht="15.75" thickBot="1" x14ac:dyDescent="0.3">
      <c r="A3447" t="s">
        <v>1910</v>
      </c>
      <c r="B3447" t="s">
        <v>1910</v>
      </c>
      <c r="C3447" s="82" t="s">
        <v>1910</v>
      </c>
      <c r="D3447" s="83" t="s">
        <v>629</v>
      </c>
      <c r="E3447" s="251" t="s">
        <v>1951</v>
      </c>
      <c r="F3447" s="124" t="s">
        <v>620</v>
      </c>
      <c r="G3447" s="130"/>
      <c r="H3447" s="125" t="s">
        <v>733</v>
      </c>
      <c r="I3447" s="311" t="str">
        <f t="shared" si="136"/>
        <v>Pesado de Passageiros M3: I : Gasóleo : E6</v>
      </c>
      <c r="J3447" s="125"/>
      <c r="K3447" s="253">
        <v>2022</v>
      </c>
      <c r="L3447" s="85">
        <v>387.1</v>
      </c>
      <c r="M3447" s="85" t="s">
        <v>630</v>
      </c>
      <c r="N3447" s="128">
        <v>1106</v>
      </c>
      <c r="O3447" s="128">
        <f t="shared" si="135"/>
        <v>0</v>
      </c>
      <c r="P3447" s="125" t="s">
        <v>4552</v>
      </c>
      <c r="Q3447" s="85" t="s">
        <v>47</v>
      </c>
      <c r="R3447" s="214" t="s">
        <v>1869</v>
      </c>
      <c r="S3447" s="214" t="s">
        <v>1861</v>
      </c>
      <c r="T3447" s="85" t="s">
        <v>3417</v>
      </c>
      <c r="U3447" s="422" t="s">
        <v>1953</v>
      </c>
      <c r="V3447" s="422" t="s">
        <v>2813</v>
      </c>
    </row>
    <row r="3448" spans="1:22" ht="15.75" thickBot="1" x14ac:dyDescent="0.3">
      <c r="A3448" t="s">
        <v>1910</v>
      </c>
      <c r="B3448" t="s">
        <v>1910</v>
      </c>
      <c r="C3448" s="82" t="s">
        <v>1910</v>
      </c>
      <c r="D3448" s="83" t="s">
        <v>629</v>
      </c>
      <c r="E3448" s="251" t="s">
        <v>1951</v>
      </c>
      <c r="F3448" s="124" t="s">
        <v>620</v>
      </c>
      <c r="G3448" s="130"/>
      <c r="H3448" s="125" t="s">
        <v>733</v>
      </c>
      <c r="I3448" s="311" t="str">
        <f t="shared" si="136"/>
        <v>Pesado de Passageiros M3: I : Gasóleo : E6</v>
      </c>
      <c r="J3448" s="125"/>
      <c r="K3448" s="253">
        <v>2022</v>
      </c>
      <c r="L3448" s="85">
        <v>297.14999999999998</v>
      </c>
      <c r="M3448" s="85" t="s">
        <v>630</v>
      </c>
      <c r="N3448" s="128">
        <v>849</v>
      </c>
      <c r="O3448" s="128">
        <f t="shared" si="135"/>
        <v>0</v>
      </c>
      <c r="P3448" s="125" t="s">
        <v>4553</v>
      </c>
      <c r="Q3448" s="85" t="s">
        <v>47</v>
      </c>
      <c r="R3448" s="214" t="s">
        <v>1869</v>
      </c>
      <c r="S3448" s="214" t="s">
        <v>1861</v>
      </c>
      <c r="T3448" s="85" t="s">
        <v>4371</v>
      </c>
      <c r="U3448" s="422" t="s">
        <v>1953</v>
      </c>
      <c r="V3448" s="422" t="s">
        <v>2813</v>
      </c>
    </row>
    <row r="3449" spans="1:22" ht="15.75" thickBot="1" x14ac:dyDescent="0.3">
      <c r="A3449" t="s">
        <v>1910</v>
      </c>
      <c r="B3449" t="s">
        <v>1910</v>
      </c>
      <c r="C3449" s="82" t="s">
        <v>1910</v>
      </c>
      <c r="D3449" s="83" t="s">
        <v>629</v>
      </c>
      <c r="E3449" s="251" t="s">
        <v>1951</v>
      </c>
      <c r="F3449" s="124" t="s">
        <v>620</v>
      </c>
      <c r="G3449" s="130"/>
      <c r="H3449" s="125" t="s">
        <v>733</v>
      </c>
      <c r="I3449" s="311" t="str">
        <f t="shared" si="136"/>
        <v>Pesado de Passageiros M3: I : Gasóleo : E6</v>
      </c>
      <c r="J3449" s="125"/>
      <c r="K3449" s="253">
        <v>2022</v>
      </c>
      <c r="L3449" s="85">
        <v>134.75</v>
      </c>
      <c r="M3449" s="85" t="s">
        <v>630</v>
      </c>
      <c r="N3449" s="128">
        <v>385</v>
      </c>
      <c r="O3449" s="128">
        <f t="shared" si="135"/>
        <v>0</v>
      </c>
      <c r="P3449" s="125" t="s">
        <v>4554</v>
      </c>
      <c r="Q3449" s="85" t="s">
        <v>47</v>
      </c>
      <c r="R3449" s="214" t="s">
        <v>1869</v>
      </c>
      <c r="S3449" s="214" t="s">
        <v>1861</v>
      </c>
      <c r="T3449" s="85" t="s">
        <v>4372</v>
      </c>
      <c r="U3449" s="422" t="s">
        <v>1953</v>
      </c>
      <c r="V3449" s="422" t="s">
        <v>2813</v>
      </c>
    </row>
    <row r="3450" spans="1:22" ht="15.75" thickBot="1" x14ac:dyDescent="0.3">
      <c r="A3450" t="s">
        <v>1910</v>
      </c>
      <c r="B3450" t="s">
        <v>1910</v>
      </c>
      <c r="C3450" s="82" t="s">
        <v>1910</v>
      </c>
      <c r="D3450" s="83" t="s">
        <v>629</v>
      </c>
      <c r="E3450" s="251" t="s">
        <v>1951</v>
      </c>
      <c r="F3450" s="124" t="s">
        <v>620</v>
      </c>
      <c r="G3450" s="130"/>
      <c r="H3450" s="125" t="s">
        <v>733</v>
      </c>
      <c r="I3450" s="311" t="str">
        <f t="shared" si="136"/>
        <v>Pesado de Passageiros M3: I : Gasóleo : E6</v>
      </c>
      <c r="J3450" s="125"/>
      <c r="K3450" s="253">
        <v>2022</v>
      </c>
      <c r="L3450" s="85">
        <v>457.80349999999999</v>
      </c>
      <c r="M3450" s="85" t="s">
        <v>630</v>
      </c>
      <c r="N3450" s="128">
        <v>1265</v>
      </c>
      <c r="O3450" s="128">
        <f t="shared" si="135"/>
        <v>0</v>
      </c>
      <c r="P3450" s="125" t="s">
        <v>4555</v>
      </c>
      <c r="Q3450" s="85" t="s">
        <v>47</v>
      </c>
      <c r="R3450" s="214" t="s">
        <v>1869</v>
      </c>
      <c r="S3450" s="214" t="s">
        <v>1861</v>
      </c>
      <c r="T3450" s="85" t="s">
        <v>3411</v>
      </c>
      <c r="U3450" s="422" t="s">
        <v>1953</v>
      </c>
      <c r="V3450" s="422" t="s">
        <v>2813</v>
      </c>
    </row>
    <row r="3451" spans="1:22" ht="15.75" thickBot="1" x14ac:dyDescent="0.3">
      <c r="A3451" t="s">
        <v>1910</v>
      </c>
      <c r="B3451" t="s">
        <v>1910</v>
      </c>
      <c r="C3451" s="82" t="s">
        <v>1910</v>
      </c>
      <c r="D3451" s="83" t="s">
        <v>629</v>
      </c>
      <c r="E3451" s="251" t="s">
        <v>1951</v>
      </c>
      <c r="F3451" s="124" t="s">
        <v>620</v>
      </c>
      <c r="G3451" s="130"/>
      <c r="H3451" s="125" t="s">
        <v>733</v>
      </c>
      <c r="I3451" s="311" t="str">
        <f t="shared" si="136"/>
        <v>Pesado de Passageiros M3: I : Gasóleo : E6</v>
      </c>
      <c r="J3451" s="125"/>
      <c r="K3451" s="253">
        <v>2022</v>
      </c>
      <c r="L3451" s="85">
        <v>516.27739999999994</v>
      </c>
      <c r="M3451" s="85" t="s">
        <v>630</v>
      </c>
      <c r="N3451" s="128">
        <v>1117</v>
      </c>
      <c r="O3451" s="128">
        <f t="shared" si="135"/>
        <v>0</v>
      </c>
      <c r="P3451" s="125" t="s">
        <v>4556</v>
      </c>
      <c r="Q3451" s="85" t="s">
        <v>47</v>
      </c>
      <c r="R3451" s="214" t="s">
        <v>1869</v>
      </c>
      <c r="S3451" s="214" t="s">
        <v>1861</v>
      </c>
      <c r="T3451" s="85" t="s">
        <v>4373</v>
      </c>
      <c r="U3451" s="422" t="s">
        <v>1953</v>
      </c>
      <c r="V3451" s="422" t="s">
        <v>2813</v>
      </c>
    </row>
    <row r="3452" spans="1:22" ht="15.75" thickBot="1" x14ac:dyDescent="0.3">
      <c r="A3452" t="s">
        <v>1910</v>
      </c>
      <c r="B3452" t="s">
        <v>1910</v>
      </c>
      <c r="C3452" s="82" t="s">
        <v>1910</v>
      </c>
      <c r="D3452" s="83" t="s">
        <v>629</v>
      </c>
      <c r="E3452" s="251" t="s">
        <v>1951</v>
      </c>
      <c r="F3452" s="124" t="s">
        <v>620</v>
      </c>
      <c r="G3452" s="130"/>
      <c r="H3452" s="125" t="s">
        <v>733</v>
      </c>
      <c r="I3452" s="311" t="str">
        <f t="shared" si="136"/>
        <v>Pesado de Passageiros M3: I : Gasóleo : E6</v>
      </c>
      <c r="J3452" s="125"/>
      <c r="K3452" s="253">
        <v>2022</v>
      </c>
      <c r="L3452" s="85">
        <v>147.35</v>
      </c>
      <c r="M3452" s="85" t="s">
        <v>630</v>
      </c>
      <c r="N3452" s="128">
        <v>421</v>
      </c>
      <c r="O3452" s="128">
        <f t="shared" si="135"/>
        <v>0</v>
      </c>
      <c r="P3452" s="125" t="s">
        <v>4557</v>
      </c>
      <c r="Q3452" s="85" t="s">
        <v>47</v>
      </c>
      <c r="R3452" s="214" t="s">
        <v>1869</v>
      </c>
      <c r="S3452" s="214" t="s">
        <v>1861</v>
      </c>
      <c r="T3452" s="85" t="s">
        <v>4374</v>
      </c>
      <c r="U3452" s="422" t="s">
        <v>1953</v>
      </c>
      <c r="V3452" s="422" t="s">
        <v>2813</v>
      </c>
    </row>
    <row r="3453" spans="1:22" ht="15.75" thickBot="1" x14ac:dyDescent="0.3">
      <c r="A3453" t="s">
        <v>1910</v>
      </c>
      <c r="B3453" t="s">
        <v>1910</v>
      </c>
      <c r="C3453" s="82" t="s">
        <v>1910</v>
      </c>
      <c r="D3453" s="83" t="s">
        <v>629</v>
      </c>
      <c r="E3453" s="251" t="s">
        <v>1951</v>
      </c>
      <c r="F3453" s="124" t="s">
        <v>620</v>
      </c>
      <c r="G3453" s="130"/>
      <c r="H3453" s="125" t="s">
        <v>733</v>
      </c>
      <c r="I3453" s="311" t="str">
        <f t="shared" si="136"/>
        <v>Pesado de Passageiros M3: I : Gasóleo : E6</v>
      </c>
      <c r="J3453" s="125"/>
      <c r="K3453" s="253">
        <v>2022</v>
      </c>
      <c r="L3453" s="85">
        <v>49.7</v>
      </c>
      <c r="M3453" s="85" t="s">
        <v>630</v>
      </c>
      <c r="N3453" s="128">
        <v>142</v>
      </c>
      <c r="O3453" s="128">
        <f t="shared" si="135"/>
        <v>0</v>
      </c>
      <c r="P3453" s="125" t="s">
        <v>4558</v>
      </c>
      <c r="Q3453" s="85" t="s">
        <v>47</v>
      </c>
      <c r="R3453" s="214" t="s">
        <v>1869</v>
      </c>
      <c r="S3453" s="214" t="s">
        <v>1861</v>
      </c>
      <c r="T3453" s="85" t="s">
        <v>4375</v>
      </c>
      <c r="U3453" s="422" t="s">
        <v>1953</v>
      </c>
      <c r="V3453" s="422" t="s">
        <v>2813</v>
      </c>
    </row>
    <row r="3454" spans="1:22" ht="15.75" thickBot="1" x14ac:dyDescent="0.3">
      <c r="A3454" t="s">
        <v>1910</v>
      </c>
      <c r="B3454" t="s">
        <v>1910</v>
      </c>
      <c r="C3454" s="82" t="s">
        <v>1910</v>
      </c>
      <c r="D3454" s="83" t="s">
        <v>629</v>
      </c>
      <c r="E3454" s="251" t="s">
        <v>1951</v>
      </c>
      <c r="F3454" s="124" t="s">
        <v>620</v>
      </c>
      <c r="G3454" s="130"/>
      <c r="H3454" s="125" t="s">
        <v>733</v>
      </c>
      <c r="I3454" s="311" t="str">
        <f t="shared" si="136"/>
        <v>Pesado de Passageiros M3: I : Gasóleo : E6</v>
      </c>
      <c r="J3454" s="125"/>
      <c r="K3454" s="253">
        <v>2022</v>
      </c>
      <c r="L3454" s="85">
        <v>267.77519999999998</v>
      </c>
      <c r="M3454" s="85" t="s">
        <v>630</v>
      </c>
      <c r="N3454" s="128">
        <v>588</v>
      </c>
      <c r="O3454" s="128">
        <f t="shared" si="135"/>
        <v>0</v>
      </c>
      <c r="P3454" s="125" t="s">
        <v>4559</v>
      </c>
      <c r="Q3454" s="85" t="s">
        <v>47</v>
      </c>
      <c r="R3454" s="214" t="s">
        <v>1869</v>
      </c>
      <c r="S3454" s="214" t="s">
        <v>1861</v>
      </c>
      <c r="T3454" s="85" t="s">
        <v>4376</v>
      </c>
      <c r="U3454" s="422" t="s">
        <v>1953</v>
      </c>
      <c r="V3454" s="422" t="s">
        <v>2813</v>
      </c>
    </row>
    <row r="3455" spans="1:22" ht="15.75" thickBot="1" x14ac:dyDescent="0.3">
      <c r="A3455" t="s">
        <v>1910</v>
      </c>
      <c r="B3455" t="s">
        <v>1910</v>
      </c>
      <c r="C3455" s="82" t="s">
        <v>1910</v>
      </c>
      <c r="D3455" s="83" t="s">
        <v>629</v>
      </c>
      <c r="E3455" s="251" t="s">
        <v>1951</v>
      </c>
      <c r="F3455" s="124" t="s">
        <v>620</v>
      </c>
      <c r="G3455" s="130"/>
      <c r="H3455" s="125" t="s">
        <v>733</v>
      </c>
      <c r="I3455" s="311" t="str">
        <f t="shared" si="136"/>
        <v>Pesado de Passageiros M3: I : Gasóleo : E6</v>
      </c>
      <c r="J3455" s="125"/>
      <c r="K3455" s="253">
        <v>2022</v>
      </c>
      <c r="L3455" s="85">
        <v>44.1</v>
      </c>
      <c r="M3455" s="85" t="s">
        <v>630</v>
      </c>
      <c r="N3455" s="128">
        <v>105</v>
      </c>
      <c r="O3455" s="128">
        <f t="shared" si="135"/>
        <v>0</v>
      </c>
      <c r="P3455" s="125" t="s">
        <v>4560</v>
      </c>
      <c r="Q3455" s="85" t="s">
        <v>47</v>
      </c>
      <c r="R3455" s="214" t="s">
        <v>1869</v>
      </c>
      <c r="S3455" s="214" t="s">
        <v>1861</v>
      </c>
      <c r="T3455" s="85" t="s">
        <v>4377</v>
      </c>
      <c r="U3455" s="422" t="s">
        <v>1953</v>
      </c>
      <c r="V3455" s="422" t="s">
        <v>2813</v>
      </c>
    </row>
    <row r="3456" spans="1:22" ht="15.75" thickBot="1" x14ac:dyDescent="0.3">
      <c r="A3456" t="s">
        <v>1910</v>
      </c>
      <c r="B3456" t="s">
        <v>1910</v>
      </c>
      <c r="C3456" s="82" t="s">
        <v>1910</v>
      </c>
      <c r="D3456" s="83" t="s">
        <v>629</v>
      </c>
      <c r="E3456" s="251" t="s">
        <v>1951</v>
      </c>
      <c r="F3456" s="124" t="s">
        <v>620</v>
      </c>
      <c r="G3456" s="130"/>
      <c r="H3456" s="125" t="s">
        <v>733</v>
      </c>
      <c r="I3456" s="311" t="str">
        <f t="shared" si="136"/>
        <v>Pesado de Passageiros M3: I : Gasóleo : E6</v>
      </c>
      <c r="J3456" s="125"/>
      <c r="K3456" s="253">
        <v>2022</v>
      </c>
      <c r="L3456" s="85">
        <v>533.13900000000001</v>
      </c>
      <c r="M3456" s="85" t="s">
        <v>630</v>
      </c>
      <c r="N3456" s="128">
        <v>1065</v>
      </c>
      <c r="O3456" s="128">
        <f t="shared" si="135"/>
        <v>0</v>
      </c>
      <c r="P3456" s="125" t="s">
        <v>4561</v>
      </c>
      <c r="Q3456" s="85" t="s">
        <v>47</v>
      </c>
      <c r="R3456" s="214" t="s">
        <v>1869</v>
      </c>
      <c r="S3456" s="214" t="s">
        <v>1861</v>
      </c>
      <c r="T3456" s="85" t="s">
        <v>4378</v>
      </c>
      <c r="U3456" s="422" t="s">
        <v>1953</v>
      </c>
      <c r="V3456" s="422" t="s">
        <v>2813</v>
      </c>
    </row>
    <row r="3457" spans="1:22" ht="15.75" thickBot="1" x14ac:dyDescent="0.3">
      <c r="A3457" t="s">
        <v>1910</v>
      </c>
      <c r="B3457" t="s">
        <v>1910</v>
      </c>
      <c r="C3457" s="82" t="s">
        <v>1910</v>
      </c>
      <c r="D3457" s="83" t="s">
        <v>629</v>
      </c>
      <c r="E3457" s="251" t="s">
        <v>1951</v>
      </c>
      <c r="F3457" s="124" t="s">
        <v>620</v>
      </c>
      <c r="G3457" s="130"/>
      <c r="H3457" s="125" t="s">
        <v>733</v>
      </c>
      <c r="I3457" s="311" t="str">
        <f t="shared" si="136"/>
        <v>Pesado de Passageiros M3: I : Gasóleo : E6</v>
      </c>
      <c r="J3457" s="125"/>
      <c r="K3457" s="253">
        <v>2022</v>
      </c>
      <c r="L3457" s="85">
        <v>304.85000000000002</v>
      </c>
      <c r="M3457" s="85" t="s">
        <v>630</v>
      </c>
      <c r="N3457" s="128">
        <v>871</v>
      </c>
      <c r="O3457" s="128">
        <f t="shared" si="135"/>
        <v>0</v>
      </c>
      <c r="P3457" s="125" t="s">
        <v>4562</v>
      </c>
      <c r="Q3457" s="85" t="s">
        <v>47</v>
      </c>
      <c r="R3457" s="214" t="s">
        <v>1869</v>
      </c>
      <c r="S3457" s="214" t="s">
        <v>1861</v>
      </c>
      <c r="T3457" s="85" t="s">
        <v>4379</v>
      </c>
      <c r="U3457" s="422" t="s">
        <v>1953</v>
      </c>
      <c r="V3457" s="422" t="s">
        <v>2813</v>
      </c>
    </row>
    <row r="3458" spans="1:22" ht="15.75" thickBot="1" x14ac:dyDescent="0.3">
      <c r="A3458" t="s">
        <v>1910</v>
      </c>
      <c r="B3458" t="s">
        <v>1910</v>
      </c>
      <c r="C3458" s="82" t="s">
        <v>1910</v>
      </c>
      <c r="D3458" s="83" t="s">
        <v>629</v>
      </c>
      <c r="E3458" s="251" t="s">
        <v>1951</v>
      </c>
      <c r="F3458" s="124" t="s">
        <v>620</v>
      </c>
      <c r="G3458" s="130"/>
      <c r="H3458" s="125" t="s">
        <v>733</v>
      </c>
      <c r="I3458" s="311" t="str">
        <f t="shared" si="136"/>
        <v>Pesado de Passageiros M3: I : Gasóleo : E6</v>
      </c>
      <c r="J3458" s="125"/>
      <c r="K3458" s="253">
        <v>2022</v>
      </c>
      <c r="L3458" s="85">
        <v>84.218799999999987</v>
      </c>
      <c r="M3458" s="85" t="s">
        <v>630</v>
      </c>
      <c r="N3458" s="128">
        <v>311</v>
      </c>
      <c r="O3458" s="128">
        <f t="shared" si="135"/>
        <v>0</v>
      </c>
      <c r="P3458" s="125" t="s">
        <v>4563</v>
      </c>
      <c r="Q3458" s="85" t="s">
        <v>47</v>
      </c>
      <c r="R3458" s="214" t="s">
        <v>1869</v>
      </c>
      <c r="S3458" s="214" t="s">
        <v>1861</v>
      </c>
      <c r="T3458" s="85" t="s">
        <v>3407</v>
      </c>
      <c r="U3458" s="422" t="s">
        <v>1953</v>
      </c>
      <c r="V3458" s="422" t="s">
        <v>2813</v>
      </c>
    </row>
    <row r="3459" spans="1:22" ht="15.75" thickBot="1" x14ac:dyDescent="0.3">
      <c r="A3459" t="s">
        <v>1910</v>
      </c>
      <c r="B3459" t="s">
        <v>1910</v>
      </c>
      <c r="C3459" s="82" t="s">
        <v>1910</v>
      </c>
      <c r="D3459" s="83" t="s">
        <v>629</v>
      </c>
      <c r="E3459" s="251" t="s">
        <v>1951</v>
      </c>
      <c r="F3459" s="124" t="s">
        <v>620</v>
      </c>
      <c r="G3459" s="130"/>
      <c r="H3459" s="125" t="s">
        <v>733</v>
      </c>
      <c r="I3459" s="311" t="str">
        <f t="shared" si="136"/>
        <v>Pesado de Passageiros M3: I : Gasóleo : E6</v>
      </c>
      <c r="J3459" s="125"/>
      <c r="K3459" s="253">
        <v>2022</v>
      </c>
      <c r="L3459" s="85">
        <v>462.99990000000003</v>
      </c>
      <c r="M3459" s="85" t="s">
        <v>630</v>
      </c>
      <c r="N3459" s="128">
        <v>811</v>
      </c>
      <c r="O3459" s="128">
        <f t="shared" si="135"/>
        <v>0</v>
      </c>
      <c r="P3459" s="125" t="s">
        <v>4564</v>
      </c>
      <c r="Q3459" s="85" t="s">
        <v>47</v>
      </c>
      <c r="R3459" s="214" t="s">
        <v>1869</v>
      </c>
      <c r="S3459" s="214" t="s">
        <v>1861</v>
      </c>
      <c r="T3459" s="85" t="s">
        <v>3404</v>
      </c>
      <c r="U3459" s="422" t="s">
        <v>1953</v>
      </c>
      <c r="V3459" s="422" t="s">
        <v>2813</v>
      </c>
    </row>
    <row r="3460" spans="1:22" ht="15.75" thickBot="1" x14ac:dyDescent="0.3">
      <c r="A3460" t="s">
        <v>1910</v>
      </c>
      <c r="B3460" t="s">
        <v>1910</v>
      </c>
      <c r="C3460" s="82" t="s">
        <v>1910</v>
      </c>
      <c r="D3460" s="83" t="s">
        <v>629</v>
      </c>
      <c r="E3460" s="251" t="s">
        <v>1951</v>
      </c>
      <c r="F3460" s="124" t="s">
        <v>620</v>
      </c>
      <c r="G3460" s="130"/>
      <c r="H3460" s="125" t="s">
        <v>733</v>
      </c>
      <c r="I3460" s="311" t="str">
        <f t="shared" si="136"/>
        <v>Pesado de Passageiros M3: I : Gasóleo : E6</v>
      </c>
      <c r="J3460" s="125"/>
      <c r="K3460" s="253">
        <v>2022</v>
      </c>
      <c r="L3460" s="85">
        <v>224.84280000000001</v>
      </c>
      <c r="M3460" s="85" t="s">
        <v>630</v>
      </c>
      <c r="N3460" s="128">
        <v>497</v>
      </c>
      <c r="O3460" s="128">
        <f t="shared" si="135"/>
        <v>0</v>
      </c>
      <c r="P3460" s="125" t="s">
        <v>4565</v>
      </c>
      <c r="Q3460" s="85" t="s">
        <v>47</v>
      </c>
      <c r="R3460" s="214" t="s">
        <v>1869</v>
      </c>
      <c r="S3460" s="214" t="s">
        <v>1861</v>
      </c>
      <c r="T3460" s="85" t="s">
        <v>4380</v>
      </c>
      <c r="U3460" s="422" t="s">
        <v>1953</v>
      </c>
      <c r="V3460" s="422" t="s">
        <v>2813</v>
      </c>
    </row>
    <row r="3461" spans="1:22" ht="15.75" thickBot="1" x14ac:dyDescent="0.3">
      <c r="A3461" t="s">
        <v>1910</v>
      </c>
      <c r="B3461" t="s">
        <v>1910</v>
      </c>
      <c r="C3461" s="82" t="s">
        <v>1910</v>
      </c>
      <c r="D3461" s="83" t="s">
        <v>629</v>
      </c>
      <c r="E3461" s="251" t="s">
        <v>1951</v>
      </c>
      <c r="F3461" s="124" t="s">
        <v>620</v>
      </c>
      <c r="G3461" s="130"/>
      <c r="H3461" s="125" t="s">
        <v>733</v>
      </c>
      <c r="I3461" s="311" t="str">
        <f t="shared" si="136"/>
        <v>Pesado de Passageiros M3: I : Gasóleo : E6</v>
      </c>
      <c r="J3461" s="125"/>
      <c r="K3461" s="253">
        <v>2022</v>
      </c>
      <c r="L3461" s="85">
        <v>249.2</v>
      </c>
      <c r="M3461" s="85" t="s">
        <v>630</v>
      </c>
      <c r="N3461" s="128">
        <v>712</v>
      </c>
      <c r="O3461" s="128">
        <f t="shared" si="135"/>
        <v>0</v>
      </c>
      <c r="P3461" s="125" t="s">
        <v>4566</v>
      </c>
      <c r="Q3461" s="85" t="s">
        <v>47</v>
      </c>
      <c r="R3461" s="214" t="s">
        <v>1869</v>
      </c>
      <c r="S3461" s="214" t="s">
        <v>1861</v>
      </c>
      <c r="T3461" s="85" t="s">
        <v>4381</v>
      </c>
      <c r="U3461" s="422" t="s">
        <v>1953</v>
      </c>
      <c r="V3461" s="422" t="s">
        <v>2813</v>
      </c>
    </row>
    <row r="3462" spans="1:22" ht="15.75" thickBot="1" x14ac:dyDescent="0.3">
      <c r="A3462" t="s">
        <v>1910</v>
      </c>
      <c r="B3462" t="s">
        <v>1910</v>
      </c>
      <c r="C3462" s="82" t="s">
        <v>1910</v>
      </c>
      <c r="D3462" s="83" t="s">
        <v>629</v>
      </c>
      <c r="E3462" s="251" t="s">
        <v>1951</v>
      </c>
      <c r="F3462" s="124" t="s">
        <v>620</v>
      </c>
      <c r="G3462" s="130"/>
      <c r="H3462" s="125" t="s">
        <v>733</v>
      </c>
      <c r="I3462" s="311" t="str">
        <f t="shared" si="136"/>
        <v>Pesado de Passageiros M3: I : Gasóleo : E6</v>
      </c>
      <c r="J3462" s="125"/>
      <c r="K3462" s="253">
        <v>2022</v>
      </c>
      <c r="L3462" s="85">
        <v>594.70950000000005</v>
      </c>
      <c r="M3462" s="85" t="s">
        <v>630</v>
      </c>
      <c r="N3462" s="128">
        <v>1355</v>
      </c>
      <c r="O3462" s="128">
        <f t="shared" si="135"/>
        <v>0</v>
      </c>
      <c r="P3462" s="125" t="s">
        <v>4567</v>
      </c>
      <c r="Q3462" s="85" t="s">
        <v>47</v>
      </c>
      <c r="R3462" s="214" t="s">
        <v>1869</v>
      </c>
      <c r="S3462" s="214" t="s">
        <v>1861</v>
      </c>
      <c r="T3462" s="85" t="s">
        <v>4382</v>
      </c>
      <c r="U3462" s="422" t="s">
        <v>1953</v>
      </c>
      <c r="V3462" s="422" t="s">
        <v>2813</v>
      </c>
    </row>
    <row r="3463" spans="1:22" ht="15.75" thickBot="1" x14ac:dyDescent="0.3">
      <c r="A3463" t="s">
        <v>1910</v>
      </c>
      <c r="B3463" t="s">
        <v>1910</v>
      </c>
      <c r="C3463" s="82" t="s">
        <v>1910</v>
      </c>
      <c r="D3463" s="83" t="s">
        <v>629</v>
      </c>
      <c r="E3463" s="251" t="s">
        <v>1951</v>
      </c>
      <c r="F3463" s="124" t="s">
        <v>620</v>
      </c>
      <c r="G3463" s="130"/>
      <c r="H3463" s="125" t="s">
        <v>733</v>
      </c>
      <c r="I3463" s="311" t="str">
        <f t="shared" si="136"/>
        <v>Pesado de Passageiros M3: I : Gasóleo : E6</v>
      </c>
      <c r="J3463" s="125"/>
      <c r="K3463" s="253">
        <v>2022</v>
      </c>
      <c r="L3463" s="85">
        <v>494.11800000000005</v>
      </c>
      <c r="M3463" s="85" t="s">
        <v>630</v>
      </c>
      <c r="N3463" s="128">
        <v>1455</v>
      </c>
      <c r="O3463" s="128">
        <f t="shared" si="135"/>
        <v>0</v>
      </c>
      <c r="P3463" s="125" t="s">
        <v>4568</v>
      </c>
      <c r="Q3463" s="85" t="s">
        <v>47</v>
      </c>
      <c r="R3463" s="214" t="s">
        <v>1869</v>
      </c>
      <c r="S3463" s="214" t="s">
        <v>1861</v>
      </c>
      <c r="T3463" s="85" t="s">
        <v>4383</v>
      </c>
      <c r="U3463" s="422" t="s">
        <v>1953</v>
      </c>
      <c r="V3463" s="422" t="s">
        <v>2813</v>
      </c>
    </row>
    <row r="3464" spans="1:22" ht="15.75" thickBot="1" x14ac:dyDescent="0.3">
      <c r="A3464" t="s">
        <v>1910</v>
      </c>
      <c r="B3464" t="s">
        <v>1910</v>
      </c>
      <c r="C3464" s="82" t="s">
        <v>1910</v>
      </c>
      <c r="D3464" s="83" t="s">
        <v>629</v>
      </c>
      <c r="E3464" s="251" t="s">
        <v>1951</v>
      </c>
      <c r="F3464" s="124" t="s">
        <v>620</v>
      </c>
      <c r="G3464" s="130"/>
      <c r="H3464" s="125" t="s">
        <v>733</v>
      </c>
      <c r="I3464" s="311" t="str">
        <f t="shared" si="136"/>
        <v>Pesado de Passageiros M3: I : Gasóleo : E6</v>
      </c>
      <c r="J3464" s="125"/>
      <c r="K3464" s="253">
        <v>2022</v>
      </c>
      <c r="L3464" s="242">
        <v>51.039999999999992</v>
      </c>
      <c r="M3464" s="85" t="s">
        <v>630</v>
      </c>
      <c r="N3464" s="128">
        <v>145</v>
      </c>
      <c r="O3464" s="128">
        <f t="shared" si="135"/>
        <v>0</v>
      </c>
      <c r="P3464" s="125" t="s">
        <v>4569</v>
      </c>
      <c r="Q3464" s="85" t="s">
        <v>47</v>
      </c>
      <c r="R3464" s="214" t="s">
        <v>1869</v>
      </c>
      <c r="S3464" s="214" t="s">
        <v>1861</v>
      </c>
      <c r="T3464" s="85" t="s">
        <v>4384</v>
      </c>
      <c r="U3464" s="422" t="s">
        <v>1953</v>
      </c>
      <c r="V3464" s="422" t="s">
        <v>2813</v>
      </c>
    </row>
    <row r="3465" spans="1:22" ht="15.75" thickBot="1" x14ac:dyDescent="0.3">
      <c r="A3465" t="s">
        <v>1910</v>
      </c>
      <c r="B3465" t="s">
        <v>1910</v>
      </c>
      <c r="C3465" s="82" t="s">
        <v>1910</v>
      </c>
      <c r="D3465" s="83" t="s">
        <v>629</v>
      </c>
      <c r="E3465" s="251" t="s">
        <v>1951</v>
      </c>
      <c r="F3465" s="124" t="s">
        <v>620</v>
      </c>
      <c r="G3465" s="130"/>
      <c r="H3465" s="125" t="s">
        <v>733</v>
      </c>
      <c r="I3465" s="311" t="str">
        <f t="shared" si="136"/>
        <v>Pesado de Passageiros M3: I : Gasóleo : E6</v>
      </c>
      <c r="J3465" s="125"/>
      <c r="K3465" s="253">
        <v>2022</v>
      </c>
      <c r="L3465" s="85">
        <v>163.80000000000001</v>
      </c>
      <c r="M3465" s="85" t="s">
        <v>630</v>
      </c>
      <c r="N3465" s="128">
        <v>468</v>
      </c>
      <c r="O3465" s="128">
        <f t="shared" si="135"/>
        <v>0</v>
      </c>
      <c r="P3465" s="125" t="s">
        <v>4569</v>
      </c>
      <c r="Q3465" s="85" t="s">
        <v>47</v>
      </c>
      <c r="R3465" s="214" t="s">
        <v>1869</v>
      </c>
      <c r="S3465" s="214" t="s">
        <v>1861</v>
      </c>
      <c r="T3465" s="85" t="s">
        <v>4384</v>
      </c>
      <c r="U3465" s="422" t="s">
        <v>1953</v>
      </c>
      <c r="V3465" s="422" t="s">
        <v>2813</v>
      </c>
    </row>
    <row r="3466" spans="1:22" ht="15.75" thickBot="1" x14ac:dyDescent="0.3">
      <c r="A3466" t="s">
        <v>1910</v>
      </c>
      <c r="B3466" t="s">
        <v>1910</v>
      </c>
      <c r="C3466" s="82" t="s">
        <v>1910</v>
      </c>
      <c r="D3466" s="83" t="s">
        <v>629</v>
      </c>
      <c r="E3466" s="251" t="s">
        <v>1951</v>
      </c>
      <c r="F3466" s="124" t="s">
        <v>620</v>
      </c>
      <c r="G3466" s="130"/>
      <c r="H3466" s="125" t="s">
        <v>733</v>
      </c>
      <c r="I3466" s="311" t="str">
        <f t="shared" si="136"/>
        <v>Pesado de Passageiros M3: I : Gasóleo : E6</v>
      </c>
      <c r="J3466" s="125"/>
      <c r="K3466" s="253">
        <v>2022</v>
      </c>
      <c r="L3466" s="242">
        <v>52.299999999999983</v>
      </c>
      <c r="M3466" s="85" t="s">
        <v>630</v>
      </c>
      <c r="N3466" s="128">
        <v>149</v>
      </c>
      <c r="O3466" s="128">
        <f t="shared" si="135"/>
        <v>0</v>
      </c>
      <c r="P3466" s="125" t="s">
        <v>4570</v>
      </c>
      <c r="Q3466" s="85" t="s">
        <v>47</v>
      </c>
      <c r="R3466" s="214" t="s">
        <v>1869</v>
      </c>
      <c r="S3466" s="214" t="s">
        <v>1861</v>
      </c>
      <c r="T3466" s="85" t="s">
        <v>4385</v>
      </c>
      <c r="U3466" s="422" t="s">
        <v>1953</v>
      </c>
      <c r="V3466" s="422" t="s">
        <v>2813</v>
      </c>
    </row>
    <row r="3467" spans="1:22" ht="15.75" thickBot="1" x14ac:dyDescent="0.3">
      <c r="A3467" t="s">
        <v>1910</v>
      </c>
      <c r="B3467" t="s">
        <v>1910</v>
      </c>
      <c r="C3467" s="82" t="s">
        <v>1910</v>
      </c>
      <c r="D3467" s="83" t="s">
        <v>629</v>
      </c>
      <c r="E3467" s="251" t="s">
        <v>1951</v>
      </c>
      <c r="F3467" s="124" t="s">
        <v>620</v>
      </c>
      <c r="G3467" s="130"/>
      <c r="H3467" s="125" t="s">
        <v>733</v>
      </c>
      <c r="I3467" s="311" t="str">
        <f t="shared" si="136"/>
        <v>Pesado de Passageiros M3: I : Gasóleo : E6</v>
      </c>
      <c r="J3467" s="125"/>
      <c r="K3467" s="253">
        <v>2022</v>
      </c>
      <c r="L3467" s="85">
        <v>255.85</v>
      </c>
      <c r="M3467" s="85" t="s">
        <v>630</v>
      </c>
      <c r="N3467" s="128">
        <v>731</v>
      </c>
      <c r="O3467" s="128">
        <f t="shared" si="135"/>
        <v>0</v>
      </c>
      <c r="P3467" s="125" t="s">
        <v>4570</v>
      </c>
      <c r="Q3467" s="85" t="s">
        <v>47</v>
      </c>
      <c r="R3467" s="214" t="s">
        <v>1869</v>
      </c>
      <c r="S3467" s="214" t="s">
        <v>1861</v>
      </c>
      <c r="T3467" s="85" t="s">
        <v>4385</v>
      </c>
      <c r="U3467" s="422" t="s">
        <v>1953</v>
      </c>
      <c r="V3467" s="422" t="s">
        <v>2813</v>
      </c>
    </row>
    <row r="3468" spans="1:22" ht="15.75" thickBot="1" x14ac:dyDescent="0.3">
      <c r="A3468" t="s">
        <v>1910</v>
      </c>
      <c r="B3468" t="s">
        <v>1910</v>
      </c>
      <c r="C3468" s="82" t="s">
        <v>1910</v>
      </c>
      <c r="D3468" s="83" t="s">
        <v>629</v>
      </c>
      <c r="E3468" s="251" t="s">
        <v>1951</v>
      </c>
      <c r="F3468" s="124" t="s">
        <v>620</v>
      </c>
      <c r="G3468" s="130"/>
      <c r="H3468" s="125" t="s">
        <v>733</v>
      </c>
      <c r="I3468" s="311" t="str">
        <f t="shared" si="136"/>
        <v>Pesado de Passageiros M3: I : Gasóleo : E6</v>
      </c>
      <c r="J3468" s="125"/>
      <c r="K3468" s="253">
        <v>2022</v>
      </c>
      <c r="L3468" s="85">
        <v>433.65</v>
      </c>
      <c r="M3468" s="85" t="s">
        <v>630</v>
      </c>
      <c r="N3468" s="128">
        <v>1239</v>
      </c>
      <c r="O3468" s="128">
        <f t="shared" si="135"/>
        <v>0</v>
      </c>
      <c r="P3468" s="125" t="s">
        <v>4571</v>
      </c>
      <c r="Q3468" s="85" t="s">
        <v>47</v>
      </c>
      <c r="R3468" s="214" t="s">
        <v>1869</v>
      </c>
      <c r="S3468" s="214" t="s">
        <v>1861</v>
      </c>
      <c r="T3468" s="85" t="s">
        <v>3412</v>
      </c>
      <c r="U3468" s="422" t="s">
        <v>1953</v>
      </c>
      <c r="V3468" s="422" t="s">
        <v>2813</v>
      </c>
    </row>
    <row r="3469" spans="1:22" ht="15.75" thickBot="1" x14ac:dyDescent="0.3">
      <c r="A3469" t="s">
        <v>1910</v>
      </c>
      <c r="B3469" t="s">
        <v>1910</v>
      </c>
      <c r="C3469" s="82" t="s">
        <v>1910</v>
      </c>
      <c r="D3469" s="83" t="s">
        <v>629</v>
      </c>
      <c r="E3469" s="251" t="s">
        <v>1951</v>
      </c>
      <c r="F3469" s="124" t="s">
        <v>620</v>
      </c>
      <c r="G3469" s="130"/>
      <c r="H3469" s="125" t="s">
        <v>733</v>
      </c>
      <c r="I3469" s="311" t="str">
        <f t="shared" si="136"/>
        <v>Pesado de Passageiros M3: I : Gasóleo : E6</v>
      </c>
      <c r="J3469" s="125"/>
      <c r="K3469" s="253">
        <v>2022</v>
      </c>
      <c r="L3469" s="85">
        <v>154.35</v>
      </c>
      <c r="M3469" s="85" t="s">
        <v>630</v>
      </c>
      <c r="N3469" s="128">
        <v>441</v>
      </c>
      <c r="O3469" s="128">
        <f t="shared" si="135"/>
        <v>0</v>
      </c>
      <c r="P3469" s="125" t="s">
        <v>4572</v>
      </c>
      <c r="Q3469" s="85" t="s">
        <v>47</v>
      </c>
      <c r="R3469" s="214" t="s">
        <v>1869</v>
      </c>
      <c r="S3469" s="214" t="s">
        <v>1861</v>
      </c>
      <c r="T3469" s="85" t="s">
        <v>4386</v>
      </c>
      <c r="U3469" s="422" t="s">
        <v>1953</v>
      </c>
      <c r="V3469" s="422" t="s">
        <v>2813</v>
      </c>
    </row>
    <row r="3470" spans="1:22" ht="15.75" thickBot="1" x14ac:dyDescent="0.3">
      <c r="A3470" t="s">
        <v>1910</v>
      </c>
      <c r="B3470" t="s">
        <v>1910</v>
      </c>
      <c r="C3470" s="82" t="s">
        <v>1910</v>
      </c>
      <c r="D3470" s="83" t="s">
        <v>629</v>
      </c>
      <c r="E3470" s="251" t="s">
        <v>1951</v>
      </c>
      <c r="F3470" s="124" t="s">
        <v>620</v>
      </c>
      <c r="G3470" s="130"/>
      <c r="H3470" s="125" t="s">
        <v>733</v>
      </c>
      <c r="I3470" s="311" t="str">
        <f t="shared" si="136"/>
        <v>Pesado de Passageiros M3: I : Gasóleo : E6</v>
      </c>
      <c r="J3470" s="125"/>
      <c r="K3470" s="253">
        <v>2022</v>
      </c>
      <c r="L3470" s="85">
        <v>445.7079</v>
      </c>
      <c r="M3470" s="85" t="s">
        <v>630</v>
      </c>
      <c r="N3470" s="128">
        <v>1161</v>
      </c>
      <c r="O3470" s="128">
        <f t="shared" si="135"/>
        <v>0</v>
      </c>
      <c r="P3470" s="125" t="s">
        <v>4573</v>
      </c>
      <c r="Q3470" s="85" t="s">
        <v>47</v>
      </c>
      <c r="R3470" s="214" t="s">
        <v>1869</v>
      </c>
      <c r="S3470" s="214" t="s">
        <v>1861</v>
      </c>
      <c r="T3470" s="85" t="s">
        <v>4387</v>
      </c>
      <c r="U3470" s="422" t="s">
        <v>1953</v>
      </c>
      <c r="V3470" s="422" t="s">
        <v>2813</v>
      </c>
    </row>
    <row r="3471" spans="1:22" ht="15.75" thickBot="1" x14ac:dyDescent="0.3">
      <c r="A3471" t="s">
        <v>1910</v>
      </c>
      <c r="B3471" t="s">
        <v>1910</v>
      </c>
      <c r="C3471" s="82" t="s">
        <v>1910</v>
      </c>
      <c r="D3471" s="83" t="s">
        <v>629</v>
      </c>
      <c r="E3471" s="251" t="s">
        <v>1951</v>
      </c>
      <c r="F3471" s="124" t="s">
        <v>620</v>
      </c>
      <c r="G3471" s="130"/>
      <c r="H3471" s="125" t="s">
        <v>733</v>
      </c>
      <c r="I3471" s="311" t="str">
        <f t="shared" si="136"/>
        <v>Pesado de Passageiros M3: I : Gasóleo : E6</v>
      </c>
      <c r="J3471" s="125"/>
      <c r="K3471" s="253">
        <v>2022</v>
      </c>
      <c r="L3471" s="85">
        <v>192.8</v>
      </c>
      <c r="M3471" s="85" t="s">
        <v>630</v>
      </c>
      <c r="N3471" s="128">
        <v>482</v>
      </c>
      <c r="O3471" s="128">
        <f t="shared" si="135"/>
        <v>0</v>
      </c>
      <c r="P3471" s="125" t="s">
        <v>4574</v>
      </c>
      <c r="Q3471" s="85" t="s">
        <v>47</v>
      </c>
      <c r="R3471" s="214" t="s">
        <v>1869</v>
      </c>
      <c r="S3471" s="214" t="s">
        <v>1861</v>
      </c>
      <c r="T3471" s="85" t="s">
        <v>3403</v>
      </c>
      <c r="U3471" s="422" t="s">
        <v>1953</v>
      </c>
      <c r="V3471" s="422" t="s">
        <v>2813</v>
      </c>
    </row>
    <row r="3472" spans="1:22" ht="15.75" thickBot="1" x14ac:dyDescent="0.3">
      <c r="A3472" t="s">
        <v>1910</v>
      </c>
      <c r="B3472" t="s">
        <v>1910</v>
      </c>
      <c r="C3472" s="82" t="s">
        <v>1910</v>
      </c>
      <c r="D3472" s="83" t="s">
        <v>629</v>
      </c>
      <c r="E3472" s="251" t="s">
        <v>1951</v>
      </c>
      <c r="F3472" s="124" t="s">
        <v>620</v>
      </c>
      <c r="G3472" s="130"/>
      <c r="H3472" s="125" t="s">
        <v>733</v>
      </c>
      <c r="I3472" s="311" t="str">
        <f t="shared" si="136"/>
        <v>Pesado de Passageiros M3: I : Gasóleo : E6</v>
      </c>
      <c r="J3472" s="125"/>
      <c r="K3472" s="253">
        <v>2022</v>
      </c>
      <c r="L3472" s="85">
        <v>591.971</v>
      </c>
      <c r="M3472" s="85" t="s">
        <v>630</v>
      </c>
      <c r="N3472" s="128">
        <v>1613</v>
      </c>
      <c r="O3472" s="128">
        <f t="shared" si="135"/>
        <v>0</v>
      </c>
      <c r="P3472" s="125" t="s">
        <v>4575</v>
      </c>
      <c r="Q3472" s="85" t="s">
        <v>47</v>
      </c>
      <c r="R3472" s="214" t="s">
        <v>1869</v>
      </c>
      <c r="S3472" s="214" t="s">
        <v>1861</v>
      </c>
      <c r="T3472" s="85" t="s">
        <v>3406</v>
      </c>
      <c r="U3472" s="422" t="s">
        <v>1953</v>
      </c>
      <c r="V3472" s="422" t="s">
        <v>2813</v>
      </c>
    </row>
    <row r="3473" spans="1:22" ht="15.75" thickBot="1" x14ac:dyDescent="0.3">
      <c r="A3473" t="s">
        <v>1910</v>
      </c>
      <c r="B3473" t="s">
        <v>1910</v>
      </c>
      <c r="C3473" s="82" t="s">
        <v>1910</v>
      </c>
      <c r="D3473" s="83" t="s">
        <v>629</v>
      </c>
      <c r="E3473" s="251" t="s">
        <v>1951</v>
      </c>
      <c r="F3473" s="124" t="s">
        <v>620</v>
      </c>
      <c r="G3473" s="130"/>
      <c r="H3473" s="125" t="s">
        <v>733</v>
      </c>
      <c r="I3473" s="311" t="str">
        <f t="shared" si="136"/>
        <v>Pesado de Passageiros M3: I : Gasóleo : E6</v>
      </c>
      <c r="J3473" s="125"/>
      <c r="K3473" s="253">
        <v>2022</v>
      </c>
      <c r="L3473" s="242">
        <v>50.288999999999987</v>
      </c>
      <c r="M3473" s="85" t="s">
        <v>630</v>
      </c>
      <c r="N3473" s="128">
        <v>142</v>
      </c>
      <c r="O3473" s="128">
        <f t="shared" si="135"/>
        <v>0</v>
      </c>
      <c r="P3473" s="125" t="s">
        <v>4575</v>
      </c>
      <c r="Q3473" s="85" t="s">
        <v>47</v>
      </c>
      <c r="R3473" s="214" t="s">
        <v>1869</v>
      </c>
      <c r="S3473" s="214" t="s">
        <v>1861</v>
      </c>
      <c r="T3473" s="85" t="s">
        <v>3406</v>
      </c>
      <c r="U3473" s="422" t="s">
        <v>1953</v>
      </c>
      <c r="V3473" s="422" t="s">
        <v>2813</v>
      </c>
    </row>
    <row r="3474" spans="1:22" ht="15.75" thickBot="1" x14ac:dyDescent="0.3">
      <c r="A3474" t="s">
        <v>1910</v>
      </c>
      <c r="B3474" t="s">
        <v>1910</v>
      </c>
      <c r="C3474" s="82" t="s">
        <v>1910</v>
      </c>
      <c r="D3474" s="83" t="s">
        <v>629</v>
      </c>
      <c r="E3474" s="251" t="s">
        <v>1951</v>
      </c>
      <c r="F3474" s="124" t="s">
        <v>620</v>
      </c>
      <c r="G3474" s="130"/>
      <c r="H3474" s="125" t="s">
        <v>733</v>
      </c>
      <c r="I3474" s="311" t="str">
        <f t="shared" si="136"/>
        <v>Pesado de Passageiros M3: I : Gasóleo : E6</v>
      </c>
      <c r="J3474" s="125"/>
      <c r="K3474" s="253">
        <v>2022</v>
      </c>
      <c r="L3474" s="242">
        <v>50.03</v>
      </c>
      <c r="M3474" s="85" t="s">
        <v>630</v>
      </c>
      <c r="N3474" s="128">
        <v>119</v>
      </c>
      <c r="O3474" s="128">
        <f t="shared" si="135"/>
        <v>0</v>
      </c>
      <c r="P3474" s="125" t="s">
        <v>4576</v>
      </c>
      <c r="Q3474" s="85" t="s">
        <v>47</v>
      </c>
      <c r="R3474" s="214" t="s">
        <v>1869</v>
      </c>
      <c r="S3474" s="214" t="s">
        <v>1861</v>
      </c>
      <c r="T3474" s="85" t="s">
        <v>4388</v>
      </c>
      <c r="U3474" s="422" t="s">
        <v>1953</v>
      </c>
      <c r="V3474" s="422" t="s">
        <v>2813</v>
      </c>
    </row>
    <row r="3475" spans="1:22" ht="15.75" thickBot="1" x14ac:dyDescent="0.3">
      <c r="A3475" t="s">
        <v>1910</v>
      </c>
      <c r="B3475" t="s">
        <v>1910</v>
      </c>
      <c r="C3475" s="82" t="s">
        <v>1910</v>
      </c>
      <c r="D3475" s="83" t="s">
        <v>629</v>
      </c>
      <c r="E3475" s="251" t="s">
        <v>1951</v>
      </c>
      <c r="F3475" s="124" t="s">
        <v>620</v>
      </c>
      <c r="G3475" s="130"/>
      <c r="H3475" s="125" t="s">
        <v>733</v>
      </c>
      <c r="I3475" s="311" t="str">
        <f t="shared" si="136"/>
        <v>Pesado de Passageiros M3: I : Gasóleo : E6</v>
      </c>
      <c r="J3475" s="125"/>
      <c r="K3475" s="253">
        <v>2022</v>
      </c>
      <c r="L3475" s="85">
        <v>168.8</v>
      </c>
      <c r="M3475" s="85" t="s">
        <v>630</v>
      </c>
      <c r="N3475" s="128">
        <v>422</v>
      </c>
      <c r="O3475" s="128">
        <f t="shared" si="135"/>
        <v>0</v>
      </c>
      <c r="P3475" s="125" t="s">
        <v>4576</v>
      </c>
      <c r="Q3475" s="85" t="s">
        <v>47</v>
      </c>
      <c r="R3475" s="214" t="s">
        <v>1869</v>
      </c>
      <c r="S3475" s="214" t="s">
        <v>1861</v>
      </c>
      <c r="T3475" s="85" t="s">
        <v>4388</v>
      </c>
      <c r="U3475" s="422" t="s">
        <v>1953</v>
      </c>
      <c r="V3475" s="422" t="s">
        <v>2813</v>
      </c>
    </row>
    <row r="3476" spans="1:22" ht="15.75" thickBot="1" x14ac:dyDescent="0.3">
      <c r="A3476" t="s">
        <v>1910</v>
      </c>
      <c r="B3476" t="s">
        <v>1910</v>
      </c>
      <c r="C3476" s="82" t="s">
        <v>1910</v>
      </c>
      <c r="D3476" s="83" t="s">
        <v>629</v>
      </c>
      <c r="E3476" s="251" t="s">
        <v>1951</v>
      </c>
      <c r="F3476" s="124" t="s">
        <v>620</v>
      </c>
      <c r="G3476" s="130"/>
      <c r="H3476" s="125" t="s">
        <v>733</v>
      </c>
      <c r="I3476" s="311" t="str">
        <f t="shared" si="136"/>
        <v>Pesado de Passageiros M3: I : Gasóleo : E6</v>
      </c>
      <c r="J3476" s="125"/>
      <c r="K3476" s="253">
        <v>2022</v>
      </c>
      <c r="L3476" s="85">
        <v>152.6</v>
      </c>
      <c r="M3476" s="85" t="s">
        <v>630</v>
      </c>
      <c r="N3476" s="128">
        <v>436</v>
      </c>
      <c r="O3476" s="128">
        <f t="shared" si="135"/>
        <v>0</v>
      </c>
      <c r="P3476" s="125" t="s">
        <v>4577</v>
      </c>
      <c r="Q3476" s="85" t="s">
        <v>47</v>
      </c>
      <c r="R3476" s="214" t="s">
        <v>1869</v>
      </c>
      <c r="S3476" s="214" t="s">
        <v>1861</v>
      </c>
      <c r="T3476" s="85" t="s">
        <v>4389</v>
      </c>
      <c r="U3476" s="422" t="s">
        <v>1953</v>
      </c>
      <c r="V3476" s="422" t="s">
        <v>2813</v>
      </c>
    </row>
    <row r="3477" spans="1:22" ht="15.75" thickBot="1" x14ac:dyDescent="0.3">
      <c r="A3477" t="s">
        <v>1910</v>
      </c>
      <c r="B3477" t="s">
        <v>1910</v>
      </c>
      <c r="C3477" s="82" t="s">
        <v>1910</v>
      </c>
      <c r="D3477" s="83" t="s">
        <v>629</v>
      </c>
      <c r="E3477" s="251" t="s">
        <v>1951</v>
      </c>
      <c r="F3477" s="124" t="s">
        <v>620</v>
      </c>
      <c r="G3477" s="130"/>
      <c r="H3477" s="125" t="s">
        <v>733</v>
      </c>
      <c r="I3477" s="311" t="str">
        <f t="shared" si="136"/>
        <v>Pesado de Passageiros M3: I : Gasóleo : E6</v>
      </c>
      <c r="J3477" s="125"/>
      <c r="K3477" s="253">
        <v>2022</v>
      </c>
      <c r="L3477" s="381">
        <v>50</v>
      </c>
      <c r="M3477" s="85" t="s">
        <v>630</v>
      </c>
      <c r="N3477" s="128">
        <v>142</v>
      </c>
      <c r="O3477" s="128">
        <f t="shared" si="135"/>
        <v>0</v>
      </c>
      <c r="P3477" s="125" t="s">
        <v>4578</v>
      </c>
      <c r="Q3477" s="85" t="s">
        <v>47</v>
      </c>
      <c r="R3477" s="214" t="s">
        <v>1869</v>
      </c>
      <c r="S3477" s="214" t="s">
        <v>1861</v>
      </c>
      <c r="T3477" s="85" t="s">
        <v>4389</v>
      </c>
      <c r="U3477" s="422" t="s">
        <v>1953</v>
      </c>
      <c r="V3477" s="422" t="s">
        <v>2813</v>
      </c>
    </row>
    <row r="3478" spans="1:22" ht="15.75" thickBot="1" x14ac:dyDescent="0.3">
      <c r="A3478" t="s">
        <v>1910</v>
      </c>
      <c r="B3478" t="s">
        <v>1910</v>
      </c>
      <c r="C3478" s="82" t="s">
        <v>1910</v>
      </c>
      <c r="D3478" s="83" t="s">
        <v>629</v>
      </c>
      <c r="E3478" s="251" t="s">
        <v>1951</v>
      </c>
      <c r="F3478" s="124" t="s">
        <v>620</v>
      </c>
      <c r="G3478" s="130"/>
      <c r="H3478" s="125" t="s">
        <v>733</v>
      </c>
      <c r="I3478" s="311" t="str">
        <f t="shared" si="136"/>
        <v>Pesado de Passageiros M3: I : Gasóleo : E6</v>
      </c>
      <c r="J3478" s="125"/>
      <c r="K3478" s="253">
        <v>2022</v>
      </c>
      <c r="L3478" s="85">
        <v>191.1</v>
      </c>
      <c r="M3478" s="85" t="s">
        <v>630</v>
      </c>
      <c r="N3478" s="128">
        <v>455</v>
      </c>
      <c r="O3478" s="128">
        <f t="shared" si="135"/>
        <v>0</v>
      </c>
      <c r="P3478" s="125" t="s">
        <v>4579</v>
      </c>
      <c r="Q3478" s="85" t="s">
        <v>47</v>
      </c>
      <c r="R3478" s="214" t="s">
        <v>1869</v>
      </c>
      <c r="S3478" s="214" t="s">
        <v>1861</v>
      </c>
      <c r="T3478" s="85" t="s">
        <v>4390</v>
      </c>
      <c r="U3478" s="422" t="s">
        <v>1953</v>
      </c>
      <c r="V3478" s="422" t="s">
        <v>2813</v>
      </c>
    </row>
    <row r="3479" spans="1:22" s="239" customFormat="1" ht="15.75" thickBot="1" x14ac:dyDescent="0.3">
      <c r="A3479" s="239" t="s">
        <v>4591</v>
      </c>
      <c r="B3479" s="239" t="s">
        <v>4591</v>
      </c>
      <c r="C3479" s="239" t="s">
        <v>4591</v>
      </c>
      <c r="D3479" s="239" t="s">
        <v>1920</v>
      </c>
      <c r="F3479" s="239" t="s">
        <v>620</v>
      </c>
      <c r="G3479" s="447">
        <v>2000</v>
      </c>
      <c r="H3479" s="448" t="s">
        <v>732</v>
      </c>
      <c r="I3479" s="311" t="str">
        <f t="shared" si="136"/>
        <v>Pesado de Mercadorias N3:  : Gasóleo : E3</v>
      </c>
      <c r="K3479" s="449">
        <v>2023</v>
      </c>
      <c r="L3479" s="239">
        <v>686.62</v>
      </c>
      <c r="M3479" s="239" t="s">
        <v>630</v>
      </c>
      <c r="N3479" s="450">
        <v>2513</v>
      </c>
      <c r="P3479" s="447">
        <v>91</v>
      </c>
      <c r="Q3479" s="239" t="s">
        <v>1927</v>
      </c>
      <c r="R3479" s="239" t="s">
        <v>1869</v>
      </c>
      <c r="S3479" s="239" t="s">
        <v>1861</v>
      </c>
      <c r="T3479" s="239" t="s">
        <v>1935</v>
      </c>
      <c r="U3479" s="422" t="s">
        <v>1953</v>
      </c>
      <c r="V3479" s="422" t="s">
        <v>2813</v>
      </c>
    </row>
    <row r="3480" spans="1:22" ht="15.75" thickBot="1" x14ac:dyDescent="0.3">
      <c r="A3480" t="s">
        <v>4591</v>
      </c>
      <c r="B3480" t="s">
        <v>4591</v>
      </c>
      <c r="C3480" s="424" t="str">
        <f t="shared" ref="C3480:C3543" si="137">IF(A3480=B3480,B3480,RIGHT(A3480,LEN(A3480)-LEN(B3480)-3))</f>
        <v>Atlantic Cargo - Sociedade de Transportes, S.A.</v>
      </c>
      <c r="D3480" t="s">
        <v>1920</v>
      </c>
      <c r="F3480" t="s">
        <v>620</v>
      </c>
      <c r="G3480" s="89">
        <v>2001</v>
      </c>
      <c r="H3480" s="313" t="s">
        <v>732</v>
      </c>
      <c r="I3480" s="311" t="str">
        <f t="shared" si="136"/>
        <v>Pesado de Mercadorias N3:  : Gasóleo : E3</v>
      </c>
      <c r="K3480">
        <v>2023</v>
      </c>
      <c r="L3480">
        <v>1759.5</v>
      </c>
      <c r="M3480" t="s">
        <v>630</v>
      </c>
      <c r="N3480" s="131">
        <v>3694</v>
      </c>
      <c r="P3480" s="89">
        <v>98</v>
      </c>
      <c r="Q3480" t="s">
        <v>1927</v>
      </c>
      <c r="R3480" t="s">
        <v>1869</v>
      </c>
      <c r="S3480" t="s">
        <v>1861</v>
      </c>
      <c r="T3480" t="s">
        <v>1935</v>
      </c>
      <c r="U3480" s="422" t="s">
        <v>1953</v>
      </c>
      <c r="V3480" s="422" t="s">
        <v>2813</v>
      </c>
    </row>
    <row r="3481" spans="1:22" ht="15.75" thickBot="1" x14ac:dyDescent="0.3">
      <c r="A3481" s="422" t="s">
        <v>4591</v>
      </c>
      <c r="B3481" s="422" t="s">
        <v>4591</v>
      </c>
      <c r="C3481" s="424" t="str">
        <f t="shared" si="137"/>
        <v>Atlantic Cargo - Sociedade de Transportes, S.A.</v>
      </c>
      <c r="D3481" t="s">
        <v>1920</v>
      </c>
      <c r="F3481" t="s">
        <v>620</v>
      </c>
      <c r="G3481" s="89">
        <v>2001</v>
      </c>
      <c r="H3481" s="313" t="s">
        <v>732</v>
      </c>
      <c r="I3481" s="311" t="str">
        <f t="shared" si="136"/>
        <v>Pesado de Mercadorias N3:  : Gasóleo : E3</v>
      </c>
      <c r="K3481" s="422">
        <v>2023</v>
      </c>
      <c r="L3481">
        <v>15086.509999999998</v>
      </c>
      <c r="M3481" t="s">
        <v>630</v>
      </c>
      <c r="N3481" s="131">
        <v>32870</v>
      </c>
      <c r="P3481" s="89">
        <v>100</v>
      </c>
      <c r="Q3481" t="s">
        <v>1927</v>
      </c>
      <c r="R3481" t="s">
        <v>1869</v>
      </c>
      <c r="S3481" t="s">
        <v>1861</v>
      </c>
      <c r="T3481" t="s">
        <v>1935</v>
      </c>
      <c r="U3481" s="422" t="s">
        <v>1953</v>
      </c>
      <c r="V3481" s="422" t="s">
        <v>2813</v>
      </c>
    </row>
    <row r="3482" spans="1:22" ht="15.75" thickBot="1" x14ac:dyDescent="0.3">
      <c r="A3482" s="422" t="s">
        <v>4591</v>
      </c>
      <c r="B3482" s="422" t="s">
        <v>4591</v>
      </c>
      <c r="C3482" s="424" t="str">
        <f t="shared" si="137"/>
        <v>Atlantic Cargo - Sociedade de Transportes, S.A.</v>
      </c>
      <c r="D3482" t="s">
        <v>1920</v>
      </c>
      <c r="F3482" t="s">
        <v>620</v>
      </c>
      <c r="G3482" s="89">
        <v>2001</v>
      </c>
      <c r="H3482" s="313" t="s">
        <v>732</v>
      </c>
      <c r="I3482" s="311" t="str">
        <f t="shared" si="136"/>
        <v>Pesado de Mercadorias N3:  : Gasóleo : E3</v>
      </c>
      <c r="K3482" s="422">
        <v>2023</v>
      </c>
      <c r="L3482">
        <v>8693.41</v>
      </c>
      <c r="M3482" t="s">
        <v>630</v>
      </c>
      <c r="N3482" s="131">
        <v>19247</v>
      </c>
      <c r="P3482" s="89">
        <v>112</v>
      </c>
      <c r="Q3482" t="s">
        <v>1927</v>
      </c>
      <c r="R3482" t="s">
        <v>1869</v>
      </c>
      <c r="S3482" t="s">
        <v>1861</v>
      </c>
      <c r="T3482" t="s">
        <v>1935</v>
      </c>
      <c r="U3482" s="422" t="s">
        <v>1953</v>
      </c>
      <c r="V3482" s="422" t="s">
        <v>2813</v>
      </c>
    </row>
    <row r="3483" spans="1:22" ht="15.75" thickBot="1" x14ac:dyDescent="0.3">
      <c r="A3483" s="422" t="s">
        <v>4591</v>
      </c>
      <c r="B3483" s="422" t="s">
        <v>4591</v>
      </c>
      <c r="C3483" s="424" t="str">
        <f t="shared" si="137"/>
        <v>Atlantic Cargo - Sociedade de Transportes, S.A.</v>
      </c>
      <c r="D3483" t="s">
        <v>1920</v>
      </c>
      <c r="F3483" t="s">
        <v>620</v>
      </c>
      <c r="G3483" s="89">
        <v>2001</v>
      </c>
      <c r="H3483" s="313" t="s">
        <v>732</v>
      </c>
      <c r="I3483" s="311" t="str">
        <f t="shared" si="136"/>
        <v>Pesado de Mercadorias N3:  : Gasóleo : E3</v>
      </c>
      <c r="K3483" s="422">
        <v>2023</v>
      </c>
      <c r="L3483">
        <v>16318.14</v>
      </c>
      <c r="M3483" t="s">
        <v>630</v>
      </c>
      <c r="N3483" s="131">
        <v>37391</v>
      </c>
      <c r="P3483" s="89">
        <v>113</v>
      </c>
      <c r="Q3483" t="s">
        <v>1927</v>
      </c>
      <c r="R3483" t="s">
        <v>1869</v>
      </c>
      <c r="S3483" t="s">
        <v>1861</v>
      </c>
      <c r="T3483" t="s">
        <v>1935</v>
      </c>
      <c r="U3483" s="422" t="s">
        <v>1953</v>
      </c>
      <c r="V3483" s="422" t="s">
        <v>2813</v>
      </c>
    </row>
    <row r="3484" spans="1:22" ht="15.75" thickBot="1" x14ac:dyDescent="0.3">
      <c r="A3484" s="422" t="s">
        <v>4591</v>
      </c>
      <c r="B3484" s="422" t="s">
        <v>4591</v>
      </c>
      <c r="C3484" s="424" t="str">
        <f t="shared" si="137"/>
        <v>Atlantic Cargo - Sociedade de Transportes, S.A.</v>
      </c>
      <c r="D3484" t="s">
        <v>1920</v>
      </c>
      <c r="F3484" t="s">
        <v>620</v>
      </c>
      <c r="G3484" s="89">
        <v>2001</v>
      </c>
      <c r="H3484" s="313" t="s">
        <v>732</v>
      </c>
      <c r="I3484" s="311" t="str">
        <f t="shared" si="136"/>
        <v>Pesado de Mercadorias N3:  : Gasóleo : E3</v>
      </c>
      <c r="K3484" s="422">
        <v>2023</v>
      </c>
      <c r="L3484">
        <v>12038.100000000004</v>
      </c>
      <c r="M3484" t="s">
        <v>630</v>
      </c>
      <c r="N3484" s="131">
        <v>22854</v>
      </c>
      <c r="P3484" s="89">
        <v>115</v>
      </c>
      <c r="Q3484" t="s">
        <v>1927</v>
      </c>
      <c r="R3484" t="s">
        <v>1869</v>
      </c>
      <c r="S3484" t="s">
        <v>1861</v>
      </c>
      <c r="T3484" t="s">
        <v>1935</v>
      </c>
      <c r="U3484" s="422" t="s">
        <v>1953</v>
      </c>
      <c r="V3484" s="422" t="s">
        <v>2813</v>
      </c>
    </row>
    <row r="3485" spans="1:22" ht="15.75" thickBot="1" x14ac:dyDescent="0.3">
      <c r="A3485" s="422" t="s">
        <v>4591</v>
      </c>
      <c r="B3485" s="422" t="s">
        <v>4591</v>
      </c>
      <c r="C3485" s="424" t="str">
        <f t="shared" si="137"/>
        <v>Atlantic Cargo - Sociedade de Transportes, S.A.</v>
      </c>
      <c r="D3485" t="s">
        <v>1920</v>
      </c>
      <c r="F3485" t="s">
        <v>620</v>
      </c>
      <c r="G3485" s="89">
        <v>2001</v>
      </c>
      <c r="H3485" s="313" t="s">
        <v>732</v>
      </c>
      <c r="I3485" s="311" t="str">
        <f t="shared" si="136"/>
        <v>Pesado de Mercadorias N3:  : Gasóleo : E3</v>
      </c>
      <c r="K3485" s="422">
        <v>2023</v>
      </c>
      <c r="L3485">
        <v>13130.100000000002</v>
      </c>
      <c r="M3485" t="s">
        <v>630</v>
      </c>
      <c r="N3485" s="131">
        <v>30087</v>
      </c>
      <c r="P3485" s="89">
        <v>116</v>
      </c>
      <c r="Q3485" t="s">
        <v>1927</v>
      </c>
      <c r="R3485" t="s">
        <v>1869</v>
      </c>
      <c r="S3485" t="s">
        <v>1861</v>
      </c>
      <c r="T3485" t="s">
        <v>1935</v>
      </c>
      <c r="U3485" s="422" t="s">
        <v>1953</v>
      </c>
      <c r="V3485" s="422" t="s">
        <v>2813</v>
      </c>
    </row>
    <row r="3486" spans="1:22" ht="15.75" thickBot="1" x14ac:dyDescent="0.3">
      <c r="A3486" s="422" t="s">
        <v>4591</v>
      </c>
      <c r="B3486" s="422" t="s">
        <v>4591</v>
      </c>
      <c r="C3486" s="424" t="str">
        <f t="shared" si="137"/>
        <v>Atlantic Cargo - Sociedade de Transportes, S.A.</v>
      </c>
      <c r="D3486" t="s">
        <v>1920</v>
      </c>
      <c r="F3486" t="s">
        <v>620</v>
      </c>
      <c r="G3486" s="89">
        <v>2002</v>
      </c>
      <c r="H3486" s="313" t="s">
        <v>732</v>
      </c>
      <c r="I3486" s="311" t="str">
        <f t="shared" si="136"/>
        <v>Pesado de Mercadorias N3:  : Gasóleo : E3</v>
      </c>
      <c r="K3486" s="422">
        <v>2023</v>
      </c>
      <c r="L3486">
        <v>3053.3199999999997</v>
      </c>
      <c r="M3486" t="s">
        <v>630</v>
      </c>
      <c r="N3486" s="131">
        <v>6284</v>
      </c>
      <c r="P3486" s="89">
        <v>125</v>
      </c>
      <c r="Q3486" t="s">
        <v>1927</v>
      </c>
      <c r="R3486" t="s">
        <v>1869</v>
      </c>
      <c r="S3486" t="s">
        <v>1861</v>
      </c>
      <c r="T3486" t="s">
        <v>1935</v>
      </c>
      <c r="U3486" s="422" t="s">
        <v>1953</v>
      </c>
      <c r="V3486" s="422" t="s">
        <v>2813</v>
      </c>
    </row>
    <row r="3487" spans="1:22" ht="15.75" thickBot="1" x14ac:dyDescent="0.3">
      <c r="A3487" s="422" t="s">
        <v>4591</v>
      </c>
      <c r="B3487" s="422" t="s">
        <v>4591</v>
      </c>
      <c r="C3487" s="424" t="str">
        <f t="shared" si="137"/>
        <v>Atlantic Cargo - Sociedade de Transportes, S.A.</v>
      </c>
      <c r="D3487" t="s">
        <v>1920</v>
      </c>
      <c r="F3487" t="s">
        <v>620</v>
      </c>
      <c r="G3487" s="89">
        <v>2002</v>
      </c>
      <c r="H3487" s="313" t="s">
        <v>732</v>
      </c>
      <c r="I3487" s="311" t="str">
        <f t="shared" si="136"/>
        <v>Pesado de Mercadorias N3:  : Gasóleo : E3</v>
      </c>
      <c r="K3487" s="422">
        <v>2023</v>
      </c>
      <c r="L3487">
        <v>13249.69</v>
      </c>
      <c r="M3487" t="s">
        <v>630</v>
      </c>
      <c r="N3487" s="131">
        <v>25743</v>
      </c>
      <c r="P3487" s="89">
        <v>127</v>
      </c>
      <c r="Q3487" t="s">
        <v>1927</v>
      </c>
      <c r="R3487" t="s">
        <v>1869</v>
      </c>
      <c r="S3487" t="s">
        <v>1861</v>
      </c>
      <c r="T3487" t="s">
        <v>1935</v>
      </c>
      <c r="U3487" s="422" t="s">
        <v>1953</v>
      </c>
      <c r="V3487" s="422" t="s">
        <v>2813</v>
      </c>
    </row>
    <row r="3488" spans="1:22" ht="15.75" thickBot="1" x14ac:dyDescent="0.3">
      <c r="A3488" s="422" t="s">
        <v>4591</v>
      </c>
      <c r="B3488" s="422" t="s">
        <v>4591</v>
      </c>
      <c r="C3488" s="424" t="str">
        <f t="shared" si="137"/>
        <v>Atlantic Cargo - Sociedade de Transportes, S.A.</v>
      </c>
      <c r="D3488" t="s">
        <v>1920</v>
      </c>
      <c r="F3488" t="s">
        <v>620</v>
      </c>
      <c r="G3488" s="89">
        <v>2002</v>
      </c>
      <c r="H3488" s="313" t="s">
        <v>732</v>
      </c>
      <c r="I3488" s="311" t="str">
        <f t="shared" si="136"/>
        <v>Pesado de Mercadorias N3:  : Gasóleo : E3</v>
      </c>
      <c r="K3488" s="422">
        <v>2023</v>
      </c>
      <c r="L3488">
        <v>5036.74</v>
      </c>
      <c r="M3488" t="s">
        <v>630</v>
      </c>
      <c r="N3488" s="131">
        <v>8690</v>
      </c>
      <c r="P3488" s="89">
        <v>128</v>
      </c>
      <c r="Q3488" t="s">
        <v>1927</v>
      </c>
      <c r="R3488" t="s">
        <v>1869</v>
      </c>
      <c r="S3488" t="s">
        <v>1861</v>
      </c>
      <c r="T3488" t="s">
        <v>1935</v>
      </c>
      <c r="U3488" s="422" t="s">
        <v>1953</v>
      </c>
      <c r="V3488" s="422" t="s">
        <v>2813</v>
      </c>
    </row>
    <row r="3489" spans="1:22" ht="15.75" thickBot="1" x14ac:dyDescent="0.3">
      <c r="A3489" s="422" t="s">
        <v>4591</v>
      </c>
      <c r="B3489" s="422" t="s">
        <v>4591</v>
      </c>
      <c r="C3489" s="424" t="str">
        <f t="shared" si="137"/>
        <v>Atlantic Cargo - Sociedade de Transportes, S.A.</v>
      </c>
      <c r="D3489" t="s">
        <v>1920</v>
      </c>
      <c r="F3489" t="s">
        <v>620</v>
      </c>
      <c r="G3489" s="89">
        <v>2003</v>
      </c>
      <c r="H3489" s="313" t="s">
        <v>732</v>
      </c>
      <c r="I3489" s="311" t="str">
        <f t="shared" si="136"/>
        <v>Pesado de Mercadorias N3:  : Gasóleo : E3</v>
      </c>
      <c r="K3489" s="422">
        <v>2023</v>
      </c>
      <c r="L3489">
        <v>18486.41</v>
      </c>
      <c r="M3489" t="s">
        <v>630</v>
      </c>
      <c r="N3489" s="131">
        <v>38892</v>
      </c>
      <c r="P3489" s="89">
        <v>129</v>
      </c>
      <c r="Q3489" t="s">
        <v>1927</v>
      </c>
      <c r="R3489" t="s">
        <v>1869</v>
      </c>
      <c r="S3489" t="s">
        <v>1861</v>
      </c>
      <c r="T3489" t="s">
        <v>1935</v>
      </c>
      <c r="U3489" s="422" t="s">
        <v>1953</v>
      </c>
      <c r="V3489" s="422" t="s">
        <v>2813</v>
      </c>
    </row>
    <row r="3490" spans="1:22" ht="15.75" thickBot="1" x14ac:dyDescent="0.3">
      <c r="A3490" s="422" t="s">
        <v>4591</v>
      </c>
      <c r="B3490" s="422" t="s">
        <v>4591</v>
      </c>
      <c r="C3490" s="424" t="str">
        <f t="shared" si="137"/>
        <v>Atlantic Cargo - Sociedade de Transportes, S.A.</v>
      </c>
      <c r="D3490" t="s">
        <v>1920</v>
      </c>
      <c r="F3490" t="s">
        <v>620</v>
      </c>
      <c r="G3490" s="89">
        <v>2003</v>
      </c>
      <c r="H3490" s="313" t="s">
        <v>732</v>
      </c>
      <c r="I3490" s="311" t="str">
        <f t="shared" si="136"/>
        <v>Pesado de Mercadorias N3:  : Gasóleo : E3</v>
      </c>
      <c r="K3490" s="422">
        <v>2023</v>
      </c>
      <c r="L3490">
        <v>780</v>
      </c>
      <c r="M3490" t="s">
        <v>630</v>
      </c>
      <c r="N3490" s="131">
        <v>1566</v>
      </c>
      <c r="P3490" s="89">
        <v>130</v>
      </c>
      <c r="Q3490" t="s">
        <v>1927</v>
      </c>
      <c r="R3490" t="s">
        <v>1869</v>
      </c>
      <c r="S3490" t="s">
        <v>1861</v>
      </c>
      <c r="T3490" t="s">
        <v>1935</v>
      </c>
      <c r="U3490" s="422" t="s">
        <v>1953</v>
      </c>
      <c r="V3490" s="422" t="s">
        <v>2813</v>
      </c>
    </row>
    <row r="3491" spans="1:22" ht="15.75" thickBot="1" x14ac:dyDescent="0.3">
      <c r="A3491" s="422" t="s">
        <v>4591</v>
      </c>
      <c r="B3491" s="422" t="s">
        <v>4591</v>
      </c>
      <c r="C3491" s="424" t="str">
        <f t="shared" si="137"/>
        <v>Atlantic Cargo - Sociedade de Transportes, S.A.</v>
      </c>
      <c r="D3491" t="s">
        <v>1920</v>
      </c>
      <c r="F3491" t="s">
        <v>620</v>
      </c>
      <c r="G3491" s="89">
        <v>2004</v>
      </c>
      <c r="H3491" s="313" t="s">
        <v>732</v>
      </c>
      <c r="I3491" s="311" t="str">
        <f t="shared" si="136"/>
        <v>Pesado de Mercadorias N3:  : Gasóleo : E3</v>
      </c>
      <c r="K3491" s="422">
        <v>2023</v>
      </c>
      <c r="L3491">
        <v>6240.01</v>
      </c>
      <c r="M3491" t="s">
        <v>630</v>
      </c>
      <c r="N3491" s="131">
        <v>14466</v>
      </c>
      <c r="P3491" s="89">
        <v>141</v>
      </c>
      <c r="Q3491" t="s">
        <v>1927</v>
      </c>
      <c r="R3491" t="s">
        <v>1869</v>
      </c>
      <c r="S3491" t="s">
        <v>1861</v>
      </c>
      <c r="T3491" t="s">
        <v>1935</v>
      </c>
      <c r="U3491" s="422" t="s">
        <v>1953</v>
      </c>
      <c r="V3491" s="422" t="s">
        <v>2813</v>
      </c>
    </row>
    <row r="3492" spans="1:22" ht="15.75" thickBot="1" x14ac:dyDescent="0.3">
      <c r="A3492" s="422" t="s">
        <v>4591</v>
      </c>
      <c r="B3492" s="422" t="s">
        <v>4591</v>
      </c>
      <c r="C3492" s="424" t="str">
        <f t="shared" si="137"/>
        <v>Atlantic Cargo - Sociedade de Transportes, S.A.</v>
      </c>
      <c r="D3492" t="s">
        <v>1920</v>
      </c>
      <c r="F3492" t="s">
        <v>620</v>
      </c>
      <c r="G3492" s="89">
        <v>2005</v>
      </c>
      <c r="H3492" s="313" t="s">
        <v>731</v>
      </c>
      <c r="I3492" s="311" t="str">
        <f t="shared" si="136"/>
        <v>Pesado de Mercadorias N3:  : Gasóleo : E4</v>
      </c>
      <c r="K3492" s="422">
        <v>2023</v>
      </c>
      <c r="L3492">
        <v>4206.5</v>
      </c>
      <c r="M3492" t="s">
        <v>630</v>
      </c>
      <c r="N3492" s="131">
        <v>10649</v>
      </c>
      <c r="P3492" s="89">
        <v>145</v>
      </c>
      <c r="Q3492" t="s">
        <v>1927</v>
      </c>
      <c r="R3492" t="s">
        <v>1869</v>
      </c>
      <c r="S3492" t="s">
        <v>1861</v>
      </c>
      <c r="T3492" t="s">
        <v>1935</v>
      </c>
      <c r="U3492" s="422" t="s">
        <v>1953</v>
      </c>
      <c r="V3492" s="422" t="s">
        <v>2813</v>
      </c>
    </row>
    <row r="3493" spans="1:22" ht="15.75" thickBot="1" x14ac:dyDescent="0.3">
      <c r="A3493" s="422" t="s">
        <v>4591</v>
      </c>
      <c r="B3493" s="422" t="s">
        <v>4591</v>
      </c>
      <c r="C3493" s="424" t="str">
        <f t="shared" si="137"/>
        <v>Atlantic Cargo - Sociedade de Transportes, S.A.</v>
      </c>
      <c r="D3493" t="s">
        <v>1920</v>
      </c>
      <c r="F3493" t="s">
        <v>620</v>
      </c>
      <c r="G3493" s="89">
        <v>2005</v>
      </c>
      <c r="H3493" s="313" t="s">
        <v>731</v>
      </c>
      <c r="I3493" s="311" t="str">
        <f t="shared" si="136"/>
        <v>Pesado de Mercadorias N3:  : Gasóleo : E4</v>
      </c>
      <c r="K3493" s="422">
        <v>2023</v>
      </c>
      <c r="L3493">
        <v>3770.55</v>
      </c>
      <c r="M3493" t="s">
        <v>630</v>
      </c>
      <c r="N3493" s="131">
        <v>9080</v>
      </c>
      <c r="P3493" s="89">
        <v>149</v>
      </c>
      <c r="Q3493" t="s">
        <v>1927</v>
      </c>
      <c r="R3493" t="s">
        <v>1869</v>
      </c>
      <c r="S3493" t="s">
        <v>1861</v>
      </c>
      <c r="T3493" t="s">
        <v>1935</v>
      </c>
      <c r="U3493" s="422" t="s">
        <v>1953</v>
      </c>
      <c r="V3493" s="422" t="s">
        <v>2813</v>
      </c>
    </row>
    <row r="3494" spans="1:22" ht="15.75" thickBot="1" x14ac:dyDescent="0.3">
      <c r="A3494" s="422" t="s">
        <v>4591</v>
      </c>
      <c r="B3494" s="422" t="s">
        <v>4591</v>
      </c>
      <c r="C3494" s="424" t="str">
        <f t="shared" si="137"/>
        <v>Atlantic Cargo - Sociedade de Transportes, S.A.</v>
      </c>
      <c r="D3494" t="s">
        <v>1920</v>
      </c>
      <c r="F3494" t="s">
        <v>620</v>
      </c>
      <c r="G3494" s="89">
        <v>2005</v>
      </c>
      <c r="H3494" s="313" t="s">
        <v>731</v>
      </c>
      <c r="I3494" s="311" t="str">
        <f t="shared" si="136"/>
        <v>Pesado de Mercadorias N3:  : Gasóleo : E4</v>
      </c>
      <c r="K3494" s="422">
        <v>2023</v>
      </c>
      <c r="L3494">
        <v>3505.3999999999996</v>
      </c>
      <c r="M3494" t="s">
        <v>630</v>
      </c>
      <c r="N3494" s="131">
        <v>8989</v>
      </c>
      <c r="P3494" s="89">
        <v>151</v>
      </c>
      <c r="Q3494" t="s">
        <v>1927</v>
      </c>
      <c r="R3494" t="s">
        <v>1869</v>
      </c>
      <c r="S3494" t="s">
        <v>1861</v>
      </c>
      <c r="T3494" t="s">
        <v>1935</v>
      </c>
      <c r="U3494" s="422" t="s">
        <v>1953</v>
      </c>
      <c r="V3494" s="422" t="s">
        <v>2813</v>
      </c>
    </row>
    <row r="3495" spans="1:22" ht="15.75" thickBot="1" x14ac:dyDescent="0.3">
      <c r="A3495" s="422" t="s">
        <v>4591</v>
      </c>
      <c r="B3495" s="422" t="s">
        <v>4591</v>
      </c>
      <c r="C3495" s="424" t="str">
        <f t="shared" si="137"/>
        <v>Atlantic Cargo - Sociedade de Transportes, S.A.</v>
      </c>
      <c r="D3495" t="s">
        <v>1920</v>
      </c>
      <c r="F3495" t="s">
        <v>620</v>
      </c>
      <c r="G3495" s="89">
        <v>2005</v>
      </c>
      <c r="H3495" s="313" t="s">
        <v>731</v>
      </c>
      <c r="I3495" s="311" t="str">
        <f t="shared" si="136"/>
        <v>Pesado de Mercadorias N3:  : Gasóleo : E4</v>
      </c>
      <c r="K3495" s="422">
        <v>2023</v>
      </c>
      <c r="L3495">
        <v>0</v>
      </c>
      <c r="M3495" t="s">
        <v>630</v>
      </c>
      <c r="N3495" s="131">
        <v>75</v>
      </c>
      <c r="P3495" s="89">
        <v>154</v>
      </c>
      <c r="Q3495" t="s">
        <v>1927</v>
      </c>
      <c r="R3495" t="s">
        <v>1869</v>
      </c>
      <c r="S3495" t="s">
        <v>1861</v>
      </c>
      <c r="T3495" t="s">
        <v>1935</v>
      </c>
      <c r="U3495" s="422" t="s">
        <v>1953</v>
      </c>
      <c r="V3495" s="422" t="s">
        <v>2813</v>
      </c>
    </row>
    <row r="3496" spans="1:22" ht="15.75" thickBot="1" x14ac:dyDescent="0.3">
      <c r="A3496" s="422" t="s">
        <v>4591</v>
      </c>
      <c r="B3496" s="422" t="s">
        <v>4591</v>
      </c>
      <c r="C3496" s="424" t="str">
        <f t="shared" si="137"/>
        <v>Atlantic Cargo - Sociedade de Transportes, S.A.</v>
      </c>
      <c r="D3496" t="s">
        <v>1920</v>
      </c>
      <c r="F3496" t="s">
        <v>620</v>
      </c>
      <c r="G3496" s="89">
        <v>2005</v>
      </c>
      <c r="H3496" s="313" t="s">
        <v>731</v>
      </c>
      <c r="I3496" s="311" t="str">
        <f t="shared" si="136"/>
        <v>Pesado de Mercadorias N3:  : Gasóleo : E4</v>
      </c>
      <c r="K3496" s="422">
        <v>2023</v>
      </c>
      <c r="L3496">
        <v>2511.5399999999995</v>
      </c>
      <c r="M3496" t="s">
        <v>630</v>
      </c>
      <c r="N3496" s="131">
        <v>6728</v>
      </c>
      <c r="P3496" s="89">
        <v>159</v>
      </c>
      <c r="Q3496" t="s">
        <v>1927</v>
      </c>
      <c r="R3496" t="s">
        <v>1869</v>
      </c>
      <c r="S3496" t="s">
        <v>1861</v>
      </c>
      <c r="T3496" t="s">
        <v>1935</v>
      </c>
      <c r="U3496" s="422" t="s">
        <v>1953</v>
      </c>
      <c r="V3496" s="422" t="s">
        <v>2813</v>
      </c>
    </row>
    <row r="3497" spans="1:22" ht="15.75" thickBot="1" x14ac:dyDescent="0.3">
      <c r="A3497" s="422" t="s">
        <v>4591</v>
      </c>
      <c r="B3497" s="422" t="s">
        <v>4591</v>
      </c>
      <c r="C3497" s="424" t="str">
        <f t="shared" si="137"/>
        <v>Atlantic Cargo - Sociedade de Transportes, S.A.</v>
      </c>
      <c r="D3497" t="s">
        <v>1920</v>
      </c>
      <c r="F3497" t="s">
        <v>620</v>
      </c>
      <c r="G3497" s="89">
        <v>2005</v>
      </c>
      <c r="H3497" s="313" t="s">
        <v>731</v>
      </c>
      <c r="I3497" s="311" t="str">
        <f t="shared" si="136"/>
        <v>Pesado de Mercadorias N3:  : Gasóleo : E4</v>
      </c>
      <c r="K3497" s="422">
        <v>2023</v>
      </c>
      <c r="L3497">
        <v>2173.48</v>
      </c>
      <c r="M3497" t="s">
        <v>630</v>
      </c>
      <c r="N3497" s="131">
        <v>5138</v>
      </c>
      <c r="P3497" s="89">
        <v>160</v>
      </c>
      <c r="Q3497" t="s">
        <v>1927</v>
      </c>
      <c r="R3497" t="s">
        <v>1869</v>
      </c>
      <c r="S3497" t="s">
        <v>1861</v>
      </c>
      <c r="T3497" t="s">
        <v>1935</v>
      </c>
      <c r="U3497" s="422" t="s">
        <v>1953</v>
      </c>
      <c r="V3497" s="422" t="s">
        <v>2813</v>
      </c>
    </row>
    <row r="3498" spans="1:22" ht="15.75" thickBot="1" x14ac:dyDescent="0.3">
      <c r="A3498" s="422" t="s">
        <v>4591</v>
      </c>
      <c r="B3498" s="422" t="s">
        <v>4591</v>
      </c>
      <c r="C3498" s="424" t="str">
        <f t="shared" si="137"/>
        <v>Atlantic Cargo - Sociedade de Transportes, S.A.</v>
      </c>
      <c r="D3498" t="s">
        <v>1920</v>
      </c>
      <c r="F3498" t="s">
        <v>620</v>
      </c>
      <c r="G3498" s="89">
        <v>2005</v>
      </c>
      <c r="H3498" s="313" t="s">
        <v>731</v>
      </c>
      <c r="I3498" s="311" t="str">
        <f t="shared" si="136"/>
        <v>Pesado de Mercadorias N3:  : Gasóleo : E4</v>
      </c>
      <c r="K3498" s="422">
        <v>2023</v>
      </c>
      <c r="L3498">
        <v>8897.7300000000014</v>
      </c>
      <c r="M3498" t="s">
        <v>630</v>
      </c>
      <c r="N3498" s="131">
        <v>27091</v>
      </c>
      <c r="P3498" s="89">
        <v>161</v>
      </c>
      <c r="Q3498" t="s">
        <v>1927</v>
      </c>
      <c r="R3498" t="s">
        <v>1869</v>
      </c>
      <c r="S3498" t="s">
        <v>1861</v>
      </c>
      <c r="T3498" t="s">
        <v>1935</v>
      </c>
      <c r="U3498" s="422" t="s">
        <v>1953</v>
      </c>
      <c r="V3498" s="422" t="s">
        <v>2813</v>
      </c>
    </row>
    <row r="3499" spans="1:22" ht="15.75" thickBot="1" x14ac:dyDescent="0.3">
      <c r="A3499" s="422" t="s">
        <v>4591</v>
      </c>
      <c r="B3499" s="422" t="s">
        <v>4591</v>
      </c>
      <c r="C3499" s="424" t="str">
        <f t="shared" si="137"/>
        <v>Atlantic Cargo - Sociedade de Transportes, S.A.</v>
      </c>
      <c r="D3499" t="s">
        <v>1920</v>
      </c>
      <c r="F3499" t="s">
        <v>620</v>
      </c>
      <c r="G3499" s="89">
        <v>2005</v>
      </c>
      <c r="H3499" s="313" t="s">
        <v>731</v>
      </c>
      <c r="I3499" s="311" t="str">
        <f t="shared" si="136"/>
        <v>Pesado de Mercadorias N3:  : Gasóleo : E4</v>
      </c>
      <c r="K3499" s="422">
        <v>2023</v>
      </c>
      <c r="L3499">
        <v>9213.69</v>
      </c>
      <c r="M3499" t="s">
        <v>630</v>
      </c>
      <c r="N3499" s="131">
        <v>29568</v>
      </c>
      <c r="P3499" s="89">
        <v>162</v>
      </c>
      <c r="Q3499" t="s">
        <v>1927</v>
      </c>
      <c r="R3499" t="s">
        <v>1869</v>
      </c>
      <c r="S3499" t="s">
        <v>1861</v>
      </c>
      <c r="T3499" t="s">
        <v>1935</v>
      </c>
      <c r="U3499" s="422" t="s">
        <v>1953</v>
      </c>
      <c r="V3499" s="422" t="s">
        <v>2813</v>
      </c>
    </row>
    <row r="3500" spans="1:22" ht="15.75" thickBot="1" x14ac:dyDescent="0.3">
      <c r="A3500" s="422" t="s">
        <v>4591</v>
      </c>
      <c r="B3500" s="422" t="s">
        <v>4591</v>
      </c>
      <c r="C3500" s="424" t="str">
        <f t="shared" si="137"/>
        <v>Atlantic Cargo - Sociedade de Transportes, S.A.</v>
      </c>
      <c r="D3500" t="s">
        <v>1920</v>
      </c>
      <c r="F3500" t="s">
        <v>620</v>
      </c>
      <c r="G3500" s="89">
        <v>2009</v>
      </c>
      <c r="H3500" s="313" t="s">
        <v>734</v>
      </c>
      <c r="I3500" s="311" t="str">
        <f t="shared" si="136"/>
        <v>Pesado de Mercadorias N3:  : Gasóleo : E5</v>
      </c>
      <c r="K3500" s="422">
        <v>2023</v>
      </c>
      <c r="L3500">
        <v>16516.02</v>
      </c>
      <c r="M3500" t="s">
        <v>630</v>
      </c>
      <c r="N3500" s="131">
        <v>39592</v>
      </c>
      <c r="P3500" s="89">
        <v>163</v>
      </c>
      <c r="Q3500" t="s">
        <v>1927</v>
      </c>
      <c r="R3500" t="s">
        <v>1869</v>
      </c>
      <c r="S3500" t="s">
        <v>1861</v>
      </c>
      <c r="T3500" t="s">
        <v>1935</v>
      </c>
      <c r="U3500" s="422" t="s">
        <v>1953</v>
      </c>
      <c r="V3500" s="422" t="s">
        <v>2813</v>
      </c>
    </row>
    <row r="3501" spans="1:22" ht="15.75" thickBot="1" x14ac:dyDescent="0.3">
      <c r="A3501" s="422" t="s">
        <v>4591</v>
      </c>
      <c r="B3501" s="422" t="s">
        <v>4591</v>
      </c>
      <c r="C3501" s="424" t="str">
        <f t="shared" si="137"/>
        <v>Atlantic Cargo - Sociedade de Transportes, S.A.</v>
      </c>
      <c r="D3501" t="s">
        <v>1920</v>
      </c>
      <c r="F3501" t="s">
        <v>620</v>
      </c>
      <c r="G3501" s="89">
        <v>2009</v>
      </c>
      <c r="H3501" s="313" t="s">
        <v>734</v>
      </c>
      <c r="I3501" s="311" t="str">
        <f t="shared" si="136"/>
        <v>Pesado de Mercadorias N3:  : Gasóleo : E5</v>
      </c>
      <c r="K3501" s="422">
        <v>2023</v>
      </c>
      <c r="L3501">
        <v>18563.449999999997</v>
      </c>
      <c r="M3501" t="s">
        <v>630</v>
      </c>
      <c r="N3501" s="131">
        <v>43195</v>
      </c>
      <c r="P3501" s="89">
        <v>164</v>
      </c>
      <c r="Q3501" t="s">
        <v>1927</v>
      </c>
      <c r="R3501" t="s">
        <v>1869</v>
      </c>
      <c r="S3501" t="s">
        <v>1861</v>
      </c>
      <c r="T3501" t="s">
        <v>1935</v>
      </c>
      <c r="U3501" s="422" t="s">
        <v>1953</v>
      </c>
      <c r="V3501" s="422" t="s">
        <v>2813</v>
      </c>
    </row>
    <row r="3502" spans="1:22" ht="15.75" thickBot="1" x14ac:dyDescent="0.3">
      <c r="A3502" s="422" t="s">
        <v>4591</v>
      </c>
      <c r="B3502" s="422" t="s">
        <v>4591</v>
      </c>
      <c r="C3502" s="424" t="str">
        <f t="shared" si="137"/>
        <v>Atlantic Cargo - Sociedade de Transportes, S.A.</v>
      </c>
      <c r="D3502" t="s">
        <v>1920</v>
      </c>
      <c r="F3502" t="s">
        <v>620</v>
      </c>
      <c r="G3502" s="89">
        <v>2009</v>
      </c>
      <c r="H3502" s="313" t="s">
        <v>734</v>
      </c>
      <c r="I3502" s="311" t="str">
        <f t="shared" si="136"/>
        <v>Pesado de Mercadorias N3:  : Gasóleo : E5</v>
      </c>
      <c r="K3502" s="422">
        <v>2023</v>
      </c>
      <c r="L3502">
        <v>46229.659999999996</v>
      </c>
      <c r="M3502" t="s">
        <v>630</v>
      </c>
      <c r="N3502" s="131">
        <v>128993</v>
      </c>
      <c r="P3502" s="89">
        <v>165</v>
      </c>
      <c r="Q3502" t="s">
        <v>1927</v>
      </c>
      <c r="R3502" t="s">
        <v>1869</v>
      </c>
      <c r="S3502" t="s">
        <v>1861</v>
      </c>
      <c r="T3502" t="s">
        <v>1935</v>
      </c>
      <c r="U3502" s="422" t="s">
        <v>1953</v>
      </c>
      <c r="V3502" s="422" t="s">
        <v>2813</v>
      </c>
    </row>
    <row r="3503" spans="1:22" ht="15.75" thickBot="1" x14ac:dyDescent="0.3">
      <c r="A3503" s="422" t="s">
        <v>4591</v>
      </c>
      <c r="B3503" s="422" t="s">
        <v>4591</v>
      </c>
      <c r="C3503" s="424" t="str">
        <f t="shared" si="137"/>
        <v>Atlantic Cargo - Sociedade de Transportes, S.A.</v>
      </c>
      <c r="D3503" t="s">
        <v>1920</v>
      </c>
      <c r="F3503" t="s">
        <v>620</v>
      </c>
      <c r="G3503" s="89">
        <v>2009</v>
      </c>
      <c r="H3503" s="313" t="s">
        <v>734</v>
      </c>
      <c r="I3503" s="311" t="str">
        <f t="shared" si="136"/>
        <v>Pesado de Mercadorias N3:  : Gasóleo : E5</v>
      </c>
      <c r="K3503" s="422">
        <v>2023</v>
      </c>
      <c r="L3503">
        <v>38543.209999999992</v>
      </c>
      <c r="M3503" t="s">
        <v>630</v>
      </c>
      <c r="N3503" s="131">
        <v>102217</v>
      </c>
      <c r="P3503" s="89">
        <v>166</v>
      </c>
      <c r="Q3503" t="s">
        <v>1927</v>
      </c>
      <c r="R3503" t="s">
        <v>1869</v>
      </c>
      <c r="S3503" t="s">
        <v>1861</v>
      </c>
      <c r="T3503" t="s">
        <v>1935</v>
      </c>
      <c r="U3503" s="422" t="s">
        <v>1953</v>
      </c>
      <c r="V3503" s="422" t="s">
        <v>2813</v>
      </c>
    </row>
    <row r="3504" spans="1:22" ht="15.75" thickBot="1" x14ac:dyDescent="0.3">
      <c r="A3504" s="422" t="s">
        <v>4591</v>
      </c>
      <c r="B3504" s="422" t="s">
        <v>4591</v>
      </c>
      <c r="C3504" s="424" t="str">
        <f t="shared" si="137"/>
        <v>Atlantic Cargo - Sociedade de Transportes, S.A.</v>
      </c>
      <c r="D3504" t="s">
        <v>1920</v>
      </c>
      <c r="F3504" t="s">
        <v>620</v>
      </c>
      <c r="G3504" s="89">
        <v>2009</v>
      </c>
      <c r="H3504" s="313" t="s">
        <v>734</v>
      </c>
      <c r="I3504" s="311" t="str">
        <f t="shared" si="136"/>
        <v>Pesado de Mercadorias N3:  : Gasóleo : E5</v>
      </c>
      <c r="K3504" s="422">
        <v>2023</v>
      </c>
      <c r="L3504">
        <v>24486.109999999993</v>
      </c>
      <c r="M3504" t="s">
        <v>630</v>
      </c>
      <c r="N3504" s="131">
        <v>60968</v>
      </c>
      <c r="P3504" s="89">
        <v>168</v>
      </c>
      <c r="Q3504" t="s">
        <v>1927</v>
      </c>
      <c r="R3504" t="s">
        <v>1869</v>
      </c>
      <c r="S3504" t="s">
        <v>1861</v>
      </c>
      <c r="T3504" t="s">
        <v>1935</v>
      </c>
      <c r="U3504" s="422" t="s">
        <v>1953</v>
      </c>
      <c r="V3504" s="422" t="s">
        <v>2813</v>
      </c>
    </row>
    <row r="3505" spans="1:22" ht="15.75" thickBot="1" x14ac:dyDescent="0.3">
      <c r="A3505" s="422" t="s">
        <v>4591</v>
      </c>
      <c r="B3505" s="422" t="s">
        <v>4591</v>
      </c>
      <c r="C3505" s="424" t="str">
        <f t="shared" si="137"/>
        <v>Atlantic Cargo - Sociedade de Transportes, S.A.</v>
      </c>
      <c r="D3505" t="s">
        <v>1920</v>
      </c>
      <c r="F3505" t="s">
        <v>620</v>
      </c>
      <c r="G3505" s="89">
        <v>2009</v>
      </c>
      <c r="H3505" s="313" t="s">
        <v>734</v>
      </c>
      <c r="I3505" s="311" t="str">
        <f t="shared" si="136"/>
        <v>Pesado de Mercadorias N3:  : Gasóleo : E5</v>
      </c>
      <c r="K3505" s="422">
        <v>2023</v>
      </c>
      <c r="L3505">
        <v>34797.51</v>
      </c>
      <c r="M3505" t="s">
        <v>630</v>
      </c>
      <c r="N3505" s="131">
        <v>93651</v>
      </c>
      <c r="P3505" s="89">
        <v>169</v>
      </c>
      <c r="Q3505" t="s">
        <v>1927</v>
      </c>
      <c r="R3505" t="s">
        <v>1869</v>
      </c>
      <c r="S3505" t="s">
        <v>1861</v>
      </c>
      <c r="T3505" t="s">
        <v>1935</v>
      </c>
      <c r="U3505" s="422" t="s">
        <v>1953</v>
      </c>
      <c r="V3505" s="422" t="s">
        <v>2813</v>
      </c>
    </row>
    <row r="3506" spans="1:22" ht="15.75" thickBot="1" x14ac:dyDescent="0.3">
      <c r="A3506" s="422" t="s">
        <v>4591</v>
      </c>
      <c r="B3506" s="422" t="s">
        <v>4591</v>
      </c>
      <c r="C3506" s="424" t="str">
        <f t="shared" si="137"/>
        <v>Atlantic Cargo - Sociedade de Transportes, S.A.</v>
      </c>
      <c r="D3506" t="s">
        <v>1920</v>
      </c>
      <c r="F3506" t="s">
        <v>620</v>
      </c>
      <c r="G3506" s="89">
        <v>2009</v>
      </c>
      <c r="H3506" s="313" t="s">
        <v>734</v>
      </c>
      <c r="I3506" s="311" t="str">
        <f t="shared" si="136"/>
        <v>Pesado de Mercadorias N3:  : Gasóleo : E5</v>
      </c>
      <c r="K3506" s="422">
        <v>2023</v>
      </c>
      <c r="L3506">
        <v>16526.420000000006</v>
      </c>
      <c r="M3506" t="s">
        <v>630</v>
      </c>
      <c r="N3506" s="131">
        <v>40135</v>
      </c>
      <c r="P3506" s="89">
        <v>170</v>
      </c>
      <c r="Q3506" t="s">
        <v>1927</v>
      </c>
      <c r="R3506" t="s">
        <v>1869</v>
      </c>
      <c r="S3506" t="s">
        <v>1861</v>
      </c>
      <c r="T3506" t="s">
        <v>1935</v>
      </c>
      <c r="U3506" s="422" t="s">
        <v>1953</v>
      </c>
      <c r="V3506" s="422" t="s">
        <v>2813</v>
      </c>
    </row>
    <row r="3507" spans="1:22" ht="15.75" thickBot="1" x14ac:dyDescent="0.3">
      <c r="A3507" s="422" t="s">
        <v>4591</v>
      </c>
      <c r="B3507" s="422" t="s">
        <v>4591</v>
      </c>
      <c r="C3507" s="424" t="str">
        <f t="shared" si="137"/>
        <v>Atlantic Cargo - Sociedade de Transportes, S.A.</v>
      </c>
      <c r="D3507" t="s">
        <v>1920</v>
      </c>
      <c r="F3507" t="s">
        <v>620</v>
      </c>
      <c r="G3507" s="89">
        <v>2009</v>
      </c>
      <c r="H3507" s="313" t="s">
        <v>734</v>
      </c>
      <c r="I3507" s="311" t="str">
        <f t="shared" si="136"/>
        <v>Pesado de Mercadorias N3:  : Gasóleo : E5</v>
      </c>
      <c r="K3507" s="422">
        <v>2023</v>
      </c>
      <c r="L3507">
        <v>10818.950000000008</v>
      </c>
      <c r="M3507" t="s">
        <v>630</v>
      </c>
      <c r="N3507" s="131">
        <v>25378</v>
      </c>
      <c r="P3507" s="89">
        <v>171</v>
      </c>
      <c r="Q3507" t="s">
        <v>1927</v>
      </c>
      <c r="R3507" t="s">
        <v>1869</v>
      </c>
      <c r="S3507" t="s">
        <v>1861</v>
      </c>
      <c r="T3507" t="s">
        <v>1935</v>
      </c>
      <c r="U3507" s="422" t="s">
        <v>1953</v>
      </c>
      <c r="V3507" s="422" t="s">
        <v>2813</v>
      </c>
    </row>
    <row r="3508" spans="1:22" ht="15.75" thickBot="1" x14ac:dyDescent="0.3">
      <c r="A3508" s="422" t="s">
        <v>4591</v>
      </c>
      <c r="B3508" s="422" t="s">
        <v>4591</v>
      </c>
      <c r="C3508" s="424" t="str">
        <f t="shared" si="137"/>
        <v>Atlantic Cargo - Sociedade de Transportes, S.A.</v>
      </c>
      <c r="D3508" t="s">
        <v>1920</v>
      </c>
      <c r="F3508" t="s">
        <v>620</v>
      </c>
      <c r="G3508" s="89">
        <v>2009</v>
      </c>
      <c r="H3508" s="313" t="s">
        <v>734</v>
      </c>
      <c r="I3508" s="311" t="str">
        <f t="shared" si="136"/>
        <v>Pesado de Mercadorias N3:  : Gasóleo : E5</v>
      </c>
      <c r="K3508" s="422">
        <v>2023</v>
      </c>
      <c r="L3508">
        <v>24186.659999999996</v>
      </c>
      <c r="M3508" t="s">
        <v>630</v>
      </c>
      <c r="N3508" s="131">
        <v>63218</v>
      </c>
      <c r="P3508" s="89">
        <v>172</v>
      </c>
      <c r="Q3508" t="s">
        <v>1927</v>
      </c>
      <c r="R3508" t="s">
        <v>1869</v>
      </c>
      <c r="S3508" t="s">
        <v>1861</v>
      </c>
      <c r="T3508" t="s">
        <v>1935</v>
      </c>
      <c r="U3508" s="422" t="s">
        <v>1953</v>
      </c>
      <c r="V3508" s="422" t="s">
        <v>2813</v>
      </c>
    </row>
    <row r="3509" spans="1:22" ht="15.75" thickBot="1" x14ac:dyDescent="0.3">
      <c r="A3509" s="422" t="s">
        <v>4591</v>
      </c>
      <c r="B3509" s="422" t="s">
        <v>4591</v>
      </c>
      <c r="C3509" s="424" t="str">
        <f t="shared" si="137"/>
        <v>Atlantic Cargo - Sociedade de Transportes, S.A.</v>
      </c>
      <c r="D3509" t="s">
        <v>1920</v>
      </c>
      <c r="F3509" t="s">
        <v>620</v>
      </c>
      <c r="G3509" s="89">
        <v>2009</v>
      </c>
      <c r="H3509" s="313" t="s">
        <v>734</v>
      </c>
      <c r="I3509" s="311" t="str">
        <f t="shared" si="136"/>
        <v>Pesado de Mercadorias N3:  : Gasóleo : E5</v>
      </c>
      <c r="K3509" s="422">
        <v>2023</v>
      </c>
      <c r="L3509">
        <v>0</v>
      </c>
      <c r="M3509" t="s">
        <v>630</v>
      </c>
      <c r="N3509" s="131">
        <v>432</v>
      </c>
      <c r="P3509" s="89">
        <v>173</v>
      </c>
      <c r="Q3509" t="s">
        <v>1927</v>
      </c>
      <c r="R3509" t="s">
        <v>1869</v>
      </c>
      <c r="S3509" t="s">
        <v>1861</v>
      </c>
      <c r="T3509" t="s">
        <v>1935</v>
      </c>
      <c r="U3509" s="422" t="s">
        <v>1953</v>
      </c>
      <c r="V3509" s="422" t="s">
        <v>2813</v>
      </c>
    </row>
    <row r="3510" spans="1:22" ht="15.75" thickBot="1" x14ac:dyDescent="0.3">
      <c r="A3510" s="422" t="s">
        <v>4591</v>
      </c>
      <c r="B3510" s="422" t="s">
        <v>4591</v>
      </c>
      <c r="C3510" s="424" t="str">
        <f t="shared" si="137"/>
        <v>Atlantic Cargo - Sociedade de Transportes, S.A.</v>
      </c>
      <c r="D3510" t="s">
        <v>1920</v>
      </c>
      <c r="F3510" t="s">
        <v>620</v>
      </c>
      <c r="G3510" s="89">
        <v>2009</v>
      </c>
      <c r="H3510" s="313" t="s">
        <v>734</v>
      </c>
      <c r="I3510" s="311" t="str">
        <f t="shared" ref="I3510:I3573" si="138">D3510&amp;": "&amp;E3510&amp;" : "&amp;F3510&amp;" : "&amp;H3510</f>
        <v>Pesado de Mercadorias N3:  : Gasóleo : E5</v>
      </c>
      <c r="K3510" s="422">
        <v>2023</v>
      </c>
      <c r="L3510">
        <v>18145.290000000005</v>
      </c>
      <c r="M3510" t="s">
        <v>630</v>
      </c>
      <c r="N3510" s="131">
        <v>56185</v>
      </c>
      <c r="P3510" s="89">
        <v>174</v>
      </c>
      <c r="Q3510" t="s">
        <v>1927</v>
      </c>
      <c r="R3510" t="s">
        <v>1869</v>
      </c>
      <c r="S3510" t="s">
        <v>1861</v>
      </c>
      <c r="T3510" t="s">
        <v>1935</v>
      </c>
      <c r="U3510" s="422" t="s">
        <v>1953</v>
      </c>
      <c r="V3510" s="422" t="s">
        <v>2813</v>
      </c>
    </row>
    <row r="3511" spans="1:22" ht="15.75" thickBot="1" x14ac:dyDescent="0.3">
      <c r="A3511" s="422" t="s">
        <v>4591</v>
      </c>
      <c r="B3511" s="422" t="s">
        <v>4591</v>
      </c>
      <c r="C3511" s="424" t="str">
        <f t="shared" si="137"/>
        <v>Atlantic Cargo - Sociedade de Transportes, S.A.</v>
      </c>
      <c r="D3511" t="s">
        <v>1920</v>
      </c>
      <c r="F3511" t="s">
        <v>620</v>
      </c>
      <c r="G3511" s="89">
        <v>2009</v>
      </c>
      <c r="H3511" s="313" t="s">
        <v>734</v>
      </c>
      <c r="I3511" s="311" t="str">
        <f t="shared" si="138"/>
        <v>Pesado de Mercadorias N3:  : Gasóleo : E5</v>
      </c>
      <c r="K3511" s="422">
        <v>2023</v>
      </c>
      <c r="L3511">
        <v>19029.070000000003</v>
      </c>
      <c r="M3511" t="s">
        <v>630</v>
      </c>
      <c r="N3511" s="131">
        <v>57678</v>
      </c>
      <c r="P3511" s="89">
        <v>175</v>
      </c>
      <c r="Q3511" t="s">
        <v>1927</v>
      </c>
      <c r="R3511" t="s">
        <v>1869</v>
      </c>
      <c r="S3511" t="s">
        <v>1861</v>
      </c>
      <c r="T3511" t="s">
        <v>1935</v>
      </c>
      <c r="U3511" s="422" t="s">
        <v>1953</v>
      </c>
      <c r="V3511" s="422" t="s">
        <v>2813</v>
      </c>
    </row>
    <row r="3512" spans="1:22" ht="15.75" thickBot="1" x14ac:dyDescent="0.3">
      <c r="A3512" s="422" t="s">
        <v>4591</v>
      </c>
      <c r="B3512" s="422" t="s">
        <v>4591</v>
      </c>
      <c r="C3512" s="424" t="str">
        <f t="shared" si="137"/>
        <v>Atlantic Cargo - Sociedade de Transportes, S.A.</v>
      </c>
      <c r="D3512" t="s">
        <v>1920</v>
      </c>
      <c r="F3512" t="s">
        <v>620</v>
      </c>
      <c r="G3512" s="89">
        <v>2010</v>
      </c>
      <c r="H3512" s="313" t="s">
        <v>734</v>
      </c>
      <c r="I3512" s="311" t="str">
        <f t="shared" si="138"/>
        <v>Pesado de Mercadorias N3:  : Gasóleo : E5</v>
      </c>
      <c r="K3512" s="422">
        <v>2023</v>
      </c>
      <c r="L3512">
        <v>27216.280000000002</v>
      </c>
      <c r="M3512" t="s">
        <v>630</v>
      </c>
      <c r="N3512" s="131">
        <v>70887</v>
      </c>
      <c r="P3512" s="89">
        <v>176</v>
      </c>
      <c r="Q3512" t="s">
        <v>1927</v>
      </c>
      <c r="R3512" t="s">
        <v>1869</v>
      </c>
      <c r="S3512" t="s">
        <v>1861</v>
      </c>
      <c r="T3512" t="s">
        <v>1935</v>
      </c>
      <c r="U3512" s="422" t="s">
        <v>1953</v>
      </c>
      <c r="V3512" s="422" t="s">
        <v>2813</v>
      </c>
    </row>
    <row r="3513" spans="1:22" ht="15.75" thickBot="1" x14ac:dyDescent="0.3">
      <c r="A3513" s="422" t="s">
        <v>4591</v>
      </c>
      <c r="B3513" s="422" t="s">
        <v>4591</v>
      </c>
      <c r="C3513" s="424" t="str">
        <f t="shared" si="137"/>
        <v>Atlantic Cargo - Sociedade de Transportes, S.A.</v>
      </c>
      <c r="D3513" t="s">
        <v>1920</v>
      </c>
      <c r="F3513" t="s">
        <v>620</v>
      </c>
      <c r="G3513" s="89">
        <v>2010</v>
      </c>
      <c r="H3513" s="313" t="s">
        <v>734</v>
      </c>
      <c r="I3513" s="311" t="str">
        <f t="shared" si="138"/>
        <v>Pesado de Mercadorias N3:  : Gasóleo : E5</v>
      </c>
      <c r="K3513" s="422">
        <v>2023</v>
      </c>
      <c r="L3513">
        <v>34224.19999999999</v>
      </c>
      <c r="M3513" t="s">
        <v>630</v>
      </c>
      <c r="N3513" s="131">
        <v>102644</v>
      </c>
      <c r="P3513" s="89">
        <v>177</v>
      </c>
      <c r="Q3513" t="s">
        <v>1927</v>
      </c>
      <c r="R3513" t="s">
        <v>1869</v>
      </c>
      <c r="S3513" t="s">
        <v>1861</v>
      </c>
      <c r="T3513" t="s">
        <v>1935</v>
      </c>
      <c r="U3513" s="422" t="s">
        <v>1953</v>
      </c>
      <c r="V3513" s="422" t="s">
        <v>2813</v>
      </c>
    </row>
    <row r="3514" spans="1:22" ht="15.75" thickBot="1" x14ac:dyDescent="0.3">
      <c r="A3514" s="422" t="s">
        <v>4591</v>
      </c>
      <c r="B3514" s="422" t="s">
        <v>4591</v>
      </c>
      <c r="C3514" s="424" t="str">
        <f t="shared" si="137"/>
        <v>Atlantic Cargo - Sociedade de Transportes, S.A.</v>
      </c>
      <c r="D3514" t="s">
        <v>1920</v>
      </c>
      <c r="F3514" t="s">
        <v>620</v>
      </c>
      <c r="G3514" s="89">
        <v>2010</v>
      </c>
      <c r="H3514" s="313" t="s">
        <v>734</v>
      </c>
      <c r="I3514" s="311" t="str">
        <f t="shared" si="138"/>
        <v>Pesado de Mercadorias N3:  : Gasóleo : E5</v>
      </c>
      <c r="K3514" s="422">
        <v>2023</v>
      </c>
      <c r="L3514">
        <v>39954.540000000008</v>
      </c>
      <c r="M3514" t="s">
        <v>630</v>
      </c>
      <c r="N3514" s="131">
        <v>122390</v>
      </c>
      <c r="P3514" s="89">
        <v>178</v>
      </c>
      <c r="Q3514" t="s">
        <v>1927</v>
      </c>
      <c r="R3514" t="s">
        <v>1869</v>
      </c>
      <c r="S3514" t="s">
        <v>1861</v>
      </c>
      <c r="T3514" t="s">
        <v>1935</v>
      </c>
      <c r="U3514" s="422" t="s">
        <v>1953</v>
      </c>
      <c r="V3514" s="422" t="s">
        <v>2813</v>
      </c>
    </row>
    <row r="3515" spans="1:22" ht="15.75" thickBot="1" x14ac:dyDescent="0.3">
      <c r="A3515" s="422" t="s">
        <v>4591</v>
      </c>
      <c r="B3515" s="422" t="s">
        <v>4591</v>
      </c>
      <c r="C3515" s="424" t="str">
        <f t="shared" si="137"/>
        <v>Atlantic Cargo - Sociedade de Transportes, S.A.</v>
      </c>
      <c r="D3515" t="s">
        <v>1920</v>
      </c>
      <c r="F3515" t="s">
        <v>620</v>
      </c>
      <c r="G3515" s="89">
        <v>2010</v>
      </c>
      <c r="H3515" s="313" t="s">
        <v>734</v>
      </c>
      <c r="I3515" s="311" t="str">
        <f t="shared" si="138"/>
        <v>Pesado de Mercadorias N3:  : Gasóleo : E5</v>
      </c>
      <c r="K3515" s="422">
        <v>2023</v>
      </c>
      <c r="L3515">
        <v>20370.139999999996</v>
      </c>
      <c r="M3515" t="s">
        <v>630</v>
      </c>
      <c r="N3515" s="131">
        <v>48670</v>
      </c>
      <c r="P3515" s="89">
        <v>179</v>
      </c>
      <c r="Q3515" t="s">
        <v>1927</v>
      </c>
      <c r="R3515" t="s">
        <v>1869</v>
      </c>
      <c r="S3515" t="s">
        <v>1861</v>
      </c>
      <c r="T3515" t="s">
        <v>1935</v>
      </c>
      <c r="U3515" s="422" t="s">
        <v>1953</v>
      </c>
      <c r="V3515" s="422" t="s">
        <v>2813</v>
      </c>
    </row>
    <row r="3516" spans="1:22" ht="15.75" thickBot="1" x14ac:dyDescent="0.3">
      <c r="A3516" s="422" t="s">
        <v>4591</v>
      </c>
      <c r="B3516" s="422" t="s">
        <v>4591</v>
      </c>
      <c r="C3516" s="424" t="str">
        <f t="shared" si="137"/>
        <v>Atlantic Cargo - Sociedade de Transportes, S.A.</v>
      </c>
      <c r="D3516" t="s">
        <v>1920</v>
      </c>
      <c r="F3516" t="s">
        <v>620</v>
      </c>
      <c r="G3516" s="89">
        <v>2010</v>
      </c>
      <c r="H3516" s="313" t="s">
        <v>734</v>
      </c>
      <c r="I3516" s="311" t="str">
        <f t="shared" si="138"/>
        <v>Pesado de Mercadorias N3:  : Gasóleo : E5</v>
      </c>
      <c r="K3516" s="422">
        <v>2023</v>
      </c>
      <c r="L3516">
        <v>21562.1</v>
      </c>
      <c r="M3516" t="s">
        <v>630</v>
      </c>
      <c r="N3516" s="131">
        <v>60163</v>
      </c>
      <c r="P3516" s="89">
        <v>180</v>
      </c>
      <c r="Q3516" t="s">
        <v>1927</v>
      </c>
      <c r="R3516" t="s">
        <v>1869</v>
      </c>
      <c r="S3516" t="s">
        <v>1861</v>
      </c>
      <c r="T3516" t="s">
        <v>1935</v>
      </c>
      <c r="U3516" s="422" t="s">
        <v>1953</v>
      </c>
      <c r="V3516" s="422" t="s">
        <v>2813</v>
      </c>
    </row>
    <row r="3517" spans="1:22" ht="15.75" thickBot="1" x14ac:dyDescent="0.3">
      <c r="A3517" s="422" t="s">
        <v>4591</v>
      </c>
      <c r="B3517" s="422" t="s">
        <v>4591</v>
      </c>
      <c r="C3517" s="424" t="str">
        <f t="shared" si="137"/>
        <v>Atlantic Cargo - Sociedade de Transportes, S.A.</v>
      </c>
      <c r="D3517" t="s">
        <v>1920</v>
      </c>
      <c r="F3517" t="s">
        <v>620</v>
      </c>
      <c r="G3517" s="89">
        <v>2010</v>
      </c>
      <c r="H3517" s="313" t="s">
        <v>734</v>
      </c>
      <c r="I3517" s="311" t="str">
        <f t="shared" si="138"/>
        <v>Pesado de Mercadorias N3:  : Gasóleo : E5</v>
      </c>
      <c r="K3517" s="422">
        <v>2023</v>
      </c>
      <c r="L3517">
        <v>14459.030000000004</v>
      </c>
      <c r="M3517" t="s">
        <v>630</v>
      </c>
      <c r="N3517" s="131">
        <v>35165</v>
      </c>
      <c r="P3517" s="89">
        <v>181</v>
      </c>
      <c r="Q3517" t="s">
        <v>1927</v>
      </c>
      <c r="R3517" t="s">
        <v>1869</v>
      </c>
      <c r="S3517" t="s">
        <v>1861</v>
      </c>
      <c r="T3517" t="s">
        <v>1935</v>
      </c>
      <c r="U3517" s="422" t="s">
        <v>1953</v>
      </c>
      <c r="V3517" s="422" t="s">
        <v>2813</v>
      </c>
    </row>
    <row r="3518" spans="1:22" ht="15.75" thickBot="1" x14ac:dyDescent="0.3">
      <c r="A3518" s="422" t="s">
        <v>4591</v>
      </c>
      <c r="B3518" s="422" t="s">
        <v>4591</v>
      </c>
      <c r="C3518" s="424" t="str">
        <f t="shared" si="137"/>
        <v>Atlantic Cargo - Sociedade de Transportes, S.A.</v>
      </c>
      <c r="D3518" t="s">
        <v>1920</v>
      </c>
      <c r="F3518" t="s">
        <v>620</v>
      </c>
      <c r="G3518" s="89">
        <v>2010</v>
      </c>
      <c r="H3518" s="313" t="s">
        <v>734</v>
      </c>
      <c r="I3518" s="311" t="str">
        <f t="shared" si="138"/>
        <v>Pesado de Mercadorias N3:  : Gasóleo : E5</v>
      </c>
      <c r="K3518" s="422">
        <v>2023</v>
      </c>
      <c r="L3518">
        <v>15592.900000000001</v>
      </c>
      <c r="M3518" t="s">
        <v>630</v>
      </c>
      <c r="N3518" s="131">
        <v>35077</v>
      </c>
      <c r="P3518" s="89">
        <v>182</v>
      </c>
      <c r="Q3518" t="s">
        <v>1927</v>
      </c>
      <c r="R3518" t="s">
        <v>1869</v>
      </c>
      <c r="S3518" t="s">
        <v>1861</v>
      </c>
      <c r="T3518" t="s">
        <v>1935</v>
      </c>
      <c r="U3518" s="422" t="s">
        <v>1953</v>
      </c>
      <c r="V3518" s="422" t="s">
        <v>2813</v>
      </c>
    </row>
    <row r="3519" spans="1:22" ht="15.75" thickBot="1" x14ac:dyDescent="0.3">
      <c r="A3519" s="422" t="s">
        <v>4591</v>
      </c>
      <c r="B3519" s="422" t="s">
        <v>4591</v>
      </c>
      <c r="C3519" s="424" t="str">
        <f t="shared" si="137"/>
        <v>Atlantic Cargo - Sociedade de Transportes, S.A.</v>
      </c>
      <c r="D3519" t="s">
        <v>1920</v>
      </c>
      <c r="F3519" t="s">
        <v>620</v>
      </c>
      <c r="G3519" s="89">
        <v>2010</v>
      </c>
      <c r="H3519" s="313" t="s">
        <v>734</v>
      </c>
      <c r="I3519" s="311" t="str">
        <f t="shared" si="138"/>
        <v>Pesado de Mercadorias N3:  : Gasóleo : E5</v>
      </c>
      <c r="K3519" s="422">
        <v>2023</v>
      </c>
      <c r="L3519">
        <v>33300.489999999991</v>
      </c>
      <c r="M3519" t="s">
        <v>630</v>
      </c>
      <c r="N3519" s="131">
        <v>92771</v>
      </c>
      <c r="P3519" s="89">
        <v>183</v>
      </c>
      <c r="Q3519" t="s">
        <v>1927</v>
      </c>
      <c r="R3519" t="s">
        <v>1869</v>
      </c>
      <c r="S3519" t="s">
        <v>1861</v>
      </c>
      <c r="T3519" t="s">
        <v>1935</v>
      </c>
      <c r="U3519" s="422" t="s">
        <v>1953</v>
      </c>
      <c r="V3519" s="422" t="s">
        <v>2813</v>
      </c>
    </row>
    <row r="3520" spans="1:22" ht="15.75" thickBot="1" x14ac:dyDescent="0.3">
      <c r="A3520" s="422" t="s">
        <v>4591</v>
      </c>
      <c r="B3520" s="422" t="s">
        <v>4591</v>
      </c>
      <c r="C3520" s="424" t="str">
        <f t="shared" si="137"/>
        <v>Atlantic Cargo - Sociedade de Transportes, S.A.</v>
      </c>
      <c r="D3520" t="s">
        <v>1920</v>
      </c>
      <c r="F3520" t="s">
        <v>620</v>
      </c>
      <c r="G3520" s="89">
        <v>2010</v>
      </c>
      <c r="H3520" s="313" t="s">
        <v>734</v>
      </c>
      <c r="I3520" s="311" t="str">
        <f t="shared" si="138"/>
        <v>Pesado de Mercadorias N3:  : Gasóleo : E5</v>
      </c>
      <c r="K3520" s="422">
        <v>2023</v>
      </c>
      <c r="L3520">
        <v>15528.04</v>
      </c>
      <c r="M3520" t="s">
        <v>630</v>
      </c>
      <c r="N3520" s="131">
        <v>59396</v>
      </c>
      <c r="P3520" s="89">
        <v>184</v>
      </c>
      <c r="Q3520" t="s">
        <v>1927</v>
      </c>
      <c r="R3520" t="s">
        <v>1869</v>
      </c>
      <c r="S3520" t="s">
        <v>1861</v>
      </c>
      <c r="T3520" t="s">
        <v>1935</v>
      </c>
      <c r="U3520" s="422" t="s">
        <v>1953</v>
      </c>
      <c r="V3520" s="422" t="s">
        <v>2813</v>
      </c>
    </row>
    <row r="3521" spans="1:22" ht="15.75" thickBot="1" x14ac:dyDescent="0.3">
      <c r="A3521" s="422" t="s">
        <v>4591</v>
      </c>
      <c r="B3521" s="422" t="s">
        <v>4591</v>
      </c>
      <c r="C3521" s="424" t="str">
        <f t="shared" si="137"/>
        <v>Atlantic Cargo - Sociedade de Transportes, S.A.</v>
      </c>
      <c r="D3521" t="s">
        <v>1920</v>
      </c>
      <c r="F3521" t="s">
        <v>620</v>
      </c>
      <c r="G3521" s="89">
        <v>2010</v>
      </c>
      <c r="H3521" s="313" t="s">
        <v>734</v>
      </c>
      <c r="I3521" s="311" t="str">
        <f t="shared" si="138"/>
        <v>Pesado de Mercadorias N3:  : Gasóleo : E5</v>
      </c>
      <c r="K3521" s="422">
        <v>2023</v>
      </c>
      <c r="L3521">
        <v>17363.379999999997</v>
      </c>
      <c r="M3521" t="s">
        <v>630</v>
      </c>
      <c r="N3521" s="131">
        <v>62453</v>
      </c>
      <c r="P3521" s="89">
        <v>185</v>
      </c>
      <c r="Q3521" t="s">
        <v>1927</v>
      </c>
      <c r="R3521" t="s">
        <v>1869</v>
      </c>
      <c r="S3521" t="s">
        <v>1861</v>
      </c>
      <c r="T3521" t="s">
        <v>1935</v>
      </c>
      <c r="U3521" s="422" t="s">
        <v>1953</v>
      </c>
      <c r="V3521" s="422" t="s">
        <v>2813</v>
      </c>
    </row>
    <row r="3522" spans="1:22" ht="15.75" thickBot="1" x14ac:dyDescent="0.3">
      <c r="A3522" s="422" t="s">
        <v>4591</v>
      </c>
      <c r="B3522" s="422" t="s">
        <v>4591</v>
      </c>
      <c r="C3522" s="424" t="str">
        <f t="shared" si="137"/>
        <v>Atlantic Cargo - Sociedade de Transportes, S.A.</v>
      </c>
      <c r="D3522" t="s">
        <v>1920</v>
      </c>
      <c r="F3522" t="s">
        <v>620</v>
      </c>
      <c r="G3522" s="89">
        <v>2004</v>
      </c>
      <c r="H3522" s="313" t="s">
        <v>732</v>
      </c>
      <c r="I3522" s="311" t="str">
        <f t="shared" si="138"/>
        <v>Pesado de Mercadorias N3:  : Gasóleo : E3</v>
      </c>
      <c r="K3522" s="422">
        <v>2023</v>
      </c>
      <c r="L3522">
        <v>9700.880000000001</v>
      </c>
      <c r="M3522" t="s">
        <v>630</v>
      </c>
      <c r="N3522" s="131">
        <v>21854</v>
      </c>
      <c r="P3522" s="89">
        <v>187</v>
      </c>
      <c r="Q3522" t="s">
        <v>1927</v>
      </c>
      <c r="R3522" t="s">
        <v>1869</v>
      </c>
      <c r="S3522" t="s">
        <v>1861</v>
      </c>
      <c r="T3522" t="s">
        <v>1935</v>
      </c>
      <c r="U3522" s="422" t="s">
        <v>1953</v>
      </c>
      <c r="V3522" s="422" t="s">
        <v>2813</v>
      </c>
    </row>
    <row r="3523" spans="1:22" ht="15.75" thickBot="1" x14ac:dyDescent="0.3">
      <c r="A3523" s="422" t="s">
        <v>4591</v>
      </c>
      <c r="B3523" s="422" t="s">
        <v>4591</v>
      </c>
      <c r="C3523" s="424" t="str">
        <f t="shared" si="137"/>
        <v>Atlantic Cargo - Sociedade de Transportes, S.A.</v>
      </c>
      <c r="D3523" t="s">
        <v>1920</v>
      </c>
      <c r="F3523" t="s">
        <v>620</v>
      </c>
      <c r="G3523" s="89">
        <v>2005</v>
      </c>
      <c r="H3523" s="313" t="s">
        <v>732</v>
      </c>
      <c r="I3523" s="311" t="str">
        <f t="shared" si="138"/>
        <v>Pesado de Mercadorias N3:  : Gasóleo : E3</v>
      </c>
      <c r="K3523" s="422">
        <v>2023</v>
      </c>
      <c r="L3523">
        <v>8020.7900000000009</v>
      </c>
      <c r="M3523" t="s">
        <v>630</v>
      </c>
      <c r="N3523" s="131">
        <v>13345</v>
      </c>
      <c r="P3523" s="89">
        <v>189</v>
      </c>
      <c r="Q3523" t="s">
        <v>1927</v>
      </c>
      <c r="R3523" t="s">
        <v>1869</v>
      </c>
      <c r="S3523" t="s">
        <v>1861</v>
      </c>
      <c r="T3523" t="s">
        <v>1935</v>
      </c>
      <c r="U3523" s="422" t="s">
        <v>1953</v>
      </c>
      <c r="V3523" s="422" t="s">
        <v>2813</v>
      </c>
    </row>
    <row r="3524" spans="1:22" ht="15.75" thickBot="1" x14ac:dyDescent="0.3">
      <c r="A3524" s="422" t="s">
        <v>4591</v>
      </c>
      <c r="B3524" s="422" t="s">
        <v>4591</v>
      </c>
      <c r="C3524" s="424" t="str">
        <f t="shared" si="137"/>
        <v>Atlantic Cargo - Sociedade de Transportes, S.A.</v>
      </c>
      <c r="D3524" t="s">
        <v>1920</v>
      </c>
      <c r="F3524" t="s">
        <v>620</v>
      </c>
      <c r="G3524" s="89">
        <v>2005</v>
      </c>
      <c r="H3524" s="313" t="s">
        <v>732</v>
      </c>
      <c r="I3524" s="311" t="str">
        <f t="shared" si="138"/>
        <v>Pesado de Mercadorias N3:  : Gasóleo : E3</v>
      </c>
      <c r="K3524" s="422">
        <v>2023</v>
      </c>
      <c r="L3524">
        <v>0</v>
      </c>
      <c r="M3524" t="s">
        <v>630</v>
      </c>
      <c r="N3524" s="131">
        <v>251</v>
      </c>
      <c r="P3524" s="89">
        <v>190</v>
      </c>
      <c r="Q3524" t="s">
        <v>1927</v>
      </c>
      <c r="R3524" t="s">
        <v>1869</v>
      </c>
      <c r="S3524" t="s">
        <v>1861</v>
      </c>
      <c r="T3524" t="s">
        <v>1935</v>
      </c>
      <c r="U3524" s="422" t="s">
        <v>1953</v>
      </c>
      <c r="V3524" s="422" t="s">
        <v>2813</v>
      </c>
    </row>
    <row r="3525" spans="1:22" ht="15.75" thickBot="1" x14ac:dyDescent="0.3">
      <c r="A3525" s="422" t="s">
        <v>4591</v>
      </c>
      <c r="B3525" s="422" t="s">
        <v>4591</v>
      </c>
      <c r="C3525" s="424" t="str">
        <f t="shared" si="137"/>
        <v>Atlantic Cargo - Sociedade de Transportes, S.A.</v>
      </c>
      <c r="D3525" t="s">
        <v>1920</v>
      </c>
      <c r="F3525" t="s">
        <v>620</v>
      </c>
      <c r="G3525" s="89">
        <v>2005</v>
      </c>
      <c r="H3525" s="313" t="s">
        <v>732</v>
      </c>
      <c r="I3525" s="311" t="str">
        <f t="shared" si="138"/>
        <v>Pesado de Mercadorias N3:  : Gasóleo : E3</v>
      </c>
      <c r="K3525" s="422">
        <v>2023</v>
      </c>
      <c r="L3525">
        <v>15132.230000000005</v>
      </c>
      <c r="M3525" t="s">
        <v>630</v>
      </c>
      <c r="N3525" s="131">
        <v>31074</v>
      </c>
      <c r="P3525" s="89">
        <v>191</v>
      </c>
      <c r="Q3525" t="s">
        <v>1927</v>
      </c>
      <c r="R3525" t="s">
        <v>1869</v>
      </c>
      <c r="S3525" t="s">
        <v>1861</v>
      </c>
      <c r="T3525" t="s">
        <v>1935</v>
      </c>
      <c r="U3525" s="422" t="s">
        <v>1953</v>
      </c>
      <c r="V3525" s="422" t="s">
        <v>2813</v>
      </c>
    </row>
    <row r="3526" spans="1:22" ht="15.75" thickBot="1" x14ac:dyDescent="0.3">
      <c r="A3526" s="422" t="s">
        <v>4591</v>
      </c>
      <c r="B3526" s="422" t="s">
        <v>4591</v>
      </c>
      <c r="C3526" s="424" t="str">
        <f t="shared" si="137"/>
        <v>Atlantic Cargo - Sociedade de Transportes, S.A.</v>
      </c>
      <c r="D3526" t="s">
        <v>1920</v>
      </c>
      <c r="F3526" t="s">
        <v>620</v>
      </c>
      <c r="G3526" s="89">
        <v>2004</v>
      </c>
      <c r="H3526" s="313" t="s">
        <v>732</v>
      </c>
      <c r="I3526" s="311" t="str">
        <f t="shared" si="138"/>
        <v>Pesado de Mercadorias N3:  : Gasóleo : E3</v>
      </c>
      <c r="K3526" s="422">
        <v>2023</v>
      </c>
      <c r="L3526">
        <v>10594.070000000002</v>
      </c>
      <c r="M3526" t="s">
        <v>630</v>
      </c>
      <c r="N3526" s="131">
        <v>19766</v>
      </c>
      <c r="P3526" s="89">
        <v>195</v>
      </c>
      <c r="Q3526" t="s">
        <v>1927</v>
      </c>
      <c r="R3526" t="s">
        <v>1869</v>
      </c>
      <c r="S3526" t="s">
        <v>1861</v>
      </c>
      <c r="T3526" t="s">
        <v>1935</v>
      </c>
      <c r="U3526" s="422" t="s">
        <v>1953</v>
      </c>
      <c r="V3526" s="422" t="s">
        <v>2813</v>
      </c>
    </row>
    <row r="3527" spans="1:22" ht="15.75" thickBot="1" x14ac:dyDescent="0.3">
      <c r="A3527" s="422" t="s">
        <v>4591</v>
      </c>
      <c r="B3527" s="422" t="s">
        <v>4591</v>
      </c>
      <c r="C3527" s="424" t="str">
        <f t="shared" si="137"/>
        <v>Atlantic Cargo - Sociedade de Transportes, S.A.</v>
      </c>
      <c r="D3527" t="s">
        <v>1920</v>
      </c>
      <c r="F3527" t="s">
        <v>620</v>
      </c>
      <c r="G3527" s="89">
        <v>2004</v>
      </c>
      <c r="H3527" s="313" t="s">
        <v>732</v>
      </c>
      <c r="I3527" s="311" t="str">
        <f t="shared" si="138"/>
        <v>Pesado de Mercadorias N3:  : Gasóleo : E3</v>
      </c>
      <c r="K3527" s="422">
        <v>2023</v>
      </c>
      <c r="L3527">
        <v>13948.880000000001</v>
      </c>
      <c r="M3527" t="s">
        <v>630</v>
      </c>
      <c r="N3527" s="131">
        <v>27788</v>
      </c>
      <c r="P3527" s="89">
        <v>196</v>
      </c>
      <c r="Q3527" t="s">
        <v>1927</v>
      </c>
      <c r="R3527" t="s">
        <v>1869</v>
      </c>
      <c r="S3527" t="s">
        <v>1861</v>
      </c>
      <c r="T3527" t="s">
        <v>1935</v>
      </c>
      <c r="U3527" s="422" t="s">
        <v>1953</v>
      </c>
      <c r="V3527" s="422" t="s">
        <v>2813</v>
      </c>
    </row>
    <row r="3528" spans="1:22" ht="15.75" thickBot="1" x14ac:dyDescent="0.3">
      <c r="A3528" s="422" t="s">
        <v>4591</v>
      </c>
      <c r="B3528" s="422" t="s">
        <v>4591</v>
      </c>
      <c r="C3528" s="424" t="str">
        <f t="shared" si="137"/>
        <v>Atlantic Cargo - Sociedade de Transportes, S.A.</v>
      </c>
      <c r="D3528" t="s">
        <v>1920</v>
      </c>
      <c r="F3528" t="s">
        <v>620</v>
      </c>
      <c r="G3528" s="89">
        <v>2005</v>
      </c>
      <c r="H3528" s="313" t="s">
        <v>732</v>
      </c>
      <c r="I3528" s="311" t="str">
        <f t="shared" si="138"/>
        <v>Pesado de Mercadorias N3:  : Gasóleo : E3</v>
      </c>
      <c r="K3528" s="422">
        <v>2023</v>
      </c>
      <c r="L3528">
        <v>36018.049999999996</v>
      </c>
      <c r="M3528" t="s">
        <v>630</v>
      </c>
      <c r="N3528" s="131">
        <v>95220</v>
      </c>
      <c r="P3528" s="89">
        <v>197</v>
      </c>
      <c r="Q3528" t="s">
        <v>1927</v>
      </c>
      <c r="R3528" t="s">
        <v>1869</v>
      </c>
      <c r="S3528" t="s">
        <v>1861</v>
      </c>
      <c r="T3528" t="s">
        <v>1935</v>
      </c>
      <c r="U3528" s="422" t="s">
        <v>1953</v>
      </c>
      <c r="V3528" s="422" t="s">
        <v>2813</v>
      </c>
    </row>
    <row r="3529" spans="1:22" ht="15.75" thickBot="1" x14ac:dyDescent="0.3">
      <c r="A3529" s="422" t="s">
        <v>4591</v>
      </c>
      <c r="B3529" s="422" t="s">
        <v>4591</v>
      </c>
      <c r="C3529" s="424" t="str">
        <f t="shared" si="137"/>
        <v>Atlantic Cargo - Sociedade de Transportes, S.A.</v>
      </c>
      <c r="D3529" t="s">
        <v>1920</v>
      </c>
      <c r="F3529" t="s">
        <v>620</v>
      </c>
      <c r="G3529" s="89">
        <v>2005</v>
      </c>
      <c r="H3529" s="313" t="s">
        <v>731</v>
      </c>
      <c r="I3529" s="311" t="str">
        <f t="shared" si="138"/>
        <v>Pesado de Mercadorias N3:  : Gasóleo : E4</v>
      </c>
      <c r="K3529" s="422">
        <v>2023</v>
      </c>
      <c r="L3529">
        <v>15525.2</v>
      </c>
      <c r="M3529" t="s">
        <v>630</v>
      </c>
      <c r="N3529" s="131">
        <v>34709</v>
      </c>
      <c r="P3529" s="89">
        <v>199</v>
      </c>
      <c r="Q3529" t="s">
        <v>1927</v>
      </c>
      <c r="R3529" t="s">
        <v>1869</v>
      </c>
      <c r="S3529" t="s">
        <v>1861</v>
      </c>
      <c r="T3529" t="s">
        <v>1935</v>
      </c>
      <c r="U3529" s="422" t="s">
        <v>1953</v>
      </c>
      <c r="V3529" s="422" t="s">
        <v>2813</v>
      </c>
    </row>
    <row r="3530" spans="1:22" ht="15.75" thickBot="1" x14ac:dyDescent="0.3">
      <c r="A3530" s="422" t="s">
        <v>4591</v>
      </c>
      <c r="B3530" s="422" t="s">
        <v>4591</v>
      </c>
      <c r="C3530" s="424" t="str">
        <f t="shared" si="137"/>
        <v>Atlantic Cargo - Sociedade de Transportes, S.A.</v>
      </c>
      <c r="D3530" t="s">
        <v>1920</v>
      </c>
      <c r="F3530" t="s">
        <v>620</v>
      </c>
      <c r="G3530" s="89">
        <v>2005</v>
      </c>
      <c r="H3530" s="313" t="s">
        <v>731</v>
      </c>
      <c r="I3530" s="311" t="str">
        <f t="shared" si="138"/>
        <v>Pesado de Mercadorias N3:  : Gasóleo : E4</v>
      </c>
      <c r="K3530" s="422">
        <v>2023</v>
      </c>
      <c r="L3530">
        <v>14016.34</v>
      </c>
      <c r="M3530" t="s">
        <v>630</v>
      </c>
      <c r="N3530" s="131">
        <v>29032</v>
      </c>
      <c r="P3530" s="89">
        <v>200</v>
      </c>
      <c r="Q3530" t="s">
        <v>1927</v>
      </c>
      <c r="R3530" t="s">
        <v>1869</v>
      </c>
      <c r="S3530" t="s">
        <v>1861</v>
      </c>
      <c r="T3530" t="s">
        <v>1935</v>
      </c>
      <c r="U3530" s="422" t="s">
        <v>1953</v>
      </c>
      <c r="V3530" s="422" t="s">
        <v>2813</v>
      </c>
    </row>
    <row r="3531" spans="1:22" ht="15.75" thickBot="1" x14ac:dyDescent="0.3">
      <c r="A3531" s="422" t="s">
        <v>4591</v>
      </c>
      <c r="B3531" s="422" t="s">
        <v>4591</v>
      </c>
      <c r="C3531" s="424" t="str">
        <f t="shared" si="137"/>
        <v>Atlantic Cargo - Sociedade de Transportes, S.A.</v>
      </c>
      <c r="D3531" t="s">
        <v>1920</v>
      </c>
      <c r="F3531" t="s">
        <v>620</v>
      </c>
      <c r="G3531" s="89">
        <v>2006</v>
      </c>
      <c r="H3531" s="313" t="s">
        <v>731</v>
      </c>
      <c r="I3531" s="311" t="str">
        <f t="shared" si="138"/>
        <v>Pesado de Mercadorias N3:  : Gasóleo : E4</v>
      </c>
      <c r="K3531" s="422">
        <v>2023</v>
      </c>
      <c r="L3531">
        <v>1929.1999999999998</v>
      </c>
      <c r="M3531" t="s">
        <v>630</v>
      </c>
      <c r="N3531" s="131">
        <v>4419</v>
      </c>
      <c r="P3531" s="89">
        <v>201</v>
      </c>
      <c r="Q3531" t="s">
        <v>1927</v>
      </c>
      <c r="R3531" t="s">
        <v>1869</v>
      </c>
      <c r="S3531" t="s">
        <v>1861</v>
      </c>
      <c r="T3531" t="s">
        <v>1935</v>
      </c>
      <c r="U3531" s="422" t="s">
        <v>1953</v>
      </c>
      <c r="V3531" s="422" t="s">
        <v>2813</v>
      </c>
    </row>
    <row r="3532" spans="1:22" ht="15.75" thickBot="1" x14ac:dyDescent="0.3">
      <c r="A3532" s="422" t="s">
        <v>4591</v>
      </c>
      <c r="B3532" s="422" t="s">
        <v>4591</v>
      </c>
      <c r="C3532" s="424" t="str">
        <f t="shared" si="137"/>
        <v>Atlantic Cargo - Sociedade de Transportes, S.A.</v>
      </c>
      <c r="D3532" t="s">
        <v>1920</v>
      </c>
      <c r="F3532" t="s">
        <v>620</v>
      </c>
      <c r="G3532" s="89">
        <v>2010</v>
      </c>
      <c r="H3532" s="313" t="s">
        <v>734</v>
      </c>
      <c r="I3532" s="311" t="str">
        <f t="shared" si="138"/>
        <v>Pesado de Mercadorias N3:  : Gasóleo : E5</v>
      </c>
      <c r="K3532" s="422">
        <v>2023</v>
      </c>
      <c r="L3532">
        <v>24066.199999999983</v>
      </c>
      <c r="M3532" t="s">
        <v>630</v>
      </c>
      <c r="N3532" s="131">
        <v>72484</v>
      </c>
      <c r="P3532" s="89">
        <v>202</v>
      </c>
      <c r="Q3532" t="s">
        <v>1927</v>
      </c>
      <c r="R3532" t="s">
        <v>1869</v>
      </c>
      <c r="S3532" t="s">
        <v>1861</v>
      </c>
      <c r="T3532" t="s">
        <v>1935</v>
      </c>
      <c r="U3532" s="422" t="s">
        <v>1953</v>
      </c>
      <c r="V3532" s="422" t="s">
        <v>2813</v>
      </c>
    </row>
    <row r="3533" spans="1:22" ht="15.75" thickBot="1" x14ac:dyDescent="0.3">
      <c r="A3533" s="422" t="s">
        <v>4591</v>
      </c>
      <c r="B3533" s="422" t="s">
        <v>4591</v>
      </c>
      <c r="C3533" s="424" t="str">
        <f t="shared" si="137"/>
        <v>Atlantic Cargo - Sociedade de Transportes, S.A.</v>
      </c>
      <c r="D3533" t="s">
        <v>1920</v>
      </c>
      <c r="F3533" t="s">
        <v>620</v>
      </c>
      <c r="G3533" s="89">
        <v>2012</v>
      </c>
      <c r="H3533" s="313" t="s">
        <v>734</v>
      </c>
      <c r="I3533" s="311" t="str">
        <f t="shared" si="138"/>
        <v>Pesado de Mercadorias N3:  : Gasóleo : E5</v>
      </c>
      <c r="K3533" s="422">
        <v>2023</v>
      </c>
      <c r="L3533">
        <v>19296.449999999997</v>
      </c>
      <c r="M3533" t="s">
        <v>630</v>
      </c>
      <c r="N3533" s="131">
        <v>53067</v>
      </c>
      <c r="P3533" s="89">
        <v>212</v>
      </c>
      <c r="Q3533" t="s">
        <v>1927</v>
      </c>
      <c r="R3533" t="s">
        <v>1869</v>
      </c>
      <c r="S3533" t="s">
        <v>1861</v>
      </c>
      <c r="T3533" t="s">
        <v>1935</v>
      </c>
      <c r="U3533" s="422" t="s">
        <v>1953</v>
      </c>
      <c r="V3533" s="422" t="s">
        <v>2813</v>
      </c>
    </row>
    <row r="3534" spans="1:22" ht="15.75" thickBot="1" x14ac:dyDescent="0.3">
      <c r="A3534" s="422" t="s">
        <v>4591</v>
      </c>
      <c r="B3534" s="422" t="s">
        <v>4591</v>
      </c>
      <c r="C3534" s="424" t="str">
        <f t="shared" si="137"/>
        <v>Atlantic Cargo - Sociedade de Transportes, S.A.</v>
      </c>
      <c r="D3534" t="s">
        <v>1920</v>
      </c>
      <c r="F3534" t="s">
        <v>620</v>
      </c>
      <c r="G3534" s="89">
        <v>2012</v>
      </c>
      <c r="H3534" s="313" t="s">
        <v>734</v>
      </c>
      <c r="I3534" s="311" t="str">
        <f t="shared" si="138"/>
        <v>Pesado de Mercadorias N3:  : Gasóleo : E5</v>
      </c>
      <c r="K3534" s="422">
        <v>2023</v>
      </c>
      <c r="L3534">
        <v>35527.139999999992</v>
      </c>
      <c r="M3534" t="s">
        <v>630</v>
      </c>
      <c r="N3534" s="131">
        <v>87092</v>
      </c>
      <c r="P3534" s="89">
        <v>213</v>
      </c>
      <c r="Q3534" t="s">
        <v>1927</v>
      </c>
      <c r="R3534" t="s">
        <v>1869</v>
      </c>
      <c r="S3534" t="s">
        <v>1861</v>
      </c>
      <c r="T3534" t="s">
        <v>1935</v>
      </c>
      <c r="U3534" s="422" t="s">
        <v>1953</v>
      </c>
      <c r="V3534" s="422" t="s">
        <v>2813</v>
      </c>
    </row>
    <row r="3535" spans="1:22" ht="15.75" thickBot="1" x14ac:dyDescent="0.3">
      <c r="A3535" s="422" t="s">
        <v>4591</v>
      </c>
      <c r="B3535" s="422" t="s">
        <v>4591</v>
      </c>
      <c r="C3535" s="424" t="str">
        <f t="shared" si="137"/>
        <v>Atlantic Cargo - Sociedade de Transportes, S.A.</v>
      </c>
      <c r="D3535" t="s">
        <v>1920</v>
      </c>
      <c r="F3535" t="s">
        <v>620</v>
      </c>
      <c r="G3535" s="89">
        <v>2012</v>
      </c>
      <c r="H3535" s="313" t="s">
        <v>734</v>
      </c>
      <c r="I3535" s="311" t="str">
        <f t="shared" si="138"/>
        <v>Pesado de Mercadorias N3:  : Gasóleo : E5</v>
      </c>
      <c r="K3535" s="422">
        <v>2023</v>
      </c>
      <c r="L3535">
        <v>14935.53</v>
      </c>
      <c r="M3535" t="s">
        <v>630</v>
      </c>
      <c r="N3535" s="131">
        <v>34011</v>
      </c>
      <c r="P3535" s="89">
        <v>214</v>
      </c>
      <c r="Q3535" t="s">
        <v>1927</v>
      </c>
      <c r="R3535" t="s">
        <v>1869</v>
      </c>
      <c r="S3535" t="s">
        <v>1861</v>
      </c>
      <c r="T3535" t="s">
        <v>1935</v>
      </c>
      <c r="U3535" s="422" t="s">
        <v>1953</v>
      </c>
      <c r="V3535" s="422" t="s">
        <v>2813</v>
      </c>
    </row>
    <row r="3536" spans="1:22" ht="15.75" thickBot="1" x14ac:dyDescent="0.3">
      <c r="A3536" s="422" t="s">
        <v>4591</v>
      </c>
      <c r="B3536" s="422" t="s">
        <v>4591</v>
      </c>
      <c r="C3536" s="424" t="str">
        <f t="shared" si="137"/>
        <v>Atlantic Cargo - Sociedade de Transportes, S.A.</v>
      </c>
      <c r="D3536" t="s">
        <v>1920</v>
      </c>
      <c r="F3536" t="s">
        <v>620</v>
      </c>
      <c r="G3536" s="89">
        <v>2012</v>
      </c>
      <c r="H3536" s="313" t="s">
        <v>734</v>
      </c>
      <c r="I3536" s="311" t="str">
        <f t="shared" si="138"/>
        <v>Pesado de Mercadorias N3:  : Gasóleo : E5</v>
      </c>
      <c r="K3536" s="422">
        <v>2023</v>
      </c>
      <c r="L3536">
        <v>36039.37999999999</v>
      </c>
      <c r="M3536" t="s">
        <v>630</v>
      </c>
      <c r="N3536" s="131">
        <v>96979</v>
      </c>
      <c r="P3536" s="89">
        <v>215</v>
      </c>
      <c r="Q3536" t="s">
        <v>1927</v>
      </c>
      <c r="R3536" t="s">
        <v>1869</v>
      </c>
      <c r="S3536" t="s">
        <v>1861</v>
      </c>
      <c r="T3536" t="s">
        <v>1935</v>
      </c>
      <c r="U3536" s="422" t="s">
        <v>1953</v>
      </c>
      <c r="V3536" s="422" t="s">
        <v>2813</v>
      </c>
    </row>
    <row r="3537" spans="1:22" ht="15.75" thickBot="1" x14ac:dyDescent="0.3">
      <c r="A3537" s="422" t="s">
        <v>4591</v>
      </c>
      <c r="B3537" s="422" t="s">
        <v>4591</v>
      </c>
      <c r="C3537" s="424" t="str">
        <f t="shared" si="137"/>
        <v>Atlantic Cargo - Sociedade de Transportes, S.A.</v>
      </c>
      <c r="D3537" t="s">
        <v>1920</v>
      </c>
      <c r="F3537" t="s">
        <v>620</v>
      </c>
      <c r="G3537" s="89">
        <v>2010</v>
      </c>
      <c r="H3537" s="313" t="s">
        <v>734</v>
      </c>
      <c r="I3537" s="311" t="str">
        <f t="shared" si="138"/>
        <v>Pesado de Mercadorias N3:  : Gasóleo : E5</v>
      </c>
      <c r="K3537" s="422">
        <v>2023</v>
      </c>
      <c r="L3537">
        <v>20679.729999999996</v>
      </c>
      <c r="M3537" t="s">
        <v>630</v>
      </c>
      <c r="N3537" s="131">
        <v>62126</v>
      </c>
      <c r="P3537" s="89">
        <v>239</v>
      </c>
      <c r="Q3537" t="s">
        <v>1927</v>
      </c>
      <c r="R3537" t="s">
        <v>1869</v>
      </c>
      <c r="S3537" t="s">
        <v>1861</v>
      </c>
      <c r="T3537" t="s">
        <v>1935</v>
      </c>
      <c r="U3537" s="422" t="s">
        <v>1953</v>
      </c>
      <c r="V3537" s="422" t="s">
        <v>2813</v>
      </c>
    </row>
    <row r="3538" spans="1:22" ht="15.75" thickBot="1" x14ac:dyDescent="0.3">
      <c r="A3538" s="422" t="s">
        <v>4591</v>
      </c>
      <c r="B3538" s="422" t="s">
        <v>4591</v>
      </c>
      <c r="C3538" s="424" t="str">
        <f t="shared" si="137"/>
        <v>Atlantic Cargo - Sociedade de Transportes, S.A.</v>
      </c>
      <c r="D3538" t="s">
        <v>1920</v>
      </c>
      <c r="F3538" t="s">
        <v>620</v>
      </c>
      <c r="G3538" s="89">
        <v>2010</v>
      </c>
      <c r="H3538" s="313" t="s">
        <v>734</v>
      </c>
      <c r="I3538" s="311" t="str">
        <f t="shared" si="138"/>
        <v>Pesado de Mercadorias N3:  : Gasóleo : E5</v>
      </c>
      <c r="K3538" s="422">
        <v>2023</v>
      </c>
      <c r="L3538">
        <v>37514.549999999988</v>
      </c>
      <c r="M3538" t="s">
        <v>630</v>
      </c>
      <c r="N3538" s="131">
        <v>110957</v>
      </c>
      <c r="P3538" s="89">
        <v>241</v>
      </c>
      <c r="Q3538" t="s">
        <v>1927</v>
      </c>
      <c r="R3538" t="s">
        <v>1869</v>
      </c>
      <c r="S3538" t="s">
        <v>1861</v>
      </c>
      <c r="T3538" t="s">
        <v>1935</v>
      </c>
      <c r="U3538" s="422" t="s">
        <v>1953</v>
      </c>
      <c r="V3538" s="422" t="s">
        <v>2813</v>
      </c>
    </row>
    <row r="3539" spans="1:22" ht="15.75" thickBot="1" x14ac:dyDescent="0.3">
      <c r="A3539" s="422" t="s">
        <v>4591</v>
      </c>
      <c r="B3539" s="422" t="s">
        <v>4591</v>
      </c>
      <c r="C3539" s="424" t="str">
        <f t="shared" si="137"/>
        <v>Atlantic Cargo - Sociedade de Transportes, S.A.</v>
      </c>
      <c r="D3539" t="s">
        <v>1920</v>
      </c>
      <c r="F3539" t="s">
        <v>620</v>
      </c>
      <c r="G3539" s="89">
        <v>2009</v>
      </c>
      <c r="H3539" s="313" t="s">
        <v>734</v>
      </c>
      <c r="I3539" s="311" t="str">
        <f t="shared" si="138"/>
        <v>Pesado de Mercadorias N3:  : Gasóleo : E5</v>
      </c>
      <c r="K3539" s="422">
        <v>2023</v>
      </c>
      <c r="L3539">
        <v>47741.359999999993</v>
      </c>
      <c r="M3539" t="s">
        <v>630</v>
      </c>
      <c r="N3539" s="131">
        <v>143474</v>
      </c>
      <c r="P3539" s="89">
        <v>245</v>
      </c>
      <c r="Q3539" t="s">
        <v>1927</v>
      </c>
      <c r="R3539" t="s">
        <v>1869</v>
      </c>
      <c r="S3539" t="s">
        <v>1861</v>
      </c>
      <c r="T3539" t="s">
        <v>1935</v>
      </c>
      <c r="U3539" s="422" t="s">
        <v>1953</v>
      </c>
      <c r="V3539" s="422" t="s">
        <v>2813</v>
      </c>
    </row>
    <row r="3540" spans="1:22" ht="15.75" thickBot="1" x14ac:dyDescent="0.3">
      <c r="A3540" s="422" t="s">
        <v>4591</v>
      </c>
      <c r="B3540" s="422" t="s">
        <v>4591</v>
      </c>
      <c r="C3540" s="424" t="str">
        <f t="shared" si="137"/>
        <v>Atlantic Cargo - Sociedade de Transportes, S.A.</v>
      </c>
      <c r="D3540" t="s">
        <v>1920</v>
      </c>
      <c r="F3540" t="s">
        <v>620</v>
      </c>
      <c r="G3540" s="89">
        <v>2015</v>
      </c>
      <c r="H3540" s="313" t="s">
        <v>733</v>
      </c>
      <c r="I3540" s="311" t="str">
        <f t="shared" si="138"/>
        <v>Pesado de Mercadorias N3:  : Gasóleo : E6</v>
      </c>
      <c r="K3540" s="422">
        <v>2023</v>
      </c>
      <c r="L3540">
        <v>61546.479999999996</v>
      </c>
      <c r="M3540" t="s">
        <v>630</v>
      </c>
      <c r="N3540" s="131">
        <v>199131</v>
      </c>
      <c r="P3540" s="89">
        <v>250</v>
      </c>
      <c r="Q3540" t="s">
        <v>1927</v>
      </c>
      <c r="R3540" t="s">
        <v>1869</v>
      </c>
      <c r="S3540" t="s">
        <v>1861</v>
      </c>
      <c r="T3540" t="s">
        <v>1935</v>
      </c>
      <c r="U3540" s="422" t="s">
        <v>1953</v>
      </c>
      <c r="V3540" s="422" t="s">
        <v>2813</v>
      </c>
    </row>
    <row r="3541" spans="1:22" ht="15.75" thickBot="1" x14ac:dyDescent="0.3">
      <c r="A3541" s="422" t="s">
        <v>4591</v>
      </c>
      <c r="B3541" s="422" t="s">
        <v>4591</v>
      </c>
      <c r="C3541" s="424" t="str">
        <f t="shared" si="137"/>
        <v>Atlantic Cargo - Sociedade de Transportes, S.A.</v>
      </c>
      <c r="D3541" t="s">
        <v>1920</v>
      </c>
      <c r="F3541" t="s">
        <v>620</v>
      </c>
      <c r="G3541" s="89">
        <v>2015</v>
      </c>
      <c r="H3541" s="313" t="s">
        <v>733</v>
      </c>
      <c r="I3541" s="311" t="str">
        <f t="shared" si="138"/>
        <v>Pesado de Mercadorias N3:  : Gasóleo : E6</v>
      </c>
      <c r="K3541" s="422">
        <v>2023</v>
      </c>
      <c r="L3541">
        <v>51245.100000000013</v>
      </c>
      <c r="M3541" t="s">
        <v>630</v>
      </c>
      <c r="N3541" s="131">
        <v>162716</v>
      </c>
      <c r="P3541" s="89">
        <v>251</v>
      </c>
      <c r="Q3541" t="s">
        <v>1927</v>
      </c>
      <c r="R3541" t="s">
        <v>1869</v>
      </c>
      <c r="S3541" t="s">
        <v>1861</v>
      </c>
      <c r="T3541" t="s">
        <v>1935</v>
      </c>
      <c r="U3541" s="422" t="s">
        <v>1953</v>
      </c>
      <c r="V3541" s="422" t="s">
        <v>2813</v>
      </c>
    </row>
    <row r="3542" spans="1:22" ht="15.75" thickBot="1" x14ac:dyDescent="0.3">
      <c r="A3542" s="422" t="s">
        <v>4591</v>
      </c>
      <c r="B3542" s="422" t="s">
        <v>4591</v>
      </c>
      <c r="C3542" s="424" t="str">
        <f t="shared" si="137"/>
        <v>Atlantic Cargo - Sociedade de Transportes, S.A.</v>
      </c>
      <c r="D3542" t="s">
        <v>1920</v>
      </c>
      <c r="F3542" t="s">
        <v>620</v>
      </c>
      <c r="G3542" s="89">
        <v>2015</v>
      </c>
      <c r="H3542" s="313" t="s">
        <v>733</v>
      </c>
      <c r="I3542" s="311" t="str">
        <f t="shared" si="138"/>
        <v>Pesado de Mercadorias N3:  : Gasóleo : E6</v>
      </c>
      <c r="K3542" s="422">
        <v>2023</v>
      </c>
      <c r="L3542">
        <v>35190.939999999995</v>
      </c>
      <c r="M3542" t="s">
        <v>630</v>
      </c>
      <c r="N3542" s="131">
        <v>102062</v>
      </c>
      <c r="P3542" s="89">
        <v>252</v>
      </c>
      <c r="Q3542" t="s">
        <v>1927</v>
      </c>
      <c r="R3542" t="s">
        <v>1869</v>
      </c>
      <c r="S3542" t="s">
        <v>1861</v>
      </c>
      <c r="T3542" t="s">
        <v>1935</v>
      </c>
      <c r="U3542" s="422" t="s">
        <v>1953</v>
      </c>
      <c r="V3542" s="422" t="s">
        <v>2813</v>
      </c>
    </row>
    <row r="3543" spans="1:22" ht="15.75" thickBot="1" x14ac:dyDescent="0.3">
      <c r="A3543" s="422" t="s">
        <v>4591</v>
      </c>
      <c r="B3543" s="422" t="s">
        <v>4591</v>
      </c>
      <c r="C3543" s="424" t="str">
        <f t="shared" si="137"/>
        <v>Atlantic Cargo - Sociedade de Transportes, S.A.</v>
      </c>
      <c r="D3543" t="s">
        <v>1920</v>
      </c>
      <c r="F3543" t="s">
        <v>620</v>
      </c>
      <c r="G3543" s="89">
        <v>2015</v>
      </c>
      <c r="H3543" s="313" t="s">
        <v>733</v>
      </c>
      <c r="I3543" s="311" t="str">
        <f t="shared" si="138"/>
        <v>Pesado de Mercadorias N3:  : Gasóleo : E6</v>
      </c>
      <c r="K3543" s="422">
        <v>2023</v>
      </c>
      <c r="L3543">
        <v>46122.750000000007</v>
      </c>
      <c r="M3543" t="s">
        <v>630</v>
      </c>
      <c r="N3543" s="131">
        <v>132231</v>
      </c>
      <c r="P3543" s="89">
        <v>253</v>
      </c>
      <c r="Q3543" t="s">
        <v>1927</v>
      </c>
      <c r="R3543" t="s">
        <v>1869</v>
      </c>
      <c r="S3543" t="s">
        <v>1861</v>
      </c>
      <c r="T3543" t="s">
        <v>1935</v>
      </c>
      <c r="U3543" s="422" t="s">
        <v>1953</v>
      </c>
      <c r="V3543" s="422" t="s">
        <v>2813</v>
      </c>
    </row>
    <row r="3544" spans="1:22" ht="15.75" thickBot="1" x14ac:dyDescent="0.3">
      <c r="A3544" s="422" t="s">
        <v>4591</v>
      </c>
      <c r="B3544" s="422" t="s">
        <v>4591</v>
      </c>
      <c r="C3544" s="424" t="str">
        <f t="shared" ref="C3544:C3607" si="139">IF(A3544=B3544,B3544,RIGHT(A3544,LEN(A3544)-LEN(B3544)-3))</f>
        <v>Atlantic Cargo - Sociedade de Transportes, S.A.</v>
      </c>
      <c r="D3544" t="s">
        <v>1920</v>
      </c>
      <c r="F3544" t="s">
        <v>620</v>
      </c>
      <c r="G3544" s="89">
        <v>2015</v>
      </c>
      <c r="H3544" s="313" t="s">
        <v>733</v>
      </c>
      <c r="I3544" s="311" t="str">
        <f t="shared" si="138"/>
        <v>Pesado de Mercadorias N3:  : Gasóleo : E6</v>
      </c>
      <c r="K3544" s="422">
        <v>2023</v>
      </c>
      <c r="L3544">
        <v>35089.969999999987</v>
      </c>
      <c r="M3544" t="s">
        <v>630</v>
      </c>
      <c r="N3544" s="131">
        <v>102317</v>
      </c>
      <c r="P3544" s="89">
        <v>254</v>
      </c>
      <c r="Q3544" t="s">
        <v>1927</v>
      </c>
      <c r="R3544" t="s">
        <v>1869</v>
      </c>
      <c r="S3544" t="s">
        <v>1861</v>
      </c>
      <c r="T3544" t="s">
        <v>1935</v>
      </c>
      <c r="U3544" s="422" t="s">
        <v>1953</v>
      </c>
      <c r="V3544" s="422" t="s">
        <v>2813</v>
      </c>
    </row>
    <row r="3545" spans="1:22" ht="15.75" thickBot="1" x14ac:dyDescent="0.3">
      <c r="A3545" s="422" t="s">
        <v>4591</v>
      </c>
      <c r="B3545" s="422" t="s">
        <v>4591</v>
      </c>
      <c r="C3545" s="424" t="str">
        <f t="shared" si="139"/>
        <v>Atlantic Cargo - Sociedade de Transportes, S.A.</v>
      </c>
      <c r="D3545" t="s">
        <v>1920</v>
      </c>
      <c r="F3545" t="s">
        <v>620</v>
      </c>
      <c r="G3545" s="89">
        <v>2015</v>
      </c>
      <c r="H3545" s="313" t="s">
        <v>733</v>
      </c>
      <c r="I3545" s="311" t="str">
        <f t="shared" si="138"/>
        <v>Pesado de Mercadorias N3:  : Gasóleo : E6</v>
      </c>
      <c r="K3545" s="422">
        <v>2023</v>
      </c>
      <c r="L3545">
        <v>34145.5</v>
      </c>
      <c r="M3545" t="s">
        <v>630</v>
      </c>
      <c r="N3545" s="131">
        <v>103800</v>
      </c>
      <c r="P3545" s="89">
        <v>255</v>
      </c>
      <c r="Q3545" t="s">
        <v>1927</v>
      </c>
      <c r="R3545" t="s">
        <v>1869</v>
      </c>
      <c r="S3545" t="s">
        <v>1861</v>
      </c>
      <c r="T3545" t="s">
        <v>1935</v>
      </c>
      <c r="U3545" s="422" t="s">
        <v>1953</v>
      </c>
      <c r="V3545" s="422" t="s">
        <v>2813</v>
      </c>
    </row>
    <row r="3546" spans="1:22" ht="15.75" thickBot="1" x14ac:dyDescent="0.3">
      <c r="A3546" s="422" t="s">
        <v>4591</v>
      </c>
      <c r="B3546" s="422" t="s">
        <v>4591</v>
      </c>
      <c r="C3546" s="424" t="str">
        <f t="shared" si="139"/>
        <v>Atlantic Cargo - Sociedade de Transportes, S.A.</v>
      </c>
      <c r="D3546" t="s">
        <v>1920</v>
      </c>
      <c r="F3546" t="s">
        <v>620</v>
      </c>
      <c r="G3546" s="89">
        <v>2015</v>
      </c>
      <c r="H3546" s="313" t="s">
        <v>733</v>
      </c>
      <c r="I3546" s="311" t="str">
        <f t="shared" si="138"/>
        <v>Pesado de Mercadorias N3:  : Gasóleo : E6</v>
      </c>
      <c r="K3546" s="422">
        <v>2023</v>
      </c>
      <c r="L3546">
        <v>32861.269999999982</v>
      </c>
      <c r="M3546" t="s">
        <v>630</v>
      </c>
      <c r="N3546" s="131">
        <v>90006</v>
      </c>
      <c r="P3546" s="89">
        <v>256</v>
      </c>
      <c r="Q3546" t="s">
        <v>1927</v>
      </c>
      <c r="R3546" t="s">
        <v>1869</v>
      </c>
      <c r="S3546" t="s">
        <v>1861</v>
      </c>
      <c r="T3546" t="s">
        <v>1935</v>
      </c>
      <c r="U3546" s="422" t="s">
        <v>1953</v>
      </c>
      <c r="V3546" s="422" t="s">
        <v>2813</v>
      </c>
    </row>
    <row r="3547" spans="1:22" ht="15.75" thickBot="1" x14ac:dyDescent="0.3">
      <c r="A3547" s="422" t="s">
        <v>4591</v>
      </c>
      <c r="B3547" s="422" t="s">
        <v>4591</v>
      </c>
      <c r="C3547" s="424" t="str">
        <f t="shared" si="139"/>
        <v>Atlantic Cargo - Sociedade de Transportes, S.A.</v>
      </c>
      <c r="D3547" t="s">
        <v>1920</v>
      </c>
      <c r="F3547" t="s">
        <v>620</v>
      </c>
      <c r="G3547" s="89">
        <v>2015</v>
      </c>
      <c r="H3547" s="313" t="s">
        <v>733</v>
      </c>
      <c r="I3547" s="311" t="str">
        <f t="shared" si="138"/>
        <v>Pesado de Mercadorias N3:  : Gasóleo : E6</v>
      </c>
      <c r="K3547" s="422">
        <v>2023</v>
      </c>
      <c r="L3547">
        <v>38422.349999999991</v>
      </c>
      <c r="M3547" t="s">
        <v>630</v>
      </c>
      <c r="N3547" s="131">
        <v>102101</v>
      </c>
      <c r="P3547" s="89">
        <v>257</v>
      </c>
      <c r="Q3547" t="s">
        <v>1927</v>
      </c>
      <c r="R3547" t="s">
        <v>1869</v>
      </c>
      <c r="S3547" t="s">
        <v>1861</v>
      </c>
      <c r="T3547" t="s">
        <v>1935</v>
      </c>
      <c r="U3547" s="422" t="s">
        <v>1953</v>
      </c>
      <c r="V3547" s="422" t="s">
        <v>2813</v>
      </c>
    </row>
    <row r="3548" spans="1:22" ht="15.75" thickBot="1" x14ac:dyDescent="0.3">
      <c r="A3548" s="422" t="s">
        <v>4591</v>
      </c>
      <c r="B3548" s="422" t="s">
        <v>4591</v>
      </c>
      <c r="C3548" s="424" t="str">
        <f t="shared" si="139"/>
        <v>Atlantic Cargo - Sociedade de Transportes, S.A.</v>
      </c>
      <c r="D3548" t="s">
        <v>1920</v>
      </c>
      <c r="F3548" t="s">
        <v>620</v>
      </c>
      <c r="G3548" s="89">
        <v>2015</v>
      </c>
      <c r="H3548" s="313" t="s">
        <v>733</v>
      </c>
      <c r="I3548" s="311" t="str">
        <f t="shared" si="138"/>
        <v>Pesado de Mercadorias N3:  : Gasóleo : E6</v>
      </c>
      <c r="K3548" s="422">
        <v>2023</v>
      </c>
      <c r="L3548">
        <v>44372.480000000003</v>
      </c>
      <c r="M3548" t="s">
        <v>630</v>
      </c>
      <c r="N3548" s="131">
        <v>128618</v>
      </c>
      <c r="P3548" s="89">
        <v>258</v>
      </c>
      <c r="Q3548" t="s">
        <v>1927</v>
      </c>
      <c r="R3548" t="s">
        <v>1869</v>
      </c>
      <c r="S3548" t="s">
        <v>1861</v>
      </c>
      <c r="T3548" t="s">
        <v>1935</v>
      </c>
      <c r="U3548" s="422" t="s">
        <v>1953</v>
      </c>
      <c r="V3548" s="422" t="s">
        <v>2813</v>
      </c>
    </row>
    <row r="3549" spans="1:22" ht="15.75" thickBot="1" x14ac:dyDescent="0.3">
      <c r="A3549" s="422" t="s">
        <v>4591</v>
      </c>
      <c r="B3549" s="422" t="s">
        <v>4591</v>
      </c>
      <c r="C3549" s="424" t="str">
        <f t="shared" si="139"/>
        <v>Atlantic Cargo - Sociedade de Transportes, S.A.</v>
      </c>
      <c r="D3549" t="s">
        <v>1920</v>
      </c>
      <c r="F3549" t="s">
        <v>620</v>
      </c>
      <c r="G3549" s="89">
        <v>2015</v>
      </c>
      <c r="H3549" s="313" t="s">
        <v>733</v>
      </c>
      <c r="I3549" s="311" t="str">
        <f t="shared" si="138"/>
        <v>Pesado de Mercadorias N3:  : Gasóleo : E6</v>
      </c>
      <c r="K3549" s="422">
        <v>2023</v>
      </c>
      <c r="L3549">
        <v>47777.18</v>
      </c>
      <c r="M3549" t="s">
        <v>630</v>
      </c>
      <c r="N3549" s="131">
        <v>131870</v>
      </c>
      <c r="P3549" s="89">
        <v>259</v>
      </c>
      <c r="Q3549" t="s">
        <v>1927</v>
      </c>
      <c r="R3549" t="s">
        <v>1869</v>
      </c>
      <c r="S3549" t="s">
        <v>1861</v>
      </c>
      <c r="T3549" t="s">
        <v>1935</v>
      </c>
      <c r="U3549" s="422" t="s">
        <v>1953</v>
      </c>
      <c r="V3549" s="422" t="s">
        <v>2813</v>
      </c>
    </row>
    <row r="3550" spans="1:22" ht="15.75" thickBot="1" x14ac:dyDescent="0.3">
      <c r="A3550" s="422" t="s">
        <v>4591</v>
      </c>
      <c r="B3550" s="422" t="s">
        <v>4591</v>
      </c>
      <c r="C3550" s="424" t="str">
        <f t="shared" si="139"/>
        <v>Atlantic Cargo - Sociedade de Transportes, S.A.</v>
      </c>
      <c r="D3550" t="s">
        <v>1920</v>
      </c>
      <c r="F3550" t="s">
        <v>620</v>
      </c>
      <c r="G3550" s="89">
        <v>2015</v>
      </c>
      <c r="H3550" s="313" t="s">
        <v>733</v>
      </c>
      <c r="I3550" s="311" t="str">
        <f t="shared" si="138"/>
        <v>Pesado de Mercadorias N3:  : Gasóleo : E6</v>
      </c>
      <c r="K3550" s="422">
        <v>2023</v>
      </c>
      <c r="L3550">
        <v>33975.759999999995</v>
      </c>
      <c r="M3550" t="s">
        <v>630</v>
      </c>
      <c r="N3550" s="131">
        <v>97433</v>
      </c>
      <c r="P3550" s="89">
        <v>260</v>
      </c>
      <c r="Q3550" t="s">
        <v>1927</v>
      </c>
      <c r="R3550" t="s">
        <v>1869</v>
      </c>
      <c r="S3550" t="s">
        <v>1861</v>
      </c>
      <c r="T3550" t="s">
        <v>1935</v>
      </c>
      <c r="U3550" s="422" t="s">
        <v>1953</v>
      </c>
      <c r="V3550" s="422" t="s">
        <v>2813</v>
      </c>
    </row>
    <row r="3551" spans="1:22" ht="15.75" thickBot="1" x14ac:dyDescent="0.3">
      <c r="A3551" s="422" t="s">
        <v>4591</v>
      </c>
      <c r="B3551" s="422" t="s">
        <v>4591</v>
      </c>
      <c r="C3551" s="424" t="str">
        <f t="shared" si="139"/>
        <v>Atlantic Cargo - Sociedade de Transportes, S.A.</v>
      </c>
      <c r="D3551" t="s">
        <v>1920</v>
      </c>
      <c r="F3551" t="s">
        <v>620</v>
      </c>
      <c r="G3551" s="89">
        <v>2015</v>
      </c>
      <c r="H3551" s="313" t="s">
        <v>733</v>
      </c>
      <c r="I3551" s="311" t="str">
        <f t="shared" si="138"/>
        <v>Pesado de Mercadorias N3:  : Gasóleo : E6</v>
      </c>
      <c r="K3551" s="422">
        <v>2023</v>
      </c>
      <c r="L3551">
        <v>54040.900000000016</v>
      </c>
      <c r="M3551" t="s">
        <v>630</v>
      </c>
      <c r="N3551" s="131">
        <v>172427</v>
      </c>
      <c r="P3551" s="89">
        <v>261</v>
      </c>
      <c r="Q3551" t="s">
        <v>1927</v>
      </c>
      <c r="R3551" t="s">
        <v>1869</v>
      </c>
      <c r="S3551" t="s">
        <v>1861</v>
      </c>
      <c r="T3551" t="s">
        <v>1935</v>
      </c>
      <c r="U3551" s="422" t="s">
        <v>1953</v>
      </c>
      <c r="V3551" s="422" t="s">
        <v>2813</v>
      </c>
    </row>
    <row r="3552" spans="1:22" ht="15.75" thickBot="1" x14ac:dyDescent="0.3">
      <c r="A3552" s="422" t="s">
        <v>4591</v>
      </c>
      <c r="B3552" s="422" t="s">
        <v>4591</v>
      </c>
      <c r="C3552" s="424" t="str">
        <f t="shared" si="139"/>
        <v>Atlantic Cargo - Sociedade de Transportes, S.A.</v>
      </c>
      <c r="D3552" t="s">
        <v>1920</v>
      </c>
      <c r="F3552" t="s">
        <v>620</v>
      </c>
      <c r="G3552" s="89">
        <v>2015</v>
      </c>
      <c r="H3552" s="313" t="s">
        <v>733</v>
      </c>
      <c r="I3552" s="311" t="str">
        <f t="shared" si="138"/>
        <v>Pesado de Mercadorias N3:  : Gasóleo : E6</v>
      </c>
      <c r="K3552" s="422">
        <v>2023</v>
      </c>
      <c r="L3552">
        <v>28363.969999999998</v>
      </c>
      <c r="M3552" t="s">
        <v>630</v>
      </c>
      <c r="N3552" s="131">
        <v>70729</v>
      </c>
      <c r="P3552" s="89">
        <v>262</v>
      </c>
      <c r="Q3552" t="s">
        <v>1927</v>
      </c>
      <c r="R3552" t="s">
        <v>1869</v>
      </c>
      <c r="S3552" t="s">
        <v>1861</v>
      </c>
      <c r="T3552" t="s">
        <v>1935</v>
      </c>
      <c r="U3552" s="422" t="s">
        <v>1953</v>
      </c>
      <c r="V3552" s="422" t="s">
        <v>2813</v>
      </c>
    </row>
    <row r="3553" spans="1:22" ht="15.75" thickBot="1" x14ac:dyDescent="0.3">
      <c r="A3553" s="422" t="s">
        <v>4591</v>
      </c>
      <c r="B3553" s="422" t="s">
        <v>4591</v>
      </c>
      <c r="C3553" s="424" t="str">
        <f t="shared" si="139"/>
        <v>Atlantic Cargo - Sociedade de Transportes, S.A.</v>
      </c>
      <c r="D3553" t="s">
        <v>1920</v>
      </c>
      <c r="F3553" t="s">
        <v>620</v>
      </c>
      <c r="G3553" s="89">
        <v>2015</v>
      </c>
      <c r="H3553" s="313" t="s">
        <v>733</v>
      </c>
      <c r="I3553" s="311" t="str">
        <f t="shared" si="138"/>
        <v>Pesado de Mercadorias N3:  : Gasóleo : E6</v>
      </c>
      <c r="K3553" s="422">
        <v>2023</v>
      </c>
      <c r="L3553">
        <v>30924.169999999995</v>
      </c>
      <c r="M3553" t="s">
        <v>630</v>
      </c>
      <c r="N3553" s="131">
        <v>84163</v>
      </c>
      <c r="P3553" s="89">
        <v>263</v>
      </c>
      <c r="Q3553" t="s">
        <v>1927</v>
      </c>
      <c r="R3553" t="s">
        <v>1869</v>
      </c>
      <c r="S3553" t="s">
        <v>1861</v>
      </c>
      <c r="T3553" t="s">
        <v>1935</v>
      </c>
      <c r="U3553" s="422" t="s">
        <v>1953</v>
      </c>
      <c r="V3553" s="422" t="s">
        <v>2813</v>
      </c>
    </row>
    <row r="3554" spans="1:22" ht="15.75" thickBot="1" x14ac:dyDescent="0.3">
      <c r="A3554" s="422" t="s">
        <v>4591</v>
      </c>
      <c r="B3554" s="422" t="s">
        <v>4591</v>
      </c>
      <c r="C3554" s="424" t="str">
        <f t="shared" si="139"/>
        <v>Atlantic Cargo - Sociedade de Transportes, S.A.</v>
      </c>
      <c r="D3554" t="s">
        <v>1920</v>
      </c>
      <c r="F3554" t="s">
        <v>620</v>
      </c>
      <c r="G3554" s="89">
        <v>2011</v>
      </c>
      <c r="H3554" s="313" t="s">
        <v>734</v>
      </c>
      <c r="I3554" s="311" t="str">
        <f t="shared" si="138"/>
        <v>Pesado de Mercadorias N3:  : Gasóleo : E5</v>
      </c>
      <c r="K3554" s="422">
        <v>2023</v>
      </c>
      <c r="L3554">
        <v>35326.410000000003</v>
      </c>
      <c r="M3554" t="s">
        <v>630</v>
      </c>
      <c r="N3554" s="131">
        <v>82467</v>
      </c>
      <c r="P3554" s="89">
        <v>264</v>
      </c>
      <c r="Q3554" t="s">
        <v>1927</v>
      </c>
      <c r="R3554" t="s">
        <v>1869</v>
      </c>
      <c r="S3554" t="s">
        <v>1861</v>
      </c>
      <c r="T3554" t="s">
        <v>1935</v>
      </c>
      <c r="U3554" s="422" t="s">
        <v>1953</v>
      </c>
      <c r="V3554" s="422" t="s">
        <v>2813</v>
      </c>
    </row>
    <row r="3555" spans="1:22" ht="15.75" thickBot="1" x14ac:dyDescent="0.3">
      <c r="A3555" s="422" t="s">
        <v>4591</v>
      </c>
      <c r="B3555" s="422" t="s">
        <v>4591</v>
      </c>
      <c r="C3555" s="424" t="str">
        <f t="shared" si="139"/>
        <v>Atlantic Cargo - Sociedade de Transportes, S.A.</v>
      </c>
      <c r="D3555" t="s">
        <v>1920</v>
      </c>
      <c r="F3555" t="s">
        <v>620</v>
      </c>
      <c r="G3555" s="89">
        <v>2011</v>
      </c>
      <c r="H3555" s="313" t="s">
        <v>734</v>
      </c>
      <c r="I3555" s="311" t="str">
        <f t="shared" si="138"/>
        <v>Pesado de Mercadorias N3:  : Gasóleo : E5</v>
      </c>
      <c r="K3555" s="422">
        <v>2023</v>
      </c>
      <c r="L3555">
        <v>35043.689999999995</v>
      </c>
      <c r="M3555" t="s">
        <v>630</v>
      </c>
      <c r="N3555" s="131">
        <v>98496</v>
      </c>
      <c r="P3555" s="89">
        <v>265</v>
      </c>
      <c r="Q3555" t="s">
        <v>1927</v>
      </c>
      <c r="R3555" t="s">
        <v>1869</v>
      </c>
      <c r="S3555" t="s">
        <v>1861</v>
      </c>
      <c r="T3555" t="s">
        <v>1935</v>
      </c>
      <c r="U3555" s="422" t="s">
        <v>1953</v>
      </c>
      <c r="V3555" s="422" t="s">
        <v>2813</v>
      </c>
    </row>
    <row r="3556" spans="1:22" ht="15.75" thickBot="1" x14ac:dyDescent="0.3">
      <c r="A3556" s="422" t="s">
        <v>4591</v>
      </c>
      <c r="B3556" s="422" t="s">
        <v>4591</v>
      </c>
      <c r="C3556" s="424" t="str">
        <f t="shared" si="139"/>
        <v>Atlantic Cargo - Sociedade de Transportes, S.A.</v>
      </c>
      <c r="D3556" t="s">
        <v>1920</v>
      </c>
      <c r="F3556" t="s">
        <v>620</v>
      </c>
      <c r="G3556" s="89">
        <v>2011</v>
      </c>
      <c r="H3556" s="313" t="s">
        <v>734</v>
      </c>
      <c r="I3556" s="311" t="str">
        <f t="shared" si="138"/>
        <v>Pesado de Mercadorias N3:  : Gasóleo : E5</v>
      </c>
      <c r="K3556" s="422">
        <v>2023</v>
      </c>
      <c r="L3556">
        <v>31712.379999999986</v>
      </c>
      <c r="M3556" t="s">
        <v>630</v>
      </c>
      <c r="N3556" s="131">
        <v>81071</v>
      </c>
      <c r="P3556" s="89">
        <v>266</v>
      </c>
      <c r="Q3556" t="s">
        <v>1927</v>
      </c>
      <c r="R3556" t="s">
        <v>1869</v>
      </c>
      <c r="S3556" t="s">
        <v>1861</v>
      </c>
      <c r="T3556" t="s">
        <v>1935</v>
      </c>
      <c r="U3556" s="422" t="s">
        <v>1953</v>
      </c>
      <c r="V3556" s="422" t="s">
        <v>2813</v>
      </c>
    </row>
    <row r="3557" spans="1:22" ht="15.75" thickBot="1" x14ac:dyDescent="0.3">
      <c r="A3557" s="422" t="s">
        <v>4591</v>
      </c>
      <c r="B3557" s="422" t="s">
        <v>4591</v>
      </c>
      <c r="C3557" s="424" t="str">
        <f t="shared" si="139"/>
        <v>Atlantic Cargo - Sociedade de Transportes, S.A.</v>
      </c>
      <c r="D3557" t="s">
        <v>1920</v>
      </c>
      <c r="F3557" t="s">
        <v>620</v>
      </c>
      <c r="G3557" s="89">
        <v>2016</v>
      </c>
      <c r="H3557" s="313" t="s">
        <v>733</v>
      </c>
      <c r="I3557" s="311" t="str">
        <f t="shared" si="138"/>
        <v>Pesado de Mercadorias N3:  : Gasóleo : E6</v>
      </c>
      <c r="K3557" s="422">
        <v>2023</v>
      </c>
      <c r="L3557">
        <v>39652.110000000008</v>
      </c>
      <c r="M3557" t="s">
        <v>630</v>
      </c>
      <c r="N3557" s="131">
        <v>129793</v>
      </c>
      <c r="P3557" s="89">
        <v>267</v>
      </c>
      <c r="Q3557" t="s">
        <v>1927</v>
      </c>
      <c r="R3557" t="s">
        <v>1869</v>
      </c>
      <c r="S3557" t="s">
        <v>1861</v>
      </c>
      <c r="T3557" t="s">
        <v>1935</v>
      </c>
      <c r="U3557" s="422" t="s">
        <v>1953</v>
      </c>
      <c r="V3557" s="422" t="s">
        <v>2813</v>
      </c>
    </row>
    <row r="3558" spans="1:22" ht="15.75" thickBot="1" x14ac:dyDescent="0.3">
      <c r="A3558" s="422" t="s">
        <v>4591</v>
      </c>
      <c r="B3558" s="422" t="s">
        <v>4591</v>
      </c>
      <c r="C3558" s="424" t="str">
        <f t="shared" si="139"/>
        <v>Atlantic Cargo - Sociedade de Transportes, S.A.</v>
      </c>
      <c r="D3558" t="s">
        <v>1920</v>
      </c>
      <c r="F3558" t="s">
        <v>620</v>
      </c>
      <c r="G3558" s="89">
        <v>2016</v>
      </c>
      <c r="H3558" s="313" t="s">
        <v>733</v>
      </c>
      <c r="I3558" s="311" t="str">
        <f t="shared" si="138"/>
        <v>Pesado de Mercadorias N3:  : Gasóleo : E6</v>
      </c>
      <c r="K3558" s="422">
        <v>2023</v>
      </c>
      <c r="L3558">
        <v>63882.910000000025</v>
      </c>
      <c r="M3558" t="s">
        <v>630</v>
      </c>
      <c r="N3558" s="131">
        <v>180692</v>
      </c>
      <c r="P3558" s="89">
        <v>268</v>
      </c>
      <c r="Q3558" t="s">
        <v>1927</v>
      </c>
      <c r="R3558" t="s">
        <v>1869</v>
      </c>
      <c r="S3558" t="s">
        <v>1861</v>
      </c>
      <c r="T3558" t="s">
        <v>1935</v>
      </c>
      <c r="U3558" s="422" t="s">
        <v>1953</v>
      </c>
      <c r="V3558" s="422" t="s">
        <v>2813</v>
      </c>
    </row>
    <row r="3559" spans="1:22" ht="15.75" thickBot="1" x14ac:dyDescent="0.3">
      <c r="A3559" s="422" t="s">
        <v>4591</v>
      </c>
      <c r="B3559" s="422" t="s">
        <v>4591</v>
      </c>
      <c r="C3559" s="424" t="str">
        <f t="shared" si="139"/>
        <v>Atlantic Cargo - Sociedade de Transportes, S.A.</v>
      </c>
      <c r="D3559" t="s">
        <v>1920</v>
      </c>
      <c r="F3559" t="s">
        <v>620</v>
      </c>
      <c r="G3559" s="89">
        <v>2016</v>
      </c>
      <c r="H3559" s="313" t="s">
        <v>733</v>
      </c>
      <c r="I3559" s="311" t="str">
        <f t="shared" si="138"/>
        <v>Pesado de Mercadorias N3:  : Gasóleo : E6</v>
      </c>
      <c r="K3559" s="422">
        <v>2023</v>
      </c>
      <c r="L3559">
        <v>55987.94999999999</v>
      </c>
      <c r="M3559" t="s">
        <v>630</v>
      </c>
      <c r="N3559" s="131">
        <v>151337</v>
      </c>
      <c r="P3559" s="89">
        <v>269</v>
      </c>
      <c r="Q3559" t="s">
        <v>1927</v>
      </c>
      <c r="R3559" t="s">
        <v>1869</v>
      </c>
      <c r="S3559" t="s">
        <v>1861</v>
      </c>
      <c r="T3559" t="s">
        <v>1935</v>
      </c>
      <c r="U3559" s="422" t="s">
        <v>1953</v>
      </c>
      <c r="V3559" s="422" t="s">
        <v>2813</v>
      </c>
    </row>
    <row r="3560" spans="1:22" ht="15.75" thickBot="1" x14ac:dyDescent="0.3">
      <c r="A3560" s="422" t="s">
        <v>4591</v>
      </c>
      <c r="B3560" s="422" t="s">
        <v>4591</v>
      </c>
      <c r="C3560" s="424" t="str">
        <f t="shared" si="139"/>
        <v>Atlantic Cargo - Sociedade de Transportes, S.A.</v>
      </c>
      <c r="D3560" t="s">
        <v>1920</v>
      </c>
      <c r="F3560" t="s">
        <v>620</v>
      </c>
      <c r="G3560" s="89">
        <v>2016</v>
      </c>
      <c r="H3560" s="313" t="s">
        <v>733</v>
      </c>
      <c r="I3560" s="311" t="str">
        <f t="shared" si="138"/>
        <v>Pesado de Mercadorias N3:  : Gasóleo : E6</v>
      </c>
      <c r="K3560" s="422">
        <v>2023</v>
      </c>
      <c r="L3560">
        <v>54360.989999999983</v>
      </c>
      <c r="M3560" t="s">
        <v>630</v>
      </c>
      <c r="N3560" s="131">
        <v>159879</v>
      </c>
      <c r="P3560" s="89">
        <v>270</v>
      </c>
      <c r="Q3560" t="s">
        <v>1927</v>
      </c>
      <c r="R3560" t="s">
        <v>1869</v>
      </c>
      <c r="S3560" t="s">
        <v>1861</v>
      </c>
      <c r="T3560" t="s">
        <v>1935</v>
      </c>
      <c r="U3560" s="422" t="s">
        <v>1953</v>
      </c>
      <c r="V3560" s="422" t="s">
        <v>2813</v>
      </c>
    </row>
    <row r="3561" spans="1:22" ht="15.75" thickBot="1" x14ac:dyDescent="0.3">
      <c r="A3561" s="422" t="s">
        <v>4591</v>
      </c>
      <c r="B3561" s="422" t="s">
        <v>4591</v>
      </c>
      <c r="C3561" s="424" t="str">
        <f t="shared" si="139"/>
        <v>Atlantic Cargo - Sociedade de Transportes, S.A.</v>
      </c>
      <c r="D3561" t="s">
        <v>1920</v>
      </c>
      <c r="F3561" t="s">
        <v>620</v>
      </c>
      <c r="G3561" s="89">
        <v>2016</v>
      </c>
      <c r="H3561" s="313" t="s">
        <v>733</v>
      </c>
      <c r="I3561" s="311" t="str">
        <f t="shared" si="138"/>
        <v>Pesado de Mercadorias N3:  : Gasóleo : E6</v>
      </c>
      <c r="K3561" s="422">
        <v>2023</v>
      </c>
      <c r="L3561">
        <v>52688.209999999985</v>
      </c>
      <c r="M3561" t="s">
        <v>630</v>
      </c>
      <c r="N3561" s="131">
        <v>153995</v>
      </c>
      <c r="P3561" s="89">
        <v>271</v>
      </c>
      <c r="Q3561" t="s">
        <v>1927</v>
      </c>
      <c r="R3561" t="s">
        <v>1869</v>
      </c>
      <c r="S3561" t="s">
        <v>1861</v>
      </c>
      <c r="T3561" t="s">
        <v>1935</v>
      </c>
      <c r="U3561" s="422" t="s">
        <v>1953</v>
      </c>
      <c r="V3561" s="422" t="s">
        <v>2813</v>
      </c>
    </row>
    <row r="3562" spans="1:22" ht="15.75" thickBot="1" x14ac:dyDescent="0.3">
      <c r="A3562" s="422" t="s">
        <v>4591</v>
      </c>
      <c r="B3562" s="422" t="s">
        <v>4591</v>
      </c>
      <c r="C3562" s="424" t="str">
        <f t="shared" si="139"/>
        <v>Atlantic Cargo - Sociedade de Transportes, S.A.</v>
      </c>
      <c r="D3562" t="s">
        <v>1920</v>
      </c>
      <c r="F3562" t="s">
        <v>620</v>
      </c>
      <c r="G3562" s="89">
        <v>2016</v>
      </c>
      <c r="H3562" s="313" t="s">
        <v>733</v>
      </c>
      <c r="I3562" s="311" t="str">
        <f t="shared" si="138"/>
        <v>Pesado de Mercadorias N3:  : Gasóleo : E6</v>
      </c>
      <c r="K3562" s="422">
        <v>2023</v>
      </c>
      <c r="L3562">
        <v>44782.179999999986</v>
      </c>
      <c r="M3562" t="s">
        <v>630</v>
      </c>
      <c r="N3562" s="131">
        <v>128872</v>
      </c>
      <c r="P3562" s="89">
        <v>272</v>
      </c>
      <c r="Q3562" t="s">
        <v>1927</v>
      </c>
      <c r="R3562" t="s">
        <v>1869</v>
      </c>
      <c r="S3562" t="s">
        <v>1861</v>
      </c>
      <c r="T3562" t="s">
        <v>1935</v>
      </c>
      <c r="U3562" s="422" t="s">
        <v>1953</v>
      </c>
      <c r="V3562" s="422" t="s">
        <v>2813</v>
      </c>
    </row>
    <row r="3563" spans="1:22" ht="15.75" thickBot="1" x14ac:dyDescent="0.3">
      <c r="A3563" s="422" t="s">
        <v>4591</v>
      </c>
      <c r="B3563" s="422" t="s">
        <v>4591</v>
      </c>
      <c r="C3563" s="424" t="str">
        <f t="shared" si="139"/>
        <v>Atlantic Cargo - Sociedade de Transportes, S.A.</v>
      </c>
      <c r="D3563" t="s">
        <v>1920</v>
      </c>
      <c r="F3563" t="s">
        <v>620</v>
      </c>
      <c r="G3563" s="89">
        <v>2016</v>
      </c>
      <c r="H3563" s="313" t="s">
        <v>733</v>
      </c>
      <c r="I3563" s="311" t="str">
        <f t="shared" si="138"/>
        <v>Pesado de Mercadorias N3:  : Gasóleo : E6</v>
      </c>
      <c r="K3563" s="422">
        <v>2023</v>
      </c>
      <c r="L3563">
        <v>47746.819999999992</v>
      </c>
      <c r="M3563" t="s">
        <v>630</v>
      </c>
      <c r="N3563" s="131">
        <v>138520</v>
      </c>
      <c r="P3563" s="89">
        <v>273</v>
      </c>
      <c r="Q3563" t="s">
        <v>1927</v>
      </c>
      <c r="R3563" t="s">
        <v>1869</v>
      </c>
      <c r="S3563" t="s">
        <v>1861</v>
      </c>
      <c r="T3563" t="s">
        <v>1935</v>
      </c>
      <c r="U3563" s="422" t="s">
        <v>1953</v>
      </c>
      <c r="V3563" s="422" t="s">
        <v>2813</v>
      </c>
    </row>
    <row r="3564" spans="1:22" ht="15.75" thickBot="1" x14ac:dyDescent="0.3">
      <c r="A3564" s="422" t="s">
        <v>4591</v>
      </c>
      <c r="B3564" s="422" t="s">
        <v>4591</v>
      </c>
      <c r="C3564" s="424" t="str">
        <f t="shared" si="139"/>
        <v>Atlantic Cargo - Sociedade de Transportes, S.A.</v>
      </c>
      <c r="D3564" t="s">
        <v>1920</v>
      </c>
      <c r="F3564" t="s">
        <v>620</v>
      </c>
      <c r="G3564" s="89">
        <v>2016</v>
      </c>
      <c r="H3564" s="313" t="s">
        <v>733</v>
      </c>
      <c r="I3564" s="311" t="str">
        <f t="shared" si="138"/>
        <v>Pesado de Mercadorias N3:  : Gasóleo : E6</v>
      </c>
      <c r="K3564" s="422">
        <v>2023</v>
      </c>
      <c r="L3564">
        <v>41412.31</v>
      </c>
      <c r="M3564" t="s">
        <v>630</v>
      </c>
      <c r="N3564" s="131">
        <v>129782</v>
      </c>
      <c r="P3564" s="89">
        <v>274</v>
      </c>
      <c r="Q3564" t="s">
        <v>1927</v>
      </c>
      <c r="R3564" t="s">
        <v>1869</v>
      </c>
      <c r="S3564" t="s">
        <v>1861</v>
      </c>
      <c r="T3564" t="s">
        <v>1935</v>
      </c>
      <c r="U3564" s="422" t="s">
        <v>1953</v>
      </c>
      <c r="V3564" s="422" t="s">
        <v>2813</v>
      </c>
    </row>
    <row r="3565" spans="1:22" ht="15.75" thickBot="1" x14ac:dyDescent="0.3">
      <c r="A3565" s="422" t="s">
        <v>4591</v>
      </c>
      <c r="B3565" s="422" t="s">
        <v>4591</v>
      </c>
      <c r="C3565" s="424" t="str">
        <f t="shared" si="139"/>
        <v>Atlantic Cargo - Sociedade de Transportes, S.A.</v>
      </c>
      <c r="D3565" t="s">
        <v>1920</v>
      </c>
      <c r="F3565" t="s">
        <v>620</v>
      </c>
      <c r="G3565" s="89">
        <v>2016</v>
      </c>
      <c r="H3565" s="313" t="s">
        <v>733</v>
      </c>
      <c r="I3565" s="311" t="str">
        <f t="shared" si="138"/>
        <v>Pesado de Mercadorias N3:  : Gasóleo : E6</v>
      </c>
      <c r="K3565" s="422">
        <v>2023</v>
      </c>
      <c r="L3565">
        <v>30836.78</v>
      </c>
      <c r="M3565" t="s">
        <v>630</v>
      </c>
      <c r="N3565" s="131">
        <v>83169</v>
      </c>
      <c r="P3565" s="89">
        <v>275</v>
      </c>
      <c r="Q3565" t="s">
        <v>1927</v>
      </c>
      <c r="R3565" t="s">
        <v>1869</v>
      </c>
      <c r="S3565" t="s">
        <v>1861</v>
      </c>
      <c r="T3565" t="s">
        <v>1935</v>
      </c>
      <c r="U3565" s="422" t="s">
        <v>1953</v>
      </c>
      <c r="V3565" s="422" t="s">
        <v>2813</v>
      </c>
    </row>
    <row r="3566" spans="1:22" ht="15.75" thickBot="1" x14ac:dyDescent="0.3">
      <c r="A3566" s="422" t="s">
        <v>4591</v>
      </c>
      <c r="B3566" s="422" t="s">
        <v>4591</v>
      </c>
      <c r="C3566" s="424" t="str">
        <f t="shared" si="139"/>
        <v>Atlantic Cargo - Sociedade de Transportes, S.A.</v>
      </c>
      <c r="D3566" t="s">
        <v>1920</v>
      </c>
      <c r="F3566" t="s">
        <v>620</v>
      </c>
      <c r="G3566" s="89">
        <v>2016</v>
      </c>
      <c r="H3566" s="313" t="s">
        <v>733</v>
      </c>
      <c r="I3566" s="311" t="str">
        <f t="shared" si="138"/>
        <v>Pesado de Mercadorias N3:  : Gasóleo : E6</v>
      </c>
      <c r="K3566" s="422">
        <v>2023</v>
      </c>
      <c r="L3566">
        <v>34163.469999999987</v>
      </c>
      <c r="M3566" t="s">
        <v>630</v>
      </c>
      <c r="N3566" s="131">
        <v>83271</v>
      </c>
      <c r="P3566" s="89">
        <v>276</v>
      </c>
      <c r="Q3566" t="s">
        <v>1927</v>
      </c>
      <c r="R3566" t="s">
        <v>1869</v>
      </c>
      <c r="S3566" t="s">
        <v>1861</v>
      </c>
      <c r="T3566" t="s">
        <v>1935</v>
      </c>
      <c r="U3566" s="422" t="s">
        <v>1953</v>
      </c>
      <c r="V3566" s="422" t="s">
        <v>2813</v>
      </c>
    </row>
    <row r="3567" spans="1:22" ht="15.75" thickBot="1" x14ac:dyDescent="0.3">
      <c r="A3567" s="422" t="s">
        <v>4591</v>
      </c>
      <c r="B3567" s="422" t="s">
        <v>4591</v>
      </c>
      <c r="C3567" s="424" t="str">
        <f t="shared" si="139"/>
        <v>Atlantic Cargo - Sociedade de Transportes, S.A.</v>
      </c>
      <c r="D3567" t="s">
        <v>1920</v>
      </c>
      <c r="F3567" t="s">
        <v>620</v>
      </c>
      <c r="G3567" s="89">
        <v>2016</v>
      </c>
      <c r="H3567" s="313" t="s">
        <v>733</v>
      </c>
      <c r="I3567" s="311" t="str">
        <f t="shared" si="138"/>
        <v>Pesado de Mercadorias N3:  : Gasóleo : E6</v>
      </c>
      <c r="K3567" s="422">
        <v>2023</v>
      </c>
      <c r="L3567">
        <v>34400.31</v>
      </c>
      <c r="M3567" t="s">
        <v>630</v>
      </c>
      <c r="N3567" s="131">
        <v>83229</v>
      </c>
      <c r="P3567" s="89">
        <v>277</v>
      </c>
      <c r="Q3567" t="s">
        <v>1927</v>
      </c>
      <c r="R3567" t="s">
        <v>1869</v>
      </c>
      <c r="S3567" t="s">
        <v>1861</v>
      </c>
      <c r="T3567" t="s">
        <v>1935</v>
      </c>
      <c r="U3567" s="422" t="s">
        <v>1953</v>
      </c>
      <c r="V3567" s="422" t="s">
        <v>2813</v>
      </c>
    </row>
    <row r="3568" spans="1:22" ht="15.75" thickBot="1" x14ac:dyDescent="0.3">
      <c r="A3568" s="422" t="s">
        <v>4591</v>
      </c>
      <c r="B3568" s="422" t="s">
        <v>4591</v>
      </c>
      <c r="C3568" s="424" t="str">
        <f t="shared" si="139"/>
        <v>Atlantic Cargo - Sociedade de Transportes, S.A.</v>
      </c>
      <c r="D3568" t="s">
        <v>1920</v>
      </c>
      <c r="F3568" t="s">
        <v>620</v>
      </c>
      <c r="G3568" s="89">
        <v>2016</v>
      </c>
      <c r="H3568" s="313" t="s">
        <v>733</v>
      </c>
      <c r="I3568" s="311" t="str">
        <f t="shared" si="138"/>
        <v>Pesado de Mercadorias N3:  : Gasóleo : E6</v>
      </c>
      <c r="K3568" s="422">
        <v>2023</v>
      </c>
      <c r="L3568">
        <v>46093.07</v>
      </c>
      <c r="M3568" t="s">
        <v>630</v>
      </c>
      <c r="N3568" s="131">
        <v>122245</v>
      </c>
      <c r="P3568" s="89">
        <v>278</v>
      </c>
      <c r="Q3568" t="s">
        <v>1927</v>
      </c>
      <c r="R3568" t="s">
        <v>1869</v>
      </c>
      <c r="S3568" t="s">
        <v>1861</v>
      </c>
      <c r="T3568" t="s">
        <v>1935</v>
      </c>
      <c r="U3568" s="422" t="s">
        <v>1953</v>
      </c>
      <c r="V3568" s="422" t="s">
        <v>2813</v>
      </c>
    </row>
    <row r="3569" spans="1:22" ht="15.75" thickBot="1" x14ac:dyDescent="0.3">
      <c r="A3569" s="422" t="s">
        <v>4591</v>
      </c>
      <c r="B3569" s="422" t="s">
        <v>4591</v>
      </c>
      <c r="C3569" s="424" t="str">
        <f t="shared" si="139"/>
        <v>Atlantic Cargo - Sociedade de Transportes, S.A.</v>
      </c>
      <c r="D3569" t="s">
        <v>1920</v>
      </c>
      <c r="F3569" t="s">
        <v>620</v>
      </c>
      <c r="G3569" s="89">
        <v>2014</v>
      </c>
      <c r="H3569" s="313" t="s">
        <v>734</v>
      </c>
      <c r="I3569" s="311" t="str">
        <f t="shared" si="138"/>
        <v>Pesado de Mercadorias N3:  : Gasóleo : E5</v>
      </c>
      <c r="K3569" s="422">
        <v>2023</v>
      </c>
      <c r="L3569">
        <v>16636.02</v>
      </c>
      <c r="M3569" t="s">
        <v>630</v>
      </c>
      <c r="N3569" s="131">
        <v>39331</v>
      </c>
      <c r="P3569" s="89">
        <v>279</v>
      </c>
      <c r="Q3569" t="s">
        <v>1927</v>
      </c>
      <c r="R3569" t="s">
        <v>1869</v>
      </c>
      <c r="S3569" t="s">
        <v>1861</v>
      </c>
      <c r="T3569" t="s">
        <v>1935</v>
      </c>
      <c r="U3569" s="422" t="s">
        <v>1953</v>
      </c>
      <c r="V3569" s="422" t="s">
        <v>2813</v>
      </c>
    </row>
    <row r="3570" spans="1:22" ht="15.75" thickBot="1" x14ac:dyDescent="0.3">
      <c r="A3570" s="422" t="s">
        <v>4591</v>
      </c>
      <c r="B3570" s="422" t="s">
        <v>4591</v>
      </c>
      <c r="C3570" s="424" t="str">
        <f t="shared" si="139"/>
        <v>Atlantic Cargo - Sociedade de Transportes, S.A.</v>
      </c>
      <c r="D3570" t="s">
        <v>1920</v>
      </c>
      <c r="F3570" t="s">
        <v>620</v>
      </c>
      <c r="G3570" s="89">
        <v>2014</v>
      </c>
      <c r="H3570" s="313" t="s">
        <v>734</v>
      </c>
      <c r="I3570" s="311" t="str">
        <f t="shared" si="138"/>
        <v>Pesado de Mercadorias N3:  : Gasóleo : E5</v>
      </c>
      <c r="K3570" s="422">
        <v>2023</v>
      </c>
      <c r="L3570">
        <v>31505.09</v>
      </c>
      <c r="M3570" t="s">
        <v>630</v>
      </c>
      <c r="N3570" s="131">
        <v>78805</v>
      </c>
      <c r="P3570" s="89">
        <v>280</v>
      </c>
      <c r="Q3570" t="s">
        <v>1927</v>
      </c>
      <c r="R3570" t="s">
        <v>1869</v>
      </c>
      <c r="S3570" t="s">
        <v>1861</v>
      </c>
      <c r="T3570" t="s">
        <v>1935</v>
      </c>
      <c r="U3570" s="422" t="s">
        <v>1953</v>
      </c>
      <c r="V3570" s="422" t="s">
        <v>2813</v>
      </c>
    </row>
    <row r="3571" spans="1:22" ht="15.75" thickBot="1" x14ac:dyDescent="0.3">
      <c r="A3571" s="422" t="s">
        <v>4591</v>
      </c>
      <c r="B3571" s="422" t="s">
        <v>4591</v>
      </c>
      <c r="C3571" s="424" t="str">
        <f t="shared" si="139"/>
        <v>Atlantic Cargo - Sociedade de Transportes, S.A.</v>
      </c>
      <c r="D3571" t="s">
        <v>1920</v>
      </c>
      <c r="F3571" t="s">
        <v>620</v>
      </c>
      <c r="G3571" s="89">
        <v>2014</v>
      </c>
      <c r="H3571" s="313" t="s">
        <v>734</v>
      </c>
      <c r="I3571" s="311" t="str">
        <f t="shared" si="138"/>
        <v>Pesado de Mercadorias N3:  : Gasóleo : E5</v>
      </c>
      <c r="K3571" s="422">
        <v>2023</v>
      </c>
      <c r="L3571">
        <v>38010.36</v>
      </c>
      <c r="M3571" t="s">
        <v>630</v>
      </c>
      <c r="N3571" s="131">
        <v>92453</v>
      </c>
      <c r="P3571" s="89">
        <v>281</v>
      </c>
      <c r="Q3571" t="s">
        <v>1927</v>
      </c>
      <c r="R3571" t="s">
        <v>1869</v>
      </c>
      <c r="S3571" t="s">
        <v>1861</v>
      </c>
      <c r="T3571" t="s">
        <v>1935</v>
      </c>
      <c r="U3571" s="422" t="s">
        <v>1953</v>
      </c>
      <c r="V3571" s="422" t="s">
        <v>2813</v>
      </c>
    </row>
    <row r="3572" spans="1:22" ht="15.75" thickBot="1" x14ac:dyDescent="0.3">
      <c r="A3572" s="422" t="s">
        <v>4591</v>
      </c>
      <c r="B3572" s="422" t="s">
        <v>4591</v>
      </c>
      <c r="C3572" s="424" t="str">
        <f t="shared" si="139"/>
        <v>Atlantic Cargo - Sociedade de Transportes, S.A.</v>
      </c>
      <c r="D3572" t="s">
        <v>1920</v>
      </c>
      <c r="F3572" t="s">
        <v>620</v>
      </c>
      <c r="G3572" s="89">
        <v>2014</v>
      </c>
      <c r="H3572" s="313" t="s">
        <v>734</v>
      </c>
      <c r="I3572" s="311" t="str">
        <f t="shared" si="138"/>
        <v>Pesado de Mercadorias N3:  : Gasóleo : E5</v>
      </c>
      <c r="K3572" s="422">
        <v>2023</v>
      </c>
      <c r="L3572">
        <v>38287.579999999994</v>
      </c>
      <c r="M3572" t="s">
        <v>630</v>
      </c>
      <c r="N3572" s="131">
        <v>96115</v>
      </c>
      <c r="P3572" s="89">
        <v>282</v>
      </c>
      <c r="Q3572" t="s">
        <v>1927</v>
      </c>
      <c r="R3572" t="s">
        <v>1869</v>
      </c>
      <c r="S3572" t="s">
        <v>1861</v>
      </c>
      <c r="T3572" t="s">
        <v>1935</v>
      </c>
      <c r="U3572" s="422" t="s">
        <v>1953</v>
      </c>
      <c r="V3572" s="422" t="s">
        <v>2813</v>
      </c>
    </row>
    <row r="3573" spans="1:22" ht="15.75" thickBot="1" x14ac:dyDescent="0.3">
      <c r="A3573" s="422" t="s">
        <v>4591</v>
      </c>
      <c r="B3573" s="422" t="s">
        <v>4591</v>
      </c>
      <c r="C3573" s="424" t="str">
        <f t="shared" si="139"/>
        <v>Atlantic Cargo - Sociedade de Transportes, S.A.</v>
      </c>
      <c r="D3573" t="s">
        <v>1920</v>
      </c>
      <c r="F3573" t="s">
        <v>620</v>
      </c>
      <c r="G3573" s="89">
        <v>2014</v>
      </c>
      <c r="H3573" s="313" t="s">
        <v>734</v>
      </c>
      <c r="I3573" s="311" t="str">
        <f t="shared" si="138"/>
        <v>Pesado de Mercadorias N3:  : Gasóleo : E5</v>
      </c>
      <c r="K3573" s="422">
        <v>2023</v>
      </c>
      <c r="L3573">
        <v>6922.36</v>
      </c>
      <c r="M3573" t="s">
        <v>630</v>
      </c>
      <c r="N3573" s="131">
        <v>16149</v>
      </c>
      <c r="P3573" s="89">
        <v>283</v>
      </c>
      <c r="Q3573" t="s">
        <v>1927</v>
      </c>
      <c r="R3573" t="s">
        <v>1869</v>
      </c>
      <c r="S3573" t="s">
        <v>1861</v>
      </c>
      <c r="T3573" t="s">
        <v>1935</v>
      </c>
      <c r="U3573" s="422" t="s">
        <v>1953</v>
      </c>
      <c r="V3573" s="422" t="s">
        <v>2813</v>
      </c>
    </row>
    <row r="3574" spans="1:22" ht="15.75" thickBot="1" x14ac:dyDescent="0.3">
      <c r="A3574" s="422" t="s">
        <v>4591</v>
      </c>
      <c r="B3574" s="422" t="s">
        <v>4591</v>
      </c>
      <c r="C3574" s="424" t="str">
        <f t="shared" si="139"/>
        <v>Atlantic Cargo - Sociedade de Transportes, S.A.</v>
      </c>
      <c r="D3574" t="s">
        <v>1920</v>
      </c>
      <c r="F3574" t="s">
        <v>620</v>
      </c>
      <c r="G3574" s="89">
        <v>2014</v>
      </c>
      <c r="H3574" s="313" t="s">
        <v>734</v>
      </c>
      <c r="I3574" s="311" t="str">
        <f t="shared" ref="I3574:I3637" si="140">D3574&amp;": "&amp;E3574&amp;" : "&amp;F3574&amp;" : "&amp;H3574</f>
        <v>Pesado de Mercadorias N3:  : Gasóleo : E5</v>
      </c>
      <c r="K3574" s="422">
        <v>2023</v>
      </c>
      <c r="L3574">
        <v>30274.690000000002</v>
      </c>
      <c r="M3574" t="s">
        <v>630</v>
      </c>
      <c r="N3574" s="131">
        <v>75265</v>
      </c>
      <c r="P3574" s="89">
        <v>284</v>
      </c>
      <c r="Q3574" t="s">
        <v>1927</v>
      </c>
      <c r="R3574" t="s">
        <v>1869</v>
      </c>
      <c r="S3574" t="s">
        <v>1861</v>
      </c>
      <c r="T3574" t="s">
        <v>1935</v>
      </c>
      <c r="U3574" s="422" t="s">
        <v>1953</v>
      </c>
      <c r="V3574" s="422" t="s">
        <v>2813</v>
      </c>
    </row>
    <row r="3575" spans="1:22" ht="15.75" thickBot="1" x14ac:dyDescent="0.3">
      <c r="A3575" s="422" t="s">
        <v>4591</v>
      </c>
      <c r="B3575" s="422" t="s">
        <v>4591</v>
      </c>
      <c r="C3575" s="424" t="str">
        <f t="shared" si="139"/>
        <v>Atlantic Cargo - Sociedade de Transportes, S.A.</v>
      </c>
      <c r="D3575" t="s">
        <v>1920</v>
      </c>
      <c r="F3575" t="s">
        <v>620</v>
      </c>
      <c r="G3575" s="89">
        <v>2014</v>
      </c>
      <c r="H3575" s="313" t="s">
        <v>734</v>
      </c>
      <c r="I3575" s="311" t="str">
        <f t="shared" si="140"/>
        <v>Pesado de Mercadorias N3:  : Gasóleo : E5</v>
      </c>
      <c r="K3575" s="422">
        <v>2023</v>
      </c>
      <c r="L3575">
        <v>27893.109999999997</v>
      </c>
      <c r="M3575" t="s">
        <v>630</v>
      </c>
      <c r="N3575" s="131">
        <v>71538</v>
      </c>
      <c r="P3575" s="89">
        <v>285</v>
      </c>
      <c r="Q3575" t="s">
        <v>1927</v>
      </c>
      <c r="R3575" t="s">
        <v>1869</v>
      </c>
      <c r="S3575" t="s">
        <v>1861</v>
      </c>
      <c r="T3575" t="s">
        <v>1935</v>
      </c>
      <c r="U3575" s="422" t="s">
        <v>1953</v>
      </c>
      <c r="V3575" s="422" t="s">
        <v>2813</v>
      </c>
    </row>
    <row r="3576" spans="1:22" ht="15.75" thickBot="1" x14ac:dyDescent="0.3">
      <c r="A3576" s="422" t="s">
        <v>4591</v>
      </c>
      <c r="B3576" s="422" t="s">
        <v>4591</v>
      </c>
      <c r="C3576" s="424" t="str">
        <f t="shared" si="139"/>
        <v>Atlantic Cargo - Sociedade de Transportes, S.A.</v>
      </c>
      <c r="D3576" t="s">
        <v>1920</v>
      </c>
      <c r="F3576" t="s">
        <v>620</v>
      </c>
      <c r="G3576" s="89">
        <v>2014</v>
      </c>
      <c r="H3576" s="313" t="s">
        <v>734</v>
      </c>
      <c r="I3576" s="311" t="str">
        <f t="shared" si="140"/>
        <v>Pesado de Mercadorias N3:  : Gasóleo : E5</v>
      </c>
      <c r="K3576" s="422">
        <v>2023</v>
      </c>
      <c r="L3576">
        <v>37697.789999999994</v>
      </c>
      <c r="M3576" t="s">
        <v>630</v>
      </c>
      <c r="N3576" s="131">
        <v>96910</v>
      </c>
      <c r="P3576" s="89">
        <v>286</v>
      </c>
      <c r="Q3576" t="s">
        <v>1927</v>
      </c>
      <c r="R3576" t="s">
        <v>1869</v>
      </c>
      <c r="S3576" t="s">
        <v>1861</v>
      </c>
      <c r="T3576" t="s">
        <v>1935</v>
      </c>
      <c r="U3576" s="422" t="s">
        <v>1953</v>
      </c>
      <c r="V3576" s="422" t="s">
        <v>2813</v>
      </c>
    </row>
    <row r="3577" spans="1:22" ht="15.75" thickBot="1" x14ac:dyDescent="0.3">
      <c r="A3577" s="422" t="s">
        <v>4591</v>
      </c>
      <c r="B3577" s="422" t="s">
        <v>4591</v>
      </c>
      <c r="C3577" s="424" t="str">
        <f t="shared" si="139"/>
        <v>Atlantic Cargo - Sociedade de Transportes, S.A.</v>
      </c>
      <c r="D3577" t="s">
        <v>1920</v>
      </c>
      <c r="F3577" t="s">
        <v>620</v>
      </c>
      <c r="G3577" s="89">
        <v>2014</v>
      </c>
      <c r="H3577" s="313" t="s">
        <v>734</v>
      </c>
      <c r="I3577" s="311" t="str">
        <f t="shared" si="140"/>
        <v>Pesado de Mercadorias N3:  : Gasóleo : E5</v>
      </c>
      <c r="K3577" s="422">
        <v>2023</v>
      </c>
      <c r="L3577">
        <v>16370</v>
      </c>
      <c r="M3577" t="s">
        <v>630</v>
      </c>
      <c r="N3577" s="131">
        <v>39514</v>
      </c>
      <c r="P3577" s="89">
        <v>287</v>
      </c>
      <c r="Q3577" t="s">
        <v>1927</v>
      </c>
      <c r="R3577" t="s">
        <v>1869</v>
      </c>
      <c r="S3577" t="s">
        <v>1861</v>
      </c>
      <c r="T3577" t="s">
        <v>1935</v>
      </c>
      <c r="U3577" s="422" t="s">
        <v>1953</v>
      </c>
      <c r="V3577" s="422" t="s">
        <v>2813</v>
      </c>
    </row>
    <row r="3578" spans="1:22" ht="15.75" thickBot="1" x14ac:dyDescent="0.3">
      <c r="A3578" s="422" t="s">
        <v>4591</v>
      </c>
      <c r="B3578" s="422" t="s">
        <v>4591</v>
      </c>
      <c r="C3578" s="424" t="str">
        <f t="shared" si="139"/>
        <v>Atlantic Cargo - Sociedade de Transportes, S.A.</v>
      </c>
      <c r="D3578" t="s">
        <v>1920</v>
      </c>
      <c r="F3578" t="s">
        <v>620</v>
      </c>
      <c r="G3578" s="89">
        <v>2014</v>
      </c>
      <c r="H3578" s="313" t="s">
        <v>734</v>
      </c>
      <c r="I3578" s="311" t="str">
        <f t="shared" si="140"/>
        <v>Pesado de Mercadorias N3:  : Gasóleo : E5</v>
      </c>
      <c r="K3578" s="422">
        <v>2023</v>
      </c>
      <c r="L3578">
        <v>23363.979999999996</v>
      </c>
      <c r="M3578" t="s">
        <v>630</v>
      </c>
      <c r="N3578" s="131">
        <v>41129</v>
      </c>
      <c r="P3578" s="89">
        <v>288</v>
      </c>
      <c r="Q3578" t="s">
        <v>1927</v>
      </c>
      <c r="R3578" t="s">
        <v>1869</v>
      </c>
      <c r="S3578" t="s">
        <v>1861</v>
      </c>
      <c r="T3578" t="s">
        <v>1935</v>
      </c>
      <c r="U3578" s="422" t="s">
        <v>1953</v>
      </c>
      <c r="V3578" s="422" t="s">
        <v>2813</v>
      </c>
    </row>
    <row r="3579" spans="1:22" ht="15.75" thickBot="1" x14ac:dyDescent="0.3">
      <c r="A3579" s="422" t="s">
        <v>4591</v>
      </c>
      <c r="B3579" s="422" t="s">
        <v>4591</v>
      </c>
      <c r="C3579" s="424" t="str">
        <f t="shared" si="139"/>
        <v>Atlantic Cargo - Sociedade de Transportes, S.A.</v>
      </c>
      <c r="D3579" t="s">
        <v>1920</v>
      </c>
      <c r="F3579" t="s">
        <v>620</v>
      </c>
      <c r="G3579" s="89">
        <v>2018</v>
      </c>
      <c r="H3579" s="313" t="s">
        <v>733</v>
      </c>
      <c r="I3579" s="311" t="str">
        <f t="shared" si="140"/>
        <v>Pesado de Mercadorias N3:  : Gasóleo : E6</v>
      </c>
      <c r="K3579" s="422">
        <v>2023</v>
      </c>
      <c r="L3579">
        <v>49424.62</v>
      </c>
      <c r="M3579" t="s">
        <v>630</v>
      </c>
      <c r="N3579" s="131">
        <v>133861</v>
      </c>
      <c r="P3579" s="89">
        <v>289</v>
      </c>
      <c r="Q3579" t="s">
        <v>1927</v>
      </c>
      <c r="R3579" t="s">
        <v>1869</v>
      </c>
      <c r="S3579" t="s">
        <v>1861</v>
      </c>
      <c r="T3579" t="s">
        <v>1935</v>
      </c>
      <c r="U3579" s="422" t="s">
        <v>1953</v>
      </c>
      <c r="V3579" s="422" t="s">
        <v>2813</v>
      </c>
    </row>
    <row r="3580" spans="1:22" ht="15.75" thickBot="1" x14ac:dyDescent="0.3">
      <c r="A3580" s="422" t="s">
        <v>4591</v>
      </c>
      <c r="B3580" s="422" t="s">
        <v>4591</v>
      </c>
      <c r="C3580" s="424" t="str">
        <f t="shared" si="139"/>
        <v>Atlantic Cargo - Sociedade de Transportes, S.A.</v>
      </c>
      <c r="D3580" t="s">
        <v>1920</v>
      </c>
      <c r="F3580" t="s">
        <v>620</v>
      </c>
      <c r="G3580" s="89">
        <v>2018</v>
      </c>
      <c r="H3580" s="313" t="s">
        <v>733</v>
      </c>
      <c r="I3580" s="311" t="str">
        <f t="shared" si="140"/>
        <v>Pesado de Mercadorias N3:  : Gasóleo : E6</v>
      </c>
      <c r="K3580" s="422">
        <v>2023</v>
      </c>
      <c r="L3580">
        <v>50154.529999999984</v>
      </c>
      <c r="M3580" t="s">
        <v>630</v>
      </c>
      <c r="N3580" s="131">
        <v>150051</v>
      </c>
      <c r="P3580" s="89">
        <v>290</v>
      </c>
      <c r="Q3580" t="s">
        <v>1927</v>
      </c>
      <c r="R3580" t="s">
        <v>1869</v>
      </c>
      <c r="S3580" t="s">
        <v>1861</v>
      </c>
      <c r="T3580" t="s">
        <v>1935</v>
      </c>
      <c r="U3580" s="422" t="s">
        <v>1953</v>
      </c>
      <c r="V3580" s="422" t="s">
        <v>2813</v>
      </c>
    </row>
    <row r="3581" spans="1:22" ht="15.75" thickBot="1" x14ac:dyDescent="0.3">
      <c r="A3581" s="422" t="s">
        <v>4591</v>
      </c>
      <c r="B3581" s="422" t="s">
        <v>4591</v>
      </c>
      <c r="C3581" s="424" t="str">
        <f t="shared" si="139"/>
        <v>Atlantic Cargo - Sociedade de Transportes, S.A.</v>
      </c>
      <c r="D3581" t="s">
        <v>1920</v>
      </c>
      <c r="F3581" t="s">
        <v>620</v>
      </c>
      <c r="G3581" s="89">
        <v>2018</v>
      </c>
      <c r="H3581" s="313" t="s">
        <v>733</v>
      </c>
      <c r="I3581" s="311" t="str">
        <f t="shared" si="140"/>
        <v>Pesado de Mercadorias N3:  : Gasóleo : E6</v>
      </c>
      <c r="K3581" s="422">
        <v>2023</v>
      </c>
      <c r="L3581">
        <v>45821.260000000009</v>
      </c>
      <c r="M3581" t="s">
        <v>630</v>
      </c>
      <c r="N3581" s="131">
        <v>126931</v>
      </c>
      <c r="P3581" s="89">
        <v>291</v>
      </c>
      <c r="Q3581" t="s">
        <v>1927</v>
      </c>
      <c r="R3581" t="s">
        <v>1869</v>
      </c>
      <c r="S3581" t="s">
        <v>1861</v>
      </c>
      <c r="T3581" t="s">
        <v>1935</v>
      </c>
      <c r="U3581" s="422" t="s">
        <v>1953</v>
      </c>
      <c r="V3581" s="422" t="s">
        <v>2813</v>
      </c>
    </row>
    <row r="3582" spans="1:22" ht="15.75" thickBot="1" x14ac:dyDescent="0.3">
      <c r="A3582" s="422" t="s">
        <v>4591</v>
      </c>
      <c r="B3582" s="422" t="s">
        <v>4591</v>
      </c>
      <c r="C3582" s="424" t="str">
        <f t="shared" si="139"/>
        <v>Atlantic Cargo - Sociedade de Transportes, S.A.</v>
      </c>
      <c r="D3582" t="s">
        <v>1920</v>
      </c>
      <c r="F3582" t="s">
        <v>620</v>
      </c>
      <c r="G3582" s="89">
        <v>2018</v>
      </c>
      <c r="H3582" s="313" t="s">
        <v>733</v>
      </c>
      <c r="I3582" s="311" t="str">
        <f t="shared" si="140"/>
        <v>Pesado de Mercadorias N3:  : Gasóleo : E6</v>
      </c>
      <c r="K3582" s="422">
        <v>2023</v>
      </c>
      <c r="L3582">
        <v>26929.179999999993</v>
      </c>
      <c r="M3582" t="s">
        <v>630</v>
      </c>
      <c r="N3582" s="131">
        <v>82634</v>
      </c>
      <c r="P3582" s="89">
        <v>292</v>
      </c>
      <c r="Q3582" t="s">
        <v>1927</v>
      </c>
      <c r="R3582" t="s">
        <v>1869</v>
      </c>
      <c r="S3582" t="s">
        <v>1861</v>
      </c>
      <c r="T3582" t="s">
        <v>1935</v>
      </c>
      <c r="U3582" s="422" t="s">
        <v>1953</v>
      </c>
      <c r="V3582" s="422" t="s">
        <v>2813</v>
      </c>
    </row>
    <row r="3583" spans="1:22" ht="15.75" thickBot="1" x14ac:dyDescent="0.3">
      <c r="A3583" s="422" t="s">
        <v>4591</v>
      </c>
      <c r="B3583" s="422" t="s">
        <v>4591</v>
      </c>
      <c r="C3583" s="424" t="str">
        <f t="shared" si="139"/>
        <v>Atlantic Cargo - Sociedade de Transportes, S.A.</v>
      </c>
      <c r="D3583" t="s">
        <v>1920</v>
      </c>
      <c r="F3583" t="s">
        <v>620</v>
      </c>
      <c r="G3583" s="89">
        <v>2018</v>
      </c>
      <c r="H3583" s="313" t="s">
        <v>733</v>
      </c>
      <c r="I3583" s="311" t="str">
        <f t="shared" si="140"/>
        <v>Pesado de Mercadorias N3:  : Gasóleo : E6</v>
      </c>
      <c r="K3583" s="422">
        <v>2023</v>
      </c>
      <c r="L3583">
        <v>44133.1</v>
      </c>
      <c r="M3583" t="s">
        <v>630</v>
      </c>
      <c r="N3583" s="131">
        <v>138064</v>
      </c>
      <c r="P3583" s="89">
        <v>293</v>
      </c>
      <c r="Q3583" t="s">
        <v>1927</v>
      </c>
      <c r="R3583" t="s">
        <v>1869</v>
      </c>
      <c r="S3583" t="s">
        <v>1861</v>
      </c>
      <c r="T3583" t="s">
        <v>1935</v>
      </c>
      <c r="U3583" s="422" t="s">
        <v>1953</v>
      </c>
      <c r="V3583" s="422" t="s">
        <v>2813</v>
      </c>
    </row>
    <row r="3584" spans="1:22" ht="15.75" thickBot="1" x14ac:dyDescent="0.3">
      <c r="A3584" s="422" t="s">
        <v>4591</v>
      </c>
      <c r="B3584" s="422" t="s">
        <v>4591</v>
      </c>
      <c r="C3584" s="424" t="str">
        <f t="shared" si="139"/>
        <v>Atlantic Cargo - Sociedade de Transportes, S.A.</v>
      </c>
      <c r="D3584" t="s">
        <v>1920</v>
      </c>
      <c r="F3584" t="s">
        <v>620</v>
      </c>
      <c r="G3584" s="89">
        <v>2018</v>
      </c>
      <c r="H3584" s="313" t="s">
        <v>733</v>
      </c>
      <c r="I3584" s="311" t="str">
        <f t="shared" si="140"/>
        <v>Pesado de Mercadorias N3:  : Gasóleo : E6</v>
      </c>
      <c r="K3584" s="422">
        <v>2023</v>
      </c>
      <c r="L3584">
        <v>47088.319999999985</v>
      </c>
      <c r="M3584" t="s">
        <v>630</v>
      </c>
      <c r="N3584" s="131">
        <v>132049</v>
      </c>
      <c r="P3584" s="89">
        <v>294</v>
      </c>
      <c r="Q3584" t="s">
        <v>1927</v>
      </c>
      <c r="R3584" t="s">
        <v>1869</v>
      </c>
      <c r="S3584" t="s">
        <v>1861</v>
      </c>
      <c r="T3584" t="s">
        <v>1935</v>
      </c>
      <c r="U3584" s="422" t="s">
        <v>1953</v>
      </c>
      <c r="V3584" s="422" t="s">
        <v>2813</v>
      </c>
    </row>
    <row r="3585" spans="1:22" ht="15.75" thickBot="1" x14ac:dyDescent="0.3">
      <c r="A3585" s="422" t="s">
        <v>4591</v>
      </c>
      <c r="B3585" s="422" t="s">
        <v>4591</v>
      </c>
      <c r="C3585" s="424" t="str">
        <f t="shared" si="139"/>
        <v>Atlantic Cargo - Sociedade de Transportes, S.A.</v>
      </c>
      <c r="D3585" t="s">
        <v>1920</v>
      </c>
      <c r="F3585" t="s">
        <v>620</v>
      </c>
      <c r="G3585" s="89">
        <v>2018</v>
      </c>
      <c r="H3585" s="313" t="s">
        <v>733</v>
      </c>
      <c r="I3585" s="311" t="str">
        <f t="shared" si="140"/>
        <v>Pesado de Mercadorias N3:  : Gasóleo : E6</v>
      </c>
      <c r="K3585" s="422">
        <v>2023</v>
      </c>
      <c r="L3585">
        <v>9810.9199999999983</v>
      </c>
      <c r="M3585" t="s">
        <v>630</v>
      </c>
      <c r="N3585" s="131">
        <v>26763</v>
      </c>
      <c r="P3585" s="89">
        <v>295</v>
      </c>
      <c r="Q3585" t="s">
        <v>1927</v>
      </c>
      <c r="R3585" t="s">
        <v>1869</v>
      </c>
      <c r="S3585" t="s">
        <v>1861</v>
      </c>
      <c r="T3585" t="s">
        <v>1935</v>
      </c>
      <c r="U3585" s="422" t="s">
        <v>1953</v>
      </c>
      <c r="V3585" s="422" t="s">
        <v>2813</v>
      </c>
    </row>
    <row r="3586" spans="1:22" ht="15.75" thickBot="1" x14ac:dyDescent="0.3">
      <c r="A3586" s="422" t="s">
        <v>4591</v>
      </c>
      <c r="B3586" s="422" t="s">
        <v>4591</v>
      </c>
      <c r="C3586" s="424" t="str">
        <f t="shared" si="139"/>
        <v>Atlantic Cargo - Sociedade de Transportes, S.A.</v>
      </c>
      <c r="D3586" t="s">
        <v>1920</v>
      </c>
      <c r="F3586" t="s">
        <v>620</v>
      </c>
      <c r="G3586" s="89">
        <v>2018</v>
      </c>
      <c r="H3586" s="313" t="s">
        <v>733</v>
      </c>
      <c r="I3586" s="311" t="str">
        <f t="shared" si="140"/>
        <v>Pesado de Mercadorias N3:  : Gasóleo : E6</v>
      </c>
      <c r="K3586" s="422">
        <v>2023</v>
      </c>
      <c r="L3586">
        <v>49804.210000000021</v>
      </c>
      <c r="M3586" t="s">
        <v>630</v>
      </c>
      <c r="N3586" s="131">
        <v>134730</v>
      </c>
      <c r="P3586" s="89">
        <v>296</v>
      </c>
      <c r="Q3586" t="s">
        <v>1927</v>
      </c>
      <c r="R3586" t="s">
        <v>1869</v>
      </c>
      <c r="S3586" t="s">
        <v>1861</v>
      </c>
      <c r="T3586" t="s">
        <v>1935</v>
      </c>
      <c r="U3586" s="422" t="s">
        <v>1953</v>
      </c>
      <c r="V3586" s="422" t="s">
        <v>2813</v>
      </c>
    </row>
    <row r="3587" spans="1:22" ht="15.75" thickBot="1" x14ac:dyDescent="0.3">
      <c r="A3587" s="422" t="s">
        <v>4591</v>
      </c>
      <c r="B3587" s="422" t="s">
        <v>4591</v>
      </c>
      <c r="C3587" s="424" t="str">
        <f t="shared" si="139"/>
        <v>Atlantic Cargo - Sociedade de Transportes, S.A.</v>
      </c>
      <c r="D3587" t="s">
        <v>1920</v>
      </c>
      <c r="F3587" t="s">
        <v>620</v>
      </c>
      <c r="G3587" s="89">
        <v>2018</v>
      </c>
      <c r="H3587" s="313" t="s">
        <v>733</v>
      </c>
      <c r="I3587" s="311" t="str">
        <f t="shared" si="140"/>
        <v>Pesado de Mercadorias N3:  : Gasóleo : E6</v>
      </c>
      <c r="K3587" s="422">
        <v>2023</v>
      </c>
      <c r="L3587">
        <v>43691.259999999995</v>
      </c>
      <c r="M3587" t="s">
        <v>630</v>
      </c>
      <c r="N3587" s="131">
        <v>126609</v>
      </c>
      <c r="P3587" s="89">
        <v>297</v>
      </c>
      <c r="Q3587" t="s">
        <v>1927</v>
      </c>
      <c r="R3587" t="s">
        <v>1869</v>
      </c>
      <c r="S3587" t="s">
        <v>1861</v>
      </c>
      <c r="T3587" t="s">
        <v>1935</v>
      </c>
      <c r="U3587" s="422" t="s">
        <v>1953</v>
      </c>
      <c r="V3587" s="422" t="s">
        <v>2813</v>
      </c>
    </row>
    <row r="3588" spans="1:22" ht="15.75" thickBot="1" x14ac:dyDescent="0.3">
      <c r="A3588" s="422" t="s">
        <v>4591</v>
      </c>
      <c r="B3588" s="422" t="s">
        <v>4591</v>
      </c>
      <c r="C3588" s="424" t="str">
        <f t="shared" si="139"/>
        <v>Atlantic Cargo - Sociedade de Transportes, S.A.</v>
      </c>
      <c r="D3588" t="s">
        <v>1920</v>
      </c>
      <c r="F3588" t="s">
        <v>620</v>
      </c>
      <c r="G3588" s="89">
        <v>2018</v>
      </c>
      <c r="H3588" s="313" t="s">
        <v>733</v>
      </c>
      <c r="I3588" s="311" t="str">
        <f t="shared" si="140"/>
        <v>Pesado de Mercadorias N3:  : Gasóleo : E6</v>
      </c>
      <c r="K3588" s="422">
        <v>2023</v>
      </c>
      <c r="L3588">
        <v>58743.74000000002</v>
      </c>
      <c r="M3588" t="s">
        <v>630</v>
      </c>
      <c r="N3588" s="131">
        <v>194475</v>
      </c>
      <c r="P3588" s="89">
        <v>298</v>
      </c>
      <c r="Q3588" t="s">
        <v>1927</v>
      </c>
      <c r="R3588" t="s">
        <v>1869</v>
      </c>
      <c r="S3588" t="s">
        <v>1861</v>
      </c>
      <c r="T3588" t="s">
        <v>1935</v>
      </c>
      <c r="U3588" s="422" t="s">
        <v>1953</v>
      </c>
      <c r="V3588" s="422" t="s">
        <v>2813</v>
      </c>
    </row>
    <row r="3589" spans="1:22" ht="15.75" thickBot="1" x14ac:dyDescent="0.3">
      <c r="A3589" s="422" t="s">
        <v>4591</v>
      </c>
      <c r="B3589" s="422" t="s">
        <v>4591</v>
      </c>
      <c r="C3589" s="424" t="str">
        <f t="shared" si="139"/>
        <v>Atlantic Cargo - Sociedade de Transportes, S.A.</v>
      </c>
      <c r="D3589" t="s">
        <v>1920</v>
      </c>
      <c r="F3589" t="s">
        <v>620</v>
      </c>
      <c r="G3589" s="89">
        <v>2023</v>
      </c>
      <c r="H3589" s="313" t="s">
        <v>733</v>
      </c>
      <c r="I3589" s="311" t="str">
        <f t="shared" si="140"/>
        <v>Pesado de Mercadorias N3:  : Gasóleo : E6</v>
      </c>
      <c r="K3589" s="422">
        <v>2023</v>
      </c>
      <c r="L3589">
        <v>22950.55</v>
      </c>
      <c r="M3589" t="s">
        <v>630</v>
      </c>
      <c r="N3589" s="131">
        <v>68429</v>
      </c>
      <c r="P3589" s="89">
        <v>299</v>
      </c>
      <c r="Q3589" t="s">
        <v>1927</v>
      </c>
      <c r="R3589" t="s">
        <v>1869</v>
      </c>
      <c r="S3589" t="s">
        <v>1861</v>
      </c>
      <c r="T3589" t="s">
        <v>1935</v>
      </c>
      <c r="U3589" s="422" t="s">
        <v>1953</v>
      </c>
      <c r="V3589" s="422" t="s">
        <v>2813</v>
      </c>
    </row>
    <row r="3590" spans="1:22" ht="15.75" thickBot="1" x14ac:dyDescent="0.3">
      <c r="A3590" s="422" t="s">
        <v>4591</v>
      </c>
      <c r="B3590" s="422" t="s">
        <v>4591</v>
      </c>
      <c r="C3590" s="424" t="str">
        <f t="shared" si="139"/>
        <v>Atlantic Cargo - Sociedade de Transportes, S.A.</v>
      </c>
      <c r="D3590" t="s">
        <v>1920</v>
      </c>
      <c r="F3590" t="s">
        <v>620</v>
      </c>
      <c r="G3590" s="89">
        <v>2023</v>
      </c>
      <c r="H3590" s="313" t="s">
        <v>733</v>
      </c>
      <c r="I3590" s="311" t="str">
        <f t="shared" si="140"/>
        <v>Pesado de Mercadorias N3:  : Gasóleo : E6</v>
      </c>
      <c r="K3590" s="422">
        <v>2023</v>
      </c>
      <c r="L3590">
        <v>40429.22</v>
      </c>
      <c r="M3590" t="s">
        <v>630</v>
      </c>
      <c r="N3590" s="131">
        <v>120364</v>
      </c>
      <c r="P3590" s="89">
        <v>300</v>
      </c>
      <c r="Q3590" t="s">
        <v>1927</v>
      </c>
      <c r="R3590" t="s">
        <v>1869</v>
      </c>
      <c r="S3590" t="s">
        <v>1861</v>
      </c>
      <c r="T3590" t="s">
        <v>1935</v>
      </c>
      <c r="U3590" s="422" t="s">
        <v>1953</v>
      </c>
      <c r="V3590" s="422" t="s">
        <v>2813</v>
      </c>
    </row>
    <row r="3591" spans="1:22" ht="15.75" thickBot="1" x14ac:dyDescent="0.3">
      <c r="A3591" s="422" t="s">
        <v>4591</v>
      </c>
      <c r="B3591" s="422" t="s">
        <v>4591</v>
      </c>
      <c r="C3591" s="424" t="str">
        <f t="shared" si="139"/>
        <v>Atlantic Cargo - Sociedade de Transportes, S.A.</v>
      </c>
      <c r="D3591" t="s">
        <v>1920</v>
      </c>
      <c r="F3591" t="s">
        <v>620</v>
      </c>
      <c r="G3591" s="89">
        <v>2023</v>
      </c>
      <c r="H3591" s="313" t="s">
        <v>733</v>
      </c>
      <c r="I3591" s="311" t="str">
        <f t="shared" si="140"/>
        <v>Pesado de Mercadorias N3:  : Gasóleo : E6</v>
      </c>
      <c r="K3591" s="422">
        <v>2023</v>
      </c>
      <c r="L3591">
        <v>35523.609999999993</v>
      </c>
      <c r="M3591" t="s">
        <v>630</v>
      </c>
      <c r="N3591" s="131">
        <v>106779</v>
      </c>
      <c r="P3591" s="89">
        <v>301</v>
      </c>
      <c r="Q3591" t="s">
        <v>1927</v>
      </c>
      <c r="R3591" t="s">
        <v>1869</v>
      </c>
      <c r="S3591" t="s">
        <v>1861</v>
      </c>
      <c r="T3591" t="s">
        <v>1935</v>
      </c>
      <c r="U3591" s="422" t="s">
        <v>1953</v>
      </c>
      <c r="V3591" s="422" t="s">
        <v>2813</v>
      </c>
    </row>
    <row r="3592" spans="1:22" ht="15.75" thickBot="1" x14ac:dyDescent="0.3">
      <c r="A3592" s="422" t="s">
        <v>4591</v>
      </c>
      <c r="B3592" s="422" t="s">
        <v>4591</v>
      </c>
      <c r="C3592" s="424" t="str">
        <f t="shared" si="139"/>
        <v>Atlantic Cargo - Sociedade de Transportes, S.A.</v>
      </c>
      <c r="D3592" t="s">
        <v>1920</v>
      </c>
      <c r="F3592" t="s">
        <v>620</v>
      </c>
      <c r="G3592" s="89">
        <v>2023</v>
      </c>
      <c r="H3592" s="313" t="s">
        <v>733</v>
      </c>
      <c r="I3592" s="311" t="str">
        <f t="shared" si="140"/>
        <v>Pesado de Mercadorias N3:  : Gasóleo : E6</v>
      </c>
      <c r="K3592" s="422">
        <v>2023</v>
      </c>
      <c r="L3592">
        <v>42066.23</v>
      </c>
      <c r="M3592" t="s">
        <v>630</v>
      </c>
      <c r="N3592" s="131">
        <v>115378</v>
      </c>
      <c r="P3592" s="89">
        <v>302</v>
      </c>
      <c r="Q3592" t="s">
        <v>1927</v>
      </c>
      <c r="R3592" t="s">
        <v>1869</v>
      </c>
      <c r="S3592" t="s">
        <v>1861</v>
      </c>
      <c r="T3592" t="s">
        <v>1935</v>
      </c>
      <c r="U3592" s="422" t="s">
        <v>1953</v>
      </c>
      <c r="V3592" s="422" t="s">
        <v>2813</v>
      </c>
    </row>
    <row r="3593" spans="1:22" ht="15.75" thickBot="1" x14ac:dyDescent="0.3">
      <c r="A3593" s="422" t="s">
        <v>4591</v>
      </c>
      <c r="B3593" s="422" t="s">
        <v>4591</v>
      </c>
      <c r="C3593" s="424" t="str">
        <f t="shared" si="139"/>
        <v>Atlantic Cargo - Sociedade de Transportes, S.A.</v>
      </c>
      <c r="D3593" t="s">
        <v>1920</v>
      </c>
      <c r="F3593" t="s">
        <v>620</v>
      </c>
      <c r="G3593" s="89">
        <v>2023</v>
      </c>
      <c r="H3593" s="313" t="s">
        <v>733</v>
      </c>
      <c r="I3593" s="311" t="str">
        <f t="shared" si="140"/>
        <v>Pesado de Mercadorias N3:  : Gasóleo : E6</v>
      </c>
      <c r="K3593" s="422">
        <v>2023</v>
      </c>
      <c r="L3593">
        <v>41214.28</v>
      </c>
      <c r="M3593" t="s">
        <v>630</v>
      </c>
      <c r="N3593" s="131">
        <v>110525</v>
      </c>
      <c r="P3593" s="89">
        <v>303</v>
      </c>
      <c r="Q3593" t="s">
        <v>1927</v>
      </c>
      <c r="R3593" t="s">
        <v>1869</v>
      </c>
      <c r="S3593" t="s">
        <v>1861</v>
      </c>
      <c r="T3593" t="s">
        <v>1935</v>
      </c>
      <c r="U3593" s="422" t="s">
        <v>1953</v>
      </c>
      <c r="V3593" s="422" t="s">
        <v>2813</v>
      </c>
    </row>
    <row r="3594" spans="1:22" ht="15.75" thickBot="1" x14ac:dyDescent="0.3">
      <c r="A3594" s="422" t="s">
        <v>4591</v>
      </c>
      <c r="B3594" s="422" t="s">
        <v>4591</v>
      </c>
      <c r="C3594" s="424" t="str">
        <f t="shared" si="139"/>
        <v>Atlantic Cargo - Sociedade de Transportes, S.A.</v>
      </c>
      <c r="D3594" t="s">
        <v>1920</v>
      </c>
      <c r="F3594" t="s">
        <v>620</v>
      </c>
      <c r="G3594" s="89">
        <v>2023</v>
      </c>
      <c r="H3594" s="313" t="s">
        <v>733</v>
      </c>
      <c r="I3594" s="311" t="str">
        <f t="shared" si="140"/>
        <v>Pesado de Mercadorias N3:  : Gasóleo : E6</v>
      </c>
      <c r="K3594" s="422">
        <v>2023</v>
      </c>
      <c r="L3594">
        <v>11723.420000000002</v>
      </c>
      <c r="M3594" t="s">
        <v>630</v>
      </c>
      <c r="N3594" s="131">
        <v>35149</v>
      </c>
      <c r="P3594" s="89">
        <v>304</v>
      </c>
      <c r="Q3594" t="s">
        <v>1927</v>
      </c>
      <c r="R3594" t="s">
        <v>1869</v>
      </c>
      <c r="S3594" t="s">
        <v>1861</v>
      </c>
      <c r="T3594" t="s">
        <v>1935</v>
      </c>
      <c r="U3594" s="422" t="s">
        <v>1953</v>
      </c>
      <c r="V3594" s="422" t="s">
        <v>2813</v>
      </c>
    </row>
    <row r="3595" spans="1:22" ht="15.75" thickBot="1" x14ac:dyDescent="0.3">
      <c r="A3595" s="422" t="s">
        <v>4591</v>
      </c>
      <c r="B3595" s="422" t="s">
        <v>4591</v>
      </c>
      <c r="C3595" s="424" t="str">
        <f t="shared" si="139"/>
        <v>Atlantic Cargo - Sociedade de Transportes, S.A.</v>
      </c>
      <c r="D3595" t="s">
        <v>1920</v>
      </c>
      <c r="F3595" t="s">
        <v>620</v>
      </c>
      <c r="G3595" s="89">
        <v>2023</v>
      </c>
      <c r="H3595" s="313" t="s">
        <v>733</v>
      </c>
      <c r="I3595" s="311" t="str">
        <f t="shared" si="140"/>
        <v>Pesado de Mercadorias N3:  : Gasóleo : E6</v>
      </c>
      <c r="K3595" s="422">
        <v>2023</v>
      </c>
      <c r="L3595">
        <v>23182.66</v>
      </c>
      <c r="M3595" t="s">
        <v>630</v>
      </c>
      <c r="N3595" s="131">
        <v>77625</v>
      </c>
      <c r="P3595" s="89">
        <v>305</v>
      </c>
      <c r="Q3595" t="s">
        <v>1927</v>
      </c>
      <c r="R3595" t="s">
        <v>1869</v>
      </c>
      <c r="S3595" t="s">
        <v>1861</v>
      </c>
      <c r="T3595" t="s">
        <v>1935</v>
      </c>
      <c r="U3595" s="422" t="s">
        <v>1953</v>
      </c>
      <c r="V3595" s="422" t="s">
        <v>2813</v>
      </c>
    </row>
    <row r="3596" spans="1:22" ht="15.75" thickBot="1" x14ac:dyDescent="0.3">
      <c r="A3596" s="422" t="s">
        <v>4591</v>
      </c>
      <c r="B3596" s="422" t="s">
        <v>4591</v>
      </c>
      <c r="C3596" s="424" t="str">
        <f t="shared" si="139"/>
        <v>Atlantic Cargo - Sociedade de Transportes, S.A.</v>
      </c>
      <c r="D3596" t="s">
        <v>1920</v>
      </c>
      <c r="F3596" t="s">
        <v>620</v>
      </c>
      <c r="G3596" s="89">
        <v>2023</v>
      </c>
      <c r="H3596" s="313" t="s">
        <v>733</v>
      </c>
      <c r="I3596" s="311" t="str">
        <f t="shared" si="140"/>
        <v>Pesado de Mercadorias N3:  : Gasóleo : E6</v>
      </c>
      <c r="K3596" s="422">
        <v>2023</v>
      </c>
      <c r="L3596">
        <v>31523.929999999993</v>
      </c>
      <c r="M3596" t="s">
        <v>630</v>
      </c>
      <c r="N3596" s="131">
        <v>88434</v>
      </c>
      <c r="P3596" s="89">
        <v>306</v>
      </c>
      <c r="Q3596" t="s">
        <v>1927</v>
      </c>
      <c r="R3596" t="s">
        <v>1869</v>
      </c>
      <c r="S3596" t="s">
        <v>1861</v>
      </c>
      <c r="T3596" t="s">
        <v>1935</v>
      </c>
      <c r="U3596" s="422" t="s">
        <v>1953</v>
      </c>
      <c r="V3596" s="422" t="s">
        <v>2813</v>
      </c>
    </row>
    <row r="3597" spans="1:22" ht="15.75" thickBot="1" x14ac:dyDescent="0.3">
      <c r="A3597" s="422" t="s">
        <v>4591</v>
      </c>
      <c r="B3597" s="422" t="s">
        <v>4591</v>
      </c>
      <c r="C3597" s="424" t="str">
        <f t="shared" si="139"/>
        <v>Atlantic Cargo - Sociedade de Transportes, S.A.</v>
      </c>
      <c r="D3597" t="s">
        <v>1920</v>
      </c>
      <c r="F3597" t="s">
        <v>620</v>
      </c>
      <c r="G3597" s="89">
        <v>2023</v>
      </c>
      <c r="H3597" s="313" t="s">
        <v>733</v>
      </c>
      <c r="I3597" s="311" t="str">
        <f t="shared" si="140"/>
        <v>Pesado de Mercadorias N3:  : Gasóleo : E6</v>
      </c>
      <c r="K3597" s="422">
        <v>2023</v>
      </c>
      <c r="L3597">
        <v>29045.759999999995</v>
      </c>
      <c r="M3597" t="s">
        <v>630</v>
      </c>
      <c r="N3597" s="131">
        <v>80509</v>
      </c>
      <c r="P3597" s="89">
        <v>307</v>
      </c>
      <c r="Q3597" t="s">
        <v>1927</v>
      </c>
      <c r="R3597" t="s">
        <v>1869</v>
      </c>
      <c r="S3597" t="s">
        <v>1861</v>
      </c>
      <c r="T3597" t="s">
        <v>1935</v>
      </c>
      <c r="U3597" s="422" t="s">
        <v>1953</v>
      </c>
      <c r="V3597" s="422" t="s">
        <v>2813</v>
      </c>
    </row>
    <row r="3598" spans="1:22" ht="15.75" thickBot="1" x14ac:dyDescent="0.3">
      <c r="A3598" s="422" t="s">
        <v>4591</v>
      </c>
      <c r="B3598" s="422" t="s">
        <v>4591</v>
      </c>
      <c r="C3598" s="424" t="str">
        <f t="shared" si="139"/>
        <v>Atlantic Cargo - Sociedade de Transportes, S.A.</v>
      </c>
      <c r="D3598" t="s">
        <v>1920</v>
      </c>
      <c r="F3598" t="s">
        <v>620</v>
      </c>
      <c r="G3598" s="89">
        <v>2023</v>
      </c>
      <c r="H3598" s="313" t="s">
        <v>733</v>
      </c>
      <c r="I3598" s="311" t="str">
        <f t="shared" si="140"/>
        <v>Pesado de Mercadorias N3:  : Gasóleo : E6</v>
      </c>
      <c r="K3598" s="422">
        <v>2023</v>
      </c>
      <c r="L3598">
        <v>12765.130000000003</v>
      </c>
      <c r="M3598" t="s">
        <v>630</v>
      </c>
      <c r="N3598" s="131">
        <v>22292</v>
      </c>
      <c r="P3598" s="89">
        <v>308</v>
      </c>
      <c r="Q3598" t="s">
        <v>1927</v>
      </c>
      <c r="R3598" t="s">
        <v>1869</v>
      </c>
      <c r="S3598" t="s">
        <v>1861</v>
      </c>
      <c r="T3598" t="s">
        <v>1935</v>
      </c>
      <c r="U3598" s="422" t="s">
        <v>1953</v>
      </c>
      <c r="V3598" s="422" t="s">
        <v>2813</v>
      </c>
    </row>
    <row r="3599" spans="1:22" ht="15.75" thickBot="1" x14ac:dyDescent="0.3">
      <c r="A3599" s="422" t="s">
        <v>4591</v>
      </c>
      <c r="B3599" s="422" t="s">
        <v>4591</v>
      </c>
      <c r="C3599" s="424" t="str">
        <f t="shared" si="139"/>
        <v>Atlantic Cargo - Sociedade de Transportes, S.A.</v>
      </c>
      <c r="D3599" t="s">
        <v>1920</v>
      </c>
      <c r="F3599" t="s">
        <v>620</v>
      </c>
      <c r="G3599" s="89">
        <v>2023</v>
      </c>
      <c r="H3599" s="313" t="s">
        <v>733</v>
      </c>
      <c r="I3599" s="311" t="str">
        <f t="shared" si="140"/>
        <v>Pesado de Mercadorias N3:  : Gasóleo : E6</v>
      </c>
      <c r="K3599" s="422">
        <v>2023</v>
      </c>
      <c r="L3599">
        <v>28646.739999999994</v>
      </c>
      <c r="M3599" t="s">
        <v>630</v>
      </c>
      <c r="N3599" s="131">
        <v>86580</v>
      </c>
      <c r="P3599" s="89">
        <v>309</v>
      </c>
      <c r="Q3599" t="s">
        <v>1927</v>
      </c>
      <c r="R3599" t="s">
        <v>1869</v>
      </c>
      <c r="S3599" t="s">
        <v>1861</v>
      </c>
      <c r="T3599" t="s">
        <v>1935</v>
      </c>
      <c r="U3599" s="422" t="s">
        <v>1953</v>
      </c>
      <c r="V3599" s="422" t="s">
        <v>2813</v>
      </c>
    </row>
    <row r="3600" spans="1:22" ht="15.75" thickBot="1" x14ac:dyDescent="0.3">
      <c r="A3600" s="422" t="s">
        <v>4591</v>
      </c>
      <c r="B3600" s="422" t="s">
        <v>4591</v>
      </c>
      <c r="C3600" s="424" t="str">
        <f t="shared" si="139"/>
        <v>Atlantic Cargo - Sociedade de Transportes, S.A.</v>
      </c>
      <c r="D3600" t="s">
        <v>1920</v>
      </c>
      <c r="F3600" t="s">
        <v>620</v>
      </c>
      <c r="G3600" s="89">
        <v>2023</v>
      </c>
      <c r="H3600" s="313" t="s">
        <v>733</v>
      </c>
      <c r="I3600" s="311" t="str">
        <f t="shared" si="140"/>
        <v>Pesado de Mercadorias N3:  : Gasóleo : E6</v>
      </c>
      <c r="K3600" s="422">
        <v>2023</v>
      </c>
      <c r="L3600">
        <v>26397.279999999999</v>
      </c>
      <c r="M3600" t="s">
        <v>630</v>
      </c>
      <c r="N3600" s="131">
        <v>80112</v>
      </c>
      <c r="P3600" s="89">
        <v>310</v>
      </c>
      <c r="Q3600" t="s">
        <v>1927</v>
      </c>
      <c r="R3600" t="s">
        <v>1869</v>
      </c>
      <c r="S3600" t="s">
        <v>1861</v>
      </c>
      <c r="T3600" t="s">
        <v>1935</v>
      </c>
      <c r="U3600" s="422" t="s">
        <v>1953</v>
      </c>
      <c r="V3600" s="422" t="s">
        <v>2813</v>
      </c>
    </row>
    <row r="3601" spans="1:22" ht="15.75" thickBot="1" x14ac:dyDescent="0.3">
      <c r="A3601" s="422" t="s">
        <v>4591</v>
      </c>
      <c r="B3601" s="422" t="s">
        <v>4591</v>
      </c>
      <c r="C3601" s="424" t="str">
        <f t="shared" si="139"/>
        <v>Atlantic Cargo - Sociedade de Transportes, S.A.</v>
      </c>
      <c r="D3601" t="s">
        <v>1920</v>
      </c>
      <c r="F3601" t="s">
        <v>620</v>
      </c>
      <c r="G3601" s="89">
        <v>2023</v>
      </c>
      <c r="H3601" s="313" t="s">
        <v>733</v>
      </c>
      <c r="I3601" s="311" t="str">
        <f t="shared" si="140"/>
        <v>Pesado de Mercadorias N3:  : Gasóleo : E6</v>
      </c>
      <c r="K3601" s="422">
        <v>2023</v>
      </c>
      <c r="L3601">
        <v>21762.36</v>
      </c>
      <c r="M3601" t="s">
        <v>630</v>
      </c>
      <c r="N3601" s="131">
        <v>62550</v>
      </c>
      <c r="P3601" s="89">
        <v>311</v>
      </c>
      <c r="Q3601" t="s">
        <v>1927</v>
      </c>
      <c r="R3601" t="s">
        <v>1869</v>
      </c>
      <c r="S3601" t="s">
        <v>1861</v>
      </c>
      <c r="T3601" t="s">
        <v>1935</v>
      </c>
      <c r="U3601" s="422" t="s">
        <v>1953</v>
      </c>
      <c r="V3601" s="422" t="s">
        <v>2813</v>
      </c>
    </row>
    <row r="3602" spans="1:22" ht="15.75" thickBot="1" x14ac:dyDescent="0.3">
      <c r="A3602" s="422" t="s">
        <v>4591</v>
      </c>
      <c r="B3602" s="422" t="s">
        <v>4591</v>
      </c>
      <c r="C3602" s="424" t="str">
        <f t="shared" si="139"/>
        <v>Atlantic Cargo - Sociedade de Transportes, S.A.</v>
      </c>
      <c r="D3602" t="s">
        <v>1920</v>
      </c>
      <c r="F3602" t="s">
        <v>620</v>
      </c>
      <c r="G3602" s="89">
        <v>2023</v>
      </c>
      <c r="H3602" s="313" t="s">
        <v>733</v>
      </c>
      <c r="I3602" s="311" t="str">
        <f t="shared" si="140"/>
        <v>Pesado de Mercadorias N3:  : Gasóleo : E6</v>
      </c>
      <c r="K3602" s="422">
        <v>2023</v>
      </c>
      <c r="L3602">
        <v>31908.489999999987</v>
      </c>
      <c r="M3602" t="s">
        <v>630</v>
      </c>
      <c r="N3602" s="131">
        <v>94614</v>
      </c>
      <c r="P3602" s="89">
        <v>312</v>
      </c>
      <c r="Q3602" t="s">
        <v>1927</v>
      </c>
      <c r="R3602" t="s">
        <v>1869</v>
      </c>
      <c r="S3602" t="s">
        <v>1861</v>
      </c>
      <c r="T3602" t="s">
        <v>1935</v>
      </c>
      <c r="U3602" s="422" t="s">
        <v>1953</v>
      </c>
      <c r="V3602" s="422" t="s">
        <v>2813</v>
      </c>
    </row>
    <row r="3603" spans="1:22" ht="15.75" thickBot="1" x14ac:dyDescent="0.3">
      <c r="A3603" s="422" t="s">
        <v>4591</v>
      </c>
      <c r="B3603" s="422" t="s">
        <v>4591</v>
      </c>
      <c r="C3603" s="424" t="str">
        <f t="shared" si="139"/>
        <v>Atlantic Cargo - Sociedade de Transportes, S.A.</v>
      </c>
      <c r="D3603" t="s">
        <v>1920</v>
      </c>
      <c r="F3603" t="s">
        <v>620</v>
      </c>
      <c r="G3603" s="89">
        <v>2023</v>
      </c>
      <c r="H3603" s="313" t="s">
        <v>733</v>
      </c>
      <c r="I3603" s="311" t="str">
        <f t="shared" si="140"/>
        <v>Pesado de Mercadorias N3:  : Gasóleo : E6</v>
      </c>
      <c r="K3603" s="422">
        <v>2023</v>
      </c>
      <c r="L3603">
        <v>25304.079999999998</v>
      </c>
      <c r="M3603" t="s">
        <v>630</v>
      </c>
      <c r="N3603" s="131">
        <v>80585</v>
      </c>
      <c r="P3603" s="89">
        <v>313</v>
      </c>
      <c r="Q3603" t="s">
        <v>1927</v>
      </c>
      <c r="R3603" t="s">
        <v>1869</v>
      </c>
      <c r="S3603" t="s">
        <v>1861</v>
      </c>
      <c r="T3603" t="s">
        <v>1935</v>
      </c>
      <c r="U3603" s="422" t="s">
        <v>1953</v>
      </c>
      <c r="V3603" s="422" t="s">
        <v>2813</v>
      </c>
    </row>
    <row r="3604" spans="1:22" ht="15.75" thickBot="1" x14ac:dyDescent="0.3">
      <c r="A3604" s="422" t="s">
        <v>4591</v>
      </c>
      <c r="B3604" s="422" t="s">
        <v>4591</v>
      </c>
      <c r="C3604" s="424" t="str">
        <f t="shared" si="139"/>
        <v>Atlantic Cargo - Sociedade de Transportes, S.A.</v>
      </c>
      <c r="D3604" t="s">
        <v>1920</v>
      </c>
      <c r="F3604" t="s">
        <v>620</v>
      </c>
      <c r="G3604" s="89">
        <v>2023</v>
      </c>
      <c r="H3604" s="313" t="s">
        <v>733</v>
      </c>
      <c r="I3604" s="311" t="str">
        <f t="shared" si="140"/>
        <v>Pesado de Mercadorias N3:  : Gasóleo : E6</v>
      </c>
      <c r="K3604" s="422">
        <v>2023</v>
      </c>
      <c r="L3604">
        <v>16292.760000000004</v>
      </c>
      <c r="M3604" t="s">
        <v>630</v>
      </c>
      <c r="N3604" s="131">
        <v>51723</v>
      </c>
      <c r="P3604" s="89">
        <v>314</v>
      </c>
      <c r="Q3604" t="s">
        <v>1927</v>
      </c>
      <c r="R3604" t="s">
        <v>1869</v>
      </c>
      <c r="S3604" t="s">
        <v>1861</v>
      </c>
      <c r="T3604" t="s">
        <v>1935</v>
      </c>
      <c r="U3604" s="422" t="s">
        <v>1953</v>
      </c>
      <c r="V3604" s="422" t="s">
        <v>2813</v>
      </c>
    </row>
    <row r="3605" spans="1:22" ht="15.75" thickBot="1" x14ac:dyDescent="0.3">
      <c r="A3605" s="422" t="s">
        <v>4591</v>
      </c>
      <c r="B3605" s="422" t="s">
        <v>4591</v>
      </c>
      <c r="C3605" s="424" t="str">
        <f t="shared" si="139"/>
        <v>Atlantic Cargo - Sociedade de Transportes, S.A.</v>
      </c>
      <c r="D3605" t="s">
        <v>1920</v>
      </c>
      <c r="F3605" t="s">
        <v>620</v>
      </c>
      <c r="G3605" s="89">
        <v>2023</v>
      </c>
      <c r="H3605" s="313" t="s">
        <v>733</v>
      </c>
      <c r="I3605" s="311" t="str">
        <f t="shared" si="140"/>
        <v>Pesado de Mercadorias N3:  : Gasóleo : E6</v>
      </c>
      <c r="K3605" s="422">
        <v>2023</v>
      </c>
      <c r="L3605">
        <v>28817.24</v>
      </c>
      <c r="M3605" t="s">
        <v>630</v>
      </c>
      <c r="N3605" s="131">
        <v>88880</v>
      </c>
      <c r="P3605" s="89">
        <v>315</v>
      </c>
      <c r="Q3605" t="s">
        <v>1927</v>
      </c>
      <c r="R3605" t="s">
        <v>1869</v>
      </c>
      <c r="S3605" t="s">
        <v>1861</v>
      </c>
      <c r="T3605" t="s">
        <v>1935</v>
      </c>
      <c r="U3605" s="422" t="s">
        <v>1953</v>
      </c>
      <c r="V3605" s="422" t="s">
        <v>2813</v>
      </c>
    </row>
    <row r="3606" spans="1:22" ht="15.75" thickBot="1" x14ac:dyDescent="0.3">
      <c r="A3606" s="422" t="s">
        <v>4591</v>
      </c>
      <c r="B3606" s="422" t="s">
        <v>4591</v>
      </c>
      <c r="C3606" s="424" t="str">
        <f t="shared" si="139"/>
        <v>Atlantic Cargo - Sociedade de Transportes, S.A.</v>
      </c>
      <c r="D3606" t="s">
        <v>1920</v>
      </c>
      <c r="F3606" t="s">
        <v>620</v>
      </c>
      <c r="G3606" s="89">
        <v>2023</v>
      </c>
      <c r="H3606" s="313" t="s">
        <v>733</v>
      </c>
      <c r="I3606" s="311" t="str">
        <f t="shared" si="140"/>
        <v>Pesado de Mercadorias N3:  : Gasóleo : E6</v>
      </c>
      <c r="K3606" s="422">
        <v>2023</v>
      </c>
      <c r="L3606">
        <v>22242.07</v>
      </c>
      <c r="M3606" t="s">
        <v>630</v>
      </c>
      <c r="N3606" s="131">
        <v>60709</v>
      </c>
      <c r="P3606" s="89">
        <v>316</v>
      </c>
      <c r="Q3606" t="s">
        <v>1927</v>
      </c>
      <c r="R3606" t="s">
        <v>1869</v>
      </c>
      <c r="S3606" t="s">
        <v>1861</v>
      </c>
      <c r="T3606" t="s">
        <v>1935</v>
      </c>
      <c r="U3606" s="422" t="s">
        <v>1953</v>
      </c>
      <c r="V3606" s="422" t="s">
        <v>2813</v>
      </c>
    </row>
    <row r="3607" spans="1:22" ht="15.75" thickBot="1" x14ac:dyDescent="0.3">
      <c r="A3607" s="422" t="s">
        <v>4591</v>
      </c>
      <c r="B3607" s="422" t="s">
        <v>4591</v>
      </c>
      <c r="C3607" s="424" t="str">
        <f t="shared" si="139"/>
        <v>Atlantic Cargo - Sociedade de Transportes, S.A.</v>
      </c>
      <c r="D3607" t="s">
        <v>1920</v>
      </c>
      <c r="F3607" t="s">
        <v>620</v>
      </c>
      <c r="G3607" s="89">
        <v>2023</v>
      </c>
      <c r="H3607" s="313" t="s">
        <v>733</v>
      </c>
      <c r="I3607" s="311" t="str">
        <f t="shared" si="140"/>
        <v>Pesado de Mercadorias N3:  : Gasóleo : E6</v>
      </c>
      <c r="K3607" s="422">
        <v>2023</v>
      </c>
      <c r="L3607">
        <v>6045.0400000000009</v>
      </c>
      <c r="M3607" t="s">
        <v>630</v>
      </c>
      <c r="N3607" s="131">
        <v>17138</v>
      </c>
      <c r="P3607" s="89">
        <v>317</v>
      </c>
      <c r="Q3607" t="s">
        <v>1927</v>
      </c>
      <c r="R3607" t="s">
        <v>1869</v>
      </c>
      <c r="S3607" t="s">
        <v>1861</v>
      </c>
      <c r="T3607" t="s">
        <v>1935</v>
      </c>
      <c r="U3607" s="422" t="s">
        <v>1953</v>
      </c>
      <c r="V3607" s="422" t="s">
        <v>2813</v>
      </c>
    </row>
    <row r="3608" spans="1:22" ht="15.75" thickBot="1" x14ac:dyDescent="0.3">
      <c r="A3608" s="422" t="s">
        <v>4591</v>
      </c>
      <c r="B3608" s="422" t="s">
        <v>4591</v>
      </c>
      <c r="C3608" s="424" t="str">
        <f t="shared" ref="C3608:C3671" si="141">IF(A3608=B3608,B3608,RIGHT(A3608,LEN(A3608)-LEN(B3608)-3))</f>
        <v>Atlantic Cargo - Sociedade de Transportes, S.A.</v>
      </c>
      <c r="D3608" t="s">
        <v>1920</v>
      </c>
      <c r="F3608" t="s">
        <v>620</v>
      </c>
      <c r="G3608" s="89">
        <v>2023</v>
      </c>
      <c r="H3608" s="313" t="s">
        <v>733</v>
      </c>
      <c r="I3608" s="311" t="str">
        <f t="shared" si="140"/>
        <v>Pesado de Mercadorias N3:  : Gasóleo : E6</v>
      </c>
      <c r="K3608" s="422">
        <v>2023</v>
      </c>
      <c r="L3608">
        <v>4679.68</v>
      </c>
      <c r="M3608" t="s">
        <v>630</v>
      </c>
      <c r="N3608" s="131">
        <v>11986</v>
      </c>
      <c r="P3608" s="89">
        <v>318</v>
      </c>
      <c r="Q3608" t="s">
        <v>1927</v>
      </c>
      <c r="R3608" t="s">
        <v>1869</v>
      </c>
      <c r="S3608" t="s">
        <v>1861</v>
      </c>
      <c r="T3608" t="s">
        <v>1935</v>
      </c>
      <c r="U3608" s="422" t="s">
        <v>1953</v>
      </c>
      <c r="V3608" s="422" t="s">
        <v>2813</v>
      </c>
    </row>
    <row r="3609" spans="1:22" ht="15.75" thickBot="1" x14ac:dyDescent="0.3">
      <c r="A3609" t="s">
        <v>1916</v>
      </c>
      <c r="B3609" t="s">
        <v>1916</v>
      </c>
      <c r="C3609" s="424" t="str">
        <f t="shared" si="141"/>
        <v>Rodoviária do Alentejo, S.A.</v>
      </c>
      <c r="D3609" t="s">
        <v>629</v>
      </c>
      <c r="F3609" t="s">
        <v>620</v>
      </c>
      <c r="G3609" s="89">
        <v>2004</v>
      </c>
      <c r="H3609" s="313" t="s">
        <v>732</v>
      </c>
      <c r="I3609" s="311" t="str">
        <f t="shared" si="140"/>
        <v>Pesado de Passageiros M3:  : Gasóleo : E3</v>
      </c>
      <c r="J3609">
        <v>67</v>
      </c>
      <c r="K3609" s="422">
        <v>2023</v>
      </c>
      <c r="L3609">
        <v>16174.089999999998</v>
      </c>
      <c r="M3609" t="s">
        <v>630</v>
      </c>
      <c r="N3609">
        <v>55255</v>
      </c>
      <c r="O3609" s="434">
        <f t="shared" ref="O3609:O3672" si="142">N3609*J3609</f>
        <v>3702085</v>
      </c>
      <c r="P3609" s="89">
        <v>8105</v>
      </c>
      <c r="Q3609" t="s">
        <v>47</v>
      </c>
      <c r="R3609" s="422" t="s">
        <v>1869</v>
      </c>
      <c r="S3609" s="422" t="s">
        <v>1861</v>
      </c>
      <c r="T3609" t="s">
        <v>4823</v>
      </c>
      <c r="U3609" s="422" t="s">
        <v>1953</v>
      </c>
      <c r="V3609" s="422" t="s">
        <v>2813</v>
      </c>
    </row>
    <row r="3610" spans="1:22" ht="15.75" thickBot="1" x14ac:dyDescent="0.3">
      <c r="A3610" t="s">
        <v>1916</v>
      </c>
      <c r="B3610" t="s">
        <v>1916</v>
      </c>
      <c r="C3610" s="424" t="str">
        <f t="shared" si="141"/>
        <v>Rodoviária do Alentejo, S.A.</v>
      </c>
      <c r="D3610" t="s">
        <v>629</v>
      </c>
      <c r="F3610" t="s">
        <v>620</v>
      </c>
      <c r="G3610" s="89">
        <v>2005</v>
      </c>
      <c r="H3610" s="313" t="s">
        <v>732</v>
      </c>
      <c r="I3610" s="311" t="str">
        <f t="shared" si="140"/>
        <v>Pesado de Passageiros M3:  : Gasóleo : E3</v>
      </c>
      <c r="J3610">
        <v>69</v>
      </c>
      <c r="K3610" s="422">
        <v>2023</v>
      </c>
      <c r="L3610">
        <v>13264.150000000001</v>
      </c>
      <c r="M3610" t="s">
        <v>630</v>
      </c>
      <c r="N3610">
        <v>47733</v>
      </c>
      <c r="O3610" s="131">
        <f t="shared" si="142"/>
        <v>3293577</v>
      </c>
      <c r="P3610" s="89">
        <v>8106</v>
      </c>
      <c r="Q3610" s="422" t="s">
        <v>47</v>
      </c>
      <c r="R3610" s="422" t="s">
        <v>1869</v>
      </c>
      <c r="S3610" s="422" t="s">
        <v>1861</v>
      </c>
      <c r="T3610" t="s">
        <v>4823</v>
      </c>
      <c r="U3610" s="422" t="s">
        <v>1953</v>
      </c>
      <c r="V3610" s="422" t="s">
        <v>2813</v>
      </c>
    </row>
    <row r="3611" spans="1:22" ht="15.75" thickBot="1" x14ac:dyDescent="0.3">
      <c r="A3611" t="s">
        <v>1916</v>
      </c>
      <c r="B3611" t="s">
        <v>1916</v>
      </c>
      <c r="C3611" s="424" t="str">
        <f t="shared" si="141"/>
        <v>Rodoviária do Alentejo, S.A.</v>
      </c>
      <c r="D3611" t="s">
        <v>629</v>
      </c>
      <c r="F3611" t="s">
        <v>620</v>
      </c>
      <c r="G3611" s="89">
        <v>2004</v>
      </c>
      <c r="H3611" s="313" t="s">
        <v>732</v>
      </c>
      <c r="I3611" s="311" t="str">
        <f t="shared" si="140"/>
        <v>Pesado de Passageiros M3:  : Gasóleo : E3</v>
      </c>
      <c r="J3611">
        <v>69</v>
      </c>
      <c r="K3611" s="422">
        <v>2023</v>
      </c>
      <c r="L3611">
        <v>16096.91</v>
      </c>
      <c r="M3611" t="s">
        <v>630</v>
      </c>
      <c r="N3611">
        <v>54416</v>
      </c>
      <c r="O3611" s="131">
        <f t="shared" si="142"/>
        <v>3754704</v>
      </c>
      <c r="P3611" s="89">
        <v>8107</v>
      </c>
      <c r="Q3611" s="422" t="s">
        <v>47</v>
      </c>
      <c r="R3611" s="422" t="s">
        <v>1869</v>
      </c>
      <c r="S3611" s="422" t="s">
        <v>1861</v>
      </c>
      <c r="T3611" t="s">
        <v>4823</v>
      </c>
      <c r="U3611" s="422" t="s">
        <v>1953</v>
      </c>
      <c r="V3611" s="422" t="s">
        <v>2813</v>
      </c>
    </row>
    <row r="3612" spans="1:22" ht="15.75" thickBot="1" x14ac:dyDescent="0.3">
      <c r="A3612" t="s">
        <v>1916</v>
      </c>
      <c r="B3612" t="s">
        <v>1916</v>
      </c>
      <c r="C3612" s="424" t="str">
        <f t="shared" si="141"/>
        <v>Rodoviária do Alentejo, S.A.</v>
      </c>
      <c r="D3612" t="s">
        <v>629</v>
      </c>
      <c r="F3612" t="s">
        <v>620</v>
      </c>
      <c r="G3612" s="89">
        <v>2005</v>
      </c>
      <c r="H3612" s="313" t="s">
        <v>732</v>
      </c>
      <c r="I3612" s="311" t="str">
        <f t="shared" si="140"/>
        <v>Pesado de Passageiros M3:  : Gasóleo : E3</v>
      </c>
      <c r="J3612">
        <v>69</v>
      </c>
      <c r="K3612" s="422">
        <v>2023</v>
      </c>
      <c r="L3612">
        <v>16565.560000000001</v>
      </c>
      <c r="M3612" t="s">
        <v>630</v>
      </c>
      <c r="N3612">
        <v>51430</v>
      </c>
      <c r="O3612" s="131">
        <f t="shared" si="142"/>
        <v>3548670</v>
      </c>
      <c r="P3612" s="89">
        <v>8108</v>
      </c>
      <c r="Q3612" s="422" t="s">
        <v>47</v>
      </c>
      <c r="R3612" s="422" t="s">
        <v>1869</v>
      </c>
      <c r="S3612" s="422" t="s">
        <v>1861</v>
      </c>
      <c r="T3612" t="s">
        <v>4823</v>
      </c>
      <c r="U3612" s="422" t="s">
        <v>1953</v>
      </c>
      <c r="V3612" s="422" t="s">
        <v>2813</v>
      </c>
    </row>
    <row r="3613" spans="1:22" ht="15.75" thickBot="1" x14ac:dyDescent="0.3">
      <c r="A3613" t="s">
        <v>1916</v>
      </c>
      <c r="B3613" t="s">
        <v>1916</v>
      </c>
      <c r="C3613" s="424" t="str">
        <f t="shared" si="141"/>
        <v>Rodoviária do Alentejo, S.A.</v>
      </c>
      <c r="D3613" t="s">
        <v>629</v>
      </c>
      <c r="F3613" t="s">
        <v>620</v>
      </c>
      <c r="G3613" s="89">
        <v>2004</v>
      </c>
      <c r="H3613" s="313" t="s">
        <v>732</v>
      </c>
      <c r="I3613" s="311" t="str">
        <f t="shared" si="140"/>
        <v>Pesado de Passageiros M3:  : Gasóleo : E3</v>
      </c>
      <c r="J3613">
        <v>69</v>
      </c>
      <c r="K3613" s="422">
        <v>2023</v>
      </c>
      <c r="L3613">
        <v>9996.5499999999993</v>
      </c>
      <c r="M3613" t="s">
        <v>630</v>
      </c>
      <c r="N3613">
        <v>32959</v>
      </c>
      <c r="O3613" s="131">
        <f t="shared" si="142"/>
        <v>2274171</v>
      </c>
      <c r="P3613" s="89">
        <v>8109</v>
      </c>
      <c r="Q3613" s="422" t="s">
        <v>47</v>
      </c>
      <c r="R3613" s="422" t="s">
        <v>1869</v>
      </c>
      <c r="S3613" s="422" t="s">
        <v>1861</v>
      </c>
      <c r="T3613" t="s">
        <v>4823</v>
      </c>
      <c r="U3613" s="422" t="s">
        <v>1953</v>
      </c>
      <c r="V3613" s="422" t="s">
        <v>2813</v>
      </c>
    </row>
    <row r="3614" spans="1:22" ht="15.75" thickBot="1" x14ac:dyDescent="0.3">
      <c r="A3614" t="s">
        <v>1916</v>
      </c>
      <c r="B3614" t="s">
        <v>1916</v>
      </c>
      <c r="C3614" s="424" t="str">
        <f t="shared" si="141"/>
        <v>Rodoviária do Alentejo, S.A.</v>
      </c>
      <c r="D3614" t="s">
        <v>629</v>
      </c>
      <c r="F3614" t="s">
        <v>620</v>
      </c>
      <c r="G3614" s="89">
        <v>2007</v>
      </c>
      <c r="H3614" s="313" t="s">
        <v>731</v>
      </c>
      <c r="I3614" s="311" t="str">
        <f t="shared" si="140"/>
        <v>Pesado de Passageiros M3:  : Gasóleo : E4</v>
      </c>
      <c r="J3614">
        <v>55</v>
      </c>
      <c r="K3614" s="422">
        <v>2023</v>
      </c>
      <c r="L3614">
        <v>13792.85</v>
      </c>
      <c r="M3614" t="s">
        <v>630</v>
      </c>
      <c r="N3614">
        <v>43640</v>
      </c>
      <c r="O3614" s="131">
        <f t="shared" si="142"/>
        <v>2400200</v>
      </c>
      <c r="P3614" s="89">
        <v>8117</v>
      </c>
      <c r="Q3614" s="422" t="s">
        <v>47</v>
      </c>
      <c r="R3614" s="422" t="s">
        <v>1869</v>
      </c>
      <c r="S3614" s="422" t="s">
        <v>1861</v>
      </c>
      <c r="T3614" t="s">
        <v>4823</v>
      </c>
      <c r="U3614" s="422" t="s">
        <v>1953</v>
      </c>
      <c r="V3614" s="422" t="s">
        <v>2813</v>
      </c>
    </row>
    <row r="3615" spans="1:22" ht="15.75" thickBot="1" x14ac:dyDescent="0.3">
      <c r="A3615" t="s">
        <v>1916</v>
      </c>
      <c r="B3615" t="s">
        <v>1916</v>
      </c>
      <c r="C3615" s="424" t="str">
        <f t="shared" si="141"/>
        <v>Rodoviária do Alentejo, S.A.</v>
      </c>
      <c r="D3615" t="s">
        <v>629</v>
      </c>
      <c r="F3615" t="s">
        <v>620</v>
      </c>
      <c r="G3615" s="89">
        <v>2004</v>
      </c>
      <c r="H3615" s="313" t="s">
        <v>732</v>
      </c>
      <c r="I3615" s="311" t="str">
        <f t="shared" si="140"/>
        <v>Pesado de Passageiros M3:  : Gasóleo : E3</v>
      </c>
      <c r="J3615">
        <v>107</v>
      </c>
      <c r="K3615" s="422">
        <v>2023</v>
      </c>
      <c r="L3615">
        <v>12383.050000000001</v>
      </c>
      <c r="M3615" t="s">
        <v>630</v>
      </c>
      <c r="N3615">
        <v>29874</v>
      </c>
      <c r="O3615" s="131">
        <f t="shared" si="142"/>
        <v>3196518</v>
      </c>
      <c r="P3615" s="89">
        <v>8118</v>
      </c>
      <c r="Q3615" s="422" t="s">
        <v>47</v>
      </c>
      <c r="R3615" s="422" t="s">
        <v>1869</v>
      </c>
      <c r="S3615" s="422" t="s">
        <v>1861</v>
      </c>
      <c r="T3615" t="s">
        <v>4824</v>
      </c>
      <c r="U3615" s="422" t="s">
        <v>1953</v>
      </c>
      <c r="V3615" s="422" t="s">
        <v>2813</v>
      </c>
    </row>
    <row r="3616" spans="1:22" ht="15.75" thickBot="1" x14ac:dyDescent="0.3">
      <c r="A3616" t="s">
        <v>1916</v>
      </c>
      <c r="B3616" t="s">
        <v>1916</v>
      </c>
      <c r="C3616" s="424" t="str">
        <f t="shared" si="141"/>
        <v>Rodoviária do Alentejo, S.A.</v>
      </c>
      <c r="D3616" t="s">
        <v>629</v>
      </c>
      <c r="F3616" t="s">
        <v>620</v>
      </c>
      <c r="G3616" s="89">
        <v>2003</v>
      </c>
      <c r="H3616" s="313" t="s">
        <v>732</v>
      </c>
      <c r="I3616" s="311" t="str">
        <f t="shared" si="140"/>
        <v>Pesado de Passageiros M3:  : Gasóleo : E3</v>
      </c>
      <c r="J3616">
        <v>73</v>
      </c>
      <c r="K3616" s="422">
        <v>2023</v>
      </c>
      <c r="L3616">
        <v>7457.48</v>
      </c>
      <c r="M3616" t="s">
        <v>630</v>
      </c>
      <c r="N3616">
        <v>24541</v>
      </c>
      <c r="O3616" s="131">
        <f t="shared" si="142"/>
        <v>1791493</v>
      </c>
      <c r="P3616" s="89">
        <v>8120</v>
      </c>
      <c r="Q3616" s="422" t="s">
        <v>47</v>
      </c>
      <c r="R3616" s="422" t="s">
        <v>1869</v>
      </c>
      <c r="S3616" s="422" t="s">
        <v>1861</v>
      </c>
      <c r="T3616" t="s">
        <v>4823</v>
      </c>
      <c r="U3616" s="422" t="s">
        <v>1953</v>
      </c>
      <c r="V3616" s="422" t="s">
        <v>2813</v>
      </c>
    </row>
    <row r="3617" spans="1:22" ht="15.75" thickBot="1" x14ac:dyDescent="0.3">
      <c r="A3617" t="s">
        <v>1916</v>
      </c>
      <c r="B3617" t="s">
        <v>1916</v>
      </c>
      <c r="C3617" s="424" t="str">
        <f t="shared" si="141"/>
        <v>Rodoviária do Alentejo, S.A.</v>
      </c>
      <c r="D3617" t="s">
        <v>629</v>
      </c>
      <c r="F3617" t="s">
        <v>620</v>
      </c>
      <c r="G3617" s="89">
        <v>2005</v>
      </c>
      <c r="H3617" s="313" t="s">
        <v>732</v>
      </c>
      <c r="I3617" s="311" t="str">
        <f t="shared" si="140"/>
        <v>Pesado de Passageiros M3:  : Gasóleo : E3</v>
      </c>
      <c r="J3617">
        <v>74</v>
      </c>
      <c r="K3617" s="422">
        <v>2023</v>
      </c>
      <c r="L3617">
        <v>14428.23</v>
      </c>
      <c r="M3617" t="s">
        <v>630</v>
      </c>
      <c r="N3617">
        <v>47909</v>
      </c>
      <c r="O3617" s="131">
        <f t="shared" si="142"/>
        <v>3545266</v>
      </c>
      <c r="P3617" s="89">
        <v>8121</v>
      </c>
      <c r="Q3617" s="422" t="s">
        <v>47</v>
      </c>
      <c r="R3617" s="422" t="s">
        <v>1869</v>
      </c>
      <c r="S3617" s="422" t="s">
        <v>1861</v>
      </c>
      <c r="T3617" t="s">
        <v>4823</v>
      </c>
      <c r="U3617" s="422" t="s">
        <v>1953</v>
      </c>
      <c r="V3617" s="422" t="s">
        <v>2813</v>
      </c>
    </row>
    <row r="3618" spans="1:22" ht="15.75" thickBot="1" x14ac:dyDescent="0.3">
      <c r="A3618" t="s">
        <v>1916</v>
      </c>
      <c r="B3618" t="s">
        <v>1916</v>
      </c>
      <c r="C3618" s="424" t="str">
        <f t="shared" si="141"/>
        <v>Rodoviária do Alentejo, S.A.</v>
      </c>
      <c r="D3618" t="s">
        <v>629</v>
      </c>
      <c r="F3618" t="s">
        <v>620</v>
      </c>
      <c r="G3618" s="89">
        <v>2003</v>
      </c>
      <c r="H3618" s="313" t="s">
        <v>732</v>
      </c>
      <c r="I3618" s="311" t="str">
        <f t="shared" si="140"/>
        <v>Pesado de Passageiros M3:  : Gasóleo : E3</v>
      </c>
      <c r="J3618">
        <v>73</v>
      </c>
      <c r="K3618" s="422">
        <v>2023</v>
      </c>
      <c r="L3618">
        <v>13240.22</v>
      </c>
      <c r="M3618" t="s">
        <v>630</v>
      </c>
      <c r="N3618">
        <v>43976</v>
      </c>
      <c r="O3618" s="131">
        <f t="shared" si="142"/>
        <v>3210248</v>
      </c>
      <c r="P3618" s="89">
        <v>8122</v>
      </c>
      <c r="Q3618" s="422" t="s">
        <v>47</v>
      </c>
      <c r="R3618" s="422" t="s">
        <v>1869</v>
      </c>
      <c r="S3618" s="422" t="s">
        <v>1861</v>
      </c>
      <c r="T3618" t="s">
        <v>4823</v>
      </c>
      <c r="U3618" s="422" t="s">
        <v>1953</v>
      </c>
      <c r="V3618" s="422" t="s">
        <v>2813</v>
      </c>
    </row>
    <row r="3619" spans="1:22" ht="15.75" thickBot="1" x14ac:dyDescent="0.3">
      <c r="A3619" t="s">
        <v>1916</v>
      </c>
      <c r="B3619" t="s">
        <v>1916</v>
      </c>
      <c r="C3619" s="424" t="str">
        <f t="shared" si="141"/>
        <v>Rodoviária do Alentejo, S.A.</v>
      </c>
      <c r="D3619" t="s">
        <v>629</v>
      </c>
      <c r="F3619" t="s">
        <v>620</v>
      </c>
      <c r="G3619" s="89">
        <v>2008</v>
      </c>
      <c r="H3619" s="313" t="s">
        <v>731</v>
      </c>
      <c r="I3619" s="311" t="str">
        <f t="shared" si="140"/>
        <v>Pesado de Passageiros M3:  : Gasóleo : E4</v>
      </c>
      <c r="J3619">
        <v>80</v>
      </c>
      <c r="K3619" s="422">
        <v>2023</v>
      </c>
      <c r="L3619">
        <v>15832.849999999999</v>
      </c>
      <c r="M3619" t="s">
        <v>630</v>
      </c>
      <c r="N3619">
        <v>51583</v>
      </c>
      <c r="O3619" s="131">
        <f t="shared" si="142"/>
        <v>4126640</v>
      </c>
      <c r="P3619" s="89">
        <v>8123</v>
      </c>
      <c r="Q3619" s="422" t="s">
        <v>47</v>
      </c>
      <c r="R3619" s="422" t="s">
        <v>1869</v>
      </c>
      <c r="S3619" s="422" t="s">
        <v>1861</v>
      </c>
      <c r="T3619" t="s">
        <v>4823</v>
      </c>
      <c r="U3619" s="422" t="s">
        <v>1953</v>
      </c>
      <c r="V3619" s="422" t="s">
        <v>2813</v>
      </c>
    </row>
    <row r="3620" spans="1:22" ht="15.75" thickBot="1" x14ac:dyDescent="0.3">
      <c r="A3620" t="s">
        <v>1916</v>
      </c>
      <c r="B3620" t="s">
        <v>1916</v>
      </c>
      <c r="C3620" s="424" t="str">
        <f t="shared" si="141"/>
        <v>Rodoviária do Alentejo, S.A.</v>
      </c>
      <c r="D3620" t="s">
        <v>629</v>
      </c>
      <c r="F3620" t="s">
        <v>620</v>
      </c>
      <c r="G3620" s="89">
        <v>2012</v>
      </c>
      <c r="H3620" s="313" t="s">
        <v>734</v>
      </c>
      <c r="I3620" s="311" t="str">
        <f t="shared" si="140"/>
        <v>Pesado de Passageiros M3:  : Gasóleo : E5</v>
      </c>
      <c r="J3620">
        <v>46</v>
      </c>
      <c r="K3620" s="422">
        <v>2023</v>
      </c>
      <c r="L3620">
        <v>18330.47</v>
      </c>
      <c r="M3620" t="s">
        <v>630</v>
      </c>
      <c r="N3620">
        <v>55959</v>
      </c>
      <c r="O3620" s="131">
        <f t="shared" si="142"/>
        <v>2574114</v>
      </c>
      <c r="P3620" s="89">
        <v>8126</v>
      </c>
      <c r="Q3620" s="422" t="s">
        <v>47</v>
      </c>
      <c r="R3620" s="422" t="s">
        <v>1869</v>
      </c>
      <c r="S3620" s="422" t="s">
        <v>1861</v>
      </c>
      <c r="T3620" t="s">
        <v>4825</v>
      </c>
      <c r="U3620" s="422" t="s">
        <v>1953</v>
      </c>
      <c r="V3620" s="422" t="s">
        <v>2813</v>
      </c>
    </row>
    <row r="3621" spans="1:22" ht="15.75" thickBot="1" x14ac:dyDescent="0.3">
      <c r="A3621" t="s">
        <v>1916</v>
      </c>
      <c r="B3621" t="s">
        <v>1916</v>
      </c>
      <c r="C3621" s="424" t="str">
        <f t="shared" si="141"/>
        <v>Rodoviária do Alentejo, S.A.</v>
      </c>
      <c r="D3621" t="s">
        <v>629</v>
      </c>
      <c r="F3621" t="s">
        <v>620</v>
      </c>
      <c r="G3621" s="89">
        <v>2007</v>
      </c>
      <c r="H3621" s="313" t="s">
        <v>731</v>
      </c>
      <c r="I3621" s="311" t="str">
        <f t="shared" si="140"/>
        <v>Pesado de Passageiros M3:  : Gasóleo : E4</v>
      </c>
      <c r="J3621">
        <v>99</v>
      </c>
      <c r="K3621" s="422">
        <v>2023</v>
      </c>
      <c r="L3621">
        <v>16431.739999999998</v>
      </c>
      <c r="M3621" t="s">
        <v>630</v>
      </c>
      <c r="N3621">
        <v>50913</v>
      </c>
      <c r="O3621" s="131">
        <f t="shared" si="142"/>
        <v>5040387</v>
      </c>
      <c r="P3621" s="89">
        <v>8129</v>
      </c>
      <c r="Q3621" s="422" t="s">
        <v>47</v>
      </c>
      <c r="R3621" s="422" t="s">
        <v>1869</v>
      </c>
      <c r="S3621" s="422" t="s">
        <v>1861</v>
      </c>
      <c r="T3621" t="s">
        <v>4823</v>
      </c>
      <c r="U3621" s="422" t="s">
        <v>1953</v>
      </c>
      <c r="V3621" s="422" t="s">
        <v>2813</v>
      </c>
    </row>
    <row r="3622" spans="1:22" ht="15.75" thickBot="1" x14ac:dyDescent="0.3">
      <c r="A3622" t="s">
        <v>1916</v>
      </c>
      <c r="B3622" t="s">
        <v>1916</v>
      </c>
      <c r="C3622" s="424" t="str">
        <f t="shared" si="141"/>
        <v>Rodoviária do Alentejo, S.A.</v>
      </c>
      <c r="D3622" t="s">
        <v>629</v>
      </c>
      <c r="F3622" t="s">
        <v>620</v>
      </c>
      <c r="G3622" s="89">
        <v>2009</v>
      </c>
      <c r="H3622" s="313" t="s">
        <v>734</v>
      </c>
      <c r="I3622" s="311" t="str">
        <f t="shared" si="140"/>
        <v>Pesado de Passageiros M3:  : Gasóleo : E5</v>
      </c>
      <c r="J3622">
        <v>122</v>
      </c>
      <c r="K3622" s="422">
        <v>2023</v>
      </c>
      <c r="L3622">
        <v>6274.11</v>
      </c>
      <c r="M3622" t="s">
        <v>630</v>
      </c>
      <c r="N3622">
        <v>17784</v>
      </c>
      <c r="O3622" s="131">
        <f t="shared" si="142"/>
        <v>2169648</v>
      </c>
      <c r="P3622" s="89">
        <v>8132</v>
      </c>
      <c r="Q3622" s="422" t="s">
        <v>47</v>
      </c>
      <c r="R3622" s="422" t="s">
        <v>1869</v>
      </c>
      <c r="S3622" s="422" t="s">
        <v>1861</v>
      </c>
      <c r="T3622" t="s">
        <v>4823</v>
      </c>
      <c r="U3622" s="422" t="s">
        <v>1953</v>
      </c>
      <c r="V3622" s="422" t="s">
        <v>2813</v>
      </c>
    </row>
    <row r="3623" spans="1:22" ht="15.75" thickBot="1" x14ac:dyDescent="0.3">
      <c r="A3623" t="s">
        <v>1916</v>
      </c>
      <c r="B3623" t="s">
        <v>1916</v>
      </c>
      <c r="C3623" s="424" t="str">
        <f t="shared" si="141"/>
        <v>Rodoviária do Alentejo, S.A.</v>
      </c>
      <c r="D3623" t="s">
        <v>629</v>
      </c>
      <c r="F3623" t="s">
        <v>620</v>
      </c>
      <c r="G3623" s="89">
        <v>2018</v>
      </c>
      <c r="H3623" s="313" t="s">
        <v>733</v>
      </c>
      <c r="I3623" s="311" t="str">
        <f t="shared" si="140"/>
        <v>Pesado de Passageiros M3:  : Gasóleo : E6</v>
      </c>
      <c r="J3623">
        <v>32</v>
      </c>
      <c r="K3623" s="422">
        <v>2023</v>
      </c>
      <c r="L3623">
        <v>6385.4500000000016</v>
      </c>
      <c r="M3623" t="s">
        <v>630</v>
      </c>
      <c r="N3623">
        <v>39089</v>
      </c>
      <c r="O3623" s="131">
        <f t="shared" si="142"/>
        <v>1250848</v>
      </c>
      <c r="P3623" s="89">
        <v>8133</v>
      </c>
      <c r="Q3623" s="422" t="s">
        <v>47</v>
      </c>
      <c r="R3623" s="422" t="s">
        <v>1869</v>
      </c>
      <c r="S3623" s="422" t="s">
        <v>1861</v>
      </c>
      <c r="T3623" t="s">
        <v>4825</v>
      </c>
      <c r="U3623" s="422" t="s">
        <v>1953</v>
      </c>
      <c r="V3623" s="422" t="s">
        <v>2813</v>
      </c>
    </row>
    <row r="3624" spans="1:22" ht="15.75" thickBot="1" x14ac:dyDescent="0.3">
      <c r="A3624" t="s">
        <v>1916</v>
      </c>
      <c r="B3624" t="s">
        <v>1916</v>
      </c>
      <c r="C3624" s="424" t="str">
        <f t="shared" si="141"/>
        <v>Rodoviária do Alentejo, S.A.</v>
      </c>
      <c r="D3624" t="s">
        <v>629</v>
      </c>
      <c r="F3624" t="s">
        <v>620</v>
      </c>
      <c r="G3624" s="89">
        <v>2009</v>
      </c>
      <c r="H3624" s="313" t="s">
        <v>731</v>
      </c>
      <c r="I3624" s="311" t="str">
        <f t="shared" si="140"/>
        <v>Pesado de Passageiros M3:  : Gasóleo : E4</v>
      </c>
      <c r="J3624">
        <v>22</v>
      </c>
      <c r="K3624" s="422">
        <v>2023</v>
      </c>
      <c r="L3624">
        <v>4831.3599999999997</v>
      </c>
      <c r="M3624" t="s">
        <v>630</v>
      </c>
      <c r="N3624">
        <v>33207</v>
      </c>
      <c r="O3624" s="131">
        <f t="shared" si="142"/>
        <v>730554</v>
      </c>
      <c r="P3624" s="89">
        <v>8134</v>
      </c>
      <c r="Q3624" s="422" t="s">
        <v>47</v>
      </c>
      <c r="R3624" s="422" t="s">
        <v>1869</v>
      </c>
      <c r="S3624" s="422" t="s">
        <v>1861</v>
      </c>
      <c r="T3624" t="s">
        <v>4823</v>
      </c>
      <c r="U3624" s="422" t="s">
        <v>1953</v>
      </c>
      <c r="V3624" s="422" t="s">
        <v>2813</v>
      </c>
    </row>
    <row r="3625" spans="1:22" ht="15.75" thickBot="1" x14ac:dyDescent="0.3">
      <c r="A3625" t="s">
        <v>1916</v>
      </c>
      <c r="B3625" t="s">
        <v>1916</v>
      </c>
      <c r="C3625" s="424" t="str">
        <f t="shared" si="141"/>
        <v>Rodoviária do Alentejo, S.A.</v>
      </c>
      <c r="D3625" t="s">
        <v>629</v>
      </c>
      <c r="F3625" t="s">
        <v>620</v>
      </c>
      <c r="G3625" s="89">
        <v>2001</v>
      </c>
      <c r="H3625" s="313" t="s">
        <v>735</v>
      </c>
      <c r="I3625" s="311" t="str">
        <f t="shared" si="140"/>
        <v>Pesado de Passageiros M3:  : Gasóleo : E2</v>
      </c>
      <c r="J3625">
        <v>55</v>
      </c>
      <c r="K3625" s="422">
        <v>2023</v>
      </c>
      <c r="L3625">
        <v>16455.830000000002</v>
      </c>
      <c r="M3625" t="s">
        <v>630</v>
      </c>
      <c r="N3625">
        <v>51848</v>
      </c>
      <c r="O3625" s="131">
        <f t="shared" si="142"/>
        <v>2851640</v>
      </c>
      <c r="P3625" s="89">
        <v>8135</v>
      </c>
      <c r="Q3625" s="422" t="s">
        <v>47</v>
      </c>
      <c r="R3625" s="422" t="s">
        <v>1869</v>
      </c>
      <c r="S3625" s="422" t="s">
        <v>1861</v>
      </c>
      <c r="T3625" t="s">
        <v>4825</v>
      </c>
      <c r="U3625" s="422" t="s">
        <v>1953</v>
      </c>
      <c r="V3625" s="422" t="s">
        <v>2813</v>
      </c>
    </row>
    <row r="3626" spans="1:22" ht="15.75" thickBot="1" x14ac:dyDescent="0.3">
      <c r="A3626" t="s">
        <v>1916</v>
      </c>
      <c r="B3626" t="s">
        <v>1916</v>
      </c>
      <c r="C3626" s="424" t="str">
        <f t="shared" si="141"/>
        <v>Rodoviária do Alentejo, S.A.</v>
      </c>
      <c r="D3626" t="s">
        <v>629</v>
      </c>
      <c r="F3626" t="s">
        <v>620</v>
      </c>
      <c r="G3626" s="89">
        <v>2006</v>
      </c>
      <c r="H3626" s="313" t="s">
        <v>732</v>
      </c>
      <c r="I3626" s="311" t="str">
        <f t="shared" si="140"/>
        <v>Pesado de Passageiros M3:  : Gasóleo : E3</v>
      </c>
      <c r="J3626">
        <v>74</v>
      </c>
      <c r="K3626" s="422">
        <v>2023</v>
      </c>
      <c r="L3626">
        <v>16023.82</v>
      </c>
      <c r="M3626" t="s">
        <v>630</v>
      </c>
      <c r="N3626">
        <v>49243</v>
      </c>
      <c r="O3626" s="131">
        <f t="shared" si="142"/>
        <v>3643982</v>
      </c>
      <c r="P3626" s="89">
        <v>8136</v>
      </c>
      <c r="Q3626" s="422" t="s">
        <v>47</v>
      </c>
      <c r="R3626" s="422" t="s">
        <v>1869</v>
      </c>
      <c r="S3626" s="422" t="s">
        <v>1861</v>
      </c>
      <c r="T3626" t="s">
        <v>4823</v>
      </c>
      <c r="U3626" s="422" t="s">
        <v>1953</v>
      </c>
      <c r="V3626" s="422" t="s">
        <v>2813</v>
      </c>
    </row>
    <row r="3627" spans="1:22" ht="15.75" thickBot="1" x14ac:dyDescent="0.3">
      <c r="A3627" t="s">
        <v>1916</v>
      </c>
      <c r="B3627" t="s">
        <v>1916</v>
      </c>
      <c r="C3627" s="424" t="str">
        <f t="shared" si="141"/>
        <v>Rodoviária do Alentejo, S.A.</v>
      </c>
      <c r="D3627" t="s">
        <v>629</v>
      </c>
      <c r="F3627" t="s">
        <v>620</v>
      </c>
      <c r="G3627" s="89">
        <v>2002</v>
      </c>
      <c r="H3627" s="313" t="s">
        <v>732</v>
      </c>
      <c r="I3627" s="311" t="str">
        <f t="shared" si="140"/>
        <v>Pesado de Passageiros M3:  : Gasóleo : E3</v>
      </c>
      <c r="J3627">
        <v>71</v>
      </c>
      <c r="K3627" s="422">
        <v>2023</v>
      </c>
      <c r="L3627">
        <v>16047.439999999999</v>
      </c>
      <c r="M3627" t="s">
        <v>630</v>
      </c>
      <c r="N3627">
        <v>50984</v>
      </c>
      <c r="O3627" s="131">
        <f t="shared" si="142"/>
        <v>3619864</v>
      </c>
      <c r="P3627" s="89">
        <v>8137</v>
      </c>
      <c r="Q3627" s="422" t="s">
        <v>47</v>
      </c>
      <c r="R3627" s="422" t="s">
        <v>1869</v>
      </c>
      <c r="S3627" s="422" t="s">
        <v>1861</v>
      </c>
      <c r="T3627" t="s">
        <v>4825</v>
      </c>
      <c r="U3627" s="422" t="s">
        <v>1953</v>
      </c>
      <c r="V3627" s="422" t="s">
        <v>2813</v>
      </c>
    </row>
    <row r="3628" spans="1:22" ht="15.75" thickBot="1" x14ac:dyDescent="0.3">
      <c r="A3628" t="s">
        <v>1916</v>
      </c>
      <c r="B3628" t="s">
        <v>1916</v>
      </c>
      <c r="C3628" s="424" t="str">
        <f t="shared" si="141"/>
        <v>Rodoviária do Alentejo, S.A.</v>
      </c>
      <c r="D3628" t="s">
        <v>629</v>
      </c>
      <c r="F3628" t="s">
        <v>620</v>
      </c>
      <c r="G3628" s="89">
        <v>2002</v>
      </c>
      <c r="H3628" s="313" t="s">
        <v>732</v>
      </c>
      <c r="I3628" s="311" t="str">
        <f t="shared" si="140"/>
        <v>Pesado de Passageiros M3:  : Gasóleo : E3</v>
      </c>
      <c r="J3628">
        <v>83</v>
      </c>
      <c r="K3628" s="422">
        <v>2023</v>
      </c>
      <c r="L3628">
        <v>8130.49</v>
      </c>
      <c r="M3628" t="s">
        <v>630</v>
      </c>
      <c r="N3628">
        <v>23763</v>
      </c>
      <c r="O3628" s="131">
        <f t="shared" si="142"/>
        <v>1972329</v>
      </c>
      <c r="P3628" s="89">
        <v>8138</v>
      </c>
      <c r="Q3628" s="422" t="s">
        <v>47</v>
      </c>
      <c r="R3628" s="422" t="s">
        <v>1869</v>
      </c>
      <c r="S3628" s="422" t="s">
        <v>1861</v>
      </c>
      <c r="T3628" t="s">
        <v>4825</v>
      </c>
      <c r="U3628" s="422" t="s">
        <v>1953</v>
      </c>
      <c r="V3628" s="422" t="s">
        <v>2813</v>
      </c>
    </row>
    <row r="3629" spans="1:22" ht="15.75" thickBot="1" x14ac:dyDescent="0.3">
      <c r="A3629" t="s">
        <v>1916</v>
      </c>
      <c r="B3629" t="s">
        <v>1916</v>
      </c>
      <c r="C3629" s="424" t="str">
        <f t="shared" si="141"/>
        <v>Rodoviária do Alentejo, S.A.</v>
      </c>
      <c r="D3629" t="s">
        <v>629</v>
      </c>
      <c r="F3629" t="s">
        <v>620</v>
      </c>
      <c r="G3629" s="89">
        <v>2002</v>
      </c>
      <c r="H3629" s="313" t="s">
        <v>735</v>
      </c>
      <c r="I3629" s="311" t="str">
        <f t="shared" si="140"/>
        <v>Pesado de Passageiros M3:  : Gasóleo : E2</v>
      </c>
      <c r="J3629">
        <v>83</v>
      </c>
      <c r="K3629" s="422">
        <v>2023</v>
      </c>
      <c r="L3629">
        <v>11112.109999999999</v>
      </c>
      <c r="M3629" t="s">
        <v>630</v>
      </c>
      <c r="N3629">
        <v>32214</v>
      </c>
      <c r="O3629" s="131">
        <f t="shared" si="142"/>
        <v>2673762</v>
      </c>
      <c r="P3629" s="89">
        <v>8139</v>
      </c>
      <c r="Q3629" s="422" t="s">
        <v>47</v>
      </c>
      <c r="R3629" s="422" t="s">
        <v>1869</v>
      </c>
      <c r="S3629" s="422" t="s">
        <v>1861</v>
      </c>
      <c r="T3629" t="s">
        <v>4825</v>
      </c>
      <c r="U3629" s="422" t="s">
        <v>1953</v>
      </c>
      <c r="V3629" s="422" t="s">
        <v>2813</v>
      </c>
    </row>
    <row r="3630" spans="1:22" ht="15.75" thickBot="1" x14ac:dyDescent="0.3">
      <c r="A3630" t="s">
        <v>1916</v>
      </c>
      <c r="B3630" t="s">
        <v>1916</v>
      </c>
      <c r="C3630" s="424" t="str">
        <f t="shared" si="141"/>
        <v>Rodoviária do Alentejo, S.A.</v>
      </c>
      <c r="D3630" t="s">
        <v>629</v>
      </c>
      <c r="F3630" t="s">
        <v>620</v>
      </c>
      <c r="G3630" s="89">
        <v>2002</v>
      </c>
      <c r="H3630" s="313" t="s">
        <v>732</v>
      </c>
      <c r="I3630" s="311" t="str">
        <f t="shared" si="140"/>
        <v>Pesado de Passageiros M3:  : Gasóleo : E3</v>
      </c>
      <c r="J3630">
        <v>82</v>
      </c>
      <c r="K3630" s="422">
        <v>2023</v>
      </c>
      <c r="L3630">
        <v>5283.46</v>
      </c>
      <c r="M3630" t="s">
        <v>630</v>
      </c>
      <c r="N3630">
        <v>15727</v>
      </c>
      <c r="O3630" s="131">
        <f t="shared" si="142"/>
        <v>1289614</v>
      </c>
      <c r="P3630" s="89">
        <v>8140</v>
      </c>
      <c r="Q3630" s="422" t="s">
        <v>47</v>
      </c>
      <c r="R3630" s="422" t="s">
        <v>1869</v>
      </c>
      <c r="S3630" s="422" t="s">
        <v>1861</v>
      </c>
      <c r="T3630" t="s">
        <v>4825</v>
      </c>
      <c r="U3630" s="422" t="s">
        <v>1953</v>
      </c>
      <c r="V3630" s="422" t="s">
        <v>2813</v>
      </c>
    </row>
    <row r="3631" spans="1:22" ht="15.75" thickBot="1" x14ac:dyDescent="0.3">
      <c r="A3631" t="s">
        <v>1916</v>
      </c>
      <c r="B3631" t="s">
        <v>1916</v>
      </c>
      <c r="C3631" s="424" t="str">
        <f t="shared" si="141"/>
        <v>Rodoviária do Alentejo, S.A.</v>
      </c>
      <c r="D3631" t="s">
        <v>629</v>
      </c>
      <c r="F3631" t="s">
        <v>620</v>
      </c>
      <c r="G3631" s="89">
        <v>2012</v>
      </c>
      <c r="H3631" s="313" t="s">
        <v>734</v>
      </c>
      <c r="I3631" s="311" t="str">
        <f t="shared" si="140"/>
        <v>Pesado de Passageiros M3:  : Gasóleo : E5</v>
      </c>
      <c r="J3631">
        <v>61</v>
      </c>
      <c r="K3631" s="422">
        <v>2023</v>
      </c>
      <c r="L3631">
        <v>15413.619999999999</v>
      </c>
      <c r="M3631" t="s">
        <v>630</v>
      </c>
      <c r="N3631">
        <v>53561</v>
      </c>
      <c r="O3631" s="131">
        <f t="shared" si="142"/>
        <v>3267221</v>
      </c>
      <c r="P3631" s="89">
        <v>8141</v>
      </c>
      <c r="Q3631" s="422" t="s">
        <v>47</v>
      </c>
      <c r="R3631" s="422" t="s">
        <v>1869</v>
      </c>
      <c r="S3631" s="422" t="s">
        <v>1861</v>
      </c>
      <c r="T3631" t="s">
        <v>4823</v>
      </c>
      <c r="U3631" s="422" t="s">
        <v>1953</v>
      </c>
      <c r="V3631" s="422" t="s">
        <v>2813</v>
      </c>
    </row>
    <row r="3632" spans="1:22" ht="15.75" thickBot="1" x14ac:dyDescent="0.3">
      <c r="A3632" t="s">
        <v>1916</v>
      </c>
      <c r="B3632" t="s">
        <v>1916</v>
      </c>
      <c r="C3632" s="424" t="str">
        <f t="shared" si="141"/>
        <v>Rodoviária do Alentejo, S.A.</v>
      </c>
      <c r="D3632" t="s">
        <v>629</v>
      </c>
      <c r="F3632" t="s">
        <v>620</v>
      </c>
      <c r="G3632" s="89">
        <v>2012</v>
      </c>
      <c r="H3632" s="313" t="s">
        <v>734</v>
      </c>
      <c r="I3632" s="311" t="str">
        <f t="shared" si="140"/>
        <v>Pesado de Passageiros M3:  : Gasóleo : E5</v>
      </c>
      <c r="J3632">
        <v>61</v>
      </c>
      <c r="K3632" s="422">
        <v>2023</v>
      </c>
      <c r="L3632">
        <v>5708.75</v>
      </c>
      <c r="M3632" t="s">
        <v>630</v>
      </c>
      <c r="N3632">
        <v>19231</v>
      </c>
      <c r="O3632" s="131">
        <f t="shared" si="142"/>
        <v>1173091</v>
      </c>
      <c r="P3632" s="89">
        <v>8142</v>
      </c>
      <c r="Q3632" s="422" t="s">
        <v>47</v>
      </c>
      <c r="R3632" s="422" t="s">
        <v>1869</v>
      </c>
      <c r="S3632" s="422" t="s">
        <v>1861</v>
      </c>
      <c r="T3632" t="s">
        <v>4823</v>
      </c>
      <c r="U3632" s="422" t="s">
        <v>1953</v>
      </c>
      <c r="V3632" s="422" t="s">
        <v>2813</v>
      </c>
    </row>
    <row r="3633" spans="1:22" ht="15.75" thickBot="1" x14ac:dyDescent="0.3">
      <c r="A3633" t="s">
        <v>1916</v>
      </c>
      <c r="B3633" t="s">
        <v>1916</v>
      </c>
      <c r="C3633" s="424" t="str">
        <f t="shared" si="141"/>
        <v>Rodoviária do Alentejo, S.A.</v>
      </c>
      <c r="D3633" t="s">
        <v>629</v>
      </c>
      <c r="F3633" t="s">
        <v>620</v>
      </c>
      <c r="G3633" s="89">
        <v>2012</v>
      </c>
      <c r="H3633" s="313" t="s">
        <v>734</v>
      </c>
      <c r="I3633" s="311" t="str">
        <f t="shared" si="140"/>
        <v>Pesado de Passageiros M3:  : Gasóleo : E5</v>
      </c>
      <c r="J3633">
        <v>61</v>
      </c>
      <c r="K3633" s="422">
        <v>2023</v>
      </c>
      <c r="L3633">
        <v>18402.09</v>
      </c>
      <c r="M3633" t="s">
        <v>630</v>
      </c>
      <c r="N3633">
        <v>63455</v>
      </c>
      <c r="O3633" s="131">
        <f t="shared" si="142"/>
        <v>3870755</v>
      </c>
      <c r="P3633" s="89">
        <v>8143</v>
      </c>
      <c r="Q3633" s="422" t="s">
        <v>47</v>
      </c>
      <c r="R3633" s="422" t="s">
        <v>1869</v>
      </c>
      <c r="S3633" s="422" t="s">
        <v>1861</v>
      </c>
      <c r="T3633" t="s">
        <v>4823</v>
      </c>
      <c r="U3633" s="422" t="s">
        <v>1953</v>
      </c>
      <c r="V3633" s="422" t="s">
        <v>2813</v>
      </c>
    </row>
    <row r="3634" spans="1:22" ht="15.75" thickBot="1" x14ac:dyDescent="0.3">
      <c r="A3634" t="s">
        <v>1916</v>
      </c>
      <c r="B3634" t="s">
        <v>1916</v>
      </c>
      <c r="C3634" s="424" t="str">
        <f t="shared" si="141"/>
        <v>Rodoviária do Alentejo, S.A.</v>
      </c>
      <c r="D3634" t="s">
        <v>629</v>
      </c>
      <c r="F3634" t="s">
        <v>620</v>
      </c>
      <c r="G3634" s="89">
        <v>2012</v>
      </c>
      <c r="H3634" s="313" t="s">
        <v>734</v>
      </c>
      <c r="I3634" s="311" t="str">
        <f t="shared" si="140"/>
        <v>Pesado de Passageiros M3:  : Gasóleo : E5</v>
      </c>
      <c r="J3634">
        <v>61</v>
      </c>
      <c r="K3634" s="422">
        <v>2023</v>
      </c>
      <c r="L3634">
        <v>14100.87</v>
      </c>
      <c r="M3634" t="s">
        <v>630</v>
      </c>
      <c r="N3634">
        <v>47999</v>
      </c>
      <c r="O3634" s="131">
        <f t="shared" si="142"/>
        <v>2927939</v>
      </c>
      <c r="P3634" s="89">
        <v>8144</v>
      </c>
      <c r="Q3634" s="422" t="s">
        <v>47</v>
      </c>
      <c r="R3634" s="422" t="s">
        <v>1869</v>
      </c>
      <c r="S3634" s="422" t="s">
        <v>1861</v>
      </c>
      <c r="T3634" t="s">
        <v>4823</v>
      </c>
      <c r="U3634" s="422" t="s">
        <v>1953</v>
      </c>
      <c r="V3634" s="422" t="s">
        <v>2813</v>
      </c>
    </row>
    <row r="3635" spans="1:22" ht="15.75" thickBot="1" x14ac:dyDescent="0.3">
      <c r="A3635" t="s">
        <v>1916</v>
      </c>
      <c r="B3635" t="s">
        <v>1916</v>
      </c>
      <c r="C3635" s="424" t="str">
        <f t="shared" si="141"/>
        <v>Rodoviária do Alentejo, S.A.</v>
      </c>
      <c r="D3635" t="s">
        <v>629</v>
      </c>
      <c r="F3635" t="s">
        <v>620</v>
      </c>
      <c r="G3635" s="89">
        <v>2004</v>
      </c>
      <c r="H3635" s="313" t="s">
        <v>732</v>
      </c>
      <c r="I3635" s="311" t="str">
        <f t="shared" si="140"/>
        <v>Pesado de Passageiros M3:  : Gasóleo : E3</v>
      </c>
      <c r="J3635">
        <v>54</v>
      </c>
      <c r="K3635" s="422">
        <v>2023</v>
      </c>
      <c r="L3635">
        <v>454.98</v>
      </c>
      <c r="M3635" t="s">
        <v>630</v>
      </c>
      <c r="N3635">
        <v>1413</v>
      </c>
      <c r="O3635" s="131">
        <f t="shared" si="142"/>
        <v>76302</v>
      </c>
      <c r="P3635" s="89">
        <v>8145</v>
      </c>
      <c r="Q3635" s="422" t="s">
        <v>47</v>
      </c>
      <c r="R3635" s="422" t="s">
        <v>1869</v>
      </c>
      <c r="S3635" s="422" t="s">
        <v>1861</v>
      </c>
      <c r="T3635" t="s">
        <v>4823</v>
      </c>
      <c r="U3635" s="422" t="s">
        <v>1953</v>
      </c>
      <c r="V3635" s="422" t="s">
        <v>2813</v>
      </c>
    </row>
    <row r="3636" spans="1:22" ht="15.75" thickBot="1" x14ac:dyDescent="0.3">
      <c r="A3636" t="s">
        <v>1916</v>
      </c>
      <c r="B3636" t="s">
        <v>1916</v>
      </c>
      <c r="C3636" s="424" t="str">
        <f t="shared" si="141"/>
        <v>Rodoviária do Alentejo, S.A.</v>
      </c>
      <c r="D3636" t="s">
        <v>629</v>
      </c>
      <c r="F3636" t="s">
        <v>620</v>
      </c>
      <c r="G3636" s="89">
        <v>2004</v>
      </c>
      <c r="H3636" s="313" t="s">
        <v>735</v>
      </c>
      <c r="I3636" s="311" t="str">
        <f t="shared" si="140"/>
        <v>Pesado de Passageiros M3:  : Gasóleo : E2</v>
      </c>
      <c r="J3636">
        <v>51</v>
      </c>
      <c r="K3636" s="422">
        <v>2023</v>
      </c>
      <c r="L3636">
        <v>15279.140000000001</v>
      </c>
      <c r="M3636" t="s">
        <v>630</v>
      </c>
      <c r="N3636">
        <v>42938</v>
      </c>
      <c r="O3636" s="131">
        <f t="shared" si="142"/>
        <v>2189838</v>
      </c>
      <c r="P3636" s="89">
        <v>8146</v>
      </c>
      <c r="Q3636" s="422" t="s">
        <v>47</v>
      </c>
      <c r="R3636" s="422" t="s">
        <v>1869</v>
      </c>
      <c r="S3636" s="422" t="s">
        <v>1861</v>
      </c>
      <c r="T3636" t="s">
        <v>4823</v>
      </c>
      <c r="U3636" s="422" t="s">
        <v>1953</v>
      </c>
      <c r="V3636" s="422" t="s">
        <v>2813</v>
      </c>
    </row>
    <row r="3637" spans="1:22" ht="15.75" thickBot="1" x14ac:dyDescent="0.3">
      <c r="A3637" t="s">
        <v>1916</v>
      </c>
      <c r="B3637" t="s">
        <v>1916</v>
      </c>
      <c r="C3637" s="424" t="str">
        <f t="shared" si="141"/>
        <v>Rodoviária do Alentejo, S.A.</v>
      </c>
      <c r="D3637" t="s">
        <v>629</v>
      </c>
      <c r="F3637" t="s">
        <v>620</v>
      </c>
      <c r="G3637" s="89">
        <v>2004</v>
      </c>
      <c r="H3637" s="313" t="s">
        <v>732</v>
      </c>
      <c r="I3637" s="311" t="str">
        <f t="shared" si="140"/>
        <v>Pesado de Passageiros M3:  : Gasóleo : E3</v>
      </c>
      <c r="J3637">
        <v>51</v>
      </c>
      <c r="K3637" s="422">
        <v>2023</v>
      </c>
      <c r="L3637">
        <v>21979.61</v>
      </c>
      <c r="M3637" t="s">
        <v>630</v>
      </c>
      <c r="N3637">
        <v>56244</v>
      </c>
      <c r="O3637" s="131">
        <f t="shared" si="142"/>
        <v>2868444</v>
      </c>
      <c r="P3637" s="89">
        <v>8147</v>
      </c>
      <c r="Q3637" s="422" t="s">
        <v>47</v>
      </c>
      <c r="R3637" s="422" t="s">
        <v>1869</v>
      </c>
      <c r="S3637" s="422" t="s">
        <v>1861</v>
      </c>
      <c r="T3637" t="s">
        <v>4823</v>
      </c>
      <c r="U3637" s="422" t="s">
        <v>1953</v>
      </c>
      <c r="V3637" s="422" t="s">
        <v>2813</v>
      </c>
    </row>
    <row r="3638" spans="1:22" ht="15.75" thickBot="1" x14ac:dyDescent="0.3">
      <c r="A3638" t="s">
        <v>1916</v>
      </c>
      <c r="B3638" t="s">
        <v>1916</v>
      </c>
      <c r="C3638" s="424" t="str">
        <f t="shared" si="141"/>
        <v>Rodoviária do Alentejo, S.A.</v>
      </c>
      <c r="D3638" t="s">
        <v>629</v>
      </c>
      <c r="F3638" t="s">
        <v>620</v>
      </c>
      <c r="G3638" s="89">
        <v>2003</v>
      </c>
      <c r="H3638" s="313" t="s">
        <v>732</v>
      </c>
      <c r="I3638" s="311" t="str">
        <f t="shared" ref="I3638:I3701" si="143">D3638&amp;": "&amp;E3638&amp;" : "&amp;F3638&amp;" : "&amp;H3638</f>
        <v>Pesado de Passageiros M3:  : Gasóleo : E3</v>
      </c>
      <c r="J3638">
        <v>53</v>
      </c>
      <c r="K3638" s="422">
        <v>2023</v>
      </c>
      <c r="L3638">
        <v>13334.460000000001</v>
      </c>
      <c r="M3638" t="s">
        <v>630</v>
      </c>
      <c r="N3638">
        <v>39685</v>
      </c>
      <c r="O3638" s="131">
        <f t="shared" si="142"/>
        <v>2103305</v>
      </c>
      <c r="P3638" s="89">
        <v>8148</v>
      </c>
      <c r="Q3638" s="422" t="s">
        <v>47</v>
      </c>
      <c r="R3638" s="422" t="s">
        <v>1869</v>
      </c>
      <c r="S3638" s="422" t="s">
        <v>1861</v>
      </c>
      <c r="T3638" t="s">
        <v>4823</v>
      </c>
      <c r="U3638" s="422" t="s">
        <v>1953</v>
      </c>
      <c r="V3638" s="422" t="s">
        <v>2813</v>
      </c>
    </row>
    <row r="3639" spans="1:22" ht="15.75" thickBot="1" x14ac:dyDescent="0.3">
      <c r="A3639" t="s">
        <v>1916</v>
      </c>
      <c r="B3639" t="s">
        <v>1916</v>
      </c>
      <c r="C3639" s="424" t="str">
        <f t="shared" si="141"/>
        <v>Rodoviária do Alentejo, S.A.</v>
      </c>
      <c r="D3639" t="s">
        <v>629</v>
      </c>
      <c r="F3639" t="s">
        <v>620</v>
      </c>
      <c r="G3639" s="89">
        <v>2003</v>
      </c>
      <c r="H3639" s="313" t="s">
        <v>734</v>
      </c>
      <c r="I3639" s="311" t="str">
        <f t="shared" si="143"/>
        <v>Pesado de Passageiros M3:  : Gasóleo : E5</v>
      </c>
      <c r="J3639">
        <v>60</v>
      </c>
      <c r="K3639" s="422">
        <v>2023</v>
      </c>
      <c r="L3639">
        <v>16827.060000000001</v>
      </c>
      <c r="M3639" t="s">
        <v>630</v>
      </c>
      <c r="N3639">
        <v>53066</v>
      </c>
      <c r="O3639" s="131">
        <f t="shared" si="142"/>
        <v>3183960</v>
      </c>
      <c r="P3639" s="89">
        <v>8149</v>
      </c>
      <c r="Q3639" s="422" t="s">
        <v>47</v>
      </c>
      <c r="R3639" s="422" t="s">
        <v>1869</v>
      </c>
      <c r="S3639" s="422" t="s">
        <v>1861</v>
      </c>
      <c r="T3639" t="s">
        <v>4823</v>
      </c>
      <c r="U3639" s="422" t="s">
        <v>1953</v>
      </c>
      <c r="V3639" s="422" t="s">
        <v>2813</v>
      </c>
    </row>
    <row r="3640" spans="1:22" ht="15.75" thickBot="1" x14ac:dyDescent="0.3">
      <c r="A3640" t="s">
        <v>1916</v>
      </c>
      <c r="B3640" t="s">
        <v>1916</v>
      </c>
      <c r="C3640" s="424" t="str">
        <f t="shared" si="141"/>
        <v>Rodoviária do Alentejo, S.A.</v>
      </c>
      <c r="D3640" t="s">
        <v>629</v>
      </c>
      <c r="F3640" t="s">
        <v>620</v>
      </c>
      <c r="G3640" s="89">
        <v>2003</v>
      </c>
      <c r="H3640" s="313" t="s">
        <v>732</v>
      </c>
      <c r="I3640" s="311" t="str">
        <f t="shared" si="143"/>
        <v>Pesado de Passageiros M3:  : Gasóleo : E3</v>
      </c>
      <c r="J3640">
        <v>50</v>
      </c>
      <c r="K3640" s="422">
        <v>2023</v>
      </c>
      <c r="L3640">
        <v>13804.11</v>
      </c>
      <c r="M3640" t="s">
        <v>630</v>
      </c>
      <c r="N3640">
        <v>39567</v>
      </c>
      <c r="O3640" s="131">
        <f t="shared" si="142"/>
        <v>1978350</v>
      </c>
      <c r="P3640" s="89">
        <v>8150</v>
      </c>
      <c r="Q3640" s="422" t="s">
        <v>47</v>
      </c>
      <c r="R3640" s="422" t="s">
        <v>1869</v>
      </c>
      <c r="S3640" s="422" t="s">
        <v>1861</v>
      </c>
      <c r="T3640" t="s">
        <v>4823</v>
      </c>
      <c r="U3640" s="422" t="s">
        <v>1953</v>
      </c>
      <c r="V3640" s="422" t="s">
        <v>2813</v>
      </c>
    </row>
    <row r="3641" spans="1:22" ht="15.75" thickBot="1" x14ac:dyDescent="0.3">
      <c r="A3641" t="s">
        <v>1916</v>
      </c>
      <c r="B3641" t="s">
        <v>1916</v>
      </c>
      <c r="C3641" s="424" t="str">
        <f t="shared" si="141"/>
        <v>Rodoviária do Alentejo, S.A.</v>
      </c>
      <c r="D3641" t="s">
        <v>629</v>
      </c>
      <c r="F3641" t="s">
        <v>620</v>
      </c>
      <c r="G3641" s="89">
        <v>2003</v>
      </c>
      <c r="H3641" s="313" t="s">
        <v>732</v>
      </c>
      <c r="I3641" s="311" t="str">
        <f t="shared" si="143"/>
        <v>Pesado de Passageiros M3:  : Gasóleo : E3</v>
      </c>
      <c r="J3641">
        <v>50</v>
      </c>
      <c r="K3641" s="422">
        <v>2023</v>
      </c>
      <c r="L3641">
        <v>20218.52</v>
      </c>
      <c r="M3641" t="s">
        <v>630</v>
      </c>
      <c r="N3641">
        <v>60484</v>
      </c>
      <c r="O3641" s="131">
        <f t="shared" si="142"/>
        <v>3024200</v>
      </c>
      <c r="P3641" s="89">
        <v>8151</v>
      </c>
      <c r="Q3641" s="422" t="s">
        <v>47</v>
      </c>
      <c r="R3641" s="422" t="s">
        <v>1869</v>
      </c>
      <c r="S3641" s="422" t="s">
        <v>1861</v>
      </c>
      <c r="T3641" t="s">
        <v>4823</v>
      </c>
      <c r="U3641" s="422" t="s">
        <v>1953</v>
      </c>
      <c r="V3641" s="422" t="s">
        <v>2813</v>
      </c>
    </row>
    <row r="3642" spans="1:22" ht="15.75" thickBot="1" x14ac:dyDescent="0.3">
      <c r="A3642" t="s">
        <v>1916</v>
      </c>
      <c r="B3642" t="s">
        <v>1916</v>
      </c>
      <c r="C3642" s="424" t="str">
        <f t="shared" si="141"/>
        <v>Rodoviária do Alentejo, S.A.</v>
      </c>
      <c r="D3642" t="s">
        <v>629</v>
      </c>
      <c r="F3642" t="s">
        <v>620</v>
      </c>
      <c r="G3642" s="89">
        <v>2012</v>
      </c>
      <c r="H3642" s="313" t="s">
        <v>734</v>
      </c>
      <c r="I3642" s="311" t="str">
        <f t="shared" si="143"/>
        <v>Pesado de Passageiros M3:  : Gasóleo : E5</v>
      </c>
      <c r="J3642">
        <v>80</v>
      </c>
      <c r="K3642" s="422">
        <v>2023</v>
      </c>
      <c r="L3642">
        <v>13889.48</v>
      </c>
      <c r="M3642" t="s">
        <v>630</v>
      </c>
      <c r="N3642">
        <v>41790</v>
      </c>
      <c r="O3642" s="131">
        <f t="shared" si="142"/>
        <v>3343200</v>
      </c>
      <c r="P3642" s="89">
        <v>8152</v>
      </c>
      <c r="Q3642" s="422" t="s">
        <v>47</v>
      </c>
      <c r="R3642" s="422" t="s">
        <v>1869</v>
      </c>
      <c r="S3642" s="422" t="s">
        <v>1861</v>
      </c>
      <c r="T3642" t="s">
        <v>4823</v>
      </c>
      <c r="U3642" s="422" t="s">
        <v>1953</v>
      </c>
      <c r="V3642" s="422" t="s">
        <v>2813</v>
      </c>
    </row>
    <row r="3643" spans="1:22" ht="15.75" thickBot="1" x14ac:dyDescent="0.3">
      <c r="A3643" t="s">
        <v>1916</v>
      </c>
      <c r="B3643" t="s">
        <v>1916</v>
      </c>
      <c r="C3643" s="424" t="str">
        <f t="shared" si="141"/>
        <v>Rodoviária do Alentejo, S.A.</v>
      </c>
      <c r="D3643" t="s">
        <v>629</v>
      </c>
      <c r="F3643" t="s">
        <v>620</v>
      </c>
      <c r="G3643" s="89">
        <v>2012</v>
      </c>
      <c r="H3643" s="313" t="s">
        <v>734</v>
      </c>
      <c r="I3643" s="311" t="str">
        <f t="shared" si="143"/>
        <v>Pesado de Passageiros M3:  : Gasóleo : E5</v>
      </c>
      <c r="J3643">
        <v>60</v>
      </c>
      <c r="K3643" s="422">
        <v>2023</v>
      </c>
      <c r="L3643">
        <v>12794</v>
      </c>
      <c r="M3643" t="s">
        <v>630</v>
      </c>
      <c r="N3643">
        <v>46448</v>
      </c>
      <c r="O3643" s="131">
        <f t="shared" si="142"/>
        <v>2786880</v>
      </c>
      <c r="P3643" s="89">
        <v>8153</v>
      </c>
      <c r="Q3643" s="422" t="s">
        <v>47</v>
      </c>
      <c r="R3643" s="422" t="s">
        <v>1869</v>
      </c>
      <c r="S3643" s="422" t="s">
        <v>1861</v>
      </c>
      <c r="T3643" t="s">
        <v>4823</v>
      </c>
      <c r="U3643" s="422" t="s">
        <v>1953</v>
      </c>
      <c r="V3643" s="422" t="s">
        <v>2813</v>
      </c>
    </row>
    <row r="3644" spans="1:22" ht="15.75" thickBot="1" x14ac:dyDescent="0.3">
      <c r="A3644" t="s">
        <v>1916</v>
      </c>
      <c r="B3644" t="s">
        <v>1916</v>
      </c>
      <c r="C3644" s="424" t="str">
        <f t="shared" si="141"/>
        <v>Rodoviária do Alentejo, S.A.</v>
      </c>
      <c r="D3644" t="s">
        <v>629</v>
      </c>
      <c r="F3644" t="s">
        <v>620</v>
      </c>
      <c r="G3644" s="89">
        <v>2012</v>
      </c>
      <c r="H3644" s="313" t="s">
        <v>734</v>
      </c>
      <c r="I3644" s="311" t="str">
        <f t="shared" si="143"/>
        <v>Pesado de Passageiros M3:  : Gasóleo : E5</v>
      </c>
      <c r="J3644">
        <v>80</v>
      </c>
      <c r="K3644" s="422">
        <v>2023</v>
      </c>
      <c r="L3644">
        <v>18825.080000000002</v>
      </c>
      <c r="M3644" t="s">
        <v>630</v>
      </c>
      <c r="N3644">
        <v>64176</v>
      </c>
      <c r="O3644" s="131">
        <f t="shared" si="142"/>
        <v>5134080</v>
      </c>
      <c r="P3644" s="89">
        <v>8154</v>
      </c>
      <c r="Q3644" s="422" t="s">
        <v>47</v>
      </c>
      <c r="R3644" s="422" t="s">
        <v>1869</v>
      </c>
      <c r="S3644" s="422" t="s">
        <v>1861</v>
      </c>
      <c r="T3644" t="s">
        <v>4823</v>
      </c>
      <c r="U3644" s="422" t="s">
        <v>1953</v>
      </c>
      <c r="V3644" s="422" t="s">
        <v>2813</v>
      </c>
    </row>
    <row r="3645" spans="1:22" ht="15.75" thickBot="1" x14ac:dyDescent="0.3">
      <c r="A3645" t="s">
        <v>1916</v>
      </c>
      <c r="B3645" t="s">
        <v>1916</v>
      </c>
      <c r="C3645" s="424" t="str">
        <f t="shared" si="141"/>
        <v>Rodoviária do Alentejo, S.A.</v>
      </c>
      <c r="D3645" t="s">
        <v>629</v>
      </c>
      <c r="F3645" t="s">
        <v>620</v>
      </c>
      <c r="G3645" s="89">
        <v>2012</v>
      </c>
      <c r="H3645" s="313" t="s">
        <v>734</v>
      </c>
      <c r="I3645" s="311" t="str">
        <f t="shared" si="143"/>
        <v>Pesado de Passageiros M3:  : Gasóleo : E5</v>
      </c>
      <c r="J3645">
        <v>81</v>
      </c>
      <c r="K3645" s="422">
        <v>2023</v>
      </c>
      <c r="L3645">
        <v>15140.81</v>
      </c>
      <c r="M3645" t="s">
        <v>630</v>
      </c>
      <c r="N3645">
        <v>48662</v>
      </c>
      <c r="O3645" s="131">
        <f t="shared" si="142"/>
        <v>3941622</v>
      </c>
      <c r="P3645" s="89">
        <v>8155</v>
      </c>
      <c r="Q3645" s="422" t="s">
        <v>47</v>
      </c>
      <c r="R3645" s="422" t="s">
        <v>1869</v>
      </c>
      <c r="S3645" s="422" t="s">
        <v>1861</v>
      </c>
      <c r="T3645" t="s">
        <v>4823</v>
      </c>
      <c r="U3645" s="422" t="s">
        <v>1953</v>
      </c>
      <c r="V3645" s="422" t="s">
        <v>2813</v>
      </c>
    </row>
    <row r="3646" spans="1:22" ht="15.75" thickBot="1" x14ac:dyDescent="0.3">
      <c r="A3646" t="s">
        <v>1916</v>
      </c>
      <c r="B3646" t="s">
        <v>1916</v>
      </c>
      <c r="C3646" s="424" t="str">
        <f t="shared" si="141"/>
        <v>Rodoviária do Alentejo, S.A.</v>
      </c>
      <c r="D3646" t="s">
        <v>629</v>
      </c>
      <c r="F3646" t="s">
        <v>620</v>
      </c>
      <c r="G3646" s="89">
        <v>2012</v>
      </c>
      <c r="H3646" s="313" t="s">
        <v>734</v>
      </c>
      <c r="I3646" s="311" t="str">
        <f t="shared" si="143"/>
        <v>Pesado de Passageiros M3:  : Gasóleo : E5</v>
      </c>
      <c r="J3646">
        <v>81</v>
      </c>
      <c r="K3646" s="422">
        <v>2023</v>
      </c>
      <c r="L3646">
        <v>17307.22</v>
      </c>
      <c r="M3646" t="s">
        <v>630</v>
      </c>
      <c r="N3646">
        <v>56750</v>
      </c>
      <c r="O3646" s="131">
        <f t="shared" si="142"/>
        <v>4596750</v>
      </c>
      <c r="P3646" s="89">
        <v>8156</v>
      </c>
      <c r="Q3646" s="422" t="s">
        <v>47</v>
      </c>
      <c r="R3646" s="422" t="s">
        <v>1869</v>
      </c>
      <c r="S3646" s="422" t="s">
        <v>1861</v>
      </c>
      <c r="T3646" t="s">
        <v>4823</v>
      </c>
      <c r="U3646" s="422" t="s">
        <v>1953</v>
      </c>
      <c r="V3646" s="422" t="s">
        <v>2813</v>
      </c>
    </row>
    <row r="3647" spans="1:22" ht="15.75" thickBot="1" x14ac:dyDescent="0.3">
      <c r="A3647" t="s">
        <v>1916</v>
      </c>
      <c r="B3647" t="s">
        <v>1916</v>
      </c>
      <c r="C3647" s="424" t="str">
        <f t="shared" si="141"/>
        <v>Rodoviária do Alentejo, S.A.</v>
      </c>
      <c r="D3647" t="s">
        <v>629</v>
      </c>
      <c r="F3647" t="s">
        <v>620</v>
      </c>
      <c r="G3647" s="89">
        <v>2012</v>
      </c>
      <c r="H3647" s="313" t="s">
        <v>734</v>
      </c>
      <c r="I3647" s="311" t="str">
        <f t="shared" si="143"/>
        <v>Pesado de Passageiros M3:  : Gasóleo : E5</v>
      </c>
      <c r="J3647">
        <v>81</v>
      </c>
      <c r="K3647" s="422">
        <v>2023</v>
      </c>
      <c r="L3647">
        <v>15789.39</v>
      </c>
      <c r="M3647" t="s">
        <v>630</v>
      </c>
      <c r="N3647">
        <v>59362</v>
      </c>
      <c r="O3647" s="131">
        <f t="shared" si="142"/>
        <v>4808322</v>
      </c>
      <c r="P3647" s="89">
        <v>8157</v>
      </c>
      <c r="Q3647" s="422" t="s">
        <v>47</v>
      </c>
      <c r="R3647" s="422" t="s">
        <v>1869</v>
      </c>
      <c r="S3647" s="422" t="s">
        <v>1861</v>
      </c>
      <c r="T3647" t="s">
        <v>4823</v>
      </c>
      <c r="U3647" s="422" t="s">
        <v>1953</v>
      </c>
      <c r="V3647" s="422" t="s">
        <v>2813</v>
      </c>
    </row>
    <row r="3648" spans="1:22" ht="15.75" thickBot="1" x14ac:dyDescent="0.3">
      <c r="A3648" t="s">
        <v>1916</v>
      </c>
      <c r="B3648" t="s">
        <v>1916</v>
      </c>
      <c r="C3648" s="424" t="str">
        <f t="shared" si="141"/>
        <v>Rodoviária do Alentejo, S.A.</v>
      </c>
      <c r="D3648" t="s">
        <v>629</v>
      </c>
      <c r="F3648" t="s">
        <v>620</v>
      </c>
      <c r="G3648" s="89">
        <v>2012</v>
      </c>
      <c r="H3648" s="313" t="s">
        <v>734</v>
      </c>
      <c r="I3648" s="311" t="str">
        <f t="shared" si="143"/>
        <v>Pesado de Passageiros M3:  : Gasóleo : E5</v>
      </c>
      <c r="J3648">
        <v>81</v>
      </c>
      <c r="K3648" s="422">
        <v>2023</v>
      </c>
      <c r="L3648">
        <v>14000.220000000003</v>
      </c>
      <c r="M3648" t="s">
        <v>630</v>
      </c>
      <c r="N3648">
        <v>48077</v>
      </c>
      <c r="O3648" s="131">
        <f t="shared" si="142"/>
        <v>3894237</v>
      </c>
      <c r="P3648" s="89">
        <v>8158</v>
      </c>
      <c r="Q3648" s="422" t="s">
        <v>47</v>
      </c>
      <c r="R3648" s="422" t="s">
        <v>1869</v>
      </c>
      <c r="S3648" s="422" t="s">
        <v>1861</v>
      </c>
      <c r="T3648" t="s">
        <v>4823</v>
      </c>
      <c r="U3648" s="422" t="s">
        <v>1953</v>
      </c>
      <c r="V3648" s="422" t="s">
        <v>2813</v>
      </c>
    </row>
    <row r="3649" spans="1:22" ht="15.75" thickBot="1" x14ac:dyDescent="0.3">
      <c r="A3649" t="s">
        <v>1916</v>
      </c>
      <c r="B3649" t="s">
        <v>1916</v>
      </c>
      <c r="C3649" s="424" t="str">
        <f t="shared" si="141"/>
        <v>Rodoviária do Alentejo, S.A.</v>
      </c>
      <c r="D3649" t="s">
        <v>629</v>
      </c>
      <c r="F3649" t="s">
        <v>620</v>
      </c>
      <c r="G3649" s="89">
        <v>2012</v>
      </c>
      <c r="H3649" s="313" t="s">
        <v>734</v>
      </c>
      <c r="I3649" s="311" t="str">
        <f t="shared" si="143"/>
        <v>Pesado de Passageiros M3:  : Gasóleo : E5</v>
      </c>
      <c r="J3649">
        <v>81</v>
      </c>
      <c r="K3649" s="422">
        <v>2023</v>
      </c>
      <c r="L3649">
        <v>14701.800000000001</v>
      </c>
      <c r="M3649" t="s">
        <v>630</v>
      </c>
      <c r="N3649">
        <v>56466</v>
      </c>
      <c r="O3649" s="131">
        <f t="shared" si="142"/>
        <v>4573746</v>
      </c>
      <c r="P3649" s="89">
        <v>8159</v>
      </c>
      <c r="Q3649" s="422" t="s">
        <v>47</v>
      </c>
      <c r="R3649" s="422" t="s">
        <v>1869</v>
      </c>
      <c r="S3649" s="422" t="s">
        <v>1861</v>
      </c>
      <c r="T3649" t="s">
        <v>4823</v>
      </c>
      <c r="U3649" s="422" t="s">
        <v>1953</v>
      </c>
      <c r="V3649" s="422" t="s">
        <v>2813</v>
      </c>
    </row>
    <row r="3650" spans="1:22" ht="15.75" thickBot="1" x14ac:dyDescent="0.3">
      <c r="A3650" t="s">
        <v>1916</v>
      </c>
      <c r="B3650" t="s">
        <v>1916</v>
      </c>
      <c r="C3650" s="424" t="str">
        <f t="shared" si="141"/>
        <v>Rodoviária do Alentejo, S.A.</v>
      </c>
      <c r="D3650" t="s">
        <v>629</v>
      </c>
      <c r="F3650" t="s">
        <v>620</v>
      </c>
      <c r="G3650" s="89">
        <v>2012</v>
      </c>
      <c r="H3650" s="313" t="s">
        <v>734</v>
      </c>
      <c r="I3650" s="311" t="str">
        <f t="shared" si="143"/>
        <v>Pesado de Passageiros M3:  : Gasóleo : E5</v>
      </c>
      <c r="J3650">
        <v>81</v>
      </c>
      <c r="K3650" s="422">
        <v>2023</v>
      </c>
      <c r="L3650">
        <v>10036.25</v>
      </c>
      <c r="M3650" t="s">
        <v>630</v>
      </c>
      <c r="N3650">
        <v>33871</v>
      </c>
      <c r="O3650" s="131">
        <f t="shared" si="142"/>
        <v>2743551</v>
      </c>
      <c r="P3650" s="89">
        <v>8160</v>
      </c>
      <c r="Q3650" s="422" t="s">
        <v>47</v>
      </c>
      <c r="R3650" s="422" t="s">
        <v>1869</v>
      </c>
      <c r="S3650" s="422" t="s">
        <v>1861</v>
      </c>
      <c r="T3650" t="s">
        <v>4823</v>
      </c>
      <c r="U3650" s="422" t="s">
        <v>1953</v>
      </c>
      <c r="V3650" s="422" t="s">
        <v>2813</v>
      </c>
    </row>
    <row r="3651" spans="1:22" ht="15.75" thickBot="1" x14ac:dyDescent="0.3">
      <c r="A3651" t="s">
        <v>1916</v>
      </c>
      <c r="B3651" t="s">
        <v>1916</v>
      </c>
      <c r="C3651" s="424" t="str">
        <f t="shared" si="141"/>
        <v>Rodoviária do Alentejo, S.A.</v>
      </c>
      <c r="D3651" t="s">
        <v>629</v>
      </c>
      <c r="F3651" t="s">
        <v>620</v>
      </c>
      <c r="G3651" s="89">
        <v>2012</v>
      </c>
      <c r="H3651" s="313" t="s">
        <v>734</v>
      </c>
      <c r="I3651" s="311" t="str">
        <f t="shared" si="143"/>
        <v>Pesado de Passageiros M3:  : Gasóleo : E5</v>
      </c>
      <c r="J3651">
        <v>81</v>
      </c>
      <c r="K3651" s="422">
        <v>2023</v>
      </c>
      <c r="L3651">
        <v>14207.350000000002</v>
      </c>
      <c r="M3651" t="s">
        <v>630</v>
      </c>
      <c r="N3651">
        <v>50599</v>
      </c>
      <c r="O3651" s="131">
        <f t="shared" si="142"/>
        <v>4098519</v>
      </c>
      <c r="P3651" s="89">
        <v>8162</v>
      </c>
      <c r="Q3651" s="422" t="s">
        <v>47</v>
      </c>
      <c r="R3651" s="422" t="s">
        <v>1869</v>
      </c>
      <c r="S3651" s="422" t="s">
        <v>1861</v>
      </c>
      <c r="T3651" t="s">
        <v>4823</v>
      </c>
      <c r="U3651" s="422" t="s">
        <v>1953</v>
      </c>
      <c r="V3651" s="422" t="s">
        <v>2813</v>
      </c>
    </row>
    <row r="3652" spans="1:22" ht="15.75" thickBot="1" x14ac:dyDescent="0.3">
      <c r="A3652" t="s">
        <v>1916</v>
      </c>
      <c r="B3652" t="s">
        <v>1916</v>
      </c>
      <c r="C3652" s="424" t="str">
        <f t="shared" si="141"/>
        <v>Rodoviária do Alentejo, S.A.</v>
      </c>
      <c r="D3652" t="s">
        <v>629</v>
      </c>
      <c r="F3652" t="s">
        <v>620</v>
      </c>
      <c r="G3652" s="89">
        <v>2008</v>
      </c>
      <c r="H3652" s="313" t="s">
        <v>731</v>
      </c>
      <c r="I3652" s="311" t="str">
        <f t="shared" si="143"/>
        <v>Pesado de Passageiros M3:  : Gasóleo : E4</v>
      </c>
      <c r="J3652">
        <v>107</v>
      </c>
      <c r="K3652" s="422">
        <v>2023</v>
      </c>
      <c r="L3652">
        <v>9953.5299999999988</v>
      </c>
      <c r="M3652" t="s">
        <v>630</v>
      </c>
      <c r="N3652">
        <v>25586</v>
      </c>
      <c r="O3652" s="131">
        <f t="shared" si="142"/>
        <v>2737702</v>
      </c>
      <c r="P3652" s="89">
        <v>8163</v>
      </c>
      <c r="Q3652" s="422" t="s">
        <v>47</v>
      </c>
      <c r="R3652" s="422" t="s">
        <v>1869</v>
      </c>
      <c r="S3652" s="422" t="s">
        <v>1861</v>
      </c>
      <c r="T3652" t="s">
        <v>4823</v>
      </c>
      <c r="U3652" s="422" t="s">
        <v>1953</v>
      </c>
      <c r="V3652" s="422" t="s">
        <v>2813</v>
      </c>
    </row>
    <row r="3653" spans="1:22" ht="15.75" thickBot="1" x14ac:dyDescent="0.3">
      <c r="A3653" t="s">
        <v>1916</v>
      </c>
      <c r="B3653" t="s">
        <v>1916</v>
      </c>
      <c r="C3653" s="424" t="str">
        <f t="shared" si="141"/>
        <v>Rodoviária do Alentejo, S.A.</v>
      </c>
      <c r="D3653" t="s">
        <v>629</v>
      </c>
      <c r="F3653" t="s">
        <v>620</v>
      </c>
      <c r="G3653" s="89">
        <v>2008</v>
      </c>
      <c r="H3653" s="313" t="s">
        <v>731</v>
      </c>
      <c r="I3653" s="311" t="str">
        <f t="shared" si="143"/>
        <v>Pesado de Passageiros M3:  : Gasóleo : E4</v>
      </c>
      <c r="J3653">
        <v>107</v>
      </c>
      <c r="K3653" s="422">
        <v>2023</v>
      </c>
      <c r="L3653">
        <v>12240.92</v>
      </c>
      <c r="M3653" t="s">
        <v>630</v>
      </c>
      <c r="N3653">
        <v>32499</v>
      </c>
      <c r="O3653" s="131">
        <f t="shared" si="142"/>
        <v>3477393</v>
      </c>
      <c r="P3653" s="89">
        <v>8164</v>
      </c>
      <c r="Q3653" s="422" t="s">
        <v>47</v>
      </c>
      <c r="R3653" s="422" t="s">
        <v>1869</v>
      </c>
      <c r="S3653" s="422" t="s">
        <v>1861</v>
      </c>
      <c r="T3653" t="s">
        <v>4823</v>
      </c>
      <c r="U3653" s="422" t="s">
        <v>1953</v>
      </c>
      <c r="V3653" s="422" t="s">
        <v>2813</v>
      </c>
    </row>
    <row r="3654" spans="1:22" ht="15.75" thickBot="1" x14ac:dyDescent="0.3">
      <c r="A3654" t="s">
        <v>1916</v>
      </c>
      <c r="B3654" t="s">
        <v>1916</v>
      </c>
      <c r="C3654" s="424" t="str">
        <f t="shared" si="141"/>
        <v>Rodoviária do Alentejo, S.A.</v>
      </c>
      <c r="D3654" t="s">
        <v>629</v>
      </c>
      <c r="F3654" t="s">
        <v>620</v>
      </c>
      <c r="G3654" s="89">
        <v>2009</v>
      </c>
      <c r="H3654" s="313" t="s">
        <v>731</v>
      </c>
      <c r="I3654" s="311" t="str">
        <f t="shared" si="143"/>
        <v>Pesado de Passageiros M3:  : Gasóleo : E4</v>
      </c>
      <c r="J3654">
        <v>107</v>
      </c>
      <c r="K3654" s="422">
        <v>2023</v>
      </c>
      <c r="L3654">
        <v>9594.1400000000012</v>
      </c>
      <c r="M3654" t="s">
        <v>630</v>
      </c>
      <c r="N3654">
        <v>26216</v>
      </c>
      <c r="O3654" s="131">
        <f t="shared" si="142"/>
        <v>2805112</v>
      </c>
      <c r="P3654" s="89">
        <v>8165</v>
      </c>
      <c r="Q3654" s="422" t="s">
        <v>47</v>
      </c>
      <c r="R3654" s="422" t="s">
        <v>1869</v>
      </c>
      <c r="S3654" s="422" t="s">
        <v>1861</v>
      </c>
      <c r="T3654" t="s">
        <v>4823</v>
      </c>
      <c r="U3654" s="422" t="s">
        <v>1953</v>
      </c>
      <c r="V3654" s="422" t="s">
        <v>2813</v>
      </c>
    </row>
    <row r="3655" spans="1:22" ht="15.75" thickBot="1" x14ac:dyDescent="0.3">
      <c r="A3655" t="s">
        <v>1916</v>
      </c>
      <c r="B3655" t="s">
        <v>1916</v>
      </c>
      <c r="C3655" s="424" t="str">
        <f t="shared" si="141"/>
        <v>Rodoviária do Alentejo, S.A.</v>
      </c>
      <c r="D3655" t="s">
        <v>629</v>
      </c>
      <c r="F3655" t="s">
        <v>620</v>
      </c>
      <c r="G3655" s="89">
        <v>2008</v>
      </c>
      <c r="H3655" s="313" t="s">
        <v>731</v>
      </c>
      <c r="I3655" s="311" t="str">
        <f t="shared" si="143"/>
        <v>Pesado de Passageiros M3:  : Gasóleo : E4</v>
      </c>
      <c r="J3655">
        <v>75</v>
      </c>
      <c r="K3655" s="422">
        <v>2023</v>
      </c>
      <c r="L3655">
        <v>24339.649999999998</v>
      </c>
      <c r="M3655" t="s">
        <v>630</v>
      </c>
      <c r="N3655">
        <v>73957</v>
      </c>
      <c r="O3655" s="131">
        <f t="shared" si="142"/>
        <v>5546775</v>
      </c>
      <c r="P3655" s="89">
        <v>8166</v>
      </c>
      <c r="Q3655" s="422" t="s">
        <v>47</v>
      </c>
      <c r="R3655" s="422" t="s">
        <v>1869</v>
      </c>
      <c r="S3655" s="422" t="s">
        <v>1861</v>
      </c>
      <c r="T3655" t="s">
        <v>4823</v>
      </c>
      <c r="U3655" s="422" t="s">
        <v>1953</v>
      </c>
      <c r="V3655" s="422" t="s">
        <v>2813</v>
      </c>
    </row>
    <row r="3656" spans="1:22" ht="15.75" thickBot="1" x14ac:dyDescent="0.3">
      <c r="A3656" t="s">
        <v>1916</v>
      </c>
      <c r="B3656" t="s">
        <v>1916</v>
      </c>
      <c r="C3656" s="424" t="str">
        <f t="shared" si="141"/>
        <v>Rodoviária do Alentejo, S.A.</v>
      </c>
      <c r="D3656" t="s">
        <v>629</v>
      </c>
      <c r="F3656" t="s">
        <v>620</v>
      </c>
      <c r="G3656" s="89">
        <v>2008</v>
      </c>
      <c r="H3656" s="313" t="s">
        <v>731</v>
      </c>
      <c r="I3656" s="311" t="str">
        <f t="shared" si="143"/>
        <v>Pesado de Passageiros M3:  : Gasóleo : E4</v>
      </c>
      <c r="J3656">
        <v>72</v>
      </c>
      <c r="K3656" s="422">
        <v>2023</v>
      </c>
      <c r="L3656">
        <v>19098.360000000004</v>
      </c>
      <c r="M3656" t="s">
        <v>630</v>
      </c>
      <c r="N3656">
        <v>52545</v>
      </c>
      <c r="O3656" s="131">
        <f t="shared" si="142"/>
        <v>3783240</v>
      </c>
      <c r="P3656" s="89">
        <v>8167</v>
      </c>
      <c r="Q3656" s="422" t="s">
        <v>47</v>
      </c>
      <c r="R3656" s="422" t="s">
        <v>1869</v>
      </c>
      <c r="S3656" s="422" t="s">
        <v>1861</v>
      </c>
      <c r="T3656" t="s">
        <v>4823</v>
      </c>
      <c r="U3656" s="422" t="s">
        <v>1953</v>
      </c>
      <c r="V3656" s="422" t="s">
        <v>2813</v>
      </c>
    </row>
    <row r="3657" spans="1:22" ht="15.75" thickBot="1" x14ac:dyDescent="0.3">
      <c r="A3657" t="s">
        <v>1916</v>
      </c>
      <c r="B3657" t="s">
        <v>1916</v>
      </c>
      <c r="C3657" s="424" t="str">
        <f t="shared" si="141"/>
        <v>Rodoviária do Alentejo, S.A.</v>
      </c>
      <c r="D3657" t="s">
        <v>629</v>
      </c>
      <c r="F3657" t="s">
        <v>620</v>
      </c>
      <c r="G3657" s="89">
        <v>2009</v>
      </c>
      <c r="H3657" s="313" t="s">
        <v>731</v>
      </c>
      <c r="I3657" s="311" t="str">
        <f t="shared" si="143"/>
        <v>Pesado de Passageiros M3:  : Gasóleo : E4</v>
      </c>
      <c r="J3657">
        <v>92</v>
      </c>
      <c r="K3657" s="422">
        <v>2023</v>
      </c>
      <c r="L3657">
        <v>14457.89</v>
      </c>
      <c r="M3657" t="s">
        <v>630</v>
      </c>
      <c r="N3657">
        <v>36868</v>
      </c>
      <c r="O3657" s="131">
        <f t="shared" si="142"/>
        <v>3391856</v>
      </c>
      <c r="P3657" s="89">
        <v>8168</v>
      </c>
      <c r="Q3657" s="422" t="s">
        <v>47</v>
      </c>
      <c r="R3657" s="422" t="s">
        <v>1869</v>
      </c>
      <c r="S3657" s="422" t="s">
        <v>1861</v>
      </c>
      <c r="T3657" t="s">
        <v>4823</v>
      </c>
      <c r="U3657" s="422" t="s">
        <v>1953</v>
      </c>
      <c r="V3657" s="422" t="s">
        <v>2813</v>
      </c>
    </row>
    <row r="3658" spans="1:22" ht="15.75" thickBot="1" x14ac:dyDescent="0.3">
      <c r="A3658" t="s">
        <v>1916</v>
      </c>
      <c r="B3658" t="s">
        <v>1916</v>
      </c>
      <c r="C3658" s="424" t="str">
        <f t="shared" si="141"/>
        <v>Rodoviária do Alentejo, S.A.</v>
      </c>
      <c r="D3658" t="s">
        <v>629</v>
      </c>
      <c r="F3658" t="s">
        <v>620</v>
      </c>
      <c r="G3658" s="89">
        <v>2008</v>
      </c>
      <c r="H3658" s="313" t="s">
        <v>731</v>
      </c>
      <c r="I3658" s="311" t="str">
        <f t="shared" si="143"/>
        <v>Pesado de Passageiros M3:  : Gasóleo : E4</v>
      </c>
      <c r="J3658">
        <v>104</v>
      </c>
      <c r="K3658" s="422">
        <v>2023</v>
      </c>
      <c r="L3658">
        <v>7431.8300000000008</v>
      </c>
      <c r="M3658" t="s">
        <v>630</v>
      </c>
      <c r="N3658">
        <v>19777</v>
      </c>
      <c r="O3658" s="131">
        <f t="shared" si="142"/>
        <v>2056808</v>
      </c>
      <c r="P3658" s="89">
        <v>8169</v>
      </c>
      <c r="Q3658" s="422" t="s">
        <v>47</v>
      </c>
      <c r="R3658" s="422" t="s">
        <v>1869</v>
      </c>
      <c r="S3658" s="422" t="s">
        <v>1861</v>
      </c>
      <c r="T3658" t="s">
        <v>4823</v>
      </c>
      <c r="U3658" s="422" t="s">
        <v>1953</v>
      </c>
      <c r="V3658" s="422" t="s">
        <v>2813</v>
      </c>
    </row>
    <row r="3659" spans="1:22" ht="15.75" thickBot="1" x14ac:dyDescent="0.3">
      <c r="A3659" t="s">
        <v>1916</v>
      </c>
      <c r="B3659" t="s">
        <v>1916</v>
      </c>
      <c r="C3659" s="424" t="str">
        <f t="shared" si="141"/>
        <v>Rodoviária do Alentejo, S.A.</v>
      </c>
      <c r="D3659" t="s">
        <v>629</v>
      </c>
      <c r="F3659" t="s">
        <v>620</v>
      </c>
      <c r="G3659" s="89">
        <v>2005</v>
      </c>
      <c r="H3659" s="313" t="s">
        <v>732</v>
      </c>
      <c r="I3659" s="311" t="str">
        <f t="shared" si="143"/>
        <v>Pesado de Passageiros M3:  : Gasóleo : E3</v>
      </c>
      <c r="J3659">
        <v>24</v>
      </c>
      <c r="K3659" s="422">
        <v>2023</v>
      </c>
      <c r="L3659">
        <v>4084</v>
      </c>
      <c r="M3659" t="s">
        <v>630</v>
      </c>
      <c r="N3659">
        <v>25938</v>
      </c>
      <c r="O3659" s="131">
        <f t="shared" si="142"/>
        <v>622512</v>
      </c>
      <c r="P3659" s="89">
        <v>8181</v>
      </c>
      <c r="Q3659" s="422" t="s">
        <v>47</v>
      </c>
      <c r="R3659" s="422" t="s">
        <v>1869</v>
      </c>
      <c r="S3659" s="422" t="s">
        <v>1861</v>
      </c>
      <c r="T3659" t="s">
        <v>4823</v>
      </c>
      <c r="U3659" s="422" t="s">
        <v>1953</v>
      </c>
      <c r="V3659" s="422" t="s">
        <v>2813</v>
      </c>
    </row>
    <row r="3660" spans="1:22" ht="15.75" thickBot="1" x14ac:dyDescent="0.3">
      <c r="A3660" t="s">
        <v>1916</v>
      </c>
      <c r="B3660" t="s">
        <v>1916</v>
      </c>
      <c r="C3660" s="424" t="str">
        <f t="shared" si="141"/>
        <v>Rodoviária do Alentejo, S.A.</v>
      </c>
      <c r="D3660" t="s">
        <v>629</v>
      </c>
      <c r="F3660" t="s">
        <v>620</v>
      </c>
      <c r="G3660" s="89">
        <v>2008</v>
      </c>
      <c r="H3660" s="313" t="s">
        <v>731</v>
      </c>
      <c r="I3660" s="311" t="str">
        <f t="shared" si="143"/>
        <v>Pesado de Passageiros M3:  : Gasóleo : E4</v>
      </c>
      <c r="J3660">
        <v>53</v>
      </c>
      <c r="K3660" s="422">
        <v>2023</v>
      </c>
      <c r="L3660">
        <v>13614.11</v>
      </c>
      <c r="M3660" t="s">
        <v>630</v>
      </c>
      <c r="N3660">
        <v>51156</v>
      </c>
      <c r="O3660" s="131">
        <f t="shared" si="142"/>
        <v>2711268</v>
      </c>
      <c r="P3660" s="89">
        <v>8183</v>
      </c>
      <c r="Q3660" s="422" t="s">
        <v>47</v>
      </c>
      <c r="R3660" s="422" t="s">
        <v>1869</v>
      </c>
      <c r="S3660" s="422" t="s">
        <v>1861</v>
      </c>
      <c r="T3660" t="s">
        <v>4825</v>
      </c>
      <c r="U3660" s="422" t="s">
        <v>1953</v>
      </c>
      <c r="V3660" s="422" t="s">
        <v>2813</v>
      </c>
    </row>
    <row r="3661" spans="1:22" ht="15.75" thickBot="1" x14ac:dyDescent="0.3">
      <c r="A3661" t="s">
        <v>1916</v>
      </c>
      <c r="B3661" t="s">
        <v>1916</v>
      </c>
      <c r="C3661" s="424" t="str">
        <f t="shared" si="141"/>
        <v>Rodoviária do Alentejo, S.A.</v>
      </c>
      <c r="D3661" t="s">
        <v>629</v>
      </c>
      <c r="F3661" t="s">
        <v>620</v>
      </c>
      <c r="G3661" s="89">
        <v>2009</v>
      </c>
      <c r="H3661" s="313" t="s">
        <v>731</v>
      </c>
      <c r="I3661" s="311" t="str">
        <f t="shared" si="143"/>
        <v>Pesado de Passageiros M3:  : Gasóleo : E4</v>
      </c>
      <c r="J3661">
        <v>30</v>
      </c>
      <c r="K3661" s="422">
        <v>2023</v>
      </c>
      <c r="L3661">
        <v>4118.0199999999995</v>
      </c>
      <c r="M3661" t="s">
        <v>630</v>
      </c>
      <c r="N3661">
        <v>22220</v>
      </c>
      <c r="O3661" s="131">
        <f t="shared" si="142"/>
        <v>666600</v>
      </c>
      <c r="P3661" s="89">
        <v>8184</v>
      </c>
      <c r="Q3661" s="422" t="s">
        <v>47</v>
      </c>
      <c r="R3661" s="422" t="s">
        <v>1869</v>
      </c>
      <c r="S3661" s="422" t="s">
        <v>1861</v>
      </c>
      <c r="T3661" t="s">
        <v>4823</v>
      </c>
      <c r="U3661" s="422" t="s">
        <v>1953</v>
      </c>
      <c r="V3661" s="422" t="s">
        <v>2813</v>
      </c>
    </row>
    <row r="3662" spans="1:22" ht="15.75" thickBot="1" x14ac:dyDescent="0.3">
      <c r="A3662" t="s">
        <v>1916</v>
      </c>
      <c r="B3662" t="s">
        <v>1916</v>
      </c>
      <c r="C3662" s="424" t="str">
        <f t="shared" si="141"/>
        <v>Rodoviária do Alentejo, S.A.</v>
      </c>
      <c r="D3662" t="s">
        <v>629</v>
      </c>
      <c r="F3662" t="s">
        <v>620</v>
      </c>
      <c r="G3662" s="89">
        <v>2009</v>
      </c>
      <c r="H3662" s="313" t="s">
        <v>731</v>
      </c>
      <c r="I3662" s="311" t="str">
        <f t="shared" si="143"/>
        <v>Pesado de Passageiros M3:  : Gasóleo : E4</v>
      </c>
      <c r="J3662">
        <v>30</v>
      </c>
      <c r="K3662" s="422">
        <v>2023</v>
      </c>
      <c r="L3662">
        <v>4464.7400000000007</v>
      </c>
      <c r="M3662" t="s">
        <v>630</v>
      </c>
      <c r="N3662">
        <v>27594</v>
      </c>
      <c r="O3662" s="131">
        <f t="shared" si="142"/>
        <v>827820</v>
      </c>
      <c r="P3662" s="89">
        <v>8185</v>
      </c>
      <c r="Q3662" s="422" t="s">
        <v>47</v>
      </c>
      <c r="R3662" s="422" t="s">
        <v>1869</v>
      </c>
      <c r="S3662" s="422" t="s">
        <v>1861</v>
      </c>
      <c r="T3662" t="s">
        <v>4823</v>
      </c>
      <c r="U3662" s="422" t="s">
        <v>1953</v>
      </c>
      <c r="V3662" s="422" t="s">
        <v>2813</v>
      </c>
    </row>
    <row r="3663" spans="1:22" ht="15.75" thickBot="1" x14ac:dyDescent="0.3">
      <c r="A3663" t="s">
        <v>1916</v>
      </c>
      <c r="B3663" t="s">
        <v>1916</v>
      </c>
      <c r="C3663" s="424" t="str">
        <f t="shared" si="141"/>
        <v>Rodoviária do Alentejo, S.A.</v>
      </c>
      <c r="D3663" t="s">
        <v>629</v>
      </c>
      <c r="F3663" t="s">
        <v>620</v>
      </c>
      <c r="G3663" s="89">
        <v>2009</v>
      </c>
      <c r="H3663" s="313" t="s">
        <v>731</v>
      </c>
      <c r="I3663" s="311" t="str">
        <f t="shared" si="143"/>
        <v>Pesado de Passageiros M3:  : Gasóleo : E4</v>
      </c>
      <c r="J3663">
        <v>30</v>
      </c>
      <c r="K3663" s="422">
        <v>2023</v>
      </c>
      <c r="L3663">
        <v>4806.5200000000004</v>
      </c>
      <c r="M3663" t="s">
        <v>630</v>
      </c>
      <c r="N3663">
        <v>31479</v>
      </c>
      <c r="O3663" s="131">
        <f t="shared" si="142"/>
        <v>944370</v>
      </c>
      <c r="P3663" s="89">
        <v>8186</v>
      </c>
      <c r="Q3663" s="422" t="s">
        <v>47</v>
      </c>
      <c r="R3663" s="422" t="s">
        <v>1869</v>
      </c>
      <c r="S3663" s="422" t="s">
        <v>1861</v>
      </c>
      <c r="T3663" t="s">
        <v>4823</v>
      </c>
      <c r="U3663" s="422" t="s">
        <v>1953</v>
      </c>
      <c r="V3663" s="422" t="s">
        <v>2813</v>
      </c>
    </row>
    <row r="3664" spans="1:22" ht="15.75" thickBot="1" x14ac:dyDescent="0.3">
      <c r="A3664" t="s">
        <v>1916</v>
      </c>
      <c r="B3664" t="s">
        <v>1916</v>
      </c>
      <c r="C3664" s="424" t="str">
        <f t="shared" si="141"/>
        <v>Rodoviária do Alentejo, S.A.</v>
      </c>
      <c r="D3664" t="s">
        <v>629</v>
      </c>
      <c r="F3664" t="s">
        <v>620</v>
      </c>
      <c r="G3664" s="89">
        <v>2009</v>
      </c>
      <c r="H3664" s="313" t="s">
        <v>731</v>
      </c>
      <c r="I3664" s="311" t="str">
        <f t="shared" si="143"/>
        <v>Pesado de Passageiros M3:  : Gasóleo : E4</v>
      </c>
      <c r="J3664">
        <v>34</v>
      </c>
      <c r="K3664" s="422">
        <v>2023</v>
      </c>
      <c r="L3664">
        <v>8769.43</v>
      </c>
      <c r="M3664" t="s">
        <v>630</v>
      </c>
      <c r="N3664">
        <v>60831</v>
      </c>
      <c r="O3664" s="131">
        <f t="shared" si="142"/>
        <v>2068254</v>
      </c>
      <c r="P3664" s="89">
        <v>8187</v>
      </c>
      <c r="Q3664" s="422" t="s">
        <v>47</v>
      </c>
      <c r="R3664" s="422" t="s">
        <v>1869</v>
      </c>
      <c r="S3664" s="422" t="s">
        <v>1861</v>
      </c>
      <c r="T3664" t="s">
        <v>4823</v>
      </c>
      <c r="U3664" s="422" t="s">
        <v>1953</v>
      </c>
      <c r="V3664" s="422" t="s">
        <v>2813</v>
      </c>
    </row>
    <row r="3665" spans="1:22" ht="15.75" thickBot="1" x14ac:dyDescent="0.3">
      <c r="A3665" t="s">
        <v>1916</v>
      </c>
      <c r="B3665" t="s">
        <v>1916</v>
      </c>
      <c r="C3665" s="424" t="str">
        <f t="shared" si="141"/>
        <v>Rodoviária do Alentejo, S.A.</v>
      </c>
      <c r="D3665" t="s">
        <v>629</v>
      </c>
      <c r="F3665" t="s">
        <v>620</v>
      </c>
      <c r="G3665" s="89">
        <v>2011</v>
      </c>
      <c r="H3665" s="313" t="s">
        <v>734</v>
      </c>
      <c r="I3665" s="311" t="str">
        <f t="shared" si="143"/>
        <v>Pesado de Passageiros M3:  : Gasóleo : E5</v>
      </c>
      <c r="J3665">
        <v>41</v>
      </c>
      <c r="K3665" s="422">
        <v>2023</v>
      </c>
      <c r="L3665">
        <v>7308.4</v>
      </c>
      <c r="M3665" t="s">
        <v>630</v>
      </c>
      <c r="N3665">
        <v>36017</v>
      </c>
      <c r="O3665" s="131">
        <f t="shared" si="142"/>
        <v>1476697</v>
      </c>
      <c r="P3665" s="89">
        <v>8188</v>
      </c>
      <c r="Q3665" s="422" t="s">
        <v>47</v>
      </c>
      <c r="R3665" s="422" t="s">
        <v>1869</v>
      </c>
      <c r="S3665" s="422" t="s">
        <v>1861</v>
      </c>
      <c r="T3665" t="s">
        <v>4823</v>
      </c>
      <c r="U3665" s="422" t="s">
        <v>1953</v>
      </c>
      <c r="V3665" s="422" t="s">
        <v>2813</v>
      </c>
    </row>
    <row r="3666" spans="1:22" ht="15.75" thickBot="1" x14ac:dyDescent="0.3">
      <c r="A3666" t="s">
        <v>1916</v>
      </c>
      <c r="B3666" t="s">
        <v>1916</v>
      </c>
      <c r="C3666" s="424" t="str">
        <f t="shared" si="141"/>
        <v>Rodoviária do Alentejo, S.A.</v>
      </c>
      <c r="D3666" t="s">
        <v>629</v>
      </c>
      <c r="F3666" t="s">
        <v>620</v>
      </c>
      <c r="G3666" s="89">
        <v>2016</v>
      </c>
      <c r="H3666" s="313" t="s">
        <v>733</v>
      </c>
      <c r="I3666" s="311" t="str">
        <f t="shared" si="143"/>
        <v>Pesado de Passageiros M3:  : Gasóleo : E6</v>
      </c>
      <c r="J3666">
        <v>63</v>
      </c>
      <c r="K3666" s="422">
        <v>2023</v>
      </c>
      <c r="L3666">
        <v>5837.78</v>
      </c>
      <c r="M3666" t="s">
        <v>630</v>
      </c>
      <c r="N3666">
        <v>16009</v>
      </c>
      <c r="O3666" s="131">
        <f t="shared" si="142"/>
        <v>1008567</v>
      </c>
      <c r="P3666" s="89">
        <v>8191</v>
      </c>
      <c r="Q3666" s="422" t="s">
        <v>47</v>
      </c>
      <c r="R3666" s="422" t="s">
        <v>1869</v>
      </c>
      <c r="S3666" s="422" t="s">
        <v>1861</v>
      </c>
      <c r="T3666" t="s">
        <v>4825</v>
      </c>
      <c r="U3666" s="422" t="s">
        <v>1953</v>
      </c>
      <c r="V3666" s="422" t="s">
        <v>2813</v>
      </c>
    </row>
    <row r="3667" spans="1:22" ht="15.75" thickBot="1" x14ac:dyDescent="0.3">
      <c r="A3667" t="s">
        <v>1916</v>
      </c>
      <c r="B3667" t="s">
        <v>1916</v>
      </c>
      <c r="C3667" s="424" t="str">
        <f t="shared" si="141"/>
        <v>Rodoviária do Alentejo, S.A.</v>
      </c>
      <c r="D3667" t="s">
        <v>629</v>
      </c>
      <c r="F3667" t="s">
        <v>620</v>
      </c>
      <c r="G3667" s="89">
        <v>2015</v>
      </c>
      <c r="H3667" s="313" t="s">
        <v>733</v>
      </c>
      <c r="I3667" s="311" t="str">
        <f t="shared" si="143"/>
        <v>Pesado de Passageiros M3:  : Gasóleo : E6</v>
      </c>
      <c r="J3667">
        <v>27</v>
      </c>
      <c r="K3667" s="422">
        <v>2023</v>
      </c>
      <c r="L3667">
        <v>2446.66</v>
      </c>
      <c r="M3667" t="s">
        <v>630</v>
      </c>
      <c r="N3667">
        <v>10977</v>
      </c>
      <c r="O3667" s="131">
        <f t="shared" si="142"/>
        <v>296379</v>
      </c>
      <c r="P3667" s="89">
        <v>8192</v>
      </c>
      <c r="Q3667" s="422" t="s">
        <v>47</v>
      </c>
      <c r="R3667" s="422" t="s">
        <v>1869</v>
      </c>
      <c r="S3667" s="422" t="s">
        <v>1861</v>
      </c>
      <c r="T3667" t="s">
        <v>4825</v>
      </c>
      <c r="U3667" s="422" t="s">
        <v>1953</v>
      </c>
      <c r="V3667" s="422" t="s">
        <v>2813</v>
      </c>
    </row>
    <row r="3668" spans="1:22" ht="15.75" thickBot="1" x14ac:dyDescent="0.3">
      <c r="A3668" t="s">
        <v>1916</v>
      </c>
      <c r="B3668" t="s">
        <v>1916</v>
      </c>
      <c r="C3668" s="424" t="str">
        <f t="shared" si="141"/>
        <v>Rodoviária do Alentejo, S.A.</v>
      </c>
      <c r="D3668" t="s">
        <v>629</v>
      </c>
      <c r="F3668" t="s">
        <v>620</v>
      </c>
      <c r="G3668" s="89">
        <v>2015</v>
      </c>
      <c r="H3668" s="313" t="s">
        <v>733</v>
      </c>
      <c r="I3668" s="311" t="str">
        <f t="shared" si="143"/>
        <v>Pesado de Passageiros M3:  : Gasóleo : E6</v>
      </c>
      <c r="J3668">
        <v>27</v>
      </c>
      <c r="K3668" s="422">
        <v>2023</v>
      </c>
      <c r="L3668">
        <v>50</v>
      </c>
      <c r="M3668" t="s">
        <v>630</v>
      </c>
      <c r="N3668">
        <v>174</v>
      </c>
      <c r="O3668" s="131">
        <f t="shared" si="142"/>
        <v>4698</v>
      </c>
      <c r="P3668" s="89">
        <v>8193</v>
      </c>
      <c r="Q3668" s="422" t="s">
        <v>47</v>
      </c>
      <c r="R3668" s="422" t="s">
        <v>1869</v>
      </c>
      <c r="S3668" s="422" t="s">
        <v>1861</v>
      </c>
      <c r="T3668" t="s">
        <v>4825</v>
      </c>
      <c r="U3668" s="422" t="s">
        <v>1953</v>
      </c>
      <c r="V3668" s="422" t="s">
        <v>2813</v>
      </c>
    </row>
    <row r="3669" spans="1:22" ht="15.75" thickBot="1" x14ac:dyDescent="0.3">
      <c r="A3669" t="s">
        <v>1916</v>
      </c>
      <c r="B3669" t="s">
        <v>1916</v>
      </c>
      <c r="C3669" s="424" t="str">
        <f t="shared" si="141"/>
        <v>Rodoviária do Alentejo, S.A.</v>
      </c>
      <c r="D3669" t="s">
        <v>629</v>
      </c>
      <c r="F3669" t="s">
        <v>620</v>
      </c>
      <c r="G3669" s="89">
        <v>2015</v>
      </c>
      <c r="H3669" s="313" t="s">
        <v>733</v>
      </c>
      <c r="I3669" s="311" t="str">
        <f t="shared" si="143"/>
        <v>Pesado de Passageiros M3:  : Gasóleo : E6</v>
      </c>
      <c r="J3669">
        <v>27</v>
      </c>
      <c r="K3669" s="422">
        <v>2023</v>
      </c>
      <c r="L3669">
        <v>1122.69</v>
      </c>
      <c r="M3669" t="s">
        <v>630</v>
      </c>
      <c r="N3669">
        <v>5742</v>
      </c>
      <c r="O3669" s="131">
        <f t="shared" si="142"/>
        <v>155034</v>
      </c>
      <c r="P3669" s="89">
        <v>8194</v>
      </c>
      <c r="Q3669" s="422" t="s">
        <v>47</v>
      </c>
      <c r="R3669" s="422" t="s">
        <v>1869</v>
      </c>
      <c r="S3669" s="422" t="s">
        <v>1861</v>
      </c>
      <c r="T3669" t="s">
        <v>4825</v>
      </c>
      <c r="U3669" s="422" t="s">
        <v>1953</v>
      </c>
      <c r="V3669" s="422" t="s">
        <v>2813</v>
      </c>
    </row>
    <row r="3670" spans="1:22" ht="15.75" thickBot="1" x14ac:dyDescent="0.3">
      <c r="A3670" t="s">
        <v>1916</v>
      </c>
      <c r="B3670" t="s">
        <v>1916</v>
      </c>
      <c r="C3670" s="424" t="str">
        <f t="shared" si="141"/>
        <v>Rodoviária do Alentejo, S.A.</v>
      </c>
      <c r="D3670" t="s">
        <v>629</v>
      </c>
      <c r="F3670" t="s">
        <v>620</v>
      </c>
      <c r="G3670" s="89">
        <v>2015</v>
      </c>
      <c r="H3670" s="313" t="s">
        <v>733</v>
      </c>
      <c r="I3670" s="311" t="str">
        <f t="shared" si="143"/>
        <v>Pesado de Passageiros M3:  : Gasóleo : E6</v>
      </c>
      <c r="J3670">
        <v>27</v>
      </c>
      <c r="K3670" s="422">
        <v>2023</v>
      </c>
      <c r="L3670">
        <v>0</v>
      </c>
      <c r="M3670" t="s">
        <v>630</v>
      </c>
      <c r="N3670">
        <v>0</v>
      </c>
      <c r="O3670" s="131">
        <f t="shared" si="142"/>
        <v>0</v>
      </c>
      <c r="P3670" s="89">
        <v>8195</v>
      </c>
      <c r="Q3670" s="422" t="s">
        <v>47</v>
      </c>
      <c r="R3670" s="422" t="s">
        <v>1869</v>
      </c>
      <c r="S3670" s="422" t="s">
        <v>1861</v>
      </c>
      <c r="T3670" t="s">
        <v>4825</v>
      </c>
      <c r="U3670" s="422" t="s">
        <v>1953</v>
      </c>
      <c r="V3670" s="422" t="s">
        <v>2813</v>
      </c>
    </row>
    <row r="3671" spans="1:22" ht="15.75" thickBot="1" x14ac:dyDescent="0.3">
      <c r="A3671" t="s">
        <v>1916</v>
      </c>
      <c r="B3671" t="s">
        <v>1916</v>
      </c>
      <c r="C3671" s="424" t="str">
        <f t="shared" si="141"/>
        <v>Rodoviária do Alentejo, S.A.</v>
      </c>
      <c r="D3671" t="s">
        <v>629</v>
      </c>
      <c r="F3671" t="s">
        <v>620</v>
      </c>
      <c r="G3671" s="89">
        <v>2017</v>
      </c>
      <c r="H3671" s="313" t="s">
        <v>733</v>
      </c>
      <c r="I3671" s="311" t="str">
        <f t="shared" si="143"/>
        <v>Pesado de Passageiros M3:  : Gasóleo : E6</v>
      </c>
      <c r="J3671">
        <v>27</v>
      </c>
      <c r="K3671" s="422">
        <v>2023</v>
      </c>
      <c r="L3671">
        <v>2802.3799999999997</v>
      </c>
      <c r="M3671" t="s">
        <v>630</v>
      </c>
      <c r="N3671">
        <v>10881</v>
      </c>
      <c r="O3671" s="131">
        <f t="shared" si="142"/>
        <v>293787</v>
      </c>
      <c r="P3671" s="89">
        <v>8196</v>
      </c>
      <c r="Q3671" s="422" t="s">
        <v>47</v>
      </c>
      <c r="R3671" s="422" t="s">
        <v>1869</v>
      </c>
      <c r="S3671" s="422" t="s">
        <v>1861</v>
      </c>
      <c r="T3671" t="s">
        <v>4825</v>
      </c>
      <c r="U3671" s="422" t="s">
        <v>1953</v>
      </c>
      <c r="V3671" s="422" t="s">
        <v>2813</v>
      </c>
    </row>
    <row r="3672" spans="1:22" ht="15.75" thickBot="1" x14ac:dyDescent="0.3">
      <c r="A3672" t="s">
        <v>1916</v>
      </c>
      <c r="B3672" t="s">
        <v>1916</v>
      </c>
      <c r="C3672" s="424" t="str">
        <f t="shared" ref="C3672:C3735" si="144">IF(A3672=B3672,B3672,RIGHT(A3672,LEN(A3672)-LEN(B3672)-3))</f>
        <v>Rodoviária do Alentejo, S.A.</v>
      </c>
      <c r="D3672" t="s">
        <v>629</v>
      </c>
      <c r="F3672" t="s">
        <v>620</v>
      </c>
      <c r="G3672" s="89">
        <v>2019</v>
      </c>
      <c r="H3672" s="313" t="s">
        <v>733</v>
      </c>
      <c r="I3672" s="311" t="str">
        <f t="shared" si="143"/>
        <v>Pesado de Passageiros M3:  : Gasóleo : E6</v>
      </c>
      <c r="J3672">
        <v>72</v>
      </c>
      <c r="K3672" s="422">
        <v>2023</v>
      </c>
      <c r="L3672">
        <v>3143.81</v>
      </c>
      <c r="M3672" t="s">
        <v>630</v>
      </c>
      <c r="N3672">
        <v>8451</v>
      </c>
      <c r="O3672" s="131">
        <f t="shared" si="142"/>
        <v>608472</v>
      </c>
      <c r="P3672" s="89">
        <v>8197</v>
      </c>
      <c r="Q3672" s="422" t="s">
        <v>47</v>
      </c>
      <c r="R3672" s="422" t="s">
        <v>1869</v>
      </c>
      <c r="S3672" s="422" t="s">
        <v>1861</v>
      </c>
      <c r="T3672" t="s">
        <v>4823</v>
      </c>
      <c r="U3672" s="422" t="s">
        <v>1953</v>
      </c>
      <c r="V3672" s="422" t="s">
        <v>2813</v>
      </c>
    </row>
    <row r="3673" spans="1:22" ht="15.75" thickBot="1" x14ac:dyDescent="0.3">
      <c r="A3673" t="s">
        <v>1916</v>
      </c>
      <c r="B3673" t="s">
        <v>1916</v>
      </c>
      <c r="C3673" s="424" t="str">
        <f t="shared" si="144"/>
        <v>Rodoviária do Alentejo, S.A.</v>
      </c>
      <c r="D3673" t="s">
        <v>629</v>
      </c>
      <c r="F3673" t="s">
        <v>620</v>
      </c>
      <c r="G3673" s="89">
        <v>2001</v>
      </c>
      <c r="H3673" s="313" t="s">
        <v>735</v>
      </c>
      <c r="I3673" s="311" t="str">
        <f t="shared" si="143"/>
        <v>Pesado de Passageiros M3:  : Gasóleo : E2</v>
      </c>
      <c r="J3673">
        <v>71</v>
      </c>
      <c r="K3673" s="422">
        <v>2023</v>
      </c>
      <c r="L3673">
        <v>7473.2</v>
      </c>
      <c r="M3673" t="s">
        <v>630</v>
      </c>
      <c r="N3673">
        <v>21590</v>
      </c>
      <c r="O3673" s="131">
        <f t="shared" ref="O3673:O3736" si="145">N3673*J3673</f>
        <v>1532890</v>
      </c>
      <c r="P3673" s="89">
        <v>8198</v>
      </c>
      <c r="Q3673" s="422" t="s">
        <v>47</v>
      </c>
      <c r="R3673" s="422" t="s">
        <v>1869</v>
      </c>
      <c r="S3673" s="422" t="s">
        <v>1861</v>
      </c>
      <c r="T3673" t="s">
        <v>4825</v>
      </c>
      <c r="U3673" s="422" t="s">
        <v>1953</v>
      </c>
      <c r="V3673" s="422" t="s">
        <v>2813</v>
      </c>
    </row>
    <row r="3674" spans="1:22" ht="15.75" thickBot="1" x14ac:dyDescent="0.3">
      <c r="A3674" t="s">
        <v>1916</v>
      </c>
      <c r="B3674" t="s">
        <v>1916</v>
      </c>
      <c r="C3674" s="424" t="str">
        <f t="shared" si="144"/>
        <v>Rodoviária do Alentejo, S.A.</v>
      </c>
      <c r="D3674" t="s">
        <v>629</v>
      </c>
      <c r="F3674" t="s">
        <v>620</v>
      </c>
      <c r="G3674" s="89">
        <v>2001</v>
      </c>
      <c r="H3674" s="313" t="s">
        <v>735</v>
      </c>
      <c r="I3674" s="311" t="str">
        <f t="shared" si="143"/>
        <v>Pesado de Passageiros M3:  : Gasóleo : E2</v>
      </c>
      <c r="J3674">
        <v>52</v>
      </c>
      <c r="K3674" s="422">
        <v>2023</v>
      </c>
      <c r="L3674">
        <v>20120.190000000002</v>
      </c>
      <c r="M3674" t="s">
        <v>630</v>
      </c>
      <c r="N3674">
        <v>61877</v>
      </c>
      <c r="O3674" s="131">
        <f t="shared" si="145"/>
        <v>3217604</v>
      </c>
      <c r="P3674" s="89">
        <v>8223</v>
      </c>
      <c r="Q3674" s="422" t="s">
        <v>47</v>
      </c>
      <c r="R3674" s="422" t="s">
        <v>1869</v>
      </c>
      <c r="S3674" s="422" t="s">
        <v>1861</v>
      </c>
      <c r="T3674" t="s">
        <v>4825</v>
      </c>
      <c r="U3674" s="422" t="s">
        <v>1953</v>
      </c>
      <c r="V3674" s="422" t="s">
        <v>2813</v>
      </c>
    </row>
    <row r="3675" spans="1:22" ht="15.75" thickBot="1" x14ac:dyDescent="0.3">
      <c r="A3675" t="s">
        <v>1916</v>
      </c>
      <c r="B3675" t="s">
        <v>1916</v>
      </c>
      <c r="C3675" s="424" t="str">
        <f t="shared" si="144"/>
        <v>Rodoviária do Alentejo, S.A.</v>
      </c>
      <c r="D3675" t="s">
        <v>629</v>
      </c>
      <c r="F3675" t="s">
        <v>620</v>
      </c>
      <c r="G3675" s="89">
        <v>2009</v>
      </c>
      <c r="H3675" s="313" t="s">
        <v>731</v>
      </c>
      <c r="I3675" s="311" t="str">
        <f t="shared" si="143"/>
        <v>Pesado de Passageiros M3:  : Gasóleo : E4</v>
      </c>
      <c r="J3675">
        <v>57</v>
      </c>
      <c r="K3675" s="422">
        <v>2023</v>
      </c>
      <c r="L3675">
        <v>15316.99</v>
      </c>
      <c r="M3675" t="s">
        <v>630</v>
      </c>
      <c r="N3675">
        <v>46952</v>
      </c>
      <c r="O3675" s="131">
        <f t="shared" si="145"/>
        <v>2676264</v>
      </c>
      <c r="P3675" s="89">
        <v>8235</v>
      </c>
      <c r="Q3675" s="422" t="s">
        <v>47</v>
      </c>
      <c r="R3675" s="422" t="s">
        <v>1869</v>
      </c>
      <c r="S3675" s="422" t="s">
        <v>1861</v>
      </c>
      <c r="T3675" t="s">
        <v>4823</v>
      </c>
      <c r="U3675" s="422" t="s">
        <v>1953</v>
      </c>
      <c r="V3675" s="422" t="s">
        <v>2813</v>
      </c>
    </row>
    <row r="3676" spans="1:22" ht="15.75" thickBot="1" x14ac:dyDescent="0.3">
      <c r="A3676" t="s">
        <v>1916</v>
      </c>
      <c r="B3676" t="s">
        <v>1916</v>
      </c>
      <c r="C3676" s="424" t="str">
        <f t="shared" si="144"/>
        <v>Rodoviária do Alentejo, S.A.</v>
      </c>
      <c r="D3676" t="s">
        <v>629</v>
      </c>
      <c r="F3676" t="s">
        <v>620</v>
      </c>
      <c r="G3676" s="89">
        <v>2009</v>
      </c>
      <c r="H3676" s="313" t="s">
        <v>731</v>
      </c>
      <c r="I3676" s="311" t="str">
        <f t="shared" si="143"/>
        <v>Pesado de Passageiros M3:  : Gasóleo : E4</v>
      </c>
      <c r="J3676">
        <v>57</v>
      </c>
      <c r="K3676" s="422">
        <v>2023</v>
      </c>
      <c r="L3676">
        <v>23483.379999999997</v>
      </c>
      <c r="M3676" t="s">
        <v>630</v>
      </c>
      <c r="N3676">
        <v>72006</v>
      </c>
      <c r="O3676" s="131">
        <f t="shared" si="145"/>
        <v>4104342</v>
      </c>
      <c r="P3676" s="89">
        <v>8236</v>
      </c>
      <c r="Q3676" s="422" t="s">
        <v>47</v>
      </c>
      <c r="R3676" s="422" t="s">
        <v>1869</v>
      </c>
      <c r="S3676" s="422" t="s">
        <v>1861</v>
      </c>
      <c r="T3676" t="s">
        <v>4823</v>
      </c>
      <c r="U3676" s="422" t="s">
        <v>1953</v>
      </c>
      <c r="V3676" s="422" t="s">
        <v>2813</v>
      </c>
    </row>
    <row r="3677" spans="1:22" ht="15.75" thickBot="1" x14ac:dyDescent="0.3">
      <c r="A3677" t="s">
        <v>1916</v>
      </c>
      <c r="B3677" t="s">
        <v>1916</v>
      </c>
      <c r="C3677" s="424" t="str">
        <f t="shared" si="144"/>
        <v>Rodoviária do Alentejo, S.A.</v>
      </c>
      <c r="D3677" t="s">
        <v>629</v>
      </c>
      <c r="F3677" t="s">
        <v>620</v>
      </c>
      <c r="G3677" s="89">
        <v>2009</v>
      </c>
      <c r="H3677" s="313" t="s">
        <v>731</v>
      </c>
      <c r="I3677" s="311" t="str">
        <f t="shared" si="143"/>
        <v>Pesado de Passageiros M3:  : Gasóleo : E4</v>
      </c>
      <c r="J3677">
        <v>57</v>
      </c>
      <c r="K3677" s="422">
        <v>2023</v>
      </c>
      <c r="L3677">
        <v>28453.040000000001</v>
      </c>
      <c r="M3677" t="s">
        <v>630</v>
      </c>
      <c r="N3677">
        <v>86736</v>
      </c>
      <c r="O3677" s="131">
        <f t="shared" si="145"/>
        <v>4943952</v>
      </c>
      <c r="P3677" s="89">
        <v>8237</v>
      </c>
      <c r="Q3677" s="422" t="s">
        <v>47</v>
      </c>
      <c r="R3677" s="422" t="s">
        <v>1869</v>
      </c>
      <c r="S3677" s="422" t="s">
        <v>1861</v>
      </c>
      <c r="T3677" t="s">
        <v>4823</v>
      </c>
      <c r="U3677" s="422" t="s">
        <v>1953</v>
      </c>
      <c r="V3677" s="422" t="s">
        <v>2813</v>
      </c>
    </row>
    <row r="3678" spans="1:22" ht="15.75" thickBot="1" x14ac:dyDescent="0.3">
      <c r="A3678" t="s">
        <v>1916</v>
      </c>
      <c r="B3678" t="s">
        <v>1916</v>
      </c>
      <c r="C3678" s="424" t="str">
        <f t="shared" si="144"/>
        <v>Rodoviária do Alentejo, S.A.</v>
      </c>
      <c r="D3678" t="s">
        <v>629</v>
      </c>
      <c r="F3678" t="s">
        <v>620</v>
      </c>
      <c r="G3678" s="89">
        <v>2009</v>
      </c>
      <c r="H3678" s="313" t="s">
        <v>731</v>
      </c>
      <c r="I3678" s="311" t="str">
        <f t="shared" si="143"/>
        <v>Pesado de Passageiros M3:  : Gasóleo : E4</v>
      </c>
      <c r="J3678">
        <v>51</v>
      </c>
      <c r="K3678" s="422">
        <v>2023</v>
      </c>
      <c r="L3678">
        <v>20081.53</v>
      </c>
      <c r="M3678" t="s">
        <v>630</v>
      </c>
      <c r="N3678">
        <v>62751</v>
      </c>
      <c r="O3678" s="131">
        <f t="shared" si="145"/>
        <v>3200301</v>
      </c>
      <c r="P3678" s="89">
        <v>8238</v>
      </c>
      <c r="Q3678" s="422" t="s">
        <v>47</v>
      </c>
      <c r="R3678" s="422" t="s">
        <v>1869</v>
      </c>
      <c r="S3678" s="422" t="s">
        <v>1861</v>
      </c>
      <c r="T3678" t="s">
        <v>4824</v>
      </c>
      <c r="U3678" s="422" t="s">
        <v>1953</v>
      </c>
      <c r="V3678" s="422" t="s">
        <v>2813</v>
      </c>
    </row>
    <row r="3679" spans="1:22" ht="15.75" thickBot="1" x14ac:dyDescent="0.3">
      <c r="A3679" t="s">
        <v>1916</v>
      </c>
      <c r="B3679" t="s">
        <v>1916</v>
      </c>
      <c r="C3679" s="424" t="str">
        <f t="shared" si="144"/>
        <v>Rodoviária do Alentejo, S.A.</v>
      </c>
      <c r="D3679" t="s">
        <v>629</v>
      </c>
      <c r="F3679" t="s">
        <v>620</v>
      </c>
      <c r="G3679" s="89">
        <v>2009</v>
      </c>
      <c r="H3679" s="313" t="s">
        <v>731</v>
      </c>
      <c r="I3679" s="311" t="str">
        <f t="shared" si="143"/>
        <v>Pesado de Passageiros M3:  : Gasóleo : E4</v>
      </c>
      <c r="J3679">
        <v>55</v>
      </c>
      <c r="K3679" s="422">
        <v>2023</v>
      </c>
      <c r="L3679">
        <v>30948.9</v>
      </c>
      <c r="M3679" t="s">
        <v>630</v>
      </c>
      <c r="N3679">
        <v>108593</v>
      </c>
      <c r="O3679" s="131">
        <f t="shared" si="145"/>
        <v>5972615</v>
      </c>
      <c r="P3679" s="89">
        <v>8242</v>
      </c>
      <c r="Q3679" s="422" t="s">
        <v>47</v>
      </c>
      <c r="R3679" s="422" t="s">
        <v>1869</v>
      </c>
      <c r="S3679" s="422" t="s">
        <v>1861</v>
      </c>
      <c r="T3679" t="s">
        <v>4826</v>
      </c>
      <c r="U3679" s="422" t="s">
        <v>1953</v>
      </c>
      <c r="V3679" s="422" t="s">
        <v>2813</v>
      </c>
    </row>
    <row r="3680" spans="1:22" ht="15.75" thickBot="1" x14ac:dyDescent="0.3">
      <c r="A3680" t="s">
        <v>1916</v>
      </c>
      <c r="B3680" t="s">
        <v>1916</v>
      </c>
      <c r="C3680" s="424" t="str">
        <f t="shared" si="144"/>
        <v>Rodoviária do Alentejo, S.A.</v>
      </c>
      <c r="D3680" t="s">
        <v>629</v>
      </c>
      <c r="F3680" t="s">
        <v>620</v>
      </c>
      <c r="G3680" s="89">
        <v>2009</v>
      </c>
      <c r="H3680" s="313" t="s">
        <v>731</v>
      </c>
      <c r="I3680" s="311" t="str">
        <f t="shared" si="143"/>
        <v>Pesado de Passageiros M3:  : Gasóleo : E4</v>
      </c>
      <c r="J3680">
        <v>55</v>
      </c>
      <c r="K3680" s="422">
        <v>2023</v>
      </c>
      <c r="L3680">
        <v>26473.599999999999</v>
      </c>
      <c r="M3680" t="s">
        <v>630</v>
      </c>
      <c r="N3680">
        <v>88831</v>
      </c>
      <c r="O3680" s="131">
        <f t="shared" si="145"/>
        <v>4885705</v>
      </c>
      <c r="P3680" s="89">
        <v>8243</v>
      </c>
      <c r="Q3680" s="422" t="s">
        <v>47</v>
      </c>
      <c r="R3680" s="422" t="s">
        <v>1869</v>
      </c>
      <c r="S3680" s="422" t="s">
        <v>1861</v>
      </c>
      <c r="T3680" t="s">
        <v>4823</v>
      </c>
      <c r="U3680" s="422" t="s">
        <v>1953</v>
      </c>
      <c r="V3680" s="422" t="s">
        <v>2813</v>
      </c>
    </row>
    <row r="3681" spans="1:22" ht="15.75" thickBot="1" x14ac:dyDescent="0.3">
      <c r="A3681" t="s">
        <v>1916</v>
      </c>
      <c r="B3681" t="s">
        <v>1916</v>
      </c>
      <c r="C3681" s="424" t="str">
        <f t="shared" si="144"/>
        <v>Rodoviária do Alentejo, S.A.</v>
      </c>
      <c r="D3681" t="s">
        <v>629</v>
      </c>
      <c r="F3681" t="s">
        <v>620</v>
      </c>
      <c r="G3681" s="89">
        <v>2008</v>
      </c>
      <c r="H3681" s="313" t="s">
        <v>731</v>
      </c>
      <c r="I3681" s="311" t="str">
        <f t="shared" si="143"/>
        <v>Pesado de Passageiros M3:  : Gasóleo : E4</v>
      </c>
      <c r="J3681">
        <v>57</v>
      </c>
      <c r="K3681" s="422">
        <v>2023</v>
      </c>
      <c r="L3681">
        <v>13646.390000000001</v>
      </c>
      <c r="M3681" t="s">
        <v>630</v>
      </c>
      <c r="N3681">
        <v>41246</v>
      </c>
      <c r="O3681" s="131">
        <f t="shared" si="145"/>
        <v>2351022</v>
      </c>
      <c r="P3681" s="89">
        <v>8244</v>
      </c>
      <c r="Q3681" s="422" t="s">
        <v>47</v>
      </c>
      <c r="R3681" s="422" t="s">
        <v>1869</v>
      </c>
      <c r="S3681" s="422" t="s">
        <v>1861</v>
      </c>
      <c r="T3681" t="s">
        <v>4824</v>
      </c>
      <c r="U3681" s="422" t="s">
        <v>1953</v>
      </c>
      <c r="V3681" s="422" t="s">
        <v>2813</v>
      </c>
    </row>
    <row r="3682" spans="1:22" ht="15.75" thickBot="1" x14ac:dyDescent="0.3">
      <c r="A3682" t="s">
        <v>1916</v>
      </c>
      <c r="B3682" t="s">
        <v>1916</v>
      </c>
      <c r="C3682" s="424" t="str">
        <f t="shared" si="144"/>
        <v>Rodoviária do Alentejo, S.A.</v>
      </c>
      <c r="D3682" t="s">
        <v>629</v>
      </c>
      <c r="F3682" t="s">
        <v>620</v>
      </c>
      <c r="G3682" s="89">
        <v>2011</v>
      </c>
      <c r="H3682" s="313" t="s">
        <v>734</v>
      </c>
      <c r="I3682" s="311" t="str">
        <f t="shared" si="143"/>
        <v>Pesado de Passageiros M3:  : Gasóleo : E5</v>
      </c>
      <c r="J3682">
        <v>55</v>
      </c>
      <c r="K3682" s="422">
        <v>2023</v>
      </c>
      <c r="L3682">
        <v>33897.390000000007</v>
      </c>
      <c r="M3682" t="s">
        <v>630</v>
      </c>
      <c r="N3682">
        <v>115818</v>
      </c>
      <c r="O3682" s="131">
        <f t="shared" si="145"/>
        <v>6369990</v>
      </c>
      <c r="P3682" s="89">
        <v>8245</v>
      </c>
      <c r="Q3682" s="422" t="s">
        <v>47</v>
      </c>
      <c r="R3682" s="422" t="s">
        <v>1869</v>
      </c>
      <c r="S3682" s="422" t="s">
        <v>1861</v>
      </c>
      <c r="T3682" t="s">
        <v>4826</v>
      </c>
      <c r="U3682" s="422" t="s">
        <v>1953</v>
      </c>
      <c r="V3682" s="422" t="s">
        <v>2813</v>
      </c>
    </row>
    <row r="3683" spans="1:22" ht="15.75" thickBot="1" x14ac:dyDescent="0.3">
      <c r="A3683" t="s">
        <v>1916</v>
      </c>
      <c r="B3683" t="s">
        <v>1916</v>
      </c>
      <c r="C3683" s="424" t="str">
        <f t="shared" si="144"/>
        <v>Rodoviária do Alentejo, S.A.</v>
      </c>
      <c r="D3683" t="s">
        <v>629</v>
      </c>
      <c r="F3683" t="s">
        <v>620</v>
      </c>
      <c r="G3683" s="89">
        <v>2016</v>
      </c>
      <c r="H3683" s="313" t="s">
        <v>733</v>
      </c>
      <c r="I3683" s="311" t="str">
        <f t="shared" si="143"/>
        <v>Pesado de Passageiros M3:  : Gasóleo : E6</v>
      </c>
      <c r="J3683">
        <v>55</v>
      </c>
      <c r="K3683" s="422">
        <v>2023</v>
      </c>
      <c r="L3683">
        <v>38346.089999999997</v>
      </c>
      <c r="M3683" t="s">
        <v>630</v>
      </c>
      <c r="N3683">
        <v>134345</v>
      </c>
      <c r="O3683" s="131">
        <f t="shared" si="145"/>
        <v>7388975</v>
      </c>
      <c r="P3683" s="89">
        <v>8246</v>
      </c>
      <c r="Q3683" s="422" t="s">
        <v>47</v>
      </c>
      <c r="R3683" s="422" t="s">
        <v>1869</v>
      </c>
      <c r="S3683" s="422" t="s">
        <v>1861</v>
      </c>
      <c r="T3683" t="s">
        <v>4826</v>
      </c>
      <c r="U3683" s="422" t="s">
        <v>1953</v>
      </c>
      <c r="V3683" s="422" t="s">
        <v>2813</v>
      </c>
    </row>
    <row r="3684" spans="1:22" ht="15.75" thickBot="1" x14ac:dyDescent="0.3">
      <c r="A3684" t="s">
        <v>1916</v>
      </c>
      <c r="B3684" t="s">
        <v>1916</v>
      </c>
      <c r="C3684" s="424" t="str">
        <f t="shared" si="144"/>
        <v>Rodoviária do Alentejo, S.A.</v>
      </c>
      <c r="D3684" t="s">
        <v>629</v>
      </c>
      <c r="F3684" t="s">
        <v>620</v>
      </c>
      <c r="G3684" s="89">
        <v>2016</v>
      </c>
      <c r="H3684" s="313" t="s">
        <v>733</v>
      </c>
      <c r="I3684" s="311" t="str">
        <f t="shared" si="143"/>
        <v>Pesado de Passageiros M3:  : Gasóleo : E6</v>
      </c>
      <c r="J3684">
        <v>55</v>
      </c>
      <c r="K3684" s="422">
        <v>2023</v>
      </c>
      <c r="L3684">
        <v>42515.289999999994</v>
      </c>
      <c r="M3684" t="s">
        <v>630</v>
      </c>
      <c r="N3684">
        <v>149722</v>
      </c>
      <c r="O3684" s="131">
        <f t="shared" si="145"/>
        <v>8234710</v>
      </c>
      <c r="P3684" s="89">
        <v>8247</v>
      </c>
      <c r="Q3684" s="422" t="s">
        <v>47</v>
      </c>
      <c r="R3684" s="422" t="s">
        <v>1869</v>
      </c>
      <c r="S3684" s="422" t="s">
        <v>1861</v>
      </c>
      <c r="T3684" t="s">
        <v>4826</v>
      </c>
      <c r="U3684" s="422" t="s">
        <v>1953</v>
      </c>
      <c r="V3684" s="422" t="s">
        <v>2813</v>
      </c>
    </row>
    <row r="3685" spans="1:22" ht="15.75" thickBot="1" x14ac:dyDescent="0.3">
      <c r="A3685" t="s">
        <v>1916</v>
      </c>
      <c r="B3685" t="s">
        <v>1916</v>
      </c>
      <c r="C3685" s="424" t="str">
        <f t="shared" si="144"/>
        <v>Rodoviária do Alentejo, S.A.</v>
      </c>
      <c r="D3685" t="s">
        <v>629</v>
      </c>
      <c r="F3685" t="s">
        <v>620</v>
      </c>
      <c r="G3685" s="89">
        <v>2016</v>
      </c>
      <c r="H3685" s="313" t="s">
        <v>733</v>
      </c>
      <c r="I3685" s="311" t="str">
        <f t="shared" si="143"/>
        <v>Pesado de Passageiros M3:  : Gasóleo : E6</v>
      </c>
      <c r="J3685">
        <v>55</v>
      </c>
      <c r="K3685" s="422">
        <v>2023</v>
      </c>
      <c r="L3685">
        <v>42435.259999999995</v>
      </c>
      <c r="M3685" t="s">
        <v>630</v>
      </c>
      <c r="N3685">
        <v>158064</v>
      </c>
      <c r="O3685" s="131">
        <f t="shared" si="145"/>
        <v>8693520</v>
      </c>
      <c r="P3685" s="89">
        <v>8248</v>
      </c>
      <c r="Q3685" s="422" t="s">
        <v>47</v>
      </c>
      <c r="R3685" s="422" t="s">
        <v>1869</v>
      </c>
      <c r="S3685" s="422" t="s">
        <v>1861</v>
      </c>
      <c r="T3685" t="s">
        <v>4826</v>
      </c>
      <c r="U3685" s="422" t="s">
        <v>1953</v>
      </c>
      <c r="V3685" s="422" t="s">
        <v>2813</v>
      </c>
    </row>
    <row r="3686" spans="1:22" ht="15.75" thickBot="1" x14ac:dyDescent="0.3">
      <c r="A3686" t="s">
        <v>1916</v>
      </c>
      <c r="B3686" t="s">
        <v>1916</v>
      </c>
      <c r="C3686" s="424" t="str">
        <f t="shared" si="144"/>
        <v>Rodoviária do Alentejo, S.A.</v>
      </c>
      <c r="D3686" t="s">
        <v>629</v>
      </c>
      <c r="F3686" t="s">
        <v>620</v>
      </c>
      <c r="G3686" s="89">
        <v>2016</v>
      </c>
      <c r="H3686" s="313" t="s">
        <v>733</v>
      </c>
      <c r="I3686" s="311" t="str">
        <f t="shared" si="143"/>
        <v>Pesado de Passageiros M3:  : Gasóleo : E6</v>
      </c>
      <c r="J3686">
        <v>55</v>
      </c>
      <c r="K3686" s="422">
        <v>2023</v>
      </c>
      <c r="L3686">
        <v>41118.19</v>
      </c>
      <c r="M3686" t="s">
        <v>630</v>
      </c>
      <c r="N3686">
        <v>144516</v>
      </c>
      <c r="O3686" s="131">
        <f t="shared" si="145"/>
        <v>7948380</v>
      </c>
      <c r="P3686" s="89">
        <v>8249</v>
      </c>
      <c r="Q3686" s="422" t="s">
        <v>47</v>
      </c>
      <c r="R3686" s="422" t="s">
        <v>1869</v>
      </c>
      <c r="S3686" s="422" t="s">
        <v>1861</v>
      </c>
      <c r="T3686" t="s">
        <v>4826</v>
      </c>
      <c r="U3686" s="422" t="s">
        <v>1953</v>
      </c>
      <c r="V3686" s="422" t="s">
        <v>2813</v>
      </c>
    </row>
    <row r="3687" spans="1:22" ht="15.75" thickBot="1" x14ac:dyDescent="0.3">
      <c r="A3687" t="s">
        <v>1916</v>
      </c>
      <c r="B3687" t="s">
        <v>1916</v>
      </c>
      <c r="C3687" s="424" t="str">
        <f t="shared" si="144"/>
        <v>Rodoviária do Alentejo, S.A.</v>
      </c>
      <c r="D3687" t="s">
        <v>629</v>
      </c>
      <c r="F3687" t="s">
        <v>620</v>
      </c>
      <c r="G3687" s="89">
        <v>2014</v>
      </c>
      <c r="H3687" s="313" t="s">
        <v>734</v>
      </c>
      <c r="I3687" s="311" t="str">
        <f t="shared" si="143"/>
        <v>Pesado de Passageiros M3:  : Gasóleo : E5</v>
      </c>
      <c r="J3687">
        <v>55</v>
      </c>
      <c r="K3687" s="422">
        <v>2023</v>
      </c>
      <c r="L3687">
        <v>22098.86</v>
      </c>
      <c r="M3687" t="s">
        <v>630</v>
      </c>
      <c r="N3687">
        <v>77902</v>
      </c>
      <c r="O3687" s="131">
        <f t="shared" si="145"/>
        <v>4284610</v>
      </c>
      <c r="P3687" s="89">
        <v>8250</v>
      </c>
      <c r="Q3687" s="422" t="s">
        <v>47</v>
      </c>
      <c r="R3687" s="422" t="s">
        <v>1869</v>
      </c>
      <c r="S3687" s="422" t="s">
        <v>1861</v>
      </c>
      <c r="T3687" t="s">
        <v>4826</v>
      </c>
      <c r="U3687" s="422" t="s">
        <v>1953</v>
      </c>
      <c r="V3687" s="422" t="s">
        <v>2813</v>
      </c>
    </row>
    <row r="3688" spans="1:22" ht="15.75" thickBot="1" x14ac:dyDescent="0.3">
      <c r="A3688" t="s">
        <v>1916</v>
      </c>
      <c r="B3688" t="s">
        <v>1916</v>
      </c>
      <c r="C3688" s="424" t="str">
        <f t="shared" si="144"/>
        <v>Rodoviária do Alentejo, S.A.</v>
      </c>
      <c r="D3688" t="s">
        <v>629</v>
      </c>
      <c r="F3688" t="s">
        <v>620</v>
      </c>
      <c r="G3688" s="89">
        <v>2019</v>
      </c>
      <c r="H3688" s="313" t="s">
        <v>733</v>
      </c>
      <c r="I3688" s="311" t="str">
        <f t="shared" si="143"/>
        <v>Pesado de Passageiros M3:  : Gasóleo : E6</v>
      </c>
      <c r="J3688">
        <v>55</v>
      </c>
      <c r="K3688" s="422">
        <v>2023</v>
      </c>
      <c r="L3688">
        <v>39315.730000000003</v>
      </c>
      <c r="M3688" t="s">
        <v>630</v>
      </c>
      <c r="N3688">
        <v>161211</v>
      </c>
      <c r="O3688" s="131">
        <f t="shared" si="145"/>
        <v>8866605</v>
      </c>
      <c r="P3688" s="89">
        <v>8251</v>
      </c>
      <c r="Q3688" s="422" t="s">
        <v>47</v>
      </c>
      <c r="R3688" s="422" t="s">
        <v>1869</v>
      </c>
      <c r="S3688" s="422" t="s">
        <v>1861</v>
      </c>
      <c r="T3688" t="s">
        <v>4826</v>
      </c>
      <c r="U3688" s="422" t="s">
        <v>1953</v>
      </c>
      <c r="V3688" s="422" t="s">
        <v>2813</v>
      </c>
    </row>
    <row r="3689" spans="1:22" ht="15.75" thickBot="1" x14ac:dyDescent="0.3">
      <c r="A3689" t="s">
        <v>1916</v>
      </c>
      <c r="B3689" t="s">
        <v>1916</v>
      </c>
      <c r="C3689" s="424" t="str">
        <f t="shared" si="144"/>
        <v>Rodoviária do Alentejo, S.A.</v>
      </c>
      <c r="D3689" t="s">
        <v>629</v>
      </c>
      <c r="F3689" t="s">
        <v>620</v>
      </c>
      <c r="G3689" s="89">
        <v>2016</v>
      </c>
      <c r="H3689" s="313" t="s">
        <v>733</v>
      </c>
      <c r="I3689" s="311" t="str">
        <f t="shared" si="143"/>
        <v>Pesado de Passageiros M3:  : Gasóleo : E6</v>
      </c>
      <c r="J3689">
        <v>55</v>
      </c>
      <c r="K3689" s="422">
        <v>2023</v>
      </c>
      <c r="L3689">
        <v>24734.68</v>
      </c>
      <c r="M3689" t="s">
        <v>630</v>
      </c>
      <c r="N3689">
        <v>85953</v>
      </c>
      <c r="O3689" s="131">
        <f t="shared" si="145"/>
        <v>4727415</v>
      </c>
      <c r="P3689" s="89">
        <v>8252</v>
      </c>
      <c r="Q3689" s="422" t="s">
        <v>47</v>
      </c>
      <c r="R3689" s="422" t="s">
        <v>1869</v>
      </c>
      <c r="S3689" s="422" t="s">
        <v>1861</v>
      </c>
      <c r="T3689" t="s">
        <v>4824</v>
      </c>
      <c r="U3689" s="422" t="s">
        <v>1953</v>
      </c>
      <c r="V3689" s="422" t="s">
        <v>2813</v>
      </c>
    </row>
    <row r="3690" spans="1:22" ht="15.75" thickBot="1" x14ac:dyDescent="0.3">
      <c r="A3690" t="s">
        <v>1916</v>
      </c>
      <c r="B3690" t="s">
        <v>1916</v>
      </c>
      <c r="C3690" s="424" t="str">
        <f t="shared" si="144"/>
        <v>Rodoviária do Alentejo, S.A.</v>
      </c>
      <c r="D3690" t="s">
        <v>629</v>
      </c>
      <c r="F3690" t="s">
        <v>620</v>
      </c>
      <c r="G3690" s="89">
        <v>2019</v>
      </c>
      <c r="H3690" s="313" t="s">
        <v>733</v>
      </c>
      <c r="I3690" s="311" t="str">
        <f t="shared" si="143"/>
        <v>Pesado de Passageiros M3:  : Gasóleo : E6</v>
      </c>
      <c r="J3690">
        <v>53</v>
      </c>
      <c r="K3690" s="422">
        <v>2023</v>
      </c>
      <c r="L3690">
        <v>33402.75</v>
      </c>
      <c r="M3690" t="s">
        <v>630</v>
      </c>
      <c r="N3690">
        <v>132055</v>
      </c>
      <c r="O3690" s="131">
        <f t="shared" si="145"/>
        <v>6998915</v>
      </c>
      <c r="P3690" s="89">
        <v>8253</v>
      </c>
      <c r="Q3690" s="422" t="s">
        <v>47</v>
      </c>
      <c r="R3690" s="422" t="s">
        <v>1869</v>
      </c>
      <c r="S3690" s="422" t="s">
        <v>1861</v>
      </c>
      <c r="T3690" t="s">
        <v>4826</v>
      </c>
      <c r="U3690" s="422" t="s">
        <v>1953</v>
      </c>
      <c r="V3690" s="422" t="s">
        <v>2813</v>
      </c>
    </row>
    <row r="3691" spans="1:22" ht="15.75" thickBot="1" x14ac:dyDescent="0.3">
      <c r="A3691" t="s">
        <v>1916</v>
      </c>
      <c r="B3691" t="s">
        <v>1916</v>
      </c>
      <c r="C3691" s="424" t="str">
        <f t="shared" si="144"/>
        <v>Rodoviária do Alentejo, S.A.</v>
      </c>
      <c r="D3691" t="s">
        <v>629</v>
      </c>
      <c r="F3691" t="s">
        <v>620</v>
      </c>
      <c r="G3691" s="89">
        <v>2006</v>
      </c>
      <c r="H3691" s="313" t="s">
        <v>732</v>
      </c>
      <c r="I3691" s="311" t="str">
        <f t="shared" si="143"/>
        <v>Pesado de Passageiros M3:  : Gasóleo : E3</v>
      </c>
      <c r="J3691">
        <v>51</v>
      </c>
      <c r="K3691" s="422">
        <v>2023</v>
      </c>
      <c r="L3691">
        <v>20880.73</v>
      </c>
      <c r="M3691" t="s">
        <v>630</v>
      </c>
      <c r="N3691">
        <v>60669</v>
      </c>
      <c r="O3691" s="131">
        <f t="shared" si="145"/>
        <v>3094119</v>
      </c>
      <c r="P3691" s="89">
        <v>8301</v>
      </c>
      <c r="Q3691" s="422" t="s">
        <v>47</v>
      </c>
      <c r="R3691" s="422" t="s">
        <v>1869</v>
      </c>
      <c r="S3691" s="422" t="s">
        <v>1861</v>
      </c>
      <c r="T3691" t="s">
        <v>4823</v>
      </c>
      <c r="U3691" s="422" t="s">
        <v>1953</v>
      </c>
      <c r="V3691" s="422" t="s">
        <v>2813</v>
      </c>
    </row>
    <row r="3692" spans="1:22" ht="15.75" thickBot="1" x14ac:dyDescent="0.3">
      <c r="A3692" t="s">
        <v>1916</v>
      </c>
      <c r="B3692" t="s">
        <v>1916</v>
      </c>
      <c r="C3692" s="424" t="str">
        <f t="shared" si="144"/>
        <v>Rodoviária do Alentejo, S.A.</v>
      </c>
      <c r="D3692" t="s">
        <v>629</v>
      </c>
      <c r="F3692" t="s">
        <v>620</v>
      </c>
      <c r="G3692" s="89">
        <v>2003</v>
      </c>
      <c r="H3692" s="313" t="s">
        <v>732</v>
      </c>
      <c r="I3692" s="311" t="str">
        <f t="shared" si="143"/>
        <v>Pesado de Passageiros M3:  : Gasóleo : E3</v>
      </c>
      <c r="J3692">
        <v>51</v>
      </c>
      <c r="K3692" s="422">
        <v>2023</v>
      </c>
      <c r="L3692">
        <v>16386.259999999998</v>
      </c>
      <c r="M3692" t="s">
        <v>630</v>
      </c>
      <c r="N3692">
        <v>50961</v>
      </c>
      <c r="O3692" s="131">
        <f t="shared" si="145"/>
        <v>2599011</v>
      </c>
      <c r="P3692" s="89">
        <v>8302</v>
      </c>
      <c r="Q3692" s="422" t="s">
        <v>47</v>
      </c>
      <c r="R3692" s="422" t="s">
        <v>1869</v>
      </c>
      <c r="S3692" s="422" t="s">
        <v>1861</v>
      </c>
      <c r="T3692" t="s">
        <v>4823</v>
      </c>
      <c r="U3692" s="422" t="s">
        <v>1953</v>
      </c>
      <c r="V3692" s="422" t="s">
        <v>2813</v>
      </c>
    </row>
    <row r="3693" spans="1:22" ht="15.75" thickBot="1" x14ac:dyDescent="0.3">
      <c r="A3693" t="s">
        <v>1916</v>
      </c>
      <c r="B3693" t="s">
        <v>1916</v>
      </c>
      <c r="C3693" s="424" t="str">
        <f t="shared" si="144"/>
        <v>Rodoviária do Alentejo, S.A.</v>
      </c>
      <c r="D3693" t="s">
        <v>629</v>
      </c>
      <c r="F3693" t="s">
        <v>620</v>
      </c>
      <c r="G3693" s="89">
        <v>2006</v>
      </c>
      <c r="H3693" s="313" t="s">
        <v>732</v>
      </c>
      <c r="I3693" s="311" t="str">
        <f t="shared" si="143"/>
        <v>Pesado de Passageiros M3:  : Gasóleo : E3</v>
      </c>
      <c r="J3693">
        <v>79</v>
      </c>
      <c r="K3693" s="422">
        <v>2023</v>
      </c>
      <c r="L3693">
        <v>14961.23</v>
      </c>
      <c r="M3693" t="s">
        <v>630</v>
      </c>
      <c r="N3693">
        <v>47738</v>
      </c>
      <c r="O3693" s="131">
        <f t="shared" si="145"/>
        <v>3771302</v>
      </c>
      <c r="P3693" s="89">
        <v>8303</v>
      </c>
      <c r="Q3693" s="422" t="s">
        <v>47</v>
      </c>
      <c r="R3693" s="422" t="s">
        <v>1869</v>
      </c>
      <c r="S3693" s="422" t="s">
        <v>1861</v>
      </c>
      <c r="T3693" t="s">
        <v>4823</v>
      </c>
      <c r="U3693" s="422" t="s">
        <v>1953</v>
      </c>
      <c r="V3693" s="422" t="s">
        <v>2813</v>
      </c>
    </row>
    <row r="3694" spans="1:22" ht="15.75" thickBot="1" x14ac:dyDescent="0.3">
      <c r="A3694" t="s">
        <v>1916</v>
      </c>
      <c r="B3694" t="s">
        <v>1916</v>
      </c>
      <c r="C3694" s="424" t="str">
        <f t="shared" si="144"/>
        <v>Rodoviária do Alentejo, S.A.</v>
      </c>
      <c r="D3694" t="s">
        <v>629</v>
      </c>
      <c r="F3694" t="s">
        <v>620</v>
      </c>
      <c r="G3694" s="89">
        <v>2002</v>
      </c>
      <c r="H3694" s="313" t="s">
        <v>735</v>
      </c>
      <c r="I3694" s="311" t="str">
        <f t="shared" si="143"/>
        <v>Pesado de Passageiros M3:  : Gasóleo : E2</v>
      </c>
      <c r="J3694">
        <v>79</v>
      </c>
      <c r="K3694" s="422">
        <v>2023</v>
      </c>
      <c r="L3694">
        <v>11072.94</v>
      </c>
      <c r="M3694" t="s">
        <v>630</v>
      </c>
      <c r="N3694">
        <v>36805</v>
      </c>
      <c r="O3694" s="131">
        <f t="shared" si="145"/>
        <v>2907595</v>
      </c>
      <c r="P3694" s="89">
        <v>8304</v>
      </c>
      <c r="Q3694" s="422" t="s">
        <v>47</v>
      </c>
      <c r="R3694" s="422" t="s">
        <v>1869</v>
      </c>
      <c r="S3694" s="422" t="s">
        <v>1861</v>
      </c>
      <c r="T3694" t="s">
        <v>4825</v>
      </c>
      <c r="U3694" s="422" t="s">
        <v>1953</v>
      </c>
      <c r="V3694" s="422" t="s">
        <v>2813</v>
      </c>
    </row>
    <row r="3695" spans="1:22" ht="15.75" thickBot="1" x14ac:dyDescent="0.3">
      <c r="A3695" t="s">
        <v>1916</v>
      </c>
      <c r="B3695" t="s">
        <v>1916</v>
      </c>
      <c r="C3695" s="424" t="str">
        <f t="shared" si="144"/>
        <v>Rodoviária do Alentejo, S.A.</v>
      </c>
      <c r="D3695" t="s">
        <v>629</v>
      </c>
      <c r="F3695" t="s">
        <v>620</v>
      </c>
      <c r="G3695" s="89">
        <v>2003</v>
      </c>
      <c r="H3695" s="313" t="s">
        <v>732</v>
      </c>
      <c r="I3695" s="311" t="str">
        <f t="shared" si="143"/>
        <v>Pesado de Passageiros M3:  : Gasóleo : E3</v>
      </c>
      <c r="J3695">
        <v>72</v>
      </c>
      <c r="K3695" s="422">
        <v>2023</v>
      </c>
      <c r="L3695">
        <v>17286.080000000002</v>
      </c>
      <c r="M3695" t="s">
        <v>630</v>
      </c>
      <c r="N3695">
        <v>54440</v>
      </c>
      <c r="O3695" s="131">
        <f t="shared" si="145"/>
        <v>3919680</v>
      </c>
      <c r="P3695" s="89">
        <v>8305</v>
      </c>
      <c r="Q3695" s="422" t="s">
        <v>47</v>
      </c>
      <c r="R3695" s="422" t="s">
        <v>1869</v>
      </c>
      <c r="S3695" s="422" t="s">
        <v>1861</v>
      </c>
      <c r="T3695" t="s">
        <v>4823</v>
      </c>
      <c r="U3695" s="422" t="s">
        <v>1953</v>
      </c>
      <c r="V3695" s="422" t="s">
        <v>2813</v>
      </c>
    </row>
    <row r="3696" spans="1:22" ht="15.75" thickBot="1" x14ac:dyDescent="0.3">
      <c r="A3696" t="s">
        <v>1916</v>
      </c>
      <c r="B3696" t="s">
        <v>1916</v>
      </c>
      <c r="C3696" s="424" t="str">
        <f t="shared" si="144"/>
        <v>Rodoviária do Alentejo, S.A.</v>
      </c>
      <c r="D3696" t="s">
        <v>629</v>
      </c>
      <c r="F3696" t="s">
        <v>620</v>
      </c>
      <c r="G3696" s="89">
        <v>2005</v>
      </c>
      <c r="H3696" s="313" t="s">
        <v>732</v>
      </c>
      <c r="I3696" s="311" t="str">
        <f t="shared" si="143"/>
        <v>Pesado de Passageiros M3:  : Gasóleo : E3</v>
      </c>
      <c r="J3696">
        <v>68</v>
      </c>
      <c r="K3696" s="422">
        <v>2023</v>
      </c>
      <c r="L3696">
        <v>6877.0300000000007</v>
      </c>
      <c r="M3696" t="s">
        <v>630</v>
      </c>
      <c r="N3696">
        <v>20715</v>
      </c>
      <c r="O3696" s="131">
        <f t="shared" si="145"/>
        <v>1408620</v>
      </c>
      <c r="P3696" s="89">
        <v>8307</v>
      </c>
      <c r="Q3696" s="422" t="s">
        <v>47</v>
      </c>
      <c r="R3696" s="422" t="s">
        <v>1869</v>
      </c>
      <c r="S3696" s="422" t="s">
        <v>1861</v>
      </c>
      <c r="T3696" t="s">
        <v>4823</v>
      </c>
      <c r="U3696" s="422" t="s">
        <v>1953</v>
      </c>
      <c r="V3696" s="422" t="s">
        <v>2813</v>
      </c>
    </row>
    <row r="3697" spans="1:22" ht="15.75" thickBot="1" x14ac:dyDescent="0.3">
      <c r="A3697" t="s">
        <v>1916</v>
      </c>
      <c r="B3697" t="s">
        <v>1916</v>
      </c>
      <c r="C3697" s="424" t="str">
        <f t="shared" si="144"/>
        <v>Rodoviária do Alentejo, S.A.</v>
      </c>
      <c r="D3697" t="s">
        <v>629</v>
      </c>
      <c r="F3697" t="s">
        <v>620</v>
      </c>
      <c r="G3697" s="89">
        <v>1999</v>
      </c>
      <c r="H3697" s="313" t="s">
        <v>735</v>
      </c>
      <c r="I3697" s="311" t="str">
        <f t="shared" si="143"/>
        <v>Pesado de Passageiros M3:  : Gasóleo : E2</v>
      </c>
      <c r="J3697">
        <v>83</v>
      </c>
      <c r="K3697" s="422">
        <v>2023</v>
      </c>
      <c r="L3697">
        <v>16526.82</v>
      </c>
      <c r="M3697" t="s">
        <v>630</v>
      </c>
      <c r="N3697">
        <v>56081</v>
      </c>
      <c r="O3697" s="131">
        <f t="shared" si="145"/>
        <v>4654723</v>
      </c>
      <c r="P3697" s="89">
        <v>8309</v>
      </c>
      <c r="Q3697" s="422" t="s">
        <v>47</v>
      </c>
      <c r="R3697" s="422" t="s">
        <v>1869</v>
      </c>
      <c r="S3697" s="422" t="s">
        <v>1861</v>
      </c>
      <c r="T3697" t="s">
        <v>4825</v>
      </c>
      <c r="U3697" s="422" t="s">
        <v>1953</v>
      </c>
      <c r="V3697" s="422" t="s">
        <v>2813</v>
      </c>
    </row>
    <row r="3698" spans="1:22" ht="15.75" thickBot="1" x14ac:dyDescent="0.3">
      <c r="A3698" t="s">
        <v>1916</v>
      </c>
      <c r="B3698" t="s">
        <v>1916</v>
      </c>
      <c r="C3698" s="424" t="str">
        <f t="shared" si="144"/>
        <v>Rodoviária do Alentejo, S.A.</v>
      </c>
      <c r="D3698" t="s">
        <v>629</v>
      </c>
      <c r="F3698" t="s">
        <v>620</v>
      </c>
      <c r="G3698" s="89">
        <v>2001</v>
      </c>
      <c r="H3698" s="313" t="s">
        <v>735</v>
      </c>
      <c r="I3698" s="311" t="str">
        <f t="shared" si="143"/>
        <v>Pesado de Passageiros M3:  : Gasóleo : E2</v>
      </c>
      <c r="J3698">
        <v>68</v>
      </c>
      <c r="K3698" s="422">
        <v>2023</v>
      </c>
      <c r="L3698">
        <v>11951.499999999998</v>
      </c>
      <c r="M3698" t="s">
        <v>630</v>
      </c>
      <c r="N3698">
        <v>39957</v>
      </c>
      <c r="O3698" s="131">
        <f t="shared" si="145"/>
        <v>2717076</v>
      </c>
      <c r="P3698" s="89">
        <v>8310</v>
      </c>
      <c r="Q3698" s="422" t="s">
        <v>47</v>
      </c>
      <c r="R3698" s="422" t="s">
        <v>1869</v>
      </c>
      <c r="S3698" s="422" t="s">
        <v>1861</v>
      </c>
      <c r="T3698" t="s">
        <v>4825</v>
      </c>
      <c r="U3698" s="422" t="s">
        <v>1953</v>
      </c>
      <c r="V3698" s="422" t="s">
        <v>2813</v>
      </c>
    </row>
    <row r="3699" spans="1:22" ht="15.75" thickBot="1" x14ac:dyDescent="0.3">
      <c r="A3699" t="s">
        <v>1916</v>
      </c>
      <c r="B3699" t="s">
        <v>1916</v>
      </c>
      <c r="C3699" s="424" t="str">
        <f t="shared" si="144"/>
        <v>Rodoviária do Alentejo, S.A.</v>
      </c>
      <c r="D3699" t="s">
        <v>629</v>
      </c>
      <c r="F3699" t="s">
        <v>620</v>
      </c>
      <c r="G3699" s="89">
        <v>2003</v>
      </c>
      <c r="H3699" s="313" t="s">
        <v>732</v>
      </c>
      <c r="I3699" s="311" t="str">
        <f t="shared" si="143"/>
        <v>Pesado de Passageiros M3:  : Gasóleo : E3</v>
      </c>
      <c r="J3699">
        <v>50</v>
      </c>
      <c r="K3699" s="422">
        <v>2023</v>
      </c>
      <c r="L3699">
        <v>12484.519999999999</v>
      </c>
      <c r="M3699" t="s">
        <v>630</v>
      </c>
      <c r="N3699">
        <v>41063</v>
      </c>
      <c r="O3699" s="131">
        <f t="shared" si="145"/>
        <v>2053150</v>
      </c>
      <c r="P3699" s="89">
        <v>8312</v>
      </c>
      <c r="Q3699" s="422" t="s">
        <v>47</v>
      </c>
      <c r="R3699" s="422" t="s">
        <v>1869</v>
      </c>
      <c r="S3699" s="422" t="s">
        <v>1861</v>
      </c>
      <c r="T3699" t="s">
        <v>4824</v>
      </c>
      <c r="U3699" s="422" t="s">
        <v>1953</v>
      </c>
      <c r="V3699" s="422" t="s">
        <v>2813</v>
      </c>
    </row>
    <row r="3700" spans="1:22" ht="15.75" thickBot="1" x14ac:dyDescent="0.3">
      <c r="A3700" t="s">
        <v>1916</v>
      </c>
      <c r="B3700" t="s">
        <v>1916</v>
      </c>
      <c r="C3700" s="424" t="str">
        <f t="shared" si="144"/>
        <v>Rodoviária do Alentejo, S.A.</v>
      </c>
      <c r="D3700" t="s">
        <v>629</v>
      </c>
      <c r="F3700" t="s">
        <v>620</v>
      </c>
      <c r="G3700" s="89">
        <v>2002</v>
      </c>
      <c r="H3700" s="313" t="s">
        <v>732</v>
      </c>
      <c r="I3700" s="311" t="str">
        <f t="shared" si="143"/>
        <v>Pesado de Passageiros M3:  : Gasóleo : E3</v>
      </c>
      <c r="J3700">
        <v>70</v>
      </c>
      <c r="K3700" s="422">
        <v>2023</v>
      </c>
      <c r="L3700">
        <v>14477.42</v>
      </c>
      <c r="M3700" t="s">
        <v>630</v>
      </c>
      <c r="N3700">
        <v>42074</v>
      </c>
      <c r="O3700" s="131">
        <f t="shared" si="145"/>
        <v>2945180</v>
      </c>
      <c r="P3700" s="89">
        <v>8314</v>
      </c>
      <c r="Q3700" s="422" t="s">
        <v>47</v>
      </c>
      <c r="R3700" s="422" t="s">
        <v>1869</v>
      </c>
      <c r="S3700" s="422" t="s">
        <v>1861</v>
      </c>
      <c r="T3700" t="s">
        <v>4825</v>
      </c>
      <c r="U3700" s="422" t="s">
        <v>1953</v>
      </c>
      <c r="V3700" s="422" t="s">
        <v>2813</v>
      </c>
    </row>
    <row r="3701" spans="1:22" ht="15.75" thickBot="1" x14ac:dyDescent="0.3">
      <c r="A3701" t="s">
        <v>1916</v>
      </c>
      <c r="B3701" t="s">
        <v>1916</v>
      </c>
      <c r="C3701" s="424" t="str">
        <f t="shared" si="144"/>
        <v>Rodoviária do Alentejo, S.A.</v>
      </c>
      <c r="D3701" t="s">
        <v>629</v>
      </c>
      <c r="F3701" t="s">
        <v>620</v>
      </c>
      <c r="G3701" s="89">
        <v>2009</v>
      </c>
      <c r="H3701" s="313" t="s">
        <v>731</v>
      </c>
      <c r="I3701" s="311" t="str">
        <f t="shared" si="143"/>
        <v>Pesado de Passageiros M3:  : Gasóleo : E4</v>
      </c>
      <c r="J3701">
        <v>31</v>
      </c>
      <c r="K3701" s="422">
        <v>2023</v>
      </c>
      <c r="L3701">
        <v>5795.7500000000009</v>
      </c>
      <c r="M3701" t="s">
        <v>630</v>
      </c>
      <c r="N3701">
        <v>34027</v>
      </c>
      <c r="O3701" s="131">
        <f t="shared" si="145"/>
        <v>1054837</v>
      </c>
      <c r="P3701" s="89">
        <v>8315</v>
      </c>
      <c r="Q3701" s="422" t="s">
        <v>47</v>
      </c>
      <c r="R3701" s="422" t="s">
        <v>1869</v>
      </c>
      <c r="S3701" s="422" t="s">
        <v>1861</v>
      </c>
      <c r="T3701" t="s">
        <v>4823</v>
      </c>
      <c r="U3701" s="422" t="s">
        <v>1953</v>
      </c>
      <c r="V3701" s="422" t="s">
        <v>2813</v>
      </c>
    </row>
    <row r="3702" spans="1:22" ht="15.75" thickBot="1" x14ac:dyDescent="0.3">
      <c r="A3702" t="s">
        <v>1916</v>
      </c>
      <c r="B3702" t="s">
        <v>1916</v>
      </c>
      <c r="C3702" s="424" t="str">
        <f t="shared" si="144"/>
        <v>Rodoviária do Alentejo, S.A.</v>
      </c>
      <c r="D3702" t="s">
        <v>629</v>
      </c>
      <c r="F3702" t="s">
        <v>620</v>
      </c>
      <c r="G3702" s="89">
        <v>2009</v>
      </c>
      <c r="H3702" s="313" t="s">
        <v>731</v>
      </c>
      <c r="I3702" s="311" t="str">
        <f t="shared" ref="I3702:I3765" si="146">D3702&amp;": "&amp;E3702&amp;" : "&amp;F3702&amp;" : "&amp;H3702</f>
        <v>Pesado de Passageiros M3:  : Gasóleo : E4</v>
      </c>
      <c r="J3702">
        <v>53</v>
      </c>
      <c r="K3702" s="422">
        <v>2023</v>
      </c>
      <c r="L3702">
        <v>8544.56</v>
      </c>
      <c r="M3702" t="s">
        <v>630</v>
      </c>
      <c r="N3702">
        <v>28519</v>
      </c>
      <c r="O3702" s="131">
        <f t="shared" si="145"/>
        <v>1511507</v>
      </c>
      <c r="P3702" s="89">
        <v>8316</v>
      </c>
      <c r="Q3702" s="422" t="s">
        <v>47</v>
      </c>
      <c r="R3702" s="422" t="s">
        <v>1869</v>
      </c>
      <c r="S3702" s="422" t="s">
        <v>1861</v>
      </c>
      <c r="T3702" t="s">
        <v>4824</v>
      </c>
      <c r="U3702" s="422" t="s">
        <v>1953</v>
      </c>
      <c r="V3702" s="422" t="s">
        <v>2813</v>
      </c>
    </row>
    <row r="3703" spans="1:22" ht="15.75" thickBot="1" x14ac:dyDescent="0.3">
      <c r="A3703" t="s">
        <v>1916</v>
      </c>
      <c r="B3703" t="s">
        <v>1916</v>
      </c>
      <c r="C3703" s="424" t="str">
        <f t="shared" si="144"/>
        <v>Rodoviária do Alentejo, S.A.</v>
      </c>
      <c r="D3703" t="s">
        <v>629</v>
      </c>
      <c r="F3703" t="s">
        <v>620</v>
      </c>
      <c r="G3703" s="89">
        <v>2009</v>
      </c>
      <c r="H3703" s="313" t="s">
        <v>731</v>
      </c>
      <c r="I3703" s="311" t="str">
        <f t="shared" si="146"/>
        <v>Pesado de Passageiros M3:  : Gasóleo : E4</v>
      </c>
      <c r="J3703">
        <v>31</v>
      </c>
      <c r="K3703" s="422">
        <v>2023</v>
      </c>
      <c r="L3703">
        <v>8206.8000000000011</v>
      </c>
      <c r="M3703" t="s">
        <v>630</v>
      </c>
      <c r="N3703">
        <v>51867</v>
      </c>
      <c r="O3703" s="131">
        <f t="shared" si="145"/>
        <v>1607877</v>
      </c>
      <c r="P3703" s="89">
        <v>8317</v>
      </c>
      <c r="Q3703" s="422" t="s">
        <v>47</v>
      </c>
      <c r="R3703" s="422" t="s">
        <v>1869</v>
      </c>
      <c r="S3703" s="422" t="s">
        <v>1861</v>
      </c>
      <c r="T3703" t="s">
        <v>4823</v>
      </c>
      <c r="U3703" s="422" t="s">
        <v>1953</v>
      </c>
      <c r="V3703" s="422" t="s">
        <v>2813</v>
      </c>
    </row>
    <row r="3704" spans="1:22" ht="15.75" thickBot="1" x14ac:dyDescent="0.3">
      <c r="A3704" t="s">
        <v>1916</v>
      </c>
      <c r="B3704" t="s">
        <v>1916</v>
      </c>
      <c r="C3704" s="424" t="str">
        <f t="shared" si="144"/>
        <v>Rodoviária do Alentejo, S.A.</v>
      </c>
      <c r="D3704" t="s">
        <v>629</v>
      </c>
      <c r="F3704" t="s">
        <v>620</v>
      </c>
      <c r="G3704" s="89">
        <v>2009</v>
      </c>
      <c r="H3704" s="313" t="s">
        <v>731</v>
      </c>
      <c r="I3704" s="311" t="str">
        <f t="shared" si="146"/>
        <v>Pesado de Passageiros M3:  : Gasóleo : E4</v>
      </c>
      <c r="J3704">
        <v>31</v>
      </c>
      <c r="K3704" s="422">
        <v>2023</v>
      </c>
      <c r="L3704">
        <v>3048.9500000000003</v>
      </c>
      <c r="M3704" t="s">
        <v>630</v>
      </c>
      <c r="N3704">
        <v>19616</v>
      </c>
      <c r="O3704" s="131">
        <f t="shared" si="145"/>
        <v>608096</v>
      </c>
      <c r="P3704" s="89">
        <v>8318</v>
      </c>
      <c r="Q3704" s="422" t="s">
        <v>47</v>
      </c>
      <c r="R3704" s="422" t="s">
        <v>1869</v>
      </c>
      <c r="S3704" s="422" t="s">
        <v>1861</v>
      </c>
      <c r="T3704" t="s">
        <v>4823</v>
      </c>
      <c r="U3704" s="422" t="s">
        <v>1953</v>
      </c>
      <c r="V3704" s="422" t="s">
        <v>2813</v>
      </c>
    </row>
    <row r="3705" spans="1:22" ht="15.75" thickBot="1" x14ac:dyDescent="0.3">
      <c r="A3705" t="s">
        <v>1916</v>
      </c>
      <c r="B3705" t="s">
        <v>1916</v>
      </c>
      <c r="C3705" s="424" t="str">
        <f t="shared" si="144"/>
        <v>Rodoviária do Alentejo, S.A.</v>
      </c>
      <c r="D3705" t="s">
        <v>629</v>
      </c>
      <c r="F3705" t="s">
        <v>620</v>
      </c>
      <c r="G3705" s="89">
        <v>2011</v>
      </c>
      <c r="H3705" s="313" t="s">
        <v>734</v>
      </c>
      <c r="I3705" s="311" t="str">
        <f t="shared" si="146"/>
        <v>Pesado de Passageiros M3:  : Gasóleo : E5</v>
      </c>
      <c r="J3705">
        <v>32</v>
      </c>
      <c r="K3705" s="422">
        <v>2023</v>
      </c>
      <c r="L3705">
        <v>11307.31</v>
      </c>
      <c r="M3705" t="s">
        <v>630</v>
      </c>
      <c r="N3705">
        <v>64375</v>
      </c>
      <c r="O3705" s="131">
        <f t="shared" si="145"/>
        <v>2060000</v>
      </c>
      <c r="P3705" s="89">
        <v>8319</v>
      </c>
      <c r="Q3705" s="422" t="s">
        <v>47</v>
      </c>
      <c r="R3705" s="422" t="s">
        <v>1869</v>
      </c>
      <c r="S3705" s="422" t="s">
        <v>1861</v>
      </c>
      <c r="T3705" t="s">
        <v>4823</v>
      </c>
      <c r="U3705" s="422" t="s">
        <v>1953</v>
      </c>
      <c r="V3705" s="422" t="s">
        <v>2813</v>
      </c>
    </row>
    <row r="3706" spans="1:22" ht="15.75" thickBot="1" x14ac:dyDescent="0.3">
      <c r="A3706" t="s">
        <v>1916</v>
      </c>
      <c r="B3706" t="s">
        <v>1916</v>
      </c>
      <c r="C3706" s="424" t="str">
        <f t="shared" si="144"/>
        <v>Rodoviária do Alentejo, S.A.</v>
      </c>
      <c r="D3706" t="s">
        <v>629</v>
      </c>
      <c r="F3706" t="s">
        <v>620</v>
      </c>
      <c r="G3706" s="89">
        <v>1999</v>
      </c>
      <c r="H3706" s="313" t="s">
        <v>735</v>
      </c>
      <c r="I3706" s="311" t="str">
        <f t="shared" si="146"/>
        <v>Pesado de Passageiros M3:  : Gasóleo : E2</v>
      </c>
      <c r="J3706">
        <v>75</v>
      </c>
      <c r="K3706" s="422">
        <v>2023</v>
      </c>
      <c r="L3706">
        <v>12770.13</v>
      </c>
      <c r="M3706" t="s">
        <v>630</v>
      </c>
      <c r="N3706">
        <v>44847</v>
      </c>
      <c r="O3706" s="131">
        <f t="shared" si="145"/>
        <v>3363525</v>
      </c>
      <c r="P3706" s="89">
        <v>8320</v>
      </c>
      <c r="Q3706" s="422" t="s">
        <v>47</v>
      </c>
      <c r="R3706" s="422" t="s">
        <v>1869</v>
      </c>
      <c r="S3706" s="422" t="s">
        <v>1861</v>
      </c>
      <c r="T3706" t="s">
        <v>4825</v>
      </c>
      <c r="U3706" s="422" t="s">
        <v>1953</v>
      </c>
      <c r="V3706" s="422" t="s">
        <v>2813</v>
      </c>
    </row>
    <row r="3707" spans="1:22" ht="15.75" thickBot="1" x14ac:dyDescent="0.3">
      <c r="A3707" t="s">
        <v>1916</v>
      </c>
      <c r="B3707" t="s">
        <v>1916</v>
      </c>
      <c r="C3707" s="424" t="str">
        <f t="shared" si="144"/>
        <v>Rodoviária do Alentejo, S.A.</v>
      </c>
      <c r="D3707" t="s">
        <v>629</v>
      </c>
      <c r="F3707" t="s">
        <v>620</v>
      </c>
      <c r="G3707" s="89">
        <v>2000</v>
      </c>
      <c r="H3707" s="313" t="s">
        <v>735</v>
      </c>
      <c r="I3707" s="311" t="str">
        <f t="shared" si="146"/>
        <v>Pesado de Passageiros M3:  : Gasóleo : E2</v>
      </c>
      <c r="J3707">
        <v>70</v>
      </c>
      <c r="K3707" s="422">
        <v>2023</v>
      </c>
      <c r="L3707">
        <v>10857.580000000002</v>
      </c>
      <c r="M3707" t="s">
        <v>630</v>
      </c>
      <c r="N3707">
        <v>34148</v>
      </c>
      <c r="O3707" s="131">
        <f t="shared" si="145"/>
        <v>2390360</v>
      </c>
      <c r="P3707" s="89">
        <v>8321</v>
      </c>
      <c r="Q3707" s="422" t="s">
        <v>47</v>
      </c>
      <c r="R3707" s="422" t="s">
        <v>1869</v>
      </c>
      <c r="S3707" s="422" t="s">
        <v>1861</v>
      </c>
      <c r="T3707" t="s">
        <v>4825</v>
      </c>
      <c r="U3707" s="422" t="s">
        <v>1953</v>
      </c>
      <c r="V3707" s="422" t="s">
        <v>2813</v>
      </c>
    </row>
    <row r="3708" spans="1:22" ht="15.75" thickBot="1" x14ac:dyDescent="0.3">
      <c r="A3708" t="s">
        <v>1916</v>
      </c>
      <c r="B3708" t="s">
        <v>1916</v>
      </c>
      <c r="C3708" s="424" t="str">
        <f t="shared" si="144"/>
        <v>Rodoviária do Alentejo, S.A.</v>
      </c>
      <c r="D3708" t="s">
        <v>629</v>
      </c>
      <c r="F3708" t="s">
        <v>620</v>
      </c>
      <c r="G3708" s="89">
        <v>2011</v>
      </c>
      <c r="H3708" s="313" t="s">
        <v>734</v>
      </c>
      <c r="I3708" s="311" t="str">
        <f t="shared" si="146"/>
        <v>Pesado de Passageiros M3:  : Gasóleo : E5</v>
      </c>
      <c r="J3708">
        <v>32</v>
      </c>
      <c r="K3708" s="422">
        <v>2023</v>
      </c>
      <c r="L3708">
        <v>7066.9</v>
      </c>
      <c r="M3708" t="s">
        <v>630</v>
      </c>
      <c r="N3708">
        <v>42473</v>
      </c>
      <c r="O3708" s="131">
        <f t="shared" si="145"/>
        <v>1359136</v>
      </c>
      <c r="P3708" s="89">
        <v>8322</v>
      </c>
      <c r="Q3708" s="422" t="s">
        <v>47</v>
      </c>
      <c r="R3708" s="422" t="s">
        <v>1869</v>
      </c>
      <c r="S3708" s="422" t="s">
        <v>1861</v>
      </c>
      <c r="T3708" t="s">
        <v>4823</v>
      </c>
      <c r="U3708" s="422" t="s">
        <v>1953</v>
      </c>
      <c r="V3708" s="422" t="s">
        <v>2813</v>
      </c>
    </row>
    <row r="3709" spans="1:22" ht="15.75" thickBot="1" x14ac:dyDescent="0.3">
      <c r="A3709" t="s">
        <v>1916</v>
      </c>
      <c r="B3709" t="s">
        <v>1916</v>
      </c>
      <c r="C3709" s="424" t="str">
        <f t="shared" si="144"/>
        <v>Rodoviária do Alentejo, S.A.</v>
      </c>
      <c r="D3709" t="s">
        <v>629</v>
      </c>
      <c r="F3709" t="s">
        <v>620</v>
      </c>
      <c r="G3709" s="89">
        <v>2006</v>
      </c>
      <c r="H3709" s="313" t="s">
        <v>732</v>
      </c>
      <c r="I3709" s="311" t="str">
        <f t="shared" si="146"/>
        <v>Pesado de Passageiros M3:  : Gasóleo : E3</v>
      </c>
      <c r="J3709">
        <v>79</v>
      </c>
      <c r="K3709" s="422">
        <v>2023</v>
      </c>
      <c r="L3709">
        <v>13404.79</v>
      </c>
      <c r="M3709" t="s">
        <v>630</v>
      </c>
      <c r="N3709">
        <v>44921</v>
      </c>
      <c r="O3709" s="131">
        <f t="shared" si="145"/>
        <v>3548759</v>
      </c>
      <c r="P3709" s="89">
        <v>8323</v>
      </c>
      <c r="Q3709" s="422" t="s">
        <v>47</v>
      </c>
      <c r="R3709" s="422" t="s">
        <v>1869</v>
      </c>
      <c r="S3709" s="422" t="s">
        <v>1861</v>
      </c>
      <c r="T3709" t="s">
        <v>4823</v>
      </c>
      <c r="U3709" s="422" t="s">
        <v>1953</v>
      </c>
      <c r="V3709" s="422" t="s">
        <v>2813</v>
      </c>
    </row>
    <row r="3710" spans="1:22" ht="15.75" thickBot="1" x14ac:dyDescent="0.3">
      <c r="A3710" t="s">
        <v>1916</v>
      </c>
      <c r="B3710" t="s">
        <v>1916</v>
      </c>
      <c r="C3710" s="424" t="str">
        <f t="shared" si="144"/>
        <v>Rodoviária do Alentejo, S.A.</v>
      </c>
      <c r="D3710" t="s">
        <v>629</v>
      </c>
      <c r="F3710" t="s">
        <v>620</v>
      </c>
      <c r="G3710" s="89">
        <v>2006</v>
      </c>
      <c r="H3710" s="313" t="s">
        <v>732</v>
      </c>
      <c r="I3710" s="311" t="str">
        <f t="shared" si="146"/>
        <v>Pesado de Passageiros M3:  : Gasóleo : E3</v>
      </c>
      <c r="J3710">
        <v>79</v>
      </c>
      <c r="K3710" s="422">
        <v>2023</v>
      </c>
      <c r="L3710">
        <v>14738.859999999997</v>
      </c>
      <c r="M3710" t="s">
        <v>630</v>
      </c>
      <c r="N3710">
        <v>47663</v>
      </c>
      <c r="O3710" s="131">
        <f t="shared" si="145"/>
        <v>3765377</v>
      </c>
      <c r="P3710" s="89">
        <v>8324</v>
      </c>
      <c r="Q3710" s="422" t="s">
        <v>47</v>
      </c>
      <c r="R3710" s="422" t="s">
        <v>1869</v>
      </c>
      <c r="S3710" s="422" t="s">
        <v>1861</v>
      </c>
      <c r="T3710" t="s">
        <v>4823</v>
      </c>
      <c r="U3710" s="422" t="s">
        <v>1953</v>
      </c>
      <c r="V3710" s="422" t="s">
        <v>2813</v>
      </c>
    </row>
    <row r="3711" spans="1:22" ht="15.75" thickBot="1" x14ac:dyDescent="0.3">
      <c r="A3711" t="s">
        <v>1916</v>
      </c>
      <c r="B3711" t="s">
        <v>1916</v>
      </c>
      <c r="C3711" s="424" t="str">
        <f t="shared" si="144"/>
        <v>Rodoviária do Alentejo, S.A.</v>
      </c>
      <c r="D3711" t="s">
        <v>629</v>
      </c>
      <c r="F3711" t="s">
        <v>620</v>
      </c>
      <c r="G3711" s="89">
        <v>2006</v>
      </c>
      <c r="H3711" s="313" t="s">
        <v>732</v>
      </c>
      <c r="I3711" s="311" t="str">
        <f t="shared" si="146"/>
        <v>Pesado de Passageiros M3:  : Gasóleo : E3</v>
      </c>
      <c r="J3711">
        <v>79</v>
      </c>
      <c r="K3711" s="422">
        <v>2023</v>
      </c>
      <c r="L3711">
        <v>0</v>
      </c>
      <c r="M3711" t="s">
        <v>630</v>
      </c>
      <c r="N3711">
        <v>0</v>
      </c>
      <c r="O3711" s="131">
        <f t="shared" si="145"/>
        <v>0</v>
      </c>
      <c r="P3711" s="89">
        <v>8325</v>
      </c>
      <c r="Q3711" s="422" t="s">
        <v>47</v>
      </c>
      <c r="R3711" s="422" t="s">
        <v>1869</v>
      </c>
      <c r="S3711" s="422" t="s">
        <v>1861</v>
      </c>
      <c r="T3711" t="s">
        <v>4823</v>
      </c>
      <c r="U3711" s="422" t="s">
        <v>1953</v>
      </c>
      <c r="V3711" s="422" t="s">
        <v>2813</v>
      </c>
    </row>
    <row r="3712" spans="1:22" ht="15.75" thickBot="1" x14ac:dyDescent="0.3">
      <c r="A3712" t="s">
        <v>1916</v>
      </c>
      <c r="B3712" t="s">
        <v>1916</v>
      </c>
      <c r="C3712" s="424" t="str">
        <f t="shared" si="144"/>
        <v>Rodoviária do Alentejo, S.A.</v>
      </c>
      <c r="D3712" t="s">
        <v>629</v>
      </c>
      <c r="F3712" t="s">
        <v>620</v>
      </c>
      <c r="G3712" s="89">
        <v>2006</v>
      </c>
      <c r="H3712" s="313" t="s">
        <v>732</v>
      </c>
      <c r="I3712" s="311" t="str">
        <f t="shared" si="146"/>
        <v>Pesado de Passageiros M3:  : Gasóleo : E3</v>
      </c>
      <c r="J3712">
        <v>78</v>
      </c>
      <c r="K3712" s="422">
        <v>2023</v>
      </c>
      <c r="L3712">
        <v>8587.2999999999993</v>
      </c>
      <c r="M3712" t="s">
        <v>630</v>
      </c>
      <c r="N3712">
        <v>27877</v>
      </c>
      <c r="O3712" s="131">
        <f t="shared" si="145"/>
        <v>2174406</v>
      </c>
      <c r="P3712" s="89">
        <v>8326</v>
      </c>
      <c r="Q3712" s="422" t="s">
        <v>47</v>
      </c>
      <c r="R3712" s="422" t="s">
        <v>1869</v>
      </c>
      <c r="S3712" s="422" t="s">
        <v>1861</v>
      </c>
      <c r="T3712" t="s">
        <v>4825</v>
      </c>
      <c r="U3712" s="422" t="s">
        <v>1953</v>
      </c>
      <c r="V3712" s="422" t="s">
        <v>2813</v>
      </c>
    </row>
    <row r="3713" spans="1:22" ht="15.75" thickBot="1" x14ac:dyDescent="0.3">
      <c r="A3713" t="s">
        <v>1916</v>
      </c>
      <c r="B3713" t="s">
        <v>1916</v>
      </c>
      <c r="C3713" s="424" t="str">
        <f t="shared" si="144"/>
        <v>Rodoviária do Alentejo, S.A.</v>
      </c>
      <c r="D3713" t="s">
        <v>629</v>
      </c>
      <c r="F3713" t="s">
        <v>620</v>
      </c>
      <c r="G3713" s="89">
        <v>2006</v>
      </c>
      <c r="H3713" s="313" t="s">
        <v>732</v>
      </c>
      <c r="I3713" s="311" t="str">
        <f t="shared" si="146"/>
        <v>Pesado de Passageiros M3:  : Gasóleo : E3</v>
      </c>
      <c r="J3713">
        <v>78</v>
      </c>
      <c r="K3713" s="422">
        <v>2023</v>
      </c>
      <c r="L3713">
        <v>12531.060000000001</v>
      </c>
      <c r="M3713" t="s">
        <v>630</v>
      </c>
      <c r="N3713">
        <v>35968</v>
      </c>
      <c r="O3713" s="131">
        <f t="shared" si="145"/>
        <v>2805504</v>
      </c>
      <c r="P3713" s="89">
        <v>8327</v>
      </c>
      <c r="Q3713" s="422" t="s">
        <v>47</v>
      </c>
      <c r="R3713" s="422" t="s">
        <v>1869</v>
      </c>
      <c r="S3713" s="422" t="s">
        <v>1861</v>
      </c>
      <c r="T3713" t="s">
        <v>4825</v>
      </c>
      <c r="U3713" s="422" t="s">
        <v>1953</v>
      </c>
      <c r="V3713" s="422" t="s">
        <v>2813</v>
      </c>
    </row>
    <row r="3714" spans="1:22" ht="15.75" thickBot="1" x14ac:dyDescent="0.3">
      <c r="A3714" t="s">
        <v>1916</v>
      </c>
      <c r="B3714" t="s">
        <v>1916</v>
      </c>
      <c r="C3714" s="424" t="str">
        <f t="shared" si="144"/>
        <v>Rodoviária do Alentejo, S.A.</v>
      </c>
      <c r="D3714" t="s">
        <v>629</v>
      </c>
      <c r="F3714" t="s">
        <v>620</v>
      </c>
      <c r="G3714" s="89">
        <v>2004</v>
      </c>
      <c r="H3714" s="313" t="s">
        <v>732</v>
      </c>
      <c r="I3714" s="311" t="str">
        <f t="shared" si="146"/>
        <v>Pesado de Passageiros M3:  : Gasóleo : E3</v>
      </c>
      <c r="J3714">
        <v>68</v>
      </c>
      <c r="K3714" s="422">
        <v>2023</v>
      </c>
      <c r="L3714">
        <v>17880.240000000005</v>
      </c>
      <c r="M3714" t="s">
        <v>630</v>
      </c>
      <c r="N3714">
        <v>55880</v>
      </c>
      <c r="O3714" s="131">
        <f t="shared" si="145"/>
        <v>3799840</v>
      </c>
      <c r="P3714" s="89">
        <v>8328</v>
      </c>
      <c r="Q3714" s="422" t="s">
        <v>47</v>
      </c>
      <c r="R3714" s="422" t="s">
        <v>1869</v>
      </c>
      <c r="S3714" s="422" t="s">
        <v>1861</v>
      </c>
      <c r="T3714" t="s">
        <v>4823</v>
      </c>
      <c r="U3714" s="422" t="s">
        <v>1953</v>
      </c>
      <c r="V3714" s="422" t="s">
        <v>2813</v>
      </c>
    </row>
    <row r="3715" spans="1:22" ht="15.75" thickBot="1" x14ac:dyDescent="0.3">
      <c r="A3715" t="s">
        <v>1916</v>
      </c>
      <c r="B3715" t="s">
        <v>1916</v>
      </c>
      <c r="C3715" s="424" t="str">
        <f t="shared" si="144"/>
        <v>Rodoviária do Alentejo, S.A.</v>
      </c>
      <c r="D3715" t="s">
        <v>629</v>
      </c>
      <c r="F3715" t="s">
        <v>620</v>
      </c>
      <c r="G3715" s="89">
        <v>2003</v>
      </c>
      <c r="H3715" s="313" t="s">
        <v>732</v>
      </c>
      <c r="I3715" s="311" t="str">
        <f t="shared" si="146"/>
        <v>Pesado de Passageiros M3:  : Gasóleo : E3</v>
      </c>
      <c r="J3715">
        <v>70</v>
      </c>
      <c r="K3715" s="422">
        <v>2023</v>
      </c>
      <c r="L3715">
        <v>13573.69</v>
      </c>
      <c r="M3715" t="s">
        <v>630</v>
      </c>
      <c r="N3715">
        <v>45497</v>
      </c>
      <c r="O3715" s="131">
        <f t="shared" si="145"/>
        <v>3184790</v>
      </c>
      <c r="P3715" s="89">
        <v>8329</v>
      </c>
      <c r="Q3715" s="422" t="s">
        <v>47</v>
      </c>
      <c r="R3715" s="422" t="s">
        <v>1869</v>
      </c>
      <c r="S3715" s="422" t="s">
        <v>1861</v>
      </c>
      <c r="T3715" t="s">
        <v>4823</v>
      </c>
      <c r="U3715" s="422" t="s">
        <v>1953</v>
      </c>
      <c r="V3715" s="422" t="s">
        <v>2813</v>
      </c>
    </row>
    <row r="3716" spans="1:22" ht="15.75" thickBot="1" x14ac:dyDescent="0.3">
      <c r="A3716" t="s">
        <v>1916</v>
      </c>
      <c r="B3716" t="s">
        <v>1916</v>
      </c>
      <c r="C3716" s="424" t="str">
        <f t="shared" si="144"/>
        <v>Rodoviária do Alentejo, S.A.</v>
      </c>
      <c r="D3716" t="s">
        <v>629</v>
      </c>
      <c r="F3716" t="s">
        <v>620</v>
      </c>
      <c r="G3716" s="89">
        <v>2021</v>
      </c>
      <c r="H3716" s="313" t="s">
        <v>733</v>
      </c>
      <c r="I3716" s="311" t="str">
        <f t="shared" si="146"/>
        <v>Pesado de Passageiros M3:  : Gasóleo : E6</v>
      </c>
      <c r="J3716">
        <v>27</v>
      </c>
      <c r="K3716" s="422">
        <v>2023</v>
      </c>
      <c r="L3716">
        <v>5870.73</v>
      </c>
      <c r="M3716" t="s">
        <v>630</v>
      </c>
      <c r="N3716">
        <v>41493</v>
      </c>
      <c r="O3716" s="131">
        <f t="shared" si="145"/>
        <v>1120311</v>
      </c>
      <c r="P3716" s="89">
        <v>8332</v>
      </c>
      <c r="Q3716" s="422" t="s">
        <v>47</v>
      </c>
      <c r="R3716" s="422" t="s">
        <v>1869</v>
      </c>
      <c r="S3716" s="422" t="s">
        <v>1861</v>
      </c>
      <c r="T3716" t="s">
        <v>4823</v>
      </c>
      <c r="U3716" s="422" t="s">
        <v>1953</v>
      </c>
      <c r="V3716" s="422" t="s">
        <v>2813</v>
      </c>
    </row>
    <row r="3717" spans="1:22" ht="15.75" thickBot="1" x14ac:dyDescent="0.3">
      <c r="A3717" t="s">
        <v>1916</v>
      </c>
      <c r="B3717" t="s">
        <v>1916</v>
      </c>
      <c r="C3717" s="424" t="str">
        <f t="shared" si="144"/>
        <v>Rodoviária do Alentejo, S.A.</v>
      </c>
      <c r="D3717" t="s">
        <v>629</v>
      </c>
      <c r="F3717" t="s">
        <v>620</v>
      </c>
      <c r="G3717" s="89">
        <v>2008</v>
      </c>
      <c r="H3717" s="313" t="s">
        <v>731</v>
      </c>
      <c r="I3717" s="311" t="str">
        <f t="shared" si="146"/>
        <v>Pesado de Passageiros M3:  : Gasóleo : E4</v>
      </c>
      <c r="J3717">
        <v>106</v>
      </c>
      <c r="K3717" s="422">
        <v>2023</v>
      </c>
      <c r="L3717">
        <v>11189.189999999999</v>
      </c>
      <c r="M3717" t="s">
        <v>630</v>
      </c>
      <c r="N3717">
        <v>30289</v>
      </c>
      <c r="O3717" s="131">
        <f t="shared" si="145"/>
        <v>3210634</v>
      </c>
      <c r="P3717" s="89">
        <v>8333</v>
      </c>
      <c r="Q3717" s="422" t="s">
        <v>47</v>
      </c>
      <c r="R3717" s="422" t="s">
        <v>1869</v>
      </c>
      <c r="S3717" s="422" t="s">
        <v>1861</v>
      </c>
      <c r="T3717" t="s">
        <v>4823</v>
      </c>
      <c r="U3717" s="422" t="s">
        <v>1953</v>
      </c>
      <c r="V3717" s="422" t="s">
        <v>2813</v>
      </c>
    </row>
    <row r="3718" spans="1:22" ht="15.75" thickBot="1" x14ac:dyDescent="0.3">
      <c r="A3718" t="s">
        <v>1916</v>
      </c>
      <c r="B3718" t="s">
        <v>1916</v>
      </c>
      <c r="C3718" s="424" t="str">
        <f t="shared" si="144"/>
        <v>Rodoviária do Alentejo, S.A.</v>
      </c>
      <c r="D3718" t="s">
        <v>629</v>
      </c>
      <c r="F3718" t="s">
        <v>620</v>
      </c>
      <c r="G3718" s="89">
        <v>2004</v>
      </c>
      <c r="H3718" s="313" t="s">
        <v>732</v>
      </c>
      <c r="I3718" s="311" t="str">
        <f t="shared" si="146"/>
        <v>Pesado de Passageiros M3:  : Gasóleo : E3</v>
      </c>
      <c r="J3718">
        <v>92</v>
      </c>
      <c r="K3718" s="422">
        <v>2023</v>
      </c>
      <c r="L3718">
        <v>5348.9900000000007</v>
      </c>
      <c r="M3718" t="s">
        <v>630</v>
      </c>
      <c r="N3718">
        <v>14175</v>
      </c>
      <c r="O3718" s="131">
        <f t="shared" si="145"/>
        <v>1304100</v>
      </c>
      <c r="P3718" s="89">
        <v>8336</v>
      </c>
      <c r="Q3718" s="422" t="s">
        <v>47</v>
      </c>
      <c r="R3718" s="422" t="s">
        <v>1869</v>
      </c>
      <c r="S3718" s="422" t="s">
        <v>1861</v>
      </c>
      <c r="T3718" t="s">
        <v>4823</v>
      </c>
      <c r="U3718" s="422" t="s">
        <v>1953</v>
      </c>
      <c r="V3718" s="422" t="s">
        <v>2813</v>
      </c>
    </row>
    <row r="3719" spans="1:22" ht="15.75" thickBot="1" x14ac:dyDescent="0.3">
      <c r="A3719" t="s">
        <v>1916</v>
      </c>
      <c r="B3719" t="s">
        <v>1916</v>
      </c>
      <c r="C3719" s="424" t="str">
        <f t="shared" si="144"/>
        <v>Rodoviária do Alentejo, S.A.</v>
      </c>
      <c r="D3719" t="s">
        <v>629</v>
      </c>
      <c r="F3719" t="s">
        <v>620</v>
      </c>
      <c r="G3719" s="89">
        <v>2011</v>
      </c>
      <c r="H3719" s="313" t="s">
        <v>731</v>
      </c>
      <c r="I3719" s="311" t="str">
        <f t="shared" si="146"/>
        <v>Pesado de Passageiros M3:  : Gasóleo : E4</v>
      </c>
      <c r="J3719">
        <v>70</v>
      </c>
      <c r="K3719" s="422">
        <v>2023</v>
      </c>
      <c r="L3719">
        <v>14295.7</v>
      </c>
      <c r="M3719" t="s">
        <v>630</v>
      </c>
      <c r="N3719">
        <v>41025</v>
      </c>
      <c r="O3719" s="131">
        <f t="shared" si="145"/>
        <v>2871750</v>
      </c>
      <c r="P3719" s="89">
        <v>8337</v>
      </c>
      <c r="Q3719" s="422" t="s">
        <v>47</v>
      </c>
      <c r="R3719" s="422" t="s">
        <v>1869</v>
      </c>
      <c r="S3719" s="422" t="s">
        <v>1861</v>
      </c>
      <c r="T3719" t="s">
        <v>4823</v>
      </c>
      <c r="U3719" s="422" t="s">
        <v>1953</v>
      </c>
      <c r="V3719" s="422" t="s">
        <v>2813</v>
      </c>
    </row>
    <row r="3720" spans="1:22" ht="15.75" thickBot="1" x14ac:dyDescent="0.3">
      <c r="A3720" t="s">
        <v>1916</v>
      </c>
      <c r="B3720" t="s">
        <v>1916</v>
      </c>
      <c r="C3720" s="424" t="str">
        <f t="shared" si="144"/>
        <v>Rodoviária do Alentejo, S.A.</v>
      </c>
      <c r="D3720" t="s">
        <v>629</v>
      </c>
      <c r="F3720" t="s">
        <v>620</v>
      </c>
      <c r="G3720" s="89">
        <v>2010</v>
      </c>
      <c r="H3720" s="313" t="s">
        <v>731</v>
      </c>
      <c r="I3720" s="311" t="str">
        <f t="shared" si="146"/>
        <v>Pesado de Passageiros M3:  : Gasóleo : E4</v>
      </c>
      <c r="J3720">
        <v>116</v>
      </c>
      <c r="K3720" s="422">
        <v>2023</v>
      </c>
      <c r="L3720">
        <v>20008.28</v>
      </c>
      <c r="M3720" t="s">
        <v>630</v>
      </c>
      <c r="N3720">
        <v>61237</v>
      </c>
      <c r="O3720" s="131">
        <f t="shared" si="145"/>
        <v>7103492</v>
      </c>
      <c r="P3720" s="89">
        <v>8338</v>
      </c>
      <c r="Q3720" s="422" t="s">
        <v>47</v>
      </c>
      <c r="R3720" s="422" t="s">
        <v>1869</v>
      </c>
      <c r="S3720" s="422" t="s">
        <v>1861</v>
      </c>
      <c r="T3720" t="s">
        <v>4823</v>
      </c>
      <c r="U3720" s="422" t="s">
        <v>1953</v>
      </c>
      <c r="V3720" s="422" t="s">
        <v>2813</v>
      </c>
    </row>
    <row r="3721" spans="1:22" ht="15.75" thickBot="1" x14ac:dyDescent="0.3">
      <c r="A3721" t="s">
        <v>1916</v>
      </c>
      <c r="B3721" t="s">
        <v>1916</v>
      </c>
      <c r="C3721" s="424" t="str">
        <f t="shared" si="144"/>
        <v>Rodoviária do Alentejo, S.A.</v>
      </c>
      <c r="D3721" t="s">
        <v>629</v>
      </c>
      <c r="F3721" t="s">
        <v>620</v>
      </c>
      <c r="G3721" s="89">
        <v>2008</v>
      </c>
      <c r="H3721" s="313" t="s">
        <v>731</v>
      </c>
      <c r="I3721" s="311" t="str">
        <f t="shared" si="146"/>
        <v>Pesado de Passageiros M3:  : Gasóleo : E4</v>
      </c>
      <c r="J3721">
        <v>85</v>
      </c>
      <c r="K3721" s="422">
        <v>2023</v>
      </c>
      <c r="L3721">
        <v>17015.649999999998</v>
      </c>
      <c r="M3721" t="s">
        <v>630</v>
      </c>
      <c r="N3721">
        <v>52234</v>
      </c>
      <c r="O3721" s="131">
        <f t="shared" si="145"/>
        <v>4439890</v>
      </c>
      <c r="P3721" s="89">
        <v>8339</v>
      </c>
      <c r="Q3721" s="422" t="s">
        <v>47</v>
      </c>
      <c r="R3721" s="422" t="s">
        <v>1869</v>
      </c>
      <c r="S3721" s="422" t="s">
        <v>1861</v>
      </c>
      <c r="T3721" t="s">
        <v>4823</v>
      </c>
      <c r="U3721" s="422" t="s">
        <v>1953</v>
      </c>
      <c r="V3721" s="422" t="s">
        <v>2813</v>
      </c>
    </row>
    <row r="3722" spans="1:22" ht="15.75" thickBot="1" x14ac:dyDescent="0.3">
      <c r="A3722" t="s">
        <v>1916</v>
      </c>
      <c r="B3722" t="s">
        <v>1916</v>
      </c>
      <c r="C3722" s="424" t="str">
        <f t="shared" si="144"/>
        <v>Rodoviária do Alentejo, S.A.</v>
      </c>
      <c r="D3722" t="s">
        <v>629</v>
      </c>
      <c r="F3722" t="s">
        <v>620</v>
      </c>
      <c r="G3722" s="89">
        <v>2008</v>
      </c>
      <c r="H3722" s="313" t="s">
        <v>731</v>
      </c>
      <c r="I3722" s="311" t="str">
        <f t="shared" si="146"/>
        <v>Pesado de Passageiros M3:  : Gasóleo : E4</v>
      </c>
      <c r="J3722">
        <v>57</v>
      </c>
      <c r="K3722" s="422">
        <v>2023</v>
      </c>
      <c r="L3722">
        <v>21612.7</v>
      </c>
      <c r="M3722" t="s">
        <v>630</v>
      </c>
      <c r="N3722">
        <v>61807</v>
      </c>
      <c r="O3722" s="131">
        <f t="shared" si="145"/>
        <v>3522999</v>
      </c>
      <c r="P3722" s="89">
        <v>8340</v>
      </c>
      <c r="Q3722" s="422" t="s">
        <v>47</v>
      </c>
      <c r="R3722" s="422" t="s">
        <v>1869</v>
      </c>
      <c r="S3722" s="422" t="s">
        <v>1861</v>
      </c>
      <c r="T3722" t="s">
        <v>4823</v>
      </c>
      <c r="U3722" s="422" t="s">
        <v>1953</v>
      </c>
      <c r="V3722" s="422" t="s">
        <v>2813</v>
      </c>
    </row>
    <row r="3723" spans="1:22" ht="15.75" thickBot="1" x14ac:dyDescent="0.3">
      <c r="A3723" t="s">
        <v>1916</v>
      </c>
      <c r="B3723" t="s">
        <v>1916</v>
      </c>
      <c r="C3723" s="424" t="str">
        <f t="shared" si="144"/>
        <v>Rodoviária do Alentejo, S.A.</v>
      </c>
      <c r="D3723" t="s">
        <v>629</v>
      </c>
      <c r="F3723" t="s">
        <v>620</v>
      </c>
      <c r="G3723" s="89">
        <v>2005</v>
      </c>
      <c r="H3723" s="313" t="s">
        <v>732</v>
      </c>
      <c r="I3723" s="311" t="str">
        <f t="shared" si="146"/>
        <v>Pesado de Passageiros M3:  : Gasóleo : E3</v>
      </c>
      <c r="J3723">
        <v>93</v>
      </c>
      <c r="K3723" s="422">
        <v>2023</v>
      </c>
      <c r="L3723">
        <v>18173.439999999999</v>
      </c>
      <c r="M3723" t="s">
        <v>630</v>
      </c>
      <c r="N3723">
        <v>57245</v>
      </c>
      <c r="O3723" s="131">
        <f t="shared" si="145"/>
        <v>5323785</v>
      </c>
      <c r="P3723" s="89">
        <v>8341</v>
      </c>
      <c r="Q3723" s="422" t="s">
        <v>47</v>
      </c>
      <c r="R3723" s="422" t="s">
        <v>1869</v>
      </c>
      <c r="S3723" s="422" t="s">
        <v>1861</v>
      </c>
      <c r="T3723" t="s">
        <v>4823</v>
      </c>
      <c r="U3723" s="422" t="s">
        <v>1953</v>
      </c>
      <c r="V3723" s="422" t="s">
        <v>2813</v>
      </c>
    </row>
    <row r="3724" spans="1:22" ht="15.75" thickBot="1" x14ac:dyDescent="0.3">
      <c r="A3724" t="s">
        <v>1916</v>
      </c>
      <c r="B3724" t="s">
        <v>1916</v>
      </c>
      <c r="C3724" s="424" t="str">
        <f t="shared" si="144"/>
        <v>Rodoviária do Alentejo, S.A.</v>
      </c>
      <c r="D3724" t="s">
        <v>629</v>
      </c>
      <c r="F3724" t="s">
        <v>620</v>
      </c>
      <c r="G3724" s="89">
        <v>2008</v>
      </c>
      <c r="H3724" s="313" t="s">
        <v>731</v>
      </c>
      <c r="I3724" s="311" t="str">
        <f t="shared" si="146"/>
        <v>Pesado de Passageiros M3:  : Gasóleo : E4</v>
      </c>
      <c r="J3724">
        <v>57</v>
      </c>
      <c r="K3724" s="422">
        <v>2023</v>
      </c>
      <c r="L3724">
        <v>15848.529999999999</v>
      </c>
      <c r="M3724" t="s">
        <v>630</v>
      </c>
      <c r="N3724">
        <v>49941</v>
      </c>
      <c r="O3724" s="131">
        <f t="shared" si="145"/>
        <v>2846637</v>
      </c>
      <c r="P3724" s="89">
        <v>8343</v>
      </c>
      <c r="Q3724" s="422" t="s">
        <v>47</v>
      </c>
      <c r="R3724" s="422" t="s">
        <v>1869</v>
      </c>
      <c r="S3724" s="422" t="s">
        <v>1861</v>
      </c>
      <c r="T3724" t="s">
        <v>4823</v>
      </c>
      <c r="U3724" s="422" t="s">
        <v>1953</v>
      </c>
      <c r="V3724" s="422" t="s">
        <v>2813</v>
      </c>
    </row>
    <row r="3725" spans="1:22" ht="15.75" thickBot="1" x14ac:dyDescent="0.3">
      <c r="A3725" t="s">
        <v>1916</v>
      </c>
      <c r="B3725" t="s">
        <v>1916</v>
      </c>
      <c r="C3725" s="424" t="str">
        <f t="shared" si="144"/>
        <v>Rodoviária do Alentejo, S.A.</v>
      </c>
      <c r="D3725" t="s">
        <v>629</v>
      </c>
      <c r="F3725" t="s">
        <v>620</v>
      </c>
      <c r="G3725" s="89">
        <v>2009</v>
      </c>
      <c r="H3725" s="313" t="s">
        <v>731</v>
      </c>
      <c r="I3725" s="311" t="str">
        <f t="shared" si="146"/>
        <v>Pesado de Passageiros M3:  : Gasóleo : E4</v>
      </c>
      <c r="J3725">
        <v>100</v>
      </c>
      <c r="K3725" s="422">
        <v>2023</v>
      </c>
      <c r="L3725">
        <v>14885.59</v>
      </c>
      <c r="M3725" t="s">
        <v>630</v>
      </c>
      <c r="N3725">
        <v>43305</v>
      </c>
      <c r="O3725" s="131">
        <f t="shared" si="145"/>
        <v>4330500</v>
      </c>
      <c r="P3725" s="89">
        <v>8344</v>
      </c>
      <c r="Q3725" s="422" t="s">
        <v>47</v>
      </c>
      <c r="R3725" s="422" t="s">
        <v>1869</v>
      </c>
      <c r="S3725" s="422" t="s">
        <v>1861</v>
      </c>
      <c r="T3725" t="s">
        <v>4823</v>
      </c>
      <c r="U3725" s="422" t="s">
        <v>1953</v>
      </c>
      <c r="V3725" s="422" t="s">
        <v>2813</v>
      </c>
    </row>
    <row r="3726" spans="1:22" ht="15.75" thickBot="1" x14ac:dyDescent="0.3">
      <c r="A3726" t="s">
        <v>1916</v>
      </c>
      <c r="B3726" t="s">
        <v>1916</v>
      </c>
      <c r="C3726" s="424" t="str">
        <f t="shared" si="144"/>
        <v>Rodoviária do Alentejo, S.A.</v>
      </c>
      <c r="D3726" t="s">
        <v>629</v>
      </c>
      <c r="F3726" t="s">
        <v>620</v>
      </c>
      <c r="G3726" s="89">
        <v>2009</v>
      </c>
      <c r="H3726" s="313" t="s">
        <v>731</v>
      </c>
      <c r="I3726" s="311" t="str">
        <f t="shared" si="146"/>
        <v>Pesado de Passageiros M3:  : Gasóleo : E4</v>
      </c>
      <c r="J3726">
        <v>100</v>
      </c>
      <c r="K3726" s="422">
        <v>2023</v>
      </c>
      <c r="L3726">
        <v>13493.22</v>
      </c>
      <c r="M3726" t="s">
        <v>630</v>
      </c>
      <c r="N3726">
        <v>36899</v>
      </c>
      <c r="O3726" s="131">
        <f t="shared" si="145"/>
        <v>3689900</v>
      </c>
      <c r="P3726" s="89">
        <v>8347</v>
      </c>
      <c r="Q3726" s="422" t="s">
        <v>47</v>
      </c>
      <c r="R3726" s="422" t="s">
        <v>1869</v>
      </c>
      <c r="S3726" s="422" t="s">
        <v>1861</v>
      </c>
      <c r="T3726" t="s">
        <v>4823</v>
      </c>
      <c r="U3726" s="422" t="s">
        <v>1953</v>
      </c>
      <c r="V3726" s="422" t="s">
        <v>2813</v>
      </c>
    </row>
    <row r="3727" spans="1:22" ht="15.75" thickBot="1" x14ac:dyDescent="0.3">
      <c r="A3727" t="s">
        <v>1916</v>
      </c>
      <c r="B3727" t="s">
        <v>1916</v>
      </c>
      <c r="C3727" s="424" t="str">
        <f t="shared" si="144"/>
        <v>Rodoviária do Alentejo, S.A.</v>
      </c>
      <c r="D3727" t="s">
        <v>629</v>
      </c>
      <c r="F3727" t="s">
        <v>620</v>
      </c>
      <c r="G3727" s="89">
        <v>2004</v>
      </c>
      <c r="H3727" s="313" t="s">
        <v>732</v>
      </c>
      <c r="I3727" s="311" t="str">
        <f t="shared" si="146"/>
        <v>Pesado de Passageiros M3:  : Gasóleo : E3</v>
      </c>
      <c r="J3727">
        <v>106</v>
      </c>
      <c r="K3727" s="422">
        <v>2023</v>
      </c>
      <c r="L3727">
        <v>6578.9199999999992</v>
      </c>
      <c r="M3727" t="s">
        <v>630</v>
      </c>
      <c r="N3727">
        <v>16166</v>
      </c>
      <c r="O3727" s="131">
        <f t="shared" si="145"/>
        <v>1713596</v>
      </c>
      <c r="P3727" s="89">
        <v>8348</v>
      </c>
      <c r="Q3727" s="422" t="s">
        <v>47</v>
      </c>
      <c r="R3727" s="422" t="s">
        <v>1869</v>
      </c>
      <c r="S3727" s="422" t="s">
        <v>1861</v>
      </c>
      <c r="T3727" t="s">
        <v>4823</v>
      </c>
      <c r="U3727" s="422" t="s">
        <v>1953</v>
      </c>
      <c r="V3727" s="422" t="s">
        <v>2813</v>
      </c>
    </row>
    <row r="3728" spans="1:22" ht="15.75" thickBot="1" x14ac:dyDescent="0.3">
      <c r="A3728" t="s">
        <v>1916</v>
      </c>
      <c r="B3728" t="s">
        <v>1916</v>
      </c>
      <c r="C3728" s="424" t="str">
        <f t="shared" si="144"/>
        <v>Rodoviária do Alentejo, S.A.</v>
      </c>
      <c r="D3728" t="s">
        <v>629</v>
      </c>
      <c r="F3728" t="s">
        <v>620</v>
      </c>
      <c r="G3728" s="89">
        <v>2009</v>
      </c>
      <c r="H3728" s="313" t="s">
        <v>731</v>
      </c>
      <c r="I3728" s="311" t="str">
        <f t="shared" si="146"/>
        <v>Pesado de Passageiros M3:  : Gasóleo : E4</v>
      </c>
      <c r="J3728">
        <v>100</v>
      </c>
      <c r="K3728" s="422">
        <v>2023</v>
      </c>
      <c r="L3728">
        <v>9625.1400000000012</v>
      </c>
      <c r="M3728" t="s">
        <v>630</v>
      </c>
      <c r="N3728">
        <v>24965</v>
      </c>
      <c r="O3728" s="131">
        <f t="shared" si="145"/>
        <v>2496500</v>
      </c>
      <c r="P3728" s="89">
        <v>8349</v>
      </c>
      <c r="Q3728" s="422" t="s">
        <v>47</v>
      </c>
      <c r="R3728" s="422" t="s">
        <v>1869</v>
      </c>
      <c r="S3728" s="422" t="s">
        <v>1861</v>
      </c>
      <c r="T3728" t="s">
        <v>4823</v>
      </c>
      <c r="U3728" s="422" t="s">
        <v>1953</v>
      </c>
      <c r="V3728" s="422" t="s">
        <v>2813</v>
      </c>
    </row>
    <row r="3729" spans="1:22" ht="15.75" thickBot="1" x14ac:dyDescent="0.3">
      <c r="A3729" t="s">
        <v>1916</v>
      </c>
      <c r="B3729" t="s">
        <v>1916</v>
      </c>
      <c r="C3729" s="424" t="str">
        <f t="shared" si="144"/>
        <v>Rodoviária do Alentejo, S.A.</v>
      </c>
      <c r="D3729" t="s">
        <v>629</v>
      </c>
      <c r="F3729" t="s">
        <v>620</v>
      </c>
      <c r="G3729" s="89">
        <v>2003</v>
      </c>
      <c r="H3729" s="313" t="s">
        <v>732</v>
      </c>
      <c r="I3729" s="311" t="str">
        <f t="shared" si="146"/>
        <v>Pesado de Passageiros M3:  : Gasóleo : E3</v>
      </c>
      <c r="J3729">
        <v>72</v>
      </c>
      <c r="K3729" s="422">
        <v>2023</v>
      </c>
      <c r="L3729">
        <v>16439.14</v>
      </c>
      <c r="M3729" t="s">
        <v>630</v>
      </c>
      <c r="N3729">
        <v>52577</v>
      </c>
      <c r="O3729" s="131">
        <f t="shared" si="145"/>
        <v>3785544</v>
      </c>
      <c r="P3729" s="89">
        <v>8350</v>
      </c>
      <c r="Q3729" s="422" t="s">
        <v>47</v>
      </c>
      <c r="R3729" s="422" t="s">
        <v>1869</v>
      </c>
      <c r="S3729" s="422" t="s">
        <v>1861</v>
      </c>
      <c r="T3729" t="s">
        <v>4823</v>
      </c>
      <c r="U3729" s="422" t="s">
        <v>1953</v>
      </c>
      <c r="V3729" s="422" t="s">
        <v>2813</v>
      </c>
    </row>
    <row r="3730" spans="1:22" ht="15.75" thickBot="1" x14ac:dyDescent="0.3">
      <c r="A3730" t="s">
        <v>1916</v>
      </c>
      <c r="B3730" t="s">
        <v>1916</v>
      </c>
      <c r="C3730" s="424" t="str">
        <f t="shared" si="144"/>
        <v>Rodoviária do Alentejo, S.A.</v>
      </c>
      <c r="D3730" t="s">
        <v>629</v>
      </c>
      <c r="F3730" t="s">
        <v>620</v>
      </c>
      <c r="G3730" s="89">
        <v>2008</v>
      </c>
      <c r="H3730" s="313" t="s">
        <v>731</v>
      </c>
      <c r="I3730" s="311" t="str">
        <f t="shared" si="146"/>
        <v>Pesado de Passageiros M3:  : Gasóleo : E4</v>
      </c>
      <c r="J3730">
        <v>83</v>
      </c>
      <c r="K3730" s="422">
        <v>2023</v>
      </c>
      <c r="L3730">
        <v>21392.11</v>
      </c>
      <c r="M3730" t="s">
        <v>630</v>
      </c>
      <c r="N3730">
        <v>68674</v>
      </c>
      <c r="O3730" s="131">
        <f t="shared" si="145"/>
        <v>5699942</v>
      </c>
      <c r="P3730" s="89">
        <v>8351</v>
      </c>
      <c r="Q3730" s="422" t="s">
        <v>47</v>
      </c>
      <c r="R3730" s="422" t="s">
        <v>1869</v>
      </c>
      <c r="S3730" s="422" t="s">
        <v>1861</v>
      </c>
      <c r="T3730" t="s">
        <v>4823</v>
      </c>
      <c r="U3730" s="422" t="s">
        <v>1953</v>
      </c>
      <c r="V3730" s="422" t="s">
        <v>2813</v>
      </c>
    </row>
    <row r="3731" spans="1:22" ht="15.75" thickBot="1" x14ac:dyDescent="0.3">
      <c r="A3731" t="s">
        <v>1916</v>
      </c>
      <c r="B3731" t="s">
        <v>1916</v>
      </c>
      <c r="C3731" s="424" t="str">
        <f t="shared" si="144"/>
        <v>Rodoviária do Alentejo, S.A.</v>
      </c>
      <c r="D3731" t="s">
        <v>629</v>
      </c>
      <c r="F3731" t="s">
        <v>620</v>
      </c>
      <c r="G3731" s="89">
        <v>2009</v>
      </c>
      <c r="H3731" s="313" t="s">
        <v>731</v>
      </c>
      <c r="I3731" s="311" t="str">
        <f t="shared" si="146"/>
        <v>Pesado de Passageiros M3:  : Gasóleo : E4</v>
      </c>
      <c r="J3731">
        <v>100</v>
      </c>
      <c r="K3731" s="422">
        <v>2023</v>
      </c>
      <c r="L3731">
        <v>17967.89</v>
      </c>
      <c r="M3731" t="s">
        <v>630</v>
      </c>
      <c r="N3731">
        <v>41735</v>
      </c>
      <c r="O3731" s="131">
        <f t="shared" si="145"/>
        <v>4173500</v>
      </c>
      <c r="P3731" s="89">
        <v>8352</v>
      </c>
      <c r="Q3731" s="422" t="s">
        <v>47</v>
      </c>
      <c r="R3731" s="422" t="s">
        <v>1869</v>
      </c>
      <c r="S3731" s="422" t="s">
        <v>1861</v>
      </c>
      <c r="T3731" t="s">
        <v>4823</v>
      </c>
      <c r="U3731" s="422" t="s">
        <v>1953</v>
      </c>
      <c r="V3731" s="422" t="s">
        <v>2813</v>
      </c>
    </row>
    <row r="3732" spans="1:22" ht="15.75" thickBot="1" x14ac:dyDescent="0.3">
      <c r="A3732" t="s">
        <v>1916</v>
      </c>
      <c r="B3732" t="s">
        <v>1916</v>
      </c>
      <c r="C3732" s="424" t="str">
        <f t="shared" si="144"/>
        <v>Rodoviária do Alentejo, S.A.</v>
      </c>
      <c r="D3732" t="s">
        <v>629</v>
      </c>
      <c r="F3732" t="s">
        <v>620</v>
      </c>
      <c r="G3732" s="89">
        <v>2009</v>
      </c>
      <c r="H3732" s="313" t="s">
        <v>731</v>
      </c>
      <c r="I3732" s="311" t="str">
        <f t="shared" si="146"/>
        <v>Pesado de Passageiros M3:  : Gasóleo : E4</v>
      </c>
      <c r="J3732">
        <v>21</v>
      </c>
      <c r="K3732" s="422">
        <v>2023</v>
      </c>
      <c r="L3732">
        <v>2197.96</v>
      </c>
      <c r="M3732" t="s">
        <v>630</v>
      </c>
      <c r="N3732">
        <v>9550</v>
      </c>
      <c r="O3732" s="131">
        <f t="shared" si="145"/>
        <v>200550</v>
      </c>
      <c r="P3732" s="89">
        <v>8353</v>
      </c>
      <c r="Q3732" s="422" t="s">
        <v>47</v>
      </c>
      <c r="R3732" s="422" t="s">
        <v>1869</v>
      </c>
      <c r="S3732" s="422" t="s">
        <v>1861</v>
      </c>
      <c r="T3732" t="s">
        <v>4823</v>
      </c>
      <c r="U3732" s="422" t="s">
        <v>1953</v>
      </c>
      <c r="V3732" s="422" t="s">
        <v>2813</v>
      </c>
    </row>
    <row r="3733" spans="1:22" ht="15.75" thickBot="1" x14ac:dyDescent="0.3">
      <c r="A3733" t="s">
        <v>1916</v>
      </c>
      <c r="B3733" t="s">
        <v>1916</v>
      </c>
      <c r="C3733" s="424" t="str">
        <f t="shared" si="144"/>
        <v>Rodoviária do Alentejo, S.A.</v>
      </c>
      <c r="D3733" t="s">
        <v>629</v>
      </c>
      <c r="F3733" t="s">
        <v>620</v>
      </c>
      <c r="G3733" s="89">
        <v>2002</v>
      </c>
      <c r="H3733" s="313" t="s">
        <v>732</v>
      </c>
      <c r="I3733" s="311" t="str">
        <f t="shared" si="146"/>
        <v>Pesado de Passageiros M3:  : Gasóleo : E3</v>
      </c>
      <c r="J3733">
        <v>76</v>
      </c>
      <c r="K3733" s="422">
        <v>2023</v>
      </c>
      <c r="L3733">
        <v>13102.65</v>
      </c>
      <c r="M3733" t="s">
        <v>630</v>
      </c>
      <c r="N3733">
        <v>43992</v>
      </c>
      <c r="O3733" s="131">
        <f t="shared" si="145"/>
        <v>3343392</v>
      </c>
      <c r="P3733" s="89">
        <v>8355</v>
      </c>
      <c r="Q3733" s="422" t="s">
        <v>47</v>
      </c>
      <c r="R3733" s="422" t="s">
        <v>1869</v>
      </c>
      <c r="S3733" s="422" t="s">
        <v>1861</v>
      </c>
      <c r="T3733" t="s">
        <v>4825</v>
      </c>
      <c r="U3733" s="422" t="s">
        <v>1953</v>
      </c>
      <c r="V3733" s="422" t="s">
        <v>2813</v>
      </c>
    </row>
    <row r="3734" spans="1:22" ht="15.75" thickBot="1" x14ac:dyDescent="0.3">
      <c r="A3734" t="s">
        <v>1916</v>
      </c>
      <c r="B3734" t="s">
        <v>1916</v>
      </c>
      <c r="C3734" s="424" t="str">
        <f t="shared" si="144"/>
        <v>Rodoviária do Alentejo, S.A.</v>
      </c>
      <c r="D3734" t="s">
        <v>629</v>
      </c>
      <c r="F3734" t="s">
        <v>620</v>
      </c>
      <c r="G3734" s="89">
        <v>2005</v>
      </c>
      <c r="H3734" s="313" t="s">
        <v>732</v>
      </c>
      <c r="I3734" s="311" t="str">
        <f t="shared" si="146"/>
        <v>Pesado de Passageiros M3:  : Gasóleo : E3</v>
      </c>
      <c r="J3734">
        <v>73</v>
      </c>
      <c r="K3734" s="422">
        <v>2023</v>
      </c>
      <c r="L3734">
        <v>14593.050000000001</v>
      </c>
      <c r="M3734" t="s">
        <v>630</v>
      </c>
      <c r="N3734">
        <v>52547</v>
      </c>
      <c r="O3734" s="131">
        <f t="shared" si="145"/>
        <v>3835931</v>
      </c>
      <c r="P3734" s="89">
        <v>8357</v>
      </c>
      <c r="Q3734" s="422" t="s">
        <v>47</v>
      </c>
      <c r="R3734" s="422" t="s">
        <v>1869</v>
      </c>
      <c r="S3734" s="422" t="s">
        <v>1861</v>
      </c>
      <c r="T3734" t="s">
        <v>4823</v>
      </c>
      <c r="U3734" s="422" t="s">
        <v>1953</v>
      </c>
      <c r="V3734" s="422" t="s">
        <v>2813</v>
      </c>
    </row>
    <row r="3735" spans="1:22" ht="15.75" thickBot="1" x14ac:dyDescent="0.3">
      <c r="A3735" t="s">
        <v>1916</v>
      </c>
      <c r="B3735" t="s">
        <v>1916</v>
      </c>
      <c r="C3735" s="424" t="str">
        <f t="shared" si="144"/>
        <v>Rodoviária do Alentejo, S.A.</v>
      </c>
      <c r="D3735" t="s">
        <v>629</v>
      </c>
      <c r="F3735" t="s">
        <v>620</v>
      </c>
      <c r="G3735" s="89">
        <v>2003</v>
      </c>
      <c r="H3735" s="313" t="s">
        <v>732</v>
      </c>
      <c r="I3735" s="311" t="str">
        <f t="shared" si="146"/>
        <v>Pesado de Passageiros M3:  : Gasóleo : E3</v>
      </c>
      <c r="J3735">
        <v>72</v>
      </c>
      <c r="K3735" s="422">
        <v>2023</v>
      </c>
      <c r="L3735">
        <v>15524.170000000002</v>
      </c>
      <c r="M3735" t="s">
        <v>630</v>
      </c>
      <c r="N3735">
        <v>51242</v>
      </c>
      <c r="O3735" s="131">
        <f t="shared" si="145"/>
        <v>3689424</v>
      </c>
      <c r="P3735" s="89">
        <v>8358</v>
      </c>
      <c r="Q3735" s="422" t="s">
        <v>47</v>
      </c>
      <c r="R3735" s="422" t="s">
        <v>1869</v>
      </c>
      <c r="S3735" s="422" t="s">
        <v>1861</v>
      </c>
      <c r="T3735" t="s">
        <v>4823</v>
      </c>
      <c r="U3735" s="422" t="s">
        <v>1953</v>
      </c>
      <c r="V3735" s="422" t="s">
        <v>2813</v>
      </c>
    </row>
    <row r="3736" spans="1:22" ht="15.75" thickBot="1" x14ac:dyDescent="0.3">
      <c r="A3736" t="s">
        <v>1916</v>
      </c>
      <c r="B3736" t="s">
        <v>1916</v>
      </c>
      <c r="C3736" s="424" t="str">
        <f t="shared" ref="C3736:C3799" si="147">IF(A3736=B3736,B3736,RIGHT(A3736,LEN(A3736)-LEN(B3736)-3))</f>
        <v>Rodoviária do Alentejo, S.A.</v>
      </c>
      <c r="D3736" t="s">
        <v>629</v>
      </c>
      <c r="F3736" t="s">
        <v>620</v>
      </c>
      <c r="G3736" s="89">
        <v>2001</v>
      </c>
      <c r="H3736" s="313" t="s">
        <v>735</v>
      </c>
      <c r="I3736" s="311" t="str">
        <f t="shared" si="146"/>
        <v>Pesado de Passageiros M3:  : Gasóleo : E2</v>
      </c>
      <c r="J3736">
        <v>51</v>
      </c>
      <c r="K3736" s="422">
        <v>2023</v>
      </c>
      <c r="L3736">
        <v>10808.210000000001</v>
      </c>
      <c r="M3736" t="s">
        <v>630</v>
      </c>
      <c r="N3736">
        <v>29284</v>
      </c>
      <c r="O3736" s="131">
        <f t="shared" si="145"/>
        <v>1493484</v>
      </c>
      <c r="P3736" s="89">
        <v>8359</v>
      </c>
      <c r="Q3736" s="422" t="s">
        <v>47</v>
      </c>
      <c r="R3736" s="422" t="s">
        <v>1869</v>
      </c>
      <c r="S3736" s="422" t="s">
        <v>1861</v>
      </c>
      <c r="T3736" t="s">
        <v>4824</v>
      </c>
      <c r="U3736" s="422" t="s">
        <v>1953</v>
      </c>
      <c r="V3736" s="422" t="s">
        <v>2813</v>
      </c>
    </row>
    <row r="3737" spans="1:22" ht="15.75" thickBot="1" x14ac:dyDescent="0.3">
      <c r="A3737" t="s">
        <v>1916</v>
      </c>
      <c r="B3737" t="s">
        <v>1916</v>
      </c>
      <c r="C3737" s="424" t="str">
        <f t="shared" si="147"/>
        <v>Rodoviária do Alentejo, S.A.</v>
      </c>
      <c r="D3737" t="s">
        <v>629</v>
      </c>
      <c r="F3737" t="s">
        <v>620</v>
      </c>
      <c r="G3737" s="89">
        <v>2009</v>
      </c>
      <c r="H3737" s="313" t="s">
        <v>734</v>
      </c>
      <c r="I3737" s="311" t="str">
        <f t="shared" si="146"/>
        <v>Pesado de Passageiros M3:  : Gasóleo : E5</v>
      </c>
      <c r="J3737">
        <v>85</v>
      </c>
      <c r="K3737" s="422">
        <v>2023</v>
      </c>
      <c r="L3737">
        <v>13828.42</v>
      </c>
      <c r="M3737" t="s">
        <v>630</v>
      </c>
      <c r="N3737">
        <v>44812</v>
      </c>
      <c r="O3737" s="131">
        <f t="shared" ref="O3737:O3800" si="148">N3737*J3737</f>
        <v>3809020</v>
      </c>
      <c r="P3737" s="89">
        <v>8360</v>
      </c>
      <c r="Q3737" s="422" t="s">
        <v>47</v>
      </c>
      <c r="R3737" s="422" t="s">
        <v>1869</v>
      </c>
      <c r="S3737" s="422" t="s">
        <v>1861</v>
      </c>
      <c r="T3737" t="s">
        <v>4823</v>
      </c>
      <c r="U3737" s="422" t="s">
        <v>1953</v>
      </c>
      <c r="V3737" s="422" t="s">
        <v>2813</v>
      </c>
    </row>
    <row r="3738" spans="1:22" ht="15.75" thickBot="1" x14ac:dyDescent="0.3">
      <c r="A3738" t="s">
        <v>1916</v>
      </c>
      <c r="B3738" t="s">
        <v>1916</v>
      </c>
      <c r="C3738" s="424" t="str">
        <f t="shared" si="147"/>
        <v>Rodoviária do Alentejo, S.A.</v>
      </c>
      <c r="D3738" t="s">
        <v>629</v>
      </c>
      <c r="F3738" t="s">
        <v>620</v>
      </c>
      <c r="G3738" s="89">
        <v>2009</v>
      </c>
      <c r="H3738" s="313" t="s">
        <v>731</v>
      </c>
      <c r="I3738" s="311" t="str">
        <f t="shared" si="146"/>
        <v>Pesado de Passageiros M3:  : Gasóleo : E4</v>
      </c>
      <c r="J3738">
        <v>84</v>
      </c>
      <c r="K3738" s="422">
        <v>2023</v>
      </c>
      <c r="L3738">
        <v>15469.95</v>
      </c>
      <c r="M3738" t="s">
        <v>630</v>
      </c>
      <c r="N3738">
        <v>50929</v>
      </c>
      <c r="O3738" s="131">
        <f t="shared" si="148"/>
        <v>4278036</v>
      </c>
      <c r="P3738" s="89">
        <v>8361</v>
      </c>
      <c r="Q3738" s="422" t="s">
        <v>47</v>
      </c>
      <c r="R3738" s="422" t="s">
        <v>1869</v>
      </c>
      <c r="S3738" s="422" t="s">
        <v>1861</v>
      </c>
      <c r="T3738" t="s">
        <v>4823</v>
      </c>
      <c r="U3738" s="422" t="s">
        <v>1953</v>
      </c>
      <c r="V3738" s="422" t="s">
        <v>2813</v>
      </c>
    </row>
    <row r="3739" spans="1:22" ht="15.75" thickBot="1" x14ac:dyDescent="0.3">
      <c r="A3739" t="s">
        <v>1916</v>
      </c>
      <c r="B3739" t="s">
        <v>1916</v>
      </c>
      <c r="C3739" s="424" t="str">
        <f t="shared" si="147"/>
        <v>Rodoviária do Alentejo, S.A.</v>
      </c>
      <c r="D3739" t="s">
        <v>629</v>
      </c>
      <c r="F3739" t="s">
        <v>620</v>
      </c>
      <c r="G3739" s="89">
        <v>2006</v>
      </c>
      <c r="H3739" s="313" t="s">
        <v>732</v>
      </c>
      <c r="I3739" s="311" t="str">
        <f t="shared" si="146"/>
        <v>Pesado de Passageiros M3:  : Gasóleo : E3</v>
      </c>
      <c r="J3739">
        <v>72</v>
      </c>
      <c r="K3739" s="422">
        <v>2023</v>
      </c>
      <c r="L3739">
        <v>15940.87</v>
      </c>
      <c r="M3739" t="s">
        <v>630</v>
      </c>
      <c r="N3739">
        <v>50419</v>
      </c>
      <c r="O3739" s="131">
        <f t="shared" si="148"/>
        <v>3630168</v>
      </c>
      <c r="P3739" s="89">
        <v>8362</v>
      </c>
      <c r="Q3739" s="422" t="s">
        <v>47</v>
      </c>
      <c r="R3739" s="422" t="s">
        <v>1869</v>
      </c>
      <c r="S3739" s="422" t="s">
        <v>1861</v>
      </c>
      <c r="T3739" t="s">
        <v>4823</v>
      </c>
      <c r="U3739" s="422" t="s">
        <v>1953</v>
      </c>
      <c r="V3739" s="422" t="s">
        <v>2813</v>
      </c>
    </row>
    <row r="3740" spans="1:22" ht="15.75" thickBot="1" x14ac:dyDescent="0.3">
      <c r="A3740" t="s">
        <v>1916</v>
      </c>
      <c r="B3740" t="s">
        <v>1916</v>
      </c>
      <c r="C3740" s="424" t="str">
        <f t="shared" si="147"/>
        <v>Rodoviária do Alentejo, S.A.</v>
      </c>
      <c r="D3740" t="s">
        <v>629</v>
      </c>
      <c r="F3740" t="s">
        <v>620</v>
      </c>
      <c r="G3740" s="89">
        <v>2018</v>
      </c>
      <c r="H3740" s="313" t="s">
        <v>733</v>
      </c>
      <c r="I3740" s="311" t="str">
        <f t="shared" si="146"/>
        <v>Pesado de Passageiros M3:  : Gasóleo : E6</v>
      </c>
      <c r="J3740">
        <v>30</v>
      </c>
      <c r="K3740" s="422">
        <v>2023</v>
      </c>
      <c r="L3740">
        <v>5506.8300000000008</v>
      </c>
      <c r="M3740" t="s">
        <v>630</v>
      </c>
      <c r="N3740">
        <v>32942</v>
      </c>
      <c r="O3740" s="131">
        <f t="shared" si="148"/>
        <v>988260</v>
      </c>
      <c r="P3740" s="89">
        <v>8363</v>
      </c>
      <c r="Q3740" s="422" t="s">
        <v>47</v>
      </c>
      <c r="R3740" s="422" t="s">
        <v>1869</v>
      </c>
      <c r="S3740" s="422" t="s">
        <v>1861</v>
      </c>
      <c r="T3740" t="s">
        <v>4823</v>
      </c>
      <c r="U3740" s="422" t="s">
        <v>1953</v>
      </c>
      <c r="V3740" s="422" t="s">
        <v>2813</v>
      </c>
    </row>
    <row r="3741" spans="1:22" ht="15.75" thickBot="1" x14ac:dyDescent="0.3">
      <c r="A3741" t="s">
        <v>1916</v>
      </c>
      <c r="B3741" t="s">
        <v>1916</v>
      </c>
      <c r="C3741" s="424" t="str">
        <f t="shared" si="147"/>
        <v>Rodoviária do Alentejo, S.A.</v>
      </c>
      <c r="D3741" t="s">
        <v>629</v>
      </c>
      <c r="F3741" t="s">
        <v>620</v>
      </c>
      <c r="G3741" s="89">
        <v>2007</v>
      </c>
      <c r="H3741" s="313" t="s">
        <v>731</v>
      </c>
      <c r="I3741" s="311" t="str">
        <f t="shared" si="146"/>
        <v>Pesado de Passageiros M3:  : Gasóleo : E4</v>
      </c>
      <c r="J3741">
        <v>121</v>
      </c>
      <c r="K3741" s="422">
        <v>2023</v>
      </c>
      <c r="L3741">
        <v>12181.919999999998</v>
      </c>
      <c r="M3741" t="s">
        <v>630</v>
      </c>
      <c r="N3741">
        <v>32909</v>
      </c>
      <c r="O3741" s="131">
        <f t="shared" si="148"/>
        <v>3981989</v>
      </c>
      <c r="P3741" s="89">
        <v>8365</v>
      </c>
      <c r="Q3741" s="422" t="s">
        <v>47</v>
      </c>
      <c r="R3741" s="422" t="s">
        <v>1869</v>
      </c>
      <c r="S3741" s="422" t="s">
        <v>1861</v>
      </c>
      <c r="T3741" t="s">
        <v>4823</v>
      </c>
      <c r="U3741" s="422" t="s">
        <v>1953</v>
      </c>
      <c r="V3741" s="422" t="s">
        <v>2813</v>
      </c>
    </row>
    <row r="3742" spans="1:22" ht="15.75" thickBot="1" x14ac:dyDescent="0.3">
      <c r="A3742" t="s">
        <v>1916</v>
      </c>
      <c r="B3742" t="s">
        <v>1916</v>
      </c>
      <c r="C3742" s="424" t="str">
        <f t="shared" si="147"/>
        <v>Rodoviária do Alentejo, S.A.</v>
      </c>
      <c r="D3742" t="s">
        <v>629</v>
      </c>
      <c r="F3742" t="s">
        <v>620</v>
      </c>
      <c r="G3742" s="89">
        <v>2019</v>
      </c>
      <c r="H3742" s="313" t="s">
        <v>733</v>
      </c>
      <c r="I3742" s="311" t="str">
        <f t="shared" si="146"/>
        <v>Pesado de Passageiros M3:  : Gasóleo : E6</v>
      </c>
      <c r="J3742">
        <v>53</v>
      </c>
      <c r="K3742" s="422">
        <v>2023</v>
      </c>
      <c r="L3742">
        <v>5113.5500000000011</v>
      </c>
      <c r="M3742" t="s">
        <v>630</v>
      </c>
      <c r="N3742">
        <v>17048</v>
      </c>
      <c r="O3742" s="131">
        <f t="shared" si="148"/>
        <v>903544</v>
      </c>
      <c r="P3742" s="89">
        <v>8367</v>
      </c>
      <c r="Q3742" s="422" t="s">
        <v>47</v>
      </c>
      <c r="R3742" s="422" t="s">
        <v>1869</v>
      </c>
      <c r="S3742" s="422" t="s">
        <v>1861</v>
      </c>
      <c r="T3742" t="s">
        <v>4823</v>
      </c>
      <c r="U3742" s="422" t="s">
        <v>1953</v>
      </c>
      <c r="V3742" s="422" t="s">
        <v>2813</v>
      </c>
    </row>
    <row r="3743" spans="1:22" ht="15.75" thickBot="1" x14ac:dyDescent="0.3">
      <c r="A3743" t="s">
        <v>1916</v>
      </c>
      <c r="B3743" t="s">
        <v>1916</v>
      </c>
      <c r="C3743" s="424" t="str">
        <f t="shared" si="147"/>
        <v>Rodoviária do Alentejo, S.A.</v>
      </c>
      <c r="D3743" t="s">
        <v>629</v>
      </c>
      <c r="F3743" t="s">
        <v>620</v>
      </c>
      <c r="G3743" s="89">
        <v>2001</v>
      </c>
      <c r="H3743" s="313" t="s">
        <v>735</v>
      </c>
      <c r="I3743" s="311" t="str">
        <f t="shared" si="146"/>
        <v>Pesado de Passageiros M3:  : Gasóleo : E2</v>
      </c>
      <c r="J3743">
        <v>55</v>
      </c>
      <c r="K3743" s="422">
        <v>2023</v>
      </c>
      <c r="L3743">
        <v>19270.73</v>
      </c>
      <c r="M3743" t="s">
        <v>630</v>
      </c>
      <c r="N3743">
        <v>59938</v>
      </c>
      <c r="O3743" s="131">
        <f t="shared" si="148"/>
        <v>3296590</v>
      </c>
      <c r="P3743" s="89">
        <v>8369</v>
      </c>
      <c r="Q3743" s="422" t="s">
        <v>47</v>
      </c>
      <c r="R3743" s="422" t="s">
        <v>1869</v>
      </c>
      <c r="S3743" s="422" t="s">
        <v>1861</v>
      </c>
      <c r="T3743" t="s">
        <v>4824</v>
      </c>
      <c r="U3743" s="422" t="s">
        <v>1953</v>
      </c>
      <c r="V3743" s="422" t="s">
        <v>2813</v>
      </c>
    </row>
    <row r="3744" spans="1:22" ht="15.75" thickBot="1" x14ac:dyDescent="0.3">
      <c r="A3744" t="s">
        <v>1916</v>
      </c>
      <c r="B3744" t="s">
        <v>1916</v>
      </c>
      <c r="C3744" s="424" t="str">
        <f t="shared" si="147"/>
        <v>Rodoviária do Alentejo, S.A.</v>
      </c>
      <c r="D3744" t="s">
        <v>629</v>
      </c>
      <c r="F3744" t="s">
        <v>620</v>
      </c>
      <c r="G3744" s="89">
        <v>2009</v>
      </c>
      <c r="H3744" s="313" t="s">
        <v>731</v>
      </c>
      <c r="I3744" s="311" t="str">
        <f t="shared" si="146"/>
        <v>Pesado de Passageiros M3:  : Gasóleo : E4</v>
      </c>
      <c r="J3744">
        <v>100</v>
      </c>
      <c r="K3744" s="422">
        <v>2023</v>
      </c>
      <c r="L3744">
        <v>14450</v>
      </c>
      <c r="M3744" t="s">
        <v>630</v>
      </c>
      <c r="N3744">
        <v>38224</v>
      </c>
      <c r="O3744" s="131">
        <f t="shared" si="148"/>
        <v>3822400</v>
      </c>
      <c r="P3744" s="89">
        <v>8370</v>
      </c>
      <c r="Q3744" s="422" t="s">
        <v>47</v>
      </c>
      <c r="R3744" s="422" t="s">
        <v>1869</v>
      </c>
      <c r="S3744" s="422" t="s">
        <v>1861</v>
      </c>
      <c r="T3744" t="s">
        <v>4823</v>
      </c>
      <c r="U3744" s="422" t="s">
        <v>1953</v>
      </c>
      <c r="V3744" s="422" t="s">
        <v>2813</v>
      </c>
    </row>
    <row r="3745" spans="1:22" ht="15.75" thickBot="1" x14ac:dyDescent="0.3">
      <c r="A3745" t="s">
        <v>1916</v>
      </c>
      <c r="B3745" t="s">
        <v>1916</v>
      </c>
      <c r="C3745" s="424" t="str">
        <f t="shared" si="147"/>
        <v>Rodoviária do Alentejo, S.A.</v>
      </c>
      <c r="D3745" t="s">
        <v>629</v>
      </c>
      <c r="F3745" t="s">
        <v>620</v>
      </c>
      <c r="G3745" s="89">
        <v>2009</v>
      </c>
      <c r="H3745" s="313" t="s">
        <v>731</v>
      </c>
      <c r="I3745" s="311" t="str">
        <f t="shared" si="146"/>
        <v>Pesado de Passageiros M3:  : Gasóleo : E4</v>
      </c>
      <c r="J3745">
        <v>100</v>
      </c>
      <c r="K3745" s="422">
        <v>2023</v>
      </c>
      <c r="L3745">
        <v>15273.150000000001</v>
      </c>
      <c r="M3745" t="s">
        <v>630</v>
      </c>
      <c r="N3745">
        <v>40295</v>
      </c>
      <c r="O3745" s="131">
        <f t="shared" si="148"/>
        <v>4029500</v>
      </c>
      <c r="P3745" s="89">
        <v>8371</v>
      </c>
      <c r="Q3745" s="422" t="s">
        <v>47</v>
      </c>
      <c r="R3745" s="422" t="s">
        <v>1869</v>
      </c>
      <c r="S3745" s="422" t="s">
        <v>1861</v>
      </c>
      <c r="T3745" t="s">
        <v>4823</v>
      </c>
      <c r="U3745" s="422" t="s">
        <v>1953</v>
      </c>
      <c r="V3745" s="422" t="s">
        <v>2813</v>
      </c>
    </row>
    <row r="3746" spans="1:22" ht="15.75" thickBot="1" x14ac:dyDescent="0.3">
      <c r="A3746" t="s">
        <v>1916</v>
      </c>
      <c r="B3746" t="s">
        <v>1916</v>
      </c>
      <c r="C3746" s="424" t="str">
        <f t="shared" si="147"/>
        <v>Rodoviária do Alentejo, S.A.</v>
      </c>
      <c r="D3746" t="s">
        <v>629</v>
      </c>
      <c r="F3746" t="s">
        <v>620</v>
      </c>
      <c r="G3746" s="89">
        <v>2008</v>
      </c>
      <c r="H3746" s="313" t="s">
        <v>731</v>
      </c>
      <c r="I3746" s="311" t="str">
        <f t="shared" si="146"/>
        <v>Pesado de Passageiros M3:  : Gasóleo : E4</v>
      </c>
      <c r="J3746">
        <v>57</v>
      </c>
      <c r="K3746" s="422">
        <v>2023</v>
      </c>
      <c r="L3746">
        <v>20445.979999999996</v>
      </c>
      <c r="M3746" t="s">
        <v>630</v>
      </c>
      <c r="N3746">
        <v>70747</v>
      </c>
      <c r="O3746" s="131">
        <f t="shared" si="148"/>
        <v>4032579</v>
      </c>
      <c r="P3746" s="89">
        <v>8372</v>
      </c>
      <c r="Q3746" s="422" t="s">
        <v>47</v>
      </c>
      <c r="R3746" s="422" t="s">
        <v>1869</v>
      </c>
      <c r="S3746" s="422" t="s">
        <v>1861</v>
      </c>
      <c r="T3746" t="s">
        <v>4824</v>
      </c>
      <c r="U3746" s="422" t="s">
        <v>1953</v>
      </c>
      <c r="V3746" s="422" t="s">
        <v>2813</v>
      </c>
    </row>
    <row r="3747" spans="1:22" ht="15.75" thickBot="1" x14ac:dyDescent="0.3">
      <c r="A3747" t="s">
        <v>1916</v>
      </c>
      <c r="B3747" t="s">
        <v>1916</v>
      </c>
      <c r="C3747" s="424" t="str">
        <f t="shared" si="147"/>
        <v>Rodoviária do Alentejo, S.A.</v>
      </c>
      <c r="D3747" t="s">
        <v>629</v>
      </c>
      <c r="F3747" t="s">
        <v>620</v>
      </c>
      <c r="G3747" s="89">
        <v>2009</v>
      </c>
      <c r="H3747" s="313" t="s">
        <v>734</v>
      </c>
      <c r="I3747" s="311" t="str">
        <f t="shared" si="146"/>
        <v>Pesado de Passageiros M3:  : Gasóleo : E5</v>
      </c>
      <c r="J3747">
        <v>71</v>
      </c>
      <c r="K3747" s="422">
        <v>2023</v>
      </c>
      <c r="L3747">
        <v>17907.449999999997</v>
      </c>
      <c r="M3747" t="s">
        <v>630</v>
      </c>
      <c r="N3747">
        <v>52090</v>
      </c>
      <c r="O3747" s="131">
        <f t="shared" si="148"/>
        <v>3698390</v>
      </c>
      <c r="P3747" s="89">
        <v>8375</v>
      </c>
      <c r="Q3747" s="422" t="s">
        <v>47</v>
      </c>
      <c r="R3747" s="422" t="s">
        <v>1869</v>
      </c>
      <c r="S3747" s="422" t="s">
        <v>1861</v>
      </c>
      <c r="T3747" t="s">
        <v>4823</v>
      </c>
      <c r="U3747" s="422" t="s">
        <v>1953</v>
      </c>
      <c r="V3747" s="422" t="s">
        <v>2813</v>
      </c>
    </row>
    <row r="3748" spans="1:22" ht="15.75" thickBot="1" x14ac:dyDescent="0.3">
      <c r="A3748" t="s">
        <v>1916</v>
      </c>
      <c r="B3748" t="s">
        <v>1916</v>
      </c>
      <c r="C3748" s="424" t="str">
        <f t="shared" si="147"/>
        <v>Rodoviária do Alentejo, S.A.</v>
      </c>
      <c r="D3748" t="s">
        <v>629</v>
      </c>
      <c r="F3748" t="s">
        <v>620</v>
      </c>
      <c r="G3748" s="89">
        <v>2009</v>
      </c>
      <c r="H3748" s="313" t="s">
        <v>731</v>
      </c>
      <c r="I3748" s="311" t="str">
        <f t="shared" si="146"/>
        <v>Pesado de Passageiros M3:  : Gasóleo : E4</v>
      </c>
      <c r="J3748">
        <v>84</v>
      </c>
      <c r="K3748" s="422">
        <v>2023</v>
      </c>
      <c r="L3748">
        <v>12060.250000000002</v>
      </c>
      <c r="M3748" t="s">
        <v>630</v>
      </c>
      <c r="N3748">
        <v>41531</v>
      </c>
      <c r="O3748" s="131">
        <f t="shared" si="148"/>
        <v>3488604</v>
      </c>
      <c r="P3748" s="89">
        <v>8376</v>
      </c>
      <c r="Q3748" s="422" t="s">
        <v>47</v>
      </c>
      <c r="R3748" s="422" t="s">
        <v>1869</v>
      </c>
      <c r="S3748" s="422" t="s">
        <v>1861</v>
      </c>
      <c r="T3748" t="s">
        <v>4823</v>
      </c>
      <c r="U3748" s="422" t="s">
        <v>1953</v>
      </c>
      <c r="V3748" s="422" t="s">
        <v>2813</v>
      </c>
    </row>
    <row r="3749" spans="1:22" ht="15.75" thickBot="1" x14ac:dyDescent="0.3">
      <c r="A3749" t="s">
        <v>1916</v>
      </c>
      <c r="B3749" t="s">
        <v>1916</v>
      </c>
      <c r="C3749" s="424" t="str">
        <f t="shared" si="147"/>
        <v>Rodoviária do Alentejo, S.A.</v>
      </c>
      <c r="D3749" t="s">
        <v>629</v>
      </c>
      <c r="F3749" t="s">
        <v>620</v>
      </c>
      <c r="G3749" s="89">
        <v>2009</v>
      </c>
      <c r="H3749" s="313" t="s">
        <v>734</v>
      </c>
      <c r="I3749" s="311" t="str">
        <f t="shared" si="146"/>
        <v>Pesado de Passageiros M3:  : Gasóleo : E5</v>
      </c>
      <c r="J3749">
        <v>98</v>
      </c>
      <c r="K3749" s="422">
        <v>2023</v>
      </c>
      <c r="L3749">
        <v>16811.02</v>
      </c>
      <c r="M3749" t="s">
        <v>630</v>
      </c>
      <c r="N3749">
        <v>42516</v>
      </c>
      <c r="O3749" s="131">
        <f t="shared" si="148"/>
        <v>4166568</v>
      </c>
      <c r="P3749" s="89">
        <v>8377</v>
      </c>
      <c r="Q3749" s="422" t="s">
        <v>47</v>
      </c>
      <c r="R3749" s="422" t="s">
        <v>1869</v>
      </c>
      <c r="S3749" s="422" t="s">
        <v>1861</v>
      </c>
      <c r="T3749" t="s">
        <v>4823</v>
      </c>
      <c r="U3749" s="422" t="s">
        <v>1953</v>
      </c>
      <c r="V3749" s="422" t="s">
        <v>2813</v>
      </c>
    </row>
    <row r="3750" spans="1:22" ht="15.75" thickBot="1" x14ac:dyDescent="0.3">
      <c r="A3750" t="s">
        <v>1916</v>
      </c>
      <c r="B3750" t="s">
        <v>1916</v>
      </c>
      <c r="C3750" s="424" t="str">
        <f t="shared" si="147"/>
        <v>Rodoviária do Alentejo, S.A.</v>
      </c>
      <c r="D3750" t="s">
        <v>629</v>
      </c>
      <c r="F3750" t="s">
        <v>620</v>
      </c>
      <c r="G3750" s="89">
        <v>2008</v>
      </c>
      <c r="H3750" s="313" t="s">
        <v>731</v>
      </c>
      <c r="I3750" s="311" t="str">
        <f t="shared" si="146"/>
        <v>Pesado de Passageiros M3:  : Gasóleo : E4</v>
      </c>
      <c r="J3750">
        <v>55</v>
      </c>
      <c r="K3750" s="422">
        <v>2023</v>
      </c>
      <c r="L3750">
        <v>15944.859999999999</v>
      </c>
      <c r="M3750" t="s">
        <v>630</v>
      </c>
      <c r="N3750">
        <v>54976</v>
      </c>
      <c r="O3750" s="131">
        <f t="shared" si="148"/>
        <v>3023680</v>
      </c>
      <c r="P3750" s="89">
        <v>8378</v>
      </c>
      <c r="Q3750" s="422" t="s">
        <v>47</v>
      </c>
      <c r="R3750" s="422" t="s">
        <v>1869</v>
      </c>
      <c r="S3750" s="422" t="s">
        <v>1861</v>
      </c>
      <c r="T3750" t="s">
        <v>4823</v>
      </c>
      <c r="U3750" s="422" t="s">
        <v>1953</v>
      </c>
      <c r="V3750" s="422" t="s">
        <v>2813</v>
      </c>
    </row>
    <row r="3751" spans="1:22" ht="15.75" thickBot="1" x14ac:dyDescent="0.3">
      <c r="A3751" t="s">
        <v>1916</v>
      </c>
      <c r="B3751" t="s">
        <v>1916</v>
      </c>
      <c r="C3751" s="424" t="str">
        <f t="shared" si="147"/>
        <v>Rodoviária do Alentejo, S.A.</v>
      </c>
      <c r="D3751" t="s">
        <v>629</v>
      </c>
      <c r="F3751" t="s">
        <v>620</v>
      </c>
      <c r="G3751" s="89">
        <v>2009</v>
      </c>
      <c r="H3751" s="313" t="s">
        <v>731</v>
      </c>
      <c r="I3751" s="311" t="str">
        <f t="shared" si="146"/>
        <v>Pesado de Passageiros M3:  : Gasóleo : E4</v>
      </c>
      <c r="J3751">
        <v>81</v>
      </c>
      <c r="K3751" s="422">
        <v>2023</v>
      </c>
      <c r="L3751">
        <v>4606.18</v>
      </c>
      <c r="M3751" t="s">
        <v>630</v>
      </c>
      <c r="N3751">
        <v>12511</v>
      </c>
      <c r="O3751" s="131">
        <f t="shared" si="148"/>
        <v>1013391</v>
      </c>
      <c r="P3751" s="89">
        <v>8379</v>
      </c>
      <c r="Q3751" s="422" t="s">
        <v>47</v>
      </c>
      <c r="R3751" s="422" t="s">
        <v>1869</v>
      </c>
      <c r="S3751" s="422" t="s">
        <v>1861</v>
      </c>
      <c r="T3751" t="s">
        <v>4824</v>
      </c>
      <c r="U3751" s="422" t="s">
        <v>1953</v>
      </c>
      <c r="V3751" s="422" t="s">
        <v>2813</v>
      </c>
    </row>
    <row r="3752" spans="1:22" ht="15.75" thickBot="1" x14ac:dyDescent="0.3">
      <c r="A3752" t="s">
        <v>1916</v>
      </c>
      <c r="B3752" t="s">
        <v>1916</v>
      </c>
      <c r="C3752" s="424" t="str">
        <f t="shared" si="147"/>
        <v>Rodoviária do Alentejo, S.A.</v>
      </c>
      <c r="D3752" t="s">
        <v>629</v>
      </c>
      <c r="F3752" t="s">
        <v>620</v>
      </c>
      <c r="G3752" s="89">
        <v>1996</v>
      </c>
      <c r="H3752" s="313" t="s">
        <v>735</v>
      </c>
      <c r="I3752" s="311" t="str">
        <f t="shared" si="146"/>
        <v>Pesado de Passageiros M3:  : Gasóleo : E2</v>
      </c>
      <c r="J3752">
        <v>72</v>
      </c>
      <c r="K3752" s="422">
        <v>2023</v>
      </c>
      <c r="L3752">
        <v>11823.11</v>
      </c>
      <c r="M3752" t="s">
        <v>630</v>
      </c>
      <c r="N3752">
        <v>37436</v>
      </c>
      <c r="O3752" s="131">
        <f t="shared" si="148"/>
        <v>2695392</v>
      </c>
      <c r="P3752" s="89">
        <v>8380</v>
      </c>
      <c r="Q3752" s="422" t="s">
        <v>47</v>
      </c>
      <c r="R3752" s="422" t="s">
        <v>1869</v>
      </c>
      <c r="S3752" s="422" t="s">
        <v>1861</v>
      </c>
      <c r="T3752" t="s">
        <v>4825</v>
      </c>
      <c r="U3752" s="422" t="s">
        <v>1953</v>
      </c>
      <c r="V3752" s="422" t="s">
        <v>2813</v>
      </c>
    </row>
    <row r="3753" spans="1:22" ht="15.75" thickBot="1" x14ac:dyDescent="0.3">
      <c r="A3753" t="s">
        <v>1916</v>
      </c>
      <c r="B3753" t="s">
        <v>1916</v>
      </c>
      <c r="C3753" s="424" t="str">
        <f t="shared" si="147"/>
        <v>Rodoviária do Alentejo, S.A.</v>
      </c>
      <c r="D3753" t="s">
        <v>629</v>
      </c>
      <c r="F3753" t="s">
        <v>620</v>
      </c>
      <c r="G3753" s="89">
        <v>2008</v>
      </c>
      <c r="H3753" s="313" t="s">
        <v>731</v>
      </c>
      <c r="I3753" s="311" t="str">
        <f t="shared" si="146"/>
        <v>Pesado de Passageiros M3:  : Gasóleo : E4</v>
      </c>
      <c r="J3753">
        <v>70</v>
      </c>
      <c r="K3753" s="422">
        <v>2023</v>
      </c>
      <c r="L3753">
        <v>16486.599999999999</v>
      </c>
      <c r="M3753" t="s">
        <v>630</v>
      </c>
      <c r="N3753">
        <v>52244</v>
      </c>
      <c r="O3753" s="131">
        <f t="shared" si="148"/>
        <v>3657080</v>
      </c>
      <c r="P3753" s="89">
        <v>8383</v>
      </c>
      <c r="Q3753" s="422" t="s">
        <v>47</v>
      </c>
      <c r="R3753" s="422" t="s">
        <v>1869</v>
      </c>
      <c r="S3753" s="422" t="s">
        <v>1861</v>
      </c>
      <c r="T3753" t="s">
        <v>4823</v>
      </c>
      <c r="U3753" s="422" t="s">
        <v>1953</v>
      </c>
      <c r="V3753" s="422" t="s">
        <v>2813</v>
      </c>
    </row>
    <row r="3754" spans="1:22" ht="15.75" thickBot="1" x14ac:dyDescent="0.3">
      <c r="A3754" t="s">
        <v>1916</v>
      </c>
      <c r="B3754" t="s">
        <v>1916</v>
      </c>
      <c r="C3754" s="424" t="str">
        <f t="shared" si="147"/>
        <v>Rodoviária do Alentejo, S.A.</v>
      </c>
      <c r="D3754" t="s">
        <v>629</v>
      </c>
      <c r="F3754" t="s">
        <v>620</v>
      </c>
      <c r="G3754" s="89">
        <v>2009</v>
      </c>
      <c r="H3754" s="313" t="s">
        <v>734</v>
      </c>
      <c r="I3754" s="311" t="str">
        <f t="shared" si="146"/>
        <v>Pesado de Passageiros M3:  : Gasóleo : E5</v>
      </c>
      <c r="J3754">
        <v>71</v>
      </c>
      <c r="K3754" s="422">
        <v>2023</v>
      </c>
      <c r="L3754">
        <v>11566.339999999998</v>
      </c>
      <c r="M3754" t="s">
        <v>630</v>
      </c>
      <c r="N3754">
        <v>34895</v>
      </c>
      <c r="O3754" s="131">
        <f t="shared" si="148"/>
        <v>2477545</v>
      </c>
      <c r="P3754" s="89">
        <v>8384</v>
      </c>
      <c r="Q3754" s="422" t="s">
        <v>47</v>
      </c>
      <c r="R3754" s="422" t="s">
        <v>1869</v>
      </c>
      <c r="S3754" s="422" t="s">
        <v>1861</v>
      </c>
      <c r="T3754" t="s">
        <v>4823</v>
      </c>
      <c r="U3754" s="422" t="s">
        <v>1953</v>
      </c>
      <c r="V3754" s="422" t="s">
        <v>2813</v>
      </c>
    </row>
    <row r="3755" spans="1:22" ht="15.75" thickBot="1" x14ac:dyDescent="0.3">
      <c r="A3755" t="s">
        <v>1916</v>
      </c>
      <c r="B3755" t="s">
        <v>1916</v>
      </c>
      <c r="C3755" s="424" t="str">
        <f t="shared" si="147"/>
        <v>Rodoviária do Alentejo, S.A.</v>
      </c>
      <c r="D3755" t="s">
        <v>629</v>
      </c>
      <c r="F3755" t="s">
        <v>620</v>
      </c>
      <c r="G3755" s="89">
        <v>2007</v>
      </c>
      <c r="H3755" s="313" t="s">
        <v>731</v>
      </c>
      <c r="I3755" s="311" t="str">
        <f t="shared" si="146"/>
        <v>Pesado de Passageiros M3:  : Gasóleo : E4</v>
      </c>
      <c r="J3755">
        <v>74</v>
      </c>
      <c r="K3755" s="422">
        <v>2023</v>
      </c>
      <c r="L3755">
        <v>890.37</v>
      </c>
      <c r="M3755" t="s">
        <v>630</v>
      </c>
      <c r="N3755">
        <v>2697</v>
      </c>
      <c r="O3755" s="131">
        <f t="shared" si="148"/>
        <v>199578</v>
      </c>
      <c r="P3755" s="89">
        <v>8385</v>
      </c>
      <c r="Q3755" s="422" t="s">
        <v>47</v>
      </c>
      <c r="R3755" s="422" t="s">
        <v>1869</v>
      </c>
      <c r="S3755" s="422" t="s">
        <v>1861</v>
      </c>
      <c r="T3755" t="s">
        <v>4823</v>
      </c>
      <c r="U3755" s="422" t="s">
        <v>1953</v>
      </c>
      <c r="V3755" s="422" t="s">
        <v>2813</v>
      </c>
    </row>
    <row r="3756" spans="1:22" ht="15.75" thickBot="1" x14ac:dyDescent="0.3">
      <c r="A3756" t="s">
        <v>1916</v>
      </c>
      <c r="B3756" t="s">
        <v>1916</v>
      </c>
      <c r="C3756" s="424" t="str">
        <f t="shared" si="147"/>
        <v>Rodoviária do Alentejo, S.A.</v>
      </c>
      <c r="D3756" t="s">
        <v>629</v>
      </c>
      <c r="F3756" t="s">
        <v>620</v>
      </c>
      <c r="G3756" s="89">
        <v>2006</v>
      </c>
      <c r="H3756" s="313" t="s">
        <v>731</v>
      </c>
      <c r="I3756" s="311" t="str">
        <f t="shared" si="146"/>
        <v>Pesado de Passageiros M3:  : Gasóleo : E4</v>
      </c>
      <c r="J3756">
        <v>70</v>
      </c>
      <c r="K3756" s="422">
        <v>2023</v>
      </c>
      <c r="L3756">
        <v>14775.86</v>
      </c>
      <c r="M3756" t="s">
        <v>630</v>
      </c>
      <c r="N3756">
        <v>46553</v>
      </c>
      <c r="O3756" s="131">
        <f t="shared" si="148"/>
        <v>3258710</v>
      </c>
      <c r="P3756" s="89">
        <v>8386</v>
      </c>
      <c r="Q3756" s="422" t="s">
        <v>47</v>
      </c>
      <c r="R3756" s="422" t="s">
        <v>1869</v>
      </c>
      <c r="S3756" s="422" t="s">
        <v>1861</v>
      </c>
      <c r="T3756" t="s">
        <v>4823</v>
      </c>
      <c r="U3756" s="422" t="s">
        <v>1953</v>
      </c>
      <c r="V3756" s="422" t="s">
        <v>2813</v>
      </c>
    </row>
    <row r="3757" spans="1:22" ht="15.75" thickBot="1" x14ac:dyDescent="0.3">
      <c r="A3757" t="s">
        <v>1916</v>
      </c>
      <c r="B3757" t="s">
        <v>1916</v>
      </c>
      <c r="C3757" s="424" t="str">
        <f t="shared" si="147"/>
        <v>Rodoviária do Alentejo, S.A.</v>
      </c>
      <c r="D3757" t="s">
        <v>629</v>
      </c>
      <c r="F3757" t="s">
        <v>620</v>
      </c>
      <c r="G3757" s="89">
        <v>2009</v>
      </c>
      <c r="H3757" s="313" t="s">
        <v>731</v>
      </c>
      <c r="I3757" s="311" t="str">
        <f t="shared" si="146"/>
        <v>Pesado de Passageiros M3:  : Gasóleo : E4</v>
      </c>
      <c r="J3757">
        <v>51</v>
      </c>
      <c r="K3757" s="422">
        <v>2023</v>
      </c>
      <c r="L3757">
        <v>9296.9000000000015</v>
      </c>
      <c r="M3757" t="s">
        <v>630</v>
      </c>
      <c r="N3757">
        <v>37865</v>
      </c>
      <c r="O3757" s="131">
        <f t="shared" si="148"/>
        <v>1931115</v>
      </c>
      <c r="P3757" s="89">
        <v>8388</v>
      </c>
      <c r="Q3757" s="422" t="s">
        <v>47</v>
      </c>
      <c r="R3757" s="422" t="s">
        <v>1869</v>
      </c>
      <c r="S3757" s="422" t="s">
        <v>1861</v>
      </c>
      <c r="T3757" t="s">
        <v>4823</v>
      </c>
      <c r="U3757" s="422" t="s">
        <v>1953</v>
      </c>
      <c r="V3757" s="422" t="s">
        <v>2813</v>
      </c>
    </row>
    <row r="3758" spans="1:22" ht="15.75" thickBot="1" x14ac:dyDescent="0.3">
      <c r="A3758" t="s">
        <v>1916</v>
      </c>
      <c r="B3758" t="s">
        <v>1916</v>
      </c>
      <c r="C3758" s="424" t="str">
        <f t="shared" si="147"/>
        <v>Rodoviária do Alentejo, S.A.</v>
      </c>
      <c r="D3758" t="s">
        <v>629</v>
      </c>
      <c r="F3758" t="s">
        <v>620</v>
      </c>
      <c r="G3758" s="89">
        <v>2007</v>
      </c>
      <c r="H3758" s="313" t="s">
        <v>731</v>
      </c>
      <c r="I3758" s="311" t="str">
        <f t="shared" si="146"/>
        <v>Pesado de Passageiros M3:  : Gasóleo : E4</v>
      </c>
      <c r="J3758">
        <v>94</v>
      </c>
      <c r="K3758" s="422">
        <v>2023</v>
      </c>
      <c r="L3758">
        <v>13817.21</v>
      </c>
      <c r="M3758" t="s">
        <v>630</v>
      </c>
      <c r="N3758">
        <v>47721</v>
      </c>
      <c r="O3758" s="131">
        <f t="shared" si="148"/>
        <v>4485774</v>
      </c>
      <c r="P3758" s="89">
        <v>8389</v>
      </c>
      <c r="Q3758" s="422" t="s">
        <v>47</v>
      </c>
      <c r="R3758" s="422" t="s">
        <v>1869</v>
      </c>
      <c r="S3758" s="422" t="s">
        <v>1861</v>
      </c>
      <c r="T3758" t="s">
        <v>4823</v>
      </c>
      <c r="U3758" s="422" t="s">
        <v>1953</v>
      </c>
      <c r="V3758" s="422" t="s">
        <v>2813</v>
      </c>
    </row>
    <row r="3759" spans="1:22" ht="15.75" thickBot="1" x14ac:dyDescent="0.3">
      <c r="A3759" t="s">
        <v>1916</v>
      </c>
      <c r="B3759" t="s">
        <v>1916</v>
      </c>
      <c r="C3759" s="424" t="str">
        <f t="shared" si="147"/>
        <v>Rodoviária do Alentejo, S.A.</v>
      </c>
      <c r="D3759" t="s">
        <v>629</v>
      </c>
      <c r="F3759" t="s">
        <v>620</v>
      </c>
      <c r="G3759" s="89">
        <v>2008</v>
      </c>
      <c r="H3759" s="313" t="s">
        <v>731</v>
      </c>
      <c r="I3759" s="311" t="str">
        <f t="shared" si="146"/>
        <v>Pesado de Passageiros M3:  : Gasóleo : E4</v>
      </c>
      <c r="J3759">
        <v>51</v>
      </c>
      <c r="K3759" s="422">
        <v>2023</v>
      </c>
      <c r="L3759">
        <v>6407.51</v>
      </c>
      <c r="M3759" t="s">
        <v>630</v>
      </c>
      <c r="N3759">
        <v>25725</v>
      </c>
      <c r="O3759" s="131">
        <f t="shared" si="148"/>
        <v>1311975</v>
      </c>
      <c r="P3759" s="89">
        <v>8397</v>
      </c>
      <c r="Q3759" s="422" t="s">
        <v>47</v>
      </c>
      <c r="R3759" s="422" t="s">
        <v>1869</v>
      </c>
      <c r="S3759" s="422" t="s">
        <v>1861</v>
      </c>
      <c r="T3759" t="s">
        <v>4825</v>
      </c>
      <c r="U3759" s="422" t="s">
        <v>1953</v>
      </c>
      <c r="V3759" s="422" t="s">
        <v>2813</v>
      </c>
    </row>
    <row r="3760" spans="1:22" ht="15.75" thickBot="1" x14ac:dyDescent="0.3">
      <c r="A3760" t="s">
        <v>1916</v>
      </c>
      <c r="B3760" t="s">
        <v>1916</v>
      </c>
      <c r="C3760" s="424" t="str">
        <f t="shared" si="147"/>
        <v>Rodoviária do Alentejo, S.A.</v>
      </c>
      <c r="D3760" t="s">
        <v>629</v>
      </c>
      <c r="F3760" t="s">
        <v>620</v>
      </c>
      <c r="G3760" s="89">
        <v>2009</v>
      </c>
      <c r="H3760" s="313" t="s">
        <v>731</v>
      </c>
      <c r="I3760" s="311" t="str">
        <f t="shared" si="146"/>
        <v>Pesado de Passageiros M3:  : Gasóleo : E4</v>
      </c>
      <c r="J3760">
        <v>78</v>
      </c>
      <c r="K3760" s="422">
        <v>2023</v>
      </c>
      <c r="L3760">
        <v>13495.029999999999</v>
      </c>
      <c r="M3760" t="s">
        <v>630</v>
      </c>
      <c r="N3760">
        <v>45484</v>
      </c>
      <c r="O3760" s="131">
        <f t="shared" si="148"/>
        <v>3547752</v>
      </c>
      <c r="P3760" s="89">
        <v>8399</v>
      </c>
      <c r="Q3760" s="422" t="s">
        <v>47</v>
      </c>
      <c r="R3760" s="422" t="s">
        <v>1869</v>
      </c>
      <c r="S3760" s="422" t="s">
        <v>1861</v>
      </c>
      <c r="T3760" t="s">
        <v>4823</v>
      </c>
      <c r="U3760" s="422" t="s">
        <v>1953</v>
      </c>
      <c r="V3760" s="422" t="s">
        <v>2813</v>
      </c>
    </row>
    <row r="3761" spans="1:22" ht="15.75" thickBot="1" x14ac:dyDescent="0.3">
      <c r="A3761" t="s">
        <v>1916</v>
      </c>
      <c r="B3761" t="s">
        <v>1916</v>
      </c>
      <c r="C3761" s="424" t="str">
        <f t="shared" si="147"/>
        <v>Rodoviária do Alentejo, S.A.</v>
      </c>
      <c r="D3761" t="s">
        <v>629</v>
      </c>
      <c r="F3761" t="s">
        <v>620</v>
      </c>
      <c r="G3761" s="89">
        <v>2000</v>
      </c>
      <c r="H3761" s="313" t="s">
        <v>735</v>
      </c>
      <c r="I3761" s="311" t="str">
        <f t="shared" si="146"/>
        <v>Pesado de Passageiros M3:  : Gasóleo : E2</v>
      </c>
      <c r="J3761">
        <v>51</v>
      </c>
      <c r="K3761" s="422">
        <v>2023</v>
      </c>
      <c r="L3761">
        <v>16022.42</v>
      </c>
      <c r="M3761" t="s">
        <v>630</v>
      </c>
      <c r="N3761">
        <v>50969</v>
      </c>
      <c r="O3761" s="131">
        <f t="shared" si="148"/>
        <v>2599419</v>
      </c>
      <c r="P3761" s="89">
        <v>8412</v>
      </c>
      <c r="Q3761" s="422" t="s">
        <v>47</v>
      </c>
      <c r="R3761" s="422" t="s">
        <v>1869</v>
      </c>
      <c r="S3761" s="422" t="s">
        <v>1861</v>
      </c>
      <c r="T3761" t="s">
        <v>4825</v>
      </c>
      <c r="U3761" s="422" t="s">
        <v>1953</v>
      </c>
      <c r="V3761" s="422" t="s">
        <v>2813</v>
      </c>
    </row>
    <row r="3762" spans="1:22" ht="15.75" thickBot="1" x14ac:dyDescent="0.3">
      <c r="A3762" t="s">
        <v>1916</v>
      </c>
      <c r="B3762" t="s">
        <v>1916</v>
      </c>
      <c r="C3762" s="424" t="str">
        <f t="shared" si="147"/>
        <v>Rodoviária do Alentejo, S.A.</v>
      </c>
      <c r="D3762" t="s">
        <v>629</v>
      </c>
      <c r="F3762" t="s">
        <v>620</v>
      </c>
      <c r="G3762" s="89">
        <v>2000</v>
      </c>
      <c r="H3762" s="313" t="s">
        <v>735</v>
      </c>
      <c r="I3762" s="311" t="str">
        <f t="shared" si="146"/>
        <v>Pesado de Passageiros M3:  : Gasóleo : E2</v>
      </c>
      <c r="J3762">
        <v>52</v>
      </c>
      <c r="K3762" s="422">
        <v>2023</v>
      </c>
      <c r="L3762">
        <v>23131.460000000006</v>
      </c>
      <c r="M3762" t="s">
        <v>630</v>
      </c>
      <c r="N3762">
        <v>69830</v>
      </c>
      <c r="O3762" s="131">
        <f t="shared" si="148"/>
        <v>3631160</v>
      </c>
      <c r="P3762" s="89">
        <v>8413</v>
      </c>
      <c r="Q3762" s="422" t="s">
        <v>47</v>
      </c>
      <c r="R3762" s="422" t="s">
        <v>1869</v>
      </c>
      <c r="S3762" s="422" t="s">
        <v>1861</v>
      </c>
      <c r="T3762" t="s">
        <v>4825</v>
      </c>
      <c r="U3762" s="422" t="s">
        <v>1953</v>
      </c>
      <c r="V3762" s="422" t="s">
        <v>2813</v>
      </c>
    </row>
    <row r="3763" spans="1:22" ht="15.75" thickBot="1" x14ac:dyDescent="0.3">
      <c r="A3763" t="s">
        <v>1916</v>
      </c>
      <c r="B3763" t="s">
        <v>1916</v>
      </c>
      <c r="C3763" s="424" t="str">
        <f t="shared" si="147"/>
        <v>Rodoviária do Alentejo, S.A.</v>
      </c>
      <c r="D3763" t="s">
        <v>629</v>
      </c>
      <c r="F3763" t="s">
        <v>620</v>
      </c>
      <c r="G3763" s="89">
        <v>2001</v>
      </c>
      <c r="H3763" s="313" t="s">
        <v>735</v>
      </c>
      <c r="I3763" s="311" t="str">
        <f t="shared" si="146"/>
        <v>Pesado de Passageiros M3:  : Gasóleo : E2</v>
      </c>
      <c r="J3763">
        <v>56</v>
      </c>
      <c r="K3763" s="422">
        <v>2023</v>
      </c>
      <c r="L3763">
        <v>16783.599999999999</v>
      </c>
      <c r="M3763" t="s">
        <v>630</v>
      </c>
      <c r="N3763">
        <v>49305</v>
      </c>
      <c r="O3763" s="131">
        <f t="shared" si="148"/>
        <v>2761080</v>
      </c>
      <c r="P3763" s="89">
        <v>8416</v>
      </c>
      <c r="Q3763" s="422" t="s">
        <v>47</v>
      </c>
      <c r="R3763" s="422" t="s">
        <v>1869</v>
      </c>
      <c r="S3763" s="422" t="s">
        <v>1861</v>
      </c>
      <c r="T3763" t="s">
        <v>4825</v>
      </c>
      <c r="U3763" s="422" t="s">
        <v>1953</v>
      </c>
      <c r="V3763" s="422" t="s">
        <v>2813</v>
      </c>
    </row>
    <row r="3764" spans="1:22" ht="15.75" thickBot="1" x14ac:dyDescent="0.3">
      <c r="A3764" t="s">
        <v>1916</v>
      </c>
      <c r="B3764" t="s">
        <v>1916</v>
      </c>
      <c r="C3764" s="424" t="str">
        <f t="shared" si="147"/>
        <v>Rodoviária do Alentejo, S.A.</v>
      </c>
      <c r="D3764" t="s">
        <v>629</v>
      </c>
      <c r="F3764" t="s">
        <v>620</v>
      </c>
      <c r="G3764" s="89">
        <v>2001</v>
      </c>
      <c r="H3764" s="313" t="s">
        <v>735</v>
      </c>
      <c r="I3764" s="311" t="str">
        <f t="shared" si="146"/>
        <v>Pesado de Passageiros M3:  : Gasóleo : E2</v>
      </c>
      <c r="J3764">
        <v>55</v>
      </c>
      <c r="K3764" s="422">
        <v>2023</v>
      </c>
      <c r="L3764">
        <v>17186.879999999997</v>
      </c>
      <c r="M3764" t="s">
        <v>630</v>
      </c>
      <c r="N3764">
        <v>48260</v>
      </c>
      <c r="O3764" s="131">
        <f t="shared" si="148"/>
        <v>2654300</v>
      </c>
      <c r="P3764" s="89">
        <v>8417</v>
      </c>
      <c r="Q3764" s="422" t="s">
        <v>47</v>
      </c>
      <c r="R3764" s="422" t="s">
        <v>1869</v>
      </c>
      <c r="S3764" s="422" t="s">
        <v>1861</v>
      </c>
      <c r="T3764" t="s">
        <v>4825</v>
      </c>
      <c r="U3764" s="422" t="s">
        <v>1953</v>
      </c>
      <c r="V3764" s="422" t="s">
        <v>2813</v>
      </c>
    </row>
    <row r="3765" spans="1:22" ht="15.75" thickBot="1" x14ac:dyDescent="0.3">
      <c r="A3765" t="s">
        <v>1916</v>
      </c>
      <c r="B3765" t="s">
        <v>1916</v>
      </c>
      <c r="C3765" s="424" t="str">
        <f t="shared" si="147"/>
        <v>Rodoviária do Alentejo, S.A.</v>
      </c>
      <c r="D3765" t="s">
        <v>629</v>
      </c>
      <c r="F3765" t="s">
        <v>620</v>
      </c>
      <c r="G3765" s="89">
        <v>2001</v>
      </c>
      <c r="H3765" s="313" t="s">
        <v>735</v>
      </c>
      <c r="I3765" s="311" t="str">
        <f t="shared" si="146"/>
        <v>Pesado de Passageiros M3:  : Gasóleo : E2</v>
      </c>
      <c r="J3765">
        <v>56</v>
      </c>
      <c r="K3765" s="422">
        <v>2023</v>
      </c>
      <c r="L3765">
        <v>15566.79</v>
      </c>
      <c r="M3765" t="s">
        <v>630</v>
      </c>
      <c r="N3765">
        <v>47918</v>
      </c>
      <c r="O3765" s="131">
        <f t="shared" si="148"/>
        <v>2683408</v>
      </c>
      <c r="P3765" s="89">
        <v>8418</v>
      </c>
      <c r="Q3765" s="422" t="s">
        <v>47</v>
      </c>
      <c r="R3765" s="422" t="s">
        <v>1869</v>
      </c>
      <c r="S3765" s="422" t="s">
        <v>1861</v>
      </c>
      <c r="T3765" t="s">
        <v>4825</v>
      </c>
      <c r="U3765" s="422" t="s">
        <v>1953</v>
      </c>
      <c r="V3765" s="422" t="s">
        <v>2813</v>
      </c>
    </row>
    <row r="3766" spans="1:22" ht="15.75" thickBot="1" x14ac:dyDescent="0.3">
      <c r="A3766" t="s">
        <v>1916</v>
      </c>
      <c r="B3766" t="s">
        <v>1916</v>
      </c>
      <c r="C3766" s="424" t="str">
        <f t="shared" si="147"/>
        <v>Rodoviária do Alentejo, S.A.</v>
      </c>
      <c r="D3766" t="s">
        <v>629</v>
      </c>
      <c r="F3766" t="s">
        <v>620</v>
      </c>
      <c r="G3766" s="89">
        <v>1999</v>
      </c>
      <c r="H3766" s="313" t="s">
        <v>735</v>
      </c>
      <c r="I3766" s="311" t="str">
        <f t="shared" ref="I3766:I3829" si="149">D3766&amp;": "&amp;E3766&amp;" : "&amp;F3766&amp;" : "&amp;H3766</f>
        <v>Pesado de Passageiros M3:  : Gasóleo : E2</v>
      </c>
      <c r="J3766">
        <v>51</v>
      </c>
      <c r="K3766" s="422">
        <v>2023</v>
      </c>
      <c r="L3766">
        <v>15973.699999999999</v>
      </c>
      <c r="M3766" t="s">
        <v>630</v>
      </c>
      <c r="N3766">
        <v>48151</v>
      </c>
      <c r="O3766" s="131">
        <f t="shared" si="148"/>
        <v>2455701</v>
      </c>
      <c r="P3766" s="89">
        <v>8420</v>
      </c>
      <c r="Q3766" s="422" t="s">
        <v>47</v>
      </c>
      <c r="R3766" s="422" t="s">
        <v>1869</v>
      </c>
      <c r="S3766" s="422" t="s">
        <v>1861</v>
      </c>
      <c r="T3766" t="s">
        <v>4825</v>
      </c>
      <c r="U3766" s="422" t="s">
        <v>1953</v>
      </c>
      <c r="V3766" s="422" t="s">
        <v>2813</v>
      </c>
    </row>
    <row r="3767" spans="1:22" ht="15.75" thickBot="1" x14ac:dyDescent="0.3">
      <c r="A3767" t="s">
        <v>1916</v>
      </c>
      <c r="B3767" t="s">
        <v>1916</v>
      </c>
      <c r="C3767" s="424" t="str">
        <f t="shared" si="147"/>
        <v>Rodoviária do Alentejo, S.A.</v>
      </c>
      <c r="D3767" t="s">
        <v>629</v>
      </c>
      <c r="F3767" t="s">
        <v>620</v>
      </c>
      <c r="G3767" s="89">
        <v>2009</v>
      </c>
      <c r="H3767" s="313" t="s">
        <v>731</v>
      </c>
      <c r="I3767" s="311" t="str">
        <f t="shared" si="149"/>
        <v>Pesado de Passageiros M3:  : Gasóleo : E4</v>
      </c>
      <c r="J3767">
        <v>55</v>
      </c>
      <c r="K3767" s="422">
        <v>2023</v>
      </c>
      <c r="L3767">
        <v>19855.88</v>
      </c>
      <c r="M3767" t="s">
        <v>630</v>
      </c>
      <c r="N3767">
        <v>60943</v>
      </c>
      <c r="O3767" s="131">
        <f t="shared" si="148"/>
        <v>3351865</v>
      </c>
      <c r="P3767" s="89">
        <v>8429</v>
      </c>
      <c r="Q3767" s="422" t="s">
        <v>47</v>
      </c>
      <c r="R3767" s="422" t="s">
        <v>1869</v>
      </c>
      <c r="S3767" s="422" t="s">
        <v>1861</v>
      </c>
      <c r="T3767" t="s">
        <v>4823</v>
      </c>
      <c r="U3767" s="422" t="s">
        <v>1953</v>
      </c>
      <c r="V3767" s="422" t="s">
        <v>2813</v>
      </c>
    </row>
    <row r="3768" spans="1:22" ht="15.75" thickBot="1" x14ac:dyDescent="0.3">
      <c r="A3768" t="s">
        <v>1916</v>
      </c>
      <c r="B3768" t="s">
        <v>1916</v>
      </c>
      <c r="C3768" s="424" t="str">
        <f t="shared" si="147"/>
        <v>Rodoviária do Alentejo, S.A.</v>
      </c>
      <c r="D3768" t="s">
        <v>629</v>
      </c>
      <c r="F3768" t="s">
        <v>620</v>
      </c>
      <c r="G3768" s="89">
        <v>2009</v>
      </c>
      <c r="H3768" s="313" t="s">
        <v>731</v>
      </c>
      <c r="I3768" s="311" t="str">
        <f t="shared" si="149"/>
        <v>Pesado de Passageiros M3:  : Gasóleo : E4</v>
      </c>
      <c r="J3768">
        <v>55</v>
      </c>
      <c r="K3768" s="422">
        <v>2023</v>
      </c>
      <c r="L3768">
        <v>43358.509999999995</v>
      </c>
      <c r="M3768" t="s">
        <v>630</v>
      </c>
      <c r="N3768">
        <v>116161</v>
      </c>
      <c r="O3768" s="131">
        <f t="shared" si="148"/>
        <v>6388855</v>
      </c>
      <c r="P3768" s="89">
        <v>8432</v>
      </c>
      <c r="Q3768" s="422" t="s">
        <v>47</v>
      </c>
      <c r="R3768" s="422" t="s">
        <v>1869</v>
      </c>
      <c r="S3768" s="422" t="s">
        <v>1861</v>
      </c>
      <c r="T3768" t="s">
        <v>4824</v>
      </c>
      <c r="U3768" s="422" t="s">
        <v>1953</v>
      </c>
      <c r="V3768" s="422" t="s">
        <v>2813</v>
      </c>
    </row>
    <row r="3769" spans="1:22" ht="15.75" thickBot="1" x14ac:dyDescent="0.3">
      <c r="A3769" t="s">
        <v>1916</v>
      </c>
      <c r="B3769" t="s">
        <v>1916</v>
      </c>
      <c r="C3769" s="424" t="str">
        <f t="shared" si="147"/>
        <v>Rodoviária do Alentejo, S.A.</v>
      </c>
      <c r="D3769" t="s">
        <v>629</v>
      </c>
      <c r="F3769" t="s">
        <v>620</v>
      </c>
      <c r="G3769" s="89">
        <v>2009</v>
      </c>
      <c r="H3769" s="313" t="s">
        <v>731</v>
      </c>
      <c r="I3769" s="311" t="str">
        <f t="shared" si="149"/>
        <v>Pesado de Passageiros M3:  : Gasóleo : E4</v>
      </c>
      <c r="J3769">
        <v>55</v>
      </c>
      <c r="K3769" s="422">
        <v>2023</v>
      </c>
      <c r="L3769">
        <v>28187.05</v>
      </c>
      <c r="M3769" t="s">
        <v>630</v>
      </c>
      <c r="N3769">
        <v>81406</v>
      </c>
      <c r="O3769" s="131">
        <f t="shared" si="148"/>
        <v>4477330</v>
      </c>
      <c r="P3769" s="89">
        <v>8433</v>
      </c>
      <c r="Q3769" s="422" t="s">
        <v>47</v>
      </c>
      <c r="R3769" s="422" t="s">
        <v>1869</v>
      </c>
      <c r="S3769" s="422" t="s">
        <v>1861</v>
      </c>
      <c r="T3769" t="s">
        <v>4823</v>
      </c>
      <c r="U3769" s="422" t="s">
        <v>1953</v>
      </c>
      <c r="V3769" s="422" t="s">
        <v>2813</v>
      </c>
    </row>
    <row r="3770" spans="1:22" ht="15.75" thickBot="1" x14ac:dyDescent="0.3">
      <c r="A3770" t="s">
        <v>1916</v>
      </c>
      <c r="B3770" t="s">
        <v>1916</v>
      </c>
      <c r="C3770" s="424" t="str">
        <f t="shared" si="147"/>
        <v>Rodoviária do Alentejo, S.A.</v>
      </c>
      <c r="D3770" t="s">
        <v>629</v>
      </c>
      <c r="F3770" t="s">
        <v>620</v>
      </c>
      <c r="G3770" s="89">
        <v>2009</v>
      </c>
      <c r="H3770" s="313" t="s">
        <v>731</v>
      </c>
      <c r="I3770" s="311" t="str">
        <f t="shared" si="149"/>
        <v>Pesado de Passageiros M3:  : Gasóleo : E4</v>
      </c>
      <c r="J3770">
        <v>55</v>
      </c>
      <c r="K3770" s="422">
        <v>2023</v>
      </c>
      <c r="L3770">
        <v>17575.66</v>
      </c>
      <c r="M3770" t="s">
        <v>630</v>
      </c>
      <c r="N3770">
        <v>55123</v>
      </c>
      <c r="O3770" s="131">
        <f t="shared" si="148"/>
        <v>3031765</v>
      </c>
      <c r="P3770" s="89">
        <v>8434</v>
      </c>
      <c r="Q3770" s="422" t="s">
        <v>47</v>
      </c>
      <c r="R3770" s="422" t="s">
        <v>1869</v>
      </c>
      <c r="S3770" s="422" t="s">
        <v>1861</v>
      </c>
      <c r="T3770" t="s">
        <v>4824</v>
      </c>
      <c r="U3770" s="422" t="s">
        <v>1953</v>
      </c>
      <c r="V3770" s="422" t="s">
        <v>2813</v>
      </c>
    </row>
    <row r="3771" spans="1:22" ht="15.75" thickBot="1" x14ac:dyDescent="0.3">
      <c r="A3771" t="s">
        <v>1916</v>
      </c>
      <c r="B3771" t="s">
        <v>1916</v>
      </c>
      <c r="C3771" s="424" t="str">
        <f t="shared" si="147"/>
        <v>Rodoviária do Alentejo, S.A.</v>
      </c>
      <c r="D3771" t="s">
        <v>629</v>
      </c>
      <c r="F3771" t="s">
        <v>620</v>
      </c>
      <c r="G3771" s="89">
        <v>2008</v>
      </c>
      <c r="H3771" s="313" t="s">
        <v>731</v>
      </c>
      <c r="I3771" s="311" t="str">
        <f t="shared" si="149"/>
        <v>Pesado de Passageiros M3:  : Gasóleo : E4</v>
      </c>
      <c r="J3771">
        <v>53</v>
      </c>
      <c r="K3771" s="422">
        <v>2023</v>
      </c>
      <c r="L3771">
        <v>26160.870000000003</v>
      </c>
      <c r="M3771" t="s">
        <v>630</v>
      </c>
      <c r="N3771">
        <v>87250</v>
      </c>
      <c r="O3771" s="131">
        <f t="shared" si="148"/>
        <v>4624250</v>
      </c>
      <c r="P3771" s="89">
        <v>8437</v>
      </c>
      <c r="Q3771" s="422" t="s">
        <v>47</v>
      </c>
      <c r="R3771" s="422" t="s">
        <v>1869</v>
      </c>
      <c r="S3771" s="422" t="s">
        <v>1861</v>
      </c>
      <c r="T3771" t="s">
        <v>4824</v>
      </c>
      <c r="U3771" s="422" t="s">
        <v>1953</v>
      </c>
      <c r="V3771" s="422" t="s">
        <v>2813</v>
      </c>
    </row>
    <row r="3772" spans="1:22" ht="15.75" thickBot="1" x14ac:dyDescent="0.3">
      <c r="A3772" t="s">
        <v>1916</v>
      </c>
      <c r="B3772" t="s">
        <v>1916</v>
      </c>
      <c r="C3772" s="424" t="str">
        <f t="shared" si="147"/>
        <v>Rodoviária do Alentejo, S.A.</v>
      </c>
      <c r="D3772" t="s">
        <v>629</v>
      </c>
      <c r="F3772" t="s">
        <v>620</v>
      </c>
      <c r="G3772" s="89">
        <v>2008</v>
      </c>
      <c r="H3772" s="313" t="s">
        <v>731</v>
      </c>
      <c r="I3772" s="311" t="str">
        <f t="shared" si="149"/>
        <v>Pesado de Passageiros M3:  : Gasóleo : E4</v>
      </c>
      <c r="J3772">
        <v>53</v>
      </c>
      <c r="K3772" s="422">
        <v>2023</v>
      </c>
      <c r="L3772">
        <v>11269.21</v>
      </c>
      <c r="M3772" t="s">
        <v>630</v>
      </c>
      <c r="N3772">
        <v>36831</v>
      </c>
      <c r="O3772" s="131">
        <f t="shared" si="148"/>
        <v>1952043</v>
      </c>
      <c r="P3772" s="89">
        <v>8438</v>
      </c>
      <c r="Q3772" s="422" t="s">
        <v>47</v>
      </c>
      <c r="R3772" s="422" t="s">
        <v>1869</v>
      </c>
      <c r="S3772" s="422" t="s">
        <v>1861</v>
      </c>
      <c r="T3772" t="s">
        <v>4823</v>
      </c>
      <c r="U3772" s="422" t="s">
        <v>1953</v>
      </c>
      <c r="V3772" s="422" t="s">
        <v>2813</v>
      </c>
    </row>
    <row r="3773" spans="1:22" ht="15.75" thickBot="1" x14ac:dyDescent="0.3">
      <c r="A3773" t="s">
        <v>1916</v>
      </c>
      <c r="B3773" t="s">
        <v>1916</v>
      </c>
      <c r="C3773" s="424" t="str">
        <f t="shared" si="147"/>
        <v>Rodoviária do Alentejo, S.A.</v>
      </c>
      <c r="D3773" t="s">
        <v>629</v>
      </c>
      <c r="F3773" t="s">
        <v>620</v>
      </c>
      <c r="G3773" s="89">
        <v>2001</v>
      </c>
      <c r="H3773" s="313" t="s">
        <v>735</v>
      </c>
      <c r="I3773" s="311" t="str">
        <f t="shared" si="149"/>
        <v>Pesado de Passageiros M3:  : Gasóleo : E2</v>
      </c>
      <c r="J3773">
        <v>55</v>
      </c>
      <c r="K3773" s="422">
        <v>2023</v>
      </c>
      <c r="L3773">
        <v>22286.660000000003</v>
      </c>
      <c r="M3773" t="s">
        <v>630</v>
      </c>
      <c r="N3773">
        <v>72997</v>
      </c>
      <c r="O3773" s="131">
        <f t="shared" si="148"/>
        <v>4014835</v>
      </c>
      <c r="P3773" s="89">
        <v>8439</v>
      </c>
      <c r="Q3773" s="422" t="s">
        <v>47</v>
      </c>
      <c r="R3773" s="422" t="s">
        <v>1869</v>
      </c>
      <c r="S3773" s="422" t="s">
        <v>1861</v>
      </c>
      <c r="T3773" t="s">
        <v>4824</v>
      </c>
      <c r="U3773" s="422" t="s">
        <v>1953</v>
      </c>
      <c r="V3773" s="422" t="s">
        <v>2813</v>
      </c>
    </row>
    <row r="3774" spans="1:22" ht="15.75" thickBot="1" x14ac:dyDescent="0.3">
      <c r="A3774" t="s">
        <v>1916</v>
      </c>
      <c r="B3774" t="s">
        <v>1916</v>
      </c>
      <c r="C3774" s="424" t="str">
        <f t="shared" si="147"/>
        <v>Rodoviária do Alentejo, S.A.</v>
      </c>
      <c r="D3774" t="s">
        <v>629</v>
      </c>
      <c r="F3774" t="s">
        <v>620</v>
      </c>
      <c r="G3774" s="89">
        <v>2009</v>
      </c>
      <c r="H3774" s="313" t="s">
        <v>731</v>
      </c>
      <c r="I3774" s="311" t="str">
        <f t="shared" si="149"/>
        <v>Pesado de Passageiros M3:  : Gasóleo : E4</v>
      </c>
      <c r="J3774">
        <v>53</v>
      </c>
      <c r="K3774" s="422">
        <v>2023</v>
      </c>
      <c r="L3774">
        <v>16863.919999999998</v>
      </c>
      <c r="M3774" t="s">
        <v>630</v>
      </c>
      <c r="N3774">
        <v>53008</v>
      </c>
      <c r="O3774" s="131">
        <f t="shared" si="148"/>
        <v>2809424</v>
      </c>
      <c r="P3774" s="89">
        <v>8440</v>
      </c>
      <c r="Q3774" s="422" t="s">
        <v>47</v>
      </c>
      <c r="R3774" s="422" t="s">
        <v>1869</v>
      </c>
      <c r="S3774" s="422" t="s">
        <v>1861</v>
      </c>
      <c r="T3774" t="s">
        <v>4824</v>
      </c>
      <c r="U3774" s="422" t="s">
        <v>1953</v>
      </c>
      <c r="V3774" s="422" t="s">
        <v>2813</v>
      </c>
    </row>
    <row r="3775" spans="1:22" ht="15.75" thickBot="1" x14ac:dyDescent="0.3">
      <c r="A3775" t="s">
        <v>1916</v>
      </c>
      <c r="B3775" t="s">
        <v>1916</v>
      </c>
      <c r="C3775" s="424" t="str">
        <f t="shared" si="147"/>
        <v>Rodoviária do Alentejo, S.A.</v>
      </c>
      <c r="D3775" t="s">
        <v>629</v>
      </c>
      <c r="F3775" t="s">
        <v>620</v>
      </c>
      <c r="G3775" s="89">
        <v>2009</v>
      </c>
      <c r="H3775" s="313" t="s">
        <v>731</v>
      </c>
      <c r="I3775" s="311" t="str">
        <f t="shared" si="149"/>
        <v>Pesado de Passageiros M3:  : Gasóleo : E4</v>
      </c>
      <c r="J3775">
        <v>53</v>
      </c>
      <c r="K3775" s="422">
        <v>2023</v>
      </c>
      <c r="L3775">
        <v>30852.149999999994</v>
      </c>
      <c r="M3775" t="s">
        <v>630</v>
      </c>
      <c r="N3775">
        <v>113807</v>
      </c>
      <c r="O3775" s="131">
        <f t="shared" si="148"/>
        <v>6031771</v>
      </c>
      <c r="P3775" s="89">
        <v>8441</v>
      </c>
      <c r="Q3775" s="422" t="s">
        <v>47</v>
      </c>
      <c r="R3775" s="422" t="s">
        <v>1869</v>
      </c>
      <c r="S3775" s="422" t="s">
        <v>1861</v>
      </c>
      <c r="T3775" t="s">
        <v>4824</v>
      </c>
      <c r="U3775" s="422" t="s">
        <v>1953</v>
      </c>
      <c r="V3775" s="422" t="s">
        <v>2813</v>
      </c>
    </row>
    <row r="3776" spans="1:22" ht="15.75" thickBot="1" x14ac:dyDescent="0.3">
      <c r="A3776" t="s">
        <v>1916</v>
      </c>
      <c r="B3776" t="s">
        <v>1916</v>
      </c>
      <c r="C3776" s="424" t="str">
        <f t="shared" si="147"/>
        <v>Rodoviária do Alentejo, S.A.</v>
      </c>
      <c r="D3776" t="s">
        <v>629</v>
      </c>
      <c r="F3776" t="s">
        <v>620</v>
      </c>
      <c r="G3776" s="89">
        <v>2009</v>
      </c>
      <c r="H3776" s="313" t="s">
        <v>731</v>
      </c>
      <c r="I3776" s="311" t="str">
        <f t="shared" si="149"/>
        <v>Pesado de Passageiros M3:  : Gasóleo : E4</v>
      </c>
      <c r="J3776">
        <v>53</v>
      </c>
      <c r="K3776" s="422">
        <v>2023</v>
      </c>
      <c r="L3776">
        <v>10383.960000000001</v>
      </c>
      <c r="M3776" t="s">
        <v>630</v>
      </c>
      <c r="N3776">
        <v>36039</v>
      </c>
      <c r="O3776" s="131">
        <f t="shared" si="148"/>
        <v>1910067</v>
      </c>
      <c r="P3776" s="89">
        <v>8442</v>
      </c>
      <c r="Q3776" s="422" t="s">
        <v>47</v>
      </c>
      <c r="R3776" s="422" t="s">
        <v>1869</v>
      </c>
      <c r="S3776" s="422" t="s">
        <v>1861</v>
      </c>
      <c r="T3776" t="s">
        <v>4824</v>
      </c>
      <c r="U3776" s="422" t="s">
        <v>1953</v>
      </c>
      <c r="V3776" s="422" t="s">
        <v>2813</v>
      </c>
    </row>
    <row r="3777" spans="1:22" ht="15.75" thickBot="1" x14ac:dyDescent="0.3">
      <c r="A3777" t="s">
        <v>1916</v>
      </c>
      <c r="B3777" t="s">
        <v>1916</v>
      </c>
      <c r="C3777" s="424" t="str">
        <f t="shared" si="147"/>
        <v>Rodoviária do Alentejo, S.A.</v>
      </c>
      <c r="D3777" t="s">
        <v>629</v>
      </c>
      <c r="F3777" t="s">
        <v>620</v>
      </c>
      <c r="G3777" s="89">
        <v>2009</v>
      </c>
      <c r="H3777" s="313" t="s">
        <v>731</v>
      </c>
      <c r="I3777" s="311" t="str">
        <f t="shared" si="149"/>
        <v>Pesado de Passageiros M3:  : Gasóleo : E4</v>
      </c>
      <c r="J3777">
        <v>53</v>
      </c>
      <c r="K3777" s="422">
        <v>2023</v>
      </c>
      <c r="L3777">
        <v>32931.57</v>
      </c>
      <c r="M3777" t="s">
        <v>630</v>
      </c>
      <c r="N3777">
        <v>112866</v>
      </c>
      <c r="O3777" s="131">
        <f t="shared" si="148"/>
        <v>5981898</v>
      </c>
      <c r="P3777" s="89">
        <v>8443</v>
      </c>
      <c r="Q3777" s="422" t="s">
        <v>47</v>
      </c>
      <c r="R3777" s="422" t="s">
        <v>1869</v>
      </c>
      <c r="S3777" s="422" t="s">
        <v>1861</v>
      </c>
      <c r="T3777" t="s">
        <v>4824</v>
      </c>
      <c r="U3777" s="422" t="s">
        <v>1953</v>
      </c>
      <c r="V3777" s="422" t="s">
        <v>2813</v>
      </c>
    </row>
    <row r="3778" spans="1:22" ht="15.75" thickBot="1" x14ac:dyDescent="0.3">
      <c r="A3778" t="s">
        <v>1916</v>
      </c>
      <c r="B3778" t="s">
        <v>1916</v>
      </c>
      <c r="C3778" s="424" t="str">
        <f t="shared" si="147"/>
        <v>Rodoviária do Alentejo, S.A.</v>
      </c>
      <c r="D3778" t="s">
        <v>629</v>
      </c>
      <c r="F3778" t="s">
        <v>620</v>
      </c>
      <c r="G3778" s="89">
        <v>2009</v>
      </c>
      <c r="H3778" s="313" t="s">
        <v>731</v>
      </c>
      <c r="I3778" s="311" t="str">
        <f t="shared" si="149"/>
        <v>Pesado de Passageiros M3:  : Gasóleo : E4</v>
      </c>
      <c r="J3778">
        <v>53</v>
      </c>
      <c r="K3778" s="422">
        <v>2023</v>
      </c>
      <c r="L3778">
        <v>25784.809999999994</v>
      </c>
      <c r="M3778" t="s">
        <v>630</v>
      </c>
      <c r="N3778">
        <v>84875</v>
      </c>
      <c r="O3778" s="131">
        <f t="shared" si="148"/>
        <v>4498375</v>
      </c>
      <c r="P3778" s="89">
        <v>8444</v>
      </c>
      <c r="Q3778" s="422" t="s">
        <v>47</v>
      </c>
      <c r="R3778" s="422" t="s">
        <v>1869</v>
      </c>
      <c r="S3778" s="422" t="s">
        <v>1861</v>
      </c>
      <c r="T3778" t="s">
        <v>4824</v>
      </c>
      <c r="U3778" s="422" t="s">
        <v>1953</v>
      </c>
      <c r="V3778" s="422" t="s">
        <v>2813</v>
      </c>
    </row>
    <row r="3779" spans="1:22" ht="15.75" thickBot="1" x14ac:dyDescent="0.3">
      <c r="A3779" t="s">
        <v>1916</v>
      </c>
      <c r="B3779" t="s">
        <v>1916</v>
      </c>
      <c r="C3779" s="424" t="str">
        <f t="shared" si="147"/>
        <v>Rodoviária do Alentejo, S.A.</v>
      </c>
      <c r="D3779" t="s">
        <v>629</v>
      </c>
      <c r="F3779" t="s">
        <v>620</v>
      </c>
      <c r="G3779" s="89">
        <v>2009</v>
      </c>
      <c r="H3779" s="313" t="s">
        <v>731</v>
      </c>
      <c r="I3779" s="311" t="str">
        <f t="shared" si="149"/>
        <v>Pesado de Passageiros M3:  : Gasóleo : E4</v>
      </c>
      <c r="J3779">
        <v>53</v>
      </c>
      <c r="K3779" s="422">
        <v>2023</v>
      </c>
      <c r="L3779">
        <v>34065.9</v>
      </c>
      <c r="M3779" t="s">
        <v>630</v>
      </c>
      <c r="N3779">
        <v>110372</v>
      </c>
      <c r="O3779" s="131">
        <f t="shared" si="148"/>
        <v>5849716</v>
      </c>
      <c r="P3779" s="89">
        <v>8445</v>
      </c>
      <c r="Q3779" s="422" t="s">
        <v>47</v>
      </c>
      <c r="R3779" s="422" t="s">
        <v>1869</v>
      </c>
      <c r="S3779" s="422" t="s">
        <v>1861</v>
      </c>
      <c r="T3779" t="s">
        <v>4824</v>
      </c>
      <c r="U3779" s="422" t="s">
        <v>1953</v>
      </c>
      <c r="V3779" s="422" t="s">
        <v>2813</v>
      </c>
    </row>
    <row r="3780" spans="1:22" ht="15.75" thickBot="1" x14ac:dyDescent="0.3">
      <c r="A3780" t="s">
        <v>1916</v>
      </c>
      <c r="B3780" t="s">
        <v>1916</v>
      </c>
      <c r="C3780" s="424" t="str">
        <f t="shared" si="147"/>
        <v>Rodoviária do Alentejo, S.A.</v>
      </c>
      <c r="D3780" t="s">
        <v>629</v>
      </c>
      <c r="F3780" t="s">
        <v>620</v>
      </c>
      <c r="G3780" s="89">
        <v>2009</v>
      </c>
      <c r="H3780" s="313" t="s">
        <v>731</v>
      </c>
      <c r="I3780" s="311" t="str">
        <f t="shared" si="149"/>
        <v>Pesado de Passageiros M3:  : Gasóleo : E4</v>
      </c>
      <c r="J3780">
        <v>53</v>
      </c>
      <c r="K3780" s="422">
        <v>2023</v>
      </c>
      <c r="L3780">
        <v>24958.779999999995</v>
      </c>
      <c r="M3780" t="s">
        <v>630</v>
      </c>
      <c r="N3780">
        <v>80090</v>
      </c>
      <c r="O3780" s="131">
        <f t="shared" si="148"/>
        <v>4244770</v>
      </c>
      <c r="P3780" s="89">
        <v>8446</v>
      </c>
      <c r="Q3780" s="422" t="s">
        <v>47</v>
      </c>
      <c r="R3780" s="422" t="s">
        <v>1869</v>
      </c>
      <c r="S3780" s="422" t="s">
        <v>1861</v>
      </c>
      <c r="T3780" t="s">
        <v>4824</v>
      </c>
      <c r="U3780" s="422" t="s">
        <v>1953</v>
      </c>
      <c r="V3780" s="422" t="s">
        <v>2813</v>
      </c>
    </row>
    <row r="3781" spans="1:22" ht="15.75" thickBot="1" x14ac:dyDescent="0.3">
      <c r="A3781" t="s">
        <v>1916</v>
      </c>
      <c r="B3781" t="s">
        <v>1916</v>
      </c>
      <c r="C3781" s="424" t="str">
        <f t="shared" si="147"/>
        <v>Rodoviária do Alentejo, S.A.</v>
      </c>
      <c r="D3781" t="s">
        <v>629</v>
      </c>
      <c r="F3781" t="s">
        <v>620</v>
      </c>
      <c r="G3781" s="89">
        <v>2017</v>
      </c>
      <c r="H3781" s="313" t="s">
        <v>733</v>
      </c>
      <c r="I3781" s="311" t="str">
        <f t="shared" si="149"/>
        <v>Pesado de Passageiros M3:  : Gasóleo : E6</v>
      </c>
      <c r="J3781">
        <v>53</v>
      </c>
      <c r="K3781" s="422">
        <v>2023</v>
      </c>
      <c r="L3781">
        <v>39115.949999999997</v>
      </c>
      <c r="M3781" t="s">
        <v>630</v>
      </c>
      <c r="N3781">
        <v>153855</v>
      </c>
      <c r="O3781" s="131">
        <f t="shared" si="148"/>
        <v>8154315</v>
      </c>
      <c r="P3781" s="89">
        <v>8447</v>
      </c>
      <c r="Q3781" s="422" t="s">
        <v>47</v>
      </c>
      <c r="R3781" s="422" t="s">
        <v>1869</v>
      </c>
      <c r="S3781" s="422" t="s">
        <v>1861</v>
      </c>
      <c r="T3781" t="s">
        <v>4826</v>
      </c>
      <c r="U3781" s="422" t="s">
        <v>1953</v>
      </c>
      <c r="V3781" s="422" t="s">
        <v>2813</v>
      </c>
    </row>
    <row r="3782" spans="1:22" ht="15.75" thickBot="1" x14ac:dyDescent="0.3">
      <c r="A3782" t="s">
        <v>1916</v>
      </c>
      <c r="B3782" t="s">
        <v>1916</v>
      </c>
      <c r="C3782" s="424" t="str">
        <f t="shared" si="147"/>
        <v>Rodoviária do Alentejo, S.A.</v>
      </c>
      <c r="D3782" t="s">
        <v>629</v>
      </c>
      <c r="F3782" t="s">
        <v>620</v>
      </c>
      <c r="G3782" s="89">
        <v>2017</v>
      </c>
      <c r="H3782" s="313" t="s">
        <v>733</v>
      </c>
      <c r="I3782" s="311" t="str">
        <f t="shared" si="149"/>
        <v>Pesado de Passageiros M3:  : Gasóleo : E6</v>
      </c>
      <c r="J3782">
        <v>53</v>
      </c>
      <c r="K3782" s="422">
        <v>2023</v>
      </c>
      <c r="L3782">
        <v>55763.32</v>
      </c>
      <c r="M3782" t="s">
        <v>630</v>
      </c>
      <c r="N3782">
        <v>186201</v>
      </c>
      <c r="O3782" s="131">
        <f t="shared" si="148"/>
        <v>9868653</v>
      </c>
      <c r="P3782" s="89">
        <v>8448</v>
      </c>
      <c r="Q3782" s="422" t="s">
        <v>47</v>
      </c>
      <c r="R3782" s="422" t="s">
        <v>1869</v>
      </c>
      <c r="S3782" s="422" t="s">
        <v>1861</v>
      </c>
      <c r="T3782" t="s">
        <v>4826</v>
      </c>
      <c r="U3782" s="422" t="s">
        <v>1953</v>
      </c>
      <c r="V3782" s="422" t="s">
        <v>2813</v>
      </c>
    </row>
    <row r="3783" spans="1:22" ht="15.75" thickBot="1" x14ac:dyDescent="0.3">
      <c r="A3783" t="s">
        <v>1916</v>
      </c>
      <c r="B3783" t="s">
        <v>1916</v>
      </c>
      <c r="C3783" s="424" t="str">
        <f t="shared" si="147"/>
        <v>Rodoviária do Alentejo, S.A.</v>
      </c>
      <c r="D3783" t="s">
        <v>629</v>
      </c>
      <c r="F3783" t="s">
        <v>620</v>
      </c>
      <c r="G3783" s="89">
        <v>2017</v>
      </c>
      <c r="H3783" s="313" t="s">
        <v>733</v>
      </c>
      <c r="I3783" s="311" t="str">
        <f t="shared" si="149"/>
        <v>Pesado de Passageiros M3:  : Gasóleo : E6</v>
      </c>
      <c r="J3783">
        <v>53</v>
      </c>
      <c r="K3783" s="422">
        <v>2023</v>
      </c>
      <c r="L3783">
        <v>50222.37</v>
      </c>
      <c r="M3783" t="s">
        <v>630</v>
      </c>
      <c r="N3783">
        <v>184119</v>
      </c>
      <c r="O3783" s="131">
        <f t="shared" si="148"/>
        <v>9758307</v>
      </c>
      <c r="P3783" s="89">
        <v>8449</v>
      </c>
      <c r="Q3783" s="422" t="s">
        <v>47</v>
      </c>
      <c r="R3783" s="422" t="s">
        <v>1869</v>
      </c>
      <c r="S3783" s="422" t="s">
        <v>1861</v>
      </c>
      <c r="T3783" t="s">
        <v>4826</v>
      </c>
      <c r="U3783" s="422" t="s">
        <v>1953</v>
      </c>
      <c r="V3783" s="422" t="s">
        <v>2813</v>
      </c>
    </row>
    <row r="3784" spans="1:22" ht="15.75" thickBot="1" x14ac:dyDescent="0.3">
      <c r="A3784" t="s">
        <v>1916</v>
      </c>
      <c r="B3784" t="s">
        <v>1916</v>
      </c>
      <c r="C3784" s="424" t="str">
        <f t="shared" si="147"/>
        <v>Rodoviária do Alentejo, S.A.</v>
      </c>
      <c r="D3784" t="s">
        <v>629</v>
      </c>
      <c r="F3784" t="s">
        <v>620</v>
      </c>
      <c r="G3784" s="89">
        <v>2017</v>
      </c>
      <c r="H3784" s="313" t="s">
        <v>733</v>
      </c>
      <c r="I3784" s="311" t="str">
        <f t="shared" si="149"/>
        <v>Pesado de Passageiros M3:  : Gasóleo : E6</v>
      </c>
      <c r="J3784">
        <v>53</v>
      </c>
      <c r="K3784" s="422">
        <v>2023</v>
      </c>
      <c r="L3784">
        <v>43677.16</v>
      </c>
      <c r="M3784" t="s">
        <v>630</v>
      </c>
      <c r="N3784">
        <v>159003</v>
      </c>
      <c r="O3784" s="131">
        <f t="shared" si="148"/>
        <v>8427159</v>
      </c>
      <c r="P3784" s="89">
        <v>8450</v>
      </c>
      <c r="Q3784" s="422" t="s">
        <v>47</v>
      </c>
      <c r="R3784" s="422" t="s">
        <v>1869</v>
      </c>
      <c r="S3784" s="422" t="s">
        <v>1861</v>
      </c>
      <c r="T3784" t="s">
        <v>4826</v>
      </c>
      <c r="U3784" s="422" t="s">
        <v>1953</v>
      </c>
      <c r="V3784" s="422" t="s">
        <v>2813</v>
      </c>
    </row>
    <row r="3785" spans="1:22" ht="15.75" thickBot="1" x14ac:dyDescent="0.3">
      <c r="A3785" t="s">
        <v>1916</v>
      </c>
      <c r="B3785" t="s">
        <v>1916</v>
      </c>
      <c r="C3785" s="424" t="str">
        <f t="shared" si="147"/>
        <v>Rodoviária do Alentejo, S.A.</v>
      </c>
      <c r="D3785" t="s">
        <v>629</v>
      </c>
      <c r="F3785" t="s">
        <v>620</v>
      </c>
      <c r="G3785" s="89">
        <v>2001</v>
      </c>
      <c r="H3785" s="313" t="s">
        <v>735</v>
      </c>
      <c r="I3785" s="311" t="str">
        <f t="shared" si="149"/>
        <v>Pesado de Passageiros M3:  : Gasóleo : E2</v>
      </c>
      <c r="J3785">
        <v>55</v>
      </c>
      <c r="K3785" s="422">
        <v>2023</v>
      </c>
      <c r="L3785">
        <v>25012.09</v>
      </c>
      <c r="M3785" t="s">
        <v>630</v>
      </c>
      <c r="N3785">
        <v>68206</v>
      </c>
      <c r="O3785" s="131">
        <f t="shared" si="148"/>
        <v>3751330</v>
      </c>
      <c r="P3785" s="89">
        <v>8451</v>
      </c>
      <c r="Q3785" s="422" t="s">
        <v>47</v>
      </c>
      <c r="R3785" s="422" t="s">
        <v>1869</v>
      </c>
      <c r="S3785" s="422" t="s">
        <v>1861</v>
      </c>
      <c r="T3785" t="s">
        <v>4824</v>
      </c>
      <c r="U3785" s="422" t="s">
        <v>1953</v>
      </c>
      <c r="V3785" s="422" t="s">
        <v>2813</v>
      </c>
    </row>
    <row r="3786" spans="1:22" ht="15.75" thickBot="1" x14ac:dyDescent="0.3">
      <c r="A3786" t="s">
        <v>1916</v>
      </c>
      <c r="B3786" t="s">
        <v>1916</v>
      </c>
      <c r="C3786" s="424" t="str">
        <f t="shared" si="147"/>
        <v>Rodoviária do Alentejo, S.A.</v>
      </c>
      <c r="D3786" t="s">
        <v>629</v>
      </c>
      <c r="F3786" t="s">
        <v>620</v>
      </c>
      <c r="G3786" s="89">
        <v>2001</v>
      </c>
      <c r="H3786" s="313" t="s">
        <v>735</v>
      </c>
      <c r="I3786" s="311" t="str">
        <f t="shared" si="149"/>
        <v>Pesado de Passageiros M3:  : Gasóleo : E2</v>
      </c>
      <c r="J3786">
        <v>55</v>
      </c>
      <c r="K3786" s="422">
        <v>2023</v>
      </c>
      <c r="L3786">
        <v>10021.76</v>
      </c>
      <c r="M3786" t="s">
        <v>630</v>
      </c>
      <c r="N3786">
        <v>27149</v>
      </c>
      <c r="O3786" s="131">
        <f t="shared" si="148"/>
        <v>1493195</v>
      </c>
      <c r="P3786" s="89">
        <v>8452</v>
      </c>
      <c r="Q3786" s="422" t="s">
        <v>47</v>
      </c>
      <c r="R3786" s="422" t="s">
        <v>1869</v>
      </c>
      <c r="S3786" s="422" t="s">
        <v>1861</v>
      </c>
      <c r="T3786" t="s">
        <v>4824</v>
      </c>
      <c r="U3786" s="422" t="s">
        <v>1953</v>
      </c>
      <c r="V3786" s="422" t="s">
        <v>2813</v>
      </c>
    </row>
    <row r="3787" spans="1:22" ht="15.75" thickBot="1" x14ac:dyDescent="0.3">
      <c r="A3787" t="s">
        <v>1916</v>
      </c>
      <c r="B3787" t="s">
        <v>1916</v>
      </c>
      <c r="C3787" s="424" t="str">
        <f t="shared" si="147"/>
        <v>Rodoviária do Alentejo, S.A.</v>
      </c>
      <c r="D3787" t="s">
        <v>629</v>
      </c>
      <c r="F3787" t="s">
        <v>620</v>
      </c>
      <c r="G3787" s="89">
        <v>2001</v>
      </c>
      <c r="H3787" s="313" t="s">
        <v>735</v>
      </c>
      <c r="I3787" s="311" t="str">
        <f t="shared" si="149"/>
        <v>Pesado de Passageiros M3:  : Gasóleo : E2</v>
      </c>
      <c r="J3787">
        <v>57</v>
      </c>
      <c r="K3787" s="422">
        <v>2023</v>
      </c>
      <c r="L3787">
        <v>12000.730000000001</v>
      </c>
      <c r="M3787" t="s">
        <v>630</v>
      </c>
      <c r="N3787">
        <v>35170</v>
      </c>
      <c r="O3787" s="131">
        <f t="shared" si="148"/>
        <v>2004690</v>
      </c>
      <c r="P3787" s="89">
        <v>8453</v>
      </c>
      <c r="Q3787" s="422" t="s">
        <v>47</v>
      </c>
      <c r="R3787" s="422" t="s">
        <v>1869</v>
      </c>
      <c r="S3787" s="422" t="s">
        <v>1861</v>
      </c>
      <c r="T3787" t="s">
        <v>4824</v>
      </c>
      <c r="U3787" s="422" t="s">
        <v>1953</v>
      </c>
      <c r="V3787" s="422" t="s">
        <v>2813</v>
      </c>
    </row>
    <row r="3788" spans="1:22" ht="15.75" thickBot="1" x14ac:dyDescent="0.3">
      <c r="A3788" t="s">
        <v>1916</v>
      </c>
      <c r="B3788" t="s">
        <v>1916</v>
      </c>
      <c r="C3788" s="424" t="str">
        <f t="shared" si="147"/>
        <v>Rodoviária do Alentejo, S.A.</v>
      </c>
      <c r="D3788" t="s">
        <v>629</v>
      </c>
      <c r="F3788" t="s">
        <v>620</v>
      </c>
      <c r="G3788" s="89">
        <v>2001</v>
      </c>
      <c r="H3788" s="313" t="s">
        <v>735</v>
      </c>
      <c r="I3788" s="311" t="str">
        <f t="shared" si="149"/>
        <v>Pesado de Passageiros M3:  : Gasóleo : E2</v>
      </c>
      <c r="J3788">
        <v>55</v>
      </c>
      <c r="K3788" s="422">
        <v>2023</v>
      </c>
      <c r="L3788">
        <v>14205.779999999999</v>
      </c>
      <c r="M3788" t="s">
        <v>630</v>
      </c>
      <c r="N3788">
        <v>44253</v>
      </c>
      <c r="O3788" s="131">
        <f t="shared" si="148"/>
        <v>2433915</v>
      </c>
      <c r="P3788" s="89">
        <v>8454</v>
      </c>
      <c r="Q3788" s="422" t="s">
        <v>47</v>
      </c>
      <c r="R3788" s="422" t="s">
        <v>1869</v>
      </c>
      <c r="S3788" s="422" t="s">
        <v>1861</v>
      </c>
      <c r="T3788" t="s">
        <v>4824</v>
      </c>
      <c r="U3788" s="422" t="s">
        <v>1953</v>
      </c>
      <c r="V3788" s="422" t="s">
        <v>2813</v>
      </c>
    </row>
    <row r="3789" spans="1:22" ht="15.75" thickBot="1" x14ac:dyDescent="0.3">
      <c r="A3789" t="s">
        <v>1916</v>
      </c>
      <c r="B3789" t="s">
        <v>1916</v>
      </c>
      <c r="C3789" s="424" t="str">
        <f t="shared" si="147"/>
        <v>Rodoviária do Alentejo, S.A.</v>
      </c>
      <c r="D3789" t="s">
        <v>629</v>
      </c>
      <c r="F3789" t="s">
        <v>620</v>
      </c>
      <c r="G3789" s="89">
        <v>2016</v>
      </c>
      <c r="H3789" s="313" t="s">
        <v>733</v>
      </c>
      <c r="I3789" s="311" t="str">
        <f t="shared" si="149"/>
        <v>Pesado de Passageiros M3:  : Gasóleo : E6</v>
      </c>
      <c r="J3789">
        <v>55</v>
      </c>
      <c r="K3789" s="422">
        <v>2023</v>
      </c>
      <c r="L3789">
        <v>17752.010000000002</v>
      </c>
      <c r="M3789" t="s">
        <v>630</v>
      </c>
      <c r="N3789">
        <v>61136</v>
      </c>
      <c r="O3789" s="131">
        <f t="shared" si="148"/>
        <v>3362480</v>
      </c>
      <c r="P3789" s="89">
        <v>8455</v>
      </c>
      <c r="Q3789" s="422" t="s">
        <v>47</v>
      </c>
      <c r="R3789" s="422" t="s">
        <v>1869</v>
      </c>
      <c r="S3789" s="422" t="s">
        <v>1861</v>
      </c>
      <c r="T3789" t="s">
        <v>4824</v>
      </c>
      <c r="U3789" s="422" t="s">
        <v>1953</v>
      </c>
      <c r="V3789" s="422" t="s">
        <v>2813</v>
      </c>
    </row>
    <row r="3790" spans="1:22" ht="15.75" thickBot="1" x14ac:dyDescent="0.3">
      <c r="A3790" t="s">
        <v>1916</v>
      </c>
      <c r="B3790" t="s">
        <v>1916</v>
      </c>
      <c r="C3790" s="424" t="str">
        <f t="shared" si="147"/>
        <v>Rodoviária do Alentejo, S.A.</v>
      </c>
      <c r="D3790" t="s">
        <v>629</v>
      </c>
      <c r="F3790" t="s">
        <v>620</v>
      </c>
      <c r="G3790" s="89">
        <v>2016</v>
      </c>
      <c r="H3790" s="313" t="s">
        <v>733</v>
      </c>
      <c r="I3790" s="311" t="str">
        <f t="shared" si="149"/>
        <v>Pesado de Passageiros M3:  : Gasóleo : E6</v>
      </c>
      <c r="J3790">
        <v>55</v>
      </c>
      <c r="K3790" s="422">
        <v>2023</v>
      </c>
      <c r="L3790">
        <v>25422.780000000006</v>
      </c>
      <c r="M3790" t="s">
        <v>630</v>
      </c>
      <c r="N3790">
        <v>87045</v>
      </c>
      <c r="O3790" s="131">
        <f t="shared" si="148"/>
        <v>4787475</v>
      </c>
      <c r="P3790" s="89">
        <v>8456</v>
      </c>
      <c r="Q3790" s="422" t="s">
        <v>47</v>
      </c>
      <c r="R3790" s="422" t="s">
        <v>1869</v>
      </c>
      <c r="S3790" s="422" t="s">
        <v>1861</v>
      </c>
      <c r="T3790" t="s">
        <v>4824</v>
      </c>
      <c r="U3790" s="422" t="s">
        <v>1953</v>
      </c>
      <c r="V3790" s="422" t="s">
        <v>2813</v>
      </c>
    </row>
    <row r="3791" spans="1:22" ht="15.75" thickBot="1" x14ac:dyDescent="0.3">
      <c r="A3791" t="s">
        <v>1916</v>
      </c>
      <c r="B3791" t="s">
        <v>1916</v>
      </c>
      <c r="C3791" s="424" t="str">
        <f t="shared" si="147"/>
        <v>Rodoviária do Alentejo, S.A.</v>
      </c>
      <c r="D3791" t="s">
        <v>629</v>
      </c>
      <c r="F3791" t="s">
        <v>620</v>
      </c>
      <c r="G3791" s="89">
        <v>2002</v>
      </c>
      <c r="H3791" s="313" t="s">
        <v>732</v>
      </c>
      <c r="I3791" s="311" t="str">
        <f t="shared" si="149"/>
        <v>Pesado de Passageiros M3:  : Gasóleo : E3</v>
      </c>
      <c r="J3791">
        <v>52</v>
      </c>
      <c r="K3791" s="422">
        <v>2023</v>
      </c>
      <c r="L3791">
        <v>15052.440000000002</v>
      </c>
      <c r="M3791" t="s">
        <v>630</v>
      </c>
      <c r="N3791">
        <v>45559</v>
      </c>
      <c r="O3791" s="131">
        <f t="shared" si="148"/>
        <v>2369068</v>
      </c>
      <c r="P3791" s="89">
        <v>8457</v>
      </c>
      <c r="Q3791" s="422" t="s">
        <v>47</v>
      </c>
      <c r="R3791" s="422" t="s">
        <v>1869</v>
      </c>
      <c r="S3791" s="422" t="s">
        <v>1861</v>
      </c>
      <c r="T3791" t="s">
        <v>4824</v>
      </c>
      <c r="U3791" s="422" t="s">
        <v>1953</v>
      </c>
      <c r="V3791" s="422" t="s">
        <v>2813</v>
      </c>
    </row>
    <row r="3792" spans="1:22" ht="15.75" thickBot="1" x14ac:dyDescent="0.3">
      <c r="A3792" t="s">
        <v>1916</v>
      </c>
      <c r="B3792" t="s">
        <v>1916</v>
      </c>
      <c r="C3792" s="424" t="str">
        <f t="shared" si="147"/>
        <v>Rodoviária do Alentejo, S.A.</v>
      </c>
      <c r="D3792" t="s">
        <v>629</v>
      </c>
      <c r="F3792" t="s">
        <v>620</v>
      </c>
      <c r="G3792" s="89">
        <v>2001</v>
      </c>
      <c r="H3792" s="313" t="s">
        <v>735</v>
      </c>
      <c r="I3792" s="311" t="str">
        <f t="shared" si="149"/>
        <v>Pesado de Passageiros M3:  : Gasóleo : E2</v>
      </c>
      <c r="J3792">
        <v>50</v>
      </c>
      <c r="K3792" s="422">
        <v>2023</v>
      </c>
      <c r="L3792">
        <v>7640.65</v>
      </c>
      <c r="M3792" t="s">
        <v>630</v>
      </c>
      <c r="N3792">
        <v>19560</v>
      </c>
      <c r="O3792" s="131">
        <f t="shared" si="148"/>
        <v>978000</v>
      </c>
      <c r="P3792" s="89">
        <v>8458</v>
      </c>
      <c r="Q3792" s="422" t="s">
        <v>47</v>
      </c>
      <c r="R3792" s="422" t="s">
        <v>1869</v>
      </c>
      <c r="S3792" s="422" t="s">
        <v>1861</v>
      </c>
      <c r="T3792" t="s">
        <v>4824</v>
      </c>
      <c r="U3792" s="422" t="s">
        <v>1953</v>
      </c>
      <c r="V3792" s="422" t="s">
        <v>2813</v>
      </c>
    </row>
    <row r="3793" spans="1:22" ht="15.75" thickBot="1" x14ac:dyDescent="0.3">
      <c r="A3793" t="s">
        <v>1916</v>
      </c>
      <c r="B3793" t="s">
        <v>1916</v>
      </c>
      <c r="C3793" s="424" t="str">
        <f t="shared" si="147"/>
        <v>Rodoviária do Alentejo, S.A.</v>
      </c>
      <c r="D3793" t="s">
        <v>629</v>
      </c>
      <c r="F3793" t="s">
        <v>620</v>
      </c>
      <c r="G3793" s="89">
        <v>2001</v>
      </c>
      <c r="H3793" s="313" t="s">
        <v>735</v>
      </c>
      <c r="I3793" s="311" t="str">
        <f t="shared" si="149"/>
        <v>Pesado de Passageiros M3:  : Gasóleo : E2</v>
      </c>
      <c r="J3793">
        <v>50</v>
      </c>
      <c r="K3793" s="422">
        <v>2023</v>
      </c>
      <c r="L3793">
        <v>14836.410000000002</v>
      </c>
      <c r="M3793" t="s">
        <v>630</v>
      </c>
      <c r="N3793">
        <v>47526</v>
      </c>
      <c r="O3793" s="131">
        <f t="shared" si="148"/>
        <v>2376300</v>
      </c>
      <c r="P3793" s="89">
        <v>8459</v>
      </c>
      <c r="Q3793" s="422" t="s">
        <v>47</v>
      </c>
      <c r="R3793" s="422" t="s">
        <v>1869</v>
      </c>
      <c r="S3793" s="422" t="s">
        <v>1861</v>
      </c>
      <c r="T3793" t="s">
        <v>4824</v>
      </c>
      <c r="U3793" s="422" t="s">
        <v>1953</v>
      </c>
      <c r="V3793" s="422" t="s">
        <v>2813</v>
      </c>
    </row>
    <row r="3794" spans="1:22" ht="15.75" thickBot="1" x14ac:dyDescent="0.3">
      <c r="A3794" t="s">
        <v>1916</v>
      </c>
      <c r="B3794" t="s">
        <v>1916</v>
      </c>
      <c r="C3794" s="424" t="str">
        <f t="shared" si="147"/>
        <v>Rodoviária do Alentejo, S.A.</v>
      </c>
      <c r="D3794" t="s">
        <v>629</v>
      </c>
      <c r="F3794" t="s">
        <v>620</v>
      </c>
      <c r="G3794" s="89">
        <v>2022</v>
      </c>
      <c r="H3794" s="313" t="s">
        <v>732</v>
      </c>
      <c r="I3794" s="311" t="str">
        <f t="shared" si="149"/>
        <v>Pesado de Passageiros M3:  : Gasóleo : E3</v>
      </c>
      <c r="J3794">
        <v>61</v>
      </c>
      <c r="K3794" s="422">
        <v>2023</v>
      </c>
      <c r="L3794">
        <v>13516.260000000002</v>
      </c>
      <c r="M3794" t="s">
        <v>630</v>
      </c>
      <c r="N3794">
        <v>35141</v>
      </c>
      <c r="O3794" s="131">
        <f t="shared" si="148"/>
        <v>2143601</v>
      </c>
      <c r="P3794" s="89">
        <v>8460</v>
      </c>
      <c r="Q3794" s="422" t="s">
        <v>47</v>
      </c>
      <c r="R3794" s="422" t="s">
        <v>1869</v>
      </c>
      <c r="S3794" s="422" t="s">
        <v>1861</v>
      </c>
      <c r="T3794" t="s">
        <v>4824</v>
      </c>
      <c r="U3794" s="422" t="s">
        <v>1953</v>
      </c>
      <c r="V3794" s="422" t="s">
        <v>2813</v>
      </c>
    </row>
    <row r="3795" spans="1:22" ht="15.75" thickBot="1" x14ac:dyDescent="0.3">
      <c r="A3795" t="s">
        <v>1916</v>
      </c>
      <c r="B3795" t="s">
        <v>1916</v>
      </c>
      <c r="C3795" s="424" t="str">
        <f t="shared" si="147"/>
        <v>Rodoviária do Alentejo, S.A.</v>
      </c>
      <c r="D3795" t="s">
        <v>629</v>
      </c>
      <c r="F3795" t="s">
        <v>620</v>
      </c>
      <c r="G3795" s="89">
        <v>2018</v>
      </c>
      <c r="H3795" s="313" t="s">
        <v>733</v>
      </c>
      <c r="I3795" s="311" t="str">
        <f t="shared" si="149"/>
        <v>Pesado de Passageiros M3:  : Gasóleo : E6</v>
      </c>
      <c r="J3795">
        <v>55</v>
      </c>
      <c r="K3795" s="422">
        <v>2023</v>
      </c>
      <c r="L3795">
        <v>37474.85</v>
      </c>
      <c r="M3795" t="s">
        <v>630</v>
      </c>
      <c r="N3795">
        <v>143719</v>
      </c>
      <c r="O3795" s="131">
        <f t="shared" si="148"/>
        <v>7904545</v>
      </c>
      <c r="P3795" s="89">
        <v>8461</v>
      </c>
      <c r="Q3795" s="422" t="s">
        <v>47</v>
      </c>
      <c r="R3795" s="422" t="s">
        <v>1869</v>
      </c>
      <c r="S3795" s="422" t="s">
        <v>1861</v>
      </c>
      <c r="T3795" t="s">
        <v>4826</v>
      </c>
      <c r="U3795" s="422" t="s">
        <v>1953</v>
      </c>
      <c r="V3795" s="422" t="s">
        <v>2813</v>
      </c>
    </row>
    <row r="3796" spans="1:22" ht="15.75" thickBot="1" x14ac:dyDescent="0.3">
      <c r="A3796" t="s">
        <v>1916</v>
      </c>
      <c r="B3796" t="s">
        <v>1916</v>
      </c>
      <c r="C3796" s="424" t="str">
        <f t="shared" si="147"/>
        <v>Rodoviária do Alentejo, S.A.</v>
      </c>
      <c r="D3796" t="s">
        <v>629</v>
      </c>
      <c r="F3796" t="s">
        <v>620</v>
      </c>
      <c r="G3796" s="89">
        <v>2009</v>
      </c>
      <c r="H3796" s="313" t="s">
        <v>734</v>
      </c>
      <c r="I3796" s="311" t="str">
        <f t="shared" si="149"/>
        <v>Pesado de Passageiros M3:  : Gasóleo : E5</v>
      </c>
      <c r="J3796">
        <v>84</v>
      </c>
      <c r="K3796" s="422">
        <v>2023</v>
      </c>
      <c r="L3796">
        <v>7961.06</v>
      </c>
      <c r="M3796" t="s">
        <v>630</v>
      </c>
      <c r="N3796">
        <v>25675</v>
      </c>
      <c r="O3796" s="131">
        <f t="shared" si="148"/>
        <v>2156700</v>
      </c>
      <c r="P3796" s="89">
        <v>8500</v>
      </c>
      <c r="Q3796" s="422" t="s">
        <v>47</v>
      </c>
      <c r="R3796" s="422" t="s">
        <v>1869</v>
      </c>
      <c r="S3796" s="422" t="s">
        <v>1861</v>
      </c>
      <c r="T3796" t="s">
        <v>4823</v>
      </c>
      <c r="U3796" s="422" t="s">
        <v>1953</v>
      </c>
      <c r="V3796" s="422" t="s">
        <v>2813</v>
      </c>
    </row>
    <row r="3797" spans="1:22" ht="15.75" thickBot="1" x14ac:dyDescent="0.3">
      <c r="A3797" t="s">
        <v>1916</v>
      </c>
      <c r="B3797" t="s">
        <v>1916</v>
      </c>
      <c r="C3797" s="424" t="str">
        <f t="shared" si="147"/>
        <v>Rodoviária do Alentejo, S.A.</v>
      </c>
      <c r="D3797" t="s">
        <v>629</v>
      </c>
      <c r="F3797" t="s">
        <v>620</v>
      </c>
      <c r="G3797" s="89">
        <v>2010</v>
      </c>
      <c r="H3797" s="313" t="s">
        <v>734</v>
      </c>
      <c r="I3797" s="311" t="str">
        <f t="shared" si="149"/>
        <v>Pesado de Passageiros M3:  : Gasóleo : E5</v>
      </c>
      <c r="J3797">
        <v>86</v>
      </c>
      <c r="K3797" s="422">
        <v>2023</v>
      </c>
      <c r="L3797">
        <v>16259.550000000001</v>
      </c>
      <c r="M3797" t="s">
        <v>630</v>
      </c>
      <c r="N3797">
        <v>47523</v>
      </c>
      <c r="O3797" s="131">
        <f t="shared" si="148"/>
        <v>4086978</v>
      </c>
      <c r="P3797" s="89">
        <v>8501</v>
      </c>
      <c r="Q3797" s="422" t="s">
        <v>47</v>
      </c>
      <c r="R3797" s="422" t="s">
        <v>1869</v>
      </c>
      <c r="S3797" s="422" t="s">
        <v>1861</v>
      </c>
      <c r="T3797" t="s">
        <v>4823</v>
      </c>
      <c r="U3797" s="422" t="s">
        <v>1953</v>
      </c>
      <c r="V3797" s="422" t="s">
        <v>2813</v>
      </c>
    </row>
    <row r="3798" spans="1:22" ht="15.75" thickBot="1" x14ac:dyDescent="0.3">
      <c r="A3798" t="s">
        <v>1916</v>
      </c>
      <c r="B3798" t="s">
        <v>1916</v>
      </c>
      <c r="C3798" s="424" t="str">
        <f t="shared" si="147"/>
        <v>Rodoviária do Alentejo, S.A.</v>
      </c>
      <c r="D3798" t="s">
        <v>629</v>
      </c>
      <c r="F3798" t="s">
        <v>620</v>
      </c>
      <c r="G3798" s="89">
        <v>2006</v>
      </c>
      <c r="H3798" s="313" t="s">
        <v>732</v>
      </c>
      <c r="I3798" s="311" t="str">
        <f t="shared" si="149"/>
        <v>Pesado de Passageiros M3:  : Gasóleo : E3</v>
      </c>
      <c r="J3798">
        <v>78</v>
      </c>
      <c r="K3798" s="422">
        <v>2023</v>
      </c>
      <c r="L3798">
        <v>17635.72</v>
      </c>
      <c r="M3798" t="s">
        <v>630</v>
      </c>
      <c r="N3798">
        <v>51725</v>
      </c>
      <c r="O3798" s="131">
        <f t="shared" si="148"/>
        <v>4034550</v>
      </c>
      <c r="P3798" s="89">
        <v>8502</v>
      </c>
      <c r="Q3798" s="422" t="s">
        <v>47</v>
      </c>
      <c r="R3798" s="422" t="s">
        <v>1869</v>
      </c>
      <c r="S3798" s="422" t="s">
        <v>1861</v>
      </c>
      <c r="T3798" t="s">
        <v>4825</v>
      </c>
      <c r="U3798" s="422" t="s">
        <v>1953</v>
      </c>
      <c r="V3798" s="422" t="s">
        <v>2813</v>
      </c>
    </row>
    <row r="3799" spans="1:22" ht="15.75" thickBot="1" x14ac:dyDescent="0.3">
      <c r="A3799" t="s">
        <v>1916</v>
      </c>
      <c r="B3799" t="s">
        <v>1916</v>
      </c>
      <c r="C3799" s="424" t="str">
        <f t="shared" si="147"/>
        <v>Rodoviária do Alentejo, S.A.</v>
      </c>
      <c r="D3799" t="s">
        <v>629</v>
      </c>
      <c r="F3799" t="s">
        <v>620</v>
      </c>
      <c r="G3799" s="89">
        <v>2008</v>
      </c>
      <c r="H3799" s="313" t="s">
        <v>731</v>
      </c>
      <c r="I3799" s="311" t="str">
        <f t="shared" si="149"/>
        <v>Pesado de Passageiros M3:  : Gasóleo : E4</v>
      </c>
      <c r="J3799">
        <v>23</v>
      </c>
      <c r="K3799" s="422">
        <v>2023</v>
      </c>
      <c r="L3799">
        <v>5887.46</v>
      </c>
      <c r="M3799" t="s">
        <v>630</v>
      </c>
      <c r="N3799">
        <v>34987</v>
      </c>
      <c r="O3799" s="131">
        <f t="shared" si="148"/>
        <v>804701</v>
      </c>
      <c r="P3799" s="89">
        <v>8503</v>
      </c>
      <c r="Q3799" s="422" t="s">
        <v>47</v>
      </c>
      <c r="R3799" s="422" t="s">
        <v>1869</v>
      </c>
      <c r="S3799" s="422" t="s">
        <v>1861</v>
      </c>
      <c r="T3799" t="s">
        <v>4825</v>
      </c>
      <c r="U3799" s="422" t="s">
        <v>1953</v>
      </c>
      <c r="V3799" s="422" t="s">
        <v>2813</v>
      </c>
    </row>
    <row r="3800" spans="1:22" ht="15.75" thickBot="1" x14ac:dyDescent="0.3">
      <c r="A3800" t="s">
        <v>1916</v>
      </c>
      <c r="B3800" t="s">
        <v>1916</v>
      </c>
      <c r="C3800" s="424" t="str">
        <f t="shared" ref="C3800:C3863" si="150">IF(A3800=B3800,B3800,RIGHT(A3800,LEN(A3800)-LEN(B3800)-3))</f>
        <v>Rodoviária do Alentejo, S.A.</v>
      </c>
      <c r="D3800" t="s">
        <v>629</v>
      </c>
      <c r="F3800" t="s">
        <v>620</v>
      </c>
      <c r="G3800" s="89">
        <v>2006</v>
      </c>
      <c r="H3800" s="313" t="s">
        <v>731</v>
      </c>
      <c r="I3800" s="311" t="str">
        <f t="shared" si="149"/>
        <v>Pesado de Passageiros M3:  : Gasóleo : E4</v>
      </c>
      <c r="J3800">
        <v>80</v>
      </c>
      <c r="K3800" s="422">
        <v>2023</v>
      </c>
      <c r="L3800">
        <v>15335.29</v>
      </c>
      <c r="M3800" t="s">
        <v>630</v>
      </c>
      <c r="N3800">
        <v>48282</v>
      </c>
      <c r="O3800" s="131">
        <f t="shared" si="148"/>
        <v>3862560</v>
      </c>
      <c r="P3800" s="89">
        <v>8504</v>
      </c>
      <c r="Q3800" s="422" t="s">
        <v>47</v>
      </c>
      <c r="R3800" s="422" t="s">
        <v>1869</v>
      </c>
      <c r="S3800" s="422" t="s">
        <v>1861</v>
      </c>
      <c r="T3800" t="s">
        <v>4825</v>
      </c>
      <c r="U3800" s="422" t="s">
        <v>1953</v>
      </c>
      <c r="V3800" s="422" t="s">
        <v>2813</v>
      </c>
    </row>
    <row r="3801" spans="1:22" ht="15.75" thickBot="1" x14ac:dyDescent="0.3">
      <c r="A3801" t="s">
        <v>1916</v>
      </c>
      <c r="B3801" t="s">
        <v>1916</v>
      </c>
      <c r="C3801" s="424" t="str">
        <f t="shared" si="150"/>
        <v>Rodoviária do Alentejo, S.A.</v>
      </c>
      <c r="D3801" t="s">
        <v>629</v>
      </c>
      <c r="F3801" t="s">
        <v>620</v>
      </c>
      <c r="G3801" s="89">
        <v>2019</v>
      </c>
      <c r="H3801" s="313" t="s">
        <v>733</v>
      </c>
      <c r="I3801" s="311" t="str">
        <f t="shared" si="149"/>
        <v>Pesado de Passageiros M3:  : Gasóleo : E6</v>
      </c>
      <c r="J3801">
        <v>53</v>
      </c>
      <c r="K3801" s="422">
        <v>2023</v>
      </c>
      <c r="L3801">
        <v>12366.599999999999</v>
      </c>
      <c r="M3801" t="s">
        <v>630</v>
      </c>
      <c r="N3801">
        <v>47036</v>
      </c>
      <c r="O3801" s="131">
        <f t="shared" ref="O3801:O3864" si="151">N3801*J3801</f>
        <v>2492908</v>
      </c>
      <c r="P3801" s="89">
        <v>8505</v>
      </c>
      <c r="Q3801" s="422" t="s">
        <v>47</v>
      </c>
      <c r="R3801" s="422" t="s">
        <v>1869</v>
      </c>
      <c r="S3801" s="422" t="s">
        <v>1861</v>
      </c>
      <c r="T3801" t="s">
        <v>4823</v>
      </c>
      <c r="U3801" s="422" t="s">
        <v>1953</v>
      </c>
      <c r="V3801" s="422" t="s">
        <v>2813</v>
      </c>
    </row>
    <row r="3802" spans="1:22" ht="15.75" thickBot="1" x14ac:dyDescent="0.3">
      <c r="A3802" t="s">
        <v>1916</v>
      </c>
      <c r="B3802" t="s">
        <v>1916</v>
      </c>
      <c r="C3802" s="424" t="str">
        <f t="shared" si="150"/>
        <v>Rodoviária do Alentejo, S.A.</v>
      </c>
      <c r="D3802" t="s">
        <v>629</v>
      </c>
      <c r="F3802" t="s">
        <v>620</v>
      </c>
      <c r="G3802" s="89">
        <v>2006</v>
      </c>
      <c r="H3802" s="313" t="s">
        <v>732</v>
      </c>
      <c r="I3802" s="311" t="str">
        <f t="shared" si="149"/>
        <v>Pesado de Passageiros M3:  : Gasóleo : E3</v>
      </c>
      <c r="J3802">
        <v>74</v>
      </c>
      <c r="K3802" s="422">
        <v>2023</v>
      </c>
      <c r="L3802">
        <v>15050.929999999998</v>
      </c>
      <c r="M3802" t="s">
        <v>630</v>
      </c>
      <c r="N3802">
        <v>47753</v>
      </c>
      <c r="O3802" s="131">
        <f t="shared" si="151"/>
        <v>3533722</v>
      </c>
      <c r="P3802" s="89">
        <v>8506</v>
      </c>
      <c r="Q3802" s="422" t="s">
        <v>47</v>
      </c>
      <c r="R3802" s="422" t="s">
        <v>1869</v>
      </c>
      <c r="S3802" s="422" t="s">
        <v>1861</v>
      </c>
      <c r="T3802" t="s">
        <v>4825</v>
      </c>
      <c r="U3802" s="422" t="s">
        <v>1953</v>
      </c>
      <c r="V3802" s="422" t="s">
        <v>2813</v>
      </c>
    </row>
    <row r="3803" spans="1:22" ht="15.75" thickBot="1" x14ac:dyDescent="0.3">
      <c r="A3803" t="s">
        <v>1916</v>
      </c>
      <c r="B3803" t="s">
        <v>1916</v>
      </c>
      <c r="C3803" s="424" t="str">
        <f t="shared" si="150"/>
        <v>Rodoviária do Alentejo, S.A.</v>
      </c>
      <c r="D3803" t="s">
        <v>629</v>
      </c>
      <c r="F3803" t="s">
        <v>620</v>
      </c>
      <c r="G3803" s="89">
        <v>2010</v>
      </c>
      <c r="H3803" s="313" t="s">
        <v>731</v>
      </c>
      <c r="I3803" s="311" t="str">
        <f t="shared" si="149"/>
        <v>Pesado de Passageiros M3:  : Gasóleo : E4</v>
      </c>
      <c r="J3803">
        <v>53</v>
      </c>
      <c r="K3803" s="422">
        <v>2023</v>
      </c>
      <c r="L3803">
        <v>9690.9999999999982</v>
      </c>
      <c r="M3803" t="s">
        <v>630</v>
      </c>
      <c r="N3803">
        <v>28993</v>
      </c>
      <c r="O3803" s="131">
        <f t="shared" si="151"/>
        <v>1536629</v>
      </c>
      <c r="P3803" s="89">
        <v>8507</v>
      </c>
      <c r="Q3803" s="422" t="s">
        <v>47</v>
      </c>
      <c r="R3803" s="422" t="s">
        <v>1869</v>
      </c>
      <c r="S3803" s="422" t="s">
        <v>1861</v>
      </c>
      <c r="T3803" t="s">
        <v>4823</v>
      </c>
      <c r="U3803" s="422" t="s">
        <v>1953</v>
      </c>
      <c r="V3803" s="422" t="s">
        <v>2813</v>
      </c>
    </row>
    <row r="3804" spans="1:22" ht="15.75" thickBot="1" x14ac:dyDescent="0.3">
      <c r="A3804" t="s">
        <v>1916</v>
      </c>
      <c r="B3804" t="s">
        <v>1916</v>
      </c>
      <c r="C3804" s="424" t="str">
        <f t="shared" si="150"/>
        <v>Rodoviária do Alentejo, S.A.</v>
      </c>
      <c r="D3804" t="s">
        <v>629</v>
      </c>
      <c r="F3804" t="s">
        <v>620</v>
      </c>
      <c r="G3804" s="89">
        <v>2008</v>
      </c>
      <c r="H3804" s="313" t="s">
        <v>731</v>
      </c>
      <c r="I3804" s="311" t="str">
        <f t="shared" si="149"/>
        <v>Pesado de Passageiros M3:  : Gasóleo : E4</v>
      </c>
      <c r="J3804">
        <v>69</v>
      </c>
      <c r="K3804" s="422">
        <v>2023</v>
      </c>
      <c r="L3804">
        <v>24231.279999999995</v>
      </c>
      <c r="M3804" t="s">
        <v>630</v>
      </c>
      <c r="N3804">
        <v>77934</v>
      </c>
      <c r="O3804" s="131">
        <f t="shared" si="151"/>
        <v>5377446</v>
      </c>
      <c r="P3804" s="89">
        <v>8508</v>
      </c>
      <c r="Q3804" s="422" t="s">
        <v>47</v>
      </c>
      <c r="R3804" s="422" t="s">
        <v>1869</v>
      </c>
      <c r="S3804" s="422" t="s">
        <v>1861</v>
      </c>
      <c r="T3804" t="s">
        <v>4823</v>
      </c>
      <c r="U3804" s="422" t="s">
        <v>1953</v>
      </c>
      <c r="V3804" s="422" t="s">
        <v>2813</v>
      </c>
    </row>
    <row r="3805" spans="1:22" ht="15.75" thickBot="1" x14ac:dyDescent="0.3">
      <c r="A3805" t="s">
        <v>1916</v>
      </c>
      <c r="B3805" t="s">
        <v>1916</v>
      </c>
      <c r="C3805" s="424" t="str">
        <f t="shared" si="150"/>
        <v>Rodoviária do Alentejo, S.A.</v>
      </c>
      <c r="D3805" t="s">
        <v>629</v>
      </c>
      <c r="F3805" t="s">
        <v>620</v>
      </c>
      <c r="G3805" s="89">
        <v>2008</v>
      </c>
      <c r="H3805" s="313" t="s">
        <v>731</v>
      </c>
      <c r="I3805" s="311" t="str">
        <f t="shared" si="149"/>
        <v>Pesado de Passageiros M3:  : Gasóleo : E4</v>
      </c>
      <c r="J3805">
        <v>88</v>
      </c>
      <c r="K3805" s="422">
        <v>2023</v>
      </c>
      <c r="L3805">
        <v>12788.429999999998</v>
      </c>
      <c r="M3805" t="s">
        <v>630</v>
      </c>
      <c r="N3805">
        <v>36250</v>
      </c>
      <c r="O3805" s="131">
        <f t="shared" si="151"/>
        <v>3190000</v>
      </c>
      <c r="P3805" s="89">
        <v>8511</v>
      </c>
      <c r="Q3805" s="422" t="s">
        <v>47</v>
      </c>
      <c r="R3805" s="422" t="s">
        <v>1869</v>
      </c>
      <c r="S3805" s="422" t="s">
        <v>1861</v>
      </c>
      <c r="T3805" t="s">
        <v>4823</v>
      </c>
      <c r="U3805" s="422" t="s">
        <v>1953</v>
      </c>
      <c r="V3805" s="422" t="s">
        <v>2813</v>
      </c>
    </row>
    <row r="3806" spans="1:22" ht="15.75" thickBot="1" x14ac:dyDescent="0.3">
      <c r="A3806" t="s">
        <v>1916</v>
      </c>
      <c r="B3806" t="s">
        <v>1916</v>
      </c>
      <c r="C3806" s="424" t="str">
        <f t="shared" si="150"/>
        <v>Rodoviária do Alentejo, S.A.</v>
      </c>
      <c r="D3806" t="s">
        <v>629</v>
      </c>
      <c r="F3806" t="s">
        <v>620</v>
      </c>
      <c r="G3806" s="89">
        <v>2007</v>
      </c>
      <c r="H3806" s="313" t="s">
        <v>731</v>
      </c>
      <c r="I3806" s="311" t="str">
        <f t="shared" si="149"/>
        <v>Pesado de Passageiros M3:  : Gasóleo : E4</v>
      </c>
      <c r="J3806">
        <v>81</v>
      </c>
      <c r="K3806" s="422">
        <v>2023</v>
      </c>
      <c r="L3806">
        <v>13183.58</v>
      </c>
      <c r="M3806" t="s">
        <v>630</v>
      </c>
      <c r="N3806">
        <v>39384</v>
      </c>
      <c r="O3806" s="131">
        <f t="shared" si="151"/>
        <v>3190104</v>
      </c>
      <c r="P3806" s="89">
        <v>8513</v>
      </c>
      <c r="Q3806" s="422" t="s">
        <v>47</v>
      </c>
      <c r="R3806" s="422" t="s">
        <v>1869</v>
      </c>
      <c r="S3806" s="422" t="s">
        <v>1861</v>
      </c>
      <c r="T3806" t="s">
        <v>4823</v>
      </c>
      <c r="U3806" s="422" t="s">
        <v>1953</v>
      </c>
      <c r="V3806" s="422" t="s">
        <v>2813</v>
      </c>
    </row>
    <row r="3807" spans="1:22" ht="15.75" thickBot="1" x14ac:dyDescent="0.3">
      <c r="A3807" t="s">
        <v>1916</v>
      </c>
      <c r="B3807" t="s">
        <v>1916</v>
      </c>
      <c r="C3807" s="424" t="str">
        <f t="shared" si="150"/>
        <v>Rodoviária do Alentejo, S.A.</v>
      </c>
      <c r="D3807" t="s">
        <v>629</v>
      </c>
      <c r="F3807" t="s">
        <v>620</v>
      </c>
      <c r="G3807" s="89">
        <v>2007</v>
      </c>
      <c r="H3807" s="313" t="s">
        <v>731</v>
      </c>
      <c r="I3807" s="311" t="str">
        <f t="shared" si="149"/>
        <v>Pesado de Passageiros M3:  : Gasóleo : E4</v>
      </c>
      <c r="J3807">
        <v>76</v>
      </c>
      <c r="K3807" s="422">
        <v>2023</v>
      </c>
      <c r="L3807">
        <v>10061.920000000002</v>
      </c>
      <c r="M3807" t="s">
        <v>630</v>
      </c>
      <c r="N3807">
        <v>28291</v>
      </c>
      <c r="O3807" s="131">
        <f t="shared" si="151"/>
        <v>2150116</v>
      </c>
      <c r="P3807" s="89">
        <v>8515</v>
      </c>
      <c r="Q3807" s="422" t="s">
        <v>47</v>
      </c>
      <c r="R3807" s="422" t="s">
        <v>1869</v>
      </c>
      <c r="S3807" s="422" t="s">
        <v>1861</v>
      </c>
      <c r="T3807" t="s">
        <v>4825</v>
      </c>
      <c r="U3807" s="422" t="s">
        <v>1953</v>
      </c>
      <c r="V3807" s="422" t="s">
        <v>2813</v>
      </c>
    </row>
    <row r="3808" spans="1:22" ht="15.75" thickBot="1" x14ac:dyDescent="0.3">
      <c r="A3808" t="s">
        <v>1916</v>
      </c>
      <c r="B3808" t="s">
        <v>1916</v>
      </c>
      <c r="C3808" s="424" t="str">
        <f t="shared" si="150"/>
        <v>Rodoviária do Alentejo, S.A.</v>
      </c>
      <c r="D3808" t="s">
        <v>629</v>
      </c>
      <c r="F3808" t="s">
        <v>620</v>
      </c>
      <c r="G3808" s="89">
        <v>2009</v>
      </c>
      <c r="H3808" s="313" t="s">
        <v>731</v>
      </c>
      <c r="I3808" s="311" t="str">
        <f t="shared" si="149"/>
        <v>Pesado de Passageiros M3:  : Gasóleo : E4</v>
      </c>
      <c r="J3808">
        <v>84</v>
      </c>
      <c r="K3808" s="422">
        <v>2023</v>
      </c>
      <c r="L3808">
        <v>3852.38</v>
      </c>
      <c r="M3808" t="s">
        <v>630</v>
      </c>
      <c r="N3808">
        <v>11316</v>
      </c>
      <c r="O3808" s="131">
        <f t="shared" si="151"/>
        <v>950544</v>
      </c>
      <c r="P3808" s="89">
        <v>8516</v>
      </c>
      <c r="Q3808" s="422" t="s">
        <v>47</v>
      </c>
      <c r="R3808" s="422" t="s">
        <v>1869</v>
      </c>
      <c r="S3808" s="422" t="s">
        <v>1861</v>
      </c>
      <c r="T3808" t="s">
        <v>4825</v>
      </c>
      <c r="U3808" s="422" t="s">
        <v>1953</v>
      </c>
      <c r="V3808" s="422" t="s">
        <v>2813</v>
      </c>
    </row>
    <row r="3809" spans="1:22" ht="15.75" thickBot="1" x14ac:dyDescent="0.3">
      <c r="A3809" t="s">
        <v>1916</v>
      </c>
      <c r="B3809" t="s">
        <v>1916</v>
      </c>
      <c r="C3809" s="424" t="str">
        <f t="shared" si="150"/>
        <v>Rodoviária do Alentejo, S.A.</v>
      </c>
      <c r="D3809" t="s">
        <v>629</v>
      </c>
      <c r="F3809" t="s">
        <v>620</v>
      </c>
      <c r="G3809" s="89">
        <v>2008</v>
      </c>
      <c r="H3809" s="313" t="s">
        <v>731</v>
      </c>
      <c r="I3809" s="311" t="str">
        <f t="shared" si="149"/>
        <v>Pesado de Passageiros M3:  : Gasóleo : E4</v>
      </c>
      <c r="J3809">
        <v>55</v>
      </c>
      <c r="K3809" s="422">
        <v>2023</v>
      </c>
      <c r="L3809">
        <v>33264.36</v>
      </c>
      <c r="M3809" t="s">
        <v>630</v>
      </c>
      <c r="N3809">
        <v>112827</v>
      </c>
      <c r="O3809" s="131">
        <f t="shared" si="151"/>
        <v>6205485</v>
      </c>
      <c r="P3809" s="89">
        <v>8517</v>
      </c>
      <c r="Q3809" s="422" t="s">
        <v>47</v>
      </c>
      <c r="R3809" s="422" t="s">
        <v>1869</v>
      </c>
      <c r="S3809" s="422" t="s">
        <v>1861</v>
      </c>
      <c r="T3809" t="s">
        <v>4823</v>
      </c>
      <c r="U3809" s="422" t="s">
        <v>1953</v>
      </c>
      <c r="V3809" s="422" t="s">
        <v>2813</v>
      </c>
    </row>
    <row r="3810" spans="1:22" ht="15.75" thickBot="1" x14ac:dyDescent="0.3">
      <c r="A3810" t="s">
        <v>1916</v>
      </c>
      <c r="B3810" t="s">
        <v>1916</v>
      </c>
      <c r="C3810" s="424" t="str">
        <f t="shared" si="150"/>
        <v>Rodoviária do Alentejo, S.A.</v>
      </c>
      <c r="D3810" t="s">
        <v>629</v>
      </c>
      <c r="F3810" t="s">
        <v>620</v>
      </c>
      <c r="G3810" s="89">
        <v>2008</v>
      </c>
      <c r="H3810" s="313" t="s">
        <v>731</v>
      </c>
      <c r="I3810" s="311" t="str">
        <f t="shared" si="149"/>
        <v>Pesado de Passageiros M3:  : Gasóleo : E4</v>
      </c>
      <c r="J3810">
        <v>93</v>
      </c>
      <c r="K3810" s="422">
        <v>2023</v>
      </c>
      <c r="L3810">
        <v>15508.130000000001</v>
      </c>
      <c r="M3810" t="s">
        <v>630</v>
      </c>
      <c r="N3810">
        <v>38487</v>
      </c>
      <c r="O3810" s="131">
        <f t="shared" si="151"/>
        <v>3579291</v>
      </c>
      <c r="P3810" s="89">
        <v>8518</v>
      </c>
      <c r="Q3810" s="422" t="s">
        <v>47</v>
      </c>
      <c r="R3810" s="422" t="s">
        <v>1869</v>
      </c>
      <c r="S3810" s="422" t="s">
        <v>1861</v>
      </c>
      <c r="T3810" t="s">
        <v>4823</v>
      </c>
      <c r="U3810" s="422" t="s">
        <v>1953</v>
      </c>
      <c r="V3810" s="422" t="s">
        <v>2813</v>
      </c>
    </row>
    <row r="3811" spans="1:22" ht="15.75" thickBot="1" x14ac:dyDescent="0.3">
      <c r="A3811" t="s">
        <v>1916</v>
      </c>
      <c r="B3811" t="s">
        <v>1916</v>
      </c>
      <c r="C3811" s="424" t="str">
        <f t="shared" si="150"/>
        <v>Rodoviária do Alentejo, S.A.</v>
      </c>
      <c r="D3811" t="s">
        <v>629</v>
      </c>
      <c r="F3811" t="s">
        <v>620</v>
      </c>
      <c r="G3811" s="89">
        <v>2007</v>
      </c>
      <c r="H3811" s="313" t="s">
        <v>731</v>
      </c>
      <c r="I3811" s="311" t="str">
        <f t="shared" si="149"/>
        <v>Pesado de Passageiros M3:  : Gasóleo : E4</v>
      </c>
      <c r="J3811">
        <v>49</v>
      </c>
      <c r="K3811" s="422">
        <v>2023</v>
      </c>
      <c r="L3811">
        <v>16735.310000000001</v>
      </c>
      <c r="M3811" t="s">
        <v>630</v>
      </c>
      <c r="N3811">
        <v>48374</v>
      </c>
      <c r="O3811" s="131">
        <f t="shared" si="151"/>
        <v>2370326</v>
      </c>
      <c r="P3811" s="89">
        <v>8519</v>
      </c>
      <c r="Q3811" s="422" t="s">
        <v>47</v>
      </c>
      <c r="R3811" s="422" t="s">
        <v>1869</v>
      </c>
      <c r="S3811" s="422" t="s">
        <v>1861</v>
      </c>
      <c r="T3811" t="s">
        <v>4823</v>
      </c>
      <c r="U3811" s="422" t="s">
        <v>1953</v>
      </c>
      <c r="V3811" s="422" t="s">
        <v>2813</v>
      </c>
    </row>
    <row r="3812" spans="1:22" ht="15.75" thickBot="1" x14ac:dyDescent="0.3">
      <c r="A3812" t="s">
        <v>1916</v>
      </c>
      <c r="B3812" t="s">
        <v>1916</v>
      </c>
      <c r="C3812" s="424" t="str">
        <f t="shared" si="150"/>
        <v>Rodoviária do Alentejo, S.A.</v>
      </c>
      <c r="D3812" t="s">
        <v>629</v>
      </c>
      <c r="F3812" t="s">
        <v>620</v>
      </c>
      <c r="G3812" s="89">
        <v>2009</v>
      </c>
      <c r="H3812" s="313" t="s">
        <v>731</v>
      </c>
      <c r="I3812" s="311" t="str">
        <f t="shared" si="149"/>
        <v>Pesado de Passageiros M3:  : Gasóleo : E4</v>
      </c>
      <c r="J3812">
        <v>53</v>
      </c>
      <c r="K3812" s="422">
        <v>2023</v>
      </c>
      <c r="L3812">
        <v>8305.9699999999993</v>
      </c>
      <c r="M3812" t="s">
        <v>630</v>
      </c>
      <c r="N3812">
        <v>28669</v>
      </c>
      <c r="O3812" s="131">
        <f t="shared" si="151"/>
        <v>1519457</v>
      </c>
      <c r="P3812" s="89">
        <v>8520</v>
      </c>
      <c r="Q3812" s="422" t="s">
        <v>47</v>
      </c>
      <c r="R3812" s="422" t="s">
        <v>1869</v>
      </c>
      <c r="S3812" s="422" t="s">
        <v>1861</v>
      </c>
      <c r="T3812" t="s">
        <v>4823</v>
      </c>
      <c r="U3812" s="422" t="s">
        <v>1953</v>
      </c>
      <c r="V3812" s="422" t="s">
        <v>2813</v>
      </c>
    </row>
    <row r="3813" spans="1:22" ht="15.75" thickBot="1" x14ac:dyDescent="0.3">
      <c r="A3813" t="s">
        <v>1916</v>
      </c>
      <c r="B3813" t="s">
        <v>1916</v>
      </c>
      <c r="C3813" s="424" t="str">
        <f t="shared" si="150"/>
        <v>Rodoviária do Alentejo, S.A.</v>
      </c>
      <c r="D3813" t="s">
        <v>629</v>
      </c>
      <c r="F3813" t="s">
        <v>620</v>
      </c>
      <c r="G3813" s="89">
        <v>2008</v>
      </c>
      <c r="H3813" s="313" t="s">
        <v>731</v>
      </c>
      <c r="I3813" s="311" t="str">
        <f t="shared" si="149"/>
        <v>Pesado de Passageiros M3:  : Gasóleo : E4</v>
      </c>
      <c r="J3813">
        <v>71</v>
      </c>
      <c r="K3813" s="422">
        <v>2023</v>
      </c>
      <c r="L3813">
        <v>19161.659999999996</v>
      </c>
      <c r="M3813" t="s">
        <v>630</v>
      </c>
      <c r="N3813">
        <v>59360</v>
      </c>
      <c r="O3813" s="131">
        <f t="shared" si="151"/>
        <v>4214560</v>
      </c>
      <c r="P3813" s="89">
        <v>8521</v>
      </c>
      <c r="Q3813" s="422" t="s">
        <v>47</v>
      </c>
      <c r="R3813" s="422" t="s">
        <v>1869</v>
      </c>
      <c r="S3813" s="422" t="s">
        <v>1861</v>
      </c>
      <c r="T3813" t="s">
        <v>4823</v>
      </c>
      <c r="U3813" s="422" t="s">
        <v>1953</v>
      </c>
      <c r="V3813" s="422" t="s">
        <v>2813</v>
      </c>
    </row>
    <row r="3814" spans="1:22" ht="15.75" thickBot="1" x14ac:dyDescent="0.3">
      <c r="A3814" t="s">
        <v>1916</v>
      </c>
      <c r="B3814" t="s">
        <v>1916</v>
      </c>
      <c r="C3814" s="424" t="str">
        <f t="shared" si="150"/>
        <v>Rodoviária do Alentejo, S.A.</v>
      </c>
      <c r="D3814" t="s">
        <v>629</v>
      </c>
      <c r="F3814" t="s">
        <v>620</v>
      </c>
      <c r="G3814" s="89">
        <v>2008</v>
      </c>
      <c r="H3814" s="313" t="s">
        <v>731</v>
      </c>
      <c r="I3814" s="311" t="str">
        <f t="shared" si="149"/>
        <v>Pesado de Passageiros M3:  : Gasóleo : E4</v>
      </c>
      <c r="J3814">
        <v>89</v>
      </c>
      <c r="K3814" s="422">
        <v>2023</v>
      </c>
      <c r="L3814">
        <v>16951.449999999997</v>
      </c>
      <c r="M3814" t="s">
        <v>630</v>
      </c>
      <c r="N3814">
        <v>52707</v>
      </c>
      <c r="O3814" s="131">
        <f t="shared" si="151"/>
        <v>4690923</v>
      </c>
      <c r="P3814" s="89">
        <v>8522</v>
      </c>
      <c r="Q3814" s="422" t="s">
        <v>47</v>
      </c>
      <c r="R3814" s="422" t="s">
        <v>1869</v>
      </c>
      <c r="S3814" s="422" t="s">
        <v>1861</v>
      </c>
      <c r="T3814" t="s">
        <v>4825</v>
      </c>
      <c r="U3814" s="422" t="s">
        <v>1953</v>
      </c>
      <c r="V3814" s="422" t="s">
        <v>2813</v>
      </c>
    </row>
    <row r="3815" spans="1:22" ht="15.75" thickBot="1" x14ac:dyDescent="0.3">
      <c r="A3815" t="s">
        <v>1916</v>
      </c>
      <c r="B3815" t="s">
        <v>1916</v>
      </c>
      <c r="C3815" s="424" t="str">
        <f t="shared" si="150"/>
        <v>Rodoviária do Alentejo, S.A.</v>
      </c>
      <c r="D3815" t="s">
        <v>629</v>
      </c>
      <c r="F3815" t="s">
        <v>620</v>
      </c>
      <c r="G3815" s="89">
        <v>2008</v>
      </c>
      <c r="H3815" s="313" t="s">
        <v>731</v>
      </c>
      <c r="I3815" s="311" t="str">
        <f t="shared" si="149"/>
        <v>Pesado de Passageiros M3:  : Gasóleo : E4</v>
      </c>
      <c r="J3815">
        <v>70</v>
      </c>
      <c r="K3815" s="422">
        <v>2023</v>
      </c>
      <c r="L3815">
        <v>18015.23</v>
      </c>
      <c r="M3815" t="s">
        <v>630</v>
      </c>
      <c r="N3815">
        <v>58947</v>
      </c>
      <c r="O3815" s="131">
        <f t="shared" si="151"/>
        <v>4126290</v>
      </c>
      <c r="P3815" s="89">
        <v>8523</v>
      </c>
      <c r="Q3815" s="422" t="s">
        <v>47</v>
      </c>
      <c r="R3815" s="422" t="s">
        <v>1869</v>
      </c>
      <c r="S3815" s="422" t="s">
        <v>1861</v>
      </c>
      <c r="T3815" t="s">
        <v>4823</v>
      </c>
      <c r="U3815" s="422" t="s">
        <v>1953</v>
      </c>
      <c r="V3815" s="422" t="s">
        <v>2813</v>
      </c>
    </row>
    <row r="3816" spans="1:22" ht="15.75" thickBot="1" x14ac:dyDescent="0.3">
      <c r="A3816" t="s">
        <v>1916</v>
      </c>
      <c r="B3816" t="s">
        <v>1916</v>
      </c>
      <c r="C3816" s="424" t="str">
        <f t="shared" si="150"/>
        <v>Rodoviária do Alentejo, S.A.</v>
      </c>
      <c r="D3816" t="s">
        <v>629</v>
      </c>
      <c r="F3816" t="s">
        <v>620</v>
      </c>
      <c r="G3816" s="89">
        <v>2007</v>
      </c>
      <c r="H3816" s="313" t="s">
        <v>731</v>
      </c>
      <c r="I3816" s="311" t="str">
        <f t="shared" si="149"/>
        <v>Pesado de Passageiros M3:  : Gasóleo : E4</v>
      </c>
      <c r="J3816">
        <v>69</v>
      </c>
      <c r="K3816" s="422">
        <v>2023</v>
      </c>
      <c r="L3816">
        <v>11971.040000000003</v>
      </c>
      <c r="M3816" t="s">
        <v>630</v>
      </c>
      <c r="N3816">
        <v>38524</v>
      </c>
      <c r="O3816" s="131">
        <f t="shared" si="151"/>
        <v>2658156</v>
      </c>
      <c r="P3816" s="89">
        <v>8524</v>
      </c>
      <c r="Q3816" s="422" t="s">
        <v>47</v>
      </c>
      <c r="R3816" s="422" t="s">
        <v>1869</v>
      </c>
      <c r="S3816" s="422" t="s">
        <v>1861</v>
      </c>
      <c r="T3816" t="s">
        <v>4823</v>
      </c>
      <c r="U3816" s="422" t="s">
        <v>1953</v>
      </c>
      <c r="V3816" s="422" t="s">
        <v>2813</v>
      </c>
    </row>
    <row r="3817" spans="1:22" ht="15.75" thickBot="1" x14ac:dyDescent="0.3">
      <c r="A3817" t="s">
        <v>1916</v>
      </c>
      <c r="B3817" t="s">
        <v>1916</v>
      </c>
      <c r="C3817" s="424" t="str">
        <f t="shared" si="150"/>
        <v>Rodoviária do Alentejo, S.A.</v>
      </c>
      <c r="D3817" t="s">
        <v>629</v>
      </c>
      <c r="F3817" t="s">
        <v>620</v>
      </c>
      <c r="G3817" s="89">
        <v>2013</v>
      </c>
      <c r="H3817" s="313" t="s">
        <v>734</v>
      </c>
      <c r="I3817" s="311" t="str">
        <f t="shared" si="149"/>
        <v>Pesado de Passageiros M3:  : Gasóleo : E5</v>
      </c>
      <c r="J3817">
        <v>80</v>
      </c>
      <c r="K3817" s="422">
        <v>2023</v>
      </c>
      <c r="L3817">
        <v>10579.259999999998</v>
      </c>
      <c r="M3817" t="s">
        <v>630</v>
      </c>
      <c r="N3817">
        <v>33822</v>
      </c>
      <c r="O3817" s="131">
        <f t="shared" si="151"/>
        <v>2705760</v>
      </c>
      <c r="P3817" s="89">
        <v>8526</v>
      </c>
      <c r="Q3817" s="422" t="s">
        <v>47</v>
      </c>
      <c r="R3817" s="422" t="s">
        <v>1869</v>
      </c>
      <c r="S3817" s="422" t="s">
        <v>1861</v>
      </c>
      <c r="T3817" t="s">
        <v>4823</v>
      </c>
      <c r="U3817" s="422" t="s">
        <v>1953</v>
      </c>
      <c r="V3817" s="422" t="s">
        <v>2813</v>
      </c>
    </row>
    <row r="3818" spans="1:22" ht="15.75" thickBot="1" x14ac:dyDescent="0.3">
      <c r="A3818" t="s">
        <v>1916</v>
      </c>
      <c r="B3818" t="s">
        <v>1916</v>
      </c>
      <c r="C3818" s="424" t="str">
        <f t="shared" si="150"/>
        <v>Rodoviária do Alentejo, S.A.</v>
      </c>
      <c r="D3818" t="s">
        <v>629</v>
      </c>
      <c r="F3818" t="s">
        <v>620</v>
      </c>
      <c r="G3818" s="89">
        <v>2013</v>
      </c>
      <c r="H3818" s="313" t="s">
        <v>734</v>
      </c>
      <c r="I3818" s="311" t="str">
        <f t="shared" si="149"/>
        <v>Pesado de Passageiros M3:  : Gasóleo : E5</v>
      </c>
      <c r="J3818">
        <v>80</v>
      </c>
      <c r="K3818" s="422">
        <v>2023</v>
      </c>
      <c r="L3818">
        <v>14330.830000000002</v>
      </c>
      <c r="M3818" t="s">
        <v>630</v>
      </c>
      <c r="N3818">
        <v>47190</v>
      </c>
      <c r="O3818" s="131">
        <f t="shared" si="151"/>
        <v>3775200</v>
      </c>
      <c r="P3818" s="89">
        <v>8527</v>
      </c>
      <c r="Q3818" s="422" t="s">
        <v>47</v>
      </c>
      <c r="R3818" s="422" t="s">
        <v>1869</v>
      </c>
      <c r="S3818" s="422" t="s">
        <v>1861</v>
      </c>
      <c r="T3818" t="s">
        <v>4823</v>
      </c>
      <c r="U3818" s="422" t="s">
        <v>1953</v>
      </c>
      <c r="V3818" s="422" t="s">
        <v>2813</v>
      </c>
    </row>
    <row r="3819" spans="1:22" ht="15.75" thickBot="1" x14ac:dyDescent="0.3">
      <c r="A3819" t="s">
        <v>1916</v>
      </c>
      <c r="B3819" t="s">
        <v>1916</v>
      </c>
      <c r="C3819" s="424" t="str">
        <f t="shared" si="150"/>
        <v>Rodoviária do Alentejo, S.A.</v>
      </c>
      <c r="D3819" t="s">
        <v>629</v>
      </c>
      <c r="F3819" t="s">
        <v>620</v>
      </c>
      <c r="G3819" s="89">
        <v>2013</v>
      </c>
      <c r="H3819" s="313" t="s">
        <v>734</v>
      </c>
      <c r="I3819" s="311" t="str">
        <f t="shared" si="149"/>
        <v>Pesado de Passageiros M3:  : Gasóleo : E5</v>
      </c>
      <c r="J3819">
        <v>90</v>
      </c>
      <c r="K3819" s="422">
        <v>2023</v>
      </c>
      <c r="L3819">
        <v>13214.84</v>
      </c>
      <c r="M3819" t="s">
        <v>630</v>
      </c>
      <c r="N3819">
        <v>43486</v>
      </c>
      <c r="O3819" s="131">
        <f t="shared" si="151"/>
        <v>3913740</v>
      </c>
      <c r="P3819" s="89">
        <v>8528</v>
      </c>
      <c r="Q3819" s="422" t="s">
        <v>47</v>
      </c>
      <c r="R3819" s="422" t="s">
        <v>1869</v>
      </c>
      <c r="S3819" s="422" t="s">
        <v>1861</v>
      </c>
      <c r="T3819" t="s">
        <v>4823</v>
      </c>
      <c r="U3819" s="422" t="s">
        <v>1953</v>
      </c>
      <c r="V3819" s="422" t="s">
        <v>2813</v>
      </c>
    </row>
    <row r="3820" spans="1:22" ht="15.75" thickBot="1" x14ac:dyDescent="0.3">
      <c r="A3820" t="s">
        <v>1916</v>
      </c>
      <c r="B3820" t="s">
        <v>1916</v>
      </c>
      <c r="C3820" s="424" t="str">
        <f t="shared" si="150"/>
        <v>Rodoviária do Alentejo, S.A.</v>
      </c>
      <c r="D3820" t="s">
        <v>629</v>
      </c>
      <c r="F3820" t="s">
        <v>620</v>
      </c>
      <c r="G3820" s="89">
        <v>2013</v>
      </c>
      <c r="H3820" s="313" t="s">
        <v>734</v>
      </c>
      <c r="I3820" s="311" t="str">
        <f t="shared" si="149"/>
        <v>Pesado de Passageiros M3:  : Gasóleo : E5</v>
      </c>
      <c r="J3820">
        <v>90</v>
      </c>
      <c r="K3820" s="422">
        <v>2023</v>
      </c>
      <c r="L3820">
        <v>10934.25</v>
      </c>
      <c r="M3820" t="s">
        <v>630</v>
      </c>
      <c r="N3820">
        <v>33901</v>
      </c>
      <c r="O3820" s="131">
        <f t="shared" si="151"/>
        <v>3051090</v>
      </c>
      <c r="P3820" s="89">
        <v>8529</v>
      </c>
      <c r="Q3820" s="422" t="s">
        <v>47</v>
      </c>
      <c r="R3820" s="422" t="s">
        <v>1869</v>
      </c>
      <c r="S3820" s="422" t="s">
        <v>1861</v>
      </c>
      <c r="T3820" t="s">
        <v>4823</v>
      </c>
      <c r="U3820" s="422" t="s">
        <v>1953</v>
      </c>
      <c r="V3820" s="422" t="s">
        <v>2813</v>
      </c>
    </row>
    <row r="3821" spans="1:22" ht="15.75" thickBot="1" x14ac:dyDescent="0.3">
      <c r="A3821" t="s">
        <v>1916</v>
      </c>
      <c r="B3821" t="s">
        <v>1916</v>
      </c>
      <c r="C3821" s="424" t="str">
        <f t="shared" si="150"/>
        <v>Rodoviária do Alentejo, S.A.</v>
      </c>
      <c r="D3821" t="s">
        <v>629</v>
      </c>
      <c r="F3821" t="s">
        <v>620</v>
      </c>
      <c r="G3821" s="89">
        <v>2007</v>
      </c>
      <c r="H3821" s="313" t="s">
        <v>731</v>
      </c>
      <c r="I3821" s="311" t="str">
        <f t="shared" si="149"/>
        <v>Pesado de Passageiros M3:  : Gasóleo : E4</v>
      </c>
      <c r="J3821">
        <v>29</v>
      </c>
      <c r="K3821" s="422">
        <v>2023</v>
      </c>
      <c r="L3821">
        <v>2928.1499999999996</v>
      </c>
      <c r="M3821" t="s">
        <v>630</v>
      </c>
      <c r="N3821">
        <v>18286</v>
      </c>
      <c r="O3821" s="131">
        <f t="shared" si="151"/>
        <v>530294</v>
      </c>
      <c r="P3821" s="89">
        <v>8577</v>
      </c>
      <c r="Q3821" s="422" t="s">
        <v>47</v>
      </c>
      <c r="R3821" s="422" t="s">
        <v>1869</v>
      </c>
      <c r="S3821" s="422" t="s">
        <v>1861</v>
      </c>
      <c r="T3821" t="s">
        <v>4825</v>
      </c>
      <c r="U3821" s="422" t="s">
        <v>1953</v>
      </c>
      <c r="V3821" s="422" t="s">
        <v>2813</v>
      </c>
    </row>
    <row r="3822" spans="1:22" ht="15.75" thickBot="1" x14ac:dyDescent="0.3">
      <c r="A3822" t="s">
        <v>1916</v>
      </c>
      <c r="B3822" t="s">
        <v>1916</v>
      </c>
      <c r="C3822" s="424" t="str">
        <f t="shared" si="150"/>
        <v>Rodoviária do Alentejo, S.A.</v>
      </c>
      <c r="D3822" t="s">
        <v>629</v>
      </c>
      <c r="F3822" t="s">
        <v>620</v>
      </c>
      <c r="G3822" s="89">
        <v>2007</v>
      </c>
      <c r="H3822" s="313" t="s">
        <v>731</v>
      </c>
      <c r="I3822" s="311" t="str">
        <f t="shared" si="149"/>
        <v>Pesado de Passageiros M3:  : Gasóleo : E4</v>
      </c>
      <c r="J3822">
        <v>29</v>
      </c>
      <c r="K3822" s="422">
        <v>2023</v>
      </c>
      <c r="L3822">
        <v>5118.1799999999994</v>
      </c>
      <c r="M3822" t="s">
        <v>630</v>
      </c>
      <c r="N3822">
        <v>31000</v>
      </c>
      <c r="O3822" s="131">
        <f t="shared" si="151"/>
        <v>899000</v>
      </c>
      <c r="P3822" s="89">
        <v>8578</v>
      </c>
      <c r="Q3822" s="422" t="s">
        <v>47</v>
      </c>
      <c r="R3822" s="422" t="s">
        <v>1869</v>
      </c>
      <c r="S3822" s="422" t="s">
        <v>1861</v>
      </c>
      <c r="T3822" t="s">
        <v>4825</v>
      </c>
      <c r="U3822" s="422" t="s">
        <v>1953</v>
      </c>
      <c r="V3822" s="422" t="s">
        <v>2813</v>
      </c>
    </row>
    <row r="3823" spans="1:22" ht="15.75" thickBot="1" x14ac:dyDescent="0.3">
      <c r="A3823" t="s">
        <v>1916</v>
      </c>
      <c r="B3823" t="s">
        <v>1916</v>
      </c>
      <c r="C3823" s="424" t="str">
        <f t="shared" si="150"/>
        <v>Rodoviária do Alentejo, S.A.</v>
      </c>
      <c r="D3823" t="s">
        <v>629</v>
      </c>
      <c r="F3823" t="s">
        <v>620</v>
      </c>
      <c r="G3823" s="89">
        <v>2009</v>
      </c>
      <c r="H3823" s="313" t="s">
        <v>731</v>
      </c>
      <c r="I3823" s="311" t="str">
        <f t="shared" si="149"/>
        <v>Pesado de Passageiros M3:  : Gasóleo : E4</v>
      </c>
      <c r="J3823">
        <v>32</v>
      </c>
      <c r="K3823" s="422">
        <v>2023</v>
      </c>
      <c r="L3823">
        <v>4010.2000000000003</v>
      </c>
      <c r="M3823" t="s">
        <v>630</v>
      </c>
      <c r="N3823">
        <v>24747</v>
      </c>
      <c r="O3823" s="131">
        <f t="shared" si="151"/>
        <v>791904</v>
      </c>
      <c r="P3823" s="89">
        <v>8580</v>
      </c>
      <c r="Q3823" s="422" t="s">
        <v>47</v>
      </c>
      <c r="R3823" s="422" t="s">
        <v>1869</v>
      </c>
      <c r="S3823" s="422" t="s">
        <v>1861</v>
      </c>
      <c r="T3823" t="s">
        <v>4825</v>
      </c>
      <c r="U3823" s="422" t="s">
        <v>1953</v>
      </c>
      <c r="V3823" s="422" t="s">
        <v>2813</v>
      </c>
    </row>
    <row r="3824" spans="1:22" ht="15.75" thickBot="1" x14ac:dyDescent="0.3">
      <c r="A3824" t="s">
        <v>1916</v>
      </c>
      <c r="B3824" t="s">
        <v>1916</v>
      </c>
      <c r="C3824" s="424" t="str">
        <f t="shared" si="150"/>
        <v>Rodoviária do Alentejo, S.A.</v>
      </c>
      <c r="D3824" t="s">
        <v>629</v>
      </c>
      <c r="F3824" t="s">
        <v>620</v>
      </c>
      <c r="G3824" s="89">
        <v>2009</v>
      </c>
      <c r="H3824" s="313" t="s">
        <v>731</v>
      </c>
      <c r="I3824" s="311" t="str">
        <f t="shared" si="149"/>
        <v>Pesado de Passageiros M3:  : Gasóleo : E4</v>
      </c>
      <c r="J3824">
        <v>32</v>
      </c>
      <c r="K3824" s="422">
        <v>2023</v>
      </c>
      <c r="L3824">
        <v>5068.91</v>
      </c>
      <c r="M3824" t="s">
        <v>630</v>
      </c>
      <c r="N3824">
        <v>30384</v>
      </c>
      <c r="O3824" s="131">
        <f t="shared" si="151"/>
        <v>972288</v>
      </c>
      <c r="P3824" s="89">
        <v>8581</v>
      </c>
      <c r="Q3824" s="422" t="s">
        <v>47</v>
      </c>
      <c r="R3824" s="422" t="s">
        <v>1869</v>
      </c>
      <c r="S3824" s="422" t="s">
        <v>1861</v>
      </c>
      <c r="T3824" t="s">
        <v>4825</v>
      </c>
      <c r="U3824" s="422" t="s">
        <v>1953</v>
      </c>
      <c r="V3824" s="422" t="s">
        <v>2813</v>
      </c>
    </row>
    <row r="3825" spans="1:22" ht="15.75" thickBot="1" x14ac:dyDescent="0.3">
      <c r="A3825" t="s">
        <v>1916</v>
      </c>
      <c r="B3825" t="s">
        <v>1916</v>
      </c>
      <c r="C3825" s="424" t="str">
        <f t="shared" si="150"/>
        <v>Rodoviária do Alentejo, S.A.</v>
      </c>
      <c r="D3825" t="s">
        <v>629</v>
      </c>
      <c r="F3825" t="s">
        <v>620</v>
      </c>
      <c r="G3825" s="89">
        <v>2011</v>
      </c>
      <c r="H3825" s="313" t="s">
        <v>734</v>
      </c>
      <c r="I3825" s="311" t="str">
        <f t="shared" si="149"/>
        <v>Pesado de Passageiros M3:  : Gasóleo : E5</v>
      </c>
      <c r="J3825">
        <v>33</v>
      </c>
      <c r="K3825" s="422">
        <v>2023</v>
      </c>
      <c r="L3825">
        <v>7019.13</v>
      </c>
      <c r="M3825" t="s">
        <v>630</v>
      </c>
      <c r="N3825">
        <v>43952</v>
      </c>
      <c r="O3825" s="131">
        <f t="shared" si="151"/>
        <v>1450416</v>
      </c>
      <c r="P3825" s="89">
        <v>8582</v>
      </c>
      <c r="Q3825" s="422" t="s">
        <v>47</v>
      </c>
      <c r="R3825" s="422" t="s">
        <v>1869</v>
      </c>
      <c r="S3825" s="422" t="s">
        <v>1861</v>
      </c>
      <c r="T3825" t="s">
        <v>4825</v>
      </c>
      <c r="U3825" s="422" t="s">
        <v>1953</v>
      </c>
      <c r="V3825" s="422" t="s">
        <v>2813</v>
      </c>
    </row>
    <row r="3826" spans="1:22" ht="15.75" thickBot="1" x14ac:dyDescent="0.3">
      <c r="A3826" t="s">
        <v>1916</v>
      </c>
      <c r="B3826" t="s">
        <v>1916</v>
      </c>
      <c r="C3826" s="424" t="str">
        <f t="shared" si="150"/>
        <v>Rodoviária do Alentejo, S.A.</v>
      </c>
      <c r="D3826" t="s">
        <v>629</v>
      </c>
      <c r="F3826" t="s">
        <v>620</v>
      </c>
      <c r="G3826" s="89">
        <v>2011</v>
      </c>
      <c r="H3826" s="313" t="s">
        <v>734</v>
      </c>
      <c r="I3826" s="311" t="str">
        <f t="shared" si="149"/>
        <v>Pesado de Passageiros M3:  : Gasóleo : E5</v>
      </c>
      <c r="J3826">
        <v>31</v>
      </c>
      <c r="K3826" s="422">
        <v>2023</v>
      </c>
      <c r="L3826">
        <v>6919.23</v>
      </c>
      <c r="M3826" t="s">
        <v>630</v>
      </c>
      <c r="N3826">
        <v>42427</v>
      </c>
      <c r="O3826" s="131">
        <f t="shared" si="151"/>
        <v>1315237</v>
      </c>
      <c r="P3826" s="89">
        <v>8583</v>
      </c>
      <c r="Q3826" s="422" t="s">
        <v>47</v>
      </c>
      <c r="R3826" s="422" t="s">
        <v>1869</v>
      </c>
      <c r="S3826" s="422" t="s">
        <v>1861</v>
      </c>
      <c r="T3826" t="s">
        <v>4825</v>
      </c>
      <c r="U3826" s="422" t="s">
        <v>1953</v>
      </c>
      <c r="V3826" s="422" t="s">
        <v>2813</v>
      </c>
    </row>
    <row r="3827" spans="1:22" ht="15.75" thickBot="1" x14ac:dyDescent="0.3">
      <c r="A3827" t="s">
        <v>1916</v>
      </c>
      <c r="B3827" t="s">
        <v>1916</v>
      </c>
      <c r="C3827" s="424" t="str">
        <f t="shared" si="150"/>
        <v>Rodoviária do Alentejo, S.A.</v>
      </c>
      <c r="D3827" t="s">
        <v>629</v>
      </c>
      <c r="F3827" t="s">
        <v>620</v>
      </c>
      <c r="G3827" s="89">
        <v>2002</v>
      </c>
      <c r="H3827" s="313" t="s">
        <v>732</v>
      </c>
      <c r="I3827" s="311" t="str">
        <f t="shared" si="149"/>
        <v>Pesado de Passageiros M3:  : Gasóleo : E3</v>
      </c>
      <c r="J3827">
        <v>67</v>
      </c>
      <c r="K3827" s="422">
        <v>2023</v>
      </c>
      <c r="L3827">
        <v>12779.080000000002</v>
      </c>
      <c r="M3827" t="s">
        <v>630</v>
      </c>
      <c r="N3827">
        <v>39654</v>
      </c>
      <c r="O3827" s="131">
        <f t="shared" si="151"/>
        <v>2656818</v>
      </c>
      <c r="P3827" s="89">
        <v>8585</v>
      </c>
      <c r="Q3827" s="422" t="s">
        <v>47</v>
      </c>
      <c r="R3827" s="422" t="s">
        <v>1869</v>
      </c>
      <c r="S3827" s="422" t="s">
        <v>1861</v>
      </c>
      <c r="T3827" t="s">
        <v>4825</v>
      </c>
      <c r="U3827" s="422" t="s">
        <v>1953</v>
      </c>
      <c r="V3827" s="422" t="s">
        <v>2813</v>
      </c>
    </row>
    <row r="3828" spans="1:22" ht="15.75" thickBot="1" x14ac:dyDescent="0.3">
      <c r="A3828" t="s">
        <v>1916</v>
      </c>
      <c r="B3828" t="s">
        <v>1916</v>
      </c>
      <c r="C3828" s="424" t="str">
        <f t="shared" si="150"/>
        <v>Rodoviária do Alentejo, S.A.</v>
      </c>
      <c r="D3828" t="s">
        <v>629</v>
      </c>
      <c r="F3828" t="s">
        <v>620</v>
      </c>
      <c r="G3828" s="89">
        <v>2014</v>
      </c>
      <c r="H3828" s="313" t="s">
        <v>734</v>
      </c>
      <c r="I3828" s="311" t="str">
        <f t="shared" si="149"/>
        <v>Pesado de Passageiros M3:  : Gasóleo : E5</v>
      </c>
      <c r="J3828">
        <v>38</v>
      </c>
      <c r="K3828" s="422">
        <v>2023</v>
      </c>
      <c r="L3828">
        <v>7600.4</v>
      </c>
      <c r="M3828" t="s">
        <v>630</v>
      </c>
      <c r="N3828">
        <v>39581</v>
      </c>
      <c r="O3828" s="131">
        <f t="shared" si="151"/>
        <v>1504078</v>
      </c>
      <c r="P3828" s="89">
        <v>8588</v>
      </c>
      <c r="Q3828" s="422" t="s">
        <v>47</v>
      </c>
      <c r="R3828" s="422" t="s">
        <v>1869</v>
      </c>
      <c r="S3828" s="422" t="s">
        <v>1861</v>
      </c>
      <c r="T3828" t="s">
        <v>4823</v>
      </c>
      <c r="U3828" s="422" t="s">
        <v>1953</v>
      </c>
      <c r="V3828" s="422" t="s">
        <v>2813</v>
      </c>
    </row>
    <row r="3829" spans="1:22" ht="15.75" thickBot="1" x14ac:dyDescent="0.3">
      <c r="A3829" t="s">
        <v>1916</v>
      </c>
      <c r="B3829" t="s">
        <v>1916</v>
      </c>
      <c r="C3829" s="424" t="str">
        <f t="shared" si="150"/>
        <v>Rodoviária do Alentejo, S.A.</v>
      </c>
      <c r="D3829" t="s">
        <v>629</v>
      </c>
      <c r="F3829" t="s">
        <v>620</v>
      </c>
      <c r="G3829" s="89">
        <v>2002</v>
      </c>
      <c r="H3829" s="313" t="s">
        <v>732</v>
      </c>
      <c r="I3829" s="311" t="str">
        <f t="shared" si="149"/>
        <v>Pesado de Passageiros M3:  : Gasóleo : E3</v>
      </c>
      <c r="J3829">
        <v>69</v>
      </c>
      <c r="K3829" s="422">
        <v>2023</v>
      </c>
      <c r="L3829">
        <v>13992.76</v>
      </c>
      <c r="M3829" t="s">
        <v>630</v>
      </c>
      <c r="N3829">
        <v>43445</v>
      </c>
      <c r="O3829" s="131">
        <f t="shared" si="151"/>
        <v>2997705</v>
      </c>
      <c r="P3829" s="89">
        <v>8590</v>
      </c>
      <c r="Q3829" s="422" t="s">
        <v>47</v>
      </c>
      <c r="R3829" s="422" t="s">
        <v>1869</v>
      </c>
      <c r="S3829" s="422" t="s">
        <v>1861</v>
      </c>
      <c r="T3829" t="s">
        <v>4825</v>
      </c>
      <c r="U3829" s="422" t="s">
        <v>1953</v>
      </c>
      <c r="V3829" s="422" t="s">
        <v>2813</v>
      </c>
    </row>
    <row r="3830" spans="1:22" ht="15.75" thickBot="1" x14ac:dyDescent="0.3">
      <c r="A3830" t="s">
        <v>1916</v>
      </c>
      <c r="B3830" t="s">
        <v>1916</v>
      </c>
      <c r="C3830" s="424" t="str">
        <f t="shared" si="150"/>
        <v>Rodoviária do Alentejo, S.A.</v>
      </c>
      <c r="D3830" t="s">
        <v>629</v>
      </c>
      <c r="F3830" t="s">
        <v>620</v>
      </c>
      <c r="G3830" s="89">
        <v>2004</v>
      </c>
      <c r="H3830" s="313" t="s">
        <v>732</v>
      </c>
      <c r="I3830" s="311" t="str">
        <f t="shared" ref="I3830:I3893" si="152">D3830&amp;": "&amp;E3830&amp;" : "&amp;F3830&amp;" : "&amp;H3830</f>
        <v>Pesado de Passageiros M3:  : Gasóleo : E3</v>
      </c>
      <c r="J3830">
        <v>69</v>
      </c>
      <c r="K3830" s="422">
        <v>2023</v>
      </c>
      <c r="L3830">
        <v>12489.080000000002</v>
      </c>
      <c r="M3830" t="s">
        <v>630</v>
      </c>
      <c r="N3830">
        <v>37843</v>
      </c>
      <c r="O3830" s="131">
        <f t="shared" si="151"/>
        <v>2611167</v>
      </c>
      <c r="P3830" s="89">
        <v>8591</v>
      </c>
      <c r="Q3830" s="422" t="s">
        <v>47</v>
      </c>
      <c r="R3830" s="422" t="s">
        <v>1869</v>
      </c>
      <c r="S3830" s="422" t="s">
        <v>1861</v>
      </c>
      <c r="T3830" t="s">
        <v>4825</v>
      </c>
      <c r="U3830" s="422" t="s">
        <v>1953</v>
      </c>
      <c r="V3830" s="422" t="s">
        <v>2813</v>
      </c>
    </row>
    <row r="3831" spans="1:22" ht="15.75" thickBot="1" x14ac:dyDescent="0.3">
      <c r="A3831" t="s">
        <v>1916</v>
      </c>
      <c r="B3831" t="s">
        <v>1916</v>
      </c>
      <c r="C3831" s="424" t="str">
        <f t="shared" si="150"/>
        <v>Rodoviária do Alentejo, S.A.</v>
      </c>
      <c r="D3831" t="s">
        <v>629</v>
      </c>
      <c r="F3831" t="s">
        <v>620</v>
      </c>
      <c r="G3831" s="89">
        <v>2003</v>
      </c>
      <c r="H3831" s="313" t="s">
        <v>732</v>
      </c>
      <c r="I3831" s="311" t="str">
        <f t="shared" si="152"/>
        <v>Pesado de Passageiros M3:  : Gasóleo : E3</v>
      </c>
      <c r="J3831">
        <v>71</v>
      </c>
      <c r="K3831" s="422">
        <v>2023</v>
      </c>
      <c r="L3831">
        <v>10992</v>
      </c>
      <c r="M3831" t="s">
        <v>630</v>
      </c>
      <c r="N3831">
        <v>32359</v>
      </c>
      <c r="O3831" s="131">
        <f t="shared" si="151"/>
        <v>2297489</v>
      </c>
      <c r="P3831" s="89">
        <v>8592</v>
      </c>
      <c r="Q3831" s="422" t="s">
        <v>47</v>
      </c>
      <c r="R3831" s="422" t="s">
        <v>1869</v>
      </c>
      <c r="S3831" s="422" t="s">
        <v>1861</v>
      </c>
      <c r="T3831" t="s">
        <v>4825</v>
      </c>
      <c r="U3831" s="422" t="s">
        <v>1953</v>
      </c>
      <c r="V3831" s="422" t="s">
        <v>2813</v>
      </c>
    </row>
    <row r="3832" spans="1:22" ht="15.75" thickBot="1" x14ac:dyDescent="0.3">
      <c r="A3832" t="s">
        <v>1916</v>
      </c>
      <c r="B3832" t="s">
        <v>1916</v>
      </c>
      <c r="C3832" s="424" t="str">
        <f t="shared" si="150"/>
        <v>Rodoviária do Alentejo, S.A.</v>
      </c>
      <c r="D3832" t="s">
        <v>629</v>
      </c>
      <c r="F3832" t="s">
        <v>620</v>
      </c>
      <c r="G3832" s="89">
        <v>2004</v>
      </c>
      <c r="H3832" s="313" t="s">
        <v>732</v>
      </c>
      <c r="I3832" s="311" t="str">
        <f t="shared" si="152"/>
        <v>Pesado de Passageiros M3:  : Gasóleo : E3</v>
      </c>
      <c r="J3832">
        <v>93</v>
      </c>
      <c r="K3832" s="422">
        <v>2023</v>
      </c>
      <c r="L3832">
        <v>10545.679999999998</v>
      </c>
      <c r="M3832" t="s">
        <v>630</v>
      </c>
      <c r="N3832">
        <v>26435</v>
      </c>
      <c r="O3832" s="131">
        <f t="shared" si="151"/>
        <v>2458455</v>
      </c>
      <c r="P3832" s="89">
        <v>8593</v>
      </c>
      <c r="Q3832" s="422" t="s">
        <v>47</v>
      </c>
      <c r="R3832" s="422" t="s">
        <v>1869</v>
      </c>
      <c r="S3832" s="422" t="s">
        <v>1861</v>
      </c>
      <c r="T3832" t="s">
        <v>4825</v>
      </c>
      <c r="U3832" s="422" t="s">
        <v>1953</v>
      </c>
      <c r="V3832" s="422" t="s">
        <v>2813</v>
      </c>
    </row>
    <row r="3833" spans="1:22" ht="15.75" thickBot="1" x14ac:dyDescent="0.3">
      <c r="A3833" t="s">
        <v>1916</v>
      </c>
      <c r="B3833" t="s">
        <v>1916</v>
      </c>
      <c r="C3833" s="424" t="str">
        <f t="shared" si="150"/>
        <v>Rodoviária do Alentejo, S.A.</v>
      </c>
      <c r="D3833" t="s">
        <v>629</v>
      </c>
      <c r="F3833" t="s">
        <v>620</v>
      </c>
      <c r="G3833" s="89">
        <v>2004</v>
      </c>
      <c r="H3833" s="313" t="s">
        <v>732</v>
      </c>
      <c r="I3833" s="311" t="str">
        <f t="shared" si="152"/>
        <v>Pesado de Passageiros M3:  : Gasóleo : E3</v>
      </c>
      <c r="J3833">
        <v>107</v>
      </c>
      <c r="K3833" s="422">
        <v>2023</v>
      </c>
      <c r="L3833">
        <v>16577.41</v>
      </c>
      <c r="M3833" t="s">
        <v>630</v>
      </c>
      <c r="N3833">
        <v>40909</v>
      </c>
      <c r="O3833" s="131">
        <f t="shared" si="151"/>
        <v>4377263</v>
      </c>
      <c r="P3833" s="89">
        <v>8595</v>
      </c>
      <c r="Q3833" s="422" t="s">
        <v>47</v>
      </c>
      <c r="R3833" s="422" t="s">
        <v>1869</v>
      </c>
      <c r="S3833" s="422" t="s">
        <v>1861</v>
      </c>
      <c r="T3833" t="s">
        <v>4825</v>
      </c>
      <c r="U3833" s="422" t="s">
        <v>1953</v>
      </c>
      <c r="V3833" s="422" t="s">
        <v>2813</v>
      </c>
    </row>
    <row r="3834" spans="1:22" ht="15.75" thickBot="1" x14ac:dyDescent="0.3">
      <c r="A3834" t="s">
        <v>1916</v>
      </c>
      <c r="B3834" t="s">
        <v>1916</v>
      </c>
      <c r="C3834" s="424" t="str">
        <f t="shared" si="150"/>
        <v>Rodoviária do Alentejo, S.A.</v>
      </c>
      <c r="D3834" t="s">
        <v>629</v>
      </c>
      <c r="F3834" t="s">
        <v>620</v>
      </c>
      <c r="G3834" s="89">
        <v>2016</v>
      </c>
      <c r="H3834" s="313" t="s">
        <v>733</v>
      </c>
      <c r="I3834" s="311" t="str">
        <f t="shared" si="152"/>
        <v>Pesado de Passageiros M3:  : Gasóleo : E6</v>
      </c>
      <c r="J3834">
        <v>32</v>
      </c>
      <c r="K3834" s="422">
        <v>2023</v>
      </c>
      <c r="L3834">
        <v>14409.559999999998</v>
      </c>
      <c r="M3834" t="s">
        <v>630</v>
      </c>
      <c r="N3834">
        <v>96131</v>
      </c>
      <c r="O3834" s="131">
        <f t="shared" si="151"/>
        <v>3076192</v>
      </c>
      <c r="P3834" s="89">
        <v>8596</v>
      </c>
      <c r="Q3834" s="422" t="s">
        <v>47</v>
      </c>
      <c r="R3834" s="422" t="s">
        <v>1869</v>
      </c>
      <c r="S3834" s="422" t="s">
        <v>1861</v>
      </c>
      <c r="T3834" t="s">
        <v>4823</v>
      </c>
      <c r="U3834" s="422" t="s">
        <v>1953</v>
      </c>
      <c r="V3834" s="422" t="s">
        <v>2813</v>
      </c>
    </row>
    <row r="3835" spans="1:22" ht="15.75" thickBot="1" x14ac:dyDescent="0.3">
      <c r="A3835" t="s">
        <v>1916</v>
      </c>
      <c r="B3835" t="s">
        <v>1916</v>
      </c>
      <c r="C3835" s="424" t="str">
        <f t="shared" si="150"/>
        <v>Rodoviária do Alentejo, S.A.</v>
      </c>
      <c r="D3835" t="s">
        <v>629</v>
      </c>
      <c r="F3835" t="s">
        <v>620</v>
      </c>
      <c r="G3835" s="89">
        <v>2008</v>
      </c>
      <c r="H3835" s="313" t="s">
        <v>731</v>
      </c>
      <c r="I3835" s="311" t="str">
        <f t="shared" si="152"/>
        <v>Pesado de Passageiros M3:  : Gasóleo : E4</v>
      </c>
      <c r="J3835">
        <v>86</v>
      </c>
      <c r="K3835" s="422">
        <v>2023</v>
      </c>
      <c r="L3835">
        <v>16642.07</v>
      </c>
      <c r="M3835" t="s">
        <v>630</v>
      </c>
      <c r="N3835">
        <v>52481</v>
      </c>
      <c r="O3835" s="131">
        <f t="shared" si="151"/>
        <v>4513366</v>
      </c>
      <c r="P3835" s="89">
        <v>8597</v>
      </c>
      <c r="Q3835" s="422" t="s">
        <v>47</v>
      </c>
      <c r="R3835" s="422" t="s">
        <v>1869</v>
      </c>
      <c r="S3835" s="422" t="s">
        <v>1861</v>
      </c>
      <c r="T3835" t="s">
        <v>4823</v>
      </c>
      <c r="U3835" s="422" t="s">
        <v>1953</v>
      </c>
      <c r="V3835" s="422" t="s">
        <v>2813</v>
      </c>
    </row>
    <row r="3836" spans="1:22" ht="15.75" thickBot="1" x14ac:dyDescent="0.3">
      <c r="A3836" t="s">
        <v>1916</v>
      </c>
      <c r="B3836" t="s">
        <v>1916</v>
      </c>
      <c r="C3836" s="424" t="str">
        <f t="shared" si="150"/>
        <v>Rodoviária do Alentejo, S.A.</v>
      </c>
      <c r="D3836" t="s">
        <v>629</v>
      </c>
      <c r="F3836" t="s">
        <v>620</v>
      </c>
      <c r="G3836" s="89">
        <v>2006</v>
      </c>
      <c r="H3836" s="313" t="s">
        <v>732</v>
      </c>
      <c r="I3836" s="311" t="str">
        <f t="shared" si="152"/>
        <v>Pesado de Passageiros M3:  : Gasóleo : E3</v>
      </c>
      <c r="J3836">
        <v>100</v>
      </c>
      <c r="K3836" s="422">
        <v>2023</v>
      </c>
      <c r="L3836">
        <v>10214.15</v>
      </c>
      <c r="M3836" t="s">
        <v>630</v>
      </c>
      <c r="N3836">
        <v>27124</v>
      </c>
      <c r="O3836" s="131">
        <f t="shared" si="151"/>
        <v>2712400</v>
      </c>
      <c r="P3836" s="89">
        <v>8598</v>
      </c>
      <c r="Q3836" s="422" t="s">
        <v>47</v>
      </c>
      <c r="R3836" s="422" t="s">
        <v>1869</v>
      </c>
      <c r="S3836" s="422" t="s">
        <v>1861</v>
      </c>
      <c r="T3836" t="s">
        <v>4825</v>
      </c>
      <c r="U3836" s="422" t="s">
        <v>1953</v>
      </c>
      <c r="V3836" s="422" t="s">
        <v>2813</v>
      </c>
    </row>
    <row r="3837" spans="1:22" ht="15.75" thickBot="1" x14ac:dyDescent="0.3">
      <c r="A3837" t="s">
        <v>1916</v>
      </c>
      <c r="B3837" t="s">
        <v>1916</v>
      </c>
      <c r="C3837" s="424" t="str">
        <f t="shared" si="150"/>
        <v>Rodoviária do Alentejo, S.A.</v>
      </c>
      <c r="D3837" t="s">
        <v>629</v>
      </c>
      <c r="F3837" t="s">
        <v>620</v>
      </c>
      <c r="G3837" s="89">
        <v>2003</v>
      </c>
      <c r="H3837" s="313" t="s">
        <v>732</v>
      </c>
      <c r="I3837" s="311" t="str">
        <f t="shared" si="152"/>
        <v>Pesado de Passageiros M3:  : Gasóleo : E3</v>
      </c>
      <c r="J3837">
        <v>73</v>
      </c>
      <c r="K3837" s="422">
        <v>2023</v>
      </c>
      <c r="L3837">
        <v>12190.71</v>
      </c>
      <c r="M3837" t="s">
        <v>630</v>
      </c>
      <c r="N3837">
        <v>36166</v>
      </c>
      <c r="O3837" s="131">
        <f t="shared" si="151"/>
        <v>2640118</v>
      </c>
      <c r="P3837" s="89">
        <v>8599</v>
      </c>
      <c r="Q3837" s="422" t="s">
        <v>47</v>
      </c>
      <c r="R3837" s="422" t="s">
        <v>1869</v>
      </c>
      <c r="S3837" s="422" t="s">
        <v>1861</v>
      </c>
      <c r="T3837" t="s">
        <v>4825</v>
      </c>
      <c r="U3837" s="422" t="s">
        <v>1953</v>
      </c>
      <c r="V3837" s="422" t="s">
        <v>2813</v>
      </c>
    </row>
    <row r="3838" spans="1:22" ht="15.75" thickBot="1" x14ac:dyDescent="0.3">
      <c r="A3838" t="s">
        <v>1916</v>
      </c>
      <c r="B3838" t="s">
        <v>1916</v>
      </c>
      <c r="C3838" s="424" t="str">
        <f t="shared" si="150"/>
        <v>Rodoviária do Alentejo, S.A.</v>
      </c>
      <c r="D3838" t="s">
        <v>629</v>
      </c>
      <c r="F3838" t="s">
        <v>620</v>
      </c>
      <c r="G3838" s="89">
        <v>2000</v>
      </c>
      <c r="H3838" s="313" t="s">
        <v>735</v>
      </c>
      <c r="I3838" s="311" t="str">
        <f t="shared" si="152"/>
        <v>Pesado de Passageiros M3:  : Gasóleo : E2</v>
      </c>
      <c r="J3838">
        <v>52</v>
      </c>
      <c r="K3838" s="422">
        <v>2023</v>
      </c>
      <c r="L3838">
        <v>11487.75</v>
      </c>
      <c r="M3838" t="s">
        <v>630</v>
      </c>
      <c r="N3838">
        <v>34236</v>
      </c>
      <c r="O3838" s="131">
        <f t="shared" si="151"/>
        <v>1780272</v>
      </c>
      <c r="P3838" s="89">
        <v>8612</v>
      </c>
      <c r="Q3838" s="422" t="s">
        <v>47</v>
      </c>
      <c r="R3838" s="422" t="s">
        <v>1869</v>
      </c>
      <c r="S3838" s="422" t="s">
        <v>1861</v>
      </c>
      <c r="T3838" t="s">
        <v>4825</v>
      </c>
      <c r="U3838" s="422" t="s">
        <v>1953</v>
      </c>
      <c r="V3838" s="422" t="s">
        <v>2813</v>
      </c>
    </row>
    <row r="3839" spans="1:22" ht="15.75" thickBot="1" x14ac:dyDescent="0.3">
      <c r="A3839" t="s">
        <v>1916</v>
      </c>
      <c r="B3839" t="s">
        <v>1916</v>
      </c>
      <c r="C3839" s="424" t="str">
        <f t="shared" si="150"/>
        <v>Rodoviária do Alentejo, S.A.</v>
      </c>
      <c r="D3839" t="s">
        <v>629</v>
      </c>
      <c r="F3839" t="s">
        <v>620</v>
      </c>
      <c r="G3839" s="89">
        <v>2001</v>
      </c>
      <c r="H3839" s="313" t="s">
        <v>735</v>
      </c>
      <c r="I3839" s="311" t="str">
        <f t="shared" si="152"/>
        <v>Pesado de Passageiros M3:  : Gasóleo : E2</v>
      </c>
      <c r="J3839">
        <v>56</v>
      </c>
      <c r="K3839" s="422">
        <v>2023</v>
      </c>
      <c r="L3839">
        <v>11317.599999999997</v>
      </c>
      <c r="M3839" t="s">
        <v>630</v>
      </c>
      <c r="N3839">
        <v>35521</v>
      </c>
      <c r="O3839" s="131">
        <f t="shared" si="151"/>
        <v>1989176</v>
      </c>
      <c r="P3839" s="89">
        <v>8615</v>
      </c>
      <c r="Q3839" s="422" t="s">
        <v>47</v>
      </c>
      <c r="R3839" s="422" t="s">
        <v>1869</v>
      </c>
      <c r="S3839" s="422" t="s">
        <v>1861</v>
      </c>
      <c r="T3839" t="s">
        <v>4825</v>
      </c>
      <c r="U3839" s="422" t="s">
        <v>1953</v>
      </c>
      <c r="V3839" s="422" t="s">
        <v>2813</v>
      </c>
    </row>
    <row r="3840" spans="1:22" ht="15.75" thickBot="1" x14ac:dyDescent="0.3">
      <c r="A3840" t="s">
        <v>1916</v>
      </c>
      <c r="B3840" t="s">
        <v>1916</v>
      </c>
      <c r="C3840" s="424" t="str">
        <f t="shared" si="150"/>
        <v>Rodoviária do Alentejo, S.A.</v>
      </c>
      <c r="D3840" t="s">
        <v>629</v>
      </c>
      <c r="F3840" t="s">
        <v>620</v>
      </c>
      <c r="G3840" s="89">
        <v>2001</v>
      </c>
      <c r="H3840" s="313" t="s">
        <v>735</v>
      </c>
      <c r="I3840" s="311" t="str">
        <f t="shared" si="152"/>
        <v>Pesado de Passageiros M3:  : Gasóleo : E2</v>
      </c>
      <c r="J3840">
        <v>56</v>
      </c>
      <c r="K3840" s="422">
        <v>2023</v>
      </c>
      <c r="L3840">
        <v>17280.79</v>
      </c>
      <c r="M3840" t="s">
        <v>630</v>
      </c>
      <c r="N3840">
        <v>49971</v>
      </c>
      <c r="O3840" s="131">
        <f t="shared" si="151"/>
        <v>2798376</v>
      </c>
      <c r="P3840" s="89">
        <v>8616</v>
      </c>
      <c r="Q3840" s="422" t="s">
        <v>47</v>
      </c>
      <c r="R3840" s="422" t="s">
        <v>1869</v>
      </c>
      <c r="S3840" s="422" t="s">
        <v>1861</v>
      </c>
      <c r="T3840" t="s">
        <v>4825</v>
      </c>
      <c r="U3840" s="422" t="s">
        <v>1953</v>
      </c>
      <c r="V3840" s="422" t="s">
        <v>2813</v>
      </c>
    </row>
    <row r="3841" spans="1:22" ht="15.75" thickBot="1" x14ac:dyDescent="0.3">
      <c r="A3841" t="s">
        <v>1916</v>
      </c>
      <c r="B3841" t="s">
        <v>1916</v>
      </c>
      <c r="C3841" s="424" t="str">
        <f t="shared" si="150"/>
        <v>Rodoviária do Alentejo, S.A.</v>
      </c>
      <c r="D3841" t="s">
        <v>629</v>
      </c>
      <c r="F3841" t="s">
        <v>620</v>
      </c>
      <c r="G3841" s="89">
        <v>2008</v>
      </c>
      <c r="H3841" s="313" t="s">
        <v>731</v>
      </c>
      <c r="I3841" s="311" t="str">
        <f t="shared" si="152"/>
        <v>Pesado de Passageiros M3:  : Gasóleo : E4</v>
      </c>
      <c r="J3841">
        <v>56</v>
      </c>
      <c r="K3841" s="422">
        <v>2023</v>
      </c>
      <c r="L3841">
        <v>25834.620000000003</v>
      </c>
      <c r="M3841" t="s">
        <v>630</v>
      </c>
      <c r="N3841">
        <v>84279</v>
      </c>
      <c r="O3841" s="131">
        <f t="shared" si="151"/>
        <v>4719624</v>
      </c>
      <c r="P3841" s="89">
        <v>8623</v>
      </c>
      <c r="Q3841" s="422" t="s">
        <v>47</v>
      </c>
      <c r="R3841" s="422" t="s">
        <v>1869</v>
      </c>
      <c r="S3841" s="422" t="s">
        <v>1861</v>
      </c>
      <c r="T3841" t="s">
        <v>4823</v>
      </c>
      <c r="U3841" s="422" t="s">
        <v>1953</v>
      </c>
      <c r="V3841" s="422" t="s">
        <v>2813</v>
      </c>
    </row>
    <row r="3842" spans="1:22" ht="15.75" thickBot="1" x14ac:dyDescent="0.3">
      <c r="A3842" t="s">
        <v>1916</v>
      </c>
      <c r="B3842" t="s">
        <v>1916</v>
      </c>
      <c r="C3842" s="424" t="str">
        <f t="shared" si="150"/>
        <v>Rodoviária do Alentejo, S.A.</v>
      </c>
      <c r="D3842" t="s">
        <v>629</v>
      </c>
      <c r="F3842" t="s">
        <v>620</v>
      </c>
      <c r="G3842" s="89">
        <v>2008</v>
      </c>
      <c r="H3842" s="313" t="s">
        <v>731</v>
      </c>
      <c r="I3842" s="311" t="str">
        <f t="shared" si="152"/>
        <v>Pesado de Passageiros M3:  : Gasóleo : E4</v>
      </c>
      <c r="J3842">
        <v>56</v>
      </c>
      <c r="K3842" s="422">
        <v>2023</v>
      </c>
      <c r="L3842">
        <v>29399.24</v>
      </c>
      <c r="M3842" t="s">
        <v>630</v>
      </c>
      <c r="N3842">
        <v>86129</v>
      </c>
      <c r="O3842" s="131">
        <f t="shared" si="151"/>
        <v>4823224</v>
      </c>
      <c r="P3842" s="89">
        <v>8625</v>
      </c>
      <c r="Q3842" s="422" t="s">
        <v>47</v>
      </c>
      <c r="R3842" s="422" t="s">
        <v>1869</v>
      </c>
      <c r="S3842" s="422" t="s">
        <v>1861</v>
      </c>
      <c r="T3842" t="s">
        <v>4823</v>
      </c>
      <c r="U3842" s="422" t="s">
        <v>1953</v>
      </c>
      <c r="V3842" s="422" t="s">
        <v>2813</v>
      </c>
    </row>
    <row r="3843" spans="1:22" ht="15.75" thickBot="1" x14ac:dyDescent="0.3">
      <c r="A3843" t="s">
        <v>1916</v>
      </c>
      <c r="B3843" t="s">
        <v>1916</v>
      </c>
      <c r="C3843" s="424" t="str">
        <f t="shared" si="150"/>
        <v>Rodoviária do Alentejo, S.A.</v>
      </c>
      <c r="D3843" t="s">
        <v>629</v>
      </c>
      <c r="F3843" t="s">
        <v>620</v>
      </c>
      <c r="G3843" s="89">
        <v>2008</v>
      </c>
      <c r="H3843" s="313" t="s">
        <v>731</v>
      </c>
      <c r="I3843" s="311" t="str">
        <f t="shared" si="152"/>
        <v>Pesado de Passageiros M3:  : Gasóleo : E4</v>
      </c>
      <c r="J3843">
        <v>56</v>
      </c>
      <c r="K3843" s="422">
        <v>2023</v>
      </c>
      <c r="L3843">
        <v>30772.25</v>
      </c>
      <c r="M3843" t="s">
        <v>630</v>
      </c>
      <c r="N3843">
        <v>100439</v>
      </c>
      <c r="O3843" s="131">
        <f t="shared" si="151"/>
        <v>5624584</v>
      </c>
      <c r="P3843" s="89">
        <v>8626</v>
      </c>
      <c r="Q3843" s="422" t="s">
        <v>47</v>
      </c>
      <c r="R3843" s="422" t="s">
        <v>1869</v>
      </c>
      <c r="S3843" s="422" t="s">
        <v>1861</v>
      </c>
      <c r="T3843" t="s">
        <v>4824</v>
      </c>
      <c r="U3843" s="422" t="s">
        <v>1953</v>
      </c>
      <c r="V3843" s="422" t="s">
        <v>2813</v>
      </c>
    </row>
    <row r="3844" spans="1:22" ht="15.75" thickBot="1" x14ac:dyDescent="0.3">
      <c r="A3844" t="s">
        <v>1916</v>
      </c>
      <c r="B3844" t="s">
        <v>1916</v>
      </c>
      <c r="C3844" s="424" t="str">
        <f t="shared" si="150"/>
        <v>Rodoviária do Alentejo, S.A.</v>
      </c>
      <c r="D3844" t="s">
        <v>629</v>
      </c>
      <c r="F3844" t="s">
        <v>620</v>
      </c>
      <c r="G3844" s="89">
        <v>2009</v>
      </c>
      <c r="H3844" s="313" t="s">
        <v>731</v>
      </c>
      <c r="I3844" s="311" t="str">
        <f t="shared" si="152"/>
        <v>Pesado de Passageiros M3:  : Gasóleo : E4</v>
      </c>
      <c r="J3844">
        <v>56</v>
      </c>
      <c r="K3844" s="422">
        <v>2023</v>
      </c>
      <c r="L3844">
        <v>13229.61</v>
      </c>
      <c r="M3844" t="s">
        <v>630</v>
      </c>
      <c r="N3844">
        <v>37112</v>
      </c>
      <c r="O3844" s="131">
        <f t="shared" si="151"/>
        <v>2078272</v>
      </c>
      <c r="P3844" s="89">
        <v>8628</v>
      </c>
      <c r="Q3844" s="422" t="s">
        <v>47</v>
      </c>
      <c r="R3844" s="422" t="s">
        <v>1869</v>
      </c>
      <c r="S3844" s="422" t="s">
        <v>1861</v>
      </c>
      <c r="T3844" t="s">
        <v>4824</v>
      </c>
      <c r="U3844" s="422" t="s">
        <v>1953</v>
      </c>
      <c r="V3844" s="422" t="s">
        <v>2813</v>
      </c>
    </row>
    <row r="3845" spans="1:22" ht="15.75" thickBot="1" x14ac:dyDescent="0.3">
      <c r="A3845" t="s">
        <v>1916</v>
      </c>
      <c r="B3845" t="s">
        <v>1916</v>
      </c>
      <c r="C3845" s="424" t="str">
        <f t="shared" si="150"/>
        <v>Rodoviária do Alentejo, S.A.</v>
      </c>
      <c r="D3845" t="s">
        <v>629</v>
      </c>
      <c r="F3845" t="s">
        <v>620</v>
      </c>
      <c r="G3845" s="89">
        <v>2009</v>
      </c>
      <c r="H3845" s="313" t="s">
        <v>731</v>
      </c>
      <c r="I3845" s="311" t="str">
        <f t="shared" si="152"/>
        <v>Pesado de Passageiros M3:  : Gasóleo : E4</v>
      </c>
      <c r="J3845">
        <v>56</v>
      </c>
      <c r="K3845" s="422">
        <v>2023</v>
      </c>
      <c r="L3845">
        <v>26489.420000000002</v>
      </c>
      <c r="M3845" t="s">
        <v>630</v>
      </c>
      <c r="N3845">
        <v>83925</v>
      </c>
      <c r="O3845" s="131">
        <f t="shared" si="151"/>
        <v>4699800</v>
      </c>
      <c r="P3845" s="89">
        <v>8629</v>
      </c>
      <c r="Q3845" s="422" t="s">
        <v>47</v>
      </c>
      <c r="R3845" s="422" t="s">
        <v>1869</v>
      </c>
      <c r="S3845" s="422" t="s">
        <v>1861</v>
      </c>
      <c r="T3845" t="s">
        <v>4824</v>
      </c>
      <c r="U3845" s="422" t="s">
        <v>1953</v>
      </c>
      <c r="V3845" s="422" t="s">
        <v>2813</v>
      </c>
    </row>
    <row r="3846" spans="1:22" ht="15.75" thickBot="1" x14ac:dyDescent="0.3">
      <c r="A3846" t="s">
        <v>1916</v>
      </c>
      <c r="B3846" t="s">
        <v>1916</v>
      </c>
      <c r="C3846" s="424" t="str">
        <f t="shared" si="150"/>
        <v>Rodoviária do Alentejo, S.A.</v>
      </c>
      <c r="D3846" t="s">
        <v>629</v>
      </c>
      <c r="F3846" t="s">
        <v>620</v>
      </c>
      <c r="G3846" s="89">
        <v>2009</v>
      </c>
      <c r="H3846" s="313" t="s">
        <v>731</v>
      </c>
      <c r="I3846" s="311" t="str">
        <f t="shared" si="152"/>
        <v>Pesado de Passageiros M3:  : Gasóleo : E4</v>
      </c>
      <c r="J3846">
        <v>56</v>
      </c>
      <c r="K3846" s="422">
        <v>2023</v>
      </c>
      <c r="L3846">
        <v>27606.86</v>
      </c>
      <c r="M3846" t="s">
        <v>630</v>
      </c>
      <c r="N3846">
        <v>85587</v>
      </c>
      <c r="O3846" s="131">
        <f t="shared" si="151"/>
        <v>4792872</v>
      </c>
      <c r="P3846" s="89">
        <v>8630</v>
      </c>
      <c r="Q3846" s="422" t="s">
        <v>47</v>
      </c>
      <c r="R3846" s="422" t="s">
        <v>1869</v>
      </c>
      <c r="S3846" s="422" t="s">
        <v>1861</v>
      </c>
      <c r="T3846" t="s">
        <v>4824</v>
      </c>
      <c r="U3846" s="422" t="s">
        <v>1953</v>
      </c>
      <c r="V3846" s="422" t="s">
        <v>2813</v>
      </c>
    </row>
    <row r="3847" spans="1:22" ht="15.75" thickBot="1" x14ac:dyDescent="0.3">
      <c r="A3847" t="s">
        <v>1916</v>
      </c>
      <c r="B3847" t="s">
        <v>1916</v>
      </c>
      <c r="C3847" s="424" t="str">
        <f t="shared" si="150"/>
        <v>Rodoviária do Alentejo, S.A.</v>
      </c>
      <c r="D3847" t="s">
        <v>629</v>
      </c>
      <c r="F3847" t="s">
        <v>620</v>
      </c>
      <c r="G3847" s="89">
        <v>2009</v>
      </c>
      <c r="H3847" s="313" t="s">
        <v>731</v>
      </c>
      <c r="I3847" s="311" t="str">
        <f t="shared" si="152"/>
        <v>Pesado de Passageiros M3:  : Gasóleo : E4</v>
      </c>
      <c r="J3847">
        <v>56</v>
      </c>
      <c r="K3847" s="422">
        <v>2023</v>
      </c>
      <c r="L3847">
        <v>10984.87</v>
      </c>
      <c r="M3847" t="s">
        <v>630</v>
      </c>
      <c r="N3847">
        <v>27767</v>
      </c>
      <c r="O3847" s="131">
        <f t="shared" si="151"/>
        <v>1554952</v>
      </c>
      <c r="P3847" s="89">
        <v>8631</v>
      </c>
      <c r="Q3847" s="422" t="s">
        <v>47</v>
      </c>
      <c r="R3847" s="422" t="s">
        <v>1869</v>
      </c>
      <c r="S3847" s="422" t="s">
        <v>1861</v>
      </c>
      <c r="T3847" t="s">
        <v>4824</v>
      </c>
      <c r="U3847" s="422" t="s">
        <v>1953</v>
      </c>
      <c r="V3847" s="422" t="s">
        <v>2813</v>
      </c>
    </row>
    <row r="3848" spans="1:22" ht="15.75" thickBot="1" x14ac:dyDescent="0.3">
      <c r="A3848" t="s">
        <v>1916</v>
      </c>
      <c r="B3848" t="s">
        <v>1916</v>
      </c>
      <c r="C3848" s="424" t="str">
        <f t="shared" si="150"/>
        <v>Rodoviária do Alentejo, S.A.</v>
      </c>
      <c r="D3848" t="s">
        <v>629</v>
      </c>
      <c r="F3848" t="s">
        <v>620</v>
      </c>
      <c r="G3848" s="89">
        <v>2009</v>
      </c>
      <c r="H3848" s="313" t="s">
        <v>731</v>
      </c>
      <c r="I3848" s="311" t="str">
        <f t="shared" si="152"/>
        <v>Pesado de Passageiros M3:  : Gasóleo : E4</v>
      </c>
      <c r="J3848">
        <v>58</v>
      </c>
      <c r="K3848" s="422">
        <v>2023</v>
      </c>
      <c r="L3848">
        <v>19165.399999999994</v>
      </c>
      <c r="M3848" t="s">
        <v>630</v>
      </c>
      <c r="N3848">
        <v>56538</v>
      </c>
      <c r="O3848" s="131">
        <f t="shared" si="151"/>
        <v>3279204</v>
      </c>
      <c r="P3848" s="89">
        <v>8632</v>
      </c>
      <c r="Q3848" s="422" t="s">
        <v>47</v>
      </c>
      <c r="R3848" s="422" t="s">
        <v>1869</v>
      </c>
      <c r="S3848" s="422" t="s">
        <v>1861</v>
      </c>
      <c r="T3848" t="s">
        <v>4823</v>
      </c>
      <c r="U3848" s="422" t="s">
        <v>1953</v>
      </c>
      <c r="V3848" s="422" t="s">
        <v>2813</v>
      </c>
    </row>
    <row r="3849" spans="1:22" ht="15.75" thickBot="1" x14ac:dyDescent="0.3">
      <c r="A3849" t="s">
        <v>1916</v>
      </c>
      <c r="B3849" t="s">
        <v>1916</v>
      </c>
      <c r="C3849" s="424" t="str">
        <f t="shared" si="150"/>
        <v>Rodoviária do Alentejo, S.A.</v>
      </c>
      <c r="D3849" t="s">
        <v>629</v>
      </c>
      <c r="F3849" t="s">
        <v>620</v>
      </c>
      <c r="G3849" s="89">
        <v>2009</v>
      </c>
      <c r="H3849" s="313" t="s">
        <v>731</v>
      </c>
      <c r="I3849" s="311" t="str">
        <f t="shared" si="152"/>
        <v>Pesado de Passageiros M3:  : Gasóleo : E4</v>
      </c>
      <c r="J3849">
        <v>58</v>
      </c>
      <c r="K3849" s="422">
        <v>2023</v>
      </c>
      <c r="L3849">
        <v>29255.35</v>
      </c>
      <c r="M3849" t="s">
        <v>630</v>
      </c>
      <c r="N3849">
        <v>90364</v>
      </c>
      <c r="O3849" s="131">
        <f t="shared" si="151"/>
        <v>5241112</v>
      </c>
      <c r="P3849" s="89">
        <v>8633</v>
      </c>
      <c r="Q3849" s="422" t="s">
        <v>47</v>
      </c>
      <c r="R3849" s="422" t="s">
        <v>1869</v>
      </c>
      <c r="S3849" s="422" t="s">
        <v>1861</v>
      </c>
      <c r="T3849" t="s">
        <v>4824</v>
      </c>
      <c r="U3849" s="422" t="s">
        <v>1953</v>
      </c>
      <c r="V3849" s="422" t="s">
        <v>2813</v>
      </c>
    </row>
    <row r="3850" spans="1:22" ht="15.75" thickBot="1" x14ac:dyDescent="0.3">
      <c r="A3850" t="s">
        <v>1916</v>
      </c>
      <c r="B3850" t="s">
        <v>1916</v>
      </c>
      <c r="C3850" s="424" t="str">
        <f t="shared" si="150"/>
        <v>Rodoviária do Alentejo, S.A.</v>
      </c>
      <c r="D3850" t="s">
        <v>629</v>
      </c>
      <c r="F3850" t="s">
        <v>620</v>
      </c>
      <c r="G3850" s="89">
        <v>2009</v>
      </c>
      <c r="H3850" s="313" t="s">
        <v>731</v>
      </c>
      <c r="I3850" s="311" t="str">
        <f t="shared" si="152"/>
        <v>Pesado de Passageiros M3:  : Gasóleo : E4</v>
      </c>
      <c r="J3850">
        <v>58</v>
      </c>
      <c r="K3850" s="422">
        <v>2023</v>
      </c>
      <c r="L3850">
        <v>26228.469999999998</v>
      </c>
      <c r="M3850" t="s">
        <v>630</v>
      </c>
      <c r="N3850">
        <v>81972</v>
      </c>
      <c r="O3850" s="131">
        <f t="shared" si="151"/>
        <v>4754376</v>
      </c>
      <c r="P3850" s="89">
        <v>8634</v>
      </c>
      <c r="Q3850" s="422" t="s">
        <v>47</v>
      </c>
      <c r="R3850" s="422" t="s">
        <v>1869</v>
      </c>
      <c r="S3850" s="422" t="s">
        <v>1861</v>
      </c>
      <c r="T3850" t="s">
        <v>4824</v>
      </c>
      <c r="U3850" s="422" t="s">
        <v>1953</v>
      </c>
      <c r="V3850" s="422" t="s">
        <v>2813</v>
      </c>
    </row>
    <row r="3851" spans="1:22" ht="15.75" thickBot="1" x14ac:dyDescent="0.3">
      <c r="A3851" t="s">
        <v>1916</v>
      </c>
      <c r="B3851" t="s">
        <v>1916</v>
      </c>
      <c r="C3851" s="424" t="str">
        <f t="shared" si="150"/>
        <v>Rodoviária do Alentejo, S.A.</v>
      </c>
      <c r="D3851" t="s">
        <v>629</v>
      </c>
      <c r="F3851" t="s">
        <v>620</v>
      </c>
      <c r="G3851" s="89">
        <v>2004</v>
      </c>
      <c r="H3851" s="313" t="s">
        <v>732</v>
      </c>
      <c r="I3851" s="311" t="str">
        <f t="shared" si="152"/>
        <v>Pesado de Passageiros M3:  : Gasóleo : E3</v>
      </c>
      <c r="J3851">
        <v>51</v>
      </c>
      <c r="K3851" s="422">
        <v>2023</v>
      </c>
      <c r="L3851">
        <v>25971.97</v>
      </c>
      <c r="M3851" t="s">
        <v>630</v>
      </c>
      <c r="N3851">
        <v>82289</v>
      </c>
      <c r="O3851" s="131">
        <f t="shared" si="151"/>
        <v>4196739</v>
      </c>
      <c r="P3851" s="89">
        <v>8637</v>
      </c>
      <c r="Q3851" s="422" t="s">
        <v>47</v>
      </c>
      <c r="R3851" s="422" t="s">
        <v>1869</v>
      </c>
      <c r="S3851" s="422" t="s">
        <v>1861</v>
      </c>
      <c r="T3851" t="s">
        <v>4823</v>
      </c>
      <c r="U3851" s="422" t="s">
        <v>1953</v>
      </c>
      <c r="V3851" s="422" t="s">
        <v>2813</v>
      </c>
    </row>
    <row r="3852" spans="1:22" ht="15.75" thickBot="1" x14ac:dyDescent="0.3">
      <c r="A3852" t="s">
        <v>1916</v>
      </c>
      <c r="B3852" t="s">
        <v>1916</v>
      </c>
      <c r="C3852" s="424" t="str">
        <f t="shared" si="150"/>
        <v>Rodoviária do Alentejo, S.A.</v>
      </c>
      <c r="D3852" t="s">
        <v>629</v>
      </c>
      <c r="F3852" t="s">
        <v>620</v>
      </c>
      <c r="G3852" s="89">
        <v>2016</v>
      </c>
      <c r="H3852" s="313" t="s">
        <v>733</v>
      </c>
      <c r="I3852" s="311" t="str">
        <f t="shared" si="152"/>
        <v>Pesado de Passageiros M3:  : Gasóleo : E6</v>
      </c>
      <c r="J3852">
        <v>55</v>
      </c>
      <c r="K3852" s="422">
        <v>2023</v>
      </c>
      <c r="L3852">
        <v>36966.46</v>
      </c>
      <c r="M3852" t="s">
        <v>630</v>
      </c>
      <c r="N3852">
        <v>127793</v>
      </c>
      <c r="O3852" s="131">
        <f t="shared" si="151"/>
        <v>7028615</v>
      </c>
      <c r="P3852" s="89">
        <v>8638</v>
      </c>
      <c r="Q3852" s="422" t="s">
        <v>47</v>
      </c>
      <c r="R3852" s="422" t="s">
        <v>1869</v>
      </c>
      <c r="S3852" s="422" t="s">
        <v>1861</v>
      </c>
      <c r="T3852" t="s">
        <v>4826</v>
      </c>
      <c r="U3852" s="422" t="s">
        <v>1953</v>
      </c>
      <c r="V3852" s="422" t="s">
        <v>2813</v>
      </c>
    </row>
    <row r="3853" spans="1:22" ht="15.75" thickBot="1" x14ac:dyDescent="0.3">
      <c r="A3853" t="s">
        <v>1916</v>
      </c>
      <c r="B3853" t="s">
        <v>1916</v>
      </c>
      <c r="C3853" s="424" t="str">
        <f t="shared" si="150"/>
        <v>Rodoviária do Alentejo, S.A.</v>
      </c>
      <c r="D3853" t="s">
        <v>629</v>
      </c>
      <c r="F3853" t="s">
        <v>620</v>
      </c>
      <c r="G3853" s="89">
        <v>2016</v>
      </c>
      <c r="H3853" s="313" t="s">
        <v>733</v>
      </c>
      <c r="I3853" s="311" t="str">
        <f t="shared" si="152"/>
        <v>Pesado de Passageiros M3:  : Gasóleo : E6</v>
      </c>
      <c r="J3853">
        <v>55</v>
      </c>
      <c r="K3853" s="422">
        <v>2023</v>
      </c>
      <c r="L3853">
        <v>49233.599999999999</v>
      </c>
      <c r="M3853" t="s">
        <v>630</v>
      </c>
      <c r="N3853">
        <v>172544</v>
      </c>
      <c r="O3853" s="131">
        <f t="shared" si="151"/>
        <v>9489920</v>
      </c>
      <c r="P3853" s="89">
        <v>8639</v>
      </c>
      <c r="Q3853" s="422" t="s">
        <v>47</v>
      </c>
      <c r="R3853" s="422" t="s">
        <v>1869</v>
      </c>
      <c r="S3853" s="422" t="s">
        <v>1861</v>
      </c>
      <c r="T3853" t="s">
        <v>4826</v>
      </c>
      <c r="U3853" s="422" t="s">
        <v>1953</v>
      </c>
      <c r="V3853" s="422" t="s">
        <v>2813</v>
      </c>
    </row>
    <row r="3854" spans="1:22" ht="15.75" thickBot="1" x14ac:dyDescent="0.3">
      <c r="A3854" t="s">
        <v>1916</v>
      </c>
      <c r="B3854" t="s">
        <v>1916</v>
      </c>
      <c r="C3854" s="424" t="str">
        <f t="shared" si="150"/>
        <v>Rodoviária do Alentejo, S.A.</v>
      </c>
      <c r="D3854" t="s">
        <v>629</v>
      </c>
      <c r="F3854" t="s">
        <v>620</v>
      </c>
      <c r="G3854" s="89">
        <v>2016</v>
      </c>
      <c r="H3854" s="313" t="s">
        <v>733</v>
      </c>
      <c r="I3854" s="311" t="str">
        <f t="shared" si="152"/>
        <v>Pesado de Passageiros M3:  : Gasóleo : E6</v>
      </c>
      <c r="J3854">
        <v>55</v>
      </c>
      <c r="K3854" s="422">
        <v>2023</v>
      </c>
      <c r="L3854">
        <v>45483.74</v>
      </c>
      <c r="M3854" t="s">
        <v>630</v>
      </c>
      <c r="N3854">
        <v>155122</v>
      </c>
      <c r="O3854" s="131">
        <f t="shared" si="151"/>
        <v>8531710</v>
      </c>
      <c r="P3854" s="89">
        <v>8640</v>
      </c>
      <c r="Q3854" s="422" t="s">
        <v>47</v>
      </c>
      <c r="R3854" s="422" t="s">
        <v>1869</v>
      </c>
      <c r="S3854" s="422" t="s">
        <v>1861</v>
      </c>
      <c r="T3854" t="s">
        <v>4826</v>
      </c>
      <c r="U3854" s="422" t="s">
        <v>1953</v>
      </c>
      <c r="V3854" s="422" t="s">
        <v>2813</v>
      </c>
    </row>
    <row r="3855" spans="1:22" ht="15.75" thickBot="1" x14ac:dyDescent="0.3">
      <c r="A3855" t="s">
        <v>1916</v>
      </c>
      <c r="B3855" t="s">
        <v>1916</v>
      </c>
      <c r="C3855" s="424" t="str">
        <f t="shared" si="150"/>
        <v>Rodoviária do Alentejo, S.A.</v>
      </c>
      <c r="D3855" t="s">
        <v>629</v>
      </c>
      <c r="F3855" t="s">
        <v>620</v>
      </c>
      <c r="G3855" s="89">
        <v>2016</v>
      </c>
      <c r="H3855" s="313" t="s">
        <v>733</v>
      </c>
      <c r="I3855" s="311" t="str">
        <f t="shared" si="152"/>
        <v>Pesado de Passageiros M3:  : Gasóleo : E6</v>
      </c>
      <c r="J3855">
        <v>55</v>
      </c>
      <c r="K3855" s="422">
        <v>2023</v>
      </c>
      <c r="L3855">
        <v>45436.4</v>
      </c>
      <c r="M3855" t="s">
        <v>630</v>
      </c>
      <c r="N3855">
        <v>163603</v>
      </c>
      <c r="O3855" s="131">
        <f t="shared" si="151"/>
        <v>8998165</v>
      </c>
      <c r="P3855" s="89">
        <v>8641</v>
      </c>
      <c r="Q3855" s="422" t="s">
        <v>47</v>
      </c>
      <c r="R3855" s="422" t="s">
        <v>1869</v>
      </c>
      <c r="S3855" s="422" t="s">
        <v>1861</v>
      </c>
      <c r="T3855" t="s">
        <v>4826</v>
      </c>
      <c r="U3855" s="422" t="s">
        <v>1953</v>
      </c>
      <c r="V3855" s="422" t="s">
        <v>2813</v>
      </c>
    </row>
    <row r="3856" spans="1:22" ht="15.75" thickBot="1" x14ac:dyDescent="0.3">
      <c r="A3856" t="s">
        <v>1916</v>
      </c>
      <c r="B3856" t="s">
        <v>1916</v>
      </c>
      <c r="C3856" s="424" t="str">
        <f t="shared" si="150"/>
        <v>Rodoviária do Alentejo, S.A.</v>
      </c>
      <c r="D3856" t="s">
        <v>629</v>
      </c>
      <c r="F3856" t="s">
        <v>620</v>
      </c>
      <c r="G3856" s="89">
        <v>2016</v>
      </c>
      <c r="H3856" s="313" t="s">
        <v>733</v>
      </c>
      <c r="I3856" s="311" t="str">
        <f t="shared" si="152"/>
        <v>Pesado de Passageiros M3:  : Gasóleo : E6</v>
      </c>
      <c r="J3856">
        <v>55</v>
      </c>
      <c r="K3856" s="422">
        <v>2023</v>
      </c>
      <c r="L3856">
        <v>52583.899999999994</v>
      </c>
      <c r="M3856" t="s">
        <v>630</v>
      </c>
      <c r="N3856">
        <v>170908</v>
      </c>
      <c r="O3856" s="131">
        <f t="shared" si="151"/>
        <v>9399940</v>
      </c>
      <c r="P3856" s="89">
        <v>8642</v>
      </c>
      <c r="Q3856" s="422" t="s">
        <v>47</v>
      </c>
      <c r="R3856" s="422" t="s">
        <v>1869</v>
      </c>
      <c r="S3856" s="422" t="s">
        <v>1861</v>
      </c>
      <c r="T3856" t="s">
        <v>4826</v>
      </c>
      <c r="U3856" s="422" t="s">
        <v>1953</v>
      </c>
      <c r="V3856" s="422" t="s">
        <v>2813</v>
      </c>
    </row>
    <row r="3857" spans="1:22" ht="15.75" thickBot="1" x14ac:dyDescent="0.3">
      <c r="A3857" t="s">
        <v>1916</v>
      </c>
      <c r="B3857" t="s">
        <v>1916</v>
      </c>
      <c r="C3857" s="424" t="str">
        <f t="shared" si="150"/>
        <v>Rodoviária do Alentejo, S.A.</v>
      </c>
      <c r="D3857" t="s">
        <v>629</v>
      </c>
      <c r="F3857" t="s">
        <v>620</v>
      </c>
      <c r="G3857" s="89">
        <v>2016</v>
      </c>
      <c r="H3857" s="313" t="s">
        <v>733</v>
      </c>
      <c r="I3857" s="311" t="str">
        <f t="shared" si="152"/>
        <v>Pesado de Passageiros M3:  : Gasóleo : E6</v>
      </c>
      <c r="J3857">
        <v>55</v>
      </c>
      <c r="K3857" s="422">
        <v>2023</v>
      </c>
      <c r="L3857">
        <v>43727.260000000009</v>
      </c>
      <c r="M3857" t="s">
        <v>630</v>
      </c>
      <c r="N3857">
        <v>153994</v>
      </c>
      <c r="O3857" s="131">
        <f t="shared" si="151"/>
        <v>8469670</v>
      </c>
      <c r="P3857" s="89">
        <v>8643</v>
      </c>
      <c r="Q3857" s="422" t="s">
        <v>47</v>
      </c>
      <c r="R3857" s="422" t="s">
        <v>1869</v>
      </c>
      <c r="S3857" s="422" t="s">
        <v>1861</v>
      </c>
      <c r="T3857" t="s">
        <v>4826</v>
      </c>
      <c r="U3857" s="422" t="s">
        <v>1953</v>
      </c>
      <c r="V3857" s="422" t="s">
        <v>2813</v>
      </c>
    </row>
    <row r="3858" spans="1:22" ht="15.75" thickBot="1" x14ac:dyDescent="0.3">
      <c r="A3858" t="s">
        <v>1916</v>
      </c>
      <c r="B3858" t="s">
        <v>1916</v>
      </c>
      <c r="C3858" s="424" t="str">
        <f t="shared" si="150"/>
        <v>Rodoviária do Alentejo, S.A.</v>
      </c>
      <c r="D3858" t="s">
        <v>629</v>
      </c>
      <c r="F3858" t="s">
        <v>620</v>
      </c>
      <c r="G3858" s="89">
        <v>2017</v>
      </c>
      <c r="H3858" s="313" t="s">
        <v>733</v>
      </c>
      <c r="I3858" s="311" t="str">
        <f t="shared" si="152"/>
        <v>Pesado de Passageiros M3:  : Gasóleo : E6</v>
      </c>
      <c r="J3858">
        <v>55</v>
      </c>
      <c r="K3858" s="422">
        <v>2023</v>
      </c>
      <c r="L3858">
        <v>51909.4</v>
      </c>
      <c r="M3858" t="s">
        <v>630</v>
      </c>
      <c r="N3858">
        <v>187377</v>
      </c>
      <c r="O3858" s="131">
        <f t="shared" si="151"/>
        <v>10305735</v>
      </c>
      <c r="P3858" s="89">
        <v>8644</v>
      </c>
      <c r="Q3858" s="422" t="s">
        <v>47</v>
      </c>
      <c r="R3858" s="422" t="s">
        <v>1869</v>
      </c>
      <c r="S3858" s="422" t="s">
        <v>1861</v>
      </c>
      <c r="T3858" t="s">
        <v>4826</v>
      </c>
      <c r="U3858" s="422" t="s">
        <v>1953</v>
      </c>
      <c r="V3858" s="422" t="s">
        <v>2813</v>
      </c>
    </row>
    <row r="3859" spans="1:22" ht="15.75" thickBot="1" x14ac:dyDescent="0.3">
      <c r="A3859" t="s">
        <v>1916</v>
      </c>
      <c r="B3859" t="s">
        <v>1916</v>
      </c>
      <c r="C3859" s="424" t="str">
        <f t="shared" si="150"/>
        <v>Rodoviária do Alentejo, S.A.</v>
      </c>
      <c r="D3859" t="s">
        <v>629</v>
      </c>
      <c r="F3859" t="s">
        <v>620</v>
      </c>
      <c r="G3859" s="89">
        <v>2017</v>
      </c>
      <c r="H3859" s="313" t="s">
        <v>733</v>
      </c>
      <c r="I3859" s="311" t="str">
        <f t="shared" si="152"/>
        <v>Pesado de Passageiros M3:  : Gasóleo : E6</v>
      </c>
      <c r="J3859">
        <v>55</v>
      </c>
      <c r="K3859" s="422">
        <v>2023</v>
      </c>
      <c r="L3859">
        <v>43431.740000000005</v>
      </c>
      <c r="M3859" t="s">
        <v>630</v>
      </c>
      <c r="N3859">
        <v>156667</v>
      </c>
      <c r="O3859" s="131">
        <f t="shared" si="151"/>
        <v>8616685</v>
      </c>
      <c r="P3859" s="89">
        <v>8645</v>
      </c>
      <c r="Q3859" s="422" t="s">
        <v>47</v>
      </c>
      <c r="R3859" s="422" t="s">
        <v>1869</v>
      </c>
      <c r="S3859" s="422" t="s">
        <v>1861</v>
      </c>
      <c r="T3859" t="s">
        <v>4826</v>
      </c>
      <c r="U3859" s="422" t="s">
        <v>1953</v>
      </c>
      <c r="V3859" s="422" t="s">
        <v>2813</v>
      </c>
    </row>
    <row r="3860" spans="1:22" ht="15.75" thickBot="1" x14ac:dyDescent="0.3">
      <c r="A3860" t="s">
        <v>1916</v>
      </c>
      <c r="B3860" t="s">
        <v>1916</v>
      </c>
      <c r="C3860" s="424" t="str">
        <f t="shared" si="150"/>
        <v>Rodoviária do Alentejo, S.A.</v>
      </c>
      <c r="D3860" t="s">
        <v>629</v>
      </c>
      <c r="F3860" t="s">
        <v>620</v>
      </c>
      <c r="G3860" s="89">
        <v>2017</v>
      </c>
      <c r="H3860" s="313" t="s">
        <v>733</v>
      </c>
      <c r="I3860" s="311" t="str">
        <f t="shared" si="152"/>
        <v>Pesado de Passageiros M3:  : Gasóleo : E6</v>
      </c>
      <c r="J3860">
        <v>55</v>
      </c>
      <c r="K3860" s="422">
        <v>2023</v>
      </c>
      <c r="L3860">
        <v>25637.7</v>
      </c>
      <c r="M3860" t="s">
        <v>630</v>
      </c>
      <c r="N3860">
        <v>99332</v>
      </c>
      <c r="O3860" s="131">
        <f t="shared" si="151"/>
        <v>5463260</v>
      </c>
      <c r="P3860" s="89">
        <v>8646</v>
      </c>
      <c r="Q3860" s="422" t="s">
        <v>47</v>
      </c>
      <c r="R3860" s="422" t="s">
        <v>1869</v>
      </c>
      <c r="S3860" s="422" t="s">
        <v>1861</v>
      </c>
      <c r="T3860" t="s">
        <v>4826</v>
      </c>
      <c r="U3860" s="422" t="s">
        <v>1953</v>
      </c>
      <c r="V3860" s="422" t="s">
        <v>2813</v>
      </c>
    </row>
    <row r="3861" spans="1:22" ht="15.75" thickBot="1" x14ac:dyDescent="0.3">
      <c r="A3861" t="s">
        <v>1916</v>
      </c>
      <c r="B3861" t="s">
        <v>1916</v>
      </c>
      <c r="C3861" s="424" t="str">
        <f t="shared" si="150"/>
        <v>Rodoviária do Alentejo, S.A.</v>
      </c>
      <c r="D3861" t="s">
        <v>629</v>
      </c>
      <c r="F3861" t="s">
        <v>620</v>
      </c>
      <c r="G3861" s="89">
        <v>2017</v>
      </c>
      <c r="H3861" s="313" t="s">
        <v>733</v>
      </c>
      <c r="I3861" s="311" t="str">
        <f t="shared" si="152"/>
        <v>Pesado de Passageiros M3:  : Gasóleo : E6</v>
      </c>
      <c r="J3861">
        <v>55</v>
      </c>
      <c r="K3861" s="422">
        <v>2023</v>
      </c>
      <c r="L3861">
        <v>47999.17</v>
      </c>
      <c r="M3861" t="s">
        <v>630</v>
      </c>
      <c r="N3861">
        <v>176109</v>
      </c>
      <c r="O3861" s="131">
        <f t="shared" si="151"/>
        <v>9685995</v>
      </c>
      <c r="P3861" s="89">
        <v>8647</v>
      </c>
      <c r="Q3861" s="422" t="s">
        <v>47</v>
      </c>
      <c r="R3861" s="422" t="s">
        <v>1869</v>
      </c>
      <c r="S3861" s="422" t="s">
        <v>1861</v>
      </c>
      <c r="T3861" t="s">
        <v>4826</v>
      </c>
      <c r="U3861" s="422" t="s">
        <v>1953</v>
      </c>
      <c r="V3861" s="422" t="s">
        <v>2813</v>
      </c>
    </row>
    <row r="3862" spans="1:22" ht="15.75" thickBot="1" x14ac:dyDescent="0.3">
      <c r="A3862" t="s">
        <v>1916</v>
      </c>
      <c r="B3862" t="s">
        <v>1916</v>
      </c>
      <c r="C3862" s="424" t="str">
        <f t="shared" si="150"/>
        <v>Rodoviária do Alentejo, S.A.</v>
      </c>
      <c r="D3862" t="s">
        <v>629</v>
      </c>
      <c r="F3862" t="s">
        <v>620</v>
      </c>
      <c r="G3862" s="89">
        <v>2013</v>
      </c>
      <c r="H3862" s="313" t="s">
        <v>734</v>
      </c>
      <c r="I3862" s="311" t="str">
        <f t="shared" si="152"/>
        <v>Pesado de Passageiros M3:  : Gasóleo : E5</v>
      </c>
      <c r="J3862">
        <v>55</v>
      </c>
      <c r="K3862" s="422">
        <v>2023</v>
      </c>
      <c r="L3862">
        <v>27939.43</v>
      </c>
      <c r="M3862" t="s">
        <v>630</v>
      </c>
      <c r="N3862">
        <v>94569</v>
      </c>
      <c r="O3862" s="131">
        <f t="shared" si="151"/>
        <v>5201295</v>
      </c>
      <c r="P3862" s="89">
        <v>8648</v>
      </c>
      <c r="Q3862" s="422" t="s">
        <v>47</v>
      </c>
      <c r="R3862" s="422" t="s">
        <v>1869</v>
      </c>
      <c r="S3862" s="422" t="s">
        <v>1861</v>
      </c>
      <c r="T3862" t="s">
        <v>4824</v>
      </c>
      <c r="U3862" s="422" t="s">
        <v>1953</v>
      </c>
      <c r="V3862" s="422" t="s">
        <v>2813</v>
      </c>
    </row>
    <row r="3863" spans="1:22" ht="15.75" thickBot="1" x14ac:dyDescent="0.3">
      <c r="A3863" t="s">
        <v>1916</v>
      </c>
      <c r="B3863" t="s">
        <v>1916</v>
      </c>
      <c r="C3863" s="424" t="str">
        <f t="shared" si="150"/>
        <v>Rodoviária do Alentejo, S.A.</v>
      </c>
      <c r="D3863" t="s">
        <v>629</v>
      </c>
      <c r="F3863" t="s">
        <v>620</v>
      </c>
      <c r="G3863" s="89">
        <v>2013</v>
      </c>
      <c r="H3863" s="313" t="s">
        <v>734</v>
      </c>
      <c r="I3863" s="311" t="str">
        <f t="shared" si="152"/>
        <v>Pesado de Passageiros M3:  : Gasóleo : E5</v>
      </c>
      <c r="J3863">
        <v>55</v>
      </c>
      <c r="K3863" s="422">
        <v>2023</v>
      </c>
      <c r="L3863">
        <v>53565.280000000006</v>
      </c>
      <c r="M3863" t="s">
        <v>630</v>
      </c>
      <c r="N3863">
        <v>180287</v>
      </c>
      <c r="O3863" s="131">
        <f t="shared" si="151"/>
        <v>9915785</v>
      </c>
      <c r="P3863" s="89">
        <v>8649</v>
      </c>
      <c r="Q3863" s="422" t="s">
        <v>47</v>
      </c>
      <c r="R3863" s="422" t="s">
        <v>1869</v>
      </c>
      <c r="S3863" s="422" t="s">
        <v>1861</v>
      </c>
      <c r="T3863" t="s">
        <v>4826</v>
      </c>
      <c r="U3863" s="422" t="s">
        <v>1953</v>
      </c>
      <c r="V3863" s="422" t="s">
        <v>2813</v>
      </c>
    </row>
    <row r="3864" spans="1:22" ht="15.75" thickBot="1" x14ac:dyDescent="0.3">
      <c r="A3864" t="s">
        <v>1916</v>
      </c>
      <c r="B3864" t="s">
        <v>1916</v>
      </c>
      <c r="C3864" s="424" t="str">
        <f t="shared" ref="C3864:C3927" si="153">IF(A3864=B3864,B3864,RIGHT(A3864,LEN(A3864)-LEN(B3864)-3))</f>
        <v>Rodoviária do Alentejo, S.A.</v>
      </c>
      <c r="D3864" t="s">
        <v>629</v>
      </c>
      <c r="F3864" t="s">
        <v>620</v>
      </c>
      <c r="G3864" s="89">
        <v>2008</v>
      </c>
      <c r="H3864" s="313" t="s">
        <v>731</v>
      </c>
      <c r="I3864" s="311" t="str">
        <f t="shared" si="152"/>
        <v>Pesado de Passageiros M3:  : Gasóleo : E4</v>
      </c>
      <c r="J3864">
        <v>67</v>
      </c>
      <c r="K3864" s="422">
        <v>2023</v>
      </c>
      <c r="L3864">
        <v>19301.850000000002</v>
      </c>
      <c r="M3864" t="s">
        <v>630</v>
      </c>
      <c r="N3864">
        <v>63975</v>
      </c>
      <c r="O3864" s="131">
        <f t="shared" si="151"/>
        <v>4286325</v>
      </c>
      <c r="P3864" s="89">
        <v>8650</v>
      </c>
      <c r="Q3864" s="422" t="s">
        <v>47</v>
      </c>
      <c r="R3864" s="422" t="s">
        <v>1869</v>
      </c>
      <c r="S3864" s="422" t="s">
        <v>1861</v>
      </c>
      <c r="T3864" t="s">
        <v>4823</v>
      </c>
      <c r="U3864" s="422" t="s">
        <v>1953</v>
      </c>
      <c r="V3864" s="422" t="s">
        <v>2813</v>
      </c>
    </row>
    <row r="3865" spans="1:22" ht="15.75" thickBot="1" x14ac:dyDescent="0.3">
      <c r="A3865" t="s">
        <v>1916</v>
      </c>
      <c r="B3865" t="s">
        <v>1916</v>
      </c>
      <c r="C3865" s="424" t="str">
        <f t="shared" si="153"/>
        <v>Rodoviária do Alentejo, S.A.</v>
      </c>
      <c r="D3865" t="s">
        <v>629</v>
      </c>
      <c r="F3865" t="s">
        <v>620</v>
      </c>
      <c r="G3865" s="89">
        <v>2016</v>
      </c>
      <c r="H3865" s="313" t="s">
        <v>733</v>
      </c>
      <c r="I3865" s="311" t="str">
        <f t="shared" si="152"/>
        <v>Pesado de Passageiros M3:  : Gasóleo : E6</v>
      </c>
      <c r="J3865">
        <v>55</v>
      </c>
      <c r="K3865" s="422">
        <v>2023</v>
      </c>
      <c r="L3865">
        <v>24503.96</v>
      </c>
      <c r="M3865" t="s">
        <v>630</v>
      </c>
      <c r="N3865">
        <v>79558</v>
      </c>
      <c r="O3865" s="131">
        <f t="shared" ref="O3865:O3928" si="154">N3865*J3865</f>
        <v>4375690</v>
      </c>
      <c r="P3865" s="89">
        <v>8651</v>
      </c>
      <c r="Q3865" s="422" t="s">
        <v>47</v>
      </c>
      <c r="R3865" s="422" t="s">
        <v>1869</v>
      </c>
      <c r="S3865" s="422" t="s">
        <v>1861</v>
      </c>
      <c r="T3865" t="s">
        <v>4824</v>
      </c>
      <c r="U3865" s="422" t="s">
        <v>1953</v>
      </c>
      <c r="V3865" s="422" t="s">
        <v>2813</v>
      </c>
    </row>
    <row r="3866" spans="1:22" ht="15.75" thickBot="1" x14ac:dyDescent="0.3">
      <c r="A3866" t="s">
        <v>1916</v>
      </c>
      <c r="B3866" t="s">
        <v>1916</v>
      </c>
      <c r="C3866" s="424" t="str">
        <f t="shared" si="153"/>
        <v>Rodoviária do Alentejo, S.A.</v>
      </c>
      <c r="D3866" t="s">
        <v>629</v>
      </c>
      <c r="F3866" t="s">
        <v>620</v>
      </c>
      <c r="G3866" s="89">
        <v>2016</v>
      </c>
      <c r="H3866" s="313" t="s">
        <v>733</v>
      </c>
      <c r="I3866" s="311" t="str">
        <f t="shared" si="152"/>
        <v>Pesado de Passageiros M3:  : Gasóleo : E6</v>
      </c>
      <c r="J3866">
        <v>55</v>
      </c>
      <c r="K3866" s="422">
        <v>2023</v>
      </c>
      <c r="L3866">
        <v>24745.220000000005</v>
      </c>
      <c r="M3866" t="s">
        <v>630</v>
      </c>
      <c r="N3866">
        <v>82567</v>
      </c>
      <c r="O3866" s="131">
        <f t="shared" si="154"/>
        <v>4541185</v>
      </c>
      <c r="P3866" s="89">
        <v>8652</v>
      </c>
      <c r="Q3866" s="422" t="s">
        <v>47</v>
      </c>
      <c r="R3866" s="422" t="s">
        <v>1869</v>
      </c>
      <c r="S3866" s="422" t="s">
        <v>1861</v>
      </c>
      <c r="T3866" t="s">
        <v>4824</v>
      </c>
      <c r="U3866" s="422" t="s">
        <v>1953</v>
      </c>
      <c r="V3866" s="422" t="s">
        <v>2813</v>
      </c>
    </row>
    <row r="3867" spans="1:22" ht="15.75" thickBot="1" x14ac:dyDescent="0.3">
      <c r="A3867" t="s">
        <v>1916</v>
      </c>
      <c r="B3867" t="s">
        <v>1916</v>
      </c>
      <c r="C3867" s="424" t="str">
        <f t="shared" si="153"/>
        <v>Rodoviária do Alentejo, S.A.</v>
      </c>
      <c r="D3867" t="s">
        <v>629</v>
      </c>
      <c r="F3867" t="s">
        <v>620</v>
      </c>
      <c r="G3867" s="89">
        <v>2023</v>
      </c>
      <c r="H3867" s="313" t="s">
        <v>733</v>
      </c>
      <c r="I3867" s="311" t="str">
        <f t="shared" si="152"/>
        <v>Pesado de Passageiros M3:  : Gasóleo : E6</v>
      </c>
      <c r="J3867">
        <v>55</v>
      </c>
      <c r="K3867" s="422">
        <v>2023</v>
      </c>
      <c r="L3867">
        <v>19126.11</v>
      </c>
      <c r="M3867" t="s">
        <v>630</v>
      </c>
      <c r="N3867">
        <v>74432</v>
      </c>
      <c r="O3867" s="131">
        <f t="shared" si="154"/>
        <v>4093760</v>
      </c>
      <c r="P3867" s="89">
        <v>8653</v>
      </c>
      <c r="Q3867" s="422" t="s">
        <v>47</v>
      </c>
      <c r="R3867" s="422" t="s">
        <v>1869</v>
      </c>
      <c r="S3867" s="422" t="s">
        <v>1861</v>
      </c>
      <c r="T3867" t="s">
        <v>4826</v>
      </c>
      <c r="U3867" s="422" t="s">
        <v>1953</v>
      </c>
      <c r="V3867" s="422" t="s">
        <v>2813</v>
      </c>
    </row>
    <row r="3868" spans="1:22" ht="15.75" thickBot="1" x14ac:dyDescent="0.3">
      <c r="A3868" t="s">
        <v>1916</v>
      </c>
      <c r="B3868" t="s">
        <v>1916</v>
      </c>
      <c r="C3868" s="424" t="str">
        <f t="shared" si="153"/>
        <v>Rodoviária do Alentejo, S.A.</v>
      </c>
      <c r="D3868" t="s">
        <v>629</v>
      </c>
      <c r="F3868" t="s">
        <v>620</v>
      </c>
      <c r="G3868" s="89">
        <v>2008</v>
      </c>
      <c r="H3868" s="313" t="s">
        <v>731</v>
      </c>
      <c r="I3868" s="311" t="str">
        <f t="shared" si="152"/>
        <v>Pesado de Passageiros M3:  : Gasóleo : E4</v>
      </c>
      <c r="J3868">
        <v>51</v>
      </c>
      <c r="K3868" s="422">
        <v>2023</v>
      </c>
      <c r="L3868">
        <v>6338.42</v>
      </c>
      <c r="M3868" t="s">
        <v>630</v>
      </c>
      <c r="N3868">
        <v>28762</v>
      </c>
      <c r="O3868" s="131">
        <f t="shared" si="154"/>
        <v>1466862</v>
      </c>
      <c r="P3868" s="89">
        <v>8701</v>
      </c>
      <c r="Q3868" s="422" t="s">
        <v>47</v>
      </c>
      <c r="R3868" s="422" t="s">
        <v>1869</v>
      </c>
      <c r="S3868" s="422" t="s">
        <v>1861</v>
      </c>
      <c r="T3868" t="s">
        <v>4823</v>
      </c>
      <c r="U3868" s="422" t="s">
        <v>1953</v>
      </c>
      <c r="V3868" s="422" t="s">
        <v>2813</v>
      </c>
    </row>
    <row r="3869" spans="1:22" ht="15.75" thickBot="1" x14ac:dyDescent="0.3">
      <c r="A3869" t="s">
        <v>1916</v>
      </c>
      <c r="B3869" t="s">
        <v>1916</v>
      </c>
      <c r="C3869" s="424" t="str">
        <f t="shared" si="153"/>
        <v>Rodoviária do Alentejo, S.A.</v>
      </c>
      <c r="D3869" t="s">
        <v>629</v>
      </c>
      <c r="F3869" t="s">
        <v>620</v>
      </c>
      <c r="G3869" s="89">
        <v>2008</v>
      </c>
      <c r="H3869" s="313" t="s">
        <v>731</v>
      </c>
      <c r="I3869" s="311" t="str">
        <f t="shared" si="152"/>
        <v>Pesado de Passageiros M3:  : Gasóleo : E4</v>
      </c>
      <c r="J3869">
        <v>51</v>
      </c>
      <c r="K3869" s="422">
        <v>2023</v>
      </c>
      <c r="L3869">
        <v>9242.6</v>
      </c>
      <c r="M3869" t="s">
        <v>630</v>
      </c>
      <c r="N3869">
        <v>42178</v>
      </c>
      <c r="O3869" s="131">
        <f t="shared" si="154"/>
        <v>2151078</v>
      </c>
      <c r="P3869" s="89">
        <v>8702</v>
      </c>
      <c r="Q3869" s="422" t="s">
        <v>47</v>
      </c>
      <c r="R3869" s="422" t="s">
        <v>1869</v>
      </c>
      <c r="S3869" s="422" t="s">
        <v>1861</v>
      </c>
      <c r="T3869" t="s">
        <v>4823</v>
      </c>
      <c r="U3869" s="422" t="s">
        <v>1953</v>
      </c>
      <c r="V3869" s="422" t="s">
        <v>2813</v>
      </c>
    </row>
    <row r="3870" spans="1:22" ht="15.75" thickBot="1" x14ac:dyDescent="0.3">
      <c r="A3870" t="s">
        <v>1916</v>
      </c>
      <c r="B3870" t="s">
        <v>1916</v>
      </c>
      <c r="C3870" s="424" t="str">
        <f t="shared" si="153"/>
        <v>Rodoviária do Alentejo, S.A.</v>
      </c>
      <c r="D3870" t="s">
        <v>629</v>
      </c>
      <c r="F3870" t="s">
        <v>620</v>
      </c>
      <c r="G3870" s="89">
        <v>2009</v>
      </c>
      <c r="H3870" s="313" t="s">
        <v>731</v>
      </c>
      <c r="I3870" s="311" t="str">
        <f t="shared" si="152"/>
        <v>Pesado de Passageiros M3:  : Gasóleo : E4</v>
      </c>
      <c r="J3870">
        <v>31</v>
      </c>
      <c r="K3870" s="422">
        <v>2023</v>
      </c>
      <c r="L3870">
        <v>8657.44</v>
      </c>
      <c r="M3870" t="s">
        <v>630</v>
      </c>
      <c r="N3870">
        <v>56762</v>
      </c>
      <c r="O3870" s="131">
        <f t="shared" si="154"/>
        <v>1759622</v>
      </c>
      <c r="P3870" s="89">
        <v>8703</v>
      </c>
      <c r="Q3870" s="422" t="s">
        <v>47</v>
      </c>
      <c r="R3870" s="422" t="s">
        <v>1869</v>
      </c>
      <c r="S3870" s="422" t="s">
        <v>1861</v>
      </c>
      <c r="T3870" t="s">
        <v>4823</v>
      </c>
      <c r="U3870" s="422" t="s">
        <v>1953</v>
      </c>
      <c r="V3870" s="422" t="s">
        <v>2813</v>
      </c>
    </row>
    <row r="3871" spans="1:22" ht="15.75" thickBot="1" x14ac:dyDescent="0.3">
      <c r="A3871" t="s">
        <v>1916</v>
      </c>
      <c r="B3871" t="s">
        <v>1916</v>
      </c>
      <c r="C3871" s="424" t="str">
        <f t="shared" si="153"/>
        <v>Rodoviária do Alentejo, S.A.</v>
      </c>
      <c r="D3871" t="s">
        <v>629</v>
      </c>
      <c r="F3871" t="s">
        <v>620</v>
      </c>
      <c r="G3871" s="89">
        <v>2009</v>
      </c>
      <c r="H3871" s="313" t="s">
        <v>734</v>
      </c>
      <c r="I3871" s="311" t="str">
        <f t="shared" si="152"/>
        <v>Pesado de Passageiros M3:  : Gasóleo : E5</v>
      </c>
      <c r="J3871">
        <v>31</v>
      </c>
      <c r="K3871" s="422">
        <v>2023</v>
      </c>
      <c r="L3871">
        <v>5193.25</v>
      </c>
      <c r="M3871" t="s">
        <v>630</v>
      </c>
      <c r="N3871">
        <v>32066</v>
      </c>
      <c r="O3871" s="131">
        <f t="shared" si="154"/>
        <v>994046</v>
      </c>
      <c r="P3871" s="89">
        <v>8704</v>
      </c>
      <c r="Q3871" s="422" t="s">
        <v>47</v>
      </c>
      <c r="R3871" s="422" t="s">
        <v>1869</v>
      </c>
      <c r="S3871" s="422" t="s">
        <v>1861</v>
      </c>
      <c r="T3871" t="s">
        <v>4823</v>
      </c>
      <c r="U3871" s="422" t="s">
        <v>1953</v>
      </c>
      <c r="V3871" s="422" t="s">
        <v>2813</v>
      </c>
    </row>
    <row r="3872" spans="1:22" ht="15.75" thickBot="1" x14ac:dyDescent="0.3">
      <c r="A3872" t="s">
        <v>1916</v>
      </c>
      <c r="B3872" t="s">
        <v>1916</v>
      </c>
      <c r="C3872" s="424" t="str">
        <f t="shared" si="153"/>
        <v>Rodoviária do Alentejo, S.A.</v>
      </c>
      <c r="D3872" t="s">
        <v>629</v>
      </c>
      <c r="F3872" t="s">
        <v>620</v>
      </c>
      <c r="G3872" s="89">
        <v>2001</v>
      </c>
      <c r="H3872" s="313" t="s">
        <v>735</v>
      </c>
      <c r="I3872" s="311" t="str">
        <f t="shared" si="152"/>
        <v>Pesado de Passageiros M3:  : Gasóleo : E2</v>
      </c>
      <c r="J3872">
        <v>69</v>
      </c>
      <c r="K3872" s="422">
        <v>2023</v>
      </c>
      <c r="L3872">
        <v>13213.78</v>
      </c>
      <c r="M3872" t="s">
        <v>630</v>
      </c>
      <c r="N3872">
        <v>41654</v>
      </c>
      <c r="O3872" s="131">
        <f t="shared" si="154"/>
        <v>2874126</v>
      </c>
      <c r="P3872" s="89">
        <v>8706</v>
      </c>
      <c r="Q3872" s="422" t="s">
        <v>47</v>
      </c>
      <c r="R3872" s="422" t="s">
        <v>1869</v>
      </c>
      <c r="S3872" s="422" t="s">
        <v>1861</v>
      </c>
      <c r="T3872" t="s">
        <v>4825</v>
      </c>
      <c r="U3872" s="422" t="s">
        <v>1953</v>
      </c>
      <c r="V3872" s="422" t="s">
        <v>2813</v>
      </c>
    </row>
    <row r="3873" spans="1:22" ht="15.75" thickBot="1" x14ac:dyDescent="0.3">
      <c r="A3873" t="s">
        <v>1916</v>
      </c>
      <c r="B3873" t="s">
        <v>1916</v>
      </c>
      <c r="C3873" s="424" t="str">
        <f t="shared" si="153"/>
        <v>Rodoviária do Alentejo, S.A.</v>
      </c>
      <c r="D3873" t="s">
        <v>629</v>
      </c>
      <c r="F3873" t="s">
        <v>620</v>
      </c>
      <c r="G3873" s="89">
        <v>2014</v>
      </c>
      <c r="H3873" s="313" t="s">
        <v>734</v>
      </c>
      <c r="I3873" s="311" t="str">
        <f t="shared" si="152"/>
        <v>Pesado de Passageiros M3:  : Gasóleo : E5</v>
      </c>
      <c r="J3873">
        <v>37</v>
      </c>
      <c r="K3873" s="422">
        <v>2023</v>
      </c>
      <c r="L3873">
        <v>10432.560000000001</v>
      </c>
      <c r="M3873" t="s">
        <v>630</v>
      </c>
      <c r="N3873">
        <v>62411</v>
      </c>
      <c r="O3873" s="131">
        <f t="shared" si="154"/>
        <v>2309207</v>
      </c>
      <c r="P3873" s="89">
        <v>8710</v>
      </c>
      <c r="Q3873" s="422" t="s">
        <v>47</v>
      </c>
      <c r="R3873" s="422" t="s">
        <v>1869</v>
      </c>
      <c r="S3873" s="422" t="s">
        <v>1861</v>
      </c>
      <c r="T3873" t="s">
        <v>4823</v>
      </c>
      <c r="U3873" s="422" t="s">
        <v>1953</v>
      </c>
      <c r="V3873" s="422" t="s">
        <v>2813</v>
      </c>
    </row>
    <row r="3874" spans="1:22" ht="15.75" thickBot="1" x14ac:dyDescent="0.3">
      <c r="A3874" t="s">
        <v>1916</v>
      </c>
      <c r="B3874" t="s">
        <v>1916</v>
      </c>
      <c r="C3874" s="424" t="str">
        <f t="shared" si="153"/>
        <v>Rodoviária do Alentejo, S.A.</v>
      </c>
      <c r="D3874" t="s">
        <v>629</v>
      </c>
      <c r="F3874" t="s">
        <v>620</v>
      </c>
      <c r="G3874" s="89">
        <v>2001</v>
      </c>
      <c r="H3874" s="313" t="s">
        <v>735</v>
      </c>
      <c r="I3874" s="311" t="str">
        <f t="shared" si="152"/>
        <v>Pesado de Passageiros M3:  : Gasóleo : E2</v>
      </c>
      <c r="J3874">
        <v>49</v>
      </c>
      <c r="K3874" s="422">
        <v>2023</v>
      </c>
      <c r="L3874">
        <v>15074.239999999998</v>
      </c>
      <c r="M3874" t="s">
        <v>630</v>
      </c>
      <c r="N3874">
        <v>46151</v>
      </c>
      <c r="O3874" s="131">
        <f t="shared" si="154"/>
        <v>2261399</v>
      </c>
      <c r="P3874" s="89">
        <v>8712</v>
      </c>
      <c r="Q3874" s="422" t="s">
        <v>47</v>
      </c>
      <c r="R3874" s="422" t="s">
        <v>1869</v>
      </c>
      <c r="S3874" s="422" t="s">
        <v>1861</v>
      </c>
      <c r="T3874" t="s">
        <v>4825</v>
      </c>
      <c r="U3874" s="422" t="s">
        <v>1953</v>
      </c>
      <c r="V3874" s="422" t="s">
        <v>2813</v>
      </c>
    </row>
    <row r="3875" spans="1:22" ht="15.75" thickBot="1" x14ac:dyDescent="0.3">
      <c r="A3875" t="s">
        <v>1916</v>
      </c>
      <c r="B3875" t="s">
        <v>1916</v>
      </c>
      <c r="C3875" s="424" t="str">
        <f t="shared" si="153"/>
        <v>Rodoviária do Alentejo, S.A.</v>
      </c>
      <c r="D3875" t="s">
        <v>629</v>
      </c>
      <c r="F3875" t="s">
        <v>620</v>
      </c>
      <c r="G3875" s="89">
        <v>2003</v>
      </c>
      <c r="H3875" s="313" t="s">
        <v>732</v>
      </c>
      <c r="I3875" s="311" t="str">
        <f t="shared" si="152"/>
        <v>Pesado de Passageiros M3:  : Gasóleo : E3</v>
      </c>
      <c r="J3875">
        <v>71</v>
      </c>
      <c r="K3875" s="422">
        <v>2023</v>
      </c>
      <c r="L3875">
        <v>22362.379999999997</v>
      </c>
      <c r="M3875" t="s">
        <v>630</v>
      </c>
      <c r="N3875">
        <v>75781</v>
      </c>
      <c r="O3875" s="131">
        <f t="shared" si="154"/>
        <v>5380451</v>
      </c>
      <c r="P3875" s="89">
        <v>8713</v>
      </c>
      <c r="Q3875" s="422" t="s">
        <v>47</v>
      </c>
      <c r="R3875" s="422" t="s">
        <v>1869</v>
      </c>
      <c r="S3875" s="422" t="s">
        <v>1861</v>
      </c>
      <c r="T3875" t="s">
        <v>4823</v>
      </c>
      <c r="U3875" s="422" t="s">
        <v>1953</v>
      </c>
      <c r="V3875" s="422" t="s">
        <v>2813</v>
      </c>
    </row>
    <row r="3876" spans="1:22" ht="15.75" thickBot="1" x14ac:dyDescent="0.3">
      <c r="A3876" t="s">
        <v>1916</v>
      </c>
      <c r="B3876" t="s">
        <v>1916</v>
      </c>
      <c r="C3876" s="424" t="str">
        <f t="shared" si="153"/>
        <v>Rodoviária do Alentejo, S.A.</v>
      </c>
      <c r="D3876" t="s">
        <v>629</v>
      </c>
      <c r="F3876" t="s">
        <v>620</v>
      </c>
      <c r="G3876" s="89">
        <v>2005</v>
      </c>
      <c r="H3876" s="313" t="s">
        <v>732</v>
      </c>
      <c r="I3876" s="311" t="str">
        <f t="shared" si="152"/>
        <v>Pesado de Passageiros M3:  : Gasóleo : E3</v>
      </c>
      <c r="J3876">
        <v>92</v>
      </c>
      <c r="K3876" s="422">
        <v>2023</v>
      </c>
      <c r="L3876">
        <v>0</v>
      </c>
      <c r="M3876" t="s">
        <v>630</v>
      </c>
      <c r="N3876">
        <v>0</v>
      </c>
      <c r="O3876" s="131">
        <f t="shared" si="154"/>
        <v>0</v>
      </c>
      <c r="P3876" s="89">
        <v>8714</v>
      </c>
      <c r="Q3876" s="422" t="s">
        <v>47</v>
      </c>
      <c r="R3876" s="422" t="s">
        <v>1869</v>
      </c>
      <c r="S3876" s="422" t="s">
        <v>1861</v>
      </c>
      <c r="T3876" t="s">
        <v>4823</v>
      </c>
      <c r="U3876" s="422" t="s">
        <v>1953</v>
      </c>
      <c r="V3876" s="422" t="s">
        <v>2813</v>
      </c>
    </row>
    <row r="3877" spans="1:22" ht="15.75" thickBot="1" x14ac:dyDescent="0.3">
      <c r="A3877" t="s">
        <v>1916</v>
      </c>
      <c r="B3877" t="s">
        <v>1916</v>
      </c>
      <c r="C3877" s="424" t="str">
        <f t="shared" si="153"/>
        <v>Rodoviária do Alentejo, S.A.</v>
      </c>
      <c r="D3877" t="s">
        <v>629</v>
      </c>
      <c r="F3877" t="s">
        <v>620</v>
      </c>
      <c r="G3877" s="89">
        <v>2004</v>
      </c>
      <c r="H3877" s="313" t="s">
        <v>732</v>
      </c>
      <c r="I3877" s="311" t="str">
        <f t="shared" si="152"/>
        <v>Pesado de Passageiros M3:  : Gasóleo : E3</v>
      </c>
      <c r="J3877">
        <v>92</v>
      </c>
      <c r="K3877" s="422">
        <v>2023</v>
      </c>
      <c r="L3877">
        <v>8201.39</v>
      </c>
      <c r="M3877" t="s">
        <v>630</v>
      </c>
      <c r="N3877">
        <v>20225</v>
      </c>
      <c r="O3877" s="131">
        <f t="shared" si="154"/>
        <v>1860700</v>
      </c>
      <c r="P3877" s="89">
        <v>8715</v>
      </c>
      <c r="Q3877" s="422" t="s">
        <v>47</v>
      </c>
      <c r="R3877" s="422" t="s">
        <v>1869</v>
      </c>
      <c r="S3877" s="422" t="s">
        <v>1861</v>
      </c>
      <c r="T3877" t="s">
        <v>4823</v>
      </c>
      <c r="U3877" s="422" t="s">
        <v>1953</v>
      </c>
      <c r="V3877" s="422" t="s">
        <v>2813</v>
      </c>
    </row>
    <row r="3878" spans="1:22" ht="15.75" thickBot="1" x14ac:dyDescent="0.3">
      <c r="A3878" t="s">
        <v>1916</v>
      </c>
      <c r="B3878" t="s">
        <v>1916</v>
      </c>
      <c r="C3878" s="424" t="str">
        <f t="shared" si="153"/>
        <v>Rodoviária do Alentejo, S.A.</v>
      </c>
      <c r="D3878" t="s">
        <v>629</v>
      </c>
      <c r="F3878" t="s">
        <v>620</v>
      </c>
      <c r="G3878" s="89">
        <v>2016</v>
      </c>
      <c r="H3878" s="313" t="s">
        <v>733</v>
      </c>
      <c r="I3878" s="311" t="str">
        <f t="shared" si="152"/>
        <v>Pesado de Passageiros M3:  : Gasóleo : E6</v>
      </c>
      <c r="J3878">
        <v>31</v>
      </c>
      <c r="K3878" s="422">
        <v>2023</v>
      </c>
      <c r="L3878">
        <v>7179.5000000000009</v>
      </c>
      <c r="M3878" t="s">
        <v>630</v>
      </c>
      <c r="N3878">
        <v>43633</v>
      </c>
      <c r="O3878" s="131">
        <f t="shared" si="154"/>
        <v>1352623</v>
      </c>
      <c r="P3878" s="89">
        <v>8718</v>
      </c>
      <c r="Q3878" s="422" t="s">
        <v>47</v>
      </c>
      <c r="R3878" s="422" t="s">
        <v>1869</v>
      </c>
      <c r="S3878" s="422" t="s">
        <v>1861</v>
      </c>
      <c r="T3878" t="s">
        <v>4823</v>
      </c>
      <c r="U3878" s="422" t="s">
        <v>1953</v>
      </c>
      <c r="V3878" s="422" t="s">
        <v>2813</v>
      </c>
    </row>
    <row r="3879" spans="1:22" ht="15.75" thickBot="1" x14ac:dyDescent="0.3">
      <c r="A3879" t="s">
        <v>1916</v>
      </c>
      <c r="B3879" t="s">
        <v>1916</v>
      </c>
      <c r="C3879" s="424" t="str">
        <f t="shared" si="153"/>
        <v>Rodoviária do Alentejo, S.A.</v>
      </c>
      <c r="D3879" t="s">
        <v>629</v>
      </c>
      <c r="F3879" t="s">
        <v>620</v>
      </c>
      <c r="G3879" s="89">
        <v>2008</v>
      </c>
      <c r="H3879" s="313" t="s">
        <v>731</v>
      </c>
      <c r="I3879" s="311" t="str">
        <f t="shared" si="152"/>
        <v>Pesado de Passageiros M3:  : Gasóleo : E4</v>
      </c>
      <c r="J3879">
        <v>79</v>
      </c>
      <c r="K3879" s="422">
        <v>2023</v>
      </c>
      <c r="L3879">
        <v>20479.97</v>
      </c>
      <c r="M3879" t="s">
        <v>630</v>
      </c>
      <c r="N3879">
        <v>61045</v>
      </c>
      <c r="O3879" s="131">
        <f t="shared" si="154"/>
        <v>4822555</v>
      </c>
      <c r="P3879" s="89">
        <v>8720</v>
      </c>
      <c r="Q3879" s="422" t="s">
        <v>47</v>
      </c>
      <c r="R3879" s="422" t="s">
        <v>1869</v>
      </c>
      <c r="S3879" s="422" t="s">
        <v>1861</v>
      </c>
      <c r="T3879" t="s">
        <v>4823</v>
      </c>
      <c r="U3879" s="422" t="s">
        <v>1953</v>
      </c>
      <c r="V3879" s="422" t="s">
        <v>2813</v>
      </c>
    </row>
    <row r="3880" spans="1:22" ht="15.75" thickBot="1" x14ac:dyDescent="0.3">
      <c r="A3880" t="s">
        <v>1916</v>
      </c>
      <c r="B3880" t="s">
        <v>1916</v>
      </c>
      <c r="C3880" s="424" t="str">
        <f t="shared" si="153"/>
        <v>Rodoviária do Alentejo, S.A.</v>
      </c>
      <c r="D3880" t="s">
        <v>629</v>
      </c>
      <c r="F3880" t="s">
        <v>620</v>
      </c>
      <c r="G3880" s="89">
        <v>2008</v>
      </c>
      <c r="H3880" s="313" t="s">
        <v>731</v>
      </c>
      <c r="I3880" s="311" t="str">
        <f t="shared" si="152"/>
        <v>Pesado de Passageiros M3:  : Gasóleo : E4</v>
      </c>
      <c r="J3880">
        <v>46</v>
      </c>
      <c r="K3880" s="422">
        <v>2023</v>
      </c>
      <c r="L3880">
        <v>13997.340000000002</v>
      </c>
      <c r="M3880" t="s">
        <v>630</v>
      </c>
      <c r="N3880">
        <v>55642</v>
      </c>
      <c r="O3880" s="131">
        <f t="shared" si="154"/>
        <v>2559532</v>
      </c>
      <c r="P3880" s="89">
        <v>8722</v>
      </c>
      <c r="Q3880" s="422" t="s">
        <v>47</v>
      </c>
      <c r="R3880" s="422" t="s">
        <v>1869</v>
      </c>
      <c r="S3880" s="422" t="s">
        <v>1861</v>
      </c>
      <c r="T3880" t="s">
        <v>4823</v>
      </c>
      <c r="U3880" s="422" t="s">
        <v>1953</v>
      </c>
      <c r="V3880" s="422" t="s">
        <v>2813</v>
      </c>
    </row>
    <row r="3881" spans="1:22" ht="15.75" thickBot="1" x14ac:dyDescent="0.3">
      <c r="A3881" t="s">
        <v>1916</v>
      </c>
      <c r="B3881" t="s">
        <v>1916</v>
      </c>
      <c r="C3881" s="424" t="str">
        <f t="shared" si="153"/>
        <v>Rodoviária do Alentejo, S.A.</v>
      </c>
      <c r="D3881" t="s">
        <v>629</v>
      </c>
      <c r="F3881" t="s">
        <v>620</v>
      </c>
      <c r="G3881" s="89">
        <v>2004</v>
      </c>
      <c r="H3881" s="313" t="s">
        <v>732</v>
      </c>
      <c r="I3881" s="311" t="str">
        <f t="shared" si="152"/>
        <v>Pesado de Passageiros M3:  : Gasóleo : E3</v>
      </c>
      <c r="J3881">
        <v>73</v>
      </c>
      <c r="K3881" s="422">
        <v>2023</v>
      </c>
      <c r="L3881">
        <v>20799.2</v>
      </c>
      <c r="M3881" t="s">
        <v>630</v>
      </c>
      <c r="N3881">
        <v>67721</v>
      </c>
      <c r="O3881" s="131">
        <f t="shared" si="154"/>
        <v>4943633</v>
      </c>
      <c r="P3881" s="89">
        <v>8723</v>
      </c>
      <c r="Q3881" s="422" t="s">
        <v>47</v>
      </c>
      <c r="R3881" s="422" t="s">
        <v>1869</v>
      </c>
      <c r="S3881" s="422" t="s">
        <v>1861</v>
      </c>
      <c r="T3881" t="s">
        <v>4823</v>
      </c>
      <c r="U3881" s="422" t="s">
        <v>1953</v>
      </c>
      <c r="V3881" s="422" t="s">
        <v>2813</v>
      </c>
    </row>
    <row r="3882" spans="1:22" ht="15.75" thickBot="1" x14ac:dyDescent="0.3">
      <c r="A3882" t="s">
        <v>1916</v>
      </c>
      <c r="B3882" t="s">
        <v>1916</v>
      </c>
      <c r="C3882" s="424" t="str">
        <f t="shared" si="153"/>
        <v>Rodoviária do Alentejo, S.A.</v>
      </c>
      <c r="D3882" t="s">
        <v>629</v>
      </c>
      <c r="F3882" t="s">
        <v>620</v>
      </c>
      <c r="G3882" s="89">
        <v>2009</v>
      </c>
      <c r="H3882" s="313" t="s">
        <v>731</v>
      </c>
      <c r="I3882" s="311" t="str">
        <f t="shared" si="152"/>
        <v>Pesado de Passageiros M3:  : Gasóleo : E4</v>
      </c>
      <c r="J3882">
        <v>85</v>
      </c>
      <c r="K3882" s="422">
        <v>2023</v>
      </c>
      <c r="L3882">
        <v>16717.95</v>
      </c>
      <c r="M3882" t="s">
        <v>630</v>
      </c>
      <c r="N3882">
        <v>58267</v>
      </c>
      <c r="O3882" s="131">
        <f t="shared" si="154"/>
        <v>4952695</v>
      </c>
      <c r="P3882" s="89">
        <v>8727</v>
      </c>
      <c r="Q3882" s="422" t="s">
        <v>47</v>
      </c>
      <c r="R3882" s="422" t="s">
        <v>1869</v>
      </c>
      <c r="S3882" s="422" t="s">
        <v>1861</v>
      </c>
      <c r="T3882" t="s">
        <v>4823</v>
      </c>
      <c r="U3882" s="422" t="s">
        <v>1953</v>
      </c>
      <c r="V3882" s="422" t="s">
        <v>2813</v>
      </c>
    </row>
    <row r="3883" spans="1:22" ht="15.75" thickBot="1" x14ac:dyDescent="0.3">
      <c r="A3883" t="s">
        <v>1916</v>
      </c>
      <c r="B3883" t="s">
        <v>1916</v>
      </c>
      <c r="C3883" s="424" t="str">
        <f t="shared" si="153"/>
        <v>Rodoviária do Alentejo, S.A.</v>
      </c>
      <c r="D3883" t="s">
        <v>629</v>
      </c>
      <c r="F3883" t="s">
        <v>620</v>
      </c>
      <c r="G3883" s="89">
        <v>2008</v>
      </c>
      <c r="H3883" s="313" t="s">
        <v>731</v>
      </c>
      <c r="I3883" s="311" t="str">
        <f t="shared" si="152"/>
        <v>Pesado de Passageiros M3:  : Gasóleo : E4</v>
      </c>
      <c r="J3883">
        <v>46</v>
      </c>
      <c r="K3883" s="422">
        <v>2023</v>
      </c>
      <c r="L3883">
        <v>6223.32</v>
      </c>
      <c r="M3883" t="s">
        <v>630</v>
      </c>
      <c r="N3883">
        <v>26643</v>
      </c>
      <c r="O3883" s="131">
        <f t="shared" si="154"/>
        <v>1225578</v>
      </c>
      <c r="P3883" s="89">
        <v>8728</v>
      </c>
      <c r="Q3883" s="422" t="s">
        <v>47</v>
      </c>
      <c r="R3883" s="422" t="s">
        <v>1869</v>
      </c>
      <c r="S3883" s="422" t="s">
        <v>1861</v>
      </c>
      <c r="T3883" t="s">
        <v>4823</v>
      </c>
      <c r="U3883" s="422" t="s">
        <v>1953</v>
      </c>
      <c r="V3883" s="422" t="s">
        <v>2813</v>
      </c>
    </row>
    <row r="3884" spans="1:22" ht="15.75" thickBot="1" x14ac:dyDescent="0.3">
      <c r="A3884" t="s">
        <v>1916</v>
      </c>
      <c r="B3884" t="s">
        <v>1916</v>
      </c>
      <c r="C3884" s="424" t="str">
        <f t="shared" si="153"/>
        <v>Rodoviária do Alentejo, S.A.</v>
      </c>
      <c r="D3884" t="s">
        <v>629</v>
      </c>
      <c r="F3884" t="s">
        <v>620</v>
      </c>
      <c r="G3884" s="89">
        <v>2012</v>
      </c>
      <c r="H3884" s="313" t="s">
        <v>734</v>
      </c>
      <c r="I3884" s="311" t="str">
        <f t="shared" si="152"/>
        <v>Pesado de Passageiros M3:  : Gasóleo : E5</v>
      </c>
      <c r="J3884">
        <v>49</v>
      </c>
      <c r="K3884" s="422">
        <v>2023</v>
      </c>
      <c r="L3884">
        <v>11662.259999999998</v>
      </c>
      <c r="M3884" t="s">
        <v>630</v>
      </c>
      <c r="N3884">
        <v>38849</v>
      </c>
      <c r="O3884" s="131">
        <f t="shared" si="154"/>
        <v>1903601</v>
      </c>
      <c r="P3884" s="89">
        <v>8729</v>
      </c>
      <c r="Q3884" s="422" t="s">
        <v>47</v>
      </c>
      <c r="R3884" s="422" t="s">
        <v>1869</v>
      </c>
      <c r="S3884" s="422" t="s">
        <v>1861</v>
      </c>
      <c r="T3884" t="s">
        <v>4823</v>
      </c>
      <c r="U3884" s="422" t="s">
        <v>1953</v>
      </c>
      <c r="V3884" s="422" t="s">
        <v>2813</v>
      </c>
    </row>
    <row r="3885" spans="1:22" ht="15.75" thickBot="1" x14ac:dyDescent="0.3">
      <c r="A3885" t="s">
        <v>1916</v>
      </c>
      <c r="B3885" t="s">
        <v>1916</v>
      </c>
      <c r="C3885" s="424" t="str">
        <f t="shared" si="153"/>
        <v>Rodoviária do Alentejo, S.A.</v>
      </c>
      <c r="D3885" t="s">
        <v>629</v>
      </c>
      <c r="F3885" t="s">
        <v>620</v>
      </c>
      <c r="G3885" s="89">
        <v>2007</v>
      </c>
      <c r="H3885" s="313" t="s">
        <v>731</v>
      </c>
      <c r="I3885" s="311" t="str">
        <f t="shared" si="152"/>
        <v>Pesado de Passageiros M3:  : Gasóleo : E4</v>
      </c>
      <c r="J3885">
        <v>72</v>
      </c>
      <c r="K3885" s="422">
        <v>2023</v>
      </c>
      <c r="L3885">
        <v>17880.259999999998</v>
      </c>
      <c r="M3885" t="s">
        <v>630</v>
      </c>
      <c r="N3885">
        <v>54716</v>
      </c>
      <c r="O3885" s="131">
        <f t="shared" si="154"/>
        <v>3939552</v>
      </c>
      <c r="P3885" s="89">
        <v>8730</v>
      </c>
      <c r="Q3885" s="422" t="s">
        <v>47</v>
      </c>
      <c r="R3885" s="422" t="s">
        <v>1869</v>
      </c>
      <c r="S3885" s="422" t="s">
        <v>1861</v>
      </c>
      <c r="T3885" t="s">
        <v>4823</v>
      </c>
      <c r="U3885" s="422" t="s">
        <v>1953</v>
      </c>
      <c r="V3885" s="422" t="s">
        <v>2813</v>
      </c>
    </row>
    <row r="3886" spans="1:22" ht="15.75" thickBot="1" x14ac:dyDescent="0.3">
      <c r="A3886" t="s">
        <v>1916</v>
      </c>
      <c r="B3886" t="s">
        <v>1916</v>
      </c>
      <c r="C3886" s="424" t="str">
        <f t="shared" si="153"/>
        <v>Rodoviária do Alentejo, S.A.</v>
      </c>
      <c r="D3886" t="s">
        <v>629</v>
      </c>
      <c r="F3886" t="s">
        <v>620</v>
      </c>
      <c r="G3886" s="89">
        <v>2006</v>
      </c>
      <c r="H3886" s="313" t="s">
        <v>732</v>
      </c>
      <c r="I3886" s="311" t="str">
        <f t="shared" si="152"/>
        <v>Pesado de Passageiros M3:  : Gasóleo : E3</v>
      </c>
      <c r="J3886">
        <v>95</v>
      </c>
      <c r="K3886" s="422">
        <v>2023</v>
      </c>
      <c r="L3886">
        <v>15698.68</v>
      </c>
      <c r="M3886" t="s">
        <v>630</v>
      </c>
      <c r="N3886">
        <v>54232</v>
      </c>
      <c r="O3886" s="131">
        <f t="shared" si="154"/>
        <v>5152040</v>
      </c>
      <c r="P3886" s="89">
        <v>8731</v>
      </c>
      <c r="Q3886" s="422" t="s">
        <v>47</v>
      </c>
      <c r="R3886" s="422" t="s">
        <v>1869</v>
      </c>
      <c r="S3886" s="422" t="s">
        <v>1861</v>
      </c>
      <c r="T3886" t="s">
        <v>4823</v>
      </c>
      <c r="U3886" s="422" t="s">
        <v>1953</v>
      </c>
      <c r="V3886" s="422" t="s">
        <v>2813</v>
      </c>
    </row>
    <row r="3887" spans="1:22" ht="15.75" thickBot="1" x14ac:dyDescent="0.3">
      <c r="A3887" t="s">
        <v>1916</v>
      </c>
      <c r="B3887" t="s">
        <v>1916</v>
      </c>
      <c r="C3887" s="424" t="str">
        <f t="shared" si="153"/>
        <v>Rodoviária do Alentejo, S.A.</v>
      </c>
      <c r="D3887" t="s">
        <v>629</v>
      </c>
      <c r="F3887" t="s">
        <v>620</v>
      </c>
      <c r="G3887" s="89">
        <v>2018</v>
      </c>
      <c r="H3887" s="313" t="s">
        <v>733</v>
      </c>
      <c r="I3887" s="311" t="str">
        <f t="shared" si="152"/>
        <v>Pesado de Passageiros M3:  : Gasóleo : E6</v>
      </c>
      <c r="J3887">
        <v>31</v>
      </c>
      <c r="K3887" s="422">
        <v>2023</v>
      </c>
      <c r="L3887">
        <v>12610.080000000002</v>
      </c>
      <c r="M3887" t="s">
        <v>630</v>
      </c>
      <c r="N3887">
        <v>75569</v>
      </c>
      <c r="O3887" s="131">
        <f t="shared" si="154"/>
        <v>2342639</v>
      </c>
      <c r="P3887" s="89">
        <v>8732</v>
      </c>
      <c r="Q3887" s="422" t="s">
        <v>47</v>
      </c>
      <c r="R3887" s="422" t="s">
        <v>1869</v>
      </c>
      <c r="S3887" s="422" t="s">
        <v>1861</v>
      </c>
      <c r="T3887" t="s">
        <v>4823</v>
      </c>
      <c r="U3887" s="422" t="s">
        <v>1953</v>
      </c>
      <c r="V3887" s="422" t="s">
        <v>2813</v>
      </c>
    </row>
    <row r="3888" spans="1:22" ht="15.75" thickBot="1" x14ac:dyDescent="0.3">
      <c r="A3888" t="s">
        <v>1916</v>
      </c>
      <c r="B3888" t="s">
        <v>1916</v>
      </c>
      <c r="C3888" s="424" t="str">
        <f t="shared" si="153"/>
        <v>Rodoviária do Alentejo, S.A.</v>
      </c>
      <c r="D3888" t="s">
        <v>629</v>
      </c>
      <c r="F3888" t="s">
        <v>620</v>
      </c>
      <c r="G3888" s="89">
        <v>2001</v>
      </c>
      <c r="H3888" s="313" t="s">
        <v>735</v>
      </c>
      <c r="I3888" s="311" t="str">
        <f t="shared" si="152"/>
        <v>Pesado de Passageiros M3:  : Gasóleo : E2</v>
      </c>
      <c r="J3888">
        <v>55</v>
      </c>
      <c r="K3888" s="422">
        <v>2023</v>
      </c>
      <c r="L3888">
        <v>18395</v>
      </c>
      <c r="M3888" t="s">
        <v>630</v>
      </c>
      <c r="N3888">
        <v>56703</v>
      </c>
      <c r="O3888" s="131">
        <f t="shared" si="154"/>
        <v>3118665</v>
      </c>
      <c r="P3888" s="89">
        <v>8734</v>
      </c>
      <c r="Q3888" s="422" t="s">
        <v>47</v>
      </c>
      <c r="R3888" s="422" t="s">
        <v>1869</v>
      </c>
      <c r="S3888" s="422" t="s">
        <v>1861</v>
      </c>
      <c r="T3888" t="s">
        <v>4825</v>
      </c>
      <c r="U3888" s="422" t="s">
        <v>1953</v>
      </c>
      <c r="V3888" s="422" t="s">
        <v>2813</v>
      </c>
    </row>
    <row r="3889" spans="1:22" ht="15.75" thickBot="1" x14ac:dyDescent="0.3">
      <c r="A3889" t="s">
        <v>1916</v>
      </c>
      <c r="B3889" t="s">
        <v>1916</v>
      </c>
      <c r="C3889" s="424" t="str">
        <f t="shared" si="153"/>
        <v>Rodoviária do Alentejo, S.A.</v>
      </c>
      <c r="D3889" t="s">
        <v>629</v>
      </c>
      <c r="F3889" t="s">
        <v>620</v>
      </c>
      <c r="G3889" s="89">
        <v>2007</v>
      </c>
      <c r="H3889" s="313" t="s">
        <v>731</v>
      </c>
      <c r="I3889" s="311" t="str">
        <f t="shared" si="152"/>
        <v>Pesado de Passageiros M3:  : Gasóleo : E4</v>
      </c>
      <c r="J3889">
        <v>54</v>
      </c>
      <c r="K3889" s="422">
        <v>2023</v>
      </c>
      <c r="L3889">
        <v>17219.409999999996</v>
      </c>
      <c r="M3889" t="s">
        <v>630</v>
      </c>
      <c r="N3889">
        <v>50795</v>
      </c>
      <c r="O3889" s="131">
        <f t="shared" si="154"/>
        <v>2742930</v>
      </c>
      <c r="P3889" s="89">
        <v>8736</v>
      </c>
      <c r="Q3889" s="422" t="s">
        <v>47</v>
      </c>
      <c r="R3889" s="422" t="s">
        <v>1869</v>
      </c>
      <c r="S3889" s="422" t="s">
        <v>1861</v>
      </c>
      <c r="T3889" t="s">
        <v>4823</v>
      </c>
      <c r="U3889" s="422" t="s">
        <v>1953</v>
      </c>
      <c r="V3889" s="422" t="s">
        <v>2813</v>
      </c>
    </row>
    <row r="3890" spans="1:22" ht="15.75" thickBot="1" x14ac:dyDescent="0.3">
      <c r="A3890" t="s">
        <v>1916</v>
      </c>
      <c r="B3890" t="s">
        <v>1916</v>
      </c>
      <c r="C3890" s="424" t="str">
        <f t="shared" si="153"/>
        <v>Rodoviária do Alentejo, S.A.</v>
      </c>
      <c r="D3890" t="s">
        <v>629</v>
      </c>
      <c r="F3890" t="s">
        <v>620</v>
      </c>
      <c r="G3890" s="89">
        <v>2002</v>
      </c>
      <c r="H3890" s="313" t="s">
        <v>732</v>
      </c>
      <c r="I3890" s="311" t="str">
        <f t="shared" si="152"/>
        <v>Pesado de Passageiros M3:  : Gasóleo : E3</v>
      </c>
      <c r="J3890">
        <v>63</v>
      </c>
      <c r="K3890" s="422">
        <v>2023</v>
      </c>
      <c r="L3890">
        <v>13266.58</v>
      </c>
      <c r="M3890" t="s">
        <v>630</v>
      </c>
      <c r="N3890">
        <v>35322</v>
      </c>
      <c r="O3890" s="131">
        <f t="shared" si="154"/>
        <v>2225286</v>
      </c>
      <c r="P3890" s="89">
        <v>8747</v>
      </c>
      <c r="Q3890" s="422" t="s">
        <v>47</v>
      </c>
      <c r="R3890" s="422" t="s">
        <v>1869</v>
      </c>
      <c r="S3890" s="422" t="s">
        <v>1861</v>
      </c>
      <c r="T3890" t="s">
        <v>4825</v>
      </c>
      <c r="U3890" s="422" t="s">
        <v>1953</v>
      </c>
      <c r="V3890" s="422" t="s">
        <v>2813</v>
      </c>
    </row>
    <row r="3891" spans="1:22" ht="15.75" thickBot="1" x14ac:dyDescent="0.3">
      <c r="A3891" t="s">
        <v>1916</v>
      </c>
      <c r="B3891" t="s">
        <v>1916</v>
      </c>
      <c r="C3891" s="424" t="str">
        <f t="shared" si="153"/>
        <v>Rodoviária do Alentejo, S.A.</v>
      </c>
      <c r="D3891" t="s">
        <v>629</v>
      </c>
      <c r="F3891" t="s">
        <v>620</v>
      </c>
      <c r="G3891" s="89">
        <v>2002</v>
      </c>
      <c r="H3891" s="313" t="s">
        <v>735</v>
      </c>
      <c r="I3891" s="311" t="str">
        <f t="shared" si="152"/>
        <v>Pesado de Passageiros M3:  : Gasóleo : E2</v>
      </c>
      <c r="J3891">
        <v>83</v>
      </c>
      <c r="K3891" s="422">
        <v>2023</v>
      </c>
      <c r="L3891">
        <v>15201.079999999998</v>
      </c>
      <c r="M3891" t="s">
        <v>630</v>
      </c>
      <c r="N3891">
        <v>45721</v>
      </c>
      <c r="O3891" s="131">
        <f t="shared" si="154"/>
        <v>3794843</v>
      </c>
      <c r="P3891" s="89">
        <v>8748</v>
      </c>
      <c r="Q3891" s="422" t="s">
        <v>47</v>
      </c>
      <c r="R3891" s="422" t="s">
        <v>1869</v>
      </c>
      <c r="S3891" s="422" t="s">
        <v>1861</v>
      </c>
      <c r="T3891" t="s">
        <v>4825</v>
      </c>
      <c r="U3891" s="422" t="s">
        <v>1953</v>
      </c>
      <c r="V3891" s="422" t="s">
        <v>2813</v>
      </c>
    </row>
    <row r="3892" spans="1:22" ht="15.75" thickBot="1" x14ac:dyDescent="0.3">
      <c r="A3892" t="s">
        <v>1916</v>
      </c>
      <c r="B3892" t="s">
        <v>1916</v>
      </c>
      <c r="C3892" s="424" t="str">
        <f t="shared" si="153"/>
        <v>Rodoviária do Alentejo, S.A.</v>
      </c>
      <c r="D3892" t="s">
        <v>629</v>
      </c>
      <c r="F3892" t="s">
        <v>620</v>
      </c>
      <c r="G3892" s="89">
        <v>2002</v>
      </c>
      <c r="H3892" s="313" t="s">
        <v>732</v>
      </c>
      <c r="I3892" s="311" t="str">
        <f t="shared" si="152"/>
        <v>Pesado de Passageiros M3:  : Gasóleo : E3</v>
      </c>
      <c r="J3892">
        <v>57</v>
      </c>
      <c r="K3892" s="422">
        <v>2023</v>
      </c>
      <c r="L3892">
        <v>17708.98</v>
      </c>
      <c r="M3892" t="s">
        <v>630</v>
      </c>
      <c r="N3892">
        <v>57065</v>
      </c>
      <c r="O3892" s="131">
        <f t="shared" si="154"/>
        <v>3252705</v>
      </c>
      <c r="P3892" s="89">
        <v>8750</v>
      </c>
      <c r="Q3892" s="422" t="s">
        <v>47</v>
      </c>
      <c r="R3892" s="422" t="s">
        <v>1869</v>
      </c>
      <c r="S3892" s="422" t="s">
        <v>1861</v>
      </c>
      <c r="T3892" t="s">
        <v>4825</v>
      </c>
      <c r="U3892" s="422" t="s">
        <v>1953</v>
      </c>
      <c r="V3892" s="422" t="s">
        <v>2813</v>
      </c>
    </row>
    <row r="3893" spans="1:22" ht="15.75" thickBot="1" x14ac:dyDescent="0.3">
      <c r="A3893" t="s">
        <v>1916</v>
      </c>
      <c r="B3893" t="s">
        <v>1916</v>
      </c>
      <c r="C3893" s="424" t="str">
        <f t="shared" si="153"/>
        <v>Rodoviária do Alentejo, S.A.</v>
      </c>
      <c r="D3893" t="s">
        <v>629</v>
      </c>
      <c r="F3893" t="s">
        <v>620</v>
      </c>
      <c r="G3893" s="89">
        <v>2008</v>
      </c>
      <c r="H3893" s="313" t="s">
        <v>731</v>
      </c>
      <c r="I3893" s="311" t="str">
        <f t="shared" si="152"/>
        <v>Pesado de Passageiros M3:  : Gasóleo : E4</v>
      </c>
      <c r="J3893">
        <v>35</v>
      </c>
      <c r="K3893" s="422">
        <v>2023</v>
      </c>
      <c r="L3893">
        <v>10902.68</v>
      </c>
      <c r="M3893" t="s">
        <v>630</v>
      </c>
      <c r="N3893">
        <v>44788</v>
      </c>
      <c r="O3893" s="131">
        <f t="shared" si="154"/>
        <v>1567580</v>
      </c>
      <c r="P3893" s="89">
        <v>8751</v>
      </c>
      <c r="Q3893" s="422" t="s">
        <v>47</v>
      </c>
      <c r="R3893" s="422" t="s">
        <v>1869</v>
      </c>
      <c r="S3893" s="422" t="s">
        <v>1861</v>
      </c>
      <c r="T3893" t="s">
        <v>4823</v>
      </c>
      <c r="U3893" s="422" t="s">
        <v>1953</v>
      </c>
      <c r="V3893" s="422" t="s">
        <v>2813</v>
      </c>
    </row>
    <row r="3894" spans="1:22" ht="15.75" thickBot="1" x14ac:dyDescent="0.3">
      <c r="A3894" t="s">
        <v>1916</v>
      </c>
      <c r="B3894" t="s">
        <v>1916</v>
      </c>
      <c r="C3894" s="424" t="str">
        <f t="shared" si="153"/>
        <v>Rodoviária do Alentejo, S.A.</v>
      </c>
      <c r="D3894" t="s">
        <v>629</v>
      </c>
      <c r="F3894" t="s">
        <v>620</v>
      </c>
      <c r="G3894" s="89">
        <v>2002</v>
      </c>
      <c r="H3894" s="313" t="s">
        <v>732</v>
      </c>
      <c r="I3894" s="311" t="str">
        <f t="shared" ref="I3894:I3957" si="155">D3894&amp;": "&amp;E3894&amp;" : "&amp;F3894&amp;" : "&amp;H3894</f>
        <v>Pesado de Passageiros M3:  : Gasóleo : E3</v>
      </c>
      <c r="J3894">
        <v>84</v>
      </c>
      <c r="K3894" s="422">
        <v>2023</v>
      </c>
      <c r="L3894">
        <v>15382.019999999999</v>
      </c>
      <c r="M3894" t="s">
        <v>630</v>
      </c>
      <c r="N3894">
        <v>45261</v>
      </c>
      <c r="O3894" s="131">
        <f t="shared" si="154"/>
        <v>3801924</v>
      </c>
      <c r="P3894" s="89">
        <v>8753</v>
      </c>
      <c r="Q3894" s="422" t="s">
        <v>47</v>
      </c>
      <c r="R3894" s="422" t="s">
        <v>1869</v>
      </c>
      <c r="S3894" s="422" t="s">
        <v>1861</v>
      </c>
      <c r="T3894" t="s">
        <v>4825</v>
      </c>
      <c r="U3894" s="422" t="s">
        <v>1953</v>
      </c>
      <c r="V3894" s="422" t="s">
        <v>2813</v>
      </c>
    </row>
    <row r="3895" spans="1:22" ht="15.75" thickBot="1" x14ac:dyDescent="0.3">
      <c r="A3895" t="s">
        <v>1916</v>
      </c>
      <c r="B3895" t="s">
        <v>1916</v>
      </c>
      <c r="C3895" s="424" t="str">
        <f t="shared" si="153"/>
        <v>Rodoviária do Alentejo, S.A.</v>
      </c>
      <c r="D3895" t="s">
        <v>629</v>
      </c>
      <c r="F3895" t="s">
        <v>620</v>
      </c>
      <c r="G3895" s="89">
        <v>2002</v>
      </c>
      <c r="H3895" s="313" t="s">
        <v>732</v>
      </c>
      <c r="I3895" s="311" t="str">
        <f t="shared" si="155"/>
        <v>Pesado de Passageiros M3:  : Gasóleo : E3</v>
      </c>
      <c r="J3895">
        <v>68</v>
      </c>
      <c r="K3895" s="422">
        <v>2023</v>
      </c>
      <c r="L3895">
        <v>18123.73</v>
      </c>
      <c r="M3895" t="s">
        <v>630</v>
      </c>
      <c r="N3895">
        <v>53975</v>
      </c>
      <c r="O3895" s="131">
        <f t="shared" si="154"/>
        <v>3670300</v>
      </c>
      <c r="P3895" s="89">
        <v>8754</v>
      </c>
      <c r="Q3895" s="422" t="s">
        <v>47</v>
      </c>
      <c r="R3895" s="422" t="s">
        <v>1869</v>
      </c>
      <c r="S3895" s="422" t="s">
        <v>1861</v>
      </c>
      <c r="T3895" t="s">
        <v>4825</v>
      </c>
      <c r="U3895" s="422" t="s">
        <v>1953</v>
      </c>
      <c r="V3895" s="422" t="s">
        <v>2813</v>
      </c>
    </row>
    <row r="3896" spans="1:22" ht="15.75" thickBot="1" x14ac:dyDescent="0.3">
      <c r="A3896" t="s">
        <v>1916</v>
      </c>
      <c r="B3896" t="s">
        <v>1916</v>
      </c>
      <c r="C3896" s="424" t="str">
        <f t="shared" si="153"/>
        <v>Rodoviária do Alentejo, S.A.</v>
      </c>
      <c r="D3896" t="s">
        <v>629</v>
      </c>
      <c r="F3896" t="s">
        <v>620</v>
      </c>
      <c r="G3896" s="89">
        <v>2002</v>
      </c>
      <c r="H3896" s="313" t="s">
        <v>732</v>
      </c>
      <c r="I3896" s="311" t="str">
        <f t="shared" si="155"/>
        <v>Pesado de Passageiros M3:  : Gasóleo : E3</v>
      </c>
      <c r="J3896">
        <v>74</v>
      </c>
      <c r="K3896" s="422">
        <v>2023</v>
      </c>
      <c r="L3896">
        <v>21140.36</v>
      </c>
      <c r="M3896" t="s">
        <v>630</v>
      </c>
      <c r="N3896">
        <v>66424</v>
      </c>
      <c r="O3896" s="131">
        <f t="shared" si="154"/>
        <v>4915376</v>
      </c>
      <c r="P3896" s="89">
        <v>8755</v>
      </c>
      <c r="Q3896" s="422" t="s">
        <v>47</v>
      </c>
      <c r="R3896" s="422" t="s">
        <v>1869</v>
      </c>
      <c r="S3896" s="422" t="s">
        <v>1861</v>
      </c>
      <c r="T3896" t="s">
        <v>4825</v>
      </c>
      <c r="U3896" s="422" t="s">
        <v>1953</v>
      </c>
      <c r="V3896" s="422" t="s">
        <v>2813</v>
      </c>
    </row>
    <row r="3897" spans="1:22" ht="15.75" thickBot="1" x14ac:dyDescent="0.3">
      <c r="A3897" t="s">
        <v>1916</v>
      </c>
      <c r="B3897" t="s">
        <v>1916</v>
      </c>
      <c r="C3897" s="424" t="str">
        <f t="shared" si="153"/>
        <v>Rodoviária do Alentejo, S.A.</v>
      </c>
      <c r="D3897" t="s">
        <v>629</v>
      </c>
      <c r="F3897" t="s">
        <v>620</v>
      </c>
      <c r="G3897" s="89">
        <v>2002</v>
      </c>
      <c r="H3897" s="313" t="s">
        <v>732</v>
      </c>
      <c r="I3897" s="311" t="str">
        <f t="shared" si="155"/>
        <v>Pesado de Passageiros M3:  : Gasóleo : E3</v>
      </c>
      <c r="J3897">
        <v>54</v>
      </c>
      <c r="K3897" s="422">
        <v>2023</v>
      </c>
      <c r="L3897">
        <v>8214.83</v>
      </c>
      <c r="M3897" t="s">
        <v>630</v>
      </c>
      <c r="N3897">
        <v>24990</v>
      </c>
      <c r="O3897" s="131">
        <f t="shared" si="154"/>
        <v>1349460</v>
      </c>
      <c r="P3897" s="89">
        <v>8756</v>
      </c>
      <c r="Q3897" s="422" t="s">
        <v>47</v>
      </c>
      <c r="R3897" s="422" t="s">
        <v>1869</v>
      </c>
      <c r="S3897" s="422" t="s">
        <v>1861</v>
      </c>
      <c r="T3897" t="s">
        <v>4824</v>
      </c>
      <c r="U3897" s="422" t="s">
        <v>1953</v>
      </c>
      <c r="V3897" s="422" t="s">
        <v>2813</v>
      </c>
    </row>
    <row r="3898" spans="1:22" ht="15.75" thickBot="1" x14ac:dyDescent="0.3">
      <c r="A3898" t="s">
        <v>1916</v>
      </c>
      <c r="B3898" t="s">
        <v>1916</v>
      </c>
      <c r="C3898" s="424" t="str">
        <f t="shared" si="153"/>
        <v>Rodoviária do Alentejo, S.A.</v>
      </c>
      <c r="D3898" t="s">
        <v>629</v>
      </c>
      <c r="F3898" t="s">
        <v>620</v>
      </c>
      <c r="G3898" s="89">
        <v>2016</v>
      </c>
      <c r="H3898" s="313" t="s">
        <v>733</v>
      </c>
      <c r="I3898" s="311" t="str">
        <f t="shared" si="155"/>
        <v>Pesado de Passageiros M3:  : Gasóleo : E6</v>
      </c>
      <c r="J3898">
        <v>65</v>
      </c>
      <c r="K3898" s="422">
        <v>2023</v>
      </c>
      <c r="L3898">
        <v>2940.6399999999994</v>
      </c>
      <c r="M3898" t="s">
        <v>630</v>
      </c>
      <c r="N3898">
        <v>7949</v>
      </c>
      <c r="O3898" s="131">
        <f t="shared" si="154"/>
        <v>516685</v>
      </c>
      <c r="P3898" s="89">
        <v>8758</v>
      </c>
      <c r="Q3898" s="422" t="s">
        <v>47</v>
      </c>
      <c r="R3898" s="422" t="s">
        <v>1869</v>
      </c>
      <c r="S3898" s="422" t="s">
        <v>1861</v>
      </c>
      <c r="T3898" t="s">
        <v>4823</v>
      </c>
      <c r="U3898" s="422" t="s">
        <v>1953</v>
      </c>
      <c r="V3898" s="422" t="s">
        <v>2813</v>
      </c>
    </row>
    <row r="3899" spans="1:22" ht="15.75" thickBot="1" x14ac:dyDescent="0.3">
      <c r="A3899" t="s">
        <v>1916</v>
      </c>
      <c r="B3899" t="s">
        <v>1916</v>
      </c>
      <c r="C3899" s="424" t="str">
        <f t="shared" si="153"/>
        <v>Rodoviária do Alentejo, S.A.</v>
      </c>
      <c r="D3899" t="s">
        <v>629</v>
      </c>
      <c r="F3899" t="s">
        <v>620</v>
      </c>
      <c r="G3899" s="89">
        <v>2016</v>
      </c>
      <c r="H3899" s="313" t="s">
        <v>733</v>
      </c>
      <c r="I3899" s="311" t="str">
        <f t="shared" si="155"/>
        <v>Pesado de Passageiros M3:  : Gasóleo : E6</v>
      </c>
      <c r="J3899">
        <v>65</v>
      </c>
      <c r="K3899" s="422">
        <v>2023</v>
      </c>
      <c r="L3899">
        <v>12142.310000000001</v>
      </c>
      <c r="M3899" t="s">
        <v>630</v>
      </c>
      <c r="N3899">
        <v>32746</v>
      </c>
      <c r="O3899" s="131">
        <f t="shared" si="154"/>
        <v>2128490</v>
      </c>
      <c r="P3899" s="89">
        <v>8759</v>
      </c>
      <c r="Q3899" s="422" t="s">
        <v>47</v>
      </c>
      <c r="R3899" s="422" t="s">
        <v>1869</v>
      </c>
      <c r="S3899" s="422" t="s">
        <v>1861</v>
      </c>
      <c r="T3899" t="s">
        <v>4823</v>
      </c>
      <c r="U3899" s="422" t="s">
        <v>1953</v>
      </c>
      <c r="V3899" s="422" t="s">
        <v>2813</v>
      </c>
    </row>
    <row r="3900" spans="1:22" ht="15.75" thickBot="1" x14ac:dyDescent="0.3">
      <c r="A3900" t="s">
        <v>1916</v>
      </c>
      <c r="B3900" t="s">
        <v>1916</v>
      </c>
      <c r="C3900" s="424" t="str">
        <f t="shared" si="153"/>
        <v>Rodoviária do Alentejo, S.A.</v>
      </c>
      <c r="D3900" t="s">
        <v>629</v>
      </c>
      <c r="F3900" t="s">
        <v>620</v>
      </c>
      <c r="G3900" s="89">
        <v>2008</v>
      </c>
      <c r="H3900" s="313" t="s">
        <v>731</v>
      </c>
      <c r="I3900" s="311" t="str">
        <f t="shared" si="155"/>
        <v>Pesado de Passageiros M3:  : Gasóleo : E4</v>
      </c>
      <c r="J3900">
        <v>66</v>
      </c>
      <c r="K3900" s="422">
        <v>2023</v>
      </c>
      <c r="L3900">
        <v>15090.07</v>
      </c>
      <c r="M3900" t="s">
        <v>630</v>
      </c>
      <c r="N3900">
        <v>49332</v>
      </c>
      <c r="O3900" s="131">
        <f t="shared" si="154"/>
        <v>3255912</v>
      </c>
      <c r="P3900" s="89">
        <v>8760</v>
      </c>
      <c r="Q3900" s="422" t="s">
        <v>47</v>
      </c>
      <c r="R3900" s="422" t="s">
        <v>1869</v>
      </c>
      <c r="S3900" s="422" t="s">
        <v>1861</v>
      </c>
      <c r="T3900" t="s">
        <v>4823</v>
      </c>
      <c r="U3900" s="422" t="s">
        <v>1953</v>
      </c>
      <c r="V3900" s="422" t="s">
        <v>2813</v>
      </c>
    </row>
    <row r="3901" spans="1:22" ht="15.75" thickBot="1" x14ac:dyDescent="0.3">
      <c r="A3901" t="s">
        <v>1916</v>
      </c>
      <c r="B3901" t="s">
        <v>1916</v>
      </c>
      <c r="C3901" s="424" t="str">
        <f t="shared" si="153"/>
        <v>Rodoviária do Alentejo, S.A.</v>
      </c>
      <c r="D3901" t="s">
        <v>629</v>
      </c>
      <c r="F3901" t="s">
        <v>620</v>
      </c>
      <c r="G3901" s="89">
        <v>2008</v>
      </c>
      <c r="H3901" s="313" t="s">
        <v>734</v>
      </c>
      <c r="I3901" s="311" t="str">
        <f t="shared" si="155"/>
        <v>Pesado de Passageiros M3:  : Gasóleo : E5</v>
      </c>
      <c r="J3901">
        <v>91</v>
      </c>
      <c r="K3901" s="422">
        <v>2023</v>
      </c>
      <c r="L3901">
        <v>2615.77</v>
      </c>
      <c r="M3901" t="s">
        <v>630</v>
      </c>
      <c r="N3901">
        <v>6268</v>
      </c>
      <c r="O3901" s="131">
        <f t="shared" si="154"/>
        <v>570388</v>
      </c>
      <c r="P3901" s="89">
        <v>8761</v>
      </c>
      <c r="Q3901" s="422" t="s">
        <v>47</v>
      </c>
      <c r="R3901" s="422" t="s">
        <v>1869</v>
      </c>
      <c r="S3901" s="422" t="s">
        <v>1861</v>
      </c>
      <c r="T3901" t="s">
        <v>4823</v>
      </c>
      <c r="U3901" s="422" t="s">
        <v>1953</v>
      </c>
      <c r="V3901" s="422" t="s">
        <v>2813</v>
      </c>
    </row>
    <row r="3902" spans="1:22" ht="15.75" thickBot="1" x14ac:dyDescent="0.3">
      <c r="A3902" t="s">
        <v>1916</v>
      </c>
      <c r="B3902" t="s">
        <v>1916</v>
      </c>
      <c r="C3902" s="424" t="str">
        <f t="shared" si="153"/>
        <v>Rodoviária do Alentejo, S.A.</v>
      </c>
      <c r="D3902" t="s">
        <v>629</v>
      </c>
      <c r="F3902" t="s">
        <v>620</v>
      </c>
      <c r="G3902" s="89">
        <v>2010</v>
      </c>
      <c r="H3902" s="313" t="s">
        <v>731</v>
      </c>
      <c r="I3902" s="311" t="str">
        <f t="shared" si="155"/>
        <v>Pesado de Passageiros M3:  : Gasóleo : E4</v>
      </c>
      <c r="J3902">
        <v>53</v>
      </c>
      <c r="K3902" s="422">
        <v>2023</v>
      </c>
      <c r="L3902">
        <v>687.38</v>
      </c>
      <c r="M3902" t="s">
        <v>630</v>
      </c>
      <c r="N3902">
        <v>2156</v>
      </c>
      <c r="O3902" s="131">
        <f t="shared" si="154"/>
        <v>114268</v>
      </c>
      <c r="P3902" s="89">
        <v>8762</v>
      </c>
      <c r="Q3902" s="422" t="s">
        <v>47</v>
      </c>
      <c r="R3902" s="422" t="s">
        <v>1869</v>
      </c>
      <c r="S3902" s="422" t="s">
        <v>1861</v>
      </c>
      <c r="T3902" t="s">
        <v>4823</v>
      </c>
      <c r="U3902" s="422" t="s">
        <v>1953</v>
      </c>
      <c r="V3902" s="422" t="s">
        <v>2813</v>
      </c>
    </row>
    <row r="3903" spans="1:22" ht="15.75" thickBot="1" x14ac:dyDescent="0.3">
      <c r="A3903" t="s">
        <v>1916</v>
      </c>
      <c r="B3903" t="s">
        <v>1916</v>
      </c>
      <c r="C3903" s="424" t="str">
        <f t="shared" si="153"/>
        <v>Rodoviária do Alentejo, S.A.</v>
      </c>
      <c r="D3903" t="s">
        <v>629</v>
      </c>
      <c r="F3903" t="s">
        <v>620</v>
      </c>
      <c r="G3903" s="89">
        <v>2013</v>
      </c>
      <c r="H3903" s="313" t="s">
        <v>734</v>
      </c>
      <c r="I3903" s="311" t="str">
        <f t="shared" si="155"/>
        <v>Pesado de Passageiros M3:  : Gasóleo : E5</v>
      </c>
      <c r="J3903">
        <v>80</v>
      </c>
      <c r="K3903" s="422">
        <v>2023</v>
      </c>
      <c r="L3903">
        <v>13818.539999999999</v>
      </c>
      <c r="M3903" t="s">
        <v>630</v>
      </c>
      <c r="N3903">
        <v>48789</v>
      </c>
      <c r="O3903" s="131">
        <f t="shared" si="154"/>
        <v>3903120</v>
      </c>
      <c r="P3903" s="89">
        <v>8765</v>
      </c>
      <c r="Q3903" s="422" t="s">
        <v>47</v>
      </c>
      <c r="R3903" s="422" t="s">
        <v>1869</v>
      </c>
      <c r="S3903" s="422" t="s">
        <v>1861</v>
      </c>
      <c r="T3903" t="s">
        <v>4823</v>
      </c>
      <c r="U3903" s="422" t="s">
        <v>1953</v>
      </c>
      <c r="V3903" s="422" t="s">
        <v>2813</v>
      </c>
    </row>
    <row r="3904" spans="1:22" ht="15.75" thickBot="1" x14ac:dyDescent="0.3">
      <c r="A3904" t="s">
        <v>1916</v>
      </c>
      <c r="B3904" t="s">
        <v>1916</v>
      </c>
      <c r="C3904" s="424" t="str">
        <f t="shared" si="153"/>
        <v>Rodoviária do Alentejo, S.A.</v>
      </c>
      <c r="D3904" t="s">
        <v>629</v>
      </c>
      <c r="F3904" t="s">
        <v>620</v>
      </c>
      <c r="G3904" s="89">
        <v>2013</v>
      </c>
      <c r="H3904" s="313" t="s">
        <v>734</v>
      </c>
      <c r="I3904" s="311" t="str">
        <f t="shared" si="155"/>
        <v>Pesado de Passageiros M3:  : Gasóleo : E5</v>
      </c>
      <c r="J3904">
        <v>80</v>
      </c>
      <c r="K3904" s="422">
        <v>2023</v>
      </c>
      <c r="L3904">
        <v>11817.539999999999</v>
      </c>
      <c r="M3904" t="s">
        <v>630</v>
      </c>
      <c r="N3904">
        <v>42767</v>
      </c>
      <c r="O3904" s="131">
        <f t="shared" si="154"/>
        <v>3421360</v>
      </c>
      <c r="P3904" s="89">
        <v>8766</v>
      </c>
      <c r="Q3904" s="422" t="s">
        <v>47</v>
      </c>
      <c r="R3904" s="422" t="s">
        <v>1869</v>
      </c>
      <c r="S3904" s="422" t="s">
        <v>1861</v>
      </c>
      <c r="T3904" t="s">
        <v>4823</v>
      </c>
      <c r="U3904" s="422" t="s">
        <v>1953</v>
      </c>
      <c r="V3904" s="422" t="s">
        <v>2813</v>
      </c>
    </row>
    <row r="3905" spans="1:22" ht="15.75" thickBot="1" x14ac:dyDescent="0.3">
      <c r="A3905" t="s">
        <v>1916</v>
      </c>
      <c r="B3905" t="s">
        <v>1916</v>
      </c>
      <c r="C3905" s="424" t="str">
        <f t="shared" si="153"/>
        <v>Rodoviária do Alentejo, S.A.</v>
      </c>
      <c r="D3905" t="s">
        <v>629</v>
      </c>
      <c r="F3905" t="s">
        <v>620</v>
      </c>
      <c r="G3905" s="89">
        <v>2014</v>
      </c>
      <c r="H3905" s="313" t="s">
        <v>734</v>
      </c>
      <c r="I3905" s="311" t="str">
        <f t="shared" si="155"/>
        <v>Pesado de Passageiros M3:  : Gasóleo : E5</v>
      </c>
      <c r="J3905">
        <v>80</v>
      </c>
      <c r="K3905" s="422">
        <v>2023</v>
      </c>
      <c r="L3905">
        <v>10115.530000000001</v>
      </c>
      <c r="M3905" t="s">
        <v>630</v>
      </c>
      <c r="N3905">
        <v>33855</v>
      </c>
      <c r="O3905" s="131">
        <f t="shared" si="154"/>
        <v>2708400</v>
      </c>
      <c r="P3905" s="89">
        <v>8767</v>
      </c>
      <c r="Q3905" s="422" t="s">
        <v>47</v>
      </c>
      <c r="R3905" s="422" t="s">
        <v>1869</v>
      </c>
      <c r="S3905" s="422" t="s">
        <v>1861</v>
      </c>
      <c r="T3905" t="s">
        <v>4823</v>
      </c>
      <c r="U3905" s="422" t="s">
        <v>1953</v>
      </c>
      <c r="V3905" s="422" t="s">
        <v>2813</v>
      </c>
    </row>
    <row r="3906" spans="1:22" ht="15.75" thickBot="1" x14ac:dyDescent="0.3">
      <c r="A3906" t="s">
        <v>1916</v>
      </c>
      <c r="B3906" t="s">
        <v>1916</v>
      </c>
      <c r="C3906" s="424" t="str">
        <f t="shared" si="153"/>
        <v>Rodoviária do Alentejo, S.A.</v>
      </c>
      <c r="D3906" t="s">
        <v>629</v>
      </c>
      <c r="F3906" t="s">
        <v>620</v>
      </c>
      <c r="G3906" s="89">
        <v>2014</v>
      </c>
      <c r="H3906" s="313" t="s">
        <v>734</v>
      </c>
      <c r="I3906" s="311" t="str">
        <f t="shared" si="155"/>
        <v>Pesado de Passageiros M3:  : Gasóleo : E5</v>
      </c>
      <c r="J3906">
        <v>80</v>
      </c>
      <c r="K3906" s="422">
        <v>2023</v>
      </c>
      <c r="L3906">
        <v>12625.150000000001</v>
      </c>
      <c r="M3906" t="s">
        <v>630</v>
      </c>
      <c r="N3906">
        <v>44200</v>
      </c>
      <c r="O3906" s="131">
        <f t="shared" si="154"/>
        <v>3536000</v>
      </c>
      <c r="P3906" s="89">
        <v>8768</v>
      </c>
      <c r="Q3906" s="422" t="s">
        <v>47</v>
      </c>
      <c r="R3906" s="422" t="s">
        <v>1869</v>
      </c>
      <c r="S3906" s="422" t="s">
        <v>1861</v>
      </c>
      <c r="T3906" t="s">
        <v>4823</v>
      </c>
      <c r="U3906" s="422" t="s">
        <v>1953</v>
      </c>
      <c r="V3906" s="422" t="s">
        <v>2813</v>
      </c>
    </row>
    <row r="3907" spans="1:22" ht="15.75" thickBot="1" x14ac:dyDescent="0.3">
      <c r="A3907" t="s">
        <v>1916</v>
      </c>
      <c r="B3907" t="s">
        <v>1916</v>
      </c>
      <c r="C3907" s="424" t="str">
        <f t="shared" si="153"/>
        <v>Rodoviária do Alentejo, S.A.</v>
      </c>
      <c r="D3907" t="s">
        <v>629</v>
      </c>
      <c r="F3907" t="s">
        <v>620</v>
      </c>
      <c r="G3907" s="89">
        <v>2014</v>
      </c>
      <c r="H3907" s="313" t="s">
        <v>734</v>
      </c>
      <c r="I3907" s="311" t="str">
        <f t="shared" si="155"/>
        <v>Pesado de Passageiros M3:  : Gasóleo : E5</v>
      </c>
      <c r="J3907">
        <v>80</v>
      </c>
      <c r="K3907" s="422">
        <v>2023</v>
      </c>
      <c r="L3907">
        <v>11281.69</v>
      </c>
      <c r="M3907" t="s">
        <v>630</v>
      </c>
      <c r="N3907">
        <v>38024</v>
      </c>
      <c r="O3907" s="131">
        <f t="shared" si="154"/>
        <v>3041920</v>
      </c>
      <c r="P3907" s="89">
        <v>8769</v>
      </c>
      <c r="Q3907" s="422" t="s">
        <v>47</v>
      </c>
      <c r="R3907" s="422" t="s">
        <v>1869</v>
      </c>
      <c r="S3907" s="422" t="s">
        <v>1861</v>
      </c>
      <c r="T3907" t="s">
        <v>4823</v>
      </c>
      <c r="U3907" s="422" t="s">
        <v>1953</v>
      </c>
      <c r="V3907" s="422" t="s">
        <v>2813</v>
      </c>
    </row>
    <row r="3908" spans="1:22" ht="15.75" thickBot="1" x14ac:dyDescent="0.3">
      <c r="A3908" t="s">
        <v>1916</v>
      </c>
      <c r="B3908" t="s">
        <v>1916</v>
      </c>
      <c r="C3908" s="424" t="str">
        <f t="shared" si="153"/>
        <v>Rodoviária do Alentejo, S.A.</v>
      </c>
      <c r="D3908" t="s">
        <v>629</v>
      </c>
      <c r="F3908" t="s">
        <v>620</v>
      </c>
      <c r="G3908" s="89">
        <v>2013</v>
      </c>
      <c r="H3908" s="313" t="s">
        <v>734</v>
      </c>
      <c r="I3908" s="311" t="str">
        <f t="shared" si="155"/>
        <v>Pesado de Passageiros M3:  : Gasóleo : E5</v>
      </c>
      <c r="J3908">
        <v>80</v>
      </c>
      <c r="K3908" s="422">
        <v>2023</v>
      </c>
      <c r="L3908">
        <v>15349.28</v>
      </c>
      <c r="M3908" t="s">
        <v>630</v>
      </c>
      <c r="N3908">
        <v>54207</v>
      </c>
      <c r="O3908" s="131">
        <f t="shared" si="154"/>
        <v>4336560</v>
      </c>
      <c r="P3908" s="89">
        <v>8770</v>
      </c>
      <c r="Q3908" s="422" t="s">
        <v>47</v>
      </c>
      <c r="R3908" s="422" t="s">
        <v>1869</v>
      </c>
      <c r="S3908" s="422" t="s">
        <v>1861</v>
      </c>
      <c r="T3908" t="s">
        <v>4823</v>
      </c>
      <c r="U3908" s="422" t="s">
        <v>1953</v>
      </c>
      <c r="V3908" s="422" t="s">
        <v>2813</v>
      </c>
    </row>
    <row r="3909" spans="1:22" ht="15.75" thickBot="1" x14ac:dyDescent="0.3">
      <c r="A3909" t="s">
        <v>1916</v>
      </c>
      <c r="B3909" t="s">
        <v>1916</v>
      </c>
      <c r="C3909" s="424" t="str">
        <f t="shared" si="153"/>
        <v>Rodoviária do Alentejo, S.A.</v>
      </c>
      <c r="D3909" t="s">
        <v>629</v>
      </c>
      <c r="F3909" t="s">
        <v>620</v>
      </c>
      <c r="G3909" s="89">
        <v>2014</v>
      </c>
      <c r="H3909" s="313" t="s">
        <v>734</v>
      </c>
      <c r="I3909" s="311" t="str">
        <f t="shared" si="155"/>
        <v>Pesado de Passageiros M3:  : Gasóleo : E5</v>
      </c>
      <c r="J3909">
        <v>80</v>
      </c>
      <c r="K3909" s="422">
        <v>2023</v>
      </c>
      <c r="L3909">
        <v>8524.94</v>
      </c>
      <c r="M3909" t="s">
        <v>630</v>
      </c>
      <c r="N3909">
        <v>30546</v>
      </c>
      <c r="O3909" s="131">
        <f t="shared" si="154"/>
        <v>2443680</v>
      </c>
      <c r="P3909" s="89">
        <v>8771</v>
      </c>
      <c r="Q3909" s="422" t="s">
        <v>47</v>
      </c>
      <c r="R3909" s="422" t="s">
        <v>1869</v>
      </c>
      <c r="S3909" s="422" t="s">
        <v>1861</v>
      </c>
      <c r="T3909" t="s">
        <v>4823</v>
      </c>
      <c r="U3909" s="422" t="s">
        <v>1953</v>
      </c>
      <c r="V3909" s="422" t="s">
        <v>2813</v>
      </c>
    </row>
    <row r="3910" spans="1:22" ht="15.75" thickBot="1" x14ac:dyDescent="0.3">
      <c r="A3910" t="s">
        <v>1916</v>
      </c>
      <c r="B3910" t="s">
        <v>1916</v>
      </c>
      <c r="C3910" s="424" t="str">
        <f t="shared" si="153"/>
        <v>Rodoviária do Alentejo, S.A.</v>
      </c>
      <c r="D3910" t="s">
        <v>629</v>
      </c>
      <c r="F3910" t="s">
        <v>620</v>
      </c>
      <c r="G3910" s="89">
        <v>2013</v>
      </c>
      <c r="H3910" s="313" t="s">
        <v>734</v>
      </c>
      <c r="I3910" s="311" t="str">
        <f t="shared" si="155"/>
        <v>Pesado de Passageiros M3:  : Gasóleo : E5</v>
      </c>
      <c r="J3910">
        <v>90</v>
      </c>
      <c r="K3910" s="422">
        <v>2023</v>
      </c>
      <c r="L3910">
        <v>14662.890000000001</v>
      </c>
      <c r="M3910" t="s">
        <v>630</v>
      </c>
      <c r="N3910">
        <v>51043</v>
      </c>
      <c r="O3910" s="131">
        <f t="shared" si="154"/>
        <v>4593870</v>
      </c>
      <c r="P3910" s="89">
        <v>8772</v>
      </c>
      <c r="Q3910" s="422" t="s">
        <v>47</v>
      </c>
      <c r="R3910" s="422" t="s">
        <v>1869</v>
      </c>
      <c r="S3910" s="422" t="s">
        <v>1861</v>
      </c>
      <c r="T3910" t="s">
        <v>4823</v>
      </c>
      <c r="U3910" s="422" t="s">
        <v>1953</v>
      </c>
      <c r="V3910" s="422" t="s">
        <v>2813</v>
      </c>
    </row>
    <row r="3911" spans="1:22" ht="15.75" thickBot="1" x14ac:dyDescent="0.3">
      <c r="A3911" t="s">
        <v>1916</v>
      </c>
      <c r="B3911" t="s">
        <v>1916</v>
      </c>
      <c r="C3911" s="424" t="str">
        <f t="shared" si="153"/>
        <v>Rodoviária do Alentejo, S.A.</v>
      </c>
      <c r="D3911" t="s">
        <v>629</v>
      </c>
      <c r="F3911" t="s">
        <v>620</v>
      </c>
      <c r="G3911" s="89">
        <v>2013</v>
      </c>
      <c r="H3911" s="313" t="s">
        <v>734</v>
      </c>
      <c r="I3911" s="311" t="str">
        <f t="shared" si="155"/>
        <v>Pesado de Passageiros M3:  : Gasóleo : E5</v>
      </c>
      <c r="J3911">
        <v>90</v>
      </c>
      <c r="K3911" s="422">
        <v>2023</v>
      </c>
      <c r="L3911">
        <v>7978.9299999999994</v>
      </c>
      <c r="M3911" t="s">
        <v>630</v>
      </c>
      <c r="N3911">
        <v>28935</v>
      </c>
      <c r="O3911" s="131">
        <f t="shared" si="154"/>
        <v>2604150</v>
      </c>
      <c r="P3911" s="89">
        <v>8773</v>
      </c>
      <c r="Q3911" s="422" t="s">
        <v>47</v>
      </c>
      <c r="R3911" s="422" t="s">
        <v>1869</v>
      </c>
      <c r="S3911" s="422" t="s">
        <v>1861</v>
      </c>
      <c r="T3911" t="s">
        <v>4823</v>
      </c>
      <c r="U3911" s="422" t="s">
        <v>1953</v>
      </c>
      <c r="V3911" s="422" t="s">
        <v>2813</v>
      </c>
    </row>
    <row r="3912" spans="1:22" ht="15.75" thickBot="1" x14ac:dyDescent="0.3">
      <c r="A3912" t="s">
        <v>1916</v>
      </c>
      <c r="B3912" t="s">
        <v>1916</v>
      </c>
      <c r="C3912" s="424" t="str">
        <f t="shared" si="153"/>
        <v>Rodoviária do Alentejo, S.A.</v>
      </c>
      <c r="D3912" t="s">
        <v>629</v>
      </c>
      <c r="F3912" t="s">
        <v>620</v>
      </c>
      <c r="G3912" s="89">
        <v>2014</v>
      </c>
      <c r="H3912" s="313" t="s">
        <v>734</v>
      </c>
      <c r="I3912" s="311" t="str">
        <f t="shared" si="155"/>
        <v>Pesado de Passageiros M3:  : Gasóleo : E5</v>
      </c>
      <c r="J3912">
        <v>80</v>
      </c>
      <c r="K3912" s="422">
        <v>2023</v>
      </c>
      <c r="L3912">
        <v>4030.2200000000003</v>
      </c>
      <c r="M3912" t="s">
        <v>630</v>
      </c>
      <c r="N3912">
        <v>14568</v>
      </c>
      <c r="O3912" s="131">
        <f t="shared" si="154"/>
        <v>1165440</v>
      </c>
      <c r="P3912" s="89">
        <v>8774</v>
      </c>
      <c r="Q3912" s="422" t="s">
        <v>47</v>
      </c>
      <c r="R3912" s="422" t="s">
        <v>1869</v>
      </c>
      <c r="S3912" s="422" t="s">
        <v>1861</v>
      </c>
      <c r="T3912" t="s">
        <v>4823</v>
      </c>
      <c r="U3912" s="422" t="s">
        <v>1953</v>
      </c>
      <c r="V3912" s="422" t="s">
        <v>2813</v>
      </c>
    </row>
    <row r="3913" spans="1:22" ht="15.75" thickBot="1" x14ac:dyDescent="0.3">
      <c r="A3913" t="s">
        <v>1916</v>
      </c>
      <c r="B3913" t="s">
        <v>1916</v>
      </c>
      <c r="C3913" s="424" t="str">
        <f t="shared" si="153"/>
        <v>Rodoviária do Alentejo, S.A.</v>
      </c>
      <c r="D3913" t="s">
        <v>629</v>
      </c>
      <c r="F3913" t="s">
        <v>620</v>
      </c>
      <c r="G3913" s="89">
        <v>2006</v>
      </c>
      <c r="H3913" s="313" t="s">
        <v>732</v>
      </c>
      <c r="I3913" s="311" t="str">
        <f t="shared" si="155"/>
        <v>Pesado de Passageiros M3:  : Gasóleo : E3</v>
      </c>
      <c r="J3913">
        <v>75</v>
      </c>
      <c r="K3913" s="422">
        <v>2023</v>
      </c>
      <c r="L3913">
        <v>10682.55</v>
      </c>
      <c r="M3913" t="s">
        <v>630</v>
      </c>
      <c r="N3913">
        <v>36456</v>
      </c>
      <c r="O3913" s="131">
        <f t="shared" si="154"/>
        <v>2734200</v>
      </c>
      <c r="P3913" s="89">
        <v>8775</v>
      </c>
      <c r="Q3913" s="422" t="s">
        <v>47</v>
      </c>
      <c r="R3913" s="422" t="s">
        <v>1869</v>
      </c>
      <c r="S3913" s="422" t="s">
        <v>1861</v>
      </c>
      <c r="T3913" t="s">
        <v>4823</v>
      </c>
      <c r="U3913" s="422" t="s">
        <v>1953</v>
      </c>
      <c r="V3913" s="422" t="s">
        <v>2813</v>
      </c>
    </row>
    <row r="3914" spans="1:22" ht="15.75" thickBot="1" x14ac:dyDescent="0.3">
      <c r="A3914" t="s">
        <v>1916</v>
      </c>
      <c r="B3914" t="s">
        <v>1916</v>
      </c>
      <c r="C3914" s="424" t="str">
        <f t="shared" si="153"/>
        <v>Rodoviária do Alentejo, S.A.</v>
      </c>
      <c r="D3914" t="s">
        <v>629</v>
      </c>
      <c r="F3914" t="s">
        <v>620</v>
      </c>
      <c r="G3914" s="89">
        <v>2007</v>
      </c>
      <c r="H3914" s="313" t="s">
        <v>731</v>
      </c>
      <c r="I3914" s="311" t="str">
        <f t="shared" si="155"/>
        <v>Pesado de Passageiros M3:  : Gasóleo : E4</v>
      </c>
      <c r="J3914">
        <v>104</v>
      </c>
      <c r="K3914" s="422">
        <v>2023</v>
      </c>
      <c r="L3914">
        <v>12445.2</v>
      </c>
      <c r="M3914" t="s">
        <v>630</v>
      </c>
      <c r="N3914">
        <v>34517</v>
      </c>
      <c r="O3914" s="131">
        <f t="shared" si="154"/>
        <v>3589768</v>
      </c>
      <c r="P3914" s="89">
        <v>8776</v>
      </c>
      <c r="Q3914" s="422" t="s">
        <v>47</v>
      </c>
      <c r="R3914" s="422" t="s">
        <v>1869</v>
      </c>
      <c r="S3914" s="422" t="s">
        <v>1861</v>
      </c>
      <c r="T3914" t="s">
        <v>4823</v>
      </c>
      <c r="U3914" s="422" t="s">
        <v>1953</v>
      </c>
      <c r="V3914" s="422" t="s">
        <v>2813</v>
      </c>
    </row>
    <row r="3915" spans="1:22" ht="15.75" thickBot="1" x14ac:dyDescent="0.3">
      <c r="A3915" t="s">
        <v>1916</v>
      </c>
      <c r="B3915" t="s">
        <v>1916</v>
      </c>
      <c r="C3915" s="424" t="str">
        <f t="shared" si="153"/>
        <v>Rodoviária do Alentejo, S.A.</v>
      </c>
      <c r="D3915" t="s">
        <v>629</v>
      </c>
      <c r="F3915" t="s">
        <v>620</v>
      </c>
      <c r="G3915" s="89">
        <v>2007</v>
      </c>
      <c r="H3915" s="313" t="s">
        <v>731</v>
      </c>
      <c r="I3915" s="311" t="str">
        <f t="shared" si="155"/>
        <v>Pesado de Passageiros M3:  : Gasóleo : E4</v>
      </c>
      <c r="J3915">
        <v>107</v>
      </c>
      <c r="K3915" s="422">
        <v>2023</v>
      </c>
      <c r="L3915">
        <v>15367.89</v>
      </c>
      <c r="M3915" t="s">
        <v>630</v>
      </c>
      <c r="N3915">
        <v>44697</v>
      </c>
      <c r="O3915" s="131">
        <f t="shared" si="154"/>
        <v>4782579</v>
      </c>
      <c r="P3915" s="89">
        <v>8777</v>
      </c>
      <c r="Q3915" s="422" t="s">
        <v>47</v>
      </c>
      <c r="R3915" s="422" t="s">
        <v>1869</v>
      </c>
      <c r="S3915" s="422" t="s">
        <v>1861</v>
      </c>
      <c r="T3915" t="s">
        <v>4823</v>
      </c>
      <c r="U3915" s="422" t="s">
        <v>1953</v>
      </c>
      <c r="V3915" s="422" t="s">
        <v>2813</v>
      </c>
    </row>
    <row r="3916" spans="1:22" ht="15.75" thickBot="1" x14ac:dyDescent="0.3">
      <c r="A3916" t="s">
        <v>1916</v>
      </c>
      <c r="B3916" t="s">
        <v>1916</v>
      </c>
      <c r="C3916" s="424" t="str">
        <f t="shared" si="153"/>
        <v>Rodoviária do Alentejo, S.A.</v>
      </c>
      <c r="D3916" t="s">
        <v>629</v>
      </c>
      <c r="F3916" t="s">
        <v>620</v>
      </c>
      <c r="G3916" s="89">
        <v>2007</v>
      </c>
      <c r="H3916" s="313" t="s">
        <v>731</v>
      </c>
      <c r="I3916" s="311" t="str">
        <f t="shared" si="155"/>
        <v>Pesado de Passageiros M3:  : Gasóleo : E4</v>
      </c>
      <c r="J3916">
        <v>110</v>
      </c>
      <c r="K3916" s="422">
        <v>2023</v>
      </c>
      <c r="L3916">
        <v>12747.84</v>
      </c>
      <c r="M3916" t="s">
        <v>630</v>
      </c>
      <c r="N3916">
        <v>36162</v>
      </c>
      <c r="O3916" s="131">
        <f t="shared" si="154"/>
        <v>3977820</v>
      </c>
      <c r="P3916" s="89">
        <v>8778</v>
      </c>
      <c r="Q3916" s="422" t="s">
        <v>47</v>
      </c>
      <c r="R3916" s="422" t="s">
        <v>1869</v>
      </c>
      <c r="S3916" s="422" t="s">
        <v>1861</v>
      </c>
      <c r="T3916" t="s">
        <v>4823</v>
      </c>
      <c r="U3916" s="422" t="s">
        <v>1953</v>
      </c>
      <c r="V3916" s="422" t="s">
        <v>2813</v>
      </c>
    </row>
    <row r="3917" spans="1:22" ht="15.75" thickBot="1" x14ac:dyDescent="0.3">
      <c r="A3917" t="s">
        <v>1916</v>
      </c>
      <c r="B3917" t="s">
        <v>1916</v>
      </c>
      <c r="C3917" s="424" t="str">
        <f t="shared" si="153"/>
        <v>Rodoviária do Alentejo, S.A.</v>
      </c>
      <c r="D3917" t="s">
        <v>629</v>
      </c>
      <c r="F3917" t="s">
        <v>620</v>
      </c>
      <c r="G3917" s="89">
        <v>2008</v>
      </c>
      <c r="H3917" s="313" t="s">
        <v>731</v>
      </c>
      <c r="I3917" s="311" t="str">
        <f t="shared" si="155"/>
        <v>Pesado de Passageiros M3:  : Gasóleo : E4</v>
      </c>
      <c r="J3917">
        <v>107</v>
      </c>
      <c r="K3917" s="422">
        <v>2023</v>
      </c>
      <c r="L3917">
        <v>7027.0700000000006</v>
      </c>
      <c r="M3917" t="s">
        <v>630</v>
      </c>
      <c r="N3917">
        <v>17114</v>
      </c>
      <c r="O3917" s="131">
        <f t="shared" si="154"/>
        <v>1831198</v>
      </c>
      <c r="P3917" s="89">
        <v>8779</v>
      </c>
      <c r="Q3917" s="422" t="s">
        <v>47</v>
      </c>
      <c r="R3917" s="422" t="s">
        <v>1869</v>
      </c>
      <c r="S3917" s="422" t="s">
        <v>1861</v>
      </c>
      <c r="T3917" t="s">
        <v>4823</v>
      </c>
      <c r="U3917" s="422" t="s">
        <v>1953</v>
      </c>
      <c r="V3917" s="422" t="s">
        <v>2813</v>
      </c>
    </row>
    <row r="3918" spans="1:22" ht="15.75" thickBot="1" x14ac:dyDescent="0.3">
      <c r="A3918" t="s">
        <v>1916</v>
      </c>
      <c r="B3918" t="s">
        <v>1916</v>
      </c>
      <c r="C3918" s="424" t="str">
        <f t="shared" si="153"/>
        <v>Rodoviária do Alentejo, S.A.</v>
      </c>
      <c r="D3918" t="s">
        <v>629</v>
      </c>
      <c r="F3918" t="s">
        <v>620</v>
      </c>
      <c r="G3918" s="89">
        <v>2002</v>
      </c>
      <c r="H3918" s="313" t="s">
        <v>732</v>
      </c>
      <c r="I3918" s="311" t="str">
        <f t="shared" si="155"/>
        <v>Pesado de Passageiros M3:  : Gasóleo : E3</v>
      </c>
      <c r="J3918">
        <v>61</v>
      </c>
      <c r="K3918" s="422">
        <v>2023</v>
      </c>
      <c r="L3918">
        <v>18617.690000000002</v>
      </c>
      <c r="M3918" t="s">
        <v>630</v>
      </c>
      <c r="N3918">
        <v>57530</v>
      </c>
      <c r="O3918" s="131">
        <f t="shared" si="154"/>
        <v>3509330</v>
      </c>
      <c r="P3918" s="89">
        <v>8780</v>
      </c>
      <c r="Q3918" s="422" t="s">
        <v>47</v>
      </c>
      <c r="R3918" s="422" t="s">
        <v>1869</v>
      </c>
      <c r="S3918" s="422" t="s">
        <v>1861</v>
      </c>
      <c r="T3918" t="s">
        <v>4824</v>
      </c>
      <c r="U3918" s="422" t="s">
        <v>1953</v>
      </c>
      <c r="V3918" s="422" t="s">
        <v>2813</v>
      </c>
    </row>
    <row r="3919" spans="1:22" ht="15.75" thickBot="1" x14ac:dyDescent="0.3">
      <c r="A3919" t="s">
        <v>1916</v>
      </c>
      <c r="B3919" t="s">
        <v>1916</v>
      </c>
      <c r="C3919" s="424" t="str">
        <f t="shared" si="153"/>
        <v>Rodoviária do Alentejo, S.A.</v>
      </c>
      <c r="D3919" t="s">
        <v>629</v>
      </c>
      <c r="F3919" t="s">
        <v>620</v>
      </c>
      <c r="G3919" s="89">
        <v>2008</v>
      </c>
      <c r="H3919" s="313" t="s">
        <v>731</v>
      </c>
      <c r="I3919" s="311" t="str">
        <f t="shared" si="155"/>
        <v>Pesado de Passageiros M3:  : Gasóleo : E4</v>
      </c>
      <c r="J3919">
        <v>77</v>
      </c>
      <c r="K3919" s="422">
        <v>2023</v>
      </c>
      <c r="L3919">
        <v>5320.04</v>
      </c>
      <c r="M3919" t="s">
        <v>630</v>
      </c>
      <c r="N3919">
        <v>15854</v>
      </c>
      <c r="O3919" s="131">
        <f t="shared" si="154"/>
        <v>1220758</v>
      </c>
      <c r="P3919" s="89">
        <v>8781</v>
      </c>
      <c r="Q3919" s="422" t="s">
        <v>47</v>
      </c>
      <c r="R3919" s="422" t="s">
        <v>1869</v>
      </c>
      <c r="S3919" s="422" t="s">
        <v>1861</v>
      </c>
      <c r="T3919" t="s">
        <v>4823</v>
      </c>
      <c r="U3919" s="422" t="s">
        <v>1953</v>
      </c>
      <c r="V3919" s="422" t="s">
        <v>2813</v>
      </c>
    </row>
    <row r="3920" spans="1:22" ht="15.75" thickBot="1" x14ac:dyDescent="0.3">
      <c r="A3920" t="s">
        <v>1916</v>
      </c>
      <c r="B3920" t="s">
        <v>1916</v>
      </c>
      <c r="C3920" s="424" t="str">
        <f t="shared" si="153"/>
        <v>Rodoviária do Alentejo, S.A.</v>
      </c>
      <c r="D3920" t="s">
        <v>629</v>
      </c>
      <c r="F3920" t="s">
        <v>620</v>
      </c>
      <c r="G3920" s="89">
        <v>2008</v>
      </c>
      <c r="H3920" s="313" t="s">
        <v>731</v>
      </c>
      <c r="I3920" s="311" t="str">
        <f t="shared" si="155"/>
        <v>Pesado de Passageiros M3:  : Gasóleo : E4</v>
      </c>
      <c r="J3920">
        <v>55</v>
      </c>
      <c r="K3920" s="422">
        <v>2023</v>
      </c>
      <c r="L3920">
        <v>12077.09</v>
      </c>
      <c r="M3920" t="s">
        <v>630</v>
      </c>
      <c r="N3920">
        <v>38773</v>
      </c>
      <c r="O3920" s="131">
        <f t="shared" si="154"/>
        <v>2132515</v>
      </c>
      <c r="P3920" s="89">
        <v>8782</v>
      </c>
      <c r="Q3920" s="422" t="s">
        <v>47</v>
      </c>
      <c r="R3920" s="422" t="s">
        <v>1869</v>
      </c>
      <c r="S3920" s="422" t="s">
        <v>1861</v>
      </c>
      <c r="T3920" t="s">
        <v>4823</v>
      </c>
      <c r="U3920" s="422" t="s">
        <v>1953</v>
      </c>
      <c r="V3920" s="422" t="s">
        <v>2813</v>
      </c>
    </row>
    <row r="3921" spans="1:22" ht="15.75" thickBot="1" x14ac:dyDescent="0.3">
      <c r="A3921" t="s">
        <v>1916</v>
      </c>
      <c r="B3921" t="s">
        <v>1916</v>
      </c>
      <c r="C3921" s="424" t="str">
        <f t="shared" si="153"/>
        <v>Rodoviária do Alentejo, S.A.</v>
      </c>
      <c r="D3921" t="s">
        <v>629</v>
      </c>
      <c r="F3921" t="s">
        <v>620</v>
      </c>
      <c r="G3921" s="89">
        <v>2006</v>
      </c>
      <c r="H3921" s="313" t="s">
        <v>732</v>
      </c>
      <c r="I3921" s="311" t="str">
        <f t="shared" si="155"/>
        <v>Pesado de Passageiros M3:  : Gasóleo : E3</v>
      </c>
      <c r="J3921">
        <v>69</v>
      </c>
      <c r="K3921" s="422">
        <v>2023</v>
      </c>
      <c r="L3921">
        <v>2003.1</v>
      </c>
      <c r="M3921" t="s">
        <v>630</v>
      </c>
      <c r="N3921">
        <v>4967</v>
      </c>
      <c r="O3921" s="131">
        <f t="shared" si="154"/>
        <v>342723</v>
      </c>
      <c r="P3921" s="89">
        <v>8785</v>
      </c>
      <c r="Q3921" s="422" t="s">
        <v>47</v>
      </c>
      <c r="R3921" s="422" t="s">
        <v>1869</v>
      </c>
      <c r="S3921" s="422" t="s">
        <v>1861</v>
      </c>
      <c r="T3921" t="s">
        <v>4823</v>
      </c>
      <c r="U3921" s="422" t="s">
        <v>1953</v>
      </c>
      <c r="V3921" s="422" t="s">
        <v>2813</v>
      </c>
    </row>
    <row r="3922" spans="1:22" ht="15.75" thickBot="1" x14ac:dyDescent="0.3">
      <c r="A3922" t="s">
        <v>1916</v>
      </c>
      <c r="B3922" t="s">
        <v>1916</v>
      </c>
      <c r="C3922" s="424" t="str">
        <f t="shared" si="153"/>
        <v>Rodoviária do Alentejo, S.A.</v>
      </c>
      <c r="D3922" t="s">
        <v>629</v>
      </c>
      <c r="F3922" t="s">
        <v>620</v>
      </c>
      <c r="G3922" s="89">
        <v>2000</v>
      </c>
      <c r="H3922" s="313" t="s">
        <v>735</v>
      </c>
      <c r="I3922" s="311" t="str">
        <f t="shared" si="155"/>
        <v>Pesado de Passageiros M3:  : Gasóleo : E2</v>
      </c>
      <c r="J3922">
        <v>52</v>
      </c>
      <c r="K3922" s="422">
        <v>2023</v>
      </c>
      <c r="L3922">
        <v>19438.050000000003</v>
      </c>
      <c r="M3922" t="s">
        <v>630</v>
      </c>
      <c r="N3922">
        <v>63104</v>
      </c>
      <c r="O3922" s="131">
        <f t="shared" si="154"/>
        <v>3281408</v>
      </c>
      <c r="P3922" s="89">
        <v>8807</v>
      </c>
      <c r="Q3922" s="422" t="s">
        <v>47</v>
      </c>
      <c r="R3922" s="422" t="s">
        <v>1869</v>
      </c>
      <c r="S3922" s="422" t="s">
        <v>1861</v>
      </c>
      <c r="T3922" t="s">
        <v>4825</v>
      </c>
      <c r="U3922" s="422" t="s">
        <v>1953</v>
      </c>
      <c r="V3922" s="422" t="s">
        <v>2813</v>
      </c>
    </row>
    <row r="3923" spans="1:22" ht="15.75" thickBot="1" x14ac:dyDescent="0.3">
      <c r="A3923" t="s">
        <v>1916</v>
      </c>
      <c r="B3923" t="s">
        <v>1916</v>
      </c>
      <c r="C3923" s="424" t="str">
        <f t="shared" si="153"/>
        <v>Rodoviária do Alentejo, S.A.</v>
      </c>
      <c r="D3923" t="s">
        <v>629</v>
      </c>
      <c r="F3923" t="s">
        <v>620</v>
      </c>
      <c r="G3923" s="89">
        <v>2001</v>
      </c>
      <c r="H3923" s="313" t="s">
        <v>735</v>
      </c>
      <c r="I3923" s="311" t="str">
        <f t="shared" si="155"/>
        <v>Pesado de Passageiros M3:  : Gasóleo : E2</v>
      </c>
      <c r="J3923">
        <v>56</v>
      </c>
      <c r="K3923" s="422">
        <v>2023</v>
      </c>
      <c r="L3923">
        <v>20167.77</v>
      </c>
      <c r="M3923" t="s">
        <v>630</v>
      </c>
      <c r="N3923">
        <v>63516</v>
      </c>
      <c r="O3923" s="131">
        <f t="shared" si="154"/>
        <v>3556896</v>
      </c>
      <c r="P3923" s="89">
        <v>8810</v>
      </c>
      <c r="Q3923" s="422" t="s">
        <v>47</v>
      </c>
      <c r="R3923" s="422" t="s">
        <v>1869</v>
      </c>
      <c r="S3923" s="422" t="s">
        <v>1861</v>
      </c>
      <c r="T3923" t="s">
        <v>4825</v>
      </c>
      <c r="U3923" s="422" t="s">
        <v>1953</v>
      </c>
      <c r="V3923" s="422" t="s">
        <v>2813</v>
      </c>
    </row>
    <row r="3924" spans="1:22" ht="15.75" thickBot="1" x14ac:dyDescent="0.3">
      <c r="A3924" t="s">
        <v>1916</v>
      </c>
      <c r="B3924" t="s">
        <v>1916</v>
      </c>
      <c r="C3924" s="424" t="str">
        <f t="shared" si="153"/>
        <v>Rodoviária do Alentejo, S.A.</v>
      </c>
      <c r="D3924" t="s">
        <v>629</v>
      </c>
      <c r="F3924" t="s">
        <v>620</v>
      </c>
      <c r="G3924" s="89">
        <v>2009</v>
      </c>
      <c r="H3924" s="313" t="s">
        <v>731</v>
      </c>
      <c r="I3924" s="311" t="str">
        <f t="shared" si="155"/>
        <v>Pesado de Passageiros M3:  : Gasóleo : E4</v>
      </c>
      <c r="J3924">
        <v>56</v>
      </c>
      <c r="K3924" s="422">
        <v>2023</v>
      </c>
      <c r="L3924">
        <v>27054.18</v>
      </c>
      <c r="M3924" t="s">
        <v>630</v>
      </c>
      <c r="N3924">
        <v>92853</v>
      </c>
      <c r="O3924" s="131">
        <f t="shared" si="154"/>
        <v>5199768</v>
      </c>
      <c r="P3924" s="89">
        <v>8819</v>
      </c>
      <c r="Q3924" s="422" t="s">
        <v>47</v>
      </c>
      <c r="R3924" s="422" t="s">
        <v>1869</v>
      </c>
      <c r="S3924" s="422" t="s">
        <v>1861</v>
      </c>
      <c r="T3924" t="s">
        <v>4824</v>
      </c>
      <c r="U3924" s="422" t="s">
        <v>1953</v>
      </c>
      <c r="V3924" s="422" t="s">
        <v>2813</v>
      </c>
    </row>
    <row r="3925" spans="1:22" ht="15.75" thickBot="1" x14ac:dyDescent="0.3">
      <c r="A3925" t="s">
        <v>1916</v>
      </c>
      <c r="B3925" t="s">
        <v>1916</v>
      </c>
      <c r="C3925" s="424" t="str">
        <f t="shared" si="153"/>
        <v>Rodoviária do Alentejo, S.A.</v>
      </c>
      <c r="D3925" t="s">
        <v>629</v>
      </c>
      <c r="F3925" t="s">
        <v>620</v>
      </c>
      <c r="G3925" s="89">
        <v>2009</v>
      </c>
      <c r="H3925" s="313" t="s">
        <v>731</v>
      </c>
      <c r="I3925" s="311" t="str">
        <f t="shared" si="155"/>
        <v>Pesado de Passageiros M3:  : Gasóleo : E4</v>
      </c>
      <c r="J3925">
        <v>56</v>
      </c>
      <c r="K3925" s="422">
        <v>2023</v>
      </c>
      <c r="L3925">
        <v>41535.550000000003</v>
      </c>
      <c r="M3925" t="s">
        <v>630</v>
      </c>
      <c r="N3925">
        <v>134699</v>
      </c>
      <c r="O3925" s="131">
        <f t="shared" si="154"/>
        <v>7543144</v>
      </c>
      <c r="P3925" s="89">
        <v>8820</v>
      </c>
      <c r="Q3925" s="422" t="s">
        <v>47</v>
      </c>
      <c r="R3925" s="422" t="s">
        <v>1869</v>
      </c>
      <c r="S3925" s="422" t="s">
        <v>1861</v>
      </c>
      <c r="T3925" t="s">
        <v>4824</v>
      </c>
      <c r="U3925" s="422" t="s">
        <v>1953</v>
      </c>
      <c r="V3925" s="422" t="s">
        <v>2813</v>
      </c>
    </row>
    <row r="3926" spans="1:22" ht="15.75" thickBot="1" x14ac:dyDescent="0.3">
      <c r="A3926" t="s">
        <v>1916</v>
      </c>
      <c r="B3926" t="s">
        <v>1916</v>
      </c>
      <c r="C3926" s="424" t="str">
        <f t="shared" si="153"/>
        <v>Rodoviária do Alentejo, S.A.</v>
      </c>
      <c r="D3926" t="s">
        <v>629</v>
      </c>
      <c r="F3926" t="s">
        <v>620</v>
      </c>
      <c r="G3926" s="89">
        <v>2009</v>
      </c>
      <c r="H3926" s="313" t="s">
        <v>731</v>
      </c>
      <c r="I3926" s="311" t="str">
        <f t="shared" si="155"/>
        <v>Pesado de Passageiros M3:  : Gasóleo : E4</v>
      </c>
      <c r="J3926">
        <v>56</v>
      </c>
      <c r="K3926" s="422">
        <v>2023</v>
      </c>
      <c r="L3926">
        <v>18986.02</v>
      </c>
      <c r="M3926" t="s">
        <v>630</v>
      </c>
      <c r="N3926">
        <v>58892</v>
      </c>
      <c r="O3926" s="131">
        <f t="shared" si="154"/>
        <v>3297952</v>
      </c>
      <c r="P3926" s="89">
        <v>8821</v>
      </c>
      <c r="Q3926" s="422" t="s">
        <v>47</v>
      </c>
      <c r="R3926" s="422" t="s">
        <v>1869</v>
      </c>
      <c r="S3926" s="422" t="s">
        <v>1861</v>
      </c>
      <c r="T3926" t="s">
        <v>4824</v>
      </c>
      <c r="U3926" s="422" t="s">
        <v>1953</v>
      </c>
      <c r="V3926" s="422" t="s">
        <v>2813</v>
      </c>
    </row>
    <row r="3927" spans="1:22" ht="15.75" thickBot="1" x14ac:dyDescent="0.3">
      <c r="A3927" t="s">
        <v>1916</v>
      </c>
      <c r="B3927" t="s">
        <v>1916</v>
      </c>
      <c r="C3927" s="424" t="str">
        <f t="shared" si="153"/>
        <v>Rodoviária do Alentejo, S.A.</v>
      </c>
      <c r="D3927" t="s">
        <v>629</v>
      </c>
      <c r="F3927" t="s">
        <v>620</v>
      </c>
      <c r="G3927" s="89">
        <v>2009</v>
      </c>
      <c r="H3927" s="313" t="s">
        <v>731</v>
      </c>
      <c r="I3927" s="311" t="str">
        <f t="shared" si="155"/>
        <v>Pesado de Passageiros M3:  : Gasóleo : E4</v>
      </c>
      <c r="J3927">
        <v>57</v>
      </c>
      <c r="K3927" s="422">
        <v>2023</v>
      </c>
      <c r="L3927">
        <v>21636.98</v>
      </c>
      <c r="M3927" t="s">
        <v>630</v>
      </c>
      <c r="N3927">
        <v>62094</v>
      </c>
      <c r="O3927" s="131">
        <f t="shared" si="154"/>
        <v>3539358</v>
      </c>
      <c r="P3927" s="89">
        <v>8822</v>
      </c>
      <c r="Q3927" s="422" t="s">
        <v>47</v>
      </c>
      <c r="R3927" s="422" t="s">
        <v>1869</v>
      </c>
      <c r="S3927" s="422" t="s">
        <v>1861</v>
      </c>
      <c r="T3927" t="s">
        <v>4824</v>
      </c>
      <c r="U3927" s="422" t="s">
        <v>1953</v>
      </c>
      <c r="V3927" s="422" t="s">
        <v>2813</v>
      </c>
    </row>
    <row r="3928" spans="1:22" ht="15.75" thickBot="1" x14ac:dyDescent="0.3">
      <c r="A3928" t="s">
        <v>1916</v>
      </c>
      <c r="B3928" t="s">
        <v>1916</v>
      </c>
      <c r="C3928" s="424" t="str">
        <f t="shared" ref="C3928:C3991" si="156">IF(A3928=B3928,B3928,RIGHT(A3928,LEN(A3928)-LEN(B3928)-3))</f>
        <v>Rodoviária do Alentejo, S.A.</v>
      </c>
      <c r="D3928" t="s">
        <v>629</v>
      </c>
      <c r="F3928" t="s">
        <v>620</v>
      </c>
      <c r="G3928" s="89">
        <v>2009</v>
      </c>
      <c r="H3928" s="313" t="s">
        <v>731</v>
      </c>
      <c r="I3928" s="311" t="str">
        <f t="shared" si="155"/>
        <v>Pesado de Passageiros M3:  : Gasóleo : E4</v>
      </c>
      <c r="J3928">
        <v>57</v>
      </c>
      <c r="K3928" s="422">
        <v>2023</v>
      </c>
      <c r="L3928">
        <v>27774.720000000001</v>
      </c>
      <c r="M3928" t="s">
        <v>630</v>
      </c>
      <c r="N3928">
        <v>82304</v>
      </c>
      <c r="O3928" s="131">
        <f t="shared" si="154"/>
        <v>4691328</v>
      </c>
      <c r="P3928" s="89">
        <v>8823</v>
      </c>
      <c r="Q3928" s="422" t="s">
        <v>47</v>
      </c>
      <c r="R3928" s="422" t="s">
        <v>1869</v>
      </c>
      <c r="S3928" s="422" t="s">
        <v>1861</v>
      </c>
      <c r="T3928" t="s">
        <v>4824</v>
      </c>
      <c r="U3928" s="422" t="s">
        <v>1953</v>
      </c>
      <c r="V3928" s="422" t="s">
        <v>2813</v>
      </c>
    </row>
    <row r="3929" spans="1:22" ht="15.75" thickBot="1" x14ac:dyDescent="0.3">
      <c r="A3929" t="s">
        <v>1916</v>
      </c>
      <c r="B3929" t="s">
        <v>1916</v>
      </c>
      <c r="C3929" s="424" t="str">
        <f t="shared" si="156"/>
        <v>Rodoviária do Alentejo, S.A.</v>
      </c>
      <c r="D3929" t="s">
        <v>629</v>
      </c>
      <c r="F3929" t="s">
        <v>620</v>
      </c>
      <c r="G3929" s="89">
        <v>2004</v>
      </c>
      <c r="H3929" s="313" t="s">
        <v>732</v>
      </c>
      <c r="I3929" s="311" t="str">
        <f t="shared" si="155"/>
        <v>Pesado de Passageiros M3:  : Gasóleo : E3</v>
      </c>
      <c r="J3929">
        <v>52</v>
      </c>
      <c r="K3929" s="422">
        <v>2023</v>
      </c>
      <c r="L3929">
        <v>22012.22</v>
      </c>
      <c r="M3929" t="s">
        <v>630</v>
      </c>
      <c r="N3929">
        <v>68839</v>
      </c>
      <c r="O3929" s="131">
        <f t="shared" ref="O3929:O3992" si="157">N3929*J3929</f>
        <v>3579628</v>
      </c>
      <c r="P3929" s="89">
        <v>8826</v>
      </c>
      <c r="Q3929" s="422" t="s">
        <v>47</v>
      </c>
      <c r="R3929" s="422" t="s">
        <v>1869</v>
      </c>
      <c r="S3929" s="422" t="s">
        <v>1861</v>
      </c>
      <c r="T3929" t="s">
        <v>4824</v>
      </c>
      <c r="U3929" s="422" t="s">
        <v>1953</v>
      </c>
      <c r="V3929" s="422" t="s">
        <v>2813</v>
      </c>
    </row>
    <row r="3930" spans="1:22" ht="15.75" thickBot="1" x14ac:dyDescent="0.3">
      <c r="A3930" t="s">
        <v>1916</v>
      </c>
      <c r="B3930" t="s">
        <v>1916</v>
      </c>
      <c r="C3930" s="424" t="str">
        <f t="shared" si="156"/>
        <v>Rodoviária do Alentejo, S.A.</v>
      </c>
      <c r="D3930" t="s">
        <v>629</v>
      </c>
      <c r="F3930" t="s">
        <v>620</v>
      </c>
      <c r="G3930" s="89">
        <v>2017</v>
      </c>
      <c r="H3930" s="313" t="s">
        <v>733</v>
      </c>
      <c r="I3930" s="311" t="str">
        <f t="shared" si="155"/>
        <v>Pesado de Passageiros M3:  : Gasóleo : E6</v>
      </c>
      <c r="J3930">
        <v>54</v>
      </c>
      <c r="K3930" s="422">
        <v>2023</v>
      </c>
      <c r="L3930">
        <v>45163.87</v>
      </c>
      <c r="M3930" t="s">
        <v>630</v>
      </c>
      <c r="N3930">
        <v>170111</v>
      </c>
      <c r="O3930" s="131">
        <f t="shared" si="157"/>
        <v>9185994</v>
      </c>
      <c r="P3930" s="89">
        <v>8827</v>
      </c>
      <c r="Q3930" s="422" t="s">
        <v>47</v>
      </c>
      <c r="R3930" s="422" t="s">
        <v>1869</v>
      </c>
      <c r="S3930" s="422" t="s">
        <v>1861</v>
      </c>
      <c r="T3930" t="s">
        <v>4826</v>
      </c>
      <c r="U3930" s="422" t="s">
        <v>1953</v>
      </c>
      <c r="V3930" s="422" t="s">
        <v>2813</v>
      </c>
    </row>
    <row r="3931" spans="1:22" ht="15.75" thickBot="1" x14ac:dyDescent="0.3">
      <c r="A3931" t="s">
        <v>1916</v>
      </c>
      <c r="B3931" t="s">
        <v>1916</v>
      </c>
      <c r="C3931" s="424" t="str">
        <f t="shared" si="156"/>
        <v>Rodoviária do Alentejo, S.A.</v>
      </c>
      <c r="D3931" t="s">
        <v>629</v>
      </c>
      <c r="F3931" t="s">
        <v>620</v>
      </c>
      <c r="G3931" s="89">
        <v>2017</v>
      </c>
      <c r="H3931" s="313" t="s">
        <v>733</v>
      </c>
      <c r="I3931" s="311" t="str">
        <f t="shared" si="155"/>
        <v>Pesado de Passageiros M3:  : Gasóleo : E6</v>
      </c>
      <c r="J3931">
        <v>54</v>
      </c>
      <c r="K3931" s="422">
        <v>2023</v>
      </c>
      <c r="L3931">
        <v>33455.35</v>
      </c>
      <c r="M3931" t="s">
        <v>630</v>
      </c>
      <c r="N3931">
        <v>123900</v>
      </c>
      <c r="O3931" s="131">
        <f t="shared" si="157"/>
        <v>6690600</v>
      </c>
      <c r="P3931" s="89">
        <v>8828</v>
      </c>
      <c r="Q3931" s="422" t="s">
        <v>47</v>
      </c>
      <c r="R3931" s="422" t="s">
        <v>1869</v>
      </c>
      <c r="S3931" s="422" t="s">
        <v>1861</v>
      </c>
      <c r="T3931" t="s">
        <v>4826</v>
      </c>
      <c r="U3931" s="422" t="s">
        <v>1953</v>
      </c>
      <c r="V3931" s="422" t="s">
        <v>2813</v>
      </c>
    </row>
    <row r="3932" spans="1:22" ht="15.75" thickBot="1" x14ac:dyDescent="0.3">
      <c r="A3932" t="s">
        <v>1916</v>
      </c>
      <c r="B3932" t="s">
        <v>1916</v>
      </c>
      <c r="C3932" s="424" t="str">
        <f t="shared" si="156"/>
        <v>Rodoviária do Alentejo, S.A.</v>
      </c>
      <c r="D3932" t="s">
        <v>629</v>
      </c>
      <c r="F3932" t="s">
        <v>620</v>
      </c>
      <c r="G3932" s="89">
        <v>2017</v>
      </c>
      <c r="H3932" s="313" t="s">
        <v>733</v>
      </c>
      <c r="I3932" s="311" t="str">
        <f t="shared" si="155"/>
        <v>Pesado de Passageiros M3:  : Gasóleo : E6</v>
      </c>
      <c r="J3932">
        <v>54</v>
      </c>
      <c r="K3932" s="422">
        <v>2023</v>
      </c>
      <c r="L3932">
        <v>46311.18</v>
      </c>
      <c r="M3932" t="s">
        <v>630</v>
      </c>
      <c r="N3932">
        <v>166892</v>
      </c>
      <c r="O3932" s="131">
        <f t="shared" si="157"/>
        <v>9012168</v>
      </c>
      <c r="P3932" s="89">
        <v>8829</v>
      </c>
      <c r="Q3932" s="422" t="s">
        <v>47</v>
      </c>
      <c r="R3932" s="422" t="s">
        <v>1869</v>
      </c>
      <c r="S3932" s="422" t="s">
        <v>1861</v>
      </c>
      <c r="T3932" t="s">
        <v>4826</v>
      </c>
      <c r="U3932" s="422" t="s">
        <v>1953</v>
      </c>
      <c r="V3932" s="422" t="s">
        <v>2813</v>
      </c>
    </row>
    <row r="3933" spans="1:22" ht="15.75" thickBot="1" x14ac:dyDescent="0.3">
      <c r="A3933" t="s">
        <v>1916</v>
      </c>
      <c r="B3933" t="s">
        <v>1916</v>
      </c>
      <c r="C3933" s="424" t="str">
        <f t="shared" si="156"/>
        <v>Rodoviária do Alentejo, S.A.</v>
      </c>
      <c r="D3933" t="s">
        <v>629</v>
      </c>
      <c r="F3933" t="s">
        <v>620</v>
      </c>
      <c r="G3933" s="89">
        <v>2017</v>
      </c>
      <c r="H3933" s="313" t="s">
        <v>733</v>
      </c>
      <c r="I3933" s="311" t="str">
        <f t="shared" si="155"/>
        <v>Pesado de Passageiros M3:  : Gasóleo : E6</v>
      </c>
      <c r="J3933">
        <v>54</v>
      </c>
      <c r="K3933" s="422">
        <v>2023</v>
      </c>
      <c r="L3933">
        <v>46320.82</v>
      </c>
      <c r="M3933" t="s">
        <v>630</v>
      </c>
      <c r="N3933">
        <v>175328</v>
      </c>
      <c r="O3933" s="131">
        <f t="shared" si="157"/>
        <v>9467712</v>
      </c>
      <c r="P3933" s="89">
        <v>8830</v>
      </c>
      <c r="Q3933" s="422" t="s">
        <v>47</v>
      </c>
      <c r="R3933" s="422" t="s">
        <v>1869</v>
      </c>
      <c r="S3933" s="422" t="s">
        <v>1861</v>
      </c>
      <c r="T3933" t="s">
        <v>4826</v>
      </c>
      <c r="U3933" s="422" t="s">
        <v>1953</v>
      </c>
      <c r="V3933" s="422" t="s">
        <v>2813</v>
      </c>
    </row>
    <row r="3934" spans="1:22" ht="15.75" thickBot="1" x14ac:dyDescent="0.3">
      <c r="A3934" t="s">
        <v>1916</v>
      </c>
      <c r="B3934" t="s">
        <v>1916</v>
      </c>
      <c r="C3934" s="424" t="str">
        <f t="shared" si="156"/>
        <v>Rodoviária do Alentejo, S.A.</v>
      </c>
      <c r="D3934" t="s">
        <v>629</v>
      </c>
      <c r="F3934" t="s">
        <v>620</v>
      </c>
      <c r="G3934" s="89">
        <v>2017</v>
      </c>
      <c r="H3934" s="313" t="s">
        <v>733</v>
      </c>
      <c r="I3934" s="311" t="str">
        <f t="shared" si="155"/>
        <v>Pesado de Passageiros M3:  : Gasóleo : E6</v>
      </c>
      <c r="J3934">
        <v>54</v>
      </c>
      <c r="K3934" s="422">
        <v>2023</v>
      </c>
      <c r="L3934">
        <v>44139.990000000005</v>
      </c>
      <c r="M3934" t="s">
        <v>630</v>
      </c>
      <c r="N3934">
        <v>158977</v>
      </c>
      <c r="O3934" s="436">
        <f t="shared" si="157"/>
        <v>8584758</v>
      </c>
      <c r="P3934" s="89">
        <v>8831</v>
      </c>
      <c r="Q3934" s="422" t="s">
        <v>47</v>
      </c>
      <c r="R3934" s="422" t="s">
        <v>1869</v>
      </c>
      <c r="S3934" s="422" t="s">
        <v>1861</v>
      </c>
      <c r="T3934" t="s">
        <v>4826</v>
      </c>
      <c r="U3934" s="422" t="s">
        <v>1953</v>
      </c>
      <c r="V3934" s="422" t="s">
        <v>2813</v>
      </c>
    </row>
    <row r="3935" spans="1:22" ht="15.75" thickBot="1" x14ac:dyDescent="0.3">
      <c r="A3935" s="422" t="s">
        <v>2946</v>
      </c>
      <c r="B3935" s="422" t="s">
        <v>2946</v>
      </c>
      <c r="C3935" s="424" t="str">
        <f t="shared" si="156"/>
        <v>TRE - Transportes Rodoviários de Évora, S.A.</v>
      </c>
      <c r="D3935" s="422" t="s">
        <v>629</v>
      </c>
      <c r="F3935" s="432" t="s">
        <v>620</v>
      </c>
      <c r="G3935" s="435">
        <v>2010</v>
      </c>
      <c r="H3935" s="313" t="s">
        <v>734</v>
      </c>
      <c r="I3935" s="311" t="str">
        <f t="shared" si="155"/>
        <v>Pesado de Passageiros M3:  : Gasóleo : E5</v>
      </c>
      <c r="J3935">
        <v>29</v>
      </c>
      <c r="K3935" s="422">
        <v>2023</v>
      </c>
      <c r="L3935">
        <v>5999.82</v>
      </c>
      <c r="M3935" t="s">
        <v>630</v>
      </c>
      <c r="N3935">
        <v>21838</v>
      </c>
      <c r="O3935" s="436">
        <f t="shared" si="157"/>
        <v>633302</v>
      </c>
      <c r="P3935" s="89">
        <v>1001</v>
      </c>
      <c r="Q3935" s="422" t="s">
        <v>47</v>
      </c>
      <c r="R3935" s="422" t="s">
        <v>1869</v>
      </c>
      <c r="S3935" s="422" t="s">
        <v>1861</v>
      </c>
      <c r="T3935" t="s">
        <v>4825</v>
      </c>
      <c r="U3935" s="422" t="s">
        <v>1953</v>
      </c>
      <c r="V3935" s="422" t="s">
        <v>2813</v>
      </c>
    </row>
    <row r="3936" spans="1:22" ht="15.75" thickBot="1" x14ac:dyDescent="0.3">
      <c r="A3936" s="422" t="s">
        <v>2946</v>
      </c>
      <c r="B3936" s="422" t="s">
        <v>2946</v>
      </c>
      <c r="C3936" s="424" t="str">
        <f t="shared" si="156"/>
        <v>TRE - Transportes Rodoviários de Évora, S.A.</v>
      </c>
      <c r="D3936" s="422" t="s">
        <v>629</v>
      </c>
      <c r="F3936" s="432" t="s">
        <v>620</v>
      </c>
      <c r="G3936" s="435">
        <v>2010</v>
      </c>
      <c r="H3936" s="313" t="s">
        <v>734</v>
      </c>
      <c r="I3936" s="311" t="str">
        <f t="shared" si="155"/>
        <v>Pesado de Passageiros M3:  : Gasóleo : E5</v>
      </c>
      <c r="J3936">
        <v>29</v>
      </c>
      <c r="K3936" s="422">
        <v>2023</v>
      </c>
      <c r="L3936">
        <v>4689.42</v>
      </c>
      <c r="M3936" t="s">
        <v>630</v>
      </c>
      <c r="N3936">
        <v>18251</v>
      </c>
      <c r="O3936" s="436">
        <f t="shared" si="157"/>
        <v>529279</v>
      </c>
      <c r="P3936" s="89">
        <v>1002</v>
      </c>
      <c r="Q3936" s="422" t="s">
        <v>47</v>
      </c>
      <c r="R3936" s="422" t="s">
        <v>1869</v>
      </c>
      <c r="S3936" s="422" t="s">
        <v>1861</v>
      </c>
      <c r="T3936" t="s">
        <v>4825</v>
      </c>
      <c r="U3936" s="422" t="s">
        <v>1953</v>
      </c>
      <c r="V3936" s="422" t="s">
        <v>2813</v>
      </c>
    </row>
    <row r="3937" spans="1:22" ht="15.75" thickBot="1" x14ac:dyDescent="0.3">
      <c r="A3937" s="422" t="s">
        <v>2946</v>
      </c>
      <c r="B3937" s="422" t="s">
        <v>2946</v>
      </c>
      <c r="C3937" s="424" t="str">
        <f t="shared" si="156"/>
        <v>TRE - Transportes Rodoviários de Évora, S.A.</v>
      </c>
      <c r="D3937" s="422" t="s">
        <v>629</v>
      </c>
      <c r="F3937" s="432" t="s">
        <v>620</v>
      </c>
      <c r="G3937" s="435">
        <v>2010</v>
      </c>
      <c r="H3937" s="313" t="s">
        <v>734</v>
      </c>
      <c r="I3937" s="311" t="str">
        <f t="shared" si="155"/>
        <v>Pesado de Passageiros M3:  : Gasóleo : E5</v>
      </c>
      <c r="J3937">
        <v>29</v>
      </c>
      <c r="K3937" s="422">
        <v>2023</v>
      </c>
      <c r="L3937">
        <v>4371.8500000000004</v>
      </c>
      <c r="M3937" t="s">
        <v>630</v>
      </c>
      <c r="N3937">
        <v>17210</v>
      </c>
      <c r="O3937" s="436">
        <f t="shared" si="157"/>
        <v>499090</v>
      </c>
      <c r="P3937" s="89">
        <v>1003</v>
      </c>
      <c r="Q3937" s="422" t="s">
        <v>47</v>
      </c>
      <c r="R3937" s="422" t="s">
        <v>1869</v>
      </c>
      <c r="S3937" s="422" t="s">
        <v>1861</v>
      </c>
      <c r="T3937" t="s">
        <v>4825</v>
      </c>
      <c r="U3937" s="422" t="s">
        <v>1953</v>
      </c>
      <c r="V3937" s="422" t="s">
        <v>2813</v>
      </c>
    </row>
    <row r="3938" spans="1:22" ht="15.75" thickBot="1" x14ac:dyDescent="0.3">
      <c r="A3938" s="422" t="s">
        <v>2946</v>
      </c>
      <c r="B3938" s="422" t="s">
        <v>2946</v>
      </c>
      <c r="C3938" s="424" t="str">
        <f t="shared" si="156"/>
        <v>TRE - Transportes Rodoviários de Évora, S.A.</v>
      </c>
      <c r="D3938" s="422" t="s">
        <v>629</v>
      </c>
      <c r="F3938" s="432" t="s">
        <v>620</v>
      </c>
      <c r="G3938" s="435">
        <v>2010</v>
      </c>
      <c r="H3938" s="313" t="s">
        <v>734</v>
      </c>
      <c r="I3938" s="311" t="str">
        <f t="shared" si="155"/>
        <v>Pesado de Passageiros M3:  : Gasóleo : E5</v>
      </c>
      <c r="J3938">
        <v>29</v>
      </c>
      <c r="K3938" s="422">
        <v>2023</v>
      </c>
      <c r="L3938">
        <v>3522.52</v>
      </c>
      <c r="M3938" t="s">
        <v>630</v>
      </c>
      <c r="N3938">
        <v>14345</v>
      </c>
      <c r="O3938" s="436">
        <f t="shared" si="157"/>
        <v>416005</v>
      </c>
      <c r="P3938" s="89">
        <v>1004</v>
      </c>
      <c r="Q3938" s="422" t="s">
        <v>47</v>
      </c>
      <c r="R3938" s="422" t="s">
        <v>1869</v>
      </c>
      <c r="S3938" s="422" t="s">
        <v>1861</v>
      </c>
      <c r="T3938" t="s">
        <v>4825</v>
      </c>
      <c r="U3938" s="422" t="s">
        <v>1953</v>
      </c>
      <c r="V3938" s="422" t="s">
        <v>2813</v>
      </c>
    </row>
    <row r="3939" spans="1:22" ht="15.75" thickBot="1" x14ac:dyDescent="0.3">
      <c r="A3939" s="422" t="s">
        <v>2946</v>
      </c>
      <c r="B3939" s="422" t="s">
        <v>2946</v>
      </c>
      <c r="C3939" s="424" t="str">
        <f t="shared" si="156"/>
        <v>TRE - Transportes Rodoviários de Évora, S.A.</v>
      </c>
      <c r="D3939" s="422" t="s">
        <v>629</v>
      </c>
      <c r="F3939" s="432" t="s">
        <v>620</v>
      </c>
      <c r="G3939" s="435">
        <v>2010</v>
      </c>
      <c r="H3939" s="313" t="s">
        <v>734</v>
      </c>
      <c r="I3939" s="311" t="str">
        <f t="shared" si="155"/>
        <v>Pesado de Passageiros M3:  : Gasóleo : E5</v>
      </c>
      <c r="J3939">
        <v>29</v>
      </c>
      <c r="K3939" s="422">
        <v>2023</v>
      </c>
      <c r="L3939">
        <v>4958.6099999999997</v>
      </c>
      <c r="M3939" t="s">
        <v>630</v>
      </c>
      <c r="N3939">
        <v>18543</v>
      </c>
      <c r="O3939" s="436">
        <f t="shared" si="157"/>
        <v>537747</v>
      </c>
      <c r="P3939" s="89">
        <v>1005</v>
      </c>
      <c r="Q3939" s="422" t="s">
        <v>47</v>
      </c>
      <c r="R3939" s="422" t="s">
        <v>1869</v>
      </c>
      <c r="S3939" s="422" t="s">
        <v>1861</v>
      </c>
      <c r="T3939" t="s">
        <v>4825</v>
      </c>
      <c r="U3939" s="422" t="s">
        <v>1953</v>
      </c>
      <c r="V3939" s="422" t="s">
        <v>2813</v>
      </c>
    </row>
    <row r="3940" spans="1:22" ht="15.75" thickBot="1" x14ac:dyDescent="0.3">
      <c r="A3940" s="422" t="s">
        <v>2946</v>
      </c>
      <c r="B3940" s="422" t="s">
        <v>2946</v>
      </c>
      <c r="C3940" s="424" t="str">
        <f t="shared" si="156"/>
        <v>TRE - Transportes Rodoviários de Évora, S.A.</v>
      </c>
      <c r="D3940" s="422" t="s">
        <v>629</v>
      </c>
      <c r="F3940" s="432" t="s">
        <v>620</v>
      </c>
      <c r="G3940" s="435">
        <v>2010</v>
      </c>
      <c r="H3940" s="313" t="s">
        <v>734</v>
      </c>
      <c r="I3940" s="311" t="str">
        <f t="shared" si="155"/>
        <v>Pesado de Passageiros M3:  : Gasóleo : E5</v>
      </c>
      <c r="J3940">
        <v>29</v>
      </c>
      <c r="K3940" s="422">
        <v>2023</v>
      </c>
      <c r="L3940">
        <v>5786.07</v>
      </c>
      <c r="M3940" t="s">
        <v>630</v>
      </c>
      <c r="N3940">
        <v>16137</v>
      </c>
      <c r="O3940" s="436">
        <f t="shared" si="157"/>
        <v>467973</v>
      </c>
      <c r="P3940" s="89">
        <v>1006</v>
      </c>
      <c r="Q3940" s="422" t="s">
        <v>47</v>
      </c>
      <c r="R3940" s="422" t="s">
        <v>1869</v>
      </c>
      <c r="S3940" s="422" t="s">
        <v>1861</v>
      </c>
      <c r="T3940" t="s">
        <v>4825</v>
      </c>
      <c r="U3940" s="422" t="s">
        <v>1953</v>
      </c>
      <c r="V3940" s="422" t="s">
        <v>2813</v>
      </c>
    </row>
    <row r="3941" spans="1:22" ht="15.75" thickBot="1" x14ac:dyDescent="0.3">
      <c r="A3941" s="422" t="s">
        <v>2946</v>
      </c>
      <c r="B3941" s="422" t="s">
        <v>2946</v>
      </c>
      <c r="C3941" s="424" t="str">
        <f t="shared" si="156"/>
        <v>TRE - Transportes Rodoviários de Évora, S.A.</v>
      </c>
      <c r="D3941" s="422" t="s">
        <v>629</v>
      </c>
      <c r="F3941" s="432" t="s">
        <v>620</v>
      </c>
      <c r="G3941" s="435">
        <v>2010</v>
      </c>
      <c r="H3941" s="313" t="s">
        <v>734</v>
      </c>
      <c r="I3941" s="311" t="str">
        <f t="shared" si="155"/>
        <v>Pesado de Passageiros M3:  : Gasóleo : E5</v>
      </c>
      <c r="J3941">
        <v>29</v>
      </c>
      <c r="K3941" s="422">
        <v>2023</v>
      </c>
      <c r="L3941">
        <v>5320.87</v>
      </c>
      <c r="M3941" t="s">
        <v>630</v>
      </c>
      <c r="N3941">
        <v>19706</v>
      </c>
      <c r="O3941" s="436">
        <f t="shared" si="157"/>
        <v>571474</v>
      </c>
      <c r="P3941" s="89">
        <v>1007</v>
      </c>
      <c r="Q3941" s="422" t="s">
        <v>47</v>
      </c>
      <c r="R3941" s="422" t="s">
        <v>1869</v>
      </c>
      <c r="S3941" s="422" t="s">
        <v>1861</v>
      </c>
      <c r="T3941" t="s">
        <v>4825</v>
      </c>
      <c r="U3941" s="422" t="s">
        <v>1953</v>
      </c>
      <c r="V3941" s="422" t="s">
        <v>2813</v>
      </c>
    </row>
    <row r="3942" spans="1:22" ht="15.75" thickBot="1" x14ac:dyDescent="0.3">
      <c r="A3942" s="422" t="s">
        <v>2946</v>
      </c>
      <c r="B3942" s="422" t="s">
        <v>2946</v>
      </c>
      <c r="C3942" s="424" t="str">
        <f t="shared" si="156"/>
        <v>TRE - Transportes Rodoviários de Évora, S.A.</v>
      </c>
      <c r="D3942" s="422" t="s">
        <v>629</v>
      </c>
      <c r="F3942" s="432" t="s">
        <v>620</v>
      </c>
      <c r="G3942" s="435">
        <v>2010</v>
      </c>
      <c r="H3942" s="313" t="s">
        <v>734</v>
      </c>
      <c r="I3942" s="311" t="str">
        <f t="shared" si="155"/>
        <v>Pesado de Passageiros M3:  : Gasóleo : E5</v>
      </c>
      <c r="J3942">
        <v>29</v>
      </c>
      <c r="K3942" s="422">
        <v>2023</v>
      </c>
      <c r="L3942">
        <v>4578.12</v>
      </c>
      <c r="M3942" t="s">
        <v>630</v>
      </c>
      <c r="N3942">
        <v>14610</v>
      </c>
      <c r="O3942" s="436">
        <f t="shared" si="157"/>
        <v>423690</v>
      </c>
      <c r="P3942" s="89">
        <v>1008</v>
      </c>
      <c r="Q3942" s="422" t="s">
        <v>47</v>
      </c>
      <c r="R3942" s="422" t="s">
        <v>1869</v>
      </c>
      <c r="S3942" s="422" t="s">
        <v>1861</v>
      </c>
      <c r="T3942" t="s">
        <v>4825</v>
      </c>
      <c r="U3942" s="422" t="s">
        <v>1953</v>
      </c>
      <c r="V3942" s="422" t="s">
        <v>2813</v>
      </c>
    </row>
    <row r="3943" spans="1:22" ht="15.75" thickBot="1" x14ac:dyDescent="0.3">
      <c r="A3943" s="422" t="s">
        <v>2946</v>
      </c>
      <c r="B3943" s="422" t="s">
        <v>2946</v>
      </c>
      <c r="C3943" s="424" t="str">
        <f t="shared" si="156"/>
        <v>TRE - Transportes Rodoviários de Évora, S.A.</v>
      </c>
      <c r="D3943" s="422" t="s">
        <v>629</v>
      </c>
      <c r="F3943" s="432" t="s">
        <v>620</v>
      </c>
      <c r="G3943" s="435">
        <v>2005</v>
      </c>
      <c r="H3943" s="313" t="s">
        <v>732</v>
      </c>
      <c r="I3943" s="311" t="str">
        <f t="shared" si="155"/>
        <v>Pesado de Passageiros M3:  : Gasóleo : E3</v>
      </c>
      <c r="J3943">
        <v>24</v>
      </c>
      <c r="K3943" s="422">
        <v>2023</v>
      </c>
      <c r="L3943">
        <v>1315.6899999999998</v>
      </c>
      <c r="M3943" t="s">
        <v>630</v>
      </c>
      <c r="N3943">
        <v>5413</v>
      </c>
      <c r="O3943" s="436">
        <f t="shared" si="157"/>
        <v>129912</v>
      </c>
      <c r="P3943" s="89">
        <v>1016</v>
      </c>
      <c r="Q3943" s="422" t="s">
        <v>47</v>
      </c>
      <c r="R3943" s="422" t="s">
        <v>1869</v>
      </c>
      <c r="S3943" s="422" t="s">
        <v>1861</v>
      </c>
      <c r="T3943" t="s">
        <v>4825</v>
      </c>
      <c r="U3943" s="422" t="s">
        <v>1953</v>
      </c>
      <c r="V3943" s="422" t="s">
        <v>2813</v>
      </c>
    </row>
    <row r="3944" spans="1:22" ht="15.75" thickBot="1" x14ac:dyDescent="0.3">
      <c r="A3944" s="422" t="s">
        <v>2946</v>
      </c>
      <c r="B3944" s="422" t="s">
        <v>2946</v>
      </c>
      <c r="C3944" s="424" t="str">
        <f t="shared" si="156"/>
        <v>TRE - Transportes Rodoviários de Évora, S.A.</v>
      </c>
      <c r="D3944" s="422" t="s">
        <v>629</v>
      </c>
      <c r="F3944" s="432" t="s">
        <v>620</v>
      </c>
      <c r="G3944" s="435">
        <v>2010</v>
      </c>
      <c r="H3944" s="313" t="s">
        <v>734</v>
      </c>
      <c r="I3944" s="311" t="str">
        <f t="shared" si="155"/>
        <v>Pesado de Passageiros M3:  : Gasóleo : E5</v>
      </c>
      <c r="J3944">
        <v>53</v>
      </c>
      <c r="K3944" s="422">
        <v>2023</v>
      </c>
      <c r="L3944">
        <v>6591.1299999999992</v>
      </c>
      <c r="M3944" t="s">
        <v>630</v>
      </c>
      <c r="N3944">
        <v>14405</v>
      </c>
      <c r="O3944" s="436">
        <f t="shared" si="157"/>
        <v>763465</v>
      </c>
      <c r="P3944" s="89">
        <v>1052</v>
      </c>
      <c r="Q3944" s="422" t="s">
        <v>47</v>
      </c>
      <c r="R3944" s="422" t="s">
        <v>1869</v>
      </c>
      <c r="S3944" s="422" t="s">
        <v>1861</v>
      </c>
      <c r="T3944" t="s">
        <v>4825</v>
      </c>
      <c r="U3944" s="422" t="s">
        <v>1953</v>
      </c>
      <c r="V3944" s="422" t="s">
        <v>2813</v>
      </c>
    </row>
    <row r="3945" spans="1:22" ht="15.75" thickBot="1" x14ac:dyDescent="0.3">
      <c r="A3945" s="422" t="s">
        <v>2946</v>
      </c>
      <c r="B3945" s="422" t="s">
        <v>2946</v>
      </c>
      <c r="C3945" s="424" t="str">
        <f t="shared" si="156"/>
        <v>TRE - Transportes Rodoviários de Évora, S.A.</v>
      </c>
      <c r="D3945" s="422" t="s">
        <v>629</v>
      </c>
      <c r="F3945" s="432" t="s">
        <v>620</v>
      </c>
      <c r="G3945" s="435">
        <v>2010</v>
      </c>
      <c r="H3945" s="313" t="s">
        <v>734</v>
      </c>
      <c r="I3945" s="311" t="str">
        <f t="shared" si="155"/>
        <v>Pesado de Passageiros M3:  : Gasóleo : E5</v>
      </c>
      <c r="J3945">
        <v>53</v>
      </c>
      <c r="K3945" s="422">
        <v>2023</v>
      </c>
      <c r="L3945">
        <v>12934.34</v>
      </c>
      <c r="M3945" t="s">
        <v>630</v>
      </c>
      <c r="N3945">
        <v>35582</v>
      </c>
      <c r="O3945" s="436">
        <f t="shared" si="157"/>
        <v>1885846</v>
      </c>
      <c r="P3945" s="89">
        <v>1053</v>
      </c>
      <c r="Q3945" s="422" t="s">
        <v>47</v>
      </c>
      <c r="R3945" s="422" t="s">
        <v>1869</v>
      </c>
      <c r="S3945" s="422" t="s">
        <v>1861</v>
      </c>
      <c r="T3945" t="s">
        <v>4825</v>
      </c>
      <c r="U3945" s="422" t="s">
        <v>1953</v>
      </c>
      <c r="V3945" s="422" t="s">
        <v>2813</v>
      </c>
    </row>
    <row r="3946" spans="1:22" ht="15.75" thickBot="1" x14ac:dyDescent="0.3">
      <c r="A3946" s="422" t="s">
        <v>2946</v>
      </c>
      <c r="B3946" s="422" t="s">
        <v>2946</v>
      </c>
      <c r="C3946" s="424" t="str">
        <f t="shared" si="156"/>
        <v>TRE - Transportes Rodoviários de Évora, S.A.</v>
      </c>
      <c r="D3946" s="422" t="s">
        <v>629</v>
      </c>
      <c r="F3946" s="432" t="s">
        <v>620</v>
      </c>
      <c r="G3946" s="435">
        <v>2010</v>
      </c>
      <c r="H3946" s="313" t="s">
        <v>734</v>
      </c>
      <c r="I3946" s="311" t="str">
        <f t="shared" si="155"/>
        <v>Pesado de Passageiros M3:  : Gasóleo : E5</v>
      </c>
      <c r="J3946">
        <v>53</v>
      </c>
      <c r="K3946" s="422">
        <v>2023</v>
      </c>
      <c r="L3946">
        <v>10878.010000000002</v>
      </c>
      <c r="M3946" t="s">
        <v>630</v>
      </c>
      <c r="N3946">
        <v>31683</v>
      </c>
      <c r="O3946" s="436">
        <f t="shared" si="157"/>
        <v>1679199</v>
      </c>
      <c r="P3946" s="89">
        <v>1054</v>
      </c>
      <c r="Q3946" s="422" t="s">
        <v>47</v>
      </c>
      <c r="R3946" s="422" t="s">
        <v>1869</v>
      </c>
      <c r="S3946" s="422" t="s">
        <v>1861</v>
      </c>
      <c r="T3946" t="s">
        <v>4825</v>
      </c>
      <c r="U3946" s="422" t="s">
        <v>1953</v>
      </c>
      <c r="V3946" s="422" t="s">
        <v>2813</v>
      </c>
    </row>
    <row r="3947" spans="1:22" ht="15.75" thickBot="1" x14ac:dyDescent="0.3">
      <c r="A3947" s="422" t="s">
        <v>2946</v>
      </c>
      <c r="B3947" s="422" t="s">
        <v>2946</v>
      </c>
      <c r="C3947" s="424" t="str">
        <f t="shared" si="156"/>
        <v>TRE - Transportes Rodoviários de Évora, S.A.</v>
      </c>
      <c r="D3947" s="422" t="s">
        <v>629</v>
      </c>
      <c r="F3947" s="432" t="s">
        <v>620</v>
      </c>
      <c r="G3947" s="435">
        <v>2010</v>
      </c>
      <c r="H3947" s="313" t="s">
        <v>734</v>
      </c>
      <c r="I3947" s="311" t="str">
        <f t="shared" si="155"/>
        <v>Pesado de Passageiros M3:  : Gasóleo : E5</v>
      </c>
      <c r="J3947">
        <v>53</v>
      </c>
      <c r="K3947" s="422">
        <v>2023</v>
      </c>
      <c r="L3947">
        <v>9880.3900000000012</v>
      </c>
      <c r="M3947" t="s">
        <v>630</v>
      </c>
      <c r="N3947">
        <v>28214</v>
      </c>
      <c r="O3947" s="436">
        <f t="shared" si="157"/>
        <v>1495342</v>
      </c>
      <c r="P3947" s="89">
        <v>1055</v>
      </c>
      <c r="Q3947" s="422" t="s">
        <v>47</v>
      </c>
      <c r="R3947" s="422" t="s">
        <v>1869</v>
      </c>
      <c r="S3947" s="422" t="s">
        <v>1861</v>
      </c>
      <c r="T3947" t="s">
        <v>4825</v>
      </c>
      <c r="U3947" s="422" t="s">
        <v>1953</v>
      </c>
      <c r="V3947" s="422" t="s">
        <v>2813</v>
      </c>
    </row>
    <row r="3948" spans="1:22" ht="15.75" thickBot="1" x14ac:dyDescent="0.3">
      <c r="A3948" s="422" t="s">
        <v>2946</v>
      </c>
      <c r="B3948" s="422" t="s">
        <v>2946</v>
      </c>
      <c r="C3948" s="424" t="str">
        <f t="shared" si="156"/>
        <v>TRE - Transportes Rodoviários de Évora, S.A.</v>
      </c>
      <c r="D3948" s="422" t="s">
        <v>629</v>
      </c>
      <c r="F3948" s="432" t="s">
        <v>620</v>
      </c>
      <c r="G3948" s="435">
        <v>2010</v>
      </c>
      <c r="H3948" s="313" t="s">
        <v>734</v>
      </c>
      <c r="I3948" s="311" t="str">
        <f t="shared" si="155"/>
        <v>Pesado de Passageiros M3:  : Gasóleo : E5</v>
      </c>
      <c r="J3948">
        <v>53</v>
      </c>
      <c r="K3948" s="422">
        <v>2023</v>
      </c>
      <c r="L3948">
        <v>6720.29</v>
      </c>
      <c r="M3948" t="s">
        <v>630</v>
      </c>
      <c r="N3948">
        <v>17990</v>
      </c>
      <c r="O3948" s="436">
        <f t="shared" si="157"/>
        <v>953470</v>
      </c>
      <c r="P3948" s="89">
        <v>1056</v>
      </c>
      <c r="Q3948" s="422" t="s">
        <v>47</v>
      </c>
      <c r="R3948" s="422" t="s">
        <v>1869</v>
      </c>
      <c r="S3948" s="422" t="s">
        <v>1861</v>
      </c>
      <c r="T3948" t="s">
        <v>4825</v>
      </c>
      <c r="U3948" s="422" t="s">
        <v>1953</v>
      </c>
      <c r="V3948" s="422" t="s">
        <v>2813</v>
      </c>
    </row>
    <row r="3949" spans="1:22" ht="15.75" thickBot="1" x14ac:dyDescent="0.3">
      <c r="A3949" s="422" t="s">
        <v>2946</v>
      </c>
      <c r="B3949" s="422" t="s">
        <v>2946</v>
      </c>
      <c r="C3949" s="424" t="str">
        <f t="shared" si="156"/>
        <v>TRE - Transportes Rodoviários de Évora, S.A.</v>
      </c>
      <c r="D3949" s="422" t="s">
        <v>629</v>
      </c>
      <c r="F3949" s="432" t="s">
        <v>620</v>
      </c>
      <c r="G3949" s="435">
        <v>2010</v>
      </c>
      <c r="H3949" s="313" t="s">
        <v>734</v>
      </c>
      <c r="I3949" s="311" t="str">
        <f t="shared" si="155"/>
        <v>Pesado de Passageiros M3:  : Gasóleo : E5</v>
      </c>
      <c r="J3949">
        <v>53</v>
      </c>
      <c r="K3949" s="422">
        <v>2023</v>
      </c>
      <c r="L3949">
        <v>12290.670000000002</v>
      </c>
      <c r="M3949" t="s">
        <v>630</v>
      </c>
      <c r="N3949">
        <v>35082</v>
      </c>
      <c r="O3949" s="436">
        <f t="shared" si="157"/>
        <v>1859346</v>
      </c>
      <c r="P3949" s="89">
        <v>1057</v>
      </c>
      <c r="Q3949" s="422" t="s">
        <v>47</v>
      </c>
      <c r="R3949" s="422" t="s">
        <v>1869</v>
      </c>
      <c r="S3949" s="422" t="s">
        <v>1861</v>
      </c>
      <c r="T3949" t="s">
        <v>4825</v>
      </c>
      <c r="U3949" s="422" t="s">
        <v>1953</v>
      </c>
      <c r="V3949" s="422" t="s">
        <v>2813</v>
      </c>
    </row>
    <row r="3950" spans="1:22" ht="15.75" thickBot="1" x14ac:dyDescent="0.3">
      <c r="A3950" s="422" t="s">
        <v>2946</v>
      </c>
      <c r="B3950" s="422" t="s">
        <v>2946</v>
      </c>
      <c r="C3950" s="424" t="str">
        <f t="shared" si="156"/>
        <v>TRE - Transportes Rodoviários de Évora, S.A.</v>
      </c>
      <c r="D3950" s="422" t="s">
        <v>629</v>
      </c>
      <c r="F3950" s="432" t="s">
        <v>620</v>
      </c>
      <c r="G3950" s="435">
        <v>2010</v>
      </c>
      <c r="H3950" s="313" t="s">
        <v>734</v>
      </c>
      <c r="I3950" s="311" t="str">
        <f t="shared" si="155"/>
        <v>Pesado de Passageiros M3:  : Gasóleo : E5</v>
      </c>
      <c r="J3950">
        <v>53</v>
      </c>
      <c r="K3950" s="422">
        <v>2023</v>
      </c>
      <c r="L3950">
        <v>10941.95</v>
      </c>
      <c r="M3950" t="s">
        <v>630</v>
      </c>
      <c r="N3950">
        <v>31564</v>
      </c>
      <c r="O3950" s="436">
        <f t="shared" si="157"/>
        <v>1672892</v>
      </c>
      <c r="P3950" s="89">
        <v>1058</v>
      </c>
      <c r="Q3950" s="422" t="s">
        <v>47</v>
      </c>
      <c r="R3950" s="422" t="s">
        <v>1869</v>
      </c>
      <c r="S3950" s="422" t="s">
        <v>1861</v>
      </c>
      <c r="T3950" t="s">
        <v>4825</v>
      </c>
      <c r="U3950" s="422" t="s">
        <v>1953</v>
      </c>
      <c r="V3950" s="422" t="s">
        <v>2813</v>
      </c>
    </row>
    <row r="3951" spans="1:22" ht="15.75" thickBot="1" x14ac:dyDescent="0.3">
      <c r="A3951" s="422" t="s">
        <v>2946</v>
      </c>
      <c r="B3951" s="422" t="s">
        <v>2946</v>
      </c>
      <c r="C3951" s="424" t="str">
        <f t="shared" si="156"/>
        <v>TRE - Transportes Rodoviários de Évora, S.A.</v>
      </c>
      <c r="D3951" s="422" t="s">
        <v>629</v>
      </c>
      <c r="F3951" s="432" t="s">
        <v>620</v>
      </c>
      <c r="G3951" s="435">
        <v>2010</v>
      </c>
      <c r="H3951" s="313" t="s">
        <v>734</v>
      </c>
      <c r="I3951" s="311" t="str">
        <f t="shared" si="155"/>
        <v>Pesado de Passageiros M3:  : Gasóleo : E5</v>
      </c>
      <c r="J3951">
        <v>53</v>
      </c>
      <c r="K3951" s="422">
        <v>2023</v>
      </c>
      <c r="L3951">
        <v>10865.070000000002</v>
      </c>
      <c r="M3951" t="s">
        <v>630</v>
      </c>
      <c r="N3951">
        <v>27954</v>
      </c>
      <c r="O3951" s="436">
        <f t="shared" si="157"/>
        <v>1481562</v>
      </c>
      <c r="P3951" s="89">
        <v>1059</v>
      </c>
      <c r="Q3951" s="422" t="s">
        <v>47</v>
      </c>
      <c r="R3951" s="422" t="s">
        <v>1869</v>
      </c>
      <c r="S3951" s="422" t="s">
        <v>1861</v>
      </c>
      <c r="T3951" t="s">
        <v>4825</v>
      </c>
      <c r="U3951" s="422" t="s">
        <v>1953</v>
      </c>
      <c r="V3951" s="422" t="s">
        <v>2813</v>
      </c>
    </row>
    <row r="3952" spans="1:22" ht="15.75" thickBot="1" x14ac:dyDescent="0.3">
      <c r="A3952" s="422" t="s">
        <v>2946</v>
      </c>
      <c r="B3952" s="422" t="s">
        <v>2946</v>
      </c>
      <c r="C3952" s="424" t="str">
        <f t="shared" si="156"/>
        <v>TRE - Transportes Rodoviários de Évora, S.A.</v>
      </c>
      <c r="D3952" s="422" t="s">
        <v>629</v>
      </c>
      <c r="F3952" s="432" t="s">
        <v>620</v>
      </c>
      <c r="G3952" s="435">
        <v>2010</v>
      </c>
      <c r="H3952" s="313" t="s">
        <v>734</v>
      </c>
      <c r="I3952" s="311" t="str">
        <f t="shared" si="155"/>
        <v>Pesado de Passageiros M3:  : Gasóleo : E5</v>
      </c>
      <c r="J3952">
        <v>53</v>
      </c>
      <c r="K3952" s="422">
        <v>2023</v>
      </c>
      <c r="L3952">
        <v>10060.83</v>
      </c>
      <c r="M3952" t="s">
        <v>630</v>
      </c>
      <c r="N3952">
        <v>30562</v>
      </c>
      <c r="O3952" s="436">
        <f t="shared" si="157"/>
        <v>1619786</v>
      </c>
      <c r="P3952" s="89">
        <v>1060</v>
      </c>
      <c r="Q3952" s="422" t="s">
        <v>47</v>
      </c>
      <c r="R3952" s="422" t="s">
        <v>1869</v>
      </c>
      <c r="S3952" s="422" t="s">
        <v>1861</v>
      </c>
      <c r="T3952" t="s">
        <v>4825</v>
      </c>
      <c r="U3952" s="422" t="s">
        <v>1953</v>
      </c>
      <c r="V3952" s="422" t="s">
        <v>2813</v>
      </c>
    </row>
    <row r="3953" spans="1:22" ht="15.75" thickBot="1" x14ac:dyDescent="0.3">
      <c r="A3953" s="422" t="s">
        <v>2946</v>
      </c>
      <c r="B3953" s="422" t="s">
        <v>2946</v>
      </c>
      <c r="C3953" s="424" t="str">
        <f t="shared" si="156"/>
        <v>TRE - Transportes Rodoviários de Évora, S.A.</v>
      </c>
      <c r="D3953" s="422" t="s">
        <v>629</v>
      </c>
      <c r="F3953" s="432" t="s">
        <v>620</v>
      </c>
      <c r="G3953" s="435">
        <v>2010</v>
      </c>
      <c r="H3953" s="313" t="s">
        <v>734</v>
      </c>
      <c r="I3953" s="311" t="str">
        <f t="shared" si="155"/>
        <v>Pesado de Passageiros M3:  : Gasóleo : E5</v>
      </c>
      <c r="J3953">
        <v>53</v>
      </c>
      <c r="K3953" s="422">
        <v>2023</v>
      </c>
      <c r="L3953">
        <v>10531.98</v>
      </c>
      <c r="M3953" t="s">
        <v>630</v>
      </c>
      <c r="N3953">
        <v>29148</v>
      </c>
      <c r="O3953" s="436">
        <f t="shared" si="157"/>
        <v>1544844</v>
      </c>
      <c r="P3953" s="89">
        <v>1061</v>
      </c>
      <c r="Q3953" s="422" t="s">
        <v>47</v>
      </c>
      <c r="R3953" s="422" t="s">
        <v>1869</v>
      </c>
      <c r="S3953" s="422" t="s">
        <v>1861</v>
      </c>
      <c r="T3953" t="s">
        <v>4825</v>
      </c>
      <c r="U3953" s="422" t="s">
        <v>1953</v>
      </c>
      <c r="V3953" s="422" t="s">
        <v>2813</v>
      </c>
    </row>
    <row r="3954" spans="1:22" ht="15.75" thickBot="1" x14ac:dyDescent="0.3">
      <c r="A3954" s="422" t="s">
        <v>2946</v>
      </c>
      <c r="B3954" s="422" t="s">
        <v>2946</v>
      </c>
      <c r="C3954" s="424" t="str">
        <f t="shared" si="156"/>
        <v>TRE - Transportes Rodoviários de Évora, S.A.</v>
      </c>
      <c r="D3954" s="422" t="s">
        <v>629</v>
      </c>
      <c r="F3954" s="432" t="s">
        <v>620</v>
      </c>
      <c r="G3954" s="435">
        <v>2010</v>
      </c>
      <c r="H3954" s="313" t="s">
        <v>734</v>
      </c>
      <c r="I3954" s="311" t="str">
        <f t="shared" si="155"/>
        <v>Pesado de Passageiros M3:  : Gasóleo : E5</v>
      </c>
      <c r="J3954">
        <v>53</v>
      </c>
      <c r="K3954" s="422">
        <v>2023</v>
      </c>
      <c r="L3954">
        <v>9368.4499999999989</v>
      </c>
      <c r="M3954" t="s">
        <v>630</v>
      </c>
      <c r="N3954">
        <v>25648</v>
      </c>
      <c r="O3954" s="436">
        <f t="shared" si="157"/>
        <v>1359344</v>
      </c>
      <c r="P3954" s="89">
        <v>1062</v>
      </c>
      <c r="Q3954" s="422" t="s">
        <v>47</v>
      </c>
      <c r="R3954" s="422" t="s">
        <v>1869</v>
      </c>
      <c r="S3954" s="422" t="s">
        <v>1861</v>
      </c>
      <c r="T3954" t="s">
        <v>4825</v>
      </c>
      <c r="U3954" s="422" t="s">
        <v>1953</v>
      </c>
      <c r="V3954" s="422" t="s">
        <v>2813</v>
      </c>
    </row>
    <row r="3955" spans="1:22" ht="15.75" thickBot="1" x14ac:dyDescent="0.3">
      <c r="A3955" s="422" t="s">
        <v>2946</v>
      </c>
      <c r="B3955" s="422" t="s">
        <v>2946</v>
      </c>
      <c r="C3955" s="424" t="str">
        <f t="shared" si="156"/>
        <v>TRE - Transportes Rodoviários de Évora, S.A.</v>
      </c>
      <c r="D3955" s="422" t="s">
        <v>629</v>
      </c>
      <c r="F3955" s="432" t="s">
        <v>620</v>
      </c>
      <c r="G3955" s="435">
        <v>2010</v>
      </c>
      <c r="H3955" s="313" t="s">
        <v>734</v>
      </c>
      <c r="I3955" s="311" t="str">
        <f t="shared" si="155"/>
        <v>Pesado de Passageiros M3:  : Gasóleo : E5</v>
      </c>
      <c r="J3955">
        <v>53</v>
      </c>
      <c r="K3955" s="422">
        <v>2023</v>
      </c>
      <c r="L3955">
        <v>9622.25</v>
      </c>
      <c r="M3955" t="s">
        <v>630</v>
      </c>
      <c r="N3955">
        <v>29095</v>
      </c>
      <c r="O3955" s="436">
        <f t="shared" si="157"/>
        <v>1542035</v>
      </c>
      <c r="P3955" s="89">
        <v>1063</v>
      </c>
      <c r="Q3955" s="422" t="s">
        <v>47</v>
      </c>
      <c r="R3955" s="422" t="s">
        <v>1869</v>
      </c>
      <c r="S3955" s="422" t="s">
        <v>1861</v>
      </c>
      <c r="T3955" t="s">
        <v>4825</v>
      </c>
      <c r="U3955" s="422" t="s">
        <v>1953</v>
      </c>
      <c r="V3955" s="422" t="s">
        <v>2813</v>
      </c>
    </row>
    <row r="3956" spans="1:22" ht="15.75" thickBot="1" x14ac:dyDescent="0.3">
      <c r="A3956" s="422" t="s">
        <v>2946</v>
      </c>
      <c r="B3956" s="422" t="s">
        <v>2946</v>
      </c>
      <c r="C3956" s="424" t="str">
        <f t="shared" si="156"/>
        <v>TRE - Transportes Rodoviários de Évora, S.A.</v>
      </c>
      <c r="D3956" s="422" t="s">
        <v>629</v>
      </c>
      <c r="F3956" s="432" t="s">
        <v>620</v>
      </c>
      <c r="G3956" s="435">
        <v>2008</v>
      </c>
      <c r="H3956" s="313" t="s">
        <v>731</v>
      </c>
      <c r="I3956" s="311" t="str">
        <f t="shared" si="155"/>
        <v>Pesado de Passageiros M3:  : Gasóleo : E4</v>
      </c>
      <c r="J3956">
        <v>41</v>
      </c>
      <c r="K3956" s="422">
        <v>2023</v>
      </c>
      <c r="L3956">
        <v>10774.589999999998</v>
      </c>
      <c r="M3956" t="s">
        <v>630</v>
      </c>
      <c r="N3956">
        <v>23165</v>
      </c>
      <c r="O3956" s="436">
        <f t="shared" si="157"/>
        <v>949765</v>
      </c>
      <c r="P3956" s="89">
        <v>1064</v>
      </c>
      <c r="Q3956" s="422" t="s">
        <v>47</v>
      </c>
      <c r="R3956" s="422" t="s">
        <v>1869</v>
      </c>
      <c r="S3956" s="422" t="s">
        <v>1861</v>
      </c>
      <c r="T3956" t="s">
        <v>4825</v>
      </c>
      <c r="U3956" s="422" t="s">
        <v>1953</v>
      </c>
      <c r="V3956" s="422" t="s">
        <v>2813</v>
      </c>
    </row>
    <row r="3957" spans="1:22" ht="15.75" thickBot="1" x14ac:dyDescent="0.3">
      <c r="A3957" s="422" t="s">
        <v>2946</v>
      </c>
      <c r="B3957" s="422" t="s">
        <v>2946</v>
      </c>
      <c r="C3957" s="424" t="str">
        <f t="shared" si="156"/>
        <v>TRE - Transportes Rodoviários de Évora, S.A.</v>
      </c>
      <c r="D3957" s="422" t="s">
        <v>629</v>
      </c>
      <c r="F3957" s="432" t="s">
        <v>620</v>
      </c>
      <c r="G3957" s="435">
        <v>2019</v>
      </c>
      <c r="H3957" s="313" t="s">
        <v>733</v>
      </c>
      <c r="I3957" s="311" t="str">
        <f t="shared" si="155"/>
        <v>Pesado de Passageiros M3:  : Gasóleo : E6</v>
      </c>
      <c r="J3957">
        <v>72</v>
      </c>
      <c r="K3957" s="422">
        <v>2023</v>
      </c>
      <c r="L3957">
        <v>8157.79</v>
      </c>
      <c r="M3957" t="s">
        <v>630</v>
      </c>
      <c r="N3957">
        <v>23953</v>
      </c>
      <c r="O3957" s="436">
        <f t="shared" si="157"/>
        <v>1724616</v>
      </c>
      <c r="P3957" s="89">
        <v>1065</v>
      </c>
      <c r="Q3957" s="422" t="s">
        <v>47</v>
      </c>
      <c r="R3957" s="422" t="s">
        <v>1869</v>
      </c>
      <c r="S3957" s="422" t="s">
        <v>1861</v>
      </c>
      <c r="T3957" t="s">
        <v>4825</v>
      </c>
      <c r="U3957" s="422" t="s">
        <v>1953</v>
      </c>
      <c r="V3957" s="422" t="s">
        <v>2813</v>
      </c>
    </row>
    <row r="3958" spans="1:22" ht="15.75" thickBot="1" x14ac:dyDescent="0.3">
      <c r="A3958" s="422" t="s">
        <v>2946</v>
      </c>
      <c r="B3958" s="422" t="s">
        <v>2946</v>
      </c>
      <c r="C3958" s="424" t="str">
        <f t="shared" si="156"/>
        <v>TRE - Transportes Rodoviários de Évora, S.A.</v>
      </c>
      <c r="D3958" s="422" t="s">
        <v>629</v>
      </c>
      <c r="F3958" s="432" t="s">
        <v>620</v>
      </c>
      <c r="G3958" s="435">
        <v>2005</v>
      </c>
      <c r="H3958" s="313" t="s">
        <v>732</v>
      </c>
      <c r="I3958" s="311" t="str">
        <f t="shared" ref="I3958:I4021" si="158">D3958&amp;": "&amp;E3958&amp;" : "&amp;F3958&amp;" : "&amp;H3958</f>
        <v>Pesado de Passageiros M3:  : Gasóleo : E3</v>
      </c>
      <c r="J3958">
        <v>24</v>
      </c>
      <c r="K3958" s="422">
        <v>2023</v>
      </c>
      <c r="L3958">
        <v>124.72</v>
      </c>
      <c r="M3958" t="s">
        <v>630</v>
      </c>
      <c r="N3958">
        <v>3818</v>
      </c>
      <c r="O3958" s="436">
        <f t="shared" si="157"/>
        <v>91632</v>
      </c>
      <c r="P3958" s="89">
        <v>1066</v>
      </c>
      <c r="Q3958" s="422" t="s">
        <v>47</v>
      </c>
      <c r="R3958" s="422" t="s">
        <v>1869</v>
      </c>
      <c r="S3958" s="422" t="s">
        <v>1861</v>
      </c>
      <c r="T3958" t="s">
        <v>4825</v>
      </c>
      <c r="U3958" s="422" t="s">
        <v>1953</v>
      </c>
      <c r="V3958" s="422" t="s">
        <v>2813</v>
      </c>
    </row>
    <row r="3959" spans="1:22" ht="15.75" thickBot="1" x14ac:dyDescent="0.3">
      <c r="A3959" t="s">
        <v>4661</v>
      </c>
      <c r="B3959" t="s">
        <v>4661</v>
      </c>
      <c r="C3959" s="424" t="str">
        <f t="shared" si="156"/>
        <v>E-Bus, S.A.</v>
      </c>
      <c r="D3959" s="422" t="s">
        <v>629</v>
      </c>
      <c r="F3959" s="432" t="s">
        <v>4827</v>
      </c>
      <c r="G3959" s="435">
        <v>2023</v>
      </c>
      <c r="H3959" s="313" t="s">
        <v>5040</v>
      </c>
      <c r="I3959" s="311" t="str">
        <f t="shared" si="158"/>
        <v>Pesado de Passageiros M3:  : Eletrico Baterias : Eletrico</v>
      </c>
      <c r="J3959">
        <v>33</v>
      </c>
      <c r="K3959" s="422">
        <v>2023</v>
      </c>
      <c r="N3959">
        <v>14212</v>
      </c>
      <c r="O3959" s="436">
        <f t="shared" si="157"/>
        <v>468996</v>
      </c>
      <c r="P3959" s="89">
        <v>1101</v>
      </c>
      <c r="Q3959" s="422" t="s">
        <v>47</v>
      </c>
      <c r="R3959" s="422" t="s">
        <v>1869</v>
      </c>
      <c r="S3959" s="422" t="s">
        <v>1861</v>
      </c>
      <c r="T3959" t="s">
        <v>4825</v>
      </c>
      <c r="U3959" s="422" t="s">
        <v>1953</v>
      </c>
      <c r="V3959" s="422" t="s">
        <v>2813</v>
      </c>
    </row>
    <row r="3960" spans="1:22" ht="15.75" thickBot="1" x14ac:dyDescent="0.3">
      <c r="A3960" t="s">
        <v>4661</v>
      </c>
      <c r="B3960" t="s">
        <v>4661</v>
      </c>
      <c r="C3960" s="424" t="str">
        <f t="shared" si="156"/>
        <v>E-Bus, S.A.</v>
      </c>
      <c r="D3960" s="422" t="s">
        <v>629</v>
      </c>
      <c r="F3960" s="432" t="s">
        <v>4827</v>
      </c>
      <c r="G3960" s="435">
        <v>2023</v>
      </c>
      <c r="H3960" s="313" t="s">
        <v>5040</v>
      </c>
      <c r="I3960" s="311" t="str">
        <f t="shared" si="158"/>
        <v>Pesado de Passageiros M3:  : Eletrico Baterias : Eletrico</v>
      </c>
      <c r="J3960">
        <v>33</v>
      </c>
      <c r="K3960" s="422">
        <v>2023</v>
      </c>
      <c r="N3960">
        <v>13277</v>
      </c>
      <c r="O3960" s="436">
        <f t="shared" si="157"/>
        <v>438141</v>
      </c>
      <c r="P3960" s="89">
        <v>1102</v>
      </c>
      <c r="Q3960" s="422" t="s">
        <v>47</v>
      </c>
      <c r="R3960" s="422" t="s">
        <v>1869</v>
      </c>
      <c r="S3960" s="422" t="s">
        <v>1861</v>
      </c>
      <c r="T3960" t="s">
        <v>4825</v>
      </c>
      <c r="U3960" s="422" t="s">
        <v>1953</v>
      </c>
      <c r="V3960" s="422" t="s">
        <v>2813</v>
      </c>
    </row>
    <row r="3961" spans="1:22" ht="15.75" thickBot="1" x14ac:dyDescent="0.3">
      <c r="A3961" t="s">
        <v>4661</v>
      </c>
      <c r="B3961" t="s">
        <v>4661</v>
      </c>
      <c r="C3961" s="424" t="str">
        <f t="shared" si="156"/>
        <v>E-Bus, S.A.</v>
      </c>
      <c r="D3961" s="422" t="s">
        <v>629</v>
      </c>
      <c r="F3961" s="432" t="s">
        <v>4827</v>
      </c>
      <c r="G3961" s="435">
        <v>2023</v>
      </c>
      <c r="H3961" s="313" t="s">
        <v>5040</v>
      </c>
      <c r="I3961" s="311" t="str">
        <f t="shared" si="158"/>
        <v>Pesado de Passageiros M3:  : Eletrico Baterias : Eletrico</v>
      </c>
      <c r="J3961">
        <v>33</v>
      </c>
      <c r="K3961" s="422">
        <v>2023</v>
      </c>
      <c r="N3961">
        <v>13914</v>
      </c>
      <c r="O3961" s="436">
        <f t="shared" si="157"/>
        <v>459162</v>
      </c>
      <c r="P3961" s="89">
        <v>1103</v>
      </c>
      <c r="Q3961" s="422" t="s">
        <v>47</v>
      </c>
      <c r="R3961" s="422" t="s">
        <v>1869</v>
      </c>
      <c r="S3961" s="422" t="s">
        <v>1861</v>
      </c>
      <c r="T3961" t="s">
        <v>4825</v>
      </c>
      <c r="U3961" s="422" t="s">
        <v>1953</v>
      </c>
      <c r="V3961" s="422" t="s">
        <v>2813</v>
      </c>
    </row>
    <row r="3962" spans="1:22" ht="15.75" thickBot="1" x14ac:dyDescent="0.3">
      <c r="A3962" t="s">
        <v>4661</v>
      </c>
      <c r="B3962" t="s">
        <v>4661</v>
      </c>
      <c r="C3962" s="424" t="str">
        <f t="shared" si="156"/>
        <v>E-Bus, S.A.</v>
      </c>
      <c r="D3962" s="422" t="s">
        <v>629</v>
      </c>
      <c r="F3962" s="432" t="s">
        <v>4827</v>
      </c>
      <c r="G3962" s="435">
        <v>2023</v>
      </c>
      <c r="H3962" s="313" t="s">
        <v>5040</v>
      </c>
      <c r="I3962" s="311" t="str">
        <f t="shared" si="158"/>
        <v>Pesado de Passageiros M3:  : Eletrico Baterias : Eletrico</v>
      </c>
      <c r="J3962">
        <v>33</v>
      </c>
      <c r="K3962" s="422">
        <v>2023</v>
      </c>
      <c r="N3962">
        <v>12528</v>
      </c>
      <c r="O3962" s="436">
        <f t="shared" si="157"/>
        <v>413424</v>
      </c>
      <c r="P3962" s="89">
        <v>1104</v>
      </c>
      <c r="Q3962" s="422" t="s">
        <v>47</v>
      </c>
      <c r="R3962" s="422" t="s">
        <v>1869</v>
      </c>
      <c r="S3962" s="422" t="s">
        <v>1861</v>
      </c>
      <c r="T3962" t="s">
        <v>4825</v>
      </c>
      <c r="U3962" s="422" t="s">
        <v>1953</v>
      </c>
      <c r="V3962" s="422" t="s">
        <v>2813</v>
      </c>
    </row>
    <row r="3963" spans="1:22" ht="15.75" thickBot="1" x14ac:dyDescent="0.3">
      <c r="A3963" t="s">
        <v>4661</v>
      </c>
      <c r="B3963" t="s">
        <v>4661</v>
      </c>
      <c r="C3963" s="424" t="str">
        <f t="shared" si="156"/>
        <v>E-Bus, S.A.</v>
      </c>
      <c r="D3963" s="422" t="s">
        <v>629</v>
      </c>
      <c r="F3963" s="432" t="s">
        <v>4827</v>
      </c>
      <c r="G3963" s="435">
        <v>2023</v>
      </c>
      <c r="H3963" s="313" t="s">
        <v>5040</v>
      </c>
      <c r="I3963" s="311" t="str">
        <f t="shared" si="158"/>
        <v>Pesado de Passageiros M3:  : Eletrico Baterias : Eletrico</v>
      </c>
      <c r="J3963">
        <v>33</v>
      </c>
      <c r="K3963" s="422">
        <v>2023</v>
      </c>
      <c r="N3963">
        <v>11446</v>
      </c>
      <c r="O3963" s="436">
        <f t="shared" si="157"/>
        <v>377718</v>
      </c>
      <c r="P3963" s="89">
        <v>1105</v>
      </c>
      <c r="Q3963" s="422" t="s">
        <v>47</v>
      </c>
      <c r="R3963" s="422" t="s">
        <v>1869</v>
      </c>
      <c r="S3963" s="422" t="s">
        <v>1861</v>
      </c>
      <c r="T3963" t="s">
        <v>4825</v>
      </c>
      <c r="U3963" s="422" t="s">
        <v>1953</v>
      </c>
      <c r="V3963" s="422" t="s">
        <v>2813</v>
      </c>
    </row>
    <row r="3964" spans="1:22" ht="15.75" thickBot="1" x14ac:dyDescent="0.3">
      <c r="A3964" t="s">
        <v>4661</v>
      </c>
      <c r="B3964" t="s">
        <v>4661</v>
      </c>
      <c r="C3964" s="424" t="str">
        <f t="shared" si="156"/>
        <v>E-Bus, S.A.</v>
      </c>
      <c r="D3964" s="422" t="s">
        <v>629</v>
      </c>
      <c r="F3964" s="432" t="s">
        <v>4827</v>
      </c>
      <c r="G3964" s="435">
        <v>2023</v>
      </c>
      <c r="H3964" s="313" t="s">
        <v>5040</v>
      </c>
      <c r="I3964" s="311" t="str">
        <f t="shared" si="158"/>
        <v>Pesado de Passageiros M3:  : Eletrico Baterias : Eletrico</v>
      </c>
      <c r="J3964">
        <v>33</v>
      </c>
      <c r="K3964" s="422">
        <v>2023</v>
      </c>
      <c r="N3964">
        <v>11859</v>
      </c>
      <c r="O3964" s="436">
        <f t="shared" si="157"/>
        <v>391347</v>
      </c>
      <c r="P3964" s="89">
        <v>1106</v>
      </c>
      <c r="Q3964" s="422" t="s">
        <v>47</v>
      </c>
      <c r="R3964" s="422" t="s">
        <v>1869</v>
      </c>
      <c r="S3964" s="422" t="s">
        <v>1861</v>
      </c>
      <c r="T3964" t="s">
        <v>4825</v>
      </c>
      <c r="U3964" s="422" t="s">
        <v>1953</v>
      </c>
      <c r="V3964" s="422" t="s">
        <v>2813</v>
      </c>
    </row>
    <row r="3965" spans="1:22" ht="15.75" thickBot="1" x14ac:dyDescent="0.3">
      <c r="A3965" t="s">
        <v>4661</v>
      </c>
      <c r="B3965" t="s">
        <v>4661</v>
      </c>
      <c r="C3965" s="424" t="str">
        <f t="shared" si="156"/>
        <v>E-Bus, S.A.</v>
      </c>
      <c r="D3965" s="422" t="s">
        <v>629</v>
      </c>
      <c r="F3965" s="432" t="s">
        <v>4827</v>
      </c>
      <c r="G3965" s="435">
        <v>2023</v>
      </c>
      <c r="H3965" s="313" t="s">
        <v>5040</v>
      </c>
      <c r="I3965" s="311" t="str">
        <f t="shared" si="158"/>
        <v>Pesado de Passageiros M3:  : Eletrico Baterias : Eletrico</v>
      </c>
      <c r="J3965">
        <v>33</v>
      </c>
      <c r="K3965" s="422">
        <v>2023</v>
      </c>
      <c r="N3965" s="131">
        <v>10866</v>
      </c>
      <c r="O3965" s="436">
        <f t="shared" si="157"/>
        <v>358578</v>
      </c>
      <c r="P3965" s="89">
        <v>1107</v>
      </c>
      <c r="Q3965" s="422" t="s">
        <v>47</v>
      </c>
      <c r="R3965" s="422" t="s">
        <v>1869</v>
      </c>
      <c r="S3965" s="422" t="s">
        <v>1861</v>
      </c>
      <c r="T3965" t="s">
        <v>4825</v>
      </c>
      <c r="U3965" s="422" t="s">
        <v>1953</v>
      </c>
      <c r="V3965" s="422" t="s">
        <v>2813</v>
      </c>
    </row>
    <row r="3966" spans="1:22" ht="15.75" thickBot="1" x14ac:dyDescent="0.3">
      <c r="A3966" t="s">
        <v>4661</v>
      </c>
      <c r="B3966" t="s">
        <v>4661</v>
      </c>
      <c r="C3966" s="424" t="str">
        <f t="shared" si="156"/>
        <v>E-Bus, S.A.</v>
      </c>
      <c r="D3966" s="422" t="s">
        <v>629</v>
      </c>
      <c r="F3966" s="432" t="s">
        <v>4827</v>
      </c>
      <c r="G3966" s="435">
        <v>2023</v>
      </c>
      <c r="H3966" s="313" t="s">
        <v>5040</v>
      </c>
      <c r="I3966" s="311" t="str">
        <f t="shared" si="158"/>
        <v>Pesado de Passageiros M3:  : Eletrico Baterias : Eletrico</v>
      </c>
      <c r="J3966">
        <v>33</v>
      </c>
      <c r="K3966" s="422">
        <v>2023</v>
      </c>
      <c r="N3966" s="131">
        <v>10821</v>
      </c>
      <c r="O3966" s="436">
        <f t="shared" si="157"/>
        <v>357093</v>
      </c>
      <c r="P3966" s="89">
        <v>1108</v>
      </c>
      <c r="Q3966" s="422" t="s">
        <v>47</v>
      </c>
      <c r="R3966" s="422" t="s">
        <v>1869</v>
      </c>
      <c r="S3966" s="422" t="s">
        <v>1861</v>
      </c>
      <c r="T3966" t="s">
        <v>4825</v>
      </c>
      <c r="U3966" s="422" t="s">
        <v>1953</v>
      </c>
      <c r="V3966" s="422" t="s">
        <v>2813</v>
      </c>
    </row>
    <row r="3967" spans="1:22" ht="15.75" thickBot="1" x14ac:dyDescent="0.3">
      <c r="A3967" t="s">
        <v>4661</v>
      </c>
      <c r="B3967" t="s">
        <v>4661</v>
      </c>
      <c r="C3967" s="424" t="str">
        <f t="shared" si="156"/>
        <v>E-Bus, S.A.</v>
      </c>
      <c r="D3967" s="422" t="s">
        <v>629</v>
      </c>
      <c r="F3967" s="432" t="s">
        <v>4827</v>
      </c>
      <c r="G3967" s="435">
        <v>2023</v>
      </c>
      <c r="H3967" s="313" t="s">
        <v>5040</v>
      </c>
      <c r="I3967" s="311" t="str">
        <f t="shared" si="158"/>
        <v>Pesado de Passageiros M3:  : Eletrico Baterias : Eletrico</v>
      </c>
      <c r="J3967">
        <v>33</v>
      </c>
      <c r="K3967" s="422">
        <v>2023</v>
      </c>
      <c r="N3967" s="131">
        <v>7710</v>
      </c>
      <c r="O3967" s="436">
        <f t="shared" si="157"/>
        <v>254430</v>
      </c>
      <c r="P3967" s="89">
        <v>1109</v>
      </c>
      <c r="Q3967" s="422" t="s">
        <v>47</v>
      </c>
      <c r="R3967" s="422" t="s">
        <v>1869</v>
      </c>
      <c r="S3967" s="422" t="s">
        <v>1861</v>
      </c>
      <c r="T3967" t="s">
        <v>4825</v>
      </c>
      <c r="U3967" s="422" t="s">
        <v>1953</v>
      </c>
      <c r="V3967" s="422" t="s">
        <v>2813</v>
      </c>
    </row>
    <row r="3968" spans="1:22" ht="15.75" thickBot="1" x14ac:dyDescent="0.3">
      <c r="A3968" t="s">
        <v>4661</v>
      </c>
      <c r="B3968" t="s">
        <v>4661</v>
      </c>
      <c r="C3968" s="424" t="str">
        <f t="shared" si="156"/>
        <v>E-Bus, S.A.</v>
      </c>
      <c r="D3968" s="422" t="s">
        <v>629</v>
      </c>
      <c r="F3968" s="432" t="s">
        <v>4827</v>
      </c>
      <c r="G3968" s="435">
        <v>2023</v>
      </c>
      <c r="H3968" s="313" t="s">
        <v>5040</v>
      </c>
      <c r="I3968" s="311" t="str">
        <f t="shared" si="158"/>
        <v>Pesado de Passageiros M3:  : Eletrico Baterias : Eletrico</v>
      </c>
      <c r="J3968">
        <v>64</v>
      </c>
      <c r="K3968" s="422">
        <v>2023</v>
      </c>
      <c r="N3968" s="131">
        <v>13596</v>
      </c>
      <c r="O3968" s="436">
        <f t="shared" si="157"/>
        <v>870144</v>
      </c>
      <c r="P3968" s="89">
        <v>1151</v>
      </c>
      <c r="Q3968" s="422" t="s">
        <v>47</v>
      </c>
      <c r="R3968" s="422" t="s">
        <v>1869</v>
      </c>
      <c r="S3968" s="422" t="s">
        <v>1861</v>
      </c>
      <c r="T3968" t="s">
        <v>4825</v>
      </c>
      <c r="U3968" s="422" t="s">
        <v>1953</v>
      </c>
      <c r="V3968" s="422" t="s">
        <v>2813</v>
      </c>
    </row>
    <row r="3969" spans="1:22" ht="15.75" thickBot="1" x14ac:dyDescent="0.3">
      <c r="A3969" t="s">
        <v>4661</v>
      </c>
      <c r="B3969" t="s">
        <v>4661</v>
      </c>
      <c r="C3969" s="424" t="str">
        <f t="shared" si="156"/>
        <v>E-Bus, S.A.</v>
      </c>
      <c r="D3969" s="422" t="s">
        <v>629</v>
      </c>
      <c r="F3969" s="432" t="s">
        <v>4827</v>
      </c>
      <c r="G3969" s="435">
        <v>2023</v>
      </c>
      <c r="H3969" s="313" t="s">
        <v>5040</v>
      </c>
      <c r="I3969" s="311" t="str">
        <f t="shared" si="158"/>
        <v>Pesado de Passageiros M3:  : Eletrico Baterias : Eletrico</v>
      </c>
      <c r="J3969">
        <v>64</v>
      </c>
      <c r="K3969" s="422">
        <v>2023</v>
      </c>
      <c r="N3969" s="131">
        <v>13812</v>
      </c>
      <c r="O3969" s="436">
        <f t="shared" si="157"/>
        <v>883968</v>
      </c>
      <c r="P3969" s="89">
        <v>1152</v>
      </c>
      <c r="Q3969" s="422" t="s">
        <v>47</v>
      </c>
      <c r="R3969" s="422" t="s">
        <v>1869</v>
      </c>
      <c r="S3969" s="422" t="s">
        <v>1861</v>
      </c>
      <c r="T3969" t="s">
        <v>4825</v>
      </c>
      <c r="U3969" s="422" t="s">
        <v>1953</v>
      </c>
      <c r="V3969" s="422" t="s">
        <v>2813</v>
      </c>
    </row>
    <row r="3970" spans="1:22" ht="15.75" thickBot="1" x14ac:dyDescent="0.3">
      <c r="A3970" t="s">
        <v>4661</v>
      </c>
      <c r="B3970" t="s">
        <v>4661</v>
      </c>
      <c r="C3970" s="424" t="str">
        <f t="shared" si="156"/>
        <v>E-Bus, S.A.</v>
      </c>
      <c r="D3970" s="422" t="s">
        <v>629</v>
      </c>
      <c r="F3970" s="432" t="s">
        <v>4827</v>
      </c>
      <c r="G3970" s="435">
        <v>2023</v>
      </c>
      <c r="H3970" s="313" t="s">
        <v>5040</v>
      </c>
      <c r="I3970" s="311" t="str">
        <f t="shared" si="158"/>
        <v>Pesado de Passageiros M3:  : Eletrico Baterias : Eletrico</v>
      </c>
      <c r="J3970">
        <v>64</v>
      </c>
      <c r="K3970" s="422">
        <v>2023</v>
      </c>
      <c r="N3970" s="131">
        <v>14630</v>
      </c>
      <c r="O3970" s="436">
        <f t="shared" si="157"/>
        <v>936320</v>
      </c>
      <c r="P3970" s="89">
        <v>1153</v>
      </c>
      <c r="Q3970" s="422" t="s">
        <v>47</v>
      </c>
      <c r="R3970" s="422" t="s">
        <v>1869</v>
      </c>
      <c r="S3970" s="422" t="s">
        <v>1861</v>
      </c>
      <c r="T3970" t="s">
        <v>4825</v>
      </c>
      <c r="U3970" s="422" t="s">
        <v>1953</v>
      </c>
      <c r="V3970" s="422" t="s">
        <v>2813</v>
      </c>
    </row>
    <row r="3971" spans="1:22" ht="15.75" thickBot="1" x14ac:dyDescent="0.3">
      <c r="A3971" t="s">
        <v>4661</v>
      </c>
      <c r="B3971" t="s">
        <v>4661</v>
      </c>
      <c r="C3971" s="424" t="str">
        <f t="shared" si="156"/>
        <v>E-Bus, S.A.</v>
      </c>
      <c r="D3971" s="422" t="s">
        <v>629</v>
      </c>
      <c r="F3971" s="432" t="s">
        <v>4827</v>
      </c>
      <c r="G3971" s="435">
        <v>2023</v>
      </c>
      <c r="H3971" s="313" t="s">
        <v>5040</v>
      </c>
      <c r="I3971" s="311" t="str">
        <f t="shared" si="158"/>
        <v>Pesado de Passageiros M3:  : Eletrico Baterias : Eletrico</v>
      </c>
      <c r="J3971">
        <v>64</v>
      </c>
      <c r="K3971" s="422">
        <v>2023</v>
      </c>
      <c r="N3971" s="131">
        <v>14360</v>
      </c>
      <c r="O3971" s="436">
        <f t="shared" si="157"/>
        <v>919040</v>
      </c>
      <c r="P3971" s="89">
        <v>1154</v>
      </c>
      <c r="Q3971" s="422" t="s">
        <v>47</v>
      </c>
      <c r="R3971" s="422" t="s">
        <v>1869</v>
      </c>
      <c r="S3971" s="422" t="s">
        <v>1861</v>
      </c>
      <c r="T3971" t="s">
        <v>4825</v>
      </c>
      <c r="U3971" s="422" t="s">
        <v>1953</v>
      </c>
      <c r="V3971" s="422" t="s">
        <v>2813</v>
      </c>
    </row>
    <row r="3972" spans="1:22" ht="15.75" thickBot="1" x14ac:dyDescent="0.3">
      <c r="A3972" t="s">
        <v>4661</v>
      </c>
      <c r="B3972" t="s">
        <v>4661</v>
      </c>
      <c r="C3972" s="424" t="str">
        <f t="shared" si="156"/>
        <v>E-Bus, S.A.</v>
      </c>
      <c r="D3972" s="422" t="s">
        <v>629</v>
      </c>
      <c r="F3972" s="432" t="s">
        <v>4827</v>
      </c>
      <c r="G3972" s="435">
        <v>2023</v>
      </c>
      <c r="H3972" s="313" t="s">
        <v>5040</v>
      </c>
      <c r="I3972" s="311" t="str">
        <f t="shared" si="158"/>
        <v>Pesado de Passageiros M3:  : Eletrico Baterias : Eletrico</v>
      </c>
      <c r="J3972">
        <v>64</v>
      </c>
      <c r="K3972" s="422">
        <v>2023</v>
      </c>
      <c r="N3972" s="131">
        <v>13364</v>
      </c>
      <c r="O3972" s="436">
        <f t="shared" si="157"/>
        <v>855296</v>
      </c>
      <c r="P3972" s="89">
        <v>1155</v>
      </c>
      <c r="Q3972" s="422" t="s">
        <v>47</v>
      </c>
      <c r="R3972" s="422" t="s">
        <v>1869</v>
      </c>
      <c r="S3972" s="422" t="s">
        <v>1861</v>
      </c>
      <c r="T3972" t="s">
        <v>4825</v>
      </c>
      <c r="U3972" s="422" t="s">
        <v>1953</v>
      </c>
      <c r="V3972" s="422" t="s">
        <v>2813</v>
      </c>
    </row>
    <row r="3973" spans="1:22" ht="15.75" thickBot="1" x14ac:dyDescent="0.3">
      <c r="A3973" t="s">
        <v>4661</v>
      </c>
      <c r="B3973" t="s">
        <v>4661</v>
      </c>
      <c r="C3973" s="424" t="str">
        <f t="shared" si="156"/>
        <v>E-Bus, S.A.</v>
      </c>
      <c r="D3973" s="422" t="s">
        <v>629</v>
      </c>
      <c r="F3973" s="432" t="s">
        <v>4827</v>
      </c>
      <c r="G3973" s="435">
        <v>2023</v>
      </c>
      <c r="H3973" s="313" t="s">
        <v>5040</v>
      </c>
      <c r="I3973" s="311" t="str">
        <f t="shared" si="158"/>
        <v>Pesado de Passageiros M3:  : Eletrico Baterias : Eletrico</v>
      </c>
      <c r="J3973">
        <v>64</v>
      </c>
      <c r="K3973" s="422">
        <v>2023</v>
      </c>
      <c r="N3973" s="131">
        <v>13284</v>
      </c>
      <c r="O3973" s="436">
        <f t="shared" si="157"/>
        <v>850176</v>
      </c>
      <c r="P3973" s="89">
        <v>1156</v>
      </c>
      <c r="Q3973" s="422" t="s">
        <v>47</v>
      </c>
      <c r="R3973" s="422" t="s">
        <v>1869</v>
      </c>
      <c r="S3973" s="422" t="s">
        <v>1861</v>
      </c>
      <c r="T3973" t="s">
        <v>4825</v>
      </c>
      <c r="U3973" s="422" t="s">
        <v>1953</v>
      </c>
      <c r="V3973" s="422" t="s">
        <v>2813</v>
      </c>
    </row>
    <row r="3974" spans="1:22" ht="15.75" thickBot="1" x14ac:dyDescent="0.3">
      <c r="A3974" t="s">
        <v>4661</v>
      </c>
      <c r="B3974" t="s">
        <v>4661</v>
      </c>
      <c r="C3974" s="424" t="str">
        <f t="shared" si="156"/>
        <v>E-Bus, S.A.</v>
      </c>
      <c r="D3974" s="422" t="s">
        <v>629</v>
      </c>
      <c r="F3974" s="432" t="s">
        <v>4827</v>
      </c>
      <c r="G3974" s="435">
        <v>2023</v>
      </c>
      <c r="H3974" s="313" t="s">
        <v>5040</v>
      </c>
      <c r="I3974" s="311" t="str">
        <f t="shared" si="158"/>
        <v>Pesado de Passageiros M3:  : Eletrico Baterias : Eletrico</v>
      </c>
      <c r="J3974">
        <v>64</v>
      </c>
      <c r="K3974" s="422">
        <v>2023</v>
      </c>
      <c r="N3974" s="131">
        <v>13660</v>
      </c>
      <c r="O3974" s="436">
        <f t="shared" si="157"/>
        <v>874240</v>
      </c>
      <c r="P3974" s="89">
        <v>1157</v>
      </c>
      <c r="Q3974" s="422" t="s">
        <v>47</v>
      </c>
      <c r="R3974" s="422" t="s">
        <v>1869</v>
      </c>
      <c r="S3974" s="422" t="s">
        <v>1861</v>
      </c>
      <c r="T3974" t="s">
        <v>4825</v>
      </c>
      <c r="U3974" s="422" t="s">
        <v>1953</v>
      </c>
      <c r="V3974" s="422" t="s">
        <v>2813</v>
      </c>
    </row>
    <row r="3975" spans="1:22" ht="15.75" thickBot="1" x14ac:dyDescent="0.3">
      <c r="A3975" t="s">
        <v>4661</v>
      </c>
      <c r="B3975" t="s">
        <v>4661</v>
      </c>
      <c r="C3975" s="424" t="str">
        <f t="shared" si="156"/>
        <v>E-Bus, S.A.</v>
      </c>
      <c r="D3975" s="422" t="s">
        <v>629</v>
      </c>
      <c r="F3975" s="432" t="s">
        <v>4827</v>
      </c>
      <c r="G3975" s="435">
        <v>2023</v>
      </c>
      <c r="H3975" s="313" t="s">
        <v>5040</v>
      </c>
      <c r="I3975" s="311" t="str">
        <f t="shared" si="158"/>
        <v>Pesado de Passageiros M3:  : Eletrico Baterias : Eletrico</v>
      </c>
      <c r="J3975">
        <v>64</v>
      </c>
      <c r="K3975" s="422">
        <v>2023</v>
      </c>
      <c r="N3975" s="131">
        <v>14598</v>
      </c>
      <c r="O3975" s="436">
        <f t="shared" si="157"/>
        <v>934272</v>
      </c>
      <c r="P3975" s="89">
        <v>1158</v>
      </c>
      <c r="Q3975" s="422" t="s">
        <v>47</v>
      </c>
      <c r="R3975" s="422" t="s">
        <v>1869</v>
      </c>
      <c r="S3975" s="422" t="s">
        <v>1861</v>
      </c>
      <c r="T3975" t="s">
        <v>4825</v>
      </c>
      <c r="U3975" s="422" t="s">
        <v>1953</v>
      </c>
      <c r="V3975" s="422" t="s">
        <v>2813</v>
      </c>
    </row>
    <row r="3976" spans="1:22" ht="15.75" thickBot="1" x14ac:dyDescent="0.3">
      <c r="A3976" t="s">
        <v>4661</v>
      </c>
      <c r="B3976" t="s">
        <v>4661</v>
      </c>
      <c r="C3976" s="424" t="str">
        <f t="shared" si="156"/>
        <v>E-Bus, S.A.</v>
      </c>
      <c r="D3976" s="422" t="s">
        <v>629</v>
      </c>
      <c r="F3976" s="432" t="s">
        <v>4827</v>
      </c>
      <c r="G3976" s="435">
        <v>2023</v>
      </c>
      <c r="H3976" s="313" t="s">
        <v>5040</v>
      </c>
      <c r="I3976" s="311" t="str">
        <f t="shared" si="158"/>
        <v>Pesado de Passageiros M3:  : Eletrico Baterias : Eletrico</v>
      </c>
      <c r="J3976">
        <v>64</v>
      </c>
      <c r="K3976" s="422">
        <v>2023</v>
      </c>
      <c r="N3976" s="131">
        <v>13165</v>
      </c>
      <c r="O3976" s="436">
        <f t="shared" si="157"/>
        <v>842560</v>
      </c>
      <c r="P3976" s="89">
        <v>1159</v>
      </c>
      <c r="Q3976" s="422" t="s">
        <v>47</v>
      </c>
      <c r="R3976" s="422" t="s">
        <v>1869</v>
      </c>
      <c r="S3976" s="422" t="s">
        <v>1861</v>
      </c>
      <c r="T3976" t="s">
        <v>4825</v>
      </c>
      <c r="U3976" s="422" t="s">
        <v>1953</v>
      </c>
      <c r="V3976" s="422" t="s">
        <v>2813</v>
      </c>
    </row>
    <row r="3977" spans="1:22" ht="15.75" thickBot="1" x14ac:dyDescent="0.3">
      <c r="A3977" t="s">
        <v>4661</v>
      </c>
      <c r="B3977" t="s">
        <v>4661</v>
      </c>
      <c r="C3977" s="424" t="str">
        <f t="shared" si="156"/>
        <v>E-Bus, S.A.</v>
      </c>
      <c r="D3977" s="422" t="s">
        <v>629</v>
      </c>
      <c r="F3977" s="432" t="s">
        <v>4827</v>
      </c>
      <c r="G3977" s="435">
        <v>2023</v>
      </c>
      <c r="H3977" s="313" t="s">
        <v>5040</v>
      </c>
      <c r="I3977" s="311" t="str">
        <f t="shared" si="158"/>
        <v>Pesado de Passageiros M3:  : Eletrico Baterias : Eletrico</v>
      </c>
      <c r="J3977">
        <v>64</v>
      </c>
      <c r="K3977" s="422">
        <v>2023</v>
      </c>
      <c r="N3977" s="131">
        <v>12898</v>
      </c>
      <c r="O3977" s="436">
        <f t="shared" si="157"/>
        <v>825472</v>
      </c>
      <c r="P3977" s="89">
        <v>1160</v>
      </c>
      <c r="Q3977" s="422" t="s">
        <v>47</v>
      </c>
      <c r="R3977" s="422" t="s">
        <v>1869</v>
      </c>
      <c r="S3977" s="422" t="s">
        <v>1861</v>
      </c>
      <c r="T3977" t="s">
        <v>4825</v>
      </c>
      <c r="U3977" s="422" t="s">
        <v>1953</v>
      </c>
      <c r="V3977" s="422" t="s">
        <v>2813</v>
      </c>
    </row>
    <row r="3978" spans="1:22" ht="15.75" thickBot="1" x14ac:dyDescent="0.3">
      <c r="A3978" t="s">
        <v>4661</v>
      </c>
      <c r="B3978" t="s">
        <v>4661</v>
      </c>
      <c r="C3978" s="424" t="str">
        <f t="shared" si="156"/>
        <v>E-Bus, S.A.</v>
      </c>
      <c r="D3978" s="422" t="s">
        <v>629</v>
      </c>
      <c r="F3978" s="432" t="s">
        <v>4827</v>
      </c>
      <c r="G3978" s="435">
        <v>2023</v>
      </c>
      <c r="H3978" s="313" t="s">
        <v>5040</v>
      </c>
      <c r="I3978" s="311" t="str">
        <f t="shared" si="158"/>
        <v>Pesado de Passageiros M3:  : Eletrico Baterias : Eletrico</v>
      </c>
      <c r="J3978">
        <v>64</v>
      </c>
      <c r="K3978" s="422">
        <v>2023</v>
      </c>
      <c r="N3978" s="131">
        <v>13352</v>
      </c>
      <c r="O3978" s="436">
        <f t="shared" si="157"/>
        <v>854528</v>
      </c>
      <c r="P3978" s="89">
        <v>1161</v>
      </c>
      <c r="Q3978" s="422" t="s">
        <v>47</v>
      </c>
      <c r="R3978" s="422" t="s">
        <v>1869</v>
      </c>
      <c r="S3978" s="422" t="s">
        <v>1861</v>
      </c>
      <c r="T3978" t="s">
        <v>4825</v>
      </c>
      <c r="U3978" s="422" t="s">
        <v>1953</v>
      </c>
      <c r="V3978" s="422" t="s">
        <v>2813</v>
      </c>
    </row>
    <row r="3979" spans="1:22" ht="15.75" thickBot="1" x14ac:dyDescent="0.3">
      <c r="A3979" t="s">
        <v>4661</v>
      </c>
      <c r="B3979" t="s">
        <v>4661</v>
      </c>
      <c r="C3979" s="424" t="str">
        <f t="shared" si="156"/>
        <v>E-Bus, S.A.</v>
      </c>
      <c r="D3979" s="422" t="s">
        <v>629</v>
      </c>
      <c r="F3979" s="432" t="s">
        <v>4827</v>
      </c>
      <c r="G3979" s="435">
        <v>2023</v>
      </c>
      <c r="H3979" s="313" t="s">
        <v>5040</v>
      </c>
      <c r="I3979" s="311" t="str">
        <f t="shared" si="158"/>
        <v>Pesado de Passageiros M3:  : Eletrico Baterias : Eletrico</v>
      </c>
      <c r="J3979">
        <v>64</v>
      </c>
      <c r="K3979" s="422">
        <v>2023</v>
      </c>
      <c r="N3979" s="131">
        <v>9579</v>
      </c>
      <c r="O3979" s="436">
        <f t="shared" si="157"/>
        <v>613056</v>
      </c>
      <c r="P3979" s="89">
        <v>1162</v>
      </c>
      <c r="Q3979" s="422" t="s">
        <v>47</v>
      </c>
      <c r="R3979" s="422" t="s">
        <v>1869</v>
      </c>
      <c r="S3979" s="422" t="s">
        <v>1861</v>
      </c>
      <c r="T3979" t="s">
        <v>4825</v>
      </c>
      <c r="U3979" s="422" t="s">
        <v>1953</v>
      </c>
      <c r="V3979" s="422" t="s">
        <v>2813</v>
      </c>
    </row>
    <row r="3980" spans="1:22" ht="15.75" thickBot="1" x14ac:dyDescent="0.3">
      <c r="A3980" t="s">
        <v>4661</v>
      </c>
      <c r="B3980" t="s">
        <v>4661</v>
      </c>
      <c r="C3980" s="424" t="str">
        <f t="shared" si="156"/>
        <v>E-Bus, S.A.</v>
      </c>
      <c r="D3980" s="422" t="s">
        <v>629</v>
      </c>
      <c r="F3980" s="432" t="s">
        <v>4827</v>
      </c>
      <c r="G3980" s="435">
        <v>2023</v>
      </c>
      <c r="H3980" s="313" t="s">
        <v>5040</v>
      </c>
      <c r="I3980" s="311" t="str">
        <f t="shared" si="158"/>
        <v>Pesado de Passageiros M3:  : Eletrico Baterias : Eletrico</v>
      </c>
      <c r="J3980">
        <v>64</v>
      </c>
      <c r="K3980" s="422">
        <v>2023</v>
      </c>
      <c r="N3980" s="131">
        <v>6564</v>
      </c>
      <c r="O3980" s="436">
        <f t="shared" si="157"/>
        <v>420096</v>
      </c>
      <c r="P3980" s="89">
        <v>1163</v>
      </c>
      <c r="Q3980" s="422" t="s">
        <v>47</v>
      </c>
      <c r="R3980" s="422" t="s">
        <v>1869</v>
      </c>
      <c r="S3980" s="422" t="s">
        <v>1861</v>
      </c>
      <c r="T3980" t="s">
        <v>4825</v>
      </c>
      <c r="U3980" s="422" t="s">
        <v>1953</v>
      </c>
      <c r="V3980" s="422" t="s">
        <v>2813</v>
      </c>
    </row>
    <row r="3981" spans="1:22" ht="15.75" thickBot="1" x14ac:dyDescent="0.3">
      <c r="A3981" t="s">
        <v>4661</v>
      </c>
      <c r="B3981" t="s">
        <v>4661</v>
      </c>
      <c r="C3981" s="424" t="str">
        <f t="shared" si="156"/>
        <v>E-Bus, S.A.</v>
      </c>
      <c r="D3981" s="422" t="s">
        <v>629</v>
      </c>
      <c r="F3981" s="432" t="s">
        <v>4827</v>
      </c>
      <c r="G3981" s="435">
        <v>2023</v>
      </c>
      <c r="H3981" s="313" t="s">
        <v>5040</v>
      </c>
      <c r="I3981" s="311" t="str">
        <f t="shared" si="158"/>
        <v>Pesado de Passageiros M3:  : Eletrico Baterias : Eletrico</v>
      </c>
      <c r="J3981">
        <v>64</v>
      </c>
      <c r="K3981" s="422">
        <v>2023</v>
      </c>
      <c r="N3981" s="131">
        <v>6440</v>
      </c>
      <c r="O3981" s="436">
        <f t="shared" si="157"/>
        <v>412160</v>
      </c>
      <c r="P3981" s="89">
        <v>1164</v>
      </c>
      <c r="Q3981" s="422" t="s">
        <v>47</v>
      </c>
      <c r="R3981" s="422" t="s">
        <v>1869</v>
      </c>
      <c r="S3981" s="422" t="s">
        <v>1861</v>
      </c>
      <c r="T3981" t="s">
        <v>4825</v>
      </c>
      <c r="U3981" s="422" t="s">
        <v>1953</v>
      </c>
      <c r="V3981" s="422" t="s">
        <v>2813</v>
      </c>
    </row>
    <row r="3982" spans="1:22" ht="15.75" thickBot="1" x14ac:dyDescent="0.3">
      <c r="A3982" t="s">
        <v>1912</v>
      </c>
      <c r="B3982" t="s">
        <v>1912</v>
      </c>
      <c r="C3982" s="424" t="str">
        <f t="shared" si="156"/>
        <v>Marques, Lda.</v>
      </c>
      <c r="D3982" t="s">
        <v>629</v>
      </c>
      <c r="F3982" s="432" t="s">
        <v>620</v>
      </c>
      <c r="G3982" s="435">
        <v>1999</v>
      </c>
      <c r="H3982" s="433" t="s">
        <v>735</v>
      </c>
      <c r="I3982" s="311" t="str">
        <f t="shared" si="158"/>
        <v>Pesado de Passageiros M3:  : Gasóleo : E2</v>
      </c>
      <c r="J3982" s="433">
        <v>75</v>
      </c>
      <c r="K3982" s="422">
        <v>2023</v>
      </c>
      <c r="L3982" s="427">
        <v>7497.683273976827</v>
      </c>
      <c r="M3982" s="427" t="s">
        <v>630</v>
      </c>
      <c r="N3982" s="434">
        <v>18761</v>
      </c>
      <c r="O3982" s="436">
        <f t="shared" si="157"/>
        <v>1407075</v>
      </c>
      <c r="P3982" s="89">
        <v>133</v>
      </c>
      <c r="Q3982" s="422" t="s">
        <v>47</v>
      </c>
      <c r="R3982" s="422" t="s">
        <v>1869</v>
      </c>
      <c r="S3982" s="422" t="s">
        <v>1861</v>
      </c>
      <c r="U3982" s="422" t="s">
        <v>1953</v>
      </c>
      <c r="V3982" s="422" t="s">
        <v>2813</v>
      </c>
    </row>
    <row r="3983" spans="1:22" ht="15.75" thickBot="1" x14ac:dyDescent="0.3">
      <c r="A3983" t="s">
        <v>1912</v>
      </c>
      <c r="B3983" t="s">
        <v>1912</v>
      </c>
      <c r="C3983" s="424" t="str">
        <f t="shared" si="156"/>
        <v>Marques, Lda.</v>
      </c>
      <c r="D3983" t="s">
        <v>629</v>
      </c>
      <c r="F3983" s="432" t="s">
        <v>620</v>
      </c>
      <c r="G3983" s="435">
        <v>2000</v>
      </c>
      <c r="H3983" s="433" t="s">
        <v>732</v>
      </c>
      <c r="I3983" s="311" t="str">
        <f t="shared" si="158"/>
        <v>Pesado de Passageiros M3:  : Gasóleo : E3</v>
      </c>
      <c r="J3983" s="433">
        <v>87</v>
      </c>
      <c r="K3983" s="422">
        <v>2023</v>
      </c>
      <c r="L3983" s="427">
        <v>7166.5857068700798</v>
      </c>
      <c r="M3983" s="427" t="s">
        <v>630</v>
      </c>
      <c r="N3983" s="434">
        <v>18547</v>
      </c>
      <c r="O3983" s="436">
        <f t="shared" si="157"/>
        <v>1613589</v>
      </c>
      <c r="P3983" s="89">
        <v>154</v>
      </c>
      <c r="Q3983" s="422" t="s">
        <v>47</v>
      </c>
      <c r="R3983" s="422" t="s">
        <v>1869</v>
      </c>
      <c r="S3983" s="422" t="s">
        <v>1861</v>
      </c>
      <c r="U3983" s="422" t="s">
        <v>1953</v>
      </c>
      <c r="V3983" s="422" t="s">
        <v>2813</v>
      </c>
    </row>
    <row r="3984" spans="1:22" ht="15.75" thickBot="1" x14ac:dyDescent="0.3">
      <c r="A3984" t="s">
        <v>1912</v>
      </c>
      <c r="B3984" t="s">
        <v>1912</v>
      </c>
      <c r="C3984" s="424" t="str">
        <f t="shared" si="156"/>
        <v>Marques, Lda.</v>
      </c>
      <c r="D3984" t="s">
        <v>629</v>
      </c>
      <c r="F3984" s="432" t="s">
        <v>620</v>
      </c>
      <c r="G3984" s="435">
        <v>2002</v>
      </c>
      <c r="H3984" s="433" t="s">
        <v>732</v>
      </c>
      <c r="I3984" s="311" t="str">
        <f t="shared" si="158"/>
        <v>Pesado de Passageiros M3:  : Gasóleo : E3</v>
      </c>
      <c r="J3984" s="433">
        <v>50</v>
      </c>
      <c r="K3984" s="422">
        <v>2023</v>
      </c>
      <c r="L3984" s="427">
        <v>6062.8196426860513</v>
      </c>
      <c r="M3984" s="427" t="s">
        <v>630</v>
      </c>
      <c r="N3984" s="434">
        <v>14284</v>
      </c>
      <c r="O3984" s="436">
        <f t="shared" si="157"/>
        <v>714200</v>
      </c>
      <c r="P3984" s="89">
        <v>155</v>
      </c>
      <c r="Q3984" s="422" t="s">
        <v>47</v>
      </c>
      <c r="R3984" s="422" t="s">
        <v>1869</v>
      </c>
      <c r="S3984" s="422" t="s">
        <v>1861</v>
      </c>
      <c r="U3984" s="422" t="s">
        <v>1953</v>
      </c>
      <c r="V3984" s="422" t="s">
        <v>2813</v>
      </c>
    </row>
    <row r="3985" spans="1:22" ht="15.75" thickBot="1" x14ac:dyDescent="0.3">
      <c r="A3985" t="s">
        <v>1912</v>
      </c>
      <c r="B3985" t="s">
        <v>1912</v>
      </c>
      <c r="C3985" s="424" t="str">
        <f t="shared" si="156"/>
        <v>Marques, Lda.</v>
      </c>
      <c r="D3985" t="s">
        <v>629</v>
      </c>
      <c r="F3985" s="432" t="s">
        <v>620</v>
      </c>
      <c r="G3985" s="435">
        <v>2002</v>
      </c>
      <c r="H3985" s="433" t="s">
        <v>732</v>
      </c>
      <c r="I3985" s="311" t="str">
        <f t="shared" si="158"/>
        <v>Pesado de Passageiros M3:  : Gasóleo : E3</v>
      </c>
      <c r="J3985" s="433">
        <v>55</v>
      </c>
      <c r="K3985" s="422">
        <v>2023</v>
      </c>
      <c r="L3985" s="427">
        <v>11833.2402531306</v>
      </c>
      <c r="M3985" s="427" t="s">
        <v>630</v>
      </c>
      <c r="N3985" s="434">
        <v>29629</v>
      </c>
      <c r="O3985" s="436">
        <f t="shared" si="157"/>
        <v>1629595</v>
      </c>
      <c r="P3985" s="89">
        <v>156</v>
      </c>
      <c r="Q3985" s="422" t="s">
        <v>47</v>
      </c>
      <c r="R3985" s="422" t="s">
        <v>1869</v>
      </c>
      <c r="S3985" s="422" t="s">
        <v>1861</v>
      </c>
      <c r="U3985" s="422" t="s">
        <v>1953</v>
      </c>
      <c r="V3985" s="422" t="s">
        <v>2813</v>
      </c>
    </row>
    <row r="3986" spans="1:22" ht="15.75" thickBot="1" x14ac:dyDescent="0.3">
      <c r="A3986" t="s">
        <v>1912</v>
      </c>
      <c r="B3986" t="s">
        <v>1912</v>
      </c>
      <c r="C3986" s="424" t="str">
        <f t="shared" si="156"/>
        <v>Marques, Lda.</v>
      </c>
      <c r="D3986" t="s">
        <v>1919</v>
      </c>
      <c r="F3986" s="432" t="s">
        <v>620</v>
      </c>
      <c r="G3986" s="435">
        <v>2002</v>
      </c>
      <c r="H3986" s="433" t="s">
        <v>732</v>
      </c>
      <c r="I3986" s="311" t="str">
        <f t="shared" si="158"/>
        <v>Pesado de Passageiros M2:  : Gasóleo : E3</v>
      </c>
      <c r="J3986" s="433">
        <v>19</v>
      </c>
      <c r="K3986" s="422">
        <v>2023</v>
      </c>
      <c r="L3986" s="427">
        <v>919.84899802559812</v>
      </c>
      <c r="M3986" s="427" t="s">
        <v>630</v>
      </c>
      <c r="N3986" s="434">
        <v>5933</v>
      </c>
      <c r="O3986" s="436">
        <f t="shared" si="157"/>
        <v>112727</v>
      </c>
      <c r="P3986" s="89">
        <v>157</v>
      </c>
      <c r="Q3986" s="422" t="s">
        <v>47</v>
      </c>
      <c r="R3986" s="422" t="s">
        <v>1869</v>
      </c>
      <c r="S3986" s="422" t="s">
        <v>1861</v>
      </c>
      <c r="U3986" s="422" t="s">
        <v>1953</v>
      </c>
      <c r="V3986" s="422" t="s">
        <v>2813</v>
      </c>
    </row>
    <row r="3987" spans="1:22" ht="15.75" thickBot="1" x14ac:dyDescent="0.3">
      <c r="A3987" t="s">
        <v>1912</v>
      </c>
      <c r="B3987" t="s">
        <v>1912</v>
      </c>
      <c r="C3987" s="424" t="str">
        <f t="shared" si="156"/>
        <v>Marques, Lda.</v>
      </c>
      <c r="D3987" t="s">
        <v>629</v>
      </c>
      <c r="F3987" s="432" t="s">
        <v>620</v>
      </c>
      <c r="G3987" s="435">
        <v>2003</v>
      </c>
      <c r="H3987" s="433" t="s">
        <v>732</v>
      </c>
      <c r="I3987" s="311" t="str">
        <f t="shared" si="158"/>
        <v>Pesado de Passageiros M3:  : Gasóleo : E3</v>
      </c>
      <c r="J3987" s="433">
        <v>81</v>
      </c>
      <c r="K3987" s="422">
        <v>2023</v>
      </c>
      <c r="L3987" s="427">
        <v>431.33578953672964</v>
      </c>
      <c r="M3987" s="427" t="s">
        <v>630</v>
      </c>
      <c r="N3987" s="434">
        <v>954</v>
      </c>
      <c r="O3987" s="436">
        <f t="shared" si="157"/>
        <v>77274</v>
      </c>
      <c r="P3987" s="89">
        <v>159</v>
      </c>
      <c r="Q3987" s="422" t="s">
        <v>47</v>
      </c>
      <c r="R3987" s="422" t="s">
        <v>1869</v>
      </c>
      <c r="S3987" s="422" t="s">
        <v>1861</v>
      </c>
      <c r="U3987" s="422" t="s">
        <v>1953</v>
      </c>
      <c r="V3987" s="422" t="s">
        <v>2813</v>
      </c>
    </row>
    <row r="3988" spans="1:22" ht="15.75" thickBot="1" x14ac:dyDescent="0.3">
      <c r="A3988" t="s">
        <v>1912</v>
      </c>
      <c r="B3988" t="s">
        <v>1912</v>
      </c>
      <c r="C3988" s="424" t="str">
        <f t="shared" si="156"/>
        <v>Marques, Lda.</v>
      </c>
      <c r="D3988" t="s">
        <v>629</v>
      </c>
      <c r="F3988" s="432" t="s">
        <v>620</v>
      </c>
      <c r="G3988" s="435">
        <v>2008</v>
      </c>
      <c r="H3988" s="433" t="s">
        <v>734</v>
      </c>
      <c r="I3988" s="311" t="str">
        <f t="shared" si="158"/>
        <v>Pesado de Passageiros M3:  : Gasóleo : E5</v>
      </c>
      <c r="J3988" s="433">
        <v>27</v>
      </c>
      <c r="K3988" s="422">
        <v>2023</v>
      </c>
      <c r="L3988" s="427">
        <v>4439.3153773516924</v>
      </c>
      <c r="M3988" s="427" t="s">
        <v>630</v>
      </c>
      <c r="N3988" s="434">
        <v>23934</v>
      </c>
      <c r="O3988" s="436">
        <f t="shared" si="157"/>
        <v>646218</v>
      </c>
      <c r="P3988" s="89">
        <v>160</v>
      </c>
      <c r="Q3988" s="422" t="s">
        <v>47</v>
      </c>
      <c r="R3988" s="422" t="s">
        <v>1869</v>
      </c>
      <c r="S3988" s="422" t="s">
        <v>1861</v>
      </c>
      <c r="U3988" s="422" t="s">
        <v>1953</v>
      </c>
      <c r="V3988" s="422" t="s">
        <v>2813</v>
      </c>
    </row>
    <row r="3989" spans="1:22" ht="15.75" thickBot="1" x14ac:dyDescent="0.3">
      <c r="A3989" t="s">
        <v>1912</v>
      </c>
      <c r="B3989" t="s">
        <v>1912</v>
      </c>
      <c r="C3989" s="424" t="str">
        <f t="shared" si="156"/>
        <v>Marques, Lda.</v>
      </c>
      <c r="D3989" t="s">
        <v>629</v>
      </c>
      <c r="F3989" s="432" t="s">
        <v>620</v>
      </c>
      <c r="G3989" s="435">
        <v>2000</v>
      </c>
      <c r="H3989" s="433" t="s">
        <v>732</v>
      </c>
      <c r="I3989" s="311" t="str">
        <f t="shared" si="158"/>
        <v>Pesado de Passageiros M3:  : Gasóleo : E3</v>
      </c>
      <c r="J3989" s="433">
        <v>51</v>
      </c>
      <c r="K3989" s="422">
        <v>2023</v>
      </c>
      <c r="L3989" s="427">
        <v>9517.0275530541385</v>
      </c>
      <c r="M3989" s="427" t="s">
        <v>630</v>
      </c>
      <c r="N3989" s="434">
        <v>20425</v>
      </c>
      <c r="O3989" s="436">
        <f t="shared" si="157"/>
        <v>1041675</v>
      </c>
      <c r="P3989" s="89">
        <v>168</v>
      </c>
      <c r="Q3989" s="422" t="s">
        <v>47</v>
      </c>
      <c r="R3989" s="422" t="s">
        <v>1869</v>
      </c>
      <c r="S3989" s="422" t="s">
        <v>1861</v>
      </c>
      <c r="U3989" s="422" t="s">
        <v>1953</v>
      </c>
      <c r="V3989" s="422" t="s">
        <v>2813</v>
      </c>
    </row>
    <row r="3990" spans="1:22" ht="15.75" thickBot="1" x14ac:dyDescent="0.3">
      <c r="A3990" t="s">
        <v>1912</v>
      </c>
      <c r="B3990" t="s">
        <v>1912</v>
      </c>
      <c r="C3990" s="424" t="str">
        <f t="shared" si="156"/>
        <v>Marques, Lda.</v>
      </c>
      <c r="D3990" t="s">
        <v>629</v>
      </c>
      <c r="F3990" s="432" t="s">
        <v>620</v>
      </c>
      <c r="G3990" s="435">
        <v>2007</v>
      </c>
      <c r="H3990" s="433" t="s">
        <v>731</v>
      </c>
      <c r="I3990" s="311" t="str">
        <f t="shared" si="158"/>
        <v>Pesado de Passageiros M3:  : Gasóleo : E4</v>
      </c>
      <c r="J3990" s="433">
        <v>84</v>
      </c>
      <c r="K3990" s="422">
        <v>2023</v>
      </c>
      <c r="L3990" s="427">
        <v>8459.1476813054524</v>
      </c>
      <c r="M3990" s="427" t="s">
        <v>630</v>
      </c>
      <c r="N3990" s="434">
        <v>23749</v>
      </c>
      <c r="O3990" s="436">
        <f t="shared" si="157"/>
        <v>1994916</v>
      </c>
      <c r="P3990" s="89">
        <v>171</v>
      </c>
      <c r="Q3990" s="422" t="s">
        <v>47</v>
      </c>
      <c r="R3990" s="422" t="s">
        <v>1869</v>
      </c>
      <c r="S3990" s="422" t="s">
        <v>1861</v>
      </c>
      <c r="U3990" s="422" t="s">
        <v>1953</v>
      </c>
      <c r="V3990" s="422" t="s">
        <v>2813</v>
      </c>
    </row>
    <row r="3991" spans="1:22" ht="15.75" thickBot="1" x14ac:dyDescent="0.3">
      <c r="A3991" t="s">
        <v>1912</v>
      </c>
      <c r="B3991" t="s">
        <v>1912</v>
      </c>
      <c r="C3991" s="424" t="str">
        <f t="shared" si="156"/>
        <v>Marques, Lda.</v>
      </c>
      <c r="D3991" t="s">
        <v>629</v>
      </c>
      <c r="F3991" s="432" t="s">
        <v>620</v>
      </c>
      <c r="G3991" s="435">
        <v>2005</v>
      </c>
      <c r="H3991" s="433" t="s">
        <v>731</v>
      </c>
      <c r="I3991" s="311" t="str">
        <f t="shared" si="158"/>
        <v>Pesado de Passageiros M3:  : Gasóleo : E4</v>
      </c>
      <c r="J3991" s="433">
        <v>81</v>
      </c>
      <c r="K3991" s="422">
        <v>2023</v>
      </c>
      <c r="L3991" s="427">
        <v>10482.39597642748</v>
      </c>
      <c r="M3991" s="427" t="s">
        <v>630</v>
      </c>
      <c r="N3991" s="434">
        <v>26811</v>
      </c>
      <c r="O3991" s="436">
        <f t="shared" si="157"/>
        <v>2171691</v>
      </c>
      <c r="P3991" s="89">
        <v>172</v>
      </c>
      <c r="Q3991" s="422" t="s">
        <v>47</v>
      </c>
      <c r="R3991" s="422" t="s">
        <v>1869</v>
      </c>
      <c r="S3991" s="422" t="s">
        <v>1861</v>
      </c>
      <c r="U3991" s="422" t="s">
        <v>1953</v>
      </c>
      <c r="V3991" s="422" t="s">
        <v>2813</v>
      </c>
    </row>
    <row r="3992" spans="1:22" ht="15.75" thickBot="1" x14ac:dyDescent="0.3">
      <c r="A3992" t="s">
        <v>1912</v>
      </c>
      <c r="B3992" t="s">
        <v>1912</v>
      </c>
      <c r="C3992" s="424" t="str">
        <f t="shared" ref="C3992:C4055" si="159">IF(A3992=B3992,B3992,RIGHT(A3992,LEN(A3992)-LEN(B3992)-3))</f>
        <v>Marques, Lda.</v>
      </c>
      <c r="D3992" t="s">
        <v>629</v>
      </c>
      <c r="F3992" s="432" t="s">
        <v>620</v>
      </c>
      <c r="G3992" s="435">
        <v>2005</v>
      </c>
      <c r="H3992" s="433" t="s">
        <v>731</v>
      </c>
      <c r="I3992" s="311" t="str">
        <f t="shared" si="158"/>
        <v>Pesado de Passageiros M3:  : Gasóleo : E4</v>
      </c>
      <c r="J3992" s="433">
        <v>82</v>
      </c>
      <c r="K3992" s="422">
        <v>2023</v>
      </c>
      <c r="L3992" s="427">
        <v>13061.666914909596</v>
      </c>
      <c r="M3992" s="427" t="s">
        <v>630</v>
      </c>
      <c r="N3992" s="434">
        <v>29678</v>
      </c>
      <c r="O3992" s="436">
        <f t="shared" si="157"/>
        <v>2433596</v>
      </c>
      <c r="P3992" s="89">
        <v>173</v>
      </c>
      <c r="Q3992" s="422" t="s">
        <v>47</v>
      </c>
      <c r="R3992" s="422" t="s">
        <v>1869</v>
      </c>
      <c r="S3992" s="422" t="s">
        <v>1861</v>
      </c>
      <c r="U3992" s="422" t="s">
        <v>1953</v>
      </c>
      <c r="V3992" s="422" t="s">
        <v>2813</v>
      </c>
    </row>
    <row r="3993" spans="1:22" ht="15.75" thickBot="1" x14ac:dyDescent="0.3">
      <c r="A3993" t="s">
        <v>1912</v>
      </c>
      <c r="B3993" t="s">
        <v>1912</v>
      </c>
      <c r="C3993" s="424" t="str">
        <f t="shared" si="159"/>
        <v>Marques, Lda.</v>
      </c>
      <c r="D3993" t="s">
        <v>629</v>
      </c>
      <c r="F3993" s="432" t="s">
        <v>620</v>
      </c>
      <c r="G3993" s="435">
        <v>2006</v>
      </c>
      <c r="H3993" s="433" t="s">
        <v>731</v>
      </c>
      <c r="I3993" s="311" t="str">
        <f t="shared" si="158"/>
        <v>Pesado de Passageiros M3:  : Gasóleo : E4</v>
      </c>
      <c r="J3993" s="433">
        <v>82</v>
      </c>
      <c r="K3993" s="422">
        <v>2023</v>
      </c>
      <c r="L3993" s="427">
        <v>9322.2852752099261</v>
      </c>
      <c r="M3993" s="427" t="s">
        <v>630</v>
      </c>
      <c r="N3993" s="434">
        <v>29476</v>
      </c>
      <c r="O3993" s="436">
        <f t="shared" ref="O3993:O4056" si="160">N3993*J3993</f>
        <v>2417032</v>
      </c>
      <c r="P3993" s="89">
        <v>174</v>
      </c>
      <c r="Q3993" s="422" t="s">
        <v>47</v>
      </c>
      <c r="R3993" s="422" t="s">
        <v>1869</v>
      </c>
      <c r="S3993" s="422" t="s">
        <v>1861</v>
      </c>
      <c r="U3993" s="422" t="s">
        <v>1953</v>
      </c>
      <c r="V3993" s="422" t="s">
        <v>2813</v>
      </c>
    </row>
    <row r="3994" spans="1:22" ht="15.75" thickBot="1" x14ac:dyDescent="0.3">
      <c r="A3994" t="s">
        <v>1912</v>
      </c>
      <c r="B3994" t="s">
        <v>1912</v>
      </c>
      <c r="C3994" s="424" t="str">
        <f t="shared" si="159"/>
        <v>Marques, Lda.</v>
      </c>
      <c r="D3994" t="s">
        <v>629</v>
      </c>
      <c r="F3994" s="432" t="s">
        <v>620</v>
      </c>
      <c r="G3994" s="435">
        <v>2001</v>
      </c>
      <c r="H3994" s="433" t="s">
        <v>732</v>
      </c>
      <c r="I3994" s="311" t="str">
        <f t="shared" si="158"/>
        <v>Pesado de Passageiros M3:  : Gasóleo : E3</v>
      </c>
      <c r="J3994" s="433">
        <v>51</v>
      </c>
      <c r="K3994" s="422">
        <v>2023</v>
      </c>
      <c r="L3994" s="427">
        <v>7210.8404109820121</v>
      </c>
      <c r="M3994" s="427" t="s">
        <v>630</v>
      </c>
      <c r="N3994" s="434">
        <v>17582</v>
      </c>
      <c r="O3994" s="436">
        <f t="shared" si="160"/>
        <v>896682</v>
      </c>
      <c r="P3994" s="89">
        <v>175</v>
      </c>
      <c r="Q3994" s="422" t="s">
        <v>47</v>
      </c>
      <c r="R3994" s="422" t="s">
        <v>1869</v>
      </c>
      <c r="S3994" s="422" t="s">
        <v>1861</v>
      </c>
      <c r="U3994" s="422" t="s">
        <v>1953</v>
      </c>
      <c r="V3994" s="422" t="s">
        <v>2813</v>
      </c>
    </row>
    <row r="3995" spans="1:22" ht="15.75" thickBot="1" x14ac:dyDescent="0.3">
      <c r="A3995" t="s">
        <v>1912</v>
      </c>
      <c r="B3995" t="s">
        <v>1912</v>
      </c>
      <c r="C3995" s="424" t="str">
        <f t="shared" si="159"/>
        <v>Marques, Lda.</v>
      </c>
      <c r="D3995" t="s">
        <v>629</v>
      </c>
      <c r="F3995" s="432" t="s">
        <v>620</v>
      </c>
      <c r="G3995" s="435">
        <v>2007</v>
      </c>
      <c r="H3995" s="433" t="s">
        <v>731</v>
      </c>
      <c r="I3995" s="311" t="str">
        <f t="shared" si="158"/>
        <v>Pesado de Passageiros M3:  : Gasóleo : E4</v>
      </c>
      <c r="J3995" s="433">
        <v>81</v>
      </c>
      <c r="K3995" s="422">
        <v>2023</v>
      </c>
      <c r="L3995" s="427">
        <v>12114.956896987911</v>
      </c>
      <c r="M3995" s="427" t="s">
        <v>630</v>
      </c>
      <c r="N3995" s="434">
        <v>30242</v>
      </c>
      <c r="O3995" s="436">
        <f t="shared" si="160"/>
        <v>2449602</v>
      </c>
      <c r="P3995" s="89">
        <v>176</v>
      </c>
      <c r="Q3995" s="422" t="s">
        <v>47</v>
      </c>
      <c r="R3995" s="422" t="s">
        <v>1869</v>
      </c>
      <c r="S3995" s="422" t="s">
        <v>1861</v>
      </c>
      <c r="U3995" s="422" t="s">
        <v>1953</v>
      </c>
      <c r="V3995" s="422" t="s">
        <v>2813</v>
      </c>
    </row>
    <row r="3996" spans="1:22" ht="15.75" thickBot="1" x14ac:dyDescent="0.3">
      <c r="A3996" t="s">
        <v>1912</v>
      </c>
      <c r="B3996" t="s">
        <v>1912</v>
      </c>
      <c r="C3996" s="424" t="str">
        <f t="shared" si="159"/>
        <v>Marques, Lda.</v>
      </c>
      <c r="D3996" t="s">
        <v>629</v>
      </c>
      <c r="F3996" s="432" t="s">
        <v>620</v>
      </c>
      <c r="G3996" s="435">
        <v>2008</v>
      </c>
      <c r="H3996" s="433" t="s">
        <v>734</v>
      </c>
      <c r="I3996" s="311" t="str">
        <f t="shared" si="158"/>
        <v>Pesado de Passageiros M3:  : Gasóleo : E5</v>
      </c>
      <c r="J3996" s="433">
        <v>81</v>
      </c>
      <c r="K3996" s="422">
        <v>2023</v>
      </c>
      <c r="L3996" s="427">
        <v>11597.059497984979</v>
      </c>
      <c r="M3996" s="427" t="s">
        <v>630</v>
      </c>
      <c r="N3996" s="434">
        <v>28049</v>
      </c>
      <c r="O3996" s="436">
        <f t="shared" si="160"/>
        <v>2271969</v>
      </c>
      <c r="P3996" s="89">
        <v>183</v>
      </c>
      <c r="Q3996" s="422" t="s">
        <v>47</v>
      </c>
      <c r="R3996" s="422" t="s">
        <v>1869</v>
      </c>
      <c r="S3996" s="422" t="s">
        <v>1861</v>
      </c>
      <c r="U3996" s="422" t="s">
        <v>1953</v>
      </c>
      <c r="V3996" s="422" t="s">
        <v>2813</v>
      </c>
    </row>
    <row r="3997" spans="1:22" ht="15.75" thickBot="1" x14ac:dyDescent="0.3">
      <c r="A3997" t="s">
        <v>1912</v>
      </c>
      <c r="B3997" t="s">
        <v>1912</v>
      </c>
      <c r="C3997" s="424" t="str">
        <f t="shared" si="159"/>
        <v>Marques, Lda.</v>
      </c>
      <c r="D3997" t="s">
        <v>629</v>
      </c>
      <c r="F3997" s="432" t="s">
        <v>620</v>
      </c>
      <c r="G3997" s="435">
        <v>2009</v>
      </c>
      <c r="H3997" s="433" t="s">
        <v>734</v>
      </c>
      <c r="I3997" s="311" t="str">
        <f t="shared" si="158"/>
        <v>Pesado de Passageiros M3:  : Gasóleo : E5</v>
      </c>
      <c r="J3997" s="433">
        <v>71</v>
      </c>
      <c r="K3997" s="422">
        <v>2023</v>
      </c>
      <c r="L3997" s="427">
        <v>14692.792722085047</v>
      </c>
      <c r="M3997" s="427" t="s">
        <v>630</v>
      </c>
      <c r="N3997" s="434">
        <v>36075</v>
      </c>
      <c r="O3997" s="436">
        <f t="shared" si="160"/>
        <v>2561325</v>
      </c>
      <c r="P3997" s="89">
        <v>184</v>
      </c>
      <c r="Q3997" s="422" t="s">
        <v>47</v>
      </c>
      <c r="R3997" s="422" t="s">
        <v>1869</v>
      </c>
      <c r="S3997" s="422" t="s">
        <v>1861</v>
      </c>
      <c r="U3997" s="422" t="s">
        <v>1953</v>
      </c>
      <c r="V3997" s="422" t="s">
        <v>2813</v>
      </c>
    </row>
    <row r="3998" spans="1:22" ht="15.75" thickBot="1" x14ac:dyDescent="0.3">
      <c r="A3998" t="s">
        <v>1912</v>
      </c>
      <c r="B3998" t="s">
        <v>1912</v>
      </c>
      <c r="C3998" s="424" t="str">
        <f t="shared" si="159"/>
        <v>Marques, Lda.</v>
      </c>
      <c r="D3998" t="s">
        <v>629</v>
      </c>
      <c r="F3998" s="432" t="s">
        <v>620</v>
      </c>
      <c r="G3998" s="435">
        <v>2009</v>
      </c>
      <c r="H3998" s="433" t="s">
        <v>734</v>
      </c>
      <c r="I3998" s="311" t="str">
        <f t="shared" si="158"/>
        <v>Pesado de Passageiros M3:  : Gasóleo : E5</v>
      </c>
      <c r="J3998" s="433">
        <v>50</v>
      </c>
      <c r="K3998" s="422">
        <v>2023</v>
      </c>
      <c r="L3998" s="427">
        <v>19246.425404089445</v>
      </c>
      <c r="M3998" s="427" t="s">
        <v>630</v>
      </c>
      <c r="N3998" s="434">
        <v>56160</v>
      </c>
      <c r="O3998" s="436">
        <f t="shared" si="160"/>
        <v>2808000</v>
      </c>
      <c r="P3998" s="89">
        <v>185</v>
      </c>
      <c r="Q3998" s="422" t="s">
        <v>47</v>
      </c>
      <c r="R3998" s="422" t="s">
        <v>1869</v>
      </c>
      <c r="S3998" s="422" t="s">
        <v>1861</v>
      </c>
      <c r="U3998" s="422" t="s">
        <v>1953</v>
      </c>
      <c r="V3998" s="422" t="s">
        <v>2813</v>
      </c>
    </row>
    <row r="3999" spans="1:22" ht="15.75" thickBot="1" x14ac:dyDescent="0.3">
      <c r="A3999" t="s">
        <v>1912</v>
      </c>
      <c r="B3999" t="s">
        <v>1912</v>
      </c>
      <c r="C3999" s="424" t="str">
        <f t="shared" si="159"/>
        <v>Marques, Lda.</v>
      </c>
      <c r="D3999" t="s">
        <v>629</v>
      </c>
      <c r="F3999" s="432" t="s">
        <v>620</v>
      </c>
      <c r="G3999" s="435">
        <v>1997</v>
      </c>
      <c r="H3999" s="433" t="s">
        <v>735</v>
      </c>
      <c r="I3999" s="311" t="str">
        <f t="shared" si="158"/>
        <v>Pesado de Passageiros M3:  : Gasóleo : E2</v>
      </c>
      <c r="J3999" s="433">
        <v>85</v>
      </c>
      <c r="K3999" s="422">
        <v>2023</v>
      </c>
      <c r="L3999" s="427">
        <v>6855.8186227721681</v>
      </c>
      <c r="M3999" s="427" t="s">
        <v>630</v>
      </c>
      <c r="N3999" s="434">
        <v>19006</v>
      </c>
      <c r="O3999" s="436">
        <f t="shared" si="160"/>
        <v>1615510</v>
      </c>
      <c r="P3999" s="89">
        <v>186</v>
      </c>
      <c r="Q3999" s="422" t="s">
        <v>47</v>
      </c>
      <c r="R3999" s="422" t="s">
        <v>1869</v>
      </c>
      <c r="S3999" s="422" t="s">
        <v>1861</v>
      </c>
      <c r="U3999" s="422" t="s">
        <v>1953</v>
      </c>
      <c r="V3999" s="422" t="s">
        <v>2813</v>
      </c>
    </row>
    <row r="4000" spans="1:22" ht="15.75" thickBot="1" x14ac:dyDescent="0.3">
      <c r="A4000" t="s">
        <v>1912</v>
      </c>
      <c r="B4000" t="s">
        <v>1912</v>
      </c>
      <c r="C4000" s="424" t="str">
        <f t="shared" si="159"/>
        <v>Marques, Lda.</v>
      </c>
      <c r="D4000" t="s">
        <v>629</v>
      </c>
      <c r="F4000" s="432" t="s">
        <v>620</v>
      </c>
      <c r="G4000" s="435">
        <v>2012</v>
      </c>
      <c r="H4000" s="433" t="s">
        <v>734</v>
      </c>
      <c r="I4000" s="311" t="str">
        <f t="shared" si="158"/>
        <v>Pesado de Passageiros M3:  : Gasóleo : E5</v>
      </c>
      <c r="J4000" s="433">
        <v>73</v>
      </c>
      <c r="K4000" s="422">
        <v>2023</v>
      </c>
      <c r="L4000" s="427">
        <v>20785.941598356021</v>
      </c>
      <c r="M4000" s="427" t="s">
        <v>630</v>
      </c>
      <c r="N4000" s="434">
        <v>47652</v>
      </c>
      <c r="O4000" s="436">
        <f t="shared" si="160"/>
        <v>3478596</v>
      </c>
      <c r="P4000" s="89">
        <v>189</v>
      </c>
      <c r="Q4000" s="422" t="s">
        <v>47</v>
      </c>
      <c r="R4000" s="422" t="s">
        <v>1869</v>
      </c>
      <c r="S4000" s="422" t="s">
        <v>1861</v>
      </c>
      <c r="U4000" s="422" t="s">
        <v>1953</v>
      </c>
      <c r="V4000" s="422" t="s">
        <v>2813</v>
      </c>
    </row>
    <row r="4001" spans="1:22" ht="15.75" thickBot="1" x14ac:dyDescent="0.3">
      <c r="A4001" t="s">
        <v>1912</v>
      </c>
      <c r="B4001" t="s">
        <v>1912</v>
      </c>
      <c r="C4001" s="424" t="str">
        <f t="shared" si="159"/>
        <v>Marques, Lda.</v>
      </c>
      <c r="D4001" t="s">
        <v>629</v>
      </c>
      <c r="F4001" s="432" t="s">
        <v>620</v>
      </c>
      <c r="G4001" s="435">
        <v>1999</v>
      </c>
      <c r="H4001" s="433" t="s">
        <v>735</v>
      </c>
      <c r="I4001" s="311" t="str">
        <f t="shared" si="158"/>
        <v>Pesado de Passageiros M3:  : Gasóleo : E2</v>
      </c>
      <c r="J4001" s="433">
        <v>73</v>
      </c>
      <c r="K4001" s="422">
        <v>2023</v>
      </c>
      <c r="L4001" s="427">
        <v>10896.733825987127</v>
      </c>
      <c r="M4001" s="427" t="s">
        <v>630</v>
      </c>
      <c r="N4001" s="434">
        <v>34200</v>
      </c>
      <c r="O4001" s="436">
        <f t="shared" si="160"/>
        <v>2496600</v>
      </c>
      <c r="P4001" s="89">
        <v>190</v>
      </c>
      <c r="Q4001" s="422" t="s">
        <v>47</v>
      </c>
      <c r="R4001" s="422" t="s">
        <v>1869</v>
      </c>
      <c r="S4001" s="422" t="s">
        <v>1861</v>
      </c>
      <c r="U4001" s="422" t="s">
        <v>1953</v>
      </c>
      <c r="V4001" s="422" t="s">
        <v>2813</v>
      </c>
    </row>
    <row r="4002" spans="1:22" ht="15.75" thickBot="1" x14ac:dyDescent="0.3">
      <c r="A4002" t="s">
        <v>1912</v>
      </c>
      <c r="B4002" t="s">
        <v>1912</v>
      </c>
      <c r="C4002" s="424" t="str">
        <f t="shared" si="159"/>
        <v>Marques, Lda.</v>
      </c>
      <c r="D4002" t="s">
        <v>629</v>
      </c>
      <c r="F4002" s="432" t="s">
        <v>620</v>
      </c>
      <c r="G4002" s="435">
        <v>2001</v>
      </c>
      <c r="H4002" s="433" t="s">
        <v>732</v>
      </c>
      <c r="I4002" s="311" t="str">
        <f t="shared" si="158"/>
        <v>Pesado de Passageiros M3:  : Gasóleo : E3</v>
      </c>
      <c r="J4002" s="433">
        <v>76</v>
      </c>
      <c r="K4002" s="422">
        <v>2023</v>
      </c>
      <c r="L4002" s="427">
        <v>10391.911428512802</v>
      </c>
      <c r="M4002" s="427" t="s">
        <v>630</v>
      </c>
      <c r="N4002" s="434">
        <v>30564</v>
      </c>
      <c r="O4002" s="436">
        <f t="shared" si="160"/>
        <v>2322864</v>
      </c>
      <c r="P4002" s="89">
        <v>191</v>
      </c>
      <c r="Q4002" s="422" t="s">
        <v>47</v>
      </c>
      <c r="R4002" s="422" t="s">
        <v>1869</v>
      </c>
      <c r="S4002" s="422" t="s">
        <v>1861</v>
      </c>
      <c r="U4002" s="422" t="s">
        <v>1953</v>
      </c>
      <c r="V4002" s="422" t="s">
        <v>2813</v>
      </c>
    </row>
    <row r="4003" spans="1:22" ht="15.75" thickBot="1" x14ac:dyDescent="0.3">
      <c r="A4003" t="s">
        <v>1912</v>
      </c>
      <c r="B4003" t="s">
        <v>1912</v>
      </c>
      <c r="C4003" s="424" t="str">
        <f t="shared" si="159"/>
        <v>Marques, Lda.</v>
      </c>
      <c r="D4003" t="s">
        <v>629</v>
      </c>
      <c r="F4003" s="432" t="s">
        <v>620</v>
      </c>
      <c r="G4003" s="435">
        <v>2012</v>
      </c>
      <c r="H4003" s="433" t="s">
        <v>734</v>
      </c>
      <c r="I4003" s="311" t="str">
        <f t="shared" si="158"/>
        <v>Pesado de Passageiros M3:  : Gasóleo : E5</v>
      </c>
      <c r="J4003" s="433">
        <v>32</v>
      </c>
      <c r="K4003" s="422">
        <v>2023</v>
      </c>
      <c r="L4003" s="427">
        <v>3583.9490236840115</v>
      </c>
      <c r="M4003" s="427" t="s">
        <v>630</v>
      </c>
      <c r="N4003" s="434">
        <v>20866</v>
      </c>
      <c r="O4003" s="436">
        <f t="shared" si="160"/>
        <v>667712</v>
      </c>
      <c r="P4003" s="89">
        <v>192</v>
      </c>
      <c r="Q4003" s="422" t="s">
        <v>47</v>
      </c>
      <c r="R4003" s="422" t="s">
        <v>1869</v>
      </c>
      <c r="S4003" s="422" t="s">
        <v>1861</v>
      </c>
      <c r="U4003" s="422" t="s">
        <v>1953</v>
      </c>
      <c r="V4003" s="422" t="s">
        <v>2813</v>
      </c>
    </row>
    <row r="4004" spans="1:22" ht="15.75" thickBot="1" x14ac:dyDescent="0.3">
      <c r="A4004" t="s">
        <v>1912</v>
      </c>
      <c r="B4004" t="s">
        <v>1912</v>
      </c>
      <c r="C4004" s="424" t="str">
        <f t="shared" si="159"/>
        <v>Marques, Lda.</v>
      </c>
      <c r="D4004" t="s">
        <v>1919</v>
      </c>
      <c r="F4004" s="432" t="s">
        <v>620</v>
      </c>
      <c r="G4004" s="435">
        <v>2004</v>
      </c>
      <c r="H4004" s="433" t="s">
        <v>732</v>
      </c>
      <c r="I4004" s="311" t="str">
        <f t="shared" si="158"/>
        <v>Pesado de Passageiros M2:  : Gasóleo : E3</v>
      </c>
      <c r="J4004" s="433">
        <v>19</v>
      </c>
      <c r="K4004" s="422">
        <v>2023</v>
      </c>
      <c r="L4004" s="427">
        <v>1887.2382451356477</v>
      </c>
      <c r="M4004" s="427" t="s">
        <v>630</v>
      </c>
      <c r="N4004" s="434">
        <v>11753</v>
      </c>
      <c r="O4004" s="436">
        <f t="shared" si="160"/>
        <v>223307</v>
      </c>
      <c r="P4004" s="89">
        <v>193</v>
      </c>
      <c r="Q4004" s="422" t="s">
        <v>47</v>
      </c>
      <c r="R4004" s="422" t="s">
        <v>1869</v>
      </c>
      <c r="S4004" s="422" t="s">
        <v>1861</v>
      </c>
      <c r="U4004" s="422" t="s">
        <v>1953</v>
      </c>
      <c r="V4004" s="422" t="s">
        <v>2813</v>
      </c>
    </row>
    <row r="4005" spans="1:22" ht="15.75" thickBot="1" x14ac:dyDescent="0.3">
      <c r="A4005" t="s">
        <v>1912</v>
      </c>
      <c r="B4005" t="s">
        <v>1912</v>
      </c>
      <c r="C4005" s="424" t="str">
        <f t="shared" si="159"/>
        <v>Marques, Lda.</v>
      </c>
      <c r="D4005" t="s">
        <v>1919</v>
      </c>
      <c r="F4005" s="432" t="s">
        <v>620</v>
      </c>
      <c r="G4005" s="435">
        <v>2002</v>
      </c>
      <c r="H4005" s="433" t="s">
        <v>732</v>
      </c>
      <c r="I4005" s="311" t="str">
        <f t="shared" si="158"/>
        <v>Pesado de Passageiros M2:  : Gasóleo : E3</v>
      </c>
      <c r="J4005" s="433">
        <v>20</v>
      </c>
      <c r="K4005" s="422">
        <v>2023</v>
      </c>
      <c r="L4005" s="427">
        <v>3254.5409069182006</v>
      </c>
      <c r="M4005" s="427" t="s">
        <v>630</v>
      </c>
      <c r="N4005" s="434">
        <v>18921</v>
      </c>
      <c r="O4005" s="436">
        <f t="shared" si="160"/>
        <v>378420</v>
      </c>
      <c r="P4005" s="89">
        <v>194</v>
      </c>
      <c r="Q4005" s="422" t="s">
        <v>47</v>
      </c>
      <c r="R4005" s="422" t="s">
        <v>1869</v>
      </c>
      <c r="S4005" s="422" t="s">
        <v>1861</v>
      </c>
      <c r="U4005" s="422" t="s">
        <v>1953</v>
      </c>
      <c r="V4005" s="422" t="s">
        <v>2813</v>
      </c>
    </row>
    <row r="4006" spans="1:22" ht="15.75" thickBot="1" x14ac:dyDescent="0.3">
      <c r="A4006" t="s">
        <v>1912</v>
      </c>
      <c r="B4006" t="s">
        <v>1912</v>
      </c>
      <c r="C4006" s="424" t="str">
        <f t="shared" si="159"/>
        <v>Marques, Lda.</v>
      </c>
      <c r="D4006" t="s">
        <v>629</v>
      </c>
      <c r="F4006" s="432" t="s">
        <v>620</v>
      </c>
      <c r="G4006" s="435">
        <v>2004</v>
      </c>
      <c r="H4006" s="433" t="s">
        <v>732</v>
      </c>
      <c r="I4006" s="311" t="str">
        <f t="shared" si="158"/>
        <v>Pesado de Passageiros M3:  : Gasóleo : E3</v>
      </c>
      <c r="J4006" s="433">
        <v>54</v>
      </c>
      <c r="K4006" s="422">
        <v>2023</v>
      </c>
      <c r="L4006" s="427">
        <v>8311.0117048231587</v>
      </c>
      <c r="M4006" s="427" t="s">
        <v>630</v>
      </c>
      <c r="N4006" s="434">
        <v>19850</v>
      </c>
      <c r="O4006" s="436">
        <f t="shared" si="160"/>
        <v>1071900</v>
      </c>
      <c r="P4006" s="89">
        <v>195</v>
      </c>
      <c r="Q4006" s="422" t="s">
        <v>47</v>
      </c>
      <c r="R4006" s="422" t="s">
        <v>1869</v>
      </c>
      <c r="S4006" s="422" t="s">
        <v>1861</v>
      </c>
      <c r="U4006" s="422" t="s">
        <v>1953</v>
      </c>
      <c r="V4006" s="422" t="s">
        <v>2813</v>
      </c>
    </row>
    <row r="4007" spans="1:22" ht="15.75" thickBot="1" x14ac:dyDescent="0.3">
      <c r="A4007" t="s">
        <v>1912</v>
      </c>
      <c r="B4007" t="s">
        <v>1912</v>
      </c>
      <c r="C4007" s="424" t="str">
        <f t="shared" si="159"/>
        <v>Marques, Lda.</v>
      </c>
      <c r="D4007" t="s">
        <v>629</v>
      </c>
      <c r="F4007" s="432" t="s">
        <v>620</v>
      </c>
      <c r="G4007" s="435">
        <v>2004</v>
      </c>
      <c r="H4007" s="433" t="s">
        <v>732</v>
      </c>
      <c r="I4007" s="311" t="str">
        <f t="shared" si="158"/>
        <v>Pesado de Passageiros M3:  : Gasóleo : E3</v>
      </c>
      <c r="J4007" s="433">
        <v>54</v>
      </c>
      <c r="K4007" s="422">
        <v>2023</v>
      </c>
      <c r="L4007" s="427">
        <v>0</v>
      </c>
      <c r="M4007" s="427" t="s">
        <v>630</v>
      </c>
      <c r="N4007" s="434">
        <v>0</v>
      </c>
      <c r="O4007" s="436">
        <f t="shared" si="160"/>
        <v>0</v>
      </c>
      <c r="P4007" s="89">
        <v>196</v>
      </c>
      <c r="Q4007" s="422" t="s">
        <v>47</v>
      </c>
      <c r="R4007" s="422" t="s">
        <v>1869</v>
      </c>
      <c r="S4007" s="422" t="s">
        <v>1861</v>
      </c>
      <c r="U4007" s="422" t="s">
        <v>1953</v>
      </c>
      <c r="V4007" s="422" t="s">
        <v>2813</v>
      </c>
    </row>
    <row r="4008" spans="1:22" ht="15.75" thickBot="1" x14ac:dyDescent="0.3">
      <c r="A4008" t="s">
        <v>1912</v>
      </c>
      <c r="B4008" t="s">
        <v>1912</v>
      </c>
      <c r="C4008" s="424" t="str">
        <f t="shared" si="159"/>
        <v>Marques, Lda.</v>
      </c>
      <c r="D4008" t="s">
        <v>629</v>
      </c>
      <c r="F4008" s="432" t="s">
        <v>620</v>
      </c>
      <c r="G4008" s="435">
        <v>1999</v>
      </c>
      <c r="H4008" s="433" t="s">
        <v>735</v>
      </c>
      <c r="I4008" s="311" t="str">
        <f t="shared" si="158"/>
        <v>Pesado de Passageiros M3:  : Gasóleo : E2</v>
      </c>
      <c r="J4008" s="433">
        <v>50</v>
      </c>
      <c r="K4008" s="422">
        <v>2023</v>
      </c>
      <c r="L4008" s="427">
        <v>8462.6034494121504</v>
      </c>
      <c r="M4008" s="427" t="s">
        <v>630</v>
      </c>
      <c r="N4008" s="434">
        <v>17534</v>
      </c>
      <c r="O4008" s="436">
        <f t="shared" si="160"/>
        <v>876700</v>
      </c>
      <c r="P4008" s="89">
        <v>199</v>
      </c>
      <c r="Q4008" s="422" t="s">
        <v>47</v>
      </c>
      <c r="R4008" s="422" t="s">
        <v>1869</v>
      </c>
      <c r="S4008" s="422" t="s">
        <v>1861</v>
      </c>
      <c r="U4008" s="422" t="s">
        <v>1953</v>
      </c>
      <c r="V4008" s="422" t="s">
        <v>2813</v>
      </c>
    </row>
    <row r="4009" spans="1:22" ht="15.75" thickBot="1" x14ac:dyDescent="0.3">
      <c r="A4009" t="s">
        <v>1912</v>
      </c>
      <c r="B4009" t="s">
        <v>1912</v>
      </c>
      <c r="C4009" s="424" t="str">
        <f t="shared" si="159"/>
        <v>Marques, Lda.</v>
      </c>
      <c r="D4009" t="s">
        <v>629</v>
      </c>
      <c r="F4009" s="432" t="s">
        <v>620</v>
      </c>
      <c r="G4009" s="435">
        <v>1999</v>
      </c>
      <c r="H4009" s="433" t="s">
        <v>735</v>
      </c>
      <c r="I4009" s="311" t="str">
        <f t="shared" si="158"/>
        <v>Pesado de Passageiros M3:  : Gasóleo : E2</v>
      </c>
      <c r="J4009" s="433">
        <v>50</v>
      </c>
      <c r="K4009" s="422">
        <v>2023</v>
      </c>
      <c r="L4009" s="427">
        <v>9297.1589680928882</v>
      </c>
      <c r="M4009" s="427" t="s">
        <v>630</v>
      </c>
      <c r="N4009" s="434">
        <v>22051</v>
      </c>
      <c r="O4009" s="436">
        <f t="shared" si="160"/>
        <v>1102550</v>
      </c>
      <c r="P4009" s="89">
        <v>200</v>
      </c>
      <c r="Q4009" s="422" t="s">
        <v>47</v>
      </c>
      <c r="R4009" s="422" t="s">
        <v>1869</v>
      </c>
      <c r="S4009" s="422" t="s">
        <v>1861</v>
      </c>
      <c r="U4009" s="422" t="s">
        <v>1953</v>
      </c>
      <c r="V4009" s="422" t="s">
        <v>2813</v>
      </c>
    </row>
    <row r="4010" spans="1:22" ht="15.75" thickBot="1" x14ac:dyDescent="0.3">
      <c r="A4010" t="s">
        <v>1912</v>
      </c>
      <c r="B4010" t="s">
        <v>1912</v>
      </c>
      <c r="C4010" s="424" t="str">
        <f t="shared" si="159"/>
        <v>Marques, Lda.</v>
      </c>
      <c r="D4010" t="s">
        <v>629</v>
      </c>
      <c r="F4010" s="432" t="s">
        <v>620</v>
      </c>
      <c r="G4010" s="435">
        <v>2004</v>
      </c>
      <c r="H4010" s="433" t="s">
        <v>732</v>
      </c>
      <c r="I4010" s="311" t="str">
        <f t="shared" si="158"/>
        <v>Pesado de Passageiros M3:  : Gasóleo : E3</v>
      </c>
      <c r="J4010" s="433">
        <v>54</v>
      </c>
      <c r="K4010" s="422">
        <v>2023</v>
      </c>
      <c r="L4010" s="427">
        <v>3129.5776030405195</v>
      </c>
      <c r="M4010" s="427" t="s">
        <v>630</v>
      </c>
      <c r="N4010" s="434">
        <v>7445</v>
      </c>
      <c r="O4010" s="436">
        <f t="shared" si="160"/>
        <v>402030</v>
      </c>
      <c r="P4010" s="89">
        <v>201</v>
      </c>
      <c r="Q4010" s="422" t="s">
        <v>47</v>
      </c>
      <c r="R4010" s="422" t="s">
        <v>1869</v>
      </c>
      <c r="S4010" s="422" t="s">
        <v>1861</v>
      </c>
      <c r="U4010" s="422" t="s">
        <v>1953</v>
      </c>
      <c r="V4010" s="422" t="s">
        <v>2813</v>
      </c>
    </row>
    <row r="4011" spans="1:22" ht="15.75" thickBot="1" x14ac:dyDescent="0.3">
      <c r="A4011" t="s">
        <v>1912</v>
      </c>
      <c r="B4011" t="s">
        <v>1912</v>
      </c>
      <c r="C4011" s="424" t="str">
        <f t="shared" si="159"/>
        <v>Marques, Lda.</v>
      </c>
      <c r="D4011" t="s">
        <v>629</v>
      </c>
      <c r="F4011" s="432" t="s">
        <v>620</v>
      </c>
      <c r="G4011" s="435">
        <v>2009</v>
      </c>
      <c r="H4011" s="433" t="s">
        <v>734</v>
      </c>
      <c r="I4011" s="311" t="str">
        <f t="shared" si="158"/>
        <v>Pesado de Passageiros M3:  : Gasóleo : E5</v>
      </c>
      <c r="J4011" s="433">
        <v>36</v>
      </c>
      <c r="K4011" s="422">
        <v>2023</v>
      </c>
      <c r="L4011" s="427">
        <v>11391.255767609651</v>
      </c>
      <c r="M4011" s="427" t="s">
        <v>630</v>
      </c>
      <c r="N4011" s="434">
        <v>37420</v>
      </c>
      <c r="O4011" s="436">
        <f t="shared" si="160"/>
        <v>1347120</v>
      </c>
      <c r="P4011" s="89">
        <v>202</v>
      </c>
      <c r="Q4011" s="422" t="s">
        <v>47</v>
      </c>
      <c r="R4011" s="422" t="s">
        <v>1869</v>
      </c>
      <c r="S4011" s="422" t="s">
        <v>1861</v>
      </c>
      <c r="U4011" s="422" t="s">
        <v>1953</v>
      </c>
      <c r="V4011" s="422" t="s">
        <v>2813</v>
      </c>
    </row>
    <row r="4012" spans="1:22" ht="15.75" thickBot="1" x14ac:dyDescent="0.3">
      <c r="A4012" t="s">
        <v>1912</v>
      </c>
      <c r="B4012" t="s">
        <v>1912</v>
      </c>
      <c r="C4012" s="424" t="str">
        <f t="shared" si="159"/>
        <v>Marques, Lda.</v>
      </c>
      <c r="D4012" t="s">
        <v>629</v>
      </c>
      <c r="F4012" s="432" t="s">
        <v>620</v>
      </c>
      <c r="G4012" s="435">
        <v>2005</v>
      </c>
      <c r="H4012" s="433" t="s">
        <v>732</v>
      </c>
      <c r="I4012" s="311" t="str">
        <f t="shared" si="158"/>
        <v>Pesado de Passageiros M3:  : Gasóleo : E3</v>
      </c>
      <c r="J4012" s="433">
        <v>68</v>
      </c>
      <c r="K4012" s="422">
        <v>2023</v>
      </c>
      <c r="L4012" s="427">
        <v>14346.866287741221</v>
      </c>
      <c r="M4012" s="427" t="s">
        <v>630</v>
      </c>
      <c r="N4012" s="434">
        <v>43146</v>
      </c>
      <c r="O4012" s="436">
        <f t="shared" si="160"/>
        <v>2933928</v>
      </c>
      <c r="P4012" s="89">
        <v>203</v>
      </c>
      <c r="Q4012" s="422" t="s">
        <v>47</v>
      </c>
      <c r="R4012" s="422" t="s">
        <v>1869</v>
      </c>
      <c r="S4012" s="422" t="s">
        <v>1861</v>
      </c>
      <c r="U4012" s="422" t="s">
        <v>1953</v>
      </c>
      <c r="V4012" s="422" t="s">
        <v>2813</v>
      </c>
    </row>
    <row r="4013" spans="1:22" ht="15.75" thickBot="1" x14ac:dyDescent="0.3">
      <c r="A4013" t="s">
        <v>1912</v>
      </c>
      <c r="B4013" t="s">
        <v>1912</v>
      </c>
      <c r="C4013" s="424" t="str">
        <f t="shared" si="159"/>
        <v>Marques, Lda.</v>
      </c>
      <c r="D4013" t="s">
        <v>629</v>
      </c>
      <c r="F4013" s="432" t="s">
        <v>620</v>
      </c>
      <c r="G4013" s="435">
        <v>2003</v>
      </c>
      <c r="H4013" s="433" t="s">
        <v>732</v>
      </c>
      <c r="I4013" s="311" t="str">
        <f t="shared" si="158"/>
        <v>Pesado de Passageiros M3:  : Gasóleo : E3</v>
      </c>
      <c r="J4013" s="433">
        <v>50</v>
      </c>
      <c r="K4013" s="422">
        <v>2023</v>
      </c>
      <c r="L4013" s="427">
        <v>13574.717208589771</v>
      </c>
      <c r="M4013" s="427" t="s">
        <v>630</v>
      </c>
      <c r="N4013" s="434">
        <v>34129</v>
      </c>
      <c r="O4013" s="436">
        <f t="shared" si="160"/>
        <v>1706450</v>
      </c>
      <c r="P4013" s="89">
        <v>204</v>
      </c>
      <c r="Q4013" s="422" t="s">
        <v>47</v>
      </c>
      <c r="R4013" s="422" t="s">
        <v>1869</v>
      </c>
      <c r="S4013" s="422" t="s">
        <v>1861</v>
      </c>
      <c r="U4013" s="422" t="s">
        <v>1953</v>
      </c>
      <c r="V4013" s="422" t="s">
        <v>2813</v>
      </c>
    </row>
    <row r="4014" spans="1:22" ht="15.75" thickBot="1" x14ac:dyDescent="0.3">
      <c r="A4014" t="s">
        <v>1912</v>
      </c>
      <c r="B4014" t="s">
        <v>1912</v>
      </c>
      <c r="C4014" s="424" t="str">
        <f t="shared" si="159"/>
        <v>Marques, Lda.</v>
      </c>
      <c r="D4014" t="s">
        <v>629</v>
      </c>
      <c r="F4014" s="432" t="s">
        <v>620</v>
      </c>
      <c r="G4014" s="435">
        <v>2006</v>
      </c>
      <c r="H4014" s="433" t="s">
        <v>731</v>
      </c>
      <c r="I4014" s="311" t="str">
        <f t="shared" si="158"/>
        <v>Pesado de Passageiros M3:  : Gasóleo : E4</v>
      </c>
      <c r="J4014" s="433">
        <v>50</v>
      </c>
      <c r="K4014" s="422">
        <v>2023</v>
      </c>
      <c r="L4014" s="427">
        <v>12701.940017815796</v>
      </c>
      <c r="M4014" s="427" t="s">
        <v>630</v>
      </c>
      <c r="N4014" s="434">
        <v>36848</v>
      </c>
      <c r="O4014" s="436">
        <f t="shared" si="160"/>
        <v>1842400</v>
      </c>
      <c r="P4014" s="89">
        <v>205</v>
      </c>
      <c r="Q4014" s="422" t="s">
        <v>47</v>
      </c>
      <c r="R4014" s="422" t="s">
        <v>1869</v>
      </c>
      <c r="S4014" s="422" t="s">
        <v>1861</v>
      </c>
      <c r="U4014" s="422" t="s">
        <v>1953</v>
      </c>
      <c r="V4014" s="422" t="s">
        <v>2813</v>
      </c>
    </row>
    <row r="4015" spans="1:22" ht="15.75" thickBot="1" x14ac:dyDescent="0.3">
      <c r="A4015" t="s">
        <v>1912</v>
      </c>
      <c r="B4015" t="s">
        <v>1912</v>
      </c>
      <c r="C4015" s="424" t="str">
        <f t="shared" si="159"/>
        <v>Marques, Lda.</v>
      </c>
      <c r="D4015" t="s">
        <v>629</v>
      </c>
      <c r="F4015" s="432" t="s">
        <v>620</v>
      </c>
      <c r="G4015" s="435">
        <v>2007</v>
      </c>
      <c r="H4015" s="433" t="s">
        <v>731</v>
      </c>
      <c r="I4015" s="311" t="str">
        <f t="shared" si="158"/>
        <v>Pesado de Passageiros M3:  : Gasóleo : E4</v>
      </c>
      <c r="J4015" s="433">
        <v>81</v>
      </c>
      <c r="K4015" s="422">
        <v>2023</v>
      </c>
      <c r="L4015" s="427">
        <v>15824.116368452957</v>
      </c>
      <c r="M4015" s="427" t="s">
        <v>630</v>
      </c>
      <c r="N4015" s="434">
        <v>37624</v>
      </c>
      <c r="O4015" s="436">
        <f t="shared" si="160"/>
        <v>3047544</v>
      </c>
      <c r="P4015" s="89">
        <v>206</v>
      </c>
      <c r="Q4015" s="422" t="s">
        <v>47</v>
      </c>
      <c r="R4015" s="422" t="s">
        <v>1869</v>
      </c>
      <c r="S4015" s="422" t="s">
        <v>1861</v>
      </c>
      <c r="U4015" s="422" t="s">
        <v>1953</v>
      </c>
      <c r="V4015" s="422" t="s">
        <v>2813</v>
      </c>
    </row>
    <row r="4016" spans="1:22" ht="15.75" thickBot="1" x14ac:dyDescent="0.3">
      <c r="A4016" t="s">
        <v>1912</v>
      </c>
      <c r="B4016" t="s">
        <v>1912</v>
      </c>
      <c r="C4016" s="424" t="str">
        <f t="shared" si="159"/>
        <v>Marques, Lda.</v>
      </c>
      <c r="D4016" t="s">
        <v>629</v>
      </c>
      <c r="F4016" s="432" t="s">
        <v>620</v>
      </c>
      <c r="G4016" s="435">
        <v>2009</v>
      </c>
      <c r="H4016" s="433" t="s">
        <v>734</v>
      </c>
      <c r="I4016" s="311" t="str">
        <f t="shared" si="158"/>
        <v>Pesado de Passageiros M3:  : Gasóleo : E5</v>
      </c>
      <c r="J4016" s="433">
        <v>71</v>
      </c>
      <c r="K4016" s="422">
        <v>2023</v>
      </c>
      <c r="L4016" s="427">
        <v>15189.812404719167</v>
      </c>
      <c r="M4016" s="427" t="s">
        <v>630</v>
      </c>
      <c r="N4016" s="434">
        <v>38990</v>
      </c>
      <c r="O4016" s="436">
        <f t="shared" si="160"/>
        <v>2768290</v>
      </c>
      <c r="P4016" s="89">
        <v>207</v>
      </c>
      <c r="Q4016" s="422" t="s">
        <v>47</v>
      </c>
      <c r="R4016" s="422" t="s">
        <v>1869</v>
      </c>
      <c r="S4016" s="422" t="s">
        <v>1861</v>
      </c>
      <c r="U4016" s="422" t="s">
        <v>1953</v>
      </c>
      <c r="V4016" s="422" t="s">
        <v>2813</v>
      </c>
    </row>
    <row r="4017" spans="1:22" ht="15.75" thickBot="1" x14ac:dyDescent="0.3">
      <c r="A4017" t="s">
        <v>1912</v>
      </c>
      <c r="B4017" t="s">
        <v>1912</v>
      </c>
      <c r="C4017" s="424" t="str">
        <f t="shared" si="159"/>
        <v>Marques, Lda.</v>
      </c>
      <c r="D4017" t="s">
        <v>629</v>
      </c>
      <c r="F4017" s="432" t="s">
        <v>620</v>
      </c>
      <c r="G4017" s="435">
        <v>2009</v>
      </c>
      <c r="H4017" s="433" t="s">
        <v>734</v>
      </c>
      <c r="I4017" s="311" t="str">
        <f t="shared" si="158"/>
        <v>Pesado de Passageiros M3:  : Gasóleo : E5</v>
      </c>
      <c r="J4017" s="433">
        <v>50</v>
      </c>
      <c r="K4017" s="422">
        <v>2023</v>
      </c>
      <c r="L4017" s="427">
        <v>16449.397253804807</v>
      </c>
      <c r="M4017" s="427" t="s">
        <v>630</v>
      </c>
      <c r="N4017" s="434">
        <v>45783</v>
      </c>
      <c r="O4017" s="436">
        <f t="shared" si="160"/>
        <v>2289150</v>
      </c>
      <c r="P4017" s="89">
        <v>208</v>
      </c>
      <c r="Q4017" s="422" t="s">
        <v>47</v>
      </c>
      <c r="R4017" s="422" t="s">
        <v>1869</v>
      </c>
      <c r="S4017" s="422" t="s">
        <v>1861</v>
      </c>
      <c r="U4017" s="422" t="s">
        <v>1953</v>
      </c>
      <c r="V4017" s="422" t="s">
        <v>2813</v>
      </c>
    </row>
    <row r="4018" spans="1:22" ht="15.75" thickBot="1" x14ac:dyDescent="0.3">
      <c r="A4018" t="s">
        <v>1912</v>
      </c>
      <c r="B4018" t="s">
        <v>1912</v>
      </c>
      <c r="C4018" s="424" t="str">
        <f t="shared" si="159"/>
        <v>Marques, Lda.</v>
      </c>
      <c r="D4018" t="s">
        <v>629</v>
      </c>
      <c r="F4018" s="432" t="s">
        <v>620</v>
      </c>
      <c r="G4018" s="435">
        <v>2011</v>
      </c>
      <c r="H4018" s="433" t="s">
        <v>734</v>
      </c>
      <c r="I4018" s="311" t="str">
        <f t="shared" si="158"/>
        <v>Pesado de Passageiros M3:  : Gasóleo : E5</v>
      </c>
      <c r="J4018" s="433">
        <v>55</v>
      </c>
      <c r="K4018" s="422">
        <v>2023</v>
      </c>
      <c r="L4018" s="427">
        <v>20895.829310027519</v>
      </c>
      <c r="M4018" s="427" t="s">
        <v>630</v>
      </c>
      <c r="N4018" s="434">
        <v>53956</v>
      </c>
      <c r="O4018" s="436">
        <f t="shared" si="160"/>
        <v>2967580</v>
      </c>
      <c r="P4018" s="89">
        <v>209</v>
      </c>
      <c r="Q4018" s="422" t="s">
        <v>47</v>
      </c>
      <c r="R4018" s="422" t="s">
        <v>1869</v>
      </c>
      <c r="S4018" s="422" t="s">
        <v>1861</v>
      </c>
      <c r="U4018" s="422" t="s">
        <v>1953</v>
      </c>
      <c r="V4018" s="422" t="s">
        <v>2813</v>
      </c>
    </row>
    <row r="4019" spans="1:22" ht="15.75" thickBot="1" x14ac:dyDescent="0.3">
      <c r="A4019" t="s">
        <v>1912</v>
      </c>
      <c r="B4019" t="s">
        <v>1912</v>
      </c>
      <c r="C4019" s="424" t="str">
        <f t="shared" si="159"/>
        <v>Marques, Lda.</v>
      </c>
      <c r="D4019" t="s">
        <v>629</v>
      </c>
      <c r="F4019" s="432" t="s">
        <v>620</v>
      </c>
      <c r="G4019" s="435">
        <v>2012</v>
      </c>
      <c r="H4019" s="433" t="s">
        <v>734</v>
      </c>
      <c r="I4019" s="311" t="str">
        <f t="shared" si="158"/>
        <v>Pesado de Passageiros M3:  : Gasóleo : E5</v>
      </c>
      <c r="J4019" s="433">
        <v>73</v>
      </c>
      <c r="K4019" s="422">
        <v>2023</v>
      </c>
      <c r="L4019" s="427">
        <v>13382.249367678021</v>
      </c>
      <c r="M4019" s="427" t="s">
        <v>630</v>
      </c>
      <c r="N4019" s="434">
        <v>31737</v>
      </c>
      <c r="O4019" s="436">
        <f t="shared" si="160"/>
        <v>2316801</v>
      </c>
      <c r="P4019" s="89">
        <v>211</v>
      </c>
      <c r="Q4019" s="422" t="s">
        <v>47</v>
      </c>
      <c r="R4019" s="422" t="s">
        <v>1869</v>
      </c>
      <c r="S4019" s="422" t="s">
        <v>1861</v>
      </c>
      <c r="U4019" s="422" t="s">
        <v>1953</v>
      </c>
      <c r="V4019" s="422" t="s">
        <v>2813</v>
      </c>
    </row>
    <row r="4020" spans="1:22" ht="15.75" thickBot="1" x14ac:dyDescent="0.3">
      <c r="A4020" t="s">
        <v>1912</v>
      </c>
      <c r="B4020" t="s">
        <v>1912</v>
      </c>
      <c r="C4020" s="424" t="str">
        <f t="shared" si="159"/>
        <v>Marques, Lda.</v>
      </c>
      <c r="D4020" t="s">
        <v>623</v>
      </c>
      <c r="F4020" s="432" t="s">
        <v>620</v>
      </c>
      <c r="G4020" s="435">
        <v>2005</v>
      </c>
      <c r="H4020" s="433" t="s">
        <v>731</v>
      </c>
      <c r="I4020" s="311" t="str">
        <f t="shared" si="158"/>
        <v>Ligeiro de Passageiros M1:  : Gasóleo : E4</v>
      </c>
      <c r="J4020" s="433">
        <v>9</v>
      </c>
      <c r="K4020" s="422">
        <v>2023</v>
      </c>
      <c r="L4020" s="427">
        <v>2236.5264435154618</v>
      </c>
      <c r="M4020" s="427" t="s">
        <v>630</v>
      </c>
      <c r="N4020" s="434">
        <v>26142</v>
      </c>
      <c r="O4020" s="436">
        <f t="shared" si="160"/>
        <v>235278</v>
      </c>
      <c r="P4020" s="89">
        <v>212</v>
      </c>
      <c r="Q4020" s="422" t="s">
        <v>47</v>
      </c>
      <c r="R4020" s="422" t="s">
        <v>1869</v>
      </c>
      <c r="S4020" s="422" t="s">
        <v>1861</v>
      </c>
      <c r="U4020" s="422" t="s">
        <v>1953</v>
      </c>
      <c r="V4020" s="422" t="s">
        <v>2813</v>
      </c>
    </row>
    <row r="4021" spans="1:22" ht="15.75" thickBot="1" x14ac:dyDescent="0.3">
      <c r="A4021" t="s">
        <v>1912</v>
      </c>
      <c r="B4021" t="s">
        <v>1912</v>
      </c>
      <c r="C4021" s="424" t="str">
        <f t="shared" si="159"/>
        <v>Marques, Lda.</v>
      </c>
      <c r="D4021" t="s">
        <v>629</v>
      </c>
      <c r="F4021" s="432" t="s">
        <v>620</v>
      </c>
      <c r="G4021" s="435">
        <v>2011</v>
      </c>
      <c r="H4021" s="433" t="s">
        <v>734</v>
      </c>
      <c r="I4021" s="311" t="str">
        <f t="shared" si="158"/>
        <v>Pesado de Passageiros M3:  : Gasóleo : E5</v>
      </c>
      <c r="J4021" s="433">
        <v>55</v>
      </c>
      <c r="K4021" s="422">
        <v>2023</v>
      </c>
      <c r="L4021" s="427">
        <v>22989.032711908989</v>
      </c>
      <c r="M4021" s="427" t="s">
        <v>630</v>
      </c>
      <c r="N4021" s="434">
        <v>66082</v>
      </c>
      <c r="O4021" s="436">
        <f t="shared" si="160"/>
        <v>3634510</v>
      </c>
      <c r="P4021" s="89">
        <v>213</v>
      </c>
      <c r="Q4021" s="422" t="s">
        <v>47</v>
      </c>
      <c r="R4021" s="422" t="s">
        <v>1869</v>
      </c>
      <c r="S4021" s="422" t="s">
        <v>1861</v>
      </c>
      <c r="U4021" s="422" t="s">
        <v>1953</v>
      </c>
      <c r="V4021" s="422" t="s">
        <v>2813</v>
      </c>
    </row>
    <row r="4022" spans="1:22" ht="15.75" thickBot="1" x14ac:dyDescent="0.3">
      <c r="A4022" t="s">
        <v>1912</v>
      </c>
      <c r="B4022" t="s">
        <v>1912</v>
      </c>
      <c r="C4022" s="424" t="str">
        <f t="shared" si="159"/>
        <v>Marques, Lda.</v>
      </c>
      <c r="D4022" t="s">
        <v>629</v>
      </c>
      <c r="F4022" s="432" t="s">
        <v>620</v>
      </c>
      <c r="G4022" s="435">
        <v>2011</v>
      </c>
      <c r="H4022" s="433" t="s">
        <v>734</v>
      </c>
      <c r="I4022" s="311" t="str">
        <f t="shared" ref="I4022:I4061" si="161">D4022&amp;": "&amp;E4022&amp;" : "&amp;F4022&amp;" : "&amp;H4022</f>
        <v>Pesado de Passageiros M3:  : Gasóleo : E5</v>
      </c>
      <c r="J4022" s="433">
        <v>55</v>
      </c>
      <c r="K4022" s="422">
        <v>2023</v>
      </c>
      <c r="L4022" s="427">
        <v>24529.927608903836</v>
      </c>
      <c r="M4022" s="427" t="s">
        <v>630</v>
      </c>
      <c r="N4022" s="434">
        <v>74304</v>
      </c>
      <c r="O4022" s="436">
        <f t="shared" si="160"/>
        <v>4086720</v>
      </c>
      <c r="P4022" s="89">
        <v>214</v>
      </c>
      <c r="Q4022" s="422" t="s">
        <v>47</v>
      </c>
      <c r="R4022" s="422" t="s">
        <v>1869</v>
      </c>
      <c r="S4022" s="422" t="s">
        <v>1861</v>
      </c>
      <c r="U4022" s="422" t="s">
        <v>1953</v>
      </c>
      <c r="V4022" s="422" t="s">
        <v>2813</v>
      </c>
    </row>
    <row r="4023" spans="1:22" ht="15.75" thickBot="1" x14ac:dyDescent="0.3">
      <c r="A4023" t="s">
        <v>1912</v>
      </c>
      <c r="B4023" t="s">
        <v>1912</v>
      </c>
      <c r="C4023" s="424" t="str">
        <f t="shared" si="159"/>
        <v>Marques, Lda.</v>
      </c>
      <c r="D4023" t="s">
        <v>629</v>
      </c>
      <c r="F4023" s="432" t="s">
        <v>620</v>
      </c>
      <c r="G4023" s="435">
        <v>2005</v>
      </c>
      <c r="H4023" s="433" t="s">
        <v>731</v>
      </c>
      <c r="I4023" s="311" t="str">
        <f t="shared" si="161"/>
        <v>Pesado de Passageiros M3:  : Gasóleo : E4</v>
      </c>
      <c r="J4023" s="433">
        <v>35</v>
      </c>
      <c r="K4023" s="422">
        <v>2023</v>
      </c>
      <c r="L4023" s="427">
        <v>9005.2848322128684</v>
      </c>
      <c r="M4023" s="427" t="s">
        <v>630</v>
      </c>
      <c r="N4023" s="434">
        <v>31924</v>
      </c>
      <c r="O4023" s="436">
        <f t="shared" si="160"/>
        <v>1117340</v>
      </c>
      <c r="P4023" s="89">
        <v>215</v>
      </c>
      <c r="Q4023" s="422" t="s">
        <v>47</v>
      </c>
      <c r="R4023" s="422" t="s">
        <v>1869</v>
      </c>
      <c r="S4023" s="422" t="s">
        <v>1861</v>
      </c>
      <c r="U4023" s="422" t="s">
        <v>1953</v>
      </c>
      <c r="V4023" s="422" t="s">
        <v>2813</v>
      </c>
    </row>
    <row r="4024" spans="1:22" ht="15.75" thickBot="1" x14ac:dyDescent="0.3">
      <c r="A4024" t="s">
        <v>1912</v>
      </c>
      <c r="B4024" t="s">
        <v>1912</v>
      </c>
      <c r="C4024" s="424" t="str">
        <f t="shared" si="159"/>
        <v>Marques, Lda.</v>
      </c>
      <c r="D4024" t="s">
        <v>629</v>
      </c>
      <c r="F4024" s="432" t="s">
        <v>620</v>
      </c>
      <c r="G4024" s="435">
        <v>2010</v>
      </c>
      <c r="H4024" s="433" t="s">
        <v>734</v>
      </c>
      <c r="I4024" s="311" t="str">
        <f t="shared" si="161"/>
        <v>Pesado de Passageiros M3:  : Gasóleo : E5</v>
      </c>
      <c r="J4024" s="433">
        <v>55</v>
      </c>
      <c r="K4024" s="422">
        <v>2023</v>
      </c>
      <c r="L4024" s="427">
        <v>24614.088544456157</v>
      </c>
      <c r="M4024" s="427" t="s">
        <v>630</v>
      </c>
      <c r="N4024" s="434">
        <v>67358</v>
      </c>
      <c r="O4024" s="436">
        <f t="shared" si="160"/>
        <v>3704690</v>
      </c>
      <c r="P4024" s="89">
        <v>216</v>
      </c>
      <c r="Q4024" s="422" t="s">
        <v>47</v>
      </c>
      <c r="R4024" s="422" t="s">
        <v>1869</v>
      </c>
      <c r="S4024" s="422" t="s">
        <v>1861</v>
      </c>
      <c r="U4024" s="422" t="s">
        <v>1953</v>
      </c>
      <c r="V4024" s="422" t="s">
        <v>2813</v>
      </c>
    </row>
    <row r="4025" spans="1:22" ht="15.75" thickBot="1" x14ac:dyDescent="0.3">
      <c r="A4025" t="s">
        <v>1912</v>
      </c>
      <c r="B4025" t="s">
        <v>1912</v>
      </c>
      <c r="C4025" s="424" t="str">
        <f t="shared" si="159"/>
        <v>Marques, Lda.</v>
      </c>
      <c r="D4025" t="s">
        <v>629</v>
      </c>
      <c r="F4025" s="432" t="s">
        <v>620</v>
      </c>
      <c r="G4025" s="435">
        <v>2010</v>
      </c>
      <c r="H4025" s="433" t="s">
        <v>734</v>
      </c>
      <c r="I4025" s="311" t="str">
        <f t="shared" si="161"/>
        <v>Pesado de Passageiros M3:  : Gasóleo : E5</v>
      </c>
      <c r="J4025" s="433">
        <v>55</v>
      </c>
      <c r="K4025" s="422">
        <v>2023</v>
      </c>
      <c r="L4025" s="427">
        <v>20423.572875575497</v>
      </c>
      <c r="M4025" s="427" t="s">
        <v>630</v>
      </c>
      <c r="N4025" s="434">
        <v>60239</v>
      </c>
      <c r="O4025" s="436">
        <f t="shared" si="160"/>
        <v>3313145</v>
      </c>
      <c r="P4025" s="89">
        <v>217</v>
      </c>
      <c r="Q4025" s="422" t="s">
        <v>47</v>
      </c>
      <c r="R4025" s="422" t="s">
        <v>1869</v>
      </c>
      <c r="S4025" s="422" t="s">
        <v>1861</v>
      </c>
      <c r="U4025" s="422" t="s">
        <v>1953</v>
      </c>
      <c r="V4025" s="422" t="s">
        <v>2813</v>
      </c>
    </row>
    <row r="4026" spans="1:22" ht="15.75" thickBot="1" x14ac:dyDescent="0.3">
      <c r="A4026" t="s">
        <v>1912</v>
      </c>
      <c r="B4026" t="s">
        <v>1912</v>
      </c>
      <c r="C4026" s="424" t="str">
        <f t="shared" si="159"/>
        <v>Marques, Lda.</v>
      </c>
      <c r="D4026" t="s">
        <v>629</v>
      </c>
      <c r="F4026" s="432" t="s">
        <v>620</v>
      </c>
      <c r="G4026" s="435">
        <v>2007</v>
      </c>
      <c r="H4026" s="433" t="s">
        <v>731</v>
      </c>
      <c r="I4026" s="311" t="str">
        <f t="shared" si="161"/>
        <v>Pesado de Passageiros M3:  : Gasóleo : E4</v>
      </c>
      <c r="J4026" s="433">
        <v>60</v>
      </c>
      <c r="K4026" s="422">
        <v>2023</v>
      </c>
      <c r="L4026" s="427">
        <v>6518.8065473432416</v>
      </c>
      <c r="M4026" s="427" t="s">
        <v>630</v>
      </c>
      <c r="N4026" s="434">
        <v>20412</v>
      </c>
      <c r="O4026" s="436">
        <f t="shared" si="160"/>
        <v>1224720</v>
      </c>
      <c r="P4026" s="89">
        <v>218</v>
      </c>
      <c r="Q4026" s="422" t="s">
        <v>47</v>
      </c>
      <c r="R4026" s="422" t="s">
        <v>1869</v>
      </c>
      <c r="S4026" s="422" t="s">
        <v>1861</v>
      </c>
      <c r="U4026" s="422" t="s">
        <v>1953</v>
      </c>
      <c r="V4026" s="422" t="s">
        <v>2813</v>
      </c>
    </row>
    <row r="4027" spans="1:22" ht="15.75" thickBot="1" x14ac:dyDescent="0.3">
      <c r="A4027" t="s">
        <v>1912</v>
      </c>
      <c r="B4027" t="s">
        <v>1912</v>
      </c>
      <c r="C4027" s="424" t="str">
        <f t="shared" si="159"/>
        <v>Marques, Lda.</v>
      </c>
      <c r="D4027" t="s">
        <v>629</v>
      </c>
      <c r="F4027" s="432" t="s">
        <v>620</v>
      </c>
      <c r="G4027" s="435">
        <v>2009</v>
      </c>
      <c r="H4027" s="433" t="s">
        <v>734</v>
      </c>
      <c r="I4027" s="311" t="str">
        <f t="shared" si="161"/>
        <v>Pesado de Passageiros M3:  : Gasóleo : E5</v>
      </c>
      <c r="J4027" s="433">
        <v>72</v>
      </c>
      <c r="K4027" s="422">
        <v>2023</v>
      </c>
      <c r="L4027" s="427">
        <v>18152.710714121949</v>
      </c>
      <c r="M4027" s="427" t="s">
        <v>630</v>
      </c>
      <c r="N4027" s="434">
        <v>41597</v>
      </c>
      <c r="O4027" s="436">
        <f t="shared" si="160"/>
        <v>2994984</v>
      </c>
      <c r="P4027" s="89">
        <v>219</v>
      </c>
      <c r="Q4027" s="422" t="s">
        <v>47</v>
      </c>
      <c r="R4027" s="422" t="s">
        <v>1869</v>
      </c>
      <c r="S4027" s="422" t="s">
        <v>1861</v>
      </c>
      <c r="U4027" s="422" t="s">
        <v>1953</v>
      </c>
      <c r="V4027" s="422" t="s">
        <v>2813</v>
      </c>
    </row>
    <row r="4028" spans="1:22" ht="15.75" thickBot="1" x14ac:dyDescent="0.3">
      <c r="A4028" t="s">
        <v>1912</v>
      </c>
      <c r="B4028" t="s">
        <v>1912</v>
      </c>
      <c r="C4028" s="424" t="str">
        <f t="shared" si="159"/>
        <v>Marques, Lda.</v>
      </c>
      <c r="D4028" t="s">
        <v>629</v>
      </c>
      <c r="F4028" s="432" t="s">
        <v>620</v>
      </c>
      <c r="G4028" s="435">
        <v>2013</v>
      </c>
      <c r="H4028" s="433" t="s">
        <v>734</v>
      </c>
      <c r="I4028" s="311" t="str">
        <f t="shared" si="161"/>
        <v>Pesado de Passageiros M3:  : Gasóleo : E5</v>
      </c>
      <c r="J4028" s="433">
        <v>55</v>
      </c>
      <c r="K4028" s="422">
        <v>2023</v>
      </c>
      <c r="L4028" s="427">
        <v>30422.221569562618</v>
      </c>
      <c r="M4028" s="427" t="s">
        <v>630</v>
      </c>
      <c r="N4028" s="434">
        <v>91155</v>
      </c>
      <c r="O4028" s="436">
        <f t="shared" si="160"/>
        <v>5013525</v>
      </c>
      <c r="P4028" s="89">
        <v>220</v>
      </c>
      <c r="Q4028" s="422" t="s">
        <v>47</v>
      </c>
      <c r="R4028" s="422" t="s">
        <v>1869</v>
      </c>
      <c r="S4028" s="422" t="s">
        <v>1861</v>
      </c>
      <c r="U4028" s="422" t="s">
        <v>1953</v>
      </c>
      <c r="V4028" s="422" t="s">
        <v>2813</v>
      </c>
    </row>
    <row r="4029" spans="1:22" ht="15.75" thickBot="1" x14ac:dyDescent="0.3">
      <c r="A4029" t="s">
        <v>1912</v>
      </c>
      <c r="B4029" t="s">
        <v>1912</v>
      </c>
      <c r="C4029" s="424" t="str">
        <f t="shared" si="159"/>
        <v>Marques, Lda.</v>
      </c>
      <c r="D4029" t="s">
        <v>629</v>
      </c>
      <c r="F4029" s="432" t="s">
        <v>620</v>
      </c>
      <c r="G4029" s="435">
        <v>2008</v>
      </c>
      <c r="H4029" s="433" t="s">
        <v>734</v>
      </c>
      <c r="I4029" s="311" t="str">
        <f t="shared" si="161"/>
        <v>Pesado de Passageiros M3:  : Gasóleo : E5</v>
      </c>
      <c r="J4029" s="433">
        <v>26</v>
      </c>
      <c r="K4029" s="422">
        <v>2023</v>
      </c>
      <c r="L4029" s="427">
        <v>3562.6903638298577</v>
      </c>
      <c r="M4029" s="427" t="s">
        <v>630</v>
      </c>
      <c r="N4029" s="434">
        <v>18848</v>
      </c>
      <c r="O4029" s="436">
        <f t="shared" si="160"/>
        <v>490048</v>
      </c>
      <c r="P4029" s="89">
        <v>221</v>
      </c>
      <c r="Q4029" s="422" t="s">
        <v>47</v>
      </c>
      <c r="R4029" s="422" t="s">
        <v>1869</v>
      </c>
      <c r="S4029" s="422" t="s">
        <v>1861</v>
      </c>
      <c r="U4029" s="422" t="s">
        <v>1953</v>
      </c>
      <c r="V4029" s="422" t="s">
        <v>2813</v>
      </c>
    </row>
    <row r="4030" spans="1:22" ht="15.75" thickBot="1" x14ac:dyDescent="0.3">
      <c r="A4030" t="s">
        <v>1912</v>
      </c>
      <c r="B4030" t="s">
        <v>1912</v>
      </c>
      <c r="C4030" s="424" t="str">
        <f t="shared" si="159"/>
        <v>Marques, Lda.</v>
      </c>
      <c r="D4030" t="s">
        <v>629</v>
      </c>
      <c r="F4030" s="432" t="s">
        <v>620</v>
      </c>
      <c r="G4030" s="435">
        <v>2017</v>
      </c>
      <c r="H4030" s="433" t="s">
        <v>733</v>
      </c>
      <c r="I4030" s="311" t="str">
        <f t="shared" si="161"/>
        <v>Pesado de Passageiros M3:  : Gasóleo : E6</v>
      </c>
      <c r="J4030" s="433">
        <v>55</v>
      </c>
      <c r="K4030" s="422">
        <v>2023</v>
      </c>
      <c r="L4030" s="427">
        <v>48857.402620780413</v>
      </c>
      <c r="M4030" s="427" t="s">
        <v>630</v>
      </c>
      <c r="N4030" s="434">
        <v>158706</v>
      </c>
      <c r="O4030" s="436">
        <f t="shared" si="160"/>
        <v>8728830</v>
      </c>
      <c r="P4030" s="89">
        <v>222</v>
      </c>
      <c r="Q4030" s="422" t="s">
        <v>47</v>
      </c>
      <c r="R4030" s="422" t="s">
        <v>1869</v>
      </c>
      <c r="S4030" s="422" t="s">
        <v>1861</v>
      </c>
      <c r="U4030" s="422" t="s">
        <v>1953</v>
      </c>
      <c r="V4030" s="422" t="s">
        <v>2813</v>
      </c>
    </row>
    <row r="4031" spans="1:22" ht="15.75" thickBot="1" x14ac:dyDescent="0.3">
      <c r="A4031" t="s">
        <v>1912</v>
      </c>
      <c r="B4031" t="s">
        <v>1912</v>
      </c>
      <c r="C4031" s="424" t="str">
        <f t="shared" si="159"/>
        <v>Marques, Lda.</v>
      </c>
      <c r="D4031" t="s">
        <v>629</v>
      </c>
      <c r="F4031" s="432" t="s">
        <v>620</v>
      </c>
      <c r="G4031" s="435">
        <v>2017</v>
      </c>
      <c r="H4031" s="433" t="s">
        <v>733</v>
      </c>
      <c r="I4031" s="311" t="str">
        <f t="shared" si="161"/>
        <v>Pesado de Passageiros M3:  : Gasóleo : E6</v>
      </c>
      <c r="J4031" s="433">
        <v>55</v>
      </c>
      <c r="K4031" s="422">
        <v>2023</v>
      </c>
      <c r="L4031" s="427">
        <v>55176.909086431886</v>
      </c>
      <c r="M4031" s="427" t="s">
        <v>630</v>
      </c>
      <c r="N4031" s="434">
        <v>184801</v>
      </c>
      <c r="O4031" s="436">
        <f t="shared" si="160"/>
        <v>10164055</v>
      </c>
      <c r="P4031" s="89">
        <v>223</v>
      </c>
      <c r="Q4031" s="422" t="s">
        <v>47</v>
      </c>
      <c r="R4031" s="422" t="s">
        <v>1869</v>
      </c>
      <c r="S4031" s="422" t="s">
        <v>1861</v>
      </c>
      <c r="U4031" s="422" t="s">
        <v>1953</v>
      </c>
      <c r="V4031" s="422" t="s">
        <v>2813</v>
      </c>
    </row>
    <row r="4032" spans="1:22" ht="15.75" thickBot="1" x14ac:dyDescent="0.3">
      <c r="A4032" t="s">
        <v>1912</v>
      </c>
      <c r="B4032" t="s">
        <v>1912</v>
      </c>
      <c r="C4032" s="424" t="str">
        <f t="shared" si="159"/>
        <v>Marques, Lda.</v>
      </c>
      <c r="D4032" t="s">
        <v>629</v>
      </c>
      <c r="F4032" s="432" t="s">
        <v>620</v>
      </c>
      <c r="G4032" s="435">
        <v>2011</v>
      </c>
      <c r="H4032" s="433" t="s">
        <v>734</v>
      </c>
      <c r="I4032" s="311" t="str">
        <f t="shared" si="161"/>
        <v>Pesado de Passageiros M3:  : Gasóleo : E5</v>
      </c>
      <c r="J4032" s="433">
        <v>55</v>
      </c>
      <c r="K4032" s="422">
        <v>2023</v>
      </c>
      <c r="L4032" s="427">
        <v>23667.905944361359</v>
      </c>
      <c r="M4032" s="427" t="s">
        <v>630</v>
      </c>
      <c r="N4032" s="434">
        <v>70249</v>
      </c>
      <c r="O4032" s="436">
        <f t="shared" si="160"/>
        <v>3863695</v>
      </c>
      <c r="P4032" s="89">
        <v>224</v>
      </c>
      <c r="Q4032" s="422" t="s">
        <v>47</v>
      </c>
      <c r="R4032" s="422" t="s">
        <v>1869</v>
      </c>
      <c r="S4032" s="422" t="s">
        <v>1861</v>
      </c>
      <c r="U4032" s="422" t="s">
        <v>1953</v>
      </c>
      <c r="V4032" s="422" t="s">
        <v>2813</v>
      </c>
    </row>
    <row r="4033" spans="1:22" ht="15.75" thickBot="1" x14ac:dyDescent="0.3">
      <c r="A4033" t="s">
        <v>1912</v>
      </c>
      <c r="B4033" t="s">
        <v>1912</v>
      </c>
      <c r="C4033" s="424" t="str">
        <f t="shared" si="159"/>
        <v>Marques, Lda.</v>
      </c>
      <c r="D4033" t="s">
        <v>629</v>
      </c>
      <c r="F4033" s="432" t="s">
        <v>620</v>
      </c>
      <c r="G4033" s="435">
        <v>2012</v>
      </c>
      <c r="H4033" s="433" t="s">
        <v>734</v>
      </c>
      <c r="I4033" s="311" t="str">
        <f t="shared" si="161"/>
        <v>Pesado de Passageiros M3:  : Gasóleo : E5</v>
      </c>
      <c r="J4033" s="433">
        <v>55</v>
      </c>
      <c r="K4033" s="422">
        <v>2023</v>
      </c>
      <c r="L4033" s="427">
        <v>22204.491780577839</v>
      </c>
      <c r="M4033" s="427" t="s">
        <v>630</v>
      </c>
      <c r="N4033" s="434">
        <v>64996</v>
      </c>
      <c r="O4033" s="436">
        <f t="shared" si="160"/>
        <v>3574780</v>
      </c>
      <c r="P4033" s="89">
        <v>225</v>
      </c>
      <c r="Q4033" s="422" t="s">
        <v>47</v>
      </c>
      <c r="R4033" s="422" t="s">
        <v>1869</v>
      </c>
      <c r="S4033" s="422" t="s">
        <v>1861</v>
      </c>
      <c r="U4033" s="422" t="s">
        <v>1953</v>
      </c>
      <c r="V4033" s="422" t="s">
        <v>2813</v>
      </c>
    </row>
    <row r="4034" spans="1:22" ht="15.75" thickBot="1" x14ac:dyDescent="0.3">
      <c r="A4034" t="s">
        <v>1912</v>
      </c>
      <c r="B4034" t="s">
        <v>1912</v>
      </c>
      <c r="C4034" s="424" t="str">
        <f t="shared" si="159"/>
        <v>Marques, Lda.</v>
      </c>
      <c r="D4034" t="s">
        <v>629</v>
      </c>
      <c r="F4034" s="432" t="s">
        <v>620</v>
      </c>
      <c r="G4034" s="435">
        <v>2018</v>
      </c>
      <c r="H4034" s="433" t="s">
        <v>733</v>
      </c>
      <c r="I4034" s="311" t="str">
        <f t="shared" si="161"/>
        <v>Pesado de Passageiros M3:  : Gasóleo : E6</v>
      </c>
      <c r="J4034" s="433">
        <v>55</v>
      </c>
      <c r="K4034" s="422">
        <v>2023</v>
      </c>
      <c r="L4034" s="427">
        <v>51510.661320945677</v>
      </c>
      <c r="M4034" s="427" t="s">
        <v>630</v>
      </c>
      <c r="N4034" s="434">
        <v>177650</v>
      </c>
      <c r="O4034" s="436">
        <f t="shared" si="160"/>
        <v>9770750</v>
      </c>
      <c r="P4034" s="89">
        <v>226</v>
      </c>
      <c r="Q4034" s="422" t="s">
        <v>47</v>
      </c>
      <c r="R4034" s="422" t="s">
        <v>1869</v>
      </c>
      <c r="S4034" s="422" t="s">
        <v>1861</v>
      </c>
      <c r="U4034" s="422" t="s">
        <v>1953</v>
      </c>
      <c r="V4034" s="422" t="s">
        <v>2813</v>
      </c>
    </row>
    <row r="4035" spans="1:22" ht="15.75" thickBot="1" x14ac:dyDescent="0.3">
      <c r="A4035" t="s">
        <v>1912</v>
      </c>
      <c r="B4035" t="s">
        <v>1912</v>
      </c>
      <c r="C4035" s="424" t="str">
        <f t="shared" si="159"/>
        <v>Marques, Lda.</v>
      </c>
      <c r="D4035" t="s">
        <v>629</v>
      </c>
      <c r="F4035" s="432" t="s">
        <v>620</v>
      </c>
      <c r="G4035" s="435">
        <v>2008</v>
      </c>
      <c r="H4035" s="433" t="s">
        <v>734</v>
      </c>
      <c r="I4035" s="311" t="str">
        <f t="shared" si="161"/>
        <v>Pesado de Passageiros M3:  : Gasóleo : E5</v>
      </c>
      <c r="J4035" s="433">
        <v>92</v>
      </c>
      <c r="K4035" s="422">
        <v>2023</v>
      </c>
      <c r="L4035" s="427">
        <v>7497.3593546054508</v>
      </c>
      <c r="M4035" s="427" t="s">
        <v>630</v>
      </c>
      <c r="N4035" s="434">
        <v>16291</v>
      </c>
      <c r="O4035" s="436">
        <f t="shared" si="160"/>
        <v>1498772</v>
      </c>
      <c r="P4035" s="89">
        <v>227</v>
      </c>
      <c r="Q4035" s="422" t="s">
        <v>47</v>
      </c>
      <c r="R4035" s="422" t="s">
        <v>1869</v>
      </c>
      <c r="S4035" s="422" t="s">
        <v>1861</v>
      </c>
      <c r="U4035" s="422" t="s">
        <v>1953</v>
      </c>
      <c r="V4035" s="422" t="s">
        <v>2813</v>
      </c>
    </row>
    <row r="4036" spans="1:22" ht="15.75" thickBot="1" x14ac:dyDescent="0.3">
      <c r="A4036" t="s">
        <v>1912</v>
      </c>
      <c r="B4036" t="s">
        <v>1912</v>
      </c>
      <c r="C4036" s="424" t="str">
        <f t="shared" si="159"/>
        <v>Marques, Lda.</v>
      </c>
      <c r="D4036" t="s">
        <v>629</v>
      </c>
      <c r="F4036" s="432" t="s">
        <v>620</v>
      </c>
      <c r="G4036" s="435">
        <v>2014</v>
      </c>
      <c r="H4036" s="433" t="s">
        <v>734</v>
      </c>
      <c r="I4036" s="311" t="str">
        <f t="shared" si="161"/>
        <v>Pesado de Passageiros M3:  : Gasóleo : E5</v>
      </c>
      <c r="J4036" s="433">
        <v>55</v>
      </c>
      <c r="K4036" s="422">
        <v>2023</v>
      </c>
      <c r="L4036" s="427">
        <v>32017.842010723289</v>
      </c>
      <c r="M4036" s="427" t="s">
        <v>630</v>
      </c>
      <c r="N4036" s="434">
        <v>98537</v>
      </c>
      <c r="O4036" s="436">
        <f t="shared" si="160"/>
        <v>5419535</v>
      </c>
      <c r="P4036" s="89">
        <v>228</v>
      </c>
      <c r="Q4036" s="422" t="s">
        <v>47</v>
      </c>
      <c r="R4036" s="422" t="s">
        <v>1869</v>
      </c>
      <c r="S4036" s="422" t="s">
        <v>1861</v>
      </c>
      <c r="U4036" s="422" t="s">
        <v>1953</v>
      </c>
      <c r="V4036" s="422" t="s">
        <v>2813</v>
      </c>
    </row>
    <row r="4037" spans="1:22" ht="15.75" thickBot="1" x14ac:dyDescent="0.3">
      <c r="A4037" t="s">
        <v>1912</v>
      </c>
      <c r="B4037" t="s">
        <v>1912</v>
      </c>
      <c r="C4037" s="424" t="str">
        <f t="shared" si="159"/>
        <v>Marques, Lda.</v>
      </c>
      <c r="D4037" t="s">
        <v>629</v>
      </c>
      <c r="F4037" s="432" t="s">
        <v>620</v>
      </c>
      <c r="G4037" s="435">
        <v>2014</v>
      </c>
      <c r="H4037" s="433" t="s">
        <v>734</v>
      </c>
      <c r="I4037" s="311" t="str">
        <f t="shared" si="161"/>
        <v>Pesado de Passageiros M3:  : Gasóleo : E5</v>
      </c>
      <c r="J4037" s="433">
        <v>55</v>
      </c>
      <c r="K4037" s="422">
        <v>2023</v>
      </c>
      <c r="L4037" s="427">
        <v>36535.056760492495</v>
      </c>
      <c r="M4037" s="427" t="s">
        <v>630</v>
      </c>
      <c r="N4037" s="434">
        <v>116709</v>
      </c>
      <c r="O4037" s="436">
        <f t="shared" si="160"/>
        <v>6418995</v>
      </c>
      <c r="P4037" s="89">
        <v>229</v>
      </c>
      <c r="Q4037" s="422" t="s">
        <v>47</v>
      </c>
      <c r="R4037" s="422" t="s">
        <v>1869</v>
      </c>
      <c r="S4037" s="422" t="s">
        <v>1861</v>
      </c>
      <c r="U4037" s="422" t="s">
        <v>1953</v>
      </c>
      <c r="V4037" s="422" t="s">
        <v>2813</v>
      </c>
    </row>
    <row r="4038" spans="1:22" ht="15.75" thickBot="1" x14ac:dyDescent="0.3">
      <c r="A4038" t="s">
        <v>1912</v>
      </c>
      <c r="B4038" t="s">
        <v>1912</v>
      </c>
      <c r="C4038" s="424" t="str">
        <f t="shared" si="159"/>
        <v>Marques, Lda.</v>
      </c>
      <c r="D4038" t="s">
        <v>629</v>
      </c>
      <c r="F4038" s="432" t="s">
        <v>620</v>
      </c>
      <c r="G4038" s="435">
        <v>2014</v>
      </c>
      <c r="H4038" s="433" t="s">
        <v>734</v>
      </c>
      <c r="I4038" s="311" t="str">
        <f t="shared" si="161"/>
        <v>Pesado de Passageiros M3:  : Gasóleo : E5</v>
      </c>
      <c r="J4038" s="433">
        <v>55</v>
      </c>
      <c r="K4038" s="422">
        <v>2023</v>
      </c>
      <c r="L4038" s="427">
        <v>34450.210294239514</v>
      </c>
      <c r="M4038" s="427" t="s">
        <v>630</v>
      </c>
      <c r="N4038" s="434">
        <v>109827</v>
      </c>
      <c r="O4038" s="436">
        <f t="shared" si="160"/>
        <v>6040485</v>
      </c>
      <c r="P4038" s="89">
        <v>230</v>
      </c>
      <c r="Q4038" s="422" t="s">
        <v>47</v>
      </c>
      <c r="R4038" s="422" t="s">
        <v>1869</v>
      </c>
      <c r="S4038" s="422" t="s">
        <v>1861</v>
      </c>
      <c r="U4038" s="422" t="s">
        <v>1953</v>
      </c>
      <c r="V4038" s="422" t="s">
        <v>2813</v>
      </c>
    </row>
    <row r="4039" spans="1:22" ht="15.75" thickBot="1" x14ac:dyDescent="0.3">
      <c r="A4039" t="s">
        <v>1912</v>
      </c>
      <c r="B4039" t="s">
        <v>1912</v>
      </c>
      <c r="C4039" s="424" t="str">
        <f t="shared" si="159"/>
        <v>Marques, Lda.</v>
      </c>
      <c r="D4039" t="s">
        <v>629</v>
      </c>
      <c r="F4039" s="432" t="s">
        <v>620</v>
      </c>
      <c r="G4039" s="435">
        <v>2009</v>
      </c>
      <c r="H4039" s="433" t="s">
        <v>734</v>
      </c>
      <c r="I4039" s="311" t="str">
        <f t="shared" si="161"/>
        <v>Pesado de Passageiros M3:  : Gasóleo : E5</v>
      </c>
      <c r="J4039" s="433">
        <v>25</v>
      </c>
      <c r="K4039" s="422">
        <v>2023</v>
      </c>
      <c r="L4039" s="427">
        <v>4438.2974842578633</v>
      </c>
      <c r="M4039" s="427" t="s">
        <v>630</v>
      </c>
      <c r="N4039" s="434">
        <v>25753</v>
      </c>
      <c r="O4039" s="436">
        <f t="shared" si="160"/>
        <v>643825</v>
      </c>
      <c r="P4039" s="89">
        <v>231</v>
      </c>
      <c r="Q4039" s="422" t="s">
        <v>47</v>
      </c>
      <c r="R4039" s="422" t="s">
        <v>1869</v>
      </c>
      <c r="S4039" s="422" t="s">
        <v>1861</v>
      </c>
      <c r="U4039" s="422" t="s">
        <v>1953</v>
      </c>
      <c r="V4039" s="422" t="s">
        <v>2813</v>
      </c>
    </row>
    <row r="4040" spans="1:22" ht="15.75" thickBot="1" x14ac:dyDescent="0.3">
      <c r="A4040" t="s">
        <v>1912</v>
      </c>
      <c r="B4040" t="s">
        <v>1912</v>
      </c>
      <c r="C4040" s="424" t="str">
        <f t="shared" si="159"/>
        <v>Marques, Lda.</v>
      </c>
      <c r="D4040" t="s">
        <v>629</v>
      </c>
      <c r="F4040" s="432" t="s">
        <v>620</v>
      </c>
      <c r="G4040" s="435">
        <v>2008</v>
      </c>
      <c r="H4040" s="433" t="s">
        <v>734</v>
      </c>
      <c r="I4040" s="311" t="str">
        <f t="shared" si="161"/>
        <v>Pesado de Passageiros M3:  : Gasóleo : E5</v>
      </c>
      <c r="J4040" s="433">
        <v>20</v>
      </c>
      <c r="K4040" s="422">
        <v>2023</v>
      </c>
      <c r="L4040" s="427">
        <v>4826.4320991005698</v>
      </c>
      <c r="M4040" s="427" t="s">
        <v>630</v>
      </c>
      <c r="N4040" s="434">
        <v>24990</v>
      </c>
      <c r="O4040" s="436">
        <f t="shared" si="160"/>
        <v>499800</v>
      </c>
      <c r="P4040" s="89">
        <v>232</v>
      </c>
      <c r="Q4040" s="422" t="s">
        <v>47</v>
      </c>
      <c r="R4040" s="422" t="s">
        <v>1869</v>
      </c>
      <c r="S4040" s="422" t="s">
        <v>1861</v>
      </c>
      <c r="U4040" s="422" t="s">
        <v>1953</v>
      </c>
      <c r="V4040" s="422" t="s">
        <v>2813</v>
      </c>
    </row>
    <row r="4041" spans="1:22" ht="15.75" thickBot="1" x14ac:dyDescent="0.3">
      <c r="A4041" t="s">
        <v>1912</v>
      </c>
      <c r="B4041" t="s">
        <v>1912</v>
      </c>
      <c r="C4041" s="424" t="str">
        <f t="shared" si="159"/>
        <v>Marques, Lda.</v>
      </c>
      <c r="D4041" t="s">
        <v>629</v>
      </c>
      <c r="F4041" s="432" t="s">
        <v>620</v>
      </c>
      <c r="G4041" s="435">
        <v>2012</v>
      </c>
      <c r="H4041" s="433" t="s">
        <v>734</v>
      </c>
      <c r="I4041" s="311" t="str">
        <f t="shared" si="161"/>
        <v>Pesado de Passageiros M3:  : Gasóleo : E5</v>
      </c>
      <c r="J4041" s="433">
        <v>35</v>
      </c>
      <c r="K4041" s="422">
        <v>2023</v>
      </c>
      <c r="L4041" s="427">
        <v>7187.2262421617206</v>
      </c>
      <c r="M4041" s="427" t="s">
        <v>630</v>
      </c>
      <c r="N4041" s="434">
        <v>25452</v>
      </c>
      <c r="O4041" s="436">
        <f t="shared" si="160"/>
        <v>890820</v>
      </c>
      <c r="P4041" s="89">
        <v>233</v>
      </c>
      <c r="Q4041" s="422" t="s">
        <v>47</v>
      </c>
      <c r="R4041" s="422" t="s">
        <v>1869</v>
      </c>
      <c r="S4041" s="422" t="s">
        <v>1861</v>
      </c>
      <c r="U4041" s="422" t="s">
        <v>1953</v>
      </c>
      <c r="V4041" s="422" t="s">
        <v>2813</v>
      </c>
    </row>
    <row r="4042" spans="1:22" ht="15.75" thickBot="1" x14ac:dyDescent="0.3">
      <c r="A4042" t="s">
        <v>1912</v>
      </c>
      <c r="B4042" t="s">
        <v>1912</v>
      </c>
      <c r="C4042" s="424" t="str">
        <f t="shared" si="159"/>
        <v>Marques, Lda.</v>
      </c>
      <c r="D4042" t="s">
        <v>629</v>
      </c>
      <c r="F4042" s="432" t="s">
        <v>620</v>
      </c>
      <c r="G4042" s="435">
        <v>2015</v>
      </c>
      <c r="H4042" s="433" t="s">
        <v>733</v>
      </c>
      <c r="I4042" s="311" t="str">
        <f t="shared" si="161"/>
        <v>Pesado de Passageiros M3:  : Gasóleo : E6</v>
      </c>
      <c r="J4042" s="433">
        <v>54</v>
      </c>
      <c r="K4042" s="422">
        <v>2023</v>
      </c>
      <c r="L4042" s="427">
        <v>31679.098305537438</v>
      </c>
      <c r="M4042" s="427" t="s">
        <v>630</v>
      </c>
      <c r="N4042" s="434">
        <v>107883</v>
      </c>
      <c r="O4042" s="436">
        <f t="shared" si="160"/>
        <v>5825682</v>
      </c>
      <c r="P4042" s="89">
        <v>234</v>
      </c>
      <c r="Q4042" s="422" t="s">
        <v>47</v>
      </c>
      <c r="R4042" s="422" t="s">
        <v>1869</v>
      </c>
      <c r="S4042" s="422" t="s">
        <v>1861</v>
      </c>
      <c r="U4042" s="422" t="s">
        <v>1953</v>
      </c>
      <c r="V4042" s="422" t="s">
        <v>2813</v>
      </c>
    </row>
    <row r="4043" spans="1:22" ht="15.75" thickBot="1" x14ac:dyDescent="0.3">
      <c r="A4043" t="s">
        <v>1912</v>
      </c>
      <c r="B4043" t="s">
        <v>1912</v>
      </c>
      <c r="C4043" s="424" t="str">
        <f t="shared" si="159"/>
        <v>Marques, Lda.</v>
      </c>
      <c r="D4043" t="s">
        <v>629</v>
      </c>
      <c r="F4043" s="432" t="s">
        <v>620</v>
      </c>
      <c r="G4043" s="435">
        <v>2015</v>
      </c>
      <c r="H4043" s="433" t="s">
        <v>733</v>
      </c>
      <c r="I4043" s="311" t="str">
        <f t="shared" si="161"/>
        <v>Pesado de Passageiros M3:  : Gasóleo : E6</v>
      </c>
      <c r="J4043" s="433">
        <v>54</v>
      </c>
      <c r="K4043" s="422">
        <v>2023</v>
      </c>
      <c r="L4043" s="427">
        <v>45203.274442280934</v>
      </c>
      <c r="M4043" s="427" t="s">
        <v>630</v>
      </c>
      <c r="N4043" s="434">
        <v>161338</v>
      </c>
      <c r="O4043" s="436">
        <f t="shared" si="160"/>
        <v>8712252</v>
      </c>
      <c r="P4043" s="89">
        <v>235</v>
      </c>
      <c r="Q4043" s="422" t="s">
        <v>47</v>
      </c>
      <c r="R4043" s="422" t="s">
        <v>1869</v>
      </c>
      <c r="S4043" s="422" t="s">
        <v>1861</v>
      </c>
      <c r="U4043" s="422" t="s">
        <v>1953</v>
      </c>
      <c r="V4043" s="422" t="s">
        <v>2813</v>
      </c>
    </row>
    <row r="4044" spans="1:22" ht="15.75" thickBot="1" x14ac:dyDescent="0.3">
      <c r="A4044" t="s">
        <v>1912</v>
      </c>
      <c r="B4044" t="s">
        <v>1912</v>
      </c>
      <c r="C4044" s="424" t="str">
        <f t="shared" si="159"/>
        <v>Marques, Lda.</v>
      </c>
      <c r="D4044" t="s">
        <v>629</v>
      </c>
      <c r="F4044" s="432" t="s">
        <v>620</v>
      </c>
      <c r="G4044" s="435">
        <v>2005</v>
      </c>
      <c r="H4044" s="433" t="s">
        <v>731</v>
      </c>
      <c r="I4044" s="311" t="str">
        <f t="shared" si="161"/>
        <v>Pesado de Passageiros M3:  : Gasóleo : E4</v>
      </c>
      <c r="J4044" s="433">
        <v>35</v>
      </c>
      <c r="K4044" s="422">
        <v>2023</v>
      </c>
      <c r="L4044" s="427">
        <v>11008.670658667143</v>
      </c>
      <c r="M4044" s="427" t="s">
        <v>630</v>
      </c>
      <c r="N4044" s="434">
        <v>35823</v>
      </c>
      <c r="O4044" s="436">
        <f t="shared" si="160"/>
        <v>1253805</v>
      </c>
      <c r="P4044" s="89">
        <v>236</v>
      </c>
      <c r="Q4044" s="422" t="s">
        <v>47</v>
      </c>
      <c r="R4044" s="422" t="s">
        <v>1869</v>
      </c>
      <c r="S4044" s="422" t="s">
        <v>1861</v>
      </c>
      <c r="U4044" s="422" t="s">
        <v>1953</v>
      </c>
      <c r="V4044" s="422" t="s">
        <v>2813</v>
      </c>
    </row>
    <row r="4045" spans="1:22" ht="15.75" thickBot="1" x14ac:dyDescent="0.3">
      <c r="A4045" t="s">
        <v>1912</v>
      </c>
      <c r="B4045" t="s">
        <v>1912</v>
      </c>
      <c r="C4045" s="424" t="str">
        <f t="shared" si="159"/>
        <v>Marques, Lda.</v>
      </c>
      <c r="D4045" t="s">
        <v>629</v>
      </c>
      <c r="F4045" s="432" t="s">
        <v>620</v>
      </c>
      <c r="G4045" s="435">
        <v>2009</v>
      </c>
      <c r="H4045" s="433" t="s">
        <v>734</v>
      </c>
      <c r="I4045" s="311" t="str">
        <f t="shared" si="161"/>
        <v>Pesado de Passageiros M3:  : Gasóleo : E5</v>
      </c>
      <c r="J4045" s="433">
        <v>24</v>
      </c>
      <c r="K4045" s="422">
        <v>2023</v>
      </c>
      <c r="L4045" s="427">
        <v>6917.4156398961368</v>
      </c>
      <c r="M4045" s="427" t="s">
        <v>630</v>
      </c>
      <c r="N4045" s="434">
        <v>37677</v>
      </c>
      <c r="O4045" s="436">
        <f t="shared" si="160"/>
        <v>904248</v>
      </c>
      <c r="P4045" s="89">
        <v>237</v>
      </c>
      <c r="Q4045" s="422" t="s">
        <v>47</v>
      </c>
      <c r="R4045" s="422" t="s">
        <v>1869</v>
      </c>
      <c r="S4045" s="422" t="s">
        <v>1861</v>
      </c>
      <c r="U4045" s="422" t="s">
        <v>1953</v>
      </c>
      <c r="V4045" s="422" t="s">
        <v>2813</v>
      </c>
    </row>
    <row r="4046" spans="1:22" ht="15.75" thickBot="1" x14ac:dyDescent="0.3">
      <c r="A4046" t="s">
        <v>1912</v>
      </c>
      <c r="B4046" t="s">
        <v>1912</v>
      </c>
      <c r="C4046" s="424" t="str">
        <f t="shared" si="159"/>
        <v>Marques, Lda.</v>
      </c>
      <c r="D4046" t="s">
        <v>629</v>
      </c>
      <c r="F4046" s="432" t="s">
        <v>620</v>
      </c>
      <c r="G4046" s="435">
        <v>2009</v>
      </c>
      <c r="H4046" s="433" t="s">
        <v>734</v>
      </c>
      <c r="I4046" s="311" t="str">
        <f t="shared" si="161"/>
        <v>Pesado de Passageiros M3:  : Gasóleo : E5</v>
      </c>
      <c r="J4046" s="433">
        <v>24</v>
      </c>
      <c r="K4046" s="422">
        <v>2023</v>
      </c>
      <c r="L4046" s="427">
        <v>4330.6785057392372</v>
      </c>
      <c r="M4046" s="427" t="s">
        <v>630</v>
      </c>
      <c r="N4046" s="434">
        <v>23888</v>
      </c>
      <c r="O4046" s="436">
        <f t="shared" si="160"/>
        <v>573312</v>
      </c>
      <c r="P4046" s="89">
        <v>238</v>
      </c>
      <c r="Q4046" s="422" t="s">
        <v>47</v>
      </c>
      <c r="R4046" s="422" t="s">
        <v>1869</v>
      </c>
      <c r="S4046" s="422" t="s">
        <v>1861</v>
      </c>
      <c r="U4046" s="422" t="s">
        <v>1953</v>
      </c>
      <c r="V4046" s="422" t="s">
        <v>2813</v>
      </c>
    </row>
    <row r="4047" spans="1:22" ht="15.75" thickBot="1" x14ac:dyDescent="0.3">
      <c r="A4047" t="s">
        <v>1912</v>
      </c>
      <c r="B4047" t="s">
        <v>1912</v>
      </c>
      <c r="C4047" s="424" t="str">
        <f t="shared" si="159"/>
        <v>Marques, Lda.</v>
      </c>
      <c r="D4047" t="s">
        <v>629</v>
      </c>
      <c r="F4047" s="432" t="s">
        <v>620</v>
      </c>
      <c r="G4047" s="435">
        <v>2017</v>
      </c>
      <c r="H4047" s="433" t="s">
        <v>733</v>
      </c>
      <c r="I4047" s="311" t="str">
        <f t="shared" si="161"/>
        <v>Pesado de Passageiros M3:  : Gasóleo : E6</v>
      </c>
      <c r="J4047" s="433">
        <v>53</v>
      </c>
      <c r="K4047" s="422">
        <v>2023</v>
      </c>
      <c r="L4047" s="427">
        <v>47026.970079926563</v>
      </c>
      <c r="M4047" s="427" t="s">
        <v>630</v>
      </c>
      <c r="N4047" s="434">
        <v>158346</v>
      </c>
      <c r="O4047" s="436">
        <f t="shared" si="160"/>
        <v>8392338</v>
      </c>
      <c r="P4047" s="89">
        <v>239</v>
      </c>
      <c r="Q4047" s="422" t="s">
        <v>47</v>
      </c>
      <c r="R4047" s="422" t="s">
        <v>1869</v>
      </c>
      <c r="S4047" s="422" t="s">
        <v>1861</v>
      </c>
      <c r="U4047" s="422" t="s">
        <v>1953</v>
      </c>
      <c r="V4047" s="422" t="s">
        <v>2813</v>
      </c>
    </row>
    <row r="4048" spans="1:22" ht="15.75" thickBot="1" x14ac:dyDescent="0.3">
      <c r="A4048" t="s">
        <v>1912</v>
      </c>
      <c r="B4048" t="s">
        <v>1912</v>
      </c>
      <c r="C4048" s="424" t="str">
        <f t="shared" si="159"/>
        <v>Marques, Lda.</v>
      </c>
      <c r="D4048" t="s">
        <v>629</v>
      </c>
      <c r="F4048" s="432" t="s">
        <v>620</v>
      </c>
      <c r="G4048" s="435">
        <v>2017</v>
      </c>
      <c r="H4048" s="433" t="s">
        <v>733</v>
      </c>
      <c r="I4048" s="311" t="str">
        <f t="shared" si="161"/>
        <v>Pesado de Passageiros M3:  : Gasóleo : E6</v>
      </c>
      <c r="J4048" s="433">
        <v>53</v>
      </c>
      <c r="K4048" s="422">
        <v>2023</v>
      </c>
      <c r="L4048" s="427">
        <v>53571.248218952067</v>
      </c>
      <c r="M4048" s="427" t="s">
        <v>630</v>
      </c>
      <c r="N4048" s="434">
        <v>176650</v>
      </c>
      <c r="O4048" s="436">
        <f t="shared" si="160"/>
        <v>9362450</v>
      </c>
      <c r="P4048" s="89">
        <v>240</v>
      </c>
      <c r="Q4048" s="422" t="s">
        <v>47</v>
      </c>
      <c r="R4048" s="422" t="s">
        <v>1869</v>
      </c>
      <c r="S4048" s="422" t="s">
        <v>1861</v>
      </c>
      <c r="U4048" s="422" t="s">
        <v>1953</v>
      </c>
      <c r="V4048" s="422" t="s">
        <v>2813</v>
      </c>
    </row>
    <row r="4049" spans="1:22" ht="15.75" thickBot="1" x14ac:dyDescent="0.3">
      <c r="A4049" t="s">
        <v>1912</v>
      </c>
      <c r="B4049" t="s">
        <v>1912</v>
      </c>
      <c r="C4049" s="424" t="str">
        <f t="shared" si="159"/>
        <v>Marques, Lda.</v>
      </c>
      <c r="D4049" t="s">
        <v>629</v>
      </c>
      <c r="F4049" s="432" t="s">
        <v>620</v>
      </c>
      <c r="G4049" s="435">
        <v>2007</v>
      </c>
      <c r="H4049" s="433" t="s">
        <v>732</v>
      </c>
      <c r="I4049" s="311" t="str">
        <f t="shared" si="161"/>
        <v>Pesado de Passageiros M3:  : Gasóleo : E3</v>
      </c>
      <c r="J4049" s="433">
        <v>55</v>
      </c>
      <c r="K4049" s="422">
        <v>2023</v>
      </c>
      <c r="L4049" s="427">
        <v>16310.269545455683</v>
      </c>
      <c r="M4049" s="427" t="s">
        <v>630</v>
      </c>
      <c r="N4049" s="434">
        <v>42669</v>
      </c>
      <c r="O4049" s="436">
        <f t="shared" si="160"/>
        <v>2346795</v>
      </c>
      <c r="P4049" s="89">
        <v>241</v>
      </c>
      <c r="Q4049" s="422" t="s">
        <v>47</v>
      </c>
      <c r="R4049" s="422" t="s">
        <v>1869</v>
      </c>
      <c r="S4049" s="422" t="s">
        <v>1861</v>
      </c>
      <c r="U4049" s="422" t="s">
        <v>1953</v>
      </c>
      <c r="V4049" s="422" t="s">
        <v>2813</v>
      </c>
    </row>
    <row r="4050" spans="1:22" ht="15.75" thickBot="1" x14ac:dyDescent="0.3">
      <c r="A4050" t="s">
        <v>1912</v>
      </c>
      <c r="B4050" t="s">
        <v>1912</v>
      </c>
      <c r="C4050" s="424" t="str">
        <f t="shared" si="159"/>
        <v>Marques, Lda.</v>
      </c>
      <c r="D4050" t="s">
        <v>629</v>
      </c>
      <c r="F4050" s="432" t="s">
        <v>620</v>
      </c>
      <c r="G4050" s="435">
        <v>2019</v>
      </c>
      <c r="H4050" s="433" t="s">
        <v>733</v>
      </c>
      <c r="I4050" s="311" t="str">
        <f t="shared" si="161"/>
        <v>Pesado de Passageiros M3:  : Gasóleo : E6</v>
      </c>
      <c r="J4050" s="433">
        <v>53</v>
      </c>
      <c r="K4050" s="422">
        <v>2023</v>
      </c>
      <c r="L4050" s="427">
        <v>47486.488862878417</v>
      </c>
      <c r="M4050" s="427" t="s">
        <v>630</v>
      </c>
      <c r="N4050" s="434">
        <v>182244</v>
      </c>
      <c r="O4050" s="436">
        <f t="shared" si="160"/>
        <v>9658932</v>
      </c>
      <c r="P4050" s="89">
        <v>242</v>
      </c>
      <c r="Q4050" s="422" t="s">
        <v>47</v>
      </c>
      <c r="R4050" s="422" t="s">
        <v>1869</v>
      </c>
      <c r="S4050" s="422" t="s">
        <v>1861</v>
      </c>
      <c r="U4050" s="422" t="s">
        <v>1953</v>
      </c>
      <c r="V4050" s="422" t="s">
        <v>2813</v>
      </c>
    </row>
    <row r="4051" spans="1:22" ht="15.75" thickBot="1" x14ac:dyDescent="0.3">
      <c r="A4051" t="s">
        <v>1912</v>
      </c>
      <c r="B4051" t="s">
        <v>1912</v>
      </c>
      <c r="C4051" s="424" t="str">
        <f t="shared" si="159"/>
        <v>Marques, Lda.</v>
      </c>
      <c r="D4051" t="s">
        <v>629</v>
      </c>
      <c r="F4051" s="432" t="s">
        <v>620</v>
      </c>
      <c r="G4051" s="435">
        <v>2004</v>
      </c>
      <c r="H4051" s="433" t="s">
        <v>732</v>
      </c>
      <c r="I4051" s="311" t="str">
        <f t="shared" si="161"/>
        <v>Pesado de Passageiros M3:  : Gasóleo : E3</v>
      </c>
      <c r="J4051" s="433">
        <v>85</v>
      </c>
      <c r="K4051" s="422">
        <v>2023</v>
      </c>
      <c r="L4051" s="427">
        <v>6461.9201093866068</v>
      </c>
      <c r="M4051" s="427" t="s">
        <v>630</v>
      </c>
      <c r="N4051" s="434">
        <v>16008</v>
      </c>
      <c r="O4051" s="436">
        <f t="shared" si="160"/>
        <v>1360680</v>
      </c>
      <c r="P4051" s="89">
        <v>243</v>
      </c>
      <c r="Q4051" s="422" t="s">
        <v>47</v>
      </c>
      <c r="R4051" s="422" t="s">
        <v>1869</v>
      </c>
      <c r="S4051" s="422" t="s">
        <v>1861</v>
      </c>
      <c r="U4051" s="422" t="s">
        <v>1953</v>
      </c>
      <c r="V4051" s="422" t="s">
        <v>2813</v>
      </c>
    </row>
    <row r="4052" spans="1:22" ht="15.75" thickBot="1" x14ac:dyDescent="0.3">
      <c r="A4052" t="s">
        <v>1912</v>
      </c>
      <c r="B4052" t="s">
        <v>1912</v>
      </c>
      <c r="C4052" s="424" t="str">
        <f t="shared" si="159"/>
        <v>Marques, Lda.</v>
      </c>
      <c r="D4052" t="s">
        <v>629</v>
      </c>
      <c r="F4052" s="432" t="s">
        <v>620</v>
      </c>
      <c r="G4052" s="435">
        <v>2000</v>
      </c>
      <c r="H4052" s="433" t="s">
        <v>735</v>
      </c>
      <c r="I4052" s="311" t="str">
        <f t="shared" si="161"/>
        <v>Pesado de Passageiros M3:  : Gasóleo : E2</v>
      </c>
      <c r="J4052" s="433">
        <v>79</v>
      </c>
      <c r="K4052" s="422">
        <v>2023</v>
      </c>
      <c r="L4052" s="427">
        <v>6587.8641152107766</v>
      </c>
      <c r="M4052" s="427" t="s">
        <v>630</v>
      </c>
      <c r="N4052" s="434">
        <v>15446</v>
      </c>
      <c r="O4052" s="436">
        <f t="shared" si="160"/>
        <v>1220234</v>
      </c>
      <c r="P4052" s="89">
        <v>244</v>
      </c>
      <c r="Q4052" s="422" t="s">
        <v>47</v>
      </c>
      <c r="R4052" s="422" t="s">
        <v>1869</v>
      </c>
      <c r="S4052" s="422" t="s">
        <v>1861</v>
      </c>
      <c r="U4052" s="422" t="s">
        <v>1953</v>
      </c>
      <c r="V4052" s="422" t="s">
        <v>2813</v>
      </c>
    </row>
    <row r="4053" spans="1:22" ht="15.75" thickBot="1" x14ac:dyDescent="0.3">
      <c r="A4053" t="s">
        <v>1912</v>
      </c>
      <c r="B4053" t="s">
        <v>1912</v>
      </c>
      <c r="C4053" s="424" t="str">
        <f t="shared" si="159"/>
        <v>Marques, Lda.</v>
      </c>
      <c r="D4053" t="s">
        <v>629</v>
      </c>
      <c r="F4053" s="432" t="s">
        <v>620</v>
      </c>
      <c r="G4053" s="435">
        <v>2000</v>
      </c>
      <c r="H4053" s="433" t="s">
        <v>735</v>
      </c>
      <c r="I4053" s="311" t="str">
        <f t="shared" si="161"/>
        <v>Pesado de Passageiros M3:  : Gasóleo : E2</v>
      </c>
      <c r="J4053" s="433">
        <v>79</v>
      </c>
      <c r="K4053" s="422">
        <v>2023</v>
      </c>
      <c r="L4053" s="427">
        <v>12656.309083830967</v>
      </c>
      <c r="M4053" s="427" t="s">
        <v>630</v>
      </c>
      <c r="N4053" s="434">
        <v>30438</v>
      </c>
      <c r="O4053" s="436">
        <f t="shared" si="160"/>
        <v>2404602</v>
      </c>
      <c r="P4053" s="89">
        <v>245</v>
      </c>
      <c r="Q4053" s="422" t="s">
        <v>47</v>
      </c>
      <c r="R4053" s="422" t="s">
        <v>1869</v>
      </c>
      <c r="S4053" s="422" t="s">
        <v>1861</v>
      </c>
      <c r="U4053" s="422" t="s">
        <v>1953</v>
      </c>
      <c r="V4053" s="422" t="s">
        <v>2813</v>
      </c>
    </row>
    <row r="4054" spans="1:22" ht="15.75" thickBot="1" x14ac:dyDescent="0.3">
      <c r="A4054" t="s">
        <v>1912</v>
      </c>
      <c r="B4054" t="s">
        <v>1912</v>
      </c>
      <c r="C4054" s="424" t="str">
        <f t="shared" si="159"/>
        <v>Marques, Lda.</v>
      </c>
      <c r="D4054" t="s">
        <v>629</v>
      </c>
      <c r="F4054" s="432" t="s">
        <v>620</v>
      </c>
      <c r="G4054" s="435">
        <v>2001</v>
      </c>
      <c r="H4054" s="433" t="s">
        <v>735</v>
      </c>
      <c r="I4054" s="311" t="str">
        <f t="shared" si="161"/>
        <v>Pesado de Passageiros M3:  : Gasóleo : E2</v>
      </c>
      <c r="J4054" s="433">
        <v>74</v>
      </c>
      <c r="K4054" s="422">
        <v>2023</v>
      </c>
      <c r="L4054" s="427">
        <v>6507.624571221857</v>
      </c>
      <c r="M4054" s="427" t="s">
        <v>630</v>
      </c>
      <c r="N4054" s="434">
        <v>16626</v>
      </c>
      <c r="O4054" s="436">
        <f t="shared" si="160"/>
        <v>1230324</v>
      </c>
      <c r="P4054" s="89">
        <v>246</v>
      </c>
      <c r="Q4054" s="422" t="s">
        <v>47</v>
      </c>
      <c r="R4054" s="422" t="s">
        <v>1869</v>
      </c>
      <c r="S4054" s="422" t="s">
        <v>1861</v>
      </c>
      <c r="U4054" s="422" t="s">
        <v>1953</v>
      </c>
      <c r="V4054" s="422" t="s">
        <v>2813</v>
      </c>
    </row>
    <row r="4055" spans="1:22" ht="15.75" thickBot="1" x14ac:dyDescent="0.3">
      <c r="A4055" t="s">
        <v>1912</v>
      </c>
      <c r="B4055" t="s">
        <v>1912</v>
      </c>
      <c r="C4055" s="424" t="str">
        <f t="shared" si="159"/>
        <v>Marques, Lda.</v>
      </c>
      <c r="D4055" t="s">
        <v>629</v>
      </c>
      <c r="F4055" s="432" t="s">
        <v>620</v>
      </c>
      <c r="G4055" s="435">
        <v>2000</v>
      </c>
      <c r="H4055" s="433" t="s">
        <v>735</v>
      </c>
      <c r="I4055" s="311" t="str">
        <f t="shared" si="161"/>
        <v>Pesado de Passageiros M3:  : Gasóleo : E2</v>
      </c>
      <c r="J4055" s="433">
        <v>91</v>
      </c>
      <c r="K4055" s="422">
        <v>2023</v>
      </c>
      <c r="L4055" s="427">
        <v>2827.9576515549752</v>
      </c>
      <c r="M4055" s="427" t="s">
        <v>630</v>
      </c>
      <c r="N4055" s="434">
        <v>6377</v>
      </c>
      <c r="O4055" s="436">
        <f t="shared" si="160"/>
        <v>580307</v>
      </c>
      <c r="P4055" s="89">
        <v>247</v>
      </c>
      <c r="Q4055" s="422" t="s">
        <v>47</v>
      </c>
      <c r="R4055" s="422" t="s">
        <v>1869</v>
      </c>
      <c r="S4055" s="422" t="s">
        <v>1861</v>
      </c>
      <c r="U4055" s="422" t="s">
        <v>1953</v>
      </c>
      <c r="V4055" s="422" t="s">
        <v>2813</v>
      </c>
    </row>
    <row r="4056" spans="1:22" ht="15.75" thickBot="1" x14ac:dyDescent="0.3">
      <c r="A4056" t="s">
        <v>1912</v>
      </c>
      <c r="B4056" t="s">
        <v>1912</v>
      </c>
      <c r="C4056" s="424" t="str">
        <f t="shared" ref="C4056:C4119" si="162">IF(A4056=B4056,B4056,RIGHT(A4056,LEN(A4056)-LEN(B4056)-3))</f>
        <v>Marques, Lda.</v>
      </c>
      <c r="D4056" t="s">
        <v>629</v>
      </c>
      <c r="F4056" s="432" t="s">
        <v>620</v>
      </c>
      <c r="G4056" s="435">
        <v>2000</v>
      </c>
      <c r="H4056" s="433" t="s">
        <v>735</v>
      </c>
      <c r="I4056" s="311" t="str">
        <f t="shared" si="161"/>
        <v>Pesado de Passageiros M3:  : Gasóleo : E2</v>
      </c>
      <c r="J4056" s="433">
        <v>91</v>
      </c>
      <c r="K4056" s="422">
        <v>2023</v>
      </c>
      <c r="L4056" s="427">
        <v>0</v>
      </c>
      <c r="M4056" s="427" t="s">
        <v>630</v>
      </c>
      <c r="N4056" s="434">
        <v>0</v>
      </c>
      <c r="O4056" s="436">
        <f t="shared" si="160"/>
        <v>0</v>
      </c>
      <c r="P4056" s="89">
        <v>248</v>
      </c>
      <c r="Q4056" s="422" t="s">
        <v>47</v>
      </c>
      <c r="R4056" s="422" t="s">
        <v>1869</v>
      </c>
      <c r="S4056" s="422" t="s">
        <v>1861</v>
      </c>
      <c r="U4056" s="422" t="s">
        <v>1953</v>
      </c>
      <c r="V4056" s="422" t="s">
        <v>2813</v>
      </c>
    </row>
    <row r="4057" spans="1:22" ht="15.75" thickBot="1" x14ac:dyDescent="0.3">
      <c r="A4057" t="s">
        <v>1912</v>
      </c>
      <c r="B4057" t="s">
        <v>1912</v>
      </c>
      <c r="C4057" s="424" t="str">
        <f t="shared" si="162"/>
        <v>Marques, Lda.</v>
      </c>
      <c r="D4057" t="s">
        <v>629</v>
      </c>
      <c r="F4057" s="432" t="s">
        <v>620</v>
      </c>
      <c r="G4057" s="435">
        <v>2018</v>
      </c>
      <c r="H4057" s="433" t="s">
        <v>733</v>
      </c>
      <c r="I4057" s="311" t="str">
        <f t="shared" si="161"/>
        <v>Pesado de Passageiros M3:  : Gasóleo : E6</v>
      </c>
      <c r="J4057" s="433">
        <v>55</v>
      </c>
      <c r="K4057" s="422">
        <v>2023</v>
      </c>
      <c r="L4057" s="427">
        <v>36375.664849701214</v>
      </c>
      <c r="M4057" s="427" t="s">
        <v>630</v>
      </c>
      <c r="N4057" s="434">
        <v>144730</v>
      </c>
      <c r="O4057" s="436">
        <f t="shared" ref="O4057:O4061" si="163">N4057*J4057</f>
        <v>7960150</v>
      </c>
      <c r="P4057" s="89">
        <v>249</v>
      </c>
      <c r="Q4057" s="422" t="s">
        <v>47</v>
      </c>
      <c r="R4057" s="422" t="s">
        <v>1869</v>
      </c>
      <c r="S4057" s="422" t="s">
        <v>1861</v>
      </c>
      <c r="U4057" s="422" t="s">
        <v>1953</v>
      </c>
      <c r="V4057" s="422" t="s">
        <v>2813</v>
      </c>
    </row>
    <row r="4058" spans="1:22" ht="15.75" thickBot="1" x14ac:dyDescent="0.3">
      <c r="A4058" t="s">
        <v>1912</v>
      </c>
      <c r="B4058" t="s">
        <v>1912</v>
      </c>
      <c r="C4058" s="424" t="str">
        <f t="shared" si="162"/>
        <v>Marques, Lda.</v>
      </c>
      <c r="D4058" t="s">
        <v>629</v>
      </c>
      <c r="F4058" s="432" t="s">
        <v>620</v>
      </c>
      <c r="G4058" s="435">
        <v>2009</v>
      </c>
      <c r="H4058" s="433" t="s">
        <v>734</v>
      </c>
      <c r="I4058" s="311" t="str">
        <f t="shared" si="161"/>
        <v>Pesado de Passageiros M3:  : Gasóleo : E5</v>
      </c>
      <c r="J4058" s="433">
        <v>31</v>
      </c>
      <c r="K4058" s="422">
        <v>2023</v>
      </c>
      <c r="L4058" s="427">
        <v>19.906459126662909</v>
      </c>
      <c r="M4058" s="427" t="s">
        <v>630</v>
      </c>
      <c r="N4058" s="434">
        <v>100</v>
      </c>
      <c r="O4058" s="436">
        <f t="shared" si="163"/>
        <v>3100</v>
      </c>
      <c r="P4058" s="89">
        <v>250</v>
      </c>
      <c r="Q4058" s="422" t="s">
        <v>47</v>
      </c>
      <c r="R4058" s="422" t="s">
        <v>1869</v>
      </c>
      <c r="S4058" s="422" t="s">
        <v>1861</v>
      </c>
      <c r="U4058" s="422" t="s">
        <v>1953</v>
      </c>
      <c r="V4058" s="422" t="s">
        <v>2813</v>
      </c>
    </row>
    <row r="4059" spans="1:22" ht="15.75" thickBot="1" x14ac:dyDescent="0.3">
      <c r="A4059" t="s">
        <v>1912</v>
      </c>
      <c r="B4059" t="s">
        <v>1912</v>
      </c>
      <c r="C4059" s="424" t="str">
        <f t="shared" si="162"/>
        <v>Marques, Lda.</v>
      </c>
      <c r="D4059" t="s">
        <v>629</v>
      </c>
      <c r="F4059" s="432" t="s">
        <v>620</v>
      </c>
      <c r="G4059" s="435">
        <v>2009</v>
      </c>
      <c r="H4059" s="433" t="s">
        <v>734</v>
      </c>
      <c r="I4059" s="311" t="str">
        <f t="shared" si="161"/>
        <v>Pesado de Passageiros M3:  : Gasóleo : E5</v>
      </c>
      <c r="J4059" s="433">
        <v>31</v>
      </c>
      <c r="K4059" s="422">
        <v>2023</v>
      </c>
      <c r="L4059" s="427">
        <v>2220.8143125820793</v>
      </c>
      <c r="M4059" s="427" t="s">
        <v>630</v>
      </c>
      <c r="N4059" s="434">
        <v>11135</v>
      </c>
      <c r="O4059" s="436">
        <f t="shared" si="163"/>
        <v>345185</v>
      </c>
      <c r="P4059" s="89">
        <v>251</v>
      </c>
      <c r="Q4059" s="422" t="s">
        <v>47</v>
      </c>
      <c r="R4059" s="422" t="s">
        <v>1869</v>
      </c>
      <c r="S4059" s="422" t="s">
        <v>1861</v>
      </c>
      <c r="U4059" s="422" t="s">
        <v>1953</v>
      </c>
      <c r="V4059" s="422" t="s">
        <v>2813</v>
      </c>
    </row>
    <row r="4060" spans="1:22" ht="15.75" thickBot="1" x14ac:dyDescent="0.3">
      <c r="A4060" t="s">
        <v>1912</v>
      </c>
      <c r="B4060" t="s">
        <v>1912</v>
      </c>
      <c r="C4060" s="424" t="str">
        <f t="shared" si="162"/>
        <v>Marques, Lda.</v>
      </c>
      <c r="D4060" t="s">
        <v>629</v>
      </c>
      <c r="F4060" s="432" t="s">
        <v>620</v>
      </c>
      <c r="G4060" s="435">
        <v>2023</v>
      </c>
      <c r="H4060" s="433" t="s">
        <v>733</v>
      </c>
      <c r="I4060" s="311" t="str">
        <f t="shared" si="161"/>
        <v>Pesado de Passageiros M3:  : Gasóleo : E6</v>
      </c>
      <c r="J4060" s="433">
        <v>53</v>
      </c>
      <c r="K4060" s="422">
        <v>2023</v>
      </c>
      <c r="L4060" s="427">
        <v>23445.351204243045</v>
      </c>
      <c r="M4060" s="427" t="s">
        <v>630</v>
      </c>
      <c r="N4060" s="434">
        <v>95797</v>
      </c>
      <c r="O4060" s="436">
        <f t="shared" si="163"/>
        <v>5077241</v>
      </c>
      <c r="P4060" s="89">
        <v>252</v>
      </c>
      <c r="Q4060" s="422" t="s">
        <v>47</v>
      </c>
      <c r="R4060" s="422" t="s">
        <v>1869</v>
      </c>
      <c r="S4060" s="422" t="s">
        <v>1861</v>
      </c>
      <c r="U4060" s="422" t="s">
        <v>1953</v>
      </c>
      <c r="V4060" s="422" t="s">
        <v>2813</v>
      </c>
    </row>
    <row r="4061" spans="1:22" ht="15.75" thickBot="1" x14ac:dyDescent="0.3">
      <c r="A4061" t="s">
        <v>1912</v>
      </c>
      <c r="B4061" t="s">
        <v>1912</v>
      </c>
      <c r="C4061" s="424" t="str">
        <f t="shared" si="162"/>
        <v>Marques, Lda.</v>
      </c>
      <c r="D4061" t="s">
        <v>629</v>
      </c>
      <c r="F4061" s="432" t="s">
        <v>620</v>
      </c>
      <c r="G4061" s="435">
        <v>2018</v>
      </c>
      <c r="H4061" s="433" t="s">
        <v>733</v>
      </c>
      <c r="I4061" s="311" t="str">
        <f t="shared" si="161"/>
        <v>Pesado de Passageiros M3:  : Gasóleo : E6</v>
      </c>
      <c r="J4061" s="433">
        <v>22</v>
      </c>
      <c r="K4061" s="422">
        <v>2023</v>
      </c>
      <c r="L4061" s="427">
        <v>5837</v>
      </c>
      <c r="M4061" s="427" t="s">
        <v>630</v>
      </c>
      <c r="N4061" s="434">
        <v>37219</v>
      </c>
      <c r="O4061" s="436">
        <f t="shared" si="163"/>
        <v>818818</v>
      </c>
      <c r="P4061" s="89">
        <v>402</v>
      </c>
      <c r="Q4061" s="422" t="s">
        <v>47</v>
      </c>
      <c r="R4061" s="422" t="s">
        <v>1869</v>
      </c>
      <c r="S4061" s="422" t="s">
        <v>1861</v>
      </c>
      <c r="U4061" s="422" t="s">
        <v>1953</v>
      </c>
      <c r="V4061" s="422" t="s">
        <v>2813</v>
      </c>
    </row>
    <row r="4062" spans="1:22" s="405" customFormat="1" ht="15.75" thickBot="1" x14ac:dyDescent="0.3">
      <c r="A4062" s="405" t="s">
        <v>4589</v>
      </c>
      <c r="B4062" s="405" t="s">
        <v>4589</v>
      </c>
      <c r="C4062" s="424" t="str">
        <f t="shared" si="162"/>
        <v>LISBOAT, Lda.</v>
      </c>
      <c r="F4062" s="432" t="s">
        <v>620</v>
      </c>
      <c r="G4062" s="454"/>
      <c r="H4062" s="455"/>
      <c r="J4062" s="405">
        <v>44</v>
      </c>
      <c r="K4062" s="405">
        <v>2023</v>
      </c>
      <c r="L4062" s="405">
        <v>16231</v>
      </c>
      <c r="M4062" s="405" t="s">
        <v>630</v>
      </c>
      <c r="N4062" s="456"/>
      <c r="P4062" s="454" t="s">
        <v>4829</v>
      </c>
      <c r="Q4062" s="405" t="s">
        <v>4830</v>
      </c>
      <c r="R4062" s="405" t="s">
        <v>1869</v>
      </c>
      <c r="S4062" s="405" t="s">
        <v>1861</v>
      </c>
      <c r="T4062" s="457" t="s">
        <v>1937</v>
      </c>
      <c r="U4062" s="405" t="s">
        <v>1953</v>
      </c>
      <c r="V4062" s="405" t="s">
        <v>2813</v>
      </c>
    </row>
    <row r="4063" spans="1:22" s="405" customFormat="1" ht="15.75" thickBot="1" x14ac:dyDescent="0.3">
      <c r="A4063" s="405" t="s">
        <v>4589</v>
      </c>
      <c r="B4063" s="405" t="s">
        <v>4589</v>
      </c>
      <c r="C4063" s="424" t="str">
        <f t="shared" si="162"/>
        <v>LISBOAT, Lda.</v>
      </c>
      <c r="F4063" s="432" t="s">
        <v>620</v>
      </c>
      <c r="G4063" s="454"/>
      <c r="H4063" s="455"/>
      <c r="J4063" s="405">
        <v>44</v>
      </c>
      <c r="K4063" s="405">
        <v>2023</v>
      </c>
      <c r="L4063" s="405">
        <v>11240</v>
      </c>
      <c r="M4063" s="405" t="s">
        <v>630</v>
      </c>
      <c r="N4063" s="456"/>
      <c r="P4063" s="454" t="s">
        <v>1938</v>
      </c>
      <c r="Q4063" s="405" t="s">
        <v>4830</v>
      </c>
      <c r="R4063" s="405" t="s">
        <v>1869</v>
      </c>
      <c r="S4063" s="405" t="s">
        <v>1861</v>
      </c>
      <c r="T4063" s="457" t="s">
        <v>1937</v>
      </c>
      <c r="U4063" s="405" t="s">
        <v>1953</v>
      </c>
      <c r="V4063" s="405" t="s">
        <v>2813</v>
      </c>
    </row>
    <row r="4064" spans="1:22" s="405" customFormat="1" ht="15.75" thickBot="1" x14ac:dyDescent="0.3">
      <c r="A4064" s="405" t="s">
        <v>4589</v>
      </c>
      <c r="B4064" s="405" t="s">
        <v>4589</v>
      </c>
      <c r="C4064" s="424" t="str">
        <f t="shared" si="162"/>
        <v>LISBOAT, Lda.</v>
      </c>
      <c r="F4064" s="432" t="s">
        <v>620</v>
      </c>
      <c r="G4064" s="454"/>
      <c r="H4064" s="455"/>
      <c r="J4064" s="405">
        <v>54</v>
      </c>
      <c r="K4064" s="405">
        <v>2023</v>
      </c>
      <c r="L4064" s="405">
        <v>37105</v>
      </c>
      <c r="M4064" s="405" t="s">
        <v>630</v>
      </c>
      <c r="N4064" s="456"/>
      <c r="P4064" s="454" t="s">
        <v>1939</v>
      </c>
      <c r="Q4064" s="405" t="s">
        <v>4830</v>
      </c>
      <c r="R4064" s="405" t="s">
        <v>1869</v>
      </c>
      <c r="S4064" s="405" t="s">
        <v>1861</v>
      </c>
      <c r="T4064" s="457" t="s">
        <v>1937</v>
      </c>
      <c r="U4064" s="405" t="s">
        <v>1953</v>
      </c>
      <c r="V4064" s="405" t="s">
        <v>2813</v>
      </c>
    </row>
    <row r="4065" spans="1:22" s="405" customFormat="1" ht="15.75" thickBot="1" x14ac:dyDescent="0.3">
      <c r="A4065" s="405" t="s">
        <v>4589</v>
      </c>
      <c r="B4065" s="405" t="s">
        <v>4589</v>
      </c>
      <c r="C4065" s="424" t="str">
        <f t="shared" si="162"/>
        <v>LISBOAT, Lda.</v>
      </c>
      <c r="F4065" s="432" t="s">
        <v>620</v>
      </c>
      <c r="G4065" s="454"/>
      <c r="H4065" s="455"/>
      <c r="J4065" s="405">
        <v>54</v>
      </c>
      <c r="K4065" s="405">
        <v>2023</v>
      </c>
      <c r="L4065" s="405">
        <v>46420</v>
      </c>
      <c r="M4065" s="405" t="s">
        <v>630</v>
      </c>
      <c r="N4065" s="456"/>
      <c r="P4065" s="454" t="s">
        <v>1940</v>
      </c>
      <c r="Q4065" s="405" t="s">
        <v>4830</v>
      </c>
      <c r="R4065" s="405" t="s">
        <v>1869</v>
      </c>
      <c r="S4065" s="405" t="s">
        <v>1861</v>
      </c>
      <c r="T4065" s="457" t="s">
        <v>1937</v>
      </c>
      <c r="U4065" s="405" t="s">
        <v>1953</v>
      </c>
      <c r="V4065" s="405" t="s">
        <v>2813</v>
      </c>
    </row>
    <row r="4066" spans="1:22" ht="15.75" thickBot="1" x14ac:dyDescent="0.3">
      <c r="A4066" s="422" t="s">
        <v>4583</v>
      </c>
      <c r="B4066" s="422" t="s">
        <v>4583</v>
      </c>
      <c r="C4066" s="424" t="str">
        <f t="shared" si="162"/>
        <v>EVA - Transportes, S.A.</v>
      </c>
      <c r="D4066" t="s">
        <v>629</v>
      </c>
      <c r="F4066" s="432" t="s">
        <v>620</v>
      </c>
      <c r="G4066" s="89">
        <v>2006</v>
      </c>
      <c r="H4066" s="313" t="s">
        <v>734</v>
      </c>
      <c r="I4066" s="311" t="str">
        <f t="shared" ref="I4066:I4129" si="164">D4066&amp;": "&amp;E4066&amp;" : "&amp;F4066&amp;" : "&amp;H4066</f>
        <v>Pesado de Passageiros M3:  : Gasóleo : E5</v>
      </c>
      <c r="J4066">
        <v>98</v>
      </c>
      <c r="K4066" s="422">
        <v>2023</v>
      </c>
      <c r="L4066" s="427">
        <v>1768.2204437099351</v>
      </c>
      <c r="M4066" s="427" t="s">
        <v>630</v>
      </c>
      <c r="N4066" s="434">
        <v>2476</v>
      </c>
      <c r="O4066" s="436">
        <f t="shared" ref="O4066:O4129" si="165">N4066*J4066</f>
        <v>242648</v>
      </c>
      <c r="P4066" s="435">
        <v>38783</v>
      </c>
      <c r="Q4066" s="427" t="s">
        <v>47</v>
      </c>
      <c r="R4066" s="422" t="s">
        <v>1869</v>
      </c>
      <c r="S4066" s="422" t="s">
        <v>1861</v>
      </c>
      <c r="T4066" s="427" t="s">
        <v>4832</v>
      </c>
      <c r="U4066" s="422" t="s">
        <v>1953</v>
      </c>
      <c r="V4066" s="422" t="s">
        <v>2813</v>
      </c>
    </row>
    <row r="4067" spans="1:22" ht="15.75" thickBot="1" x14ac:dyDescent="0.3">
      <c r="A4067" s="422" t="s">
        <v>4583</v>
      </c>
      <c r="B4067" s="422" t="s">
        <v>4583</v>
      </c>
      <c r="C4067" s="424" t="str">
        <f t="shared" si="162"/>
        <v>EVA - Transportes, S.A.</v>
      </c>
      <c r="D4067" t="s">
        <v>629</v>
      </c>
      <c r="F4067" s="432" t="s">
        <v>620</v>
      </c>
      <c r="G4067" s="89">
        <v>2006</v>
      </c>
      <c r="H4067" s="313" t="s">
        <v>731</v>
      </c>
      <c r="I4067" s="311" t="str">
        <f t="shared" si="164"/>
        <v>Pesado de Passageiros M3:  : Gasóleo : E4</v>
      </c>
      <c r="J4067">
        <v>98</v>
      </c>
      <c r="K4067" s="422">
        <v>2023</v>
      </c>
      <c r="L4067" s="427">
        <v>2089.3810804613704</v>
      </c>
      <c r="M4067" s="427" t="s">
        <v>630</v>
      </c>
      <c r="N4067" s="434">
        <v>2874</v>
      </c>
      <c r="O4067" s="436">
        <f t="shared" si="165"/>
        <v>281652</v>
      </c>
      <c r="P4067" s="435">
        <v>38769</v>
      </c>
      <c r="Q4067" s="427" t="s">
        <v>47</v>
      </c>
      <c r="R4067" s="422" t="s">
        <v>1869</v>
      </c>
      <c r="S4067" s="422" t="s">
        <v>1861</v>
      </c>
      <c r="T4067" s="427" t="s">
        <v>4833</v>
      </c>
      <c r="U4067" s="422" t="s">
        <v>1953</v>
      </c>
      <c r="V4067" s="422" t="s">
        <v>2813</v>
      </c>
    </row>
    <row r="4068" spans="1:22" ht="15.75" thickBot="1" x14ac:dyDescent="0.3">
      <c r="A4068" s="422" t="s">
        <v>4583</v>
      </c>
      <c r="B4068" s="422" t="s">
        <v>4583</v>
      </c>
      <c r="C4068" s="424" t="str">
        <f t="shared" si="162"/>
        <v>EVA - Transportes, S.A.</v>
      </c>
      <c r="D4068" t="s">
        <v>629</v>
      </c>
      <c r="F4068" s="432" t="s">
        <v>620</v>
      </c>
      <c r="G4068" s="89">
        <v>2006</v>
      </c>
      <c r="H4068" s="313" t="s">
        <v>731</v>
      </c>
      <c r="I4068" s="311" t="str">
        <f t="shared" si="164"/>
        <v>Pesado de Passageiros M3:  : Gasóleo : E4</v>
      </c>
      <c r="J4068">
        <v>98</v>
      </c>
      <c r="K4068" s="422">
        <v>2023</v>
      </c>
      <c r="L4068" s="427">
        <v>1716.7305266892286</v>
      </c>
      <c r="M4068" s="427" t="s">
        <v>630</v>
      </c>
      <c r="N4068" s="434">
        <v>2308</v>
      </c>
      <c r="O4068" s="436">
        <f t="shared" si="165"/>
        <v>226184</v>
      </c>
      <c r="P4068" s="435">
        <v>38782</v>
      </c>
      <c r="Q4068" s="427" t="s">
        <v>47</v>
      </c>
      <c r="R4068" s="422" t="s">
        <v>1869</v>
      </c>
      <c r="S4068" s="422" t="s">
        <v>1861</v>
      </c>
      <c r="T4068" s="427" t="s">
        <v>4834</v>
      </c>
      <c r="U4068" s="422" t="s">
        <v>1953</v>
      </c>
      <c r="V4068" s="422" t="s">
        <v>2813</v>
      </c>
    </row>
    <row r="4069" spans="1:22" ht="15.75" thickBot="1" x14ac:dyDescent="0.3">
      <c r="A4069" s="422" t="s">
        <v>4583</v>
      </c>
      <c r="B4069" s="422" t="s">
        <v>4583</v>
      </c>
      <c r="C4069" s="424" t="str">
        <f t="shared" si="162"/>
        <v>EVA - Transportes, S.A.</v>
      </c>
      <c r="D4069" t="s">
        <v>629</v>
      </c>
      <c r="F4069" s="432" t="s">
        <v>620</v>
      </c>
      <c r="G4069" s="89">
        <v>2006</v>
      </c>
      <c r="H4069" s="313" t="s">
        <v>731</v>
      </c>
      <c r="I4069" s="311" t="str">
        <f t="shared" si="164"/>
        <v>Pesado de Passageiros M3:  : Gasóleo : E4</v>
      </c>
      <c r="J4069">
        <v>98</v>
      </c>
      <c r="K4069" s="422">
        <v>2023</v>
      </c>
      <c r="L4069" s="427">
        <v>0</v>
      </c>
      <c r="M4069" s="427" t="s">
        <v>630</v>
      </c>
      <c r="N4069" s="434">
        <v>0</v>
      </c>
      <c r="O4069" s="436">
        <f t="shared" si="165"/>
        <v>0</v>
      </c>
      <c r="P4069" s="435">
        <v>38782</v>
      </c>
      <c r="Q4069" s="427" t="s">
        <v>47</v>
      </c>
      <c r="R4069" s="422" t="s">
        <v>1869</v>
      </c>
      <c r="S4069" s="422" t="s">
        <v>1861</v>
      </c>
      <c r="T4069" s="427" t="s">
        <v>4835</v>
      </c>
      <c r="U4069" s="422" t="s">
        <v>1953</v>
      </c>
      <c r="V4069" s="422" t="s">
        <v>2813</v>
      </c>
    </row>
    <row r="4070" spans="1:22" ht="15.75" thickBot="1" x14ac:dyDescent="0.3">
      <c r="A4070" s="422" t="s">
        <v>4583</v>
      </c>
      <c r="B4070" s="422" t="s">
        <v>4583</v>
      </c>
      <c r="C4070" s="424" t="str">
        <f t="shared" si="162"/>
        <v>EVA - Transportes, S.A.</v>
      </c>
      <c r="D4070" t="s">
        <v>629</v>
      </c>
      <c r="F4070" s="432" t="s">
        <v>620</v>
      </c>
      <c r="G4070" s="89">
        <v>2003</v>
      </c>
      <c r="H4070" s="313" t="s">
        <v>734</v>
      </c>
      <c r="I4070" s="311" t="str">
        <f t="shared" si="164"/>
        <v>Pesado de Passageiros M3:  : Gasóleo : E5</v>
      </c>
      <c r="J4070">
        <v>77</v>
      </c>
      <c r="K4070" s="422">
        <v>2023</v>
      </c>
      <c r="L4070" s="427">
        <v>135.08773243287794</v>
      </c>
      <c r="M4070" s="427" t="s">
        <v>630</v>
      </c>
      <c r="N4070" s="434">
        <v>373</v>
      </c>
      <c r="O4070" s="436">
        <f t="shared" si="165"/>
        <v>28721</v>
      </c>
      <c r="P4070" s="435">
        <v>37824</v>
      </c>
      <c r="Q4070" s="427" t="s">
        <v>47</v>
      </c>
      <c r="R4070" s="422" t="s">
        <v>1869</v>
      </c>
      <c r="S4070" s="422" t="s">
        <v>1861</v>
      </c>
      <c r="T4070" s="427" t="s">
        <v>4836</v>
      </c>
      <c r="U4070" s="422" t="s">
        <v>1953</v>
      </c>
      <c r="V4070" s="422" t="s">
        <v>2813</v>
      </c>
    </row>
    <row r="4071" spans="1:22" ht="15.75" thickBot="1" x14ac:dyDescent="0.3">
      <c r="A4071" s="422" t="s">
        <v>4583</v>
      </c>
      <c r="B4071" s="422" t="s">
        <v>4583</v>
      </c>
      <c r="C4071" s="424" t="str">
        <f t="shared" si="162"/>
        <v>EVA - Transportes, S.A.</v>
      </c>
      <c r="D4071" t="s">
        <v>629</v>
      </c>
      <c r="F4071" s="432" t="s">
        <v>620</v>
      </c>
      <c r="G4071" s="89">
        <v>2003</v>
      </c>
      <c r="H4071" s="313" t="s">
        <v>734</v>
      </c>
      <c r="I4071" s="311" t="str">
        <f t="shared" si="164"/>
        <v>Pesado de Passageiros M3:  : Gasóleo : E5</v>
      </c>
      <c r="J4071">
        <v>77</v>
      </c>
      <c r="K4071" s="422">
        <v>2023</v>
      </c>
      <c r="L4071" s="427">
        <v>109.88651651365923</v>
      </c>
      <c r="M4071" s="427" t="s">
        <v>630</v>
      </c>
      <c r="N4071" s="434">
        <v>304</v>
      </c>
      <c r="O4071" s="436">
        <f t="shared" si="165"/>
        <v>23408</v>
      </c>
      <c r="P4071" s="435">
        <v>37823</v>
      </c>
      <c r="Q4071" s="427" t="s">
        <v>47</v>
      </c>
      <c r="R4071" s="422" t="s">
        <v>1869</v>
      </c>
      <c r="S4071" s="422" t="s">
        <v>1861</v>
      </c>
      <c r="T4071" s="427" t="s">
        <v>4837</v>
      </c>
      <c r="U4071" s="422" t="s">
        <v>1953</v>
      </c>
      <c r="V4071" s="422" t="s">
        <v>2813</v>
      </c>
    </row>
    <row r="4072" spans="1:22" ht="15.75" thickBot="1" x14ac:dyDescent="0.3">
      <c r="A4072" s="422" t="s">
        <v>4583</v>
      </c>
      <c r="B4072" s="422" t="s">
        <v>4583</v>
      </c>
      <c r="C4072" s="424" t="str">
        <f t="shared" si="162"/>
        <v>EVA - Transportes, S.A.</v>
      </c>
      <c r="D4072" t="s">
        <v>629</v>
      </c>
      <c r="F4072" s="432" t="s">
        <v>620</v>
      </c>
      <c r="G4072" s="89">
        <v>2005</v>
      </c>
      <c r="H4072" s="313" t="s">
        <v>734</v>
      </c>
      <c r="I4072" s="311" t="str">
        <f t="shared" si="164"/>
        <v>Pesado de Passageiros M3:  : Gasóleo : E5</v>
      </c>
      <c r="J4072">
        <v>97</v>
      </c>
      <c r="K4072" s="422">
        <v>2023</v>
      </c>
      <c r="L4072" s="427">
        <v>907.53464861427665</v>
      </c>
      <c r="M4072" s="427" t="s">
        <v>630</v>
      </c>
      <c r="N4072" s="434">
        <v>1555</v>
      </c>
      <c r="O4072" s="436">
        <f t="shared" si="165"/>
        <v>150835</v>
      </c>
      <c r="P4072" s="435">
        <v>38678</v>
      </c>
      <c r="Q4072" s="427" t="s">
        <v>47</v>
      </c>
      <c r="R4072" s="422" t="s">
        <v>1869</v>
      </c>
      <c r="S4072" s="422" t="s">
        <v>1861</v>
      </c>
      <c r="T4072" s="427" t="s">
        <v>4838</v>
      </c>
      <c r="U4072" s="422" t="s">
        <v>1953</v>
      </c>
      <c r="V4072" s="422" t="s">
        <v>2813</v>
      </c>
    </row>
    <row r="4073" spans="1:22" ht="15.75" thickBot="1" x14ac:dyDescent="0.3">
      <c r="A4073" s="422" t="s">
        <v>4583</v>
      </c>
      <c r="B4073" s="422" t="s">
        <v>4583</v>
      </c>
      <c r="C4073" s="424" t="str">
        <f t="shared" si="162"/>
        <v>EVA - Transportes, S.A.</v>
      </c>
      <c r="D4073" t="s">
        <v>629</v>
      </c>
      <c r="F4073" s="432" t="s">
        <v>620</v>
      </c>
      <c r="G4073" s="89">
        <v>2003</v>
      </c>
      <c r="H4073" s="313" t="s">
        <v>734</v>
      </c>
      <c r="I4073" s="311" t="str">
        <f t="shared" si="164"/>
        <v>Pesado de Passageiros M3:  : Gasóleo : E5</v>
      </c>
      <c r="J4073">
        <v>97</v>
      </c>
      <c r="K4073" s="422">
        <v>2023</v>
      </c>
      <c r="L4073" s="427">
        <v>465.3941778214284</v>
      </c>
      <c r="M4073" s="427" t="s">
        <v>630</v>
      </c>
      <c r="N4073" s="434">
        <v>821</v>
      </c>
      <c r="O4073" s="436">
        <f t="shared" si="165"/>
        <v>79637</v>
      </c>
      <c r="P4073" s="435">
        <v>37700</v>
      </c>
      <c r="Q4073" s="427" t="s">
        <v>47</v>
      </c>
      <c r="R4073" s="422" t="s">
        <v>1869</v>
      </c>
      <c r="S4073" s="422" t="s">
        <v>1861</v>
      </c>
      <c r="T4073" s="427" t="s">
        <v>4839</v>
      </c>
      <c r="U4073" s="422" t="s">
        <v>1953</v>
      </c>
      <c r="V4073" s="422" t="s">
        <v>2813</v>
      </c>
    </row>
    <row r="4074" spans="1:22" ht="15.75" thickBot="1" x14ac:dyDescent="0.3">
      <c r="A4074" s="422" t="s">
        <v>4583</v>
      </c>
      <c r="B4074" s="422" t="s">
        <v>4583</v>
      </c>
      <c r="C4074" s="424" t="str">
        <f t="shared" si="162"/>
        <v>EVA - Transportes, S.A.</v>
      </c>
      <c r="D4074" t="s">
        <v>629</v>
      </c>
      <c r="F4074" s="432" t="s">
        <v>620</v>
      </c>
      <c r="G4074" s="89">
        <v>2006</v>
      </c>
      <c r="H4074" s="313" t="s">
        <v>731</v>
      </c>
      <c r="I4074" s="311" t="str">
        <f t="shared" si="164"/>
        <v>Pesado de Passageiros M3:  : Gasóleo : E4</v>
      </c>
      <c r="J4074">
        <v>97</v>
      </c>
      <c r="K4074" s="422">
        <v>2023</v>
      </c>
      <c r="L4074" s="427">
        <v>0</v>
      </c>
      <c r="M4074" s="427" t="s">
        <v>630</v>
      </c>
      <c r="N4074" s="434">
        <v>0</v>
      </c>
      <c r="O4074" s="436">
        <f t="shared" si="165"/>
        <v>0</v>
      </c>
      <c r="P4074" s="435">
        <v>38778</v>
      </c>
      <c r="Q4074" s="427" t="s">
        <v>47</v>
      </c>
      <c r="R4074" s="422" t="s">
        <v>1869</v>
      </c>
      <c r="S4074" s="422" t="s">
        <v>1861</v>
      </c>
      <c r="T4074" s="427" t="s">
        <v>4840</v>
      </c>
      <c r="U4074" s="422" t="s">
        <v>1953</v>
      </c>
      <c r="V4074" s="422" t="s">
        <v>2813</v>
      </c>
    </row>
    <row r="4075" spans="1:22" ht="15.75" thickBot="1" x14ac:dyDescent="0.3">
      <c r="A4075" s="422" t="s">
        <v>4583</v>
      </c>
      <c r="B4075" s="422" t="s">
        <v>4583</v>
      </c>
      <c r="C4075" s="424" t="str">
        <f t="shared" si="162"/>
        <v>EVA - Transportes, S.A.</v>
      </c>
      <c r="D4075" t="s">
        <v>629</v>
      </c>
      <c r="F4075" s="432" t="s">
        <v>620</v>
      </c>
      <c r="G4075" s="89">
        <v>2006</v>
      </c>
      <c r="H4075" s="313" t="s">
        <v>731</v>
      </c>
      <c r="I4075" s="311" t="str">
        <f t="shared" si="164"/>
        <v>Pesado de Passageiros M3:  : Gasóleo : E4</v>
      </c>
      <c r="J4075">
        <v>97</v>
      </c>
      <c r="K4075" s="422">
        <v>2023</v>
      </c>
      <c r="L4075" s="427">
        <v>0</v>
      </c>
      <c r="M4075" s="427" t="s">
        <v>630</v>
      </c>
      <c r="N4075" s="434">
        <v>0</v>
      </c>
      <c r="O4075" s="436">
        <f t="shared" si="165"/>
        <v>0</v>
      </c>
      <c r="P4075" s="435">
        <v>38783</v>
      </c>
      <c r="Q4075" s="427" t="s">
        <v>47</v>
      </c>
      <c r="R4075" s="422" t="s">
        <v>1869</v>
      </c>
      <c r="S4075" s="422" t="s">
        <v>1861</v>
      </c>
      <c r="T4075" s="427" t="s">
        <v>4841</v>
      </c>
      <c r="U4075" s="422" t="s">
        <v>1953</v>
      </c>
      <c r="V4075" s="422" t="s">
        <v>2813</v>
      </c>
    </row>
    <row r="4076" spans="1:22" ht="15.75" thickBot="1" x14ac:dyDescent="0.3">
      <c r="A4076" s="422" t="s">
        <v>4583</v>
      </c>
      <c r="B4076" s="422" t="s">
        <v>4583</v>
      </c>
      <c r="C4076" s="424" t="str">
        <f t="shared" si="162"/>
        <v>EVA - Transportes, S.A.</v>
      </c>
      <c r="D4076" t="s">
        <v>629</v>
      </c>
      <c r="F4076" s="432" t="s">
        <v>620</v>
      </c>
      <c r="G4076" s="89">
        <v>2016</v>
      </c>
      <c r="H4076" s="313" t="s">
        <v>4831</v>
      </c>
      <c r="I4076" s="311" t="str">
        <f t="shared" si="164"/>
        <v>Pesado de Passageiros M3:  : Gasóleo : E7</v>
      </c>
      <c r="J4076">
        <v>27</v>
      </c>
      <c r="K4076" s="422">
        <v>2023</v>
      </c>
      <c r="L4076" s="427">
        <v>7281.8152551246658</v>
      </c>
      <c r="M4076" s="427" t="s">
        <v>630</v>
      </c>
      <c r="N4076" s="434">
        <v>34914</v>
      </c>
      <c r="O4076" s="436">
        <f t="shared" si="165"/>
        <v>942678</v>
      </c>
      <c r="P4076" s="435">
        <v>42627</v>
      </c>
      <c r="Q4076" s="427" t="s">
        <v>47</v>
      </c>
      <c r="R4076" s="422" t="s">
        <v>1869</v>
      </c>
      <c r="S4076" s="422" t="s">
        <v>1861</v>
      </c>
      <c r="T4076" s="427" t="s">
        <v>4842</v>
      </c>
      <c r="U4076" s="422" t="s">
        <v>1953</v>
      </c>
      <c r="V4076" s="422" t="s">
        <v>2813</v>
      </c>
    </row>
    <row r="4077" spans="1:22" ht="15.75" thickBot="1" x14ac:dyDescent="0.3">
      <c r="A4077" s="422" t="s">
        <v>4583</v>
      </c>
      <c r="B4077" s="422" t="s">
        <v>4583</v>
      </c>
      <c r="C4077" s="424" t="str">
        <f t="shared" si="162"/>
        <v>EVA - Transportes, S.A.</v>
      </c>
      <c r="D4077" t="s">
        <v>629</v>
      </c>
      <c r="F4077" s="432" t="s">
        <v>620</v>
      </c>
      <c r="G4077" s="89">
        <v>2016</v>
      </c>
      <c r="H4077" s="313" t="s">
        <v>4831</v>
      </c>
      <c r="I4077" s="311" t="str">
        <f t="shared" si="164"/>
        <v>Pesado de Passageiros M3:  : Gasóleo : E7</v>
      </c>
      <c r="J4077">
        <v>27</v>
      </c>
      <c r="K4077" s="422">
        <v>2023</v>
      </c>
      <c r="L4077" s="427">
        <v>7214.0978766300605</v>
      </c>
      <c r="M4077" s="427" t="s">
        <v>630</v>
      </c>
      <c r="N4077" s="434">
        <v>34668</v>
      </c>
      <c r="O4077" s="436">
        <f t="shared" si="165"/>
        <v>936036</v>
      </c>
      <c r="P4077" s="435">
        <v>42627</v>
      </c>
      <c r="Q4077" s="427" t="s">
        <v>47</v>
      </c>
      <c r="R4077" s="422" t="s">
        <v>1869</v>
      </c>
      <c r="S4077" s="422" t="s">
        <v>1861</v>
      </c>
      <c r="T4077" s="427" t="s">
        <v>4843</v>
      </c>
      <c r="U4077" s="422" t="s">
        <v>1953</v>
      </c>
      <c r="V4077" s="422" t="s">
        <v>2813</v>
      </c>
    </row>
    <row r="4078" spans="1:22" ht="15.75" thickBot="1" x14ac:dyDescent="0.3">
      <c r="A4078" s="422" t="s">
        <v>4583</v>
      </c>
      <c r="B4078" s="422" t="s">
        <v>4583</v>
      </c>
      <c r="C4078" s="424" t="str">
        <f t="shared" si="162"/>
        <v>EVA - Transportes, S.A.</v>
      </c>
      <c r="D4078" t="s">
        <v>629</v>
      </c>
      <c r="F4078" s="432" t="s">
        <v>620</v>
      </c>
      <c r="G4078" s="89">
        <v>2011</v>
      </c>
      <c r="H4078" s="313" t="s">
        <v>734</v>
      </c>
      <c r="I4078" s="311" t="str">
        <f t="shared" si="164"/>
        <v>Pesado de Passageiros M3:  : Gasóleo : E5</v>
      </c>
      <c r="J4078">
        <v>27</v>
      </c>
      <c r="K4078" s="422">
        <v>2023</v>
      </c>
      <c r="L4078" s="427">
        <v>2919.1554514108639</v>
      </c>
      <c r="M4078" s="427" t="s">
        <v>630</v>
      </c>
      <c r="N4078" s="434">
        <v>13427</v>
      </c>
      <c r="O4078" s="436">
        <f t="shared" si="165"/>
        <v>362529</v>
      </c>
      <c r="P4078" s="435">
        <v>40563</v>
      </c>
      <c r="Q4078" s="427" t="s">
        <v>47</v>
      </c>
      <c r="R4078" s="422" t="s">
        <v>1869</v>
      </c>
      <c r="S4078" s="422" t="s">
        <v>1861</v>
      </c>
      <c r="T4078" s="427" t="s">
        <v>4844</v>
      </c>
      <c r="U4078" s="422" t="s">
        <v>1953</v>
      </c>
      <c r="V4078" s="422" t="s">
        <v>2813</v>
      </c>
    </row>
    <row r="4079" spans="1:22" ht="15.75" thickBot="1" x14ac:dyDescent="0.3">
      <c r="A4079" s="422" t="s">
        <v>4583</v>
      </c>
      <c r="B4079" s="422" t="s">
        <v>4583</v>
      </c>
      <c r="C4079" s="424" t="str">
        <f t="shared" si="162"/>
        <v>EVA - Transportes, S.A.</v>
      </c>
      <c r="D4079" t="s">
        <v>629</v>
      </c>
      <c r="F4079" s="432" t="s">
        <v>620</v>
      </c>
      <c r="G4079" s="89">
        <v>2011</v>
      </c>
      <c r="H4079" s="313" t="s">
        <v>734</v>
      </c>
      <c r="I4079" s="311" t="str">
        <f t="shared" si="164"/>
        <v>Pesado de Passageiros M3:  : Gasóleo : E5</v>
      </c>
      <c r="J4079">
        <v>27</v>
      </c>
      <c r="K4079" s="422">
        <v>2023</v>
      </c>
      <c r="L4079" s="427">
        <v>6384.9624964308696</v>
      </c>
      <c r="M4079" s="427" t="s">
        <v>630</v>
      </c>
      <c r="N4079" s="434">
        <v>32907</v>
      </c>
      <c r="O4079" s="436">
        <f t="shared" si="165"/>
        <v>888489</v>
      </c>
      <c r="P4079" s="435">
        <v>40563</v>
      </c>
      <c r="Q4079" s="427" t="s">
        <v>47</v>
      </c>
      <c r="R4079" s="422" t="s">
        <v>1869</v>
      </c>
      <c r="S4079" s="422" t="s">
        <v>1861</v>
      </c>
      <c r="T4079" s="427" t="s">
        <v>4845</v>
      </c>
      <c r="U4079" s="422" t="s">
        <v>1953</v>
      </c>
      <c r="V4079" s="422" t="s">
        <v>2813</v>
      </c>
    </row>
    <row r="4080" spans="1:22" ht="15.75" thickBot="1" x14ac:dyDescent="0.3">
      <c r="A4080" s="422" t="s">
        <v>4583</v>
      </c>
      <c r="B4080" s="422" t="s">
        <v>4583</v>
      </c>
      <c r="C4080" s="424" t="str">
        <f t="shared" si="162"/>
        <v>EVA - Transportes, S.A.</v>
      </c>
      <c r="D4080" t="s">
        <v>629</v>
      </c>
      <c r="F4080" s="432" t="s">
        <v>620</v>
      </c>
      <c r="G4080" s="89">
        <v>2016</v>
      </c>
      <c r="H4080" s="313" t="s">
        <v>731</v>
      </c>
      <c r="I4080" s="311" t="str">
        <f t="shared" si="164"/>
        <v>Pesado de Passageiros M3:  : Gasóleo : E4</v>
      </c>
      <c r="J4080">
        <v>27</v>
      </c>
      <c r="K4080" s="422">
        <v>2023</v>
      </c>
      <c r="L4080" s="427">
        <v>11258.6429097699</v>
      </c>
      <c r="M4080" s="427" t="s">
        <v>630</v>
      </c>
      <c r="N4080" s="434">
        <v>50629</v>
      </c>
      <c r="O4080" s="436">
        <f t="shared" si="165"/>
        <v>1366983</v>
      </c>
      <c r="P4080" s="435">
        <v>42499</v>
      </c>
      <c r="Q4080" s="427" t="s">
        <v>47</v>
      </c>
      <c r="R4080" s="422" t="s">
        <v>1869</v>
      </c>
      <c r="S4080" s="422" t="s">
        <v>1861</v>
      </c>
      <c r="T4080" s="427" t="s">
        <v>4846</v>
      </c>
      <c r="U4080" s="422" t="s">
        <v>1953</v>
      </c>
      <c r="V4080" s="422" t="s">
        <v>2813</v>
      </c>
    </row>
    <row r="4081" spans="1:22" ht="15.75" thickBot="1" x14ac:dyDescent="0.3">
      <c r="A4081" s="422" t="s">
        <v>4583</v>
      </c>
      <c r="B4081" s="422" t="s">
        <v>4583</v>
      </c>
      <c r="C4081" s="424" t="str">
        <f t="shared" si="162"/>
        <v>EVA - Transportes, S.A.</v>
      </c>
      <c r="D4081" t="s">
        <v>629</v>
      </c>
      <c r="F4081" s="432" t="s">
        <v>620</v>
      </c>
      <c r="G4081" s="89">
        <v>2016</v>
      </c>
      <c r="H4081" s="313" t="s">
        <v>731</v>
      </c>
      <c r="I4081" s="311" t="str">
        <f t="shared" si="164"/>
        <v>Pesado de Passageiros M3:  : Gasóleo : E4</v>
      </c>
      <c r="J4081">
        <v>27</v>
      </c>
      <c r="K4081" s="422">
        <v>2023</v>
      </c>
      <c r="L4081" s="427">
        <v>7103.0578936326247</v>
      </c>
      <c r="M4081" s="427" t="s">
        <v>630</v>
      </c>
      <c r="N4081" s="434">
        <v>43913</v>
      </c>
      <c r="O4081" s="436">
        <f t="shared" si="165"/>
        <v>1185651</v>
      </c>
      <c r="P4081" s="435">
        <v>42499</v>
      </c>
      <c r="Q4081" s="427" t="s">
        <v>47</v>
      </c>
      <c r="R4081" s="422" t="s">
        <v>1869</v>
      </c>
      <c r="S4081" s="422" t="s">
        <v>1861</v>
      </c>
      <c r="T4081" s="427" t="s">
        <v>4847</v>
      </c>
      <c r="U4081" s="422" t="s">
        <v>1953</v>
      </c>
      <c r="V4081" s="422" t="s">
        <v>2813</v>
      </c>
    </row>
    <row r="4082" spans="1:22" ht="15.75" thickBot="1" x14ac:dyDescent="0.3">
      <c r="A4082" s="422" t="s">
        <v>4583</v>
      </c>
      <c r="B4082" s="422" t="s">
        <v>4583</v>
      </c>
      <c r="C4082" s="424" t="str">
        <f t="shared" si="162"/>
        <v>EVA - Transportes, S.A.</v>
      </c>
      <c r="D4082" t="s">
        <v>629</v>
      </c>
      <c r="F4082" s="432" t="s">
        <v>620</v>
      </c>
      <c r="G4082" s="89">
        <v>2016</v>
      </c>
      <c r="H4082" s="313" t="s">
        <v>731</v>
      </c>
      <c r="I4082" s="311" t="str">
        <f t="shared" si="164"/>
        <v>Pesado de Passageiros M3:  : Gasóleo : E4</v>
      </c>
      <c r="J4082">
        <v>27</v>
      </c>
      <c r="K4082" s="422">
        <v>2023</v>
      </c>
      <c r="L4082" s="427">
        <v>11655.410604952964</v>
      </c>
      <c r="M4082" s="427" t="s">
        <v>630</v>
      </c>
      <c r="N4082" s="434">
        <v>51921</v>
      </c>
      <c r="O4082" s="436">
        <f t="shared" si="165"/>
        <v>1401867</v>
      </c>
      <c r="P4082" s="435">
        <v>42499</v>
      </c>
      <c r="Q4082" s="427" t="s">
        <v>47</v>
      </c>
      <c r="R4082" s="422" t="s">
        <v>1869</v>
      </c>
      <c r="S4082" s="422" t="s">
        <v>1861</v>
      </c>
      <c r="T4082" s="427" t="s">
        <v>4848</v>
      </c>
      <c r="U4082" s="422" t="s">
        <v>1953</v>
      </c>
      <c r="V4082" s="422" t="s">
        <v>2813</v>
      </c>
    </row>
    <row r="4083" spans="1:22" ht="15.75" thickBot="1" x14ac:dyDescent="0.3">
      <c r="A4083" s="422" t="s">
        <v>4583</v>
      </c>
      <c r="B4083" s="422" t="s">
        <v>4583</v>
      </c>
      <c r="C4083" s="424" t="str">
        <f t="shared" si="162"/>
        <v>EVA - Transportes, S.A.</v>
      </c>
      <c r="D4083" t="s">
        <v>629</v>
      </c>
      <c r="F4083" s="432" t="s">
        <v>620</v>
      </c>
      <c r="G4083" s="89">
        <v>2016</v>
      </c>
      <c r="H4083" s="313" t="s">
        <v>731</v>
      </c>
      <c r="I4083" s="311" t="str">
        <f t="shared" si="164"/>
        <v>Pesado de Passageiros M3:  : Gasóleo : E4</v>
      </c>
      <c r="J4083">
        <v>27</v>
      </c>
      <c r="K4083" s="422">
        <v>2023</v>
      </c>
      <c r="L4083" s="427">
        <v>2685.6907909424021</v>
      </c>
      <c r="M4083" s="427" t="s">
        <v>630</v>
      </c>
      <c r="N4083" s="434">
        <v>11896</v>
      </c>
      <c r="O4083" s="436">
        <f t="shared" si="165"/>
        <v>321192</v>
      </c>
      <c r="P4083" s="435">
        <v>42499</v>
      </c>
      <c r="Q4083" s="427" t="s">
        <v>47</v>
      </c>
      <c r="R4083" s="422" t="s">
        <v>1869</v>
      </c>
      <c r="S4083" s="422" t="s">
        <v>1861</v>
      </c>
      <c r="T4083" s="427" t="s">
        <v>4849</v>
      </c>
      <c r="U4083" s="422" t="s">
        <v>1953</v>
      </c>
      <c r="V4083" s="422" t="s">
        <v>2813</v>
      </c>
    </row>
    <row r="4084" spans="1:22" ht="15.75" thickBot="1" x14ac:dyDescent="0.3">
      <c r="A4084" s="422" t="s">
        <v>4583</v>
      </c>
      <c r="B4084" s="422" t="s">
        <v>4583</v>
      </c>
      <c r="C4084" s="424" t="str">
        <f t="shared" si="162"/>
        <v>EVA - Transportes, S.A.</v>
      </c>
      <c r="D4084" t="s">
        <v>629</v>
      </c>
      <c r="F4084" s="432" t="s">
        <v>620</v>
      </c>
      <c r="G4084" s="89">
        <v>2017</v>
      </c>
      <c r="H4084" s="313" t="s">
        <v>731</v>
      </c>
      <c r="I4084" s="311" t="str">
        <f t="shared" si="164"/>
        <v>Pesado de Passageiros M3:  : Gasóleo : E4</v>
      </c>
      <c r="J4084">
        <v>27</v>
      </c>
      <c r="K4084" s="422">
        <v>2023</v>
      </c>
      <c r="L4084" s="427">
        <v>8855.0739071654243</v>
      </c>
      <c r="M4084" s="427" t="s">
        <v>630</v>
      </c>
      <c r="N4084" s="434">
        <v>41861</v>
      </c>
      <c r="O4084" s="436">
        <f t="shared" si="165"/>
        <v>1130247</v>
      </c>
      <c r="P4084" s="435">
        <v>42870</v>
      </c>
      <c r="Q4084" s="427" t="s">
        <v>47</v>
      </c>
      <c r="R4084" s="422" t="s">
        <v>1869</v>
      </c>
      <c r="S4084" s="422" t="s">
        <v>1861</v>
      </c>
      <c r="T4084" s="427" t="s">
        <v>4850</v>
      </c>
      <c r="U4084" s="422" t="s">
        <v>1953</v>
      </c>
      <c r="V4084" s="422" t="s">
        <v>2813</v>
      </c>
    </row>
    <row r="4085" spans="1:22" ht="15.75" thickBot="1" x14ac:dyDescent="0.3">
      <c r="A4085" s="422" t="s">
        <v>4583</v>
      </c>
      <c r="B4085" s="422" t="s">
        <v>4583</v>
      </c>
      <c r="C4085" s="424" t="str">
        <f t="shared" si="162"/>
        <v>EVA - Transportes, S.A.</v>
      </c>
      <c r="D4085" t="s">
        <v>629</v>
      </c>
      <c r="F4085" s="432" t="s">
        <v>620</v>
      </c>
      <c r="G4085" s="89">
        <v>2017</v>
      </c>
      <c r="H4085" s="313" t="s">
        <v>731</v>
      </c>
      <c r="I4085" s="311" t="str">
        <f t="shared" si="164"/>
        <v>Pesado de Passageiros M3:  : Gasóleo : E4</v>
      </c>
      <c r="J4085">
        <v>27</v>
      </c>
      <c r="K4085" s="422">
        <v>2023</v>
      </c>
      <c r="L4085" s="427">
        <v>4575.6651923926347</v>
      </c>
      <c r="M4085" s="427" t="s">
        <v>630</v>
      </c>
      <c r="N4085" s="434">
        <v>24918</v>
      </c>
      <c r="O4085" s="436">
        <f t="shared" si="165"/>
        <v>672786</v>
      </c>
      <c r="P4085" s="435">
        <v>42870</v>
      </c>
      <c r="Q4085" s="427" t="s">
        <v>47</v>
      </c>
      <c r="R4085" s="422" t="s">
        <v>1869</v>
      </c>
      <c r="S4085" s="422" t="s">
        <v>1861</v>
      </c>
      <c r="T4085" s="427" t="s">
        <v>4851</v>
      </c>
      <c r="U4085" s="422" t="s">
        <v>1953</v>
      </c>
      <c r="V4085" s="422" t="s">
        <v>2813</v>
      </c>
    </row>
    <row r="4086" spans="1:22" ht="15.75" thickBot="1" x14ac:dyDescent="0.3">
      <c r="A4086" s="422" t="s">
        <v>4583</v>
      </c>
      <c r="B4086" s="422" t="s">
        <v>4583</v>
      </c>
      <c r="C4086" s="424" t="str">
        <f t="shared" si="162"/>
        <v>EVA - Transportes, S.A.</v>
      </c>
      <c r="D4086" t="s">
        <v>629</v>
      </c>
      <c r="F4086" s="432" t="s">
        <v>620</v>
      </c>
      <c r="G4086" s="89">
        <v>2019</v>
      </c>
      <c r="H4086" s="313" t="s">
        <v>731</v>
      </c>
      <c r="I4086" s="311" t="str">
        <f t="shared" si="164"/>
        <v>Pesado de Passageiros M3:  : Gasóleo : E4</v>
      </c>
      <c r="J4086">
        <v>16</v>
      </c>
      <c r="K4086" s="422">
        <v>2023</v>
      </c>
      <c r="L4086" s="427">
        <v>5775.0434075158273</v>
      </c>
      <c r="M4086" s="427" t="s">
        <v>630</v>
      </c>
      <c r="N4086" s="434">
        <v>31906</v>
      </c>
      <c r="O4086" s="436">
        <f t="shared" si="165"/>
        <v>510496</v>
      </c>
      <c r="P4086" s="435">
        <v>43628</v>
      </c>
      <c r="Q4086" s="427" t="s">
        <v>47</v>
      </c>
      <c r="R4086" s="422" t="s">
        <v>1869</v>
      </c>
      <c r="S4086" s="422" t="s">
        <v>1861</v>
      </c>
      <c r="T4086" s="427" t="s">
        <v>4852</v>
      </c>
      <c r="U4086" s="422" t="s">
        <v>1953</v>
      </c>
      <c r="V4086" s="422" t="s">
        <v>2813</v>
      </c>
    </row>
    <row r="4087" spans="1:22" ht="15.75" thickBot="1" x14ac:dyDescent="0.3">
      <c r="A4087" s="422" t="s">
        <v>4583</v>
      </c>
      <c r="B4087" s="422" t="s">
        <v>4583</v>
      </c>
      <c r="C4087" s="424" t="str">
        <f t="shared" si="162"/>
        <v>EVA - Transportes, S.A.</v>
      </c>
      <c r="D4087" t="s">
        <v>629</v>
      </c>
      <c r="F4087" s="432" t="s">
        <v>620</v>
      </c>
      <c r="G4087" s="89">
        <v>2019</v>
      </c>
      <c r="H4087" s="313" t="s">
        <v>731</v>
      </c>
      <c r="I4087" s="311" t="str">
        <f t="shared" si="164"/>
        <v>Pesado de Passageiros M3:  : Gasóleo : E4</v>
      </c>
      <c r="J4087">
        <v>16</v>
      </c>
      <c r="K4087" s="422">
        <v>2023</v>
      </c>
      <c r="L4087" s="427">
        <v>6877.2077530263969</v>
      </c>
      <c r="M4087" s="427" t="s">
        <v>630</v>
      </c>
      <c r="N4087" s="434">
        <v>37449</v>
      </c>
      <c r="O4087" s="436">
        <f t="shared" si="165"/>
        <v>599184</v>
      </c>
      <c r="P4087" s="435">
        <v>43628</v>
      </c>
      <c r="Q4087" s="427" t="s">
        <v>47</v>
      </c>
      <c r="R4087" s="422" t="s">
        <v>1869</v>
      </c>
      <c r="S4087" s="422" t="s">
        <v>1861</v>
      </c>
      <c r="T4087" s="427" t="s">
        <v>4853</v>
      </c>
      <c r="U4087" s="422" t="s">
        <v>1953</v>
      </c>
      <c r="V4087" s="422" t="s">
        <v>2813</v>
      </c>
    </row>
    <row r="4088" spans="1:22" ht="15.75" thickBot="1" x14ac:dyDescent="0.3">
      <c r="A4088" s="422" t="s">
        <v>4583</v>
      </c>
      <c r="B4088" s="422" t="s">
        <v>4583</v>
      </c>
      <c r="C4088" s="424" t="str">
        <f t="shared" si="162"/>
        <v>EVA - Transportes, S.A.</v>
      </c>
      <c r="D4088" t="s">
        <v>629</v>
      </c>
      <c r="F4088" s="432" t="s">
        <v>620</v>
      </c>
      <c r="G4088" s="89">
        <v>2020</v>
      </c>
      <c r="H4088" s="313" t="s">
        <v>733</v>
      </c>
      <c r="I4088" s="311" t="str">
        <f t="shared" si="164"/>
        <v>Pesado de Passageiros M3:  : Gasóleo : E6</v>
      </c>
      <c r="J4088">
        <v>27</v>
      </c>
      <c r="K4088" s="422">
        <v>2023</v>
      </c>
      <c r="L4088" s="427">
        <v>8288.4698157411167</v>
      </c>
      <c r="M4088" s="427" t="s">
        <v>630</v>
      </c>
      <c r="N4088" s="434">
        <v>45083</v>
      </c>
      <c r="O4088" s="436">
        <f t="shared" si="165"/>
        <v>1217241</v>
      </c>
      <c r="P4088" s="435">
        <v>44035</v>
      </c>
      <c r="Q4088" s="427" t="s">
        <v>47</v>
      </c>
      <c r="R4088" s="422" t="s">
        <v>1869</v>
      </c>
      <c r="S4088" s="422" t="s">
        <v>1861</v>
      </c>
      <c r="T4088" s="427" t="s">
        <v>4854</v>
      </c>
      <c r="U4088" s="422" t="s">
        <v>1953</v>
      </c>
      <c r="V4088" s="422" t="s">
        <v>2813</v>
      </c>
    </row>
    <row r="4089" spans="1:22" ht="15.75" thickBot="1" x14ac:dyDescent="0.3">
      <c r="A4089" s="422" t="s">
        <v>4583</v>
      </c>
      <c r="B4089" s="422" t="s">
        <v>4583</v>
      </c>
      <c r="C4089" s="424" t="str">
        <f t="shared" si="162"/>
        <v>EVA - Transportes, S.A.</v>
      </c>
      <c r="D4089" t="s">
        <v>629</v>
      </c>
      <c r="F4089" s="432" t="s">
        <v>620</v>
      </c>
      <c r="G4089" s="89">
        <v>2020</v>
      </c>
      <c r="H4089" s="313" t="s">
        <v>733</v>
      </c>
      <c r="I4089" s="311" t="str">
        <f t="shared" si="164"/>
        <v>Pesado de Passageiros M3:  : Gasóleo : E6</v>
      </c>
      <c r="J4089">
        <v>27</v>
      </c>
      <c r="K4089" s="422">
        <v>2023</v>
      </c>
      <c r="L4089" s="427">
        <v>8760.0443526059134</v>
      </c>
      <c r="M4089" s="427" t="s">
        <v>630</v>
      </c>
      <c r="N4089" s="434">
        <v>49395</v>
      </c>
      <c r="O4089" s="436">
        <f t="shared" si="165"/>
        <v>1333665</v>
      </c>
      <c r="P4089" s="435">
        <v>44035</v>
      </c>
      <c r="Q4089" s="427" t="s">
        <v>47</v>
      </c>
      <c r="R4089" s="422" t="s">
        <v>1869</v>
      </c>
      <c r="S4089" s="422" t="s">
        <v>1861</v>
      </c>
      <c r="T4089" s="427" t="s">
        <v>4855</v>
      </c>
      <c r="U4089" s="422" t="s">
        <v>1953</v>
      </c>
      <c r="V4089" s="422" t="s">
        <v>2813</v>
      </c>
    </row>
    <row r="4090" spans="1:22" ht="15.75" thickBot="1" x14ac:dyDescent="0.3">
      <c r="A4090" s="422" t="s">
        <v>4583</v>
      </c>
      <c r="B4090" s="422" t="s">
        <v>4583</v>
      </c>
      <c r="C4090" s="424" t="str">
        <f t="shared" si="162"/>
        <v>EVA - Transportes, S.A.</v>
      </c>
      <c r="D4090" t="s">
        <v>629</v>
      </c>
      <c r="F4090" s="432" t="s">
        <v>620</v>
      </c>
      <c r="G4090" s="89">
        <v>2020</v>
      </c>
      <c r="H4090" s="313" t="s">
        <v>733</v>
      </c>
      <c r="I4090" s="311" t="str">
        <f t="shared" si="164"/>
        <v>Pesado de Passageiros M3:  : Gasóleo : E6</v>
      </c>
      <c r="J4090">
        <v>27</v>
      </c>
      <c r="K4090" s="422">
        <v>2023</v>
      </c>
      <c r="L4090" s="427">
        <v>6954.472135743511</v>
      </c>
      <c r="M4090" s="427" t="s">
        <v>630</v>
      </c>
      <c r="N4090" s="434">
        <v>36168</v>
      </c>
      <c r="O4090" s="436">
        <f t="shared" si="165"/>
        <v>976536</v>
      </c>
      <c r="P4090" s="435">
        <v>44035</v>
      </c>
      <c r="Q4090" s="427" t="s">
        <v>47</v>
      </c>
      <c r="R4090" s="422" t="s">
        <v>1869</v>
      </c>
      <c r="S4090" s="422" t="s">
        <v>1861</v>
      </c>
      <c r="T4090" s="427" t="s">
        <v>4856</v>
      </c>
      <c r="U4090" s="422" t="s">
        <v>1953</v>
      </c>
      <c r="V4090" s="422" t="s">
        <v>2813</v>
      </c>
    </row>
    <row r="4091" spans="1:22" ht="15.75" thickBot="1" x14ac:dyDescent="0.3">
      <c r="A4091" s="422" t="s">
        <v>4583</v>
      </c>
      <c r="B4091" s="422" t="s">
        <v>4583</v>
      </c>
      <c r="C4091" s="424" t="str">
        <f t="shared" si="162"/>
        <v>EVA - Transportes, S.A.</v>
      </c>
      <c r="D4091" t="s">
        <v>629</v>
      </c>
      <c r="F4091" s="432" t="s">
        <v>620</v>
      </c>
      <c r="G4091" s="89">
        <v>2020</v>
      </c>
      <c r="H4091" s="313" t="s">
        <v>733</v>
      </c>
      <c r="I4091" s="311" t="str">
        <f t="shared" si="164"/>
        <v>Pesado de Passageiros M3:  : Gasóleo : E6</v>
      </c>
      <c r="J4091">
        <v>27</v>
      </c>
      <c r="K4091" s="422">
        <v>2023</v>
      </c>
      <c r="L4091" s="427">
        <v>8393.8144186259251</v>
      </c>
      <c r="M4091" s="427" t="s">
        <v>630</v>
      </c>
      <c r="N4091" s="434">
        <v>45887</v>
      </c>
      <c r="O4091" s="436">
        <f t="shared" si="165"/>
        <v>1238949</v>
      </c>
      <c r="P4091" s="435">
        <v>44035</v>
      </c>
      <c r="Q4091" s="427" t="s">
        <v>47</v>
      </c>
      <c r="R4091" s="422" t="s">
        <v>1869</v>
      </c>
      <c r="S4091" s="422" t="s">
        <v>1861</v>
      </c>
      <c r="T4091" s="427" t="s">
        <v>4857</v>
      </c>
      <c r="U4091" s="422" t="s">
        <v>1953</v>
      </c>
      <c r="V4091" s="422" t="s">
        <v>2813</v>
      </c>
    </row>
    <row r="4092" spans="1:22" ht="15.75" thickBot="1" x14ac:dyDescent="0.3">
      <c r="A4092" s="422" t="s">
        <v>4583</v>
      </c>
      <c r="B4092" s="422" t="s">
        <v>4583</v>
      </c>
      <c r="C4092" s="424" t="str">
        <f t="shared" si="162"/>
        <v>EVA - Transportes, S.A.</v>
      </c>
      <c r="D4092" t="s">
        <v>629</v>
      </c>
      <c r="F4092" s="432" t="s">
        <v>620</v>
      </c>
      <c r="G4092" s="89">
        <v>2020</v>
      </c>
      <c r="H4092" s="313" t="s">
        <v>733</v>
      </c>
      <c r="I4092" s="311" t="str">
        <f t="shared" si="164"/>
        <v>Pesado de Passageiros M3:  : Gasóleo : E6</v>
      </c>
      <c r="J4092">
        <v>27</v>
      </c>
      <c r="K4092" s="422">
        <v>2023</v>
      </c>
      <c r="L4092" s="427">
        <v>8369.439912261867</v>
      </c>
      <c r="M4092" s="427" t="s">
        <v>630</v>
      </c>
      <c r="N4092" s="434">
        <v>44044</v>
      </c>
      <c r="O4092" s="436">
        <f t="shared" si="165"/>
        <v>1189188</v>
      </c>
      <c r="P4092" s="435">
        <v>44035</v>
      </c>
      <c r="Q4092" s="427" t="s">
        <v>47</v>
      </c>
      <c r="R4092" s="422" t="s">
        <v>1869</v>
      </c>
      <c r="S4092" s="422" t="s">
        <v>1861</v>
      </c>
      <c r="T4092" s="427" t="s">
        <v>4858</v>
      </c>
      <c r="U4092" s="422" t="s">
        <v>1953</v>
      </c>
      <c r="V4092" s="422" t="s">
        <v>2813</v>
      </c>
    </row>
    <row r="4093" spans="1:22" ht="15.75" thickBot="1" x14ac:dyDescent="0.3">
      <c r="A4093" s="422" t="s">
        <v>4583</v>
      </c>
      <c r="B4093" s="422" t="s">
        <v>4583</v>
      </c>
      <c r="C4093" s="424" t="str">
        <f t="shared" si="162"/>
        <v>EVA - Transportes, S.A.</v>
      </c>
      <c r="D4093" t="s">
        <v>629</v>
      </c>
      <c r="F4093" s="432" t="s">
        <v>620</v>
      </c>
      <c r="G4093" s="89">
        <v>2004</v>
      </c>
      <c r="H4093" s="313" t="s">
        <v>731</v>
      </c>
      <c r="I4093" s="311" t="str">
        <f t="shared" si="164"/>
        <v>Pesado de Passageiros M3:  : Gasóleo : E4</v>
      </c>
      <c r="J4093">
        <v>51</v>
      </c>
      <c r="K4093" s="422">
        <v>2023</v>
      </c>
      <c r="L4093" s="427">
        <v>14337.401209429825</v>
      </c>
      <c r="M4093" s="427" t="s">
        <v>630</v>
      </c>
      <c r="N4093" s="434">
        <v>38887</v>
      </c>
      <c r="O4093" s="436">
        <f t="shared" si="165"/>
        <v>1983237</v>
      </c>
      <c r="P4093" s="435">
        <v>38026</v>
      </c>
      <c r="Q4093" s="427" t="s">
        <v>47</v>
      </c>
      <c r="R4093" s="422" t="s">
        <v>1869</v>
      </c>
      <c r="S4093" s="422" t="s">
        <v>1861</v>
      </c>
      <c r="T4093" s="427" t="s">
        <v>4859</v>
      </c>
      <c r="U4093" s="422" t="s">
        <v>1953</v>
      </c>
      <c r="V4093" s="422" t="s">
        <v>2813</v>
      </c>
    </row>
    <row r="4094" spans="1:22" ht="15.75" thickBot="1" x14ac:dyDescent="0.3">
      <c r="A4094" s="422" t="s">
        <v>4583</v>
      </c>
      <c r="B4094" s="422" t="s">
        <v>4583</v>
      </c>
      <c r="C4094" s="424" t="str">
        <f t="shared" si="162"/>
        <v>EVA - Transportes, S.A.</v>
      </c>
      <c r="D4094" t="s">
        <v>629</v>
      </c>
      <c r="F4094" s="432" t="s">
        <v>620</v>
      </c>
      <c r="G4094" s="89">
        <v>2004</v>
      </c>
      <c r="H4094" s="313" t="s">
        <v>731</v>
      </c>
      <c r="I4094" s="311" t="str">
        <f t="shared" si="164"/>
        <v>Pesado de Passageiros M3:  : Gasóleo : E4</v>
      </c>
      <c r="J4094">
        <v>55</v>
      </c>
      <c r="K4094" s="422">
        <v>2023</v>
      </c>
      <c r="L4094" s="427">
        <v>14542.734198458229</v>
      </c>
      <c r="M4094" s="427" t="s">
        <v>630</v>
      </c>
      <c r="N4094" s="434">
        <v>43802</v>
      </c>
      <c r="O4094" s="436">
        <f t="shared" si="165"/>
        <v>2409110</v>
      </c>
      <c r="P4094" s="435">
        <v>38047</v>
      </c>
      <c r="Q4094" s="427" t="s">
        <v>47</v>
      </c>
      <c r="R4094" s="422" t="s">
        <v>1869</v>
      </c>
      <c r="S4094" s="422" t="s">
        <v>1861</v>
      </c>
      <c r="T4094" s="427" t="s">
        <v>4860</v>
      </c>
      <c r="U4094" s="422" t="s">
        <v>1953</v>
      </c>
      <c r="V4094" s="422" t="s">
        <v>2813</v>
      </c>
    </row>
    <row r="4095" spans="1:22" ht="15.75" thickBot="1" x14ac:dyDescent="0.3">
      <c r="A4095" s="422" t="s">
        <v>4583</v>
      </c>
      <c r="B4095" s="422" t="s">
        <v>4583</v>
      </c>
      <c r="C4095" s="424" t="str">
        <f t="shared" si="162"/>
        <v>EVA - Transportes, S.A.</v>
      </c>
      <c r="D4095" t="s">
        <v>629</v>
      </c>
      <c r="F4095" s="432" t="s">
        <v>620</v>
      </c>
      <c r="G4095" s="89">
        <v>2004</v>
      </c>
      <c r="H4095" s="313" t="s">
        <v>731</v>
      </c>
      <c r="I4095" s="311" t="str">
        <f t="shared" si="164"/>
        <v>Pesado de Passageiros M3:  : Gasóleo : E4</v>
      </c>
      <c r="J4095">
        <v>55</v>
      </c>
      <c r="K4095" s="422">
        <v>2023</v>
      </c>
      <c r="L4095" s="427">
        <v>19041.492061373705</v>
      </c>
      <c r="M4095" s="427" t="s">
        <v>630</v>
      </c>
      <c r="N4095" s="434">
        <v>55721</v>
      </c>
      <c r="O4095" s="436">
        <f t="shared" si="165"/>
        <v>3064655</v>
      </c>
      <c r="P4095" s="435">
        <v>38047</v>
      </c>
      <c r="Q4095" s="427" t="s">
        <v>47</v>
      </c>
      <c r="R4095" s="422" t="s">
        <v>1869</v>
      </c>
      <c r="S4095" s="422" t="s">
        <v>1861</v>
      </c>
      <c r="T4095" s="427" t="s">
        <v>4861</v>
      </c>
      <c r="U4095" s="422" t="s">
        <v>1953</v>
      </c>
      <c r="V4095" s="422" t="s">
        <v>2813</v>
      </c>
    </row>
    <row r="4096" spans="1:22" ht="15.75" thickBot="1" x14ac:dyDescent="0.3">
      <c r="A4096" s="422" t="s">
        <v>4583</v>
      </c>
      <c r="B4096" s="422" t="s">
        <v>4583</v>
      </c>
      <c r="C4096" s="424" t="str">
        <f t="shared" si="162"/>
        <v>EVA - Transportes, S.A.</v>
      </c>
      <c r="D4096" t="s">
        <v>629</v>
      </c>
      <c r="F4096" s="432" t="s">
        <v>620</v>
      </c>
      <c r="G4096" s="89">
        <v>2004</v>
      </c>
      <c r="H4096" s="313" t="s">
        <v>731</v>
      </c>
      <c r="I4096" s="311" t="str">
        <f t="shared" si="164"/>
        <v>Pesado de Passageiros M3:  : Gasóleo : E4</v>
      </c>
      <c r="J4096">
        <v>55</v>
      </c>
      <c r="K4096" s="422">
        <v>2023</v>
      </c>
      <c r="L4096" s="427">
        <v>12458.761775012868</v>
      </c>
      <c r="M4096" s="427" t="s">
        <v>630</v>
      </c>
      <c r="N4096" s="434">
        <v>33524</v>
      </c>
      <c r="O4096" s="436">
        <f t="shared" si="165"/>
        <v>1843820</v>
      </c>
      <c r="P4096" s="435">
        <v>38047</v>
      </c>
      <c r="Q4096" s="427" t="s">
        <v>47</v>
      </c>
      <c r="R4096" s="422" t="s">
        <v>1869</v>
      </c>
      <c r="S4096" s="422" t="s">
        <v>1861</v>
      </c>
      <c r="T4096" s="427" t="s">
        <v>4862</v>
      </c>
      <c r="U4096" s="422" t="s">
        <v>1953</v>
      </c>
      <c r="V4096" s="422" t="s">
        <v>2813</v>
      </c>
    </row>
    <row r="4097" spans="1:22" ht="15.75" thickBot="1" x14ac:dyDescent="0.3">
      <c r="A4097" s="422" t="s">
        <v>4583</v>
      </c>
      <c r="B4097" s="422" t="s">
        <v>4583</v>
      </c>
      <c r="C4097" s="424" t="str">
        <f t="shared" si="162"/>
        <v>EVA - Transportes, S.A.</v>
      </c>
      <c r="D4097" t="s">
        <v>629</v>
      </c>
      <c r="F4097" s="432" t="s">
        <v>620</v>
      </c>
      <c r="G4097" s="89">
        <v>2004</v>
      </c>
      <c r="H4097" s="313" t="s">
        <v>731</v>
      </c>
      <c r="I4097" s="311" t="str">
        <f t="shared" si="164"/>
        <v>Pesado de Passageiros M3:  : Gasóleo : E4</v>
      </c>
      <c r="J4097">
        <v>55</v>
      </c>
      <c r="K4097" s="422">
        <v>2023</v>
      </c>
      <c r="L4097" s="427">
        <v>14016.168410111659</v>
      </c>
      <c r="M4097" s="427" t="s">
        <v>630</v>
      </c>
      <c r="N4097" s="434">
        <v>39493</v>
      </c>
      <c r="O4097" s="436">
        <f t="shared" si="165"/>
        <v>2172115</v>
      </c>
      <c r="P4097" s="435">
        <v>38047</v>
      </c>
      <c r="Q4097" s="427" t="s">
        <v>47</v>
      </c>
      <c r="R4097" s="422" t="s">
        <v>1869</v>
      </c>
      <c r="S4097" s="422" t="s">
        <v>1861</v>
      </c>
      <c r="T4097" s="427" t="s">
        <v>4863</v>
      </c>
      <c r="U4097" s="422" t="s">
        <v>1953</v>
      </c>
      <c r="V4097" s="422" t="s">
        <v>2813</v>
      </c>
    </row>
    <row r="4098" spans="1:22" ht="15.75" thickBot="1" x14ac:dyDescent="0.3">
      <c r="A4098" s="422" t="s">
        <v>4583</v>
      </c>
      <c r="B4098" s="422" t="s">
        <v>4583</v>
      </c>
      <c r="C4098" s="424" t="str">
        <f t="shared" si="162"/>
        <v>EVA - Transportes, S.A.</v>
      </c>
      <c r="D4098" t="s">
        <v>629</v>
      </c>
      <c r="F4098" s="432" t="s">
        <v>620</v>
      </c>
      <c r="G4098" s="89">
        <v>2018</v>
      </c>
      <c r="H4098" s="313" t="s">
        <v>731</v>
      </c>
      <c r="I4098" s="311" t="str">
        <f t="shared" si="164"/>
        <v>Pesado de Passageiros M3:  : Gasóleo : E4</v>
      </c>
      <c r="J4098">
        <v>65</v>
      </c>
      <c r="K4098" s="422">
        <v>2023</v>
      </c>
      <c r="L4098" s="427">
        <v>62906.579645846054</v>
      </c>
      <c r="M4098" s="427" t="s">
        <v>630</v>
      </c>
      <c r="N4098" s="434">
        <v>201490</v>
      </c>
      <c r="O4098" s="436">
        <f t="shared" si="165"/>
        <v>13096850</v>
      </c>
      <c r="P4098" s="435">
        <v>43140</v>
      </c>
      <c r="Q4098" s="427" t="s">
        <v>47</v>
      </c>
      <c r="R4098" s="422" t="s">
        <v>1869</v>
      </c>
      <c r="S4098" s="422" t="s">
        <v>1861</v>
      </c>
      <c r="T4098" s="427" t="s">
        <v>4864</v>
      </c>
      <c r="U4098" s="422" t="s">
        <v>1953</v>
      </c>
      <c r="V4098" s="422" t="s">
        <v>2813</v>
      </c>
    </row>
    <row r="4099" spans="1:22" ht="15.75" thickBot="1" x14ac:dyDescent="0.3">
      <c r="A4099" s="422" t="s">
        <v>4583</v>
      </c>
      <c r="B4099" s="422" t="s">
        <v>4583</v>
      </c>
      <c r="C4099" s="424" t="str">
        <f t="shared" si="162"/>
        <v>EVA - Transportes, S.A.</v>
      </c>
      <c r="D4099" t="s">
        <v>629</v>
      </c>
      <c r="F4099" s="432" t="s">
        <v>620</v>
      </c>
      <c r="G4099" s="89">
        <v>2017</v>
      </c>
      <c r="H4099" s="313" t="s">
        <v>733</v>
      </c>
      <c r="I4099" s="311" t="str">
        <f t="shared" si="164"/>
        <v>Pesado de Passageiros M3:  : Gasóleo : E6</v>
      </c>
      <c r="J4099">
        <v>60</v>
      </c>
      <c r="K4099" s="422">
        <v>2023</v>
      </c>
      <c r="L4099" s="427">
        <v>26164.141392737234</v>
      </c>
      <c r="M4099" s="427" t="s">
        <v>630</v>
      </c>
      <c r="N4099" s="434">
        <v>95036</v>
      </c>
      <c r="O4099" s="436">
        <f t="shared" si="165"/>
        <v>5702160</v>
      </c>
      <c r="P4099" s="435">
        <v>42835</v>
      </c>
      <c r="Q4099" s="427" t="s">
        <v>47</v>
      </c>
      <c r="R4099" s="422" t="s">
        <v>1869</v>
      </c>
      <c r="S4099" s="422" t="s">
        <v>1861</v>
      </c>
      <c r="T4099" s="427" t="s">
        <v>4865</v>
      </c>
      <c r="U4099" s="422" t="s">
        <v>1953</v>
      </c>
      <c r="V4099" s="422" t="s">
        <v>2813</v>
      </c>
    </row>
    <row r="4100" spans="1:22" ht="15.75" thickBot="1" x14ac:dyDescent="0.3">
      <c r="A4100" s="422" t="s">
        <v>4583</v>
      </c>
      <c r="B4100" s="422" t="s">
        <v>4583</v>
      </c>
      <c r="C4100" s="424" t="str">
        <f t="shared" si="162"/>
        <v>EVA - Transportes, S.A.</v>
      </c>
      <c r="D4100" t="s">
        <v>629</v>
      </c>
      <c r="F4100" s="432" t="s">
        <v>620</v>
      </c>
      <c r="G4100" s="89">
        <v>2014</v>
      </c>
      <c r="H4100" s="313" t="s">
        <v>731</v>
      </c>
      <c r="I4100" s="311" t="str">
        <f t="shared" si="164"/>
        <v>Pesado de Passageiros M3:  : Gasóleo : E4</v>
      </c>
      <c r="J4100">
        <v>55</v>
      </c>
      <c r="K4100" s="422">
        <v>2023</v>
      </c>
      <c r="L4100" s="427">
        <v>32532.415519897226</v>
      </c>
      <c r="M4100" s="427" t="s">
        <v>630</v>
      </c>
      <c r="N4100" s="434">
        <v>115362</v>
      </c>
      <c r="O4100" s="436">
        <f t="shared" si="165"/>
        <v>6344910</v>
      </c>
      <c r="P4100" s="435">
        <v>41642</v>
      </c>
      <c r="Q4100" s="427" t="s">
        <v>47</v>
      </c>
      <c r="R4100" s="422" t="s">
        <v>1869</v>
      </c>
      <c r="S4100" s="422" t="s">
        <v>1861</v>
      </c>
      <c r="T4100" s="427" t="s">
        <v>4866</v>
      </c>
      <c r="U4100" s="422" t="s">
        <v>1953</v>
      </c>
      <c r="V4100" s="422" t="s">
        <v>2813</v>
      </c>
    </row>
    <row r="4101" spans="1:22" ht="15.75" thickBot="1" x14ac:dyDescent="0.3">
      <c r="A4101" s="422" t="s">
        <v>4583</v>
      </c>
      <c r="B4101" s="422" t="s">
        <v>4583</v>
      </c>
      <c r="C4101" s="424" t="str">
        <f t="shared" si="162"/>
        <v>EVA - Transportes, S.A.</v>
      </c>
      <c r="D4101" t="s">
        <v>629</v>
      </c>
      <c r="F4101" s="432" t="s">
        <v>620</v>
      </c>
      <c r="G4101" s="89">
        <v>2014</v>
      </c>
      <c r="H4101" s="313" t="s">
        <v>731</v>
      </c>
      <c r="I4101" s="311" t="str">
        <f t="shared" si="164"/>
        <v>Pesado de Passageiros M3:  : Gasóleo : E4</v>
      </c>
      <c r="J4101">
        <v>55</v>
      </c>
      <c r="K4101" s="422">
        <v>2023</v>
      </c>
      <c r="L4101" s="427">
        <v>42159.91395202998</v>
      </c>
      <c r="M4101" s="427" t="s">
        <v>630</v>
      </c>
      <c r="N4101" s="434">
        <v>155654</v>
      </c>
      <c r="O4101" s="436">
        <f t="shared" si="165"/>
        <v>8560970</v>
      </c>
      <c r="P4101" s="435">
        <v>41642</v>
      </c>
      <c r="Q4101" s="427" t="s">
        <v>47</v>
      </c>
      <c r="R4101" s="422" t="s">
        <v>1869</v>
      </c>
      <c r="S4101" s="422" t="s">
        <v>1861</v>
      </c>
      <c r="T4101" s="427" t="s">
        <v>4867</v>
      </c>
      <c r="U4101" s="422" t="s">
        <v>1953</v>
      </c>
      <c r="V4101" s="422" t="s">
        <v>2813</v>
      </c>
    </row>
    <row r="4102" spans="1:22" ht="15.75" thickBot="1" x14ac:dyDescent="0.3">
      <c r="A4102" s="422" t="s">
        <v>4583</v>
      </c>
      <c r="B4102" s="422" t="s">
        <v>4583</v>
      </c>
      <c r="C4102" s="424" t="str">
        <f t="shared" si="162"/>
        <v>EVA - Transportes, S.A.</v>
      </c>
      <c r="D4102" t="s">
        <v>629</v>
      </c>
      <c r="F4102" s="432" t="s">
        <v>620</v>
      </c>
      <c r="G4102" s="89">
        <v>2014</v>
      </c>
      <c r="H4102" s="313" t="s">
        <v>731</v>
      </c>
      <c r="I4102" s="311" t="str">
        <f t="shared" si="164"/>
        <v>Pesado de Passageiros M3:  : Gasóleo : E4</v>
      </c>
      <c r="J4102">
        <v>55</v>
      </c>
      <c r="K4102" s="422">
        <v>2023</v>
      </c>
      <c r="L4102" s="427">
        <v>38183.452302481179</v>
      </c>
      <c r="M4102" s="427" t="s">
        <v>630</v>
      </c>
      <c r="N4102" s="434">
        <v>142122</v>
      </c>
      <c r="O4102" s="436">
        <f t="shared" si="165"/>
        <v>7816710</v>
      </c>
      <c r="P4102" s="435">
        <v>41642</v>
      </c>
      <c r="Q4102" s="427" t="s">
        <v>47</v>
      </c>
      <c r="R4102" s="422" t="s">
        <v>1869</v>
      </c>
      <c r="S4102" s="422" t="s">
        <v>1861</v>
      </c>
      <c r="T4102" s="427" t="s">
        <v>4868</v>
      </c>
      <c r="U4102" s="422" t="s">
        <v>1953</v>
      </c>
      <c r="V4102" s="422" t="s">
        <v>2813</v>
      </c>
    </row>
    <row r="4103" spans="1:22" ht="15.75" thickBot="1" x14ac:dyDescent="0.3">
      <c r="A4103" s="422" t="s">
        <v>4583</v>
      </c>
      <c r="B4103" s="422" t="s">
        <v>4583</v>
      </c>
      <c r="C4103" s="424" t="str">
        <f t="shared" si="162"/>
        <v>EVA - Transportes, S.A.</v>
      </c>
      <c r="D4103" t="s">
        <v>629</v>
      </c>
      <c r="F4103" s="432" t="s">
        <v>620</v>
      </c>
      <c r="G4103" s="89">
        <v>2014</v>
      </c>
      <c r="H4103" s="313" t="s">
        <v>731</v>
      </c>
      <c r="I4103" s="311" t="str">
        <f t="shared" si="164"/>
        <v>Pesado de Passageiros M3:  : Gasóleo : E4</v>
      </c>
      <c r="J4103">
        <v>55</v>
      </c>
      <c r="K4103" s="422">
        <v>2023</v>
      </c>
      <c r="L4103" s="427">
        <v>55919.834988881979</v>
      </c>
      <c r="M4103" s="427" t="s">
        <v>630</v>
      </c>
      <c r="N4103" s="434">
        <v>215980</v>
      </c>
      <c r="O4103" s="436">
        <f t="shared" si="165"/>
        <v>11878900</v>
      </c>
      <c r="P4103" s="435">
        <v>41737</v>
      </c>
      <c r="Q4103" s="427" t="s">
        <v>47</v>
      </c>
      <c r="R4103" s="422" t="s">
        <v>1869</v>
      </c>
      <c r="S4103" s="422" t="s">
        <v>1861</v>
      </c>
      <c r="T4103" s="427" t="s">
        <v>4869</v>
      </c>
      <c r="U4103" s="422" t="s">
        <v>1953</v>
      </c>
      <c r="V4103" s="422" t="s">
        <v>2813</v>
      </c>
    </row>
    <row r="4104" spans="1:22" ht="15.75" thickBot="1" x14ac:dyDescent="0.3">
      <c r="A4104" s="422" t="s">
        <v>4583</v>
      </c>
      <c r="B4104" s="422" t="s">
        <v>4583</v>
      </c>
      <c r="C4104" s="424" t="str">
        <f t="shared" si="162"/>
        <v>EVA - Transportes, S.A.</v>
      </c>
      <c r="D4104" t="s">
        <v>629</v>
      </c>
      <c r="F4104" s="432" t="s">
        <v>620</v>
      </c>
      <c r="G4104" s="89">
        <v>2016</v>
      </c>
      <c r="H4104" s="313" t="s">
        <v>4831</v>
      </c>
      <c r="I4104" s="311" t="str">
        <f t="shared" si="164"/>
        <v>Pesado de Passageiros M3:  : Gasóleo : E7</v>
      </c>
      <c r="J4104">
        <v>55</v>
      </c>
      <c r="K4104" s="422">
        <v>2023</v>
      </c>
      <c r="L4104" s="427">
        <v>53501.989691618801</v>
      </c>
      <c r="M4104" s="427" t="s">
        <v>630</v>
      </c>
      <c r="N4104" s="434">
        <v>208146</v>
      </c>
      <c r="O4104" s="436">
        <f t="shared" si="165"/>
        <v>11448030</v>
      </c>
      <c r="P4104" s="435">
        <v>42373</v>
      </c>
      <c r="Q4104" s="427" t="s">
        <v>47</v>
      </c>
      <c r="R4104" s="422" t="s">
        <v>1869</v>
      </c>
      <c r="S4104" s="422" t="s">
        <v>1861</v>
      </c>
      <c r="T4104" s="427" t="s">
        <v>4870</v>
      </c>
      <c r="U4104" s="422" t="s">
        <v>1953</v>
      </c>
      <c r="V4104" s="422" t="s">
        <v>2813</v>
      </c>
    </row>
    <row r="4105" spans="1:22" ht="15.75" thickBot="1" x14ac:dyDescent="0.3">
      <c r="A4105" s="422" t="s">
        <v>4583</v>
      </c>
      <c r="B4105" s="422" t="s">
        <v>4583</v>
      </c>
      <c r="C4105" s="424" t="str">
        <f t="shared" si="162"/>
        <v>EVA - Transportes, S.A.</v>
      </c>
      <c r="D4105" t="s">
        <v>629</v>
      </c>
      <c r="F4105" s="432" t="s">
        <v>620</v>
      </c>
      <c r="G4105" s="89">
        <v>2016</v>
      </c>
      <c r="H4105" s="313" t="s">
        <v>733</v>
      </c>
      <c r="I4105" s="311" t="str">
        <f t="shared" si="164"/>
        <v>Pesado de Passageiros M3:  : Gasóleo : E6</v>
      </c>
      <c r="J4105">
        <v>55</v>
      </c>
      <c r="K4105" s="422">
        <v>2023</v>
      </c>
      <c r="L4105" s="427">
        <v>56431.399635722417</v>
      </c>
      <c r="M4105" s="427" t="s">
        <v>630</v>
      </c>
      <c r="N4105" s="434">
        <v>206572</v>
      </c>
      <c r="O4105" s="436">
        <f t="shared" si="165"/>
        <v>11361460</v>
      </c>
      <c r="P4105" s="435">
        <v>42373</v>
      </c>
      <c r="Q4105" s="427" t="s">
        <v>47</v>
      </c>
      <c r="R4105" s="422" t="s">
        <v>1869</v>
      </c>
      <c r="S4105" s="422" t="s">
        <v>1861</v>
      </c>
      <c r="T4105" s="427" t="s">
        <v>4871</v>
      </c>
      <c r="U4105" s="422" t="s">
        <v>1953</v>
      </c>
      <c r="V4105" s="422" t="s">
        <v>2813</v>
      </c>
    </row>
    <row r="4106" spans="1:22" ht="15.75" thickBot="1" x14ac:dyDescent="0.3">
      <c r="A4106" s="422" t="s">
        <v>4583</v>
      </c>
      <c r="B4106" s="422" t="s">
        <v>4583</v>
      </c>
      <c r="C4106" s="424" t="str">
        <f t="shared" si="162"/>
        <v>EVA - Transportes, S.A.</v>
      </c>
      <c r="D4106" t="s">
        <v>629</v>
      </c>
      <c r="F4106" s="432" t="s">
        <v>620</v>
      </c>
      <c r="G4106" s="89">
        <v>2016</v>
      </c>
      <c r="H4106" s="313" t="s">
        <v>4831</v>
      </c>
      <c r="I4106" s="311" t="str">
        <f t="shared" si="164"/>
        <v>Pesado de Passageiros M3:  : Gasóleo : E7</v>
      </c>
      <c r="J4106">
        <v>55</v>
      </c>
      <c r="K4106" s="422">
        <v>2023</v>
      </c>
      <c r="L4106" s="427">
        <v>42805.289447396477</v>
      </c>
      <c r="M4106" s="427" t="s">
        <v>630</v>
      </c>
      <c r="N4106" s="434">
        <v>158869</v>
      </c>
      <c r="O4106" s="436">
        <f t="shared" si="165"/>
        <v>8737795</v>
      </c>
      <c r="P4106" s="435">
        <v>42373</v>
      </c>
      <c r="Q4106" s="427" t="s">
        <v>47</v>
      </c>
      <c r="R4106" s="422" t="s">
        <v>1869</v>
      </c>
      <c r="S4106" s="422" t="s">
        <v>1861</v>
      </c>
      <c r="T4106" s="427" t="s">
        <v>4872</v>
      </c>
      <c r="U4106" s="422" t="s">
        <v>1953</v>
      </c>
      <c r="V4106" s="422" t="s">
        <v>2813</v>
      </c>
    </row>
    <row r="4107" spans="1:22" ht="15.75" thickBot="1" x14ac:dyDescent="0.3">
      <c r="A4107" s="422" t="s">
        <v>4583</v>
      </c>
      <c r="B4107" s="422" t="s">
        <v>4583</v>
      </c>
      <c r="C4107" s="424" t="str">
        <f t="shared" si="162"/>
        <v>EVA - Transportes, S.A.</v>
      </c>
      <c r="D4107" t="s">
        <v>629</v>
      </c>
      <c r="F4107" s="432" t="s">
        <v>620</v>
      </c>
      <c r="G4107" s="89">
        <v>2016</v>
      </c>
      <c r="H4107" s="313" t="s">
        <v>4831</v>
      </c>
      <c r="I4107" s="311" t="str">
        <f t="shared" si="164"/>
        <v>Pesado de Passageiros M3:  : Gasóleo : E7</v>
      </c>
      <c r="J4107">
        <v>55</v>
      </c>
      <c r="K4107" s="422">
        <v>2023</v>
      </c>
      <c r="L4107" s="427">
        <v>53039.151215703539</v>
      </c>
      <c r="M4107" s="427" t="s">
        <v>630</v>
      </c>
      <c r="N4107" s="434">
        <v>201686</v>
      </c>
      <c r="O4107" s="436">
        <f t="shared" si="165"/>
        <v>11092730</v>
      </c>
      <c r="P4107" s="435">
        <v>42373</v>
      </c>
      <c r="Q4107" s="427" t="s">
        <v>47</v>
      </c>
      <c r="R4107" s="422" t="s">
        <v>1869</v>
      </c>
      <c r="S4107" s="422" t="s">
        <v>1861</v>
      </c>
      <c r="T4107" s="427" t="s">
        <v>4873</v>
      </c>
      <c r="U4107" s="422" t="s">
        <v>1953</v>
      </c>
      <c r="V4107" s="422" t="s">
        <v>2813</v>
      </c>
    </row>
    <row r="4108" spans="1:22" ht="15.75" thickBot="1" x14ac:dyDescent="0.3">
      <c r="A4108" s="422" t="s">
        <v>4583</v>
      </c>
      <c r="B4108" s="422" t="s">
        <v>4583</v>
      </c>
      <c r="C4108" s="424" t="str">
        <f t="shared" si="162"/>
        <v>EVA - Transportes, S.A.</v>
      </c>
      <c r="D4108" t="s">
        <v>629</v>
      </c>
      <c r="F4108" s="432" t="s">
        <v>620</v>
      </c>
      <c r="G4108" s="89">
        <v>2016</v>
      </c>
      <c r="H4108" s="313" t="s">
        <v>4831</v>
      </c>
      <c r="I4108" s="311" t="str">
        <f t="shared" si="164"/>
        <v>Pesado de Passageiros M3:  : Gasóleo : E7</v>
      </c>
      <c r="J4108">
        <v>55</v>
      </c>
      <c r="K4108" s="422">
        <v>2023</v>
      </c>
      <c r="L4108" s="427">
        <v>58209.210193085513</v>
      </c>
      <c r="M4108" s="427" t="s">
        <v>630</v>
      </c>
      <c r="N4108" s="434">
        <v>234969</v>
      </c>
      <c r="O4108" s="436">
        <f t="shared" si="165"/>
        <v>12923295</v>
      </c>
      <c r="P4108" s="435">
        <v>42373</v>
      </c>
      <c r="Q4108" s="427" t="s">
        <v>47</v>
      </c>
      <c r="R4108" s="422" t="s">
        <v>1869</v>
      </c>
      <c r="S4108" s="422" t="s">
        <v>1861</v>
      </c>
      <c r="T4108" s="427" t="s">
        <v>4874</v>
      </c>
      <c r="U4108" s="422" t="s">
        <v>1953</v>
      </c>
      <c r="V4108" s="422" t="s">
        <v>2813</v>
      </c>
    </row>
    <row r="4109" spans="1:22" ht="15.75" thickBot="1" x14ac:dyDescent="0.3">
      <c r="A4109" s="422" t="s">
        <v>4583</v>
      </c>
      <c r="B4109" s="422" t="s">
        <v>4583</v>
      </c>
      <c r="C4109" s="424" t="str">
        <f t="shared" si="162"/>
        <v>EVA - Transportes, S.A.</v>
      </c>
      <c r="D4109" t="s">
        <v>629</v>
      </c>
      <c r="F4109" s="432" t="s">
        <v>620</v>
      </c>
      <c r="G4109" s="89">
        <v>2013</v>
      </c>
      <c r="H4109" s="313" t="s">
        <v>731</v>
      </c>
      <c r="I4109" s="311" t="str">
        <f t="shared" si="164"/>
        <v>Pesado de Passageiros M3:  : Gasóleo : E4</v>
      </c>
      <c r="J4109">
        <v>55</v>
      </c>
      <c r="K4109" s="422">
        <v>2023</v>
      </c>
      <c r="L4109" s="427">
        <v>28853.331394554352</v>
      </c>
      <c r="M4109" s="427" t="s">
        <v>630</v>
      </c>
      <c r="N4109" s="434">
        <v>111904</v>
      </c>
      <c r="O4109" s="436">
        <f t="shared" si="165"/>
        <v>6154720</v>
      </c>
      <c r="P4109" s="435">
        <v>41277</v>
      </c>
      <c r="Q4109" s="427" t="s">
        <v>47</v>
      </c>
      <c r="R4109" s="422" t="s">
        <v>1869</v>
      </c>
      <c r="S4109" s="422" t="s">
        <v>1861</v>
      </c>
      <c r="T4109" s="427" t="s">
        <v>4875</v>
      </c>
      <c r="U4109" s="422" t="s">
        <v>1953</v>
      </c>
      <c r="V4109" s="422" t="s">
        <v>2813</v>
      </c>
    </row>
    <row r="4110" spans="1:22" ht="15.75" thickBot="1" x14ac:dyDescent="0.3">
      <c r="A4110" s="422" t="s">
        <v>4583</v>
      </c>
      <c r="B4110" s="422" t="s">
        <v>4583</v>
      </c>
      <c r="C4110" s="424" t="str">
        <f t="shared" si="162"/>
        <v>EVA - Transportes, S.A.</v>
      </c>
      <c r="D4110" t="s">
        <v>629</v>
      </c>
      <c r="F4110" s="432" t="s">
        <v>620</v>
      </c>
      <c r="G4110" s="89">
        <v>2013</v>
      </c>
      <c r="H4110" s="313" t="s">
        <v>731</v>
      </c>
      <c r="I4110" s="311" t="str">
        <f t="shared" si="164"/>
        <v>Pesado de Passageiros M3:  : Gasóleo : E4</v>
      </c>
      <c r="J4110">
        <v>55</v>
      </c>
      <c r="K4110" s="422">
        <v>2023</v>
      </c>
      <c r="L4110" s="427">
        <v>36702.443154208646</v>
      </c>
      <c r="M4110" s="427" t="s">
        <v>630</v>
      </c>
      <c r="N4110" s="434">
        <v>129431</v>
      </c>
      <c r="O4110" s="436">
        <f t="shared" si="165"/>
        <v>7118705</v>
      </c>
      <c r="P4110" s="435">
        <v>41277</v>
      </c>
      <c r="Q4110" s="427" t="s">
        <v>47</v>
      </c>
      <c r="R4110" s="422" t="s">
        <v>1869</v>
      </c>
      <c r="S4110" s="422" t="s">
        <v>1861</v>
      </c>
      <c r="T4110" s="427" t="s">
        <v>4876</v>
      </c>
      <c r="U4110" s="422" t="s">
        <v>1953</v>
      </c>
      <c r="V4110" s="422" t="s">
        <v>2813</v>
      </c>
    </row>
    <row r="4111" spans="1:22" ht="15.75" thickBot="1" x14ac:dyDescent="0.3">
      <c r="A4111" s="422" t="s">
        <v>4583</v>
      </c>
      <c r="B4111" s="422" t="s">
        <v>4583</v>
      </c>
      <c r="C4111" s="424" t="str">
        <f t="shared" si="162"/>
        <v>EVA - Transportes, S.A.</v>
      </c>
      <c r="D4111" t="s">
        <v>629</v>
      </c>
      <c r="F4111" s="432" t="s">
        <v>620</v>
      </c>
      <c r="G4111" s="89">
        <v>2013</v>
      </c>
      <c r="H4111" s="313" t="s">
        <v>731</v>
      </c>
      <c r="I4111" s="311" t="str">
        <f t="shared" si="164"/>
        <v>Pesado de Passageiros M3:  : Gasóleo : E4</v>
      </c>
      <c r="J4111">
        <v>56</v>
      </c>
      <c r="K4111" s="422">
        <v>2023</v>
      </c>
      <c r="L4111" s="427">
        <v>28393.166103953696</v>
      </c>
      <c r="M4111" s="427" t="s">
        <v>630</v>
      </c>
      <c r="N4111" s="434">
        <v>88872</v>
      </c>
      <c r="O4111" s="436">
        <f t="shared" si="165"/>
        <v>4976832</v>
      </c>
      <c r="P4111" s="435">
        <v>41277</v>
      </c>
      <c r="Q4111" s="427" t="s">
        <v>47</v>
      </c>
      <c r="R4111" s="422" t="s">
        <v>1869</v>
      </c>
      <c r="S4111" s="422" t="s">
        <v>1861</v>
      </c>
      <c r="T4111" s="427" t="s">
        <v>4877</v>
      </c>
      <c r="U4111" s="422" t="s">
        <v>1953</v>
      </c>
      <c r="V4111" s="422" t="s">
        <v>2813</v>
      </c>
    </row>
    <row r="4112" spans="1:22" ht="15.75" thickBot="1" x14ac:dyDescent="0.3">
      <c r="A4112" s="422" t="s">
        <v>4583</v>
      </c>
      <c r="B4112" s="422" t="s">
        <v>4583</v>
      </c>
      <c r="C4112" s="424" t="str">
        <f t="shared" si="162"/>
        <v>EVA - Transportes, S.A.</v>
      </c>
      <c r="D4112" t="s">
        <v>629</v>
      </c>
      <c r="F4112" s="432" t="s">
        <v>620</v>
      </c>
      <c r="G4112" s="89">
        <v>2013</v>
      </c>
      <c r="H4112" s="313" t="s">
        <v>731</v>
      </c>
      <c r="I4112" s="311" t="str">
        <f t="shared" si="164"/>
        <v>Pesado de Passageiros M3:  : Gasóleo : E4</v>
      </c>
      <c r="J4112">
        <v>56</v>
      </c>
      <c r="K4112" s="422">
        <v>2023</v>
      </c>
      <c r="L4112" s="427">
        <v>45596.217684584051</v>
      </c>
      <c r="M4112" s="427" t="s">
        <v>630</v>
      </c>
      <c r="N4112" s="434">
        <v>172561</v>
      </c>
      <c r="O4112" s="436">
        <f t="shared" si="165"/>
        <v>9663416</v>
      </c>
      <c r="P4112" s="435">
        <v>41277</v>
      </c>
      <c r="Q4112" s="427" t="s">
        <v>47</v>
      </c>
      <c r="R4112" s="422" t="s">
        <v>1869</v>
      </c>
      <c r="S4112" s="422" t="s">
        <v>1861</v>
      </c>
      <c r="T4112" s="427" t="s">
        <v>4878</v>
      </c>
      <c r="U4112" s="422" t="s">
        <v>1953</v>
      </c>
      <c r="V4112" s="422" t="s">
        <v>2813</v>
      </c>
    </row>
    <row r="4113" spans="1:22" ht="15.75" thickBot="1" x14ac:dyDescent="0.3">
      <c r="A4113" s="422" t="s">
        <v>4583</v>
      </c>
      <c r="B4113" s="422" t="s">
        <v>4583</v>
      </c>
      <c r="C4113" s="424" t="str">
        <f t="shared" si="162"/>
        <v>EVA - Transportes, S.A.</v>
      </c>
      <c r="D4113" t="s">
        <v>629</v>
      </c>
      <c r="F4113" s="432" t="s">
        <v>620</v>
      </c>
      <c r="G4113" s="89">
        <v>2016</v>
      </c>
      <c r="H4113" s="313" t="s">
        <v>731</v>
      </c>
      <c r="I4113" s="311" t="str">
        <f t="shared" si="164"/>
        <v>Pesado de Passageiros M3:  : Gasóleo : E4</v>
      </c>
      <c r="J4113">
        <v>55</v>
      </c>
      <c r="K4113" s="422">
        <v>2023</v>
      </c>
      <c r="L4113" s="427">
        <v>52587.846196061866</v>
      </c>
      <c r="M4113" s="427" t="s">
        <v>630</v>
      </c>
      <c r="N4113" s="434">
        <v>178949</v>
      </c>
      <c r="O4113" s="436">
        <f t="shared" si="165"/>
        <v>9842195</v>
      </c>
      <c r="P4113" s="435">
        <v>42443</v>
      </c>
      <c r="Q4113" s="427" t="s">
        <v>47</v>
      </c>
      <c r="R4113" s="422" t="s">
        <v>1869</v>
      </c>
      <c r="S4113" s="422" t="s">
        <v>1861</v>
      </c>
      <c r="T4113" s="427" t="s">
        <v>4879</v>
      </c>
      <c r="U4113" s="422" t="s">
        <v>1953</v>
      </c>
      <c r="V4113" s="422" t="s">
        <v>2813</v>
      </c>
    </row>
    <row r="4114" spans="1:22" ht="15.75" thickBot="1" x14ac:dyDescent="0.3">
      <c r="A4114" s="422" t="s">
        <v>4583</v>
      </c>
      <c r="B4114" s="422" t="s">
        <v>4583</v>
      </c>
      <c r="C4114" s="424" t="str">
        <f t="shared" si="162"/>
        <v>EVA - Transportes, S.A.</v>
      </c>
      <c r="D4114" t="s">
        <v>629</v>
      </c>
      <c r="F4114" s="432" t="s">
        <v>620</v>
      </c>
      <c r="G4114" s="89">
        <v>2016</v>
      </c>
      <c r="H4114" s="313" t="s">
        <v>731</v>
      </c>
      <c r="I4114" s="311" t="str">
        <f t="shared" si="164"/>
        <v>Pesado de Passageiros M3:  : Gasóleo : E4</v>
      </c>
      <c r="J4114">
        <v>55</v>
      </c>
      <c r="K4114" s="422">
        <v>2023</v>
      </c>
      <c r="L4114" s="427">
        <v>899.42971723011885</v>
      </c>
      <c r="M4114" s="427" t="s">
        <v>630</v>
      </c>
      <c r="N4114" s="434">
        <v>5634</v>
      </c>
      <c r="O4114" s="436">
        <f t="shared" si="165"/>
        <v>309870</v>
      </c>
      <c r="P4114" s="435">
        <v>42453</v>
      </c>
      <c r="Q4114" s="427" t="s">
        <v>47</v>
      </c>
      <c r="R4114" s="422" t="s">
        <v>1869</v>
      </c>
      <c r="S4114" s="422" t="s">
        <v>1861</v>
      </c>
      <c r="T4114" s="427" t="s">
        <v>4880</v>
      </c>
      <c r="U4114" s="422" t="s">
        <v>1953</v>
      </c>
      <c r="V4114" s="422" t="s">
        <v>2813</v>
      </c>
    </row>
    <row r="4115" spans="1:22" ht="15.75" thickBot="1" x14ac:dyDescent="0.3">
      <c r="A4115" s="422" t="s">
        <v>4583</v>
      </c>
      <c r="B4115" s="422" t="s">
        <v>4583</v>
      </c>
      <c r="C4115" s="424" t="str">
        <f t="shared" si="162"/>
        <v>EVA - Transportes, S.A.</v>
      </c>
      <c r="D4115" t="s">
        <v>629</v>
      </c>
      <c r="F4115" s="432" t="s">
        <v>620</v>
      </c>
      <c r="G4115" s="89">
        <v>2016</v>
      </c>
      <c r="H4115" s="313" t="s">
        <v>733</v>
      </c>
      <c r="I4115" s="311" t="str">
        <f t="shared" si="164"/>
        <v>Pesado de Passageiros M3:  : Gasóleo : E6</v>
      </c>
      <c r="J4115">
        <v>55</v>
      </c>
      <c r="K4115" s="422">
        <v>2023</v>
      </c>
      <c r="L4115" s="427">
        <v>51066.121850637857</v>
      </c>
      <c r="M4115" s="427" t="s">
        <v>630</v>
      </c>
      <c r="N4115" s="434">
        <v>185216</v>
      </c>
      <c r="O4115" s="436">
        <f t="shared" si="165"/>
        <v>10186880</v>
      </c>
      <c r="P4115" s="435">
        <v>42453</v>
      </c>
      <c r="Q4115" s="427" t="s">
        <v>47</v>
      </c>
      <c r="R4115" s="422" t="s">
        <v>1869</v>
      </c>
      <c r="S4115" s="422" t="s">
        <v>1861</v>
      </c>
      <c r="T4115" s="427" t="s">
        <v>4881</v>
      </c>
      <c r="U4115" s="422" t="s">
        <v>1953</v>
      </c>
      <c r="V4115" s="422" t="s">
        <v>2813</v>
      </c>
    </row>
    <row r="4116" spans="1:22" ht="15.75" thickBot="1" x14ac:dyDescent="0.3">
      <c r="A4116" s="422" t="s">
        <v>4583</v>
      </c>
      <c r="B4116" s="422" t="s">
        <v>4583</v>
      </c>
      <c r="C4116" s="424" t="str">
        <f t="shared" si="162"/>
        <v>EVA - Transportes, S.A.</v>
      </c>
      <c r="D4116" t="s">
        <v>629</v>
      </c>
      <c r="F4116" s="432" t="s">
        <v>620</v>
      </c>
      <c r="G4116" s="89">
        <v>2016</v>
      </c>
      <c r="H4116" s="313" t="s">
        <v>733</v>
      </c>
      <c r="I4116" s="311" t="str">
        <f t="shared" si="164"/>
        <v>Pesado de Passageiros M3:  : Gasóleo : E6</v>
      </c>
      <c r="J4116">
        <v>55</v>
      </c>
      <c r="K4116" s="422">
        <v>2023</v>
      </c>
      <c r="L4116" s="427">
        <v>40375.928082304825</v>
      </c>
      <c r="M4116" s="427" t="s">
        <v>630</v>
      </c>
      <c r="N4116" s="434">
        <v>138856</v>
      </c>
      <c r="O4116" s="436">
        <f t="shared" si="165"/>
        <v>7637080</v>
      </c>
      <c r="P4116" s="435">
        <v>42443</v>
      </c>
      <c r="Q4116" s="427" t="s">
        <v>47</v>
      </c>
      <c r="R4116" s="422" t="s">
        <v>1869</v>
      </c>
      <c r="S4116" s="422" t="s">
        <v>1861</v>
      </c>
      <c r="T4116" s="427" t="s">
        <v>4882</v>
      </c>
      <c r="U4116" s="422" t="s">
        <v>1953</v>
      </c>
      <c r="V4116" s="422" t="s">
        <v>2813</v>
      </c>
    </row>
    <row r="4117" spans="1:22" ht="15.75" thickBot="1" x14ac:dyDescent="0.3">
      <c r="A4117" s="422" t="s">
        <v>4583</v>
      </c>
      <c r="B4117" s="422" t="s">
        <v>4583</v>
      </c>
      <c r="C4117" s="424" t="str">
        <f t="shared" si="162"/>
        <v>EVA - Transportes, S.A.</v>
      </c>
      <c r="D4117" t="s">
        <v>629</v>
      </c>
      <c r="F4117" s="432" t="s">
        <v>620</v>
      </c>
      <c r="G4117" s="89">
        <v>2016</v>
      </c>
      <c r="H4117" s="313" t="s">
        <v>733</v>
      </c>
      <c r="I4117" s="311" t="str">
        <f t="shared" si="164"/>
        <v>Pesado de Passageiros M3:  : Gasóleo : E6</v>
      </c>
      <c r="J4117">
        <v>55</v>
      </c>
      <c r="K4117" s="422">
        <v>2023</v>
      </c>
      <c r="L4117" s="427">
        <v>56492.052807582128</v>
      </c>
      <c r="M4117" s="427" t="s">
        <v>630</v>
      </c>
      <c r="N4117" s="434">
        <v>202681</v>
      </c>
      <c r="O4117" s="436">
        <f t="shared" si="165"/>
        <v>11147455</v>
      </c>
      <c r="P4117" s="435">
        <v>42412</v>
      </c>
      <c r="Q4117" s="427" t="s">
        <v>47</v>
      </c>
      <c r="R4117" s="422" t="s">
        <v>1869</v>
      </c>
      <c r="S4117" s="422" t="s">
        <v>1861</v>
      </c>
      <c r="T4117" s="427" t="s">
        <v>4883</v>
      </c>
      <c r="U4117" s="422" t="s">
        <v>1953</v>
      </c>
      <c r="V4117" s="422" t="s">
        <v>2813</v>
      </c>
    </row>
    <row r="4118" spans="1:22" ht="15.75" thickBot="1" x14ac:dyDescent="0.3">
      <c r="A4118" s="422" t="s">
        <v>4583</v>
      </c>
      <c r="B4118" s="422" t="s">
        <v>4583</v>
      </c>
      <c r="C4118" s="424" t="str">
        <f t="shared" si="162"/>
        <v>EVA - Transportes, S.A.</v>
      </c>
      <c r="D4118" t="s">
        <v>629</v>
      </c>
      <c r="F4118" s="432" t="s">
        <v>620</v>
      </c>
      <c r="G4118" s="89">
        <v>2019</v>
      </c>
      <c r="H4118" s="313" t="s">
        <v>4831</v>
      </c>
      <c r="I4118" s="311" t="str">
        <f t="shared" si="164"/>
        <v>Pesado de Passageiros M3:  : Gasóleo : E7</v>
      </c>
      <c r="J4118">
        <v>55</v>
      </c>
      <c r="K4118" s="422">
        <v>2023</v>
      </c>
      <c r="L4118" s="427">
        <v>51447.30998304145</v>
      </c>
      <c r="M4118" s="427" t="s">
        <v>630</v>
      </c>
      <c r="N4118" s="434">
        <v>227802</v>
      </c>
      <c r="O4118" s="436">
        <f t="shared" si="165"/>
        <v>12529110</v>
      </c>
      <c r="P4118" s="435">
        <v>43467</v>
      </c>
      <c r="Q4118" s="427" t="s">
        <v>47</v>
      </c>
      <c r="R4118" s="422" t="s">
        <v>1869</v>
      </c>
      <c r="S4118" s="422" t="s">
        <v>1861</v>
      </c>
      <c r="T4118" s="427" t="s">
        <v>4884</v>
      </c>
      <c r="U4118" s="422" t="s">
        <v>1953</v>
      </c>
      <c r="V4118" s="422" t="s">
        <v>2813</v>
      </c>
    </row>
    <row r="4119" spans="1:22" ht="15.75" thickBot="1" x14ac:dyDescent="0.3">
      <c r="A4119" s="422" t="s">
        <v>4583</v>
      </c>
      <c r="B4119" s="422" t="s">
        <v>4583</v>
      </c>
      <c r="C4119" s="424" t="str">
        <f t="shared" si="162"/>
        <v>EVA - Transportes, S.A.</v>
      </c>
      <c r="D4119" t="s">
        <v>629</v>
      </c>
      <c r="F4119" s="432" t="s">
        <v>620</v>
      </c>
      <c r="G4119" s="89">
        <v>2019</v>
      </c>
      <c r="H4119" s="313" t="s">
        <v>4831</v>
      </c>
      <c r="I4119" s="311" t="str">
        <f t="shared" si="164"/>
        <v>Pesado de Passageiros M3:  : Gasóleo : E7</v>
      </c>
      <c r="J4119">
        <v>55</v>
      </c>
      <c r="K4119" s="422">
        <v>2023</v>
      </c>
      <c r="L4119" s="427">
        <v>54414.601745897162</v>
      </c>
      <c r="M4119" s="427" t="s">
        <v>630</v>
      </c>
      <c r="N4119" s="434">
        <v>220015</v>
      </c>
      <c r="O4119" s="436">
        <f t="shared" si="165"/>
        <v>12100825</v>
      </c>
      <c r="P4119" s="435">
        <v>43467</v>
      </c>
      <c r="Q4119" s="427" t="s">
        <v>47</v>
      </c>
      <c r="R4119" s="422" t="s">
        <v>1869</v>
      </c>
      <c r="S4119" s="422" t="s">
        <v>1861</v>
      </c>
      <c r="T4119" s="427" t="s">
        <v>4885</v>
      </c>
      <c r="U4119" s="422" t="s">
        <v>1953</v>
      </c>
      <c r="V4119" s="422" t="s">
        <v>2813</v>
      </c>
    </row>
    <row r="4120" spans="1:22" ht="15.75" thickBot="1" x14ac:dyDescent="0.3">
      <c r="A4120" s="422" t="s">
        <v>4583</v>
      </c>
      <c r="B4120" s="422" t="s">
        <v>4583</v>
      </c>
      <c r="C4120" s="424" t="str">
        <f t="shared" ref="C4120:C4183" si="166">IF(A4120=B4120,B4120,RIGHT(A4120,LEN(A4120)-LEN(B4120)-3))</f>
        <v>EVA - Transportes, S.A.</v>
      </c>
      <c r="D4120" t="s">
        <v>629</v>
      </c>
      <c r="F4120" s="432" t="s">
        <v>620</v>
      </c>
      <c r="G4120" s="89">
        <v>2019</v>
      </c>
      <c r="H4120" s="313" t="s">
        <v>733</v>
      </c>
      <c r="I4120" s="311" t="str">
        <f t="shared" si="164"/>
        <v>Pesado de Passageiros M3:  : Gasóleo : E6</v>
      </c>
      <c r="J4120">
        <v>65</v>
      </c>
      <c r="K4120" s="422">
        <v>2023</v>
      </c>
      <c r="L4120" s="427">
        <v>60331.423554352492</v>
      </c>
      <c r="M4120" s="427" t="s">
        <v>630</v>
      </c>
      <c r="N4120" s="434">
        <v>195264</v>
      </c>
      <c r="O4120" s="436">
        <f t="shared" si="165"/>
        <v>12692160</v>
      </c>
      <c r="P4120" s="435">
        <v>43497</v>
      </c>
      <c r="Q4120" s="427" t="s">
        <v>47</v>
      </c>
      <c r="R4120" s="422" t="s">
        <v>1869</v>
      </c>
      <c r="S4120" s="422" t="s">
        <v>1861</v>
      </c>
      <c r="T4120" s="427" t="s">
        <v>4886</v>
      </c>
      <c r="U4120" s="422" t="s">
        <v>1953</v>
      </c>
      <c r="V4120" s="422" t="s">
        <v>2813</v>
      </c>
    </row>
    <row r="4121" spans="1:22" ht="15.75" thickBot="1" x14ac:dyDescent="0.3">
      <c r="A4121" s="422" t="s">
        <v>4583</v>
      </c>
      <c r="B4121" s="422" t="s">
        <v>4583</v>
      </c>
      <c r="C4121" s="424" t="str">
        <f t="shared" si="166"/>
        <v>EVA - Transportes, S.A.</v>
      </c>
      <c r="D4121" t="s">
        <v>629</v>
      </c>
      <c r="F4121" s="432" t="s">
        <v>620</v>
      </c>
      <c r="G4121" s="89">
        <v>2019</v>
      </c>
      <c r="H4121" s="313" t="s">
        <v>733</v>
      </c>
      <c r="I4121" s="311" t="str">
        <f t="shared" si="164"/>
        <v>Pesado de Passageiros M3:  : Gasóleo : E6</v>
      </c>
      <c r="J4121">
        <v>65</v>
      </c>
      <c r="K4121" s="422">
        <v>2023</v>
      </c>
      <c r="L4121" s="427">
        <v>42985.60240912556</v>
      </c>
      <c r="M4121" s="427" t="s">
        <v>630</v>
      </c>
      <c r="N4121" s="434">
        <v>136001</v>
      </c>
      <c r="O4121" s="436">
        <f t="shared" si="165"/>
        <v>8840065</v>
      </c>
      <c r="P4121" s="435">
        <v>43497</v>
      </c>
      <c r="Q4121" s="427" t="s">
        <v>47</v>
      </c>
      <c r="R4121" s="422" t="s">
        <v>1869</v>
      </c>
      <c r="S4121" s="422" t="s">
        <v>1861</v>
      </c>
      <c r="T4121" s="427" t="s">
        <v>4887</v>
      </c>
      <c r="U4121" s="422" t="s">
        <v>1953</v>
      </c>
      <c r="V4121" s="422" t="s">
        <v>2813</v>
      </c>
    </row>
    <row r="4122" spans="1:22" ht="15.75" thickBot="1" x14ac:dyDescent="0.3">
      <c r="A4122" s="422" t="s">
        <v>4583</v>
      </c>
      <c r="B4122" s="422" t="s">
        <v>4583</v>
      </c>
      <c r="C4122" s="424" t="str">
        <f t="shared" si="166"/>
        <v>EVA - Transportes, S.A.</v>
      </c>
      <c r="D4122" t="s">
        <v>629</v>
      </c>
      <c r="F4122" s="432" t="s">
        <v>620</v>
      </c>
      <c r="G4122" s="89">
        <v>2020</v>
      </c>
      <c r="H4122" s="313" t="s">
        <v>733</v>
      </c>
      <c r="I4122" s="311" t="str">
        <f t="shared" si="164"/>
        <v>Pesado de Passageiros M3:  : Gasóleo : E6</v>
      </c>
      <c r="J4122">
        <v>65</v>
      </c>
      <c r="K4122" s="422">
        <v>2023</v>
      </c>
      <c r="L4122" s="427">
        <v>44471.693945064486</v>
      </c>
      <c r="M4122" s="427" t="s">
        <v>630</v>
      </c>
      <c r="N4122" s="434">
        <v>129517</v>
      </c>
      <c r="O4122" s="436">
        <f t="shared" si="165"/>
        <v>8418605</v>
      </c>
      <c r="P4122" s="435">
        <v>43864</v>
      </c>
      <c r="Q4122" s="427" t="s">
        <v>47</v>
      </c>
      <c r="R4122" s="422" t="s">
        <v>1869</v>
      </c>
      <c r="S4122" s="422" t="s">
        <v>1861</v>
      </c>
      <c r="T4122" s="427" t="s">
        <v>4888</v>
      </c>
      <c r="U4122" s="422" t="s">
        <v>1953</v>
      </c>
      <c r="V4122" s="422" t="s">
        <v>2813</v>
      </c>
    </row>
    <row r="4123" spans="1:22" ht="15.75" thickBot="1" x14ac:dyDescent="0.3">
      <c r="A4123" s="422" t="s">
        <v>4583</v>
      </c>
      <c r="B4123" s="422" t="s">
        <v>4583</v>
      </c>
      <c r="C4123" s="424" t="str">
        <f t="shared" si="166"/>
        <v>EVA - Transportes, S.A.</v>
      </c>
      <c r="D4123" t="s">
        <v>629</v>
      </c>
      <c r="F4123" s="432" t="s">
        <v>620</v>
      </c>
      <c r="G4123" s="89">
        <v>2020</v>
      </c>
      <c r="H4123" s="313" t="s">
        <v>733</v>
      </c>
      <c r="I4123" s="311" t="str">
        <f t="shared" si="164"/>
        <v>Pesado de Passageiros M3:  : Gasóleo : E6</v>
      </c>
      <c r="J4123">
        <v>65</v>
      </c>
      <c r="K4123" s="422">
        <v>2023</v>
      </c>
      <c r="L4123" s="427">
        <v>57695.531794741481</v>
      </c>
      <c r="M4123" s="427" t="s">
        <v>630</v>
      </c>
      <c r="N4123" s="434">
        <v>183642</v>
      </c>
      <c r="O4123" s="436">
        <f t="shared" si="165"/>
        <v>11936730</v>
      </c>
      <c r="P4123" s="435">
        <v>43864</v>
      </c>
      <c r="Q4123" s="427" t="s">
        <v>47</v>
      </c>
      <c r="R4123" s="422" t="s">
        <v>1869</v>
      </c>
      <c r="S4123" s="422" t="s">
        <v>1861</v>
      </c>
      <c r="T4123" s="427" t="s">
        <v>4889</v>
      </c>
      <c r="U4123" s="422" t="s">
        <v>1953</v>
      </c>
      <c r="V4123" s="422" t="s">
        <v>2813</v>
      </c>
    </row>
    <row r="4124" spans="1:22" ht="15.75" thickBot="1" x14ac:dyDescent="0.3">
      <c r="A4124" s="422" t="s">
        <v>4583</v>
      </c>
      <c r="B4124" s="422" t="s">
        <v>4583</v>
      </c>
      <c r="C4124" s="424" t="str">
        <f t="shared" si="166"/>
        <v>EVA - Transportes, S.A.</v>
      </c>
      <c r="D4124" t="s">
        <v>629</v>
      </c>
      <c r="F4124" s="432" t="s">
        <v>620</v>
      </c>
      <c r="G4124" s="89">
        <v>2023</v>
      </c>
      <c r="H4124" s="313" t="s">
        <v>733</v>
      </c>
      <c r="I4124" s="311" t="str">
        <f t="shared" si="164"/>
        <v>Pesado de Passageiros M3:  : Gasóleo : E6</v>
      </c>
      <c r="J4124">
        <v>49</v>
      </c>
      <c r="K4124" s="422">
        <v>2023</v>
      </c>
      <c r="L4124" s="427">
        <v>28327.143719661843</v>
      </c>
      <c r="M4124" s="427" t="s">
        <v>630</v>
      </c>
      <c r="N4124" s="434">
        <v>106353</v>
      </c>
      <c r="O4124" s="436">
        <f t="shared" si="165"/>
        <v>5211297</v>
      </c>
      <c r="P4124" s="435">
        <v>45007</v>
      </c>
      <c r="Q4124" s="427" t="s">
        <v>47</v>
      </c>
      <c r="R4124" s="422" t="s">
        <v>1869</v>
      </c>
      <c r="S4124" s="422" t="s">
        <v>1861</v>
      </c>
      <c r="T4124" s="427" t="s">
        <v>4890</v>
      </c>
      <c r="U4124" s="422" t="s">
        <v>1953</v>
      </c>
      <c r="V4124" s="422" t="s">
        <v>2813</v>
      </c>
    </row>
    <row r="4125" spans="1:22" ht="15.75" thickBot="1" x14ac:dyDescent="0.3">
      <c r="A4125" s="422" t="s">
        <v>4583</v>
      </c>
      <c r="B4125" s="422" t="s">
        <v>4583</v>
      </c>
      <c r="C4125" s="424" t="str">
        <f t="shared" si="166"/>
        <v>EVA - Transportes, S.A.</v>
      </c>
      <c r="D4125" t="s">
        <v>629</v>
      </c>
      <c r="F4125" s="432" t="s">
        <v>620</v>
      </c>
      <c r="G4125" s="89">
        <v>2023</v>
      </c>
      <c r="H4125" s="313" t="s">
        <v>733</v>
      </c>
      <c r="I4125" s="311" t="str">
        <f t="shared" si="164"/>
        <v>Pesado de Passageiros M3:  : Gasóleo : E6</v>
      </c>
      <c r="J4125">
        <v>49</v>
      </c>
      <c r="K4125" s="422">
        <v>2023</v>
      </c>
      <c r="L4125" s="427">
        <v>17801.22868150346</v>
      </c>
      <c r="M4125" s="427" t="s">
        <v>630</v>
      </c>
      <c r="N4125" s="434">
        <v>98838</v>
      </c>
      <c r="O4125" s="436">
        <f t="shared" si="165"/>
        <v>4843062</v>
      </c>
      <c r="P4125" s="435">
        <v>45007</v>
      </c>
      <c r="Q4125" s="427" t="s">
        <v>47</v>
      </c>
      <c r="R4125" s="422" t="s">
        <v>1869</v>
      </c>
      <c r="S4125" s="422" t="s">
        <v>1861</v>
      </c>
      <c r="T4125" s="427" t="s">
        <v>4891</v>
      </c>
      <c r="U4125" s="422" t="s">
        <v>1953</v>
      </c>
      <c r="V4125" s="422" t="s">
        <v>2813</v>
      </c>
    </row>
    <row r="4126" spans="1:22" ht="15.75" thickBot="1" x14ac:dyDescent="0.3">
      <c r="A4126" s="422" t="s">
        <v>4583</v>
      </c>
      <c r="B4126" s="422" t="s">
        <v>4583</v>
      </c>
      <c r="C4126" s="424" t="str">
        <f t="shared" si="166"/>
        <v>EVA - Transportes, S.A.</v>
      </c>
      <c r="D4126" t="s">
        <v>629</v>
      </c>
      <c r="F4126" s="432" t="s">
        <v>620</v>
      </c>
      <c r="G4126" s="89">
        <v>2023</v>
      </c>
      <c r="H4126" s="313" t="s">
        <v>733</v>
      </c>
      <c r="I4126" s="311" t="str">
        <f t="shared" si="164"/>
        <v>Pesado de Passageiros M3:  : Gasóleo : E6</v>
      </c>
      <c r="J4126">
        <v>54</v>
      </c>
      <c r="K4126" s="422">
        <v>2023</v>
      </c>
      <c r="L4126" s="427">
        <v>49296.051913326606</v>
      </c>
      <c r="M4126" s="427" t="s">
        <v>630</v>
      </c>
      <c r="N4126" s="434">
        <v>189307</v>
      </c>
      <c r="O4126" s="436">
        <f t="shared" si="165"/>
        <v>10222578</v>
      </c>
      <c r="P4126" s="435">
        <v>44951</v>
      </c>
      <c r="Q4126" s="427" t="s">
        <v>47</v>
      </c>
      <c r="R4126" s="422" t="s">
        <v>1869</v>
      </c>
      <c r="S4126" s="422" t="s">
        <v>1861</v>
      </c>
      <c r="T4126" s="427" t="s">
        <v>4892</v>
      </c>
      <c r="U4126" s="422" t="s">
        <v>1953</v>
      </c>
      <c r="V4126" s="422" t="s">
        <v>2813</v>
      </c>
    </row>
    <row r="4127" spans="1:22" ht="15.75" thickBot="1" x14ac:dyDescent="0.3">
      <c r="A4127" s="422" t="s">
        <v>4583</v>
      </c>
      <c r="B4127" s="422" t="s">
        <v>4583</v>
      </c>
      <c r="C4127" s="424" t="str">
        <f t="shared" si="166"/>
        <v>EVA - Transportes, S.A.</v>
      </c>
      <c r="D4127" t="s">
        <v>629</v>
      </c>
      <c r="F4127" s="432" t="s">
        <v>620</v>
      </c>
      <c r="G4127" s="89">
        <v>2023</v>
      </c>
      <c r="H4127" s="313" t="s">
        <v>733</v>
      </c>
      <c r="I4127" s="311" t="str">
        <f t="shared" si="164"/>
        <v>Pesado de Passageiros M3:  : Gasóleo : E6</v>
      </c>
      <c r="J4127">
        <v>54</v>
      </c>
      <c r="K4127" s="422">
        <v>2023</v>
      </c>
      <c r="L4127" s="427">
        <v>52250.933491750307</v>
      </c>
      <c r="M4127" s="427" t="s">
        <v>630</v>
      </c>
      <c r="N4127" s="434">
        <v>202983</v>
      </c>
      <c r="O4127" s="436">
        <f t="shared" si="165"/>
        <v>10961082</v>
      </c>
      <c r="P4127" s="435">
        <v>44951</v>
      </c>
      <c r="Q4127" s="427" t="s">
        <v>47</v>
      </c>
      <c r="R4127" s="422" t="s">
        <v>1869</v>
      </c>
      <c r="S4127" s="422" t="s">
        <v>1861</v>
      </c>
      <c r="T4127" s="427" t="s">
        <v>4893</v>
      </c>
      <c r="U4127" s="422" t="s">
        <v>1953</v>
      </c>
      <c r="V4127" s="422" t="s">
        <v>2813</v>
      </c>
    </row>
    <row r="4128" spans="1:22" ht="15.75" thickBot="1" x14ac:dyDescent="0.3">
      <c r="A4128" s="422" t="s">
        <v>4583</v>
      </c>
      <c r="B4128" s="422" t="s">
        <v>4583</v>
      </c>
      <c r="C4128" s="424" t="str">
        <f t="shared" si="166"/>
        <v>EVA - Transportes, S.A.</v>
      </c>
      <c r="D4128" t="s">
        <v>629</v>
      </c>
      <c r="F4128" s="432" t="s">
        <v>620</v>
      </c>
      <c r="G4128" s="89">
        <v>2023</v>
      </c>
      <c r="H4128" s="313" t="s">
        <v>733</v>
      </c>
      <c r="I4128" s="311" t="str">
        <f t="shared" si="164"/>
        <v>Pesado de Passageiros M3:  : Gasóleo : E6</v>
      </c>
      <c r="J4128">
        <v>54</v>
      </c>
      <c r="K4128" s="422">
        <v>2023</v>
      </c>
      <c r="L4128" s="427">
        <v>42685.309423861239</v>
      </c>
      <c r="M4128" s="427" t="s">
        <v>630</v>
      </c>
      <c r="N4128" s="434">
        <v>182537</v>
      </c>
      <c r="O4128" s="436">
        <f t="shared" si="165"/>
        <v>9856998</v>
      </c>
      <c r="P4128" s="435">
        <v>44951</v>
      </c>
      <c r="Q4128" s="427" t="s">
        <v>47</v>
      </c>
      <c r="R4128" s="422" t="s">
        <v>1869</v>
      </c>
      <c r="S4128" s="422" t="s">
        <v>1861</v>
      </c>
      <c r="T4128" s="427" t="s">
        <v>4894</v>
      </c>
      <c r="U4128" s="422" t="s">
        <v>1953</v>
      </c>
      <c r="V4128" s="422" t="s">
        <v>2813</v>
      </c>
    </row>
    <row r="4129" spans="1:22" ht="15.75" thickBot="1" x14ac:dyDescent="0.3">
      <c r="A4129" s="422" t="s">
        <v>4583</v>
      </c>
      <c r="B4129" s="422" t="s">
        <v>4583</v>
      </c>
      <c r="C4129" s="424" t="str">
        <f t="shared" si="166"/>
        <v>EVA - Transportes, S.A.</v>
      </c>
      <c r="D4129" t="s">
        <v>629</v>
      </c>
      <c r="F4129" s="432" t="s">
        <v>620</v>
      </c>
      <c r="G4129" s="89">
        <v>2023</v>
      </c>
      <c r="H4129" s="313" t="s">
        <v>733</v>
      </c>
      <c r="I4129" s="311" t="str">
        <f t="shared" si="164"/>
        <v>Pesado de Passageiros M3:  : Gasóleo : E6</v>
      </c>
      <c r="J4129">
        <v>54</v>
      </c>
      <c r="K4129" s="422">
        <v>2023</v>
      </c>
      <c r="L4129" s="427">
        <v>40296.659459337228</v>
      </c>
      <c r="M4129" s="427" t="s">
        <v>630</v>
      </c>
      <c r="N4129" s="434">
        <v>170655</v>
      </c>
      <c r="O4129" s="436">
        <f t="shared" si="165"/>
        <v>9215370</v>
      </c>
      <c r="P4129" s="435">
        <v>44951</v>
      </c>
      <c r="Q4129" s="427" t="s">
        <v>47</v>
      </c>
      <c r="R4129" s="422" t="s">
        <v>1869</v>
      </c>
      <c r="S4129" s="422" t="s">
        <v>1861</v>
      </c>
      <c r="T4129" s="427" t="s">
        <v>4895</v>
      </c>
      <c r="U4129" s="422" t="s">
        <v>1953</v>
      </c>
      <c r="V4129" s="422" t="s">
        <v>2813</v>
      </c>
    </row>
    <row r="4130" spans="1:22" ht="15.75" thickBot="1" x14ac:dyDescent="0.3">
      <c r="A4130" s="422" t="s">
        <v>4583</v>
      </c>
      <c r="B4130" s="422" t="s">
        <v>4583</v>
      </c>
      <c r="C4130" s="424" t="str">
        <f t="shared" si="166"/>
        <v>EVA - Transportes, S.A.</v>
      </c>
      <c r="D4130" t="s">
        <v>629</v>
      </c>
      <c r="F4130" s="432" t="s">
        <v>620</v>
      </c>
      <c r="G4130" s="89">
        <v>2023</v>
      </c>
      <c r="H4130" s="313" t="s">
        <v>733</v>
      </c>
      <c r="I4130" s="311" t="str">
        <f t="shared" ref="I4130:I4193" si="167">D4130&amp;": "&amp;E4130&amp;" : "&amp;F4130&amp;" : "&amp;H4130</f>
        <v>Pesado de Passageiros M3:  : Gasóleo : E6</v>
      </c>
      <c r="J4130">
        <v>54</v>
      </c>
      <c r="K4130" s="422">
        <v>2023</v>
      </c>
      <c r="L4130" s="427">
        <v>37264.71496136624</v>
      </c>
      <c r="M4130" s="427" t="s">
        <v>630</v>
      </c>
      <c r="N4130" s="434">
        <v>158672</v>
      </c>
      <c r="O4130" s="436">
        <f t="shared" ref="O4130:O4193" si="168">N4130*J4130</f>
        <v>8568288</v>
      </c>
      <c r="P4130" s="435">
        <v>44951</v>
      </c>
      <c r="Q4130" s="427" t="s">
        <v>47</v>
      </c>
      <c r="R4130" s="422" t="s">
        <v>1869</v>
      </c>
      <c r="S4130" s="422" t="s">
        <v>1861</v>
      </c>
      <c r="T4130" s="427" t="s">
        <v>4896</v>
      </c>
      <c r="U4130" s="422" t="s">
        <v>1953</v>
      </c>
      <c r="V4130" s="422" t="s">
        <v>2813</v>
      </c>
    </row>
    <row r="4131" spans="1:22" ht="15.75" thickBot="1" x14ac:dyDescent="0.3">
      <c r="A4131" s="422" t="s">
        <v>4583</v>
      </c>
      <c r="B4131" s="422" t="s">
        <v>4583</v>
      </c>
      <c r="C4131" s="424" t="str">
        <f t="shared" si="166"/>
        <v>EVA - Transportes, S.A.</v>
      </c>
      <c r="D4131" t="s">
        <v>629</v>
      </c>
      <c r="F4131" s="432" t="s">
        <v>620</v>
      </c>
      <c r="G4131" s="89">
        <v>2023</v>
      </c>
      <c r="H4131" s="313" t="s">
        <v>733</v>
      </c>
      <c r="I4131" s="311" t="str">
        <f t="shared" si="167"/>
        <v>Pesado de Passageiros M3:  : Gasóleo : E6</v>
      </c>
      <c r="J4131">
        <v>54</v>
      </c>
      <c r="K4131" s="422">
        <v>2023</v>
      </c>
      <c r="L4131" s="427">
        <v>41530.538812505445</v>
      </c>
      <c r="M4131" s="427" t="s">
        <v>630</v>
      </c>
      <c r="N4131" s="434">
        <v>181244</v>
      </c>
      <c r="O4131" s="436">
        <f t="shared" si="168"/>
        <v>9787176</v>
      </c>
      <c r="P4131" s="435">
        <v>44951</v>
      </c>
      <c r="Q4131" s="427" t="s">
        <v>47</v>
      </c>
      <c r="R4131" s="422" t="s">
        <v>1869</v>
      </c>
      <c r="S4131" s="422" t="s">
        <v>1861</v>
      </c>
      <c r="T4131" s="427" t="s">
        <v>4897</v>
      </c>
      <c r="U4131" s="422" t="s">
        <v>1953</v>
      </c>
      <c r="V4131" s="422" t="s">
        <v>2813</v>
      </c>
    </row>
    <row r="4132" spans="1:22" ht="15.75" thickBot="1" x14ac:dyDescent="0.3">
      <c r="A4132" s="422" t="s">
        <v>4583</v>
      </c>
      <c r="B4132" s="422" t="s">
        <v>4583</v>
      </c>
      <c r="C4132" s="424" t="str">
        <f t="shared" si="166"/>
        <v>EVA - Transportes, S.A.</v>
      </c>
      <c r="D4132" t="s">
        <v>629</v>
      </c>
      <c r="F4132" s="432" t="s">
        <v>620</v>
      </c>
      <c r="G4132" s="89">
        <v>2023</v>
      </c>
      <c r="H4132" s="313" t="s">
        <v>733</v>
      </c>
      <c r="I4132" s="311" t="str">
        <f t="shared" si="167"/>
        <v>Pesado de Passageiros M3:  : Gasóleo : E6</v>
      </c>
      <c r="J4132">
        <v>54</v>
      </c>
      <c r="K4132" s="422">
        <v>2023</v>
      </c>
      <c r="L4132" s="427">
        <v>46623.02246043623</v>
      </c>
      <c r="M4132" s="427" t="s">
        <v>630</v>
      </c>
      <c r="N4132" s="434">
        <v>205071</v>
      </c>
      <c r="O4132" s="436">
        <f t="shared" si="168"/>
        <v>11073834</v>
      </c>
      <c r="P4132" s="435">
        <v>44951</v>
      </c>
      <c r="Q4132" s="427" t="s">
        <v>47</v>
      </c>
      <c r="R4132" s="422" t="s">
        <v>1869</v>
      </c>
      <c r="S4132" s="422" t="s">
        <v>1861</v>
      </c>
      <c r="T4132" s="427" t="s">
        <v>4898</v>
      </c>
      <c r="U4132" s="422" t="s">
        <v>1953</v>
      </c>
      <c r="V4132" s="422" t="s">
        <v>2813</v>
      </c>
    </row>
    <row r="4133" spans="1:22" ht="15.75" thickBot="1" x14ac:dyDescent="0.3">
      <c r="A4133" s="422" t="s">
        <v>4583</v>
      </c>
      <c r="B4133" s="422" t="s">
        <v>4583</v>
      </c>
      <c r="C4133" s="424" t="str">
        <f t="shared" si="166"/>
        <v>EVA - Transportes, S.A.</v>
      </c>
      <c r="D4133" t="s">
        <v>629</v>
      </c>
      <c r="F4133" s="432" t="s">
        <v>620</v>
      </c>
      <c r="G4133" s="89">
        <v>2016</v>
      </c>
      <c r="H4133" s="313" t="s">
        <v>4831</v>
      </c>
      <c r="I4133" s="311" t="str">
        <f t="shared" si="167"/>
        <v>Pesado de Passageiros M3:  : Gasóleo : E7</v>
      </c>
      <c r="J4133">
        <v>55</v>
      </c>
      <c r="K4133" s="422">
        <v>2023</v>
      </c>
      <c r="L4133" s="427">
        <v>44922.81851091588</v>
      </c>
      <c r="M4133" s="427" t="s">
        <v>630</v>
      </c>
      <c r="N4133" s="434">
        <v>160765</v>
      </c>
      <c r="O4133" s="436">
        <f t="shared" si="168"/>
        <v>8842075</v>
      </c>
      <c r="P4133" s="435">
        <v>42373</v>
      </c>
      <c r="Q4133" s="427" t="s">
        <v>47</v>
      </c>
      <c r="R4133" s="422" t="s">
        <v>1869</v>
      </c>
      <c r="S4133" s="422" t="s">
        <v>1861</v>
      </c>
      <c r="T4133" s="427" t="s">
        <v>4899</v>
      </c>
      <c r="U4133" s="422" t="s">
        <v>1953</v>
      </c>
      <c r="V4133" s="422" t="s">
        <v>2813</v>
      </c>
    </row>
    <row r="4134" spans="1:22" ht="15.75" thickBot="1" x14ac:dyDescent="0.3">
      <c r="A4134" s="422" t="s">
        <v>4583</v>
      </c>
      <c r="B4134" s="422" t="s">
        <v>4583</v>
      </c>
      <c r="C4134" s="424" t="str">
        <f t="shared" si="166"/>
        <v>EVA - Transportes, S.A.</v>
      </c>
      <c r="D4134" t="s">
        <v>629</v>
      </c>
      <c r="F4134" s="432" t="s">
        <v>620</v>
      </c>
      <c r="G4134" s="89">
        <v>2016</v>
      </c>
      <c r="H4134" s="313" t="s">
        <v>733</v>
      </c>
      <c r="I4134" s="311" t="str">
        <f t="shared" si="167"/>
        <v>Pesado de Passageiros M3:  : Gasóleo : E6</v>
      </c>
      <c r="J4134">
        <v>55</v>
      </c>
      <c r="K4134" s="422">
        <v>2023</v>
      </c>
      <c r="L4134" s="427">
        <v>57078.900119840313</v>
      </c>
      <c r="M4134" s="427" t="s">
        <v>630</v>
      </c>
      <c r="N4134" s="434">
        <v>176910</v>
      </c>
      <c r="O4134" s="436">
        <f t="shared" si="168"/>
        <v>9730050</v>
      </c>
      <c r="P4134" s="435">
        <v>42373</v>
      </c>
      <c r="Q4134" s="427" t="s">
        <v>47</v>
      </c>
      <c r="R4134" s="422" t="s">
        <v>1869</v>
      </c>
      <c r="S4134" s="422" t="s">
        <v>1861</v>
      </c>
      <c r="T4134" s="427" t="s">
        <v>4900</v>
      </c>
      <c r="U4134" s="422" t="s">
        <v>1953</v>
      </c>
      <c r="V4134" s="422" t="s">
        <v>2813</v>
      </c>
    </row>
    <row r="4135" spans="1:22" ht="15.75" thickBot="1" x14ac:dyDescent="0.3">
      <c r="A4135" s="422" t="s">
        <v>4583</v>
      </c>
      <c r="B4135" s="422" t="s">
        <v>4583</v>
      </c>
      <c r="C4135" s="424" t="str">
        <f t="shared" si="166"/>
        <v>EVA - Transportes, S.A.</v>
      </c>
      <c r="D4135" t="s">
        <v>629</v>
      </c>
      <c r="F4135" s="432" t="s">
        <v>620</v>
      </c>
      <c r="G4135" s="89">
        <v>2017</v>
      </c>
      <c r="H4135" s="313" t="s">
        <v>733</v>
      </c>
      <c r="I4135" s="311" t="str">
        <f t="shared" si="167"/>
        <v>Pesado de Passageiros M3:  : Gasóleo : E6</v>
      </c>
      <c r="J4135">
        <v>55</v>
      </c>
      <c r="K4135" s="422">
        <v>2023</v>
      </c>
      <c r="L4135" s="427">
        <v>49164.514595790199</v>
      </c>
      <c r="M4135" s="427" t="s">
        <v>630</v>
      </c>
      <c r="N4135" s="434">
        <v>188094</v>
      </c>
      <c r="O4135" s="436">
        <f t="shared" si="168"/>
        <v>10345170</v>
      </c>
      <c r="P4135" s="435">
        <v>42741</v>
      </c>
      <c r="Q4135" s="427" t="s">
        <v>47</v>
      </c>
      <c r="R4135" s="422" t="s">
        <v>1869</v>
      </c>
      <c r="S4135" s="422" t="s">
        <v>1861</v>
      </c>
      <c r="T4135" s="427" t="s">
        <v>4901</v>
      </c>
      <c r="U4135" s="422" t="s">
        <v>1953</v>
      </c>
      <c r="V4135" s="422" t="s">
        <v>2813</v>
      </c>
    </row>
    <row r="4136" spans="1:22" ht="15.75" thickBot="1" x14ac:dyDescent="0.3">
      <c r="A4136" s="422" t="s">
        <v>4583</v>
      </c>
      <c r="B4136" s="422" t="s">
        <v>4583</v>
      </c>
      <c r="C4136" s="424" t="str">
        <f t="shared" si="166"/>
        <v>EVA - Transportes, S.A.</v>
      </c>
      <c r="D4136" t="s">
        <v>629</v>
      </c>
      <c r="F4136" s="432" t="s">
        <v>620</v>
      </c>
      <c r="G4136" s="89">
        <v>2017</v>
      </c>
      <c r="H4136" s="313" t="s">
        <v>733</v>
      </c>
      <c r="I4136" s="311" t="str">
        <f t="shared" si="167"/>
        <v>Pesado de Passageiros M3:  : Gasóleo : E6</v>
      </c>
      <c r="J4136">
        <v>55</v>
      </c>
      <c r="K4136" s="422">
        <v>2023</v>
      </c>
      <c r="L4136" s="427">
        <v>48230.170043739956</v>
      </c>
      <c r="M4136" s="427" t="s">
        <v>630</v>
      </c>
      <c r="N4136" s="434">
        <v>191405</v>
      </c>
      <c r="O4136" s="436">
        <f t="shared" si="168"/>
        <v>10527275</v>
      </c>
      <c r="P4136" s="435">
        <v>42741</v>
      </c>
      <c r="Q4136" s="427" t="s">
        <v>47</v>
      </c>
      <c r="R4136" s="422" t="s">
        <v>1869</v>
      </c>
      <c r="S4136" s="422" t="s">
        <v>1861</v>
      </c>
      <c r="T4136" s="427" t="s">
        <v>4902</v>
      </c>
      <c r="U4136" s="422" t="s">
        <v>1953</v>
      </c>
      <c r="V4136" s="422" t="s">
        <v>2813</v>
      </c>
    </row>
    <row r="4137" spans="1:22" ht="15.75" thickBot="1" x14ac:dyDescent="0.3">
      <c r="A4137" s="422" t="s">
        <v>4583</v>
      </c>
      <c r="B4137" s="422" t="s">
        <v>4583</v>
      </c>
      <c r="C4137" s="424" t="str">
        <f t="shared" si="166"/>
        <v>EVA - Transportes, S.A.</v>
      </c>
      <c r="D4137" t="s">
        <v>629</v>
      </c>
      <c r="F4137" s="432" t="s">
        <v>620</v>
      </c>
      <c r="G4137" s="89">
        <v>2017</v>
      </c>
      <c r="H4137" s="313" t="s">
        <v>733</v>
      </c>
      <c r="I4137" s="311" t="str">
        <f t="shared" si="167"/>
        <v>Pesado de Passageiros M3:  : Gasóleo : E6</v>
      </c>
      <c r="J4137">
        <v>55</v>
      </c>
      <c r="K4137" s="422">
        <v>2023</v>
      </c>
      <c r="L4137" s="427">
        <v>48292.557843880117</v>
      </c>
      <c r="M4137" s="427" t="s">
        <v>630</v>
      </c>
      <c r="N4137" s="434">
        <v>187423</v>
      </c>
      <c r="O4137" s="436">
        <f t="shared" si="168"/>
        <v>10308265</v>
      </c>
      <c r="P4137" s="435">
        <v>42741</v>
      </c>
      <c r="Q4137" s="427" t="s">
        <v>47</v>
      </c>
      <c r="R4137" s="422" t="s">
        <v>1869</v>
      </c>
      <c r="S4137" s="422" t="s">
        <v>1861</v>
      </c>
      <c r="T4137" s="427" t="s">
        <v>4903</v>
      </c>
      <c r="U4137" s="422" t="s">
        <v>1953</v>
      </c>
      <c r="V4137" s="422" t="s">
        <v>2813</v>
      </c>
    </row>
    <row r="4138" spans="1:22" ht="15.75" thickBot="1" x14ac:dyDescent="0.3">
      <c r="A4138" s="422" t="s">
        <v>4583</v>
      </c>
      <c r="B4138" s="422" t="s">
        <v>4583</v>
      </c>
      <c r="C4138" s="424" t="str">
        <f t="shared" si="166"/>
        <v>EVA - Transportes, S.A.</v>
      </c>
      <c r="D4138" t="s">
        <v>629</v>
      </c>
      <c r="F4138" s="432" t="s">
        <v>620</v>
      </c>
      <c r="G4138" s="89">
        <v>2018</v>
      </c>
      <c r="H4138" s="313" t="s">
        <v>733</v>
      </c>
      <c r="I4138" s="311" t="str">
        <f t="shared" si="167"/>
        <v>Pesado de Passageiros M3:  : Gasóleo : E6</v>
      </c>
      <c r="J4138">
        <v>55</v>
      </c>
      <c r="K4138" s="422">
        <v>2023</v>
      </c>
      <c r="L4138" s="427">
        <v>59054.394595963327</v>
      </c>
      <c r="M4138" s="427" t="s">
        <v>630</v>
      </c>
      <c r="N4138" s="434">
        <v>211714</v>
      </c>
      <c r="O4138" s="436">
        <f t="shared" si="168"/>
        <v>11644270</v>
      </c>
      <c r="P4138" s="435">
        <v>43115</v>
      </c>
      <c r="Q4138" s="427" t="s">
        <v>47</v>
      </c>
      <c r="R4138" s="422" t="s">
        <v>1869</v>
      </c>
      <c r="S4138" s="422" t="s">
        <v>1861</v>
      </c>
      <c r="T4138" s="427" t="s">
        <v>4904</v>
      </c>
      <c r="U4138" s="422" t="s">
        <v>1953</v>
      </c>
      <c r="V4138" s="422" t="s">
        <v>2813</v>
      </c>
    </row>
    <row r="4139" spans="1:22" ht="15.75" thickBot="1" x14ac:dyDescent="0.3">
      <c r="A4139" s="422" t="s">
        <v>4583</v>
      </c>
      <c r="B4139" s="422" t="s">
        <v>4583</v>
      </c>
      <c r="C4139" s="424" t="str">
        <f t="shared" si="166"/>
        <v>EVA - Transportes, S.A.</v>
      </c>
      <c r="D4139" t="s">
        <v>629</v>
      </c>
      <c r="F4139" s="432" t="s">
        <v>620</v>
      </c>
      <c r="G4139" s="89">
        <v>2018</v>
      </c>
      <c r="H4139" s="313" t="s">
        <v>733</v>
      </c>
      <c r="I4139" s="311" t="str">
        <f t="shared" si="167"/>
        <v>Pesado de Passageiros M3:  : Gasóleo : E6</v>
      </c>
      <c r="J4139">
        <v>55</v>
      </c>
      <c r="K4139" s="422">
        <v>2023</v>
      </c>
      <c r="L4139" s="427">
        <v>36155.875242275724</v>
      </c>
      <c r="M4139" s="427" t="s">
        <v>630</v>
      </c>
      <c r="N4139" s="434">
        <v>130265</v>
      </c>
      <c r="O4139" s="436">
        <f t="shared" si="168"/>
        <v>7164575</v>
      </c>
      <c r="P4139" s="435">
        <v>43115</v>
      </c>
      <c r="Q4139" s="427" t="s">
        <v>47</v>
      </c>
      <c r="R4139" s="422" t="s">
        <v>1869</v>
      </c>
      <c r="S4139" s="422" t="s">
        <v>1861</v>
      </c>
      <c r="T4139" s="427" t="s">
        <v>4905</v>
      </c>
      <c r="U4139" s="422" t="s">
        <v>1953</v>
      </c>
      <c r="V4139" s="422" t="s">
        <v>2813</v>
      </c>
    </row>
    <row r="4140" spans="1:22" ht="15.75" thickBot="1" x14ac:dyDescent="0.3">
      <c r="A4140" s="422" t="s">
        <v>4583</v>
      </c>
      <c r="B4140" s="422" t="s">
        <v>4583</v>
      </c>
      <c r="C4140" s="424" t="str">
        <f t="shared" si="166"/>
        <v>EVA - Transportes, S.A.</v>
      </c>
      <c r="D4140" t="s">
        <v>629</v>
      </c>
      <c r="F4140" s="432" t="s">
        <v>620</v>
      </c>
      <c r="G4140" s="89">
        <v>2018</v>
      </c>
      <c r="H4140" s="313" t="s">
        <v>733</v>
      </c>
      <c r="I4140" s="311" t="str">
        <f t="shared" si="167"/>
        <v>Pesado de Passageiros M3:  : Gasóleo : E6</v>
      </c>
      <c r="J4140">
        <v>55</v>
      </c>
      <c r="K4140" s="422">
        <v>2023</v>
      </c>
      <c r="L4140" s="427">
        <v>42401.215699656961</v>
      </c>
      <c r="M4140" s="427" t="s">
        <v>630</v>
      </c>
      <c r="N4140" s="434">
        <v>149585</v>
      </c>
      <c r="O4140" s="436">
        <f t="shared" si="168"/>
        <v>8227175</v>
      </c>
      <c r="P4140" s="435">
        <v>43115</v>
      </c>
      <c r="Q4140" s="427" t="s">
        <v>47</v>
      </c>
      <c r="R4140" s="422" t="s">
        <v>1869</v>
      </c>
      <c r="S4140" s="422" t="s">
        <v>1861</v>
      </c>
      <c r="T4140" s="427" t="s">
        <v>4906</v>
      </c>
      <c r="U4140" s="422" t="s">
        <v>1953</v>
      </c>
      <c r="V4140" s="422" t="s">
        <v>2813</v>
      </c>
    </row>
    <row r="4141" spans="1:22" ht="15.75" thickBot="1" x14ac:dyDescent="0.3">
      <c r="A4141" s="422" t="s">
        <v>4583</v>
      </c>
      <c r="B4141" s="422" t="s">
        <v>4583</v>
      </c>
      <c r="C4141" s="424" t="str">
        <f t="shared" si="166"/>
        <v>EVA - Transportes, S.A.</v>
      </c>
      <c r="D4141" t="s">
        <v>629</v>
      </c>
      <c r="F4141" s="432" t="s">
        <v>620</v>
      </c>
      <c r="G4141" s="89">
        <v>2018</v>
      </c>
      <c r="H4141" s="313" t="s">
        <v>733</v>
      </c>
      <c r="I4141" s="311" t="str">
        <f t="shared" si="167"/>
        <v>Pesado de Passageiros M3:  : Gasóleo : E6</v>
      </c>
      <c r="J4141">
        <v>55</v>
      </c>
      <c r="K4141" s="422">
        <v>2023</v>
      </c>
      <c r="L4141" s="427">
        <v>52016.369572817261</v>
      </c>
      <c r="M4141" s="427" t="s">
        <v>630</v>
      </c>
      <c r="N4141" s="434">
        <v>172956</v>
      </c>
      <c r="O4141" s="436">
        <f t="shared" si="168"/>
        <v>9512580</v>
      </c>
      <c r="P4141" s="435">
        <v>43115</v>
      </c>
      <c r="Q4141" s="427" t="s">
        <v>47</v>
      </c>
      <c r="R4141" s="422" t="s">
        <v>1869</v>
      </c>
      <c r="S4141" s="422" t="s">
        <v>1861</v>
      </c>
      <c r="T4141" s="427" t="s">
        <v>4907</v>
      </c>
      <c r="U4141" s="422" t="s">
        <v>1953</v>
      </c>
      <c r="V4141" s="422" t="s">
        <v>2813</v>
      </c>
    </row>
    <row r="4142" spans="1:22" ht="15.75" thickBot="1" x14ac:dyDescent="0.3">
      <c r="A4142" s="422" t="s">
        <v>4583</v>
      </c>
      <c r="B4142" s="422" t="s">
        <v>4583</v>
      </c>
      <c r="C4142" s="424" t="str">
        <f t="shared" si="166"/>
        <v>EVA - Transportes, S.A.</v>
      </c>
      <c r="D4142" t="s">
        <v>629</v>
      </c>
      <c r="F4142" s="432" t="s">
        <v>620</v>
      </c>
      <c r="G4142" s="89">
        <v>2019</v>
      </c>
      <c r="H4142" s="313" t="s">
        <v>733</v>
      </c>
      <c r="I4142" s="311" t="str">
        <f t="shared" si="167"/>
        <v>Pesado de Passageiros M3:  : Gasóleo : E6</v>
      </c>
      <c r="J4142">
        <v>55</v>
      </c>
      <c r="K4142" s="422">
        <v>2023</v>
      </c>
      <c r="L4142" s="427">
        <v>58680.107378365494</v>
      </c>
      <c r="M4142" s="427" t="s">
        <v>630</v>
      </c>
      <c r="N4142" s="434">
        <v>213673</v>
      </c>
      <c r="O4142" s="436">
        <f t="shared" si="168"/>
        <v>11752015</v>
      </c>
      <c r="P4142" s="435">
        <v>43510</v>
      </c>
      <c r="Q4142" s="427" t="s">
        <v>47</v>
      </c>
      <c r="R4142" s="422" t="s">
        <v>1869</v>
      </c>
      <c r="S4142" s="422" t="s">
        <v>1861</v>
      </c>
      <c r="T4142" s="427" t="s">
        <v>4908</v>
      </c>
      <c r="U4142" s="422" t="s">
        <v>1953</v>
      </c>
      <c r="V4142" s="422" t="s">
        <v>2813</v>
      </c>
    </row>
    <row r="4143" spans="1:22" ht="15.75" thickBot="1" x14ac:dyDescent="0.3">
      <c r="A4143" s="422" t="s">
        <v>4583</v>
      </c>
      <c r="B4143" s="422" t="s">
        <v>4583</v>
      </c>
      <c r="C4143" s="424" t="str">
        <f t="shared" si="166"/>
        <v>EVA - Transportes, S.A.</v>
      </c>
      <c r="D4143" t="s">
        <v>629</v>
      </c>
      <c r="F4143" s="432" t="s">
        <v>620</v>
      </c>
      <c r="G4143" s="89">
        <v>2019</v>
      </c>
      <c r="H4143" s="313" t="s">
        <v>733</v>
      </c>
      <c r="I4143" s="311" t="str">
        <f t="shared" si="167"/>
        <v>Pesado de Passageiros M3:  : Gasóleo : E6</v>
      </c>
      <c r="J4143">
        <v>55</v>
      </c>
      <c r="K4143" s="422">
        <v>2023</v>
      </c>
      <c r="L4143" s="427">
        <v>50796.780018344311</v>
      </c>
      <c r="M4143" s="427" t="s">
        <v>630</v>
      </c>
      <c r="N4143" s="434">
        <v>192300</v>
      </c>
      <c r="O4143" s="436">
        <f t="shared" si="168"/>
        <v>10576500</v>
      </c>
      <c r="P4143" s="435">
        <v>43510</v>
      </c>
      <c r="Q4143" s="427" t="s">
        <v>47</v>
      </c>
      <c r="R4143" s="422" t="s">
        <v>1869</v>
      </c>
      <c r="S4143" s="422" t="s">
        <v>1861</v>
      </c>
      <c r="T4143" s="427" t="s">
        <v>4909</v>
      </c>
      <c r="U4143" s="422" t="s">
        <v>1953</v>
      </c>
      <c r="V4143" s="422" t="s">
        <v>2813</v>
      </c>
    </row>
    <row r="4144" spans="1:22" ht="15.75" thickBot="1" x14ac:dyDescent="0.3">
      <c r="A4144" s="422" t="s">
        <v>4583</v>
      </c>
      <c r="B4144" s="422" t="s">
        <v>4583</v>
      </c>
      <c r="C4144" s="424" t="str">
        <f t="shared" si="166"/>
        <v>EVA - Transportes, S.A.</v>
      </c>
      <c r="D4144" t="s">
        <v>629</v>
      </c>
      <c r="F4144" s="432" t="s">
        <v>620</v>
      </c>
      <c r="G4144" s="89">
        <v>2019</v>
      </c>
      <c r="H4144" s="313" t="s">
        <v>733</v>
      </c>
      <c r="I4144" s="311" t="str">
        <f t="shared" si="167"/>
        <v>Pesado de Passageiros M3:  : Gasóleo : E6</v>
      </c>
      <c r="J4144">
        <v>55</v>
      </c>
      <c r="K4144" s="422">
        <v>2023</v>
      </c>
      <c r="L4144" s="427">
        <v>47076.530856573605</v>
      </c>
      <c r="M4144" s="427" t="s">
        <v>630</v>
      </c>
      <c r="N4144" s="434">
        <v>186385</v>
      </c>
      <c r="O4144" s="436">
        <f t="shared" si="168"/>
        <v>10251175</v>
      </c>
      <c r="P4144" s="435">
        <v>43510</v>
      </c>
      <c r="Q4144" s="427" t="s">
        <v>47</v>
      </c>
      <c r="R4144" s="422" t="s">
        <v>1869</v>
      </c>
      <c r="S4144" s="422" t="s">
        <v>1861</v>
      </c>
      <c r="T4144" s="427" t="s">
        <v>4910</v>
      </c>
      <c r="U4144" s="422" t="s">
        <v>1953</v>
      </c>
      <c r="V4144" s="422" t="s">
        <v>2813</v>
      </c>
    </row>
    <row r="4145" spans="1:22" ht="15.75" thickBot="1" x14ac:dyDescent="0.3">
      <c r="A4145" s="422" t="s">
        <v>4583</v>
      </c>
      <c r="B4145" s="422" t="s">
        <v>4583</v>
      </c>
      <c r="C4145" s="424" t="str">
        <f t="shared" si="166"/>
        <v>EVA - Transportes, S.A.</v>
      </c>
      <c r="D4145" t="s">
        <v>629</v>
      </c>
      <c r="F4145" s="432" t="s">
        <v>620</v>
      </c>
      <c r="G4145" s="89">
        <v>2019</v>
      </c>
      <c r="H4145" s="313" t="s">
        <v>733</v>
      </c>
      <c r="I4145" s="311" t="str">
        <f t="shared" si="167"/>
        <v>Pesado de Passageiros M3:  : Gasóleo : E6</v>
      </c>
      <c r="J4145">
        <v>55</v>
      </c>
      <c r="K4145" s="422">
        <v>2023</v>
      </c>
      <c r="L4145" s="427">
        <v>44113.400858131034</v>
      </c>
      <c r="M4145" s="427" t="s">
        <v>630</v>
      </c>
      <c r="N4145" s="434">
        <v>167823</v>
      </c>
      <c r="O4145" s="436">
        <f t="shared" si="168"/>
        <v>9230265</v>
      </c>
      <c r="P4145" s="435">
        <v>43501</v>
      </c>
      <c r="Q4145" s="427" t="s">
        <v>47</v>
      </c>
      <c r="R4145" s="422" t="s">
        <v>1869</v>
      </c>
      <c r="S4145" s="422" t="s">
        <v>1861</v>
      </c>
      <c r="T4145" s="427" t="s">
        <v>4911</v>
      </c>
      <c r="U4145" s="422" t="s">
        <v>1953</v>
      </c>
      <c r="V4145" s="422" t="s">
        <v>2813</v>
      </c>
    </row>
    <row r="4146" spans="1:22" ht="15.75" thickBot="1" x14ac:dyDescent="0.3">
      <c r="A4146" s="422" t="s">
        <v>4583</v>
      </c>
      <c r="B4146" s="422" t="s">
        <v>4583</v>
      </c>
      <c r="C4146" s="424" t="str">
        <f t="shared" si="166"/>
        <v>EVA - Transportes, S.A.</v>
      </c>
      <c r="D4146" t="s">
        <v>629</v>
      </c>
      <c r="F4146" s="432" t="s">
        <v>620</v>
      </c>
      <c r="G4146" s="89">
        <v>2019</v>
      </c>
      <c r="H4146" s="313" t="s">
        <v>733</v>
      </c>
      <c r="I4146" s="311" t="str">
        <f t="shared" si="167"/>
        <v>Pesado de Passageiros M3:  : Gasóleo : E6</v>
      </c>
      <c r="J4146">
        <v>55</v>
      </c>
      <c r="K4146" s="422">
        <v>2023</v>
      </c>
      <c r="L4146" s="427">
        <v>44266.057047832612</v>
      </c>
      <c r="M4146" s="427" t="s">
        <v>630</v>
      </c>
      <c r="N4146" s="434">
        <v>172163</v>
      </c>
      <c r="O4146" s="436">
        <f t="shared" si="168"/>
        <v>9468965</v>
      </c>
      <c r="P4146" s="435">
        <v>43501</v>
      </c>
      <c r="Q4146" s="427" t="s">
        <v>47</v>
      </c>
      <c r="R4146" s="422" t="s">
        <v>1869</v>
      </c>
      <c r="S4146" s="422" t="s">
        <v>1861</v>
      </c>
      <c r="T4146" s="427" t="s">
        <v>4912</v>
      </c>
      <c r="U4146" s="422" t="s">
        <v>1953</v>
      </c>
      <c r="V4146" s="422" t="s">
        <v>2813</v>
      </c>
    </row>
    <row r="4147" spans="1:22" ht="15.75" thickBot="1" x14ac:dyDescent="0.3">
      <c r="A4147" s="422" t="s">
        <v>4583</v>
      </c>
      <c r="B4147" s="422" t="s">
        <v>4583</v>
      </c>
      <c r="C4147" s="424" t="str">
        <f t="shared" si="166"/>
        <v>EVA - Transportes, S.A.</v>
      </c>
      <c r="D4147" t="s">
        <v>629</v>
      </c>
      <c r="F4147" s="432" t="s">
        <v>620</v>
      </c>
      <c r="G4147" s="89">
        <v>2013</v>
      </c>
      <c r="H4147" s="313" t="s">
        <v>734</v>
      </c>
      <c r="I4147" s="311" t="str">
        <f t="shared" si="167"/>
        <v>Pesado de Passageiros M3:  : Gasóleo : E5</v>
      </c>
      <c r="J4147">
        <v>55</v>
      </c>
      <c r="K4147" s="422">
        <v>2023</v>
      </c>
      <c r="L4147" s="427">
        <v>26125.187208080155</v>
      </c>
      <c r="M4147" s="427" t="s">
        <v>630</v>
      </c>
      <c r="N4147" s="434">
        <v>85793</v>
      </c>
      <c r="O4147" s="436">
        <f t="shared" si="168"/>
        <v>4718615</v>
      </c>
      <c r="P4147" s="435">
        <v>41337</v>
      </c>
      <c r="Q4147" s="427" t="s">
        <v>47</v>
      </c>
      <c r="R4147" s="422" t="s">
        <v>1869</v>
      </c>
      <c r="S4147" s="422" t="s">
        <v>1861</v>
      </c>
      <c r="T4147" s="427" t="s">
        <v>4913</v>
      </c>
      <c r="U4147" s="422" t="s">
        <v>1953</v>
      </c>
      <c r="V4147" s="422" t="s">
        <v>2813</v>
      </c>
    </row>
    <row r="4148" spans="1:22" ht="15.75" thickBot="1" x14ac:dyDescent="0.3">
      <c r="A4148" s="422" t="s">
        <v>4583</v>
      </c>
      <c r="B4148" s="422" t="s">
        <v>4583</v>
      </c>
      <c r="C4148" s="424" t="str">
        <f t="shared" si="166"/>
        <v>EVA - Transportes, S.A.</v>
      </c>
      <c r="D4148" t="s">
        <v>629</v>
      </c>
      <c r="F4148" s="432" t="s">
        <v>620</v>
      </c>
      <c r="G4148" s="89">
        <v>2013</v>
      </c>
      <c r="H4148" s="313" t="s">
        <v>731</v>
      </c>
      <c r="I4148" s="311" t="str">
        <f t="shared" si="167"/>
        <v>Pesado de Passageiros M3:  : Gasóleo : E4</v>
      </c>
      <c r="J4148">
        <v>55</v>
      </c>
      <c r="K4148" s="422">
        <v>2023</v>
      </c>
      <c r="L4148" s="427">
        <v>39888.060641078184</v>
      </c>
      <c r="M4148" s="427" t="s">
        <v>630</v>
      </c>
      <c r="N4148" s="434">
        <v>128614</v>
      </c>
      <c r="O4148" s="436">
        <f t="shared" si="168"/>
        <v>7073770</v>
      </c>
      <c r="P4148" s="435">
        <v>41337</v>
      </c>
      <c r="Q4148" s="427" t="s">
        <v>47</v>
      </c>
      <c r="R4148" s="422" t="s">
        <v>1869</v>
      </c>
      <c r="S4148" s="422" t="s">
        <v>1861</v>
      </c>
      <c r="T4148" s="427" t="s">
        <v>4914</v>
      </c>
      <c r="U4148" s="422" t="s">
        <v>1953</v>
      </c>
      <c r="V4148" s="422" t="s">
        <v>2813</v>
      </c>
    </row>
    <row r="4149" spans="1:22" ht="15.75" thickBot="1" x14ac:dyDescent="0.3">
      <c r="A4149" s="422" t="s">
        <v>4583</v>
      </c>
      <c r="B4149" s="422" t="s">
        <v>4583</v>
      </c>
      <c r="C4149" s="424" t="str">
        <f t="shared" si="166"/>
        <v>EVA - Transportes, S.A.</v>
      </c>
      <c r="D4149" t="s">
        <v>629</v>
      </c>
      <c r="F4149" s="432" t="s">
        <v>620</v>
      </c>
      <c r="G4149" s="89">
        <v>2014</v>
      </c>
      <c r="H4149" s="313" t="s">
        <v>734</v>
      </c>
      <c r="I4149" s="311" t="str">
        <f t="shared" si="167"/>
        <v>Pesado de Passageiros M3:  : Gasóleo : E5</v>
      </c>
      <c r="J4149">
        <v>55</v>
      </c>
      <c r="K4149" s="422">
        <v>2023</v>
      </c>
      <c r="L4149" s="427">
        <v>40050.618866325014</v>
      </c>
      <c r="M4149" s="427" t="s">
        <v>630</v>
      </c>
      <c r="N4149" s="434">
        <v>130520</v>
      </c>
      <c r="O4149" s="436">
        <f t="shared" si="168"/>
        <v>7178600</v>
      </c>
      <c r="P4149" s="435">
        <v>41642</v>
      </c>
      <c r="Q4149" s="427" t="s">
        <v>47</v>
      </c>
      <c r="R4149" s="422" t="s">
        <v>1869</v>
      </c>
      <c r="S4149" s="422" t="s">
        <v>1861</v>
      </c>
      <c r="T4149" s="427" t="s">
        <v>4915</v>
      </c>
      <c r="U4149" s="422" t="s">
        <v>1953</v>
      </c>
      <c r="V4149" s="422" t="s">
        <v>2813</v>
      </c>
    </row>
    <row r="4150" spans="1:22" ht="15.75" thickBot="1" x14ac:dyDescent="0.3">
      <c r="A4150" s="422" t="s">
        <v>4583</v>
      </c>
      <c r="B4150" s="422" t="s">
        <v>4583</v>
      </c>
      <c r="C4150" s="424" t="str">
        <f t="shared" si="166"/>
        <v>EVA - Transportes, S.A.</v>
      </c>
      <c r="D4150" t="s">
        <v>629</v>
      </c>
      <c r="F4150" s="432" t="s">
        <v>620</v>
      </c>
      <c r="G4150" s="89">
        <v>2015</v>
      </c>
      <c r="H4150" s="313" t="s">
        <v>4831</v>
      </c>
      <c r="I4150" s="311" t="str">
        <f t="shared" si="167"/>
        <v>Pesado de Passageiros M3:  : Gasóleo : E7</v>
      </c>
      <c r="J4150">
        <v>55</v>
      </c>
      <c r="K4150" s="422">
        <v>2023</v>
      </c>
      <c r="L4150" s="427">
        <v>35598.008891720652</v>
      </c>
      <c r="M4150" s="427" t="s">
        <v>630</v>
      </c>
      <c r="N4150" s="434">
        <v>129625</v>
      </c>
      <c r="O4150" s="436">
        <f t="shared" si="168"/>
        <v>7129375</v>
      </c>
      <c r="P4150" s="435">
        <v>42020</v>
      </c>
      <c r="Q4150" s="427" t="s">
        <v>47</v>
      </c>
      <c r="R4150" s="422" t="s">
        <v>1869</v>
      </c>
      <c r="S4150" s="422" t="s">
        <v>1861</v>
      </c>
      <c r="T4150" s="427" t="s">
        <v>4916</v>
      </c>
      <c r="U4150" s="422" t="s">
        <v>1953</v>
      </c>
      <c r="V4150" s="422" t="s">
        <v>2813</v>
      </c>
    </row>
    <row r="4151" spans="1:22" ht="15.75" thickBot="1" x14ac:dyDescent="0.3">
      <c r="A4151" s="422" t="s">
        <v>4583</v>
      </c>
      <c r="B4151" s="422" t="s">
        <v>4583</v>
      </c>
      <c r="C4151" s="424" t="str">
        <f t="shared" si="166"/>
        <v>EVA - Transportes, S.A.</v>
      </c>
      <c r="D4151" t="s">
        <v>629</v>
      </c>
      <c r="F4151" s="432" t="s">
        <v>620</v>
      </c>
      <c r="G4151" s="89">
        <v>2015</v>
      </c>
      <c r="H4151" s="313" t="s">
        <v>4831</v>
      </c>
      <c r="I4151" s="311" t="str">
        <f t="shared" si="167"/>
        <v>Pesado de Passageiros M3:  : Gasóleo : E7</v>
      </c>
      <c r="J4151">
        <v>55</v>
      </c>
      <c r="K4151" s="422">
        <v>2023</v>
      </c>
      <c r="L4151" s="427">
        <v>47980.08414373047</v>
      </c>
      <c r="M4151" s="427" t="s">
        <v>630</v>
      </c>
      <c r="N4151" s="434">
        <v>201663</v>
      </c>
      <c r="O4151" s="436">
        <f t="shared" si="168"/>
        <v>11091465</v>
      </c>
      <c r="P4151" s="435">
        <v>42020</v>
      </c>
      <c r="Q4151" s="427" t="s">
        <v>47</v>
      </c>
      <c r="R4151" s="422" t="s">
        <v>1869</v>
      </c>
      <c r="S4151" s="422" t="s">
        <v>1861</v>
      </c>
      <c r="T4151" s="427" t="s">
        <v>4917</v>
      </c>
      <c r="U4151" s="422" t="s">
        <v>1953</v>
      </c>
      <c r="V4151" s="422" t="s">
        <v>2813</v>
      </c>
    </row>
    <row r="4152" spans="1:22" ht="15.75" thickBot="1" x14ac:dyDescent="0.3">
      <c r="A4152" s="422" t="s">
        <v>4583</v>
      </c>
      <c r="B4152" s="422" t="s">
        <v>4583</v>
      </c>
      <c r="C4152" s="424" t="str">
        <f t="shared" si="166"/>
        <v>EVA - Transportes, S.A.</v>
      </c>
      <c r="D4152" t="s">
        <v>629</v>
      </c>
      <c r="F4152" s="432" t="s">
        <v>620</v>
      </c>
      <c r="G4152" s="89">
        <v>2015</v>
      </c>
      <c r="H4152" s="313" t="s">
        <v>4831</v>
      </c>
      <c r="I4152" s="311" t="str">
        <f t="shared" si="167"/>
        <v>Pesado de Passageiros M3:  : Gasóleo : E7</v>
      </c>
      <c r="J4152">
        <v>55</v>
      </c>
      <c r="K4152" s="422">
        <v>2023</v>
      </c>
      <c r="L4152" s="427">
        <v>49912.227923528146</v>
      </c>
      <c r="M4152" s="427" t="s">
        <v>630</v>
      </c>
      <c r="N4152" s="434">
        <v>194854</v>
      </c>
      <c r="O4152" s="436">
        <f t="shared" si="168"/>
        <v>10716970</v>
      </c>
      <c r="P4152" s="435">
        <v>42020</v>
      </c>
      <c r="Q4152" s="427" t="s">
        <v>47</v>
      </c>
      <c r="R4152" s="422" t="s">
        <v>1869</v>
      </c>
      <c r="S4152" s="422" t="s">
        <v>1861</v>
      </c>
      <c r="T4152" s="427" t="s">
        <v>4918</v>
      </c>
      <c r="U4152" s="422" t="s">
        <v>1953</v>
      </c>
      <c r="V4152" s="422" t="s">
        <v>2813</v>
      </c>
    </row>
    <row r="4153" spans="1:22" ht="15.75" thickBot="1" x14ac:dyDescent="0.3">
      <c r="A4153" s="422" t="s">
        <v>4583</v>
      </c>
      <c r="B4153" s="422" t="s">
        <v>4583</v>
      </c>
      <c r="C4153" s="424" t="str">
        <f t="shared" si="166"/>
        <v>EVA - Transportes, S.A.</v>
      </c>
      <c r="D4153" t="s">
        <v>629</v>
      </c>
      <c r="F4153" s="432" t="s">
        <v>620</v>
      </c>
      <c r="G4153" s="89">
        <v>2017</v>
      </c>
      <c r="H4153" s="313" t="s">
        <v>4831</v>
      </c>
      <c r="I4153" s="311" t="str">
        <f t="shared" si="167"/>
        <v>Pesado de Passageiros M3:  : Gasóleo : E7</v>
      </c>
      <c r="J4153">
        <v>59</v>
      </c>
      <c r="K4153" s="422">
        <v>2023</v>
      </c>
      <c r="L4153" s="427">
        <v>52698.724807478255</v>
      </c>
      <c r="M4153" s="427" t="s">
        <v>630</v>
      </c>
      <c r="N4153" s="434">
        <v>188509</v>
      </c>
      <c r="O4153" s="436">
        <f t="shared" si="168"/>
        <v>11122031</v>
      </c>
      <c r="P4153" s="435">
        <v>42926</v>
      </c>
      <c r="Q4153" s="427" t="s">
        <v>47</v>
      </c>
      <c r="R4153" s="422" t="s">
        <v>1869</v>
      </c>
      <c r="S4153" s="422" t="s">
        <v>1861</v>
      </c>
      <c r="T4153" s="427" t="s">
        <v>4919</v>
      </c>
      <c r="U4153" s="422" t="s">
        <v>1953</v>
      </c>
      <c r="V4153" s="422" t="s">
        <v>2813</v>
      </c>
    </row>
    <row r="4154" spans="1:22" ht="15.75" thickBot="1" x14ac:dyDescent="0.3">
      <c r="A4154" s="422" t="s">
        <v>4583</v>
      </c>
      <c r="B4154" s="422" t="s">
        <v>4583</v>
      </c>
      <c r="C4154" s="424" t="str">
        <f t="shared" si="166"/>
        <v>EVA - Transportes, S.A.</v>
      </c>
      <c r="D4154" t="s">
        <v>629</v>
      </c>
      <c r="F4154" s="432" t="s">
        <v>620</v>
      </c>
      <c r="G4154" s="89">
        <v>2011</v>
      </c>
      <c r="H4154" s="313" t="s">
        <v>731</v>
      </c>
      <c r="I4154" s="311" t="str">
        <f t="shared" si="167"/>
        <v>Pesado de Passageiros M3:  : Gasóleo : E4</v>
      </c>
      <c r="J4154">
        <v>58</v>
      </c>
      <c r="K4154" s="422">
        <v>2023</v>
      </c>
      <c r="L4154" s="427">
        <v>24330.845368864393</v>
      </c>
      <c r="M4154" s="427" t="s">
        <v>630</v>
      </c>
      <c r="N4154" s="434">
        <v>72645</v>
      </c>
      <c r="O4154" s="436">
        <f t="shared" si="168"/>
        <v>4213410</v>
      </c>
      <c r="P4154" s="435">
        <v>40592</v>
      </c>
      <c r="Q4154" s="427" t="s">
        <v>47</v>
      </c>
      <c r="R4154" s="422" t="s">
        <v>1869</v>
      </c>
      <c r="S4154" s="422" t="s">
        <v>1861</v>
      </c>
      <c r="T4154" s="427" t="s">
        <v>4920</v>
      </c>
      <c r="U4154" s="422" t="s">
        <v>1953</v>
      </c>
      <c r="V4154" s="422" t="s">
        <v>2813</v>
      </c>
    </row>
    <row r="4155" spans="1:22" ht="15.75" thickBot="1" x14ac:dyDescent="0.3">
      <c r="A4155" s="422" t="s">
        <v>4583</v>
      </c>
      <c r="B4155" s="422" t="s">
        <v>4583</v>
      </c>
      <c r="C4155" s="424" t="str">
        <f t="shared" si="166"/>
        <v>EVA - Transportes, S.A.</v>
      </c>
      <c r="D4155" t="s">
        <v>629</v>
      </c>
      <c r="F4155" s="432" t="s">
        <v>620</v>
      </c>
      <c r="G4155" s="89">
        <v>2006</v>
      </c>
      <c r="H4155" s="313" t="s">
        <v>731</v>
      </c>
      <c r="I4155" s="311" t="str">
        <f t="shared" si="167"/>
        <v>Pesado de Passageiros M3:  : Gasóleo : E4</v>
      </c>
      <c r="J4155">
        <v>50</v>
      </c>
      <c r="K4155" s="422">
        <v>2023</v>
      </c>
      <c r="L4155" s="427">
        <v>10471.713829161383</v>
      </c>
      <c r="M4155" s="427" t="s">
        <v>630</v>
      </c>
      <c r="N4155" s="434">
        <v>27678</v>
      </c>
      <c r="O4155" s="436">
        <f t="shared" si="168"/>
        <v>1383900</v>
      </c>
      <c r="P4155" s="435">
        <v>38721</v>
      </c>
      <c r="Q4155" s="427" t="s">
        <v>47</v>
      </c>
      <c r="R4155" s="422" t="s">
        <v>1869</v>
      </c>
      <c r="S4155" s="422" t="s">
        <v>1861</v>
      </c>
      <c r="T4155" s="427" t="s">
        <v>4921</v>
      </c>
      <c r="U4155" s="422" t="s">
        <v>1953</v>
      </c>
      <c r="V4155" s="422" t="s">
        <v>2813</v>
      </c>
    </row>
    <row r="4156" spans="1:22" ht="15.75" thickBot="1" x14ac:dyDescent="0.3">
      <c r="A4156" s="422" t="s">
        <v>4583</v>
      </c>
      <c r="B4156" s="422" t="s">
        <v>4583</v>
      </c>
      <c r="C4156" s="424" t="str">
        <f t="shared" si="166"/>
        <v>EVA - Transportes, S.A.</v>
      </c>
      <c r="D4156" t="s">
        <v>629</v>
      </c>
      <c r="F4156" s="432" t="s">
        <v>620</v>
      </c>
      <c r="G4156" s="89">
        <v>2006</v>
      </c>
      <c r="H4156" s="313" t="s">
        <v>731</v>
      </c>
      <c r="I4156" s="311" t="str">
        <f t="shared" si="167"/>
        <v>Pesado de Passageiros M3:  : Gasóleo : E4</v>
      </c>
      <c r="J4156">
        <v>50</v>
      </c>
      <c r="K4156" s="422">
        <v>2023</v>
      </c>
      <c r="L4156" s="427">
        <v>17846.530611702052</v>
      </c>
      <c r="M4156" s="427" t="s">
        <v>630</v>
      </c>
      <c r="N4156" s="434">
        <v>48533</v>
      </c>
      <c r="O4156" s="436">
        <f t="shared" si="168"/>
        <v>2426650</v>
      </c>
      <c r="P4156" s="435">
        <v>38721</v>
      </c>
      <c r="Q4156" s="427" t="s">
        <v>47</v>
      </c>
      <c r="R4156" s="422" t="s">
        <v>1869</v>
      </c>
      <c r="S4156" s="422" t="s">
        <v>1861</v>
      </c>
      <c r="T4156" s="427" t="s">
        <v>4922</v>
      </c>
      <c r="U4156" s="422" t="s">
        <v>1953</v>
      </c>
      <c r="V4156" s="422" t="s">
        <v>2813</v>
      </c>
    </row>
    <row r="4157" spans="1:22" ht="15.75" thickBot="1" x14ac:dyDescent="0.3">
      <c r="A4157" s="422" t="s">
        <v>4583</v>
      </c>
      <c r="B4157" s="422" t="s">
        <v>4583</v>
      </c>
      <c r="C4157" s="424" t="str">
        <f t="shared" si="166"/>
        <v>EVA - Transportes, S.A.</v>
      </c>
      <c r="D4157" t="s">
        <v>629</v>
      </c>
      <c r="F4157" s="432" t="s">
        <v>620</v>
      </c>
      <c r="G4157" s="89">
        <v>2006</v>
      </c>
      <c r="H4157" s="313" t="s">
        <v>731</v>
      </c>
      <c r="I4157" s="311" t="str">
        <f t="shared" si="167"/>
        <v>Pesado de Passageiros M3:  : Gasóleo : E4</v>
      </c>
      <c r="J4157">
        <v>50</v>
      </c>
      <c r="K4157" s="422">
        <v>2023</v>
      </c>
      <c r="L4157" s="427">
        <v>6554.7200543389554</v>
      </c>
      <c r="M4157" s="427" t="s">
        <v>630</v>
      </c>
      <c r="N4157" s="434">
        <v>20136</v>
      </c>
      <c r="O4157" s="436">
        <f t="shared" si="168"/>
        <v>1006800</v>
      </c>
      <c r="P4157" s="435">
        <v>38721</v>
      </c>
      <c r="Q4157" s="427" t="s">
        <v>47</v>
      </c>
      <c r="R4157" s="422" t="s">
        <v>1869</v>
      </c>
      <c r="S4157" s="422" t="s">
        <v>1861</v>
      </c>
      <c r="T4157" s="427" t="s">
        <v>4923</v>
      </c>
      <c r="U4157" s="422" t="s">
        <v>1953</v>
      </c>
      <c r="V4157" s="422" t="s">
        <v>2813</v>
      </c>
    </row>
    <row r="4158" spans="1:22" ht="15.75" thickBot="1" x14ac:dyDescent="0.3">
      <c r="A4158" s="422" t="s">
        <v>4583</v>
      </c>
      <c r="B4158" s="422" t="s">
        <v>4583</v>
      </c>
      <c r="C4158" s="424" t="str">
        <f t="shared" si="166"/>
        <v>EVA - Transportes, S.A.</v>
      </c>
      <c r="D4158" t="s">
        <v>629</v>
      </c>
      <c r="F4158" s="432" t="s">
        <v>620</v>
      </c>
      <c r="G4158" s="89">
        <v>2008</v>
      </c>
      <c r="H4158" s="313" t="s">
        <v>733</v>
      </c>
      <c r="I4158" s="311" t="str">
        <f t="shared" si="167"/>
        <v>Pesado de Passageiros M3:  : Gasóleo : E6</v>
      </c>
      <c r="J4158">
        <v>55</v>
      </c>
      <c r="K4158" s="422">
        <v>2023</v>
      </c>
      <c r="L4158" s="427">
        <v>16039.343590736673</v>
      </c>
      <c r="M4158" s="427" t="s">
        <v>630</v>
      </c>
      <c r="N4158" s="434">
        <v>76245</v>
      </c>
      <c r="O4158" s="436">
        <f t="shared" si="168"/>
        <v>4193475</v>
      </c>
      <c r="P4158" s="435">
        <v>39520</v>
      </c>
      <c r="Q4158" s="427" t="s">
        <v>47</v>
      </c>
      <c r="R4158" s="422" t="s">
        <v>1869</v>
      </c>
      <c r="S4158" s="422" t="s">
        <v>1861</v>
      </c>
      <c r="T4158" s="427" t="s">
        <v>4924</v>
      </c>
      <c r="U4158" s="422" t="s">
        <v>1953</v>
      </c>
      <c r="V4158" s="422" t="s">
        <v>2813</v>
      </c>
    </row>
    <row r="4159" spans="1:22" ht="15.75" thickBot="1" x14ac:dyDescent="0.3">
      <c r="A4159" s="422" t="s">
        <v>4583</v>
      </c>
      <c r="B4159" s="422" t="s">
        <v>4583</v>
      </c>
      <c r="C4159" s="424" t="str">
        <f t="shared" si="166"/>
        <v>EVA - Transportes, S.A.</v>
      </c>
      <c r="D4159" t="s">
        <v>629</v>
      </c>
      <c r="F4159" s="432" t="s">
        <v>620</v>
      </c>
      <c r="G4159" s="89">
        <v>2006</v>
      </c>
      <c r="H4159" s="313" t="s">
        <v>731</v>
      </c>
      <c r="I4159" s="311" t="str">
        <f t="shared" si="167"/>
        <v>Pesado de Passageiros M3:  : Gasóleo : E4</v>
      </c>
      <c r="J4159">
        <v>55</v>
      </c>
      <c r="K4159" s="422">
        <v>2023</v>
      </c>
      <c r="L4159" s="427">
        <v>19118.534124045142</v>
      </c>
      <c r="M4159" s="427" t="s">
        <v>630</v>
      </c>
      <c r="N4159" s="434">
        <v>57450</v>
      </c>
      <c r="O4159" s="436">
        <f t="shared" si="168"/>
        <v>3159750</v>
      </c>
      <c r="P4159" s="435">
        <v>38827</v>
      </c>
      <c r="Q4159" s="427" t="s">
        <v>47</v>
      </c>
      <c r="R4159" s="422" t="s">
        <v>1869</v>
      </c>
      <c r="S4159" s="422" t="s">
        <v>1861</v>
      </c>
      <c r="T4159" s="427" t="s">
        <v>4925</v>
      </c>
      <c r="U4159" s="422" t="s">
        <v>1953</v>
      </c>
      <c r="V4159" s="422" t="s">
        <v>2813</v>
      </c>
    </row>
    <row r="4160" spans="1:22" ht="15.75" thickBot="1" x14ac:dyDescent="0.3">
      <c r="A4160" s="422" t="s">
        <v>4583</v>
      </c>
      <c r="B4160" s="422" t="s">
        <v>4583</v>
      </c>
      <c r="C4160" s="424" t="str">
        <f t="shared" si="166"/>
        <v>EVA - Transportes, S.A.</v>
      </c>
      <c r="D4160" t="s">
        <v>629</v>
      </c>
      <c r="F4160" s="432" t="s">
        <v>620</v>
      </c>
      <c r="G4160" s="89">
        <v>2006</v>
      </c>
      <c r="H4160" s="313" t="s">
        <v>731</v>
      </c>
      <c r="I4160" s="311" t="str">
        <f t="shared" si="167"/>
        <v>Pesado de Passageiros M3:  : Gasóleo : E4</v>
      </c>
      <c r="J4160">
        <v>55</v>
      </c>
      <c r="K4160" s="422">
        <v>2023</v>
      </c>
      <c r="L4160" s="427">
        <v>24845.674601760205</v>
      </c>
      <c r="M4160" s="427" t="s">
        <v>630</v>
      </c>
      <c r="N4160" s="434">
        <v>78416</v>
      </c>
      <c r="O4160" s="436">
        <f t="shared" si="168"/>
        <v>4312880</v>
      </c>
      <c r="P4160" s="435">
        <v>38827</v>
      </c>
      <c r="Q4160" s="427" t="s">
        <v>47</v>
      </c>
      <c r="R4160" s="422" t="s">
        <v>1869</v>
      </c>
      <c r="S4160" s="422" t="s">
        <v>1861</v>
      </c>
      <c r="T4160" s="427" t="s">
        <v>4926</v>
      </c>
      <c r="U4160" s="422" t="s">
        <v>1953</v>
      </c>
      <c r="V4160" s="422" t="s">
        <v>2813</v>
      </c>
    </row>
    <row r="4161" spans="1:22" ht="15.75" thickBot="1" x14ac:dyDescent="0.3">
      <c r="A4161" s="422" t="s">
        <v>4583</v>
      </c>
      <c r="B4161" s="422" t="s">
        <v>4583</v>
      </c>
      <c r="C4161" s="424" t="str">
        <f t="shared" si="166"/>
        <v>EVA - Transportes, S.A.</v>
      </c>
      <c r="D4161" t="s">
        <v>629</v>
      </c>
      <c r="F4161" s="432" t="s">
        <v>620</v>
      </c>
      <c r="G4161" s="89">
        <v>2006</v>
      </c>
      <c r="H4161" s="313" t="s">
        <v>731</v>
      </c>
      <c r="I4161" s="311" t="str">
        <f t="shared" si="167"/>
        <v>Pesado de Passageiros M3:  : Gasóleo : E4</v>
      </c>
      <c r="J4161">
        <v>55</v>
      </c>
      <c r="K4161" s="422">
        <v>2023</v>
      </c>
      <c r="L4161" s="427">
        <v>18795.281704104171</v>
      </c>
      <c r="M4161" s="427" t="s">
        <v>630</v>
      </c>
      <c r="N4161" s="434">
        <v>63193</v>
      </c>
      <c r="O4161" s="436">
        <f t="shared" si="168"/>
        <v>3475615</v>
      </c>
      <c r="P4161" s="435">
        <v>38827</v>
      </c>
      <c r="Q4161" s="427" t="s">
        <v>47</v>
      </c>
      <c r="R4161" s="422" t="s">
        <v>1869</v>
      </c>
      <c r="S4161" s="422" t="s">
        <v>1861</v>
      </c>
      <c r="T4161" s="427" t="s">
        <v>4927</v>
      </c>
      <c r="U4161" s="422" t="s">
        <v>1953</v>
      </c>
      <c r="V4161" s="422" t="s">
        <v>2813</v>
      </c>
    </row>
    <row r="4162" spans="1:22" ht="15.75" thickBot="1" x14ac:dyDescent="0.3">
      <c r="A4162" s="422" t="s">
        <v>4583</v>
      </c>
      <c r="B4162" s="422" t="s">
        <v>4583</v>
      </c>
      <c r="C4162" s="424" t="str">
        <f t="shared" si="166"/>
        <v>EVA - Transportes, S.A.</v>
      </c>
      <c r="D4162" t="s">
        <v>629</v>
      </c>
      <c r="F4162" s="432" t="s">
        <v>620</v>
      </c>
      <c r="G4162" s="89">
        <v>2008</v>
      </c>
      <c r="H4162" s="313" t="s">
        <v>731</v>
      </c>
      <c r="I4162" s="311" t="str">
        <f t="shared" si="167"/>
        <v>Pesado de Passageiros M3:  : Gasóleo : E4</v>
      </c>
      <c r="J4162">
        <v>54</v>
      </c>
      <c r="K4162" s="422">
        <v>2023</v>
      </c>
      <c r="L4162" s="427">
        <v>15527.327614194006</v>
      </c>
      <c r="M4162" s="427" t="s">
        <v>630</v>
      </c>
      <c r="N4162" s="434">
        <v>41948</v>
      </c>
      <c r="O4162" s="436">
        <f t="shared" si="168"/>
        <v>2265192</v>
      </c>
      <c r="P4162" s="435">
        <v>39520</v>
      </c>
      <c r="Q4162" s="427" t="s">
        <v>47</v>
      </c>
      <c r="R4162" s="422" t="s">
        <v>1869</v>
      </c>
      <c r="S4162" s="422" t="s">
        <v>1861</v>
      </c>
      <c r="T4162" s="427" t="s">
        <v>4928</v>
      </c>
      <c r="U4162" s="422" t="s">
        <v>1953</v>
      </c>
      <c r="V4162" s="422" t="s">
        <v>2813</v>
      </c>
    </row>
    <row r="4163" spans="1:22" ht="15.75" thickBot="1" x14ac:dyDescent="0.3">
      <c r="A4163" s="422" t="s">
        <v>4583</v>
      </c>
      <c r="B4163" s="422" t="s">
        <v>4583</v>
      </c>
      <c r="C4163" s="424" t="str">
        <f t="shared" si="166"/>
        <v>EVA - Transportes, S.A.</v>
      </c>
      <c r="D4163" t="s">
        <v>629</v>
      </c>
      <c r="F4163" s="432" t="s">
        <v>620</v>
      </c>
      <c r="G4163" s="89">
        <v>2008</v>
      </c>
      <c r="H4163" s="313" t="s">
        <v>731</v>
      </c>
      <c r="I4163" s="311" t="str">
        <f t="shared" si="167"/>
        <v>Pesado de Passageiros M3:  : Gasóleo : E4</v>
      </c>
      <c r="J4163">
        <v>55</v>
      </c>
      <c r="K4163" s="422">
        <v>2023</v>
      </c>
      <c r="L4163" s="427">
        <v>16863.090713284619</v>
      </c>
      <c r="M4163" s="427" t="s">
        <v>630</v>
      </c>
      <c r="N4163" s="434">
        <v>44953</v>
      </c>
      <c r="O4163" s="436">
        <f t="shared" si="168"/>
        <v>2472415</v>
      </c>
      <c r="P4163" s="435">
        <v>39539</v>
      </c>
      <c r="Q4163" s="427" t="s">
        <v>47</v>
      </c>
      <c r="R4163" s="422" t="s">
        <v>1869</v>
      </c>
      <c r="S4163" s="422" t="s">
        <v>1861</v>
      </c>
      <c r="T4163" s="427" t="s">
        <v>4929</v>
      </c>
      <c r="U4163" s="422" t="s">
        <v>1953</v>
      </c>
      <c r="V4163" s="422" t="s">
        <v>2813</v>
      </c>
    </row>
    <row r="4164" spans="1:22" ht="15.75" thickBot="1" x14ac:dyDescent="0.3">
      <c r="A4164" s="422" t="s">
        <v>4583</v>
      </c>
      <c r="B4164" s="422" t="s">
        <v>4583</v>
      </c>
      <c r="C4164" s="424" t="str">
        <f t="shared" si="166"/>
        <v>EVA - Transportes, S.A.</v>
      </c>
      <c r="D4164" t="s">
        <v>629</v>
      </c>
      <c r="F4164" s="432" t="s">
        <v>620</v>
      </c>
      <c r="G4164" s="89">
        <v>2008</v>
      </c>
      <c r="H4164" s="313" t="s">
        <v>731</v>
      </c>
      <c r="I4164" s="311" t="str">
        <f t="shared" si="167"/>
        <v>Pesado de Passageiros M3:  : Gasóleo : E4</v>
      </c>
      <c r="J4164">
        <v>55</v>
      </c>
      <c r="K4164" s="422">
        <v>2023</v>
      </c>
      <c r="L4164" s="427">
        <v>18682.663373813673</v>
      </c>
      <c r="M4164" s="427" t="s">
        <v>630</v>
      </c>
      <c r="N4164" s="434">
        <v>54751</v>
      </c>
      <c r="O4164" s="436">
        <f t="shared" si="168"/>
        <v>3011305</v>
      </c>
      <c r="P4164" s="435">
        <v>39539</v>
      </c>
      <c r="Q4164" s="427" t="s">
        <v>47</v>
      </c>
      <c r="R4164" s="422" t="s">
        <v>1869</v>
      </c>
      <c r="S4164" s="422" t="s">
        <v>1861</v>
      </c>
      <c r="T4164" s="427" t="s">
        <v>4930</v>
      </c>
      <c r="U4164" s="422" t="s">
        <v>1953</v>
      </c>
      <c r="V4164" s="422" t="s">
        <v>2813</v>
      </c>
    </row>
    <row r="4165" spans="1:22" ht="15.75" thickBot="1" x14ac:dyDescent="0.3">
      <c r="A4165" s="422" t="s">
        <v>4583</v>
      </c>
      <c r="B4165" s="422" t="s">
        <v>4583</v>
      </c>
      <c r="C4165" s="424" t="str">
        <f t="shared" si="166"/>
        <v>EVA - Transportes, S.A.</v>
      </c>
      <c r="D4165" t="s">
        <v>629</v>
      </c>
      <c r="F4165" s="432" t="s">
        <v>620</v>
      </c>
      <c r="G4165" s="89">
        <v>2008</v>
      </c>
      <c r="H4165" s="313" t="s">
        <v>731</v>
      </c>
      <c r="I4165" s="311" t="str">
        <f t="shared" si="167"/>
        <v>Pesado de Passageiros M3:  : Gasóleo : E4</v>
      </c>
      <c r="J4165">
        <v>57</v>
      </c>
      <c r="K4165" s="422">
        <v>2023</v>
      </c>
      <c r="L4165" s="427">
        <v>28700.201098026602</v>
      </c>
      <c r="M4165" s="427" t="s">
        <v>630</v>
      </c>
      <c r="N4165" s="434">
        <v>88884</v>
      </c>
      <c r="O4165" s="436">
        <f t="shared" si="168"/>
        <v>5066388</v>
      </c>
      <c r="P4165" s="435">
        <v>39539</v>
      </c>
      <c r="Q4165" s="427" t="s">
        <v>47</v>
      </c>
      <c r="R4165" s="422" t="s">
        <v>1869</v>
      </c>
      <c r="S4165" s="422" t="s">
        <v>1861</v>
      </c>
      <c r="T4165" s="427" t="s">
        <v>4931</v>
      </c>
      <c r="U4165" s="422" t="s">
        <v>1953</v>
      </c>
      <c r="V4165" s="422" t="s">
        <v>2813</v>
      </c>
    </row>
    <row r="4166" spans="1:22" ht="15.75" thickBot="1" x14ac:dyDescent="0.3">
      <c r="A4166" s="422" t="s">
        <v>4583</v>
      </c>
      <c r="B4166" s="422" t="s">
        <v>4583</v>
      </c>
      <c r="C4166" s="424" t="str">
        <f t="shared" si="166"/>
        <v>EVA - Transportes, S.A.</v>
      </c>
      <c r="D4166" t="s">
        <v>629</v>
      </c>
      <c r="F4166" s="432" t="s">
        <v>620</v>
      </c>
      <c r="G4166" s="89">
        <v>2013</v>
      </c>
      <c r="H4166" s="313" t="s">
        <v>731</v>
      </c>
      <c r="I4166" s="311" t="str">
        <f t="shared" si="167"/>
        <v>Pesado de Passageiros M3:  : Gasóleo : E4</v>
      </c>
      <c r="J4166">
        <v>67</v>
      </c>
      <c r="K4166" s="422">
        <v>2023</v>
      </c>
      <c r="L4166" s="427">
        <v>38567.475377690287</v>
      </c>
      <c r="M4166" s="427" t="s">
        <v>630</v>
      </c>
      <c r="N4166" s="434">
        <v>121555</v>
      </c>
      <c r="O4166" s="436">
        <f t="shared" si="168"/>
        <v>8144185</v>
      </c>
      <c r="P4166" s="435">
        <v>41372</v>
      </c>
      <c r="Q4166" s="427" t="s">
        <v>47</v>
      </c>
      <c r="R4166" s="422" t="s">
        <v>1869</v>
      </c>
      <c r="S4166" s="422" t="s">
        <v>1861</v>
      </c>
      <c r="T4166" s="427" t="s">
        <v>4932</v>
      </c>
      <c r="U4166" s="422" t="s">
        <v>1953</v>
      </c>
      <c r="V4166" s="422" t="s">
        <v>2813</v>
      </c>
    </row>
    <row r="4167" spans="1:22" ht="15.75" thickBot="1" x14ac:dyDescent="0.3">
      <c r="A4167" s="422" t="s">
        <v>4583</v>
      </c>
      <c r="B4167" s="422" t="s">
        <v>4583</v>
      </c>
      <c r="C4167" s="424" t="str">
        <f t="shared" si="166"/>
        <v>EVA - Transportes, S.A.</v>
      </c>
      <c r="D4167" t="s">
        <v>629</v>
      </c>
      <c r="F4167" s="432" t="s">
        <v>620</v>
      </c>
      <c r="G4167" s="89">
        <v>2017</v>
      </c>
      <c r="H4167" s="313" t="s">
        <v>4831</v>
      </c>
      <c r="I4167" s="311" t="str">
        <f t="shared" si="167"/>
        <v>Pesado de Passageiros M3:  : Gasóleo : E7</v>
      </c>
      <c r="J4167">
        <v>59</v>
      </c>
      <c r="K4167" s="422">
        <v>2023</v>
      </c>
      <c r="L4167" s="427">
        <v>36690.578534407839</v>
      </c>
      <c r="M4167" s="427" t="s">
        <v>630</v>
      </c>
      <c r="N4167" s="434">
        <v>131192</v>
      </c>
      <c r="O4167" s="436">
        <f t="shared" si="168"/>
        <v>7740328</v>
      </c>
      <c r="P4167" s="435">
        <v>42926</v>
      </c>
      <c r="Q4167" s="427" t="s">
        <v>47</v>
      </c>
      <c r="R4167" s="422" t="s">
        <v>1869</v>
      </c>
      <c r="S4167" s="422" t="s">
        <v>1861</v>
      </c>
      <c r="T4167" s="427" t="s">
        <v>4933</v>
      </c>
      <c r="U4167" s="422" t="s">
        <v>1953</v>
      </c>
      <c r="V4167" s="422" t="s">
        <v>2813</v>
      </c>
    </row>
    <row r="4168" spans="1:22" ht="15.75" thickBot="1" x14ac:dyDescent="0.3">
      <c r="A4168" s="422" t="s">
        <v>4583</v>
      </c>
      <c r="B4168" s="422" t="s">
        <v>4583</v>
      </c>
      <c r="C4168" s="424" t="str">
        <f t="shared" si="166"/>
        <v>EVA - Transportes, S.A.</v>
      </c>
      <c r="D4168" t="s">
        <v>629</v>
      </c>
      <c r="F4168" s="432" t="s">
        <v>620</v>
      </c>
      <c r="G4168" s="89">
        <v>2009</v>
      </c>
      <c r="H4168" s="313" t="s">
        <v>731</v>
      </c>
      <c r="I4168" s="311" t="str">
        <f t="shared" si="167"/>
        <v>Pesado de Passageiros M3:  : Gasóleo : E4</v>
      </c>
      <c r="J4168">
        <v>57</v>
      </c>
      <c r="K4168" s="422">
        <v>2023</v>
      </c>
      <c r="L4168" s="427">
        <v>19482.882334019956</v>
      </c>
      <c r="M4168" s="427" t="s">
        <v>630</v>
      </c>
      <c r="N4168" s="434">
        <v>55169</v>
      </c>
      <c r="O4168" s="436">
        <f t="shared" si="168"/>
        <v>3144633</v>
      </c>
      <c r="P4168" s="435">
        <v>39819</v>
      </c>
      <c r="Q4168" s="427" t="s">
        <v>47</v>
      </c>
      <c r="R4168" s="422" t="s">
        <v>1869</v>
      </c>
      <c r="S4168" s="422" t="s">
        <v>1861</v>
      </c>
      <c r="T4168" s="427" t="s">
        <v>4934</v>
      </c>
      <c r="U4168" s="422" t="s">
        <v>1953</v>
      </c>
      <c r="V4168" s="422" t="s">
        <v>2813</v>
      </c>
    </row>
    <row r="4169" spans="1:22" ht="15.75" thickBot="1" x14ac:dyDescent="0.3">
      <c r="A4169" s="422" t="s">
        <v>4583</v>
      </c>
      <c r="B4169" s="422" t="s">
        <v>4583</v>
      </c>
      <c r="C4169" s="424" t="str">
        <f t="shared" si="166"/>
        <v>EVA - Transportes, S.A.</v>
      </c>
      <c r="D4169" t="s">
        <v>629</v>
      </c>
      <c r="F4169" s="432" t="s">
        <v>620</v>
      </c>
      <c r="G4169" s="89">
        <v>2009</v>
      </c>
      <c r="H4169" s="313" t="s">
        <v>731</v>
      </c>
      <c r="I4169" s="311" t="str">
        <f t="shared" si="167"/>
        <v>Pesado de Passageiros M3:  : Gasóleo : E4</v>
      </c>
      <c r="J4169">
        <v>57</v>
      </c>
      <c r="K4169" s="422">
        <v>2023</v>
      </c>
      <c r="L4169" s="427">
        <v>26273.54703191137</v>
      </c>
      <c r="M4169" s="427" t="s">
        <v>630</v>
      </c>
      <c r="N4169" s="434">
        <v>79401</v>
      </c>
      <c r="O4169" s="436">
        <f t="shared" si="168"/>
        <v>4525857</v>
      </c>
      <c r="P4169" s="435">
        <v>39819</v>
      </c>
      <c r="Q4169" s="427" t="s">
        <v>47</v>
      </c>
      <c r="R4169" s="422" t="s">
        <v>1869</v>
      </c>
      <c r="S4169" s="422" t="s">
        <v>1861</v>
      </c>
      <c r="T4169" s="427" t="s">
        <v>4935</v>
      </c>
      <c r="U4169" s="422" t="s">
        <v>1953</v>
      </c>
      <c r="V4169" s="422" t="s">
        <v>2813</v>
      </c>
    </row>
    <row r="4170" spans="1:22" ht="15.75" thickBot="1" x14ac:dyDescent="0.3">
      <c r="A4170" s="422" t="s">
        <v>4583</v>
      </c>
      <c r="B4170" s="422" t="s">
        <v>4583</v>
      </c>
      <c r="C4170" s="424" t="str">
        <f t="shared" si="166"/>
        <v>EVA - Transportes, S.A.</v>
      </c>
      <c r="D4170" t="s">
        <v>629</v>
      </c>
      <c r="F4170" s="432" t="s">
        <v>620</v>
      </c>
      <c r="G4170" s="89">
        <v>2009</v>
      </c>
      <c r="H4170" s="313" t="s">
        <v>731</v>
      </c>
      <c r="I4170" s="311" t="str">
        <f t="shared" si="167"/>
        <v>Pesado de Passageiros M3:  : Gasóleo : E4</v>
      </c>
      <c r="J4170">
        <v>57</v>
      </c>
      <c r="K4170" s="422">
        <v>2023</v>
      </c>
      <c r="L4170" s="427">
        <v>21932.581030059628</v>
      </c>
      <c r="M4170" s="427" t="s">
        <v>630</v>
      </c>
      <c r="N4170" s="434">
        <v>57809</v>
      </c>
      <c r="O4170" s="436">
        <f t="shared" si="168"/>
        <v>3295113</v>
      </c>
      <c r="P4170" s="435">
        <v>39819</v>
      </c>
      <c r="Q4170" s="427" t="s">
        <v>47</v>
      </c>
      <c r="R4170" s="422" t="s">
        <v>1869</v>
      </c>
      <c r="S4170" s="422" t="s">
        <v>1861</v>
      </c>
      <c r="T4170" s="427" t="s">
        <v>4936</v>
      </c>
      <c r="U4170" s="422" t="s">
        <v>1953</v>
      </c>
      <c r="V4170" s="422" t="s">
        <v>2813</v>
      </c>
    </row>
    <row r="4171" spans="1:22" ht="15.75" thickBot="1" x14ac:dyDescent="0.3">
      <c r="A4171" s="422" t="s">
        <v>4583</v>
      </c>
      <c r="B4171" s="422" t="s">
        <v>4583</v>
      </c>
      <c r="C4171" s="424" t="str">
        <f t="shared" si="166"/>
        <v>EVA - Transportes, S.A.</v>
      </c>
      <c r="D4171" t="s">
        <v>629</v>
      </c>
      <c r="F4171" s="432" t="s">
        <v>620</v>
      </c>
      <c r="G4171" s="89">
        <v>2009</v>
      </c>
      <c r="H4171" s="313" t="s">
        <v>731</v>
      </c>
      <c r="I4171" s="311" t="str">
        <f t="shared" si="167"/>
        <v>Pesado de Passageiros M3:  : Gasóleo : E4</v>
      </c>
      <c r="J4171">
        <v>57</v>
      </c>
      <c r="K4171" s="422">
        <v>2023</v>
      </c>
      <c r="L4171" s="427">
        <v>26051.720518772257</v>
      </c>
      <c r="M4171" s="427" t="s">
        <v>630</v>
      </c>
      <c r="N4171" s="434">
        <v>77403</v>
      </c>
      <c r="O4171" s="436">
        <f t="shared" si="168"/>
        <v>4411971</v>
      </c>
      <c r="P4171" s="435">
        <v>39819</v>
      </c>
      <c r="Q4171" s="427" t="s">
        <v>47</v>
      </c>
      <c r="R4171" s="422" t="s">
        <v>1869</v>
      </c>
      <c r="S4171" s="422" t="s">
        <v>1861</v>
      </c>
      <c r="T4171" s="427" t="s">
        <v>4937</v>
      </c>
      <c r="U4171" s="422" t="s">
        <v>1953</v>
      </c>
      <c r="V4171" s="422" t="s">
        <v>2813</v>
      </c>
    </row>
    <row r="4172" spans="1:22" ht="15.75" thickBot="1" x14ac:dyDescent="0.3">
      <c r="A4172" s="422" t="s">
        <v>4583</v>
      </c>
      <c r="B4172" s="422" t="s">
        <v>4583</v>
      </c>
      <c r="C4172" s="424" t="str">
        <f t="shared" si="166"/>
        <v>EVA - Transportes, S.A.</v>
      </c>
      <c r="D4172" t="s">
        <v>629</v>
      </c>
      <c r="F4172" s="432" t="s">
        <v>620</v>
      </c>
      <c r="G4172" s="89">
        <v>2009</v>
      </c>
      <c r="H4172" s="313" t="s">
        <v>731</v>
      </c>
      <c r="I4172" s="311" t="str">
        <f t="shared" si="167"/>
        <v>Pesado de Passageiros M3:  : Gasóleo : E4</v>
      </c>
      <c r="J4172">
        <v>57</v>
      </c>
      <c r="K4172" s="422">
        <v>2023</v>
      </c>
      <c r="L4172" s="427">
        <v>25067.388271495678</v>
      </c>
      <c r="M4172" s="427" t="s">
        <v>630</v>
      </c>
      <c r="N4172" s="434">
        <v>73517</v>
      </c>
      <c r="O4172" s="436">
        <f t="shared" si="168"/>
        <v>4190469</v>
      </c>
      <c r="P4172" s="435">
        <v>39819</v>
      </c>
      <c r="Q4172" s="427" t="s">
        <v>47</v>
      </c>
      <c r="R4172" s="422" t="s">
        <v>1869</v>
      </c>
      <c r="S4172" s="422" t="s">
        <v>1861</v>
      </c>
      <c r="T4172" s="427" t="s">
        <v>4938</v>
      </c>
      <c r="U4172" s="422" t="s">
        <v>1953</v>
      </c>
      <c r="V4172" s="422" t="s">
        <v>2813</v>
      </c>
    </row>
    <row r="4173" spans="1:22" ht="15.75" thickBot="1" x14ac:dyDescent="0.3">
      <c r="A4173" s="422" t="s">
        <v>4583</v>
      </c>
      <c r="B4173" s="422" t="s">
        <v>4583</v>
      </c>
      <c r="C4173" s="424" t="str">
        <f t="shared" si="166"/>
        <v>EVA - Transportes, S.A.</v>
      </c>
      <c r="D4173" t="s">
        <v>629</v>
      </c>
      <c r="F4173" s="432" t="s">
        <v>620</v>
      </c>
      <c r="G4173" s="89">
        <v>2014</v>
      </c>
      <c r="H4173" s="313" t="s">
        <v>731</v>
      </c>
      <c r="I4173" s="311" t="str">
        <f t="shared" si="167"/>
        <v>Pesado de Passageiros M3:  : Gasóleo : E4</v>
      </c>
      <c r="J4173">
        <v>55</v>
      </c>
      <c r="K4173" s="422">
        <v>2023</v>
      </c>
      <c r="L4173" s="427">
        <v>41892.511171271806</v>
      </c>
      <c r="M4173" s="427" t="s">
        <v>630</v>
      </c>
      <c r="N4173" s="434">
        <v>146943</v>
      </c>
      <c r="O4173" s="436">
        <f t="shared" si="168"/>
        <v>8081865</v>
      </c>
      <c r="P4173" s="435">
        <v>41642</v>
      </c>
      <c r="Q4173" s="427" t="s">
        <v>47</v>
      </c>
      <c r="R4173" s="422" t="s">
        <v>1869</v>
      </c>
      <c r="S4173" s="422" t="s">
        <v>1861</v>
      </c>
      <c r="T4173" s="427" t="s">
        <v>4939</v>
      </c>
      <c r="U4173" s="422" t="s">
        <v>1953</v>
      </c>
      <c r="V4173" s="422" t="s">
        <v>2813</v>
      </c>
    </row>
    <row r="4174" spans="1:22" ht="15.75" thickBot="1" x14ac:dyDescent="0.3">
      <c r="A4174" s="422" t="s">
        <v>4583</v>
      </c>
      <c r="B4174" s="422" t="s">
        <v>4583</v>
      </c>
      <c r="C4174" s="424" t="str">
        <f t="shared" si="166"/>
        <v>EVA - Transportes, S.A.</v>
      </c>
      <c r="D4174" t="s">
        <v>629</v>
      </c>
      <c r="F4174" s="432" t="s">
        <v>620</v>
      </c>
      <c r="G4174" s="89">
        <v>2018</v>
      </c>
      <c r="H4174" s="313" t="s">
        <v>4831</v>
      </c>
      <c r="I4174" s="311" t="str">
        <f t="shared" si="167"/>
        <v>Pesado de Passageiros M3:  : Gasóleo : E7</v>
      </c>
      <c r="J4174">
        <v>55</v>
      </c>
      <c r="K4174" s="422">
        <v>2023</v>
      </c>
      <c r="L4174" s="427">
        <v>21392.533440050094</v>
      </c>
      <c r="M4174" s="427" t="s">
        <v>630</v>
      </c>
      <c r="N4174" s="434">
        <v>80768</v>
      </c>
      <c r="O4174" s="436">
        <f t="shared" si="168"/>
        <v>4442240</v>
      </c>
      <c r="P4174" s="435">
        <v>43339</v>
      </c>
      <c r="Q4174" s="427" t="s">
        <v>47</v>
      </c>
      <c r="R4174" s="422" t="s">
        <v>1869</v>
      </c>
      <c r="S4174" s="422" t="s">
        <v>1861</v>
      </c>
      <c r="T4174" s="427" t="s">
        <v>4940</v>
      </c>
      <c r="U4174" s="422" t="s">
        <v>1953</v>
      </c>
      <c r="V4174" s="422" t="s">
        <v>2813</v>
      </c>
    </row>
    <row r="4175" spans="1:22" ht="15.75" thickBot="1" x14ac:dyDescent="0.3">
      <c r="A4175" s="422" t="s">
        <v>4583</v>
      </c>
      <c r="B4175" s="422" t="s">
        <v>4583</v>
      </c>
      <c r="C4175" s="424" t="str">
        <f t="shared" si="166"/>
        <v>EVA - Transportes, S.A.</v>
      </c>
      <c r="D4175" t="s">
        <v>629</v>
      </c>
      <c r="F4175" s="432" t="s">
        <v>620</v>
      </c>
      <c r="G4175" s="89">
        <v>2018</v>
      </c>
      <c r="H4175" s="313" t="s">
        <v>4831</v>
      </c>
      <c r="I4175" s="311" t="str">
        <f t="shared" si="167"/>
        <v>Pesado de Passageiros M3:  : Gasóleo : E7</v>
      </c>
      <c r="J4175">
        <v>55</v>
      </c>
      <c r="K4175" s="422">
        <v>2023</v>
      </c>
      <c r="L4175" s="427">
        <v>24322.286954123741</v>
      </c>
      <c r="M4175" s="427" t="s">
        <v>630</v>
      </c>
      <c r="N4175" s="434">
        <v>94743</v>
      </c>
      <c r="O4175" s="436">
        <f t="shared" si="168"/>
        <v>5210865</v>
      </c>
      <c r="P4175" s="435">
        <v>43339</v>
      </c>
      <c r="Q4175" s="427" t="s">
        <v>47</v>
      </c>
      <c r="R4175" s="422" t="s">
        <v>1869</v>
      </c>
      <c r="S4175" s="422" t="s">
        <v>1861</v>
      </c>
      <c r="T4175" s="427" t="s">
        <v>4941</v>
      </c>
      <c r="U4175" s="422" t="s">
        <v>1953</v>
      </c>
      <c r="V4175" s="422" t="s">
        <v>2813</v>
      </c>
    </row>
    <row r="4176" spans="1:22" ht="15.75" thickBot="1" x14ac:dyDescent="0.3">
      <c r="A4176" s="422" t="s">
        <v>4583</v>
      </c>
      <c r="B4176" s="422" t="s">
        <v>4583</v>
      </c>
      <c r="C4176" s="424" t="str">
        <f t="shared" si="166"/>
        <v>EVA - Transportes, S.A.</v>
      </c>
      <c r="D4176" t="s">
        <v>629</v>
      </c>
      <c r="F4176" s="432" t="s">
        <v>620</v>
      </c>
      <c r="G4176" s="89">
        <v>2018</v>
      </c>
      <c r="H4176" s="313" t="s">
        <v>4831</v>
      </c>
      <c r="I4176" s="311" t="str">
        <f t="shared" si="167"/>
        <v>Pesado de Passageiros M3:  : Gasóleo : E7</v>
      </c>
      <c r="J4176">
        <v>55</v>
      </c>
      <c r="K4176" s="422">
        <v>2023</v>
      </c>
      <c r="L4176" s="427">
        <v>25203.924112450652</v>
      </c>
      <c r="M4176" s="427" t="s">
        <v>630</v>
      </c>
      <c r="N4176" s="434">
        <v>92904</v>
      </c>
      <c r="O4176" s="436">
        <f t="shared" si="168"/>
        <v>5109720</v>
      </c>
      <c r="P4176" s="435">
        <v>43339</v>
      </c>
      <c r="Q4176" s="427" t="s">
        <v>47</v>
      </c>
      <c r="R4176" s="422" t="s">
        <v>1869</v>
      </c>
      <c r="S4176" s="422" t="s">
        <v>1861</v>
      </c>
      <c r="T4176" s="427" t="s">
        <v>4942</v>
      </c>
      <c r="U4176" s="422" t="s">
        <v>1953</v>
      </c>
      <c r="V4176" s="422" t="s">
        <v>2813</v>
      </c>
    </row>
    <row r="4177" spans="1:22" ht="15.75" thickBot="1" x14ac:dyDescent="0.3">
      <c r="A4177" s="422" t="s">
        <v>4583</v>
      </c>
      <c r="B4177" s="422" t="s">
        <v>4583</v>
      </c>
      <c r="C4177" s="424" t="str">
        <f t="shared" si="166"/>
        <v>EVA - Transportes, S.A.</v>
      </c>
      <c r="D4177" t="s">
        <v>629</v>
      </c>
      <c r="F4177" s="432" t="s">
        <v>620</v>
      </c>
      <c r="G4177" s="89">
        <v>2009</v>
      </c>
      <c r="H4177" s="313" t="s">
        <v>733</v>
      </c>
      <c r="I4177" s="311" t="str">
        <f t="shared" si="167"/>
        <v>Pesado de Passageiros M3:  : Gasóleo : E6</v>
      </c>
      <c r="J4177">
        <v>56</v>
      </c>
      <c r="K4177" s="422">
        <v>2023</v>
      </c>
      <c r="L4177" s="427">
        <v>22956.687844701744</v>
      </c>
      <c r="M4177" s="427" t="s">
        <v>630</v>
      </c>
      <c r="N4177" s="434">
        <v>68476</v>
      </c>
      <c r="O4177" s="436">
        <f t="shared" si="168"/>
        <v>3834656</v>
      </c>
      <c r="P4177" s="435">
        <v>39819</v>
      </c>
      <c r="Q4177" s="427" t="s">
        <v>47</v>
      </c>
      <c r="R4177" s="422" t="s">
        <v>1869</v>
      </c>
      <c r="S4177" s="422" t="s">
        <v>1861</v>
      </c>
      <c r="T4177" s="427" t="s">
        <v>4943</v>
      </c>
      <c r="U4177" s="422" t="s">
        <v>1953</v>
      </c>
      <c r="V4177" s="422" t="s">
        <v>2813</v>
      </c>
    </row>
    <row r="4178" spans="1:22" ht="15.75" thickBot="1" x14ac:dyDescent="0.3">
      <c r="A4178" s="422" t="s">
        <v>4583</v>
      </c>
      <c r="B4178" s="422" t="s">
        <v>4583</v>
      </c>
      <c r="C4178" s="424" t="str">
        <f t="shared" si="166"/>
        <v>EVA - Transportes, S.A.</v>
      </c>
      <c r="D4178" t="s">
        <v>629</v>
      </c>
      <c r="F4178" s="432" t="s">
        <v>620</v>
      </c>
      <c r="G4178" s="89">
        <v>2008</v>
      </c>
      <c r="H4178" s="313" t="s">
        <v>733</v>
      </c>
      <c r="I4178" s="311" t="str">
        <f t="shared" si="167"/>
        <v>Pesado de Passageiros M3:  : Gasóleo : E6</v>
      </c>
      <c r="J4178">
        <v>58</v>
      </c>
      <c r="K4178" s="422">
        <v>2023</v>
      </c>
      <c r="L4178" s="427">
        <v>48877.515527035852</v>
      </c>
      <c r="M4178" s="427" t="s">
        <v>630</v>
      </c>
      <c r="N4178" s="434">
        <v>165119</v>
      </c>
      <c r="O4178" s="436">
        <f t="shared" si="168"/>
        <v>9576902</v>
      </c>
      <c r="P4178" s="435">
        <v>39555</v>
      </c>
      <c r="Q4178" s="427" t="s">
        <v>47</v>
      </c>
      <c r="R4178" s="422" t="s">
        <v>1869</v>
      </c>
      <c r="S4178" s="422" t="s">
        <v>1861</v>
      </c>
      <c r="T4178" s="427" t="s">
        <v>4944</v>
      </c>
      <c r="U4178" s="422" t="s">
        <v>1953</v>
      </c>
      <c r="V4178" s="422" t="s">
        <v>2813</v>
      </c>
    </row>
    <row r="4179" spans="1:22" ht="15.75" thickBot="1" x14ac:dyDescent="0.3">
      <c r="A4179" s="422" t="s">
        <v>4583</v>
      </c>
      <c r="B4179" s="422" t="s">
        <v>4583</v>
      </c>
      <c r="C4179" s="424" t="str">
        <f t="shared" si="166"/>
        <v>EVA - Transportes, S.A.</v>
      </c>
      <c r="D4179" t="s">
        <v>629</v>
      </c>
      <c r="F4179" s="432" t="s">
        <v>620</v>
      </c>
      <c r="G4179" s="89">
        <v>2008</v>
      </c>
      <c r="H4179" s="313" t="s">
        <v>733</v>
      </c>
      <c r="I4179" s="311" t="str">
        <f t="shared" si="167"/>
        <v>Pesado de Passageiros M3:  : Gasóleo : E6</v>
      </c>
      <c r="J4179">
        <v>55</v>
      </c>
      <c r="K4179" s="422">
        <v>2023</v>
      </c>
      <c r="L4179" s="427">
        <v>28624.723689117822</v>
      </c>
      <c r="M4179" s="427" t="s">
        <v>630</v>
      </c>
      <c r="N4179" s="434">
        <v>97979</v>
      </c>
      <c r="O4179" s="436">
        <f t="shared" si="168"/>
        <v>5388845</v>
      </c>
      <c r="P4179" s="435">
        <v>39520</v>
      </c>
      <c r="Q4179" s="427" t="s">
        <v>47</v>
      </c>
      <c r="R4179" s="422" t="s">
        <v>1869</v>
      </c>
      <c r="S4179" s="422" t="s">
        <v>1861</v>
      </c>
      <c r="T4179" s="427" t="s">
        <v>4945</v>
      </c>
      <c r="U4179" s="422" t="s">
        <v>1953</v>
      </c>
      <c r="V4179" s="422" t="s">
        <v>2813</v>
      </c>
    </row>
    <row r="4180" spans="1:22" ht="15.75" thickBot="1" x14ac:dyDescent="0.3">
      <c r="A4180" s="422" t="s">
        <v>4583</v>
      </c>
      <c r="B4180" s="422" t="s">
        <v>4583</v>
      </c>
      <c r="C4180" s="424" t="str">
        <f t="shared" si="166"/>
        <v>EVA - Transportes, S.A.</v>
      </c>
      <c r="D4180" t="s">
        <v>629</v>
      </c>
      <c r="F4180" s="432" t="s">
        <v>620</v>
      </c>
      <c r="G4180" s="89">
        <v>2008</v>
      </c>
      <c r="H4180" s="313" t="s">
        <v>733</v>
      </c>
      <c r="I4180" s="311" t="str">
        <f t="shared" si="167"/>
        <v>Pesado de Passageiros M3:  : Gasóleo : E6</v>
      </c>
      <c r="J4180">
        <v>56</v>
      </c>
      <c r="K4180" s="422">
        <v>2023</v>
      </c>
      <c r="L4180" s="427">
        <v>29199.461284405581</v>
      </c>
      <c r="M4180" s="427" t="s">
        <v>630</v>
      </c>
      <c r="N4180" s="434">
        <v>102004</v>
      </c>
      <c r="O4180" s="436">
        <f t="shared" si="168"/>
        <v>5712224</v>
      </c>
      <c r="P4180" s="435">
        <v>39520</v>
      </c>
      <c r="Q4180" s="427" t="s">
        <v>47</v>
      </c>
      <c r="R4180" s="422" t="s">
        <v>1869</v>
      </c>
      <c r="S4180" s="422" t="s">
        <v>1861</v>
      </c>
      <c r="T4180" s="427" t="s">
        <v>4946</v>
      </c>
      <c r="U4180" s="422" t="s">
        <v>1953</v>
      </c>
      <c r="V4180" s="422" t="s">
        <v>2813</v>
      </c>
    </row>
    <row r="4181" spans="1:22" ht="15.75" thickBot="1" x14ac:dyDescent="0.3">
      <c r="A4181" s="422" t="s">
        <v>4583</v>
      </c>
      <c r="B4181" s="422" t="s">
        <v>4583</v>
      </c>
      <c r="C4181" s="424" t="str">
        <f t="shared" si="166"/>
        <v>EVA - Transportes, S.A.</v>
      </c>
      <c r="D4181" t="s">
        <v>629</v>
      </c>
      <c r="F4181" s="432" t="s">
        <v>620</v>
      </c>
      <c r="G4181" s="89">
        <v>2011</v>
      </c>
      <c r="H4181" s="313" t="s">
        <v>733</v>
      </c>
      <c r="I4181" s="311" t="str">
        <f t="shared" si="167"/>
        <v>Pesado de Passageiros M3:  : Gasóleo : E6</v>
      </c>
      <c r="J4181">
        <v>56</v>
      </c>
      <c r="K4181" s="422">
        <v>2023</v>
      </c>
      <c r="L4181" s="427">
        <v>34483.71494752181</v>
      </c>
      <c r="M4181" s="427" t="s">
        <v>630</v>
      </c>
      <c r="N4181" s="434">
        <v>118208</v>
      </c>
      <c r="O4181" s="436">
        <f t="shared" si="168"/>
        <v>6619648</v>
      </c>
      <c r="P4181" s="435">
        <v>40546</v>
      </c>
      <c r="Q4181" s="427" t="s">
        <v>47</v>
      </c>
      <c r="R4181" s="422" t="s">
        <v>1869</v>
      </c>
      <c r="S4181" s="422" t="s">
        <v>1861</v>
      </c>
      <c r="T4181" s="427" t="s">
        <v>4947</v>
      </c>
      <c r="U4181" s="422" t="s">
        <v>1953</v>
      </c>
      <c r="V4181" s="422" t="s">
        <v>2813</v>
      </c>
    </row>
    <row r="4182" spans="1:22" ht="15.75" thickBot="1" x14ac:dyDescent="0.3">
      <c r="A4182" s="422" t="s">
        <v>4583</v>
      </c>
      <c r="B4182" s="422" t="s">
        <v>4583</v>
      </c>
      <c r="C4182" s="424" t="str">
        <f t="shared" si="166"/>
        <v>EVA - Transportes, S.A.</v>
      </c>
      <c r="D4182" t="s">
        <v>629</v>
      </c>
      <c r="F4182" s="432" t="s">
        <v>620</v>
      </c>
      <c r="G4182" s="89">
        <v>2011</v>
      </c>
      <c r="H4182" s="313" t="s">
        <v>733</v>
      </c>
      <c r="I4182" s="311" t="str">
        <f t="shared" si="167"/>
        <v>Pesado de Passageiros M3:  : Gasóleo : E6</v>
      </c>
      <c r="J4182">
        <v>56</v>
      </c>
      <c r="K4182" s="422">
        <v>2023</v>
      </c>
      <c r="L4182" s="427">
        <v>32699.045609625606</v>
      </c>
      <c r="M4182" s="427" t="s">
        <v>630</v>
      </c>
      <c r="N4182" s="434">
        <v>111806</v>
      </c>
      <c r="O4182" s="436">
        <f t="shared" si="168"/>
        <v>6261136</v>
      </c>
      <c r="P4182" s="435">
        <v>40546</v>
      </c>
      <c r="Q4182" s="427" t="s">
        <v>47</v>
      </c>
      <c r="R4182" s="422" t="s">
        <v>1869</v>
      </c>
      <c r="S4182" s="422" t="s">
        <v>1861</v>
      </c>
      <c r="T4182" s="427" t="s">
        <v>4948</v>
      </c>
      <c r="U4182" s="422" t="s">
        <v>1953</v>
      </c>
      <c r="V4182" s="422" t="s">
        <v>2813</v>
      </c>
    </row>
    <row r="4183" spans="1:22" ht="15.75" thickBot="1" x14ac:dyDescent="0.3">
      <c r="A4183" s="422" t="s">
        <v>4583</v>
      </c>
      <c r="B4183" s="422" t="s">
        <v>4583</v>
      </c>
      <c r="C4183" s="424" t="str">
        <f t="shared" si="166"/>
        <v>EVA - Transportes, S.A.</v>
      </c>
      <c r="D4183" t="s">
        <v>629</v>
      </c>
      <c r="F4183" s="432" t="s">
        <v>620</v>
      </c>
      <c r="G4183" s="89">
        <v>2011</v>
      </c>
      <c r="H4183" s="313" t="s">
        <v>733</v>
      </c>
      <c r="I4183" s="311" t="str">
        <f t="shared" si="167"/>
        <v>Pesado de Passageiros M3:  : Gasóleo : E6</v>
      </c>
      <c r="J4183">
        <v>56</v>
      </c>
      <c r="K4183" s="422">
        <v>2023</v>
      </c>
      <c r="L4183" s="427">
        <v>27083.955695849596</v>
      </c>
      <c r="M4183" s="427" t="s">
        <v>630</v>
      </c>
      <c r="N4183" s="434">
        <v>92229</v>
      </c>
      <c r="O4183" s="436">
        <f t="shared" si="168"/>
        <v>5164824</v>
      </c>
      <c r="P4183" s="435">
        <v>40660</v>
      </c>
      <c r="Q4183" s="427" t="s">
        <v>47</v>
      </c>
      <c r="R4183" s="422" t="s">
        <v>1869</v>
      </c>
      <c r="S4183" s="422" t="s">
        <v>1861</v>
      </c>
      <c r="T4183" s="427" t="s">
        <v>4949</v>
      </c>
      <c r="U4183" s="422" t="s">
        <v>1953</v>
      </c>
      <c r="V4183" s="422" t="s">
        <v>2813</v>
      </c>
    </row>
    <row r="4184" spans="1:22" ht="15.75" thickBot="1" x14ac:dyDescent="0.3">
      <c r="A4184" s="422" t="s">
        <v>4583</v>
      </c>
      <c r="B4184" s="422" t="s">
        <v>4583</v>
      </c>
      <c r="C4184" s="424" t="str">
        <f t="shared" ref="C4184:C4247" si="169">IF(A4184=B4184,B4184,RIGHT(A4184,LEN(A4184)-LEN(B4184)-3))</f>
        <v>EVA - Transportes, S.A.</v>
      </c>
      <c r="D4184" t="s">
        <v>629</v>
      </c>
      <c r="F4184" s="432" t="s">
        <v>620</v>
      </c>
      <c r="G4184" s="89">
        <v>2011</v>
      </c>
      <c r="H4184" s="313" t="s">
        <v>733</v>
      </c>
      <c r="I4184" s="311" t="str">
        <f t="shared" si="167"/>
        <v>Pesado de Passageiros M3:  : Gasóleo : E6</v>
      </c>
      <c r="J4184">
        <v>56</v>
      </c>
      <c r="K4184" s="422">
        <v>2023</v>
      </c>
      <c r="L4184" s="427">
        <v>31585.687807711609</v>
      </c>
      <c r="M4184" s="427" t="s">
        <v>630</v>
      </c>
      <c r="N4184" s="434">
        <v>104825</v>
      </c>
      <c r="O4184" s="436">
        <f t="shared" si="168"/>
        <v>5870200</v>
      </c>
      <c r="P4184" s="435">
        <v>40660</v>
      </c>
      <c r="Q4184" s="427" t="s">
        <v>47</v>
      </c>
      <c r="R4184" s="422" t="s">
        <v>1869</v>
      </c>
      <c r="S4184" s="422" t="s">
        <v>1861</v>
      </c>
      <c r="T4184" s="427" t="s">
        <v>4950</v>
      </c>
      <c r="U4184" s="422" t="s">
        <v>1953</v>
      </c>
      <c r="V4184" s="422" t="s">
        <v>2813</v>
      </c>
    </row>
    <row r="4185" spans="1:22" ht="15.75" thickBot="1" x14ac:dyDescent="0.3">
      <c r="A4185" s="422" t="s">
        <v>4583</v>
      </c>
      <c r="B4185" s="422" t="s">
        <v>4583</v>
      </c>
      <c r="C4185" s="424" t="str">
        <f t="shared" si="169"/>
        <v>EVA - Transportes, S.A.</v>
      </c>
      <c r="D4185" t="s">
        <v>629</v>
      </c>
      <c r="F4185" s="432" t="s">
        <v>620</v>
      </c>
      <c r="G4185" s="89">
        <v>2011</v>
      </c>
      <c r="H4185" s="313" t="s">
        <v>733</v>
      </c>
      <c r="I4185" s="311" t="str">
        <f t="shared" si="167"/>
        <v>Pesado de Passageiros M3:  : Gasóleo : E6</v>
      </c>
      <c r="J4185">
        <v>56</v>
      </c>
      <c r="K4185" s="422">
        <v>2023</v>
      </c>
      <c r="L4185" s="427">
        <v>25734.780376565319</v>
      </c>
      <c r="M4185" s="427" t="s">
        <v>630</v>
      </c>
      <c r="N4185" s="434">
        <v>83596</v>
      </c>
      <c r="O4185" s="436">
        <f t="shared" si="168"/>
        <v>4681376</v>
      </c>
      <c r="P4185" s="435">
        <v>40660</v>
      </c>
      <c r="Q4185" s="427" t="s">
        <v>47</v>
      </c>
      <c r="R4185" s="422" t="s">
        <v>1869</v>
      </c>
      <c r="S4185" s="422" t="s">
        <v>1861</v>
      </c>
      <c r="T4185" s="427" t="s">
        <v>4951</v>
      </c>
      <c r="U4185" s="422" t="s">
        <v>1953</v>
      </c>
      <c r="V4185" s="422" t="s">
        <v>2813</v>
      </c>
    </row>
    <row r="4186" spans="1:22" ht="15.75" thickBot="1" x14ac:dyDescent="0.3">
      <c r="A4186" s="422" t="s">
        <v>4583</v>
      </c>
      <c r="B4186" s="422" t="s">
        <v>4583</v>
      </c>
      <c r="C4186" s="424" t="str">
        <f t="shared" si="169"/>
        <v>EVA - Transportes, S.A.</v>
      </c>
      <c r="D4186" t="s">
        <v>629</v>
      </c>
      <c r="F4186" s="432" t="s">
        <v>620</v>
      </c>
      <c r="G4186" s="89">
        <v>2012</v>
      </c>
      <c r="H4186" s="313" t="s">
        <v>733</v>
      </c>
      <c r="I4186" s="311" t="str">
        <f t="shared" si="167"/>
        <v>Pesado de Passageiros M3:  : Gasóleo : E6</v>
      </c>
      <c r="J4186">
        <v>56</v>
      </c>
      <c r="K4186" s="422">
        <v>2023</v>
      </c>
      <c r="L4186" s="427">
        <v>34746.735804397664</v>
      </c>
      <c r="M4186" s="427" t="s">
        <v>630</v>
      </c>
      <c r="N4186" s="434">
        <v>114786</v>
      </c>
      <c r="O4186" s="436">
        <f t="shared" si="168"/>
        <v>6428016</v>
      </c>
      <c r="P4186" s="435">
        <v>41012</v>
      </c>
      <c r="Q4186" s="427" t="s">
        <v>47</v>
      </c>
      <c r="R4186" s="422" t="s">
        <v>1869</v>
      </c>
      <c r="S4186" s="422" t="s">
        <v>1861</v>
      </c>
      <c r="T4186" s="427" t="s">
        <v>4952</v>
      </c>
      <c r="U4186" s="422" t="s">
        <v>1953</v>
      </c>
      <c r="V4186" s="422" t="s">
        <v>2813</v>
      </c>
    </row>
    <row r="4187" spans="1:22" ht="15.75" thickBot="1" x14ac:dyDescent="0.3">
      <c r="A4187" s="422" t="s">
        <v>4583</v>
      </c>
      <c r="B4187" s="422" t="s">
        <v>4583</v>
      </c>
      <c r="C4187" s="424" t="str">
        <f t="shared" si="169"/>
        <v>EVA - Transportes, S.A.</v>
      </c>
      <c r="D4187" t="s">
        <v>629</v>
      </c>
      <c r="F4187" s="432" t="s">
        <v>620</v>
      </c>
      <c r="G4187" s="89">
        <v>2009</v>
      </c>
      <c r="H4187" s="313" t="s">
        <v>731</v>
      </c>
      <c r="I4187" s="311" t="str">
        <f t="shared" si="167"/>
        <v>Pesado de Passageiros M3:  : Gasóleo : E4</v>
      </c>
      <c r="J4187">
        <v>61</v>
      </c>
      <c r="K4187" s="422">
        <v>2023</v>
      </c>
      <c r="L4187" s="427">
        <v>19613.997250175384</v>
      </c>
      <c r="M4187" s="427" t="s">
        <v>630</v>
      </c>
      <c r="N4187" s="434">
        <v>52808</v>
      </c>
      <c r="O4187" s="436">
        <f t="shared" si="168"/>
        <v>3221288</v>
      </c>
      <c r="P4187" s="435">
        <v>39819</v>
      </c>
      <c r="Q4187" s="427" t="s">
        <v>47</v>
      </c>
      <c r="R4187" s="422" t="s">
        <v>1869</v>
      </c>
      <c r="S4187" s="422" t="s">
        <v>1861</v>
      </c>
      <c r="T4187" s="427" t="s">
        <v>4953</v>
      </c>
      <c r="U4187" s="422" t="s">
        <v>1953</v>
      </c>
      <c r="V4187" s="422" t="s">
        <v>2813</v>
      </c>
    </row>
    <row r="4188" spans="1:22" ht="15.75" thickBot="1" x14ac:dyDescent="0.3">
      <c r="A4188" s="422" t="s">
        <v>4583</v>
      </c>
      <c r="B4188" s="422" t="s">
        <v>4583</v>
      </c>
      <c r="C4188" s="424" t="str">
        <f t="shared" si="169"/>
        <v>EVA - Transportes, S.A.</v>
      </c>
      <c r="D4188" t="s">
        <v>629</v>
      </c>
      <c r="F4188" s="432" t="s">
        <v>620</v>
      </c>
      <c r="G4188" s="89">
        <v>2011</v>
      </c>
      <c r="H4188" s="313" t="s">
        <v>731</v>
      </c>
      <c r="I4188" s="311" t="str">
        <f t="shared" si="167"/>
        <v>Pesado de Passageiros M3:  : Gasóleo : E4</v>
      </c>
      <c r="J4188">
        <v>67</v>
      </c>
      <c r="K4188" s="422">
        <v>2023</v>
      </c>
      <c r="L4188" s="427">
        <v>37661.104922082886</v>
      </c>
      <c r="M4188" s="427" t="s">
        <v>630</v>
      </c>
      <c r="N4188" s="434">
        <v>113198</v>
      </c>
      <c r="O4188" s="436">
        <f t="shared" si="168"/>
        <v>7584266</v>
      </c>
      <c r="P4188" s="435">
        <v>40641</v>
      </c>
      <c r="Q4188" s="427" t="s">
        <v>47</v>
      </c>
      <c r="R4188" s="422" t="s">
        <v>1869</v>
      </c>
      <c r="S4188" s="422" t="s">
        <v>1861</v>
      </c>
      <c r="T4188" s="427" t="s">
        <v>4954</v>
      </c>
      <c r="U4188" s="422" t="s">
        <v>1953</v>
      </c>
      <c r="V4188" s="422" t="s">
        <v>2813</v>
      </c>
    </row>
    <row r="4189" spans="1:22" ht="15.75" thickBot="1" x14ac:dyDescent="0.3">
      <c r="A4189" s="422" t="s">
        <v>4583</v>
      </c>
      <c r="B4189" s="422" t="s">
        <v>4583</v>
      </c>
      <c r="C4189" s="424" t="str">
        <f t="shared" si="169"/>
        <v>EVA - Transportes, S.A.</v>
      </c>
      <c r="D4189" t="s">
        <v>629</v>
      </c>
      <c r="F4189" s="432" t="s">
        <v>620</v>
      </c>
      <c r="G4189" s="89">
        <v>2012</v>
      </c>
      <c r="H4189" s="313" t="s">
        <v>731</v>
      </c>
      <c r="I4189" s="311" t="str">
        <f t="shared" si="167"/>
        <v>Pesado de Passageiros M3:  : Gasóleo : E4</v>
      </c>
      <c r="J4189">
        <v>56</v>
      </c>
      <c r="K4189" s="422">
        <v>2023</v>
      </c>
      <c r="L4189" s="427">
        <v>16415.496410215535</v>
      </c>
      <c r="M4189" s="427" t="s">
        <v>630</v>
      </c>
      <c r="N4189" s="434">
        <v>53665</v>
      </c>
      <c r="O4189" s="436">
        <f t="shared" si="168"/>
        <v>3005240</v>
      </c>
      <c r="P4189" s="435">
        <v>41012</v>
      </c>
      <c r="Q4189" s="427" t="s">
        <v>47</v>
      </c>
      <c r="R4189" s="422" t="s">
        <v>1869</v>
      </c>
      <c r="S4189" s="422" t="s">
        <v>1861</v>
      </c>
      <c r="T4189" s="427" t="s">
        <v>4955</v>
      </c>
      <c r="U4189" s="422" t="s">
        <v>1953</v>
      </c>
      <c r="V4189" s="422" t="s">
        <v>2813</v>
      </c>
    </row>
    <row r="4190" spans="1:22" ht="15.75" thickBot="1" x14ac:dyDescent="0.3">
      <c r="A4190" s="422" t="s">
        <v>4583</v>
      </c>
      <c r="B4190" s="422" t="s">
        <v>4583</v>
      </c>
      <c r="C4190" s="424" t="str">
        <f t="shared" si="169"/>
        <v>EVA - Transportes, S.A.</v>
      </c>
      <c r="D4190" t="s">
        <v>629</v>
      </c>
      <c r="F4190" s="432" t="s">
        <v>620</v>
      </c>
      <c r="G4190" s="89">
        <v>2012</v>
      </c>
      <c r="H4190" s="313" t="s">
        <v>731</v>
      </c>
      <c r="I4190" s="311" t="str">
        <f t="shared" si="167"/>
        <v>Pesado de Passageiros M3:  : Gasóleo : E4</v>
      </c>
      <c r="J4190">
        <v>56</v>
      </c>
      <c r="K4190" s="422">
        <v>2023</v>
      </c>
      <c r="L4190" s="427">
        <v>20494.416691471273</v>
      </c>
      <c r="M4190" s="427" t="s">
        <v>630</v>
      </c>
      <c r="N4190" s="434">
        <v>72498</v>
      </c>
      <c r="O4190" s="436">
        <f t="shared" si="168"/>
        <v>4059888</v>
      </c>
      <c r="P4190" s="435">
        <v>41012</v>
      </c>
      <c r="Q4190" s="427" t="s">
        <v>47</v>
      </c>
      <c r="R4190" s="422" t="s">
        <v>1869</v>
      </c>
      <c r="S4190" s="422" t="s">
        <v>1861</v>
      </c>
      <c r="T4190" s="427" t="s">
        <v>4956</v>
      </c>
      <c r="U4190" s="422" t="s">
        <v>1953</v>
      </c>
      <c r="V4190" s="422" t="s">
        <v>2813</v>
      </c>
    </row>
    <row r="4191" spans="1:22" ht="15.75" thickBot="1" x14ac:dyDescent="0.3">
      <c r="A4191" s="422" t="s">
        <v>4583</v>
      </c>
      <c r="B4191" s="422" t="s">
        <v>4583</v>
      </c>
      <c r="C4191" s="424" t="str">
        <f t="shared" si="169"/>
        <v>EVA - Transportes, S.A.</v>
      </c>
      <c r="D4191" t="s">
        <v>629</v>
      </c>
      <c r="F4191" s="432" t="s">
        <v>620</v>
      </c>
      <c r="G4191" s="89">
        <v>2023</v>
      </c>
      <c r="H4191" s="313" t="s">
        <v>733</v>
      </c>
      <c r="I4191" s="311" t="str">
        <f t="shared" si="167"/>
        <v>Pesado de Passageiros M3:  : Gasóleo : E6</v>
      </c>
      <c r="J4191">
        <v>57</v>
      </c>
      <c r="K4191" s="422">
        <v>2023</v>
      </c>
      <c r="L4191" s="427">
        <v>18730.770537375527</v>
      </c>
      <c r="M4191" s="427" t="s">
        <v>630</v>
      </c>
      <c r="N4191" s="434">
        <v>73991</v>
      </c>
      <c r="O4191" s="436">
        <f t="shared" si="168"/>
        <v>4217487</v>
      </c>
      <c r="P4191" s="435">
        <v>45055</v>
      </c>
      <c r="Q4191" s="427" t="s">
        <v>47</v>
      </c>
      <c r="R4191" s="422" t="s">
        <v>1869</v>
      </c>
      <c r="S4191" s="422" t="s">
        <v>1861</v>
      </c>
      <c r="T4191" s="427" t="s">
        <v>4957</v>
      </c>
      <c r="U4191" s="422" t="s">
        <v>1953</v>
      </c>
      <c r="V4191" s="422" t="s">
        <v>2813</v>
      </c>
    </row>
    <row r="4192" spans="1:22" ht="15.75" thickBot="1" x14ac:dyDescent="0.3">
      <c r="A4192" s="422" t="s">
        <v>4583</v>
      </c>
      <c r="B4192" s="422" t="s">
        <v>4583</v>
      </c>
      <c r="C4192" s="424" t="str">
        <f t="shared" si="169"/>
        <v>EVA - Transportes, S.A.</v>
      </c>
      <c r="D4192" t="s">
        <v>629</v>
      </c>
      <c r="F4192" s="432" t="s">
        <v>620</v>
      </c>
      <c r="G4192" s="89">
        <v>2023</v>
      </c>
      <c r="H4192" s="313" t="s">
        <v>733</v>
      </c>
      <c r="I4192" s="311" t="str">
        <f t="shared" si="167"/>
        <v>Pesado de Passageiros M3:  : Gasóleo : E6</v>
      </c>
      <c r="J4192">
        <v>57</v>
      </c>
      <c r="K4192" s="422">
        <v>2023</v>
      </c>
      <c r="L4192" s="427">
        <v>13473.542079976976</v>
      </c>
      <c r="M4192" s="427" t="s">
        <v>630</v>
      </c>
      <c r="N4192" s="434">
        <v>52309</v>
      </c>
      <c r="O4192" s="436">
        <f t="shared" si="168"/>
        <v>2981613</v>
      </c>
      <c r="P4192" s="435">
        <v>45055</v>
      </c>
      <c r="Q4192" s="427" t="s">
        <v>47</v>
      </c>
      <c r="R4192" s="422" t="s">
        <v>1869</v>
      </c>
      <c r="S4192" s="422" t="s">
        <v>1861</v>
      </c>
      <c r="T4192" s="427" t="s">
        <v>4958</v>
      </c>
      <c r="U4192" s="422" t="s">
        <v>1953</v>
      </c>
      <c r="V4192" s="422" t="s">
        <v>2813</v>
      </c>
    </row>
    <row r="4193" spans="1:22" ht="15.75" thickBot="1" x14ac:dyDescent="0.3">
      <c r="A4193" s="422" t="s">
        <v>4583</v>
      </c>
      <c r="B4193" s="422" t="s">
        <v>4583</v>
      </c>
      <c r="C4193" s="424" t="str">
        <f t="shared" si="169"/>
        <v>EVA - Transportes, S.A.</v>
      </c>
      <c r="D4193" t="s">
        <v>629</v>
      </c>
      <c r="F4193" s="432" t="s">
        <v>620</v>
      </c>
      <c r="G4193" s="89">
        <v>2016</v>
      </c>
      <c r="H4193" s="313" t="s">
        <v>733</v>
      </c>
      <c r="I4193" s="311" t="str">
        <f t="shared" si="167"/>
        <v>Pesado de Passageiros M3:  : Gasóleo : E6</v>
      </c>
      <c r="J4193">
        <v>61</v>
      </c>
      <c r="K4193" s="422">
        <v>2023</v>
      </c>
      <c r="L4193" s="427">
        <v>13592.325490607655</v>
      </c>
      <c r="M4193" s="427" t="s">
        <v>630</v>
      </c>
      <c r="N4193" s="434">
        <v>47091</v>
      </c>
      <c r="O4193" s="436">
        <f t="shared" si="168"/>
        <v>2872551</v>
      </c>
      <c r="P4193" s="435">
        <v>42373</v>
      </c>
      <c r="Q4193" s="427" t="s">
        <v>47</v>
      </c>
      <c r="R4193" s="422" t="s">
        <v>1869</v>
      </c>
      <c r="S4193" s="422" t="s">
        <v>1861</v>
      </c>
      <c r="T4193" s="427" t="s">
        <v>4959</v>
      </c>
      <c r="U4193" s="422" t="s">
        <v>1953</v>
      </c>
      <c r="V4193" s="422" t="s">
        <v>2813</v>
      </c>
    </row>
    <row r="4194" spans="1:22" ht="15.75" thickBot="1" x14ac:dyDescent="0.3">
      <c r="A4194" s="422" t="s">
        <v>4583</v>
      </c>
      <c r="B4194" s="422" t="s">
        <v>4583</v>
      </c>
      <c r="C4194" s="424" t="str">
        <f t="shared" si="169"/>
        <v>EVA - Transportes, S.A.</v>
      </c>
      <c r="D4194" t="s">
        <v>629</v>
      </c>
      <c r="F4194" s="432" t="s">
        <v>620</v>
      </c>
      <c r="G4194" s="89">
        <v>2016</v>
      </c>
      <c r="H4194" s="313" t="s">
        <v>733</v>
      </c>
      <c r="I4194" s="311" t="str">
        <f t="shared" ref="I4194:I4257" si="170">D4194&amp;": "&amp;E4194&amp;" : "&amp;F4194&amp;" : "&amp;H4194</f>
        <v>Pesado de Passageiros M3:  : Gasóleo : E6</v>
      </c>
      <c r="J4194">
        <v>61</v>
      </c>
      <c r="K4194" s="422">
        <v>2023</v>
      </c>
      <c r="L4194" s="427">
        <v>18721.430428914027</v>
      </c>
      <c r="M4194" s="427" t="s">
        <v>630</v>
      </c>
      <c r="N4194" s="434">
        <v>63244</v>
      </c>
      <c r="O4194" s="436">
        <f t="shared" ref="O4194:O4257" si="171">N4194*J4194</f>
        <v>3857884</v>
      </c>
      <c r="P4194" s="435">
        <v>42373</v>
      </c>
      <c r="Q4194" s="427" t="s">
        <v>47</v>
      </c>
      <c r="R4194" s="422" t="s">
        <v>1869</v>
      </c>
      <c r="S4194" s="422" t="s">
        <v>1861</v>
      </c>
      <c r="T4194" s="427" t="s">
        <v>4960</v>
      </c>
      <c r="U4194" s="422" t="s">
        <v>1953</v>
      </c>
      <c r="V4194" s="422" t="s">
        <v>2813</v>
      </c>
    </row>
    <row r="4195" spans="1:22" ht="15.75" thickBot="1" x14ac:dyDescent="0.3">
      <c r="A4195" s="422" t="s">
        <v>4583</v>
      </c>
      <c r="B4195" s="422" t="s">
        <v>4583</v>
      </c>
      <c r="C4195" s="424" t="str">
        <f t="shared" si="169"/>
        <v>EVA - Transportes, S.A.</v>
      </c>
      <c r="D4195" t="s">
        <v>629</v>
      </c>
      <c r="F4195" s="432" t="s">
        <v>620</v>
      </c>
      <c r="G4195" s="89">
        <v>2019</v>
      </c>
      <c r="H4195" s="453" t="s">
        <v>733</v>
      </c>
      <c r="I4195" s="311" t="str">
        <f t="shared" si="170"/>
        <v>Pesado de Passageiros M3:  : Gasóleo : E6</v>
      </c>
      <c r="J4195">
        <v>21</v>
      </c>
      <c r="K4195" s="422">
        <v>2023</v>
      </c>
      <c r="L4195" s="427">
        <v>8832.8790250151251</v>
      </c>
      <c r="M4195" s="427" t="s">
        <v>630</v>
      </c>
      <c r="N4195" s="434">
        <v>62712</v>
      </c>
      <c r="O4195" s="436">
        <f t="shared" si="171"/>
        <v>1316952</v>
      </c>
      <c r="P4195" s="435">
        <v>43510</v>
      </c>
      <c r="Q4195" s="427" t="s">
        <v>47</v>
      </c>
      <c r="R4195" s="422" t="s">
        <v>1869</v>
      </c>
      <c r="S4195" s="422" t="s">
        <v>1861</v>
      </c>
      <c r="T4195" s="427" t="s">
        <v>4961</v>
      </c>
      <c r="U4195" s="422" t="s">
        <v>1953</v>
      </c>
      <c r="V4195" s="422" t="s">
        <v>2813</v>
      </c>
    </row>
    <row r="4196" spans="1:22" ht="15.75" thickBot="1" x14ac:dyDescent="0.3">
      <c r="A4196" s="422" t="s">
        <v>4583</v>
      </c>
      <c r="B4196" s="422" t="s">
        <v>4583</v>
      </c>
      <c r="C4196" s="424" t="str">
        <f t="shared" si="169"/>
        <v>EVA - Transportes, S.A.</v>
      </c>
      <c r="D4196" t="s">
        <v>629</v>
      </c>
      <c r="F4196" s="432" t="s">
        <v>620</v>
      </c>
      <c r="G4196" s="89">
        <v>2019</v>
      </c>
      <c r="H4196" s="453" t="s">
        <v>733</v>
      </c>
      <c r="I4196" s="311" t="str">
        <f t="shared" si="170"/>
        <v>Pesado de Passageiros M3:  : Gasóleo : E6</v>
      </c>
      <c r="J4196">
        <v>21</v>
      </c>
      <c r="K4196" s="422">
        <v>2023</v>
      </c>
      <c r="L4196" s="427">
        <v>9813.7984120153415</v>
      </c>
      <c r="M4196" s="427" t="s">
        <v>630</v>
      </c>
      <c r="N4196" s="434">
        <v>68171</v>
      </c>
      <c r="O4196" s="436">
        <f t="shared" si="171"/>
        <v>1431591</v>
      </c>
      <c r="P4196" s="435">
        <v>43510</v>
      </c>
      <c r="Q4196" s="427" t="s">
        <v>47</v>
      </c>
      <c r="R4196" s="422" t="s">
        <v>1869</v>
      </c>
      <c r="S4196" s="422" t="s">
        <v>1861</v>
      </c>
      <c r="T4196" s="427" t="s">
        <v>4962</v>
      </c>
      <c r="U4196" s="422" t="s">
        <v>1953</v>
      </c>
      <c r="V4196" s="422" t="s">
        <v>2813</v>
      </c>
    </row>
    <row r="4197" spans="1:22" ht="15.75" thickBot="1" x14ac:dyDescent="0.3">
      <c r="A4197" s="422" t="s">
        <v>4583</v>
      </c>
      <c r="B4197" s="422" t="s">
        <v>4583</v>
      </c>
      <c r="C4197" s="424" t="str">
        <f t="shared" si="169"/>
        <v>EVA - Transportes, S.A.</v>
      </c>
      <c r="D4197" t="s">
        <v>629</v>
      </c>
      <c r="F4197" s="432" t="s">
        <v>620</v>
      </c>
      <c r="G4197" s="89">
        <v>2019</v>
      </c>
      <c r="H4197" s="453" t="s">
        <v>733</v>
      </c>
      <c r="I4197" s="311" t="str">
        <f t="shared" si="170"/>
        <v>Pesado de Passageiros M3:  : Gasóleo : E6</v>
      </c>
      <c r="J4197">
        <v>21</v>
      </c>
      <c r="K4197" s="422">
        <v>2023</v>
      </c>
      <c r="L4197" s="427">
        <v>10456.438093682906</v>
      </c>
      <c r="M4197" s="427" t="s">
        <v>630</v>
      </c>
      <c r="N4197" s="434">
        <v>73877</v>
      </c>
      <c r="O4197" s="436">
        <f t="shared" si="171"/>
        <v>1551417</v>
      </c>
      <c r="P4197" s="435">
        <v>43510</v>
      </c>
      <c r="Q4197" s="427" t="s">
        <v>47</v>
      </c>
      <c r="R4197" s="422" t="s">
        <v>1869</v>
      </c>
      <c r="S4197" s="422" t="s">
        <v>1861</v>
      </c>
      <c r="T4197" s="427" t="s">
        <v>4963</v>
      </c>
      <c r="U4197" s="422" t="s">
        <v>1953</v>
      </c>
      <c r="V4197" s="422" t="s">
        <v>2813</v>
      </c>
    </row>
    <row r="4198" spans="1:22" ht="15.75" thickBot="1" x14ac:dyDescent="0.3">
      <c r="A4198" s="422" t="s">
        <v>4583</v>
      </c>
      <c r="B4198" s="422" t="s">
        <v>4583</v>
      </c>
      <c r="C4198" s="424" t="str">
        <f t="shared" si="169"/>
        <v>EVA - Transportes, S.A.</v>
      </c>
      <c r="D4198" t="s">
        <v>629</v>
      </c>
      <c r="F4198" s="432" t="s">
        <v>620</v>
      </c>
      <c r="G4198" s="89">
        <v>2003</v>
      </c>
      <c r="H4198" s="313" t="s">
        <v>733</v>
      </c>
      <c r="I4198" s="311" t="str">
        <f t="shared" si="170"/>
        <v>Pesado de Passageiros M3:  : Gasóleo : E6</v>
      </c>
      <c r="J4198">
        <v>77</v>
      </c>
      <c r="K4198" s="422">
        <v>2023</v>
      </c>
      <c r="L4198" s="427">
        <v>62</v>
      </c>
      <c r="M4198" s="427" t="s">
        <v>630</v>
      </c>
      <c r="N4198" s="434">
        <v>172</v>
      </c>
      <c r="O4198" s="436">
        <f t="shared" si="171"/>
        <v>13244</v>
      </c>
      <c r="P4198" s="435">
        <v>37823</v>
      </c>
      <c r="Q4198" s="427" t="s">
        <v>47</v>
      </c>
      <c r="R4198" s="422" t="s">
        <v>1869</v>
      </c>
      <c r="S4198" s="422" t="s">
        <v>1861</v>
      </c>
      <c r="T4198" s="427" t="s">
        <v>3882</v>
      </c>
      <c r="U4198" s="422" t="s">
        <v>1953</v>
      </c>
      <c r="V4198" s="422" t="s">
        <v>2813</v>
      </c>
    </row>
    <row r="4199" spans="1:22" ht="15.75" thickBot="1" x14ac:dyDescent="0.3">
      <c r="A4199" s="422" t="s">
        <v>4583</v>
      </c>
      <c r="B4199" s="422" t="s">
        <v>4583</v>
      </c>
      <c r="C4199" s="424" t="str">
        <f t="shared" si="169"/>
        <v>EVA - Transportes, S.A.</v>
      </c>
      <c r="D4199" t="s">
        <v>629</v>
      </c>
      <c r="F4199" s="432" t="s">
        <v>620</v>
      </c>
      <c r="G4199" s="89">
        <v>2004</v>
      </c>
      <c r="H4199" s="313" t="s">
        <v>733</v>
      </c>
      <c r="I4199" s="311" t="str">
        <f t="shared" si="170"/>
        <v>Pesado de Passageiros M3:  : Gasóleo : E6</v>
      </c>
      <c r="J4199">
        <v>74</v>
      </c>
      <c r="K4199" s="422">
        <v>2023</v>
      </c>
      <c r="L4199" s="427">
        <v>151</v>
      </c>
      <c r="M4199" s="427" t="s">
        <v>630</v>
      </c>
      <c r="N4199" s="434">
        <v>419</v>
      </c>
      <c r="O4199" s="436">
        <f t="shared" si="171"/>
        <v>31006</v>
      </c>
      <c r="P4199" s="435">
        <v>38307</v>
      </c>
      <c r="Q4199" s="427" t="s">
        <v>47</v>
      </c>
      <c r="R4199" s="422" t="s">
        <v>1869</v>
      </c>
      <c r="S4199" s="422" t="s">
        <v>1861</v>
      </c>
      <c r="T4199" s="427" t="s">
        <v>4094</v>
      </c>
      <c r="U4199" s="422" t="s">
        <v>1953</v>
      </c>
      <c r="V4199" s="422" t="s">
        <v>2813</v>
      </c>
    </row>
    <row r="4200" spans="1:22" ht="15.75" thickBot="1" x14ac:dyDescent="0.3">
      <c r="A4200" s="422" t="s">
        <v>4583</v>
      </c>
      <c r="B4200" s="422" t="s">
        <v>4583</v>
      </c>
      <c r="C4200" s="424" t="str">
        <f t="shared" si="169"/>
        <v>EVA - Transportes, S.A.</v>
      </c>
      <c r="D4200" t="s">
        <v>623</v>
      </c>
      <c r="F4200" s="432" t="s">
        <v>620</v>
      </c>
      <c r="G4200" s="89">
        <v>2018</v>
      </c>
      <c r="H4200" s="313" t="s">
        <v>733</v>
      </c>
      <c r="I4200" s="311" t="str">
        <f t="shared" si="170"/>
        <v>Ligeiro de Passageiros M1:  : Gasóleo : E6</v>
      </c>
      <c r="J4200">
        <v>8</v>
      </c>
      <c r="K4200" s="422">
        <v>2023</v>
      </c>
      <c r="L4200" s="427">
        <v>5052.08</v>
      </c>
      <c r="M4200" s="427" t="s">
        <v>630</v>
      </c>
      <c r="N4200" s="434">
        <v>64902</v>
      </c>
      <c r="O4200" s="436">
        <f t="shared" si="171"/>
        <v>519216</v>
      </c>
      <c r="P4200" s="435">
        <v>43241</v>
      </c>
      <c r="Q4200" s="427" t="s">
        <v>47</v>
      </c>
      <c r="R4200" s="422" t="s">
        <v>1869</v>
      </c>
      <c r="S4200" s="422" t="s">
        <v>1861</v>
      </c>
      <c r="T4200" s="427" t="s">
        <v>4964</v>
      </c>
      <c r="U4200" s="422" t="s">
        <v>1953</v>
      </c>
      <c r="V4200" s="422" t="s">
        <v>2813</v>
      </c>
    </row>
    <row r="4201" spans="1:22" ht="15.75" thickBot="1" x14ac:dyDescent="0.3">
      <c r="A4201" s="422" t="s">
        <v>4583</v>
      </c>
      <c r="B4201" s="422" t="s">
        <v>4583</v>
      </c>
      <c r="C4201" s="424" t="str">
        <f t="shared" si="169"/>
        <v>EVA - Transportes, S.A.</v>
      </c>
      <c r="D4201" t="s">
        <v>623</v>
      </c>
      <c r="F4201" s="432" t="s">
        <v>620</v>
      </c>
      <c r="G4201" s="89">
        <v>2017</v>
      </c>
      <c r="H4201" s="313" t="s">
        <v>733</v>
      </c>
      <c r="I4201" s="311" t="str">
        <f t="shared" si="170"/>
        <v>Ligeiro de Passageiros M1:  : Gasóleo : E6</v>
      </c>
      <c r="J4201">
        <v>8</v>
      </c>
      <c r="K4201" s="422">
        <v>2023</v>
      </c>
      <c r="L4201" s="427">
        <v>1967.79</v>
      </c>
      <c r="M4201" s="427" t="s">
        <v>630</v>
      </c>
      <c r="N4201" s="434">
        <v>21336</v>
      </c>
      <c r="O4201" s="436">
        <f t="shared" si="171"/>
        <v>170688</v>
      </c>
      <c r="P4201" s="435">
        <v>42835</v>
      </c>
      <c r="Q4201" s="427" t="s">
        <v>47</v>
      </c>
      <c r="R4201" s="422" t="s">
        <v>1869</v>
      </c>
      <c r="S4201" s="422" t="s">
        <v>1861</v>
      </c>
      <c r="T4201" s="427" t="s">
        <v>4965</v>
      </c>
      <c r="U4201" s="422" t="s">
        <v>1953</v>
      </c>
      <c r="V4201" s="422" t="s">
        <v>2813</v>
      </c>
    </row>
    <row r="4202" spans="1:22" ht="15.75" thickBot="1" x14ac:dyDescent="0.3">
      <c r="A4202" t="s">
        <v>4584</v>
      </c>
      <c r="B4202" t="s">
        <v>4584</v>
      </c>
      <c r="C4202" s="424" t="str">
        <f t="shared" si="169"/>
        <v>Frota Azul Algarve - Transportes e Turismo, LDA.</v>
      </c>
      <c r="D4202" t="s">
        <v>629</v>
      </c>
      <c r="F4202" s="432" t="s">
        <v>620</v>
      </c>
      <c r="G4202" s="89">
        <v>2017</v>
      </c>
      <c r="H4202" s="453" t="s">
        <v>733</v>
      </c>
      <c r="I4202" s="311" t="str">
        <f t="shared" si="170"/>
        <v>Pesado de Passageiros M3:  : Gasóleo : E6</v>
      </c>
      <c r="J4202">
        <v>55</v>
      </c>
      <c r="K4202" s="422">
        <v>2023</v>
      </c>
      <c r="L4202" s="427">
        <v>19554.22</v>
      </c>
      <c r="M4202" s="427" t="s">
        <v>630</v>
      </c>
      <c r="N4202" s="434">
        <v>58391</v>
      </c>
      <c r="O4202" s="436">
        <f t="shared" si="171"/>
        <v>3211505</v>
      </c>
      <c r="P4202" s="435">
        <v>42741</v>
      </c>
      <c r="Q4202" s="427" t="s">
        <v>47</v>
      </c>
      <c r="R4202" s="422" t="s">
        <v>1869</v>
      </c>
      <c r="S4202" s="422" t="s">
        <v>1861</v>
      </c>
      <c r="T4202" s="427" t="s">
        <v>4966</v>
      </c>
      <c r="U4202" s="422" t="s">
        <v>1953</v>
      </c>
      <c r="V4202" s="422" t="s">
        <v>2813</v>
      </c>
    </row>
    <row r="4203" spans="1:22" ht="15.75" thickBot="1" x14ac:dyDescent="0.3">
      <c r="A4203" t="s">
        <v>4584</v>
      </c>
      <c r="B4203" t="s">
        <v>4584</v>
      </c>
      <c r="C4203" s="424" t="str">
        <f t="shared" si="169"/>
        <v>Frota Azul Algarve - Transportes e Turismo, LDA.</v>
      </c>
      <c r="D4203" t="s">
        <v>629</v>
      </c>
      <c r="F4203" s="432" t="s">
        <v>620</v>
      </c>
      <c r="G4203" s="89">
        <v>2017</v>
      </c>
      <c r="H4203" s="453" t="s">
        <v>733</v>
      </c>
      <c r="I4203" s="311" t="str">
        <f t="shared" si="170"/>
        <v>Pesado de Passageiros M3:  : Gasóleo : E6</v>
      </c>
      <c r="J4203">
        <v>55</v>
      </c>
      <c r="K4203" s="422">
        <v>2023</v>
      </c>
      <c r="L4203" s="427">
        <v>14022.56</v>
      </c>
      <c r="M4203" s="427" t="s">
        <v>630</v>
      </c>
      <c r="N4203" s="434">
        <v>41760</v>
      </c>
      <c r="O4203" s="436">
        <f t="shared" si="171"/>
        <v>2296800</v>
      </c>
      <c r="P4203" s="435">
        <v>42741</v>
      </c>
      <c r="Q4203" s="427" t="s">
        <v>47</v>
      </c>
      <c r="R4203" s="422" t="s">
        <v>1869</v>
      </c>
      <c r="S4203" s="422" t="s">
        <v>1861</v>
      </c>
      <c r="T4203" s="427" t="s">
        <v>4967</v>
      </c>
      <c r="U4203" s="422" t="s">
        <v>1953</v>
      </c>
      <c r="V4203" s="422" t="s">
        <v>2813</v>
      </c>
    </row>
    <row r="4204" spans="1:22" ht="15.75" thickBot="1" x14ac:dyDescent="0.3">
      <c r="A4204" t="s">
        <v>4584</v>
      </c>
      <c r="B4204" t="s">
        <v>4584</v>
      </c>
      <c r="C4204" s="424" t="str">
        <f t="shared" si="169"/>
        <v>Frota Azul Algarve - Transportes e Turismo, LDA.</v>
      </c>
      <c r="D4204" t="s">
        <v>629</v>
      </c>
      <c r="F4204" s="432" t="s">
        <v>620</v>
      </c>
      <c r="G4204" s="89">
        <v>2017</v>
      </c>
      <c r="H4204" s="453" t="s">
        <v>733</v>
      </c>
      <c r="I4204" s="311" t="str">
        <f t="shared" si="170"/>
        <v>Pesado de Passageiros M3:  : Gasóleo : E6</v>
      </c>
      <c r="J4204">
        <v>55</v>
      </c>
      <c r="K4204" s="422">
        <v>2023</v>
      </c>
      <c r="L4204" s="427">
        <v>18303.349999999999</v>
      </c>
      <c r="M4204" s="427" t="s">
        <v>630</v>
      </c>
      <c r="N4204" s="434">
        <v>48921</v>
      </c>
      <c r="O4204" s="436">
        <f t="shared" si="171"/>
        <v>2690655</v>
      </c>
      <c r="P4204" s="435">
        <v>42741</v>
      </c>
      <c r="Q4204" s="427" t="s">
        <v>47</v>
      </c>
      <c r="R4204" s="422" t="s">
        <v>1869</v>
      </c>
      <c r="S4204" s="422" t="s">
        <v>1861</v>
      </c>
      <c r="T4204" s="427" t="s">
        <v>4968</v>
      </c>
      <c r="U4204" s="422" t="s">
        <v>1953</v>
      </c>
      <c r="V4204" s="422" t="s">
        <v>2813</v>
      </c>
    </row>
    <row r="4205" spans="1:22" ht="15.75" thickBot="1" x14ac:dyDescent="0.3">
      <c r="A4205" t="s">
        <v>4584</v>
      </c>
      <c r="B4205" t="s">
        <v>4584</v>
      </c>
      <c r="C4205" s="424" t="str">
        <f t="shared" si="169"/>
        <v>Frota Azul Algarve - Transportes e Turismo, LDA.</v>
      </c>
      <c r="D4205" t="s">
        <v>629</v>
      </c>
      <c r="F4205" s="432" t="s">
        <v>620</v>
      </c>
      <c r="G4205" s="89">
        <v>2017</v>
      </c>
      <c r="H4205" s="453" t="s">
        <v>733</v>
      </c>
      <c r="I4205" s="311" t="str">
        <f t="shared" si="170"/>
        <v>Pesado de Passageiros M3:  : Gasóleo : E6</v>
      </c>
      <c r="J4205">
        <v>55</v>
      </c>
      <c r="K4205" s="422">
        <v>2023</v>
      </c>
      <c r="L4205" s="427">
        <v>20347.23</v>
      </c>
      <c r="M4205" s="427" t="s">
        <v>630</v>
      </c>
      <c r="N4205" s="434">
        <v>60538</v>
      </c>
      <c r="O4205" s="436">
        <f t="shared" si="171"/>
        <v>3329590</v>
      </c>
      <c r="P4205" s="435">
        <v>42741</v>
      </c>
      <c r="Q4205" s="427" t="s">
        <v>47</v>
      </c>
      <c r="R4205" s="422" t="s">
        <v>1869</v>
      </c>
      <c r="S4205" s="422" t="s">
        <v>1861</v>
      </c>
      <c r="T4205" s="427" t="s">
        <v>4969</v>
      </c>
      <c r="U4205" s="422" t="s">
        <v>1953</v>
      </c>
      <c r="V4205" s="422" t="s">
        <v>2813</v>
      </c>
    </row>
    <row r="4206" spans="1:22" ht="15.75" thickBot="1" x14ac:dyDescent="0.3">
      <c r="A4206" t="s">
        <v>4584</v>
      </c>
      <c r="B4206" t="s">
        <v>4584</v>
      </c>
      <c r="C4206" s="424" t="str">
        <f t="shared" si="169"/>
        <v>Frota Azul Algarve - Transportes e Turismo, LDA.</v>
      </c>
      <c r="D4206" t="s">
        <v>629</v>
      </c>
      <c r="F4206" s="432" t="s">
        <v>620</v>
      </c>
      <c r="G4206" s="89">
        <v>2017</v>
      </c>
      <c r="H4206" s="453" t="s">
        <v>733</v>
      </c>
      <c r="I4206" s="311" t="str">
        <f t="shared" si="170"/>
        <v>Pesado de Passageiros M3:  : Gasóleo : E6</v>
      </c>
      <c r="J4206">
        <v>55</v>
      </c>
      <c r="K4206" s="422">
        <v>2023</v>
      </c>
      <c r="L4206" s="427">
        <v>21953.5</v>
      </c>
      <c r="M4206" s="427" t="s">
        <v>630</v>
      </c>
      <c r="N4206" s="434">
        <v>67383</v>
      </c>
      <c r="O4206" s="436">
        <f t="shared" si="171"/>
        <v>3706065</v>
      </c>
      <c r="P4206" s="435">
        <v>42741</v>
      </c>
      <c r="Q4206" s="427" t="s">
        <v>47</v>
      </c>
      <c r="R4206" s="422" t="s">
        <v>1869</v>
      </c>
      <c r="S4206" s="422" t="s">
        <v>1861</v>
      </c>
      <c r="T4206" s="427" t="s">
        <v>4970</v>
      </c>
      <c r="U4206" s="422" t="s">
        <v>1953</v>
      </c>
      <c r="V4206" s="422" t="s">
        <v>2813</v>
      </c>
    </row>
    <row r="4207" spans="1:22" ht="15.75" thickBot="1" x14ac:dyDescent="0.3">
      <c r="A4207" t="s">
        <v>4584</v>
      </c>
      <c r="B4207" t="s">
        <v>4584</v>
      </c>
      <c r="C4207" s="424" t="str">
        <f t="shared" si="169"/>
        <v>Frota Azul Algarve - Transportes e Turismo, LDA.</v>
      </c>
      <c r="D4207" t="s">
        <v>629</v>
      </c>
      <c r="F4207" s="432" t="s">
        <v>620</v>
      </c>
      <c r="G4207" s="89">
        <v>2017</v>
      </c>
      <c r="H4207" s="453" t="s">
        <v>733</v>
      </c>
      <c r="I4207" s="311" t="str">
        <f t="shared" si="170"/>
        <v>Pesado de Passageiros M3:  : Gasóleo : E6</v>
      </c>
      <c r="J4207">
        <v>55</v>
      </c>
      <c r="K4207" s="422">
        <v>2023</v>
      </c>
      <c r="L4207" s="427">
        <v>15939.65</v>
      </c>
      <c r="M4207" s="427" t="s">
        <v>630</v>
      </c>
      <c r="N4207" s="434">
        <v>46639</v>
      </c>
      <c r="O4207" s="436">
        <f t="shared" si="171"/>
        <v>2565145</v>
      </c>
      <c r="P4207" s="435">
        <v>42741</v>
      </c>
      <c r="Q4207" s="427" t="s">
        <v>47</v>
      </c>
      <c r="R4207" s="422" t="s">
        <v>1869</v>
      </c>
      <c r="S4207" s="422" t="s">
        <v>1861</v>
      </c>
      <c r="T4207" s="427" t="s">
        <v>4971</v>
      </c>
      <c r="U4207" s="422" t="s">
        <v>1953</v>
      </c>
      <c r="V4207" s="422" t="s">
        <v>2813</v>
      </c>
    </row>
    <row r="4208" spans="1:22" ht="15.75" thickBot="1" x14ac:dyDescent="0.3">
      <c r="A4208" t="s">
        <v>4584</v>
      </c>
      <c r="B4208" t="s">
        <v>4584</v>
      </c>
      <c r="C4208" s="424" t="str">
        <f t="shared" si="169"/>
        <v>Frota Azul Algarve - Transportes e Turismo, LDA.</v>
      </c>
      <c r="D4208" t="s">
        <v>629</v>
      </c>
      <c r="F4208" s="432" t="s">
        <v>620</v>
      </c>
      <c r="G4208" s="89">
        <v>2022</v>
      </c>
      <c r="H4208" s="453" t="s">
        <v>733</v>
      </c>
      <c r="I4208" s="311" t="str">
        <f t="shared" si="170"/>
        <v>Pesado de Passageiros M3:  : Gasóleo : E6</v>
      </c>
      <c r="J4208">
        <v>55</v>
      </c>
      <c r="K4208" s="422">
        <v>2023</v>
      </c>
      <c r="L4208" s="427">
        <v>14268.01</v>
      </c>
      <c r="M4208" s="427" t="s">
        <v>630</v>
      </c>
      <c r="N4208" s="434">
        <v>41511</v>
      </c>
      <c r="O4208" s="436">
        <f t="shared" si="171"/>
        <v>2283105</v>
      </c>
      <c r="P4208" s="435">
        <v>44708</v>
      </c>
      <c r="Q4208" s="427" t="s">
        <v>47</v>
      </c>
      <c r="R4208" s="422" t="s">
        <v>1869</v>
      </c>
      <c r="S4208" s="422" t="s">
        <v>1861</v>
      </c>
      <c r="T4208" s="427" t="s">
        <v>4972</v>
      </c>
      <c r="U4208" s="422" t="s">
        <v>1953</v>
      </c>
      <c r="V4208" s="422" t="s">
        <v>2813</v>
      </c>
    </row>
    <row r="4209" spans="1:22" ht="15.75" thickBot="1" x14ac:dyDescent="0.3">
      <c r="A4209" t="s">
        <v>4584</v>
      </c>
      <c r="B4209" t="s">
        <v>4584</v>
      </c>
      <c r="C4209" s="424" t="str">
        <f t="shared" si="169"/>
        <v>Frota Azul Algarve - Transportes e Turismo, LDA.</v>
      </c>
      <c r="D4209" t="s">
        <v>629</v>
      </c>
      <c r="F4209" s="432" t="s">
        <v>620</v>
      </c>
      <c r="G4209" s="89">
        <v>2022</v>
      </c>
      <c r="H4209" s="453" t="s">
        <v>733</v>
      </c>
      <c r="I4209" s="311" t="str">
        <f t="shared" si="170"/>
        <v>Pesado de Passageiros M3:  : Gasóleo : E6</v>
      </c>
      <c r="J4209">
        <v>55</v>
      </c>
      <c r="K4209" s="422">
        <v>2023</v>
      </c>
      <c r="L4209" s="427">
        <v>9608.33</v>
      </c>
      <c r="M4209" s="427" t="s">
        <v>630</v>
      </c>
      <c r="N4209" s="434">
        <v>26950</v>
      </c>
      <c r="O4209" s="436">
        <f t="shared" si="171"/>
        <v>1482250</v>
      </c>
      <c r="P4209" s="435">
        <v>44708</v>
      </c>
      <c r="Q4209" s="427" t="s">
        <v>47</v>
      </c>
      <c r="R4209" s="422" t="s">
        <v>1869</v>
      </c>
      <c r="S4209" s="422" t="s">
        <v>1861</v>
      </c>
      <c r="T4209" s="427" t="s">
        <v>4973</v>
      </c>
      <c r="U4209" s="422" t="s">
        <v>1953</v>
      </c>
      <c r="V4209" s="422" t="s">
        <v>2813</v>
      </c>
    </row>
    <row r="4210" spans="1:22" ht="15.75" thickBot="1" x14ac:dyDescent="0.3">
      <c r="A4210" t="s">
        <v>4584</v>
      </c>
      <c r="B4210" t="s">
        <v>4584</v>
      </c>
      <c r="C4210" s="424" t="str">
        <f t="shared" si="169"/>
        <v>Frota Azul Algarve - Transportes e Turismo, LDA.</v>
      </c>
      <c r="D4210" t="s">
        <v>629</v>
      </c>
      <c r="F4210" s="432" t="s">
        <v>620</v>
      </c>
      <c r="G4210" s="89">
        <v>2022</v>
      </c>
      <c r="H4210" s="453" t="s">
        <v>733</v>
      </c>
      <c r="I4210" s="311" t="str">
        <f t="shared" si="170"/>
        <v>Pesado de Passageiros M3:  : Gasóleo : E6</v>
      </c>
      <c r="J4210">
        <v>55</v>
      </c>
      <c r="K4210" s="422">
        <v>2023</v>
      </c>
      <c r="L4210" s="427">
        <v>12828.25</v>
      </c>
      <c r="M4210" s="427" t="s">
        <v>630</v>
      </c>
      <c r="N4210" s="434">
        <v>36603</v>
      </c>
      <c r="O4210" s="436">
        <f t="shared" si="171"/>
        <v>2013165</v>
      </c>
      <c r="P4210" s="435">
        <v>44712</v>
      </c>
      <c r="Q4210" s="427" t="s">
        <v>47</v>
      </c>
      <c r="R4210" s="422" t="s">
        <v>1869</v>
      </c>
      <c r="S4210" s="422" t="s">
        <v>1861</v>
      </c>
      <c r="T4210" s="427" t="s">
        <v>4974</v>
      </c>
      <c r="U4210" s="422" t="s">
        <v>1953</v>
      </c>
      <c r="V4210" s="422" t="s">
        <v>2813</v>
      </c>
    </row>
    <row r="4211" spans="1:22" ht="15.75" thickBot="1" x14ac:dyDescent="0.3">
      <c r="A4211" t="s">
        <v>4584</v>
      </c>
      <c r="B4211" t="s">
        <v>4584</v>
      </c>
      <c r="C4211" s="424" t="str">
        <f t="shared" si="169"/>
        <v>Frota Azul Algarve - Transportes e Turismo, LDA.</v>
      </c>
      <c r="D4211" t="s">
        <v>629</v>
      </c>
      <c r="F4211" s="432" t="s">
        <v>620</v>
      </c>
      <c r="G4211" s="89">
        <v>2018</v>
      </c>
      <c r="H4211" s="453" t="s">
        <v>733</v>
      </c>
      <c r="I4211" s="311" t="str">
        <f t="shared" si="170"/>
        <v>Pesado de Passageiros M3:  : Gasóleo : E6</v>
      </c>
      <c r="J4211">
        <v>55</v>
      </c>
      <c r="K4211" s="422">
        <v>2023</v>
      </c>
      <c r="L4211" s="427">
        <v>19886.8</v>
      </c>
      <c r="M4211" s="427" t="s">
        <v>630</v>
      </c>
      <c r="N4211" s="434">
        <v>66372.100000000006</v>
      </c>
      <c r="O4211" s="436">
        <f t="shared" si="171"/>
        <v>3650465.5000000005</v>
      </c>
      <c r="P4211" s="435">
        <v>43103</v>
      </c>
      <c r="Q4211" s="427" t="s">
        <v>47</v>
      </c>
      <c r="R4211" s="422" t="s">
        <v>1869</v>
      </c>
      <c r="S4211" s="422" t="s">
        <v>1861</v>
      </c>
      <c r="T4211" s="427" t="s">
        <v>4975</v>
      </c>
      <c r="U4211" s="422" t="s">
        <v>1953</v>
      </c>
      <c r="V4211" s="422" t="s">
        <v>2813</v>
      </c>
    </row>
    <row r="4212" spans="1:22" ht="15.75" thickBot="1" x14ac:dyDescent="0.3">
      <c r="A4212" t="s">
        <v>4584</v>
      </c>
      <c r="B4212" t="s">
        <v>4584</v>
      </c>
      <c r="C4212" s="424" t="str">
        <f t="shared" si="169"/>
        <v>Frota Azul Algarve - Transportes e Turismo, LDA.</v>
      </c>
      <c r="D4212" t="s">
        <v>629</v>
      </c>
      <c r="F4212" s="432" t="s">
        <v>620</v>
      </c>
      <c r="G4212" s="89">
        <v>2018</v>
      </c>
      <c r="H4212" s="453" t="s">
        <v>733</v>
      </c>
      <c r="I4212" s="311" t="str">
        <f t="shared" si="170"/>
        <v>Pesado de Passageiros M3:  : Gasóleo : E6</v>
      </c>
      <c r="J4212">
        <v>55</v>
      </c>
      <c r="K4212" s="422">
        <v>2023</v>
      </c>
      <c r="L4212" s="427">
        <v>26466.73</v>
      </c>
      <c r="M4212" s="427" t="s">
        <v>630</v>
      </c>
      <c r="N4212" s="434">
        <v>81258</v>
      </c>
      <c r="O4212" s="436">
        <f t="shared" si="171"/>
        <v>4469190</v>
      </c>
      <c r="P4212" s="435">
        <v>43104</v>
      </c>
      <c r="Q4212" s="427" t="s">
        <v>47</v>
      </c>
      <c r="R4212" s="422" t="s">
        <v>1869</v>
      </c>
      <c r="S4212" s="422" t="s">
        <v>1861</v>
      </c>
      <c r="T4212" s="427" t="s">
        <v>4976</v>
      </c>
      <c r="U4212" s="422" t="s">
        <v>1953</v>
      </c>
      <c r="V4212" s="422" t="s">
        <v>2813</v>
      </c>
    </row>
    <row r="4213" spans="1:22" ht="15.75" thickBot="1" x14ac:dyDescent="0.3">
      <c r="A4213" t="s">
        <v>4584</v>
      </c>
      <c r="B4213" t="s">
        <v>4584</v>
      </c>
      <c r="C4213" s="424" t="str">
        <f t="shared" si="169"/>
        <v>Frota Azul Algarve - Transportes e Turismo, LDA.</v>
      </c>
      <c r="D4213" t="s">
        <v>629</v>
      </c>
      <c r="F4213" s="432" t="s">
        <v>620</v>
      </c>
      <c r="G4213" s="89">
        <v>2019</v>
      </c>
      <c r="H4213" s="453" t="s">
        <v>733</v>
      </c>
      <c r="I4213" s="311" t="str">
        <f t="shared" si="170"/>
        <v>Pesado de Passageiros M3:  : Gasóleo : E6</v>
      </c>
      <c r="J4213">
        <v>55</v>
      </c>
      <c r="K4213" s="422">
        <v>2023</v>
      </c>
      <c r="L4213" s="427">
        <v>17226.91</v>
      </c>
      <c r="M4213" s="427" t="s">
        <v>630</v>
      </c>
      <c r="N4213" s="434">
        <v>51384</v>
      </c>
      <c r="O4213" s="436">
        <f t="shared" si="171"/>
        <v>2826120</v>
      </c>
      <c r="P4213" s="435">
        <v>43602</v>
      </c>
      <c r="Q4213" s="427" t="s">
        <v>47</v>
      </c>
      <c r="R4213" s="422" t="s">
        <v>1869</v>
      </c>
      <c r="S4213" s="422" t="s">
        <v>1861</v>
      </c>
      <c r="T4213" s="427" t="s">
        <v>4977</v>
      </c>
      <c r="U4213" s="422" t="s">
        <v>1953</v>
      </c>
      <c r="V4213" s="422" t="s">
        <v>2813</v>
      </c>
    </row>
    <row r="4214" spans="1:22" ht="15.75" thickBot="1" x14ac:dyDescent="0.3">
      <c r="A4214" t="s">
        <v>4584</v>
      </c>
      <c r="B4214" t="s">
        <v>4584</v>
      </c>
      <c r="C4214" s="424" t="str">
        <f t="shared" si="169"/>
        <v>Frota Azul Algarve - Transportes e Turismo, LDA.</v>
      </c>
      <c r="D4214" t="s">
        <v>629</v>
      </c>
      <c r="F4214" s="432" t="s">
        <v>620</v>
      </c>
      <c r="G4214" s="89">
        <v>2019</v>
      </c>
      <c r="H4214" s="453" t="s">
        <v>733</v>
      </c>
      <c r="I4214" s="311" t="str">
        <f t="shared" si="170"/>
        <v>Pesado de Passageiros M3:  : Gasóleo : E6</v>
      </c>
      <c r="J4214">
        <v>55</v>
      </c>
      <c r="K4214" s="422">
        <v>2023</v>
      </c>
      <c r="L4214" s="427">
        <v>11364.76</v>
      </c>
      <c r="M4214" s="427" t="s">
        <v>630</v>
      </c>
      <c r="N4214" s="434">
        <v>35087</v>
      </c>
      <c r="O4214" s="436">
        <f t="shared" si="171"/>
        <v>1929785</v>
      </c>
      <c r="P4214" s="435">
        <v>43602</v>
      </c>
      <c r="Q4214" s="427" t="s">
        <v>47</v>
      </c>
      <c r="R4214" s="422" t="s">
        <v>1869</v>
      </c>
      <c r="S4214" s="422" t="s">
        <v>1861</v>
      </c>
      <c r="T4214" s="427" t="s">
        <v>4978</v>
      </c>
      <c r="U4214" s="422" t="s">
        <v>1953</v>
      </c>
      <c r="V4214" s="422" t="s">
        <v>2813</v>
      </c>
    </row>
    <row r="4215" spans="1:22" ht="15.75" thickBot="1" x14ac:dyDescent="0.3">
      <c r="A4215" t="s">
        <v>4584</v>
      </c>
      <c r="B4215" t="s">
        <v>4584</v>
      </c>
      <c r="C4215" s="424" t="str">
        <f t="shared" si="169"/>
        <v>Frota Azul Algarve - Transportes e Turismo, LDA.</v>
      </c>
      <c r="D4215" t="s">
        <v>629</v>
      </c>
      <c r="F4215" s="432" t="s">
        <v>620</v>
      </c>
      <c r="G4215" s="89">
        <v>2018</v>
      </c>
      <c r="H4215" s="453" t="s">
        <v>733</v>
      </c>
      <c r="I4215" s="311" t="str">
        <f t="shared" si="170"/>
        <v>Pesado de Passageiros M3:  : Gasóleo : E6</v>
      </c>
      <c r="J4215">
        <v>35</v>
      </c>
      <c r="K4215" s="422">
        <v>2023</v>
      </c>
      <c r="L4215" s="427">
        <v>4607.1100000000006</v>
      </c>
      <c r="M4215" s="427" t="s">
        <v>630</v>
      </c>
      <c r="N4215" s="434">
        <v>13260</v>
      </c>
      <c r="O4215" s="436">
        <f t="shared" si="171"/>
        <v>464100</v>
      </c>
      <c r="P4215" s="435">
        <v>43103</v>
      </c>
      <c r="Q4215" s="427" t="s">
        <v>47</v>
      </c>
      <c r="R4215" s="422" t="s">
        <v>1869</v>
      </c>
      <c r="S4215" s="422" t="s">
        <v>1861</v>
      </c>
      <c r="T4215" s="427" t="s">
        <v>4979</v>
      </c>
      <c r="U4215" s="422" t="s">
        <v>1953</v>
      </c>
      <c r="V4215" s="422" t="s">
        <v>2813</v>
      </c>
    </row>
    <row r="4216" spans="1:22" ht="15.75" thickBot="1" x14ac:dyDescent="0.3">
      <c r="A4216" t="s">
        <v>4584</v>
      </c>
      <c r="B4216" t="s">
        <v>4584</v>
      </c>
      <c r="C4216" s="424" t="str">
        <f t="shared" si="169"/>
        <v>Frota Azul Algarve - Transportes e Turismo, LDA.</v>
      </c>
      <c r="D4216" t="s">
        <v>629</v>
      </c>
      <c r="F4216" s="432" t="s">
        <v>620</v>
      </c>
      <c r="G4216" s="89">
        <v>2019</v>
      </c>
      <c r="H4216" s="313" t="s">
        <v>731</v>
      </c>
      <c r="I4216" s="311" t="str">
        <f t="shared" si="170"/>
        <v>Pesado de Passageiros M3:  : Gasóleo : E4</v>
      </c>
      <c r="J4216">
        <v>37</v>
      </c>
      <c r="K4216" s="422">
        <v>2023</v>
      </c>
      <c r="L4216" s="427">
        <v>11260.93</v>
      </c>
      <c r="M4216" s="427" t="s">
        <v>630</v>
      </c>
      <c r="N4216" s="434">
        <v>32739</v>
      </c>
      <c r="O4216" s="436">
        <f t="shared" si="171"/>
        <v>1211343</v>
      </c>
      <c r="P4216" s="435">
        <v>43500</v>
      </c>
      <c r="Q4216" s="427" t="s">
        <v>47</v>
      </c>
      <c r="R4216" s="422" t="s">
        <v>1869</v>
      </c>
      <c r="S4216" s="422" t="s">
        <v>1861</v>
      </c>
      <c r="T4216" s="427" t="s">
        <v>4980</v>
      </c>
      <c r="U4216" s="422" t="s">
        <v>1953</v>
      </c>
      <c r="V4216" s="422" t="s">
        <v>2813</v>
      </c>
    </row>
    <row r="4217" spans="1:22" ht="15.75" thickBot="1" x14ac:dyDescent="0.3">
      <c r="A4217" t="s">
        <v>4584</v>
      </c>
      <c r="B4217" t="s">
        <v>4584</v>
      </c>
      <c r="C4217" s="424" t="str">
        <f t="shared" si="169"/>
        <v>Frota Azul Algarve - Transportes e Turismo, LDA.</v>
      </c>
      <c r="D4217" t="s">
        <v>629</v>
      </c>
      <c r="F4217" s="432" t="s">
        <v>620</v>
      </c>
      <c r="G4217" s="89">
        <v>2019</v>
      </c>
      <c r="H4217" s="313" t="s">
        <v>731</v>
      </c>
      <c r="I4217" s="311" t="str">
        <f t="shared" si="170"/>
        <v>Pesado de Passageiros M3:  : Gasóleo : E4</v>
      </c>
      <c r="J4217">
        <v>37</v>
      </c>
      <c r="K4217" s="422">
        <v>2023</v>
      </c>
      <c r="L4217" s="427">
        <v>9992.2199999999993</v>
      </c>
      <c r="M4217" s="427" t="s">
        <v>630</v>
      </c>
      <c r="N4217" s="434">
        <v>31138</v>
      </c>
      <c r="O4217" s="436">
        <f t="shared" si="171"/>
        <v>1152106</v>
      </c>
      <c r="P4217" s="435">
        <v>43500</v>
      </c>
      <c r="Q4217" s="427" t="s">
        <v>47</v>
      </c>
      <c r="R4217" s="422" t="s">
        <v>1869</v>
      </c>
      <c r="S4217" s="422" t="s">
        <v>1861</v>
      </c>
      <c r="T4217" s="427" t="s">
        <v>4981</v>
      </c>
      <c r="U4217" s="422" t="s">
        <v>1953</v>
      </c>
      <c r="V4217" s="422" t="s">
        <v>2813</v>
      </c>
    </row>
    <row r="4218" spans="1:22" ht="15.75" thickBot="1" x14ac:dyDescent="0.3">
      <c r="A4218" t="s">
        <v>4584</v>
      </c>
      <c r="B4218" t="s">
        <v>4584</v>
      </c>
      <c r="C4218" s="424" t="str">
        <f t="shared" si="169"/>
        <v>Frota Azul Algarve - Transportes e Turismo, LDA.</v>
      </c>
      <c r="D4218" t="s">
        <v>629</v>
      </c>
      <c r="F4218" s="432" t="s">
        <v>620</v>
      </c>
      <c r="G4218" s="89">
        <v>2010</v>
      </c>
      <c r="H4218" s="313" t="s">
        <v>731</v>
      </c>
      <c r="I4218" s="311" t="str">
        <f t="shared" si="170"/>
        <v>Pesado de Passageiros M3:  : Gasóleo : E4</v>
      </c>
      <c r="J4218">
        <v>46</v>
      </c>
      <c r="K4218" s="422">
        <v>2023</v>
      </c>
      <c r="L4218" s="427">
        <v>9042.0400000000009</v>
      </c>
      <c r="M4218" s="427" t="s">
        <v>630</v>
      </c>
      <c r="N4218" s="434">
        <v>27188</v>
      </c>
      <c r="O4218" s="436">
        <f t="shared" si="171"/>
        <v>1250648</v>
      </c>
      <c r="P4218" s="435">
        <v>40434</v>
      </c>
      <c r="Q4218" s="427" t="s">
        <v>47</v>
      </c>
      <c r="R4218" s="422" t="s">
        <v>1869</v>
      </c>
      <c r="S4218" s="422" t="s">
        <v>1861</v>
      </c>
      <c r="T4218" s="427" t="s">
        <v>4982</v>
      </c>
      <c r="U4218" s="422" t="s">
        <v>1953</v>
      </c>
      <c r="V4218" s="422" t="s">
        <v>2813</v>
      </c>
    </row>
    <row r="4219" spans="1:22" ht="15.75" thickBot="1" x14ac:dyDescent="0.3">
      <c r="A4219" t="s">
        <v>4584</v>
      </c>
      <c r="B4219" t="s">
        <v>4584</v>
      </c>
      <c r="C4219" s="424" t="str">
        <f t="shared" si="169"/>
        <v>Frota Azul Algarve - Transportes e Turismo, LDA.</v>
      </c>
      <c r="D4219" t="s">
        <v>629</v>
      </c>
      <c r="F4219" s="432" t="s">
        <v>620</v>
      </c>
      <c r="G4219" s="89">
        <v>2008</v>
      </c>
      <c r="H4219" s="313" t="s">
        <v>731</v>
      </c>
      <c r="I4219" s="311" t="str">
        <f t="shared" si="170"/>
        <v>Pesado de Passageiros M3:  : Gasóleo : E4</v>
      </c>
      <c r="J4219">
        <v>51</v>
      </c>
      <c r="K4219" s="422">
        <v>2023</v>
      </c>
      <c r="L4219" s="427">
        <v>12443.46</v>
      </c>
      <c r="M4219" s="427" t="s">
        <v>630</v>
      </c>
      <c r="N4219" s="434">
        <v>36703</v>
      </c>
      <c r="O4219" s="436">
        <f t="shared" si="171"/>
        <v>1871853</v>
      </c>
      <c r="P4219" s="435">
        <v>39640</v>
      </c>
      <c r="Q4219" s="427" t="s">
        <v>47</v>
      </c>
      <c r="R4219" s="422" t="s">
        <v>1869</v>
      </c>
      <c r="S4219" s="422" t="s">
        <v>1861</v>
      </c>
      <c r="T4219" s="427" t="s">
        <v>4983</v>
      </c>
      <c r="U4219" s="422" t="s">
        <v>1953</v>
      </c>
      <c r="V4219" s="422" t="s">
        <v>2813</v>
      </c>
    </row>
    <row r="4220" spans="1:22" ht="15.75" thickBot="1" x14ac:dyDescent="0.3">
      <c r="A4220" t="s">
        <v>4584</v>
      </c>
      <c r="B4220" t="s">
        <v>4584</v>
      </c>
      <c r="C4220" s="424" t="str">
        <f t="shared" si="169"/>
        <v>Frota Azul Algarve - Transportes e Turismo, LDA.</v>
      </c>
      <c r="D4220" t="s">
        <v>629</v>
      </c>
      <c r="F4220" s="432" t="s">
        <v>620</v>
      </c>
      <c r="G4220" s="89">
        <v>2008</v>
      </c>
      <c r="H4220" s="313" t="s">
        <v>731</v>
      </c>
      <c r="I4220" s="311" t="str">
        <f t="shared" si="170"/>
        <v>Pesado de Passageiros M3:  : Gasóleo : E4</v>
      </c>
      <c r="J4220">
        <v>55</v>
      </c>
      <c r="K4220" s="422">
        <v>2023</v>
      </c>
      <c r="L4220" s="427">
        <v>16913.23</v>
      </c>
      <c r="M4220" s="427" t="s">
        <v>630</v>
      </c>
      <c r="N4220" s="434">
        <v>48581</v>
      </c>
      <c r="O4220" s="436">
        <f t="shared" si="171"/>
        <v>2671955</v>
      </c>
      <c r="P4220" s="435">
        <v>39539</v>
      </c>
      <c r="Q4220" s="427" t="s">
        <v>47</v>
      </c>
      <c r="R4220" s="422" t="s">
        <v>1869</v>
      </c>
      <c r="S4220" s="422" t="s">
        <v>1861</v>
      </c>
      <c r="T4220" s="427" t="s">
        <v>4984</v>
      </c>
      <c r="U4220" s="422" t="s">
        <v>1953</v>
      </c>
      <c r="V4220" s="422" t="s">
        <v>2813</v>
      </c>
    </row>
    <row r="4221" spans="1:22" ht="15.75" thickBot="1" x14ac:dyDescent="0.3">
      <c r="A4221" t="s">
        <v>4584</v>
      </c>
      <c r="B4221" t="s">
        <v>4584</v>
      </c>
      <c r="C4221" s="424" t="str">
        <f t="shared" si="169"/>
        <v>Frota Azul Algarve - Transportes e Turismo, LDA.</v>
      </c>
      <c r="D4221" t="s">
        <v>629</v>
      </c>
      <c r="F4221" s="432" t="s">
        <v>620</v>
      </c>
      <c r="G4221" s="89">
        <v>2007</v>
      </c>
      <c r="H4221" s="313" t="s">
        <v>731</v>
      </c>
      <c r="I4221" s="311" t="str">
        <f t="shared" si="170"/>
        <v>Pesado de Passageiros M3:  : Gasóleo : E4</v>
      </c>
      <c r="J4221">
        <v>51</v>
      </c>
      <c r="K4221" s="422">
        <v>2023</v>
      </c>
      <c r="L4221" s="427">
        <v>8495.41</v>
      </c>
      <c r="M4221" s="427" t="s">
        <v>630</v>
      </c>
      <c r="N4221" s="434">
        <v>25984</v>
      </c>
      <c r="O4221" s="436">
        <f t="shared" si="171"/>
        <v>1325184</v>
      </c>
      <c r="P4221" s="435">
        <v>39171</v>
      </c>
      <c r="Q4221" s="427" t="s">
        <v>47</v>
      </c>
      <c r="R4221" s="422" t="s">
        <v>1869</v>
      </c>
      <c r="S4221" s="422" t="s">
        <v>1861</v>
      </c>
      <c r="T4221" s="427" t="s">
        <v>4985</v>
      </c>
      <c r="U4221" s="422" t="s">
        <v>1953</v>
      </c>
      <c r="V4221" s="422" t="s">
        <v>2813</v>
      </c>
    </row>
    <row r="4222" spans="1:22" ht="15.75" thickBot="1" x14ac:dyDescent="0.3">
      <c r="A4222" t="s">
        <v>4584</v>
      </c>
      <c r="B4222" t="s">
        <v>4584</v>
      </c>
      <c r="C4222" s="424" t="str">
        <f t="shared" si="169"/>
        <v>Frota Azul Algarve - Transportes e Turismo, LDA.</v>
      </c>
      <c r="D4222" t="s">
        <v>629</v>
      </c>
      <c r="F4222" s="432" t="s">
        <v>620</v>
      </c>
      <c r="G4222" s="89">
        <v>2018</v>
      </c>
      <c r="H4222" s="313" t="s">
        <v>731</v>
      </c>
      <c r="I4222" s="311" t="str">
        <f t="shared" si="170"/>
        <v>Pesado de Passageiros M3:  : Gasóleo : E4</v>
      </c>
      <c r="J4222">
        <v>55</v>
      </c>
      <c r="K4222" s="422">
        <v>2023</v>
      </c>
      <c r="L4222" s="427">
        <v>82744.149999999994</v>
      </c>
      <c r="M4222" s="427" t="s">
        <v>630</v>
      </c>
      <c r="N4222" s="434">
        <v>316834</v>
      </c>
      <c r="O4222" s="436">
        <f t="shared" si="171"/>
        <v>17425870</v>
      </c>
      <c r="P4222" s="435">
        <v>43115</v>
      </c>
      <c r="Q4222" s="427" t="s">
        <v>47</v>
      </c>
      <c r="R4222" s="422" t="s">
        <v>1869</v>
      </c>
      <c r="S4222" s="422" t="s">
        <v>1861</v>
      </c>
      <c r="T4222" s="427" t="s">
        <v>4986</v>
      </c>
      <c r="U4222" s="422" t="s">
        <v>1953</v>
      </c>
      <c r="V4222" s="422" t="s">
        <v>2813</v>
      </c>
    </row>
    <row r="4223" spans="1:22" ht="15.75" thickBot="1" x14ac:dyDescent="0.3">
      <c r="A4223" t="s">
        <v>4584</v>
      </c>
      <c r="B4223" t="s">
        <v>4584</v>
      </c>
      <c r="C4223" s="424" t="str">
        <f t="shared" si="169"/>
        <v>Frota Azul Algarve - Transportes e Turismo, LDA.</v>
      </c>
      <c r="D4223" t="s">
        <v>629</v>
      </c>
      <c r="F4223" s="432" t="s">
        <v>620</v>
      </c>
      <c r="G4223" s="89">
        <v>2018</v>
      </c>
      <c r="H4223" s="313" t="s">
        <v>731</v>
      </c>
      <c r="I4223" s="311" t="str">
        <f t="shared" si="170"/>
        <v>Pesado de Passageiros M3:  : Gasóleo : E4</v>
      </c>
      <c r="J4223">
        <v>55</v>
      </c>
      <c r="K4223" s="422">
        <v>2023</v>
      </c>
      <c r="L4223" s="427">
        <v>36481.57</v>
      </c>
      <c r="M4223" s="427" t="s">
        <v>630</v>
      </c>
      <c r="N4223" s="434">
        <v>130063</v>
      </c>
      <c r="O4223" s="436">
        <f t="shared" si="171"/>
        <v>7153465</v>
      </c>
      <c r="P4223" s="435">
        <v>43115</v>
      </c>
      <c r="Q4223" s="427" t="s">
        <v>47</v>
      </c>
      <c r="R4223" s="422" t="s">
        <v>1869</v>
      </c>
      <c r="S4223" s="422" t="s">
        <v>1861</v>
      </c>
      <c r="T4223" s="427" t="s">
        <v>4987</v>
      </c>
      <c r="U4223" s="422" t="s">
        <v>1953</v>
      </c>
      <c r="V4223" s="422" t="s">
        <v>2813</v>
      </c>
    </row>
    <row r="4224" spans="1:22" ht="15.75" thickBot="1" x14ac:dyDescent="0.3">
      <c r="A4224" t="s">
        <v>4584</v>
      </c>
      <c r="B4224" t="s">
        <v>4584</v>
      </c>
      <c r="C4224" s="424" t="str">
        <f t="shared" si="169"/>
        <v>Frota Azul Algarve - Transportes e Turismo, LDA.</v>
      </c>
      <c r="D4224" t="s">
        <v>629</v>
      </c>
      <c r="F4224" s="432" t="s">
        <v>620</v>
      </c>
      <c r="G4224" s="89">
        <v>2023</v>
      </c>
      <c r="H4224" s="313" t="s">
        <v>734</v>
      </c>
      <c r="I4224" s="311" t="str">
        <f t="shared" si="170"/>
        <v>Pesado de Passageiros M3:  : Gasóleo : E5</v>
      </c>
      <c r="J4224">
        <v>54</v>
      </c>
      <c r="K4224" s="422">
        <v>2023</v>
      </c>
      <c r="L4224" s="427">
        <v>53753.51</v>
      </c>
      <c r="M4224" s="427" t="s">
        <v>630</v>
      </c>
      <c r="N4224" s="434">
        <v>217654</v>
      </c>
      <c r="O4224" s="436">
        <f t="shared" si="171"/>
        <v>11753316</v>
      </c>
      <c r="P4224" s="435">
        <v>44951</v>
      </c>
      <c r="Q4224" s="427" t="s">
        <v>47</v>
      </c>
      <c r="R4224" s="422" t="s">
        <v>1869</v>
      </c>
      <c r="S4224" s="422" t="s">
        <v>1861</v>
      </c>
      <c r="T4224" s="427" t="s">
        <v>4988</v>
      </c>
      <c r="U4224" s="422" t="s">
        <v>1953</v>
      </c>
      <c r="V4224" s="422" t="s">
        <v>2813</v>
      </c>
    </row>
    <row r="4225" spans="1:22" ht="15.75" thickBot="1" x14ac:dyDescent="0.3">
      <c r="A4225" t="s">
        <v>4584</v>
      </c>
      <c r="B4225" t="s">
        <v>4584</v>
      </c>
      <c r="C4225" s="424" t="str">
        <f t="shared" si="169"/>
        <v>Frota Azul Algarve - Transportes e Turismo, LDA.</v>
      </c>
      <c r="D4225" t="s">
        <v>629</v>
      </c>
      <c r="F4225" s="432" t="s">
        <v>620</v>
      </c>
      <c r="G4225" s="89">
        <v>2016</v>
      </c>
      <c r="H4225" s="313" t="s">
        <v>731</v>
      </c>
      <c r="I4225" s="311" t="str">
        <f t="shared" si="170"/>
        <v>Pesado de Passageiros M3:  : Gasóleo : E4</v>
      </c>
      <c r="J4225">
        <v>59</v>
      </c>
      <c r="K4225" s="422">
        <v>2023</v>
      </c>
      <c r="L4225" s="427">
        <v>16672.36</v>
      </c>
      <c r="M4225" s="427" t="s">
        <v>630</v>
      </c>
      <c r="N4225" s="434">
        <v>51864</v>
      </c>
      <c r="O4225" s="436">
        <f t="shared" si="171"/>
        <v>3059976</v>
      </c>
      <c r="P4225" s="435">
        <v>42405</v>
      </c>
      <c r="Q4225" s="427" t="s">
        <v>47</v>
      </c>
      <c r="R4225" s="422" t="s">
        <v>1869</v>
      </c>
      <c r="S4225" s="422" t="s">
        <v>1861</v>
      </c>
      <c r="T4225" s="427" t="s">
        <v>4989</v>
      </c>
      <c r="U4225" s="422" t="s">
        <v>1953</v>
      </c>
      <c r="V4225" s="422" t="s">
        <v>2813</v>
      </c>
    </row>
    <row r="4226" spans="1:22" ht="15.75" thickBot="1" x14ac:dyDescent="0.3">
      <c r="A4226" t="s">
        <v>4584</v>
      </c>
      <c r="B4226" t="s">
        <v>4584</v>
      </c>
      <c r="C4226" s="424" t="str">
        <f t="shared" si="169"/>
        <v>Frota Azul Algarve - Transportes e Turismo, LDA.</v>
      </c>
      <c r="D4226" t="s">
        <v>629</v>
      </c>
      <c r="F4226" s="432" t="s">
        <v>620</v>
      </c>
      <c r="G4226" s="89">
        <v>2009</v>
      </c>
      <c r="H4226" s="313" t="s">
        <v>731</v>
      </c>
      <c r="I4226" s="311" t="str">
        <f t="shared" si="170"/>
        <v>Pesado de Passageiros M3:  : Gasóleo : E4</v>
      </c>
      <c r="J4226">
        <v>57</v>
      </c>
      <c r="K4226" s="422">
        <v>2023</v>
      </c>
      <c r="L4226" s="427">
        <v>20148.14</v>
      </c>
      <c r="M4226" s="427" t="s">
        <v>630</v>
      </c>
      <c r="N4226" s="434">
        <v>65625</v>
      </c>
      <c r="O4226" s="436">
        <f t="shared" si="171"/>
        <v>3740625</v>
      </c>
      <c r="P4226" s="435">
        <v>39819</v>
      </c>
      <c r="Q4226" s="427" t="s">
        <v>47</v>
      </c>
      <c r="R4226" s="422" t="s">
        <v>1869</v>
      </c>
      <c r="S4226" s="422" t="s">
        <v>1861</v>
      </c>
      <c r="T4226" s="427" t="s">
        <v>4990</v>
      </c>
      <c r="U4226" s="422" t="s">
        <v>1953</v>
      </c>
      <c r="V4226" s="422" t="s">
        <v>2813</v>
      </c>
    </row>
    <row r="4227" spans="1:22" ht="15.75" thickBot="1" x14ac:dyDescent="0.3">
      <c r="A4227" t="s">
        <v>4584</v>
      </c>
      <c r="B4227" t="s">
        <v>4584</v>
      </c>
      <c r="C4227" s="424" t="str">
        <f t="shared" si="169"/>
        <v>Frota Azul Algarve - Transportes e Turismo, LDA.</v>
      </c>
      <c r="D4227" t="s">
        <v>629</v>
      </c>
      <c r="F4227" s="432" t="s">
        <v>620</v>
      </c>
      <c r="G4227" s="89">
        <v>2007</v>
      </c>
      <c r="H4227" s="313" t="s">
        <v>731</v>
      </c>
      <c r="I4227" s="311" t="str">
        <f t="shared" si="170"/>
        <v>Pesado de Passageiros M3:  : Gasóleo : E4</v>
      </c>
      <c r="J4227">
        <v>50</v>
      </c>
      <c r="K4227" s="422">
        <v>2023</v>
      </c>
      <c r="L4227" s="427">
        <v>6619.29</v>
      </c>
      <c r="M4227" s="427" t="s">
        <v>630</v>
      </c>
      <c r="N4227" s="434">
        <v>20332</v>
      </c>
      <c r="O4227" s="436">
        <f t="shared" si="171"/>
        <v>1016600</v>
      </c>
      <c r="P4227" s="435">
        <v>39189</v>
      </c>
      <c r="Q4227" s="427" t="s">
        <v>47</v>
      </c>
      <c r="R4227" s="422" t="s">
        <v>1869</v>
      </c>
      <c r="S4227" s="422" t="s">
        <v>1861</v>
      </c>
      <c r="T4227" s="427" t="s">
        <v>4991</v>
      </c>
      <c r="U4227" s="422" t="s">
        <v>1953</v>
      </c>
      <c r="V4227" s="422" t="s">
        <v>2813</v>
      </c>
    </row>
    <row r="4228" spans="1:22" ht="15.75" thickBot="1" x14ac:dyDescent="0.3">
      <c r="A4228" t="s">
        <v>4584</v>
      </c>
      <c r="B4228" t="s">
        <v>4584</v>
      </c>
      <c r="C4228" s="424" t="str">
        <f t="shared" si="169"/>
        <v>Frota Azul Algarve - Transportes e Turismo, LDA.</v>
      </c>
      <c r="D4228" t="s">
        <v>629</v>
      </c>
      <c r="F4228" s="432" t="s">
        <v>620</v>
      </c>
      <c r="G4228" s="89">
        <v>2006</v>
      </c>
      <c r="H4228" s="313" t="s">
        <v>731</v>
      </c>
      <c r="I4228" s="311" t="str">
        <f t="shared" si="170"/>
        <v>Pesado de Passageiros M3:  : Gasóleo : E4</v>
      </c>
      <c r="J4228">
        <v>50</v>
      </c>
      <c r="K4228" s="422">
        <v>2023</v>
      </c>
      <c r="L4228" s="427">
        <v>19732.650000000001</v>
      </c>
      <c r="M4228" s="427" t="s">
        <v>630</v>
      </c>
      <c r="N4228" s="434">
        <v>67372</v>
      </c>
      <c r="O4228" s="436">
        <f t="shared" si="171"/>
        <v>3368600</v>
      </c>
      <c r="P4228" s="435">
        <v>38721</v>
      </c>
      <c r="Q4228" s="427" t="s">
        <v>47</v>
      </c>
      <c r="R4228" s="422" t="s">
        <v>1869</v>
      </c>
      <c r="S4228" s="422" t="s">
        <v>1861</v>
      </c>
      <c r="T4228" s="427" t="s">
        <v>4992</v>
      </c>
      <c r="U4228" s="422" t="s">
        <v>1953</v>
      </c>
      <c r="V4228" s="422" t="s">
        <v>2813</v>
      </c>
    </row>
    <row r="4229" spans="1:22" ht="15.75" thickBot="1" x14ac:dyDescent="0.3">
      <c r="A4229" t="s">
        <v>4584</v>
      </c>
      <c r="B4229" t="s">
        <v>4584</v>
      </c>
      <c r="C4229" s="424" t="str">
        <f t="shared" si="169"/>
        <v>Frota Azul Algarve - Transportes e Turismo, LDA.</v>
      </c>
      <c r="D4229" t="s">
        <v>629</v>
      </c>
      <c r="F4229" s="432" t="s">
        <v>620</v>
      </c>
      <c r="G4229" s="89">
        <v>2004</v>
      </c>
      <c r="H4229" s="313" t="s">
        <v>731</v>
      </c>
      <c r="I4229" s="311" t="str">
        <f t="shared" si="170"/>
        <v>Pesado de Passageiros M3:  : Gasóleo : E4</v>
      </c>
      <c r="J4229">
        <v>55</v>
      </c>
      <c r="K4229" s="422">
        <v>2023</v>
      </c>
      <c r="L4229" s="427">
        <v>5854.42</v>
      </c>
      <c r="M4229" s="427" t="s">
        <v>630</v>
      </c>
      <c r="N4229" s="434">
        <v>19119</v>
      </c>
      <c r="O4229" s="436">
        <f t="shared" si="171"/>
        <v>1051545</v>
      </c>
      <c r="P4229" s="435">
        <v>38047</v>
      </c>
      <c r="Q4229" s="427" t="s">
        <v>47</v>
      </c>
      <c r="R4229" s="422" t="s">
        <v>1869</v>
      </c>
      <c r="S4229" s="422" t="s">
        <v>1861</v>
      </c>
      <c r="T4229" s="427" t="s">
        <v>4993</v>
      </c>
      <c r="U4229" s="422" t="s">
        <v>1953</v>
      </c>
      <c r="V4229" s="422" t="s">
        <v>2813</v>
      </c>
    </row>
    <row r="4230" spans="1:22" ht="15.75" thickBot="1" x14ac:dyDescent="0.3">
      <c r="A4230" t="s">
        <v>4584</v>
      </c>
      <c r="B4230" t="s">
        <v>4584</v>
      </c>
      <c r="C4230" s="424" t="str">
        <f t="shared" si="169"/>
        <v>Frota Azul Algarve - Transportes e Turismo, LDA.</v>
      </c>
      <c r="D4230" t="s">
        <v>629</v>
      </c>
      <c r="F4230" s="432" t="s">
        <v>620</v>
      </c>
      <c r="G4230" s="89">
        <v>2004</v>
      </c>
      <c r="H4230" s="313" t="s">
        <v>731</v>
      </c>
      <c r="I4230" s="311" t="str">
        <f t="shared" si="170"/>
        <v>Pesado de Passageiros M3:  : Gasóleo : E4</v>
      </c>
      <c r="J4230">
        <v>54</v>
      </c>
      <c r="K4230" s="422">
        <v>2023</v>
      </c>
      <c r="L4230" s="427">
        <v>8082.06</v>
      </c>
      <c r="M4230" s="427" t="s">
        <v>630</v>
      </c>
      <c r="N4230" s="434">
        <v>23516</v>
      </c>
      <c r="O4230" s="436">
        <f t="shared" si="171"/>
        <v>1269864</v>
      </c>
      <c r="P4230" s="435">
        <v>38120</v>
      </c>
      <c r="Q4230" s="427" t="s">
        <v>47</v>
      </c>
      <c r="R4230" s="422" t="s">
        <v>1869</v>
      </c>
      <c r="S4230" s="422" t="s">
        <v>1861</v>
      </c>
      <c r="T4230" s="427" t="s">
        <v>4994</v>
      </c>
      <c r="U4230" s="422" t="s">
        <v>1953</v>
      </c>
      <c r="V4230" s="422" t="s">
        <v>2813</v>
      </c>
    </row>
    <row r="4231" spans="1:22" ht="15.75" thickBot="1" x14ac:dyDescent="0.3">
      <c r="A4231" t="s">
        <v>4584</v>
      </c>
      <c r="B4231" t="s">
        <v>4584</v>
      </c>
      <c r="C4231" s="424" t="str">
        <f t="shared" si="169"/>
        <v>Frota Azul Algarve - Transportes e Turismo, LDA.</v>
      </c>
      <c r="D4231" t="s">
        <v>629</v>
      </c>
      <c r="F4231" s="432" t="s">
        <v>620</v>
      </c>
      <c r="G4231" s="89">
        <v>2003</v>
      </c>
      <c r="H4231" s="313" t="s">
        <v>731</v>
      </c>
      <c r="I4231" s="311" t="str">
        <f t="shared" si="170"/>
        <v>Pesado de Passageiros M3:  : Gasóleo : E4</v>
      </c>
      <c r="J4231">
        <v>80</v>
      </c>
      <c r="K4231" s="422">
        <v>2023</v>
      </c>
      <c r="L4231" s="427">
        <v>17136.91</v>
      </c>
      <c r="M4231" s="427" t="s">
        <v>630</v>
      </c>
      <c r="N4231" s="434">
        <v>51133</v>
      </c>
      <c r="O4231" s="436">
        <f t="shared" si="171"/>
        <v>4090640</v>
      </c>
      <c r="P4231" s="435">
        <v>37917</v>
      </c>
      <c r="Q4231" s="427" t="s">
        <v>47</v>
      </c>
      <c r="R4231" s="422" t="s">
        <v>1869</v>
      </c>
      <c r="S4231" s="422" t="s">
        <v>1861</v>
      </c>
      <c r="T4231" s="427" t="s">
        <v>4995</v>
      </c>
      <c r="U4231" s="422" t="s">
        <v>1953</v>
      </c>
      <c r="V4231" s="422" t="s">
        <v>2813</v>
      </c>
    </row>
    <row r="4232" spans="1:22" ht="15.75" thickBot="1" x14ac:dyDescent="0.3">
      <c r="A4232" t="s">
        <v>4584</v>
      </c>
      <c r="B4232" t="s">
        <v>4584</v>
      </c>
      <c r="C4232" s="424" t="str">
        <f t="shared" si="169"/>
        <v>Frota Azul Algarve - Transportes e Turismo, LDA.</v>
      </c>
      <c r="D4232" t="s">
        <v>629</v>
      </c>
      <c r="F4232" s="432" t="s">
        <v>620</v>
      </c>
      <c r="G4232" s="89">
        <v>2018</v>
      </c>
      <c r="H4232" s="313" t="s">
        <v>733</v>
      </c>
      <c r="I4232" s="311" t="str">
        <f t="shared" si="170"/>
        <v>Pesado de Passageiros M3:  : Gasóleo : E6</v>
      </c>
      <c r="J4232">
        <v>21</v>
      </c>
      <c r="K4232" s="422">
        <v>2023</v>
      </c>
      <c r="L4232" s="427">
        <v>6981.82</v>
      </c>
      <c r="M4232" s="427" t="s">
        <v>630</v>
      </c>
      <c r="N4232" s="434">
        <v>37356</v>
      </c>
      <c r="O4232" s="436">
        <f t="shared" si="171"/>
        <v>784476</v>
      </c>
      <c r="P4232" s="435">
        <v>43119</v>
      </c>
      <c r="Q4232" s="427" t="s">
        <v>47</v>
      </c>
      <c r="R4232" s="422" t="s">
        <v>1869</v>
      </c>
      <c r="S4232" s="422" t="s">
        <v>1861</v>
      </c>
      <c r="T4232" s="427" t="s">
        <v>4996</v>
      </c>
      <c r="U4232" s="422" t="s">
        <v>1953</v>
      </c>
      <c r="V4232" s="422" t="s">
        <v>2813</v>
      </c>
    </row>
    <row r="4233" spans="1:22" ht="15.75" thickBot="1" x14ac:dyDescent="0.3">
      <c r="A4233" t="s">
        <v>4584</v>
      </c>
      <c r="B4233" t="s">
        <v>4584</v>
      </c>
      <c r="C4233" s="424" t="str">
        <f t="shared" si="169"/>
        <v>Frota Azul Algarve - Transportes e Turismo, LDA.</v>
      </c>
      <c r="D4233" t="s">
        <v>629</v>
      </c>
      <c r="F4233" s="432" t="s">
        <v>620</v>
      </c>
      <c r="G4233" s="89">
        <v>2013</v>
      </c>
      <c r="H4233" s="313" t="s">
        <v>731</v>
      </c>
      <c r="I4233" s="311" t="str">
        <f t="shared" si="170"/>
        <v>Pesado de Passageiros M3:  : Gasóleo : E4</v>
      </c>
      <c r="J4233">
        <v>17</v>
      </c>
      <c r="K4233" s="422">
        <v>2023</v>
      </c>
      <c r="L4233" s="427">
        <v>6846.9</v>
      </c>
      <c r="M4233" s="427" t="s">
        <v>630</v>
      </c>
      <c r="N4233" s="434">
        <v>33797</v>
      </c>
      <c r="O4233" s="436">
        <f t="shared" si="171"/>
        <v>574549</v>
      </c>
      <c r="P4233" s="435">
        <v>41383</v>
      </c>
      <c r="Q4233" s="427" t="s">
        <v>47</v>
      </c>
      <c r="R4233" s="422" t="s">
        <v>1869</v>
      </c>
      <c r="S4233" s="422" t="s">
        <v>1861</v>
      </c>
      <c r="T4233" s="427" t="s">
        <v>4997</v>
      </c>
      <c r="U4233" s="422" t="s">
        <v>1953</v>
      </c>
      <c r="V4233" s="422" t="s">
        <v>2813</v>
      </c>
    </row>
    <row r="4234" spans="1:22" ht="15.75" thickBot="1" x14ac:dyDescent="0.3">
      <c r="A4234" t="s">
        <v>4584</v>
      </c>
      <c r="B4234" t="s">
        <v>4584</v>
      </c>
      <c r="C4234" s="424" t="str">
        <f t="shared" si="169"/>
        <v>Frota Azul Algarve - Transportes e Turismo, LDA.</v>
      </c>
      <c r="D4234" t="s">
        <v>629</v>
      </c>
      <c r="F4234" s="432" t="s">
        <v>620</v>
      </c>
      <c r="G4234" s="89">
        <v>2013</v>
      </c>
      <c r="H4234" s="313" t="s">
        <v>731</v>
      </c>
      <c r="I4234" s="311" t="str">
        <f t="shared" si="170"/>
        <v>Pesado de Passageiros M3:  : Gasóleo : E4</v>
      </c>
      <c r="J4234">
        <v>17</v>
      </c>
      <c r="K4234" s="422">
        <v>2023</v>
      </c>
      <c r="L4234" s="427">
        <v>8709.8100000000013</v>
      </c>
      <c r="M4234" s="427" t="s">
        <v>630</v>
      </c>
      <c r="N4234" s="434">
        <v>45289</v>
      </c>
      <c r="O4234" s="436">
        <f t="shared" si="171"/>
        <v>769913</v>
      </c>
      <c r="P4234" s="435">
        <v>41383</v>
      </c>
      <c r="Q4234" s="427" t="s">
        <v>47</v>
      </c>
      <c r="R4234" s="422" t="s">
        <v>1869</v>
      </c>
      <c r="S4234" s="422" t="s">
        <v>1861</v>
      </c>
      <c r="T4234" s="427" t="s">
        <v>4998</v>
      </c>
      <c r="U4234" s="422" t="s">
        <v>1953</v>
      </c>
      <c r="V4234" s="422" t="s">
        <v>2813</v>
      </c>
    </row>
    <row r="4235" spans="1:22" ht="15.75" thickBot="1" x14ac:dyDescent="0.3">
      <c r="A4235" t="s">
        <v>4584</v>
      </c>
      <c r="B4235" t="s">
        <v>4584</v>
      </c>
      <c r="C4235" s="424" t="str">
        <f t="shared" si="169"/>
        <v>Frota Azul Algarve - Transportes e Turismo, LDA.</v>
      </c>
      <c r="D4235" t="s">
        <v>629</v>
      </c>
      <c r="F4235" s="432" t="s">
        <v>620</v>
      </c>
      <c r="G4235" s="89">
        <v>2013</v>
      </c>
      <c r="H4235" s="313" t="s">
        <v>731</v>
      </c>
      <c r="I4235" s="311" t="str">
        <f t="shared" si="170"/>
        <v>Pesado de Passageiros M3:  : Gasóleo : E4</v>
      </c>
      <c r="J4235">
        <v>17</v>
      </c>
      <c r="K4235" s="422">
        <v>2023</v>
      </c>
      <c r="L4235" s="427">
        <v>4210.87</v>
      </c>
      <c r="M4235" s="427" t="s">
        <v>630</v>
      </c>
      <c r="N4235" s="434">
        <v>26277</v>
      </c>
      <c r="O4235" s="436">
        <f t="shared" si="171"/>
        <v>446709</v>
      </c>
      <c r="P4235" s="435">
        <v>41383</v>
      </c>
      <c r="Q4235" s="427" t="s">
        <v>47</v>
      </c>
      <c r="R4235" s="422" t="s">
        <v>1869</v>
      </c>
      <c r="S4235" s="422" t="s">
        <v>1861</v>
      </c>
      <c r="T4235" s="427" t="s">
        <v>4999</v>
      </c>
      <c r="U4235" s="422" t="s">
        <v>1953</v>
      </c>
      <c r="V4235" s="422" t="s">
        <v>2813</v>
      </c>
    </row>
    <row r="4236" spans="1:22" ht="15.75" thickBot="1" x14ac:dyDescent="0.3">
      <c r="A4236" t="s">
        <v>4584</v>
      </c>
      <c r="B4236" t="s">
        <v>4584</v>
      </c>
      <c r="C4236" s="424" t="str">
        <f t="shared" si="169"/>
        <v>Frota Azul Algarve - Transportes e Turismo, LDA.</v>
      </c>
      <c r="D4236" t="s">
        <v>629</v>
      </c>
      <c r="F4236" s="432" t="s">
        <v>620</v>
      </c>
      <c r="G4236" s="89">
        <v>2003</v>
      </c>
      <c r="H4236" s="313" t="s">
        <v>731</v>
      </c>
      <c r="I4236" s="311" t="str">
        <f t="shared" si="170"/>
        <v>Pesado de Passageiros M3:  : Gasóleo : E4</v>
      </c>
      <c r="J4236">
        <v>58</v>
      </c>
      <c r="K4236" s="422">
        <v>2023</v>
      </c>
      <c r="L4236" s="427">
        <v>16430.489999999998</v>
      </c>
      <c r="M4236" s="427" t="s">
        <v>630</v>
      </c>
      <c r="N4236" s="434">
        <v>51168</v>
      </c>
      <c r="O4236" s="436">
        <f t="shared" si="171"/>
        <v>2967744</v>
      </c>
      <c r="P4236" s="435">
        <v>37733</v>
      </c>
      <c r="Q4236" s="427" t="s">
        <v>47</v>
      </c>
      <c r="R4236" s="422" t="s">
        <v>1869</v>
      </c>
      <c r="S4236" s="422" t="s">
        <v>1861</v>
      </c>
      <c r="T4236" s="427" t="s">
        <v>5000</v>
      </c>
      <c r="U4236" s="422" t="s">
        <v>1953</v>
      </c>
      <c r="V4236" s="422" t="s">
        <v>2813</v>
      </c>
    </row>
    <row r="4237" spans="1:22" ht="15.75" thickBot="1" x14ac:dyDescent="0.3">
      <c r="A4237" t="s">
        <v>4584</v>
      </c>
      <c r="B4237" t="s">
        <v>4584</v>
      </c>
      <c r="C4237" s="424" t="str">
        <f t="shared" si="169"/>
        <v>Frota Azul Algarve - Transportes e Turismo, LDA.</v>
      </c>
      <c r="D4237" t="s">
        <v>629</v>
      </c>
      <c r="F4237" s="432" t="s">
        <v>620</v>
      </c>
      <c r="G4237" s="89">
        <v>2017</v>
      </c>
      <c r="H4237" s="313" t="s">
        <v>733</v>
      </c>
      <c r="I4237" s="311" t="str">
        <f t="shared" si="170"/>
        <v>Pesado de Passageiros M3:  : Gasóleo : E6</v>
      </c>
      <c r="J4237">
        <v>21</v>
      </c>
      <c r="K4237" s="422">
        <v>2023</v>
      </c>
      <c r="L4237" s="427">
        <v>8977.74</v>
      </c>
      <c r="M4237" s="427" t="s">
        <v>630</v>
      </c>
      <c r="N4237" s="434">
        <v>46235</v>
      </c>
      <c r="O4237" s="436">
        <f t="shared" si="171"/>
        <v>970935</v>
      </c>
      <c r="P4237" s="435">
        <v>42832</v>
      </c>
      <c r="Q4237" s="427" t="s">
        <v>47</v>
      </c>
      <c r="R4237" s="422" t="s">
        <v>1869</v>
      </c>
      <c r="S4237" s="422" t="s">
        <v>1861</v>
      </c>
      <c r="T4237" s="427" t="s">
        <v>5001</v>
      </c>
      <c r="U4237" s="422" t="s">
        <v>1953</v>
      </c>
      <c r="V4237" s="422" t="s">
        <v>2813</v>
      </c>
    </row>
    <row r="4238" spans="1:22" ht="15.75" thickBot="1" x14ac:dyDescent="0.3">
      <c r="A4238" t="s">
        <v>4584</v>
      </c>
      <c r="B4238" t="s">
        <v>4584</v>
      </c>
      <c r="C4238" s="424" t="str">
        <f t="shared" si="169"/>
        <v>Frota Azul Algarve - Transportes e Turismo, LDA.</v>
      </c>
      <c r="D4238" t="s">
        <v>629</v>
      </c>
      <c r="F4238" s="432" t="s">
        <v>620</v>
      </c>
      <c r="G4238" s="89">
        <v>2017</v>
      </c>
      <c r="H4238" s="313" t="s">
        <v>733</v>
      </c>
      <c r="I4238" s="311" t="str">
        <f t="shared" si="170"/>
        <v>Pesado de Passageiros M3:  : Gasóleo : E6</v>
      </c>
      <c r="J4238">
        <v>21</v>
      </c>
      <c r="K4238" s="422">
        <v>2023</v>
      </c>
      <c r="L4238" s="427">
        <v>10288.030000000001</v>
      </c>
      <c r="M4238" s="427" t="s">
        <v>630</v>
      </c>
      <c r="N4238" s="434">
        <v>53569</v>
      </c>
      <c r="O4238" s="436">
        <f t="shared" si="171"/>
        <v>1124949</v>
      </c>
      <c r="P4238" s="435">
        <v>42832</v>
      </c>
      <c r="Q4238" s="427" t="s">
        <v>47</v>
      </c>
      <c r="R4238" s="422" t="s">
        <v>1869</v>
      </c>
      <c r="S4238" s="422" t="s">
        <v>1861</v>
      </c>
      <c r="T4238" s="427" t="s">
        <v>5002</v>
      </c>
      <c r="U4238" s="422" t="s">
        <v>1953</v>
      </c>
      <c r="V4238" s="422" t="s">
        <v>2813</v>
      </c>
    </row>
    <row r="4239" spans="1:22" ht="15.75" thickBot="1" x14ac:dyDescent="0.3">
      <c r="A4239" t="s">
        <v>4584</v>
      </c>
      <c r="B4239" t="s">
        <v>4584</v>
      </c>
      <c r="C4239" s="424" t="str">
        <f t="shared" si="169"/>
        <v>Frota Azul Algarve - Transportes e Turismo, LDA.</v>
      </c>
      <c r="D4239" t="s">
        <v>629</v>
      </c>
      <c r="F4239" s="432" t="s">
        <v>620</v>
      </c>
      <c r="G4239" s="89">
        <v>2016</v>
      </c>
      <c r="H4239" s="313" t="s">
        <v>4831</v>
      </c>
      <c r="I4239" s="311" t="str">
        <f t="shared" si="170"/>
        <v>Pesado de Passageiros M3:  : Gasóleo : E7</v>
      </c>
      <c r="J4239">
        <v>55</v>
      </c>
      <c r="K4239" s="422">
        <v>2023</v>
      </c>
      <c r="L4239" s="427">
        <v>69916.52</v>
      </c>
      <c r="M4239" s="427" t="s">
        <v>630</v>
      </c>
      <c r="N4239" s="434">
        <v>245790</v>
      </c>
      <c r="O4239" s="436">
        <f t="shared" si="171"/>
        <v>13518450</v>
      </c>
      <c r="P4239" s="435">
        <v>42373</v>
      </c>
      <c r="Q4239" s="427" t="s">
        <v>47</v>
      </c>
      <c r="R4239" s="422" t="s">
        <v>1869</v>
      </c>
      <c r="S4239" s="422" t="s">
        <v>1861</v>
      </c>
      <c r="T4239" s="427" t="s">
        <v>5003</v>
      </c>
      <c r="U4239" s="422" t="s">
        <v>1953</v>
      </c>
      <c r="V4239" s="422" t="s">
        <v>2813</v>
      </c>
    </row>
    <row r="4240" spans="1:22" ht="15.75" thickBot="1" x14ac:dyDescent="0.3">
      <c r="A4240" t="s">
        <v>4584</v>
      </c>
      <c r="B4240" t="s">
        <v>4584</v>
      </c>
      <c r="C4240" s="424" t="str">
        <f t="shared" si="169"/>
        <v>Frota Azul Algarve - Transportes e Turismo, LDA.</v>
      </c>
      <c r="D4240" t="s">
        <v>629</v>
      </c>
      <c r="F4240" s="432" t="s">
        <v>620</v>
      </c>
      <c r="G4240" s="89">
        <v>2014</v>
      </c>
      <c r="H4240" s="313" t="s">
        <v>731</v>
      </c>
      <c r="I4240" s="311" t="str">
        <f t="shared" si="170"/>
        <v>Pesado de Passageiros M3:  : Gasóleo : E4</v>
      </c>
      <c r="J4240" s="422">
        <v>55</v>
      </c>
      <c r="K4240" s="422">
        <v>2023</v>
      </c>
      <c r="L4240" s="427">
        <v>80741.790000000008</v>
      </c>
      <c r="M4240" s="427" t="s">
        <v>630</v>
      </c>
      <c r="N4240" s="434">
        <v>341076</v>
      </c>
      <c r="O4240" s="436">
        <f t="shared" si="171"/>
        <v>18759180</v>
      </c>
      <c r="P4240" s="435">
        <v>41642</v>
      </c>
      <c r="Q4240" s="427" t="s">
        <v>47</v>
      </c>
      <c r="R4240" s="422" t="s">
        <v>1869</v>
      </c>
      <c r="S4240" s="422" t="s">
        <v>1861</v>
      </c>
      <c r="T4240" s="427" t="s">
        <v>5004</v>
      </c>
      <c r="U4240" s="422" t="s">
        <v>1953</v>
      </c>
      <c r="V4240" s="422" t="s">
        <v>2813</v>
      </c>
    </row>
    <row r="4241" spans="1:22" ht="15.75" thickBot="1" x14ac:dyDescent="0.3">
      <c r="A4241" t="s">
        <v>4584</v>
      </c>
      <c r="B4241" t="s">
        <v>4584</v>
      </c>
      <c r="C4241" s="424" t="str">
        <f t="shared" si="169"/>
        <v>Frota Azul Algarve - Transportes e Turismo, LDA.</v>
      </c>
      <c r="D4241" t="s">
        <v>629</v>
      </c>
      <c r="F4241" s="432" t="s">
        <v>620</v>
      </c>
      <c r="G4241" s="89">
        <v>2015</v>
      </c>
      <c r="H4241" s="313" t="s">
        <v>4831</v>
      </c>
      <c r="I4241" s="311" t="str">
        <f t="shared" si="170"/>
        <v>Pesado de Passageiros M3:  : Gasóleo : E7</v>
      </c>
      <c r="J4241">
        <v>55</v>
      </c>
      <c r="K4241" s="422">
        <v>2023</v>
      </c>
      <c r="L4241" s="427">
        <v>102084.75</v>
      </c>
      <c r="M4241" s="427" t="s">
        <v>630</v>
      </c>
      <c r="N4241" s="434">
        <v>366704</v>
      </c>
      <c r="O4241" s="436">
        <f t="shared" si="171"/>
        <v>20168720</v>
      </c>
      <c r="P4241" s="435">
        <v>42038</v>
      </c>
      <c r="Q4241" s="427" t="s">
        <v>47</v>
      </c>
      <c r="R4241" s="422" t="s">
        <v>1869</v>
      </c>
      <c r="S4241" s="422" t="s">
        <v>1861</v>
      </c>
      <c r="T4241" s="427" t="s">
        <v>5005</v>
      </c>
      <c r="U4241" s="422" t="s">
        <v>1953</v>
      </c>
      <c r="V4241" s="422" t="s">
        <v>2813</v>
      </c>
    </row>
    <row r="4242" spans="1:22" ht="15.75" thickBot="1" x14ac:dyDescent="0.3">
      <c r="A4242" t="s">
        <v>4584</v>
      </c>
      <c r="B4242" t="s">
        <v>4584</v>
      </c>
      <c r="C4242" s="424" t="str">
        <f t="shared" si="169"/>
        <v>Frota Azul Algarve - Transportes e Turismo, LDA.</v>
      </c>
      <c r="D4242" t="s">
        <v>629</v>
      </c>
      <c r="F4242" s="432" t="s">
        <v>620</v>
      </c>
      <c r="G4242" s="89">
        <v>2015</v>
      </c>
      <c r="H4242" s="313" t="s">
        <v>4831</v>
      </c>
      <c r="I4242" s="311" t="str">
        <f t="shared" si="170"/>
        <v>Pesado de Passageiros M3:  : Gasóleo : E7</v>
      </c>
      <c r="J4242">
        <v>55</v>
      </c>
      <c r="K4242" s="422">
        <v>2023</v>
      </c>
      <c r="L4242" s="427">
        <v>70500.680000000008</v>
      </c>
      <c r="M4242" s="427" t="s">
        <v>630</v>
      </c>
      <c r="N4242" s="434">
        <v>267226</v>
      </c>
      <c r="O4242" s="436">
        <f t="shared" si="171"/>
        <v>14697430</v>
      </c>
      <c r="P4242" s="435">
        <v>42038</v>
      </c>
      <c r="Q4242" s="427" t="s">
        <v>47</v>
      </c>
      <c r="R4242" s="422" t="s">
        <v>1869</v>
      </c>
      <c r="S4242" s="422" t="s">
        <v>1861</v>
      </c>
      <c r="T4242" s="427" t="s">
        <v>5006</v>
      </c>
      <c r="U4242" s="422" t="s">
        <v>1953</v>
      </c>
      <c r="V4242" s="422" t="s">
        <v>2813</v>
      </c>
    </row>
    <row r="4243" spans="1:22" ht="15.75" thickBot="1" x14ac:dyDescent="0.3">
      <c r="A4243" t="s">
        <v>4584</v>
      </c>
      <c r="B4243" t="s">
        <v>4584</v>
      </c>
      <c r="C4243" s="424" t="str">
        <f t="shared" si="169"/>
        <v>Frota Azul Algarve - Transportes e Turismo, LDA.</v>
      </c>
      <c r="D4243" t="s">
        <v>629</v>
      </c>
      <c r="F4243" s="432" t="s">
        <v>620</v>
      </c>
      <c r="G4243" s="89">
        <v>2008</v>
      </c>
      <c r="H4243" s="313" t="s">
        <v>731</v>
      </c>
      <c r="I4243" s="311" t="str">
        <f t="shared" si="170"/>
        <v>Pesado de Passageiros M3:  : Gasóleo : E4</v>
      </c>
      <c r="J4243">
        <v>60</v>
      </c>
      <c r="K4243" s="422">
        <v>2023</v>
      </c>
      <c r="L4243" s="427">
        <v>11973.6</v>
      </c>
      <c r="M4243" s="427" t="s">
        <v>630</v>
      </c>
      <c r="N4243" s="434">
        <v>35815</v>
      </c>
      <c r="O4243" s="436">
        <f t="shared" si="171"/>
        <v>2148900</v>
      </c>
      <c r="P4243" s="435">
        <v>39526</v>
      </c>
      <c r="Q4243" s="427" t="s">
        <v>47</v>
      </c>
      <c r="R4243" s="422" t="s">
        <v>1869</v>
      </c>
      <c r="S4243" s="422" t="s">
        <v>1861</v>
      </c>
      <c r="T4243" s="427" t="s">
        <v>5007</v>
      </c>
      <c r="U4243" s="422" t="s">
        <v>1953</v>
      </c>
      <c r="V4243" s="422" t="s">
        <v>2813</v>
      </c>
    </row>
    <row r="4244" spans="1:22" ht="15.75" thickBot="1" x14ac:dyDescent="0.3">
      <c r="A4244" t="s">
        <v>4584</v>
      </c>
      <c r="B4244" t="s">
        <v>4584</v>
      </c>
      <c r="C4244" s="424" t="str">
        <f t="shared" si="169"/>
        <v>Frota Azul Algarve - Transportes e Turismo, LDA.</v>
      </c>
      <c r="D4244" t="s">
        <v>629</v>
      </c>
      <c r="F4244" s="432" t="s">
        <v>620</v>
      </c>
      <c r="G4244" s="89">
        <v>2016</v>
      </c>
      <c r="H4244" s="313" t="s">
        <v>4831</v>
      </c>
      <c r="I4244" s="311" t="str">
        <f t="shared" si="170"/>
        <v>Pesado de Passageiros M3:  : Gasóleo : E7</v>
      </c>
      <c r="J4244">
        <v>55</v>
      </c>
      <c r="K4244" s="422">
        <v>2023</v>
      </c>
      <c r="L4244" s="427">
        <v>49931.4</v>
      </c>
      <c r="M4244" s="427" t="s">
        <v>630</v>
      </c>
      <c r="N4244" s="434">
        <v>179120</v>
      </c>
      <c r="O4244" s="436">
        <f t="shared" si="171"/>
        <v>9851600</v>
      </c>
      <c r="P4244" s="435">
        <v>42373</v>
      </c>
      <c r="Q4244" s="427" t="s">
        <v>47</v>
      </c>
      <c r="R4244" s="422" t="s">
        <v>1869</v>
      </c>
      <c r="S4244" s="422" t="s">
        <v>1861</v>
      </c>
      <c r="T4244" s="427" t="s">
        <v>5008</v>
      </c>
      <c r="U4244" s="422" t="s">
        <v>1953</v>
      </c>
      <c r="V4244" s="422" t="s">
        <v>2813</v>
      </c>
    </row>
    <row r="4245" spans="1:22" ht="15.75" thickBot="1" x14ac:dyDescent="0.3">
      <c r="A4245" t="s">
        <v>4584</v>
      </c>
      <c r="B4245" t="s">
        <v>4584</v>
      </c>
      <c r="C4245" s="424" t="str">
        <f t="shared" si="169"/>
        <v>Frota Azul Algarve - Transportes e Turismo, LDA.</v>
      </c>
      <c r="D4245" t="s">
        <v>629</v>
      </c>
      <c r="F4245" s="432" t="s">
        <v>620</v>
      </c>
      <c r="G4245" s="89">
        <v>2016</v>
      </c>
      <c r="H4245" s="313" t="s">
        <v>4831</v>
      </c>
      <c r="I4245" s="311" t="str">
        <f t="shared" si="170"/>
        <v>Pesado de Passageiros M3:  : Gasóleo : E7</v>
      </c>
      <c r="J4245">
        <v>55</v>
      </c>
      <c r="K4245" s="422">
        <v>2023</v>
      </c>
      <c r="L4245" s="427">
        <v>57495.23</v>
      </c>
      <c r="M4245" s="427" t="s">
        <v>630</v>
      </c>
      <c r="N4245" s="434">
        <v>203453</v>
      </c>
      <c r="O4245" s="436">
        <f t="shared" si="171"/>
        <v>11189915</v>
      </c>
      <c r="P4245" s="435">
        <v>42373</v>
      </c>
      <c r="Q4245" s="427" t="s">
        <v>47</v>
      </c>
      <c r="R4245" s="422" t="s">
        <v>1869</v>
      </c>
      <c r="S4245" s="422" t="s">
        <v>1861</v>
      </c>
      <c r="T4245" s="427" t="s">
        <v>5009</v>
      </c>
      <c r="U4245" s="422" t="s">
        <v>1953</v>
      </c>
      <c r="V4245" s="422" t="s">
        <v>2813</v>
      </c>
    </row>
    <row r="4246" spans="1:22" ht="15.75" thickBot="1" x14ac:dyDescent="0.3">
      <c r="A4246" t="s">
        <v>4584</v>
      </c>
      <c r="B4246" t="s">
        <v>4584</v>
      </c>
      <c r="C4246" s="424" t="str">
        <f t="shared" si="169"/>
        <v>Frota Azul Algarve - Transportes e Turismo, LDA.</v>
      </c>
      <c r="D4246" t="s">
        <v>629</v>
      </c>
      <c r="F4246" s="432" t="s">
        <v>620</v>
      </c>
      <c r="G4246" s="89">
        <v>2009</v>
      </c>
      <c r="H4246" s="313" t="s">
        <v>731</v>
      </c>
      <c r="I4246" s="311" t="str">
        <f t="shared" si="170"/>
        <v>Pesado de Passageiros M3:  : Gasóleo : E4</v>
      </c>
      <c r="J4246">
        <v>57</v>
      </c>
      <c r="K4246" s="422">
        <v>2023</v>
      </c>
      <c r="L4246" s="427">
        <v>14492.05</v>
      </c>
      <c r="M4246" s="427" t="s">
        <v>630</v>
      </c>
      <c r="N4246" s="434">
        <v>44054</v>
      </c>
      <c r="O4246" s="436">
        <f t="shared" si="171"/>
        <v>2511078</v>
      </c>
      <c r="P4246" s="435">
        <v>39819</v>
      </c>
      <c r="Q4246" s="427" t="s">
        <v>47</v>
      </c>
      <c r="R4246" s="422" t="s">
        <v>1869</v>
      </c>
      <c r="S4246" s="422" t="s">
        <v>1861</v>
      </c>
      <c r="T4246" s="427" t="s">
        <v>5010</v>
      </c>
      <c r="U4246" s="422" t="s">
        <v>1953</v>
      </c>
      <c r="V4246" s="422" t="s">
        <v>2813</v>
      </c>
    </row>
    <row r="4247" spans="1:22" ht="15.75" thickBot="1" x14ac:dyDescent="0.3">
      <c r="A4247" t="s">
        <v>4584</v>
      </c>
      <c r="B4247" t="s">
        <v>4584</v>
      </c>
      <c r="C4247" s="424" t="str">
        <f t="shared" si="169"/>
        <v>Frota Azul Algarve - Transportes e Turismo, LDA.</v>
      </c>
      <c r="D4247" t="s">
        <v>629</v>
      </c>
      <c r="F4247" s="432" t="s">
        <v>620</v>
      </c>
      <c r="G4247" s="89">
        <v>2009</v>
      </c>
      <c r="H4247" s="313" t="s">
        <v>731</v>
      </c>
      <c r="I4247" s="311" t="str">
        <f t="shared" si="170"/>
        <v>Pesado de Passageiros M3:  : Gasóleo : E4</v>
      </c>
      <c r="J4247">
        <v>57</v>
      </c>
      <c r="K4247" s="422">
        <v>2023</v>
      </c>
      <c r="L4247" s="427">
        <v>11152.93</v>
      </c>
      <c r="M4247" s="427" t="s">
        <v>630</v>
      </c>
      <c r="N4247" s="434">
        <v>34723</v>
      </c>
      <c r="O4247" s="436">
        <f t="shared" si="171"/>
        <v>1979211</v>
      </c>
      <c r="P4247" s="435">
        <v>39819</v>
      </c>
      <c r="Q4247" s="427" t="s">
        <v>47</v>
      </c>
      <c r="R4247" s="422" t="s">
        <v>1869</v>
      </c>
      <c r="S4247" s="422" t="s">
        <v>1861</v>
      </c>
      <c r="T4247" s="427" t="s">
        <v>5011</v>
      </c>
      <c r="U4247" s="422" t="s">
        <v>1953</v>
      </c>
      <c r="V4247" s="422" t="s">
        <v>2813</v>
      </c>
    </row>
    <row r="4248" spans="1:22" ht="15.75" thickBot="1" x14ac:dyDescent="0.3">
      <c r="A4248" t="s">
        <v>4584</v>
      </c>
      <c r="B4248" t="s">
        <v>4584</v>
      </c>
      <c r="C4248" s="424" t="str">
        <f t="shared" ref="C4248:C4311" si="172">IF(A4248=B4248,B4248,RIGHT(A4248,LEN(A4248)-LEN(B4248)-3))</f>
        <v>Frota Azul Algarve - Transportes e Turismo, LDA.</v>
      </c>
      <c r="D4248" t="s">
        <v>629</v>
      </c>
      <c r="F4248" s="432" t="s">
        <v>620</v>
      </c>
      <c r="G4248" s="89">
        <v>2009</v>
      </c>
      <c r="H4248" s="313" t="s">
        <v>731</v>
      </c>
      <c r="I4248" s="311" t="str">
        <f t="shared" si="170"/>
        <v>Pesado de Passageiros M3:  : Gasóleo : E4</v>
      </c>
      <c r="J4248">
        <v>57</v>
      </c>
      <c r="K4248" s="422">
        <v>2023</v>
      </c>
      <c r="L4248" s="427">
        <v>20161.349999999999</v>
      </c>
      <c r="M4248" s="427" t="s">
        <v>630</v>
      </c>
      <c r="N4248" s="434">
        <v>58205</v>
      </c>
      <c r="O4248" s="436">
        <f t="shared" si="171"/>
        <v>3317685</v>
      </c>
      <c r="P4248" s="435">
        <v>39819</v>
      </c>
      <c r="Q4248" s="427" t="s">
        <v>47</v>
      </c>
      <c r="R4248" s="422" t="s">
        <v>1869</v>
      </c>
      <c r="S4248" s="422" t="s">
        <v>1861</v>
      </c>
      <c r="T4248" s="427" t="s">
        <v>5012</v>
      </c>
      <c r="U4248" s="422" t="s">
        <v>1953</v>
      </c>
      <c r="V4248" s="422" t="s">
        <v>2813</v>
      </c>
    </row>
    <row r="4249" spans="1:22" ht="15.75" thickBot="1" x14ac:dyDescent="0.3">
      <c r="A4249" t="s">
        <v>4584</v>
      </c>
      <c r="B4249" t="s">
        <v>4584</v>
      </c>
      <c r="C4249" s="424" t="str">
        <f t="shared" si="172"/>
        <v>Frota Azul Algarve - Transportes e Turismo, LDA.</v>
      </c>
      <c r="D4249" t="s">
        <v>629</v>
      </c>
      <c r="F4249" s="432" t="s">
        <v>620</v>
      </c>
      <c r="G4249" s="89">
        <v>2009</v>
      </c>
      <c r="H4249" s="313" t="s">
        <v>731</v>
      </c>
      <c r="I4249" s="311" t="str">
        <f t="shared" si="170"/>
        <v>Pesado de Passageiros M3:  : Gasóleo : E4</v>
      </c>
      <c r="J4249">
        <v>36</v>
      </c>
      <c r="K4249" s="422">
        <v>2023</v>
      </c>
      <c r="L4249" s="427">
        <v>8320.24</v>
      </c>
      <c r="M4249" s="427" t="s">
        <v>630</v>
      </c>
      <c r="N4249" s="434">
        <v>33459</v>
      </c>
      <c r="O4249" s="436">
        <f t="shared" si="171"/>
        <v>1204524</v>
      </c>
      <c r="P4249" s="435">
        <v>39819</v>
      </c>
      <c r="Q4249" s="427" t="s">
        <v>47</v>
      </c>
      <c r="R4249" s="422" t="s">
        <v>1869</v>
      </c>
      <c r="S4249" s="422" t="s">
        <v>1861</v>
      </c>
      <c r="T4249" s="427" t="s">
        <v>5013</v>
      </c>
      <c r="U4249" s="422" t="s">
        <v>1953</v>
      </c>
      <c r="V4249" s="422" t="s">
        <v>2813</v>
      </c>
    </row>
    <row r="4250" spans="1:22" ht="15.75" thickBot="1" x14ac:dyDescent="0.3">
      <c r="A4250" t="s">
        <v>4584</v>
      </c>
      <c r="B4250" t="s">
        <v>4584</v>
      </c>
      <c r="C4250" s="424" t="str">
        <f t="shared" si="172"/>
        <v>Frota Azul Algarve - Transportes e Turismo, LDA.</v>
      </c>
      <c r="D4250" t="s">
        <v>629</v>
      </c>
      <c r="F4250" s="432" t="s">
        <v>620</v>
      </c>
      <c r="G4250" s="89">
        <v>2004</v>
      </c>
      <c r="H4250" s="313" t="s">
        <v>731</v>
      </c>
      <c r="I4250" s="311" t="str">
        <f t="shared" si="170"/>
        <v>Pesado de Passageiros M3:  : Gasóleo : E4</v>
      </c>
      <c r="J4250">
        <v>55</v>
      </c>
      <c r="K4250" s="422">
        <v>2023</v>
      </c>
      <c r="L4250" s="427">
        <v>5864.56</v>
      </c>
      <c r="M4250" s="427" t="s">
        <v>630</v>
      </c>
      <c r="N4250" s="434">
        <v>20264</v>
      </c>
      <c r="O4250" s="436">
        <f t="shared" si="171"/>
        <v>1114520</v>
      </c>
      <c r="P4250" s="435">
        <v>38059</v>
      </c>
      <c r="Q4250" s="427" t="s">
        <v>47</v>
      </c>
      <c r="R4250" s="422" t="s">
        <v>1869</v>
      </c>
      <c r="S4250" s="422" t="s">
        <v>1861</v>
      </c>
      <c r="T4250" s="427" t="s">
        <v>5014</v>
      </c>
      <c r="U4250" s="422" t="s">
        <v>1953</v>
      </c>
      <c r="V4250" s="422" t="s">
        <v>2813</v>
      </c>
    </row>
    <row r="4251" spans="1:22" ht="15.75" thickBot="1" x14ac:dyDescent="0.3">
      <c r="A4251" t="s">
        <v>4584</v>
      </c>
      <c r="B4251" t="s">
        <v>4584</v>
      </c>
      <c r="C4251" s="424" t="str">
        <f t="shared" si="172"/>
        <v>Frota Azul Algarve - Transportes e Turismo, LDA.</v>
      </c>
      <c r="D4251" t="s">
        <v>629</v>
      </c>
      <c r="F4251" s="432" t="s">
        <v>620</v>
      </c>
      <c r="G4251" s="89">
        <v>2007</v>
      </c>
      <c r="H4251" s="313" t="s">
        <v>731</v>
      </c>
      <c r="I4251" s="311" t="str">
        <f t="shared" si="170"/>
        <v>Pesado de Passageiros M3:  : Gasóleo : E4</v>
      </c>
      <c r="J4251">
        <v>51</v>
      </c>
      <c r="K4251" s="422">
        <v>2023</v>
      </c>
      <c r="L4251" s="427">
        <v>14983.04</v>
      </c>
      <c r="M4251" s="427" t="s">
        <v>630</v>
      </c>
      <c r="N4251" s="434">
        <v>51332</v>
      </c>
      <c r="O4251" s="436">
        <f t="shared" si="171"/>
        <v>2617932</v>
      </c>
      <c r="P4251" s="435">
        <v>39206</v>
      </c>
      <c r="Q4251" s="427" t="s">
        <v>47</v>
      </c>
      <c r="R4251" s="422" t="s">
        <v>1869</v>
      </c>
      <c r="S4251" s="422" t="s">
        <v>1861</v>
      </c>
      <c r="T4251" s="427" t="s">
        <v>5015</v>
      </c>
      <c r="U4251" s="422" t="s">
        <v>1953</v>
      </c>
      <c r="V4251" s="422" t="s">
        <v>2813</v>
      </c>
    </row>
    <row r="4252" spans="1:22" ht="15.75" thickBot="1" x14ac:dyDescent="0.3">
      <c r="A4252" t="s">
        <v>4584</v>
      </c>
      <c r="B4252" t="s">
        <v>4584</v>
      </c>
      <c r="C4252" s="424" t="str">
        <f t="shared" si="172"/>
        <v>Frota Azul Algarve - Transportes e Turismo, LDA.</v>
      </c>
      <c r="D4252" t="s">
        <v>629</v>
      </c>
      <c r="F4252" s="432" t="s">
        <v>620</v>
      </c>
      <c r="G4252" s="89">
        <v>2010</v>
      </c>
      <c r="H4252" s="313" t="s">
        <v>731</v>
      </c>
      <c r="I4252" s="311" t="str">
        <f t="shared" si="170"/>
        <v>Pesado de Passageiros M3:  : Gasóleo : E4</v>
      </c>
      <c r="J4252">
        <v>51</v>
      </c>
      <c r="K4252" s="422">
        <v>2023</v>
      </c>
      <c r="L4252" s="427">
        <v>19101.580000000002</v>
      </c>
      <c r="M4252" s="427" t="s">
        <v>630</v>
      </c>
      <c r="N4252" s="434">
        <v>56850</v>
      </c>
      <c r="O4252" s="436">
        <f t="shared" si="171"/>
        <v>2899350</v>
      </c>
      <c r="P4252" s="435">
        <v>40233</v>
      </c>
      <c r="Q4252" s="427" t="s">
        <v>47</v>
      </c>
      <c r="R4252" s="422" t="s">
        <v>1869</v>
      </c>
      <c r="S4252" s="422" t="s">
        <v>1861</v>
      </c>
      <c r="T4252" s="427" t="s">
        <v>5016</v>
      </c>
      <c r="U4252" s="422" t="s">
        <v>1953</v>
      </c>
      <c r="V4252" s="422" t="s">
        <v>2813</v>
      </c>
    </row>
    <row r="4253" spans="1:22" ht="15.75" thickBot="1" x14ac:dyDescent="0.3">
      <c r="A4253" t="s">
        <v>4584</v>
      </c>
      <c r="B4253" t="s">
        <v>4584</v>
      </c>
      <c r="C4253" s="424" t="str">
        <f t="shared" si="172"/>
        <v>Frota Azul Algarve - Transportes e Turismo, LDA.</v>
      </c>
      <c r="D4253" t="s">
        <v>629</v>
      </c>
      <c r="F4253" s="432" t="s">
        <v>620</v>
      </c>
      <c r="G4253" s="89">
        <v>2004</v>
      </c>
      <c r="H4253" s="313" t="s">
        <v>731</v>
      </c>
      <c r="I4253" s="311" t="str">
        <f t="shared" si="170"/>
        <v>Pesado de Passageiros M3:  : Gasóleo : E4</v>
      </c>
      <c r="J4253">
        <v>55</v>
      </c>
      <c r="K4253" s="422">
        <v>2023</v>
      </c>
      <c r="L4253" s="427">
        <v>2221.08</v>
      </c>
      <c r="M4253" s="427" t="s">
        <v>630</v>
      </c>
      <c r="N4253" s="434">
        <v>6573</v>
      </c>
      <c r="O4253" s="436">
        <f t="shared" si="171"/>
        <v>361515</v>
      </c>
      <c r="P4253" s="435">
        <v>38083</v>
      </c>
      <c r="Q4253" s="427" t="s">
        <v>47</v>
      </c>
      <c r="R4253" s="422" t="s">
        <v>1869</v>
      </c>
      <c r="S4253" s="422" t="s">
        <v>1861</v>
      </c>
      <c r="T4253" s="427" t="s">
        <v>5017</v>
      </c>
      <c r="U4253" s="422" t="s">
        <v>1953</v>
      </c>
      <c r="V4253" s="422" t="s">
        <v>2813</v>
      </c>
    </row>
    <row r="4254" spans="1:22" ht="15.75" thickBot="1" x14ac:dyDescent="0.3">
      <c r="A4254" t="s">
        <v>4584</v>
      </c>
      <c r="B4254" t="s">
        <v>4584</v>
      </c>
      <c r="C4254" s="424" t="str">
        <f t="shared" si="172"/>
        <v>Frota Azul Algarve - Transportes e Turismo, LDA.</v>
      </c>
      <c r="D4254" t="s">
        <v>629</v>
      </c>
      <c r="F4254" s="432" t="s">
        <v>620</v>
      </c>
      <c r="G4254" s="89">
        <v>2010</v>
      </c>
      <c r="H4254" s="313" t="s">
        <v>731</v>
      </c>
      <c r="I4254" s="311" t="str">
        <f t="shared" si="170"/>
        <v>Pesado de Passageiros M3:  : Gasóleo : E4</v>
      </c>
      <c r="J4254">
        <v>57</v>
      </c>
      <c r="K4254" s="422">
        <v>2023</v>
      </c>
      <c r="L4254" s="427">
        <v>13604.06</v>
      </c>
      <c r="M4254" s="427" t="s">
        <v>630</v>
      </c>
      <c r="N4254" s="434">
        <v>45029</v>
      </c>
      <c r="O4254" s="436">
        <f t="shared" si="171"/>
        <v>2566653</v>
      </c>
      <c r="P4254" s="435">
        <v>40303</v>
      </c>
      <c r="Q4254" s="427" t="s">
        <v>47</v>
      </c>
      <c r="R4254" s="422" t="s">
        <v>1869</v>
      </c>
      <c r="S4254" s="422" t="s">
        <v>1861</v>
      </c>
      <c r="T4254" s="427" t="s">
        <v>5018</v>
      </c>
      <c r="U4254" s="422" t="s">
        <v>1953</v>
      </c>
      <c r="V4254" s="422" t="s">
        <v>2813</v>
      </c>
    </row>
    <row r="4255" spans="1:22" ht="15.75" thickBot="1" x14ac:dyDescent="0.3">
      <c r="A4255" t="s">
        <v>4584</v>
      </c>
      <c r="B4255" t="s">
        <v>4584</v>
      </c>
      <c r="C4255" s="424" t="str">
        <f t="shared" si="172"/>
        <v>Frota Azul Algarve - Transportes e Turismo, LDA.</v>
      </c>
      <c r="D4255" t="s">
        <v>629</v>
      </c>
      <c r="F4255" s="432" t="s">
        <v>620</v>
      </c>
      <c r="G4255" s="89">
        <v>2010</v>
      </c>
      <c r="H4255" s="313" t="s">
        <v>731</v>
      </c>
      <c r="I4255" s="311" t="str">
        <f t="shared" si="170"/>
        <v>Pesado de Passageiros M3:  : Gasóleo : E4</v>
      </c>
      <c r="J4255">
        <v>57</v>
      </c>
      <c r="K4255" s="422">
        <v>2023</v>
      </c>
      <c r="L4255" s="427">
        <v>18794.150000000001</v>
      </c>
      <c r="M4255" s="427" t="s">
        <v>630</v>
      </c>
      <c r="N4255" s="434">
        <v>58456</v>
      </c>
      <c r="O4255" s="436">
        <f t="shared" si="171"/>
        <v>3331992</v>
      </c>
      <c r="P4255" s="435">
        <v>40323</v>
      </c>
      <c r="Q4255" s="427" t="s">
        <v>47</v>
      </c>
      <c r="R4255" s="422" t="s">
        <v>1869</v>
      </c>
      <c r="S4255" s="422" t="s">
        <v>1861</v>
      </c>
      <c r="T4255" s="427" t="s">
        <v>5019</v>
      </c>
      <c r="U4255" s="422" t="s">
        <v>1953</v>
      </c>
      <c r="V4255" s="422" t="s">
        <v>2813</v>
      </c>
    </row>
    <row r="4256" spans="1:22" ht="15.75" thickBot="1" x14ac:dyDescent="0.3">
      <c r="A4256" t="s">
        <v>4584</v>
      </c>
      <c r="B4256" t="s">
        <v>4584</v>
      </c>
      <c r="C4256" s="424" t="str">
        <f t="shared" si="172"/>
        <v>Frota Azul Algarve - Transportes e Turismo, LDA.</v>
      </c>
      <c r="D4256" t="s">
        <v>623</v>
      </c>
      <c r="F4256" s="432" t="s">
        <v>620</v>
      </c>
      <c r="G4256" s="89">
        <v>2019</v>
      </c>
      <c r="H4256" s="313" t="s">
        <v>733</v>
      </c>
      <c r="I4256" s="311" t="str">
        <f t="shared" si="170"/>
        <v>Ligeiro de Passageiros M1:  : Gasóleo : E6</v>
      </c>
      <c r="J4256" s="422">
        <v>8</v>
      </c>
      <c r="K4256" s="422">
        <v>2023</v>
      </c>
      <c r="L4256" s="427">
        <v>4049.42</v>
      </c>
      <c r="M4256" s="427" t="s">
        <v>630</v>
      </c>
      <c r="N4256" s="434">
        <v>44737</v>
      </c>
      <c r="O4256" s="436">
        <f t="shared" si="171"/>
        <v>357896</v>
      </c>
      <c r="P4256" s="435">
        <v>43554</v>
      </c>
      <c r="Q4256" s="427" t="s">
        <v>47</v>
      </c>
      <c r="R4256" s="422" t="s">
        <v>1869</v>
      </c>
      <c r="S4256" s="422" t="s">
        <v>1861</v>
      </c>
      <c r="T4256" s="427" t="s">
        <v>5020</v>
      </c>
      <c r="U4256" s="422" t="s">
        <v>1953</v>
      </c>
      <c r="V4256" s="422" t="s">
        <v>2813</v>
      </c>
    </row>
    <row r="4257" spans="1:22" ht="15.75" thickBot="1" x14ac:dyDescent="0.3">
      <c r="A4257" t="s">
        <v>4584</v>
      </c>
      <c r="B4257" t="s">
        <v>4584</v>
      </c>
      <c r="C4257" s="424" t="str">
        <f t="shared" si="172"/>
        <v>Frota Azul Algarve - Transportes e Turismo, LDA.</v>
      </c>
      <c r="D4257" t="s">
        <v>623</v>
      </c>
      <c r="F4257" s="432" t="s">
        <v>620</v>
      </c>
      <c r="G4257" s="89">
        <v>2019</v>
      </c>
      <c r="H4257" s="313" t="s">
        <v>733</v>
      </c>
      <c r="I4257" s="311" t="str">
        <f t="shared" si="170"/>
        <v>Ligeiro de Passageiros M1:  : Gasóleo : E6</v>
      </c>
      <c r="J4257" s="422">
        <v>8</v>
      </c>
      <c r="K4257" s="422">
        <v>2023</v>
      </c>
      <c r="L4257" s="427">
        <v>6735.49</v>
      </c>
      <c r="M4257" s="427" t="s">
        <v>630</v>
      </c>
      <c r="N4257" s="434">
        <v>74471</v>
      </c>
      <c r="O4257" s="436">
        <f t="shared" si="171"/>
        <v>595768</v>
      </c>
      <c r="P4257" s="435">
        <v>43554</v>
      </c>
      <c r="Q4257" s="427" t="s">
        <v>47</v>
      </c>
      <c r="R4257" s="422" t="s">
        <v>1869</v>
      </c>
      <c r="S4257" s="422" t="s">
        <v>1861</v>
      </c>
      <c r="T4257" s="427" t="s">
        <v>5021</v>
      </c>
      <c r="U4257" s="422" t="s">
        <v>1953</v>
      </c>
      <c r="V4257" s="422" t="s">
        <v>2813</v>
      </c>
    </row>
    <row r="4258" spans="1:22" ht="15.75" thickBot="1" x14ac:dyDescent="0.3">
      <c r="A4258" t="s">
        <v>4584</v>
      </c>
      <c r="B4258" t="s">
        <v>4584</v>
      </c>
      <c r="C4258" s="424" t="str">
        <f t="shared" si="172"/>
        <v>Frota Azul Algarve - Transportes e Turismo, LDA.</v>
      </c>
      <c r="D4258" t="s">
        <v>623</v>
      </c>
      <c r="F4258" s="432" t="s">
        <v>620</v>
      </c>
      <c r="G4258" s="89">
        <v>2019</v>
      </c>
      <c r="H4258" s="313" t="s">
        <v>733</v>
      </c>
      <c r="I4258" s="311" t="str">
        <f t="shared" ref="I4258:I4321" si="173">D4258&amp;": "&amp;E4258&amp;" : "&amp;F4258&amp;" : "&amp;H4258</f>
        <v>Ligeiro de Passageiros M1:  : Gasóleo : E6</v>
      </c>
      <c r="J4258" s="422">
        <v>8</v>
      </c>
      <c r="K4258" s="422">
        <v>2023</v>
      </c>
      <c r="L4258" s="427">
        <v>7063.22</v>
      </c>
      <c r="M4258" s="427" t="s">
        <v>630</v>
      </c>
      <c r="N4258" s="434">
        <v>76213</v>
      </c>
      <c r="O4258" s="436">
        <f t="shared" ref="O4258:O4321" si="174">N4258*J4258</f>
        <v>609704</v>
      </c>
      <c r="P4258" s="435">
        <v>43696</v>
      </c>
      <c r="Q4258" s="427" t="s">
        <v>47</v>
      </c>
      <c r="R4258" s="422" t="s">
        <v>1869</v>
      </c>
      <c r="S4258" s="422" t="s">
        <v>1861</v>
      </c>
      <c r="T4258" s="427" t="s">
        <v>5022</v>
      </c>
      <c r="U4258" s="422" t="s">
        <v>1953</v>
      </c>
      <c r="V4258" s="422" t="s">
        <v>2813</v>
      </c>
    </row>
    <row r="4259" spans="1:22" ht="15.75" thickBot="1" x14ac:dyDescent="0.3">
      <c r="A4259" t="s">
        <v>4584</v>
      </c>
      <c r="B4259" t="s">
        <v>4584</v>
      </c>
      <c r="C4259" s="424" t="str">
        <f t="shared" si="172"/>
        <v>Frota Azul Algarve - Transportes e Turismo, LDA.</v>
      </c>
      <c r="D4259" t="s">
        <v>623</v>
      </c>
      <c r="F4259" s="432" t="s">
        <v>620</v>
      </c>
      <c r="G4259" s="89">
        <v>2019</v>
      </c>
      <c r="H4259" s="313" t="s">
        <v>733</v>
      </c>
      <c r="I4259" s="311" t="str">
        <f t="shared" si="173"/>
        <v>Ligeiro de Passageiros M1:  : Gasóleo : E6</v>
      </c>
      <c r="J4259" s="422">
        <v>8</v>
      </c>
      <c r="K4259" s="422">
        <v>2023</v>
      </c>
      <c r="L4259" s="427">
        <v>4915.42</v>
      </c>
      <c r="M4259" s="427" t="s">
        <v>630</v>
      </c>
      <c r="N4259" s="434">
        <v>65015.000000000007</v>
      </c>
      <c r="O4259" s="436">
        <f t="shared" si="174"/>
        <v>520120.00000000006</v>
      </c>
      <c r="P4259" s="435">
        <v>43726</v>
      </c>
      <c r="Q4259" s="427" t="s">
        <v>47</v>
      </c>
      <c r="R4259" s="422" t="s">
        <v>1869</v>
      </c>
      <c r="S4259" s="422" t="s">
        <v>1861</v>
      </c>
      <c r="T4259" s="427" t="s">
        <v>5023</v>
      </c>
      <c r="U4259" s="422" t="s">
        <v>1953</v>
      </c>
      <c r="V4259" s="422" t="s">
        <v>2813</v>
      </c>
    </row>
    <row r="4260" spans="1:22" ht="15.75" thickBot="1" x14ac:dyDescent="0.3">
      <c r="A4260" t="s">
        <v>4584</v>
      </c>
      <c r="B4260" t="s">
        <v>4584</v>
      </c>
      <c r="C4260" s="424" t="str">
        <f t="shared" si="172"/>
        <v>Frota Azul Algarve - Transportes e Turismo, LDA.</v>
      </c>
      <c r="D4260" t="s">
        <v>623</v>
      </c>
      <c r="F4260" s="432" t="s">
        <v>620</v>
      </c>
      <c r="G4260" s="89">
        <v>2019</v>
      </c>
      <c r="H4260" s="313" t="s">
        <v>733</v>
      </c>
      <c r="I4260" s="311" t="str">
        <f t="shared" si="173"/>
        <v>Ligeiro de Passageiros M1:  : Gasóleo : E6</v>
      </c>
      <c r="J4260" s="422">
        <v>8</v>
      </c>
      <c r="K4260" s="422">
        <v>2023</v>
      </c>
      <c r="L4260" s="427">
        <v>6607.15</v>
      </c>
      <c r="M4260" s="427" t="s">
        <v>630</v>
      </c>
      <c r="N4260" s="434">
        <v>71815</v>
      </c>
      <c r="O4260" s="436">
        <f t="shared" si="174"/>
        <v>574520</v>
      </c>
      <c r="P4260" s="435">
        <v>43825</v>
      </c>
      <c r="Q4260" s="427" t="s">
        <v>47</v>
      </c>
      <c r="R4260" s="422" t="s">
        <v>1869</v>
      </c>
      <c r="S4260" s="422" t="s">
        <v>1861</v>
      </c>
      <c r="T4260" s="427" t="s">
        <v>5024</v>
      </c>
      <c r="U4260" s="422" t="s">
        <v>1953</v>
      </c>
      <c r="V4260" s="422" t="s">
        <v>2813</v>
      </c>
    </row>
    <row r="4261" spans="1:22" ht="15.75" thickBot="1" x14ac:dyDescent="0.3">
      <c r="A4261" t="s">
        <v>4584</v>
      </c>
      <c r="B4261" t="s">
        <v>4584</v>
      </c>
      <c r="C4261" s="424" t="str">
        <f t="shared" si="172"/>
        <v>Frota Azul Algarve - Transportes e Turismo, LDA.</v>
      </c>
      <c r="D4261" t="s">
        <v>623</v>
      </c>
      <c r="F4261" s="432" t="s">
        <v>620</v>
      </c>
      <c r="G4261" s="89">
        <v>2019</v>
      </c>
      <c r="H4261" s="313" t="s">
        <v>733</v>
      </c>
      <c r="I4261" s="311" t="str">
        <f t="shared" si="173"/>
        <v>Ligeiro de Passageiros M1:  : Gasóleo : E6</v>
      </c>
      <c r="J4261" s="422">
        <v>8</v>
      </c>
      <c r="K4261" s="422">
        <v>2023</v>
      </c>
      <c r="L4261" s="427">
        <v>7765.97</v>
      </c>
      <c r="M4261" s="427" t="s">
        <v>630</v>
      </c>
      <c r="N4261" s="434">
        <v>86256</v>
      </c>
      <c r="O4261" s="436">
        <f t="shared" si="174"/>
        <v>690048</v>
      </c>
      <c r="P4261" s="435">
        <v>43825</v>
      </c>
      <c r="Q4261" s="427" t="s">
        <v>47</v>
      </c>
      <c r="R4261" s="422" t="s">
        <v>1869</v>
      </c>
      <c r="S4261" s="422" t="s">
        <v>1861</v>
      </c>
      <c r="T4261" s="427" t="s">
        <v>5025</v>
      </c>
      <c r="U4261" s="422" t="s">
        <v>1953</v>
      </c>
      <c r="V4261" s="422" t="s">
        <v>2813</v>
      </c>
    </row>
    <row r="4262" spans="1:22" ht="15.75" thickBot="1" x14ac:dyDescent="0.3">
      <c r="A4262" t="s">
        <v>4584</v>
      </c>
      <c r="B4262" t="s">
        <v>4584</v>
      </c>
      <c r="C4262" s="424" t="str">
        <f t="shared" si="172"/>
        <v>Frota Azul Algarve - Transportes e Turismo, LDA.</v>
      </c>
      <c r="D4262" t="s">
        <v>623</v>
      </c>
      <c r="F4262" s="432" t="s">
        <v>620</v>
      </c>
      <c r="G4262" s="89">
        <v>2020</v>
      </c>
      <c r="H4262" s="313" t="s">
        <v>733</v>
      </c>
      <c r="I4262" s="311" t="str">
        <f t="shared" si="173"/>
        <v>Ligeiro de Passageiros M1:  : Gasóleo : E6</v>
      </c>
      <c r="J4262" s="422">
        <v>8</v>
      </c>
      <c r="K4262" s="422">
        <v>2023</v>
      </c>
      <c r="L4262" s="427">
        <v>6248.03</v>
      </c>
      <c r="M4262" s="427" t="s">
        <v>630</v>
      </c>
      <c r="N4262" s="434">
        <v>67047</v>
      </c>
      <c r="O4262" s="436">
        <f t="shared" si="174"/>
        <v>536376</v>
      </c>
      <c r="P4262" s="435">
        <v>43892</v>
      </c>
      <c r="Q4262" s="427" t="s">
        <v>47</v>
      </c>
      <c r="R4262" s="422" t="s">
        <v>1869</v>
      </c>
      <c r="S4262" s="422" t="s">
        <v>1861</v>
      </c>
      <c r="T4262" s="427" t="s">
        <v>5026</v>
      </c>
      <c r="U4262" s="422" t="s">
        <v>1953</v>
      </c>
      <c r="V4262" s="422" t="s">
        <v>2813</v>
      </c>
    </row>
    <row r="4263" spans="1:22" ht="15.75" thickBot="1" x14ac:dyDescent="0.3">
      <c r="A4263" t="s">
        <v>4584</v>
      </c>
      <c r="B4263" t="s">
        <v>4584</v>
      </c>
      <c r="C4263" s="424" t="str">
        <f t="shared" si="172"/>
        <v>Frota Azul Algarve - Transportes e Turismo, LDA.</v>
      </c>
      <c r="D4263" t="s">
        <v>623</v>
      </c>
      <c r="F4263" s="432" t="s">
        <v>620</v>
      </c>
      <c r="G4263" s="89">
        <v>2023</v>
      </c>
      <c r="H4263" s="313" t="s">
        <v>733</v>
      </c>
      <c r="I4263" s="311" t="str">
        <f t="shared" si="173"/>
        <v>Ligeiro de Passageiros M1:  : Gasóleo : E6</v>
      </c>
      <c r="J4263" s="422">
        <v>8</v>
      </c>
      <c r="K4263" s="422">
        <v>2023</v>
      </c>
      <c r="L4263" s="427">
        <v>6385.35</v>
      </c>
      <c r="M4263" s="427" t="s">
        <v>630</v>
      </c>
      <c r="N4263" s="434">
        <v>68928</v>
      </c>
      <c r="O4263" s="436">
        <f t="shared" si="174"/>
        <v>551424</v>
      </c>
      <c r="P4263" s="435">
        <v>45000</v>
      </c>
      <c r="Q4263" s="427" t="s">
        <v>47</v>
      </c>
      <c r="R4263" s="422" t="s">
        <v>1869</v>
      </c>
      <c r="S4263" s="422" t="s">
        <v>1861</v>
      </c>
      <c r="T4263" s="427" t="s">
        <v>5027</v>
      </c>
      <c r="U4263" s="422" t="s">
        <v>1953</v>
      </c>
      <c r="V4263" s="422" t="s">
        <v>2813</v>
      </c>
    </row>
    <row r="4264" spans="1:22" ht="15.75" thickBot="1" x14ac:dyDescent="0.3">
      <c r="A4264" t="s">
        <v>4584</v>
      </c>
      <c r="B4264" t="s">
        <v>4584</v>
      </c>
      <c r="C4264" s="424" t="str">
        <f t="shared" si="172"/>
        <v>Frota Azul Algarve - Transportes e Turismo, LDA.</v>
      </c>
      <c r="D4264" t="s">
        <v>623</v>
      </c>
      <c r="F4264" s="432" t="s">
        <v>620</v>
      </c>
      <c r="G4264" s="89">
        <v>2023</v>
      </c>
      <c r="H4264" s="313" t="s">
        <v>733</v>
      </c>
      <c r="I4264" s="311" t="str">
        <f t="shared" si="173"/>
        <v>Ligeiro de Passageiros M1:  : Gasóleo : E6</v>
      </c>
      <c r="J4264" s="422">
        <v>8</v>
      </c>
      <c r="K4264" s="422">
        <v>2023</v>
      </c>
      <c r="L4264" s="427">
        <v>8248.99</v>
      </c>
      <c r="M4264" s="427" t="s">
        <v>630</v>
      </c>
      <c r="N4264" s="434">
        <v>79038</v>
      </c>
      <c r="O4264" s="436">
        <f t="shared" si="174"/>
        <v>632304</v>
      </c>
      <c r="P4264" s="435">
        <v>45000</v>
      </c>
      <c r="Q4264" s="427" t="s">
        <v>47</v>
      </c>
      <c r="R4264" s="422" t="s">
        <v>1869</v>
      </c>
      <c r="S4264" s="422" t="s">
        <v>1861</v>
      </c>
      <c r="T4264" s="427" t="s">
        <v>5028</v>
      </c>
      <c r="U4264" s="422" t="s">
        <v>1953</v>
      </c>
      <c r="V4264" s="422" t="s">
        <v>2813</v>
      </c>
    </row>
    <row r="4265" spans="1:22" ht="15.75" thickBot="1" x14ac:dyDescent="0.3">
      <c r="A4265" t="s">
        <v>4584</v>
      </c>
      <c r="B4265" t="s">
        <v>4584</v>
      </c>
      <c r="C4265" s="424" t="str">
        <f t="shared" si="172"/>
        <v>Frota Azul Algarve - Transportes e Turismo, LDA.</v>
      </c>
      <c r="D4265" t="s">
        <v>623</v>
      </c>
      <c r="F4265" s="432" t="s">
        <v>620</v>
      </c>
      <c r="G4265" s="89">
        <v>2023</v>
      </c>
      <c r="H4265" s="313" t="s">
        <v>733</v>
      </c>
      <c r="I4265" s="311" t="str">
        <f t="shared" si="173"/>
        <v>Ligeiro de Passageiros M1:  : Gasóleo : E6</v>
      </c>
      <c r="J4265" s="422">
        <v>8</v>
      </c>
      <c r="K4265" s="422">
        <v>2023</v>
      </c>
      <c r="L4265" s="427">
        <v>3981.59</v>
      </c>
      <c r="M4265" s="427" t="s">
        <v>630</v>
      </c>
      <c r="N4265" s="434">
        <v>41193</v>
      </c>
      <c r="O4265" s="436">
        <f t="shared" si="174"/>
        <v>329544</v>
      </c>
      <c r="P4265" s="435">
        <v>45000</v>
      </c>
      <c r="Q4265" s="427" t="s">
        <v>47</v>
      </c>
      <c r="R4265" s="422" t="s">
        <v>1869</v>
      </c>
      <c r="S4265" s="422" t="s">
        <v>1861</v>
      </c>
      <c r="T4265" s="427" t="s">
        <v>5029</v>
      </c>
      <c r="U4265" s="422" t="s">
        <v>1953</v>
      </c>
      <c r="V4265" s="422" t="s">
        <v>2813</v>
      </c>
    </row>
    <row r="4266" spans="1:22" ht="15.75" thickBot="1" x14ac:dyDescent="0.3">
      <c r="A4266" t="s">
        <v>4584</v>
      </c>
      <c r="B4266" t="s">
        <v>4584</v>
      </c>
      <c r="C4266" s="424" t="str">
        <f t="shared" si="172"/>
        <v>Frota Azul Algarve - Transportes e Turismo, LDA.</v>
      </c>
      <c r="D4266" t="s">
        <v>623</v>
      </c>
      <c r="F4266" s="432" t="s">
        <v>620</v>
      </c>
      <c r="G4266" s="89">
        <v>2023</v>
      </c>
      <c r="H4266" s="313" t="s">
        <v>733</v>
      </c>
      <c r="I4266" s="311" t="str">
        <f t="shared" si="173"/>
        <v>Ligeiro de Passageiros M1:  : Gasóleo : E6</v>
      </c>
      <c r="J4266" s="422">
        <v>8</v>
      </c>
      <c r="K4266" s="422">
        <v>2023</v>
      </c>
      <c r="L4266" s="427">
        <v>6801.66</v>
      </c>
      <c r="M4266" s="427" t="s">
        <v>630</v>
      </c>
      <c r="N4266" s="434">
        <v>70623</v>
      </c>
      <c r="O4266" s="436">
        <f t="shared" si="174"/>
        <v>564984</v>
      </c>
      <c r="P4266" s="435">
        <v>45000</v>
      </c>
      <c r="Q4266" s="427" t="s">
        <v>47</v>
      </c>
      <c r="R4266" s="422" t="s">
        <v>1869</v>
      </c>
      <c r="S4266" s="422" t="s">
        <v>1861</v>
      </c>
      <c r="T4266" s="427" t="s">
        <v>5030</v>
      </c>
      <c r="U4266" s="422" t="s">
        <v>1953</v>
      </c>
      <c r="V4266" s="422" t="s">
        <v>2813</v>
      </c>
    </row>
    <row r="4267" spans="1:22" ht="15.75" thickBot="1" x14ac:dyDescent="0.3">
      <c r="A4267" t="s">
        <v>4584</v>
      </c>
      <c r="B4267" t="s">
        <v>4584</v>
      </c>
      <c r="C4267" s="424" t="str">
        <f t="shared" si="172"/>
        <v>Frota Azul Algarve - Transportes e Turismo, LDA.</v>
      </c>
      <c r="D4267" t="s">
        <v>623</v>
      </c>
      <c r="F4267" s="432" t="s">
        <v>620</v>
      </c>
      <c r="G4267" s="89">
        <v>2018</v>
      </c>
      <c r="H4267" s="313" t="s">
        <v>733</v>
      </c>
      <c r="I4267" s="311" t="str">
        <f t="shared" si="173"/>
        <v>Ligeiro de Passageiros M1:  : Gasóleo : E6</v>
      </c>
      <c r="J4267" s="422">
        <v>8</v>
      </c>
      <c r="K4267" s="422">
        <v>2023</v>
      </c>
      <c r="L4267" s="427">
        <v>8325.74</v>
      </c>
      <c r="M4267" s="427" t="s">
        <v>630</v>
      </c>
      <c r="N4267" s="434">
        <v>92016</v>
      </c>
      <c r="O4267" s="436">
        <f t="shared" si="174"/>
        <v>736128</v>
      </c>
      <c r="P4267" s="435">
        <v>43250</v>
      </c>
      <c r="Q4267" s="427" t="s">
        <v>47</v>
      </c>
      <c r="R4267" s="422" t="s">
        <v>1869</v>
      </c>
      <c r="S4267" s="422" t="s">
        <v>1861</v>
      </c>
      <c r="T4267" s="427" t="s">
        <v>5031</v>
      </c>
      <c r="U4267" s="422" t="s">
        <v>1953</v>
      </c>
      <c r="V4267" s="422" t="s">
        <v>2813</v>
      </c>
    </row>
    <row r="4268" spans="1:22" ht="15.75" thickBot="1" x14ac:dyDescent="0.3">
      <c r="A4268" t="s">
        <v>4584</v>
      </c>
      <c r="B4268" t="s">
        <v>4584</v>
      </c>
      <c r="C4268" s="424" t="str">
        <f t="shared" si="172"/>
        <v>Frota Azul Algarve - Transportes e Turismo, LDA.</v>
      </c>
      <c r="D4268" t="s">
        <v>623</v>
      </c>
      <c r="F4268" s="432" t="s">
        <v>620</v>
      </c>
      <c r="G4268" s="89">
        <v>2018</v>
      </c>
      <c r="H4268" s="313" t="s">
        <v>733</v>
      </c>
      <c r="I4268" s="311" t="str">
        <f t="shared" si="173"/>
        <v>Ligeiro de Passageiros M1:  : Gasóleo : E6</v>
      </c>
      <c r="J4268" s="422">
        <v>8</v>
      </c>
      <c r="K4268" s="422">
        <v>2023</v>
      </c>
      <c r="L4268" s="427">
        <v>8301.6200000000008</v>
      </c>
      <c r="M4268" s="427" t="s">
        <v>630</v>
      </c>
      <c r="N4268" s="434">
        <v>84594</v>
      </c>
      <c r="O4268" s="436">
        <f t="shared" si="174"/>
        <v>676752</v>
      </c>
      <c r="P4268" s="435">
        <v>43242</v>
      </c>
      <c r="Q4268" s="427" t="s">
        <v>47</v>
      </c>
      <c r="R4268" s="422" t="s">
        <v>1869</v>
      </c>
      <c r="S4268" s="422" t="s">
        <v>1861</v>
      </c>
      <c r="T4268" s="427" t="s">
        <v>5032</v>
      </c>
      <c r="U4268" s="422" t="s">
        <v>1953</v>
      </c>
      <c r="V4268" s="422" t="s">
        <v>2813</v>
      </c>
    </row>
    <row r="4269" spans="1:22" ht="15.75" thickBot="1" x14ac:dyDescent="0.3">
      <c r="A4269" t="s">
        <v>4584</v>
      </c>
      <c r="B4269" t="s">
        <v>4584</v>
      </c>
      <c r="C4269" s="424" t="str">
        <f t="shared" si="172"/>
        <v>Frota Azul Algarve - Transportes e Turismo, LDA.</v>
      </c>
      <c r="D4269" t="s">
        <v>623</v>
      </c>
      <c r="F4269" s="432" t="s">
        <v>620</v>
      </c>
      <c r="G4269" s="89">
        <v>2018</v>
      </c>
      <c r="H4269" s="313" t="s">
        <v>733</v>
      </c>
      <c r="I4269" s="311" t="str">
        <f t="shared" si="173"/>
        <v>Ligeiro de Passageiros M1:  : Gasóleo : E6</v>
      </c>
      <c r="J4269" s="422">
        <v>8</v>
      </c>
      <c r="K4269" s="422">
        <v>2023</v>
      </c>
      <c r="L4269" s="427">
        <v>6095.82</v>
      </c>
      <c r="M4269" s="427" t="s">
        <v>630</v>
      </c>
      <c r="N4269" s="434">
        <v>61311</v>
      </c>
      <c r="O4269" s="436">
        <f t="shared" si="174"/>
        <v>490488</v>
      </c>
      <c r="P4269" s="435">
        <v>43210</v>
      </c>
      <c r="Q4269" s="427" t="s">
        <v>47</v>
      </c>
      <c r="R4269" s="422" t="s">
        <v>1869</v>
      </c>
      <c r="S4269" s="422" t="s">
        <v>1861</v>
      </c>
      <c r="T4269" s="427" t="s">
        <v>5033</v>
      </c>
      <c r="U4269" s="422" t="s">
        <v>1953</v>
      </c>
      <c r="V4269" s="422" t="s">
        <v>2813</v>
      </c>
    </row>
    <row r="4270" spans="1:22" ht="15.75" thickBot="1" x14ac:dyDescent="0.3">
      <c r="A4270" t="s">
        <v>4584</v>
      </c>
      <c r="B4270" t="s">
        <v>4584</v>
      </c>
      <c r="C4270" s="424" t="str">
        <f t="shared" si="172"/>
        <v>Frota Azul Algarve - Transportes e Turismo, LDA.</v>
      </c>
      <c r="D4270" t="s">
        <v>623</v>
      </c>
      <c r="F4270" s="432" t="s">
        <v>620</v>
      </c>
      <c r="G4270" s="89">
        <v>2018</v>
      </c>
      <c r="H4270" s="313" t="s">
        <v>733</v>
      </c>
      <c r="I4270" s="311" t="str">
        <f t="shared" si="173"/>
        <v>Ligeiro de Passageiros M1:  : Gasóleo : E6</v>
      </c>
      <c r="J4270" s="422">
        <v>8</v>
      </c>
      <c r="K4270" s="422">
        <v>2023</v>
      </c>
      <c r="L4270" s="427">
        <v>4816.13</v>
      </c>
      <c r="M4270" s="427" t="s">
        <v>630</v>
      </c>
      <c r="N4270" s="434">
        <v>45176</v>
      </c>
      <c r="O4270" s="436">
        <f t="shared" si="174"/>
        <v>361408</v>
      </c>
      <c r="P4270" s="435">
        <v>43210</v>
      </c>
      <c r="Q4270" s="427" t="s">
        <v>47</v>
      </c>
      <c r="R4270" s="422" t="s">
        <v>1869</v>
      </c>
      <c r="S4270" s="422" t="s">
        <v>1861</v>
      </c>
      <c r="T4270" s="427" t="s">
        <v>5034</v>
      </c>
      <c r="U4270" s="422" t="s">
        <v>1953</v>
      </c>
      <c r="V4270" s="422" t="s">
        <v>2813</v>
      </c>
    </row>
    <row r="4271" spans="1:22" ht="15.75" thickBot="1" x14ac:dyDescent="0.3">
      <c r="A4271" t="s">
        <v>4584</v>
      </c>
      <c r="B4271" t="s">
        <v>4584</v>
      </c>
      <c r="C4271" s="424" t="str">
        <f t="shared" si="172"/>
        <v>Frota Azul Algarve - Transportes e Turismo, LDA.</v>
      </c>
      <c r="D4271" t="s">
        <v>623</v>
      </c>
      <c r="F4271" s="432" t="s">
        <v>620</v>
      </c>
      <c r="G4271" s="89">
        <v>2018</v>
      </c>
      <c r="H4271" s="313" t="s">
        <v>733</v>
      </c>
      <c r="I4271" s="311" t="str">
        <f t="shared" si="173"/>
        <v>Ligeiro de Passageiros M1:  : Gasóleo : E6</v>
      </c>
      <c r="J4271" s="422">
        <v>8</v>
      </c>
      <c r="K4271" s="422">
        <v>2023</v>
      </c>
      <c r="L4271" s="427">
        <v>5035.8100000000004</v>
      </c>
      <c r="M4271" s="427" t="s">
        <v>630</v>
      </c>
      <c r="N4271" s="434">
        <v>55000</v>
      </c>
      <c r="O4271" s="436">
        <f t="shared" si="174"/>
        <v>440000</v>
      </c>
      <c r="P4271" s="435">
        <v>43210</v>
      </c>
      <c r="Q4271" s="427" t="s">
        <v>47</v>
      </c>
      <c r="R4271" s="422" t="s">
        <v>1869</v>
      </c>
      <c r="S4271" s="422" t="s">
        <v>1861</v>
      </c>
      <c r="T4271" s="427" t="s">
        <v>5035</v>
      </c>
      <c r="U4271" s="422" t="s">
        <v>1953</v>
      </c>
      <c r="V4271" s="422" t="s">
        <v>2813</v>
      </c>
    </row>
    <row r="4272" spans="1:22" ht="15.75" thickBot="1" x14ac:dyDescent="0.3">
      <c r="A4272" t="s">
        <v>4584</v>
      </c>
      <c r="B4272" t="s">
        <v>4584</v>
      </c>
      <c r="C4272" s="424" t="str">
        <f t="shared" si="172"/>
        <v>Frota Azul Algarve - Transportes e Turismo, LDA.</v>
      </c>
      <c r="D4272" t="s">
        <v>623</v>
      </c>
      <c r="F4272" s="432" t="s">
        <v>620</v>
      </c>
      <c r="G4272" s="89">
        <v>2018</v>
      </c>
      <c r="H4272" s="313" t="s">
        <v>733</v>
      </c>
      <c r="I4272" s="311" t="str">
        <f t="shared" si="173"/>
        <v>Ligeiro de Passageiros M1:  : Gasóleo : E6</v>
      </c>
      <c r="J4272" s="422">
        <v>8</v>
      </c>
      <c r="K4272" s="422">
        <v>2023</v>
      </c>
      <c r="L4272" s="427">
        <v>6155.39</v>
      </c>
      <c r="M4272" s="427" t="s">
        <v>630</v>
      </c>
      <c r="N4272" s="434">
        <v>68144</v>
      </c>
      <c r="O4272" s="436">
        <f t="shared" si="174"/>
        <v>545152</v>
      </c>
      <c r="P4272" s="435">
        <v>43210</v>
      </c>
      <c r="Q4272" s="427" t="s">
        <v>47</v>
      </c>
      <c r="R4272" s="422" t="s">
        <v>1869</v>
      </c>
      <c r="S4272" s="422" t="s">
        <v>1861</v>
      </c>
      <c r="T4272" s="427" t="s">
        <v>5036</v>
      </c>
      <c r="U4272" s="422" t="s">
        <v>1953</v>
      </c>
      <c r="V4272" s="422" t="s">
        <v>2813</v>
      </c>
    </row>
    <row r="4273" spans="1:22" ht="15.75" thickBot="1" x14ac:dyDescent="0.3">
      <c r="A4273" t="s">
        <v>4584</v>
      </c>
      <c r="B4273" t="s">
        <v>4584</v>
      </c>
      <c r="C4273" s="424" t="str">
        <f t="shared" si="172"/>
        <v>Frota Azul Algarve - Transportes e Turismo, LDA.</v>
      </c>
      <c r="D4273" t="s">
        <v>623</v>
      </c>
      <c r="F4273" s="432" t="s">
        <v>620</v>
      </c>
      <c r="G4273" s="89">
        <v>2022</v>
      </c>
      <c r="H4273" s="313" t="s">
        <v>733</v>
      </c>
      <c r="I4273" s="311" t="str">
        <f t="shared" si="173"/>
        <v>Ligeiro de Passageiros M1:  : Gasóleo : E6</v>
      </c>
      <c r="J4273" s="422">
        <v>8</v>
      </c>
      <c r="K4273" s="422">
        <v>2023</v>
      </c>
      <c r="L4273" s="427">
        <v>5916.88</v>
      </c>
      <c r="M4273" s="427" t="s">
        <v>630</v>
      </c>
      <c r="N4273" s="434">
        <v>63995</v>
      </c>
      <c r="O4273" s="436">
        <f t="shared" si="174"/>
        <v>511960</v>
      </c>
      <c r="P4273" s="435">
        <v>44715</v>
      </c>
      <c r="Q4273" s="427" t="s">
        <v>47</v>
      </c>
      <c r="R4273" s="422" t="s">
        <v>1869</v>
      </c>
      <c r="S4273" s="422" t="s">
        <v>1861</v>
      </c>
      <c r="T4273" s="427" t="s">
        <v>5037</v>
      </c>
      <c r="U4273" s="422" t="s">
        <v>1953</v>
      </c>
      <c r="V4273" s="422" t="s">
        <v>2813</v>
      </c>
    </row>
    <row r="4274" spans="1:22" ht="15.75" thickBot="1" x14ac:dyDescent="0.3">
      <c r="A4274" t="s">
        <v>4584</v>
      </c>
      <c r="B4274" t="s">
        <v>4584</v>
      </c>
      <c r="C4274" s="424" t="str">
        <f t="shared" si="172"/>
        <v>Frota Azul Algarve - Transportes e Turismo, LDA.</v>
      </c>
      <c r="D4274" t="s">
        <v>623</v>
      </c>
      <c r="F4274" s="432" t="s">
        <v>620</v>
      </c>
      <c r="G4274" s="89">
        <v>2018</v>
      </c>
      <c r="H4274" s="313" t="s">
        <v>733</v>
      </c>
      <c r="I4274" s="311" t="str">
        <f t="shared" si="173"/>
        <v>Ligeiro de Passageiros M1:  : Gasóleo : E6</v>
      </c>
      <c r="J4274" s="422">
        <v>8</v>
      </c>
      <c r="K4274" s="422">
        <v>2023</v>
      </c>
      <c r="L4274" s="427">
        <v>4826.7</v>
      </c>
      <c r="M4274" s="427" t="s">
        <v>630</v>
      </c>
      <c r="N4274" s="434">
        <v>59544</v>
      </c>
      <c r="O4274" s="436">
        <f t="shared" si="174"/>
        <v>476352</v>
      </c>
      <c r="P4274" s="435">
        <v>43199</v>
      </c>
      <c r="Q4274" s="427" t="s">
        <v>47</v>
      </c>
      <c r="R4274" s="422" t="s">
        <v>1869</v>
      </c>
      <c r="S4274" s="422" t="s">
        <v>1861</v>
      </c>
      <c r="T4274" s="427" t="s">
        <v>5038</v>
      </c>
      <c r="U4274" s="422" t="s">
        <v>1953</v>
      </c>
      <c r="V4274" s="422" t="s">
        <v>2813</v>
      </c>
    </row>
    <row r="4275" spans="1:22" ht="15.75" thickBot="1" x14ac:dyDescent="0.3">
      <c r="A4275" t="s">
        <v>4584</v>
      </c>
      <c r="B4275" t="s">
        <v>4584</v>
      </c>
      <c r="C4275" s="424" t="str">
        <f t="shared" si="172"/>
        <v>Frota Azul Algarve - Transportes e Turismo, LDA.</v>
      </c>
      <c r="D4275" t="s">
        <v>623</v>
      </c>
      <c r="F4275" s="432" t="s">
        <v>620</v>
      </c>
      <c r="G4275" s="89">
        <v>2022</v>
      </c>
      <c r="H4275" s="313" t="s">
        <v>733</v>
      </c>
      <c r="I4275" s="311" t="str">
        <f t="shared" si="173"/>
        <v>Ligeiro de Passageiros M1:  : Gasóleo : E6</v>
      </c>
      <c r="J4275" s="422">
        <v>8</v>
      </c>
      <c r="K4275" s="422">
        <v>2023</v>
      </c>
      <c r="L4275" s="427">
        <v>6383.63</v>
      </c>
      <c r="M4275" s="427" t="s">
        <v>630</v>
      </c>
      <c r="N4275" s="434">
        <v>65837</v>
      </c>
      <c r="O4275" s="436">
        <f t="shared" si="174"/>
        <v>526696</v>
      </c>
      <c r="P4275" s="435">
        <v>44715</v>
      </c>
      <c r="Q4275" s="427" t="s">
        <v>47</v>
      </c>
      <c r="R4275" s="422" t="s">
        <v>1869</v>
      </c>
      <c r="S4275" s="422" t="s">
        <v>1861</v>
      </c>
      <c r="T4275" s="427" t="s">
        <v>5039</v>
      </c>
      <c r="U4275" s="422" t="s">
        <v>1953</v>
      </c>
      <c r="V4275" s="422" t="s">
        <v>2813</v>
      </c>
    </row>
    <row r="4276" spans="1:22" ht="15.75" thickBot="1" x14ac:dyDescent="0.3">
      <c r="A4276" t="s">
        <v>4584</v>
      </c>
      <c r="B4276" t="s">
        <v>4584</v>
      </c>
      <c r="C4276" s="424" t="str">
        <f t="shared" si="172"/>
        <v>Frota Azul Algarve - Transportes e Turismo, LDA.</v>
      </c>
      <c r="D4276" t="s">
        <v>623</v>
      </c>
      <c r="F4276" s="432" t="s">
        <v>620</v>
      </c>
      <c r="G4276" s="89">
        <v>2017</v>
      </c>
      <c r="H4276" s="313" t="s">
        <v>733</v>
      </c>
      <c r="I4276" s="311" t="str">
        <f t="shared" si="173"/>
        <v>Ligeiro de Passageiros M1:  : Gasóleo : E6</v>
      </c>
      <c r="J4276" s="422">
        <v>8</v>
      </c>
      <c r="K4276" s="422">
        <v>2023</v>
      </c>
      <c r="L4276" s="427">
        <v>1430.75</v>
      </c>
      <c r="M4276" s="427" t="s">
        <v>630</v>
      </c>
      <c r="N4276" s="434">
        <v>15469</v>
      </c>
      <c r="O4276" s="436">
        <f t="shared" si="174"/>
        <v>123752</v>
      </c>
      <c r="P4276" s="435">
        <v>42857</v>
      </c>
      <c r="Q4276" s="427" t="s">
        <v>47</v>
      </c>
      <c r="R4276" s="422" t="s">
        <v>1869</v>
      </c>
      <c r="S4276" s="422" t="s">
        <v>1861</v>
      </c>
      <c r="T4276" s="427" t="s">
        <v>2625</v>
      </c>
      <c r="U4276" s="422" t="s">
        <v>1953</v>
      </c>
      <c r="V4276" s="422" t="s">
        <v>2813</v>
      </c>
    </row>
    <row r="4277" spans="1:22" ht="15.75" thickBot="1" x14ac:dyDescent="0.3">
      <c r="A4277" t="s">
        <v>4584</v>
      </c>
      <c r="B4277" t="s">
        <v>4584</v>
      </c>
      <c r="C4277" s="424" t="str">
        <f t="shared" si="172"/>
        <v>Frota Azul Algarve - Transportes e Turismo, LDA.</v>
      </c>
      <c r="D4277" t="s">
        <v>629</v>
      </c>
      <c r="F4277" s="432" t="s">
        <v>620</v>
      </c>
      <c r="G4277" s="89">
        <v>2002</v>
      </c>
      <c r="H4277" s="313" t="s">
        <v>733</v>
      </c>
      <c r="I4277" s="311" t="str">
        <f t="shared" si="173"/>
        <v>Pesado de Passageiros M3:  : Gasóleo : E6</v>
      </c>
      <c r="J4277">
        <v>55</v>
      </c>
      <c r="K4277" s="422">
        <v>2023</v>
      </c>
      <c r="L4277" s="427">
        <v>156.04</v>
      </c>
      <c r="M4277" s="427" t="s">
        <v>630</v>
      </c>
      <c r="N4277" s="434">
        <v>519.00000000000011</v>
      </c>
      <c r="O4277" s="436">
        <f t="shared" si="174"/>
        <v>28545.000000000007</v>
      </c>
      <c r="P4277" s="435">
        <v>37376</v>
      </c>
      <c r="Q4277" s="427" t="s">
        <v>47</v>
      </c>
      <c r="R4277" s="422" t="s">
        <v>1869</v>
      </c>
      <c r="S4277" s="422" t="s">
        <v>1861</v>
      </c>
      <c r="T4277" s="427" t="s">
        <v>2398</v>
      </c>
      <c r="U4277" s="422" t="s">
        <v>1953</v>
      </c>
      <c r="V4277" s="422" t="s">
        <v>2813</v>
      </c>
    </row>
    <row r="4278" spans="1:22" ht="15.75" thickBot="1" x14ac:dyDescent="0.3">
      <c r="A4278" t="s">
        <v>4584</v>
      </c>
      <c r="B4278" t="s">
        <v>4584</v>
      </c>
      <c r="C4278" s="424" t="str">
        <f t="shared" si="172"/>
        <v>Frota Azul Algarve - Transportes e Turismo, LDA.</v>
      </c>
      <c r="D4278" t="s">
        <v>623</v>
      </c>
      <c r="F4278" s="432" t="s">
        <v>620</v>
      </c>
      <c r="G4278" s="89">
        <v>2017</v>
      </c>
      <c r="H4278" s="313" t="s">
        <v>733</v>
      </c>
      <c r="I4278" s="311" t="str">
        <f t="shared" si="173"/>
        <v>Ligeiro de Passageiros M1:  : Gasóleo : E6</v>
      </c>
      <c r="J4278" s="422">
        <v>8</v>
      </c>
      <c r="K4278" s="422">
        <v>2023</v>
      </c>
      <c r="L4278" s="427">
        <v>819</v>
      </c>
      <c r="M4278" s="427" t="s">
        <v>630</v>
      </c>
      <c r="N4278" s="434">
        <v>8358</v>
      </c>
      <c r="O4278" s="436">
        <f t="shared" si="174"/>
        <v>66864</v>
      </c>
      <c r="P4278" s="435">
        <v>42858</v>
      </c>
      <c r="Q4278" s="427" t="s">
        <v>47</v>
      </c>
      <c r="R4278" s="422" t="s">
        <v>1869</v>
      </c>
      <c r="S4278" s="422" t="s">
        <v>1861</v>
      </c>
      <c r="T4278" s="427" t="s">
        <v>2626</v>
      </c>
      <c r="U4278" s="422" t="s">
        <v>1953</v>
      </c>
      <c r="V4278" s="422" t="s">
        <v>2813</v>
      </c>
    </row>
    <row r="4279" spans="1:22" ht="15.75" thickBot="1" x14ac:dyDescent="0.3">
      <c r="A4279" t="s">
        <v>4584</v>
      </c>
      <c r="B4279" t="s">
        <v>4584</v>
      </c>
      <c r="C4279" s="424" t="str">
        <f t="shared" si="172"/>
        <v>Frota Azul Algarve - Transportes e Turismo, LDA.</v>
      </c>
      <c r="D4279" t="s">
        <v>623</v>
      </c>
      <c r="F4279" s="432" t="s">
        <v>620</v>
      </c>
      <c r="G4279" s="89">
        <v>2016</v>
      </c>
      <c r="H4279" s="313" t="s">
        <v>733</v>
      </c>
      <c r="I4279" s="311" t="str">
        <f t="shared" si="173"/>
        <v>Ligeiro de Passageiros M1:  : Gasóleo : E6</v>
      </c>
      <c r="J4279" s="422">
        <v>8</v>
      </c>
      <c r="K4279" s="422">
        <v>2023</v>
      </c>
      <c r="L4279" s="427">
        <v>821.44</v>
      </c>
      <c r="M4279" s="427" t="s">
        <v>630</v>
      </c>
      <c r="N4279" s="434">
        <v>8361</v>
      </c>
      <c r="O4279" s="436">
        <f t="shared" si="174"/>
        <v>66888</v>
      </c>
      <c r="P4279" s="435">
        <v>42521</v>
      </c>
      <c r="Q4279" s="427" t="s">
        <v>47</v>
      </c>
      <c r="R4279" s="422" t="s">
        <v>1869</v>
      </c>
      <c r="S4279" s="422" t="s">
        <v>1861</v>
      </c>
      <c r="T4279" s="427" t="s">
        <v>2623</v>
      </c>
      <c r="U4279" s="422" t="s">
        <v>1953</v>
      </c>
      <c r="V4279" s="422" t="s">
        <v>2813</v>
      </c>
    </row>
    <row r="4280" spans="1:22" ht="15.75" thickBot="1" x14ac:dyDescent="0.3">
      <c r="A4280" t="s">
        <v>4584</v>
      </c>
      <c r="B4280" t="s">
        <v>4584</v>
      </c>
      <c r="C4280" s="424" t="str">
        <f t="shared" si="172"/>
        <v>Frota Azul Algarve - Transportes e Turismo, LDA.</v>
      </c>
      <c r="D4280" t="s">
        <v>623</v>
      </c>
      <c r="F4280" s="432" t="s">
        <v>620</v>
      </c>
      <c r="G4280" s="89">
        <v>2016</v>
      </c>
      <c r="H4280" s="313" t="s">
        <v>733</v>
      </c>
      <c r="I4280" s="311" t="str">
        <f t="shared" si="173"/>
        <v>Ligeiro de Passageiros M1:  : Gasóleo : E6</v>
      </c>
      <c r="J4280" s="422">
        <v>8</v>
      </c>
      <c r="K4280" s="422">
        <v>2023</v>
      </c>
      <c r="L4280" s="427">
        <v>781.34</v>
      </c>
      <c r="M4280" s="427" t="s">
        <v>630</v>
      </c>
      <c r="N4280" s="434">
        <v>6987</v>
      </c>
      <c r="O4280" s="436">
        <f t="shared" si="174"/>
        <v>55896</v>
      </c>
      <c r="P4280" s="435">
        <v>42521</v>
      </c>
      <c r="Q4280" s="427" t="s">
        <v>47</v>
      </c>
      <c r="R4280" s="422" t="s">
        <v>1869</v>
      </c>
      <c r="S4280" s="422" t="s">
        <v>1861</v>
      </c>
      <c r="T4280" s="427" t="s">
        <v>2624</v>
      </c>
      <c r="U4280" s="422" t="s">
        <v>1953</v>
      </c>
      <c r="V4280" s="422" t="s">
        <v>2813</v>
      </c>
    </row>
    <row r="4281" spans="1:22" ht="15.75" thickBot="1" x14ac:dyDescent="0.3">
      <c r="A4281" t="s">
        <v>3475</v>
      </c>
      <c r="B4281" t="s">
        <v>3475</v>
      </c>
      <c r="C4281" s="424" t="str">
        <f t="shared" si="172"/>
        <v>PXM - Transportes Rodoviários Urbanos de Faro, S.A.</v>
      </c>
      <c r="D4281" t="s">
        <v>629</v>
      </c>
      <c r="F4281" s="432" t="s">
        <v>620</v>
      </c>
      <c r="G4281" s="89">
        <v>2013</v>
      </c>
      <c r="H4281" s="313" t="s">
        <v>731</v>
      </c>
      <c r="I4281" s="311" t="str">
        <f t="shared" si="173"/>
        <v>Pesado de Passageiros M3:  : Gasóleo : E4</v>
      </c>
      <c r="J4281">
        <v>25</v>
      </c>
      <c r="K4281" s="422">
        <v>2023</v>
      </c>
      <c r="L4281">
        <v>7996.03</v>
      </c>
      <c r="M4281" t="s">
        <v>630</v>
      </c>
      <c r="N4281">
        <v>33039.058610329506</v>
      </c>
      <c r="O4281" s="436">
        <f t="shared" si="174"/>
        <v>825976.46525823767</v>
      </c>
      <c r="P4281" s="89">
        <v>41383</v>
      </c>
      <c r="Q4281" t="s">
        <v>47</v>
      </c>
      <c r="R4281" s="422" t="s">
        <v>1869</v>
      </c>
      <c r="S4281" s="422" t="s">
        <v>1861</v>
      </c>
      <c r="T4281" s="427" t="s">
        <v>5041</v>
      </c>
      <c r="U4281" s="422" t="s">
        <v>1953</v>
      </c>
      <c r="V4281" s="422" t="s">
        <v>2813</v>
      </c>
    </row>
    <row r="4282" spans="1:22" ht="15.75" thickBot="1" x14ac:dyDescent="0.3">
      <c r="A4282" t="s">
        <v>3475</v>
      </c>
      <c r="B4282" t="s">
        <v>3475</v>
      </c>
      <c r="C4282" s="424" t="str">
        <f t="shared" si="172"/>
        <v>PXM - Transportes Rodoviários Urbanos de Faro, S.A.</v>
      </c>
      <c r="D4282" t="s">
        <v>629</v>
      </c>
      <c r="F4282" s="432" t="s">
        <v>620</v>
      </c>
      <c r="G4282" s="89">
        <v>2013</v>
      </c>
      <c r="H4282" s="313" t="s">
        <v>731</v>
      </c>
      <c r="I4282" s="311" t="str">
        <f t="shared" si="173"/>
        <v>Pesado de Passageiros M3:  : Gasóleo : E4</v>
      </c>
      <c r="J4282">
        <v>25</v>
      </c>
      <c r="K4282" s="422">
        <v>2023</v>
      </c>
      <c r="L4282">
        <v>6910.11</v>
      </c>
      <c r="M4282" t="s">
        <v>630</v>
      </c>
      <c r="N4282">
        <v>30996.91816633895</v>
      </c>
      <c r="O4282" s="436">
        <f t="shared" si="174"/>
        <v>774922.95415847376</v>
      </c>
      <c r="P4282" s="89">
        <v>41383</v>
      </c>
      <c r="Q4282" t="s">
        <v>47</v>
      </c>
      <c r="R4282" s="422" t="s">
        <v>1869</v>
      </c>
      <c r="S4282" s="422" t="s">
        <v>1861</v>
      </c>
      <c r="T4282" s="427" t="s">
        <v>5042</v>
      </c>
      <c r="U4282" s="422" t="s">
        <v>1953</v>
      </c>
      <c r="V4282" s="422" t="s">
        <v>2813</v>
      </c>
    </row>
    <row r="4283" spans="1:22" ht="15.75" thickBot="1" x14ac:dyDescent="0.3">
      <c r="A4283" t="s">
        <v>3475</v>
      </c>
      <c r="B4283" t="s">
        <v>3475</v>
      </c>
      <c r="C4283" s="424" t="str">
        <f t="shared" si="172"/>
        <v>PXM - Transportes Rodoviários Urbanos de Faro, S.A.</v>
      </c>
      <c r="D4283" t="s">
        <v>629</v>
      </c>
      <c r="F4283" s="432" t="s">
        <v>620</v>
      </c>
      <c r="G4283" s="89">
        <v>2013</v>
      </c>
      <c r="H4283" s="313" t="s">
        <v>731</v>
      </c>
      <c r="I4283" s="311" t="str">
        <f t="shared" si="173"/>
        <v>Pesado de Passageiros M3:  : Gasóleo : E4</v>
      </c>
      <c r="J4283">
        <v>25</v>
      </c>
      <c r="K4283" s="422">
        <v>2023</v>
      </c>
      <c r="L4283">
        <v>7558.26</v>
      </c>
      <c r="M4283" t="s">
        <v>630</v>
      </c>
      <c r="N4283">
        <v>32739.192209713132</v>
      </c>
      <c r="O4283" s="436">
        <f t="shared" si="174"/>
        <v>818479.80524282833</v>
      </c>
      <c r="P4283" s="89">
        <v>41383</v>
      </c>
      <c r="Q4283" t="s">
        <v>47</v>
      </c>
      <c r="R4283" s="422" t="s">
        <v>1869</v>
      </c>
      <c r="S4283" s="422" t="s">
        <v>1861</v>
      </c>
      <c r="T4283" s="427" t="s">
        <v>5043</v>
      </c>
      <c r="U4283" s="422" t="s">
        <v>1953</v>
      </c>
      <c r="V4283" s="422" t="s">
        <v>2813</v>
      </c>
    </row>
    <row r="4284" spans="1:22" ht="15.75" thickBot="1" x14ac:dyDescent="0.3">
      <c r="A4284" t="s">
        <v>3475</v>
      </c>
      <c r="B4284" t="s">
        <v>3475</v>
      </c>
      <c r="C4284" s="424" t="str">
        <f t="shared" si="172"/>
        <v>PXM - Transportes Rodoviários Urbanos de Faro, S.A.</v>
      </c>
      <c r="D4284" t="s">
        <v>629</v>
      </c>
      <c r="F4284" s="432" t="s">
        <v>620</v>
      </c>
      <c r="G4284" s="89">
        <v>2013</v>
      </c>
      <c r="H4284" s="313" t="s">
        <v>731</v>
      </c>
      <c r="I4284" s="311" t="str">
        <f t="shared" si="173"/>
        <v>Pesado de Passageiros M3:  : Gasóleo : E4</v>
      </c>
      <c r="J4284">
        <v>25</v>
      </c>
      <c r="K4284" s="422">
        <v>2023</v>
      </c>
      <c r="L4284">
        <v>10567.29</v>
      </c>
      <c r="M4284" t="s">
        <v>630</v>
      </c>
      <c r="N4284">
        <v>50189.219376421461</v>
      </c>
      <c r="O4284" s="436">
        <f t="shared" si="174"/>
        <v>1254730.4844105365</v>
      </c>
      <c r="P4284" s="89">
        <v>41400</v>
      </c>
      <c r="Q4284" t="s">
        <v>47</v>
      </c>
      <c r="R4284" s="422" t="s">
        <v>1869</v>
      </c>
      <c r="S4284" s="422" t="s">
        <v>1861</v>
      </c>
      <c r="T4284" s="427" t="s">
        <v>5044</v>
      </c>
      <c r="U4284" s="422" t="s">
        <v>1953</v>
      </c>
      <c r="V4284" s="422" t="s">
        <v>2813</v>
      </c>
    </row>
    <row r="4285" spans="1:22" ht="15.75" thickBot="1" x14ac:dyDescent="0.3">
      <c r="A4285" t="s">
        <v>3475</v>
      </c>
      <c r="B4285" t="s">
        <v>3475</v>
      </c>
      <c r="C4285" s="424" t="str">
        <f t="shared" si="172"/>
        <v>PXM - Transportes Rodoviários Urbanos de Faro, S.A.</v>
      </c>
      <c r="D4285" t="s">
        <v>629</v>
      </c>
      <c r="F4285" s="432" t="s">
        <v>620</v>
      </c>
      <c r="G4285" s="89">
        <v>2018</v>
      </c>
      <c r="H4285" s="313" t="s">
        <v>731</v>
      </c>
      <c r="I4285" s="311" t="str">
        <f t="shared" si="173"/>
        <v>Pesado de Passageiros M3:  : Gasóleo : E4</v>
      </c>
      <c r="J4285">
        <v>27</v>
      </c>
      <c r="K4285" s="422">
        <v>2023</v>
      </c>
      <c r="L4285">
        <v>9356.57</v>
      </c>
      <c r="M4285" t="s">
        <v>630</v>
      </c>
      <c r="N4285">
        <v>41264.90483772257</v>
      </c>
      <c r="O4285" s="436">
        <f t="shared" si="174"/>
        <v>1114152.4306185094</v>
      </c>
      <c r="P4285" s="89">
        <v>43347</v>
      </c>
      <c r="Q4285" t="s">
        <v>47</v>
      </c>
      <c r="R4285" s="422" t="s">
        <v>1869</v>
      </c>
      <c r="S4285" s="422" t="s">
        <v>1861</v>
      </c>
      <c r="T4285" s="427" t="s">
        <v>5045</v>
      </c>
      <c r="U4285" s="422" t="s">
        <v>1953</v>
      </c>
      <c r="V4285" s="422" t="s">
        <v>2813</v>
      </c>
    </row>
    <row r="4286" spans="1:22" ht="15.75" thickBot="1" x14ac:dyDescent="0.3">
      <c r="A4286" t="s">
        <v>3475</v>
      </c>
      <c r="B4286" t="s">
        <v>3475</v>
      </c>
      <c r="C4286" s="424" t="str">
        <f t="shared" si="172"/>
        <v>PXM - Transportes Rodoviários Urbanos de Faro, S.A.</v>
      </c>
      <c r="D4286" t="s">
        <v>629</v>
      </c>
      <c r="F4286" s="432" t="s">
        <v>620</v>
      </c>
      <c r="G4286" s="89">
        <v>2018</v>
      </c>
      <c r="H4286" s="313" t="s">
        <v>731</v>
      </c>
      <c r="I4286" s="311" t="str">
        <f t="shared" si="173"/>
        <v>Pesado de Passageiros M3:  : Gasóleo : E4</v>
      </c>
      <c r="J4286">
        <v>27</v>
      </c>
      <c r="K4286" s="422">
        <v>2023</v>
      </c>
      <c r="L4286">
        <v>8792.89</v>
      </c>
      <c r="M4286" t="s">
        <v>630</v>
      </c>
      <c r="N4286">
        <v>39600.640775100343</v>
      </c>
      <c r="O4286" s="436">
        <f t="shared" si="174"/>
        <v>1069217.3009277093</v>
      </c>
      <c r="P4286" s="89">
        <v>43347</v>
      </c>
      <c r="Q4286" t="s">
        <v>47</v>
      </c>
      <c r="R4286" s="422" t="s">
        <v>1869</v>
      </c>
      <c r="S4286" s="422" t="s">
        <v>1861</v>
      </c>
      <c r="T4286" s="427" t="s">
        <v>5046</v>
      </c>
      <c r="U4286" s="422" t="s">
        <v>1953</v>
      </c>
      <c r="V4286" s="422" t="s">
        <v>2813</v>
      </c>
    </row>
    <row r="4287" spans="1:22" ht="15.75" thickBot="1" x14ac:dyDescent="0.3">
      <c r="A4287" t="s">
        <v>3475</v>
      </c>
      <c r="B4287" t="s">
        <v>3475</v>
      </c>
      <c r="C4287" s="424" t="str">
        <f t="shared" si="172"/>
        <v>PXM - Transportes Rodoviários Urbanos de Faro, S.A.</v>
      </c>
      <c r="D4287" t="s">
        <v>629</v>
      </c>
      <c r="F4287" s="432" t="s">
        <v>620</v>
      </c>
      <c r="G4287" s="89">
        <v>2019</v>
      </c>
      <c r="H4287" s="313" t="s">
        <v>733</v>
      </c>
      <c r="I4287" s="311" t="str">
        <f t="shared" si="173"/>
        <v>Pesado de Passageiros M3:  : Gasóleo : E6</v>
      </c>
      <c r="J4287">
        <v>27</v>
      </c>
      <c r="K4287" s="422">
        <v>2023</v>
      </c>
      <c r="L4287">
        <v>9813.27</v>
      </c>
      <c r="M4287" t="s">
        <v>630</v>
      </c>
      <c r="N4287">
        <v>48645.554158916784</v>
      </c>
      <c r="O4287" s="436">
        <f t="shared" si="174"/>
        <v>1313429.9622907531</v>
      </c>
      <c r="P4287" s="89">
        <v>43741</v>
      </c>
      <c r="Q4287" t="s">
        <v>47</v>
      </c>
      <c r="R4287" s="422" t="s">
        <v>1869</v>
      </c>
      <c r="S4287" s="422" t="s">
        <v>1861</v>
      </c>
      <c r="T4287" s="427" t="s">
        <v>5047</v>
      </c>
      <c r="U4287" s="422" t="s">
        <v>1953</v>
      </c>
      <c r="V4287" s="422" t="s">
        <v>2813</v>
      </c>
    </row>
    <row r="4288" spans="1:22" ht="15.75" thickBot="1" x14ac:dyDescent="0.3">
      <c r="A4288" t="s">
        <v>3475</v>
      </c>
      <c r="B4288" t="s">
        <v>3475</v>
      </c>
      <c r="C4288" s="424" t="str">
        <f t="shared" si="172"/>
        <v>PXM - Transportes Rodoviários Urbanos de Faro, S.A.</v>
      </c>
      <c r="D4288" t="s">
        <v>629</v>
      </c>
      <c r="F4288" s="432" t="s">
        <v>620</v>
      </c>
      <c r="G4288" s="89">
        <v>2019</v>
      </c>
      <c r="H4288" s="313" t="s">
        <v>733</v>
      </c>
      <c r="I4288" s="311" t="str">
        <f t="shared" si="173"/>
        <v>Pesado de Passageiros M3:  : Gasóleo : E6</v>
      </c>
      <c r="J4288">
        <v>27</v>
      </c>
      <c r="K4288" s="422">
        <v>2023</v>
      </c>
      <c r="L4288">
        <v>7790.75</v>
      </c>
      <c r="M4288" t="s">
        <v>630</v>
      </c>
      <c r="N4288">
        <v>36897.216663715211</v>
      </c>
      <c r="O4288" s="436">
        <f t="shared" si="174"/>
        <v>996224.84992031066</v>
      </c>
      <c r="P4288" s="89">
        <v>43741</v>
      </c>
      <c r="Q4288" t="s">
        <v>47</v>
      </c>
      <c r="R4288" s="422" t="s">
        <v>1869</v>
      </c>
      <c r="S4288" s="422" t="s">
        <v>1861</v>
      </c>
      <c r="T4288" s="427" t="s">
        <v>5048</v>
      </c>
      <c r="U4288" s="422" t="s">
        <v>1953</v>
      </c>
      <c r="V4288" s="422" t="s">
        <v>2813</v>
      </c>
    </row>
    <row r="4289" spans="1:22" ht="15.75" thickBot="1" x14ac:dyDescent="0.3">
      <c r="A4289" t="s">
        <v>3475</v>
      </c>
      <c r="B4289" t="s">
        <v>3475</v>
      </c>
      <c r="C4289" s="424" t="str">
        <f t="shared" si="172"/>
        <v>PXM - Transportes Rodoviários Urbanos de Faro, S.A.</v>
      </c>
      <c r="D4289" t="s">
        <v>629</v>
      </c>
      <c r="F4289" s="432" t="s">
        <v>620</v>
      </c>
      <c r="G4289" s="89">
        <v>2019</v>
      </c>
      <c r="H4289" s="313" t="s">
        <v>733</v>
      </c>
      <c r="I4289" s="311" t="str">
        <f t="shared" si="173"/>
        <v>Pesado de Passageiros M3:  : Gasóleo : E6</v>
      </c>
      <c r="J4289">
        <v>27</v>
      </c>
      <c r="K4289" s="422">
        <v>2023</v>
      </c>
      <c r="L4289">
        <v>10522</v>
      </c>
      <c r="M4289" t="s">
        <v>630</v>
      </c>
      <c r="N4289">
        <v>47808.397175725775</v>
      </c>
      <c r="O4289" s="436">
        <f t="shared" si="174"/>
        <v>1290826.7237445959</v>
      </c>
      <c r="P4289" s="89">
        <v>43741</v>
      </c>
      <c r="Q4289" t="s">
        <v>47</v>
      </c>
      <c r="R4289" s="422" t="s">
        <v>1869</v>
      </c>
      <c r="S4289" s="422" t="s">
        <v>1861</v>
      </c>
      <c r="T4289" s="427" t="s">
        <v>5049</v>
      </c>
      <c r="U4289" s="422" t="s">
        <v>1953</v>
      </c>
      <c r="V4289" s="422" t="s">
        <v>2813</v>
      </c>
    </row>
    <row r="4290" spans="1:22" ht="15.75" thickBot="1" x14ac:dyDescent="0.3">
      <c r="A4290" t="s">
        <v>3475</v>
      </c>
      <c r="B4290" t="s">
        <v>3475</v>
      </c>
      <c r="C4290" s="424" t="str">
        <f t="shared" si="172"/>
        <v>PXM - Transportes Rodoviários Urbanos de Faro, S.A.</v>
      </c>
      <c r="D4290" t="s">
        <v>629</v>
      </c>
      <c r="F4290" s="432" t="s">
        <v>620</v>
      </c>
      <c r="G4290" s="89">
        <v>2019</v>
      </c>
      <c r="H4290" s="313" t="s">
        <v>733</v>
      </c>
      <c r="I4290" s="311" t="str">
        <f t="shared" si="173"/>
        <v>Pesado de Passageiros M3:  : Gasóleo : E6</v>
      </c>
      <c r="J4290">
        <v>27</v>
      </c>
      <c r="K4290" s="422">
        <v>2023</v>
      </c>
      <c r="L4290">
        <v>10651.76</v>
      </c>
      <c r="M4290" t="s">
        <v>630</v>
      </c>
      <c r="N4290">
        <v>46579.293945902718</v>
      </c>
      <c r="O4290" s="436">
        <f t="shared" si="174"/>
        <v>1257640.9365393734</v>
      </c>
      <c r="P4290" s="89">
        <v>43741</v>
      </c>
      <c r="Q4290" t="s">
        <v>47</v>
      </c>
      <c r="R4290" s="422" t="s">
        <v>1869</v>
      </c>
      <c r="S4290" s="422" t="s">
        <v>1861</v>
      </c>
      <c r="T4290" s="427" t="s">
        <v>5050</v>
      </c>
      <c r="U4290" s="422" t="s">
        <v>1953</v>
      </c>
      <c r="V4290" s="422" t="s">
        <v>2813</v>
      </c>
    </row>
    <row r="4291" spans="1:22" ht="15.75" thickBot="1" x14ac:dyDescent="0.3">
      <c r="A4291" t="s">
        <v>3475</v>
      </c>
      <c r="B4291" t="s">
        <v>3475</v>
      </c>
      <c r="C4291" s="424" t="str">
        <f t="shared" si="172"/>
        <v>PXM - Transportes Rodoviários Urbanos de Faro, S.A.</v>
      </c>
      <c r="D4291" t="s">
        <v>629</v>
      </c>
      <c r="F4291" s="432" t="s">
        <v>620</v>
      </c>
      <c r="G4291" s="89">
        <v>2020</v>
      </c>
      <c r="H4291" s="313" t="s">
        <v>733</v>
      </c>
      <c r="I4291" s="311" t="str">
        <f t="shared" si="173"/>
        <v>Pesado de Passageiros M3:  : Gasóleo : E6</v>
      </c>
      <c r="J4291">
        <v>27</v>
      </c>
      <c r="K4291" s="422">
        <v>2023</v>
      </c>
      <c r="L4291">
        <v>10032.43</v>
      </c>
      <c r="M4291" t="s">
        <v>630</v>
      </c>
      <c r="N4291">
        <v>45296.926226152747</v>
      </c>
      <c r="O4291" s="436">
        <f t="shared" si="174"/>
        <v>1223017.0081061241</v>
      </c>
      <c r="P4291" s="89">
        <v>44035</v>
      </c>
      <c r="Q4291" t="s">
        <v>47</v>
      </c>
      <c r="R4291" s="422" t="s">
        <v>1869</v>
      </c>
      <c r="S4291" s="422" t="s">
        <v>1861</v>
      </c>
      <c r="T4291" s="427" t="s">
        <v>5051</v>
      </c>
      <c r="U4291" s="422" t="s">
        <v>1953</v>
      </c>
      <c r="V4291" s="422" t="s">
        <v>2813</v>
      </c>
    </row>
    <row r="4292" spans="1:22" ht="15.75" thickBot="1" x14ac:dyDescent="0.3">
      <c r="A4292" t="s">
        <v>3475</v>
      </c>
      <c r="B4292" t="s">
        <v>3475</v>
      </c>
      <c r="C4292" s="424" t="str">
        <f t="shared" si="172"/>
        <v>PXM - Transportes Rodoviários Urbanos de Faro, S.A.</v>
      </c>
      <c r="D4292" t="s">
        <v>629</v>
      </c>
      <c r="F4292" s="432" t="s">
        <v>620</v>
      </c>
      <c r="G4292" s="89">
        <v>2011</v>
      </c>
      <c r="H4292" s="313" t="s">
        <v>731</v>
      </c>
      <c r="I4292" s="311" t="str">
        <f t="shared" si="173"/>
        <v>Pesado de Passageiros M3:  : Gasóleo : E4</v>
      </c>
      <c r="J4292">
        <v>70</v>
      </c>
      <c r="K4292" s="422">
        <v>2023</v>
      </c>
      <c r="L4292">
        <v>5309.16</v>
      </c>
      <c r="M4292" t="s">
        <v>630</v>
      </c>
      <c r="N4292">
        <v>15440.672136550647</v>
      </c>
      <c r="O4292" s="436">
        <f t="shared" si="174"/>
        <v>1080847.0495585452</v>
      </c>
      <c r="P4292" s="89">
        <v>40617</v>
      </c>
      <c r="Q4292" t="s">
        <v>47</v>
      </c>
      <c r="R4292" s="422" t="s">
        <v>1869</v>
      </c>
      <c r="S4292" s="422" t="s">
        <v>1861</v>
      </c>
      <c r="T4292" s="427" t="s">
        <v>5052</v>
      </c>
      <c r="U4292" s="422" t="s">
        <v>1953</v>
      </c>
      <c r="V4292" s="422" t="s">
        <v>2813</v>
      </c>
    </row>
    <row r="4293" spans="1:22" ht="15.75" thickBot="1" x14ac:dyDescent="0.3">
      <c r="A4293" t="s">
        <v>3475</v>
      </c>
      <c r="B4293" t="s">
        <v>3475</v>
      </c>
      <c r="C4293" s="424" t="str">
        <f t="shared" si="172"/>
        <v>PXM - Transportes Rodoviários Urbanos de Faro, S.A.</v>
      </c>
      <c r="D4293" t="s">
        <v>629</v>
      </c>
      <c r="F4293" s="432" t="s">
        <v>620</v>
      </c>
      <c r="G4293" s="89">
        <v>2011</v>
      </c>
      <c r="H4293" s="313" t="s">
        <v>731</v>
      </c>
      <c r="I4293" s="311" t="str">
        <f t="shared" si="173"/>
        <v>Pesado de Passageiros M3:  : Gasóleo : E4</v>
      </c>
      <c r="J4293">
        <v>70</v>
      </c>
      <c r="K4293" s="422">
        <v>2023</v>
      </c>
      <c r="L4293">
        <v>9488.59</v>
      </c>
      <c r="M4293" t="s">
        <v>630</v>
      </c>
      <c r="N4293">
        <v>25847.347479819455</v>
      </c>
      <c r="O4293" s="436">
        <f t="shared" si="174"/>
        <v>1809314.3235873617</v>
      </c>
      <c r="P4293" s="89">
        <v>40617</v>
      </c>
      <c r="Q4293" t="s">
        <v>47</v>
      </c>
      <c r="R4293" s="422" t="s">
        <v>1869</v>
      </c>
      <c r="S4293" s="422" t="s">
        <v>1861</v>
      </c>
      <c r="T4293" s="427" t="s">
        <v>5053</v>
      </c>
      <c r="U4293" s="422" t="s">
        <v>1953</v>
      </c>
      <c r="V4293" s="422" t="s">
        <v>2813</v>
      </c>
    </row>
    <row r="4294" spans="1:22" ht="15.75" thickBot="1" x14ac:dyDescent="0.3">
      <c r="A4294" t="s">
        <v>3475</v>
      </c>
      <c r="B4294" t="s">
        <v>3475</v>
      </c>
      <c r="C4294" s="424" t="str">
        <f t="shared" si="172"/>
        <v>PXM - Transportes Rodoviários Urbanos de Faro, S.A.</v>
      </c>
      <c r="D4294" t="s">
        <v>629</v>
      </c>
      <c r="F4294" s="432" t="s">
        <v>620</v>
      </c>
      <c r="G4294" s="89">
        <v>2019</v>
      </c>
      <c r="H4294" s="313" t="s">
        <v>733</v>
      </c>
      <c r="I4294" s="311" t="str">
        <f t="shared" si="173"/>
        <v>Pesado de Passageiros M3:  : Gasóleo : E6</v>
      </c>
      <c r="J4294">
        <v>71</v>
      </c>
      <c r="K4294" s="422">
        <v>2023</v>
      </c>
      <c r="L4294">
        <v>1680.85</v>
      </c>
      <c r="M4294" t="s">
        <v>630</v>
      </c>
      <c r="N4294">
        <v>4522.4566919082217</v>
      </c>
      <c r="O4294" s="436">
        <f t="shared" si="174"/>
        <v>321094.42512548371</v>
      </c>
      <c r="P4294" s="89">
        <v>43500</v>
      </c>
      <c r="Q4294" t="s">
        <v>47</v>
      </c>
      <c r="R4294" s="422" t="s">
        <v>1869</v>
      </c>
      <c r="S4294" s="422" t="s">
        <v>1861</v>
      </c>
      <c r="T4294" s="427" t="s">
        <v>5054</v>
      </c>
      <c r="U4294" s="422" t="s">
        <v>1953</v>
      </c>
      <c r="V4294" s="422" t="s">
        <v>2813</v>
      </c>
    </row>
    <row r="4295" spans="1:22" ht="15.75" thickBot="1" x14ac:dyDescent="0.3">
      <c r="A4295" t="s">
        <v>3475</v>
      </c>
      <c r="B4295" t="s">
        <v>3475</v>
      </c>
      <c r="C4295" s="424" t="str">
        <f t="shared" si="172"/>
        <v>PXM - Transportes Rodoviários Urbanos de Faro, S.A.</v>
      </c>
      <c r="D4295" t="s">
        <v>629</v>
      </c>
      <c r="F4295" s="432" t="s">
        <v>620</v>
      </c>
      <c r="G4295" s="89">
        <v>2013</v>
      </c>
      <c r="H4295" s="313" t="s">
        <v>731</v>
      </c>
      <c r="I4295" s="311" t="str">
        <f t="shared" si="173"/>
        <v>Pesado de Passageiros M3:  : Gasóleo : E4</v>
      </c>
      <c r="J4295">
        <v>91</v>
      </c>
      <c r="K4295" s="422">
        <v>2023</v>
      </c>
      <c r="L4295">
        <v>28307</v>
      </c>
      <c r="M4295" t="s">
        <v>630</v>
      </c>
      <c r="N4295">
        <v>28448.26257285467</v>
      </c>
      <c r="O4295" s="436">
        <f t="shared" si="174"/>
        <v>2588791.894129775</v>
      </c>
      <c r="P4295" s="89">
        <v>41352</v>
      </c>
      <c r="Q4295" t="s">
        <v>47</v>
      </c>
      <c r="R4295" s="422" t="s">
        <v>1869</v>
      </c>
      <c r="S4295" s="422" t="s">
        <v>1861</v>
      </c>
      <c r="T4295" s="427" t="s">
        <v>5055</v>
      </c>
      <c r="U4295" s="422" t="s">
        <v>1953</v>
      </c>
      <c r="V4295" s="422" t="s">
        <v>2813</v>
      </c>
    </row>
    <row r="4296" spans="1:22" ht="15.75" thickBot="1" x14ac:dyDescent="0.3">
      <c r="A4296" t="s">
        <v>3475</v>
      </c>
      <c r="B4296" t="s">
        <v>3475</v>
      </c>
      <c r="C4296" s="424" t="str">
        <f t="shared" si="172"/>
        <v>PXM - Transportes Rodoviários Urbanos de Faro, S.A.</v>
      </c>
      <c r="D4296" t="s">
        <v>629</v>
      </c>
      <c r="F4296" s="432" t="s">
        <v>620</v>
      </c>
      <c r="G4296" s="89">
        <v>2013</v>
      </c>
      <c r="H4296" s="313" t="s">
        <v>731</v>
      </c>
      <c r="I4296" s="311" t="str">
        <f t="shared" si="173"/>
        <v>Pesado de Passageiros M3:  : Gasóleo : E4</v>
      </c>
      <c r="J4296">
        <v>91</v>
      </c>
      <c r="K4296" s="422">
        <v>2023</v>
      </c>
      <c r="L4296">
        <v>46204</v>
      </c>
      <c r="M4296" t="s">
        <v>630</v>
      </c>
      <c r="N4296">
        <v>46434.575331761655</v>
      </c>
      <c r="O4296" s="436">
        <f t="shared" si="174"/>
        <v>4225546.3551903106</v>
      </c>
      <c r="P4296" s="89">
        <v>41352</v>
      </c>
      <c r="Q4296" t="s">
        <v>47</v>
      </c>
      <c r="R4296" s="422" t="s">
        <v>1869</v>
      </c>
      <c r="S4296" s="422" t="s">
        <v>1861</v>
      </c>
      <c r="T4296" s="427" t="s">
        <v>5056</v>
      </c>
      <c r="U4296" s="422" t="s">
        <v>1953</v>
      </c>
      <c r="V4296" s="422" t="s">
        <v>2813</v>
      </c>
    </row>
    <row r="4297" spans="1:22" ht="15.75" thickBot="1" x14ac:dyDescent="0.3">
      <c r="A4297" t="s">
        <v>3475</v>
      </c>
      <c r="B4297" t="s">
        <v>3475</v>
      </c>
      <c r="C4297" s="424" t="str">
        <f t="shared" si="172"/>
        <v>PXM - Transportes Rodoviários Urbanos de Faro, S.A.</v>
      </c>
      <c r="D4297" t="s">
        <v>629</v>
      </c>
      <c r="F4297" s="432" t="s">
        <v>620</v>
      </c>
      <c r="G4297" s="89">
        <v>2013</v>
      </c>
      <c r="H4297" s="313" t="s">
        <v>731</v>
      </c>
      <c r="I4297" s="311" t="str">
        <f t="shared" si="173"/>
        <v>Pesado de Passageiros M3:  : Gasóleo : E4</v>
      </c>
      <c r="J4297">
        <v>91</v>
      </c>
      <c r="K4297" s="422">
        <v>2023</v>
      </c>
      <c r="L4297">
        <v>39579</v>
      </c>
      <c r="M4297" t="s">
        <v>630</v>
      </c>
      <c r="N4297">
        <v>39776.514090896773</v>
      </c>
      <c r="O4297" s="436">
        <f t="shared" si="174"/>
        <v>3619662.7822716064</v>
      </c>
      <c r="P4297" s="89">
        <v>41352</v>
      </c>
      <c r="Q4297" t="s">
        <v>47</v>
      </c>
      <c r="R4297" s="422" t="s">
        <v>1869</v>
      </c>
      <c r="S4297" s="422" t="s">
        <v>1861</v>
      </c>
      <c r="T4297" s="427" t="s">
        <v>5057</v>
      </c>
      <c r="U4297" s="422" t="s">
        <v>1953</v>
      </c>
      <c r="V4297" s="422" t="s">
        <v>2813</v>
      </c>
    </row>
    <row r="4298" spans="1:22" ht="15.75" thickBot="1" x14ac:dyDescent="0.3">
      <c r="A4298" t="s">
        <v>3475</v>
      </c>
      <c r="B4298" t="s">
        <v>3475</v>
      </c>
      <c r="C4298" s="424" t="str">
        <f t="shared" si="172"/>
        <v>PXM - Transportes Rodoviários Urbanos de Faro, S.A.</v>
      </c>
      <c r="D4298" t="s">
        <v>629</v>
      </c>
      <c r="F4298" s="432" t="s">
        <v>620</v>
      </c>
      <c r="G4298" s="89">
        <v>2013</v>
      </c>
      <c r="H4298" s="313" t="s">
        <v>731</v>
      </c>
      <c r="I4298" s="311" t="str">
        <f t="shared" si="173"/>
        <v>Pesado de Passageiros M3:  : Gasóleo : E4</v>
      </c>
      <c r="J4298">
        <v>91</v>
      </c>
      <c r="K4298" s="422">
        <v>2023</v>
      </c>
      <c r="L4298">
        <v>35475</v>
      </c>
      <c r="M4298" t="s">
        <v>630</v>
      </c>
      <c r="N4298">
        <v>35652.033587876474</v>
      </c>
      <c r="O4298" s="436">
        <f t="shared" si="174"/>
        <v>3244335.0564967589</v>
      </c>
      <c r="P4298" s="89">
        <v>41352</v>
      </c>
      <c r="Q4298" t="s">
        <v>47</v>
      </c>
      <c r="R4298" s="422" t="s">
        <v>1869</v>
      </c>
      <c r="S4298" s="422" t="s">
        <v>1861</v>
      </c>
      <c r="T4298" s="427" t="s">
        <v>5058</v>
      </c>
      <c r="U4298" s="422" t="s">
        <v>1953</v>
      </c>
      <c r="V4298" s="422" t="s">
        <v>2813</v>
      </c>
    </row>
    <row r="4299" spans="1:22" ht="15.75" thickBot="1" x14ac:dyDescent="0.3">
      <c r="A4299" t="s">
        <v>3475</v>
      </c>
      <c r="B4299" t="s">
        <v>3475</v>
      </c>
      <c r="C4299" s="424" t="str">
        <f t="shared" si="172"/>
        <v>PXM - Transportes Rodoviários Urbanos de Faro, S.A.</v>
      </c>
      <c r="D4299" t="s">
        <v>629</v>
      </c>
      <c r="F4299" s="432" t="s">
        <v>620</v>
      </c>
      <c r="G4299" s="89">
        <v>2013</v>
      </c>
      <c r="H4299" s="313" t="s">
        <v>731</v>
      </c>
      <c r="I4299" s="311" t="str">
        <f t="shared" si="173"/>
        <v>Pesado de Passageiros M3:  : Gasóleo : E4</v>
      </c>
      <c r="J4299">
        <v>91</v>
      </c>
      <c r="K4299" s="422">
        <v>2023</v>
      </c>
      <c r="L4299">
        <v>15264.2</v>
      </c>
      <c r="M4299" t="s">
        <v>630</v>
      </c>
      <c r="N4299">
        <v>38511.231207538454</v>
      </c>
      <c r="O4299" s="436">
        <f t="shared" si="174"/>
        <v>3504522.0398859992</v>
      </c>
      <c r="P4299" s="89">
        <v>41368</v>
      </c>
      <c r="Q4299" t="s">
        <v>47</v>
      </c>
      <c r="R4299" s="422" t="s">
        <v>1869</v>
      </c>
      <c r="S4299" s="422" t="s">
        <v>1861</v>
      </c>
      <c r="T4299" s="427" t="s">
        <v>5059</v>
      </c>
      <c r="U4299" s="422" t="s">
        <v>1953</v>
      </c>
      <c r="V4299" s="422" t="s">
        <v>2813</v>
      </c>
    </row>
    <row r="4300" spans="1:22" ht="15.75" thickBot="1" x14ac:dyDescent="0.3">
      <c r="A4300" t="s">
        <v>3475</v>
      </c>
      <c r="B4300" t="s">
        <v>3475</v>
      </c>
      <c r="C4300" s="424" t="str">
        <f t="shared" si="172"/>
        <v>PXM - Transportes Rodoviários Urbanos de Faro, S.A.</v>
      </c>
      <c r="D4300" t="s">
        <v>629</v>
      </c>
      <c r="F4300" s="432" t="s">
        <v>620</v>
      </c>
      <c r="G4300" s="89">
        <v>2013</v>
      </c>
      <c r="H4300" s="313" t="s">
        <v>731</v>
      </c>
      <c r="I4300" s="311" t="str">
        <f t="shared" si="173"/>
        <v>Pesado de Passageiros M3:  : Gasóleo : E4</v>
      </c>
      <c r="J4300">
        <v>91</v>
      </c>
      <c r="K4300" s="422">
        <v>2023</v>
      </c>
      <c r="L4300">
        <v>17333.740000000002</v>
      </c>
      <c r="M4300" t="s">
        <v>630</v>
      </c>
      <c r="N4300">
        <v>41892.018832333844</v>
      </c>
      <c r="O4300" s="436">
        <f t="shared" si="174"/>
        <v>3812173.71374238</v>
      </c>
      <c r="P4300" s="89">
        <v>41368</v>
      </c>
      <c r="Q4300" t="s">
        <v>47</v>
      </c>
      <c r="R4300" s="422" t="s">
        <v>1869</v>
      </c>
      <c r="S4300" s="422" t="s">
        <v>1861</v>
      </c>
      <c r="T4300" s="427" t="s">
        <v>5060</v>
      </c>
      <c r="U4300" s="422" t="s">
        <v>1953</v>
      </c>
      <c r="V4300" s="422" t="s">
        <v>2813</v>
      </c>
    </row>
    <row r="4301" spans="1:22" ht="15.75" thickBot="1" x14ac:dyDescent="0.3">
      <c r="A4301" t="s">
        <v>3475</v>
      </c>
      <c r="B4301" t="s">
        <v>3475</v>
      </c>
      <c r="C4301" s="424" t="str">
        <f t="shared" si="172"/>
        <v>PXM - Transportes Rodoviários Urbanos de Faro, S.A.</v>
      </c>
      <c r="D4301" t="s">
        <v>629</v>
      </c>
      <c r="F4301" s="432" t="s">
        <v>620</v>
      </c>
      <c r="G4301" s="89">
        <v>2013</v>
      </c>
      <c r="H4301" s="313" t="s">
        <v>731</v>
      </c>
      <c r="I4301" s="311" t="str">
        <f t="shared" si="173"/>
        <v>Pesado de Passageiros M3:  : Gasóleo : E4</v>
      </c>
      <c r="J4301">
        <v>91</v>
      </c>
      <c r="K4301" s="422">
        <v>2023</v>
      </c>
      <c r="L4301">
        <v>18785.009999999998</v>
      </c>
      <c r="M4301" t="s">
        <v>630</v>
      </c>
      <c r="N4301">
        <v>47105.908902916031</v>
      </c>
      <c r="O4301" s="436">
        <f t="shared" si="174"/>
        <v>4286637.7101653591</v>
      </c>
      <c r="P4301" s="89">
        <v>41368</v>
      </c>
      <c r="Q4301" t="s">
        <v>47</v>
      </c>
      <c r="R4301" s="422" t="s">
        <v>1869</v>
      </c>
      <c r="S4301" s="422" t="s">
        <v>1861</v>
      </c>
      <c r="T4301" s="427" t="s">
        <v>5061</v>
      </c>
      <c r="U4301" s="422" t="s">
        <v>1953</v>
      </c>
      <c r="V4301" s="422" t="s">
        <v>2813</v>
      </c>
    </row>
    <row r="4302" spans="1:22" ht="15.75" thickBot="1" x14ac:dyDescent="0.3">
      <c r="A4302" t="s">
        <v>3475</v>
      </c>
      <c r="B4302" t="s">
        <v>3475</v>
      </c>
      <c r="C4302" s="424" t="str">
        <f t="shared" si="172"/>
        <v>PXM - Transportes Rodoviários Urbanos de Faro, S.A.</v>
      </c>
      <c r="D4302" t="s">
        <v>629</v>
      </c>
      <c r="F4302" s="432" t="s">
        <v>620</v>
      </c>
      <c r="G4302" s="89">
        <v>2013</v>
      </c>
      <c r="H4302" s="313" t="s">
        <v>731</v>
      </c>
      <c r="I4302" s="311" t="str">
        <f t="shared" si="173"/>
        <v>Pesado de Passageiros M3:  : Gasóleo : E4</v>
      </c>
      <c r="J4302">
        <v>91</v>
      </c>
      <c r="K4302" s="422">
        <v>2023</v>
      </c>
      <c r="L4302">
        <v>17976.64</v>
      </c>
      <c r="M4302" t="s">
        <v>630</v>
      </c>
      <c r="N4302">
        <v>47860.656675276718</v>
      </c>
      <c r="O4302" s="436">
        <f t="shared" si="174"/>
        <v>4355319.7574501811</v>
      </c>
      <c r="P4302" s="89">
        <v>41368</v>
      </c>
      <c r="Q4302" t="s">
        <v>47</v>
      </c>
      <c r="R4302" s="422" t="s">
        <v>1869</v>
      </c>
      <c r="S4302" s="422" t="s">
        <v>1861</v>
      </c>
      <c r="T4302" s="427" t="s">
        <v>5062</v>
      </c>
      <c r="U4302" s="422" t="s">
        <v>1953</v>
      </c>
      <c r="V4302" s="422" t="s">
        <v>2813</v>
      </c>
    </row>
    <row r="4303" spans="1:22" ht="15.75" thickBot="1" x14ac:dyDescent="0.3">
      <c r="A4303" t="s">
        <v>3475</v>
      </c>
      <c r="B4303" t="s">
        <v>3475</v>
      </c>
      <c r="C4303" s="424" t="str">
        <f t="shared" si="172"/>
        <v>PXM - Transportes Rodoviários Urbanos de Faro, S.A.</v>
      </c>
      <c r="D4303" t="s">
        <v>629</v>
      </c>
      <c r="F4303" s="432" t="s">
        <v>620</v>
      </c>
      <c r="G4303" s="89">
        <v>2018</v>
      </c>
      <c r="H4303" s="313" t="s">
        <v>733</v>
      </c>
      <c r="I4303" s="311" t="str">
        <f t="shared" si="173"/>
        <v>Pesado de Passageiros M3:  : Gasóleo : E6</v>
      </c>
      <c r="J4303">
        <v>78</v>
      </c>
      <c r="K4303" s="422">
        <v>2023</v>
      </c>
      <c r="L4303">
        <v>22444.58</v>
      </c>
      <c r="M4303" t="s">
        <v>630</v>
      </c>
      <c r="N4303">
        <v>64415.863138788744</v>
      </c>
      <c r="O4303" s="436">
        <f t="shared" si="174"/>
        <v>5024437.3248255216</v>
      </c>
      <c r="P4303" s="89">
        <v>43227</v>
      </c>
      <c r="Q4303" t="s">
        <v>47</v>
      </c>
      <c r="R4303" s="422" t="s">
        <v>1869</v>
      </c>
      <c r="S4303" s="422" t="s">
        <v>1861</v>
      </c>
      <c r="T4303" s="427" t="s">
        <v>5063</v>
      </c>
      <c r="U4303" s="422" t="s">
        <v>1953</v>
      </c>
      <c r="V4303" s="422" t="s">
        <v>2813</v>
      </c>
    </row>
    <row r="4304" spans="1:22" ht="15.75" thickBot="1" x14ac:dyDescent="0.3">
      <c r="A4304" t="s">
        <v>3475</v>
      </c>
      <c r="B4304" t="s">
        <v>3475</v>
      </c>
      <c r="C4304" s="424" t="str">
        <f t="shared" si="172"/>
        <v>PXM - Transportes Rodoviários Urbanos de Faro, S.A.</v>
      </c>
      <c r="D4304" t="s">
        <v>629</v>
      </c>
      <c r="F4304" s="432" t="s">
        <v>620</v>
      </c>
      <c r="G4304" s="89">
        <v>2018</v>
      </c>
      <c r="H4304" s="313" t="s">
        <v>733</v>
      </c>
      <c r="I4304" s="311" t="str">
        <f t="shared" si="173"/>
        <v>Pesado de Passageiros M3:  : Gasóleo : E6</v>
      </c>
      <c r="J4304">
        <v>78</v>
      </c>
      <c r="K4304" s="422">
        <v>2023</v>
      </c>
      <c r="L4304">
        <v>22617.4</v>
      </c>
      <c r="M4304" t="s">
        <v>630</v>
      </c>
      <c r="N4304">
        <v>62808.883527597354</v>
      </c>
      <c r="O4304" s="436">
        <f t="shared" si="174"/>
        <v>4899092.9151525935</v>
      </c>
      <c r="P4304" s="89">
        <v>43227</v>
      </c>
      <c r="Q4304" t="s">
        <v>47</v>
      </c>
      <c r="R4304" s="422" t="s">
        <v>1869</v>
      </c>
      <c r="S4304" s="422" t="s">
        <v>1861</v>
      </c>
      <c r="T4304" s="427" t="s">
        <v>5064</v>
      </c>
      <c r="U4304" s="422" t="s">
        <v>1953</v>
      </c>
      <c r="V4304" s="422" t="s">
        <v>2813</v>
      </c>
    </row>
    <row r="4305" spans="1:22" ht="15.75" thickBot="1" x14ac:dyDescent="0.3">
      <c r="A4305" t="s">
        <v>3475</v>
      </c>
      <c r="B4305" t="s">
        <v>3475</v>
      </c>
      <c r="C4305" s="424" t="str">
        <f t="shared" si="172"/>
        <v>PXM - Transportes Rodoviários Urbanos de Faro, S.A.</v>
      </c>
      <c r="D4305" t="s">
        <v>629</v>
      </c>
      <c r="F4305" s="432" t="s">
        <v>620</v>
      </c>
      <c r="G4305" s="89">
        <v>2018</v>
      </c>
      <c r="H4305" s="313" t="s">
        <v>733</v>
      </c>
      <c r="I4305" s="311" t="str">
        <f t="shared" si="173"/>
        <v>Pesado de Passageiros M3:  : Gasóleo : E6</v>
      </c>
      <c r="J4305">
        <v>78</v>
      </c>
      <c r="K4305" s="422">
        <v>2023</v>
      </c>
      <c r="L4305">
        <v>20303.48</v>
      </c>
      <c r="M4305" t="s">
        <v>630</v>
      </c>
      <c r="N4305">
        <v>55809.12555889941</v>
      </c>
      <c r="O4305" s="436">
        <f t="shared" si="174"/>
        <v>4353111.7935941536</v>
      </c>
      <c r="P4305" s="89">
        <v>43255</v>
      </c>
      <c r="Q4305" t="s">
        <v>47</v>
      </c>
      <c r="R4305" s="422" t="s">
        <v>1869</v>
      </c>
      <c r="S4305" s="422" t="s">
        <v>1861</v>
      </c>
      <c r="T4305" s="427" t="s">
        <v>5065</v>
      </c>
      <c r="U4305" s="422" t="s">
        <v>1953</v>
      </c>
      <c r="V4305" s="422" t="s">
        <v>2813</v>
      </c>
    </row>
    <row r="4306" spans="1:22" ht="15.75" thickBot="1" x14ac:dyDescent="0.3">
      <c r="A4306" t="s">
        <v>3475</v>
      </c>
      <c r="B4306" t="s">
        <v>3475</v>
      </c>
      <c r="C4306" s="424" t="str">
        <f t="shared" si="172"/>
        <v>PXM - Transportes Rodoviários Urbanos de Faro, S.A.</v>
      </c>
      <c r="D4306" t="s">
        <v>629</v>
      </c>
      <c r="F4306" s="432" t="s">
        <v>620</v>
      </c>
      <c r="G4306" s="89">
        <v>2018</v>
      </c>
      <c r="H4306" s="313" t="s">
        <v>733</v>
      </c>
      <c r="I4306" s="311" t="str">
        <f t="shared" si="173"/>
        <v>Pesado de Passageiros M3:  : Gasóleo : E6</v>
      </c>
      <c r="J4306">
        <v>78</v>
      </c>
      <c r="K4306" s="422">
        <v>2023</v>
      </c>
      <c r="L4306">
        <v>17513.34</v>
      </c>
      <c r="M4306" t="s">
        <v>630</v>
      </c>
      <c r="N4306">
        <v>45131.102814116108</v>
      </c>
      <c r="O4306" s="436">
        <f t="shared" si="174"/>
        <v>3520226.0195010565</v>
      </c>
      <c r="P4306" s="89">
        <v>43255</v>
      </c>
      <c r="Q4306" t="s">
        <v>47</v>
      </c>
      <c r="R4306" s="422" t="s">
        <v>1869</v>
      </c>
      <c r="S4306" s="422" t="s">
        <v>1861</v>
      </c>
      <c r="T4306" s="427" t="s">
        <v>5066</v>
      </c>
      <c r="U4306" s="422" t="s">
        <v>1953</v>
      </c>
      <c r="V4306" s="422" t="s">
        <v>2813</v>
      </c>
    </row>
    <row r="4307" spans="1:22" ht="15.75" thickBot="1" x14ac:dyDescent="0.3">
      <c r="A4307" t="s">
        <v>3475</v>
      </c>
      <c r="B4307" t="s">
        <v>3475</v>
      </c>
      <c r="C4307" s="424" t="str">
        <f t="shared" si="172"/>
        <v>PXM - Transportes Rodoviários Urbanos de Faro, S.A.</v>
      </c>
      <c r="D4307" t="s">
        <v>629</v>
      </c>
      <c r="F4307" s="432" t="s">
        <v>620</v>
      </c>
      <c r="G4307" s="89">
        <v>2019</v>
      </c>
      <c r="H4307" s="313" t="s">
        <v>733</v>
      </c>
      <c r="I4307" s="311" t="str">
        <f t="shared" si="173"/>
        <v>Pesado de Passageiros M3:  : Gasóleo : E6</v>
      </c>
      <c r="J4307">
        <v>36</v>
      </c>
      <c r="K4307" s="422">
        <v>2023</v>
      </c>
      <c r="L4307">
        <v>11276.14</v>
      </c>
      <c r="M4307" t="s">
        <v>630</v>
      </c>
      <c r="N4307">
        <v>35268.127264252267</v>
      </c>
      <c r="O4307" s="436">
        <f t="shared" si="174"/>
        <v>1269652.5815130817</v>
      </c>
      <c r="P4307" s="89">
        <v>43612</v>
      </c>
      <c r="Q4307" t="s">
        <v>47</v>
      </c>
      <c r="R4307" s="422" t="s">
        <v>1869</v>
      </c>
      <c r="S4307" s="422" t="s">
        <v>1861</v>
      </c>
      <c r="T4307" s="427" t="s">
        <v>2432</v>
      </c>
      <c r="U4307" s="422" t="s">
        <v>1953</v>
      </c>
      <c r="V4307" s="422" t="s">
        <v>2813</v>
      </c>
    </row>
    <row r="4308" spans="1:22" ht="15.75" thickBot="1" x14ac:dyDescent="0.3">
      <c r="A4308" t="s">
        <v>3475</v>
      </c>
      <c r="B4308" t="s">
        <v>3475</v>
      </c>
      <c r="C4308" s="424" t="str">
        <f t="shared" si="172"/>
        <v>PXM - Transportes Rodoviários Urbanos de Faro, S.A.</v>
      </c>
      <c r="D4308" t="s">
        <v>629</v>
      </c>
      <c r="F4308" s="432" t="s">
        <v>620</v>
      </c>
      <c r="G4308" s="89">
        <v>2006</v>
      </c>
      <c r="H4308" s="313" t="s">
        <v>733</v>
      </c>
      <c r="I4308" s="311" t="str">
        <f t="shared" si="173"/>
        <v>Pesado de Passageiros M3:  : Gasóleo : E6</v>
      </c>
      <c r="J4308">
        <v>97</v>
      </c>
      <c r="K4308" s="422">
        <v>2023</v>
      </c>
      <c r="L4308">
        <v>5347.25</v>
      </c>
      <c r="M4308" t="s">
        <v>630</v>
      </c>
      <c r="N4308">
        <v>14746.22378674874</v>
      </c>
      <c r="O4308" s="436">
        <f t="shared" si="174"/>
        <v>1430383.7073146277</v>
      </c>
      <c r="P4308" s="89">
        <v>38783</v>
      </c>
      <c r="Q4308" t="s">
        <v>47</v>
      </c>
      <c r="R4308" s="422" t="s">
        <v>1869</v>
      </c>
      <c r="S4308" s="422" t="s">
        <v>1861</v>
      </c>
      <c r="T4308" s="427" t="s">
        <v>2427</v>
      </c>
      <c r="U4308" s="422" t="s">
        <v>1953</v>
      </c>
      <c r="V4308" s="422" t="s">
        <v>2813</v>
      </c>
    </row>
    <row r="4309" spans="1:22" ht="15.75" thickBot="1" x14ac:dyDescent="0.3">
      <c r="A4309" t="s">
        <v>3475</v>
      </c>
      <c r="B4309" t="s">
        <v>3475</v>
      </c>
      <c r="C4309" s="424" t="str">
        <f t="shared" si="172"/>
        <v>PXM - Transportes Rodoviários Urbanos de Faro, S.A.</v>
      </c>
      <c r="D4309" t="s">
        <v>629</v>
      </c>
      <c r="F4309" s="432" t="s">
        <v>4827</v>
      </c>
      <c r="G4309" s="89">
        <v>2023</v>
      </c>
      <c r="H4309" s="313" t="s">
        <v>5040</v>
      </c>
      <c r="I4309" s="311" t="str">
        <f t="shared" si="173"/>
        <v>Pesado de Passageiros M3:  : Eletrico Baterias : Eletrico</v>
      </c>
      <c r="J4309">
        <v>86</v>
      </c>
      <c r="K4309" s="422">
        <v>2023</v>
      </c>
      <c r="L4309">
        <v>0</v>
      </c>
      <c r="M4309" t="s">
        <v>630</v>
      </c>
      <c r="N4309">
        <v>14481</v>
      </c>
      <c r="O4309" s="436">
        <f t="shared" si="174"/>
        <v>1245366</v>
      </c>
      <c r="P4309" s="89">
        <v>45020</v>
      </c>
      <c r="Q4309" t="s">
        <v>47</v>
      </c>
      <c r="R4309" s="422" t="s">
        <v>1869</v>
      </c>
      <c r="S4309" s="422" t="s">
        <v>1861</v>
      </c>
      <c r="T4309" s="427" t="s">
        <v>5067</v>
      </c>
      <c r="U4309" s="422" t="s">
        <v>1953</v>
      </c>
      <c r="V4309" s="422" t="s">
        <v>2813</v>
      </c>
    </row>
    <row r="4310" spans="1:22" ht="15.75" thickBot="1" x14ac:dyDescent="0.3">
      <c r="A4310" t="s">
        <v>3475</v>
      </c>
      <c r="B4310" t="s">
        <v>3475</v>
      </c>
      <c r="C4310" s="424" t="str">
        <f t="shared" si="172"/>
        <v>PXM - Transportes Rodoviários Urbanos de Faro, S.A.</v>
      </c>
      <c r="D4310" t="s">
        <v>629</v>
      </c>
      <c r="F4310" s="432" t="s">
        <v>4827</v>
      </c>
      <c r="G4310" s="89">
        <v>2023</v>
      </c>
      <c r="H4310" s="313" t="s">
        <v>5040</v>
      </c>
      <c r="I4310" s="311" t="str">
        <f t="shared" si="173"/>
        <v>Pesado de Passageiros M3:  : Eletrico Baterias : Eletrico</v>
      </c>
      <c r="J4310">
        <v>86</v>
      </c>
      <c r="K4310" s="422">
        <v>2023</v>
      </c>
      <c r="L4310">
        <v>0</v>
      </c>
      <c r="M4310" t="s">
        <v>630</v>
      </c>
      <c r="N4310">
        <v>12660</v>
      </c>
      <c r="O4310" s="436">
        <f t="shared" si="174"/>
        <v>1088760</v>
      </c>
      <c r="P4310" s="89">
        <v>45119</v>
      </c>
      <c r="Q4310" t="s">
        <v>47</v>
      </c>
      <c r="R4310" s="422" t="s">
        <v>1869</v>
      </c>
      <c r="S4310" s="422" t="s">
        <v>1861</v>
      </c>
      <c r="T4310" s="427" t="s">
        <v>5068</v>
      </c>
      <c r="U4310" s="422" t="s">
        <v>1953</v>
      </c>
      <c r="V4310" s="422" t="s">
        <v>2813</v>
      </c>
    </row>
    <row r="4311" spans="1:22" ht="15.75" thickBot="1" x14ac:dyDescent="0.3">
      <c r="A4311" t="s">
        <v>3475</v>
      </c>
      <c r="B4311" t="s">
        <v>3475</v>
      </c>
      <c r="C4311" s="424" t="str">
        <f t="shared" si="172"/>
        <v>PXM - Transportes Rodoviários Urbanos de Faro, S.A.</v>
      </c>
      <c r="D4311" t="s">
        <v>629</v>
      </c>
      <c r="F4311" s="432" t="s">
        <v>4827</v>
      </c>
      <c r="G4311" s="89">
        <v>2023</v>
      </c>
      <c r="H4311" s="313" t="s">
        <v>5040</v>
      </c>
      <c r="I4311" s="311" t="str">
        <f t="shared" si="173"/>
        <v>Pesado de Passageiros M3:  : Eletrico Baterias : Eletrico</v>
      </c>
      <c r="J4311">
        <v>86</v>
      </c>
      <c r="K4311" s="422">
        <v>2023</v>
      </c>
      <c r="L4311">
        <v>0</v>
      </c>
      <c r="M4311" t="s">
        <v>630</v>
      </c>
      <c r="N4311">
        <v>8533</v>
      </c>
      <c r="O4311" s="436">
        <f t="shared" si="174"/>
        <v>733838</v>
      </c>
      <c r="P4311" s="89">
        <v>45020</v>
      </c>
      <c r="Q4311" t="s">
        <v>47</v>
      </c>
      <c r="R4311" s="422" t="s">
        <v>1869</v>
      </c>
      <c r="S4311" s="422" t="s">
        <v>1861</v>
      </c>
      <c r="T4311" s="427" t="s">
        <v>5069</v>
      </c>
      <c r="U4311" s="422" t="s">
        <v>1953</v>
      </c>
      <c r="V4311" s="422" t="s">
        <v>2813</v>
      </c>
    </row>
    <row r="4312" spans="1:22" ht="15.75" thickBot="1" x14ac:dyDescent="0.3">
      <c r="A4312" t="s">
        <v>5904</v>
      </c>
      <c r="B4312" t="s">
        <v>4586</v>
      </c>
      <c r="C4312" s="424" t="str">
        <f t="shared" ref="C4312:C4375" si="175">IF(A4312=B4312,B4312,RIGHT(A4312,LEN(A4312)-LEN(B4312)-3))</f>
        <v xml:space="preserve">GIRO </v>
      </c>
      <c r="D4312" t="s">
        <v>629</v>
      </c>
      <c r="F4312" s="432" t="s">
        <v>620</v>
      </c>
      <c r="G4312" s="89">
        <v>2003</v>
      </c>
      <c r="H4312" s="313" t="s">
        <v>731</v>
      </c>
      <c r="I4312" s="311" t="str">
        <f t="shared" si="173"/>
        <v>Pesado de Passageiros M3:  : Gasóleo : E4</v>
      </c>
      <c r="J4312">
        <v>74</v>
      </c>
      <c r="K4312" s="422">
        <v>2023</v>
      </c>
      <c r="L4312">
        <v>339.59</v>
      </c>
      <c r="M4312" t="s">
        <v>630</v>
      </c>
      <c r="N4312">
        <v>339.59</v>
      </c>
      <c r="O4312" s="436">
        <f t="shared" si="174"/>
        <v>25129.66</v>
      </c>
      <c r="P4312" s="89">
        <v>37942</v>
      </c>
      <c r="Q4312" t="s">
        <v>47</v>
      </c>
      <c r="R4312" s="422" t="s">
        <v>1869</v>
      </c>
      <c r="S4312" s="422" t="s">
        <v>1861</v>
      </c>
      <c r="T4312" s="427" t="s">
        <v>5070</v>
      </c>
      <c r="U4312" s="422" t="s">
        <v>1953</v>
      </c>
      <c r="V4312" s="422" t="s">
        <v>2813</v>
      </c>
    </row>
    <row r="4313" spans="1:22" ht="15.75" thickBot="1" x14ac:dyDescent="0.3">
      <c r="A4313" s="422" t="s">
        <v>5904</v>
      </c>
      <c r="B4313" s="422" t="s">
        <v>4586</v>
      </c>
      <c r="C4313" s="424" t="str">
        <f t="shared" si="175"/>
        <v xml:space="preserve">GIRO </v>
      </c>
      <c r="D4313" t="s">
        <v>629</v>
      </c>
      <c r="F4313" s="432" t="s">
        <v>620</v>
      </c>
      <c r="G4313" s="89">
        <v>2001</v>
      </c>
      <c r="H4313" s="313" t="s">
        <v>731</v>
      </c>
      <c r="I4313" s="311" t="str">
        <f t="shared" si="173"/>
        <v>Pesado de Passageiros M3:  : Gasóleo : E4</v>
      </c>
      <c r="J4313">
        <v>77</v>
      </c>
      <c r="K4313" s="422">
        <v>2023</v>
      </c>
      <c r="L4313">
        <v>7567.8</v>
      </c>
      <c r="M4313" t="s">
        <v>630</v>
      </c>
      <c r="N4313">
        <v>21557.4</v>
      </c>
      <c r="O4313" s="436">
        <f t="shared" si="174"/>
        <v>1659919.8</v>
      </c>
      <c r="P4313" s="89">
        <v>36893</v>
      </c>
      <c r="Q4313" t="s">
        <v>47</v>
      </c>
      <c r="R4313" s="422" t="s">
        <v>1869</v>
      </c>
      <c r="S4313" s="422" t="s">
        <v>1861</v>
      </c>
      <c r="T4313" s="427" t="s">
        <v>5071</v>
      </c>
      <c r="U4313" s="422" t="s">
        <v>1953</v>
      </c>
      <c r="V4313" s="422" t="s">
        <v>2813</v>
      </c>
    </row>
    <row r="4314" spans="1:22" ht="15.75" thickBot="1" x14ac:dyDescent="0.3">
      <c r="A4314" s="422" t="s">
        <v>5904</v>
      </c>
      <c r="B4314" s="422" t="s">
        <v>4586</v>
      </c>
      <c r="C4314" s="424" t="str">
        <f t="shared" si="175"/>
        <v xml:space="preserve">GIRO </v>
      </c>
      <c r="D4314" t="s">
        <v>629</v>
      </c>
      <c r="F4314" s="432" t="s">
        <v>4827</v>
      </c>
      <c r="G4314" s="89">
        <v>2022</v>
      </c>
      <c r="H4314" s="313" t="s">
        <v>5040</v>
      </c>
      <c r="I4314" s="311" t="str">
        <f t="shared" si="173"/>
        <v>Pesado de Passageiros M3:  : Eletrico Baterias : Eletrico</v>
      </c>
      <c r="J4314">
        <v>35</v>
      </c>
      <c r="K4314" s="422">
        <v>2023</v>
      </c>
      <c r="M4314" t="s">
        <v>630</v>
      </c>
      <c r="N4314">
        <v>46526.600000000013</v>
      </c>
      <c r="O4314" s="436">
        <f t="shared" si="174"/>
        <v>1628431.0000000005</v>
      </c>
      <c r="P4314" s="89">
        <v>44769</v>
      </c>
      <c r="Q4314" t="s">
        <v>47</v>
      </c>
      <c r="R4314" s="422" t="s">
        <v>1869</v>
      </c>
      <c r="S4314" s="422" t="s">
        <v>1861</v>
      </c>
      <c r="T4314" s="427" t="s">
        <v>5072</v>
      </c>
      <c r="U4314" s="422" t="s">
        <v>1953</v>
      </c>
      <c r="V4314" s="422" t="s">
        <v>2813</v>
      </c>
    </row>
    <row r="4315" spans="1:22" ht="15.75" thickBot="1" x14ac:dyDescent="0.3">
      <c r="A4315" s="422" t="s">
        <v>5904</v>
      </c>
      <c r="B4315" s="422" t="s">
        <v>4586</v>
      </c>
      <c r="C4315" s="424" t="str">
        <f t="shared" si="175"/>
        <v xml:space="preserve">GIRO </v>
      </c>
      <c r="D4315" t="s">
        <v>629</v>
      </c>
      <c r="F4315" s="432" t="s">
        <v>4827</v>
      </c>
      <c r="G4315" s="89">
        <v>2022</v>
      </c>
      <c r="H4315" s="313" t="s">
        <v>5040</v>
      </c>
      <c r="I4315" s="311" t="str">
        <f t="shared" si="173"/>
        <v>Pesado de Passageiros M3:  : Eletrico Baterias : Eletrico</v>
      </c>
      <c r="J4315">
        <v>35</v>
      </c>
      <c r="K4315" s="422">
        <v>2023</v>
      </c>
      <c r="M4315" t="s">
        <v>630</v>
      </c>
      <c r="N4315">
        <v>39988.900000000031</v>
      </c>
      <c r="O4315" s="436">
        <f t="shared" si="174"/>
        <v>1399611.5000000012</v>
      </c>
      <c r="P4315" s="89">
        <v>44774</v>
      </c>
      <c r="Q4315" t="s">
        <v>47</v>
      </c>
      <c r="R4315" s="422" t="s">
        <v>1869</v>
      </c>
      <c r="S4315" s="422" t="s">
        <v>1861</v>
      </c>
      <c r="T4315" s="427" t="s">
        <v>5073</v>
      </c>
      <c r="U4315" s="422" t="s">
        <v>1953</v>
      </c>
      <c r="V4315" s="422" t="s">
        <v>2813</v>
      </c>
    </row>
    <row r="4316" spans="1:22" ht="15.75" thickBot="1" x14ac:dyDescent="0.3">
      <c r="A4316" s="422" t="s">
        <v>5904</v>
      </c>
      <c r="B4316" s="422" t="s">
        <v>4586</v>
      </c>
      <c r="C4316" s="424" t="str">
        <f t="shared" si="175"/>
        <v xml:space="preserve">GIRO </v>
      </c>
      <c r="D4316" t="s">
        <v>629</v>
      </c>
      <c r="F4316" s="432" t="s">
        <v>620</v>
      </c>
      <c r="G4316" s="89">
        <v>2015</v>
      </c>
      <c r="H4316" s="313" t="s">
        <v>731</v>
      </c>
      <c r="I4316" s="311" t="str">
        <f t="shared" si="173"/>
        <v>Pesado de Passageiros M3:  : Gasóleo : E4</v>
      </c>
      <c r="J4316">
        <v>63</v>
      </c>
      <c r="K4316" s="422">
        <v>2023</v>
      </c>
      <c r="L4316">
        <v>10632.98</v>
      </c>
      <c r="M4316" t="s">
        <v>630</v>
      </c>
      <c r="N4316">
        <v>26522.400000000001</v>
      </c>
      <c r="O4316" s="436">
        <f t="shared" si="174"/>
        <v>1670911.2000000002</v>
      </c>
      <c r="P4316" s="89">
        <v>42135</v>
      </c>
      <c r="Q4316" t="s">
        <v>47</v>
      </c>
      <c r="R4316" s="422" t="s">
        <v>1869</v>
      </c>
      <c r="S4316" s="422" t="s">
        <v>1861</v>
      </c>
      <c r="T4316" s="427" t="s">
        <v>5074</v>
      </c>
      <c r="U4316" s="422" t="s">
        <v>1953</v>
      </c>
      <c r="V4316" s="422" t="s">
        <v>2813</v>
      </c>
    </row>
    <row r="4317" spans="1:22" ht="15.75" thickBot="1" x14ac:dyDescent="0.3">
      <c r="A4317" s="422" t="s">
        <v>5904</v>
      </c>
      <c r="B4317" s="422" t="s">
        <v>4586</v>
      </c>
      <c r="C4317" s="424" t="str">
        <f t="shared" si="175"/>
        <v xml:space="preserve">GIRO </v>
      </c>
      <c r="D4317" t="s">
        <v>629</v>
      </c>
      <c r="F4317" s="432" t="s">
        <v>4827</v>
      </c>
      <c r="G4317" s="89">
        <v>2022</v>
      </c>
      <c r="H4317" s="313" t="s">
        <v>5040</v>
      </c>
      <c r="I4317" s="311" t="str">
        <f t="shared" si="173"/>
        <v>Pesado de Passageiros M3:  : Eletrico Baterias : Eletrico</v>
      </c>
      <c r="J4317">
        <v>57</v>
      </c>
      <c r="K4317" s="422">
        <v>2023</v>
      </c>
      <c r="M4317" t="s">
        <v>630</v>
      </c>
      <c r="N4317">
        <v>65056.500000000015</v>
      </c>
      <c r="O4317" s="436">
        <f t="shared" si="174"/>
        <v>3708220.5000000009</v>
      </c>
      <c r="P4317" s="89">
        <v>44776</v>
      </c>
      <c r="Q4317" t="s">
        <v>47</v>
      </c>
      <c r="R4317" s="422" t="s">
        <v>1869</v>
      </c>
      <c r="S4317" s="422" t="s">
        <v>1861</v>
      </c>
      <c r="T4317" s="427" t="s">
        <v>5075</v>
      </c>
      <c r="U4317" s="422" t="s">
        <v>1953</v>
      </c>
      <c r="V4317" s="422" t="s">
        <v>2813</v>
      </c>
    </row>
    <row r="4318" spans="1:22" ht="15.75" thickBot="1" x14ac:dyDescent="0.3">
      <c r="A4318" s="422" t="s">
        <v>5904</v>
      </c>
      <c r="B4318" s="422" t="s">
        <v>4586</v>
      </c>
      <c r="C4318" s="424" t="str">
        <f t="shared" si="175"/>
        <v xml:space="preserve">GIRO </v>
      </c>
      <c r="D4318" t="s">
        <v>629</v>
      </c>
      <c r="F4318" s="432" t="s">
        <v>4827</v>
      </c>
      <c r="G4318" s="89">
        <v>2022</v>
      </c>
      <c r="H4318" s="313" t="s">
        <v>5040</v>
      </c>
      <c r="I4318" s="311" t="str">
        <f t="shared" si="173"/>
        <v>Pesado de Passageiros M3:  : Eletrico Baterias : Eletrico</v>
      </c>
      <c r="J4318">
        <v>57</v>
      </c>
      <c r="K4318" s="422">
        <v>2023</v>
      </c>
      <c r="M4318" t="s">
        <v>630</v>
      </c>
      <c r="N4318">
        <v>75074.000000000029</v>
      </c>
      <c r="O4318" s="436">
        <f t="shared" si="174"/>
        <v>4279218.0000000019</v>
      </c>
      <c r="P4318" s="89">
        <v>44774</v>
      </c>
      <c r="Q4318" t="s">
        <v>47</v>
      </c>
      <c r="R4318" s="422" t="s">
        <v>1869</v>
      </c>
      <c r="S4318" s="422" t="s">
        <v>1861</v>
      </c>
      <c r="T4318" s="427" t="s">
        <v>5076</v>
      </c>
      <c r="U4318" s="422" t="s">
        <v>1953</v>
      </c>
      <c r="V4318" s="422" t="s">
        <v>2813</v>
      </c>
    </row>
    <row r="4319" spans="1:22" ht="15.75" thickBot="1" x14ac:dyDescent="0.3">
      <c r="A4319" s="422" t="s">
        <v>5904</v>
      </c>
      <c r="B4319" s="422" t="s">
        <v>4586</v>
      </c>
      <c r="C4319" s="424" t="str">
        <f t="shared" si="175"/>
        <v xml:space="preserve">GIRO </v>
      </c>
      <c r="D4319" t="s">
        <v>629</v>
      </c>
      <c r="F4319" s="432" t="s">
        <v>4827</v>
      </c>
      <c r="G4319" s="89">
        <v>2022</v>
      </c>
      <c r="H4319" s="313" t="s">
        <v>5040</v>
      </c>
      <c r="I4319" s="311" t="str">
        <f t="shared" si="173"/>
        <v>Pesado de Passageiros M3:  : Eletrico Baterias : Eletrico</v>
      </c>
      <c r="J4319">
        <v>57</v>
      </c>
      <c r="K4319" s="422">
        <v>2023</v>
      </c>
      <c r="M4319" t="s">
        <v>630</v>
      </c>
      <c r="N4319">
        <v>60219.400000000052</v>
      </c>
      <c r="O4319" s="436">
        <f t="shared" si="174"/>
        <v>3432505.8000000031</v>
      </c>
      <c r="P4319" s="89">
        <v>44774</v>
      </c>
      <c r="Q4319" t="s">
        <v>47</v>
      </c>
      <c r="R4319" s="422" t="s">
        <v>1869</v>
      </c>
      <c r="S4319" s="422" t="s">
        <v>1861</v>
      </c>
      <c r="T4319" s="427" t="s">
        <v>5077</v>
      </c>
      <c r="U4319" s="422" t="s">
        <v>1953</v>
      </c>
      <c r="V4319" s="422" t="s">
        <v>2813</v>
      </c>
    </row>
    <row r="4320" spans="1:22" ht="15.75" thickBot="1" x14ac:dyDescent="0.3">
      <c r="A4320" s="422" t="s">
        <v>5904</v>
      </c>
      <c r="B4320" s="422" t="s">
        <v>4586</v>
      </c>
      <c r="C4320" s="424" t="str">
        <f t="shared" si="175"/>
        <v xml:space="preserve">GIRO </v>
      </c>
      <c r="D4320" t="s">
        <v>629</v>
      </c>
      <c r="F4320" s="432" t="s">
        <v>620</v>
      </c>
      <c r="G4320" s="89">
        <v>2015</v>
      </c>
      <c r="H4320" s="313" t="s">
        <v>731</v>
      </c>
      <c r="I4320" s="311" t="str">
        <f t="shared" si="173"/>
        <v>Pesado de Passageiros M3:  : Gasóleo : E4</v>
      </c>
      <c r="J4320">
        <v>63</v>
      </c>
      <c r="K4320" s="422">
        <v>2023</v>
      </c>
      <c r="L4320">
        <v>14757.79</v>
      </c>
      <c r="M4320" t="s">
        <v>630</v>
      </c>
      <c r="N4320">
        <v>37526.400000000001</v>
      </c>
      <c r="O4320" s="436">
        <f t="shared" si="174"/>
        <v>2364163.2000000002</v>
      </c>
      <c r="P4320" s="89">
        <v>42135</v>
      </c>
      <c r="Q4320" t="s">
        <v>47</v>
      </c>
      <c r="R4320" s="422" t="s">
        <v>1869</v>
      </c>
      <c r="S4320" s="422" t="s">
        <v>1861</v>
      </c>
      <c r="T4320" s="427" t="s">
        <v>5078</v>
      </c>
      <c r="U4320" s="422" t="s">
        <v>1953</v>
      </c>
      <c r="V4320" s="422" t="s">
        <v>2813</v>
      </c>
    </row>
    <row r="4321" spans="1:22" ht="15.75" thickBot="1" x14ac:dyDescent="0.3">
      <c r="A4321" s="422" t="s">
        <v>5904</v>
      </c>
      <c r="B4321" s="422" t="s">
        <v>4586</v>
      </c>
      <c r="C4321" s="424" t="str">
        <f t="shared" si="175"/>
        <v xml:space="preserve">GIRO </v>
      </c>
      <c r="D4321" t="s">
        <v>629</v>
      </c>
      <c r="F4321" s="432" t="s">
        <v>620</v>
      </c>
      <c r="G4321" s="89">
        <v>2015</v>
      </c>
      <c r="H4321" s="313" t="s">
        <v>731</v>
      </c>
      <c r="I4321" s="311" t="str">
        <f t="shared" si="173"/>
        <v>Pesado de Passageiros M3:  : Gasóleo : E4</v>
      </c>
      <c r="J4321">
        <v>63</v>
      </c>
      <c r="K4321" s="422">
        <v>2023</v>
      </c>
      <c r="L4321">
        <v>13027.2</v>
      </c>
      <c r="M4321" t="s">
        <v>630</v>
      </c>
      <c r="N4321">
        <v>34609.4</v>
      </c>
      <c r="O4321" s="436">
        <f t="shared" si="174"/>
        <v>2180392.2000000002</v>
      </c>
      <c r="P4321" s="89">
        <v>42135</v>
      </c>
      <c r="Q4321" t="s">
        <v>47</v>
      </c>
      <c r="R4321" s="422" t="s">
        <v>1869</v>
      </c>
      <c r="S4321" s="422" t="s">
        <v>1861</v>
      </c>
      <c r="T4321" s="427" t="s">
        <v>5079</v>
      </c>
      <c r="U4321" s="422" t="s">
        <v>1953</v>
      </c>
      <c r="V4321" s="422" t="s">
        <v>2813</v>
      </c>
    </row>
    <row r="4322" spans="1:22" ht="15.75" thickBot="1" x14ac:dyDescent="0.3">
      <c r="A4322" s="422" t="s">
        <v>5904</v>
      </c>
      <c r="B4322" s="422" t="s">
        <v>4586</v>
      </c>
      <c r="C4322" s="424" t="str">
        <f t="shared" si="175"/>
        <v xml:space="preserve">GIRO </v>
      </c>
      <c r="D4322" t="s">
        <v>629</v>
      </c>
      <c r="F4322" s="432" t="s">
        <v>4827</v>
      </c>
      <c r="G4322" s="89">
        <v>2023</v>
      </c>
      <c r="H4322" s="313" t="s">
        <v>5040</v>
      </c>
      <c r="I4322" s="311" t="str">
        <f t="shared" ref="I4322:I4385" si="176">D4322&amp;": "&amp;E4322&amp;" : "&amp;F4322&amp;" : "&amp;H4322</f>
        <v>Pesado de Passageiros M3:  : Eletrico Baterias : Eletrico</v>
      </c>
      <c r="J4322">
        <v>55</v>
      </c>
      <c r="K4322" s="422">
        <v>2023</v>
      </c>
      <c r="L4322">
        <v>0</v>
      </c>
      <c r="M4322" t="s">
        <v>630</v>
      </c>
      <c r="N4322">
        <v>31051.30000000001</v>
      </c>
      <c r="O4322" s="436">
        <f t="shared" ref="O4322:O4385" si="177">N4322*J4322</f>
        <v>1707821.5000000005</v>
      </c>
      <c r="P4322" s="89">
        <v>45020</v>
      </c>
      <c r="Q4322" t="s">
        <v>47</v>
      </c>
      <c r="R4322" s="422" t="s">
        <v>1869</v>
      </c>
      <c r="S4322" s="422" t="s">
        <v>1861</v>
      </c>
      <c r="T4322" s="427" t="s">
        <v>5080</v>
      </c>
      <c r="U4322" s="422" t="s">
        <v>1953</v>
      </c>
      <c r="V4322" s="422" t="s">
        <v>2813</v>
      </c>
    </row>
    <row r="4323" spans="1:22" ht="15.75" thickBot="1" x14ac:dyDescent="0.3">
      <c r="A4323" s="422" t="s">
        <v>5904</v>
      </c>
      <c r="B4323" s="422" t="s">
        <v>4586</v>
      </c>
      <c r="C4323" s="424" t="str">
        <f t="shared" si="175"/>
        <v xml:space="preserve">GIRO </v>
      </c>
      <c r="D4323" t="s">
        <v>629</v>
      </c>
      <c r="F4323" s="432" t="s">
        <v>4827</v>
      </c>
      <c r="G4323" s="89">
        <v>2023</v>
      </c>
      <c r="H4323" s="313" t="s">
        <v>5040</v>
      </c>
      <c r="I4323" s="311" t="str">
        <f t="shared" si="176"/>
        <v>Pesado de Passageiros M3:  : Eletrico Baterias : Eletrico</v>
      </c>
      <c r="J4323">
        <v>55</v>
      </c>
      <c r="K4323" s="422">
        <v>2023</v>
      </c>
      <c r="L4323">
        <v>0</v>
      </c>
      <c r="M4323" t="s">
        <v>630</v>
      </c>
      <c r="N4323">
        <v>34999.800000000003</v>
      </c>
      <c r="O4323" s="436">
        <f t="shared" si="177"/>
        <v>1924989.0000000002</v>
      </c>
      <c r="P4323" s="89">
        <v>45020</v>
      </c>
      <c r="Q4323" t="s">
        <v>47</v>
      </c>
      <c r="R4323" s="422" t="s">
        <v>1869</v>
      </c>
      <c r="S4323" s="422" t="s">
        <v>1861</v>
      </c>
      <c r="T4323" s="427" t="s">
        <v>5081</v>
      </c>
      <c r="U4323" s="422" t="s">
        <v>1953</v>
      </c>
      <c r="V4323" s="422" t="s">
        <v>2813</v>
      </c>
    </row>
    <row r="4324" spans="1:22" ht="15.75" thickBot="1" x14ac:dyDescent="0.3">
      <c r="A4324" s="422" t="s">
        <v>5904</v>
      </c>
      <c r="B4324" s="422" t="s">
        <v>4586</v>
      </c>
      <c r="C4324" s="424" t="str">
        <f t="shared" si="175"/>
        <v xml:space="preserve">GIRO </v>
      </c>
      <c r="D4324" t="s">
        <v>629</v>
      </c>
      <c r="F4324" s="432" t="s">
        <v>4827</v>
      </c>
      <c r="G4324" s="89">
        <v>2023</v>
      </c>
      <c r="H4324" s="313" t="s">
        <v>5040</v>
      </c>
      <c r="I4324" s="311" t="str">
        <f t="shared" si="176"/>
        <v>Pesado de Passageiros M3:  : Eletrico Baterias : Eletrico</v>
      </c>
      <c r="J4324">
        <v>55</v>
      </c>
      <c r="K4324" s="422">
        <v>2023</v>
      </c>
      <c r="L4324">
        <v>0</v>
      </c>
      <c r="M4324" t="s">
        <v>630</v>
      </c>
      <c r="N4324">
        <v>34808.600000000057</v>
      </c>
      <c r="O4324" s="436">
        <f t="shared" si="177"/>
        <v>1914473.000000003</v>
      </c>
      <c r="P4324" s="89">
        <v>45020</v>
      </c>
      <c r="Q4324" t="s">
        <v>47</v>
      </c>
      <c r="R4324" s="422" t="s">
        <v>1869</v>
      </c>
      <c r="S4324" s="422" t="s">
        <v>1861</v>
      </c>
      <c r="T4324" s="427" t="s">
        <v>5082</v>
      </c>
      <c r="U4324" s="422" t="s">
        <v>1953</v>
      </c>
      <c r="V4324" s="422" t="s">
        <v>2813</v>
      </c>
    </row>
    <row r="4325" spans="1:22" ht="15.75" thickBot="1" x14ac:dyDescent="0.3">
      <c r="A4325" s="422" t="s">
        <v>5904</v>
      </c>
      <c r="B4325" s="422" t="s">
        <v>4586</v>
      </c>
      <c r="C4325" s="424" t="str">
        <f t="shared" si="175"/>
        <v xml:space="preserve">GIRO </v>
      </c>
      <c r="D4325" t="s">
        <v>629</v>
      </c>
      <c r="F4325" s="432" t="s">
        <v>4827</v>
      </c>
      <c r="G4325" s="89">
        <v>2023</v>
      </c>
      <c r="H4325" s="313" t="s">
        <v>5040</v>
      </c>
      <c r="I4325" s="311" t="str">
        <f t="shared" si="176"/>
        <v>Pesado de Passageiros M3:  : Eletrico Baterias : Eletrico</v>
      </c>
      <c r="J4325">
        <v>55</v>
      </c>
      <c r="K4325" s="422">
        <v>2023</v>
      </c>
      <c r="L4325">
        <v>0</v>
      </c>
      <c r="M4325" t="s">
        <v>630</v>
      </c>
      <c r="N4325">
        <v>39211.400000000052</v>
      </c>
      <c r="O4325" s="436">
        <f t="shared" si="177"/>
        <v>2156627.0000000028</v>
      </c>
      <c r="P4325" s="89">
        <v>45020</v>
      </c>
      <c r="Q4325" t="s">
        <v>47</v>
      </c>
      <c r="R4325" s="422" t="s">
        <v>1869</v>
      </c>
      <c r="S4325" s="422" t="s">
        <v>1861</v>
      </c>
      <c r="T4325" s="427" t="s">
        <v>5083</v>
      </c>
      <c r="U4325" s="422" t="s">
        <v>1953</v>
      </c>
      <c r="V4325" s="422" t="s">
        <v>2813</v>
      </c>
    </row>
    <row r="4326" spans="1:22" ht="15.75" thickBot="1" x14ac:dyDescent="0.3">
      <c r="A4326" s="422" t="s">
        <v>5904</v>
      </c>
      <c r="B4326" s="422" t="s">
        <v>4586</v>
      </c>
      <c r="C4326" s="424" t="str">
        <f t="shared" si="175"/>
        <v xml:space="preserve">GIRO </v>
      </c>
      <c r="D4326" t="s">
        <v>629</v>
      </c>
      <c r="F4326" s="432" t="s">
        <v>4827</v>
      </c>
      <c r="G4326" s="89">
        <v>2023</v>
      </c>
      <c r="H4326" s="313" t="s">
        <v>5040</v>
      </c>
      <c r="I4326" s="311" t="str">
        <f t="shared" si="176"/>
        <v>Pesado de Passageiros M3:  : Eletrico Baterias : Eletrico</v>
      </c>
      <c r="J4326">
        <v>55</v>
      </c>
      <c r="K4326" s="422">
        <v>2023</v>
      </c>
      <c r="L4326">
        <v>0</v>
      </c>
      <c r="M4326" t="s">
        <v>630</v>
      </c>
      <c r="N4326">
        <v>37032.100000000057</v>
      </c>
      <c r="O4326" s="436">
        <f t="shared" si="177"/>
        <v>2036765.500000003</v>
      </c>
      <c r="P4326" s="89">
        <v>45020</v>
      </c>
      <c r="Q4326" t="s">
        <v>47</v>
      </c>
      <c r="R4326" s="422" t="s">
        <v>1869</v>
      </c>
      <c r="S4326" s="422" t="s">
        <v>1861</v>
      </c>
      <c r="T4326" s="427" t="s">
        <v>5084</v>
      </c>
      <c r="U4326" s="422" t="s">
        <v>1953</v>
      </c>
      <c r="V4326" s="422" t="s">
        <v>2813</v>
      </c>
    </row>
    <row r="4327" spans="1:22" ht="15.75" thickBot="1" x14ac:dyDescent="0.3">
      <c r="A4327" s="422" t="s">
        <v>5904</v>
      </c>
      <c r="B4327" s="422" t="s">
        <v>4586</v>
      </c>
      <c r="C4327" s="424" t="str">
        <f t="shared" si="175"/>
        <v xml:space="preserve">GIRO </v>
      </c>
      <c r="D4327" t="s">
        <v>629</v>
      </c>
      <c r="F4327" s="432" t="s">
        <v>4827</v>
      </c>
      <c r="G4327" s="89">
        <v>2023</v>
      </c>
      <c r="H4327" s="313" t="s">
        <v>5040</v>
      </c>
      <c r="I4327" s="311" t="str">
        <f t="shared" si="176"/>
        <v>Pesado de Passageiros M3:  : Eletrico Baterias : Eletrico</v>
      </c>
      <c r="J4327">
        <v>55</v>
      </c>
      <c r="K4327" s="422">
        <v>2023</v>
      </c>
      <c r="L4327">
        <v>0</v>
      </c>
      <c r="M4327" t="s">
        <v>630</v>
      </c>
      <c r="N4327">
        <v>25889.799999999996</v>
      </c>
      <c r="O4327" s="436">
        <f t="shared" si="177"/>
        <v>1423938.9999999998</v>
      </c>
      <c r="P4327" s="89">
        <v>45020</v>
      </c>
      <c r="Q4327" t="s">
        <v>47</v>
      </c>
      <c r="R4327" s="422" t="s">
        <v>1869</v>
      </c>
      <c r="S4327" s="422" t="s">
        <v>1861</v>
      </c>
      <c r="T4327" s="427" t="s">
        <v>5085</v>
      </c>
      <c r="U4327" s="422" t="s">
        <v>1953</v>
      </c>
      <c r="V4327" s="422" t="s">
        <v>2813</v>
      </c>
    </row>
    <row r="4328" spans="1:22" ht="15.75" thickBot="1" x14ac:dyDescent="0.3">
      <c r="A4328" s="422" t="s">
        <v>5904</v>
      </c>
      <c r="B4328" s="422" t="s">
        <v>4586</v>
      </c>
      <c r="C4328" s="424" t="str">
        <f t="shared" si="175"/>
        <v xml:space="preserve">GIRO </v>
      </c>
      <c r="D4328" t="s">
        <v>629</v>
      </c>
      <c r="F4328" s="432" t="s">
        <v>4827</v>
      </c>
      <c r="G4328" s="89">
        <v>2023</v>
      </c>
      <c r="H4328" s="313" t="s">
        <v>5040</v>
      </c>
      <c r="I4328" s="311" t="str">
        <f t="shared" si="176"/>
        <v>Pesado de Passageiros M3:  : Eletrico Baterias : Eletrico</v>
      </c>
      <c r="J4328">
        <v>55</v>
      </c>
      <c r="K4328" s="422">
        <v>2023</v>
      </c>
      <c r="L4328">
        <v>0</v>
      </c>
      <c r="M4328" t="s">
        <v>630</v>
      </c>
      <c r="N4328">
        <v>43499.300000000017</v>
      </c>
      <c r="O4328" s="436">
        <f t="shared" si="177"/>
        <v>2392461.5000000009</v>
      </c>
      <c r="P4328" s="89">
        <v>45020</v>
      </c>
      <c r="Q4328" t="s">
        <v>47</v>
      </c>
      <c r="R4328" s="422" t="s">
        <v>1869</v>
      </c>
      <c r="S4328" s="422" t="s">
        <v>1861</v>
      </c>
      <c r="T4328" s="427" t="s">
        <v>5086</v>
      </c>
      <c r="U4328" s="422" t="s">
        <v>1953</v>
      </c>
      <c r="V4328" s="422" t="s">
        <v>2813</v>
      </c>
    </row>
    <row r="4329" spans="1:22" ht="15.75" thickBot="1" x14ac:dyDescent="0.3">
      <c r="A4329" s="422" t="s">
        <v>5904</v>
      </c>
      <c r="B4329" s="422" t="s">
        <v>4586</v>
      </c>
      <c r="C4329" s="424" t="str">
        <f t="shared" si="175"/>
        <v xml:space="preserve">GIRO </v>
      </c>
      <c r="D4329" t="s">
        <v>629</v>
      </c>
      <c r="F4329" s="432" t="s">
        <v>4827</v>
      </c>
      <c r="G4329" s="89">
        <v>2023</v>
      </c>
      <c r="H4329" s="313" t="s">
        <v>5040</v>
      </c>
      <c r="I4329" s="311" t="str">
        <f t="shared" si="176"/>
        <v>Pesado de Passageiros M3:  : Eletrico Baterias : Eletrico</v>
      </c>
      <c r="J4329">
        <v>55</v>
      </c>
      <c r="K4329" s="422">
        <v>2023</v>
      </c>
      <c r="L4329">
        <v>0</v>
      </c>
      <c r="M4329" t="s">
        <v>630</v>
      </c>
      <c r="N4329">
        <v>37601.899999999972</v>
      </c>
      <c r="O4329" s="436">
        <f t="shared" si="177"/>
        <v>2068104.4999999984</v>
      </c>
      <c r="P4329" s="89">
        <v>45020</v>
      </c>
      <c r="Q4329" t="s">
        <v>47</v>
      </c>
      <c r="R4329" s="422" t="s">
        <v>1869</v>
      </c>
      <c r="S4329" s="422" t="s">
        <v>1861</v>
      </c>
      <c r="T4329" s="427" t="s">
        <v>5087</v>
      </c>
      <c r="U4329" s="422" t="s">
        <v>1953</v>
      </c>
      <c r="V4329" s="422" t="s">
        <v>2813</v>
      </c>
    </row>
    <row r="4330" spans="1:22" ht="15.75" thickBot="1" x14ac:dyDescent="0.3">
      <c r="A4330" s="422" t="s">
        <v>5904</v>
      </c>
      <c r="B4330" s="422" t="s">
        <v>4586</v>
      </c>
      <c r="C4330" s="424" t="str">
        <f t="shared" si="175"/>
        <v xml:space="preserve">GIRO </v>
      </c>
      <c r="D4330" t="s">
        <v>629</v>
      </c>
      <c r="F4330" s="432" t="s">
        <v>4827</v>
      </c>
      <c r="G4330" s="89">
        <v>2023</v>
      </c>
      <c r="H4330" s="313" t="s">
        <v>5040</v>
      </c>
      <c r="I4330" s="311" t="str">
        <f t="shared" si="176"/>
        <v>Pesado de Passageiros M3:  : Eletrico Baterias : Eletrico</v>
      </c>
      <c r="J4330">
        <v>55</v>
      </c>
      <c r="K4330" s="422">
        <v>2023</v>
      </c>
      <c r="L4330">
        <v>0</v>
      </c>
      <c r="M4330" t="s">
        <v>630</v>
      </c>
      <c r="N4330">
        <v>36130.599999999991</v>
      </c>
      <c r="O4330" s="436">
        <f t="shared" si="177"/>
        <v>1987182.9999999995</v>
      </c>
      <c r="P4330" s="89">
        <v>45020</v>
      </c>
      <c r="Q4330" t="s">
        <v>47</v>
      </c>
      <c r="R4330" s="422" t="s">
        <v>1869</v>
      </c>
      <c r="S4330" s="422" t="s">
        <v>1861</v>
      </c>
      <c r="T4330" s="427" t="s">
        <v>5088</v>
      </c>
      <c r="U4330" s="422" t="s">
        <v>1953</v>
      </c>
      <c r="V4330" s="422" t="s">
        <v>2813</v>
      </c>
    </row>
    <row r="4331" spans="1:22" ht="15.75" thickBot="1" x14ac:dyDescent="0.3">
      <c r="A4331" s="422" t="s">
        <v>5904</v>
      </c>
      <c r="B4331" s="422" t="s">
        <v>4586</v>
      </c>
      <c r="C4331" s="424" t="str">
        <f t="shared" si="175"/>
        <v xml:space="preserve">GIRO </v>
      </c>
      <c r="D4331" t="s">
        <v>629</v>
      </c>
      <c r="F4331" s="432" t="s">
        <v>4827</v>
      </c>
      <c r="G4331" s="89">
        <v>2023</v>
      </c>
      <c r="H4331" s="313" t="s">
        <v>5040</v>
      </c>
      <c r="I4331" s="311" t="str">
        <f t="shared" si="176"/>
        <v>Pesado de Passageiros M3:  : Eletrico Baterias : Eletrico</v>
      </c>
      <c r="J4331">
        <v>55</v>
      </c>
      <c r="K4331" s="422">
        <v>2023</v>
      </c>
      <c r="L4331">
        <v>0</v>
      </c>
      <c r="M4331" t="s">
        <v>630</v>
      </c>
      <c r="N4331">
        <v>15167.699999999999</v>
      </c>
      <c r="O4331" s="436">
        <f t="shared" si="177"/>
        <v>834223.49999999988</v>
      </c>
      <c r="P4331" s="89">
        <v>45020</v>
      </c>
      <c r="Q4331" t="s">
        <v>47</v>
      </c>
      <c r="R4331" s="422" t="s">
        <v>1869</v>
      </c>
      <c r="S4331" s="422" t="s">
        <v>1861</v>
      </c>
      <c r="T4331" s="427" t="s">
        <v>5089</v>
      </c>
      <c r="U4331" s="422" t="s">
        <v>1953</v>
      </c>
      <c r="V4331" s="422" t="s">
        <v>2813</v>
      </c>
    </row>
    <row r="4332" spans="1:22" ht="15.75" thickBot="1" x14ac:dyDescent="0.3">
      <c r="A4332" s="422" t="s">
        <v>5904</v>
      </c>
      <c r="B4332" s="422" t="s">
        <v>4586</v>
      </c>
      <c r="C4332" s="424" t="str">
        <f t="shared" si="175"/>
        <v xml:space="preserve">GIRO </v>
      </c>
      <c r="D4332" t="s">
        <v>629</v>
      </c>
      <c r="F4332" s="432" t="s">
        <v>4827</v>
      </c>
      <c r="G4332" s="89">
        <v>2023</v>
      </c>
      <c r="H4332" s="313" t="s">
        <v>5040</v>
      </c>
      <c r="I4332" s="311" t="str">
        <f t="shared" si="176"/>
        <v>Pesado de Passageiros M3:  : Eletrico Baterias : Eletrico</v>
      </c>
      <c r="J4332">
        <v>55</v>
      </c>
      <c r="K4332" s="422">
        <v>2023</v>
      </c>
      <c r="L4332">
        <v>0</v>
      </c>
      <c r="M4332" t="s">
        <v>630</v>
      </c>
      <c r="N4332">
        <v>6445.9</v>
      </c>
      <c r="O4332" s="436">
        <f t="shared" si="177"/>
        <v>354524.5</v>
      </c>
      <c r="P4332" s="89">
        <v>45020</v>
      </c>
      <c r="Q4332" t="s">
        <v>47</v>
      </c>
      <c r="R4332" s="422" t="s">
        <v>1869</v>
      </c>
      <c r="S4332" s="422" t="s">
        <v>1861</v>
      </c>
      <c r="T4332" s="427" t="s">
        <v>5090</v>
      </c>
      <c r="U4332" s="422" t="s">
        <v>1953</v>
      </c>
      <c r="V4332" s="422" t="s">
        <v>2813</v>
      </c>
    </row>
    <row r="4333" spans="1:22" ht="15.75" thickBot="1" x14ac:dyDescent="0.3">
      <c r="A4333" s="422" t="s">
        <v>5904</v>
      </c>
      <c r="B4333" s="422" t="s">
        <v>4586</v>
      </c>
      <c r="C4333" s="424" t="str">
        <f t="shared" si="175"/>
        <v xml:space="preserve">GIRO </v>
      </c>
      <c r="D4333" t="s">
        <v>629</v>
      </c>
      <c r="F4333" s="432" t="s">
        <v>4827</v>
      </c>
      <c r="G4333" s="89">
        <v>2023</v>
      </c>
      <c r="H4333" s="313" t="s">
        <v>5040</v>
      </c>
      <c r="I4333" s="311" t="str">
        <f t="shared" si="176"/>
        <v>Pesado de Passageiros M3:  : Eletrico Baterias : Eletrico</v>
      </c>
      <c r="J4333">
        <v>55</v>
      </c>
      <c r="K4333" s="422">
        <v>2023</v>
      </c>
      <c r="L4333">
        <v>0</v>
      </c>
      <c r="M4333" t="s">
        <v>630</v>
      </c>
      <c r="N4333">
        <v>6103.1000000000022</v>
      </c>
      <c r="O4333" s="436">
        <f t="shared" si="177"/>
        <v>335670.50000000012</v>
      </c>
      <c r="P4333" s="89">
        <v>45020</v>
      </c>
      <c r="Q4333" t="s">
        <v>47</v>
      </c>
      <c r="R4333" s="422" t="s">
        <v>1869</v>
      </c>
      <c r="S4333" s="422" t="s">
        <v>1861</v>
      </c>
      <c r="T4333" s="427" t="s">
        <v>5091</v>
      </c>
      <c r="U4333" s="422" t="s">
        <v>1953</v>
      </c>
      <c r="V4333" s="422" t="s">
        <v>2813</v>
      </c>
    </row>
    <row r="4334" spans="1:22" ht="15.75" thickBot="1" x14ac:dyDescent="0.3">
      <c r="A4334" s="422" t="s">
        <v>5904</v>
      </c>
      <c r="B4334" s="422" t="s">
        <v>4586</v>
      </c>
      <c r="C4334" s="424" t="str">
        <f t="shared" si="175"/>
        <v xml:space="preserve">GIRO </v>
      </c>
      <c r="D4334" t="s">
        <v>629</v>
      </c>
      <c r="F4334" s="432" t="s">
        <v>4827</v>
      </c>
      <c r="G4334" s="89">
        <v>2023</v>
      </c>
      <c r="H4334" s="313" t="s">
        <v>5040</v>
      </c>
      <c r="I4334" s="311" t="str">
        <f t="shared" si="176"/>
        <v>Pesado de Passageiros M3:  : Eletrico Baterias : Eletrico</v>
      </c>
      <c r="J4334">
        <v>86</v>
      </c>
      <c r="K4334" s="422">
        <v>2023</v>
      </c>
      <c r="L4334">
        <v>0</v>
      </c>
      <c r="M4334" t="s">
        <v>630</v>
      </c>
      <c r="N4334">
        <v>47227.900000000031</v>
      </c>
      <c r="O4334" s="436">
        <f t="shared" si="177"/>
        <v>4061599.4000000027</v>
      </c>
      <c r="P4334" s="89">
        <v>45020</v>
      </c>
      <c r="Q4334" t="s">
        <v>47</v>
      </c>
      <c r="R4334" s="422" t="s">
        <v>1869</v>
      </c>
      <c r="S4334" s="422" t="s">
        <v>1861</v>
      </c>
      <c r="T4334" s="427" t="s">
        <v>5092</v>
      </c>
      <c r="U4334" s="422" t="s">
        <v>1953</v>
      </c>
      <c r="V4334" s="422" t="s">
        <v>2813</v>
      </c>
    </row>
    <row r="4335" spans="1:22" ht="15.75" thickBot="1" x14ac:dyDescent="0.3">
      <c r="A4335" s="422" t="s">
        <v>5904</v>
      </c>
      <c r="B4335" s="422" t="s">
        <v>4586</v>
      </c>
      <c r="C4335" s="424" t="str">
        <f t="shared" si="175"/>
        <v xml:space="preserve">GIRO </v>
      </c>
      <c r="D4335" t="s">
        <v>629</v>
      </c>
      <c r="F4335" s="432" t="s">
        <v>4827</v>
      </c>
      <c r="G4335" s="89">
        <v>2023</v>
      </c>
      <c r="H4335" s="313" t="s">
        <v>5040</v>
      </c>
      <c r="I4335" s="311" t="str">
        <f t="shared" si="176"/>
        <v>Pesado de Passageiros M3:  : Eletrico Baterias : Eletrico</v>
      </c>
      <c r="J4335">
        <v>86</v>
      </c>
      <c r="K4335" s="422">
        <v>2023</v>
      </c>
      <c r="L4335">
        <v>0</v>
      </c>
      <c r="M4335" t="s">
        <v>630</v>
      </c>
      <c r="N4335">
        <v>37359.000000000015</v>
      </c>
      <c r="O4335" s="436">
        <f t="shared" si="177"/>
        <v>3212874.0000000014</v>
      </c>
      <c r="P4335" s="89">
        <v>45020</v>
      </c>
      <c r="Q4335" t="s">
        <v>47</v>
      </c>
      <c r="R4335" s="422" t="s">
        <v>1869</v>
      </c>
      <c r="S4335" s="422" t="s">
        <v>1861</v>
      </c>
      <c r="T4335" s="427" t="s">
        <v>5093</v>
      </c>
      <c r="U4335" s="422" t="s">
        <v>1953</v>
      </c>
      <c r="V4335" s="422" t="s">
        <v>2813</v>
      </c>
    </row>
    <row r="4336" spans="1:22" ht="15.75" thickBot="1" x14ac:dyDescent="0.3">
      <c r="A4336" s="422" t="s">
        <v>5904</v>
      </c>
      <c r="B4336" s="422" t="s">
        <v>4586</v>
      </c>
      <c r="C4336" s="424" t="str">
        <f t="shared" si="175"/>
        <v xml:space="preserve">GIRO </v>
      </c>
      <c r="D4336" t="s">
        <v>629</v>
      </c>
      <c r="F4336" s="432" t="s">
        <v>4827</v>
      </c>
      <c r="G4336" s="89">
        <v>2023</v>
      </c>
      <c r="H4336" s="313" t="s">
        <v>5040</v>
      </c>
      <c r="I4336" s="311" t="str">
        <f t="shared" si="176"/>
        <v>Pesado de Passageiros M3:  : Eletrico Baterias : Eletrico</v>
      </c>
      <c r="J4336">
        <v>86</v>
      </c>
      <c r="K4336" s="422">
        <v>2023</v>
      </c>
      <c r="L4336">
        <v>0</v>
      </c>
      <c r="M4336" t="s">
        <v>630</v>
      </c>
      <c r="N4336">
        <v>36749.200000000004</v>
      </c>
      <c r="O4336" s="436">
        <f t="shared" si="177"/>
        <v>3160431.2</v>
      </c>
      <c r="P4336" s="89">
        <v>45020</v>
      </c>
      <c r="Q4336" t="s">
        <v>47</v>
      </c>
      <c r="R4336" s="422" t="s">
        <v>1869</v>
      </c>
      <c r="S4336" s="422" t="s">
        <v>1861</v>
      </c>
      <c r="T4336" s="427" t="s">
        <v>5094</v>
      </c>
      <c r="U4336" s="422" t="s">
        <v>1953</v>
      </c>
      <c r="V4336" s="422" t="s">
        <v>2813</v>
      </c>
    </row>
    <row r="4337" spans="1:22" ht="15.75" thickBot="1" x14ac:dyDescent="0.3">
      <c r="A4337" s="422" t="s">
        <v>5904</v>
      </c>
      <c r="B4337" s="422" t="s">
        <v>4586</v>
      </c>
      <c r="C4337" s="424" t="str">
        <f t="shared" si="175"/>
        <v xml:space="preserve">GIRO </v>
      </c>
      <c r="D4337" t="s">
        <v>629</v>
      </c>
      <c r="F4337" s="432" t="s">
        <v>4827</v>
      </c>
      <c r="G4337" s="89">
        <v>2023</v>
      </c>
      <c r="H4337" s="313" t="s">
        <v>5040</v>
      </c>
      <c r="I4337" s="311" t="str">
        <f t="shared" si="176"/>
        <v>Pesado de Passageiros M3:  : Eletrico Baterias : Eletrico</v>
      </c>
      <c r="J4337">
        <v>86</v>
      </c>
      <c r="K4337" s="422">
        <v>2023</v>
      </c>
      <c r="L4337">
        <v>0</v>
      </c>
      <c r="M4337" t="s">
        <v>630</v>
      </c>
      <c r="N4337">
        <v>48713.1</v>
      </c>
      <c r="O4337" s="436">
        <f t="shared" si="177"/>
        <v>4189326.6</v>
      </c>
      <c r="P4337" s="89">
        <v>45020</v>
      </c>
      <c r="Q4337" t="s">
        <v>47</v>
      </c>
      <c r="R4337" s="422" t="s">
        <v>1869</v>
      </c>
      <c r="S4337" s="422" t="s">
        <v>1861</v>
      </c>
      <c r="T4337" s="427" t="s">
        <v>5095</v>
      </c>
      <c r="U4337" s="422" t="s">
        <v>1953</v>
      </c>
      <c r="V4337" s="422" t="s">
        <v>2813</v>
      </c>
    </row>
    <row r="4338" spans="1:22" ht="15.75" thickBot="1" x14ac:dyDescent="0.3">
      <c r="A4338" s="422" t="s">
        <v>5904</v>
      </c>
      <c r="B4338" s="422" t="s">
        <v>4586</v>
      </c>
      <c r="C4338" s="424" t="str">
        <f t="shared" si="175"/>
        <v xml:space="preserve">GIRO </v>
      </c>
      <c r="D4338" t="s">
        <v>629</v>
      </c>
      <c r="F4338" s="432" t="s">
        <v>4827</v>
      </c>
      <c r="G4338" s="89">
        <v>2023</v>
      </c>
      <c r="H4338" s="313" t="s">
        <v>5040</v>
      </c>
      <c r="I4338" s="311" t="str">
        <f t="shared" si="176"/>
        <v>Pesado de Passageiros M3:  : Eletrico Baterias : Eletrico</v>
      </c>
      <c r="J4338">
        <v>86</v>
      </c>
      <c r="K4338" s="422">
        <v>2023</v>
      </c>
      <c r="L4338">
        <v>0</v>
      </c>
      <c r="M4338" t="s">
        <v>630</v>
      </c>
      <c r="N4338">
        <v>45060.899999999972</v>
      </c>
      <c r="O4338" s="436">
        <f t="shared" si="177"/>
        <v>3875237.3999999976</v>
      </c>
      <c r="P4338" s="89">
        <v>45020</v>
      </c>
      <c r="Q4338" t="s">
        <v>47</v>
      </c>
      <c r="R4338" s="422" t="s">
        <v>1869</v>
      </c>
      <c r="S4338" s="422" t="s">
        <v>1861</v>
      </c>
      <c r="T4338" s="427" t="s">
        <v>5096</v>
      </c>
      <c r="U4338" s="422" t="s">
        <v>1953</v>
      </c>
      <c r="V4338" s="422" t="s">
        <v>2813</v>
      </c>
    </row>
    <row r="4339" spans="1:22" ht="15.75" thickBot="1" x14ac:dyDescent="0.3">
      <c r="A4339" s="422" t="s">
        <v>5904</v>
      </c>
      <c r="B4339" s="422" t="s">
        <v>4586</v>
      </c>
      <c r="C4339" s="424" t="str">
        <f t="shared" si="175"/>
        <v xml:space="preserve">GIRO </v>
      </c>
      <c r="D4339" t="s">
        <v>629</v>
      </c>
      <c r="F4339" s="432" t="s">
        <v>4827</v>
      </c>
      <c r="G4339" s="89">
        <v>2023</v>
      </c>
      <c r="H4339" s="313" t="s">
        <v>5040</v>
      </c>
      <c r="I4339" s="311" t="str">
        <f t="shared" si="176"/>
        <v>Pesado de Passageiros M3:  : Eletrico Baterias : Eletrico</v>
      </c>
      <c r="J4339">
        <v>86</v>
      </c>
      <c r="K4339" s="422">
        <v>2023</v>
      </c>
      <c r="L4339">
        <v>0</v>
      </c>
      <c r="M4339" t="s">
        <v>630</v>
      </c>
      <c r="N4339">
        <v>29342.799999999996</v>
      </c>
      <c r="O4339" s="436">
        <f t="shared" si="177"/>
        <v>2523480.7999999998</v>
      </c>
      <c r="P4339" s="89">
        <v>45020</v>
      </c>
      <c r="Q4339" t="s">
        <v>47</v>
      </c>
      <c r="R4339" s="422" t="s">
        <v>1869</v>
      </c>
      <c r="S4339" s="422" t="s">
        <v>1861</v>
      </c>
      <c r="T4339" s="427" t="s">
        <v>5097</v>
      </c>
      <c r="U4339" s="422" t="s">
        <v>1953</v>
      </c>
      <c r="V4339" s="422" t="s">
        <v>2813</v>
      </c>
    </row>
    <row r="4340" spans="1:22" ht="15.75" thickBot="1" x14ac:dyDescent="0.3">
      <c r="A4340" s="422" t="s">
        <v>5905</v>
      </c>
      <c r="B4340" s="422" t="s">
        <v>4586</v>
      </c>
      <c r="C4340" s="424" t="str">
        <f t="shared" si="175"/>
        <v xml:space="preserve">ONDA </v>
      </c>
      <c r="D4340" t="s">
        <v>629</v>
      </c>
      <c r="F4340" s="432" t="s">
        <v>620</v>
      </c>
      <c r="G4340" s="89">
        <v>2016</v>
      </c>
      <c r="H4340" s="313" t="s">
        <v>731</v>
      </c>
      <c r="I4340" s="311" t="str">
        <f t="shared" si="176"/>
        <v>Pesado de Passageiros M3:  : Gasóleo : E4</v>
      </c>
      <c r="J4340">
        <v>27</v>
      </c>
      <c r="K4340" s="422">
        <v>2023</v>
      </c>
      <c r="L4340">
        <v>6633.95</v>
      </c>
      <c r="M4340" t="s">
        <v>630</v>
      </c>
      <c r="N4340">
        <v>33135.4</v>
      </c>
      <c r="O4340" s="436">
        <f t="shared" si="177"/>
        <v>894655.8</v>
      </c>
      <c r="P4340" s="89">
        <v>42604</v>
      </c>
      <c r="Q4340" t="s">
        <v>47</v>
      </c>
      <c r="R4340" s="422" t="s">
        <v>1869</v>
      </c>
      <c r="S4340" s="422" t="s">
        <v>1861</v>
      </c>
      <c r="T4340" s="427" t="s">
        <v>5098</v>
      </c>
      <c r="U4340" s="422" t="s">
        <v>1953</v>
      </c>
      <c r="V4340" s="422" t="s">
        <v>2813</v>
      </c>
    </row>
    <row r="4341" spans="1:22" ht="15.75" thickBot="1" x14ac:dyDescent="0.3">
      <c r="A4341" s="422" t="s">
        <v>5905</v>
      </c>
      <c r="B4341" s="422" t="s">
        <v>4586</v>
      </c>
      <c r="C4341" s="424" t="str">
        <f t="shared" si="175"/>
        <v xml:space="preserve">ONDA </v>
      </c>
      <c r="D4341" t="s">
        <v>629</v>
      </c>
      <c r="F4341" s="432" t="s">
        <v>620</v>
      </c>
      <c r="G4341" s="89">
        <v>2016</v>
      </c>
      <c r="H4341" s="313" t="s">
        <v>731</v>
      </c>
      <c r="I4341" s="311" t="str">
        <f t="shared" si="176"/>
        <v>Pesado de Passageiros M3:  : Gasóleo : E4</v>
      </c>
      <c r="J4341">
        <v>27</v>
      </c>
      <c r="K4341" s="422">
        <v>2023</v>
      </c>
      <c r="L4341">
        <v>7142.09</v>
      </c>
      <c r="M4341" t="s">
        <v>630</v>
      </c>
      <c r="N4341">
        <v>36390.400000000001</v>
      </c>
      <c r="O4341" s="436">
        <f t="shared" si="177"/>
        <v>982540.80000000005</v>
      </c>
      <c r="P4341" s="89">
        <v>42604</v>
      </c>
      <c r="Q4341" t="s">
        <v>47</v>
      </c>
      <c r="R4341" s="422" t="s">
        <v>1869</v>
      </c>
      <c r="S4341" s="422" t="s">
        <v>1861</v>
      </c>
      <c r="T4341" s="427" t="s">
        <v>5099</v>
      </c>
      <c r="U4341" s="422" t="s">
        <v>1953</v>
      </c>
      <c r="V4341" s="422" t="s">
        <v>2813</v>
      </c>
    </row>
    <row r="4342" spans="1:22" ht="15.75" thickBot="1" x14ac:dyDescent="0.3">
      <c r="A4342" s="422" t="s">
        <v>5905</v>
      </c>
      <c r="B4342" s="422" t="s">
        <v>4586</v>
      </c>
      <c r="C4342" s="424" t="str">
        <f t="shared" si="175"/>
        <v xml:space="preserve">ONDA </v>
      </c>
      <c r="D4342" t="s">
        <v>629</v>
      </c>
      <c r="F4342" s="432" t="s">
        <v>620</v>
      </c>
      <c r="G4342" s="89">
        <v>2017</v>
      </c>
      <c r="H4342" s="313" t="s">
        <v>733</v>
      </c>
      <c r="I4342" s="311" t="str">
        <f t="shared" si="176"/>
        <v>Pesado de Passageiros M3:  : Gasóleo : E6</v>
      </c>
      <c r="J4342">
        <v>17</v>
      </c>
      <c r="K4342" s="422">
        <v>2023</v>
      </c>
      <c r="L4342">
        <v>7223.55</v>
      </c>
      <c r="M4342" t="s">
        <v>630</v>
      </c>
      <c r="N4342">
        <v>40008.400000000001</v>
      </c>
      <c r="O4342" s="436">
        <f t="shared" si="177"/>
        <v>680142.8</v>
      </c>
      <c r="P4342" s="89">
        <v>42955</v>
      </c>
      <c r="Q4342" t="s">
        <v>47</v>
      </c>
      <c r="R4342" s="422" t="s">
        <v>1869</v>
      </c>
      <c r="S4342" s="422" t="s">
        <v>1861</v>
      </c>
      <c r="T4342" s="427" t="s">
        <v>5100</v>
      </c>
      <c r="U4342" s="422" t="s">
        <v>1953</v>
      </c>
      <c r="V4342" s="422" t="s">
        <v>2813</v>
      </c>
    </row>
    <row r="4343" spans="1:22" ht="15.75" thickBot="1" x14ac:dyDescent="0.3">
      <c r="A4343" s="422" t="s">
        <v>5905</v>
      </c>
      <c r="B4343" s="422" t="s">
        <v>4586</v>
      </c>
      <c r="C4343" s="424" t="str">
        <f t="shared" si="175"/>
        <v xml:space="preserve">ONDA </v>
      </c>
      <c r="D4343" t="s">
        <v>629</v>
      </c>
      <c r="F4343" s="432" t="s">
        <v>620</v>
      </c>
      <c r="G4343" s="89">
        <v>2017</v>
      </c>
      <c r="H4343" s="313" t="s">
        <v>733</v>
      </c>
      <c r="I4343" s="311" t="str">
        <f t="shared" si="176"/>
        <v>Pesado de Passageiros M3:  : Gasóleo : E6</v>
      </c>
      <c r="J4343">
        <v>17</v>
      </c>
      <c r="K4343" s="422">
        <v>2023</v>
      </c>
      <c r="L4343">
        <v>10318.41</v>
      </c>
      <c r="M4343" t="s">
        <v>630</v>
      </c>
      <c r="N4343">
        <v>55510.400000000001</v>
      </c>
      <c r="O4343" s="436">
        <f t="shared" si="177"/>
        <v>943676.8</v>
      </c>
      <c r="P4343" s="89">
        <v>42955</v>
      </c>
      <c r="Q4343" t="s">
        <v>47</v>
      </c>
      <c r="R4343" s="422" t="s">
        <v>1869</v>
      </c>
      <c r="S4343" s="422" t="s">
        <v>1861</v>
      </c>
      <c r="T4343" s="427" t="s">
        <v>5101</v>
      </c>
      <c r="U4343" s="422" t="s">
        <v>1953</v>
      </c>
      <c r="V4343" s="422" t="s">
        <v>2813</v>
      </c>
    </row>
    <row r="4344" spans="1:22" ht="15.75" thickBot="1" x14ac:dyDescent="0.3">
      <c r="A4344" s="422" t="s">
        <v>5905</v>
      </c>
      <c r="B4344" s="422" t="s">
        <v>4586</v>
      </c>
      <c r="C4344" s="424" t="str">
        <f t="shared" si="175"/>
        <v xml:space="preserve">ONDA </v>
      </c>
      <c r="D4344" t="s">
        <v>629</v>
      </c>
      <c r="F4344" s="432" t="s">
        <v>620</v>
      </c>
      <c r="G4344" s="89">
        <v>2018</v>
      </c>
      <c r="H4344" s="313" t="s">
        <v>733</v>
      </c>
      <c r="I4344" s="311" t="str">
        <f t="shared" si="176"/>
        <v>Pesado de Passageiros M3:  : Gasóleo : E6</v>
      </c>
      <c r="J4344">
        <v>17</v>
      </c>
      <c r="K4344" s="422">
        <v>2023</v>
      </c>
      <c r="L4344">
        <v>10996.1</v>
      </c>
      <c r="M4344" t="s">
        <v>630</v>
      </c>
      <c r="N4344">
        <v>57083.4</v>
      </c>
      <c r="O4344" s="436">
        <f t="shared" si="177"/>
        <v>970417.8</v>
      </c>
      <c r="P4344" s="89">
        <v>43347</v>
      </c>
      <c r="Q4344" t="s">
        <v>47</v>
      </c>
      <c r="R4344" s="422" t="s">
        <v>1869</v>
      </c>
      <c r="S4344" s="422" t="s">
        <v>1861</v>
      </c>
      <c r="T4344" s="427" t="s">
        <v>5102</v>
      </c>
      <c r="U4344" s="422" t="s">
        <v>1953</v>
      </c>
      <c r="V4344" s="422" t="s">
        <v>2813</v>
      </c>
    </row>
    <row r="4345" spans="1:22" ht="15.75" thickBot="1" x14ac:dyDescent="0.3">
      <c r="A4345" s="422" t="s">
        <v>5905</v>
      </c>
      <c r="B4345" s="422" t="s">
        <v>4586</v>
      </c>
      <c r="C4345" s="424" t="str">
        <f t="shared" si="175"/>
        <v xml:space="preserve">ONDA </v>
      </c>
      <c r="D4345" t="s">
        <v>629</v>
      </c>
      <c r="F4345" s="432" t="s">
        <v>620</v>
      </c>
      <c r="G4345" s="89">
        <v>2018</v>
      </c>
      <c r="H4345" s="313" t="s">
        <v>733</v>
      </c>
      <c r="I4345" s="311" t="str">
        <f t="shared" si="176"/>
        <v>Pesado de Passageiros M3:  : Gasóleo : E6</v>
      </c>
      <c r="J4345">
        <v>17</v>
      </c>
      <c r="K4345" s="422">
        <v>2023</v>
      </c>
      <c r="L4345">
        <v>10553.38</v>
      </c>
      <c r="M4345" t="s">
        <v>630</v>
      </c>
      <c r="N4345">
        <v>52948.4</v>
      </c>
      <c r="O4345" s="436">
        <f t="shared" si="177"/>
        <v>900122.8</v>
      </c>
      <c r="P4345" s="89">
        <v>43347</v>
      </c>
      <c r="Q4345" t="s">
        <v>47</v>
      </c>
      <c r="R4345" s="422" t="s">
        <v>1869</v>
      </c>
      <c r="S4345" s="422" t="s">
        <v>1861</v>
      </c>
      <c r="T4345" s="427" t="s">
        <v>5103</v>
      </c>
      <c r="U4345" s="422" t="s">
        <v>1953</v>
      </c>
      <c r="V4345" s="422" t="s">
        <v>2813</v>
      </c>
    </row>
    <row r="4346" spans="1:22" ht="15.75" thickBot="1" x14ac:dyDescent="0.3">
      <c r="A4346" s="422" t="s">
        <v>5905</v>
      </c>
      <c r="B4346" s="422" t="s">
        <v>4586</v>
      </c>
      <c r="C4346" s="424" t="str">
        <f t="shared" si="175"/>
        <v xml:space="preserve">ONDA </v>
      </c>
      <c r="D4346" t="s">
        <v>629</v>
      </c>
      <c r="F4346" s="432" t="s">
        <v>620</v>
      </c>
      <c r="G4346" s="89">
        <v>2018</v>
      </c>
      <c r="H4346" s="313" t="s">
        <v>733</v>
      </c>
      <c r="I4346" s="311" t="str">
        <f t="shared" si="176"/>
        <v>Pesado de Passageiros M3:  : Gasóleo : E6</v>
      </c>
      <c r="J4346">
        <v>17</v>
      </c>
      <c r="K4346" s="422">
        <v>2023</v>
      </c>
      <c r="L4346">
        <v>12682.21</v>
      </c>
      <c r="M4346" t="s">
        <v>630</v>
      </c>
      <c r="N4346">
        <v>68043.399999999994</v>
      </c>
      <c r="O4346" s="436">
        <f t="shared" si="177"/>
        <v>1156737.7999999998</v>
      </c>
      <c r="P4346" s="89">
        <v>43347</v>
      </c>
      <c r="Q4346" t="s">
        <v>47</v>
      </c>
      <c r="R4346" s="422" t="s">
        <v>1869</v>
      </c>
      <c r="S4346" s="422" t="s">
        <v>1861</v>
      </c>
      <c r="T4346" s="427" t="s">
        <v>5104</v>
      </c>
      <c r="U4346" s="422" t="s">
        <v>1953</v>
      </c>
      <c r="V4346" s="422" t="s">
        <v>2813</v>
      </c>
    </row>
    <row r="4347" spans="1:22" ht="15.75" thickBot="1" x14ac:dyDescent="0.3">
      <c r="A4347" s="422" t="s">
        <v>5905</v>
      </c>
      <c r="B4347" s="422" t="s">
        <v>4586</v>
      </c>
      <c r="C4347" s="424" t="str">
        <f t="shared" si="175"/>
        <v xml:space="preserve">ONDA </v>
      </c>
      <c r="D4347" t="s">
        <v>629</v>
      </c>
      <c r="F4347" s="432" t="s">
        <v>620</v>
      </c>
      <c r="G4347" s="89">
        <v>2019</v>
      </c>
      <c r="H4347" s="313" t="s">
        <v>733</v>
      </c>
      <c r="I4347" s="311" t="str">
        <f t="shared" si="176"/>
        <v>Pesado de Passageiros M3:  : Gasóleo : E6</v>
      </c>
      <c r="J4347">
        <v>36</v>
      </c>
      <c r="K4347" s="422">
        <v>2023</v>
      </c>
      <c r="L4347">
        <v>9267.5499999999993</v>
      </c>
      <c r="M4347" t="s">
        <v>630</v>
      </c>
      <c r="N4347">
        <v>23355.4</v>
      </c>
      <c r="O4347" s="436">
        <f t="shared" si="177"/>
        <v>840794.4</v>
      </c>
      <c r="P4347" s="89">
        <v>43606</v>
      </c>
      <c r="Q4347" t="s">
        <v>47</v>
      </c>
      <c r="R4347" s="422" t="s">
        <v>1869</v>
      </c>
      <c r="S4347" s="422" t="s">
        <v>1861</v>
      </c>
      <c r="T4347" s="427" t="s">
        <v>5105</v>
      </c>
      <c r="U4347" s="422" t="s">
        <v>1953</v>
      </c>
      <c r="V4347" s="422" t="s">
        <v>2813</v>
      </c>
    </row>
    <row r="4348" spans="1:22" ht="15.75" thickBot="1" x14ac:dyDescent="0.3">
      <c r="A4348" s="422" t="s">
        <v>5905</v>
      </c>
      <c r="B4348" s="422" t="s">
        <v>4586</v>
      </c>
      <c r="C4348" s="424" t="str">
        <f t="shared" si="175"/>
        <v xml:space="preserve">ONDA </v>
      </c>
      <c r="D4348" t="s">
        <v>629</v>
      </c>
      <c r="F4348" s="432" t="s">
        <v>620</v>
      </c>
      <c r="G4348" s="89">
        <v>2019</v>
      </c>
      <c r="H4348" s="313" t="s">
        <v>733</v>
      </c>
      <c r="I4348" s="311" t="str">
        <f t="shared" si="176"/>
        <v>Pesado de Passageiros M3:  : Gasóleo : E6</v>
      </c>
      <c r="J4348">
        <v>36</v>
      </c>
      <c r="K4348" s="422">
        <v>2023</v>
      </c>
      <c r="L4348">
        <v>11782.28</v>
      </c>
      <c r="M4348" t="s">
        <v>630</v>
      </c>
      <c r="N4348">
        <v>36351</v>
      </c>
      <c r="O4348" s="436">
        <f t="shared" si="177"/>
        <v>1308636</v>
      </c>
      <c r="P4348" s="89">
        <v>43612</v>
      </c>
      <c r="Q4348" t="s">
        <v>47</v>
      </c>
      <c r="R4348" s="422" t="s">
        <v>1869</v>
      </c>
      <c r="S4348" s="422" t="s">
        <v>1861</v>
      </c>
      <c r="T4348" s="427" t="s">
        <v>5106</v>
      </c>
      <c r="U4348" s="422" t="s">
        <v>1953</v>
      </c>
      <c r="V4348" s="422" t="s">
        <v>2813</v>
      </c>
    </row>
    <row r="4349" spans="1:22" ht="15.75" thickBot="1" x14ac:dyDescent="0.3">
      <c r="A4349" s="422" t="s">
        <v>5905</v>
      </c>
      <c r="B4349" s="422" t="s">
        <v>4586</v>
      </c>
      <c r="C4349" s="424" t="str">
        <f t="shared" si="175"/>
        <v xml:space="preserve">ONDA </v>
      </c>
      <c r="D4349" t="s">
        <v>629</v>
      </c>
      <c r="F4349" s="432" t="s">
        <v>620</v>
      </c>
      <c r="G4349" s="89">
        <v>2019</v>
      </c>
      <c r="H4349" s="313" t="s">
        <v>733</v>
      </c>
      <c r="I4349" s="311" t="str">
        <f t="shared" si="176"/>
        <v>Pesado de Passageiros M3:  : Gasóleo : E6</v>
      </c>
      <c r="J4349">
        <v>36</v>
      </c>
      <c r="K4349" s="422">
        <v>2023</v>
      </c>
      <c r="L4349">
        <v>272.89</v>
      </c>
      <c r="M4349" t="s">
        <v>630</v>
      </c>
      <c r="N4349">
        <v>272.89</v>
      </c>
      <c r="O4349" s="436">
        <f t="shared" si="177"/>
        <v>9824.0399999999991</v>
      </c>
      <c r="P4349" s="89">
        <v>43612</v>
      </c>
      <c r="Q4349" t="s">
        <v>47</v>
      </c>
      <c r="R4349" s="422" t="s">
        <v>1869</v>
      </c>
      <c r="S4349" s="422" t="s">
        <v>1861</v>
      </c>
      <c r="T4349" s="427" t="s">
        <v>5107</v>
      </c>
      <c r="U4349" s="422" t="s">
        <v>1953</v>
      </c>
      <c r="V4349" s="422" t="s">
        <v>2813</v>
      </c>
    </row>
    <row r="4350" spans="1:22" ht="15.75" thickBot="1" x14ac:dyDescent="0.3">
      <c r="A4350" s="422" t="s">
        <v>5905</v>
      </c>
      <c r="B4350" s="422" t="s">
        <v>4586</v>
      </c>
      <c r="C4350" s="424" t="str">
        <f t="shared" si="175"/>
        <v xml:space="preserve">ONDA </v>
      </c>
      <c r="D4350" t="s">
        <v>629</v>
      </c>
      <c r="F4350" s="432" t="s">
        <v>620</v>
      </c>
      <c r="G4350" s="89">
        <v>2019</v>
      </c>
      <c r="H4350" s="313" t="s">
        <v>733</v>
      </c>
      <c r="I4350" s="311" t="str">
        <f t="shared" si="176"/>
        <v>Pesado de Passageiros M3:  : Gasóleo : E6</v>
      </c>
      <c r="J4350">
        <v>36</v>
      </c>
      <c r="K4350" s="422">
        <v>2023</v>
      </c>
      <c r="L4350">
        <v>7840.71</v>
      </c>
      <c r="M4350" t="s">
        <v>630</v>
      </c>
      <c r="N4350">
        <v>18766.400000000001</v>
      </c>
      <c r="O4350" s="436">
        <f t="shared" si="177"/>
        <v>675590.4</v>
      </c>
      <c r="P4350" s="89">
        <v>43612</v>
      </c>
      <c r="Q4350" t="s">
        <v>47</v>
      </c>
      <c r="R4350" s="422" t="s">
        <v>1869</v>
      </c>
      <c r="S4350" s="422" t="s">
        <v>1861</v>
      </c>
      <c r="T4350" s="427" t="s">
        <v>5108</v>
      </c>
      <c r="U4350" s="422" t="s">
        <v>1953</v>
      </c>
      <c r="V4350" s="422" t="s">
        <v>2813</v>
      </c>
    </row>
    <row r="4351" spans="1:22" ht="15.75" thickBot="1" x14ac:dyDescent="0.3">
      <c r="A4351" s="422" t="s">
        <v>5905</v>
      </c>
      <c r="B4351" s="422" t="s">
        <v>4586</v>
      </c>
      <c r="C4351" s="424" t="str">
        <f t="shared" si="175"/>
        <v xml:space="preserve">ONDA </v>
      </c>
      <c r="D4351" t="s">
        <v>629</v>
      </c>
      <c r="F4351" s="432" t="s">
        <v>620</v>
      </c>
      <c r="G4351" s="89">
        <v>2019</v>
      </c>
      <c r="H4351" s="313" t="s">
        <v>731</v>
      </c>
      <c r="I4351" s="311" t="str">
        <f t="shared" si="176"/>
        <v>Pesado de Passageiros M3:  : Gasóleo : E4</v>
      </c>
      <c r="J4351">
        <v>27</v>
      </c>
      <c r="K4351" s="422">
        <v>2023</v>
      </c>
      <c r="L4351">
        <v>21097.32</v>
      </c>
      <c r="M4351" t="s">
        <v>630</v>
      </c>
      <c r="N4351">
        <v>63456.4</v>
      </c>
      <c r="O4351" s="436">
        <f t="shared" si="177"/>
        <v>1713322.8</v>
      </c>
      <c r="P4351" s="89">
        <v>43606</v>
      </c>
      <c r="Q4351" t="s">
        <v>47</v>
      </c>
      <c r="R4351" s="422" t="s">
        <v>1869</v>
      </c>
      <c r="S4351" s="422" t="s">
        <v>1861</v>
      </c>
      <c r="T4351" s="427" t="s">
        <v>5109</v>
      </c>
      <c r="U4351" s="422" t="s">
        <v>1953</v>
      </c>
      <c r="V4351" s="422" t="s">
        <v>2813</v>
      </c>
    </row>
    <row r="4352" spans="1:22" ht="15.75" thickBot="1" x14ac:dyDescent="0.3">
      <c r="A4352" s="422" t="s">
        <v>5905</v>
      </c>
      <c r="B4352" s="422" t="s">
        <v>4586</v>
      </c>
      <c r="C4352" s="424" t="str">
        <f t="shared" si="175"/>
        <v xml:space="preserve">ONDA </v>
      </c>
      <c r="D4352" t="s">
        <v>629</v>
      </c>
      <c r="F4352" s="432" t="s">
        <v>620</v>
      </c>
      <c r="G4352" s="89">
        <v>2019</v>
      </c>
      <c r="H4352" s="313" t="s">
        <v>731</v>
      </c>
      <c r="I4352" s="311" t="str">
        <f t="shared" si="176"/>
        <v>Pesado de Passageiros M3:  : Gasóleo : E4</v>
      </c>
      <c r="J4352">
        <v>27</v>
      </c>
      <c r="K4352" s="422">
        <v>2023</v>
      </c>
      <c r="L4352">
        <v>21312.69</v>
      </c>
      <c r="M4352" t="s">
        <v>630</v>
      </c>
      <c r="N4352">
        <v>60063.4</v>
      </c>
      <c r="O4352" s="436">
        <f t="shared" si="177"/>
        <v>1621711.8</v>
      </c>
      <c r="P4352" s="89">
        <v>43606</v>
      </c>
      <c r="Q4352" t="s">
        <v>47</v>
      </c>
      <c r="R4352" s="422" t="s">
        <v>1869</v>
      </c>
      <c r="S4352" s="422" t="s">
        <v>1861</v>
      </c>
      <c r="T4352" s="427" t="s">
        <v>5110</v>
      </c>
      <c r="U4352" s="422" t="s">
        <v>1953</v>
      </c>
      <c r="V4352" s="422" t="s">
        <v>2813</v>
      </c>
    </row>
    <row r="4353" spans="1:22" ht="15.75" thickBot="1" x14ac:dyDescent="0.3">
      <c r="A4353" s="422" t="s">
        <v>5905</v>
      </c>
      <c r="B4353" s="422" t="s">
        <v>4586</v>
      </c>
      <c r="C4353" s="424" t="str">
        <f t="shared" si="175"/>
        <v xml:space="preserve">ONDA </v>
      </c>
      <c r="D4353" t="s">
        <v>629</v>
      </c>
      <c r="F4353" s="432" t="s">
        <v>620</v>
      </c>
      <c r="G4353" s="89">
        <v>2019</v>
      </c>
      <c r="H4353" s="313" t="s">
        <v>731</v>
      </c>
      <c r="I4353" s="311" t="str">
        <f t="shared" si="176"/>
        <v>Pesado de Passageiros M3:  : Gasóleo : E4</v>
      </c>
      <c r="J4353">
        <v>27</v>
      </c>
      <c r="K4353" s="422">
        <v>2023</v>
      </c>
      <c r="L4353">
        <v>22621.61</v>
      </c>
      <c r="M4353" t="s">
        <v>630</v>
      </c>
      <c r="N4353">
        <v>66650.399999999994</v>
      </c>
      <c r="O4353" s="436">
        <f t="shared" si="177"/>
        <v>1799560.7999999998</v>
      </c>
      <c r="P4353" s="89">
        <v>43606</v>
      </c>
      <c r="Q4353" t="s">
        <v>47</v>
      </c>
      <c r="R4353" s="422" t="s">
        <v>1869</v>
      </c>
      <c r="S4353" s="422" t="s">
        <v>1861</v>
      </c>
      <c r="T4353" s="427" t="s">
        <v>5111</v>
      </c>
      <c r="U4353" s="422" t="s">
        <v>1953</v>
      </c>
      <c r="V4353" s="422" t="s">
        <v>2813</v>
      </c>
    </row>
    <row r="4354" spans="1:22" ht="15.75" thickBot="1" x14ac:dyDescent="0.3">
      <c r="A4354" s="422" t="s">
        <v>5905</v>
      </c>
      <c r="B4354" s="422" t="s">
        <v>4586</v>
      </c>
      <c r="C4354" s="424" t="str">
        <f t="shared" si="175"/>
        <v xml:space="preserve">ONDA </v>
      </c>
      <c r="D4354" t="s">
        <v>629</v>
      </c>
      <c r="F4354" s="432" t="s">
        <v>620</v>
      </c>
      <c r="G4354" s="89">
        <v>2019</v>
      </c>
      <c r="H4354" s="313" t="s">
        <v>731</v>
      </c>
      <c r="I4354" s="311" t="str">
        <f t="shared" si="176"/>
        <v>Pesado de Passageiros M3:  : Gasóleo : E4</v>
      </c>
      <c r="J4354">
        <v>27</v>
      </c>
      <c r="K4354" s="422">
        <v>2023</v>
      </c>
      <c r="L4354">
        <v>18420.53</v>
      </c>
      <c r="M4354" t="s">
        <v>630</v>
      </c>
      <c r="N4354">
        <v>55264.4</v>
      </c>
      <c r="O4354" s="436">
        <f t="shared" si="177"/>
        <v>1492138.8</v>
      </c>
      <c r="P4354" s="89">
        <v>43606</v>
      </c>
      <c r="Q4354" t="s">
        <v>47</v>
      </c>
      <c r="R4354" s="422" t="s">
        <v>1869</v>
      </c>
      <c r="S4354" s="422" t="s">
        <v>1861</v>
      </c>
      <c r="T4354" s="427" t="s">
        <v>5112</v>
      </c>
      <c r="U4354" s="422" t="s">
        <v>1953</v>
      </c>
      <c r="V4354" s="422" t="s">
        <v>2813</v>
      </c>
    </row>
    <row r="4355" spans="1:22" ht="15.75" thickBot="1" x14ac:dyDescent="0.3">
      <c r="A4355" s="422" t="s">
        <v>5905</v>
      </c>
      <c r="B4355" s="422" t="s">
        <v>4586</v>
      </c>
      <c r="C4355" s="424" t="str">
        <f t="shared" si="175"/>
        <v xml:space="preserve">ONDA </v>
      </c>
      <c r="D4355" t="s">
        <v>629</v>
      </c>
      <c r="F4355" s="432" t="s">
        <v>620</v>
      </c>
      <c r="G4355" s="89">
        <v>2019</v>
      </c>
      <c r="H4355" s="313" t="s">
        <v>731</v>
      </c>
      <c r="I4355" s="311" t="str">
        <f t="shared" si="176"/>
        <v>Pesado de Passageiros M3:  : Gasóleo : E4</v>
      </c>
      <c r="J4355">
        <v>27</v>
      </c>
      <c r="K4355" s="422">
        <v>2023</v>
      </c>
      <c r="L4355">
        <v>17982.72</v>
      </c>
      <c r="M4355" t="s">
        <v>630</v>
      </c>
      <c r="N4355">
        <v>53508.4</v>
      </c>
      <c r="O4355" s="436">
        <f t="shared" si="177"/>
        <v>1444726.8</v>
      </c>
      <c r="P4355" s="89">
        <v>43606</v>
      </c>
      <c r="Q4355" t="s">
        <v>47</v>
      </c>
      <c r="R4355" s="422" t="s">
        <v>1869</v>
      </c>
      <c r="S4355" s="422" t="s">
        <v>1861</v>
      </c>
      <c r="T4355" s="427" t="s">
        <v>5113</v>
      </c>
      <c r="U4355" s="422" t="s">
        <v>1953</v>
      </c>
      <c r="V4355" s="422" t="s">
        <v>2813</v>
      </c>
    </row>
    <row r="4356" spans="1:22" ht="15.75" thickBot="1" x14ac:dyDescent="0.3">
      <c r="A4356" s="422" t="s">
        <v>5905</v>
      </c>
      <c r="B4356" s="422" t="s">
        <v>4586</v>
      </c>
      <c r="C4356" s="424" t="str">
        <f t="shared" si="175"/>
        <v xml:space="preserve">ONDA </v>
      </c>
      <c r="D4356" t="s">
        <v>629</v>
      </c>
      <c r="F4356" s="432" t="s">
        <v>620</v>
      </c>
      <c r="G4356" s="89">
        <v>2019</v>
      </c>
      <c r="H4356" s="313" t="s">
        <v>731</v>
      </c>
      <c r="I4356" s="311" t="str">
        <f t="shared" si="176"/>
        <v>Pesado de Passageiros M3:  : Gasóleo : E4</v>
      </c>
      <c r="J4356">
        <v>27</v>
      </c>
      <c r="K4356" s="422">
        <v>2023</v>
      </c>
      <c r="L4356">
        <v>15598.05</v>
      </c>
      <c r="M4356" t="s">
        <v>630</v>
      </c>
      <c r="N4356">
        <v>46141.4</v>
      </c>
      <c r="O4356" s="436">
        <f t="shared" si="177"/>
        <v>1245817.8</v>
      </c>
      <c r="P4356" s="89">
        <v>43606</v>
      </c>
      <c r="Q4356" t="s">
        <v>47</v>
      </c>
      <c r="R4356" s="422" t="s">
        <v>1869</v>
      </c>
      <c r="S4356" s="422" t="s">
        <v>1861</v>
      </c>
      <c r="T4356" s="427" t="s">
        <v>5114</v>
      </c>
      <c r="U4356" s="422" t="s">
        <v>1953</v>
      </c>
      <c r="V4356" s="422" t="s">
        <v>2813</v>
      </c>
    </row>
    <row r="4357" spans="1:22" ht="15.75" thickBot="1" x14ac:dyDescent="0.3">
      <c r="A4357" s="422" t="s">
        <v>5905</v>
      </c>
      <c r="B4357" s="422" t="s">
        <v>4586</v>
      </c>
      <c r="C4357" s="424" t="str">
        <f t="shared" si="175"/>
        <v xml:space="preserve">ONDA </v>
      </c>
      <c r="D4357" t="s">
        <v>629</v>
      </c>
      <c r="F4357" s="432" t="s">
        <v>620</v>
      </c>
      <c r="G4357" s="89">
        <v>2019</v>
      </c>
      <c r="H4357" s="313" t="s">
        <v>731</v>
      </c>
      <c r="I4357" s="311" t="str">
        <f t="shared" si="176"/>
        <v>Pesado de Passageiros M3:  : Gasóleo : E4</v>
      </c>
      <c r="J4357">
        <v>27</v>
      </c>
      <c r="K4357" s="422">
        <v>2023</v>
      </c>
      <c r="L4357">
        <v>16391.989999999998</v>
      </c>
      <c r="M4357" t="s">
        <v>630</v>
      </c>
      <c r="N4357">
        <v>47514.400000000001</v>
      </c>
      <c r="O4357" s="436">
        <f t="shared" si="177"/>
        <v>1282888.8</v>
      </c>
      <c r="P4357" s="89">
        <v>43612</v>
      </c>
      <c r="Q4357" t="s">
        <v>47</v>
      </c>
      <c r="R4357" s="422" t="s">
        <v>1869</v>
      </c>
      <c r="S4357" s="422" t="s">
        <v>1861</v>
      </c>
      <c r="T4357" s="427" t="s">
        <v>5115</v>
      </c>
      <c r="U4357" s="422" t="s">
        <v>1953</v>
      </c>
      <c r="V4357" s="422" t="s">
        <v>2813</v>
      </c>
    </row>
    <row r="4358" spans="1:22" ht="15.75" thickBot="1" x14ac:dyDescent="0.3">
      <c r="A4358" s="422" t="s">
        <v>5904</v>
      </c>
      <c r="B4358" s="422" t="s">
        <v>4586</v>
      </c>
      <c r="C4358" s="424" t="str">
        <f t="shared" si="175"/>
        <v xml:space="preserve">GIRO </v>
      </c>
      <c r="D4358" t="s">
        <v>629</v>
      </c>
      <c r="F4358" s="432" t="s">
        <v>620</v>
      </c>
      <c r="G4358" s="89">
        <v>2000</v>
      </c>
      <c r="H4358" s="313" t="s">
        <v>734</v>
      </c>
      <c r="I4358" s="311" t="str">
        <f t="shared" si="176"/>
        <v>Pesado de Passageiros M3:  : Gasóleo : E5</v>
      </c>
      <c r="J4358">
        <v>69</v>
      </c>
      <c r="K4358" s="422">
        <v>2023</v>
      </c>
      <c r="L4358">
        <v>5527.05</v>
      </c>
      <c r="M4358" t="s">
        <v>630</v>
      </c>
      <c r="N4358">
        <v>16957.400000000001</v>
      </c>
      <c r="O4358" s="436">
        <f t="shared" si="177"/>
        <v>1170060.6000000001</v>
      </c>
      <c r="P4358" s="89">
        <v>36831</v>
      </c>
      <c r="Q4358" t="s">
        <v>47</v>
      </c>
      <c r="R4358" s="422" t="s">
        <v>1869</v>
      </c>
      <c r="S4358" s="422" t="s">
        <v>1861</v>
      </c>
      <c r="T4358" s="427" t="s">
        <v>2470</v>
      </c>
      <c r="U4358" s="422" t="s">
        <v>1953</v>
      </c>
      <c r="V4358" s="422" t="s">
        <v>2813</v>
      </c>
    </row>
    <row r="4359" spans="1:22" ht="15.75" thickBot="1" x14ac:dyDescent="0.3">
      <c r="A4359" s="422" t="s">
        <v>5904</v>
      </c>
      <c r="B4359" s="422" t="s">
        <v>4586</v>
      </c>
      <c r="C4359" s="424" t="str">
        <f t="shared" si="175"/>
        <v xml:space="preserve">GIRO </v>
      </c>
      <c r="D4359" t="s">
        <v>629</v>
      </c>
      <c r="F4359" s="432" t="s">
        <v>620</v>
      </c>
      <c r="G4359" s="89">
        <v>2013</v>
      </c>
      <c r="H4359" s="313" t="s">
        <v>733</v>
      </c>
      <c r="I4359" s="311" t="str">
        <f t="shared" si="176"/>
        <v>Pesado de Passageiros M3:  : Gasóleo : E6</v>
      </c>
      <c r="J4359">
        <v>25</v>
      </c>
      <c r="K4359" s="422">
        <v>2023</v>
      </c>
      <c r="L4359">
        <v>6000.66</v>
      </c>
      <c r="M4359" t="s">
        <v>630</v>
      </c>
      <c r="N4359">
        <v>27636.400000000001</v>
      </c>
      <c r="O4359" s="436">
        <f t="shared" si="177"/>
        <v>690910</v>
      </c>
      <c r="P4359" s="89">
        <v>41400</v>
      </c>
      <c r="Q4359" t="s">
        <v>47</v>
      </c>
      <c r="R4359" s="422" t="s">
        <v>1869</v>
      </c>
      <c r="S4359" s="422" t="s">
        <v>1861</v>
      </c>
      <c r="T4359" s="427" t="s">
        <v>2433</v>
      </c>
      <c r="U4359" s="422" t="s">
        <v>1953</v>
      </c>
      <c r="V4359" s="422" t="s">
        <v>2813</v>
      </c>
    </row>
    <row r="4360" spans="1:22" ht="15.75" thickBot="1" x14ac:dyDescent="0.3">
      <c r="A4360" s="422" t="s">
        <v>5904</v>
      </c>
      <c r="B4360" s="422" t="s">
        <v>4586</v>
      </c>
      <c r="C4360" s="424" t="str">
        <f t="shared" si="175"/>
        <v xml:space="preserve">GIRO </v>
      </c>
      <c r="D4360" t="s">
        <v>629</v>
      </c>
      <c r="F4360" s="432" t="s">
        <v>620</v>
      </c>
      <c r="G4360" s="89">
        <v>2013</v>
      </c>
      <c r="H4360" s="313" t="s">
        <v>733</v>
      </c>
      <c r="I4360" s="311" t="str">
        <f t="shared" si="176"/>
        <v>Pesado de Passageiros M3:  : Gasóleo : E6</v>
      </c>
      <c r="J4360">
        <v>25</v>
      </c>
      <c r="K4360" s="422">
        <v>2023</v>
      </c>
      <c r="L4360">
        <v>4540.7700000000004</v>
      </c>
      <c r="M4360" t="s">
        <v>630</v>
      </c>
      <c r="N4360">
        <v>22149.4</v>
      </c>
      <c r="O4360" s="436">
        <f t="shared" si="177"/>
        <v>553735</v>
      </c>
      <c r="P4360" s="89">
        <v>41400</v>
      </c>
      <c r="Q4360" t="s">
        <v>47</v>
      </c>
      <c r="R4360" s="422" t="s">
        <v>1869</v>
      </c>
      <c r="S4360" s="422" t="s">
        <v>1861</v>
      </c>
      <c r="T4360" s="427" t="s">
        <v>2434</v>
      </c>
      <c r="U4360" s="422" t="s">
        <v>1953</v>
      </c>
      <c r="V4360" s="422" t="s">
        <v>2813</v>
      </c>
    </row>
    <row r="4361" spans="1:22" ht="15.75" thickBot="1" x14ac:dyDescent="0.3">
      <c r="A4361" s="422" t="s">
        <v>5904</v>
      </c>
      <c r="B4361" s="422" t="s">
        <v>4586</v>
      </c>
      <c r="C4361" s="424" t="str">
        <f t="shared" si="175"/>
        <v xml:space="preserve">GIRO </v>
      </c>
      <c r="D4361" t="s">
        <v>629</v>
      </c>
      <c r="F4361" s="432" t="s">
        <v>620</v>
      </c>
      <c r="G4361" s="89">
        <v>2015</v>
      </c>
      <c r="H4361" s="313" t="s">
        <v>733</v>
      </c>
      <c r="I4361" s="311" t="str">
        <f t="shared" si="176"/>
        <v>Pesado de Passageiros M3:  : Gasóleo : E6</v>
      </c>
      <c r="J4361">
        <v>63</v>
      </c>
      <c r="K4361" s="422">
        <v>2023</v>
      </c>
      <c r="L4361">
        <v>9022.2000000000007</v>
      </c>
      <c r="M4361" t="s">
        <v>630</v>
      </c>
      <c r="N4361">
        <v>23090.400000000001</v>
      </c>
      <c r="O4361" s="436">
        <f t="shared" si="177"/>
        <v>1454695.2000000002</v>
      </c>
      <c r="P4361" s="89">
        <v>42135</v>
      </c>
      <c r="Q4361" t="s">
        <v>47</v>
      </c>
      <c r="R4361" s="422" t="s">
        <v>1869</v>
      </c>
      <c r="S4361" s="422" t="s">
        <v>1861</v>
      </c>
      <c r="T4361" s="427" t="s">
        <v>2467</v>
      </c>
      <c r="U4361" s="422" t="s">
        <v>1953</v>
      </c>
      <c r="V4361" s="422" t="s">
        <v>2813</v>
      </c>
    </row>
    <row r="4362" spans="1:22" ht="15.75" thickBot="1" x14ac:dyDescent="0.3">
      <c r="A4362" s="422" t="s">
        <v>5904</v>
      </c>
      <c r="B4362" s="422" t="s">
        <v>4586</v>
      </c>
      <c r="C4362" s="424" t="str">
        <f t="shared" si="175"/>
        <v xml:space="preserve">GIRO </v>
      </c>
      <c r="D4362" t="s">
        <v>629</v>
      </c>
      <c r="F4362" s="432" t="s">
        <v>620</v>
      </c>
      <c r="G4362" s="89">
        <v>2015</v>
      </c>
      <c r="H4362" s="313" t="s">
        <v>733</v>
      </c>
      <c r="I4362" s="311" t="str">
        <f t="shared" si="176"/>
        <v>Pesado de Passageiros M3:  : Gasóleo : E6</v>
      </c>
      <c r="J4362">
        <v>27</v>
      </c>
      <c r="K4362" s="422">
        <v>2023</v>
      </c>
      <c r="L4362">
        <v>7816.8</v>
      </c>
      <c r="M4362" t="s">
        <v>630</v>
      </c>
      <c r="N4362">
        <v>37943.4</v>
      </c>
      <c r="O4362" s="436">
        <f t="shared" si="177"/>
        <v>1024471.8</v>
      </c>
      <c r="P4362" s="89">
        <v>42016</v>
      </c>
      <c r="Q4362" t="s">
        <v>47</v>
      </c>
      <c r="R4362" s="422" t="s">
        <v>1869</v>
      </c>
      <c r="S4362" s="422" t="s">
        <v>1861</v>
      </c>
      <c r="T4362" s="427" t="s">
        <v>2457</v>
      </c>
      <c r="U4362" s="422" t="s">
        <v>1953</v>
      </c>
      <c r="V4362" s="422" t="s">
        <v>2813</v>
      </c>
    </row>
    <row r="4363" spans="1:22" ht="15.75" thickBot="1" x14ac:dyDescent="0.3">
      <c r="A4363" s="422" t="s">
        <v>5904</v>
      </c>
      <c r="B4363" s="422" t="s">
        <v>4586</v>
      </c>
      <c r="C4363" s="424" t="str">
        <f t="shared" si="175"/>
        <v xml:space="preserve">GIRO </v>
      </c>
      <c r="D4363" t="s">
        <v>629</v>
      </c>
      <c r="F4363" s="432" t="s">
        <v>620</v>
      </c>
      <c r="G4363" s="89">
        <v>2015</v>
      </c>
      <c r="H4363" s="313" t="s">
        <v>733</v>
      </c>
      <c r="I4363" s="311" t="str">
        <f t="shared" si="176"/>
        <v>Pesado de Passageiros M3:  : Gasóleo : E6</v>
      </c>
      <c r="J4363">
        <v>27</v>
      </c>
      <c r="K4363" s="422">
        <v>2023</v>
      </c>
      <c r="L4363">
        <v>4777.76</v>
      </c>
      <c r="M4363" t="s">
        <v>630</v>
      </c>
      <c r="N4363">
        <v>22850.400000000001</v>
      </c>
      <c r="O4363" s="436">
        <f t="shared" si="177"/>
        <v>616960.80000000005</v>
      </c>
      <c r="P4363" s="89">
        <v>42016</v>
      </c>
      <c r="Q4363" t="s">
        <v>47</v>
      </c>
      <c r="R4363" s="422" t="s">
        <v>1869</v>
      </c>
      <c r="S4363" s="422" t="s">
        <v>1861</v>
      </c>
      <c r="T4363" s="427" t="s">
        <v>2458</v>
      </c>
      <c r="U4363" s="422" t="s">
        <v>1953</v>
      </c>
      <c r="V4363" s="422" t="s">
        <v>2813</v>
      </c>
    </row>
    <row r="4364" spans="1:22" ht="15.75" thickBot="1" x14ac:dyDescent="0.3">
      <c r="A4364" s="422" t="s">
        <v>5904</v>
      </c>
      <c r="B4364" s="422" t="s">
        <v>4586</v>
      </c>
      <c r="C4364" s="424" t="str">
        <f t="shared" si="175"/>
        <v xml:space="preserve">GIRO </v>
      </c>
      <c r="D4364" t="s">
        <v>629</v>
      </c>
      <c r="F4364" s="432" t="s">
        <v>620</v>
      </c>
      <c r="G4364" s="89">
        <v>2015</v>
      </c>
      <c r="H4364" s="313" t="s">
        <v>733</v>
      </c>
      <c r="I4364" s="311" t="str">
        <f t="shared" si="176"/>
        <v>Pesado de Passageiros M3:  : Gasóleo : E6</v>
      </c>
      <c r="J4364">
        <v>27</v>
      </c>
      <c r="K4364" s="422">
        <v>2023</v>
      </c>
      <c r="L4364">
        <v>8698.36</v>
      </c>
      <c r="M4364" t="s">
        <v>630</v>
      </c>
      <c r="N4364">
        <v>45415.4</v>
      </c>
      <c r="O4364" s="436">
        <f t="shared" si="177"/>
        <v>1226215.8</v>
      </c>
      <c r="P4364" s="89">
        <v>42016</v>
      </c>
      <c r="Q4364" t="s">
        <v>47</v>
      </c>
      <c r="R4364" s="422" t="s">
        <v>1869</v>
      </c>
      <c r="S4364" s="422" t="s">
        <v>1861</v>
      </c>
      <c r="T4364" s="427" t="s">
        <v>2459</v>
      </c>
      <c r="U4364" s="422" t="s">
        <v>1953</v>
      </c>
      <c r="V4364" s="422" t="s">
        <v>2813</v>
      </c>
    </row>
    <row r="4365" spans="1:22" ht="15.75" thickBot="1" x14ac:dyDescent="0.3">
      <c r="A4365" s="422" t="s">
        <v>5904</v>
      </c>
      <c r="B4365" s="422" t="s">
        <v>4586</v>
      </c>
      <c r="C4365" s="424" t="str">
        <f t="shared" si="175"/>
        <v xml:space="preserve">GIRO </v>
      </c>
      <c r="D4365" t="s">
        <v>629</v>
      </c>
      <c r="F4365" s="432" t="s">
        <v>620</v>
      </c>
      <c r="G4365" s="89">
        <v>2015</v>
      </c>
      <c r="H4365" s="313" t="s">
        <v>733</v>
      </c>
      <c r="I4365" s="311" t="str">
        <f t="shared" si="176"/>
        <v>Pesado de Passageiros M3:  : Gasóleo : E6</v>
      </c>
      <c r="J4365">
        <v>27</v>
      </c>
      <c r="K4365" s="422">
        <v>2023</v>
      </c>
      <c r="L4365">
        <v>8532.7199999999993</v>
      </c>
      <c r="M4365" t="s">
        <v>630</v>
      </c>
      <c r="N4365">
        <v>45011.43</v>
      </c>
      <c r="O4365" s="436">
        <f t="shared" si="177"/>
        <v>1215308.6100000001</v>
      </c>
      <c r="P4365" s="89">
        <v>42016</v>
      </c>
      <c r="Q4365" t="s">
        <v>47</v>
      </c>
      <c r="R4365" s="422" t="s">
        <v>1869</v>
      </c>
      <c r="S4365" s="422" t="s">
        <v>1861</v>
      </c>
      <c r="T4365" s="427" t="s">
        <v>2460</v>
      </c>
      <c r="U4365" s="422" t="s">
        <v>1953</v>
      </c>
      <c r="V4365" s="422" t="s">
        <v>2813</v>
      </c>
    </row>
    <row r="4366" spans="1:22" ht="15.75" thickBot="1" x14ac:dyDescent="0.3">
      <c r="A4366" s="422" t="s">
        <v>5904</v>
      </c>
      <c r="B4366" s="422" t="s">
        <v>4586</v>
      </c>
      <c r="C4366" s="424" t="str">
        <f t="shared" si="175"/>
        <v xml:space="preserve">GIRO </v>
      </c>
      <c r="D4366" t="s">
        <v>629</v>
      </c>
      <c r="F4366" s="432" t="s">
        <v>620</v>
      </c>
      <c r="G4366" s="89">
        <v>2006</v>
      </c>
      <c r="H4366" s="313" t="s">
        <v>733</v>
      </c>
      <c r="I4366" s="311" t="str">
        <f t="shared" si="176"/>
        <v>Pesado de Passageiros M3:  : Gasóleo : E6</v>
      </c>
      <c r="J4366">
        <v>98</v>
      </c>
      <c r="K4366" s="422">
        <v>2023</v>
      </c>
      <c r="L4366">
        <v>13053.81</v>
      </c>
      <c r="M4366" t="s">
        <v>630</v>
      </c>
      <c r="N4366">
        <v>31415.4</v>
      </c>
      <c r="O4366" s="436">
        <f t="shared" si="177"/>
        <v>3078709.2</v>
      </c>
      <c r="P4366" s="89">
        <v>38782</v>
      </c>
      <c r="Q4366" t="s">
        <v>47</v>
      </c>
      <c r="R4366" s="422" t="s">
        <v>1869</v>
      </c>
      <c r="S4366" s="422" t="s">
        <v>1861</v>
      </c>
      <c r="T4366" s="427" t="s">
        <v>2456</v>
      </c>
      <c r="U4366" s="422" t="s">
        <v>1953</v>
      </c>
      <c r="V4366" s="422" t="s">
        <v>2813</v>
      </c>
    </row>
    <row r="4367" spans="1:22" ht="15.75" thickBot="1" x14ac:dyDescent="0.3">
      <c r="A4367" s="422" t="s">
        <v>5904</v>
      </c>
      <c r="B4367" s="422" t="s">
        <v>4586</v>
      </c>
      <c r="C4367" s="424" t="str">
        <f t="shared" si="175"/>
        <v xml:space="preserve">GIRO </v>
      </c>
      <c r="D4367" t="s">
        <v>629</v>
      </c>
      <c r="F4367" s="432" t="s">
        <v>620</v>
      </c>
      <c r="G4367" s="89">
        <v>2006</v>
      </c>
      <c r="H4367" s="313" t="s">
        <v>733</v>
      </c>
      <c r="I4367" s="311" t="str">
        <f t="shared" si="176"/>
        <v>Pesado de Passageiros M3:  : Gasóleo : E6</v>
      </c>
      <c r="J4367">
        <v>97</v>
      </c>
      <c r="K4367" s="422">
        <v>2023</v>
      </c>
      <c r="L4367">
        <v>11504</v>
      </c>
      <c r="M4367" t="s">
        <v>630</v>
      </c>
      <c r="N4367">
        <v>27346.400000000001</v>
      </c>
      <c r="O4367" s="436">
        <f t="shared" si="177"/>
        <v>2652600.8000000003</v>
      </c>
      <c r="P4367" s="89">
        <v>38778</v>
      </c>
      <c r="Q4367" t="s">
        <v>47</v>
      </c>
      <c r="R4367" s="422" t="s">
        <v>1869</v>
      </c>
      <c r="S4367" s="422" t="s">
        <v>1861</v>
      </c>
      <c r="T4367" s="427" t="s">
        <v>2454</v>
      </c>
      <c r="U4367" s="422" t="s">
        <v>1953</v>
      </c>
      <c r="V4367" s="422" t="s">
        <v>2813</v>
      </c>
    </row>
    <row r="4368" spans="1:22" ht="15.75" thickBot="1" x14ac:dyDescent="0.3">
      <c r="A4368" s="422" t="s">
        <v>5904</v>
      </c>
      <c r="B4368" s="422" t="s">
        <v>4586</v>
      </c>
      <c r="C4368" s="424" t="str">
        <f t="shared" si="175"/>
        <v xml:space="preserve">GIRO </v>
      </c>
      <c r="D4368" t="s">
        <v>629</v>
      </c>
      <c r="F4368" s="432" t="s">
        <v>620</v>
      </c>
      <c r="G4368" s="89">
        <v>2006</v>
      </c>
      <c r="H4368" s="313" t="s">
        <v>733</v>
      </c>
      <c r="I4368" s="311" t="str">
        <f t="shared" si="176"/>
        <v>Pesado de Passageiros M3:  : Gasóleo : E6</v>
      </c>
      <c r="J4368">
        <v>97</v>
      </c>
      <c r="K4368" s="422">
        <v>2023</v>
      </c>
      <c r="L4368">
        <v>10809.7</v>
      </c>
      <c r="M4368" t="s">
        <v>630</v>
      </c>
      <c r="N4368">
        <v>25609.4</v>
      </c>
      <c r="O4368" s="436">
        <f t="shared" si="177"/>
        <v>2484111.8000000003</v>
      </c>
      <c r="P4368" s="89">
        <v>38783</v>
      </c>
      <c r="Q4368" t="s">
        <v>47</v>
      </c>
      <c r="R4368" s="422" t="s">
        <v>1869</v>
      </c>
      <c r="S4368" s="422" t="s">
        <v>1861</v>
      </c>
      <c r="T4368" s="427" t="s">
        <v>2455</v>
      </c>
      <c r="U4368" s="422" t="s">
        <v>1953</v>
      </c>
      <c r="V4368" s="422" t="s">
        <v>2813</v>
      </c>
    </row>
    <row r="4369" spans="1:22" ht="15.75" thickBot="1" x14ac:dyDescent="0.3">
      <c r="A4369" s="422" t="s">
        <v>5904</v>
      </c>
      <c r="B4369" s="422" t="s">
        <v>4586</v>
      </c>
      <c r="C4369" s="424" t="str">
        <f t="shared" si="175"/>
        <v xml:space="preserve">GIRO </v>
      </c>
      <c r="D4369" t="s">
        <v>629</v>
      </c>
      <c r="F4369" s="432" t="s">
        <v>620</v>
      </c>
      <c r="G4369" s="89">
        <v>2004</v>
      </c>
      <c r="H4369" s="313" t="s">
        <v>733</v>
      </c>
      <c r="I4369" s="311" t="str">
        <f t="shared" si="176"/>
        <v>Pesado de Passageiros M3:  : Gasóleo : E6</v>
      </c>
      <c r="J4369">
        <v>74</v>
      </c>
      <c r="K4369" s="422">
        <v>2023</v>
      </c>
      <c r="L4369">
        <v>8721.58</v>
      </c>
      <c r="M4369" t="s">
        <v>630</v>
      </c>
      <c r="N4369">
        <v>25185.4</v>
      </c>
      <c r="O4369" s="436">
        <f t="shared" si="177"/>
        <v>1863719.6</v>
      </c>
      <c r="P4369" s="89">
        <v>38282</v>
      </c>
      <c r="Q4369" t="s">
        <v>47</v>
      </c>
      <c r="R4369" s="422" t="s">
        <v>1869</v>
      </c>
      <c r="S4369" s="422" t="s">
        <v>1861</v>
      </c>
      <c r="T4369" s="427" t="s">
        <v>2463</v>
      </c>
      <c r="U4369" s="422" t="s">
        <v>1953</v>
      </c>
      <c r="V4369" s="422" t="s">
        <v>2813</v>
      </c>
    </row>
    <row r="4370" spans="1:22" ht="15.75" thickBot="1" x14ac:dyDescent="0.3">
      <c r="A4370" s="422" t="s">
        <v>5904</v>
      </c>
      <c r="B4370" s="422" t="s">
        <v>4586</v>
      </c>
      <c r="C4370" s="424" t="str">
        <f t="shared" si="175"/>
        <v xml:space="preserve">GIRO </v>
      </c>
      <c r="D4370" t="s">
        <v>629</v>
      </c>
      <c r="F4370" s="432" t="s">
        <v>620</v>
      </c>
      <c r="G4370" s="89">
        <v>2019</v>
      </c>
      <c r="H4370" s="313" t="s">
        <v>733</v>
      </c>
      <c r="I4370" s="311" t="str">
        <f t="shared" si="176"/>
        <v>Pesado de Passageiros M3:  : Gasóleo : E6</v>
      </c>
      <c r="J4370">
        <v>54</v>
      </c>
      <c r="K4370" s="422">
        <v>2023</v>
      </c>
      <c r="L4370">
        <v>16723.82</v>
      </c>
      <c r="M4370" t="s">
        <v>630</v>
      </c>
      <c r="N4370">
        <v>46597.4</v>
      </c>
      <c r="O4370" s="436">
        <f t="shared" si="177"/>
        <v>2516259.6</v>
      </c>
      <c r="P4370" s="89">
        <v>43500</v>
      </c>
      <c r="Q4370" t="s">
        <v>47</v>
      </c>
      <c r="R4370" s="422" t="s">
        <v>1869</v>
      </c>
      <c r="S4370" s="422" t="s">
        <v>1861</v>
      </c>
      <c r="T4370" s="427" t="s">
        <v>2465</v>
      </c>
      <c r="U4370" s="422" t="s">
        <v>1953</v>
      </c>
      <c r="V4370" s="422" t="s">
        <v>2813</v>
      </c>
    </row>
    <row r="4371" spans="1:22" ht="15.75" thickBot="1" x14ac:dyDescent="0.3">
      <c r="A4371" s="422" t="s">
        <v>5904</v>
      </c>
      <c r="B4371" s="422" t="s">
        <v>4586</v>
      </c>
      <c r="C4371" s="424" t="str">
        <f t="shared" si="175"/>
        <v xml:space="preserve">GIRO </v>
      </c>
      <c r="D4371" t="s">
        <v>629</v>
      </c>
      <c r="F4371" s="432" t="s">
        <v>620</v>
      </c>
      <c r="G4371" s="89">
        <v>2019</v>
      </c>
      <c r="H4371" s="313" t="s">
        <v>733</v>
      </c>
      <c r="I4371" s="311" t="str">
        <f t="shared" si="176"/>
        <v>Pesado de Passageiros M3:  : Gasóleo : E6</v>
      </c>
      <c r="J4371">
        <v>54</v>
      </c>
      <c r="K4371" s="422">
        <v>2023</v>
      </c>
      <c r="L4371">
        <v>9511.86</v>
      </c>
      <c r="M4371" t="s">
        <v>630</v>
      </c>
      <c r="N4371">
        <v>23698.400000000001</v>
      </c>
      <c r="O4371" s="436">
        <f t="shared" si="177"/>
        <v>1279713.6000000001</v>
      </c>
      <c r="P4371" s="89">
        <v>43500</v>
      </c>
      <c r="Q4371" t="s">
        <v>47</v>
      </c>
      <c r="R4371" s="422" t="s">
        <v>1869</v>
      </c>
      <c r="S4371" s="422" t="s">
        <v>1861</v>
      </c>
      <c r="T4371" s="427" t="s">
        <v>2466</v>
      </c>
      <c r="U4371" s="422" t="s">
        <v>1953</v>
      </c>
      <c r="V4371" s="422" t="s">
        <v>2813</v>
      </c>
    </row>
    <row r="4372" spans="1:22" ht="15.75" thickBot="1" x14ac:dyDescent="0.3">
      <c r="A4372" s="422" t="s">
        <v>5904</v>
      </c>
      <c r="B4372" s="422" t="s">
        <v>4586</v>
      </c>
      <c r="C4372" s="424" t="str">
        <f t="shared" si="175"/>
        <v xml:space="preserve">GIRO </v>
      </c>
      <c r="D4372" t="s">
        <v>629</v>
      </c>
      <c r="F4372" s="432" t="s">
        <v>620</v>
      </c>
      <c r="G4372" s="89">
        <v>2019</v>
      </c>
      <c r="H4372" s="313" t="s">
        <v>733</v>
      </c>
      <c r="I4372" s="311" t="str">
        <f t="shared" si="176"/>
        <v>Pesado de Passageiros M3:  : Gasóleo : E6</v>
      </c>
      <c r="J4372">
        <v>54</v>
      </c>
      <c r="K4372" s="422">
        <v>2023</v>
      </c>
      <c r="L4372">
        <v>15818.86</v>
      </c>
      <c r="M4372" t="s">
        <v>630</v>
      </c>
      <c r="N4372">
        <v>41195.4</v>
      </c>
      <c r="O4372" s="436">
        <f t="shared" si="177"/>
        <v>2224551.6</v>
      </c>
      <c r="P4372" s="89">
        <v>43500</v>
      </c>
      <c r="Q4372" t="s">
        <v>47</v>
      </c>
      <c r="R4372" s="422" t="s">
        <v>1869</v>
      </c>
      <c r="S4372" s="422" t="s">
        <v>1861</v>
      </c>
      <c r="T4372" s="427" t="s">
        <v>2464</v>
      </c>
      <c r="U4372" s="422" t="s">
        <v>1953</v>
      </c>
      <c r="V4372" s="422" t="s">
        <v>2813</v>
      </c>
    </row>
    <row r="4373" spans="1:22" ht="15.75" thickBot="1" x14ac:dyDescent="0.3">
      <c r="A4373" s="422" t="s">
        <v>5904</v>
      </c>
      <c r="B4373" s="422" t="s">
        <v>4586</v>
      </c>
      <c r="C4373" s="424" t="str">
        <f t="shared" si="175"/>
        <v xml:space="preserve">GIRO </v>
      </c>
      <c r="D4373" t="s">
        <v>629</v>
      </c>
      <c r="F4373" s="432" t="s">
        <v>620</v>
      </c>
      <c r="G4373" s="89">
        <v>2010</v>
      </c>
      <c r="H4373" s="313" t="s">
        <v>733</v>
      </c>
      <c r="I4373" s="311" t="str">
        <f t="shared" si="176"/>
        <v>Pesado de Passageiros M3:  : Gasóleo : E6</v>
      </c>
      <c r="J4373">
        <v>54</v>
      </c>
      <c r="K4373" s="422">
        <v>2023</v>
      </c>
      <c r="L4373">
        <v>12463.9</v>
      </c>
      <c r="M4373" t="s">
        <v>630</v>
      </c>
      <c r="N4373">
        <v>32054.400000000001</v>
      </c>
      <c r="O4373" s="436">
        <f t="shared" si="177"/>
        <v>1730937.6</v>
      </c>
      <c r="P4373" s="89">
        <v>40280</v>
      </c>
      <c r="Q4373" t="s">
        <v>47</v>
      </c>
      <c r="R4373" s="422" t="s">
        <v>1869</v>
      </c>
      <c r="S4373" s="422" t="s">
        <v>1861</v>
      </c>
      <c r="T4373" s="427" t="s">
        <v>2461</v>
      </c>
      <c r="U4373" s="422" t="s">
        <v>1953</v>
      </c>
      <c r="V4373" s="422" t="s">
        <v>2813</v>
      </c>
    </row>
    <row r="4374" spans="1:22" ht="15.75" thickBot="1" x14ac:dyDescent="0.3">
      <c r="A4374" t="s">
        <v>4587</v>
      </c>
      <c r="B4374" t="s">
        <v>4587</v>
      </c>
      <c r="C4374" s="424" t="str">
        <f t="shared" si="175"/>
        <v>Vizur Transportes, Unipessoal LDA.</v>
      </c>
      <c r="D4374" t="s">
        <v>629</v>
      </c>
      <c r="F4374" t="s">
        <v>620</v>
      </c>
      <c r="G4374" s="89">
        <v>2004</v>
      </c>
      <c r="H4374" s="313" t="s">
        <v>731</v>
      </c>
      <c r="I4374" s="311" t="str">
        <f t="shared" si="176"/>
        <v>Pesado de Passageiros M3:  : Gasóleo : E4</v>
      </c>
      <c r="J4374">
        <v>125</v>
      </c>
      <c r="K4374" s="422">
        <v>2023</v>
      </c>
      <c r="L4374">
        <v>11430</v>
      </c>
      <c r="M4374" t="s">
        <v>630</v>
      </c>
      <c r="N4374">
        <v>35458</v>
      </c>
      <c r="O4374" s="436">
        <f t="shared" si="177"/>
        <v>4432250</v>
      </c>
      <c r="P4374" s="89">
        <v>38176</v>
      </c>
      <c r="Q4374" s="422" t="s">
        <v>47</v>
      </c>
      <c r="R4374" s="422" t="s">
        <v>1869</v>
      </c>
      <c r="S4374" s="422" t="s">
        <v>1861</v>
      </c>
      <c r="T4374" t="s">
        <v>5116</v>
      </c>
      <c r="U4374" s="422" t="s">
        <v>1953</v>
      </c>
      <c r="V4374" s="422" t="s">
        <v>2813</v>
      </c>
    </row>
    <row r="4375" spans="1:22" ht="15.75" thickBot="1" x14ac:dyDescent="0.3">
      <c r="A4375" t="s">
        <v>4587</v>
      </c>
      <c r="B4375" t="s">
        <v>4587</v>
      </c>
      <c r="C4375" s="424" t="str">
        <f t="shared" si="175"/>
        <v>Vizur Transportes, Unipessoal LDA.</v>
      </c>
      <c r="D4375" t="s">
        <v>629</v>
      </c>
      <c r="F4375" t="s">
        <v>620</v>
      </c>
      <c r="G4375" s="89">
        <v>2009</v>
      </c>
      <c r="H4375" s="313" t="s">
        <v>731</v>
      </c>
      <c r="I4375" s="311" t="str">
        <f t="shared" si="176"/>
        <v>Pesado de Passageiros M3:  : Gasóleo : E4</v>
      </c>
      <c r="J4375">
        <v>91</v>
      </c>
      <c r="K4375" s="422">
        <v>2023</v>
      </c>
      <c r="L4375">
        <v>9097</v>
      </c>
      <c r="M4375" t="s">
        <v>630</v>
      </c>
      <c r="N4375" s="131">
        <v>24862</v>
      </c>
      <c r="O4375" s="436">
        <f t="shared" si="177"/>
        <v>2262442</v>
      </c>
      <c r="P4375" s="89">
        <v>39864</v>
      </c>
      <c r="Q4375" s="422" t="s">
        <v>47</v>
      </c>
      <c r="R4375" s="422" t="s">
        <v>1869</v>
      </c>
      <c r="S4375" s="422" t="s">
        <v>1861</v>
      </c>
      <c r="T4375" t="s">
        <v>5117</v>
      </c>
      <c r="U4375" s="422" t="s">
        <v>1953</v>
      </c>
      <c r="V4375" s="422" t="s">
        <v>2813</v>
      </c>
    </row>
    <row r="4376" spans="1:22" ht="15.75" thickBot="1" x14ac:dyDescent="0.3">
      <c r="A4376" t="s">
        <v>4587</v>
      </c>
      <c r="B4376" t="s">
        <v>4587</v>
      </c>
      <c r="C4376" s="424" t="str">
        <f t="shared" ref="C4376:C4439" si="178">IF(A4376=B4376,B4376,RIGHT(A4376,LEN(A4376)-LEN(B4376)-3))</f>
        <v>Vizur Transportes, Unipessoal LDA.</v>
      </c>
      <c r="D4376" t="s">
        <v>629</v>
      </c>
      <c r="F4376" t="s">
        <v>620</v>
      </c>
      <c r="G4376" s="89">
        <v>2004</v>
      </c>
      <c r="H4376" s="313" t="s">
        <v>731</v>
      </c>
      <c r="I4376" s="311" t="str">
        <f t="shared" si="176"/>
        <v>Pesado de Passageiros M3:  : Gasóleo : E4</v>
      </c>
      <c r="J4376">
        <v>73</v>
      </c>
      <c r="K4376" s="422">
        <v>2023</v>
      </c>
      <c r="L4376">
        <v>4419</v>
      </c>
      <c r="M4376" t="s">
        <v>630</v>
      </c>
      <c r="N4376" s="131">
        <v>10913</v>
      </c>
      <c r="O4376" s="436">
        <f t="shared" si="177"/>
        <v>796649</v>
      </c>
      <c r="P4376" s="89">
        <v>38215</v>
      </c>
      <c r="Q4376" s="422" t="s">
        <v>47</v>
      </c>
      <c r="R4376" s="422" t="s">
        <v>1869</v>
      </c>
      <c r="S4376" s="422" t="s">
        <v>1861</v>
      </c>
      <c r="T4376" t="s">
        <v>5118</v>
      </c>
      <c r="U4376" s="422" t="s">
        <v>1953</v>
      </c>
      <c r="V4376" s="422" t="s">
        <v>2813</v>
      </c>
    </row>
    <row r="4377" spans="1:22" ht="15.75" thickBot="1" x14ac:dyDescent="0.3">
      <c r="A4377" t="s">
        <v>4587</v>
      </c>
      <c r="B4377" t="s">
        <v>4587</v>
      </c>
      <c r="C4377" s="424" t="str">
        <f t="shared" si="178"/>
        <v>Vizur Transportes, Unipessoal LDA.</v>
      </c>
      <c r="D4377" t="s">
        <v>629</v>
      </c>
      <c r="F4377" t="s">
        <v>620</v>
      </c>
      <c r="G4377" s="89">
        <v>2018</v>
      </c>
      <c r="H4377" s="313" t="s">
        <v>733</v>
      </c>
      <c r="I4377" s="311" t="str">
        <f t="shared" si="176"/>
        <v>Pesado de Passageiros M3:  : Gasóleo : E6</v>
      </c>
      <c r="J4377">
        <v>33</v>
      </c>
      <c r="K4377" s="422">
        <v>2023</v>
      </c>
      <c r="L4377">
        <v>5686</v>
      </c>
      <c r="M4377" t="s">
        <v>630</v>
      </c>
      <c r="N4377" s="131">
        <v>31492</v>
      </c>
      <c r="O4377" s="436">
        <f t="shared" si="177"/>
        <v>1039236</v>
      </c>
      <c r="P4377" s="89">
        <v>43257</v>
      </c>
      <c r="Q4377" s="422" t="s">
        <v>47</v>
      </c>
      <c r="R4377" s="422" t="s">
        <v>1869</v>
      </c>
      <c r="S4377" s="422" t="s">
        <v>1861</v>
      </c>
      <c r="T4377" t="s">
        <v>5119</v>
      </c>
      <c r="U4377" s="422" t="s">
        <v>1953</v>
      </c>
      <c r="V4377" s="422" t="s">
        <v>2813</v>
      </c>
    </row>
    <row r="4378" spans="1:22" ht="15.75" thickBot="1" x14ac:dyDescent="0.3">
      <c r="A4378" t="s">
        <v>4587</v>
      </c>
      <c r="B4378" t="s">
        <v>4587</v>
      </c>
      <c r="C4378" s="424" t="str">
        <f t="shared" si="178"/>
        <v>Vizur Transportes, Unipessoal LDA.</v>
      </c>
      <c r="D4378" t="s">
        <v>629</v>
      </c>
      <c r="F4378" t="s">
        <v>620</v>
      </c>
      <c r="G4378" s="89">
        <v>2020</v>
      </c>
      <c r="H4378" s="313" t="s">
        <v>733</v>
      </c>
      <c r="I4378" s="311" t="str">
        <f t="shared" si="176"/>
        <v>Pesado de Passageiros M3:  : Gasóleo : E6</v>
      </c>
      <c r="J4378">
        <v>84</v>
      </c>
      <c r="K4378" s="422">
        <v>2023</v>
      </c>
      <c r="L4378">
        <v>27676</v>
      </c>
      <c r="M4378" t="s">
        <v>630</v>
      </c>
      <c r="N4378" s="131">
        <v>79029</v>
      </c>
      <c r="O4378" s="436">
        <f t="shared" si="177"/>
        <v>6638436</v>
      </c>
      <c r="P4378" s="89">
        <v>44105</v>
      </c>
      <c r="Q4378" s="422" t="s">
        <v>47</v>
      </c>
      <c r="R4378" s="422" t="s">
        <v>1869</v>
      </c>
      <c r="S4378" s="422" t="s">
        <v>1861</v>
      </c>
      <c r="T4378" t="s">
        <v>5120</v>
      </c>
      <c r="U4378" s="422" t="s">
        <v>1953</v>
      </c>
      <c r="V4378" s="422" t="s">
        <v>2813</v>
      </c>
    </row>
    <row r="4379" spans="1:22" ht="15.75" thickBot="1" x14ac:dyDescent="0.3">
      <c r="A4379" t="s">
        <v>4587</v>
      </c>
      <c r="B4379" t="s">
        <v>4587</v>
      </c>
      <c r="C4379" s="424" t="str">
        <f t="shared" si="178"/>
        <v>Vizur Transportes, Unipessoal LDA.</v>
      </c>
      <c r="D4379" t="s">
        <v>629</v>
      </c>
      <c r="F4379" t="s">
        <v>620</v>
      </c>
      <c r="G4379" s="89">
        <v>2020</v>
      </c>
      <c r="H4379" s="313" t="s">
        <v>733</v>
      </c>
      <c r="I4379" s="311" t="str">
        <f t="shared" si="176"/>
        <v>Pesado de Passageiros M3:  : Gasóleo : E6</v>
      </c>
      <c r="J4379">
        <v>84</v>
      </c>
      <c r="K4379" s="422">
        <v>2023</v>
      </c>
      <c r="L4379">
        <v>19138</v>
      </c>
      <c r="M4379" t="s">
        <v>630</v>
      </c>
      <c r="N4379" s="131">
        <v>61311</v>
      </c>
      <c r="O4379" s="436">
        <f t="shared" si="177"/>
        <v>5150124</v>
      </c>
      <c r="P4379" s="89">
        <v>44105</v>
      </c>
      <c r="Q4379" s="422" t="s">
        <v>47</v>
      </c>
      <c r="R4379" s="422" t="s">
        <v>1869</v>
      </c>
      <c r="S4379" s="422" t="s">
        <v>1861</v>
      </c>
      <c r="T4379" t="s">
        <v>5121</v>
      </c>
      <c r="U4379" s="422" t="s">
        <v>1953</v>
      </c>
      <c r="V4379" s="422" t="s">
        <v>2813</v>
      </c>
    </row>
    <row r="4380" spans="1:22" ht="15.75" thickBot="1" x14ac:dyDescent="0.3">
      <c r="A4380" t="s">
        <v>4587</v>
      </c>
      <c r="B4380" t="s">
        <v>4587</v>
      </c>
      <c r="C4380" s="424" t="str">
        <f t="shared" si="178"/>
        <v>Vizur Transportes, Unipessoal LDA.</v>
      </c>
      <c r="D4380" t="s">
        <v>629</v>
      </c>
      <c r="F4380" t="s">
        <v>620</v>
      </c>
      <c r="G4380" s="89">
        <v>2020</v>
      </c>
      <c r="H4380" s="313" t="s">
        <v>733</v>
      </c>
      <c r="I4380" s="311" t="str">
        <f t="shared" si="176"/>
        <v>Pesado de Passageiros M3:  : Gasóleo : E6</v>
      </c>
      <c r="J4380">
        <v>84</v>
      </c>
      <c r="K4380" s="422">
        <v>2023</v>
      </c>
      <c r="L4380">
        <v>19793</v>
      </c>
      <c r="M4380" t="s">
        <v>630</v>
      </c>
      <c r="N4380" s="131">
        <v>54912</v>
      </c>
      <c r="O4380" s="436">
        <f t="shared" si="177"/>
        <v>4612608</v>
      </c>
      <c r="P4380" s="89">
        <v>44105</v>
      </c>
      <c r="Q4380" s="422" t="s">
        <v>47</v>
      </c>
      <c r="R4380" s="422" t="s">
        <v>1869</v>
      </c>
      <c r="S4380" s="422" t="s">
        <v>1861</v>
      </c>
      <c r="T4380" t="s">
        <v>5122</v>
      </c>
      <c r="U4380" s="422" t="s">
        <v>1953</v>
      </c>
      <c r="V4380" s="422" t="s">
        <v>2813</v>
      </c>
    </row>
    <row r="4381" spans="1:22" ht="15.75" thickBot="1" x14ac:dyDescent="0.3">
      <c r="A4381" t="s">
        <v>4587</v>
      </c>
      <c r="B4381" t="s">
        <v>4587</v>
      </c>
      <c r="C4381" s="424" t="str">
        <f t="shared" si="178"/>
        <v>Vizur Transportes, Unipessoal LDA.</v>
      </c>
      <c r="D4381" t="s">
        <v>629</v>
      </c>
      <c r="F4381" t="s">
        <v>620</v>
      </c>
      <c r="G4381" s="89">
        <v>2020</v>
      </c>
      <c r="H4381" s="313" t="s">
        <v>733</v>
      </c>
      <c r="I4381" s="311" t="str">
        <f t="shared" si="176"/>
        <v>Pesado de Passageiros M3:  : Gasóleo : E6</v>
      </c>
      <c r="J4381">
        <v>84</v>
      </c>
      <c r="K4381" s="422">
        <v>2023</v>
      </c>
      <c r="L4381">
        <v>23034</v>
      </c>
      <c r="M4381" t="s">
        <v>630</v>
      </c>
      <c r="N4381" s="131">
        <v>67286</v>
      </c>
      <c r="O4381" s="436">
        <f t="shared" si="177"/>
        <v>5652024</v>
      </c>
      <c r="P4381" s="89">
        <v>44105</v>
      </c>
      <c r="Q4381" s="422" t="s">
        <v>47</v>
      </c>
      <c r="R4381" s="422" t="s">
        <v>1869</v>
      </c>
      <c r="S4381" s="422" t="s">
        <v>1861</v>
      </c>
      <c r="T4381" t="s">
        <v>5123</v>
      </c>
      <c r="U4381" s="422" t="s">
        <v>1953</v>
      </c>
      <c r="V4381" s="422" t="s">
        <v>2813</v>
      </c>
    </row>
    <row r="4382" spans="1:22" ht="15.75" thickBot="1" x14ac:dyDescent="0.3">
      <c r="A4382" t="s">
        <v>4587</v>
      </c>
      <c r="B4382" t="s">
        <v>4587</v>
      </c>
      <c r="C4382" s="424" t="str">
        <f t="shared" si="178"/>
        <v>Vizur Transportes, Unipessoal LDA.</v>
      </c>
      <c r="D4382" t="s">
        <v>629</v>
      </c>
      <c r="F4382" t="s">
        <v>620</v>
      </c>
      <c r="G4382" s="89">
        <v>2020</v>
      </c>
      <c r="H4382" s="313" t="s">
        <v>733</v>
      </c>
      <c r="I4382" s="311" t="str">
        <f t="shared" si="176"/>
        <v>Pesado de Passageiros M3:  : Gasóleo : E6</v>
      </c>
      <c r="J4382">
        <v>84</v>
      </c>
      <c r="K4382" s="422">
        <v>2023</v>
      </c>
      <c r="L4382">
        <v>27328</v>
      </c>
      <c r="M4382" t="s">
        <v>630</v>
      </c>
      <c r="N4382" s="131">
        <v>82253</v>
      </c>
      <c r="O4382" s="436">
        <f t="shared" si="177"/>
        <v>6909252</v>
      </c>
      <c r="P4382" s="89">
        <v>44105</v>
      </c>
      <c r="Q4382" s="422" t="s">
        <v>47</v>
      </c>
      <c r="R4382" s="422" t="s">
        <v>1869</v>
      </c>
      <c r="S4382" s="422" t="s">
        <v>1861</v>
      </c>
      <c r="T4382" t="s">
        <v>5124</v>
      </c>
      <c r="U4382" s="422" t="s">
        <v>1953</v>
      </c>
      <c r="V4382" s="422" t="s">
        <v>2813</v>
      </c>
    </row>
    <row r="4383" spans="1:22" ht="15.75" thickBot="1" x14ac:dyDescent="0.3">
      <c r="A4383" t="s">
        <v>4587</v>
      </c>
      <c r="B4383" t="s">
        <v>4587</v>
      </c>
      <c r="C4383" s="424" t="str">
        <f t="shared" si="178"/>
        <v>Vizur Transportes, Unipessoal LDA.</v>
      </c>
      <c r="D4383" t="s">
        <v>629</v>
      </c>
      <c r="F4383" t="s">
        <v>620</v>
      </c>
      <c r="G4383" s="89">
        <v>2020</v>
      </c>
      <c r="H4383" s="313" t="s">
        <v>733</v>
      </c>
      <c r="I4383" s="311" t="str">
        <f t="shared" si="176"/>
        <v>Pesado de Passageiros M3:  : Gasóleo : E6</v>
      </c>
      <c r="J4383">
        <v>84</v>
      </c>
      <c r="K4383" s="422">
        <v>2023</v>
      </c>
      <c r="L4383">
        <v>51685</v>
      </c>
      <c r="M4383" t="s">
        <v>630</v>
      </c>
      <c r="N4383" s="131">
        <v>169119</v>
      </c>
      <c r="O4383" s="436">
        <f t="shared" si="177"/>
        <v>14205996</v>
      </c>
      <c r="P4383" s="89">
        <v>44105</v>
      </c>
      <c r="Q4383" s="422" t="s">
        <v>47</v>
      </c>
      <c r="R4383" s="422" t="s">
        <v>1869</v>
      </c>
      <c r="S4383" s="422" t="s">
        <v>1861</v>
      </c>
      <c r="T4383" t="s">
        <v>5125</v>
      </c>
      <c r="U4383" s="422" t="s">
        <v>1953</v>
      </c>
      <c r="V4383" s="422" t="s">
        <v>2813</v>
      </c>
    </row>
    <row r="4384" spans="1:22" ht="15.75" thickBot="1" x14ac:dyDescent="0.3">
      <c r="A4384" t="s">
        <v>4587</v>
      </c>
      <c r="B4384" t="s">
        <v>4587</v>
      </c>
      <c r="C4384" s="424" t="str">
        <f t="shared" si="178"/>
        <v>Vizur Transportes, Unipessoal LDA.</v>
      </c>
      <c r="D4384" t="s">
        <v>629</v>
      </c>
      <c r="F4384" t="s">
        <v>620</v>
      </c>
      <c r="G4384" s="89">
        <v>2020</v>
      </c>
      <c r="H4384" s="313" t="s">
        <v>733</v>
      </c>
      <c r="I4384" s="311" t="str">
        <f t="shared" si="176"/>
        <v>Pesado de Passageiros M3:  : Gasóleo : E6</v>
      </c>
      <c r="J4384">
        <v>84</v>
      </c>
      <c r="K4384" s="422">
        <v>2023</v>
      </c>
      <c r="L4384">
        <v>27283</v>
      </c>
      <c r="M4384" t="s">
        <v>630</v>
      </c>
      <c r="N4384" s="131">
        <v>90139</v>
      </c>
      <c r="O4384" s="436">
        <f t="shared" si="177"/>
        <v>7571676</v>
      </c>
      <c r="P4384" s="89">
        <v>44105</v>
      </c>
      <c r="Q4384" s="422" t="s">
        <v>47</v>
      </c>
      <c r="R4384" s="422" t="s">
        <v>1869</v>
      </c>
      <c r="S4384" s="422" t="s">
        <v>1861</v>
      </c>
      <c r="T4384" t="s">
        <v>5126</v>
      </c>
      <c r="U4384" s="422" t="s">
        <v>1953</v>
      </c>
      <c r="V4384" s="422" t="s">
        <v>2813</v>
      </c>
    </row>
    <row r="4385" spans="1:22" ht="15.75" thickBot="1" x14ac:dyDescent="0.3">
      <c r="A4385" t="s">
        <v>4587</v>
      </c>
      <c r="B4385" t="s">
        <v>4587</v>
      </c>
      <c r="C4385" s="424" t="str">
        <f t="shared" si="178"/>
        <v>Vizur Transportes, Unipessoal LDA.</v>
      </c>
      <c r="D4385" t="s">
        <v>629</v>
      </c>
      <c r="F4385" t="s">
        <v>620</v>
      </c>
      <c r="G4385" s="89">
        <v>2020</v>
      </c>
      <c r="H4385" s="313" t="s">
        <v>733</v>
      </c>
      <c r="I4385" s="311" t="str">
        <f t="shared" si="176"/>
        <v>Pesado de Passageiros M3:  : Gasóleo : E6</v>
      </c>
      <c r="J4385">
        <v>84</v>
      </c>
      <c r="K4385" s="422">
        <v>2023</v>
      </c>
      <c r="L4385">
        <v>36263</v>
      </c>
      <c r="M4385" t="s">
        <v>630</v>
      </c>
      <c r="N4385" s="131">
        <v>122602</v>
      </c>
      <c r="O4385" s="436">
        <f t="shared" si="177"/>
        <v>10298568</v>
      </c>
      <c r="P4385" s="89">
        <v>44105</v>
      </c>
      <c r="Q4385" s="422" t="s">
        <v>47</v>
      </c>
      <c r="R4385" s="422" t="s">
        <v>1869</v>
      </c>
      <c r="S4385" s="422" t="s">
        <v>1861</v>
      </c>
      <c r="T4385" t="s">
        <v>5127</v>
      </c>
      <c r="U4385" s="422" t="s">
        <v>1953</v>
      </c>
      <c r="V4385" s="422" t="s">
        <v>2813</v>
      </c>
    </row>
    <row r="4386" spans="1:22" ht="15.75" thickBot="1" x14ac:dyDescent="0.3">
      <c r="A4386" t="s">
        <v>4587</v>
      </c>
      <c r="B4386" t="s">
        <v>4587</v>
      </c>
      <c r="C4386" s="424" t="str">
        <f t="shared" si="178"/>
        <v>Vizur Transportes, Unipessoal LDA.</v>
      </c>
      <c r="D4386" t="s">
        <v>629</v>
      </c>
      <c r="F4386" t="s">
        <v>620</v>
      </c>
      <c r="G4386" s="89">
        <v>2020</v>
      </c>
      <c r="H4386" s="313" t="s">
        <v>733</v>
      </c>
      <c r="I4386" s="311" t="str">
        <f t="shared" ref="I4386:I4449" si="179">D4386&amp;": "&amp;E4386&amp;" : "&amp;F4386&amp;" : "&amp;H4386</f>
        <v>Pesado de Passageiros M3:  : Gasóleo : E6</v>
      </c>
      <c r="J4386">
        <v>84</v>
      </c>
      <c r="K4386" s="422">
        <v>2023</v>
      </c>
      <c r="L4386">
        <v>38708</v>
      </c>
      <c r="M4386" t="s">
        <v>630</v>
      </c>
      <c r="N4386" s="131">
        <v>122094</v>
      </c>
      <c r="O4386" s="436">
        <f t="shared" ref="O4386:O4449" si="180">N4386*J4386</f>
        <v>10255896</v>
      </c>
      <c r="P4386" s="89">
        <v>44105</v>
      </c>
      <c r="Q4386" s="422" t="s">
        <v>47</v>
      </c>
      <c r="R4386" s="422" t="s">
        <v>1869</v>
      </c>
      <c r="S4386" s="422" t="s">
        <v>1861</v>
      </c>
      <c r="T4386" t="s">
        <v>5128</v>
      </c>
      <c r="U4386" s="422" t="s">
        <v>1953</v>
      </c>
      <c r="V4386" s="422" t="s">
        <v>2813</v>
      </c>
    </row>
    <row r="4387" spans="1:22" ht="15.75" thickBot="1" x14ac:dyDescent="0.3">
      <c r="A4387" t="s">
        <v>4587</v>
      </c>
      <c r="B4387" t="s">
        <v>4587</v>
      </c>
      <c r="C4387" s="424" t="str">
        <f t="shared" si="178"/>
        <v>Vizur Transportes, Unipessoal LDA.</v>
      </c>
      <c r="D4387" t="s">
        <v>629</v>
      </c>
      <c r="F4387" t="s">
        <v>620</v>
      </c>
      <c r="G4387" s="89">
        <v>2020</v>
      </c>
      <c r="H4387" s="313" t="s">
        <v>733</v>
      </c>
      <c r="I4387" s="311" t="str">
        <f t="shared" si="179"/>
        <v>Pesado de Passageiros M3:  : Gasóleo : E6</v>
      </c>
      <c r="J4387">
        <v>84</v>
      </c>
      <c r="K4387" s="422">
        <v>2023</v>
      </c>
      <c r="L4387">
        <v>19775</v>
      </c>
      <c r="M4387" t="s">
        <v>630</v>
      </c>
      <c r="N4387" s="131">
        <v>54456</v>
      </c>
      <c r="O4387" s="436">
        <f t="shared" si="180"/>
        <v>4574304</v>
      </c>
      <c r="P4387" s="89">
        <v>44105</v>
      </c>
      <c r="Q4387" s="422" t="s">
        <v>47</v>
      </c>
      <c r="R4387" s="422" t="s">
        <v>1869</v>
      </c>
      <c r="S4387" s="422" t="s">
        <v>1861</v>
      </c>
      <c r="T4387" t="s">
        <v>5129</v>
      </c>
      <c r="U4387" s="422" t="s">
        <v>1953</v>
      </c>
      <c r="V4387" s="422" t="s">
        <v>2813</v>
      </c>
    </row>
    <row r="4388" spans="1:22" ht="15.75" thickBot="1" x14ac:dyDescent="0.3">
      <c r="A4388" t="s">
        <v>4587</v>
      </c>
      <c r="B4388" t="s">
        <v>4587</v>
      </c>
      <c r="C4388" s="424" t="str">
        <f t="shared" si="178"/>
        <v>Vizur Transportes, Unipessoal LDA.</v>
      </c>
      <c r="D4388" t="s">
        <v>629</v>
      </c>
      <c r="F4388" t="s">
        <v>620</v>
      </c>
      <c r="G4388" s="89">
        <v>2021</v>
      </c>
      <c r="H4388" s="313" t="s">
        <v>733</v>
      </c>
      <c r="I4388" s="311" t="str">
        <f t="shared" si="179"/>
        <v>Pesado de Passageiros M3:  : Gasóleo : E6</v>
      </c>
      <c r="J4388">
        <v>79</v>
      </c>
      <c r="K4388" s="422">
        <v>2023</v>
      </c>
      <c r="L4388">
        <v>19691</v>
      </c>
      <c r="M4388" t="s">
        <v>630</v>
      </c>
      <c r="N4388" s="131">
        <v>56822</v>
      </c>
      <c r="O4388" s="436">
        <f t="shared" si="180"/>
        <v>4488938</v>
      </c>
      <c r="P4388" s="89">
        <v>44200</v>
      </c>
      <c r="Q4388" s="422" t="s">
        <v>47</v>
      </c>
      <c r="R4388" s="422" t="s">
        <v>1869</v>
      </c>
      <c r="S4388" s="422" t="s">
        <v>1861</v>
      </c>
      <c r="T4388" t="s">
        <v>5130</v>
      </c>
      <c r="U4388" s="422" t="s">
        <v>1953</v>
      </c>
      <c r="V4388" s="422" t="s">
        <v>2813</v>
      </c>
    </row>
    <row r="4389" spans="1:22" ht="15.75" thickBot="1" x14ac:dyDescent="0.3">
      <c r="A4389" t="s">
        <v>4587</v>
      </c>
      <c r="B4389" t="s">
        <v>4587</v>
      </c>
      <c r="C4389" s="424" t="str">
        <f t="shared" si="178"/>
        <v>Vizur Transportes, Unipessoal LDA.</v>
      </c>
      <c r="D4389" t="s">
        <v>629</v>
      </c>
      <c r="F4389" t="s">
        <v>620</v>
      </c>
      <c r="G4389" s="89">
        <v>2021</v>
      </c>
      <c r="H4389" s="313" t="s">
        <v>733</v>
      </c>
      <c r="I4389" s="311" t="str">
        <f t="shared" si="179"/>
        <v>Pesado de Passageiros M3:  : Gasóleo : E6</v>
      </c>
      <c r="J4389">
        <v>84</v>
      </c>
      <c r="K4389" s="422">
        <v>2023</v>
      </c>
      <c r="L4389">
        <v>23907</v>
      </c>
      <c r="M4389" t="s">
        <v>630</v>
      </c>
      <c r="N4389" s="131">
        <v>69702</v>
      </c>
      <c r="O4389" s="436">
        <f t="shared" si="180"/>
        <v>5854968</v>
      </c>
      <c r="P4389" s="89">
        <v>44200</v>
      </c>
      <c r="Q4389" s="422" t="s">
        <v>47</v>
      </c>
      <c r="R4389" s="422" t="s">
        <v>1869</v>
      </c>
      <c r="S4389" s="422" t="s">
        <v>1861</v>
      </c>
      <c r="T4389" t="s">
        <v>5131</v>
      </c>
      <c r="U4389" s="422" t="s">
        <v>1953</v>
      </c>
      <c r="V4389" s="422" t="s">
        <v>2813</v>
      </c>
    </row>
    <row r="4390" spans="1:22" ht="15.75" thickBot="1" x14ac:dyDescent="0.3">
      <c r="A4390" t="s">
        <v>4587</v>
      </c>
      <c r="B4390" t="s">
        <v>4587</v>
      </c>
      <c r="C4390" s="424" t="str">
        <f t="shared" si="178"/>
        <v>Vizur Transportes, Unipessoal LDA.</v>
      </c>
      <c r="D4390" t="s">
        <v>629</v>
      </c>
      <c r="F4390" t="s">
        <v>620</v>
      </c>
      <c r="G4390" s="89">
        <v>2021</v>
      </c>
      <c r="H4390" s="313" t="s">
        <v>733</v>
      </c>
      <c r="I4390" s="311" t="str">
        <f t="shared" si="179"/>
        <v>Pesado de Passageiros M3:  : Gasóleo : E6</v>
      </c>
      <c r="J4390">
        <v>79</v>
      </c>
      <c r="K4390" s="422">
        <v>2023</v>
      </c>
      <c r="L4390">
        <v>19028</v>
      </c>
      <c r="M4390" t="s">
        <v>630</v>
      </c>
      <c r="N4390" s="131">
        <v>44340</v>
      </c>
      <c r="O4390" s="436">
        <f t="shared" si="180"/>
        <v>3502860</v>
      </c>
      <c r="P4390" s="89">
        <v>44200</v>
      </c>
      <c r="Q4390" s="422" t="s">
        <v>47</v>
      </c>
      <c r="R4390" s="422" t="s">
        <v>1869</v>
      </c>
      <c r="S4390" s="422" t="s">
        <v>1861</v>
      </c>
      <c r="T4390" t="s">
        <v>5132</v>
      </c>
      <c r="U4390" s="422" t="s">
        <v>1953</v>
      </c>
      <c r="V4390" s="422" t="s">
        <v>2813</v>
      </c>
    </row>
    <row r="4391" spans="1:22" ht="15.75" thickBot="1" x14ac:dyDescent="0.3">
      <c r="A4391" t="s">
        <v>4587</v>
      </c>
      <c r="B4391" t="s">
        <v>4587</v>
      </c>
      <c r="C4391" s="424" t="str">
        <f t="shared" si="178"/>
        <v>Vizur Transportes, Unipessoal LDA.</v>
      </c>
      <c r="D4391" t="s">
        <v>629</v>
      </c>
      <c r="F4391" t="s">
        <v>620</v>
      </c>
      <c r="G4391" s="89">
        <v>2021</v>
      </c>
      <c r="H4391" s="313" t="s">
        <v>733</v>
      </c>
      <c r="I4391" s="311" t="str">
        <f t="shared" si="179"/>
        <v>Pesado de Passageiros M3:  : Gasóleo : E6</v>
      </c>
      <c r="J4391">
        <v>79</v>
      </c>
      <c r="K4391" s="422">
        <v>2023</v>
      </c>
      <c r="L4391">
        <v>21352</v>
      </c>
      <c r="M4391" t="s">
        <v>630</v>
      </c>
      <c r="N4391" s="131">
        <v>54774</v>
      </c>
      <c r="O4391" s="436">
        <f t="shared" si="180"/>
        <v>4327146</v>
      </c>
      <c r="P4391" s="89">
        <v>44200</v>
      </c>
      <c r="Q4391" s="422" t="s">
        <v>47</v>
      </c>
      <c r="R4391" s="422" t="s">
        <v>1869</v>
      </c>
      <c r="S4391" s="422" t="s">
        <v>1861</v>
      </c>
      <c r="T4391" t="s">
        <v>5133</v>
      </c>
      <c r="U4391" s="422" t="s">
        <v>1953</v>
      </c>
      <c r="V4391" s="422" t="s">
        <v>2813</v>
      </c>
    </row>
    <row r="4392" spans="1:22" ht="15.75" thickBot="1" x14ac:dyDescent="0.3">
      <c r="A4392" t="s">
        <v>4587</v>
      </c>
      <c r="B4392" t="s">
        <v>4587</v>
      </c>
      <c r="C4392" s="424" t="str">
        <f t="shared" si="178"/>
        <v>Vizur Transportes, Unipessoal LDA.</v>
      </c>
      <c r="D4392" t="s">
        <v>629</v>
      </c>
      <c r="F4392" t="s">
        <v>620</v>
      </c>
      <c r="G4392" s="89">
        <v>2021</v>
      </c>
      <c r="H4392" s="313" t="s">
        <v>733</v>
      </c>
      <c r="I4392" s="311" t="str">
        <f t="shared" si="179"/>
        <v>Pesado de Passageiros M3:  : Gasóleo : E6</v>
      </c>
      <c r="J4392">
        <v>84</v>
      </c>
      <c r="K4392" s="422">
        <v>2023</v>
      </c>
      <c r="L4392">
        <v>14278</v>
      </c>
      <c r="M4392" t="s">
        <v>630</v>
      </c>
      <c r="N4392" s="131">
        <v>40860</v>
      </c>
      <c r="O4392" s="436">
        <f t="shared" si="180"/>
        <v>3432240</v>
      </c>
      <c r="P4392" s="89">
        <v>44200</v>
      </c>
      <c r="Q4392" s="422" t="s">
        <v>47</v>
      </c>
      <c r="R4392" s="422" t="s">
        <v>1869</v>
      </c>
      <c r="S4392" s="422" t="s">
        <v>1861</v>
      </c>
      <c r="T4392" t="s">
        <v>5134</v>
      </c>
      <c r="U4392" s="422" t="s">
        <v>1953</v>
      </c>
      <c r="V4392" s="422" t="s">
        <v>2813</v>
      </c>
    </row>
    <row r="4393" spans="1:22" ht="15.75" thickBot="1" x14ac:dyDescent="0.3">
      <c r="A4393" t="s">
        <v>4587</v>
      </c>
      <c r="B4393" t="s">
        <v>4587</v>
      </c>
      <c r="C4393" s="424" t="str">
        <f t="shared" si="178"/>
        <v>Vizur Transportes, Unipessoal LDA.</v>
      </c>
      <c r="D4393" t="s">
        <v>629</v>
      </c>
      <c r="F4393" t="s">
        <v>620</v>
      </c>
      <c r="G4393" s="89">
        <v>2021</v>
      </c>
      <c r="H4393" s="313" t="s">
        <v>733</v>
      </c>
      <c r="I4393" s="311" t="str">
        <f t="shared" si="179"/>
        <v>Pesado de Passageiros M3:  : Gasóleo : E6</v>
      </c>
      <c r="J4393">
        <v>84</v>
      </c>
      <c r="K4393" s="422">
        <v>2023</v>
      </c>
      <c r="L4393">
        <v>21257</v>
      </c>
      <c r="M4393" t="s">
        <v>630</v>
      </c>
      <c r="N4393" s="131">
        <v>59582</v>
      </c>
      <c r="O4393" s="436">
        <f t="shared" si="180"/>
        <v>5004888</v>
      </c>
      <c r="P4393" s="89">
        <v>44228</v>
      </c>
      <c r="Q4393" s="422" t="s">
        <v>47</v>
      </c>
      <c r="R4393" s="422" t="s">
        <v>1869</v>
      </c>
      <c r="S4393" s="422" t="s">
        <v>1861</v>
      </c>
      <c r="T4393" t="s">
        <v>5135</v>
      </c>
      <c r="U4393" s="422" t="s">
        <v>1953</v>
      </c>
      <c r="V4393" s="422" t="s">
        <v>2813</v>
      </c>
    </row>
    <row r="4394" spans="1:22" ht="15.75" thickBot="1" x14ac:dyDescent="0.3">
      <c r="A4394" t="s">
        <v>4587</v>
      </c>
      <c r="B4394" t="s">
        <v>4587</v>
      </c>
      <c r="C4394" s="424" t="str">
        <f t="shared" si="178"/>
        <v>Vizur Transportes, Unipessoal LDA.</v>
      </c>
      <c r="D4394" t="s">
        <v>629</v>
      </c>
      <c r="F4394" t="s">
        <v>620</v>
      </c>
      <c r="G4394" s="89">
        <v>2021</v>
      </c>
      <c r="H4394" s="313" t="s">
        <v>733</v>
      </c>
      <c r="I4394" s="311" t="str">
        <f t="shared" si="179"/>
        <v>Pesado de Passageiros M3:  : Gasóleo : E6</v>
      </c>
      <c r="J4394">
        <v>84</v>
      </c>
      <c r="K4394" s="422">
        <v>2023</v>
      </c>
      <c r="L4394">
        <v>19113</v>
      </c>
      <c r="M4394" t="s">
        <v>630</v>
      </c>
      <c r="N4394" s="131">
        <v>55431</v>
      </c>
      <c r="O4394" s="436">
        <f t="shared" si="180"/>
        <v>4656204</v>
      </c>
      <c r="P4394" s="89">
        <v>44228</v>
      </c>
      <c r="Q4394" s="422" t="s">
        <v>47</v>
      </c>
      <c r="R4394" s="422" t="s">
        <v>1869</v>
      </c>
      <c r="S4394" s="422" t="s">
        <v>1861</v>
      </c>
      <c r="T4394" t="s">
        <v>5136</v>
      </c>
      <c r="U4394" s="422" t="s">
        <v>1953</v>
      </c>
      <c r="V4394" s="422" t="s">
        <v>2813</v>
      </c>
    </row>
    <row r="4395" spans="1:22" ht="15.75" thickBot="1" x14ac:dyDescent="0.3">
      <c r="A4395" t="s">
        <v>4587</v>
      </c>
      <c r="B4395" t="s">
        <v>4587</v>
      </c>
      <c r="C4395" s="424" t="str">
        <f t="shared" si="178"/>
        <v>Vizur Transportes, Unipessoal LDA.</v>
      </c>
      <c r="D4395" t="s">
        <v>629</v>
      </c>
      <c r="F4395" t="s">
        <v>620</v>
      </c>
      <c r="G4395" s="89">
        <v>2021</v>
      </c>
      <c r="H4395" s="313" t="s">
        <v>733</v>
      </c>
      <c r="I4395" s="311" t="str">
        <f t="shared" si="179"/>
        <v>Pesado de Passageiros M3:  : Gasóleo : E6</v>
      </c>
      <c r="J4395">
        <v>84</v>
      </c>
      <c r="K4395" s="422">
        <v>2023</v>
      </c>
      <c r="L4395">
        <v>19877</v>
      </c>
      <c r="M4395" t="s">
        <v>630</v>
      </c>
      <c r="N4395" s="131">
        <v>55493</v>
      </c>
      <c r="O4395" s="436">
        <f t="shared" si="180"/>
        <v>4661412</v>
      </c>
      <c r="P4395" s="89">
        <v>44228</v>
      </c>
      <c r="Q4395" s="422" t="s">
        <v>47</v>
      </c>
      <c r="R4395" s="422" t="s">
        <v>1869</v>
      </c>
      <c r="S4395" s="422" t="s">
        <v>1861</v>
      </c>
      <c r="T4395" t="s">
        <v>5137</v>
      </c>
      <c r="U4395" s="422" t="s">
        <v>1953</v>
      </c>
      <c r="V4395" s="422" t="s">
        <v>2813</v>
      </c>
    </row>
    <row r="4396" spans="1:22" ht="15.75" thickBot="1" x14ac:dyDescent="0.3">
      <c r="A4396" t="s">
        <v>4587</v>
      </c>
      <c r="B4396" t="s">
        <v>4587</v>
      </c>
      <c r="C4396" s="424" t="str">
        <f t="shared" si="178"/>
        <v>Vizur Transportes, Unipessoal LDA.</v>
      </c>
      <c r="D4396" t="s">
        <v>629</v>
      </c>
      <c r="F4396" t="s">
        <v>620</v>
      </c>
      <c r="G4396" s="89">
        <v>2021</v>
      </c>
      <c r="H4396" s="313" t="s">
        <v>733</v>
      </c>
      <c r="I4396" s="311" t="str">
        <f t="shared" si="179"/>
        <v>Pesado de Passageiros M3:  : Gasóleo : E6</v>
      </c>
      <c r="J4396">
        <v>84</v>
      </c>
      <c r="K4396" s="422">
        <v>2023</v>
      </c>
      <c r="L4396">
        <v>18484</v>
      </c>
      <c r="M4396" t="s">
        <v>630</v>
      </c>
      <c r="N4396" s="131">
        <v>58685</v>
      </c>
      <c r="O4396" s="436">
        <f t="shared" si="180"/>
        <v>4929540</v>
      </c>
      <c r="P4396" s="89">
        <v>44228</v>
      </c>
      <c r="Q4396" s="422" t="s">
        <v>47</v>
      </c>
      <c r="R4396" s="422" t="s">
        <v>1869</v>
      </c>
      <c r="S4396" s="422" t="s">
        <v>1861</v>
      </c>
      <c r="T4396" t="s">
        <v>5138</v>
      </c>
      <c r="U4396" s="422" t="s">
        <v>1953</v>
      </c>
      <c r="V4396" s="422" t="s">
        <v>2813</v>
      </c>
    </row>
    <row r="4397" spans="1:22" ht="15.75" thickBot="1" x14ac:dyDescent="0.3">
      <c r="A4397" t="s">
        <v>4587</v>
      </c>
      <c r="B4397" t="s">
        <v>4587</v>
      </c>
      <c r="C4397" s="424" t="str">
        <f t="shared" si="178"/>
        <v>Vizur Transportes, Unipessoal LDA.</v>
      </c>
      <c r="D4397" t="s">
        <v>629</v>
      </c>
      <c r="F4397" t="s">
        <v>620</v>
      </c>
      <c r="G4397" s="89">
        <v>2021</v>
      </c>
      <c r="H4397" s="313" t="s">
        <v>733</v>
      </c>
      <c r="I4397" s="311" t="str">
        <f t="shared" si="179"/>
        <v>Pesado de Passageiros M3:  : Gasóleo : E6</v>
      </c>
      <c r="J4397">
        <v>84</v>
      </c>
      <c r="K4397" s="422">
        <v>2023</v>
      </c>
      <c r="L4397">
        <v>23214</v>
      </c>
      <c r="M4397" t="s">
        <v>630</v>
      </c>
      <c r="N4397" s="131">
        <v>60272</v>
      </c>
      <c r="O4397" s="436">
        <f t="shared" si="180"/>
        <v>5062848</v>
      </c>
      <c r="P4397" s="89">
        <v>44228</v>
      </c>
      <c r="Q4397" s="422" t="s">
        <v>47</v>
      </c>
      <c r="R4397" s="422" t="s">
        <v>1869</v>
      </c>
      <c r="S4397" s="422" t="s">
        <v>1861</v>
      </c>
      <c r="T4397" t="s">
        <v>5139</v>
      </c>
      <c r="U4397" s="422" t="s">
        <v>1953</v>
      </c>
      <c r="V4397" s="422" t="s">
        <v>2813</v>
      </c>
    </row>
    <row r="4398" spans="1:22" ht="15.75" thickBot="1" x14ac:dyDescent="0.3">
      <c r="A4398" t="s">
        <v>4587</v>
      </c>
      <c r="B4398" t="s">
        <v>4587</v>
      </c>
      <c r="C4398" s="424" t="str">
        <f t="shared" si="178"/>
        <v>Vizur Transportes, Unipessoal LDA.</v>
      </c>
      <c r="D4398" t="s">
        <v>629</v>
      </c>
      <c r="F4398" t="s">
        <v>620</v>
      </c>
      <c r="G4398" s="89">
        <v>2021</v>
      </c>
      <c r="H4398" s="313" t="s">
        <v>733</v>
      </c>
      <c r="I4398" s="311" t="str">
        <f t="shared" si="179"/>
        <v>Pesado de Passageiros M3:  : Gasóleo : E6</v>
      </c>
      <c r="J4398">
        <v>84</v>
      </c>
      <c r="K4398" s="422">
        <v>2023</v>
      </c>
      <c r="L4398">
        <v>24422</v>
      </c>
      <c r="M4398" t="s">
        <v>630</v>
      </c>
      <c r="N4398" s="131">
        <v>70236</v>
      </c>
      <c r="O4398" s="436">
        <f t="shared" si="180"/>
        <v>5899824</v>
      </c>
      <c r="P4398" s="89">
        <v>44228</v>
      </c>
      <c r="Q4398" s="422" t="s">
        <v>47</v>
      </c>
      <c r="R4398" s="422" t="s">
        <v>1869</v>
      </c>
      <c r="S4398" s="422" t="s">
        <v>1861</v>
      </c>
      <c r="T4398" t="s">
        <v>5140</v>
      </c>
      <c r="U4398" s="422" t="s">
        <v>1953</v>
      </c>
      <c r="V4398" s="422" t="s">
        <v>2813</v>
      </c>
    </row>
    <row r="4399" spans="1:22" ht="15.75" thickBot="1" x14ac:dyDescent="0.3">
      <c r="A4399" t="s">
        <v>4587</v>
      </c>
      <c r="B4399" t="s">
        <v>4587</v>
      </c>
      <c r="C4399" s="424" t="str">
        <f t="shared" si="178"/>
        <v>Vizur Transportes, Unipessoal LDA.</v>
      </c>
      <c r="D4399" t="s">
        <v>629</v>
      </c>
      <c r="F4399" t="s">
        <v>620</v>
      </c>
      <c r="G4399" s="89">
        <v>2021</v>
      </c>
      <c r="H4399" s="313" t="s">
        <v>733</v>
      </c>
      <c r="I4399" s="311" t="str">
        <f t="shared" si="179"/>
        <v>Pesado de Passageiros M3:  : Gasóleo : E6</v>
      </c>
      <c r="J4399">
        <v>84</v>
      </c>
      <c r="K4399" s="422">
        <v>2023</v>
      </c>
      <c r="L4399">
        <v>21344</v>
      </c>
      <c r="M4399" t="s">
        <v>630</v>
      </c>
      <c r="N4399" s="131">
        <v>62952</v>
      </c>
      <c r="O4399" s="436">
        <f t="shared" si="180"/>
        <v>5287968</v>
      </c>
      <c r="P4399" s="89">
        <v>44228</v>
      </c>
      <c r="Q4399" s="422" t="s">
        <v>47</v>
      </c>
      <c r="R4399" s="422" t="s">
        <v>1869</v>
      </c>
      <c r="S4399" s="422" t="s">
        <v>1861</v>
      </c>
      <c r="T4399" t="s">
        <v>5141</v>
      </c>
      <c r="U4399" s="422" t="s">
        <v>1953</v>
      </c>
      <c r="V4399" s="422" t="s">
        <v>2813</v>
      </c>
    </row>
    <row r="4400" spans="1:22" ht="15.75" thickBot="1" x14ac:dyDescent="0.3">
      <c r="A4400" t="s">
        <v>4587</v>
      </c>
      <c r="B4400" t="s">
        <v>4587</v>
      </c>
      <c r="C4400" s="424" t="str">
        <f t="shared" si="178"/>
        <v>Vizur Transportes, Unipessoal LDA.</v>
      </c>
      <c r="D4400" t="s">
        <v>629</v>
      </c>
      <c r="F4400" t="s">
        <v>620</v>
      </c>
      <c r="G4400" s="89">
        <v>2021</v>
      </c>
      <c r="H4400" s="313" t="s">
        <v>733</v>
      </c>
      <c r="I4400" s="311" t="str">
        <f t="shared" si="179"/>
        <v>Pesado de Passageiros M3:  : Gasóleo : E6</v>
      </c>
      <c r="J4400">
        <v>84</v>
      </c>
      <c r="K4400" s="422">
        <v>2023</v>
      </c>
      <c r="L4400">
        <v>21987</v>
      </c>
      <c r="M4400" t="s">
        <v>630</v>
      </c>
      <c r="N4400" s="131">
        <v>67191</v>
      </c>
      <c r="O4400" s="436">
        <f t="shared" si="180"/>
        <v>5644044</v>
      </c>
      <c r="P4400" s="89">
        <v>44228</v>
      </c>
      <c r="Q4400" s="422" t="s">
        <v>47</v>
      </c>
      <c r="R4400" s="422" t="s">
        <v>1869</v>
      </c>
      <c r="S4400" s="422" t="s">
        <v>1861</v>
      </c>
      <c r="T4400" t="s">
        <v>5142</v>
      </c>
      <c r="U4400" s="422" t="s">
        <v>1953</v>
      </c>
      <c r="V4400" s="422" t="s">
        <v>2813</v>
      </c>
    </row>
    <row r="4401" spans="1:22" ht="15.75" thickBot="1" x14ac:dyDescent="0.3">
      <c r="A4401" t="s">
        <v>4587</v>
      </c>
      <c r="B4401" t="s">
        <v>4587</v>
      </c>
      <c r="C4401" s="424" t="str">
        <f t="shared" si="178"/>
        <v>Vizur Transportes, Unipessoal LDA.</v>
      </c>
      <c r="D4401" t="s">
        <v>629</v>
      </c>
      <c r="F4401" t="s">
        <v>620</v>
      </c>
      <c r="G4401" s="89">
        <v>2021</v>
      </c>
      <c r="H4401" s="313" t="s">
        <v>733</v>
      </c>
      <c r="I4401" s="311" t="str">
        <f t="shared" si="179"/>
        <v>Pesado de Passageiros M3:  : Gasóleo : E6</v>
      </c>
      <c r="J4401">
        <v>84</v>
      </c>
      <c r="K4401" s="422">
        <v>2023</v>
      </c>
      <c r="L4401">
        <v>23939</v>
      </c>
      <c r="M4401" t="s">
        <v>630</v>
      </c>
      <c r="N4401" s="131">
        <v>69265</v>
      </c>
      <c r="O4401" s="436">
        <f t="shared" si="180"/>
        <v>5818260</v>
      </c>
      <c r="P4401" s="89">
        <v>44228</v>
      </c>
      <c r="Q4401" s="422" t="s">
        <v>47</v>
      </c>
      <c r="R4401" s="422" t="s">
        <v>1869</v>
      </c>
      <c r="S4401" s="422" t="s">
        <v>1861</v>
      </c>
      <c r="T4401" t="s">
        <v>5143</v>
      </c>
      <c r="U4401" s="422" t="s">
        <v>1953</v>
      </c>
      <c r="V4401" s="422" t="s">
        <v>2813</v>
      </c>
    </row>
    <row r="4402" spans="1:22" ht="15.75" thickBot="1" x14ac:dyDescent="0.3">
      <c r="A4402" t="s">
        <v>4587</v>
      </c>
      <c r="B4402" t="s">
        <v>4587</v>
      </c>
      <c r="C4402" s="424" t="str">
        <f t="shared" si="178"/>
        <v>Vizur Transportes, Unipessoal LDA.</v>
      </c>
      <c r="D4402" t="s">
        <v>629</v>
      </c>
      <c r="F4402" t="s">
        <v>620</v>
      </c>
      <c r="G4402" s="89">
        <v>2021</v>
      </c>
      <c r="H4402" s="313" t="s">
        <v>733</v>
      </c>
      <c r="I4402" s="311" t="str">
        <f t="shared" si="179"/>
        <v>Pesado de Passageiros M3:  : Gasóleo : E6</v>
      </c>
      <c r="J4402">
        <v>84</v>
      </c>
      <c r="K4402" s="422">
        <v>2023</v>
      </c>
      <c r="L4402">
        <v>30738</v>
      </c>
      <c r="M4402" t="s">
        <v>630</v>
      </c>
      <c r="N4402" s="131">
        <v>93938</v>
      </c>
      <c r="O4402" s="436">
        <f t="shared" si="180"/>
        <v>7890792</v>
      </c>
      <c r="P4402" s="89">
        <v>44228</v>
      </c>
      <c r="Q4402" s="422" t="s">
        <v>47</v>
      </c>
      <c r="R4402" s="422" t="s">
        <v>1869</v>
      </c>
      <c r="S4402" s="422" t="s">
        <v>1861</v>
      </c>
      <c r="T4402" t="s">
        <v>5144</v>
      </c>
      <c r="U4402" s="422" t="s">
        <v>1953</v>
      </c>
      <c r="V4402" s="422" t="s">
        <v>2813</v>
      </c>
    </row>
    <row r="4403" spans="1:22" ht="15.75" thickBot="1" x14ac:dyDescent="0.3">
      <c r="A4403" t="s">
        <v>4587</v>
      </c>
      <c r="B4403" t="s">
        <v>4587</v>
      </c>
      <c r="C4403" s="424" t="str">
        <f t="shared" si="178"/>
        <v>Vizur Transportes, Unipessoal LDA.</v>
      </c>
      <c r="D4403" t="s">
        <v>629</v>
      </c>
      <c r="F4403" t="s">
        <v>620</v>
      </c>
      <c r="G4403" s="89">
        <v>2021</v>
      </c>
      <c r="H4403" s="313" t="s">
        <v>733</v>
      </c>
      <c r="I4403" s="311" t="str">
        <f t="shared" si="179"/>
        <v>Pesado de Passageiros M3:  : Gasóleo : E6</v>
      </c>
      <c r="J4403">
        <v>84</v>
      </c>
      <c r="K4403" s="422">
        <v>2023</v>
      </c>
      <c r="L4403">
        <v>19903</v>
      </c>
      <c r="M4403" t="s">
        <v>630</v>
      </c>
      <c r="N4403" s="131">
        <v>57844</v>
      </c>
      <c r="O4403" s="436">
        <f t="shared" si="180"/>
        <v>4858896</v>
      </c>
      <c r="P4403" s="89">
        <v>44228</v>
      </c>
      <c r="Q4403" s="422" t="s">
        <v>47</v>
      </c>
      <c r="R4403" s="422" t="s">
        <v>1869</v>
      </c>
      <c r="S4403" s="422" t="s">
        <v>1861</v>
      </c>
      <c r="T4403" t="s">
        <v>5145</v>
      </c>
      <c r="U4403" s="422" t="s">
        <v>1953</v>
      </c>
      <c r="V4403" s="422" t="s">
        <v>2813</v>
      </c>
    </row>
    <row r="4404" spans="1:22" ht="15.75" thickBot="1" x14ac:dyDescent="0.3">
      <c r="A4404" t="s">
        <v>4587</v>
      </c>
      <c r="B4404" t="s">
        <v>4587</v>
      </c>
      <c r="C4404" s="424" t="str">
        <f t="shared" si="178"/>
        <v>Vizur Transportes, Unipessoal LDA.</v>
      </c>
      <c r="D4404" t="s">
        <v>629</v>
      </c>
      <c r="F4404" t="s">
        <v>620</v>
      </c>
      <c r="G4404" s="89">
        <v>2021</v>
      </c>
      <c r="H4404" s="313" t="s">
        <v>733</v>
      </c>
      <c r="I4404" s="311" t="str">
        <f t="shared" si="179"/>
        <v>Pesado de Passageiros M3:  : Gasóleo : E6</v>
      </c>
      <c r="J4404">
        <v>84</v>
      </c>
      <c r="K4404" s="422">
        <v>2023</v>
      </c>
      <c r="L4404">
        <v>17428</v>
      </c>
      <c r="M4404" t="s">
        <v>630</v>
      </c>
      <c r="N4404" s="131">
        <v>46897</v>
      </c>
      <c r="O4404" s="436">
        <f t="shared" si="180"/>
        <v>3939348</v>
      </c>
      <c r="P4404" s="89">
        <v>44228</v>
      </c>
      <c r="Q4404" s="422" t="s">
        <v>47</v>
      </c>
      <c r="R4404" s="422" t="s">
        <v>1869</v>
      </c>
      <c r="S4404" s="422" t="s">
        <v>1861</v>
      </c>
      <c r="T4404" t="s">
        <v>5146</v>
      </c>
      <c r="U4404" s="422" t="s">
        <v>1953</v>
      </c>
      <c r="V4404" s="422" t="s">
        <v>2813</v>
      </c>
    </row>
    <row r="4405" spans="1:22" ht="15.75" thickBot="1" x14ac:dyDescent="0.3">
      <c r="A4405" t="s">
        <v>4587</v>
      </c>
      <c r="B4405" t="s">
        <v>4587</v>
      </c>
      <c r="C4405" s="424" t="str">
        <f t="shared" si="178"/>
        <v>Vizur Transportes, Unipessoal LDA.</v>
      </c>
      <c r="D4405" t="s">
        <v>629</v>
      </c>
      <c r="F4405" t="s">
        <v>620</v>
      </c>
      <c r="G4405" s="89">
        <v>2021</v>
      </c>
      <c r="H4405" s="313" t="s">
        <v>733</v>
      </c>
      <c r="I4405" s="311" t="str">
        <f t="shared" si="179"/>
        <v>Pesado de Passageiros M3:  : Gasóleo : E6</v>
      </c>
      <c r="J4405">
        <v>84</v>
      </c>
      <c r="K4405" s="422">
        <v>2023</v>
      </c>
      <c r="L4405">
        <v>19796</v>
      </c>
      <c r="M4405" t="s">
        <v>630</v>
      </c>
      <c r="N4405" s="131">
        <v>64749</v>
      </c>
      <c r="O4405" s="436">
        <f t="shared" si="180"/>
        <v>5438916</v>
      </c>
      <c r="P4405" s="89">
        <v>44228</v>
      </c>
      <c r="Q4405" s="422" t="s">
        <v>47</v>
      </c>
      <c r="R4405" s="422" t="s">
        <v>1869</v>
      </c>
      <c r="S4405" s="422" t="s">
        <v>1861</v>
      </c>
      <c r="T4405" t="s">
        <v>5147</v>
      </c>
      <c r="U4405" s="422" t="s">
        <v>1953</v>
      </c>
      <c r="V4405" s="422" t="s">
        <v>2813</v>
      </c>
    </row>
    <row r="4406" spans="1:22" ht="15.75" thickBot="1" x14ac:dyDescent="0.3">
      <c r="A4406" t="s">
        <v>4587</v>
      </c>
      <c r="B4406" t="s">
        <v>4587</v>
      </c>
      <c r="C4406" s="424" t="str">
        <f t="shared" si="178"/>
        <v>Vizur Transportes, Unipessoal LDA.</v>
      </c>
      <c r="D4406" t="s">
        <v>629</v>
      </c>
      <c r="F4406" t="s">
        <v>620</v>
      </c>
      <c r="G4406" s="89">
        <v>2021</v>
      </c>
      <c r="H4406" s="313" t="s">
        <v>733</v>
      </c>
      <c r="I4406" s="311" t="str">
        <f t="shared" si="179"/>
        <v>Pesado de Passageiros M3:  : Gasóleo : E6</v>
      </c>
      <c r="J4406">
        <v>84</v>
      </c>
      <c r="K4406" s="422">
        <v>2023</v>
      </c>
      <c r="L4406">
        <v>17649</v>
      </c>
      <c r="M4406" t="s">
        <v>630</v>
      </c>
      <c r="N4406" s="131">
        <v>55560</v>
      </c>
      <c r="O4406" s="436">
        <f t="shared" si="180"/>
        <v>4667040</v>
      </c>
      <c r="P4406" s="89">
        <v>44228</v>
      </c>
      <c r="Q4406" s="422" t="s">
        <v>47</v>
      </c>
      <c r="R4406" s="422" t="s">
        <v>1869</v>
      </c>
      <c r="S4406" s="422" t="s">
        <v>1861</v>
      </c>
      <c r="T4406" t="s">
        <v>5148</v>
      </c>
      <c r="U4406" s="422" t="s">
        <v>1953</v>
      </c>
      <c r="V4406" s="422" t="s">
        <v>2813</v>
      </c>
    </row>
    <row r="4407" spans="1:22" ht="15.75" thickBot="1" x14ac:dyDescent="0.3">
      <c r="A4407" t="s">
        <v>4587</v>
      </c>
      <c r="B4407" t="s">
        <v>4587</v>
      </c>
      <c r="C4407" s="424" t="str">
        <f t="shared" si="178"/>
        <v>Vizur Transportes, Unipessoal LDA.</v>
      </c>
      <c r="D4407" t="s">
        <v>629</v>
      </c>
      <c r="F4407" t="s">
        <v>620</v>
      </c>
      <c r="G4407" s="89">
        <v>2021</v>
      </c>
      <c r="H4407" s="313" t="s">
        <v>733</v>
      </c>
      <c r="I4407" s="311" t="str">
        <f t="shared" si="179"/>
        <v>Pesado de Passageiros M3:  : Gasóleo : E6</v>
      </c>
      <c r="J4407">
        <v>84</v>
      </c>
      <c r="K4407" s="422">
        <v>2023</v>
      </c>
      <c r="L4407">
        <v>17621</v>
      </c>
      <c r="M4407" t="s">
        <v>630</v>
      </c>
      <c r="N4407" s="131">
        <v>49794</v>
      </c>
      <c r="O4407" s="436">
        <f t="shared" si="180"/>
        <v>4182696</v>
      </c>
      <c r="P4407" s="89">
        <v>44228</v>
      </c>
      <c r="Q4407" s="422" t="s">
        <v>47</v>
      </c>
      <c r="R4407" s="422" t="s">
        <v>1869</v>
      </c>
      <c r="S4407" s="422" t="s">
        <v>1861</v>
      </c>
      <c r="T4407" t="s">
        <v>5149</v>
      </c>
      <c r="U4407" s="422" t="s">
        <v>1953</v>
      </c>
      <c r="V4407" s="422" t="s">
        <v>2813</v>
      </c>
    </row>
    <row r="4408" spans="1:22" ht="15.75" thickBot="1" x14ac:dyDescent="0.3">
      <c r="A4408" t="s">
        <v>4587</v>
      </c>
      <c r="B4408" t="s">
        <v>4587</v>
      </c>
      <c r="C4408" s="424" t="str">
        <f t="shared" si="178"/>
        <v>Vizur Transportes, Unipessoal LDA.</v>
      </c>
      <c r="D4408" t="s">
        <v>629</v>
      </c>
      <c r="F4408" t="s">
        <v>620</v>
      </c>
      <c r="G4408" s="89">
        <v>2021</v>
      </c>
      <c r="H4408" s="313" t="s">
        <v>733</v>
      </c>
      <c r="I4408" s="311" t="str">
        <f t="shared" si="179"/>
        <v>Pesado de Passageiros M3:  : Gasóleo : E6</v>
      </c>
      <c r="J4408">
        <v>79</v>
      </c>
      <c r="K4408" s="422">
        <v>2023</v>
      </c>
      <c r="L4408">
        <v>19441</v>
      </c>
      <c r="M4408" t="s">
        <v>630</v>
      </c>
      <c r="N4408" s="131">
        <v>57861</v>
      </c>
      <c r="O4408" s="436">
        <f t="shared" si="180"/>
        <v>4571019</v>
      </c>
      <c r="P4408" s="89">
        <v>44200</v>
      </c>
      <c r="Q4408" s="422" t="s">
        <v>47</v>
      </c>
      <c r="R4408" s="422" t="s">
        <v>1869</v>
      </c>
      <c r="S4408" s="422" t="s">
        <v>1861</v>
      </c>
      <c r="T4408" t="s">
        <v>5150</v>
      </c>
      <c r="U4408" s="422" t="s">
        <v>1953</v>
      </c>
      <c r="V4408" s="422" t="s">
        <v>2813</v>
      </c>
    </row>
    <row r="4409" spans="1:22" ht="15.75" thickBot="1" x14ac:dyDescent="0.3">
      <c r="A4409" t="s">
        <v>4587</v>
      </c>
      <c r="B4409" t="s">
        <v>4587</v>
      </c>
      <c r="C4409" s="424" t="str">
        <f t="shared" si="178"/>
        <v>Vizur Transportes, Unipessoal LDA.</v>
      </c>
      <c r="D4409" t="s">
        <v>629</v>
      </c>
      <c r="F4409" t="s">
        <v>620</v>
      </c>
      <c r="G4409" s="89">
        <v>2021</v>
      </c>
      <c r="H4409" s="313" t="s">
        <v>733</v>
      </c>
      <c r="I4409" s="311" t="str">
        <f t="shared" si="179"/>
        <v>Pesado de Passageiros M3:  : Gasóleo : E6</v>
      </c>
      <c r="J4409">
        <v>84</v>
      </c>
      <c r="K4409" s="422">
        <v>2023</v>
      </c>
      <c r="L4409">
        <v>23300</v>
      </c>
      <c r="M4409" t="s">
        <v>630</v>
      </c>
      <c r="N4409" s="131">
        <v>71788</v>
      </c>
      <c r="O4409" s="436">
        <f t="shared" si="180"/>
        <v>6030192</v>
      </c>
      <c r="P4409" s="89">
        <v>44228</v>
      </c>
      <c r="Q4409" s="422" t="s">
        <v>47</v>
      </c>
      <c r="R4409" s="422" t="s">
        <v>1869</v>
      </c>
      <c r="S4409" s="422" t="s">
        <v>1861</v>
      </c>
      <c r="T4409" t="s">
        <v>5151</v>
      </c>
      <c r="U4409" s="422" t="s">
        <v>1953</v>
      </c>
      <c r="V4409" s="422" t="s">
        <v>2813</v>
      </c>
    </row>
    <row r="4410" spans="1:22" ht="15.75" thickBot="1" x14ac:dyDescent="0.3">
      <c r="A4410" t="s">
        <v>4587</v>
      </c>
      <c r="B4410" t="s">
        <v>4587</v>
      </c>
      <c r="C4410" s="424" t="str">
        <f t="shared" si="178"/>
        <v>Vizur Transportes, Unipessoal LDA.</v>
      </c>
      <c r="D4410" t="s">
        <v>629</v>
      </c>
      <c r="F4410" t="s">
        <v>620</v>
      </c>
      <c r="G4410" s="89">
        <v>2007</v>
      </c>
      <c r="H4410" s="313" t="s">
        <v>731</v>
      </c>
      <c r="I4410" s="311" t="str">
        <f t="shared" si="179"/>
        <v>Pesado de Passageiros M3:  : Gasóleo : E4</v>
      </c>
      <c r="J4410">
        <v>73</v>
      </c>
      <c r="K4410" s="422">
        <v>2023</v>
      </c>
      <c r="L4410">
        <v>22858</v>
      </c>
      <c r="M4410" t="s">
        <v>630</v>
      </c>
      <c r="N4410" s="131">
        <v>49240</v>
      </c>
      <c r="O4410" s="436">
        <f t="shared" si="180"/>
        <v>3594520</v>
      </c>
      <c r="P4410" s="89">
        <v>39316</v>
      </c>
      <c r="Q4410" s="422" t="s">
        <v>47</v>
      </c>
      <c r="R4410" s="422" t="s">
        <v>1869</v>
      </c>
      <c r="S4410" s="422" t="s">
        <v>1861</v>
      </c>
      <c r="T4410" t="s">
        <v>5152</v>
      </c>
      <c r="U4410" s="422" t="s">
        <v>1953</v>
      </c>
      <c r="V4410" s="422" t="s">
        <v>2813</v>
      </c>
    </row>
    <row r="4411" spans="1:22" ht="15.75" thickBot="1" x14ac:dyDescent="0.3">
      <c r="A4411" t="s">
        <v>4587</v>
      </c>
      <c r="B4411" t="s">
        <v>4587</v>
      </c>
      <c r="C4411" s="424" t="str">
        <f t="shared" si="178"/>
        <v>Vizur Transportes, Unipessoal LDA.</v>
      </c>
      <c r="D4411" t="s">
        <v>629</v>
      </c>
      <c r="F4411" t="s">
        <v>620</v>
      </c>
      <c r="G4411" s="89">
        <v>2004</v>
      </c>
      <c r="H4411" s="313" t="s">
        <v>731</v>
      </c>
      <c r="I4411" s="311" t="str">
        <f t="shared" si="179"/>
        <v>Pesado de Passageiros M3:  : Gasóleo : E4</v>
      </c>
      <c r="J4411">
        <v>84</v>
      </c>
      <c r="K4411" s="422">
        <v>2023</v>
      </c>
      <c r="L4411">
        <v>16636</v>
      </c>
      <c r="M4411" t="s">
        <v>630</v>
      </c>
      <c r="N4411" s="131">
        <v>44480</v>
      </c>
      <c r="O4411" s="436">
        <f t="shared" si="180"/>
        <v>3736320</v>
      </c>
      <c r="P4411" s="89">
        <v>37988</v>
      </c>
      <c r="Q4411" s="422" t="s">
        <v>47</v>
      </c>
      <c r="R4411" s="422" t="s">
        <v>1869</v>
      </c>
      <c r="S4411" s="422" t="s">
        <v>1861</v>
      </c>
      <c r="T4411" t="s">
        <v>5153</v>
      </c>
      <c r="U4411" s="422" t="s">
        <v>1953</v>
      </c>
      <c r="V4411" s="422" t="s">
        <v>2813</v>
      </c>
    </row>
    <row r="4412" spans="1:22" ht="15.75" thickBot="1" x14ac:dyDescent="0.3">
      <c r="A4412" t="s">
        <v>4587</v>
      </c>
      <c r="B4412" t="s">
        <v>4587</v>
      </c>
      <c r="C4412" s="424" t="str">
        <f t="shared" si="178"/>
        <v>Vizur Transportes, Unipessoal LDA.</v>
      </c>
      <c r="D4412" t="s">
        <v>629</v>
      </c>
      <c r="F4412" t="s">
        <v>620</v>
      </c>
      <c r="G4412" s="89">
        <v>2007</v>
      </c>
      <c r="H4412" s="313" t="s">
        <v>731</v>
      </c>
      <c r="I4412" s="311" t="str">
        <f t="shared" si="179"/>
        <v>Pesado de Passageiros M3:  : Gasóleo : E4</v>
      </c>
      <c r="J4412">
        <v>13</v>
      </c>
      <c r="K4412" s="422">
        <v>2023</v>
      </c>
      <c r="L4412">
        <v>15800</v>
      </c>
      <c r="M4412" t="s">
        <v>630</v>
      </c>
      <c r="N4412" s="131">
        <v>39916</v>
      </c>
      <c r="O4412" s="436">
        <f t="shared" si="180"/>
        <v>518908</v>
      </c>
      <c r="P4412" s="89">
        <v>39084</v>
      </c>
      <c r="Q4412" s="422" t="s">
        <v>47</v>
      </c>
      <c r="R4412" s="422" t="s">
        <v>1869</v>
      </c>
      <c r="S4412" s="422" t="s">
        <v>1861</v>
      </c>
      <c r="T4412" t="s">
        <v>5154</v>
      </c>
      <c r="U4412" s="422" t="s">
        <v>1953</v>
      </c>
      <c r="V4412" s="422" t="s">
        <v>2813</v>
      </c>
    </row>
    <row r="4413" spans="1:22" ht="15.75" thickBot="1" x14ac:dyDescent="0.3">
      <c r="A4413" t="s">
        <v>4587</v>
      </c>
      <c r="B4413" t="s">
        <v>4587</v>
      </c>
      <c r="C4413" s="424" t="str">
        <f t="shared" si="178"/>
        <v>Vizur Transportes, Unipessoal LDA.</v>
      </c>
      <c r="D4413" t="s">
        <v>629</v>
      </c>
      <c r="F4413" t="s">
        <v>620</v>
      </c>
      <c r="G4413" s="89">
        <v>2006</v>
      </c>
      <c r="H4413" s="313" t="s">
        <v>731</v>
      </c>
      <c r="I4413" s="311" t="str">
        <f t="shared" si="179"/>
        <v>Pesado de Passageiros M3:  : Gasóleo : E4</v>
      </c>
      <c r="J4413">
        <v>56</v>
      </c>
      <c r="K4413" s="422">
        <v>2023</v>
      </c>
      <c r="L4413">
        <v>23071</v>
      </c>
      <c r="M4413" t="s">
        <v>630</v>
      </c>
      <c r="N4413" s="131">
        <v>60539</v>
      </c>
      <c r="O4413" s="436">
        <f t="shared" si="180"/>
        <v>3390184</v>
      </c>
      <c r="P4413" s="89">
        <v>38721</v>
      </c>
      <c r="Q4413" s="422" t="s">
        <v>47</v>
      </c>
      <c r="R4413" s="422" t="s">
        <v>1869</v>
      </c>
      <c r="S4413" s="422" t="s">
        <v>1861</v>
      </c>
      <c r="T4413" t="s">
        <v>5155</v>
      </c>
      <c r="U4413" s="422" t="s">
        <v>1953</v>
      </c>
      <c r="V4413" s="422" t="s">
        <v>2813</v>
      </c>
    </row>
    <row r="4414" spans="1:22" ht="15.75" thickBot="1" x14ac:dyDescent="0.3">
      <c r="A4414" t="s">
        <v>4587</v>
      </c>
      <c r="B4414" t="s">
        <v>4587</v>
      </c>
      <c r="C4414" s="424" t="str">
        <f t="shared" si="178"/>
        <v>Vizur Transportes, Unipessoal LDA.</v>
      </c>
      <c r="D4414" t="s">
        <v>629</v>
      </c>
      <c r="F4414" t="s">
        <v>620</v>
      </c>
      <c r="G4414" s="89">
        <v>2007</v>
      </c>
      <c r="H4414" s="313" t="s">
        <v>731</v>
      </c>
      <c r="I4414" s="311" t="str">
        <f t="shared" si="179"/>
        <v>Pesado de Passageiros M3:  : Gasóleo : E4</v>
      </c>
      <c r="J4414">
        <v>76</v>
      </c>
      <c r="K4414" s="422">
        <v>2023</v>
      </c>
      <c r="L4414">
        <v>16572</v>
      </c>
      <c r="M4414" t="s">
        <v>630</v>
      </c>
      <c r="N4414" s="131">
        <v>43640</v>
      </c>
      <c r="O4414" s="436">
        <f t="shared" si="180"/>
        <v>3316640</v>
      </c>
      <c r="P4414" s="89">
        <v>39387</v>
      </c>
      <c r="Q4414" s="422" t="s">
        <v>47</v>
      </c>
      <c r="R4414" s="422" t="s">
        <v>1869</v>
      </c>
      <c r="S4414" s="422" t="s">
        <v>1861</v>
      </c>
      <c r="T4414" t="s">
        <v>5156</v>
      </c>
      <c r="U4414" s="422" t="s">
        <v>1953</v>
      </c>
      <c r="V4414" s="422" t="s">
        <v>2813</v>
      </c>
    </row>
    <row r="4415" spans="1:22" ht="15.75" thickBot="1" x14ac:dyDescent="0.3">
      <c r="A4415" t="s">
        <v>4587</v>
      </c>
      <c r="B4415" t="s">
        <v>4587</v>
      </c>
      <c r="C4415" s="424" t="str">
        <f t="shared" si="178"/>
        <v>Vizur Transportes, Unipessoal LDA.</v>
      </c>
      <c r="D4415" t="s">
        <v>629</v>
      </c>
      <c r="F4415" t="s">
        <v>620</v>
      </c>
      <c r="G4415" s="89">
        <v>2008</v>
      </c>
      <c r="H4415" s="313" t="s">
        <v>731</v>
      </c>
      <c r="I4415" s="311" t="str">
        <f t="shared" si="179"/>
        <v>Pesado de Passageiros M3:  : Gasóleo : E4</v>
      </c>
      <c r="J4415">
        <v>79</v>
      </c>
      <c r="K4415" s="422">
        <v>2023</v>
      </c>
      <c r="L4415">
        <v>15332</v>
      </c>
      <c r="M4415" t="s">
        <v>630</v>
      </c>
      <c r="N4415" s="131">
        <v>43916</v>
      </c>
      <c r="O4415" s="436">
        <f t="shared" si="180"/>
        <v>3469364</v>
      </c>
      <c r="P4415" s="89">
        <v>39765</v>
      </c>
      <c r="Q4415" s="422" t="s">
        <v>47</v>
      </c>
      <c r="R4415" s="422" t="s">
        <v>1869</v>
      </c>
      <c r="S4415" s="422" t="s">
        <v>1861</v>
      </c>
      <c r="T4415" t="s">
        <v>5157</v>
      </c>
      <c r="U4415" s="422" t="s">
        <v>1953</v>
      </c>
      <c r="V4415" s="422" t="s">
        <v>2813</v>
      </c>
    </row>
    <row r="4416" spans="1:22" ht="15.75" thickBot="1" x14ac:dyDescent="0.3">
      <c r="A4416" t="s">
        <v>4587</v>
      </c>
      <c r="B4416" t="s">
        <v>4587</v>
      </c>
      <c r="C4416" s="424" t="str">
        <f t="shared" si="178"/>
        <v>Vizur Transportes, Unipessoal LDA.</v>
      </c>
      <c r="D4416" t="s">
        <v>629</v>
      </c>
      <c r="F4416" t="s">
        <v>620</v>
      </c>
      <c r="G4416" s="89">
        <v>2010</v>
      </c>
      <c r="H4416" s="313" t="s">
        <v>731</v>
      </c>
      <c r="I4416" s="311" t="str">
        <f t="shared" si="179"/>
        <v>Pesado de Passageiros M3:  : Gasóleo : E4</v>
      </c>
      <c r="J4416">
        <v>72</v>
      </c>
      <c r="K4416" s="422">
        <v>2023</v>
      </c>
      <c r="L4416">
        <v>8321</v>
      </c>
      <c r="M4416" t="s">
        <v>630</v>
      </c>
      <c r="N4416" s="131">
        <v>21269</v>
      </c>
      <c r="O4416" s="436">
        <f t="shared" si="180"/>
        <v>1531368</v>
      </c>
      <c r="P4416" s="89">
        <v>40388</v>
      </c>
      <c r="Q4416" s="422" t="s">
        <v>47</v>
      </c>
      <c r="R4416" s="422" t="s">
        <v>1869</v>
      </c>
      <c r="S4416" s="422" t="s">
        <v>1861</v>
      </c>
      <c r="T4416" t="s">
        <v>5158</v>
      </c>
      <c r="U4416" s="422" t="s">
        <v>1953</v>
      </c>
      <c r="V4416" s="422" t="s">
        <v>2813</v>
      </c>
    </row>
    <row r="4417" spans="1:22" ht="15.75" thickBot="1" x14ac:dyDescent="0.3">
      <c r="A4417" t="s">
        <v>4587</v>
      </c>
      <c r="B4417" t="s">
        <v>4587</v>
      </c>
      <c r="C4417" s="424" t="str">
        <f t="shared" si="178"/>
        <v>Vizur Transportes, Unipessoal LDA.</v>
      </c>
      <c r="D4417" t="s">
        <v>629</v>
      </c>
      <c r="F4417" t="s">
        <v>620</v>
      </c>
      <c r="G4417" s="89">
        <v>2007</v>
      </c>
      <c r="H4417" s="313" t="s">
        <v>731</v>
      </c>
      <c r="I4417" s="311" t="str">
        <f t="shared" si="179"/>
        <v>Pesado de Passageiros M3:  : Gasóleo : E4</v>
      </c>
      <c r="J4417">
        <v>76</v>
      </c>
      <c r="K4417" s="422">
        <v>2023</v>
      </c>
      <c r="L4417">
        <v>15859</v>
      </c>
      <c r="M4417" t="s">
        <v>630</v>
      </c>
      <c r="N4417" s="131">
        <v>49416</v>
      </c>
      <c r="O4417" s="436">
        <f t="shared" si="180"/>
        <v>3755616</v>
      </c>
      <c r="P4417" s="89">
        <v>39387</v>
      </c>
      <c r="Q4417" s="422" t="s">
        <v>47</v>
      </c>
      <c r="R4417" s="422" t="s">
        <v>1869</v>
      </c>
      <c r="S4417" s="422" t="s">
        <v>1861</v>
      </c>
      <c r="T4417" t="s">
        <v>5159</v>
      </c>
      <c r="U4417" s="422" t="s">
        <v>1953</v>
      </c>
      <c r="V4417" s="422" t="s">
        <v>2813</v>
      </c>
    </row>
    <row r="4418" spans="1:22" ht="15.75" thickBot="1" x14ac:dyDescent="0.3">
      <c r="A4418" t="s">
        <v>4587</v>
      </c>
      <c r="B4418" t="s">
        <v>4587</v>
      </c>
      <c r="C4418" s="424" t="str">
        <f t="shared" si="178"/>
        <v>Vizur Transportes, Unipessoal LDA.</v>
      </c>
      <c r="D4418" t="s">
        <v>629</v>
      </c>
      <c r="F4418" t="s">
        <v>620</v>
      </c>
      <c r="G4418" s="89">
        <v>2008</v>
      </c>
      <c r="H4418" s="313" t="s">
        <v>731</v>
      </c>
      <c r="I4418" s="311" t="str">
        <f t="shared" si="179"/>
        <v>Pesado de Passageiros M3:  : Gasóleo : E4</v>
      </c>
      <c r="J4418">
        <v>80</v>
      </c>
      <c r="K4418" s="422">
        <v>2023</v>
      </c>
      <c r="L4418">
        <v>5811</v>
      </c>
      <c r="M4418" t="s">
        <v>630</v>
      </c>
      <c r="N4418" s="131">
        <v>15180</v>
      </c>
      <c r="O4418" s="436">
        <f t="shared" si="180"/>
        <v>1214400</v>
      </c>
      <c r="P4418" s="89">
        <v>39681</v>
      </c>
      <c r="Q4418" s="422" t="s">
        <v>47</v>
      </c>
      <c r="R4418" s="422" t="s">
        <v>1869</v>
      </c>
      <c r="S4418" s="422" t="s">
        <v>1861</v>
      </c>
      <c r="T4418" t="s">
        <v>5160</v>
      </c>
      <c r="U4418" s="422" t="s">
        <v>1953</v>
      </c>
      <c r="V4418" s="422" t="s">
        <v>2813</v>
      </c>
    </row>
    <row r="4419" spans="1:22" ht="15.75" thickBot="1" x14ac:dyDescent="0.3">
      <c r="A4419" t="s">
        <v>4587</v>
      </c>
      <c r="B4419" t="s">
        <v>4587</v>
      </c>
      <c r="C4419" s="424" t="str">
        <f t="shared" si="178"/>
        <v>Vizur Transportes, Unipessoal LDA.</v>
      </c>
      <c r="D4419" t="s">
        <v>629</v>
      </c>
      <c r="F4419" t="s">
        <v>620</v>
      </c>
      <c r="G4419" s="89">
        <v>2008</v>
      </c>
      <c r="H4419" s="313" t="s">
        <v>731</v>
      </c>
      <c r="I4419" s="311" t="str">
        <f t="shared" si="179"/>
        <v>Pesado de Passageiros M3:  : Gasóleo : E4</v>
      </c>
      <c r="J4419">
        <v>80</v>
      </c>
      <c r="K4419" s="422">
        <v>2023</v>
      </c>
      <c r="L4419">
        <v>13504</v>
      </c>
      <c r="M4419" t="s">
        <v>630</v>
      </c>
      <c r="N4419" s="131">
        <v>33926</v>
      </c>
      <c r="O4419" s="436">
        <f t="shared" si="180"/>
        <v>2714080</v>
      </c>
      <c r="P4419" s="89">
        <v>39633</v>
      </c>
      <c r="Q4419" s="422" t="s">
        <v>47</v>
      </c>
      <c r="R4419" s="422" t="s">
        <v>1869</v>
      </c>
      <c r="S4419" s="422" t="s">
        <v>1861</v>
      </c>
      <c r="T4419" t="s">
        <v>5161</v>
      </c>
      <c r="U4419" s="422" t="s">
        <v>1953</v>
      </c>
      <c r="V4419" s="422" t="s">
        <v>2813</v>
      </c>
    </row>
    <row r="4420" spans="1:22" ht="15.75" thickBot="1" x14ac:dyDescent="0.3">
      <c r="A4420" t="s">
        <v>4587</v>
      </c>
      <c r="B4420" t="s">
        <v>4587</v>
      </c>
      <c r="C4420" s="424" t="str">
        <f t="shared" si="178"/>
        <v>Vizur Transportes, Unipessoal LDA.</v>
      </c>
      <c r="D4420" t="s">
        <v>629</v>
      </c>
      <c r="F4420" t="s">
        <v>620</v>
      </c>
      <c r="G4420" s="89">
        <v>2008</v>
      </c>
      <c r="H4420" s="313" t="s">
        <v>731</v>
      </c>
      <c r="I4420" s="311" t="str">
        <f t="shared" si="179"/>
        <v>Pesado de Passageiros M3:  : Gasóleo : E4</v>
      </c>
      <c r="J4420">
        <v>80</v>
      </c>
      <c r="K4420" s="422">
        <v>2023</v>
      </c>
      <c r="L4420">
        <v>13968</v>
      </c>
      <c r="M4420" t="s">
        <v>630</v>
      </c>
      <c r="N4420" s="131">
        <v>32698</v>
      </c>
      <c r="O4420" s="436">
        <f t="shared" si="180"/>
        <v>2615840</v>
      </c>
      <c r="P4420" s="89">
        <v>39681</v>
      </c>
      <c r="Q4420" s="422" t="s">
        <v>47</v>
      </c>
      <c r="R4420" s="422" t="s">
        <v>1869</v>
      </c>
      <c r="S4420" s="422" t="s">
        <v>1861</v>
      </c>
      <c r="T4420" t="s">
        <v>5162</v>
      </c>
      <c r="U4420" s="422" t="s">
        <v>1953</v>
      </c>
      <c r="V4420" s="422" t="s">
        <v>2813</v>
      </c>
    </row>
    <row r="4421" spans="1:22" ht="15.75" thickBot="1" x14ac:dyDescent="0.3">
      <c r="A4421" t="s">
        <v>4587</v>
      </c>
      <c r="B4421" t="s">
        <v>4587</v>
      </c>
      <c r="C4421" s="424" t="str">
        <f t="shared" si="178"/>
        <v>Vizur Transportes, Unipessoal LDA.</v>
      </c>
      <c r="D4421" t="s">
        <v>629</v>
      </c>
      <c r="F4421" t="s">
        <v>620</v>
      </c>
      <c r="G4421" s="89">
        <v>2008</v>
      </c>
      <c r="H4421" s="313" t="s">
        <v>731</v>
      </c>
      <c r="I4421" s="311" t="str">
        <f t="shared" si="179"/>
        <v>Pesado de Passageiros M3:  : Gasóleo : E4</v>
      </c>
      <c r="J4421">
        <v>81</v>
      </c>
      <c r="K4421" s="422">
        <v>2023</v>
      </c>
      <c r="L4421">
        <v>17212</v>
      </c>
      <c r="M4421" t="s">
        <v>630</v>
      </c>
      <c r="N4421" s="131">
        <v>45039</v>
      </c>
      <c r="O4421" s="436">
        <f t="shared" si="180"/>
        <v>3648159</v>
      </c>
      <c r="P4421" s="89">
        <v>39454</v>
      </c>
      <c r="Q4421" s="422" t="s">
        <v>47</v>
      </c>
      <c r="R4421" s="422" t="s">
        <v>1869</v>
      </c>
      <c r="S4421" s="422" t="s">
        <v>1861</v>
      </c>
      <c r="T4421" t="s">
        <v>5163</v>
      </c>
      <c r="U4421" s="422" t="s">
        <v>1953</v>
      </c>
      <c r="V4421" s="422" t="s">
        <v>2813</v>
      </c>
    </row>
    <row r="4422" spans="1:22" ht="15.75" thickBot="1" x14ac:dyDescent="0.3">
      <c r="A4422" t="s">
        <v>4587</v>
      </c>
      <c r="B4422" t="s">
        <v>4587</v>
      </c>
      <c r="C4422" s="424" t="str">
        <f t="shared" si="178"/>
        <v>Vizur Transportes, Unipessoal LDA.</v>
      </c>
      <c r="D4422" t="s">
        <v>629</v>
      </c>
      <c r="F4422" t="s">
        <v>620</v>
      </c>
      <c r="G4422" s="89">
        <v>2010</v>
      </c>
      <c r="H4422" s="313" t="s">
        <v>731</v>
      </c>
      <c r="I4422" s="311" t="str">
        <f t="shared" si="179"/>
        <v>Pesado de Passageiros M3:  : Gasóleo : E4</v>
      </c>
      <c r="J4422">
        <v>86</v>
      </c>
      <c r="K4422" s="422">
        <v>2023</v>
      </c>
      <c r="L4422">
        <v>18094</v>
      </c>
      <c r="M4422" t="s">
        <v>630</v>
      </c>
      <c r="N4422" s="131">
        <v>60474</v>
      </c>
      <c r="O4422" s="436">
        <f t="shared" si="180"/>
        <v>5200764</v>
      </c>
      <c r="P4422" s="89">
        <v>40424</v>
      </c>
      <c r="Q4422" s="422" t="s">
        <v>47</v>
      </c>
      <c r="R4422" s="422" t="s">
        <v>1869</v>
      </c>
      <c r="S4422" s="422" t="s">
        <v>1861</v>
      </c>
      <c r="T4422" t="s">
        <v>5164</v>
      </c>
      <c r="U4422" s="422" t="s">
        <v>1953</v>
      </c>
      <c r="V4422" s="422" t="s">
        <v>2813</v>
      </c>
    </row>
    <row r="4423" spans="1:22" ht="15.75" thickBot="1" x14ac:dyDescent="0.3">
      <c r="A4423" t="s">
        <v>4587</v>
      </c>
      <c r="B4423" t="s">
        <v>4587</v>
      </c>
      <c r="C4423" s="424" t="str">
        <f t="shared" si="178"/>
        <v>Vizur Transportes, Unipessoal LDA.</v>
      </c>
      <c r="D4423" t="s">
        <v>629</v>
      </c>
      <c r="F4423" t="s">
        <v>620</v>
      </c>
      <c r="G4423" s="89">
        <v>2008</v>
      </c>
      <c r="H4423" s="313" t="s">
        <v>731</v>
      </c>
      <c r="I4423" s="311" t="str">
        <f t="shared" si="179"/>
        <v>Pesado de Passageiros M3:  : Gasóleo : E4</v>
      </c>
      <c r="J4423">
        <v>77</v>
      </c>
      <c r="K4423" s="422">
        <v>2023</v>
      </c>
      <c r="L4423">
        <v>15737</v>
      </c>
      <c r="M4423" t="s">
        <v>630</v>
      </c>
      <c r="N4423" s="131">
        <v>39162</v>
      </c>
      <c r="O4423" s="436">
        <f t="shared" si="180"/>
        <v>3015474</v>
      </c>
      <c r="P4423" s="89">
        <v>39597</v>
      </c>
      <c r="Q4423" s="422" t="s">
        <v>47</v>
      </c>
      <c r="R4423" s="422" t="s">
        <v>1869</v>
      </c>
      <c r="S4423" s="422" t="s">
        <v>1861</v>
      </c>
      <c r="T4423" t="s">
        <v>5165</v>
      </c>
      <c r="U4423" s="422" t="s">
        <v>1953</v>
      </c>
      <c r="V4423" s="422" t="s">
        <v>2813</v>
      </c>
    </row>
    <row r="4424" spans="1:22" ht="15.75" thickBot="1" x14ac:dyDescent="0.3">
      <c r="A4424" t="s">
        <v>4587</v>
      </c>
      <c r="B4424" t="s">
        <v>4587</v>
      </c>
      <c r="C4424" s="424" t="str">
        <f t="shared" si="178"/>
        <v>Vizur Transportes, Unipessoal LDA.</v>
      </c>
      <c r="D4424" t="s">
        <v>629</v>
      </c>
      <c r="F4424" t="s">
        <v>620</v>
      </c>
      <c r="G4424" s="89">
        <v>2009</v>
      </c>
      <c r="H4424" s="313" t="s">
        <v>731</v>
      </c>
      <c r="I4424" s="311" t="str">
        <f t="shared" si="179"/>
        <v>Pesado de Passageiros M3:  : Gasóleo : E4</v>
      </c>
      <c r="J4424">
        <v>85</v>
      </c>
      <c r="K4424" s="422">
        <v>2023</v>
      </c>
      <c r="L4424">
        <v>12716</v>
      </c>
      <c r="M4424" t="s">
        <v>630</v>
      </c>
      <c r="N4424" s="131">
        <v>30440</v>
      </c>
      <c r="O4424" s="436">
        <f t="shared" si="180"/>
        <v>2587400</v>
      </c>
      <c r="P4424" s="89">
        <v>40147</v>
      </c>
      <c r="Q4424" s="422" t="s">
        <v>47</v>
      </c>
      <c r="R4424" s="422" t="s">
        <v>1869</v>
      </c>
      <c r="S4424" s="422" t="s">
        <v>1861</v>
      </c>
      <c r="T4424" t="s">
        <v>5166</v>
      </c>
      <c r="U4424" s="422" t="s">
        <v>1953</v>
      </c>
      <c r="V4424" s="422" t="s">
        <v>2813</v>
      </c>
    </row>
    <row r="4425" spans="1:22" ht="15.75" thickBot="1" x14ac:dyDescent="0.3">
      <c r="A4425" t="s">
        <v>4587</v>
      </c>
      <c r="B4425" t="s">
        <v>4587</v>
      </c>
      <c r="C4425" s="424" t="str">
        <f t="shared" si="178"/>
        <v>Vizur Transportes, Unipessoal LDA.</v>
      </c>
      <c r="D4425" t="s">
        <v>629</v>
      </c>
      <c r="F4425" t="s">
        <v>620</v>
      </c>
      <c r="G4425" s="89">
        <v>2008</v>
      </c>
      <c r="H4425" s="313" t="s">
        <v>731</v>
      </c>
      <c r="I4425" s="311" t="str">
        <f t="shared" si="179"/>
        <v>Pesado de Passageiros M3:  : Gasóleo : E4</v>
      </c>
      <c r="J4425">
        <v>75</v>
      </c>
      <c r="K4425" s="422">
        <v>2023</v>
      </c>
      <c r="L4425">
        <v>16754</v>
      </c>
      <c r="M4425" t="s">
        <v>630</v>
      </c>
      <c r="N4425" s="131">
        <v>50813</v>
      </c>
      <c r="O4425" s="436">
        <f t="shared" si="180"/>
        <v>3810975</v>
      </c>
      <c r="P4425" s="89">
        <v>39686</v>
      </c>
      <c r="Q4425" s="422" t="s">
        <v>47</v>
      </c>
      <c r="R4425" s="422" t="s">
        <v>1869</v>
      </c>
      <c r="S4425" s="422" t="s">
        <v>1861</v>
      </c>
      <c r="T4425" t="s">
        <v>5167</v>
      </c>
      <c r="U4425" s="422" t="s">
        <v>1953</v>
      </c>
      <c r="V4425" s="422" t="s">
        <v>2813</v>
      </c>
    </row>
    <row r="4426" spans="1:22" ht="15.75" thickBot="1" x14ac:dyDescent="0.3">
      <c r="A4426" t="s">
        <v>4587</v>
      </c>
      <c r="B4426" t="s">
        <v>4587</v>
      </c>
      <c r="C4426" s="424" t="str">
        <f t="shared" si="178"/>
        <v>Vizur Transportes, Unipessoal LDA.</v>
      </c>
      <c r="D4426" t="s">
        <v>629</v>
      </c>
      <c r="F4426" t="s">
        <v>620</v>
      </c>
      <c r="G4426" s="89">
        <v>2008</v>
      </c>
      <c r="H4426" s="313" t="s">
        <v>731</v>
      </c>
      <c r="I4426" s="311" t="str">
        <f t="shared" si="179"/>
        <v>Pesado de Passageiros M3:  : Gasóleo : E4</v>
      </c>
      <c r="J4426">
        <v>87</v>
      </c>
      <c r="K4426" s="422">
        <v>2023</v>
      </c>
      <c r="L4426">
        <v>7225</v>
      </c>
      <c r="M4426" t="s">
        <v>630</v>
      </c>
      <c r="N4426" s="131">
        <v>20560</v>
      </c>
      <c r="O4426" s="436">
        <f t="shared" si="180"/>
        <v>1788720</v>
      </c>
      <c r="P4426" s="89">
        <v>39507</v>
      </c>
      <c r="Q4426" s="422" t="s">
        <v>47</v>
      </c>
      <c r="R4426" s="422" t="s">
        <v>1869</v>
      </c>
      <c r="S4426" s="422" t="s">
        <v>1861</v>
      </c>
      <c r="T4426" t="s">
        <v>5168</v>
      </c>
      <c r="U4426" s="422" t="s">
        <v>1953</v>
      </c>
      <c r="V4426" s="422" t="s">
        <v>2813</v>
      </c>
    </row>
    <row r="4427" spans="1:22" ht="15.75" thickBot="1" x14ac:dyDescent="0.3">
      <c r="A4427" t="s">
        <v>4587</v>
      </c>
      <c r="B4427" t="s">
        <v>4587</v>
      </c>
      <c r="C4427" s="424" t="str">
        <f t="shared" si="178"/>
        <v>Vizur Transportes, Unipessoal LDA.</v>
      </c>
      <c r="D4427" t="s">
        <v>629</v>
      </c>
      <c r="F4427" t="s">
        <v>620</v>
      </c>
      <c r="G4427" s="89">
        <v>2007</v>
      </c>
      <c r="H4427" s="313" t="s">
        <v>731</v>
      </c>
      <c r="I4427" s="311" t="str">
        <f t="shared" si="179"/>
        <v>Pesado de Passageiros M3:  : Gasóleo : E4</v>
      </c>
      <c r="J4427">
        <v>72</v>
      </c>
      <c r="K4427" s="422">
        <v>2023</v>
      </c>
      <c r="L4427">
        <v>17695</v>
      </c>
      <c r="M4427" t="s">
        <v>630</v>
      </c>
      <c r="N4427" s="131">
        <v>53323</v>
      </c>
      <c r="O4427" s="436">
        <f t="shared" si="180"/>
        <v>3839256</v>
      </c>
      <c r="P4427" s="89">
        <v>39321</v>
      </c>
      <c r="Q4427" s="422" t="s">
        <v>47</v>
      </c>
      <c r="R4427" s="422" t="s">
        <v>1869</v>
      </c>
      <c r="S4427" s="422" t="s">
        <v>1861</v>
      </c>
      <c r="T4427" t="s">
        <v>5169</v>
      </c>
      <c r="U4427" s="422" t="s">
        <v>1953</v>
      </c>
      <c r="V4427" s="422" t="s">
        <v>2813</v>
      </c>
    </row>
    <row r="4428" spans="1:22" ht="15.75" thickBot="1" x14ac:dyDescent="0.3">
      <c r="A4428" t="s">
        <v>4587</v>
      </c>
      <c r="B4428" t="s">
        <v>4587</v>
      </c>
      <c r="C4428" s="424" t="str">
        <f t="shared" si="178"/>
        <v>Vizur Transportes, Unipessoal LDA.</v>
      </c>
      <c r="D4428" t="s">
        <v>629</v>
      </c>
      <c r="F4428" t="s">
        <v>620</v>
      </c>
      <c r="G4428" s="89">
        <v>2010</v>
      </c>
      <c r="H4428" s="313" t="s">
        <v>734</v>
      </c>
      <c r="I4428" s="311" t="str">
        <f t="shared" si="179"/>
        <v>Pesado de Passageiros M3:  : Gasóleo : E5</v>
      </c>
      <c r="J4428">
        <v>70</v>
      </c>
      <c r="K4428" s="422">
        <v>2023</v>
      </c>
      <c r="M4428" t="s">
        <v>630</v>
      </c>
      <c r="O4428" s="436">
        <f t="shared" si="180"/>
        <v>0</v>
      </c>
      <c r="P4428" s="89">
        <v>40408</v>
      </c>
      <c r="Q4428" s="422" t="s">
        <v>47</v>
      </c>
      <c r="R4428" s="422" t="s">
        <v>1869</v>
      </c>
      <c r="S4428" s="422" t="s">
        <v>1861</v>
      </c>
      <c r="T4428" t="s">
        <v>5170</v>
      </c>
      <c r="U4428" s="422" t="s">
        <v>1953</v>
      </c>
      <c r="V4428" s="422" t="s">
        <v>2813</v>
      </c>
    </row>
    <row r="4429" spans="1:22" ht="15.75" thickBot="1" x14ac:dyDescent="0.3">
      <c r="A4429" t="s">
        <v>4587</v>
      </c>
      <c r="B4429" t="s">
        <v>4587</v>
      </c>
      <c r="C4429" s="424" t="str">
        <f t="shared" si="178"/>
        <v>Vizur Transportes, Unipessoal LDA.</v>
      </c>
      <c r="D4429" t="s">
        <v>629</v>
      </c>
      <c r="F4429" t="s">
        <v>620</v>
      </c>
      <c r="G4429" s="89">
        <v>2003</v>
      </c>
      <c r="H4429" s="313" t="s">
        <v>731</v>
      </c>
      <c r="I4429" s="311" t="str">
        <f t="shared" si="179"/>
        <v>Pesado de Passageiros M3:  : Gasóleo : E4</v>
      </c>
      <c r="J4429">
        <v>82</v>
      </c>
      <c r="K4429" s="422">
        <v>2023</v>
      </c>
      <c r="L4429">
        <v>12551</v>
      </c>
      <c r="M4429" t="s">
        <v>630</v>
      </c>
      <c r="N4429" s="131">
        <v>44632</v>
      </c>
      <c r="O4429" s="436">
        <f t="shared" si="180"/>
        <v>3659824</v>
      </c>
      <c r="P4429" s="89">
        <v>37858</v>
      </c>
      <c r="Q4429" s="422" t="s">
        <v>47</v>
      </c>
      <c r="R4429" s="422" t="s">
        <v>1869</v>
      </c>
      <c r="S4429" s="422" t="s">
        <v>1861</v>
      </c>
      <c r="T4429" t="s">
        <v>5171</v>
      </c>
      <c r="U4429" s="422" t="s">
        <v>1953</v>
      </c>
      <c r="V4429" s="422" t="s">
        <v>2813</v>
      </c>
    </row>
    <row r="4430" spans="1:22" ht="15.75" thickBot="1" x14ac:dyDescent="0.3">
      <c r="A4430" t="s">
        <v>4587</v>
      </c>
      <c r="B4430" t="s">
        <v>4587</v>
      </c>
      <c r="C4430" s="424" t="str">
        <f t="shared" si="178"/>
        <v>Vizur Transportes, Unipessoal LDA.</v>
      </c>
      <c r="D4430" t="s">
        <v>629</v>
      </c>
      <c r="F4430" t="s">
        <v>620</v>
      </c>
      <c r="G4430" s="89">
        <v>2004</v>
      </c>
      <c r="H4430" s="313" t="s">
        <v>731</v>
      </c>
      <c r="I4430" s="311" t="str">
        <f t="shared" si="179"/>
        <v>Pesado de Passageiros M3:  : Gasóleo : E4</v>
      </c>
      <c r="J4430">
        <v>96</v>
      </c>
      <c r="K4430" s="422">
        <v>2023</v>
      </c>
      <c r="L4430">
        <v>27657</v>
      </c>
      <c r="M4430" t="s">
        <v>630</v>
      </c>
      <c r="N4430" s="131">
        <v>60145</v>
      </c>
      <c r="O4430" s="436">
        <f t="shared" si="180"/>
        <v>5773920</v>
      </c>
      <c r="P4430" s="89">
        <v>38238</v>
      </c>
      <c r="Q4430" s="422" t="s">
        <v>47</v>
      </c>
      <c r="R4430" s="422" t="s">
        <v>1869</v>
      </c>
      <c r="S4430" s="422" t="s">
        <v>1861</v>
      </c>
      <c r="T4430" t="s">
        <v>5172</v>
      </c>
      <c r="U4430" s="422" t="s">
        <v>1953</v>
      </c>
      <c r="V4430" s="422" t="s">
        <v>2813</v>
      </c>
    </row>
    <row r="4431" spans="1:22" ht="15.75" thickBot="1" x14ac:dyDescent="0.3">
      <c r="A4431" t="s">
        <v>4587</v>
      </c>
      <c r="B4431" t="s">
        <v>4587</v>
      </c>
      <c r="C4431" s="424" t="str">
        <f t="shared" si="178"/>
        <v>Vizur Transportes, Unipessoal LDA.</v>
      </c>
      <c r="D4431" t="s">
        <v>629</v>
      </c>
      <c r="F4431" t="s">
        <v>620</v>
      </c>
      <c r="G4431" s="89">
        <v>2004</v>
      </c>
      <c r="H4431" s="313" t="s">
        <v>731</v>
      </c>
      <c r="I4431" s="311" t="str">
        <f t="shared" si="179"/>
        <v>Pesado de Passageiros M3:  : Gasóleo : E4</v>
      </c>
      <c r="J4431">
        <v>96</v>
      </c>
      <c r="K4431" s="422">
        <v>2023</v>
      </c>
      <c r="L4431">
        <v>15815</v>
      </c>
      <c r="M4431" t="s">
        <v>630</v>
      </c>
      <c r="N4431" s="131">
        <v>35237</v>
      </c>
      <c r="O4431" s="436">
        <f t="shared" si="180"/>
        <v>3382752</v>
      </c>
      <c r="P4431" s="89">
        <v>38238</v>
      </c>
      <c r="Q4431" s="422" t="s">
        <v>47</v>
      </c>
      <c r="R4431" s="422" t="s">
        <v>1869</v>
      </c>
      <c r="S4431" s="422" t="s">
        <v>1861</v>
      </c>
      <c r="T4431" t="s">
        <v>5173</v>
      </c>
      <c r="U4431" s="422" t="s">
        <v>1953</v>
      </c>
      <c r="V4431" s="422" t="s">
        <v>2813</v>
      </c>
    </row>
    <row r="4432" spans="1:22" ht="15.75" thickBot="1" x14ac:dyDescent="0.3">
      <c r="A4432" t="s">
        <v>4587</v>
      </c>
      <c r="B4432" t="s">
        <v>4587</v>
      </c>
      <c r="C4432" s="424" t="str">
        <f t="shared" si="178"/>
        <v>Vizur Transportes, Unipessoal LDA.</v>
      </c>
      <c r="D4432" t="s">
        <v>629</v>
      </c>
      <c r="F4432" t="s">
        <v>620</v>
      </c>
      <c r="G4432" s="89">
        <v>2010</v>
      </c>
      <c r="H4432" s="313" t="s">
        <v>734</v>
      </c>
      <c r="I4432" s="311" t="str">
        <f t="shared" si="179"/>
        <v>Pesado de Passageiros M3:  : Gasóleo : E5</v>
      </c>
      <c r="J4432">
        <v>70</v>
      </c>
      <c r="K4432" s="422">
        <v>2023</v>
      </c>
      <c r="L4432">
        <v>7213</v>
      </c>
      <c r="M4432" t="s">
        <v>630</v>
      </c>
      <c r="N4432" s="131">
        <v>19203</v>
      </c>
      <c r="O4432" s="436">
        <f t="shared" si="180"/>
        <v>1344210</v>
      </c>
      <c r="P4432" s="89">
        <v>40371</v>
      </c>
      <c r="Q4432" s="422" t="s">
        <v>47</v>
      </c>
      <c r="R4432" s="422" t="s">
        <v>1869</v>
      </c>
      <c r="S4432" s="422" t="s">
        <v>1861</v>
      </c>
      <c r="T4432" t="s">
        <v>5174</v>
      </c>
      <c r="U4432" s="422" t="s">
        <v>1953</v>
      </c>
      <c r="V4432" s="422" t="s">
        <v>2813</v>
      </c>
    </row>
    <row r="4433" spans="1:22" ht="15.75" thickBot="1" x14ac:dyDescent="0.3">
      <c r="A4433" t="s">
        <v>4587</v>
      </c>
      <c r="B4433" t="s">
        <v>4587</v>
      </c>
      <c r="C4433" s="424" t="str">
        <f t="shared" si="178"/>
        <v>Vizur Transportes, Unipessoal LDA.</v>
      </c>
      <c r="D4433" t="s">
        <v>629</v>
      </c>
      <c r="F4433" t="s">
        <v>620</v>
      </c>
      <c r="G4433" s="89">
        <v>2010</v>
      </c>
      <c r="H4433" s="313" t="s">
        <v>734</v>
      </c>
      <c r="I4433" s="311" t="str">
        <f t="shared" si="179"/>
        <v>Pesado de Passageiros M3:  : Gasóleo : E5</v>
      </c>
      <c r="J4433">
        <v>70</v>
      </c>
      <c r="K4433" s="422">
        <v>2023</v>
      </c>
      <c r="L4433">
        <v>225</v>
      </c>
      <c r="M4433" t="s">
        <v>630</v>
      </c>
      <c r="N4433" s="131">
        <v>750</v>
      </c>
      <c r="O4433" s="436">
        <f t="shared" si="180"/>
        <v>52500</v>
      </c>
      <c r="P4433" s="89">
        <v>40371</v>
      </c>
      <c r="Q4433" s="422" t="s">
        <v>47</v>
      </c>
      <c r="R4433" s="422" t="s">
        <v>1869</v>
      </c>
      <c r="S4433" s="422" t="s">
        <v>1861</v>
      </c>
      <c r="T4433" t="s">
        <v>5175</v>
      </c>
      <c r="U4433" s="422" t="s">
        <v>1953</v>
      </c>
      <c r="V4433" s="422" t="s">
        <v>2813</v>
      </c>
    </row>
    <row r="4434" spans="1:22" ht="15.75" thickBot="1" x14ac:dyDescent="0.3">
      <c r="A4434" t="s">
        <v>4587</v>
      </c>
      <c r="B4434" t="s">
        <v>4587</v>
      </c>
      <c r="C4434" s="424" t="str">
        <f t="shared" si="178"/>
        <v>Vizur Transportes, Unipessoal LDA.</v>
      </c>
      <c r="D4434" t="s">
        <v>629</v>
      </c>
      <c r="F4434" t="s">
        <v>620</v>
      </c>
      <c r="G4434" s="89">
        <v>2008</v>
      </c>
      <c r="H4434" s="313" t="s">
        <v>731</v>
      </c>
      <c r="I4434" s="311" t="str">
        <f t="shared" si="179"/>
        <v>Pesado de Passageiros M3:  : Gasóleo : E4</v>
      </c>
      <c r="J4434">
        <v>60</v>
      </c>
      <c r="K4434" s="422">
        <v>2023</v>
      </c>
      <c r="L4434">
        <v>13568</v>
      </c>
      <c r="M4434" t="s">
        <v>630</v>
      </c>
      <c r="N4434" s="131">
        <v>34681</v>
      </c>
      <c r="O4434" s="436">
        <f t="shared" si="180"/>
        <v>2080860</v>
      </c>
      <c r="P4434" s="89">
        <v>39632</v>
      </c>
      <c r="Q4434" s="422" t="s">
        <v>47</v>
      </c>
      <c r="R4434" s="422" t="s">
        <v>1869</v>
      </c>
      <c r="S4434" s="422" t="s">
        <v>1861</v>
      </c>
      <c r="T4434" t="s">
        <v>5176</v>
      </c>
      <c r="U4434" s="422" t="s">
        <v>1953</v>
      </c>
      <c r="V4434" s="422" t="s">
        <v>2813</v>
      </c>
    </row>
    <row r="4435" spans="1:22" ht="15.75" thickBot="1" x14ac:dyDescent="0.3">
      <c r="A4435" t="s">
        <v>4587</v>
      </c>
      <c r="B4435" t="s">
        <v>4587</v>
      </c>
      <c r="C4435" s="424" t="str">
        <f t="shared" si="178"/>
        <v>Vizur Transportes, Unipessoal LDA.</v>
      </c>
      <c r="D4435" t="s">
        <v>629</v>
      </c>
      <c r="F4435" t="s">
        <v>620</v>
      </c>
      <c r="G4435" s="89">
        <v>2008</v>
      </c>
      <c r="H4435" s="313" t="s">
        <v>733</v>
      </c>
      <c r="I4435" s="311" t="str">
        <f t="shared" si="179"/>
        <v>Pesado de Passageiros M3:  : Gasóleo : E6</v>
      </c>
      <c r="J4435">
        <v>60</v>
      </c>
      <c r="K4435" s="422">
        <v>2023</v>
      </c>
      <c r="L4435">
        <v>24405</v>
      </c>
      <c r="M4435" t="s">
        <v>630</v>
      </c>
      <c r="N4435" s="131">
        <v>65575</v>
      </c>
      <c r="O4435" s="436">
        <f t="shared" si="180"/>
        <v>3934500</v>
      </c>
      <c r="P4435" s="89">
        <v>39632</v>
      </c>
      <c r="Q4435" s="422" t="s">
        <v>47</v>
      </c>
      <c r="R4435" s="422" t="s">
        <v>1869</v>
      </c>
      <c r="S4435" s="422" t="s">
        <v>1861</v>
      </c>
      <c r="T4435" t="s">
        <v>5177</v>
      </c>
      <c r="U4435" s="422" t="s">
        <v>1953</v>
      </c>
      <c r="V4435" s="422" t="s">
        <v>2813</v>
      </c>
    </row>
    <row r="4436" spans="1:22" ht="15.75" thickBot="1" x14ac:dyDescent="0.3">
      <c r="A4436" t="s">
        <v>4587</v>
      </c>
      <c r="B4436" t="s">
        <v>4587</v>
      </c>
      <c r="C4436" s="424" t="str">
        <f t="shared" si="178"/>
        <v>Vizur Transportes, Unipessoal LDA.</v>
      </c>
      <c r="D4436" t="s">
        <v>629</v>
      </c>
      <c r="F4436" t="s">
        <v>620</v>
      </c>
      <c r="G4436" s="89">
        <v>2008</v>
      </c>
      <c r="H4436" s="313" t="s">
        <v>733</v>
      </c>
      <c r="I4436" s="311" t="str">
        <f t="shared" si="179"/>
        <v>Pesado de Passageiros M3:  : Gasóleo : E6</v>
      </c>
      <c r="J4436">
        <v>60</v>
      </c>
      <c r="K4436" s="422">
        <v>2023</v>
      </c>
      <c r="L4436">
        <v>12445</v>
      </c>
      <c r="M4436" t="s">
        <v>630</v>
      </c>
      <c r="N4436" s="131">
        <v>35081</v>
      </c>
      <c r="O4436" s="436">
        <f t="shared" si="180"/>
        <v>2104860</v>
      </c>
      <c r="P4436" s="89">
        <v>39632</v>
      </c>
      <c r="Q4436" s="422" t="s">
        <v>47</v>
      </c>
      <c r="R4436" s="422" t="s">
        <v>1869</v>
      </c>
      <c r="S4436" s="422" t="s">
        <v>1861</v>
      </c>
      <c r="T4436" t="s">
        <v>5178</v>
      </c>
      <c r="U4436" s="422" t="s">
        <v>1953</v>
      </c>
      <c r="V4436" s="422" t="s">
        <v>2813</v>
      </c>
    </row>
    <row r="4437" spans="1:22" ht="15.75" thickBot="1" x14ac:dyDescent="0.3">
      <c r="A4437" t="s">
        <v>4587</v>
      </c>
      <c r="B4437" t="s">
        <v>4587</v>
      </c>
      <c r="C4437" s="424" t="str">
        <f t="shared" si="178"/>
        <v>Vizur Transportes, Unipessoal LDA.</v>
      </c>
      <c r="D4437" t="s">
        <v>629</v>
      </c>
      <c r="F4437" t="s">
        <v>620</v>
      </c>
      <c r="G4437" s="89">
        <v>2008</v>
      </c>
      <c r="H4437" s="313" t="s">
        <v>731</v>
      </c>
      <c r="I4437" s="311" t="str">
        <f t="shared" si="179"/>
        <v>Pesado de Passageiros M3:  : Gasóleo : E4</v>
      </c>
      <c r="J4437">
        <v>84</v>
      </c>
      <c r="K4437" s="422">
        <v>2023</v>
      </c>
      <c r="L4437">
        <v>11405</v>
      </c>
      <c r="M4437" t="s">
        <v>630</v>
      </c>
      <c r="N4437" s="131">
        <v>29868</v>
      </c>
      <c r="O4437" s="436">
        <f t="shared" si="180"/>
        <v>2508912</v>
      </c>
      <c r="P4437" s="89">
        <v>39800</v>
      </c>
      <c r="Q4437" s="422" t="s">
        <v>47</v>
      </c>
      <c r="R4437" s="422" t="s">
        <v>1869</v>
      </c>
      <c r="S4437" s="422" t="s">
        <v>1861</v>
      </c>
      <c r="T4437" t="s">
        <v>5179</v>
      </c>
      <c r="U4437" s="422" t="s">
        <v>1953</v>
      </c>
      <c r="V4437" s="422" t="s">
        <v>2813</v>
      </c>
    </row>
    <row r="4438" spans="1:22" ht="15.75" thickBot="1" x14ac:dyDescent="0.3">
      <c r="A4438" t="s">
        <v>4587</v>
      </c>
      <c r="B4438" t="s">
        <v>4587</v>
      </c>
      <c r="C4438" s="424" t="str">
        <f t="shared" si="178"/>
        <v>Vizur Transportes, Unipessoal LDA.</v>
      </c>
      <c r="D4438" t="s">
        <v>629</v>
      </c>
      <c r="F4438" t="s">
        <v>620</v>
      </c>
      <c r="G4438" s="89">
        <v>2008</v>
      </c>
      <c r="H4438" s="313" t="s">
        <v>731</v>
      </c>
      <c r="I4438" s="311" t="str">
        <f t="shared" si="179"/>
        <v>Pesado de Passageiros M3:  : Gasóleo : E4</v>
      </c>
      <c r="J4438">
        <v>75</v>
      </c>
      <c r="K4438" s="422">
        <v>2023</v>
      </c>
      <c r="L4438">
        <v>14024</v>
      </c>
      <c r="M4438" t="s">
        <v>630</v>
      </c>
      <c r="N4438" s="131">
        <v>35677</v>
      </c>
      <c r="O4438" s="436">
        <f t="shared" si="180"/>
        <v>2675775</v>
      </c>
      <c r="P4438" s="89">
        <v>39665</v>
      </c>
      <c r="Q4438" s="422" t="s">
        <v>47</v>
      </c>
      <c r="R4438" s="422" t="s">
        <v>1869</v>
      </c>
      <c r="S4438" s="422" t="s">
        <v>1861</v>
      </c>
      <c r="T4438" t="s">
        <v>5180</v>
      </c>
      <c r="U4438" s="422" t="s">
        <v>1953</v>
      </c>
      <c r="V4438" s="422" t="s">
        <v>2813</v>
      </c>
    </row>
    <row r="4439" spans="1:22" ht="15.75" thickBot="1" x14ac:dyDescent="0.3">
      <c r="A4439" t="s">
        <v>4587</v>
      </c>
      <c r="B4439" t="s">
        <v>4587</v>
      </c>
      <c r="C4439" s="424" t="str">
        <f t="shared" si="178"/>
        <v>Vizur Transportes, Unipessoal LDA.</v>
      </c>
      <c r="D4439" t="s">
        <v>629</v>
      </c>
      <c r="F4439" t="s">
        <v>620</v>
      </c>
      <c r="G4439" s="89">
        <v>2007</v>
      </c>
      <c r="H4439" s="313" t="s">
        <v>731</v>
      </c>
      <c r="I4439" s="311" t="str">
        <f t="shared" si="179"/>
        <v>Pesado de Passageiros M3:  : Gasóleo : E4</v>
      </c>
      <c r="J4439">
        <v>95</v>
      </c>
      <c r="K4439" s="422">
        <v>2023</v>
      </c>
      <c r="L4439">
        <v>19734</v>
      </c>
      <c r="M4439" t="s">
        <v>630</v>
      </c>
      <c r="N4439" s="131">
        <v>50831</v>
      </c>
      <c r="O4439" s="436">
        <f t="shared" si="180"/>
        <v>4828945</v>
      </c>
      <c r="P4439" s="89">
        <v>39324</v>
      </c>
      <c r="Q4439" s="422" t="s">
        <v>47</v>
      </c>
      <c r="R4439" s="422" t="s">
        <v>1869</v>
      </c>
      <c r="S4439" s="422" t="s">
        <v>1861</v>
      </c>
      <c r="T4439" t="s">
        <v>5181</v>
      </c>
      <c r="U4439" s="422" t="s">
        <v>1953</v>
      </c>
      <c r="V4439" s="422" t="s">
        <v>2813</v>
      </c>
    </row>
    <row r="4440" spans="1:22" ht="15.75" thickBot="1" x14ac:dyDescent="0.3">
      <c r="A4440" t="s">
        <v>4587</v>
      </c>
      <c r="B4440" t="s">
        <v>4587</v>
      </c>
      <c r="C4440" s="424" t="str">
        <f t="shared" ref="C4440:C4503" si="181">IF(A4440=B4440,B4440,RIGHT(A4440,LEN(A4440)-LEN(B4440)-3))</f>
        <v>Vizur Transportes, Unipessoal LDA.</v>
      </c>
      <c r="D4440" t="s">
        <v>629</v>
      </c>
      <c r="F4440" t="s">
        <v>620</v>
      </c>
      <c r="G4440" s="89">
        <v>2007</v>
      </c>
      <c r="H4440" s="313" t="s">
        <v>731</v>
      </c>
      <c r="I4440" s="311" t="str">
        <f t="shared" si="179"/>
        <v>Pesado de Passageiros M3:  : Gasóleo : E4</v>
      </c>
      <c r="J4440">
        <v>95</v>
      </c>
      <c r="K4440" s="422">
        <v>2023</v>
      </c>
      <c r="L4440">
        <v>19271</v>
      </c>
      <c r="M4440" t="s">
        <v>630</v>
      </c>
      <c r="N4440" s="131">
        <v>50553</v>
      </c>
      <c r="O4440" s="436">
        <f t="shared" si="180"/>
        <v>4802535</v>
      </c>
      <c r="P4440" s="89">
        <v>39342</v>
      </c>
      <c r="Q4440" s="422" t="s">
        <v>47</v>
      </c>
      <c r="R4440" s="422" t="s">
        <v>1869</v>
      </c>
      <c r="S4440" s="422" t="s">
        <v>1861</v>
      </c>
      <c r="T4440" t="s">
        <v>5182</v>
      </c>
      <c r="U4440" s="422" t="s">
        <v>1953</v>
      </c>
      <c r="V4440" s="422" t="s">
        <v>2813</v>
      </c>
    </row>
    <row r="4441" spans="1:22" ht="15.75" thickBot="1" x14ac:dyDescent="0.3">
      <c r="A4441" t="s">
        <v>4587</v>
      </c>
      <c r="B4441" t="s">
        <v>4587</v>
      </c>
      <c r="C4441" s="424" t="str">
        <f t="shared" si="181"/>
        <v>Vizur Transportes, Unipessoal LDA.</v>
      </c>
      <c r="D4441" t="s">
        <v>629</v>
      </c>
      <c r="F4441" t="s">
        <v>620</v>
      </c>
      <c r="G4441" s="89">
        <v>2007</v>
      </c>
      <c r="H4441" s="313" t="s">
        <v>731</v>
      </c>
      <c r="I4441" s="311" t="str">
        <f t="shared" si="179"/>
        <v>Pesado de Passageiros M3:  : Gasóleo : E4</v>
      </c>
      <c r="J4441">
        <v>95</v>
      </c>
      <c r="K4441" s="422">
        <v>2023</v>
      </c>
      <c r="L4441">
        <v>17394</v>
      </c>
      <c r="M4441" t="s">
        <v>630</v>
      </c>
      <c r="N4441" s="131">
        <v>46120</v>
      </c>
      <c r="O4441" s="436">
        <f t="shared" si="180"/>
        <v>4381400</v>
      </c>
      <c r="P4441" s="89">
        <v>39342</v>
      </c>
      <c r="Q4441" s="422" t="s">
        <v>47</v>
      </c>
      <c r="R4441" s="422" t="s">
        <v>1869</v>
      </c>
      <c r="S4441" s="422" t="s">
        <v>1861</v>
      </c>
      <c r="T4441" t="s">
        <v>5183</v>
      </c>
      <c r="U4441" s="422" t="s">
        <v>1953</v>
      </c>
      <c r="V4441" s="422" t="s">
        <v>2813</v>
      </c>
    </row>
    <row r="4442" spans="1:22" ht="15.75" thickBot="1" x14ac:dyDescent="0.3">
      <c r="A4442" t="s">
        <v>4587</v>
      </c>
      <c r="B4442" t="s">
        <v>4587</v>
      </c>
      <c r="C4442" s="424" t="str">
        <f t="shared" si="181"/>
        <v>Vizur Transportes, Unipessoal LDA.</v>
      </c>
      <c r="D4442" t="s">
        <v>629</v>
      </c>
      <c r="F4442" t="s">
        <v>620</v>
      </c>
      <c r="G4442" s="89">
        <v>2005</v>
      </c>
      <c r="H4442" s="313" t="s">
        <v>731</v>
      </c>
      <c r="I4442" s="311" t="str">
        <f t="shared" si="179"/>
        <v>Pesado de Passageiros M3:  : Gasóleo : E4</v>
      </c>
      <c r="J4442">
        <v>84</v>
      </c>
      <c r="K4442" s="422">
        <v>2023</v>
      </c>
      <c r="L4442">
        <v>9901</v>
      </c>
      <c r="M4442" t="s">
        <v>630</v>
      </c>
      <c r="N4442" s="131">
        <v>27082</v>
      </c>
      <c r="O4442" s="436">
        <f t="shared" si="180"/>
        <v>2274888</v>
      </c>
      <c r="P4442" s="89">
        <v>38610</v>
      </c>
      <c r="Q4442" s="422" t="s">
        <v>47</v>
      </c>
      <c r="R4442" s="422" t="s">
        <v>1869</v>
      </c>
      <c r="S4442" s="422" t="s">
        <v>1861</v>
      </c>
      <c r="T4442" t="s">
        <v>5184</v>
      </c>
      <c r="U4442" s="422" t="s">
        <v>1953</v>
      </c>
      <c r="V4442" s="422" t="s">
        <v>2813</v>
      </c>
    </row>
    <row r="4443" spans="1:22" ht="15.75" thickBot="1" x14ac:dyDescent="0.3">
      <c r="A4443" t="s">
        <v>4587</v>
      </c>
      <c r="B4443" t="s">
        <v>4587</v>
      </c>
      <c r="C4443" s="424" t="str">
        <f t="shared" si="181"/>
        <v>Vizur Transportes, Unipessoal LDA.</v>
      </c>
      <c r="D4443" t="s">
        <v>629</v>
      </c>
      <c r="F4443" t="s">
        <v>620</v>
      </c>
      <c r="G4443" s="89">
        <v>2005</v>
      </c>
      <c r="H4443" s="313" t="s">
        <v>731</v>
      </c>
      <c r="I4443" s="311" t="str">
        <f t="shared" si="179"/>
        <v>Pesado de Passageiros M3:  : Gasóleo : E4</v>
      </c>
      <c r="J4443">
        <v>84</v>
      </c>
      <c r="K4443" s="422">
        <v>2023</v>
      </c>
      <c r="L4443">
        <v>21950</v>
      </c>
      <c r="M4443" t="s">
        <v>630</v>
      </c>
      <c r="N4443" s="131">
        <v>61477</v>
      </c>
      <c r="O4443" s="436">
        <f t="shared" si="180"/>
        <v>5164068</v>
      </c>
      <c r="P4443" s="89">
        <v>38610</v>
      </c>
      <c r="Q4443" s="422" t="s">
        <v>47</v>
      </c>
      <c r="R4443" s="422" t="s">
        <v>1869</v>
      </c>
      <c r="S4443" s="422" t="s">
        <v>1861</v>
      </c>
      <c r="T4443" t="s">
        <v>5185</v>
      </c>
      <c r="U4443" s="422" t="s">
        <v>1953</v>
      </c>
      <c r="V4443" s="422" t="s">
        <v>2813</v>
      </c>
    </row>
    <row r="4444" spans="1:22" ht="15.75" thickBot="1" x14ac:dyDescent="0.3">
      <c r="A4444" t="s">
        <v>4587</v>
      </c>
      <c r="B4444" t="s">
        <v>4587</v>
      </c>
      <c r="C4444" s="424" t="str">
        <f t="shared" si="181"/>
        <v>Vizur Transportes, Unipessoal LDA.</v>
      </c>
      <c r="D4444" t="s">
        <v>629</v>
      </c>
      <c r="F4444" t="s">
        <v>620</v>
      </c>
      <c r="G4444" s="89">
        <v>2007</v>
      </c>
      <c r="H4444" s="313" t="s">
        <v>731</v>
      </c>
      <c r="I4444" s="311" t="str">
        <f t="shared" si="179"/>
        <v>Pesado de Passageiros M3:  : Gasóleo : E4</v>
      </c>
      <c r="J4444">
        <v>71</v>
      </c>
      <c r="K4444" s="422">
        <v>2023</v>
      </c>
      <c r="L4444">
        <v>22374</v>
      </c>
      <c r="M4444" t="s">
        <v>630</v>
      </c>
      <c r="N4444" s="131">
        <v>53175</v>
      </c>
      <c r="O4444" s="436">
        <f t="shared" si="180"/>
        <v>3775425</v>
      </c>
      <c r="P4444" s="89">
        <v>39314</v>
      </c>
      <c r="Q4444" s="422" t="s">
        <v>47</v>
      </c>
      <c r="R4444" s="422" t="s">
        <v>1869</v>
      </c>
      <c r="S4444" s="422" t="s">
        <v>1861</v>
      </c>
      <c r="T4444" t="s">
        <v>5186</v>
      </c>
      <c r="U4444" s="422" t="s">
        <v>1953</v>
      </c>
      <c r="V4444" s="422" t="s">
        <v>2813</v>
      </c>
    </row>
    <row r="4445" spans="1:22" ht="15.75" thickBot="1" x14ac:dyDescent="0.3">
      <c r="A4445" t="s">
        <v>4587</v>
      </c>
      <c r="B4445" t="s">
        <v>4587</v>
      </c>
      <c r="C4445" s="424" t="str">
        <f t="shared" si="181"/>
        <v>Vizur Transportes, Unipessoal LDA.</v>
      </c>
      <c r="D4445" t="s">
        <v>629</v>
      </c>
      <c r="F4445" t="s">
        <v>620</v>
      </c>
      <c r="G4445" s="89">
        <v>2007</v>
      </c>
      <c r="H4445" s="313" t="s">
        <v>733</v>
      </c>
      <c r="I4445" s="311" t="str">
        <f t="shared" si="179"/>
        <v>Pesado de Passageiros M3:  : Gasóleo : E6</v>
      </c>
      <c r="J4445">
        <v>81</v>
      </c>
      <c r="K4445" s="422">
        <v>2023</v>
      </c>
      <c r="L4445">
        <v>12812</v>
      </c>
      <c r="M4445" t="s">
        <v>630</v>
      </c>
      <c r="N4445" s="131">
        <v>37253</v>
      </c>
      <c r="O4445" s="436">
        <f t="shared" si="180"/>
        <v>3017493</v>
      </c>
      <c r="P4445" s="89">
        <v>39314</v>
      </c>
      <c r="Q4445" s="422" t="s">
        <v>47</v>
      </c>
      <c r="R4445" s="422" t="s">
        <v>1869</v>
      </c>
      <c r="S4445" s="422" t="s">
        <v>1861</v>
      </c>
      <c r="T4445" t="s">
        <v>5187</v>
      </c>
      <c r="U4445" s="422" t="s">
        <v>1953</v>
      </c>
      <c r="V4445" s="422" t="s">
        <v>2813</v>
      </c>
    </row>
    <row r="4446" spans="1:22" ht="15.75" thickBot="1" x14ac:dyDescent="0.3">
      <c r="A4446" t="s">
        <v>4587</v>
      </c>
      <c r="B4446" t="s">
        <v>4587</v>
      </c>
      <c r="C4446" s="424" t="str">
        <f t="shared" si="181"/>
        <v>Vizur Transportes, Unipessoal LDA.</v>
      </c>
      <c r="D4446" t="s">
        <v>629</v>
      </c>
      <c r="F4446" t="s">
        <v>620</v>
      </c>
      <c r="G4446" s="89">
        <v>2006</v>
      </c>
      <c r="H4446" s="313" t="s">
        <v>731</v>
      </c>
      <c r="I4446" s="311" t="str">
        <f t="shared" si="179"/>
        <v>Pesado de Passageiros M3:  : Gasóleo : E4</v>
      </c>
      <c r="J4446">
        <v>71</v>
      </c>
      <c r="K4446" s="422">
        <v>2023</v>
      </c>
      <c r="L4446">
        <v>5812</v>
      </c>
      <c r="M4446" t="s">
        <v>630</v>
      </c>
      <c r="N4446" s="131">
        <v>17536</v>
      </c>
      <c r="O4446" s="436">
        <f t="shared" si="180"/>
        <v>1245056</v>
      </c>
      <c r="P4446" s="89">
        <v>39069</v>
      </c>
      <c r="Q4446" s="422" t="s">
        <v>47</v>
      </c>
      <c r="R4446" s="422" t="s">
        <v>1869</v>
      </c>
      <c r="S4446" s="422" t="s">
        <v>1861</v>
      </c>
      <c r="T4446" t="s">
        <v>5188</v>
      </c>
      <c r="U4446" s="422" t="s">
        <v>1953</v>
      </c>
      <c r="V4446" s="422" t="s">
        <v>2813</v>
      </c>
    </row>
    <row r="4447" spans="1:22" ht="15.75" thickBot="1" x14ac:dyDescent="0.3">
      <c r="A4447" t="s">
        <v>4587</v>
      </c>
      <c r="B4447" t="s">
        <v>4587</v>
      </c>
      <c r="C4447" s="424" t="str">
        <f t="shared" si="181"/>
        <v>Vizur Transportes, Unipessoal LDA.</v>
      </c>
      <c r="D4447" t="s">
        <v>629</v>
      </c>
      <c r="F4447" t="s">
        <v>620</v>
      </c>
      <c r="G4447" s="89">
        <v>2006</v>
      </c>
      <c r="H4447" s="313" t="s">
        <v>731</v>
      </c>
      <c r="I4447" s="311" t="str">
        <f t="shared" si="179"/>
        <v>Pesado de Passageiros M3:  : Gasóleo : E4</v>
      </c>
      <c r="J4447">
        <v>79</v>
      </c>
      <c r="K4447" s="422">
        <v>2023</v>
      </c>
      <c r="L4447">
        <v>7688</v>
      </c>
      <c r="M4447" t="s">
        <v>630</v>
      </c>
      <c r="N4447" s="131">
        <v>20886</v>
      </c>
      <c r="O4447" s="436">
        <f t="shared" si="180"/>
        <v>1649994</v>
      </c>
      <c r="P4447" s="89">
        <v>39000</v>
      </c>
      <c r="Q4447" s="422" t="s">
        <v>47</v>
      </c>
      <c r="R4447" s="422" t="s">
        <v>1869</v>
      </c>
      <c r="S4447" s="422" t="s">
        <v>1861</v>
      </c>
      <c r="T4447" t="s">
        <v>5189</v>
      </c>
      <c r="U4447" s="422" t="s">
        <v>1953</v>
      </c>
      <c r="V4447" s="422" t="s">
        <v>2813</v>
      </c>
    </row>
    <row r="4448" spans="1:22" ht="15.75" thickBot="1" x14ac:dyDescent="0.3">
      <c r="A4448" t="s">
        <v>4587</v>
      </c>
      <c r="B4448" t="s">
        <v>4587</v>
      </c>
      <c r="C4448" s="424" t="str">
        <f t="shared" si="181"/>
        <v>Vizur Transportes, Unipessoal LDA.</v>
      </c>
      <c r="D4448" t="s">
        <v>629</v>
      </c>
      <c r="F4448" t="s">
        <v>620</v>
      </c>
      <c r="G4448" s="89">
        <v>2010</v>
      </c>
      <c r="H4448" s="313" t="s">
        <v>731</v>
      </c>
      <c r="I4448" s="311" t="str">
        <f t="shared" si="179"/>
        <v>Pesado de Passageiros M3:  : Gasóleo : E4</v>
      </c>
      <c r="J4448">
        <v>71</v>
      </c>
      <c r="K4448" s="422">
        <v>2023</v>
      </c>
      <c r="L4448">
        <v>14104</v>
      </c>
      <c r="M4448" t="s">
        <v>630</v>
      </c>
      <c r="N4448" s="131">
        <v>35829</v>
      </c>
      <c r="O4448" s="436">
        <f t="shared" si="180"/>
        <v>2543859</v>
      </c>
      <c r="P4448" s="89">
        <v>40388</v>
      </c>
      <c r="Q4448" s="422" t="s">
        <v>47</v>
      </c>
      <c r="R4448" s="422" t="s">
        <v>1869</v>
      </c>
      <c r="S4448" s="422" t="s">
        <v>1861</v>
      </c>
      <c r="T4448" t="s">
        <v>5190</v>
      </c>
      <c r="U4448" s="422" t="s">
        <v>1953</v>
      </c>
      <c r="V4448" s="422" t="s">
        <v>2813</v>
      </c>
    </row>
    <row r="4449" spans="1:22" ht="15.75" thickBot="1" x14ac:dyDescent="0.3">
      <c r="A4449" t="s">
        <v>4587</v>
      </c>
      <c r="B4449" t="s">
        <v>4587</v>
      </c>
      <c r="C4449" s="424" t="str">
        <f t="shared" si="181"/>
        <v>Vizur Transportes, Unipessoal LDA.</v>
      </c>
      <c r="D4449" t="s">
        <v>629</v>
      </c>
      <c r="F4449" t="s">
        <v>620</v>
      </c>
      <c r="G4449" s="89">
        <v>2006</v>
      </c>
      <c r="H4449" s="313" t="s">
        <v>731</v>
      </c>
      <c r="I4449" s="311" t="str">
        <f t="shared" si="179"/>
        <v>Pesado de Passageiros M3:  : Gasóleo : E4</v>
      </c>
      <c r="J4449">
        <v>70</v>
      </c>
      <c r="K4449" s="422">
        <v>2023</v>
      </c>
      <c r="L4449">
        <v>13606</v>
      </c>
      <c r="M4449" t="s">
        <v>630</v>
      </c>
      <c r="N4449" s="131">
        <v>34644</v>
      </c>
      <c r="O4449" s="436">
        <f t="shared" si="180"/>
        <v>2425080</v>
      </c>
      <c r="P4449" s="89">
        <v>38954</v>
      </c>
      <c r="Q4449" s="422" t="s">
        <v>47</v>
      </c>
      <c r="R4449" s="422" t="s">
        <v>1869</v>
      </c>
      <c r="S4449" s="422" t="s">
        <v>1861</v>
      </c>
      <c r="T4449" t="s">
        <v>5191</v>
      </c>
      <c r="U4449" s="422" t="s">
        <v>1953</v>
      </c>
      <c r="V4449" s="422" t="s">
        <v>2813</v>
      </c>
    </row>
    <row r="4450" spans="1:22" ht="15.75" thickBot="1" x14ac:dyDescent="0.3">
      <c r="A4450" t="s">
        <v>4587</v>
      </c>
      <c r="B4450" t="s">
        <v>4587</v>
      </c>
      <c r="C4450" s="424" t="str">
        <f t="shared" si="181"/>
        <v>Vizur Transportes, Unipessoal LDA.</v>
      </c>
      <c r="D4450" t="s">
        <v>629</v>
      </c>
      <c r="F4450" t="s">
        <v>620</v>
      </c>
      <c r="G4450" s="89">
        <v>2004</v>
      </c>
      <c r="H4450" s="313" t="s">
        <v>731</v>
      </c>
      <c r="I4450" s="311" t="str">
        <f t="shared" ref="I4450:I4513" si="182">D4450&amp;": "&amp;E4450&amp;" : "&amp;F4450&amp;" : "&amp;H4450</f>
        <v>Pesado de Passageiros M3:  : Gasóleo : E4</v>
      </c>
      <c r="J4450">
        <v>76</v>
      </c>
      <c r="K4450" s="422">
        <v>2023</v>
      </c>
      <c r="L4450">
        <v>13634</v>
      </c>
      <c r="M4450" t="s">
        <v>630</v>
      </c>
      <c r="N4450" s="131">
        <v>33367</v>
      </c>
      <c r="O4450" s="436">
        <f t="shared" ref="O4450:O4513" si="183">N4450*J4450</f>
        <v>2535892</v>
      </c>
      <c r="P4450" s="89">
        <v>38247</v>
      </c>
      <c r="Q4450" s="422" t="s">
        <v>47</v>
      </c>
      <c r="R4450" s="422" t="s">
        <v>1869</v>
      </c>
      <c r="S4450" s="422" t="s">
        <v>1861</v>
      </c>
      <c r="T4450" t="s">
        <v>5192</v>
      </c>
      <c r="U4450" s="422" t="s">
        <v>1953</v>
      </c>
      <c r="V4450" s="422" t="s">
        <v>2813</v>
      </c>
    </row>
    <row r="4451" spans="1:22" ht="15.75" thickBot="1" x14ac:dyDescent="0.3">
      <c r="A4451" t="s">
        <v>4587</v>
      </c>
      <c r="B4451" t="s">
        <v>4587</v>
      </c>
      <c r="C4451" s="424" t="str">
        <f t="shared" si="181"/>
        <v>Vizur Transportes, Unipessoal LDA.</v>
      </c>
      <c r="D4451" t="s">
        <v>629</v>
      </c>
      <c r="F4451" t="s">
        <v>620</v>
      </c>
      <c r="G4451" s="89">
        <v>2007</v>
      </c>
      <c r="H4451" s="313" t="s">
        <v>731</v>
      </c>
      <c r="I4451" s="311" t="str">
        <f t="shared" si="182"/>
        <v>Pesado de Passageiros M3:  : Gasóleo : E4</v>
      </c>
      <c r="J4451">
        <v>72</v>
      </c>
      <c r="K4451" s="422">
        <v>2023</v>
      </c>
      <c r="L4451">
        <v>13832</v>
      </c>
      <c r="M4451" t="s">
        <v>630</v>
      </c>
      <c r="N4451" s="131">
        <v>33249</v>
      </c>
      <c r="O4451" s="436">
        <f t="shared" si="183"/>
        <v>2393928</v>
      </c>
      <c r="P4451" s="89">
        <v>39321</v>
      </c>
      <c r="Q4451" s="422" t="s">
        <v>47</v>
      </c>
      <c r="R4451" s="422" t="s">
        <v>1869</v>
      </c>
      <c r="S4451" s="422" t="s">
        <v>1861</v>
      </c>
      <c r="T4451" t="s">
        <v>5193</v>
      </c>
      <c r="U4451" s="422" t="s">
        <v>1953</v>
      </c>
      <c r="V4451" s="422" t="s">
        <v>2813</v>
      </c>
    </row>
    <row r="4452" spans="1:22" ht="15.75" thickBot="1" x14ac:dyDescent="0.3">
      <c r="A4452" t="s">
        <v>4587</v>
      </c>
      <c r="B4452" t="s">
        <v>4587</v>
      </c>
      <c r="C4452" s="424" t="str">
        <f t="shared" si="181"/>
        <v>Vizur Transportes, Unipessoal LDA.</v>
      </c>
      <c r="D4452" t="s">
        <v>629</v>
      </c>
      <c r="F4452" t="s">
        <v>620</v>
      </c>
      <c r="G4452" s="89">
        <v>2004</v>
      </c>
      <c r="H4452" s="313" t="s">
        <v>731</v>
      </c>
      <c r="I4452" s="311" t="str">
        <f t="shared" si="182"/>
        <v>Pesado de Passageiros M3:  : Gasóleo : E4</v>
      </c>
      <c r="J4452">
        <v>73</v>
      </c>
      <c r="K4452" s="422">
        <v>2023</v>
      </c>
      <c r="L4452">
        <v>20127</v>
      </c>
      <c r="M4452" t="s">
        <v>630</v>
      </c>
      <c r="N4452" s="131">
        <v>53636</v>
      </c>
      <c r="O4452" s="436">
        <f t="shared" si="183"/>
        <v>3915428</v>
      </c>
      <c r="P4452" s="89">
        <v>37991</v>
      </c>
      <c r="Q4452" s="422" t="s">
        <v>47</v>
      </c>
      <c r="R4452" s="422" t="s">
        <v>1869</v>
      </c>
      <c r="S4452" s="422" t="s">
        <v>1861</v>
      </c>
      <c r="T4452" t="s">
        <v>5194</v>
      </c>
      <c r="U4452" s="422" t="s">
        <v>1953</v>
      </c>
      <c r="V4452" s="422" t="s">
        <v>2813</v>
      </c>
    </row>
    <row r="4453" spans="1:22" ht="15.75" thickBot="1" x14ac:dyDescent="0.3">
      <c r="A4453" t="s">
        <v>4587</v>
      </c>
      <c r="B4453" t="s">
        <v>4587</v>
      </c>
      <c r="C4453" s="424" t="str">
        <f t="shared" si="181"/>
        <v>Vizur Transportes, Unipessoal LDA.</v>
      </c>
      <c r="D4453" t="s">
        <v>629</v>
      </c>
      <c r="F4453" t="s">
        <v>620</v>
      </c>
      <c r="G4453" s="89">
        <v>2006</v>
      </c>
      <c r="H4453" s="313" t="s">
        <v>731</v>
      </c>
      <c r="I4453" s="311" t="str">
        <f t="shared" si="182"/>
        <v>Pesado de Passageiros M3:  : Gasóleo : E4</v>
      </c>
      <c r="J4453">
        <v>92</v>
      </c>
      <c r="K4453" s="422">
        <v>2023</v>
      </c>
      <c r="L4453">
        <v>18502</v>
      </c>
      <c r="M4453" t="s">
        <v>630</v>
      </c>
      <c r="N4453" s="131">
        <v>41952</v>
      </c>
      <c r="O4453" s="436">
        <f t="shared" si="183"/>
        <v>3859584</v>
      </c>
      <c r="P4453" s="89">
        <v>39034</v>
      </c>
      <c r="Q4453" s="422" t="s">
        <v>47</v>
      </c>
      <c r="R4453" s="422" t="s">
        <v>1869</v>
      </c>
      <c r="S4453" s="422" t="s">
        <v>1861</v>
      </c>
      <c r="T4453" t="s">
        <v>5195</v>
      </c>
      <c r="U4453" s="422" t="s">
        <v>1953</v>
      </c>
      <c r="V4453" s="422" t="s">
        <v>2813</v>
      </c>
    </row>
    <row r="4454" spans="1:22" ht="15.75" thickBot="1" x14ac:dyDescent="0.3">
      <c r="A4454" t="s">
        <v>4587</v>
      </c>
      <c r="B4454" t="s">
        <v>4587</v>
      </c>
      <c r="C4454" s="424" t="str">
        <f t="shared" si="181"/>
        <v>Vizur Transportes, Unipessoal LDA.</v>
      </c>
      <c r="D4454" t="s">
        <v>629</v>
      </c>
      <c r="F4454" t="s">
        <v>620</v>
      </c>
      <c r="G4454" s="89">
        <v>2007</v>
      </c>
      <c r="H4454" s="313" t="s">
        <v>731</v>
      </c>
      <c r="I4454" s="311" t="str">
        <f t="shared" si="182"/>
        <v>Pesado de Passageiros M3:  : Gasóleo : E4</v>
      </c>
      <c r="J4454">
        <v>81</v>
      </c>
      <c r="K4454" s="422">
        <v>2023</v>
      </c>
      <c r="L4454">
        <v>20282</v>
      </c>
      <c r="M4454" t="s">
        <v>630</v>
      </c>
      <c r="N4454" s="131">
        <v>56106</v>
      </c>
      <c r="O4454" s="436">
        <f t="shared" si="183"/>
        <v>4544586</v>
      </c>
      <c r="P4454" s="89">
        <v>39394</v>
      </c>
      <c r="Q4454" s="422" t="s">
        <v>47</v>
      </c>
      <c r="R4454" s="422" t="s">
        <v>1869</v>
      </c>
      <c r="S4454" s="422" t="s">
        <v>1861</v>
      </c>
      <c r="T4454" t="s">
        <v>5196</v>
      </c>
      <c r="U4454" s="422" t="s">
        <v>1953</v>
      </c>
      <c r="V4454" s="422" t="s">
        <v>2813</v>
      </c>
    </row>
    <row r="4455" spans="1:22" ht="15.75" thickBot="1" x14ac:dyDescent="0.3">
      <c r="A4455" t="s">
        <v>4587</v>
      </c>
      <c r="B4455" t="s">
        <v>4587</v>
      </c>
      <c r="C4455" s="424" t="str">
        <f t="shared" si="181"/>
        <v>Vizur Transportes, Unipessoal LDA.</v>
      </c>
      <c r="D4455" t="s">
        <v>629</v>
      </c>
      <c r="F4455" t="s">
        <v>620</v>
      </c>
      <c r="G4455" s="89">
        <v>2007</v>
      </c>
      <c r="H4455" s="313" t="s">
        <v>731</v>
      </c>
      <c r="I4455" s="311" t="str">
        <f t="shared" si="182"/>
        <v>Pesado de Passageiros M3:  : Gasóleo : E4</v>
      </c>
      <c r="J4455">
        <v>72</v>
      </c>
      <c r="K4455" s="422">
        <v>2023</v>
      </c>
      <c r="L4455">
        <v>20659</v>
      </c>
      <c r="M4455" t="s">
        <v>630</v>
      </c>
      <c r="N4455" s="131">
        <v>62770</v>
      </c>
      <c r="O4455" s="436">
        <f t="shared" si="183"/>
        <v>4519440</v>
      </c>
      <c r="P4455" s="89">
        <v>39317</v>
      </c>
      <c r="Q4455" s="422" t="s">
        <v>47</v>
      </c>
      <c r="R4455" s="422" t="s">
        <v>1869</v>
      </c>
      <c r="S4455" s="422" t="s">
        <v>1861</v>
      </c>
      <c r="T4455" t="s">
        <v>5197</v>
      </c>
      <c r="U4455" s="422" t="s">
        <v>1953</v>
      </c>
      <c r="V4455" s="422" t="s">
        <v>2813</v>
      </c>
    </row>
    <row r="4456" spans="1:22" ht="15.75" thickBot="1" x14ac:dyDescent="0.3">
      <c r="A4456" t="s">
        <v>4587</v>
      </c>
      <c r="B4456" t="s">
        <v>4587</v>
      </c>
      <c r="C4456" s="424" t="str">
        <f t="shared" si="181"/>
        <v>Vizur Transportes, Unipessoal LDA.</v>
      </c>
      <c r="D4456" t="s">
        <v>629</v>
      </c>
      <c r="F4456" t="s">
        <v>620</v>
      </c>
      <c r="G4456" s="89">
        <v>2007</v>
      </c>
      <c r="H4456" s="313" t="s">
        <v>731</v>
      </c>
      <c r="I4456" s="311" t="str">
        <f t="shared" si="182"/>
        <v>Pesado de Passageiros M3:  : Gasóleo : E4</v>
      </c>
      <c r="J4456">
        <v>72</v>
      </c>
      <c r="K4456" s="422">
        <v>2023</v>
      </c>
      <c r="L4456">
        <v>16567</v>
      </c>
      <c r="M4456" t="s">
        <v>630</v>
      </c>
      <c r="N4456" s="131">
        <v>42531</v>
      </c>
      <c r="O4456" s="436">
        <f t="shared" si="183"/>
        <v>3062232</v>
      </c>
      <c r="P4456" s="89">
        <v>39084</v>
      </c>
      <c r="Q4456" s="422" t="s">
        <v>47</v>
      </c>
      <c r="R4456" s="422" t="s">
        <v>1869</v>
      </c>
      <c r="S4456" s="422" t="s">
        <v>1861</v>
      </c>
      <c r="T4456" t="s">
        <v>5198</v>
      </c>
      <c r="U4456" s="422" t="s">
        <v>1953</v>
      </c>
      <c r="V4456" s="422" t="s">
        <v>2813</v>
      </c>
    </row>
    <row r="4457" spans="1:22" ht="15.75" thickBot="1" x14ac:dyDescent="0.3">
      <c r="A4457" t="s">
        <v>4587</v>
      </c>
      <c r="B4457" t="s">
        <v>4587</v>
      </c>
      <c r="C4457" s="424" t="str">
        <f t="shared" si="181"/>
        <v>Vizur Transportes, Unipessoal LDA.</v>
      </c>
      <c r="D4457" t="s">
        <v>629</v>
      </c>
      <c r="F4457" t="s">
        <v>620</v>
      </c>
      <c r="G4457" s="89">
        <v>2009</v>
      </c>
      <c r="H4457" s="313" t="s">
        <v>731</v>
      </c>
      <c r="I4457" s="311" t="str">
        <f t="shared" si="182"/>
        <v>Pesado de Passageiros M3:  : Gasóleo : E4</v>
      </c>
      <c r="J4457">
        <v>76</v>
      </c>
      <c r="K4457" s="422">
        <v>2023</v>
      </c>
      <c r="L4457">
        <v>17484</v>
      </c>
      <c r="M4457" t="s">
        <v>630</v>
      </c>
      <c r="N4457" s="131">
        <v>46469</v>
      </c>
      <c r="O4457" s="436">
        <f t="shared" si="183"/>
        <v>3531644</v>
      </c>
      <c r="P4457" s="89">
        <v>40092</v>
      </c>
      <c r="Q4457" s="422" t="s">
        <v>47</v>
      </c>
      <c r="R4457" s="422" t="s">
        <v>1869</v>
      </c>
      <c r="S4457" s="422" t="s">
        <v>1861</v>
      </c>
      <c r="T4457" t="s">
        <v>5199</v>
      </c>
      <c r="U4457" s="422" t="s">
        <v>1953</v>
      </c>
      <c r="V4457" s="422" t="s">
        <v>2813</v>
      </c>
    </row>
    <row r="4458" spans="1:22" ht="15.75" thickBot="1" x14ac:dyDescent="0.3">
      <c r="A4458" t="s">
        <v>4587</v>
      </c>
      <c r="B4458" t="s">
        <v>4587</v>
      </c>
      <c r="C4458" s="424" t="str">
        <f t="shared" si="181"/>
        <v>Vizur Transportes, Unipessoal LDA.</v>
      </c>
      <c r="D4458" t="s">
        <v>629</v>
      </c>
      <c r="F4458" t="s">
        <v>620</v>
      </c>
      <c r="G4458" s="89">
        <v>2008</v>
      </c>
      <c r="H4458" s="313" t="s">
        <v>731</v>
      </c>
      <c r="I4458" s="311" t="str">
        <f t="shared" si="182"/>
        <v>Pesado de Passageiros M3:  : Gasóleo : E4</v>
      </c>
      <c r="J4458">
        <v>74</v>
      </c>
      <c r="K4458" s="422">
        <v>2023</v>
      </c>
      <c r="L4458">
        <v>12644</v>
      </c>
      <c r="M4458" t="s">
        <v>630</v>
      </c>
      <c r="N4458" s="131">
        <v>28768</v>
      </c>
      <c r="O4458" s="436">
        <f t="shared" si="183"/>
        <v>2128832</v>
      </c>
      <c r="P4458" s="89">
        <v>39477</v>
      </c>
      <c r="Q4458" s="422" t="s">
        <v>47</v>
      </c>
      <c r="R4458" s="422" t="s">
        <v>1869</v>
      </c>
      <c r="S4458" s="422" t="s">
        <v>1861</v>
      </c>
      <c r="T4458" t="s">
        <v>5200</v>
      </c>
      <c r="U4458" s="422" t="s">
        <v>1953</v>
      </c>
      <c r="V4458" s="422" t="s">
        <v>2813</v>
      </c>
    </row>
    <row r="4459" spans="1:22" ht="15.75" thickBot="1" x14ac:dyDescent="0.3">
      <c r="A4459" t="s">
        <v>4587</v>
      </c>
      <c r="B4459" t="s">
        <v>4587</v>
      </c>
      <c r="C4459" s="424" t="str">
        <f t="shared" si="181"/>
        <v>Vizur Transportes, Unipessoal LDA.</v>
      </c>
      <c r="D4459" t="s">
        <v>629</v>
      </c>
      <c r="F4459" t="s">
        <v>620</v>
      </c>
      <c r="G4459" s="89">
        <v>2007</v>
      </c>
      <c r="H4459" s="313" t="s">
        <v>731</v>
      </c>
      <c r="I4459" s="311" t="str">
        <f t="shared" si="182"/>
        <v>Pesado de Passageiros M3:  : Gasóleo : E4</v>
      </c>
      <c r="J4459">
        <v>72</v>
      </c>
      <c r="K4459" s="422">
        <v>2023</v>
      </c>
      <c r="L4459">
        <v>16252</v>
      </c>
      <c r="M4459" t="s">
        <v>630</v>
      </c>
      <c r="N4459" s="131">
        <v>38365</v>
      </c>
      <c r="O4459" s="436">
        <f t="shared" si="183"/>
        <v>2762280</v>
      </c>
      <c r="P4459" s="89">
        <v>39316</v>
      </c>
      <c r="Q4459" s="422" t="s">
        <v>47</v>
      </c>
      <c r="R4459" s="422" t="s">
        <v>1869</v>
      </c>
      <c r="S4459" s="422" t="s">
        <v>1861</v>
      </c>
      <c r="T4459" t="s">
        <v>5201</v>
      </c>
      <c r="U4459" s="422" t="s">
        <v>1953</v>
      </c>
      <c r="V4459" s="422" t="s">
        <v>2813</v>
      </c>
    </row>
    <row r="4460" spans="1:22" ht="15.75" thickBot="1" x14ac:dyDescent="0.3">
      <c r="A4460" t="s">
        <v>4587</v>
      </c>
      <c r="B4460" t="s">
        <v>4587</v>
      </c>
      <c r="C4460" s="424" t="str">
        <f t="shared" si="181"/>
        <v>Vizur Transportes, Unipessoal LDA.</v>
      </c>
      <c r="D4460" t="s">
        <v>629</v>
      </c>
      <c r="F4460" t="s">
        <v>620</v>
      </c>
      <c r="G4460" s="89">
        <v>2009</v>
      </c>
      <c r="H4460" s="313" t="s">
        <v>731</v>
      </c>
      <c r="I4460" s="311" t="str">
        <f t="shared" si="182"/>
        <v>Pesado de Passageiros M3:  : Gasóleo : E4</v>
      </c>
      <c r="J4460">
        <v>73</v>
      </c>
      <c r="K4460" s="422">
        <v>2023</v>
      </c>
      <c r="L4460">
        <v>26593</v>
      </c>
      <c r="M4460" t="s">
        <v>630</v>
      </c>
      <c r="N4460" s="131">
        <v>73707</v>
      </c>
      <c r="O4460" s="436">
        <f t="shared" si="183"/>
        <v>5380611</v>
      </c>
      <c r="P4460" s="89">
        <v>40070</v>
      </c>
      <c r="Q4460" s="422" t="s">
        <v>47</v>
      </c>
      <c r="R4460" s="422" t="s">
        <v>1869</v>
      </c>
      <c r="S4460" s="422" t="s">
        <v>1861</v>
      </c>
      <c r="T4460" t="s">
        <v>5202</v>
      </c>
      <c r="U4460" s="422" t="s">
        <v>1953</v>
      </c>
      <c r="V4460" s="422" t="s">
        <v>2813</v>
      </c>
    </row>
    <row r="4461" spans="1:22" ht="15.75" thickBot="1" x14ac:dyDescent="0.3">
      <c r="A4461" t="s">
        <v>4587</v>
      </c>
      <c r="B4461" t="s">
        <v>4587</v>
      </c>
      <c r="C4461" s="424" t="str">
        <f t="shared" si="181"/>
        <v>Vizur Transportes, Unipessoal LDA.</v>
      </c>
      <c r="D4461" t="s">
        <v>629</v>
      </c>
      <c r="F4461" t="s">
        <v>620</v>
      </c>
      <c r="G4461" s="89">
        <v>2004</v>
      </c>
      <c r="H4461" s="313" t="s">
        <v>731</v>
      </c>
      <c r="I4461" s="311" t="str">
        <f t="shared" si="182"/>
        <v>Pesado de Passageiros M3:  : Gasóleo : E4</v>
      </c>
      <c r="J4461">
        <v>51</v>
      </c>
      <c r="K4461" s="422">
        <v>2023</v>
      </c>
      <c r="L4461">
        <v>13411</v>
      </c>
      <c r="M4461" t="s">
        <v>630</v>
      </c>
      <c r="N4461" s="131">
        <v>42535</v>
      </c>
      <c r="O4461" s="436">
        <f t="shared" si="183"/>
        <v>2169285</v>
      </c>
      <c r="P4461" s="89">
        <v>38026</v>
      </c>
      <c r="Q4461" s="422" t="s">
        <v>47</v>
      </c>
      <c r="R4461" s="422" t="s">
        <v>1869</v>
      </c>
      <c r="S4461" s="422" t="s">
        <v>1861</v>
      </c>
      <c r="T4461" t="s">
        <v>5203</v>
      </c>
      <c r="U4461" s="422" t="s">
        <v>1953</v>
      </c>
      <c r="V4461" s="422" t="s">
        <v>2813</v>
      </c>
    </row>
    <row r="4462" spans="1:22" ht="15.75" thickBot="1" x14ac:dyDescent="0.3">
      <c r="A4462" t="s">
        <v>4587</v>
      </c>
      <c r="B4462" t="s">
        <v>4587</v>
      </c>
      <c r="C4462" s="424" t="str">
        <f t="shared" si="181"/>
        <v>Vizur Transportes, Unipessoal LDA.</v>
      </c>
      <c r="D4462" t="s">
        <v>629</v>
      </c>
      <c r="F4462" t="s">
        <v>620</v>
      </c>
      <c r="G4462" s="89">
        <v>2013</v>
      </c>
      <c r="H4462" s="313" t="s">
        <v>731</v>
      </c>
      <c r="I4462" s="311" t="str">
        <f t="shared" si="182"/>
        <v>Pesado de Passageiros M3:  : Gasóleo : E4</v>
      </c>
      <c r="J4462">
        <v>18</v>
      </c>
      <c r="K4462" s="422">
        <v>2023</v>
      </c>
      <c r="L4462">
        <v>660</v>
      </c>
      <c r="M4462" t="s">
        <v>630</v>
      </c>
      <c r="N4462" s="131">
        <v>3697</v>
      </c>
      <c r="O4462" s="436">
        <f t="shared" si="183"/>
        <v>66546</v>
      </c>
      <c r="P4462" s="89">
        <v>41383</v>
      </c>
      <c r="Q4462" s="422" t="s">
        <v>47</v>
      </c>
      <c r="R4462" s="422" t="s">
        <v>1869</v>
      </c>
      <c r="S4462" s="422" t="s">
        <v>1861</v>
      </c>
      <c r="T4462" t="s">
        <v>5204</v>
      </c>
      <c r="U4462" s="422" t="s">
        <v>1953</v>
      </c>
      <c r="V4462" s="422" t="s">
        <v>2813</v>
      </c>
    </row>
    <row r="4463" spans="1:22" ht="15.75" thickBot="1" x14ac:dyDescent="0.3">
      <c r="A4463" t="s">
        <v>4587</v>
      </c>
      <c r="B4463" t="s">
        <v>4587</v>
      </c>
      <c r="C4463" s="424" t="str">
        <f t="shared" si="181"/>
        <v>Vizur Transportes, Unipessoal LDA.</v>
      </c>
      <c r="D4463" t="s">
        <v>629</v>
      </c>
      <c r="F4463" t="s">
        <v>620</v>
      </c>
      <c r="G4463" s="89">
        <v>2018</v>
      </c>
      <c r="H4463" s="313" t="s">
        <v>733</v>
      </c>
      <c r="I4463" s="311" t="str">
        <f t="shared" si="182"/>
        <v>Pesado de Passageiros M3:  : Gasóleo : E6</v>
      </c>
      <c r="J4463">
        <v>33</v>
      </c>
      <c r="K4463" s="422">
        <v>2023</v>
      </c>
      <c r="L4463">
        <v>4883</v>
      </c>
      <c r="M4463" t="s">
        <v>630</v>
      </c>
      <c r="N4463" s="131">
        <v>24696</v>
      </c>
      <c r="O4463" s="436">
        <f t="shared" si="183"/>
        <v>814968</v>
      </c>
      <c r="P4463" s="89">
        <v>43257</v>
      </c>
      <c r="Q4463" s="422" t="s">
        <v>47</v>
      </c>
      <c r="R4463" s="422" t="s">
        <v>1869</v>
      </c>
      <c r="S4463" s="422" t="s">
        <v>1861</v>
      </c>
      <c r="T4463" t="s">
        <v>5205</v>
      </c>
      <c r="U4463" s="422" t="s">
        <v>1953</v>
      </c>
      <c r="V4463" s="422" t="s">
        <v>2813</v>
      </c>
    </row>
    <row r="4464" spans="1:22" ht="15.75" thickBot="1" x14ac:dyDescent="0.3">
      <c r="A4464" t="s">
        <v>4587</v>
      </c>
      <c r="B4464" t="s">
        <v>4587</v>
      </c>
      <c r="C4464" s="424" t="str">
        <f t="shared" si="181"/>
        <v>Vizur Transportes, Unipessoal LDA.</v>
      </c>
      <c r="D4464" t="s">
        <v>629</v>
      </c>
      <c r="F4464" t="s">
        <v>620</v>
      </c>
      <c r="G4464" s="89">
        <v>2018</v>
      </c>
      <c r="H4464" s="313" t="s">
        <v>733</v>
      </c>
      <c r="I4464" s="311" t="str">
        <f t="shared" si="182"/>
        <v>Pesado de Passageiros M3:  : Gasóleo : E6</v>
      </c>
      <c r="J4464">
        <v>33</v>
      </c>
      <c r="K4464" s="422">
        <v>2023</v>
      </c>
      <c r="L4464">
        <v>4841</v>
      </c>
      <c r="M4464" t="s">
        <v>630</v>
      </c>
      <c r="N4464" s="131">
        <v>24600</v>
      </c>
      <c r="O4464" s="436">
        <f t="shared" si="183"/>
        <v>811800</v>
      </c>
      <c r="P4464" s="89">
        <v>43257</v>
      </c>
      <c r="Q4464" s="422" t="s">
        <v>47</v>
      </c>
      <c r="R4464" s="422" t="s">
        <v>1869</v>
      </c>
      <c r="S4464" s="422" t="s">
        <v>1861</v>
      </c>
      <c r="T4464" t="s">
        <v>5206</v>
      </c>
      <c r="U4464" s="422" t="s">
        <v>1953</v>
      </c>
      <c r="V4464" s="422" t="s">
        <v>2813</v>
      </c>
    </row>
    <row r="4465" spans="1:22" ht="15.75" thickBot="1" x14ac:dyDescent="0.3">
      <c r="A4465" t="s">
        <v>4587</v>
      </c>
      <c r="B4465" t="s">
        <v>4587</v>
      </c>
      <c r="C4465" s="424" t="str">
        <f t="shared" si="181"/>
        <v>Vizur Transportes, Unipessoal LDA.</v>
      </c>
      <c r="D4465" t="s">
        <v>629</v>
      </c>
      <c r="F4465" t="s">
        <v>620</v>
      </c>
      <c r="G4465" s="89">
        <v>2018</v>
      </c>
      <c r="H4465" s="313" t="s">
        <v>733</v>
      </c>
      <c r="I4465" s="311" t="str">
        <f t="shared" si="182"/>
        <v>Pesado de Passageiros M3:  : Gasóleo : E6</v>
      </c>
      <c r="J4465">
        <v>33</v>
      </c>
      <c r="K4465" s="422">
        <v>2023</v>
      </c>
      <c r="L4465">
        <v>4165</v>
      </c>
      <c r="M4465" t="s">
        <v>630</v>
      </c>
      <c r="N4465" s="131">
        <v>27629</v>
      </c>
      <c r="O4465" s="436">
        <f t="shared" si="183"/>
        <v>911757</v>
      </c>
      <c r="P4465" s="89">
        <v>43257</v>
      </c>
      <c r="Q4465" s="422" t="s">
        <v>47</v>
      </c>
      <c r="R4465" s="422" t="s">
        <v>1869</v>
      </c>
      <c r="S4465" s="422" t="s">
        <v>1861</v>
      </c>
      <c r="T4465" t="s">
        <v>5207</v>
      </c>
      <c r="U4465" s="422" t="s">
        <v>1953</v>
      </c>
      <c r="V4465" s="422" t="s">
        <v>2813</v>
      </c>
    </row>
    <row r="4466" spans="1:22" ht="15.75" thickBot="1" x14ac:dyDescent="0.3">
      <c r="A4466" t="s">
        <v>4587</v>
      </c>
      <c r="B4466" t="s">
        <v>4587</v>
      </c>
      <c r="C4466" s="424" t="str">
        <f t="shared" si="181"/>
        <v>Vizur Transportes, Unipessoal LDA.</v>
      </c>
      <c r="D4466" t="s">
        <v>629</v>
      </c>
      <c r="F4466" t="s">
        <v>620</v>
      </c>
      <c r="G4466" s="89">
        <v>2018</v>
      </c>
      <c r="H4466" s="313" t="s">
        <v>733</v>
      </c>
      <c r="I4466" s="311" t="str">
        <f t="shared" si="182"/>
        <v>Pesado de Passageiros M3:  : Gasóleo : E6</v>
      </c>
      <c r="J4466">
        <v>33</v>
      </c>
      <c r="K4466" s="422">
        <v>2023</v>
      </c>
      <c r="L4466">
        <v>5723</v>
      </c>
      <c r="M4466" t="s">
        <v>630</v>
      </c>
      <c r="N4466" s="131">
        <v>28318</v>
      </c>
      <c r="O4466" s="436">
        <f t="shared" si="183"/>
        <v>934494</v>
      </c>
      <c r="P4466" s="89">
        <v>43257</v>
      </c>
      <c r="Q4466" s="422" t="s">
        <v>47</v>
      </c>
      <c r="R4466" s="422" t="s">
        <v>1869</v>
      </c>
      <c r="S4466" s="422" t="s">
        <v>1861</v>
      </c>
      <c r="T4466" t="s">
        <v>5208</v>
      </c>
      <c r="U4466" s="422" t="s">
        <v>1953</v>
      </c>
      <c r="V4466" s="422" t="s">
        <v>2813</v>
      </c>
    </row>
    <row r="4467" spans="1:22" ht="15.75" thickBot="1" x14ac:dyDescent="0.3">
      <c r="A4467" t="s">
        <v>4587</v>
      </c>
      <c r="B4467" t="s">
        <v>4587</v>
      </c>
      <c r="C4467" s="424" t="str">
        <f t="shared" si="181"/>
        <v>Vizur Transportes, Unipessoal LDA.</v>
      </c>
      <c r="D4467" t="s">
        <v>629</v>
      </c>
      <c r="F4467" t="s">
        <v>620</v>
      </c>
      <c r="G4467" s="89">
        <v>2018</v>
      </c>
      <c r="H4467" s="313" t="s">
        <v>733</v>
      </c>
      <c r="I4467" s="311" t="str">
        <f t="shared" si="182"/>
        <v>Pesado de Passageiros M3:  : Gasóleo : E6</v>
      </c>
      <c r="J4467">
        <v>33</v>
      </c>
      <c r="K4467" s="422">
        <v>2023</v>
      </c>
      <c r="L4467">
        <v>6582</v>
      </c>
      <c r="M4467" t="s">
        <v>630</v>
      </c>
      <c r="N4467" s="131">
        <v>37489</v>
      </c>
      <c r="O4467" s="436">
        <f t="shared" si="183"/>
        <v>1237137</v>
      </c>
      <c r="P4467" s="89">
        <v>43347</v>
      </c>
      <c r="Q4467" s="422" t="s">
        <v>47</v>
      </c>
      <c r="R4467" s="422" t="s">
        <v>1869</v>
      </c>
      <c r="S4467" s="422" t="s">
        <v>1861</v>
      </c>
      <c r="T4467" t="s">
        <v>5209</v>
      </c>
      <c r="U4467" s="422" t="s">
        <v>1953</v>
      </c>
      <c r="V4467" s="422" t="s">
        <v>2813</v>
      </c>
    </row>
    <row r="4468" spans="1:22" ht="15.75" thickBot="1" x14ac:dyDescent="0.3">
      <c r="A4468" t="s">
        <v>4587</v>
      </c>
      <c r="B4468" t="s">
        <v>4587</v>
      </c>
      <c r="C4468" s="424" t="str">
        <f t="shared" si="181"/>
        <v>Vizur Transportes, Unipessoal LDA.</v>
      </c>
      <c r="D4468" t="s">
        <v>629</v>
      </c>
      <c r="F4468" t="s">
        <v>620</v>
      </c>
      <c r="G4468" s="89">
        <v>2018</v>
      </c>
      <c r="H4468" s="313" t="s">
        <v>733</v>
      </c>
      <c r="I4468" s="311" t="str">
        <f t="shared" si="182"/>
        <v>Pesado de Passageiros M3:  : Gasóleo : E6</v>
      </c>
      <c r="J4468">
        <v>33</v>
      </c>
      <c r="K4468" s="422">
        <v>2023</v>
      </c>
      <c r="L4468">
        <v>5858</v>
      </c>
      <c r="M4468" t="s">
        <v>630</v>
      </c>
      <c r="N4468" s="131">
        <v>28878</v>
      </c>
      <c r="O4468" s="436">
        <f t="shared" si="183"/>
        <v>952974</v>
      </c>
      <c r="P4468" s="89">
        <v>43347</v>
      </c>
      <c r="Q4468" s="422" t="s">
        <v>47</v>
      </c>
      <c r="R4468" s="422" t="s">
        <v>1869</v>
      </c>
      <c r="S4468" s="422" t="s">
        <v>1861</v>
      </c>
      <c r="T4468" t="s">
        <v>5210</v>
      </c>
      <c r="U4468" s="422" t="s">
        <v>1953</v>
      </c>
      <c r="V4468" s="422" t="s">
        <v>2813</v>
      </c>
    </row>
    <row r="4469" spans="1:22" ht="15.75" thickBot="1" x14ac:dyDescent="0.3">
      <c r="A4469" t="s">
        <v>4587</v>
      </c>
      <c r="B4469" t="s">
        <v>4587</v>
      </c>
      <c r="C4469" s="424" t="str">
        <f t="shared" si="181"/>
        <v>Vizur Transportes, Unipessoal LDA.</v>
      </c>
      <c r="D4469" t="s">
        <v>629</v>
      </c>
      <c r="F4469" t="s">
        <v>620</v>
      </c>
      <c r="G4469" s="89">
        <v>2018</v>
      </c>
      <c r="H4469" s="313" t="s">
        <v>733</v>
      </c>
      <c r="I4469" s="311" t="str">
        <f t="shared" si="182"/>
        <v>Pesado de Passageiros M3:  : Gasóleo : E6</v>
      </c>
      <c r="J4469">
        <v>33</v>
      </c>
      <c r="K4469" s="422">
        <v>2023</v>
      </c>
      <c r="L4469">
        <v>5834</v>
      </c>
      <c r="M4469" t="s">
        <v>630</v>
      </c>
      <c r="N4469" s="131">
        <v>31634</v>
      </c>
      <c r="O4469" s="436">
        <f t="shared" si="183"/>
        <v>1043922</v>
      </c>
      <c r="P4469" s="89">
        <v>43347</v>
      </c>
      <c r="Q4469" s="422" t="s">
        <v>47</v>
      </c>
      <c r="R4469" s="422" t="s">
        <v>1869</v>
      </c>
      <c r="S4469" s="422" t="s">
        <v>1861</v>
      </c>
      <c r="T4469" t="s">
        <v>5211</v>
      </c>
      <c r="U4469" s="422" t="s">
        <v>1953</v>
      </c>
      <c r="V4469" s="422" t="s">
        <v>2813</v>
      </c>
    </row>
    <row r="4470" spans="1:22" ht="15.75" thickBot="1" x14ac:dyDescent="0.3">
      <c r="A4470" t="s">
        <v>4587</v>
      </c>
      <c r="B4470" t="s">
        <v>4587</v>
      </c>
      <c r="C4470" s="424" t="str">
        <f t="shared" si="181"/>
        <v>Vizur Transportes, Unipessoal LDA.</v>
      </c>
      <c r="D4470" t="s">
        <v>629</v>
      </c>
      <c r="F4470" t="s">
        <v>620</v>
      </c>
      <c r="G4470" s="89">
        <v>2019</v>
      </c>
      <c r="H4470" s="313" t="s">
        <v>733</v>
      </c>
      <c r="I4470" s="311" t="str">
        <f t="shared" si="182"/>
        <v>Pesado de Passageiros M3:  : Gasóleo : E6</v>
      </c>
      <c r="J4470">
        <v>54</v>
      </c>
      <c r="K4470" s="422">
        <v>2023</v>
      </c>
      <c r="L4470">
        <v>3874</v>
      </c>
      <c r="M4470" t="s">
        <v>630</v>
      </c>
      <c r="N4470" s="131">
        <v>12464</v>
      </c>
      <c r="O4470" s="436">
        <f t="shared" si="183"/>
        <v>673056</v>
      </c>
      <c r="P4470" s="89">
        <v>43500</v>
      </c>
      <c r="Q4470" s="422" t="s">
        <v>47</v>
      </c>
      <c r="R4470" s="422" t="s">
        <v>1869</v>
      </c>
      <c r="S4470" s="422" t="s">
        <v>1861</v>
      </c>
      <c r="T4470" t="s">
        <v>5212</v>
      </c>
      <c r="U4470" s="422" t="s">
        <v>1953</v>
      </c>
      <c r="V4470" s="422" t="s">
        <v>2813</v>
      </c>
    </row>
    <row r="4471" spans="1:22" ht="15.75" thickBot="1" x14ac:dyDescent="0.3">
      <c r="A4471" t="s">
        <v>4587</v>
      </c>
      <c r="B4471" t="s">
        <v>4587</v>
      </c>
      <c r="C4471" s="424" t="str">
        <f t="shared" si="181"/>
        <v>Vizur Transportes, Unipessoal LDA.</v>
      </c>
      <c r="D4471" t="s">
        <v>629</v>
      </c>
      <c r="F4471" t="s">
        <v>620</v>
      </c>
      <c r="G4471" s="89">
        <v>2019</v>
      </c>
      <c r="H4471" s="313" t="s">
        <v>733</v>
      </c>
      <c r="I4471" s="311" t="str">
        <f t="shared" si="182"/>
        <v>Pesado de Passageiros M3:  : Gasóleo : E6</v>
      </c>
      <c r="J4471">
        <v>54</v>
      </c>
      <c r="K4471" s="422">
        <v>2023</v>
      </c>
      <c r="L4471">
        <v>1412</v>
      </c>
      <c r="M4471" t="s">
        <v>630</v>
      </c>
      <c r="N4471" s="131">
        <v>3614</v>
      </c>
      <c r="O4471" s="436">
        <f t="shared" si="183"/>
        <v>195156</v>
      </c>
      <c r="P4471" s="89">
        <v>43500</v>
      </c>
      <c r="Q4471" s="422" t="s">
        <v>47</v>
      </c>
      <c r="R4471" s="422" t="s">
        <v>1869</v>
      </c>
      <c r="S4471" s="422" t="s">
        <v>1861</v>
      </c>
      <c r="T4471" t="s">
        <v>5213</v>
      </c>
      <c r="U4471" s="422" t="s">
        <v>1953</v>
      </c>
      <c r="V4471" s="422" t="s">
        <v>2813</v>
      </c>
    </row>
    <row r="4472" spans="1:22" ht="15.75" thickBot="1" x14ac:dyDescent="0.3">
      <c r="A4472" t="s">
        <v>4587</v>
      </c>
      <c r="B4472" t="s">
        <v>4587</v>
      </c>
      <c r="C4472" s="424" t="str">
        <f t="shared" si="181"/>
        <v>Vizur Transportes, Unipessoal LDA.</v>
      </c>
      <c r="D4472" t="s">
        <v>629</v>
      </c>
      <c r="F4472" t="s">
        <v>620</v>
      </c>
      <c r="G4472" s="89">
        <v>2019</v>
      </c>
      <c r="H4472" s="313" t="s">
        <v>733</v>
      </c>
      <c r="I4472" s="311" t="str">
        <f t="shared" si="182"/>
        <v>Pesado de Passageiros M3:  : Gasóleo : E6</v>
      </c>
      <c r="J4472">
        <v>54</v>
      </c>
      <c r="K4472" s="422">
        <v>2023</v>
      </c>
      <c r="L4472">
        <v>1843</v>
      </c>
      <c r="M4472" t="s">
        <v>630</v>
      </c>
      <c r="N4472" s="131">
        <v>5700</v>
      </c>
      <c r="O4472" s="436">
        <f t="shared" si="183"/>
        <v>307800</v>
      </c>
      <c r="P4472" s="89">
        <v>43500</v>
      </c>
      <c r="Q4472" s="422" t="s">
        <v>47</v>
      </c>
      <c r="R4472" s="422" t="s">
        <v>1869</v>
      </c>
      <c r="S4472" s="422" t="s">
        <v>1861</v>
      </c>
      <c r="T4472" t="s">
        <v>5214</v>
      </c>
      <c r="U4472" s="422" t="s">
        <v>1953</v>
      </c>
      <c r="V4472" s="422" t="s">
        <v>2813</v>
      </c>
    </row>
    <row r="4473" spans="1:22" ht="15.75" thickBot="1" x14ac:dyDescent="0.3">
      <c r="A4473" t="s">
        <v>4587</v>
      </c>
      <c r="B4473" t="s">
        <v>4587</v>
      </c>
      <c r="C4473" s="424" t="str">
        <f t="shared" si="181"/>
        <v>Vizur Transportes, Unipessoal LDA.</v>
      </c>
      <c r="D4473" t="s">
        <v>629</v>
      </c>
      <c r="F4473" t="s">
        <v>620</v>
      </c>
      <c r="G4473" s="89">
        <v>2015</v>
      </c>
      <c r="H4473" s="313" t="s">
        <v>731</v>
      </c>
      <c r="I4473" s="311" t="str">
        <f t="shared" si="182"/>
        <v>Pesado de Passageiros M3:  : Gasóleo : E4</v>
      </c>
      <c r="J4473">
        <v>63</v>
      </c>
      <c r="K4473" s="422">
        <v>2023</v>
      </c>
      <c r="L4473">
        <v>3843</v>
      </c>
      <c r="M4473" t="s">
        <v>630</v>
      </c>
      <c r="N4473" s="131">
        <v>12657</v>
      </c>
      <c r="O4473" s="436">
        <f t="shared" si="183"/>
        <v>797391</v>
      </c>
      <c r="P4473" s="89">
        <v>42135</v>
      </c>
      <c r="Q4473" s="422" t="s">
        <v>47</v>
      </c>
      <c r="R4473" s="422" t="s">
        <v>1869</v>
      </c>
      <c r="S4473" s="422" t="s">
        <v>1861</v>
      </c>
      <c r="T4473" t="s">
        <v>5215</v>
      </c>
      <c r="U4473" s="422" t="s">
        <v>1953</v>
      </c>
      <c r="V4473" s="422" t="s">
        <v>2813</v>
      </c>
    </row>
    <row r="4474" spans="1:22" ht="15.75" thickBot="1" x14ac:dyDescent="0.3">
      <c r="A4474" t="s">
        <v>4587</v>
      </c>
      <c r="B4474" t="s">
        <v>4587</v>
      </c>
      <c r="C4474" s="424" t="str">
        <f t="shared" si="181"/>
        <v>Vizur Transportes, Unipessoal LDA.</v>
      </c>
      <c r="D4474" t="s">
        <v>629</v>
      </c>
      <c r="F4474" t="s">
        <v>620</v>
      </c>
      <c r="G4474" s="89">
        <v>2007</v>
      </c>
      <c r="H4474" s="313" t="s">
        <v>731</v>
      </c>
      <c r="I4474" s="311" t="str">
        <f t="shared" si="182"/>
        <v>Pesado de Passageiros M3:  : Gasóleo : E4</v>
      </c>
      <c r="J4474">
        <v>72</v>
      </c>
      <c r="K4474" s="422">
        <v>2023</v>
      </c>
      <c r="L4474">
        <v>19167</v>
      </c>
      <c r="M4474" t="s">
        <v>630</v>
      </c>
      <c r="N4474" s="131">
        <v>48678</v>
      </c>
      <c r="O4474" s="436">
        <f t="shared" si="183"/>
        <v>3504816</v>
      </c>
      <c r="P4474" s="89">
        <v>39317</v>
      </c>
      <c r="Q4474" s="422" t="s">
        <v>47</v>
      </c>
      <c r="R4474" s="422" t="s">
        <v>1869</v>
      </c>
      <c r="S4474" s="422" t="s">
        <v>1861</v>
      </c>
      <c r="T4474" t="s">
        <v>5216</v>
      </c>
      <c r="U4474" s="422" t="s">
        <v>1953</v>
      </c>
      <c r="V4474" s="422" t="s">
        <v>2813</v>
      </c>
    </row>
    <row r="4475" spans="1:22" ht="15.75" thickBot="1" x14ac:dyDescent="0.3">
      <c r="A4475" t="s">
        <v>4587</v>
      </c>
      <c r="B4475" t="s">
        <v>4587</v>
      </c>
      <c r="C4475" s="424" t="str">
        <f t="shared" si="181"/>
        <v>Vizur Transportes, Unipessoal LDA.</v>
      </c>
      <c r="D4475" t="s">
        <v>629</v>
      </c>
      <c r="F4475" t="s">
        <v>620</v>
      </c>
      <c r="G4475" s="89">
        <v>2010</v>
      </c>
      <c r="H4475" s="313" t="s">
        <v>731</v>
      </c>
      <c r="I4475" s="311" t="str">
        <f t="shared" si="182"/>
        <v>Pesado de Passageiros M3:  : Gasóleo : E4</v>
      </c>
      <c r="J4475">
        <v>71</v>
      </c>
      <c r="K4475" s="422">
        <v>2023</v>
      </c>
      <c r="L4475">
        <v>8877</v>
      </c>
      <c r="M4475" t="s">
        <v>630</v>
      </c>
      <c r="N4475" s="131">
        <v>18346</v>
      </c>
      <c r="O4475" s="436">
        <f t="shared" si="183"/>
        <v>1302566</v>
      </c>
      <c r="P4475" s="89">
        <v>40388</v>
      </c>
      <c r="Q4475" s="422" t="s">
        <v>47</v>
      </c>
      <c r="R4475" s="422" t="s">
        <v>1869</v>
      </c>
      <c r="S4475" s="422" t="s">
        <v>1861</v>
      </c>
      <c r="T4475" t="s">
        <v>5217</v>
      </c>
      <c r="U4475" s="422" t="s">
        <v>1953</v>
      </c>
      <c r="V4475" s="422" t="s">
        <v>2813</v>
      </c>
    </row>
    <row r="4476" spans="1:22" ht="15.75" thickBot="1" x14ac:dyDescent="0.3">
      <c r="A4476" t="s">
        <v>4587</v>
      </c>
      <c r="B4476" t="s">
        <v>4587</v>
      </c>
      <c r="C4476" s="424" t="str">
        <f t="shared" si="181"/>
        <v>Vizur Transportes, Unipessoal LDA.</v>
      </c>
      <c r="D4476" t="s">
        <v>629</v>
      </c>
      <c r="F4476" t="s">
        <v>620</v>
      </c>
      <c r="G4476" s="89">
        <v>2006</v>
      </c>
      <c r="H4476" s="313" t="s">
        <v>731</v>
      </c>
      <c r="I4476" s="311" t="str">
        <f t="shared" si="182"/>
        <v>Pesado de Passageiros M3:  : Gasóleo : E4</v>
      </c>
      <c r="J4476">
        <v>72</v>
      </c>
      <c r="K4476" s="422">
        <v>2023</v>
      </c>
      <c r="L4476">
        <v>17798</v>
      </c>
      <c r="M4476" t="s">
        <v>630</v>
      </c>
      <c r="N4476" s="131">
        <v>43591</v>
      </c>
      <c r="O4476" s="436">
        <f t="shared" si="183"/>
        <v>3138552</v>
      </c>
      <c r="P4476" s="89">
        <v>38719</v>
      </c>
      <c r="Q4476" s="422" t="s">
        <v>47</v>
      </c>
      <c r="R4476" s="422" t="s">
        <v>1869</v>
      </c>
      <c r="S4476" s="422" t="s">
        <v>1861</v>
      </c>
      <c r="T4476" t="s">
        <v>5218</v>
      </c>
      <c r="U4476" s="422" t="s">
        <v>1953</v>
      </c>
      <c r="V4476" s="422" t="s">
        <v>2813</v>
      </c>
    </row>
    <row r="4477" spans="1:22" ht="15.75" thickBot="1" x14ac:dyDescent="0.3">
      <c r="A4477" t="s">
        <v>4587</v>
      </c>
      <c r="B4477" t="s">
        <v>4587</v>
      </c>
      <c r="C4477" s="424" t="str">
        <f t="shared" si="181"/>
        <v>Vizur Transportes, Unipessoal LDA.</v>
      </c>
      <c r="D4477" t="s">
        <v>629</v>
      </c>
      <c r="F4477" t="s">
        <v>620</v>
      </c>
      <c r="G4477" s="89">
        <v>2008</v>
      </c>
      <c r="H4477" s="313" t="s">
        <v>731</v>
      </c>
      <c r="I4477" s="311" t="str">
        <f t="shared" si="182"/>
        <v>Pesado de Passageiros M3:  : Gasóleo : E4</v>
      </c>
      <c r="J4477">
        <v>78</v>
      </c>
      <c r="K4477" s="422">
        <v>2023</v>
      </c>
      <c r="L4477">
        <v>22916</v>
      </c>
      <c r="M4477" t="s">
        <v>630</v>
      </c>
      <c r="N4477" s="131">
        <v>55353</v>
      </c>
      <c r="O4477" s="436">
        <f t="shared" si="183"/>
        <v>4317534</v>
      </c>
      <c r="P4477" s="89">
        <v>39587</v>
      </c>
      <c r="Q4477" s="422" t="s">
        <v>47</v>
      </c>
      <c r="R4477" s="422" t="s">
        <v>1869</v>
      </c>
      <c r="S4477" s="422" t="s">
        <v>1861</v>
      </c>
      <c r="T4477" t="s">
        <v>5219</v>
      </c>
      <c r="U4477" s="422" t="s">
        <v>1953</v>
      </c>
      <c r="V4477" s="422" t="s">
        <v>2813</v>
      </c>
    </row>
    <row r="4478" spans="1:22" ht="15.75" thickBot="1" x14ac:dyDescent="0.3">
      <c r="A4478" t="s">
        <v>4587</v>
      </c>
      <c r="B4478" t="s">
        <v>4587</v>
      </c>
      <c r="C4478" s="424" t="str">
        <f t="shared" si="181"/>
        <v>Vizur Transportes, Unipessoal LDA.</v>
      </c>
      <c r="D4478" t="s">
        <v>629</v>
      </c>
      <c r="F4478" t="s">
        <v>620</v>
      </c>
      <c r="G4478" s="89">
        <v>2007</v>
      </c>
      <c r="H4478" s="313" t="s">
        <v>731</v>
      </c>
      <c r="I4478" s="311" t="str">
        <f t="shared" si="182"/>
        <v>Pesado de Passageiros M3:  : Gasóleo : E4</v>
      </c>
      <c r="J4478">
        <v>95</v>
      </c>
      <c r="K4478" s="422">
        <v>2023</v>
      </c>
      <c r="L4478">
        <v>19406</v>
      </c>
      <c r="M4478" t="s">
        <v>630</v>
      </c>
      <c r="N4478" s="131">
        <v>53380</v>
      </c>
      <c r="O4478" s="436">
        <f t="shared" si="183"/>
        <v>5071100</v>
      </c>
      <c r="P4478" s="89">
        <v>39324</v>
      </c>
      <c r="Q4478" s="422" t="s">
        <v>47</v>
      </c>
      <c r="R4478" s="422" t="s">
        <v>1869</v>
      </c>
      <c r="S4478" s="422" t="s">
        <v>1861</v>
      </c>
      <c r="T4478" t="s">
        <v>5220</v>
      </c>
      <c r="U4478" s="422" t="s">
        <v>1953</v>
      </c>
      <c r="V4478" s="422" t="s">
        <v>2813</v>
      </c>
    </row>
    <row r="4479" spans="1:22" ht="15.75" thickBot="1" x14ac:dyDescent="0.3">
      <c r="A4479" t="s">
        <v>4587</v>
      </c>
      <c r="B4479" t="s">
        <v>4587</v>
      </c>
      <c r="C4479" s="424" t="str">
        <f t="shared" si="181"/>
        <v>Vizur Transportes, Unipessoal LDA.</v>
      </c>
      <c r="D4479" t="s">
        <v>629</v>
      </c>
      <c r="F4479" t="s">
        <v>620</v>
      </c>
      <c r="G4479" s="89">
        <v>2009</v>
      </c>
      <c r="H4479" s="313" t="s">
        <v>731</v>
      </c>
      <c r="I4479" s="311" t="str">
        <f t="shared" si="182"/>
        <v>Pesado de Passageiros M3:  : Gasóleo : E4</v>
      </c>
      <c r="J4479">
        <v>80</v>
      </c>
      <c r="K4479" s="422">
        <v>2023</v>
      </c>
      <c r="L4479">
        <v>18318</v>
      </c>
      <c r="M4479" t="s">
        <v>630</v>
      </c>
      <c r="N4479" s="131">
        <v>50887</v>
      </c>
      <c r="O4479" s="436">
        <f t="shared" si="183"/>
        <v>4070960</v>
      </c>
      <c r="P4479" s="89">
        <v>39834</v>
      </c>
      <c r="Q4479" s="422" t="s">
        <v>47</v>
      </c>
      <c r="R4479" s="422" t="s">
        <v>1869</v>
      </c>
      <c r="S4479" s="422" t="s">
        <v>1861</v>
      </c>
      <c r="T4479" t="s">
        <v>5221</v>
      </c>
      <c r="U4479" s="422" t="s">
        <v>1953</v>
      </c>
      <c r="V4479" s="422" t="s">
        <v>2813</v>
      </c>
    </row>
    <row r="4480" spans="1:22" ht="15.75" thickBot="1" x14ac:dyDescent="0.3">
      <c r="A4480" t="s">
        <v>4587</v>
      </c>
      <c r="B4480" t="s">
        <v>4587</v>
      </c>
      <c r="C4480" s="424" t="str">
        <f t="shared" si="181"/>
        <v>Vizur Transportes, Unipessoal LDA.</v>
      </c>
      <c r="D4480" t="s">
        <v>629</v>
      </c>
      <c r="F4480" t="s">
        <v>620</v>
      </c>
      <c r="G4480" s="89">
        <v>2010</v>
      </c>
      <c r="H4480" s="313" t="s">
        <v>731</v>
      </c>
      <c r="I4480" s="311" t="str">
        <f t="shared" si="182"/>
        <v>Pesado de Passageiros M3:  : Gasóleo : E4</v>
      </c>
      <c r="J4480">
        <v>71</v>
      </c>
      <c r="K4480" s="422">
        <v>2023</v>
      </c>
      <c r="L4480">
        <v>20061</v>
      </c>
      <c r="M4480" t="s">
        <v>630</v>
      </c>
      <c r="N4480" s="131">
        <v>53630</v>
      </c>
      <c r="O4480" s="436">
        <f t="shared" si="183"/>
        <v>3807730</v>
      </c>
      <c r="P4480" s="89">
        <v>40388</v>
      </c>
      <c r="Q4480" s="422" t="s">
        <v>47</v>
      </c>
      <c r="R4480" s="422" t="s">
        <v>1869</v>
      </c>
      <c r="S4480" s="422" t="s">
        <v>1861</v>
      </c>
      <c r="T4480" t="s">
        <v>5222</v>
      </c>
      <c r="U4480" s="422" t="s">
        <v>1953</v>
      </c>
      <c r="V4480" s="422" t="s">
        <v>2813</v>
      </c>
    </row>
    <row r="4481" spans="1:22" ht="15.75" thickBot="1" x14ac:dyDescent="0.3">
      <c r="A4481" t="s">
        <v>4587</v>
      </c>
      <c r="B4481" t="s">
        <v>4587</v>
      </c>
      <c r="C4481" s="424" t="str">
        <f t="shared" si="181"/>
        <v>Vizur Transportes, Unipessoal LDA.</v>
      </c>
      <c r="D4481" t="s">
        <v>629</v>
      </c>
      <c r="F4481" t="s">
        <v>620</v>
      </c>
      <c r="G4481" s="89">
        <v>2012</v>
      </c>
      <c r="H4481" s="313" t="s">
        <v>731</v>
      </c>
      <c r="I4481" s="311" t="str">
        <f t="shared" si="182"/>
        <v>Pesado de Passageiros M3:  : Gasóleo : E4</v>
      </c>
      <c r="J4481">
        <v>58</v>
      </c>
      <c r="K4481" s="422">
        <v>2023</v>
      </c>
      <c r="L4481">
        <v>33717</v>
      </c>
      <c r="M4481" t="s">
        <v>630</v>
      </c>
      <c r="N4481" s="131">
        <v>108634</v>
      </c>
      <c r="O4481" s="436">
        <f t="shared" si="183"/>
        <v>6300772</v>
      </c>
      <c r="P4481" s="89">
        <v>40973</v>
      </c>
      <c r="Q4481" s="422" t="s">
        <v>47</v>
      </c>
      <c r="R4481" s="422" t="s">
        <v>1869</v>
      </c>
      <c r="S4481" s="422" t="s">
        <v>1861</v>
      </c>
      <c r="T4481" t="s">
        <v>5223</v>
      </c>
      <c r="U4481" s="422" t="s">
        <v>1953</v>
      </c>
      <c r="V4481" s="422" t="s">
        <v>2813</v>
      </c>
    </row>
    <row r="4482" spans="1:22" ht="15.75" thickBot="1" x14ac:dyDescent="0.3">
      <c r="A4482" t="s">
        <v>4587</v>
      </c>
      <c r="B4482" t="s">
        <v>4587</v>
      </c>
      <c r="C4482" s="424" t="str">
        <f t="shared" si="181"/>
        <v>Vizur Transportes, Unipessoal LDA.</v>
      </c>
      <c r="D4482" t="s">
        <v>629</v>
      </c>
      <c r="F4482" t="s">
        <v>620</v>
      </c>
      <c r="G4482" s="89">
        <v>2012</v>
      </c>
      <c r="H4482" s="313" t="s">
        <v>731</v>
      </c>
      <c r="I4482" s="311" t="str">
        <f t="shared" si="182"/>
        <v>Pesado de Passageiros M3:  : Gasóleo : E4</v>
      </c>
      <c r="J4482">
        <v>58</v>
      </c>
      <c r="K4482" s="422">
        <v>2023</v>
      </c>
      <c r="L4482">
        <v>39504</v>
      </c>
      <c r="M4482" t="s">
        <v>630</v>
      </c>
      <c r="N4482" s="131">
        <v>125755</v>
      </c>
      <c r="O4482" s="436">
        <f t="shared" si="183"/>
        <v>7293790</v>
      </c>
      <c r="P4482" s="89">
        <v>40973</v>
      </c>
      <c r="Q4482" s="422" t="s">
        <v>47</v>
      </c>
      <c r="R4482" s="422" t="s">
        <v>1869</v>
      </c>
      <c r="S4482" s="422" t="s">
        <v>1861</v>
      </c>
      <c r="T4482" t="s">
        <v>5224</v>
      </c>
      <c r="U4482" s="422" t="s">
        <v>1953</v>
      </c>
      <c r="V4482" s="422" t="s">
        <v>2813</v>
      </c>
    </row>
    <row r="4483" spans="1:22" ht="15.75" thickBot="1" x14ac:dyDescent="0.3">
      <c r="A4483" t="s">
        <v>4587</v>
      </c>
      <c r="B4483" t="s">
        <v>4587</v>
      </c>
      <c r="C4483" s="424" t="str">
        <f t="shared" si="181"/>
        <v>Vizur Transportes, Unipessoal LDA.</v>
      </c>
      <c r="D4483" t="s">
        <v>629</v>
      </c>
      <c r="F4483" t="s">
        <v>620</v>
      </c>
      <c r="G4483" s="89">
        <v>2006</v>
      </c>
      <c r="H4483" s="313" t="s">
        <v>731</v>
      </c>
      <c r="I4483" s="311" t="str">
        <f t="shared" si="182"/>
        <v>Pesado de Passageiros M3:  : Gasóleo : E4</v>
      </c>
      <c r="J4483">
        <v>78</v>
      </c>
      <c r="K4483" s="422">
        <v>2023</v>
      </c>
      <c r="L4483">
        <v>16110</v>
      </c>
      <c r="M4483" t="s">
        <v>630</v>
      </c>
      <c r="N4483" s="131">
        <v>46939</v>
      </c>
      <c r="O4483" s="436">
        <f t="shared" si="183"/>
        <v>3661242</v>
      </c>
      <c r="P4483" s="89">
        <v>38726</v>
      </c>
      <c r="Q4483" s="422" t="s">
        <v>47</v>
      </c>
      <c r="R4483" s="422" t="s">
        <v>1869</v>
      </c>
      <c r="S4483" s="422" t="s">
        <v>1861</v>
      </c>
      <c r="T4483" t="s">
        <v>5225</v>
      </c>
      <c r="U4483" s="422" t="s">
        <v>1953</v>
      </c>
      <c r="V4483" s="422" t="s">
        <v>2813</v>
      </c>
    </row>
    <row r="4484" spans="1:22" ht="15.75" thickBot="1" x14ac:dyDescent="0.3">
      <c r="A4484" t="s">
        <v>4587</v>
      </c>
      <c r="B4484" t="s">
        <v>4587</v>
      </c>
      <c r="C4484" s="424" t="str">
        <f t="shared" si="181"/>
        <v>Vizur Transportes, Unipessoal LDA.</v>
      </c>
      <c r="D4484" t="s">
        <v>629</v>
      </c>
      <c r="F4484" t="s">
        <v>620</v>
      </c>
      <c r="G4484" s="89">
        <v>2021</v>
      </c>
      <c r="H4484" s="313" t="s">
        <v>733</v>
      </c>
      <c r="I4484" s="311" t="str">
        <f t="shared" si="182"/>
        <v>Pesado de Passageiros M3:  : Gasóleo : E6</v>
      </c>
      <c r="J4484">
        <v>84</v>
      </c>
      <c r="K4484" s="422">
        <v>2023</v>
      </c>
      <c r="L4484">
        <v>27099</v>
      </c>
      <c r="M4484" t="s">
        <v>630</v>
      </c>
      <c r="N4484" s="131">
        <v>75543</v>
      </c>
      <c r="O4484" s="436">
        <f t="shared" si="183"/>
        <v>6345612</v>
      </c>
      <c r="P4484" s="89">
        <v>44200</v>
      </c>
      <c r="Q4484" s="422" t="s">
        <v>47</v>
      </c>
      <c r="R4484" s="422" t="s">
        <v>1869</v>
      </c>
      <c r="S4484" s="422" t="s">
        <v>1861</v>
      </c>
      <c r="T4484" t="s">
        <v>5226</v>
      </c>
      <c r="U4484" s="422" t="s">
        <v>1953</v>
      </c>
      <c r="V4484" s="422" t="s">
        <v>2813</v>
      </c>
    </row>
    <row r="4485" spans="1:22" ht="15.75" thickBot="1" x14ac:dyDescent="0.3">
      <c r="A4485" t="s">
        <v>4587</v>
      </c>
      <c r="B4485" t="s">
        <v>4587</v>
      </c>
      <c r="C4485" s="424" t="str">
        <f t="shared" si="181"/>
        <v>Vizur Transportes, Unipessoal LDA.</v>
      </c>
      <c r="D4485" t="s">
        <v>629</v>
      </c>
      <c r="F4485" t="s">
        <v>620</v>
      </c>
      <c r="G4485" s="89">
        <v>2021</v>
      </c>
      <c r="H4485" s="313" t="s">
        <v>733</v>
      </c>
      <c r="I4485" s="311" t="str">
        <f t="shared" si="182"/>
        <v>Pesado de Passageiros M3:  : Gasóleo : E6</v>
      </c>
      <c r="J4485">
        <v>84</v>
      </c>
      <c r="K4485" s="422">
        <v>2023</v>
      </c>
      <c r="L4485">
        <v>18267</v>
      </c>
      <c r="M4485" t="s">
        <v>630</v>
      </c>
      <c r="N4485" s="131">
        <v>48809</v>
      </c>
      <c r="O4485" s="436">
        <f t="shared" si="183"/>
        <v>4099956</v>
      </c>
      <c r="P4485" s="89">
        <v>44200</v>
      </c>
      <c r="Q4485" s="422" t="s">
        <v>47</v>
      </c>
      <c r="R4485" s="422" t="s">
        <v>1869</v>
      </c>
      <c r="S4485" s="422" t="s">
        <v>1861</v>
      </c>
      <c r="T4485" t="s">
        <v>5227</v>
      </c>
      <c r="U4485" s="422" t="s">
        <v>1953</v>
      </c>
      <c r="V4485" s="422" t="s">
        <v>2813</v>
      </c>
    </row>
    <row r="4486" spans="1:22" ht="15.75" thickBot="1" x14ac:dyDescent="0.3">
      <c r="A4486" t="s">
        <v>4587</v>
      </c>
      <c r="B4486" t="s">
        <v>4587</v>
      </c>
      <c r="C4486" s="424" t="str">
        <f t="shared" si="181"/>
        <v>Vizur Transportes, Unipessoal LDA.</v>
      </c>
      <c r="D4486" t="s">
        <v>629</v>
      </c>
      <c r="F4486" t="s">
        <v>620</v>
      </c>
      <c r="G4486" s="89">
        <v>2021</v>
      </c>
      <c r="H4486" s="313" t="s">
        <v>733</v>
      </c>
      <c r="I4486" s="311" t="str">
        <f t="shared" si="182"/>
        <v>Pesado de Passageiros M3:  : Gasóleo : E6</v>
      </c>
      <c r="J4486">
        <v>79</v>
      </c>
      <c r="K4486" s="422">
        <v>2023</v>
      </c>
      <c r="L4486">
        <v>18571</v>
      </c>
      <c r="M4486" t="s">
        <v>630</v>
      </c>
      <c r="N4486" s="131">
        <v>48146</v>
      </c>
      <c r="O4486" s="436">
        <f t="shared" si="183"/>
        <v>3803534</v>
      </c>
      <c r="P4486" s="89">
        <v>44200</v>
      </c>
      <c r="Q4486" s="422" t="s">
        <v>47</v>
      </c>
      <c r="R4486" s="422" t="s">
        <v>1869</v>
      </c>
      <c r="S4486" s="422" t="s">
        <v>1861</v>
      </c>
      <c r="T4486" t="s">
        <v>5228</v>
      </c>
      <c r="U4486" s="422" t="s">
        <v>1953</v>
      </c>
      <c r="V4486" s="422" t="s">
        <v>2813</v>
      </c>
    </row>
    <row r="4487" spans="1:22" ht="15.75" thickBot="1" x14ac:dyDescent="0.3">
      <c r="A4487" t="s">
        <v>4587</v>
      </c>
      <c r="B4487" t="s">
        <v>4587</v>
      </c>
      <c r="C4487" s="424" t="str">
        <f t="shared" si="181"/>
        <v>Vizur Transportes, Unipessoal LDA.</v>
      </c>
      <c r="D4487" t="s">
        <v>629</v>
      </c>
      <c r="F4487" t="s">
        <v>620</v>
      </c>
      <c r="G4487" s="89">
        <v>2021</v>
      </c>
      <c r="H4487" s="313" t="s">
        <v>733</v>
      </c>
      <c r="I4487" s="311" t="str">
        <f t="shared" si="182"/>
        <v>Pesado de Passageiros M3:  : Gasóleo : E6</v>
      </c>
      <c r="J4487">
        <v>79</v>
      </c>
      <c r="K4487" s="422">
        <v>2023</v>
      </c>
      <c r="L4487">
        <v>19743</v>
      </c>
      <c r="M4487" t="s">
        <v>630</v>
      </c>
      <c r="N4487" s="131">
        <v>56270</v>
      </c>
      <c r="O4487" s="436">
        <f t="shared" si="183"/>
        <v>4445330</v>
      </c>
      <c r="P4487" s="89">
        <v>44200</v>
      </c>
      <c r="Q4487" s="422" t="s">
        <v>47</v>
      </c>
      <c r="R4487" s="422" t="s">
        <v>1869</v>
      </c>
      <c r="S4487" s="422" t="s">
        <v>1861</v>
      </c>
      <c r="T4487" t="s">
        <v>5229</v>
      </c>
      <c r="U4487" s="422" t="s">
        <v>1953</v>
      </c>
      <c r="V4487" s="422" t="s">
        <v>2813</v>
      </c>
    </row>
    <row r="4488" spans="1:22" ht="15.75" thickBot="1" x14ac:dyDescent="0.3">
      <c r="A4488" t="s">
        <v>4587</v>
      </c>
      <c r="B4488" t="s">
        <v>4587</v>
      </c>
      <c r="C4488" s="424" t="str">
        <f t="shared" si="181"/>
        <v>Vizur Transportes, Unipessoal LDA.</v>
      </c>
      <c r="D4488" t="s">
        <v>629</v>
      </c>
      <c r="F4488" t="s">
        <v>620</v>
      </c>
      <c r="G4488" s="89">
        <v>2021</v>
      </c>
      <c r="H4488" s="313" t="s">
        <v>733</v>
      </c>
      <c r="I4488" s="311" t="str">
        <f t="shared" si="182"/>
        <v>Pesado de Passageiros M3:  : Gasóleo : E6</v>
      </c>
      <c r="J4488">
        <v>84</v>
      </c>
      <c r="K4488" s="422">
        <v>2023</v>
      </c>
      <c r="L4488">
        <v>35713</v>
      </c>
      <c r="M4488" t="s">
        <v>630</v>
      </c>
      <c r="N4488" s="131">
        <v>108734</v>
      </c>
      <c r="O4488" s="436">
        <f t="shared" si="183"/>
        <v>9133656</v>
      </c>
      <c r="P4488" s="89">
        <v>44228</v>
      </c>
      <c r="Q4488" s="422" t="s">
        <v>47</v>
      </c>
      <c r="R4488" s="422" t="s">
        <v>1869</v>
      </c>
      <c r="S4488" s="422" t="s">
        <v>1861</v>
      </c>
      <c r="T4488" t="s">
        <v>5230</v>
      </c>
      <c r="U4488" s="422" t="s">
        <v>1953</v>
      </c>
      <c r="V4488" s="422" t="s">
        <v>2813</v>
      </c>
    </row>
    <row r="4489" spans="1:22" ht="15.75" thickBot="1" x14ac:dyDescent="0.3">
      <c r="A4489" t="s">
        <v>4587</v>
      </c>
      <c r="B4489" t="s">
        <v>4587</v>
      </c>
      <c r="C4489" s="424" t="str">
        <f t="shared" si="181"/>
        <v>Vizur Transportes, Unipessoal LDA.</v>
      </c>
      <c r="D4489" t="s">
        <v>629</v>
      </c>
      <c r="F4489" t="s">
        <v>620</v>
      </c>
      <c r="G4489" s="89">
        <v>2021</v>
      </c>
      <c r="H4489" s="313" t="s">
        <v>733</v>
      </c>
      <c r="I4489" s="311" t="str">
        <f t="shared" si="182"/>
        <v>Pesado de Passageiros M3:  : Gasóleo : E6</v>
      </c>
      <c r="J4489">
        <v>84</v>
      </c>
      <c r="K4489" s="422">
        <v>2023</v>
      </c>
      <c r="L4489">
        <v>21445</v>
      </c>
      <c r="M4489" t="s">
        <v>630</v>
      </c>
      <c r="N4489" s="131">
        <v>63916</v>
      </c>
      <c r="O4489" s="436">
        <f t="shared" si="183"/>
        <v>5368944</v>
      </c>
      <c r="P4489" s="89">
        <v>44228</v>
      </c>
      <c r="Q4489" s="422" t="s">
        <v>47</v>
      </c>
      <c r="R4489" s="422" t="s">
        <v>1869</v>
      </c>
      <c r="S4489" s="422" t="s">
        <v>1861</v>
      </c>
      <c r="T4489" t="s">
        <v>5231</v>
      </c>
      <c r="U4489" s="422" t="s">
        <v>1953</v>
      </c>
      <c r="V4489" s="422" t="s">
        <v>2813</v>
      </c>
    </row>
    <row r="4490" spans="1:22" ht="15.75" thickBot="1" x14ac:dyDescent="0.3">
      <c r="A4490" t="s">
        <v>4587</v>
      </c>
      <c r="B4490" t="s">
        <v>4587</v>
      </c>
      <c r="C4490" s="424" t="str">
        <f t="shared" si="181"/>
        <v>Vizur Transportes, Unipessoal LDA.</v>
      </c>
      <c r="D4490" t="s">
        <v>629</v>
      </c>
      <c r="F4490" t="s">
        <v>620</v>
      </c>
      <c r="G4490" s="89">
        <v>2021</v>
      </c>
      <c r="H4490" s="313" t="s">
        <v>733</v>
      </c>
      <c r="I4490" s="311" t="str">
        <f t="shared" si="182"/>
        <v>Pesado de Passageiros M3:  : Gasóleo : E6</v>
      </c>
      <c r="J4490">
        <v>84</v>
      </c>
      <c r="K4490" s="422">
        <v>2023</v>
      </c>
      <c r="L4490">
        <v>22785</v>
      </c>
      <c r="M4490" t="s">
        <v>630</v>
      </c>
      <c r="N4490" s="131">
        <v>70791</v>
      </c>
      <c r="O4490" s="436">
        <f t="shared" si="183"/>
        <v>5946444</v>
      </c>
      <c r="P4490" s="89">
        <v>44228</v>
      </c>
      <c r="Q4490" s="422" t="s">
        <v>47</v>
      </c>
      <c r="R4490" s="422" t="s">
        <v>1869</v>
      </c>
      <c r="S4490" s="422" t="s">
        <v>1861</v>
      </c>
      <c r="T4490" t="s">
        <v>5232</v>
      </c>
      <c r="U4490" s="422" t="s">
        <v>1953</v>
      </c>
      <c r="V4490" s="422" t="s">
        <v>2813</v>
      </c>
    </row>
    <row r="4491" spans="1:22" ht="15.75" thickBot="1" x14ac:dyDescent="0.3">
      <c r="A4491" t="s">
        <v>4587</v>
      </c>
      <c r="B4491" t="s">
        <v>4587</v>
      </c>
      <c r="C4491" s="424" t="str">
        <f t="shared" si="181"/>
        <v>Vizur Transportes, Unipessoal LDA.</v>
      </c>
      <c r="D4491" t="s">
        <v>629</v>
      </c>
      <c r="F4491" t="s">
        <v>620</v>
      </c>
      <c r="G4491" s="89">
        <v>2021</v>
      </c>
      <c r="H4491" s="313" t="s">
        <v>733</v>
      </c>
      <c r="I4491" s="311" t="str">
        <f t="shared" si="182"/>
        <v>Pesado de Passageiros M3:  : Gasóleo : E6</v>
      </c>
      <c r="J4491">
        <v>84</v>
      </c>
      <c r="K4491" s="422">
        <v>2023</v>
      </c>
      <c r="L4491">
        <v>18768</v>
      </c>
      <c r="M4491" t="s">
        <v>630</v>
      </c>
      <c r="N4491" s="131">
        <v>55197</v>
      </c>
      <c r="O4491" s="436">
        <f t="shared" si="183"/>
        <v>4636548</v>
      </c>
      <c r="P4491" s="89">
        <v>44228</v>
      </c>
      <c r="Q4491" s="422" t="s">
        <v>47</v>
      </c>
      <c r="R4491" s="422" t="s">
        <v>1869</v>
      </c>
      <c r="S4491" s="422" t="s">
        <v>1861</v>
      </c>
      <c r="T4491" t="s">
        <v>5233</v>
      </c>
      <c r="U4491" s="422" t="s">
        <v>1953</v>
      </c>
      <c r="V4491" s="422" t="s">
        <v>2813</v>
      </c>
    </row>
    <row r="4492" spans="1:22" ht="15.75" thickBot="1" x14ac:dyDescent="0.3">
      <c r="A4492" t="s">
        <v>4587</v>
      </c>
      <c r="B4492" t="s">
        <v>4587</v>
      </c>
      <c r="C4492" s="424" t="str">
        <f t="shared" si="181"/>
        <v>Vizur Transportes, Unipessoal LDA.</v>
      </c>
      <c r="D4492" t="s">
        <v>629</v>
      </c>
      <c r="F4492" t="s">
        <v>620</v>
      </c>
      <c r="G4492" s="89">
        <v>2003</v>
      </c>
      <c r="H4492" s="313" t="s">
        <v>733</v>
      </c>
      <c r="I4492" s="311" t="str">
        <f t="shared" si="182"/>
        <v>Pesado de Passageiros M3:  : Gasóleo : E6</v>
      </c>
      <c r="J4492">
        <v>82</v>
      </c>
      <c r="K4492" s="422">
        <v>2023</v>
      </c>
      <c r="L4492">
        <v>1569</v>
      </c>
      <c r="M4492" t="s">
        <v>630</v>
      </c>
      <c r="N4492" s="131">
        <v>3612</v>
      </c>
      <c r="O4492" s="436">
        <f t="shared" si="183"/>
        <v>296184</v>
      </c>
      <c r="P4492" s="89">
        <v>37928</v>
      </c>
      <c r="Q4492" s="422" t="s">
        <v>47</v>
      </c>
      <c r="R4492" s="422" t="s">
        <v>1869</v>
      </c>
      <c r="S4492" s="422" t="s">
        <v>1861</v>
      </c>
      <c r="T4492" t="s">
        <v>2475</v>
      </c>
      <c r="U4492" s="422" t="s">
        <v>1953</v>
      </c>
      <c r="V4492" s="422" t="s">
        <v>2813</v>
      </c>
    </row>
    <row r="4493" spans="1:22" ht="15.75" thickBot="1" x14ac:dyDescent="0.3">
      <c r="A4493" t="s">
        <v>4587</v>
      </c>
      <c r="B4493" t="s">
        <v>4587</v>
      </c>
      <c r="C4493" s="424" t="str">
        <f t="shared" si="181"/>
        <v>Vizur Transportes, Unipessoal LDA.</v>
      </c>
      <c r="D4493" t="s">
        <v>629</v>
      </c>
      <c r="F4493" t="s">
        <v>620</v>
      </c>
      <c r="G4493" s="89">
        <v>2003</v>
      </c>
      <c r="H4493" s="313" t="s">
        <v>733</v>
      </c>
      <c r="I4493" s="311" t="str">
        <f t="shared" si="182"/>
        <v>Pesado de Passageiros M3:  : Gasóleo : E6</v>
      </c>
      <c r="J4493">
        <v>75</v>
      </c>
      <c r="K4493" s="422">
        <v>2023</v>
      </c>
      <c r="L4493">
        <v>5590</v>
      </c>
      <c r="M4493" t="s">
        <v>630</v>
      </c>
      <c r="N4493" s="131">
        <v>16731</v>
      </c>
      <c r="O4493" s="436">
        <f t="shared" si="183"/>
        <v>1254825</v>
      </c>
      <c r="P4493" s="89">
        <v>37837</v>
      </c>
      <c r="Q4493" s="422" t="s">
        <v>47</v>
      </c>
      <c r="R4493" s="422" t="s">
        <v>1869</v>
      </c>
      <c r="S4493" s="422" t="s">
        <v>1861</v>
      </c>
      <c r="T4493" t="s">
        <v>2477</v>
      </c>
      <c r="U4493" s="422" t="s">
        <v>1953</v>
      </c>
      <c r="V4493" s="422" t="s">
        <v>2813</v>
      </c>
    </row>
    <row r="4494" spans="1:22" ht="15.75" thickBot="1" x14ac:dyDescent="0.3">
      <c r="A4494" t="s">
        <v>4587</v>
      </c>
      <c r="B4494" t="s">
        <v>4587</v>
      </c>
      <c r="C4494" s="424" t="str">
        <f t="shared" si="181"/>
        <v>Vizur Transportes, Unipessoal LDA.</v>
      </c>
      <c r="D4494" t="s">
        <v>629</v>
      </c>
      <c r="F4494" t="s">
        <v>620</v>
      </c>
      <c r="G4494" s="89">
        <v>2004</v>
      </c>
      <c r="H4494" s="313" t="s">
        <v>733</v>
      </c>
      <c r="I4494" s="311" t="str">
        <f t="shared" si="182"/>
        <v>Pesado de Passageiros M3:  : Gasóleo : E6</v>
      </c>
      <c r="J4494">
        <v>84</v>
      </c>
      <c r="K4494" s="422">
        <v>2023</v>
      </c>
      <c r="L4494">
        <v>3942</v>
      </c>
      <c r="M4494" t="s">
        <v>630</v>
      </c>
      <c r="N4494" s="131">
        <v>11730</v>
      </c>
      <c r="O4494" s="436">
        <f t="shared" si="183"/>
        <v>985320</v>
      </c>
      <c r="P4494" s="89">
        <v>38293</v>
      </c>
      <c r="Q4494" s="422" t="s">
        <v>47</v>
      </c>
      <c r="R4494" s="422" t="s">
        <v>1869</v>
      </c>
      <c r="S4494" s="422" t="s">
        <v>1861</v>
      </c>
      <c r="T4494" t="s">
        <v>2478</v>
      </c>
      <c r="U4494" s="422" t="s">
        <v>1953</v>
      </c>
      <c r="V4494" s="422" t="s">
        <v>2813</v>
      </c>
    </row>
    <row r="4495" spans="1:22" ht="15.75" thickBot="1" x14ac:dyDescent="0.3">
      <c r="A4495" t="s">
        <v>4585</v>
      </c>
      <c r="B4495" t="s">
        <v>4585</v>
      </c>
      <c r="C4495" s="424" t="str">
        <f t="shared" si="181"/>
        <v>Sandbus Transportes, Unipessoal LDA.</v>
      </c>
      <c r="D4495" t="s">
        <v>629</v>
      </c>
      <c r="F4495" t="s">
        <v>4827</v>
      </c>
      <c r="G4495" s="89">
        <v>2022</v>
      </c>
      <c r="H4495" s="313" t="s">
        <v>5040</v>
      </c>
      <c r="I4495" s="311" t="str">
        <f t="shared" si="182"/>
        <v>Pesado de Passageiros M3:  : Eletrico Baterias : Eletrico</v>
      </c>
      <c r="J4495">
        <v>34</v>
      </c>
      <c r="K4495" s="422">
        <v>2023</v>
      </c>
      <c r="L4495">
        <v>0</v>
      </c>
      <c r="M4495" t="s">
        <v>630</v>
      </c>
      <c r="N4495" s="131">
        <v>54660.340000000047</v>
      </c>
      <c r="O4495" s="436">
        <f t="shared" si="183"/>
        <v>1858451.5600000017</v>
      </c>
      <c r="P4495" s="89">
        <v>44769</v>
      </c>
      <c r="Q4495" s="422" t="s">
        <v>47</v>
      </c>
      <c r="R4495" s="422" t="s">
        <v>1869</v>
      </c>
      <c r="S4495" s="422" t="s">
        <v>1861</v>
      </c>
      <c r="T4495" t="s">
        <v>5234</v>
      </c>
      <c r="U4495" s="422" t="s">
        <v>1953</v>
      </c>
      <c r="V4495" s="422" t="s">
        <v>2813</v>
      </c>
    </row>
    <row r="4496" spans="1:22" ht="15.75" thickBot="1" x14ac:dyDescent="0.3">
      <c r="A4496" t="s">
        <v>4585</v>
      </c>
      <c r="B4496" t="s">
        <v>4585</v>
      </c>
      <c r="C4496" s="424" t="str">
        <f t="shared" si="181"/>
        <v>Sandbus Transportes, Unipessoal LDA.</v>
      </c>
      <c r="D4496" t="s">
        <v>629</v>
      </c>
      <c r="F4496" s="422" t="s">
        <v>4827</v>
      </c>
      <c r="G4496" s="89">
        <v>2022</v>
      </c>
      <c r="H4496" s="313" t="s">
        <v>5040</v>
      </c>
      <c r="I4496" s="311" t="str">
        <f t="shared" si="182"/>
        <v>Pesado de Passageiros M3:  : Eletrico Baterias : Eletrico</v>
      </c>
      <c r="J4496">
        <v>34</v>
      </c>
      <c r="K4496" s="422">
        <v>2023</v>
      </c>
      <c r="L4496">
        <v>0</v>
      </c>
      <c r="M4496" t="s">
        <v>630</v>
      </c>
      <c r="N4496" s="131">
        <v>56900.490000000005</v>
      </c>
      <c r="O4496" s="436">
        <f t="shared" si="183"/>
        <v>1934616.6600000001</v>
      </c>
      <c r="P4496" s="89">
        <v>44769</v>
      </c>
      <c r="Q4496" s="422" t="s">
        <v>47</v>
      </c>
      <c r="R4496" s="422" t="s">
        <v>1869</v>
      </c>
      <c r="S4496" s="422" t="s">
        <v>1861</v>
      </c>
      <c r="T4496" t="s">
        <v>5235</v>
      </c>
      <c r="U4496" s="422" t="s">
        <v>1953</v>
      </c>
      <c r="V4496" s="422" t="s">
        <v>2813</v>
      </c>
    </row>
    <row r="4497" spans="1:22" ht="15.75" thickBot="1" x14ac:dyDescent="0.3">
      <c r="A4497" t="s">
        <v>4585</v>
      </c>
      <c r="B4497" t="s">
        <v>4585</v>
      </c>
      <c r="C4497" s="424" t="str">
        <f t="shared" si="181"/>
        <v>Sandbus Transportes, Unipessoal LDA.</v>
      </c>
      <c r="D4497" t="s">
        <v>629</v>
      </c>
      <c r="F4497" s="422" t="s">
        <v>4827</v>
      </c>
      <c r="G4497" s="89">
        <v>2022</v>
      </c>
      <c r="H4497" s="313" t="s">
        <v>5040</v>
      </c>
      <c r="I4497" s="311" t="str">
        <f t="shared" si="182"/>
        <v>Pesado de Passageiros M3:  : Eletrico Baterias : Eletrico</v>
      </c>
      <c r="J4497">
        <v>34</v>
      </c>
      <c r="K4497" s="422">
        <v>2023</v>
      </c>
      <c r="L4497">
        <v>0</v>
      </c>
      <c r="M4497" t="s">
        <v>630</v>
      </c>
      <c r="N4497" s="131">
        <v>50176.950000000063</v>
      </c>
      <c r="O4497" s="436">
        <f t="shared" si="183"/>
        <v>1706016.3000000021</v>
      </c>
      <c r="P4497" s="89">
        <v>44769</v>
      </c>
      <c r="Q4497" s="422" t="s">
        <v>47</v>
      </c>
      <c r="R4497" s="422" t="s">
        <v>1869</v>
      </c>
      <c r="S4497" s="422" t="s">
        <v>1861</v>
      </c>
      <c r="T4497" t="s">
        <v>5236</v>
      </c>
      <c r="U4497" s="422" t="s">
        <v>1953</v>
      </c>
      <c r="V4497" s="422" t="s">
        <v>2813</v>
      </c>
    </row>
    <row r="4498" spans="1:22" ht="15.75" thickBot="1" x14ac:dyDescent="0.3">
      <c r="A4498" t="s">
        <v>4585</v>
      </c>
      <c r="B4498" t="s">
        <v>4585</v>
      </c>
      <c r="C4498" s="424" t="str">
        <f t="shared" si="181"/>
        <v>Sandbus Transportes, Unipessoal LDA.</v>
      </c>
      <c r="D4498" t="s">
        <v>629</v>
      </c>
      <c r="F4498" s="422" t="s">
        <v>4827</v>
      </c>
      <c r="G4498" s="89">
        <v>2022</v>
      </c>
      <c r="H4498" s="313" t="s">
        <v>5040</v>
      </c>
      <c r="I4498" s="311" t="str">
        <f t="shared" si="182"/>
        <v>Pesado de Passageiros M3:  : Eletrico Baterias : Eletrico</v>
      </c>
      <c r="J4498">
        <v>34</v>
      </c>
      <c r="K4498" s="422">
        <v>2023</v>
      </c>
      <c r="L4498">
        <v>0</v>
      </c>
      <c r="M4498" t="s">
        <v>630</v>
      </c>
      <c r="N4498" s="131">
        <v>54243.470000000052</v>
      </c>
      <c r="O4498" s="436">
        <f t="shared" si="183"/>
        <v>1844277.9800000018</v>
      </c>
      <c r="P4498" s="89">
        <v>44769</v>
      </c>
      <c r="Q4498" s="422" t="s">
        <v>47</v>
      </c>
      <c r="R4498" s="422" t="s">
        <v>1869</v>
      </c>
      <c r="S4498" s="422" t="s">
        <v>1861</v>
      </c>
      <c r="T4498" t="s">
        <v>5237</v>
      </c>
      <c r="U4498" s="422" t="s">
        <v>1953</v>
      </c>
      <c r="V4498" s="422" t="s">
        <v>2813</v>
      </c>
    </row>
    <row r="4499" spans="1:22" ht="15.75" thickBot="1" x14ac:dyDescent="0.3">
      <c r="A4499" t="s">
        <v>4585</v>
      </c>
      <c r="B4499" t="s">
        <v>4585</v>
      </c>
      <c r="C4499" s="424" t="str">
        <f t="shared" si="181"/>
        <v>Sandbus Transportes, Unipessoal LDA.</v>
      </c>
      <c r="D4499" t="s">
        <v>629</v>
      </c>
      <c r="F4499" s="422" t="s">
        <v>4827</v>
      </c>
      <c r="G4499" s="89">
        <v>2022</v>
      </c>
      <c r="H4499" s="313" t="s">
        <v>5040</v>
      </c>
      <c r="I4499" s="311" t="str">
        <f t="shared" si="182"/>
        <v>Pesado de Passageiros M3:  : Eletrico Baterias : Eletrico</v>
      </c>
      <c r="J4499">
        <v>34</v>
      </c>
      <c r="K4499" s="422">
        <v>2023</v>
      </c>
      <c r="L4499">
        <v>0</v>
      </c>
      <c r="M4499" t="s">
        <v>630</v>
      </c>
      <c r="N4499" s="131">
        <v>47453.750000000036</v>
      </c>
      <c r="O4499" s="436">
        <f t="shared" si="183"/>
        <v>1613427.5000000012</v>
      </c>
      <c r="P4499" s="89">
        <v>44769</v>
      </c>
      <c r="Q4499" s="422" t="s">
        <v>47</v>
      </c>
      <c r="R4499" s="422" t="s">
        <v>1869</v>
      </c>
      <c r="S4499" s="422" t="s">
        <v>1861</v>
      </c>
      <c r="T4499" t="s">
        <v>5238</v>
      </c>
      <c r="U4499" s="422" t="s">
        <v>1953</v>
      </c>
      <c r="V4499" s="422" t="s">
        <v>2813</v>
      </c>
    </row>
    <row r="4500" spans="1:22" ht="15.75" thickBot="1" x14ac:dyDescent="0.3">
      <c r="A4500" t="s">
        <v>4585</v>
      </c>
      <c r="B4500" t="s">
        <v>4585</v>
      </c>
      <c r="C4500" s="424" t="str">
        <f t="shared" si="181"/>
        <v>Sandbus Transportes, Unipessoal LDA.</v>
      </c>
      <c r="D4500" t="s">
        <v>629</v>
      </c>
      <c r="F4500" t="s">
        <v>620</v>
      </c>
      <c r="G4500" s="89">
        <v>2018</v>
      </c>
      <c r="H4500" s="313" t="s">
        <v>733</v>
      </c>
      <c r="I4500" s="311" t="str">
        <f t="shared" si="182"/>
        <v>Pesado de Passageiros M3:  : Gasóleo : E6</v>
      </c>
      <c r="J4500">
        <v>27</v>
      </c>
      <c r="K4500" s="422">
        <v>2023</v>
      </c>
      <c r="L4500">
        <v>9799.91</v>
      </c>
      <c r="M4500" t="s">
        <v>630</v>
      </c>
      <c r="N4500" s="131">
        <v>48082.762219999997</v>
      </c>
      <c r="O4500" s="436">
        <f t="shared" si="183"/>
        <v>1298234.5799399999</v>
      </c>
      <c r="P4500" s="89">
        <v>43444</v>
      </c>
      <c r="Q4500" s="422" t="s">
        <v>47</v>
      </c>
      <c r="R4500" s="422" t="s">
        <v>1869</v>
      </c>
      <c r="S4500" s="422" t="s">
        <v>1861</v>
      </c>
      <c r="T4500" t="s">
        <v>5239</v>
      </c>
      <c r="U4500" s="422" t="s">
        <v>1953</v>
      </c>
      <c r="V4500" s="422" t="s">
        <v>2813</v>
      </c>
    </row>
    <row r="4501" spans="1:22" ht="15.75" thickBot="1" x14ac:dyDescent="0.3">
      <c r="A4501" t="s">
        <v>4585</v>
      </c>
      <c r="B4501" t="s">
        <v>4585</v>
      </c>
      <c r="C4501" s="424" t="str">
        <f t="shared" si="181"/>
        <v>Sandbus Transportes, Unipessoal LDA.</v>
      </c>
      <c r="D4501" t="s">
        <v>629</v>
      </c>
      <c r="F4501" s="422" t="s">
        <v>4827</v>
      </c>
      <c r="G4501" s="89">
        <v>2022</v>
      </c>
      <c r="H4501" s="313" t="s">
        <v>5040</v>
      </c>
      <c r="I4501" s="311" t="str">
        <f t="shared" si="182"/>
        <v>Pesado de Passageiros M3:  : Eletrico Baterias : Eletrico</v>
      </c>
      <c r="J4501">
        <v>34</v>
      </c>
      <c r="K4501" s="422">
        <v>2023</v>
      </c>
      <c r="L4501">
        <v>0</v>
      </c>
      <c r="M4501" t="s">
        <v>630</v>
      </c>
      <c r="N4501" s="131">
        <v>53749.530000000013</v>
      </c>
      <c r="O4501" s="436">
        <f t="shared" si="183"/>
        <v>1827484.0200000005</v>
      </c>
      <c r="P4501" s="89">
        <v>44769</v>
      </c>
      <c r="Q4501" s="422" t="s">
        <v>47</v>
      </c>
      <c r="R4501" s="422" t="s">
        <v>1869</v>
      </c>
      <c r="S4501" s="422" t="s">
        <v>1861</v>
      </c>
      <c r="T4501" t="s">
        <v>5240</v>
      </c>
      <c r="U4501" s="422" t="s">
        <v>1953</v>
      </c>
      <c r="V4501" s="422" t="s">
        <v>2813</v>
      </c>
    </row>
    <row r="4502" spans="1:22" ht="15.75" thickBot="1" x14ac:dyDescent="0.3">
      <c r="A4502" t="s">
        <v>4585</v>
      </c>
      <c r="B4502" t="s">
        <v>4585</v>
      </c>
      <c r="C4502" s="424" t="str">
        <f t="shared" si="181"/>
        <v>Sandbus Transportes, Unipessoal LDA.</v>
      </c>
      <c r="D4502" t="s">
        <v>629</v>
      </c>
      <c r="F4502" s="422" t="s">
        <v>4827</v>
      </c>
      <c r="G4502" s="89">
        <v>2022</v>
      </c>
      <c r="H4502" s="313" t="s">
        <v>5040</v>
      </c>
      <c r="I4502" s="311" t="str">
        <f t="shared" si="182"/>
        <v>Pesado de Passageiros M3:  : Eletrico Baterias : Eletrico</v>
      </c>
      <c r="J4502">
        <v>34</v>
      </c>
      <c r="K4502" s="422">
        <v>2023</v>
      </c>
      <c r="L4502">
        <v>0</v>
      </c>
      <c r="M4502" t="s">
        <v>630</v>
      </c>
      <c r="N4502" s="131">
        <v>57114.200000000041</v>
      </c>
      <c r="O4502" s="436">
        <f t="shared" si="183"/>
        <v>1941882.8000000014</v>
      </c>
      <c r="P4502" s="89">
        <v>44769</v>
      </c>
      <c r="Q4502" s="422" t="s">
        <v>47</v>
      </c>
      <c r="R4502" s="422" t="s">
        <v>1869</v>
      </c>
      <c r="S4502" s="422" t="s">
        <v>1861</v>
      </c>
      <c r="T4502" t="s">
        <v>5241</v>
      </c>
      <c r="U4502" s="422" t="s">
        <v>1953</v>
      </c>
      <c r="V4502" s="422" t="s">
        <v>2813</v>
      </c>
    </row>
    <row r="4503" spans="1:22" ht="15.75" thickBot="1" x14ac:dyDescent="0.3">
      <c r="A4503" t="s">
        <v>4585</v>
      </c>
      <c r="B4503" t="s">
        <v>4585</v>
      </c>
      <c r="C4503" s="424" t="str">
        <f t="shared" si="181"/>
        <v>Sandbus Transportes, Unipessoal LDA.</v>
      </c>
      <c r="D4503" t="s">
        <v>629</v>
      </c>
      <c r="F4503" s="422" t="s">
        <v>4827</v>
      </c>
      <c r="G4503" s="89">
        <v>2022</v>
      </c>
      <c r="H4503" s="313" t="s">
        <v>5040</v>
      </c>
      <c r="I4503" s="311" t="str">
        <f t="shared" si="182"/>
        <v>Pesado de Passageiros M3:  : Eletrico Baterias : Eletrico</v>
      </c>
      <c r="J4503">
        <v>34</v>
      </c>
      <c r="K4503" s="422">
        <v>2023</v>
      </c>
      <c r="L4503">
        <v>0</v>
      </c>
      <c r="M4503" t="s">
        <v>630</v>
      </c>
      <c r="N4503" s="131">
        <v>59190.970000000045</v>
      </c>
      <c r="O4503" s="436">
        <f t="shared" si="183"/>
        <v>2012492.9800000016</v>
      </c>
      <c r="P4503" s="89">
        <v>44769</v>
      </c>
      <c r="Q4503" s="422" t="s">
        <v>47</v>
      </c>
      <c r="R4503" s="422" t="s">
        <v>1869</v>
      </c>
      <c r="S4503" s="422" t="s">
        <v>1861</v>
      </c>
      <c r="T4503" t="s">
        <v>5242</v>
      </c>
      <c r="U4503" s="422" t="s">
        <v>1953</v>
      </c>
      <c r="V4503" s="422" t="s">
        <v>2813</v>
      </c>
    </row>
    <row r="4504" spans="1:22" ht="15.75" thickBot="1" x14ac:dyDescent="0.3">
      <c r="A4504" t="s">
        <v>4585</v>
      </c>
      <c r="B4504" t="s">
        <v>4585</v>
      </c>
      <c r="C4504" s="424" t="str">
        <f t="shared" ref="C4504:C4567" si="184">IF(A4504=B4504,B4504,RIGHT(A4504,LEN(A4504)-LEN(B4504)-3))</f>
        <v>Sandbus Transportes, Unipessoal LDA.</v>
      </c>
      <c r="D4504" t="s">
        <v>629</v>
      </c>
      <c r="F4504" s="422" t="s">
        <v>4827</v>
      </c>
      <c r="G4504" s="89">
        <v>2022</v>
      </c>
      <c r="H4504" s="313" t="s">
        <v>5040</v>
      </c>
      <c r="I4504" s="311" t="str">
        <f t="shared" si="182"/>
        <v>Pesado de Passageiros M3:  : Eletrico Baterias : Eletrico</v>
      </c>
      <c r="J4504">
        <v>34</v>
      </c>
      <c r="K4504" s="422">
        <v>2023</v>
      </c>
      <c r="L4504">
        <v>0</v>
      </c>
      <c r="M4504" t="s">
        <v>630</v>
      </c>
      <c r="N4504" s="131">
        <v>56477.650000000045</v>
      </c>
      <c r="O4504" s="436">
        <f t="shared" si="183"/>
        <v>1920240.1000000015</v>
      </c>
      <c r="P4504" s="89">
        <v>44769</v>
      </c>
      <c r="Q4504" s="422" t="s">
        <v>47</v>
      </c>
      <c r="R4504" s="422" t="s">
        <v>1869</v>
      </c>
      <c r="S4504" s="422" t="s">
        <v>1861</v>
      </c>
      <c r="T4504" t="s">
        <v>5243</v>
      </c>
      <c r="U4504" s="422" t="s">
        <v>1953</v>
      </c>
      <c r="V4504" s="422" t="s">
        <v>2813</v>
      </c>
    </row>
    <row r="4505" spans="1:22" ht="15.75" thickBot="1" x14ac:dyDescent="0.3">
      <c r="A4505" t="s">
        <v>4585</v>
      </c>
      <c r="B4505" t="s">
        <v>4585</v>
      </c>
      <c r="C4505" s="424" t="str">
        <f t="shared" si="184"/>
        <v>Sandbus Transportes, Unipessoal LDA.</v>
      </c>
      <c r="D4505" t="s">
        <v>629</v>
      </c>
      <c r="F4505" s="422" t="s">
        <v>4827</v>
      </c>
      <c r="G4505" s="89">
        <v>2022</v>
      </c>
      <c r="H4505" s="313" t="s">
        <v>5040</v>
      </c>
      <c r="I4505" s="311" t="str">
        <f t="shared" si="182"/>
        <v>Pesado de Passageiros M3:  : Eletrico Baterias : Eletrico</v>
      </c>
      <c r="J4505">
        <v>34</v>
      </c>
      <c r="K4505" s="422">
        <v>2023</v>
      </c>
      <c r="L4505">
        <v>0</v>
      </c>
      <c r="M4505" t="s">
        <v>630</v>
      </c>
      <c r="N4505" s="131">
        <v>58358.62</v>
      </c>
      <c r="O4505" s="436">
        <f t="shared" si="183"/>
        <v>1984193.08</v>
      </c>
      <c r="P4505" s="89">
        <v>44769</v>
      </c>
      <c r="Q4505" s="422" t="s">
        <v>47</v>
      </c>
      <c r="R4505" s="422" t="s">
        <v>1869</v>
      </c>
      <c r="S4505" s="422" t="s">
        <v>1861</v>
      </c>
      <c r="T4505" t="s">
        <v>5244</v>
      </c>
      <c r="U4505" s="422" t="s">
        <v>1953</v>
      </c>
      <c r="V4505" s="422" t="s">
        <v>2813</v>
      </c>
    </row>
    <row r="4506" spans="1:22" ht="15.75" thickBot="1" x14ac:dyDescent="0.3">
      <c r="A4506" t="s">
        <v>4585</v>
      </c>
      <c r="B4506" t="s">
        <v>4585</v>
      </c>
      <c r="C4506" s="424" t="str">
        <f t="shared" si="184"/>
        <v>Sandbus Transportes, Unipessoal LDA.</v>
      </c>
      <c r="D4506" t="s">
        <v>629</v>
      </c>
      <c r="F4506" s="422" t="s">
        <v>4827</v>
      </c>
      <c r="G4506" s="89">
        <v>2023</v>
      </c>
      <c r="H4506" s="313" t="s">
        <v>5040</v>
      </c>
      <c r="I4506" s="311" t="str">
        <f t="shared" si="182"/>
        <v>Pesado de Passageiros M3:  : Eletrico Baterias : Eletrico</v>
      </c>
      <c r="J4506">
        <v>34</v>
      </c>
      <c r="K4506" s="422">
        <v>2023</v>
      </c>
      <c r="L4506">
        <v>0</v>
      </c>
      <c r="M4506" t="s">
        <v>630</v>
      </c>
      <c r="N4506" s="131">
        <v>19588.290000000008</v>
      </c>
      <c r="O4506" s="436">
        <f t="shared" si="183"/>
        <v>666001.86000000034</v>
      </c>
      <c r="P4506" s="89">
        <v>45020</v>
      </c>
      <c r="Q4506" s="422" t="s">
        <v>47</v>
      </c>
      <c r="R4506" s="422" t="s">
        <v>1869</v>
      </c>
      <c r="S4506" s="422" t="s">
        <v>1861</v>
      </c>
      <c r="T4506" t="s">
        <v>5245</v>
      </c>
      <c r="U4506" s="422" t="s">
        <v>1953</v>
      </c>
      <c r="V4506" s="422" t="s">
        <v>2813</v>
      </c>
    </row>
    <row r="4507" spans="1:22" ht="15.75" thickBot="1" x14ac:dyDescent="0.3">
      <c r="A4507" t="s">
        <v>4585</v>
      </c>
      <c r="B4507" t="s">
        <v>4585</v>
      </c>
      <c r="C4507" s="424" t="str">
        <f t="shared" si="184"/>
        <v>Sandbus Transportes, Unipessoal LDA.</v>
      </c>
      <c r="D4507" t="s">
        <v>629</v>
      </c>
      <c r="F4507" t="s">
        <v>620</v>
      </c>
      <c r="G4507" s="89">
        <v>2019</v>
      </c>
      <c r="H4507" s="313" t="s">
        <v>4831</v>
      </c>
      <c r="I4507" s="311" t="str">
        <f t="shared" si="182"/>
        <v>Pesado de Passageiros M3:  : Gasóleo : E7</v>
      </c>
      <c r="J4507">
        <v>17</v>
      </c>
      <c r="K4507" s="422">
        <v>2023</v>
      </c>
      <c r="L4507">
        <v>8664.1200000000008</v>
      </c>
      <c r="M4507" t="s">
        <v>630</v>
      </c>
      <c r="N4507" s="131">
        <v>43874.762219999997</v>
      </c>
      <c r="O4507" s="436">
        <f t="shared" si="183"/>
        <v>745870.95773999998</v>
      </c>
      <c r="P4507" s="89">
        <v>43573</v>
      </c>
      <c r="Q4507" s="422" t="s">
        <v>47</v>
      </c>
      <c r="R4507" s="422" t="s">
        <v>1869</v>
      </c>
      <c r="S4507" s="422" t="s">
        <v>1861</v>
      </c>
      <c r="T4507" t="s">
        <v>5246</v>
      </c>
      <c r="U4507" s="422" t="s">
        <v>1953</v>
      </c>
      <c r="V4507" s="422" t="s">
        <v>2813</v>
      </c>
    </row>
    <row r="4508" spans="1:22" ht="15.75" thickBot="1" x14ac:dyDescent="0.3">
      <c r="A4508" t="s">
        <v>4585</v>
      </c>
      <c r="B4508" t="s">
        <v>4585</v>
      </c>
      <c r="C4508" s="424" t="str">
        <f t="shared" si="184"/>
        <v>Sandbus Transportes, Unipessoal LDA.</v>
      </c>
      <c r="D4508" t="s">
        <v>629</v>
      </c>
      <c r="F4508" s="422" t="s">
        <v>4827</v>
      </c>
      <c r="G4508" s="89">
        <v>2023</v>
      </c>
      <c r="H4508" s="313" t="s">
        <v>5040</v>
      </c>
      <c r="I4508" s="311" t="str">
        <f t="shared" si="182"/>
        <v>Pesado de Passageiros M3:  : Eletrico Baterias : Eletrico</v>
      </c>
      <c r="J4508">
        <v>34</v>
      </c>
      <c r="K4508" s="422">
        <v>2023</v>
      </c>
      <c r="L4508">
        <v>0</v>
      </c>
      <c r="M4508" t="s">
        <v>630</v>
      </c>
      <c r="N4508" s="131">
        <v>20234.420000000006</v>
      </c>
      <c r="O4508" s="436">
        <f t="shared" si="183"/>
        <v>687970.28000000014</v>
      </c>
      <c r="P4508" s="89">
        <v>45020</v>
      </c>
      <c r="Q4508" s="422" t="s">
        <v>47</v>
      </c>
      <c r="R4508" s="422" t="s">
        <v>1869</v>
      </c>
      <c r="S4508" s="422" t="s">
        <v>1861</v>
      </c>
      <c r="T4508" t="s">
        <v>5247</v>
      </c>
      <c r="U4508" s="422" t="s">
        <v>1953</v>
      </c>
      <c r="V4508" s="422" t="s">
        <v>2813</v>
      </c>
    </row>
    <row r="4509" spans="1:22" ht="15.75" thickBot="1" x14ac:dyDescent="0.3">
      <c r="A4509" t="s">
        <v>4585</v>
      </c>
      <c r="B4509" t="s">
        <v>4585</v>
      </c>
      <c r="C4509" s="424" t="str">
        <f t="shared" si="184"/>
        <v>Sandbus Transportes, Unipessoal LDA.</v>
      </c>
      <c r="D4509" t="s">
        <v>629</v>
      </c>
      <c r="F4509" s="422" t="s">
        <v>4827</v>
      </c>
      <c r="G4509" s="89">
        <v>2023</v>
      </c>
      <c r="H4509" s="313" t="s">
        <v>5040</v>
      </c>
      <c r="I4509" s="311" t="str">
        <f t="shared" si="182"/>
        <v>Pesado de Passageiros M3:  : Eletrico Baterias : Eletrico</v>
      </c>
      <c r="J4509">
        <v>34</v>
      </c>
      <c r="K4509" s="422">
        <v>2023</v>
      </c>
      <c r="L4509">
        <v>0</v>
      </c>
      <c r="M4509" t="s">
        <v>630</v>
      </c>
      <c r="N4509" s="131">
        <v>22966.160000000022</v>
      </c>
      <c r="O4509" s="436">
        <f t="shared" si="183"/>
        <v>780849.44000000076</v>
      </c>
      <c r="P4509" s="89">
        <v>45020</v>
      </c>
      <c r="Q4509" s="422" t="s">
        <v>47</v>
      </c>
      <c r="R4509" s="422" t="s">
        <v>1869</v>
      </c>
      <c r="S4509" s="422" t="s">
        <v>1861</v>
      </c>
      <c r="T4509" t="s">
        <v>5248</v>
      </c>
      <c r="U4509" s="422" t="s">
        <v>1953</v>
      </c>
      <c r="V4509" s="422" t="s">
        <v>2813</v>
      </c>
    </row>
    <row r="4510" spans="1:22" ht="15.75" thickBot="1" x14ac:dyDescent="0.3">
      <c r="A4510" t="s">
        <v>4585</v>
      </c>
      <c r="B4510" t="s">
        <v>4585</v>
      </c>
      <c r="C4510" s="424" t="str">
        <f t="shared" si="184"/>
        <v>Sandbus Transportes, Unipessoal LDA.</v>
      </c>
      <c r="D4510" t="s">
        <v>629</v>
      </c>
      <c r="F4510" s="422" t="s">
        <v>4827</v>
      </c>
      <c r="G4510" s="89">
        <v>2023</v>
      </c>
      <c r="H4510" s="313" t="s">
        <v>5040</v>
      </c>
      <c r="I4510" s="311" t="str">
        <f t="shared" si="182"/>
        <v>Pesado de Passageiros M3:  : Eletrico Baterias : Eletrico</v>
      </c>
      <c r="J4510">
        <v>55</v>
      </c>
      <c r="K4510" s="422">
        <v>2023</v>
      </c>
      <c r="L4510">
        <v>0</v>
      </c>
      <c r="M4510" t="s">
        <v>630</v>
      </c>
      <c r="N4510" s="131">
        <v>15820.670000000002</v>
      </c>
      <c r="O4510" s="436">
        <f t="shared" si="183"/>
        <v>870136.85000000009</v>
      </c>
      <c r="P4510" s="89">
        <v>45020</v>
      </c>
      <c r="Q4510" s="422" t="s">
        <v>47</v>
      </c>
      <c r="R4510" s="422" t="s">
        <v>1869</v>
      </c>
      <c r="S4510" s="422" t="s">
        <v>1861</v>
      </c>
      <c r="T4510" t="s">
        <v>5249</v>
      </c>
      <c r="U4510" s="422" t="s">
        <v>1953</v>
      </c>
      <c r="V4510" s="422" t="s">
        <v>2813</v>
      </c>
    </row>
    <row r="4511" spans="1:22" ht="15.75" thickBot="1" x14ac:dyDescent="0.3">
      <c r="A4511" t="s">
        <v>4585</v>
      </c>
      <c r="B4511" t="s">
        <v>4585</v>
      </c>
      <c r="C4511" s="424" t="str">
        <f t="shared" si="184"/>
        <v>Sandbus Transportes, Unipessoal LDA.</v>
      </c>
      <c r="D4511" t="s">
        <v>629</v>
      </c>
      <c r="F4511" s="422" t="s">
        <v>4827</v>
      </c>
      <c r="G4511" s="89">
        <v>2023</v>
      </c>
      <c r="H4511" s="313" t="s">
        <v>5040</v>
      </c>
      <c r="I4511" s="311" t="str">
        <f t="shared" si="182"/>
        <v>Pesado de Passageiros M3:  : Eletrico Baterias : Eletrico</v>
      </c>
      <c r="J4511">
        <v>55</v>
      </c>
      <c r="K4511" s="422">
        <v>2023</v>
      </c>
      <c r="L4511">
        <v>0</v>
      </c>
      <c r="M4511" t="s">
        <v>630</v>
      </c>
      <c r="N4511" s="131">
        <v>18609.32</v>
      </c>
      <c r="O4511" s="436">
        <f t="shared" si="183"/>
        <v>1023512.6</v>
      </c>
      <c r="P4511" s="89">
        <v>45020</v>
      </c>
      <c r="Q4511" s="422" t="s">
        <v>47</v>
      </c>
      <c r="R4511" s="422" t="s">
        <v>1869</v>
      </c>
      <c r="S4511" s="422" t="s">
        <v>1861</v>
      </c>
      <c r="T4511" t="s">
        <v>5250</v>
      </c>
      <c r="U4511" s="422" t="s">
        <v>1953</v>
      </c>
      <c r="V4511" s="422" t="s">
        <v>2813</v>
      </c>
    </row>
    <row r="4512" spans="1:22" ht="15.75" thickBot="1" x14ac:dyDescent="0.3">
      <c r="A4512" t="s">
        <v>4585</v>
      </c>
      <c r="B4512" t="s">
        <v>4585</v>
      </c>
      <c r="C4512" s="424" t="str">
        <f t="shared" si="184"/>
        <v>Sandbus Transportes, Unipessoal LDA.</v>
      </c>
      <c r="D4512" t="s">
        <v>629</v>
      </c>
      <c r="F4512" s="422" t="s">
        <v>4827</v>
      </c>
      <c r="G4512" s="89">
        <v>2023</v>
      </c>
      <c r="H4512" s="313" t="s">
        <v>5040</v>
      </c>
      <c r="I4512" s="311" t="str">
        <f t="shared" si="182"/>
        <v>Pesado de Passageiros M3:  : Eletrico Baterias : Eletrico</v>
      </c>
      <c r="J4512">
        <v>55</v>
      </c>
      <c r="K4512" s="422">
        <v>2023</v>
      </c>
      <c r="L4512">
        <v>0</v>
      </c>
      <c r="M4512" t="s">
        <v>630</v>
      </c>
      <c r="N4512" s="131">
        <v>19492.060000000012</v>
      </c>
      <c r="O4512" s="436">
        <f t="shared" si="183"/>
        <v>1072063.3000000007</v>
      </c>
      <c r="P4512" s="89">
        <v>45020</v>
      </c>
      <c r="Q4512" s="422" t="s">
        <v>47</v>
      </c>
      <c r="R4512" s="422" t="s">
        <v>1869</v>
      </c>
      <c r="S4512" s="422" t="s">
        <v>1861</v>
      </c>
      <c r="T4512" t="s">
        <v>5251</v>
      </c>
      <c r="U4512" s="422" t="s">
        <v>1953</v>
      </c>
      <c r="V4512" s="422" t="s">
        <v>2813</v>
      </c>
    </row>
    <row r="4513" spans="1:22" ht="15.75" thickBot="1" x14ac:dyDescent="0.3">
      <c r="A4513" t="s">
        <v>4585</v>
      </c>
      <c r="B4513" t="s">
        <v>4585</v>
      </c>
      <c r="C4513" s="424" t="str">
        <f t="shared" si="184"/>
        <v>Sandbus Transportes, Unipessoal LDA.</v>
      </c>
      <c r="D4513" t="s">
        <v>629</v>
      </c>
      <c r="F4513" s="422" t="s">
        <v>4827</v>
      </c>
      <c r="G4513" s="89">
        <v>2023</v>
      </c>
      <c r="H4513" s="313" t="s">
        <v>5040</v>
      </c>
      <c r="I4513" s="311" t="str">
        <f t="shared" si="182"/>
        <v>Pesado de Passageiros M3:  : Eletrico Baterias : Eletrico</v>
      </c>
      <c r="J4513">
        <v>55</v>
      </c>
      <c r="K4513" s="422">
        <v>2023</v>
      </c>
      <c r="L4513">
        <v>0</v>
      </c>
      <c r="M4513" t="s">
        <v>630</v>
      </c>
      <c r="N4513" s="131">
        <v>12639.199999999995</v>
      </c>
      <c r="O4513" s="436">
        <f t="shared" si="183"/>
        <v>695155.99999999977</v>
      </c>
      <c r="P4513" s="89">
        <v>45020</v>
      </c>
      <c r="Q4513" s="422" t="s">
        <v>47</v>
      </c>
      <c r="R4513" s="422" t="s">
        <v>1869</v>
      </c>
      <c r="S4513" s="422" t="s">
        <v>1861</v>
      </c>
      <c r="T4513" t="s">
        <v>5252</v>
      </c>
      <c r="U4513" s="422" t="s">
        <v>1953</v>
      </c>
      <c r="V4513" s="422" t="s">
        <v>2813</v>
      </c>
    </row>
    <row r="4514" spans="1:22" ht="15.75" thickBot="1" x14ac:dyDescent="0.3">
      <c r="A4514" t="s">
        <v>4585</v>
      </c>
      <c r="B4514" t="s">
        <v>4585</v>
      </c>
      <c r="C4514" s="424" t="str">
        <f t="shared" si="184"/>
        <v>Sandbus Transportes, Unipessoal LDA.</v>
      </c>
      <c r="D4514" t="s">
        <v>629</v>
      </c>
      <c r="F4514" s="422" t="s">
        <v>4827</v>
      </c>
      <c r="G4514" s="89">
        <v>2023</v>
      </c>
      <c r="H4514" s="313" t="s">
        <v>5040</v>
      </c>
      <c r="I4514" s="311" t="str">
        <f t="shared" ref="I4514:I4577" si="185">D4514&amp;": "&amp;E4514&amp;" : "&amp;F4514&amp;" : "&amp;H4514</f>
        <v>Pesado de Passageiros M3:  : Eletrico Baterias : Eletrico</v>
      </c>
      <c r="J4514">
        <v>55</v>
      </c>
      <c r="K4514" s="422">
        <v>2023</v>
      </c>
      <c r="L4514">
        <v>0</v>
      </c>
      <c r="M4514" t="s">
        <v>630</v>
      </c>
      <c r="N4514" s="131">
        <v>11266.689999999995</v>
      </c>
      <c r="O4514" s="436">
        <f t="shared" ref="O4514:O4577" si="186">N4514*J4514</f>
        <v>619667.94999999972</v>
      </c>
      <c r="P4514" s="89">
        <v>45020</v>
      </c>
      <c r="Q4514" s="422" t="s">
        <v>47</v>
      </c>
      <c r="R4514" s="422" t="s">
        <v>1869</v>
      </c>
      <c r="S4514" s="422" t="s">
        <v>1861</v>
      </c>
      <c r="T4514" t="s">
        <v>5253</v>
      </c>
      <c r="U4514" s="422" t="s">
        <v>1953</v>
      </c>
      <c r="V4514" s="422" t="s">
        <v>2813</v>
      </c>
    </row>
    <row r="4515" spans="1:22" ht="15.75" thickBot="1" x14ac:dyDescent="0.3">
      <c r="A4515" t="s">
        <v>4585</v>
      </c>
      <c r="B4515" t="s">
        <v>4585</v>
      </c>
      <c r="C4515" s="424" t="str">
        <f t="shared" si="184"/>
        <v>Sandbus Transportes, Unipessoal LDA.</v>
      </c>
      <c r="D4515" t="s">
        <v>629</v>
      </c>
      <c r="F4515" t="s">
        <v>620</v>
      </c>
      <c r="G4515" s="89">
        <v>2017</v>
      </c>
      <c r="H4515" s="313" t="s">
        <v>733</v>
      </c>
      <c r="I4515" s="311" t="str">
        <f t="shared" si="185"/>
        <v>Pesado de Passageiros M3:  : Gasóleo : E6</v>
      </c>
      <c r="J4515">
        <v>28</v>
      </c>
      <c r="K4515" s="422">
        <v>2023</v>
      </c>
      <c r="L4515">
        <v>5811.78</v>
      </c>
      <c r="M4515" t="s">
        <v>630</v>
      </c>
      <c r="N4515" s="131">
        <v>26951.762220000001</v>
      </c>
      <c r="O4515" s="436">
        <f t="shared" si="186"/>
        <v>754649.34216</v>
      </c>
      <c r="P4515" s="89">
        <v>42905</v>
      </c>
      <c r="Q4515" s="422" t="s">
        <v>47</v>
      </c>
      <c r="R4515" s="422" t="s">
        <v>1869</v>
      </c>
      <c r="S4515" s="422" t="s">
        <v>1861</v>
      </c>
      <c r="T4515" t="s">
        <v>5254</v>
      </c>
      <c r="U4515" s="422" t="s">
        <v>1953</v>
      </c>
      <c r="V4515" s="422" t="s">
        <v>2813</v>
      </c>
    </row>
    <row r="4516" spans="1:22" ht="15.75" thickBot="1" x14ac:dyDescent="0.3">
      <c r="A4516" t="s">
        <v>4585</v>
      </c>
      <c r="B4516" t="s">
        <v>4585</v>
      </c>
      <c r="C4516" s="424" t="str">
        <f t="shared" si="184"/>
        <v>Sandbus Transportes, Unipessoal LDA.</v>
      </c>
      <c r="D4516" t="s">
        <v>629</v>
      </c>
      <c r="F4516" t="s">
        <v>620</v>
      </c>
      <c r="G4516" s="89">
        <v>2020</v>
      </c>
      <c r="H4516" s="313" t="s">
        <v>4831</v>
      </c>
      <c r="I4516" s="311" t="str">
        <f t="shared" si="185"/>
        <v>Pesado de Passageiros M3:  : Gasóleo : E7</v>
      </c>
      <c r="J4516">
        <v>27</v>
      </c>
      <c r="K4516" s="422">
        <v>2023</v>
      </c>
      <c r="L4516">
        <v>8743.91</v>
      </c>
      <c r="M4516" t="s">
        <v>630</v>
      </c>
      <c r="N4516" s="131">
        <v>42504.762219999997</v>
      </c>
      <c r="O4516" s="436">
        <f t="shared" si="186"/>
        <v>1147628.5799399999</v>
      </c>
      <c r="P4516" s="89">
        <v>44041</v>
      </c>
      <c r="Q4516" s="422" t="s">
        <v>47</v>
      </c>
      <c r="R4516" s="422" t="s">
        <v>1869</v>
      </c>
      <c r="S4516" s="422" t="s">
        <v>1861</v>
      </c>
      <c r="T4516" t="s">
        <v>5255</v>
      </c>
      <c r="U4516" s="422" t="s">
        <v>1953</v>
      </c>
      <c r="V4516" s="422" t="s">
        <v>2813</v>
      </c>
    </row>
    <row r="4517" spans="1:22" ht="15.75" thickBot="1" x14ac:dyDescent="0.3">
      <c r="A4517" t="s">
        <v>4585</v>
      </c>
      <c r="B4517" t="s">
        <v>4585</v>
      </c>
      <c r="C4517" s="424" t="str">
        <f t="shared" si="184"/>
        <v>Sandbus Transportes, Unipessoal LDA.</v>
      </c>
      <c r="D4517" t="s">
        <v>629</v>
      </c>
      <c r="F4517" t="s">
        <v>620</v>
      </c>
      <c r="G4517" s="89">
        <v>2020</v>
      </c>
      <c r="H4517" s="313" t="s">
        <v>4831</v>
      </c>
      <c r="I4517" s="311" t="str">
        <f t="shared" si="185"/>
        <v>Pesado de Passageiros M3:  : Gasóleo : E7</v>
      </c>
      <c r="J4517">
        <v>27</v>
      </c>
      <c r="K4517" s="422">
        <v>2023</v>
      </c>
      <c r="L4517">
        <v>8332.5300000000007</v>
      </c>
      <c r="M4517" t="s">
        <v>630</v>
      </c>
      <c r="N4517" s="131">
        <v>43843.762219999997</v>
      </c>
      <c r="O4517" s="436">
        <f t="shared" si="186"/>
        <v>1183781.5799399999</v>
      </c>
      <c r="P4517" s="89">
        <v>44041</v>
      </c>
      <c r="Q4517" s="422" t="s">
        <v>47</v>
      </c>
      <c r="R4517" s="422" t="s">
        <v>1869</v>
      </c>
      <c r="S4517" s="422" t="s">
        <v>1861</v>
      </c>
      <c r="T4517" t="s">
        <v>5256</v>
      </c>
      <c r="U4517" s="422" t="s">
        <v>1953</v>
      </c>
      <c r="V4517" s="422" t="s">
        <v>2813</v>
      </c>
    </row>
    <row r="4518" spans="1:22" ht="15.75" thickBot="1" x14ac:dyDescent="0.3">
      <c r="A4518" t="s">
        <v>4585</v>
      </c>
      <c r="B4518" t="s">
        <v>4585</v>
      </c>
      <c r="C4518" s="424" t="str">
        <f t="shared" si="184"/>
        <v>Sandbus Transportes, Unipessoal LDA.</v>
      </c>
      <c r="D4518" t="s">
        <v>629</v>
      </c>
      <c r="F4518" t="s">
        <v>620</v>
      </c>
      <c r="G4518" s="89">
        <v>2018</v>
      </c>
      <c r="H4518" s="313" t="s">
        <v>4831</v>
      </c>
      <c r="I4518" s="311" t="str">
        <f t="shared" si="185"/>
        <v>Pesado de Passageiros M3:  : Gasóleo : E7</v>
      </c>
      <c r="J4518">
        <v>27</v>
      </c>
      <c r="K4518" s="422">
        <v>2023</v>
      </c>
      <c r="L4518">
        <v>7368.62</v>
      </c>
      <c r="M4518" t="s">
        <v>630</v>
      </c>
      <c r="N4518" s="131">
        <v>37690.762219999997</v>
      </c>
      <c r="O4518" s="436">
        <f t="shared" si="186"/>
        <v>1017650.57994</v>
      </c>
      <c r="P4518" s="89">
        <v>43347</v>
      </c>
      <c r="Q4518" s="422" t="s">
        <v>47</v>
      </c>
      <c r="R4518" s="422" t="s">
        <v>1869</v>
      </c>
      <c r="S4518" s="422" t="s">
        <v>1861</v>
      </c>
      <c r="T4518" t="s">
        <v>5257</v>
      </c>
      <c r="U4518" s="422" t="s">
        <v>1953</v>
      </c>
      <c r="V4518" s="422" t="s">
        <v>2813</v>
      </c>
    </row>
    <row r="4519" spans="1:22" ht="15.75" thickBot="1" x14ac:dyDescent="0.3">
      <c r="A4519" t="s">
        <v>4585</v>
      </c>
      <c r="B4519" t="s">
        <v>4585</v>
      </c>
      <c r="C4519" s="424" t="str">
        <f t="shared" si="184"/>
        <v>Sandbus Transportes, Unipessoal LDA.</v>
      </c>
      <c r="D4519" t="s">
        <v>629</v>
      </c>
      <c r="F4519" t="s">
        <v>620</v>
      </c>
      <c r="G4519" s="89">
        <v>2018</v>
      </c>
      <c r="H4519" s="313" t="s">
        <v>4831</v>
      </c>
      <c r="I4519" s="311" t="str">
        <f t="shared" si="185"/>
        <v>Pesado de Passageiros M3:  : Gasóleo : E7</v>
      </c>
      <c r="J4519">
        <v>27</v>
      </c>
      <c r="K4519" s="422">
        <v>2023</v>
      </c>
      <c r="L4519">
        <v>9867.7199999999993</v>
      </c>
      <c r="M4519" t="s">
        <v>630</v>
      </c>
      <c r="N4519" s="131">
        <v>45108.762219999997</v>
      </c>
      <c r="O4519" s="436">
        <f t="shared" si="186"/>
        <v>1217936.5799399999</v>
      </c>
      <c r="P4519" s="89">
        <v>43347</v>
      </c>
      <c r="Q4519" s="422" t="s">
        <v>47</v>
      </c>
      <c r="R4519" s="422" t="s">
        <v>1869</v>
      </c>
      <c r="S4519" s="422" t="s">
        <v>1861</v>
      </c>
      <c r="T4519" t="s">
        <v>5258</v>
      </c>
      <c r="U4519" s="422" t="s">
        <v>1953</v>
      </c>
      <c r="V4519" s="422" t="s">
        <v>2813</v>
      </c>
    </row>
    <row r="4520" spans="1:22" ht="15.75" thickBot="1" x14ac:dyDescent="0.3">
      <c r="A4520" t="s">
        <v>4585</v>
      </c>
      <c r="B4520" t="s">
        <v>4585</v>
      </c>
      <c r="C4520" s="424" t="str">
        <f t="shared" si="184"/>
        <v>Sandbus Transportes, Unipessoal LDA.</v>
      </c>
      <c r="D4520" t="s">
        <v>629</v>
      </c>
      <c r="F4520" t="s">
        <v>620</v>
      </c>
      <c r="G4520" s="89">
        <v>2018</v>
      </c>
      <c r="H4520" s="313" t="s">
        <v>4831</v>
      </c>
      <c r="I4520" s="311" t="str">
        <f t="shared" si="185"/>
        <v>Pesado de Passageiros M3:  : Gasóleo : E7</v>
      </c>
      <c r="J4520">
        <v>27</v>
      </c>
      <c r="K4520" s="422">
        <v>2023</v>
      </c>
      <c r="L4520">
        <v>9247.24</v>
      </c>
      <c r="M4520" t="s">
        <v>630</v>
      </c>
      <c r="N4520" s="131">
        <v>43681.522219999999</v>
      </c>
      <c r="O4520" s="436">
        <f t="shared" si="186"/>
        <v>1179401.0999399999</v>
      </c>
      <c r="P4520" s="89">
        <v>43347</v>
      </c>
      <c r="Q4520" s="422" t="s">
        <v>47</v>
      </c>
      <c r="R4520" s="422" t="s">
        <v>1869</v>
      </c>
      <c r="S4520" s="422" t="s">
        <v>1861</v>
      </c>
      <c r="T4520" t="s">
        <v>5259</v>
      </c>
      <c r="U4520" s="422" t="s">
        <v>1953</v>
      </c>
      <c r="V4520" s="422" t="s">
        <v>2813</v>
      </c>
    </row>
    <row r="4521" spans="1:22" ht="15.75" thickBot="1" x14ac:dyDescent="0.3">
      <c r="A4521" t="s">
        <v>4585</v>
      </c>
      <c r="B4521" t="s">
        <v>4585</v>
      </c>
      <c r="C4521" s="424" t="str">
        <f t="shared" si="184"/>
        <v>Sandbus Transportes, Unipessoal LDA.</v>
      </c>
      <c r="D4521" t="s">
        <v>629</v>
      </c>
      <c r="F4521" t="s">
        <v>620</v>
      </c>
      <c r="G4521" s="89">
        <v>2018</v>
      </c>
      <c r="H4521" s="313" t="s">
        <v>4831</v>
      </c>
      <c r="I4521" s="311" t="str">
        <f t="shared" si="185"/>
        <v>Pesado de Passageiros M3:  : Gasóleo : E7</v>
      </c>
      <c r="J4521">
        <v>27</v>
      </c>
      <c r="K4521" s="422">
        <v>2023</v>
      </c>
      <c r="L4521">
        <v>9738.82</v>
      </c>
      <c r="M4521" t="s">
        <v>630</v>
      </c>
      <c r="N4521" s="131">
        <v>45783.762219999997</v>
      </c>
      <c r="O4521" s="436">
        <f t="shared" si="186"/>
        <v>1236161.5799399999</v>
      </c>
      <c r="P4521" s="89">
        <v>43355</v>
      </c>
      <c r="Q4521" s="422" t="s">
        <v>47</v>
      </c>
      <c r="R4521" s="422" t="s">
        <v>1869</v>
      </c>
      <c r="S4521" s="422" t="s">
        <v>1861</v>
      </c>
      <c r="T4521" t="s">
        <v>5260</v>
      </c>
      <c r="U4521" s="422" t="s">
        <v>1953</v>
      </c>
      <c r="V4521" s="422" t="s">
        <v>2813</v>
      </c>
    </row>
    <row r="4522" spans="1:22" ht="15.75" thickBot="1" x14ac:dyDescent="0.3">
      <c r="A4522" t="s">
        <v>4585</v>
      </c>
      <c r="B4522" t="s">
        <v>4585</v>
      </c>
      <c r="C4522" s="424" t="str">
        <f t="shared" si="184"/>
        <v>Sandbus Transportes, Unipessoal LDA.</v>
      </c>
      <c r="D4522" t="s">
        <v>629</v>
      </c>
      <c r="F4522" t="s">
        <v>620</v>
      </c>
      <c r="G4522" s="89">
        <v>2013</v>
      </c>
      <c r="H4522" s="313" t="s">
        <v>734</v>
      </c>
      <c r="I4522" s="311" t="str">
        <f t="shared" si="185"/>
        <v>Pesado de Passageiros M3:  : Gasóleo : E5</v>
      </c>
      <c r="J4522">
        <v>25</v>
      </c>
      <c r="K4522" s="422">
        <v>2023</v>
      </c>
      <c r="L4522">
        <v>5091.8900000000003</v>
      </c>
      <c r="M4522" t="s">
        <v>630</v>
      </c>
      <c r="N4522" s="131">
        <v>24049.762220000001</v>
      </c>
      <c r="O4522" s="436">
        <f t="shared" si="186"/>
        <v>601244.05550000002</v>
      </c>
      <c r="P4522" s="89">
        <v>41400</v>
      </c>
      <c r="Q4522" s="422" t="s">
        <v>47</v>
      </c>
      <c r="R4522" s="422" t="s">
        <v>1869</v>
      </c>
      <c r="S4522" s="422" t="s">
        <v>1861</v>
      </c>
      <c r="T4522" t="s">
        <v>2597</v>
      </c>
      <c r="U4522" s="422" t="s">
        <v>1953</v>
      </c>
      <c r="V4522" s="422" t="s">
        <v>2813</v>
      </c>
    </row>
    <row r="4523" spans="1:22" ht="15.75" thickBot="1" x14ac:dyDescent="0.3">
      <c r="A4523" t="s">
        <v>4585</v>
      </c>
      <c r="B4523" t="s">
        <v>4585</v>
      </c>
      <c r="C4523" s="424" t="str">
        <f t="shared" si="184"/>
        <v>Sandbus Transportes, Unipessoal LDA.</v>
      </c>
      <c r="D4523" t="s">
        <v>629</v>
      </c>
      <c r="F4523" t="s">
        <v>620</v>
      </c>
      <c r="G4523" s="89">
        <v>2013</v>
      </c>
      <c r="H4523" s="313" t="s">
        <v>734</v>
      </c>
      <c r="I4523" s="311" t="str">
        <f t="shared" si="185"/>
        <v>Pesado de Passageiros M3:  : Gasóleo : E5</v>
      </c>
      <c r="J4523">
        <v>25</v>
      </c>
      <c r="K4523" s="422">
        <v>2023</v>
      </c>
      <c r="L4523">
        <v>6324.07</v>
      </c>
      <c r="M4523" t="s">
        <v>630</v>
      </c>
      <c r="N4523" s="131">
        <v>26800.762220000001</v>
      </c>
      <c r="O4523" s="436">
        <f t="shared" si="186"/>
        <v>670019.05550000002</v>
      </c>
      <c r="P4523" s="89">
        <v>41383</v>
      </c>
      <c r="Q4523" s="422" t="s">
        <v>47</v>
      </c>
      <c r="R4523" s="422" t="s">
        <v>1869</v>
      </c>
      <c r="S4523" s="422" t="s">
        <v>1861</v>
      </c>
      <c r="T4523" t="s">
        <v>2596</v>
      </c>
      <c r="U4523" s="422" t="s">
        <v>1953</v>
      </c>
      <c r="V4523" s="422" t="s">
        <v>2813</v>
      </c>
    </row>
    <row r="4524" spans="1:22" ht="15.75" thickBot="1" x14ac:dyDescent="0.3">
      <c r="A4524" t="s">
        <v>4585</v>
      </c>
      <c r="B4524" t="s">
        <v>4585</v>
      </c>
      <c r="C4524" s="424" t="str">
        <f t="shared" si="184"/>
        <v>Sandbus Transportes, Unipessoal LDA.</v>
      </c>
      <c r="D4524" t="s">
        <v>629</v>
      </c>
      <c r="F4524" t="s">
        <v>620</v>
      </c>
      <c r="G4524" s="89">
        <v>2013</v>
      </c>
      <c r="H4524" s="313" t="s">
        <v>734</v>
      </c>
      <c r="I4524" s="311" t="str">
        <f t="shared" si="185"/>
        <v>Pesado de Passageiros M3:  : Gasóleo : E5</v>
      </c>
      <c r="J4524">
        <v>25</v>
      </c>
      <c r="K4524" s="422">
        <v>2023</v>
      </c>
      <c r="L4524">
        <v>4708.01</v>
      </c>
      <c r="M4524" t="s">
        <v>630</v>
      </c>
      <c r="N4524" s="131">
        <v>22902.762220000001</v>
      </c>
      <c r="O4524" s="436">
        <f t="shared" si="186"/>
        <v>572569.05550000002</v>
      </c>
      <c r="P4524" s="89">
        <v>41400</v>
      </c>
      <c r="Q4524" s="422" t="s">
        <v>47</v>
      </c>
      <c r="R4524" s="422" t="s">
        <v>1869</v>
      </c>
      <c r="S4524" s="422" t="s">
        <v>1861</v>
      </c>
      <c r="T4524" t="s">
        <v>2599</v>
      </c>
      <c r="U4524" s="422" t="s">
        <v>1953</v>
      </c>
      <c r="V4524" s="422" t="s">
        <v>2813</v>
      </c>
    </row>
    <row r="4525" spans="1:22" ht="15.75" thickBot="1" x14ac:dyDescent="0.3">
      <c r="A4525" t="s">
        <v>4585</v>
      </c>
      <c r="B4525" t="s">
        <v>4585</v>
      </c>
      <c r="C4525" s="424" t="str">
        <f t="shared" si="184"/>
        <v>Sandbus Transportes, Unipessoal LDA.</v>
      </c>
      <c r="D4525" t="s">
        <v>629</v>
      </c>
      <c r="F4525" t="s">
        <v>620</v>
      </c>
      <c r="G4525" s="89">
        <v>2011</v>
      </c>
      <c r="H4525" s="313" t="s">
        <v>734</v>
      </c>
      <c r="I4525" s="311" t="str">
        <f t="shared" si="185"/>
        <v>Pesado de Passageiros M3:  : Gasóleo : E5</v>
      </c>
      <c r="J4525">
        <v>25</v>
      </c>
      <c r="K4525" s="422">
        <v>2023</v>
      </c>
      <c r="L4525">
        <v>903.55</v>
      </c>
      <c r="M4525" t="s">
        <v>630</v>
      </c>
      <c r="N4525" s="131">
        <v>2012.7622200000001</v>
      </c>
      <c r="O4525" s="436">
        <f t="shared" si="186"/>
        <v>50319.055500000002</v>
      </c>
      <c r="P4525" s="89">
        <v>40715</v>
      </c>
      <c r="Q4525" s="422" t="s">
        <v>47</v>
      </c>
      <c r="R4525" s="422" t="s">
        <v>1869</v>
      </c>
      <c r="S4525" s="422" t="s">
        <v>1861</v>
      </c>
      <c r="T4525" t="s">
        <v>2593</v>
      </c>
      <c r="U4525" s="422" t="s">
        <v>1953</v>
      </c>
      <c r="V4525" s="422" t="s">
        <v>2813</v>
      </c>
    </row>
    <row r="4526" spans="1:22" ht="15.75" thickBot="1" x14ac:dyDescent="0.3">
      <c r="A4526" t="s">
        <v>4585</v>
      </c>
      <c r="B4526" t="s">
        <v>4585</v>
      </c>
      <c r="C4526" s="424" t="str">
        <f t="shared" si="184"/>
        <v>Sandbus Transportes, Unipessoal LDA.</v>
      </c>
      <c r="D4526" t="s">
        <v>629</v>
      </c>
      <c r="F4526" t="s">
        <v>620</v>
      </c>
      <c r="G4526" s="89">
        <v>2017</v>
      </c>
      <c r="H4526" s="313" t="s">
        <v>734</v>
      </c>
      <c r="I4526" s="311" t="str">
        <f t="shared" si="185"/>
        <v>Pesado de Passageiros M3:  : Gasóleo : E5</v>
      </c>
      <c r="J4526">
        <v>25</v>
      </c>
      <c r="K4526" s="422">
        <v>2023</v>
      </c>
      <c r="L4526">
        <v>86.55</v>
      </c>
      <c r="M4526" t="s">
        <v>630</v>
      </c>
      <c r="N4526" s="131">
        <v>5327.7622200000005</v>
      </c>
      <c r="O4526" s="436">
        <f t="shared" si="186"/>
        <v>133194.05550000002</v>
      </c>
      <c r="P4526" s="89">
        <v>42807</v>
      </c>
      <c r="Q4526" s="422" t="s">
        <v>47</v>
      </c>
      <c r="R4526" s="422" t="s">
        <v>1869</v>
      </c>
      <c r="S4526" s="422" t="s">
        <v>1861</v>
      </c>
      <c r="T4526" t="s">
        <v>2595</v>
      </c>
      <c r="U4526" s="422" t="s">
        <v>1953</v>
      </c>
      <c r="V4526" s="422" t="s">
        <v>2813</v>
      </c>
    </row>
    <row r="4527" spans="1:22" ht="15.75" thickBot="1" x14ac:dyDescent="0.3">
      <c r="A4527" t="s">
        <v>4585</v>
      </c>
      <c r="B4527" t="s">
        <v>4585</v>
      </c>
      <c r="C4527" s="424" t="str">
        <f t="shared" si="184"/>
        <v>Sandbus Transportes, Unipessoal LDA.</v>
      </c>
      <c r="D4527" t="s">
        <v>629</v>
      </c>
      <c r="F4527" t="s">
        <v>620</v>
      </c>
      <c r="G4527" s="89">
        <v>2011</v>
      </c>
      <c r="H4527" s="313" t="s">
        <v>734</v>
      </c>
      <c r="I4527" s="311" t="str">
        <f t="shared" si="185"/>
        <v>Pesado de Passageiros M3:  : Gasóleo : E5</v>
      </c>
      <c r="J4527">
        <v>25</v>
      </c>
      <c r="K4527" s="422">
        <v>2023</v>
      </c>
      <c r="L4527">
        <v>1546.44</v>
      </c>
      <c r="M4527" t="s">
        <v>630</v>
      </c>
      <c r="N4527" s="131">
        <v>1066.7622200000001</v>
      </c>
      <c r="O4527" s="436">
        <f t="shared" si="186"/>
        <v>26669.055500000002</v>
      </c>
      <c r="P4527" s="89">
        <v>40681</v>
      </c>
      <c r="Q4527" s="422" t="s">
        <v>47</v>
      </c>
      <c r="R4527" s="422" t="s">
        <v>1869</v>
      </c>
      <c r="S4527" s="422" t="s">
        <v>1861</v>
      </c>
      <c r="T4527" t="s">
        <v>2592</v>
      </c>
      <c r="U4527" s="422" t="s">
        <v>1953</v>
      </c>
      <c r="V4527" s="422" t="s">
        <v>2813</v>
      </c>
    </row>
    <row r="4528" spans="1:22" ht="15.75" thickBot="1" x14ac:dyDescent="0.3">
      <c r="A4528" t="s">
        <v>4585</v>
      </c>
      <c r="B4528" t="s">
        <v>4585</v>
      </c>
      <c r="C4528" s="424" t="str">
        <f t="shared" si="184"/>
        <v>Sandbus Transportes, Unipessoal LDA.</v>
      </c>
      <c r="D4528" t="s">
        <v>629</v>
      </c>
      <c r="F4528" t="s">
        <v>620</v>
      </c>
      <c r="G4528" s="89">
        <v>2008</v>
      </c>
      <c r="H4528" s="313" t="s">
        <v>734</v>
      </c>
      <c r="I4528" s="311" t="str">
        <f t="shared" si="185"/>
        <v>Pesado de Passageiros M3:  : Gasóleo : E5</v>
      </c>
      <c r="J4528">
        <v>23</v>
      </c>
      <c r="K4528" s="422">
        <v>2023</v>
      </c>
      <c r="L4528">
        <v>700.69</v>
      </c>
      <c r="M4528" t="s">
        <v>630</v>
      </c>
      <c r="N4528" s="131">
        <v>5611.7622200000005</v>
      </c>
      <c r="O4528" s="436">
        <f t="shared" si="186"/>
        <v>129070.53106000001</v>
      </c>
      <c r="P4528" s="89">
        <v>39778</v>
      </c>
      <c r="Q4528" s="422" t="s">
        <v>47</v>
      </c>
      <c r="R4528" s="422" t="s">
        <v>1869</v>
      </c>
      <c r="S4528" s="422" t="s">
        <v>1861</v>
      </c>
      <c r="T4528" t="s">
        <v>2591</v>
      </c>
      <c r="U4528" s="422" t="s">
        <v>1953</v>
      </c>
      <c r="V4528" s="422" t="s">
        <v>2813</v>
      </c>
    </row>
    <row r="4529" spans="1:22" ht="15.75" thickBot="1" x14ac:dyDescent="0.3">
      <c r="A4529" t="s">
        <v>4585</v>
      </c>
      <c r="B4529" t="s">
        <v>4585</v>
      </c>
      <c r="C4529" s="424" t="str">
        <f t="shared" si="184"/>
        <v>Sandbus Transportes, Unipessoal LDA.</v>
      </c>
      <c r="D4529" t="s">
        <v>629</v>
      </c>
      <c r="F4529" t="s">
        <v>620</v>
      </c>
      <c r="G4529" s="89">
        <v>2017</v>
      </c>
      <c r="H4529" s="313" t="s">
        <v>733</v>
      </c>
      <c r="I4529" s="311" t="str">
        <f t="shared" si="185"/>
        <v>Pesado de Passageiros M3:  : Gasóleo : E6</v>
      </c>
      <c r="J4529">
        <v>28</v>
      </c>
      <c r="K4529" s="422">
        <v>2023</v>
      </c>
      <c r="L4529">
        <v>1419.58</v>
      </c>
      <c r="M4529" t="s">
        <v>630</v>
      </c>
      <c r="N4529" s="131">
        <v>26834.762220000001</v>
      </c>
      <c r="O4529" s="436">
        <f t="shared" si="186"/>
        <v>751373.34216</v>
      </c>
      <c r="P4529" s="89">
        <v>42965</v>
      </c>
      <c r="Q4529" s="422" t="s">
        <v>47</v>
      </c>
      <c r="R4529" s="422" t="s">
        <v>1869</v>
      </c>
      <c r="S4529" s="422" t="s">
        <v>1861</v>
      </c>
      <c r="T4529" t="s">
        <v>2589</v>
      </c>
      <c r="U4529" s="422" t="s">
        <v>1953</v>
      </c>
      <c r="V4529" s="422" t="s">
        <v>2813</v>
      </c>
    </row>
    <row r="4530" spans="1:22" ht="15.75" thickBot="1" x14ac:dyDescent="0.3">
      <c r="A4530" t="s">
        <v>2817</v>
      </c>
      <c r="B4530" t="s">
        <v>2817</v>
      </c>
      <c r="C4530" s="424" t="str">
        <f t="shared" si="184"/>
        <v>Isidoro Duarte, S.A.</v>
      </c>
      <c r="D4530" t="s">
        <v>629</v>
      </c>
      <c r="F4530" s="422" t="s">
        <v>620</v>
      </c>
      <c r="G4530" s="89">
        <v>2001</v>
      </c>
      <c r="I4530" s="311" t="str">
        <f t="shared" si="185"/>
        <v xml:space="preserve">Pesado de Passageiros M3:  : Gasóleo : </v>
      </c>
      <c r="J4530">
        <v>51</v>
      </c>
      <c r="K4530" s="422">
        <v>2023</v>
      </c>
      <c r="L4530" s="427"/>
      <c r="M4530" s="427" t="s">
        <v>630</v>
      </c>
      <c r="N4530" s="434"/>
      <c r="O4530" s="436">
        <f t="shared" si="186"/>
        <v>0</v>
      </c>
      <c r="P4530" s="89">
        <v>286</v>
      </c>
      <c r="Q4530" s="422" t="s">
        <v>47</v>
      </c>
      <c r="R4530" s="422" t="s">
        <v>1869</v>
      </c>
      <c r="S4530" s="422" t="s">
        <v>1861</v>
      </c>
      <c r="U4530" s="422" t="s">
        <v>1953</v>
      </c>
      <c r="V4530" s="422" t="s">
        <v>2813</v>
      </c>
    </row>
    <row r="4531" spans="1:22" ht="15.75" thickBot="1" x14ac:dyDescent="0.3">
      <c r="A4531" t="s">
        <v>2817</v>
      </c>
      <c r="B4531" t="s">
        <v>2817</v>
      </c>
      <c r="C4531" s="424" t="str">
        <f t="shared" si="184"/>
        <v>Isidoro Duarte, S.A.</v>
      </c>
      <c r="D4531" t="s">
        <v>629</v>
      </c>
      <c r="F4531" s="422" t="s">
        <v>620</v>
      </c>
      <c r="G4531" s="89">
        <v>2001</v>
      </c>
      <c r="I4531" s="311" t="str">
        <f t="shared" si="185"/>
        <v xml:space="preserve">Pesado de Passageiros M3:  : Gasóleo : </v>
      </c>
      <c r="J4531">
        <v>50</v>
      </c>
      <c r="K4531" s="422">
        <v>2023</v>
      </c>
      <c r="L4531" s="427"/>
      <c r="M4531" s="427" t="s">
        <v>630</v>
      </c>
      <c r="N4531" s="434"/>
      <c r="O4531" s="436">
        <f t="shared" si="186"/>
        <v>0</v>
      </c>
      <c r="P4531" s="89">
        <v>306</v>
      </c>
      <c r="Q4531" s="422" t="s">
        <v>47</v>
      </c>
      <c r="R4531" s="422" t="s">
        <v>1869</v>
      </c>
      <c r="S4531" s="422" t="s">
        <v>1861</v>
      </c>
      <c r="U4531" s="422" t="s">
        <v>1953</v>
      </c>
      <c r="V4531" s="422" t="s">
        <v>2813</v>
      </c>
    </row>
    <row r="4532" spans="1:22" ht="15.75" thickBot="1" x14ac:dyDescent="0.3">
      <c r="A4532" t="s">
        <v>2817</v>
      </c>
      <c r="B4532" t="s">
        <v>2817</v>
      </c>
      <c r="C4532" s="424" t="str">
        <f t="shared" si="184"/>
        <v>Isidoro Duarte, S.A.</v>
      </c>
      <c r="D4532" t="s">
        <v>629</v>
      </c>
      <c r="F4532" s="422" t="s">
        <v>620</v>
      </c>
      <c r="G4532" s="89">
        <v>2007</v>
      </c>
      <c r="I4532" s="311" t="str">
        <f t="shared" si="185"/>
        <v xml:space="preserve">Pesado de Passageiros M3:  : Gasóleo : </v>
      </c>
      <c r="J4532">
        <v>50</v>
      </c>
      <c r="K4532" s="422">
        <v>2023</v>
      </c>
      <c r="L4532" s="427"/>
      <c r="M4532" s="427" t="s">
        <v>630</v>
      </c>
      <c r="N4532" s="434"/>
      <c r="O4532" s="436">
        <f t="shared" si="186"/>
        <v>0</v>
      </c>
      <c r="P4532" s="89">
        <v>324</v>
      </c>
      <c r="Q4532" s="422" t="s">
        <v>47</v>
      </c>
      <c r="R4532" s="422" t="s">
        <v>1869</v>
      </c>
      <c r="S4532" s="422" t="s">
        <v>1861</v>
      </c>
      <c r="U4532" s="422" t="s">
        <v>1953</v>
      </c>
      <c r="V4532" s="422" t="s">
        <v>2813</v>
      </c>
    </row>
    <row r="4533" spans="1:22" ht="15.75" thickBot="1" x14ac:dyDescent="0.3">
      <c r="A4533" t="s">
        <v>2817</v>
      </c>
      <c r="B4533" t="s">
        <v>2817</v>
      </c>
      <c r="C4533" s="424" t="str">
        <f t="shared" si="184"/>
        <v>Isidoro Duarte, S.A.</v>
      </c>
      <c r="D4533" t="s">
        <v>629</v>
      </c>
      <c r="F4533" s="422" t="s">
        <v>620</v>
      </c>
      <c r="G4533" s="89">
        <v>2007</v>
      </c>
      <c r="I4533" s="311" t="str">
        <f t="shared" si="185"/>
        <v xml:space="preserve">Pesado de Passageiros M3:  : Gasóleo : </v>
      </c>
      <c r="J4533">
        <v>50</v>
      </c>
      <c r="K4533" s="422">
        <v>2023</v>
      </c>
      <c r="L4533" s="427"/>
      <c r="M4533" s="427" t="s">
        <v>630</v>
      </c>
      <c r="N4533" s="434"/>
      <c r="O4533" s="436">
        <f t="shared" si="186"/>
        <v>0</v>
      </c>
      <c r="P4533" s="89">
        <v>325</v>
      </c>
      <c r="Q4533" s="422" t="s">
        <v>47</v>
      </c>
      <c r="R4533" s="422" t="s">
        <v>1869</v>
      </c>
      <c r="S4533" s="422" t="s">
        <v>1861</v>
      </c>
      <c r="U4533" s="422" t="s">
        <v>1953</v>
      </c>
      <c r="V4533" s="422" t="s">
        <v>2813</v>
      </c>
    </row>
    <row r="4534" spans="1:22" ht="15.75" thickBot="1" x14ac:dyDescent="0.3">
      <c r="A4534" t="s">
        <v>2817</v>
      </c>
      <c r="B4534" t="s">
        <v>2817</v>
      </c>
      <c r="C4534" s="424" t="str">
        <f t="shared" si="184"/>
        <v>Isidoro Duarte, S.A.</v>
      </c>
      <c r="D4534" t="s">
        <v>629</v>
      </c>
      <c r="F4534" s="422" t="s">
        <v>620</v>
      </c>
      <c r="G4534" s="89">
        <v>2008</v>
      </c>
      <c r="I4534" s="311" t="str">
        <f t="shared" si="185"/>
        <v xml:space="preserve">Pesado de Passageiros M3:  : Gasóleo : </v>
      </c>
      <c r="J4534">
        <v>50</v>
      </c>
      <c r="K4534" s="422">
        <v>2023</v>
      </c>
      <c r="L4534" s="427"/>
      <c r="M4534" s="427" t="s">
        <v>630</v>
      </c>
      <c r="N4534" s="434"/>
      <c r="O4534" s="436">
        <f t="shared" si="186"/>
        <v>0</v>
      </c>
      <c r="P4534" s="89">
        <v>328</v>
      </c>
      <c r="Q4534" s="422" t="s">
        <v>47</v>
      </c>
      <c r="R4534" s="422" t="s">
        <v>1869</v>
      </c>
      <c r="S4534" s="422" t="s">
        <v>1861</v>
      </c>
      <c r="U4534" s="422" t="s">
        <v>1953</v>
      </c>
      <c r="V4534" s="422" t="s">
        <v>2813</v>
      </c>
    </row>
    <row r="4535" spans="1:22" ht="15.75" thickBot="1" x14ac:dyDescent="0.3">
      <c r="A4535" t="s">
        <v>2817</v>
      </c>
      <c r="B4535" t="s">
        <v>2817</v>
      </c>
      <c r="C4535" s="424" t="str">
        <f t="shared" si="184"/>
        <v>Isidoro Duarte, S.A.</v>
      </c>
      <c r="D4535" t="s">
        <v>629</v>
      </c>
      <c r="F4535" s="422" t="s">
        <v>620</v>
      </c>
      <c r="G4535" s="89">
        <v>2008</v>
      </c>
      <c r="I4535" s="311" t="str">
        <f t="shared" si="185"/>
        <v xml:space="preserve">Pesado de Passageiros M3:  : Gasóleo : </v>
      </c>
      <c r="J4535">
        <v>55</v>
      </c>
      <c r="K4535" s="422">
        <v>2023</v>
      </c>
      <c r="L4535" s="427"/>
      <c r="M4535" s="427" t="s">
        <v>630</v>
      </c>
      <c r="N4535" s="434"/>
      <c r="O4535" s="436">
        <f t="shared" si="186"/>
        <v>0</v>
      </c>
      <c r="P4535" s="89">
        <v>332</v>
      </c>
      <c r="Q4535" s="422" t="s">
        <v>47</v>
      </c>
      <c r="R4535" s="422" t="s">
        <v>1869</v>
      </c>
      <c r="S4535" s="422" t="s">
        <v>1861</v>
      </c>
      <c r="U4535" s="422" t="s">
        <v>1953</v>
      </c>
      <c r="V4535" s="422" t="s">
        <v>2813</v>
      </c>
    </row>
    <row r="4536" spans="1:22" ht="15.75" thickBot="1" x14ac:dyDescent="0.3">
      <c r="A4536" t="s">
        <v>2817</v>
      </c>
      <c r="B4536" t="s">
        <v>2817</v>
      </c>
      <c r="C4536" s="424" t="str">
        <f t="shared" si="184"/>
        <v>Isidoro Duarte, S.A.</v>
      </c>
      <c r="D4536" t="s">
        <v>629</v>
      </c>
      <c r="F4536" s="422" t="s">
        <v>620</v>
      </c>
      <c r="G4536" s="89">
        <v>2009</v>
      </c>
      <c r="I4536" s="311" t="str">
        <f t="shared" si="185"/>
        <v xml:space="preserve">Pesado de Passageiros M3:  : Gasóleo : </v>
      </c>
      <c r="J4536">
        <v>39</v>
      </c>
      <c r="K4536" s="422">
        <v>2023</v>
      </c>
      <c r="L4536" s="427"/>
      <c r="M4536" s="427" t="s">
        <v>630</v>
      </c>
      <c r="N4536" s="434"/>
      <c r="O4536" s="436">
        <f t="shared" si="186"/>
        <v>0</v>
      </c>
      <c r="P4536" s="89">
        <v>333</v>
      </c>
      <c r="Q4536" s="422" t="s">
        <v>47</v>
      </c>
      <c r="R4536" s="422" t="s">
        <v>1869</v>
      </c>
      <c r="S4536" s="422" t="s">
        <v>1861</v>
      </c>
      <c r="U4536" s="422" t="s">
        <v>1953</v>
      </c>
      <c r="V4536" s="422" t="s">
        <v>2813</v>
      </c>
    </row>
    <row r="4537" spans="1:22" ht="15.75" thickBot="1" x14ac:dyDescent="0.3">
      <c r="A4537" t="s">
        <v>2817</v>
      </c>
      <c r="B4537" t="s">
        <v>2817</v>
      </c>
      <c r="C4537" s="424" t="str">
        <f t="shared" si="184"/>
        <v>Isidoro Duarte, S.A.</v>
      </c>
      <c r="D4537" t="s">
        <v>629</v>
      </c>
      <c r="F4537" s="422" t="s">
        <v>620</v>
      </c>
      <c r="G4537" s="89">
        <v>2010</v>
      </c>
      <c r="I4537" s="311" t="str">
        <f t="shared" si="185"/>
        <v xml:space="preserve">Pesado de Passageiros M3:  : Gasóleo : </v>
      </c>
      <c r="J4537">
        <v>50</v>
      </c>
      <c r="K4537" s="422">
        <v>2023</v>
      </c>
      <c r="L4537" s="427"/>
      <c r="M4537" s="427" t="s">
        <v>630</v>
      </c>
      <c r="N4537" s="434"/>
      <c r="O4537" s="436">
        <f t="shared" si="186"/>
        <v>0</v>
      </c>
      <c r="P4537" s="89">
        <v>334</v>
      </c>
      <c r="Q4537" s="422" t="s">
        <v>47</v>
      </c>
      <c r="R4537" s="422" t="s">
        <v>1869</v>
      </c>
      <c r="S4537" s="422" t="s">
        <v>1861</v>
      </c>
      <c r="U4537" s="422" t="s">
        <v>1953</v>
      </c>
      <c r="V4537" s="422" t="s">
        <v>2813</v>
      </c>
    </row>
    <row r="4538" spans="1:22" ht="15.75" thickBot="1" x14ac:dyDescent="0.3">
      <c r="A4538" t="s">
        <v>2817</v>
      </c>
      <c r="B4538" t="s">
        <v>2817</v>
      </c>
      <c r="C4538" s="424" t="str">
        <f t="shared" si="184"/>
        <v>Isidoro Duarte, S.A.</v>
      </c>
      <c r="D4538" t="s">
        <v>629</v>
      </c>
      <c r="F4538" s="422" t="s">
        <v>620</v>
      </c>
      <c r="G4538" s="89">
        <v>2008</v>
      </c>
      <c r="I4538" s="311" t="str">
        <f t="shared" si="185"/>
        <v xml:space="preserve">Pesado de Passageiros M3:  : Gasóleo : </v>
      </c>
      <c r="J4538">
        <v>49</v>
      </c>
      <c r="K4538" s="422">
        <v>2023</v>
      </c>
      <c r="L4538" s="427"/>
      <c r="M4538" s="427" t="s">
        <v>630</v>
      </c>
      <c r="N4538" s="434"/>
      <c r="O4538" s="436">
        <f t="shared" si="186"/>
        <v>0</v>
      </c>
      <c r="P4538" s="89">
        <v>335</v>
      </c>
      <c r="Q4538" s="422" t="s">
        <v>47</v>
      </c>
      <c r="R4538" s="422" t="s">
        <v>1869</v>
      </c>
      <c r="S4538" s="422" t="s">
        <v>1861</v>
      </c>
      <c r="U4538" s="422" t="s">
        <v>1953</v>
      </c>
      <c r="V4538" s="422" t="s">
        <v>2813</v>
      </c>
    </row>
    <row r="4539" spans="1:22" ht="15.75" thickBot="1" x14ac:dyDescent="0.3">
      <c r="A4539" t="s">
        <v>2817</v>
      </c>
      <c r="B4539" t="s">
        <v>2817</v>
      </c>
      <c r="C4539" s="424" t="str">
        <f t="shared" si="184"/>
        <v>Isidoro Duarte, S.A.</v>
      </c>
      <c r="D4539" t="s">
        <v>629</v>
      </c>
      <c r="F4539" s="422" t="s">
        <v>620</v>
      </c>
      <c r="G4539" s="89">
        <v>2011</v>
      </c>
      <c r="I4539" s="311" t="str">
        <f t="shared" si="185"/>
        <v xml:space="preserve">Pesado de Passageiros M3:  : Gasóleo : </v>
      </c>
      <c r="J4539">
        <v>50</v>
      </c>
      <c r="K4539" s="422">
        <v>2023</v>
      </c>
      <c r="L4539" s="427"/>
      <c r="M4539" s="427" t="s">
        <v>630</v>
      </c>
      <c r="N4539" s="434"/>
      <c r="O4539" s="436">
        <f t="shared" si="186"/>
        <v>0</v>
      </c>
      <c r="P4539" s="89">
        <v>336</v>
      </c>
      <c r="Q4539" s="422" t="s">
        <v>47</v>
      </c>
      <c r="R4539" s="422" t="s">
        <v>1869</v>
      </c>
      <c r="S4539" s="422" t="s">
        <v>1861</v>
      </c>
      <c r="U4539" s="422" t="s">
        <v>1953</v>
      </c>
      <c r="V4539" s="422" t="s">
        <v>2813</v>
      </c>
    </row>
    <row r="4540" spans="1:22" ht="15.75" thickBot="1" x14ac:dyDescent="0.3">
      <c r="A4540" t="s">
        <v>2817</v>
      </c>
      <c r="B4540" t="s">
        <v>2817</v>
      </c>
      <c r="C4540" s="424" t="str">
        <f t="shared" si="184"/>
        <v>Isidoro Duarte, S.A.</v>
      </c>
      <c r="D4540" t="s">
        <v>629</v>
      </c>
      <c r="F4540" s="422" t="s">
        <v>620</v>
      </c>
      <c r="G4540" s="89">
        <v>2011</v>
      </c>
      <c r="I4540" s="311" t="str">
        <f t="shared" si="185"/>
        <v xml:space="preserve">Pesado de Passageiros M3:  : Gasóleo : </v>
      </c>
      <c r="J4540">
        <v>50</v>
      </c>
      <c r="K4540" s="422">
        <v>2023</v>
      </c>
      <c r="L4540" s="427"/>
      <c r="M4540" s="427" t="s">
        <v>630</v>
      </c>
      <c r="N4540" s="434"/>
      <c r="O4540" s="436">
        <f t="shared" si="186"/>
        <v>0</v>
      </c>
      <c r="P4540" s="89">
        <v>337</v>
      </c>
      <c r="Q4540" s="422" t="s">
        <v>47</v>
      </c>
      <c r="R4540" s="422" t="s">
        <v>1869</v>
      </c>
      <c r="S4540" s="422" t="s">
        <v>1861</v>
      </c>
      <c r="U4540" s="422" t="s">
        <v>1953</v>
      </c>
      <c r="V4540" s="422" t="s">
        <v>2813</v>
      </c>
    </row>
    <row r="4541" spans="1:22" ht="15.75" thickBot="1" x14ac:dyDescent="0.3">
      <c r="A4541" t="s">
        <v>2817</v>
      </c>
      <c r="B4541" t="s">
        <v>2817</v>
      </c>
      <c r="C4541" s="424" t="str">
        <f t="shared" si="184"/>
        <v>Isidoro Duarte, S.A.</v>
      </c>
      <c r="D4541" t="s">
        <v>629</v>
      </c>
      <c r="F4541" s="422" t="s">
        <v>620</v>
      </c>
      <c r="G4541" s="89">
        <v>2011</v>
      </c>
      <c r="I4541" s="311" t="str">
        <f t="shared" si="185"/>
        <v xml:space="preserve">Pesado de Passageiros M3:  : Gasóleo : </v>
      </c>
      <c r="J4541">
        <v>35</v>
      </c>
      <c r="K4541" s="422">
        <v>2023</v>
      </c>
      <c r="L4541" s="427"/>
      <c r="M4541" s="427" t="s">
        <v>630</v>
      </c>
      <c r="N4541" s="434"/>
      <c r="O4541" s="436">
        <f t="shared" si="186"/>
        <v>0</v>
      </c>
      <c r="P4541" s="89">
        <v>339</v>
      </c>
      <c r="Q4541" s="422" t="s">
        <v>47</v>
      </c>
      <c r="R4541" s="422" t="s">
        <v>1869</v>
      </c>
      <c r="S4541" s="422" t="s">
        <v>1861</v>
      </c>
      <c r="U4541" s="422" t="s">
        <v>1953</v>
      </c>
      <c r="V4541" s="422" t="s">
        <v>2813</v>
      </c>
    </row>
    <row r="4542" spans="1:22" ht="15.75" thickBot="1" x14ac:dyDescent="0.3">
      <c r="A4542" t="s">
        <v>2817</v>
      </c>
      <c r="B4542" t="s">
        <v>2817</v>
      </c>
      <c r="C4542" s="424" t="str">
        <f t="shared" si="184"/>
        <v>Isidoro Duarte, S.A.</v>
      </c>
      <c r="D4542" t="s">
        <v>629</v>
      </c>
      <c r="F4542" s="422" t="s">
        <v>620</v>
      </c>
      <c r="G4542" s="89">
        <v>2011</v>
      </c>
      <c r="I4542" s="311" t="str">
        <f t="shared" si="185"/>
        <v xml:space="preserve">Pesado de Passageiros M3:  : Gasóleo : </v>
      </c>
      <c r="J4542">
        <v>19</v>
      </c>
      <c r="K4542" s="422">
        <v>2023</v>
      </c>
      <c r="L4542" s="427"/>
      <c r="M4542" s="427" t="s">
        <v>630</v>
      </c>
      <c r="N4542" s="434"/>
      <c r="O4542" s="436">
        <f t="shared" si="186"/>
        <v>0</v>
      </c>
      <c r="P4542" s="89">
        <v>340</v>
      </c>
      <c r="Q4542" s="422" t="s">
        <v>47</v>
      </c>
      <c r="R4542" s="422" t="s">
        <v>1869</v>
      </c>
      <c r="S4542" s="422" t="s">
        <v>1861</v>
      </c>
      <c r="U4542" s="422" t="s">
        <v>1953</v>
      </c>
      <c r="V4542" s="422" t="s">
        <v>2813</v>
      </c>
    </row>
    <row r="4543" spans="1:22" ht="15.75" thickBot="1" x14ac:dyDescent="0.3">
      <c r="A4543" t="s">
        <v>2817</v>
      </c>
      <c r="B4543" t="s">
        <v>2817</v>
      </c>
      <c r="C4543" s="424" t="str">
        <f t="shared" si="184"/>
        <v>Isidoro Duarte, S.A.</v>
      </c>
      <c r="D4543" t="s">
        <v>629</v>
      </c>
      <c r="F4543" s="422" t="s">
        <v>620</v>
      </c>
      <c r="G4543" s="89">
        <v>2012</v>
      </c>
      <c r="I4543" s="311" t="str">
        <f t="shared" si="185"/>
        <v xml:space="preserve">Pesado de Passageiros M3:  : Gasóleo : </v>
      </c>
      <c r="J4543">
        <v>50</v>
      </c>
      <c r="K4543" s="422">
        <v>2023</v>
      </c>
      <c r="L4543" s="427"/>
      <c r="M4543" s="427" t="s">
        <v>630</v>
      </c>
      <c r="N4543" s="434"/>
      <c r="O4543" s="436">
        <f t="shared" si="186"/>
        <v>0</v>
      </c>
      <c r="P4543" s="89">
        <v>341</v>
      </c>
      <c r="Q4543" s="422" t="s">
        <v>47</v>
      </c>
      <c r="R4543" s="422" t="s">
        <v>1869</v>
      </c>
      <c r="S4543" s="422" t="s">
        <v>1861</v>
      </c>
      <c r="U4543" s="422" t="s">
        <v>1953</v>
      </c>
      <c r="V4543" s="422" t="s">
        <v>2813</v>
      </c>
    </row>
    <row r="4544" spans="1:22" ht="15.75" thickBot="1" x14ac:dyDescent="0.3">
      <c r="A4544" t="s">
        <v>2817</v>
      </c>
      <c r="B4544" t="s">
        <v>2817</v>
      </c>
      <c r="C4544" s="424" t="str">
        <f t="shared" si="184"/>
        <v>Isidoro Duarte, S.A.</v>
      </c>
      <c r="D4544" t="s">
        <v>629</v>
      </c>
      <c r="F4544" s="422" t="s">
        <v>620</v>
      </c>
      <c r="G4544" s="89">
        <v>2012</v>
      </c>
      <c r="I4544" s="311" t="str">
        <f t="shared" si="185"/>
        <v xml:space="preserve">Pesado de Passageiros M3:  : Gasóleo : </v>
      </c>
      <c r="J4544">
        <v>53</v>
      </c>
      <c r="K4544" s="422">
        <v>2023</v>
      </c>
      <c r="L4544" s="427"/>
      <c r="M4544" s="427" t="s">
        <v>630</v>
      </c>
      <c r="N4544" s="434"/>
      <c r="O4544" s="436">
        <f t="shared" si="186"/>
        <v>0</v>
      </c>
      <c r="P4544" s="89">
        <v>342</v>
      </c>
      <c r="Q4544" s="422" t="s">
        <v>47</v>
      </c>
      <c r="R4544" s="422" t="s">
        <v>1869</v>
      </c>
      <c r="S4544" s="422" t="s">
        <v>1861</v>
      </c>
      <c r="U4544" s="422" t="s">
        <v>1953</v>
      </c>
      <c r="V4544" s="422" t="s">
        <v>2813</v>
      </c>
    </row>
    <row r="4545" spans="1:22" ht="15.75" thickBot="1" x14ac:dyDescent="0.3">
      <c r="A4545" t="s">
        <v>2817</v>
      </c>
      <c r="B4545" t="s">
        <v>2817</v>
      </c>
      <c r="C4545" s="424" t="str">
        <f t="shared" si="184"/>
        <v>Isidoro Duarte, S.A.</v>
      </c>
      <c r="D4545" t="s">
        <v>629</v>
      </c>
      <c r="F4545" s="422" t="s">
        <v>620</v>
      </c>
      <c r="G4545" s="89">
        <v>2013</v>
      </c>
      <c r="I4545" s="311" t="str">
        <f t="shared" si="185"/>
        <v xml:space="preserve">Pesado de Passageiros M3:  : Gasóleo : </v>
      </c>
      <c r="J4545">
        <v>31</v>
      </c>
      <c r="K4545" s="422">
        <v>2023</v>
      </c>
      <c r="L4545" s="427"/>
      <c r="M4545" s="427" t="s">
        <v>630</v>
      </c>
      <c r="N4545" s="434"/>
      <c r="O4545" s="436">
        <f t="shared" si="186"/>
        <v>0</v>
      </c>
      <c r="P4545" s="89">
        <v>343</v>
      </c>
      <c r="Q4545" s="422" t="s">
        <v>47</v>
      </c>
      <c r="R4545" s="422" t="s">
        <v>1869</v>
      </c>
      <c r="S4545" s="422" t="s">
        <v>1861</v>
      </c>
      <c r="U4545" s="422" t="s">
        <v>1953</v>
      </c>
      <c r="V4545" s="422" t="s">
        <v>2813</v>
      </c>
    </row>
    <row r="4546" spans="1:22" ht="15.75" thickBot="1" x14ac:dyDescent="0.3">
      <c r="A4546" t="s">
        <v>2817</v>
      </c>
      <c r="B4546" t="s">
        <v>2817</v>
      </c>
      <c r="C4546" s="424" t="str">
        <f t="shared" si="184"/>
        <v>Isidoro Duarte, S.A.</v>
      </c>
      <c r="D4546" t="s">
        <v>629</v>
      </c>
      <c r="F4546" s="422" t="s">
        <v>620</v>
      </c>
      <c r="G4546" s="89">
        <v>2014</v>
      </c>
      <c r="I4546" s="311" t="str">
        <f t="shared" si="185"/>
        <v xml:space="preserve">Pesado de Passageiros M3:  : Gasóleo : </v>
      </c>
      <c r="J4546">
        <v>51</v>
      </c>
      <c r="K4546" s="422">
        <v>2023</v>
      </c>
      <c r="L4546" s="427"/>
      <c r="M4546" s="427" t="s">
        <v>630</v>
      </c>
      <c r="N4546" s="434"/>
      <c r="O4546" s="436">
        <f t="shared" si="186"/>
        <v>0</v>
      </c>
      <c r="P4546" s="89">
        <v>344</v>
      </c>
      <c r="Q4546" s="422" t="s">
        <v>47</v>
      </c>
      <c r="R4546" s="422" t="s">
        <v>1869</v>
      </c>
      <c r="S4546" s="422" t="s">
        <v>1861</v>
      </c>
      <c r="U4546" s="422" t="s">
        <v>1953</v>
      </c>
      <c r="V4546" s="422" t="s">
        <v>2813</v>
      </c>
    </row>
    <row r="4547" spans="1:22" ht="15.75" thickBot="1" x14ac:dyDescent="0.3">
      <c r="A4547" t="s">
        <v>2817</v>
      </c>
      <c r="B4547" t="s">
        <v>2817</v>
      </c>
      <c r="C4547" s="424" t="str">
        <f t="shared" si="184"/>
        <v>Isidoro Duarte, S.A.</v>
      </c>
      <c r="D4547" t="s">
        <v>629</v>
      </c>
      <c r="F4547" s="422" t="s">
        <v>620</v>
      </c>
      <c r="G4547" s="89">
        <v>2008</v>
      </c>
      <c r="I4547" s="311" t="str">
        <f t="shared" si="185"/>
        <v xml:space="preserve">Pesado de Passageiros M3:  : Gasóleo : </v>
      </c>
      <c r="J4547">
        <v>49</v>
      </c>
      <c r="K4547" s="422">
        <v>2023</v>
      </c>
      <c r="L4547" s="427"/>
      <c r="M4547" s="427" t="s">
        <v>630</v>
      </c>
      <c r="N4547" s="434"/>
      <c r="O4547" s="436">
        <f t="shared" si="186"/>
        <v>0</v>
      </c>
      <c r="P4547" s="89">
        <v>346</v>
      </c>
      <c r="Q4547" s="422" t="s">
        <v>47</v>
      </c>
      <c r="R4547" s="422" t="s">
        <v>1869</v>
      </c>
      <c r="S4547" s="422" t="s">
        <v>1861</v>
      </c>
      <c r="U4547" s="422" t="s">
        <v>1953</v>
      </c>
      <c r="V4547" s="422" t="s">
        <v>2813</v>
      </c>
    </row>
    <row r="4548" spans="1:22" ht="15.75" thickBot="1" x14ac:dyDescent="0.3">
      <c r="A4548" t="s">
        <v>2817</v>
      </c>
      <c r="B4548" t="s">
        <v>2817</v>
      </c>
      <c r="C4548" s="424" t="str">
        <f t="shared" si="184"/>
        <v>Isidoro Duarte, S.A.</v>
      </c>
      <c r="D4548" t="s">
        <v>629</v>
      </c>
      <c r="F4548" s="422" t="s">
        <v>620</v>
      </c>
      <c r="G4548" s="89">
        <v>2008</v>
      </c>
      <c r="I4548" s="311" t="str">
        <f t="shared" si="185"/>
        <v xml:space="preserve">Pesado de Passageiros M3:  : Gasóleo : </v>
      </c>
      <c r="J4548">
        <v>49</v>
      </c>
      <c r="K4548" s="422">
        <v>2023</v>
      </c>
      <c r="L4548" s="427"/>
      <c r="M4548" s="427" t="s">
        <v>630</v>
      </c>
      <c r="N4548" s="434"/>
      <c r="O4548" s="436">
        <f t="shared" si="186"/>
        <v>0</v>
      </c>
      <c r="P4548" s="89">
        <v>348</v>
      </c>
      <c r="Q4548" s="422" t="s">
        <v>47</v>
      </c>
      <c r="R4548" s="422" t="s">
        <v>1869</v>
      </c>
      <c r="S4548" s="422" t="s">
        <v>1861</v>
      </c>
      <c r="U4548" s="422" t="s">
        <v>1953</v>
      </c>
      <c r="V4548" s="422" t="s">
        <v>2813</v>
      </c>
    </row>
    <row r="4549" spans="1:22" ht="15.75" thickBot="1" x14ac:dyDescent="0.3">
      <c r="A4549" t="s">
        <v>2817</v>
      </c>
      <c r="B4549" t="s">
        <v>2817</v>
      </c>
      <c r="C4549" s="424" t="str">
        <f t="shared" si="184"/>
        <v>Isidoro Duarte, S.A.</v>
      </c>
      <c r="D4549" t="s">
        <v>629</v>
      </c>
      <c r="F4549" s="422" t="s">
        <v>620</v>
      </c>
      <c r="G4549" s="89">
        <v>2005</v>
      </c>
      <c r="I4549" s="311" t="str">
        <f t="shared" si="185"/>
        <v xml:space="preserve">Pesado de Passageiros M3:  : Gasóleo : </v>
      </c>
      <c r="J4549">
        <v>59</v>
      </c>
      <c r="K4549" s="422">
        <v>2023</v>
      </c>
      <c r="L4549" s="427"/>
      <c r="M4549" s="427" t="s">
        <v>630</v>
      </c>
      <c r="N4549" s="434"/>
      <c r="O4549" s="436">
        <f t="shared" si="186"/>
        <v>0</v>
      </c>
      <c r="P4549" s="89">
        <v>349</v>
      </c>
      <c r="Q4549" s="422" t="s">
        <v>47</v>
      </c>
      <c r="R4549" s="422" t="s">
        <v>1869</v>
      </c>
      <c r="S4549" s="422" t="s">
        <v>1861</v>
      </c>
      <c r="U4549" s="422" t="s">
        <v>1953</v>
      </c>
      <c r="V4549" s="422" t="s">
        <v>2813</v>
      </c>
    </row>
    <row r="4550" spans="1:22" ht="15.75" thickBot="1" x14ac:dyDescent="0.3">
      <c r="A4550" t="s">
        <v>2817</v>
      </c>
      <c r="B4550" t="s">
        <v>2817</v>
      </c>
      <c r="C4550" s="424" t="str">
        <f t="shared" si="184"/>
        <v>Isidoro Duarte, S.A.</v>
      </c>
      <c r="D4550" t="s">
        <v>629</v>
      </c>
      <c r="F4550" s="422" t="s">
        <v>620</v>
      </c>
      <c r="G4550" s="89">
        <v>2011</v>
      </c>
      <c r="I4550" s="311" t="str">
        <f t="shared" si="185"/>
        <v xml:space="preserve">Pesado de Passageiros M3:  : Gasóleo : </v>
      </c>
      <c r="J4550">
        <v>53</v>
      </c>
      <c r="K4550" s="422">
        <v>2023</v>
      </c>
      <c r="L4550" s="427"/>
      <c r="M4550" s="427" t="s">
        <v>630</v>
      </c>
      <c r="N4550" s="434"/>
      <c r="O4550" s="436">
        <f t="shared" si="186"/>
        <v>0</v>
      </c>
      <c r="P4550" s="89">
        <v>350</v>
      </c>
      <c r="Q4550" s="422" t="s">
        <v>47</v>
      </c>
      <c r="R4550" s="422" t="s">
        <v>1869</v>
      </c>
      <c r="S4550" s="422" t="s">
        <v>1861</v>
      </c>
      <c r="U4550" s="422" t="s">
        <v>1953</v>
      </c>
      <c r="V4550" s="422" t="s">
        <v>2813</v>
      </c>
    </row>
    <row r="4551" spans="1:22" ht="15.75" thickBot="1" x14ac:dyDescent="0.3">
      <c r="A4551" t="s">
        <v>2817</v>
      </c>
      <c r="B4551" t="s">
        <v>2817</v>
      </c>
      <c r="C4551" s="424" t="str">
        <f t="shared" si="184"/>
        <v>Isidoro Duarte, S.A.</v>
      </c>
      <c r="D4551" t="s">
        <v>629</v>
      </c>
      <c r="F4551" s="422" t="s">
        <v>620</v>
      </c>
      <c r="G4551" s="89">
        <v>2011</v>
      </c>
      <c r="I4551" s="311" t="str">
        <f t="shared" si="185"/>
        <v xml:space="preserve">Pesado de Passageiros M3:  : Gasóleo : </v>
      </c>
      <c r="J4551">
        <v>53</v>
      </c>
      <c r="K4551" s="422">
        <v>2023</v>
      </c>
      <c r="L4551" s="427"/>
      <c r="M4551" s="427" t="s">
        <v>630</v>
      </c>
      <c r="N4551" s="434"/>
      <c r="O4551" s="436">
        <f t="shared" si="186"/>
        <v>0</v>
      </c>
      <c r="P4551" s="89">
        <v>351</v>
      </c>
      <c r="Q4551" s="422" t="s">
        <v>47</v>
      </c>
      <c r="R4551" s="422" t="s">
        <v>1869</v>
      </c>
      <c r="S4551" s="422" t="s">
        <v>1861</v>
      </c>
      <c r="U4551" s="422" t="s">
        <v>1953</v>
      </c>
      <c r="V4551" s="422" t="s">
        <v>2813</v>
      </c>
    </row>
    <row r="4552" spans="1:22" ht="15.75" thickBot="1" x14ac:dyDescent="0.3">
      <c r="A4552" t="s">
        <v>2817</v>
      </c>
      <c r="B4552" t="s">
        <v>2817</v>
      </c>
      <c r="C4552" s="424" t="str">
        <f t="shared" si="184"/>
        <v>Isidoro Duarte, S.A.</v>
      </c>
      <c r="D4552" t="s">
        <v>629</v>
      </c>
      <c r="F4552" s="422" t="s">
        <v>620</v>
      </c>
      <c r="G4552" s="89">
        <v>2015</v>
      </c>
      <c r="I4552" s="311" t="str">
        <f t="shared" si="185"/>
        <v xml:space="preserve">Pesado de Passageiros M3:  : Gasóleo : </v>
      </c>
      <c r="J4552">
        <v>53</v>
      </c>
      <c r="K4552" s="422">
        <v>2023</v>
      </c>
      <c r="L4552" s="427"/>
      <c r="M4552" s="427" t="s">
        <v>630</v>
      </c>
      <c r="N4552" s="434"/>
      <c r="O4552" s="436">
        <f t="shared" si="186"/>
        <v>0</v>
      </c>
      <c r="P4552" s="89">
        <v>352</v>
      </c>
      <c r="Q4552" s="422" t="s">
        <v>47</v>
      </c>
      <c r="R4552" s="422" t="s">
        <v>1869</v>
      </c>
      <c r="S4552" s="422" t="s">
        <v>1861</v>
      </c>
      <c r="U4552" s="422" t="s">
        <v>1953</v>
      </c>
      <c r="V4552" s="422" t="s">
        <v>2813</v>
      </c>
    </row>
    <row r="4553" spans="1:22" ht="15.75" thickBot="1" x14ac:dyDescent="0.3">
      <c r="A4553" t="s">
        <v>2817</v>
      </c>
      <c r="B4553" t="s">
        <v>2817</v>
      </c>
      <c r="C4553" s="424" t="str">
        <f t="shared" si="184"/>
        <v>Isidoro Duarte, S.A.</v>
      </c>
      <c r="D4553" t="s">
        <v>629</v>
      </c>
      <c r="F4553" s="422" t="s">
        <v>620</v>
      </c>
      <c r="G4553" s="89">
        <v>2015</v>
      </c>
      <c r="I4553" s="311" t="str">
        <f t="shared" si="185"/>
        <v xml:space="preserve">Pesado de Passageiros M3:  : Gasóleo : </v>
      </c>
      <c r="J4553">
        <v>53</v>
      </c>
      <c r="K4553" s="422">
        <v>2023</v>
      </c>
      <c r="L4553" s="427"/>
      <c r="M4553" s="427" t="s">
        <v>630</v>
      </c>
      <c r="N4553" s="434"/>
      <c r="O4553" s="436">
        <f t="shared" si="186"/>
        <v>0</v>
      </c>
      <c r="P4553" s="89">
        <v>353</v>
      </c>
      <c r="Q4553" s="422" t="s">
        <v>47</v>
      </c>
      <c r="R4553" s="422" t="s">
        <v>1869</v>
      </c>
      <c r="S4553" s="422" t="s">
        <v>1861</v>
      </c>
      <c r="U4553" s="422" t="s">
        <v>1953</v>
      </c>
      <c r="V4553" s="422" t="s">
        <v>2813</v>
      </c>
    </row>
    <row r="4554" spans="1:22" ht="15.75" thickBot="1" x14ac:dyDescent="0.3">
      <c r="A4554" t="s">
        <v>2817</v>
      </c>
      <c r="B4554" t="s">
        <v>2817</v>
      </c>
      <c r="C4554" s="424" t="str">
        <f t="shared" si="184"/>
        <v>Isidoro Duarte, S.A.</v>
      </c>
      <c r="D4554" t="s">
        <v>629</v>
      </c>
      <c r="F4554" s="422" t="s">
        <v>620</v>
      </c>
      <c r="G4554" s="89">
        <v>2016</v>
      </c>
      <c r="I4554" s="311" t="str">
        <f t="shared" si="185"/>
        <v xml:space="preserve">Pesado de Passageiros M3:  : Gasóleo : </v>
      </c>
      <c r="J4554">
        <v>53</v>
      </c>
      <c r="K4554" s="422">
        <v>2023</v>
      </c>
      <c r="L4554" s="427"/>
      <c r="M4554" s="427" t="s">
        <v>630</v>
      </c>
      <c r="N4554" s="434"/>
      <c r="O4554" s="436">
        <f t="shared" si="186"/>
        <v>0</v>
      </c>
      <c r="P4554" s="89">
        <v>354</v>
      </c>
      <c r="Q4554" s="422" t="s">
        <v>47</v>
      </c>
      <c r="R4554" s="422" t="s">
        <v>1869</v>
      </c>
      <c r="S4554" s="422" t="s">
        <v>1861</v>
      </c>
      <c r="U4554" s="422" t="s">
        <v>1953</v>
      </c>
      <c r="V4554" s="422" t="s">
        <v>2813</v>
      </c>
    </row>
    <row r="4555" spans="1:22" ht="15.75" thickBot="1" x14ac:dyDescent="0.3">
      <c r="A4555" t="s">
        <v>2817</v>
      </c>
      <c r="B4555" t="s">
        <v>2817</v>
      </c>
      <c r="C4555" s="424" t="str">
        <f t="shared" si="184"/>
        <v>Isidoro Duarte, S.A.</v>
      </c>
      <c r="D4555" t="s">
        <v>629</v>
      </c>
      <c r="F4555" s="422" t="s">
        <v>620</v>
      </c>
      <c r="G4555" s="89">
        <v>2016</v>
      </c>
      <c r="I4555" s="311" t="str">
        <f t="shared" si="185"/>
        <v xml:space="preserve">Pesado de Passageiros M3:  : Gasóleo : </v>
      </c>
      <c r="J4555">
        <v>53</v>
      </c>
      <c r="K4555" s="422">
        <v>2023</v>
      </c>
      <c r="L4555" s="427"/>
      <c r="M4555" s="427" t="s">
        <v>630</v>
      </c>
      <c r="N4555" s="434"/>
      <c r="O4555" s="436">
        <f t="shared" si="186"/>
        <v>0</v>
      </c>
      <c r="P4555" s="89">
        <v>355</v>
      </c>
      <c r="Q4555" s="422" t="s">
        <v>47</v>
      </c>
      <c r="R4555" s="422" t="s">
        <v>1869</v>
      </c>
      <c r="S4555" s="422" t="s">
        <v>1861</v>
      </c>
      <c r="U4555" s="422" t="s">
        <v>1953</v>
      </c>
      <c r="V4555" s="422" t="s">
        <v>2813</v>
      </c>
    </row>
    <row r="4556" spans="1:22" ht="15.75" thickBot="1" x14ac:dyDescent="0.3">
      <c r="A4556" t="s">
        <v>2817</v>
      </c>
      <c r="B4556" t="s">
        <v>2817</v>
      </c>
      <c r="C4556" s="424" t="str">
        <f t="shared" si="184"/>
        <v>Isidoro Duarte, S.A.</v>
      </c>
      <c r="D4556" t="s">
        <v>629</v>
      </c>
      <c r="F4556" s="422" t="s">
        <v>620</v>
      </c>
      <c r="G4556" s="89">
        <v>2016</v>
      </c>
      <c r="I4556" s="311" t="str">
        <f t="shared" si="185"/>
        <v xml:space="preserve">Pesado de Passageiros M3:  : Gasóleo : </v>
      </c>
      <c r="J4556">
        <v>53</v>
      </c>
      <c r="K4556" s="422">
        <v>2023</v>
      </c>
      <c r="L4556" s="427"/>
      <c r="M4556" s="427" t="s">
        <v>630</v>
      </c>
      <c r="N4556" s="434"/>
      <c r="O4556" s="436">
        <f t="shared" si="186"/>
        <v>0</v>
      </c>
      <c r="P4556" s="89">
        <v>356</v>
      </c>
      <c r="Q4556" s="422" t="s">
        <v>47</v>
      </c>
      <c r="R4556" s="422" t="s">
        <v>1869</v>
      </c>
      <c r="S4556" s="422" t="s">
        <v>1861</v>
      </c>
      <c r="U4556" s="422" t="s">
        <v>1953</v>
      </c>
      <c r="V4556" s="422" t="s">
        <v>2813</v>
      </c>
    </row>
    <row r="4557" spans="1:22" ht="15.75" thickBot="1" x14ac:dyDescent="0.3">
      <c r="A4557" t="s">
        <v>2817</v>
      </c>
      <c r="B4557" t="s">
        <v>2817</v>
      </c>
      <c r="C4557" s="424" t="str">
        <f t="shared" si="184"/>
        <v>Isidoro Duarte, S.A.</v>
      </c>
      <c r="D4557" t="s">
        <v>629</v>
      </c>
      <c r="F4557" s="422" t="s">
        <v>620</v>
      </c>
      <c r="G4557" s="89">
        <v>2016</v>
      </c>
      <c r="I4557" s="311" t="str">
        <f t="shared" si="185"/>
        <v xml:space="preserve">Pesado de Passageiros M3:  : Gasóleo : </v>
      </c>
      <c r="J4557">
        <v>53</v>
      </c>
      <c r="K4557" s="422">
        <v>2023</v>
      </c>
      <c r="L4557" s="427"/>
      <c r="M4557" s="427" t="s">
        <v>630</v>
      </c>
      <c r="N4557" s="434"/>
      <c r="O4557" s="436">
        <f t="shared" si="186"/>
        <v>0</v>
      </c>
      <c r="P4557" s="89">
        <v>357</v>
      </c>
      <c r="Q4557" s="422" t="s">
        <v>47</v>
      </c>
      <c r="R4557" s="422" t="s">
        <v>1869</v>
      </c>
      <c r="S4557" s="422" t="s">
        <v>1861</v>
      </c>
      <c r="U4557" s="422" t="s">
        <v>1953</v>
      </c>
      <c r="V4557" s="422" t="s">
        <v>2813</v>
      </c>
    </row>
    <row r="4558" spans="1:22" ht="15.75" thickBot="1" x14ac:dyDescent="0.3">
      <c r="A4558" t="s">
        <v>2817</v>
      </c>
      <c r="B4558" t="s">
        <v>2817</v>
      </c>
      <c r="C4558" s="424" t="str">
        <f t="shared" si="184"/>
        <v>Isidoro Duarte, S.A.</v>
      </c>
      <c r="D4558" t="s">
        <v>629</v>
      </c>
      <c r="F4558" s="422" t="s">
        <v>620</v>
      </c>
      <c r="G4558" s="89">
        <v>2008</v>
      </c>
      <c r="I4558" s="311" t="str">
        <f t="shared" si="185"/>
        <v xml:space="preserve">Pesado de Passageiros M3:  : Gasóleo : </v>
      </c>
      <c r="J4558">
        <v>65</v>
      </c>
      <c r="K4558" s="422">
        <v>2023</v>
      </c>
      <c r="L4558" s="427"/>
      <c r="M4558" s="427" t="s">
        <v>630</v>
      </c>
      <c r="N4558" s="434"/>
      <c r="O4558" s="436">
        <f t="shared" si="186"/>
        <v>0</v>
      </c>
      <c r="P4558" s="89">
        <v>358</v>
      </c>
      <c r="Q4558" s="422" t="s">
        <v>47</v>
      </c>
      <c r="R4558" s="422" t="s">
        <v>1869</v>
      </c>
      <c r="S4558" s="422" t="s">
        <v>1861</v>
      </c>
      <c r="U4558" s="422" t="s">
        <v>1953</v>
      </c>
      <c r="V4558" s="422" t="s">
        <v>2813</v>
      </c>
    </row>
    <row r="4559" spans="1:22" ht="15.75" thickBot="1" x14ac:dyDescent="0.3">
      <c r="A4559" t="s">
        <v>2817</v>
      </c>
      <c r="B4559" t="s">
        <v>2817</v>
      </c>
      <c r="C4559" s="424" t="str">
        <f t="shared" si="184"/>
        <v>Isidoro Duarte, S.A.</v>
      </c>
      <c r="D4559" t="s">
        <v>629</v>
      </c>
      <c r="F4559" s="422" t="s">
        <v>620</v>
      </c>
      <c r="G4559" s="89">
        <v>2010</v>
      </c>
      <c r="I4559" s="311" t="str">
        <f t="shared" si="185"/>
        <v xml:space="preserve">Pesado de Passageiros M3:  : Gasóleo : </v>
      </c>
      <c r="J4559">
        <v>51</v>
      </c>
      <c r="K4559" s="422">
        <v>2023</v>
      </c>
      <c r="L4559" s="427"/>
      <c r="M4559" s="427" t="s">
        <v>630</v>
      </c>
      <c r="N4559" s="434"/>
      <c r="O4559" s="436">
        <f t="shared" si="186"/>
        <v>0</v>
      </c>
      <c r="P4559" s="89">
        <v>359</v>
      </c>
      <c r="Q4559" s="422" t="s">
        <v>47</v>
      </c>
      <c r="R4559" s="422" t="s">
        <v>1869</v>
      </c>
      <c r="S4559" s="422" t="s">
        <v>1861</v>
      </c>
      <c r="U4559" s="422" t="s">
        <v>1953</v>
      </c>
      <c r="V4559" s="422" t="s">
        <v>2813</v>
      </c>
    </row>
    <row r="4560" spans="1:22" ht="15.75" thickBot="1" x14ac:dyDescent="0.3">
      <c r="A4560" t="s">
        <v>2817</v>
      </c>
      <c r="B4560" t="s">
        <v>2817</v>
      </c>
      <c r="C4560" s="424" t="str">
        <f t="shared" si="184"/>
        <v>Isidoro Duarte, S.A.</v>
      </c>
      <c r="D4560" t="s">
        <v>629</v>
      </c>
      <c r="F4560" s="422" t="s">
        <v>620</v>
      </c>
      <c r="G4560" s="89">
        <v>2007</v>
      </c>
      <c r="I4560" s="311" t="str">
        <f t="shared" si="185"/>
        <v xml:space="preserve">Pesado de Passageiros M3:  : Gasóleo : </v>
      </c>
      <c r="J4560">
        <v>61</v>
      </c>
      <c r="K4560" s="422">
        <v>2023</v>
      </c>
      <c r="L4560" s="427"/>
      <c r="M4560" s="427" t="s">
        <v>630</v>
      </c>
      <c r="N4560" s="434"/>
      <c r="O4560" s="436">
        <f t="shared" si="186"/>
        <v>0</v>
      </c>
      <c r="P4560" s="89">
        <v>360</v>
      </c>
      <c r="Q4560" s="422" t="s">
        <v>47</v>
      </c>
      <c r="R4560" s="422" t="s">
        <v>1869</v>
      </c>
      <c r="S4560" s="422" t="s">
        <v>1861</v>
      </c>
      <c r="U4560" s="422" t="s">
        <v>1953</v>
      </c>
      <c r="V4560" s="422" t="s">
        <v>2813</v>
      </c>
    </row>
    <row r="4561" spans="1:22" ht="15.75" thickBot="1" x14ac:dyDescent="0.3">
      <c r="A4561" t="s">
        <v>2817</v>
      </c>
      <c r="B4561" t="s">
        <v>2817</v>
      </c>
      <c r="C4561" s="424" t="str">
        <f t="shared" si="184"/>
        <v>Isidoro Duarte, S.A.</v>
      </c>
      <c r="D4561" t="s">
        <v>629</v>
      </c>
      <c r="F4561" s="422" t="s">
        <v>620</v>
      </c>
      <c r="G4561" s="89">
        <v>2006</v>
      </c>
      <c r="I4561" s="311" t="str">
        <f t="shared" si="185"/>
        <v xml:space="preserve">Pesado de Passageiros M3:  : Gasóleo : </v>
      </c>
      <c r="J4561">
        <v>55</v>
      </c>
      <c r="K4561" s="422">
        <v>2023</v>
      </c>
      <c r="L4561" s="427"/>
      <c r="M4561" s="427" t="s">
        <v>630</v>
      </c>
      <c r="N4561" s="434"/>
      <c r="O4561" s="436">
        <f t="shared" si="186"/>
        <v>0</v>
      </c>
      <c r="P4561" s="89">
        <v>361</v>
      </c>
      <c r="Q4561" s="422" t="s">
        <v>47</v>
      </c>
      <c r="R4561" s="422" t="s">
        <v>1869</v>
      </c>
      <c r="S4561" s="422" t="s">
        <v>1861</v>
      </c>
      <c r="U4561" s="422" t="s">
        <v>1953</v>
      </c>
      <c r="V4561" s="422" t="s">
        <v>2813</v>
      </c>
    </row>
    <row r="4562" spans="1:22" ht="15.75" thickBot="1" x14ac:dyDescent="0.3">
      <c r="A4562" t="s">
        <v>2817</v>
      </c>
      <c r="B4562" t="s">
        <v>2817</v>
      </c>
      <c r="C4562" s="424" t="str">
        <f t="shared" si="184"/>
        <v>Isidoro Duarte, S.A.</v>
      </c>
      <c r="D4562" t="s">
        <v>629</v>
      </c>
      <c r="F4562" s="422" t="s">
        <v>620</v>
      </c>
      <c r="G4562" s="89">
        <v>2017</v>
      </c>
      <c r="I4562" s="311" t="str">
        <f t="shared" si="185"/>
        <v xml:space="preserve">Pesado de Passageiros M3:  : Gasóleo : </v>
      </c>
      <c r="J4562">
        <v>53</v>
      </c>
      <c r="K4562" s="422">
        <v>2023</v>
      </c>
      <c r="L4562" s="427"/>
      <c r="M4562" s="427" t="s">
        <v>630</v>
      </c>
      <c r="N4562" s="434"/>
      <c r="O4562" s="436">
        <f t="shared" si="186"/>
        <v>0</v>
      </c>
      <c r="P4562" s="89">
        <v>362</v>
      </c>
      <c r="Q4562" s="422" t="s">
        <v>47</v>
      </c>
      <c r="R4562" s="422" t="s">
        <v>1869</v>
      </c>
      <c r="S4562" s="422" t="s">
        <v>1861</v>
      </c>
      <c r="U4562" s="422" t="s">
        <v>1953</v>
      </c>
      <c r="V4562" s="422" t="s">
        <v>2813</v>
      </c>
    </row>
    <row r="4563" spans="1:22" ht="15.75" thickBot="1" x14ac:dyDescent="0.3">
      <c r="A4563" t="s">
        <v>2817</v>
      </c>
      <c r="B4563" t="s">
        <v>2817</v>
      </c>
      <c r="C4563" s="424" t="str">
        <f t="shared" si="184"/>
        <v>Isidoro Duarte, S.A.</v>
      </c>
      <c r="D4563" t="s">
        <v>629</v>
      </c>
      <c r="F4563" s="422" t="s">
        <v>620</v>
      </c>
      <c r="G4563" s="89">
        <v>2017</v>
      </c>
      <c r="I4563" s="311" t="str">
        <f t="shared" si="185"/>
        <v xml:space="preserve">Pesado de Passageiros M3:  : Gasóleo : </v>
      </c>
      <c r="J4563">
        <v>53</v>
      </c>
      <c r="K4563" s="422">
        <v>2023</v>
      </c>
      <c r="L4563" s="427"/>
      <c r="M4563" s="427" t="s">
        <v>630</v>
      </c>
      <c r="N4563" s="434"/>
      <c r="O4563" s="436">
        <f t="shared" si="186"/>
        <v>0</v>
      </c>
      <c r="P4563" s="89">
        <v>363</v>
      </c>
      <c r="Q4563" s="422" t="s">
        <v>47</v>
      </c>
      <c r="R4563" s="422" t="s">
        <v>1869</v>
      </c>
      <c r="S4563" s="422" t="s">
        <v>1861</v>
      </c>
      <c r="U4563" s="422" t="s">
        <v>1953</v>
      </c>
      <c r="V4563" s="422" t="s">
        <v>2813</v>
      </c>
    </row>
    <row r="4564" spans="1:22" ht="15.75" thickBot="1" x14ac:dyDescent="0.3">
      <c r="A4564" t="s">
        <v>2817</v>
      </c>
      <c r="B4564" t="s">
        <v>2817</v>
      </c>
      <c r="C4564" s="424" t="str">
        <f t="shared" si="184"/>
        <v>Isidoro Duarte, S.A.</v>
      </c>
      <c r="D4564" t="s">
        <v>629</v>
      </c>
      <c r="F4564" s="422" t="s">
        <v>620</v>
      </c>
      <c r="G4564" s="89">
        <v>2006</v>
      </c>
      <c r="I4564" s="311" t="str">
        <f t="shared" si="185"/>
        <v xml:space="preserve">Pesado de Passageiros M3:  : Gasóleo : </v>
      </c>
      <c r="J4564">
        <v>55</v>
      </c>
      <c r="K4564" s="422">
        <v>2023</v>
      </c>
      <c r="L4564" s="427"/>
      <c r="M4564" s="427" t="s">
        <v>630</v>
      </c>
      <c r="N4564" s="434"/>
      <c r="O4564" s="436">
        <f t="shared" si="186"/>
        <v>0</v>
      </c>
      <c r="P4564" s="89">
        <v>364</v>
      </c>
      <c r="Q4564" s="422" t="s">
        <v>47</v>
      </c>
      <c r="R4564" s="422" t="s">
        <v>1869</v>
      </c>
      <c r="S4564" s="422" t="s">
        <v>1861</v>
      </c>
      <c r="U4564" s="422" t="s">
        <v>1953</v>
      </c>
      <c r="V4564" s="422" t="s">
        <v>2813</v>
      </c>
    </row>
    <row r="4565" spans="1:22" ht="15.75" thickBot="1" x14ac:dyDescent="0.3">
      <c r="A4565" t="s">
        <v>2817</v>
      </c>
      <c r="B4565" t="s">
        <v>2817</v>
      </c>
      <c r="C4565" s="424" t="str">
        <f t="shared" si="184"/>
        <v>Isidoro Duarte, S.A.</v>
      </c>
      <c r="D4565" t="s">
        <v>629</v>
      </c>
      <c r="F4565" s="422" t="s">
        <v>620</v>
      </c>
      <c r="G4565" s="89">
        <v>2017</v>
      </c>
      <c r="I4565" s="311" t="str">
        <f t="shared" si="185"/>
        <v xml:space="preserve">Pesado de Passageiros M3:  : Gasóleo : </v>
      </c>
      <c r="J4565">
        <v>29</v>
      </c>
      <c r="K4565" s="422">
        <v>2023</v>
      </c>
      <c r="L4565" s="427"/>
      <c r="M4565" s="427" t="s">
        <v>630</v>
      </c>
      <c r="N4565" s="434"/>
      <c r="O4565" s="436">
        <f t="shared" si="186"/>
        <v>0</v>
      </c>
      <c r="P4565" s="89">
        <v>366</v>
      </c>
      <c r="Q4565" s="422" t="s">
        <v>47</v>
      </c>
      <c r="R4565" s="422" t="s">
        <v>1869</v>
      </c>
      <c r="S4565" s="422" t="s">
        <v>1861</v>
      </c>
      <c r="U4565" s="422" t="s">
        <v>1953</v>
      </c>
      <c r="V4565" s="422" t="s">
        <v>2813</v>
      </c>
    </row>
    <row r="4566" spans="1:22" ht="15.75" thickBot="1" x14ac:dyDescent="0.3">
      <c r="A4566" t="s">
        <v>2817</v>
      </c>
      <c r="B4566" t="s">
        <v>2817</v>
      </c>
      <c r="C4566" s="424" t="str">
        <f t="shared" si="184"/>
        <v>Isidoro Duarte, S.A.</v>
      </c>
      <c r="D4566" t="s">
        <v>629</v>
      </c>
      <c r="F4566" s="422" t="s">
        <v>620</v>
      </c>
      <c r="G4566" s="89">
        <v>2017</v>
      </c>
      <c r="I4566" s="311" t="str">
        <f t="shared" si="185"/>
        <v xml:space="preserve">Pesado de Passageiros M3:  : Gasóleo : </v>
      </c>
      <c r="J4566">
        <v>29</v>
      </c>
      <c r="K4566" s="422">
        <v>2023</v>
      </c>
      <c r="L4566" s="427"/>
      <c r="M4566" s="427" t="s">
        <v>630</v>
      </c>
      <c r="N4566" s="434"/>
      <c r="O4566" s="436">
        <f t="shared" si="186"/>
        <v>0</v>
      </c>
      <c r="P4566" s="89">
        <v>367</v>
      </c>
      <c r="Q4566" s="422" t="s">
        <v>47</v>
      </c>
      <c r="R4566" s="422" t="s">
        <v>1869</v>
      </c>
      <c r="S4566" s="422" t="s">
        <v>1861</v>
      </c>
      <c r="U4566" s="422" t="s">
        <v>1953</v>
      </c>
      <c r="V4566" s="422" t="s">
        <v>2813</v>
      </c>
    </row>
    <row r="4567" spans="1:22" ht="15.75" thickBot="1" x14ac:dyDescent="0.3">
      <c r="A4567" t="s">
        <v>2817</v>
      </c>
      <c r="B4567" t="s">
        <v>2817</v>
      </c>
      <c r="C4567" s="424" t="str">
        <f t="shared" si="184"/>
        <v>Isidoro Duarte, S.A.</v>
      </c>
      <c r="D4567" t="s">
        <v>629</v>
      </c>
      <c r="F4567" s="422" t="s">
        <v>620</v>
      </c>
      <c r="G4567" s="89">
        <v>2017</v>
      </c>
      <c r="I4567" s="311" t="str">
        <f t="shared" si="185"/>
        <v xml:space="preserve">Pesado de Passageiros M3:  : Gasóleo : </v>
      </c>
      <c r="J4567">
        <v>29</v>
      </c>
      <c r="K4567" s="422">
        <v>2023</v>
      </c>
      <c r="L4567" s="427"/>
      <c r="M4567" s="427" t="s">
        <v>630</v>
      </c>
      <c r="N4567" s="434"/>
      <c r="O4567" s="436">
        <f t="shared" si="186"/>
        <v>0</v>
      </c>
      <c r="P4567" s="89">
        <v>368</v>
      </c>
      <c r="Q4567" s="422" t="s">
        <v>47</v>
      </c>
      <c r="R4567" s="422" t="s">
        <v>1869</v>
      </c>
      <c r="S4567" s="422" t="s">
        <v>1861</v>
      </c>
      <c r="U4567" s="422" t="s">
        <v>1953</v>
      </c>
      <c r="V4567" s="422" t="s">
        <v>2813</v>
      </c>
    </row>
    <row r="4568" spans="1:22" ht="15.75" thickBot="1" x14ac:dyDescent="0.3">
      <c r="A4568" t="s">
        <v>2817</v>
      </c>
      <c r="B4568" t="s">
        <v>2817</v>
      </c>
      <c r="C4568" s="424" t="str">
        <f t="shared" ref="C4568:C4631" si="187">IF(A4568=B4568,B4568,RIGHT(A4568,LEN(A4568)-LEN(B4568)-3))</f>
        <v>Isidoro Duarte, S.A.</v>
      </c>
      <c r="D4568" t="s">
        <v>629</v>
      </c>
      <c r="F4568" s="422" t="s">
        <v>620</v>
      </c>
      <c r="G4568" s="89">
        <v>2018</v>
      </c>
      <c r="I4568" s="311" t="str">
        <f t="shared" si="185"/>
        <v xml:space="preserve">Pesado de Passageiros M3:  : Gasóleo : </v>
      </c>
      <c r="J4568">
        <v>53</v>
      </c>
      <c r="K4568" s="422">
        <v>2023</v>
      </c>
      <c r="L4568" s="427"/>
      <c r="M4568" s="427" t="s">
        <v>630</v>
      </c>
      <c r="N4568" s="434"/>
      <c r="O4568" s="436">
        <f t="shared" si="186"/>
        <v>0</v>
      </c>
      <c r="P4568" s="89">
        <v>369</v>
      </c>
      <c r="Q4568" s="422" t="s">
        <v>47</v>
      </c>
      <c r="R4568" s="422" t="s">
        <v>1869</v>
      </c>
      <c r="S4568" s="422" t="s">
        <v>1861</v>
      </c>
      <c r="U4568" s="422" t="s">
        <v>1953</v>
      </c>
      <c r="V4568" s="422" t="s">
        <v>2813</v>
      </c>
    </row>
    <row r="4569" spans="1:22" ht="15.75" thickBot="1" x14ac:dyDescent="0.3">
      <c r="A4569" t="s">
        <v>2817</v>
      </c>
      <c r="B4569" t="s">
        <v>2817</v>
      </c>
      <c r="C4569" s="424" t="str">
        <f t="shared" si="187"/>
        <v>Isidoro Duarte, S.A.</v>
      </c>
      <c r="D4569" t="s">
        <v>629</v>
      </c>
      <c r="F4569" s="422" t="s">
        <v>620</v>
      </c>
      <c r="G4569" s="89">
        <v>2018</v>
      </c>
      <c r="I4569" s="311" t="str">
        <f t="shared" si="185"/>
        <v xml:space="preserve">Pesado de Passageiros M3:  : Gasóleo : </v>
      </c>
      <c r="J4569">
        <v>53</v>
      </c>
      <c r="K4569" s="422">
        <v>2023</v>
      </c>
      <c r="L4569" s="427"/>
      <c r="M4569" s="427" t="s">
        <v>630</v>
      </c>
      <c r="N4569" s="434"/>
      <c r="O4569" s="436">
        <f t="shared" si="186"/>
        <v>0</v>
      </c>
      <c r="P4569" s="89">
        <v>370</v>
      </c>
      <c r="Q4569" s="422" t="s">
        <v>47</v>
      </c>
      <c r="R4569" s="422" t="s">
        <v>1869</v>
      </c>
      <c r="S4569" s="422" t="s">
        <v>1861</v>
      </c>
      <c r="U4569" s="422" t="s">
        <v>1953</v>
      </c>
      <c r="V4569" s="422" t="s">
        <v>2813</v>
      </c>
    </row>
    <row r="4570" spans="1:22" ht="15.75" thickBot="1" x14ac:dyDescent="0.3">
      <c r="A4570" t="s">
        <v>2817</v>
      </c>
      <c r="B4570" t="s">
        <v>2817</v>
      </c>
      <c r="C4570" s="424" t="str">
        <f t="shared" si="187"/>
        <v>Isidoro Duarte, S.A.</v>
      </c>
      <c r="D4570" t="s">
        <v>629</v>
      </c>
      <c r="F4570" s="422" t="s">
        <v>620</v>
      </c>
      <c r="G4570" s="89">
        <v>2014</v>
      </c>
      <c r="I4570" s="311" t="str">
        <f t="shared" si="185"/>
        <v xml:space="preserve">Pesado de Passageiros M3:  : Gasóleo : </v>
      </c>
      <c r="J4570">
        <v>53</v>
      </c>
      <c r="K4570" s="422">
        <v>2023</v>
      </c>
      <c r="L4570" s="427"/>
      <c r="M4570" s="427" t="s">
        <v>630</v>
      </c>
      <c r="N4570" s="434"/>
      <c r="O4570" s="436">
        <f t="shared" si="186"/>
        <v>0</v>
      </c>
      <c r="P4570" s="89">
        <v>375</v>
      </c>
      <c r="Q4570" s="422" t="s">
        <v>47</v>
      </c>
      <c r="R4570" s="422" t="s">
        <v>1869</v>
      </c>
      <c r="S4570" s="422" t="s">
        <v>1861</v>
      </c>
      <c r="U4570" s="422" t="s">
        <v>1953</v>
      </c>
      <c r="V4570" s="422" t="s">
        <v>2813</v>
      </c>
    </row>
    <row r="4571" spans="1:22" ht="15.75" thickBot="1" x14ac:dyDescent="0.3">
      <c r="A4571" t="s">
        <v>2817</v>
      </c>
      <c r="B4571" t="s">
        <v>2817</v>
      </c>
      <c r="C4571" s="424" t="str">
        <f t="shared" si="187"/>
        <v>Isidoro Duarte, S.A.</v>
      </c>
      <c r="D4571" t="s">
        <v>629</v>
      </c>
      <c r="F4571" s="422" t="s">
        <v>620</v>
      </c>
      <c r="G4571" s="89">
        <v>2014</v>
      </c>
      <c r="I4571" s="311" t="str">
        <f t="shared" si="185"/>
        <v xml:space="preserve">Pesado de Passageiros M3:  : Gasóleo : </v>
      </c>
      <c r="J4571">
        <v>53</v>
      </c>
      <c r="K4571" s="422">
        <v>2023</v>
      </c>
      <c r="L4571" s="427"/>
      <c r="M4571" s="427" t="s">
        <v>630</v>
      </c>
      <c r="N4571" s="434"/>
      <c r="O4571" s="436">
        <f t="shared" si="186"/>
        <v>0</v>
      </c>
      <c r="P4571" s="89">
        <v>376</v>
      </c>
      <c r="Q4571" s="422" t="s">
        <v>47</v>
      </c>
      <c r="R4571" s="422" t="s">
        <v>1869</v>
      </c>
      <c r="S4571" s="422" t="s">
        <v>1861</v>
      </c>
      <c r="U4571" s="422" t="s">
        <v>1953</v>
      </c>
      <c r="V4571" s="422" t="s">
        <v>2813</v>
      </c>
    </row>
    <row r="4572" spans="1:22" ht="15.75" thickBot="1" x14ac:dyDescent="0.3">
      <c r="A4572" t="s">
        <v>2817</v>
      </c>
      <c r="B4572" t="s">
        <v>2817</v>
      </c>
      <c r="C4572" s="424" t="str">
        <f t="shared" si="187"/>
        <v>Isidoro Duarte, S.A.</v>
      </c>
      <c r="D4572" t="s">
        <v>629</v>
      </c>
      <c r="F4572" s="422" t="s">
        <v>620</v>
      </c>
      <c r="G4572" s="89">
        <v>2020</v>
      </c>
      <c r="I4572" s="311" t="str">
        <f t="shared" si="185"/>
        <v xml:space="preserve">Pesado de Passageiros M3:  : Gasóleo : </v>
      </c>
      <c r="J4572">
        <v>53</v>
      </c>
      <c r="K4572" s="422">
        <v>2023</v>
      </c>
      <c r="L4572" s="427"/>
      <c r="M4572" s="427" t="s">
        <v>630</v>
      </c>
      <c r="N4572" s="434"/>
      <c r="O4572" s="436">
        <f t="shared" si="186"/>
        <v>0</v>
      </c>
      <c r="P4572" s="89">
        <v>377</v>
      </c>
      <c r="Q4572" s="422" t="s">
        <v>47</v>
      </c>
      <c r="R4572" s="422" t="s">
        <v>1869</v>
      </c>
      <c r="S4572" s="422" t="s">
        <v>1861</v>
      </c>
      <c r="U4572" s="422" t="s">
        <v>1953</v>
      </c>
      <c r="V4572" s="422" t="s">
        <v>2813</v>
      </c>
    </row>
    <row r="4573" spans="1:22" ht="15.75" thickBot="1" x14ac:dyDescent="0.3">
      <c r="A4573" t="s">
        <v>2817</v>
      </c>
      <c r="B4573" t="s">
        <v>2817</v>
      </c>
      <c r="C4573" s="424" t="str">
        <f t="shared" si="187"/>
        <v>Isidoro Duarte, S.A.</v>
      </c>
      <c r="D4573" t="s">
        <v>629</v>
      </c>
      <c r="F4573" s="422" t="s">
        <v>620</v>
      </c>
      <c r="G4573" s="89">
        <v>2001</v>
      </c>
      <c r="I4573" s="311" t="str">
        <f t="shared" si="185"/>
        <v xml:space="preserve">Pesado de Passageiros M3:  : Gasóleo : </v>
      </c>
      <c r="J4573">
        <v>55</v>
      </c>
      <c r="K4573" s="422">
        <v>2023</v>
      </c>
      <c r="L4573" s="427"/>
      <c r="M4573" s="427" t="s">
        <v>630</v>
      </c>
      <c r="N4573" s="434"/>
      <c r="O4573" s="436">
        <f t="shared" si="186"/>
        <v>0</v>
      </c>
      <c r="P4573" s="89">
        <v>459</v>
      </c>
      <c r="Q4573" s="422" t="s">
        <v>47</v>
      </c>
      <c r="R4573" s="422" t="s">
        <v>1869</v>
      </c>
      <c r="S4573" s="422" t="s">
        <v>1861</v>
      </c>
      <c r="U4573" s="422" t="s">
        <v>1953</v>
      </c>
      <c r="V4573" s="422" t="s">
        <v>2813</v>
      </c>
    </row>
    <row r="4574" spans="1:22" ht="15.75" thickBot="1" x14ac:dyDescent="0.3">
      <c r="A4574" t="s">
        <v>2817</v>
      </c>
      <c r="B4574" t="s">
        <v>2817</v>
      </c>
      <c r="C4574" s="424" t="str">
        <f t="shared" si="187"/>
        <v>Isidoro Duarte, S.A.</v>
      </c>
      <c r="D4574" t="s">
        <v>629</v>
      </c>
      <c r="F4574" s="422" t="s">
        <v>620</v>
      </c>
      <c r="G4574" s="89">
        <v>2001</v>
      </c>
      <c r="I4574" s="311" t="str">
        <f t="shared" si="185"/>
        <v xml:space="preserve">Pesado de Passageiros M3:  : Gasóleo : </v>
      </c>
      <c r="J4574">
        <v>55</v>
      </c>
      <c r="K4574" s="422">
        <v>2023</v>
      </c>
      <c r="L4574" s="427"/>
      <c r="M4574" s="427" t="s">
        <v>630</v>
      </c>
      <c r="N4574" s="434"/>
      <c r="O4574" s="436">
        <f t="shared" si="186"/>
        <v>0</v>
      </c>
      <c r="P4574" s="89">
        <v>460</v>
      </c>
      <c r="Q4574" s="422" t="s">
        <v>47</v>
      </c>
      <c r="R4574" s="422" t="s">
        <v>1869</v>
      </c>
      <c r="S4574" s="422" t="s">
        <v>1861</v>
      </c>
      <c r="U4574" s="422" t="s">
        <v>1953</v>
      </c>
      <c r="V4574" s="422" t="s">
        <v>2813</v>
      </c>
    </row>
    <row r="4575" spans="1:22" ht="15.75" thickBot="1" x14ac:dyDescent="0.3">
      <c r="A4575" t="s">
        <v>2817</v>
      </c>
      <c r="B4575" t="s">
        <v>2817</v>
      </c>
      <c r="C4575" s="424" t="str">
        <f t="shared" si="187"/>
        <v>Isidoro Duarte, S.A.</v>
      </c>
      <c r="D4575" t="s">
        <v>629</v>
      </c>
      <c r="F4575" s="422" t="s">
        <v>620</v>
      </c>
      <c r="G4575" s="89">
        <v>2004</v>
      </c>
      <c r="I4575" s="311" t="str">
        <f t="shared" si="185"/>
        <v xml:space="preserve">Pesado de Passageiros M3:  : Gasóleo : </v>
      </c>
      <c r="J4575">
        <v>53</v>
      </c>
      <c r="K4575" s="422">
        <v>2023</v>
      </c>
      <c r="L4575" s="427"/>
      <c r="M4575" s="427" t="s">
        <v>630</v>
      </c>
      <c r="N4575" s="434"/>
      <c r="O4575" s="436">
        <f t="shared" si="186"/>
        <v>0</v>
      </c>
      <c r="P4575" s="89">
        <v>481</v>
      </c>
      <c r="Q4575" s="422" t="s">
        <v>47</v>
      </c>
      <c r="R4575" s="422" t="s">
        <v>1869</v>
      </c>
      <c r="S4575" s="422" t="s">
        <v>1861</v>
      </c>
      <c r="U4575" s="422" t="s">
        <v>1953</v>
      </c>
      <c r="V4575" s="422" t="s">
        <v>2813</v>
      </c>
    </row>
    <row r="4576" spans="1:22" ht="15.75" thickBot="1" x14ac:dyDescent="0.3">
      <c r="A4576" t="s">
        <v>2817</v>
      </c>
      <c r="B4576" t="s">
        <v>2817</v>
      </c>
      <c r="C4576" s="424" t="str">
        <f t="shared" si="187"/>
        <v>Isidoro Duarte, S.A.</v>
      </c>
      <c r="D4576" t="s">
        <v>629</v>
      </c>
      <c r="F4576" s="422" t="s">
        <v>620</v>
      </c>
      <c r="G4576" s="89">
        <v>2004</v>
      </c>
      <c r="I4576" s="311" t="str">
        <f t="shared" si="185"/>
        <v xml:space="preserve">Pesado de Passageiros M3:  : Gasóleo : </v>
      </c>
      <c r="J4576">
        <v>53</v>
      </c>
      <c r="K4576" s="422">
        <v>2023</v>
      </c>
      <c r="L4576" s="427"/>
      <c r="M4576" s="427" t="s">
        <v>630</v>
      </c>
      <c r="N4576" s="434"/>
      <c r="O4576" s="436">
        <f t="shared" si="186"/>
        <v>0</v>
      </c>
      <c r="P4576" s="89">
        <v>482</v>
      </c>
      <c r="Q4576" s="422" t="s">
        <v>47</v>
      </c>
      <c r="R4576" s="422" t="s">
        <v>1869</v>
      </c>
      <c r="S4576" s="422" t="s">
        <v>1861</v>
      </c>
      <c r="U4576" s="422" t="s">
        <v>1953</v>
      </c>
      <c r="V4576" s="422" t="s">
        <v>2813</v>
      </c>
    </row>
    <row r="4577" spans="1:22" ht="15.75" thickBot="1" x14ac:dyDescent="0.3">
      <c r="A4577" t="s">
        <v>2817</v>
      </c>
      <c r="B4577" t="s">
        <v>2817</v>
      </c>
      <c r="C4577" s="424" t="str">
        <f t="shared" si="187"/>
        <v>Isidoro Duarte, S.A.</v>
      </c>
      <c r="D4577" t="s">
        <v>629</v>
      </c>
      <c r="F4577" s="422" t="s">
        <v>620</v>
      </c>
      <c r="G4577" s="89">
        <v>2004</v>
      </c>
      <c r="I4577" s="311" t="str">
        <f t="shared" si="185"/>
        <v xml:space="preserve">Pesado de Passageiros M3:  : Gasóleo : </v>
      </c>
      <c r="J4577">
        <v>53</v>
      </c>
      <c r="K4577" s="422">
        <v>2023</v>
      </c>
      <c r="L4577" s="427"/>
      <c r="M4577" s="427" t="s">
        <v>630</v>
      </c>
      <c r="N4577" s="434"/>
      <c r="O4577" s="436">
        <f t="shared" si="186"/>
        <v>0</v>
      </c>
      <c r="P4577" s="89">
        <v>484</v>
      </c>
      <c r="Q4577" s="422" t="s">
        <v>47</v>
      </c>
      <c r="R4577" s="422" t="s">
        <v>1869</v>
      </c>
      <c r="S4577" s="422" t="s">
        <v>1861</v>
      </c>
      <c r="U4577" s="422" t="s">
        <v>1953</v>
      </c>
      <c r="V4577" s="422" t="s">
        <v>2813</v>
      </c>
    </row>
    <row r="4578" spans="1:22" ht="15.75" thickBot="1" x14ac:dyDescent="0.3">
      <c r="A4578" t="s">
        <v>2817</v>
      </c>
      <c r="B4578" t="s">
        <v>2817</v>
      </c>
      <c r="C4578" s="424" t="str">
        <f t="shared" si="187"/>
        <v>Isidoro Duarte, S.A.</v>
      </c>
      <c r="D4578" t="s">
        <v>629</v>
      </c>
      <c r="F4578" s="422" t="s">
        <v>620</v>
      </c>
      <c r="G4578" s="89">
        <v>2004</v>
      </c>
      <c r="I4578" s="311" t="str">
        <f t="shared" ref="I4578:I4641" si="188">D4578&amp;": "&amp;E4578&amp;" : "&amp;F4578&amp;" : "&amp;H4578</f>
        <v xml:space="preserve">Pesado de Passageiros M3:  : Gasóleo : </v>
      </c>
      <c r="J4578">
        <v>53</v>
      </c>
      <c r="K4578" s="422">
        <v>2023</v>
      </c>
      <c r="L4578" s="427"/>
      <c r="M4578" s="427" t="s">
        <v>630</v>
      </c>
      <c r="N4578" s="434"/>
      <c r="O4578" s="436">
        <f t="shared" ref="O4578:O4641" si="189">N4578*J4578</f>
        <v>0</v>
      </c>
      <c r="P4578" s="89">
        <v>608</v>
      </c>
      <c r="Q4578" s="422" t="s">
        <v>47</v>
      </c>
      <c r="R4578" s="422" t="s">
        <v>1869</v>
      </c>
      <c r="S4578" s="422" t="s">
        <v>1861</v>
      </c>
      <c r="U4578" s="422" t="s">
        <v>1953</v>
      </c>
      <c r="V4578" s="422" t="s">
        <v>2813</v>
      </c>
    </row>
    <row r="4579" spans="1:22" ht="15.75" thickBot="1" x14ac:dyDescent="0.3">
      <c r="A4579" t="s">
        <v>2817</v>
      </c>
      <c r="B4579" t="s">
        <v>2817</v>
      </c>
      <c r="C4579" s="424" t="str">
        <f t="shared" si="187"/>
        <v>Isidoro Duarte, S.A.</v>
      </c>
      <c r="D4579" t="s">
        <v>629</v>
      </c>
      <c r="F4579" s="422" t="s">
        <v>620</v>
      </c>
      <c r="G4579" s="89">
        <v>2000</v>
      </c>
      <c r="I4579" s="311" t="str">
        <f t="shared" si="188"/>
        <v xml:space="preserve">Pesado de Passageiros M3:  : Gasóleo : </v>
      </c>
      <c r="J4579">
        <v>51</v>
      </c>
      <c r="K4579" s="422">
        <v>2023</v>
      </c>
      <c r="L4579" s="427"/>
      <c r="M4579" s="427" t="s">
        <v>630</v>
      </c>
      <c r="N4579" s="434"/>
      <c r="O4579" s="436">
        <f t="shared" si="189"/>
        <v>0</v>
      </c>
      <c r="P4579" s="89">
        <v>615</v>
      </c>
      <c r="Q4579" s="422" t="s">
        <v>47</v>
      </c>
      <c r="R4579" s="422" t="s">
        <v>1869</v>
      </c>
      <c r="S4579" s="422" t="s">
        <v>1861</v>
      </c>
      <c r="U4579" s="422" t="s">
        <v>1953</v>
      </c>
      <c r="V4579" s="422" t="s">
        <v>2813</v>
      </c>
    </row>
    <row r="4580" spans="1:22" ht="15.75" thickBot="1" x14ac:dyDescent="0.3">
      <c r="A4580" t="s">
        <v>2817</v>
      </c>
      <c r="B4580" t="s">
        <v>2817</v>
      </c>
      <c r="C4580" s="424" t="str">
        <f t="shared" si="187"/>
        <v>Isidoro Duarte, S.A.</v>
      </c>
      <c r="D4580" t="s">
        <v>629</v>
      </c>
      <c r="F4580" s="422" t="s">
        <v>620</v>
      </c>
      <c r="G4580" s="89">
        <v>2009</v>
      </c>
      <c r="I4580" s="311" t="str">
        <f t="shared" si="188"/>
        <v xml:space="preserve">Pesado de Passageiros M3:  : Gasóleo : </v>
      </c>
      <c r="J4580">
        <v>27</v>
      </c>
      <c r="K4580" s="422">
        <v>2023</v>
      </c>
      <c r="L4580" s="427"/>
      <c r="M4580" s="427" t="s">
        <v>630</v>
      </c>
      <c r="N4580" s="434"/>
      <c r="O4580" s="436">
        <f t="shared" si="189"/>
        <v>0</v>
      </c>
      <c r="P4580" s="89">
        <v>618</v>
      </c>
      <c r="Q4580" s="422" t="s">
        <v>47</v>
      </c>
      <c r="R4580" s="422" t="s">
        <v>1869</v>
      </c>
      <c r="S4580" s="422" t="s">
        <v>1861</v>
      </c>
      <c r="U4580" s="422" t="s">
        <v>1953</v>
      </c>
      <c r="V4580" s="422" t="s">
        <v>2813</v>
      </c>
    </row>
    <row r="4581" spans="1:22" ht="15.75" thickBot="1" x14ac:dyDescent="0.3">
      <c r="A4581" t="s">
        <v>2817</v>
      </c>
      <c r="B4581" t="s">
        <v>2817</v>
      </c>
      <c r="C4581" s="424" t="str">
        <f t="shared" si="187"/>
        <v>Isidoro Duarte, S.A.</v>
      </c>
      <c r="D4581" t="s">
        <v>629</v>
      </c>
      <c r="F4581" s="422" t="s">
        <v>620</v>
      </c>
      <c r="G4581" s="89">
        <v>2009</v>
      </c>
      <c r="I4581" s="311" t="str">
        <f t="shared" si="188"/>
        <v xml:space="preserve">Pesado de Passageiros M3:  : Gasóleo : </v>
      </c>
      <c r="J4581">
        <v>37</v>
      </c>
      <c r="K4581" s="422">
        <v>2023</v>
      </c>
      <c r="L4581" s="427"/>
      <c r="M4581" s="427" t="s">
        <v>630</v>
      </c>
      <c r="N4581" s="434"/>
      <c r="O4581" s="436">
        <f t="shared" si="189"/>
        <v>0</v>
      </c>
      <c r="P4581" s="89">
        <v>620</v>
      </c>
      <c r="Q4581" s="422" t="s">
        <v>47</v>
      </c>
      <c r="R4581" s="422" t="s">
        <v>1869</v>
      </c>
      <c r="S4581" s="422" t="s">
        <v>1861</v>
      </c>
      <c r="U4581" s="422" t="s">
        <v>1953</v>
      </c>
      <c r="V4581" s="422" t="s">
        <v>2813</v>
      </c>
    </row>
    <row r="4582" spans="1:22" ht="15.75" thickBot="1" x14ac:dyDescent="0.3">
      <c r="A4582" t="s">
        <v>2817</v>
      </c>
      <c r="B4582" t="s">
        <v>2817</v>
      </c>
      <c r="C4582" s="424" t="str">
        <f t="shared" si="187"/>
        <v>Isidoro Duarte, S.A.</v>
      </c>
      <c r="D4582" t="s">
        <v>629</v>
      </c>
      <c r="F4582" s="422" t="s">
        <v>620</v>
      </c>
      <c r="G4582" s="89">
        <v>2008</v>
      </c>
      <c r="I4582" s="311" t="str">
        <f t="shared" si="188"/>
        <v xml:space="preserve">Pesado de Passageiros M3:  : Gasóleo : </v>
      </c>
      <c r="J4582">
        <v>55</v>
      </c>
      <c r="K4582" s="422">
        <v>2023</v>
      </c>
      <c r="L4582" s="427"/>
      <c r="M4582" s="427" t="s">
        <v>630</v>
      </c>
      <c r="N4582" s="434"/>
      <c r="O4582" s="436">
        <f t="shared" si="189"/>
        <v>0</v>
      </c>
      <c r="P4582" s="89">
        <v>632</v>
      </c>
      <c r="Q4582" s="422" t="s">
        <v>47</v>
      </c>
      <c r="R4582" s="422" t="s">
        <v>1869</v>
      </c>
      <c r="S4582" s="422" t="s">
        <v>1861</v>
      </c>
      <c r="U4582" s="422" t="s">
        <v>1953</v>
      </c>
      <c r="V4582" s="422" t="s">
        <v>2813</v>
      </c>
    </row>
    <row r="4583" spans="1:22" ht="15.75" thickBot="1" x14ac:dyDescent="0.3">
      <c r="A4583" t="s">
        <v>2817</v>
      </c>
      <c r="B4583" t="s">
        <v>2817</v>
      </c>
      <c r="C4583" s="424" t="str">
        <f t="shared" si="187"/>
        <v>Isidoro Duarte, S.A.</v>
      </c>
      <c r="D4583" t="s">
        <v>629</v>
      </c>
      <c r="F4583" s="422" t="s">
        <v>620</v>
      </c>
      <c r="G4583" s="89">
        <v>2008</v>
      </c>
      <c r="I4583" s="311" t="str">
        <f t="shared" si="188"/>
        <v xml:space="preserve">Pesado de Passageiros M3:  : Gasóleo : </v>
      </c>
      <c r="J4583">
        <v>55</v>
      </c>
      <c r="K4583" s="422">
        <v>2023</v>
      </c>
      <c r="L4583" s="427"/>
      <c r="M4583" s="427" t="s">
        <v>630</v>
      </c>
      <c r="N4583" s="434"/>
      <c r="O4583" s="436">
        <f t="shared" si="189"/>
        <v>0</v>
      </c>
      <c r="P4583" s="89">
        <v>633</v>
      </c>
      <c r="Q4583" s="422" t="s">
        <v>47</v>
      </c>
      <c r="R4583" s="422" t="s">
        <v>1869</v>
      </c>
      <c r="S4583" s="422" t="s">
        <v>1861</v>
      </c>
      <c r="U4583" s="422" t="s">
        <v>1953</v>
      </c>
      <c r="V4583" s="422" t="s">
        <v>2813</v>
      </c>
    </row>
    <row r="4584" spans="1:22" ht="15.75" thickBot="1" x14ac:dyDescent="0.3">
      <c r="A4584" t="s">
        <v>2817</v>
      </c>
      <c r="B4584" t="s">
        <v>2817</v>
      </c>
      <c r="C4584" s="424" t="str">
        <f t="shared" si="187"/>
        <v>Isidoro Duarte, S.A.</v>
      </c>
      <c r="D4584" t="s">
        <v>629</v>
      </c>
      <c r="F4584" s="422" t="s">
        <v>620</v>
      </c>
      <c r="G4584" s="89">
        <v>2008</v>
      </c>
      <c r="I4584" s="311" t="str">
        <f t="shared" si="188"/>
        <v xml:space="preserve">Pesado de Passageiros M3:  : Gasóleo : </v>
      </c>
      <c r="J4584">
        <v>55</v>
      </c>
      <c r="K4584" s="422">
        <v>2023</v>
      </c>
      <c r="L4584" s="427"/>
      <c r="M4584" s="427" t="s">
        <v>630</v>
      </c>
      <c r="N4584" s="434"/>
      <c r="O4584" s="436">
        <f t="shared" si="189"/>
        <v>0</v>
      </c>
      <c r="P4584" s="89">
        <v>635</v>
      </c>
      <c r="Q4584" s="422" t="s">
        <v>47</v>
      </c>
      <c r="R4584" s="422" t="s">
        <v>1869</v>
      </c>
      <c r="S4584" s="422" t="s">
        <v>1861</v>
      </c>
      <c r="U4584" s="422" t="s">
        <v>1953</v>
      </c>
      <c r="V4584" s="422" t="s">
        <v>2813</v>
      </c>
    </row>
    <row r="4585" spans="1:22" ht="15.75" thickBot="1" x14ac:dyDescent="0.3">
      <c r="A4585" t="s">
        <v>2817</v>
      </c>
      <c r="B4585" t="s">
        <v>2817</v>
      </c>
      <c r="C4585" s="424" t="str">
        <f t="shared" si="187"/>
        <v>Isidoro Duarte, S.A.</v>
      </c>
      <c r="D4585" t="s">
        <v>629</v>
      </c>
      <c r="F4585" s="422" t="s">
        <v>620</v>
      </c>
      <c r="G4585" s="89">
        <v>2008</v>
      </c>
      <c r="I4585" s="311" t="str">
        <f t="shared" si="188"/>
        <v xml:space="preserve">Pesado de Passageiros M3:  : Gasóleo : </v>
      </c>
      <c r="J4585">
        <v>55</v>
      </c>
      <c r="K4585" s="422">
        <v>2023</v>
      </c>
      <c r="L4585" s="427"/>
      <c r="M4585" s="427" t="s">
        <v>630</v>
      </c>
      <c r="N4585" s="434"/>
      <c r="O4585" s="436">
        <f t="shared" si="189"/>
        <v>0</v>
      </c>
      <c r="P4585" s="89">
        <v>636</v>
      </c>
      <c r="Q4585" s="422" t="s">
        <v>47</v>
      </c>
      <c r="R4585" s="422" t="s">
        <v>1869</v>
      </c>
      <c r="S4585" s="422" t="s">
        <v>1861</v>
      </c>
      <c r="U4585" s="422" t="s">
        <v>1953</v>
      </c>
      <c r="V4585" s="422" t="s">
        <v>2813</v>
      </c>
    </row>
    <row r="4586" spans="1:22" ht="15.75" thickBot="1" x14ac:dyDescent="0.3">
      <c r="A4586" t="s">
        <v>2817</v>
      </c>
      <c r="B4586" t="s">
        <v>2817</v>
      </c>
      <c r="C4586" s="424" t="str">
        <f t="shared" si="187"/>
        <v>Isidoro Duarte, S.A.</v>
      </c>
      <c r="D4586" t="s">
        <v>629</v>
      </c>
      <c r="F4586" s="422" t="s">
        <v>620</v>
      </c>
      <c r="G4586" s="89">
        <v>2007</v>
      </c>
      <c r="I4586" s="311" t="str">
        <f t="shared" si="188"/>
        <v xml:space="preserve">Pesado de Passageiros M3:  : Gasóleo : </v>
      </c>
      <c r="J4586">
        <v>53</v>
      </c>
      <c r="K4586" s="422">
        <v>2023</v>
      </c>
      <c r="L4586" s="427"/>
      <c r="M4586" s="427" t="s">
        <v>630</v>
      </c>
      <c r="N4586" s="434"/>
      <c r="O4586" s="436">
        <f t="shared" si="189"/>
        <v>0</v>
      </c>
      <c r="P4586" s="89">
        <v>637</v>
      </c>
      <c r="Q4586" s="422" t="s">
        <v>47</v>
      </c>
      <c r="R4586" s="422" t="s">
        <v>1869</v>
      </c>
      <c r="S4586" s="422" t="s">
        <v>1861</v>
      </c>
      <c r="U4586" s="422" t="s">
        <v>1953</v>
      </c>
      <c r="V4586" s="422" t="s">
        <v>2813</v>
      </c>
    </row>
    <row r="4587" spans="1:22" ht="15.75" thickBot="1" x14ac:dyDescent="0.3">
      <c r="A4587" t="s">
        <v>4670</v>
      </c>
      <c r="B4587" t="s">
        <v>4670</v>
      </c>
      <c r="C4587" s="424" t="str">
        <f t="shared" si="187"/>
        <v>RMTejo II - Transportes Rodoviários de Passageiros, Unipessoal LDA.</v>
      </c>
      <c r="D4587" t="s">
        <v>629</v>
      </c>
      <c r="F4587" s="422" t="s">
        <v>620</v>
      </c>
      <c r="G4587" s="89" t="s">
        <v>2204</v>
      </c>
      <c r="H4587" s="313" t="s">
        <v>731</v>
      </c>
      <c r="I4587" s="311" t="str">
        <f t="shared" si="188"/>
        <v>Pesado de Passageiros M3:  : Gasóleo : E4</v>
      </c>
      <c r="J4587">
        <v>53</v>
      </c>
      <c r="K4587" s="422">
        <v>2023</v>
      </c>
      <c r="L4587" s="427">
        <v>16966.190000000002</v>
      </c>
      <c r="M4587" s="427" t="s">
        <v>630</v>
      </c>
      <c r="N4587" s="434">
        <v>48720</v>
      </c>
      <c r="O4587" s="436">
        <f t="shared" si="189"/>
        <v>2582160</v>
      </c>
      <c r="P4587" s="89" t="s">
        <v>5264</v>
      </c>
      <c r="Q4587" s="422" t="s">
        <v>47</v>
      </c>
      <c r="R4587" s="422" t="s">
        <v>1869</v>
      </c>
      <c r="S4587" s="422" t="s">
        <v>1861</v>
      </c>
      <c r="U4587" s="422" t="s">
        <v>1953</v>
      </c>
      <c r="V4587" s="422" t="s">
        <v>2813</v>
      </c>
    </row>
    <row r="4588" spans="1:22" ht="15.75" thickBot="1" x14ac:dyDescent="0.3">
      <c r="A4588" t="s">
        <v>4670</v>
      </c>
      <c r="B4588" t="s">
        <v>4670</v>
      </c>
      <c r="C4588" s="424" t="str">
        <f t="shared" si="187"/>
        <v>RMTejo II - Transportes Rodoviários de Passageiros, Unipessoal LDA.</v>
      </c>
      <c r="D4588" t="s">
        <v>629</v>
      </c>
      <c r="F4588" s="422" t="s">
        <v>620</v>
      </c>
      <c r="G4588" s="89" t="s">
        <v>2205</v>
      </c>
      <c r="H4588" s="313" t="s">
        <v>731</v>
      </c>
      <c r="I4588" s="311" t="str">
        <f t="shared" si="188"/>
        <v>Pesado de Passageiros M3:  : Gasóleo : E4</v>
      </c>
      <c r="J4588">
        <v>59</v>
      </c>
      <c r="K4588" s="422">
        <v>2023</v>
      </c>
      <c r="L4588" s="427">
        <v>18592.21</v>
      </c>
      <c r="M4588" s="427" t="s">
        <v>630</v>
      </c>
      <c r="N4588" s="434">
        <v>53642</v>
      </c>
      <c r="O4588" s="436">
        <f t="shared" si="189"/>
        <v>3164878</v>
      </c>
      <c r="P4588" s="89" t="s">
        <v>5265</v>
      </c>
      <c r="Q4588" s="422" t="s">
        <v>47</v>
      </c>
      <c r="R4588" s="422" t="s">
        <v>1869</v>
      </c>
      <c r="S4588" s="422" t="s">
        <v>1861</v>
      </c>
      <c r="U4588" s="422" t="s">
        <v>1953</v>
      </c>
      <c r="V4588" s="422" t="s">
        <v>2813</v>
      </c>
    </row>
    <row r="4589" spans="1:22" ht="15.75" thickBot="1" x14ac:dyDescent="0.3">
      <c r="A4589" t="s">
        <v>4670</v>
      </c>
      <c r="B4589" t="s">
        <v>4670</v>
      </c>
      <c r="C4589" s="424" t="str">
        <f t="shared" si="187"/>
        <v>RMTejo II - Transportes Rodoviários de Passageiros, Unipessoal LDA.</v>
      </c>
      <c r="D4589" t="s">
        <v>629</v>
      </c>
      <c r="F4589" s="422" t="s">
        <v>620</v>
      </c>
      <c r="G4589" s="89" t="s">
        <v>2223</v>
      </c>
      <c r="H4589" s="313" t="s">
        <v>734</v>
      </c>
      <c r="I4589" s="311" t="str">
        <f t="shared" si="188"/>
        <v>Pesado de Passageiros M3:  : Gasóleo : E5</v>
      </c>
      <c r="J4589">
        <v>67</v>
      </c>
      <c r="K4589" s="422">
        <v>2023</v>
      </c>
      <c r="L4589" s="427">
        <v>11566.189999999999</v>
      </c>
      <c r="M4589" s="427" t="s">
        <v>630</v>
      </c>
      <c r="N4589" s="434">
        <v>36983</v>
      </c>
      <c r="O4589" s="436">
        <f t="shared" si="189"/>
        <v>2477861</v>
      </c>
      <c r="P4589" s="89" t="s">
        <v>5266</v>
      </c>
      <c r="Q4589" s="422" t="s">
        <v>47</v>
      </c>
      <c r="R4589" s="422" t="s">
        <v>1869</v>
      </c>
      <c r="S4589" s="422" t="s">
        <v>1861</v>
      </c>
      <c r="U4589" s="422" t="s">
        <v>1953</v>
      </c>
      <c r="V4589" s="422" t="s">
        <v>2813</v>
      </c>
    </row>
    <row r="4590" spans="1:22" ht="15.75" thickBot="1" x14ac:dyDescent="0.3">
      <c r="A4590" t="s">
        <v>4670</v>
      </c>
      <c r="B4590" t="s">
        <v>4670</v>
      </c>
      <c r="C4590" s="424" t="str">
        <f t="shared" si="187"/>
        <v>RMTejo II - Transportes Rodoviários de Passageiros, Unipessoal LDA.</v>
      </c>
      <c r="D4590" t="s">
        <v>629</v>
      </c>
      <c r="F4590" s="422" t="s">
        <v>620</v>
      </c>
      <c r="G4590" s="89" t="s">
        <v>2205</v>
      </c>
      <c r="H4590" s="313" t="s">
        <v>731</v>
      </c>
      <c r="I4590" s="311" t="str">
        <f t="shared" si="188"/>
        <v>Pesado de Passageiros M3:  : Gasóleo : E4</v>
      </c>
      <c r="J4590">
        <v>70</v>
      </c>
      <c r="K4590" s="422">
        <v>2023</v>
      </c>
      <c r="L4590" s="427">
        <v>12313.06</v>
      </c>
      <c r="M4590" s="427" t="s">
        <v>630</v>
      </c>
      <c r="N4590" s="434">
        <v>35828</v>
      </c>
      <c r="O4590" s="436">
        <f t="shared" si="189"/>
        <v>2507960</v>
      </c>
      <c r="P4590" s="89" t="s">
        <v>5267</v>
      </c>
      <c r="Q4590" s="422" t="s">
        <v>47</v>
      </c>
      <c r="R4590" s="422" t="s">
        <v>1869</v>
      </c>
      <c r="S4590" s="422" t="s">
        <v>1861</v>
      </c>
      <c r="U4590" s="422" t="s">
        <v>1953</v>
      </c>
      <c r="V4590" s="422" t="s">
        <v>2813</v>
      </c>
    </row>
    <row r="4591" spans="1:22" ht="15.75" thickBot="1" x14ac:dyDescent="0.3">
      <c r="A4591" t="s">
        <v>4670</v>
      </c>
      <c r="B4591" t="s">
        <v>4670</v>
      </c>
      <c r="C4591" s="424" t="str">
        <f t="shared" si="187"/>
        <v>RMTejo II - Transportes Rodoviários de Passageiros, Unipessoal LDA.</v>
      </c>
      <c r="D4591" t="s">
        <v>629</v>
      </c>
      <c r="F4591" s="422" t="s">
        <v>620</v>
      </c>
      <c r="G4591" s="89" t="s">
        <v>1954</v>
      </c>
      <c r="H4591" s="313" t="s">
        <v>735</v>
      </c>
      <c r="I4591" s="311" t="str">
        <f t="shared" si="188"/>
        <v>Pesado de Passageiros M3:  : Gasóleo : E2</v>
      </c>
      <c r="J4591">
        <v>81</v>
      </c>
      <c r="K4591" s="422">
        <v>2023</v>
      </c>
      <c r="L4591" s="427">
        <v>279.19</v>
      </c>
      <c r="M4591" s="427" t="s">
        <v>630</v>
      </c>
      <c r="N4591" s="434">
        <v>734</v>
      </c>
      <c r="O4591" s="436">
        <f t="shared" si="189"/>
        <v>59454</v>
      </c>
      <c r="P4591" s="89" t="s">
        <v>5268</v>
      </c>
      <c r="Q4591" s="422" t="s">
        <v>47</v>
      </c>
      <c r="R4591" s="422" t="s">
        <v>1869</v>
      </c>
      <c r="S4591" s="422" t="s">
        <v>1861</v>
      </c>
      <c r="U4591" s="422" t="s">
        <v>1953</v>
      </c>
      <c r="V4591" s="422" t="s">
        <v>2813</v>
      </c>
    </row>
    <row r="4592" spans="1:22" ht="15.75" thickBot="1" x14ac:dyDescent="0.3">
      <c r="A4592" t="s">
        <v>4670</v>
      </c>
      <c r="B4592" t="s">
        <v>4670</v>
      </c>
      <c r="C4592" s="424" t="str">
        <f t="shared" si="187"/>
        <v>RMTejo II - Transportes Rodoviários de Passageiros, Unipessoal LDA.</v>
      </c>
      <c r="D4592" t="s">
        <v>629</v>
      </c>
      <c r="F4592" s="422" t="s">
        <v>620</v>
      </c>
      <c r="G4592" s="89" t="s">
        <v>2205</v>
      </c>
      <c r="H4592" s="313" t="s">
        <v>731</v>
      </c>
      <c r="I4592" s="311" t="str">
        <f t="shared" si="188"/>
        <v>Pesado de Passageiros M3:  : Gasóleo : E4</v>
      </c>
      <c r="J4592">
        <v>74</v>
      </c>
      <c r="K4592" s="422">
        <v>2023</v>
      </c>
      <c r="L4592" s="427">
        <v>12972.64</v>
      </c>
      <c r="M4592" s="427" t="s">
        <v>630</v>
      </c>
      <c r="N4592" s="434">
        <v>33227</v>
      </c>
      <c r="O4592" s="436">
        <f t="shared" si="189"/>
        <v>2458798</v>
      </c>
      <c r="P4592" s="89" t="s">
        <v>5269</v>
      </c>
      <c r="Q4592" s="422" t="s">
        <v>47</v>
      </c>
      <c r="R4592" s="422" t="s">
        <v>1869</v>
      </c>
      <c r="S4592" s="422" t="s">
        <v>1861</v>
      </c>
      <c r="U4592" s="422" t="s">
        <v>1953</v>
      </c>
      <c r="V4592" s="422" t="s">
        <v>2813</v>
      </c>
    </row>
    <row r="4593" spans="1:22" ht="15.75" thickBot="1" x14ac:dyDescent="0.3">
      <c r="A4593" t="s">
        <v>4670</v>
      </c>
      <c r="B4593" t="s">
        <v>4670</v>
      </c>
      <c r="C4593" s="424" t="str">
        <f t="shared" si="187"/>
        <v>RMTejo II - Transportes Rodoviários de Passageiros, Unipessoal LDA.</v>
      </c>
      <c r="D4593" t="s">
        <v>629</v>
      </c>
      <c r="F4593" s="422" t="s">
        <v>620</v>
      </c>
      <c r="G4593" s="89" t="s">
        <v>1954</v>
      </c>
      <c r="H4593" s="313" t="s">
        <v>735</v>
      </c>
      <c r="I4593" s="311" t="str">
        <f t="shared" si="188"/>
        <v>Pesado de Passageiros M3:  : Gasóleo : E2</v>
      </c>
      <c r="J4593">
        <v>81</v>
      </c>
      <c r="K4593" s="422">
        <v>2023</v>
      </c>
      <c r="L4593" s="427">
        <v>7031.41</v>
      </c>
      <c r="M4593" s="427" t="s">
        <v>630</v>
      </c>
      <c r="N4593" s="434">
        <v>19621</v>
      </c>
      <c r="O4593" s="436">
        <f t="shared" si="189"/>
        <v>1589301</v>
      </c>
      <c r="P4593" s="89" t="s">
        <v>5270</v>
      </c>
      <c r="Q4593" s="422" t="s">
        <v>47</v>
      </c>
      <c r="R4593" s="422" t="s">
        <v>1869</v>
      </c>
      <c r="S4593" s="422" t="s">
        <v>1861</v>
      </c>
      <c r="U4593" s="422" t="s">
        <v>1953</v>
      </c>
      <c r="V4593" s="422" t="s">
        <v>2813</v>
      </c>
    </row>
    <row r="4594" spans="1:22" ht="15.75" thickBot="1" x14ac:dyDescent="0.3">
      <c r="A4594" t="s">
        <v>4670</v>
      </c>
      <c r="B4594" t="s">
        <v>4670</v>
      </c>
      <c r="C4594" s="424" t="str">
        <f t="shared" si="187"/>
        <v>RMTejo II - Transportes Rodoviários de Passageiros, Unipessoal LDA.</v>
      </c>
      <c r="D4594" t="s">
        <v>629</v>
      </c>
      <c r="F4594" s="422" t="s">
        <v>620</v>
      </c>
      <c r="G4594" s="89" t="s">
        <v>2211</v>
      </c>
      <c r="H4594" s="313" t="s">
        <v>731</v>
      </c>
      <c r="I4594" s="311" t="str">
        <f t="shared" si="188"/>
        <v>Pesado de Passageiros M3:  : Gasóleo : E4</v>
      </c>
      <c r="J4594">
        <v>55</v>
      </c>
      <c r="K4594" s="422">
        <v>2023</v>
      </c>
      <c r="L4594" s="427">
        <v>25517.309999999998</v>
      </c>
      <c r="M4594" s="427" t="s">
        <v>630</v>
      </c>
      <c r="N4594" s="434">
        <v>68264</v>
      </c>
      <c r="O4594" s="436">
        <f t="shared" si="189"/>
        <v>3754520</v>
      </c>
      <c r="P4594" s="89" t="s">
        <v>5271</v>
      </c>
      <c r="Q4594" s="422" t="s">
        <v>47</v>
      </c>
      <c r="R4594" s="422" t="s">
        <v>1869</v>
      </c>
      <c r="S4594" s="422" t="s">
        <v>1861</v>
      </c>
      <c r="U4594" s="422" t="s">
        <v>1953</v>
      </c>
      <c r="V4594" s="422" t="s">
        <v>2813</v>
      </c>
    </row>
    <row r="4595" spans="1:22" ht="15.75" thickBot="1" x14ac:dyDescent="0.3">
      <c r="A4595" t="s">
        <v>4670</v>
      </c>
      <c r="B4595" t="s">
        <v>4670</v>
      </c>
      <c r="C4595" s="424" t="str">
        <f t="shared" si="187"/>
        <v>RMTejo II - Transportes Rodoviários de Passageiros, Unipessoal LDA.</v>
      </c>
      <c r="D4595" t="s">
        <v>629</v>
      </c>
      <c r="F4595" s="422" t="s">
        <v>620</v>
      </c>
      <c r="G4595" s="89" t="s">
        <v>2213</v>
      </c>
      <c r="H4595" s="313" t="s">
        <v>734</v>
      </c>
      <c r="I4595" s="311" t="str">
        <f t="shared" si="188"/>
        <v>Pesado de Passageiros M3:  : Gasóleo : E5</v>
      </c>
      <c r="J4595">
        <v>53</v>
      </c>
      <c r="K4595" s="422">
        <v>2023</v>
      </c>
      <c r="L4595" s="427">
        <v>21597.84</v>
      </c>
      <c r="M4595" s="427" t="s">
        <v>630</v>
      </c>
      <c r="N4595" s="434">
        <v>67079</v>
      </c>
      <c r="O4595" s="436">
        <f t="shared" si="189"/>
        <v>3555187</v>
      </c>
      <c r="P4595" s="89" t="s">
        <v>5272</v>
      </c>
      <c r="Q4595" s="422" t="s">
        <v>47</v>
      </c>
      <c r="R4595" s="422" t="s">
        <v>1869</v>
      </c>
      <c r="S4595" s="422" t="s">
        <v>1861</v>
      </c>
      <c r="U4595" s="422" t="s">
        <v>1953</v>
      </c>
      <c r="V4595" s="422" t="s">
        <v>2813</v>
      </c>
    </row>
    <row r="4596" spans="1:22" ht="15.75" thickBot="1" x14ac:dyDescent="0.3">
      <c r="A4596" t="s">
        <v>4670</v>
      </c>
      <c r="B4596" t="s">
        <v>4670</v>
      </c>
      <c r="C4596" s="424" t="str">
        <f t="shared" si="187"/>
        <v>RMTejo II - Transportes Rodoviários de Passageiros, Unipessoal LDA.</v>
      </c>
      <c r="D4596" t="s">
        <v>629</v>
      </c>
      <c r="F4596" s="422" t="s">
        <v>620</v>
      </c>
      <c r="G4596" s="89" t="s">
        <v>1954</v>
      </c>
      <c r="H4596" s="313" t="s">
        <v>735</v>
      </c>
      <c r="I4596" s="311" t="str">
        <f t="shared" si="188"/>
        <v>Pesado de Passageiros M3:  : Gasóleo : E2</v>
      </c>
      <c r="J4596">
        <v>83</v>
      </c>
      <c r="K4596" s="422">
        <v>2023</v>
      </c>
      <c r="L4596" s="427">
        <v>7115.05</v>
      </c>
      <c r="M4596" s="427" t="s">
        <v>630</v>
      </c>
      <c r="N4596" s="434">
        <v>20252</v>
      </c>
      <c r="O4596" s="436">
        <f t="shared" si="189"/>
        <v>1680916</v>
      </c>
      <c r="P4596" s="89" t="s">
        <v>5273</v>
      </c>
      <c r="Q4596" s="422" t="s">
        <v>47</v>
      </c>
      <c r="R4596" s="422" t="s">
        <v>1869</v>
      </c>
      <c r="S4596" s="422" t="s">
        <v>1861</v>
      </c>
      <c r="U4596" s="422" t="s">
        <v>1953</v>
      </c>
      <c r="V4596" s="422" t="s">
        <v>2813</v>
      </c>
    </row>
    <row r="4597" spans="1:22" ht="15.75" thickBot="1" x14ac:dyDescent="0.3">
      <c r="A4597" t="s">
        <v>4670</v>
      </c>
      <c r="B4597" t="s">
        <v>4670</v>
      </c>
      <c r="C4597" s="424" t="str">
        <f t="shared" si="187"/>
        <v>RMTejo II - Transportes Rodoviários de Passageiros, Unipessoal LDA.</v>
      </c>
      <c r="D4597" t="s">
        <v>629</v>
      </c>
      <c r="F4597" s="422" t="s">
        <v>620</v>
      </c>
      <c r="G4597" s="89" t="s">
        <v>1954</v>
      </c>
      <c r="H4597" s="313" t="s">
        <v>735</v>
      </c>
      <c r="I4597" s="311" t="str">
        <f t="shared" si="188"/>
        <v>Pesado de Passageiros M3:  : Gasóleo : E2</v>
      </c>
      <c r="J4597">
        <v>83</v>
      </c>
      <c r="K4597" s="422">
        <v>2023</v>
      </c>
      <c r="L4597" s="427">
        <v>7490.66</v>
      </c>
      <c r="M4597" s="427" t="s">
        <v>630</v>
      </c>
      <c r="N4597" s="434">
        <v>21911</v>
      </c>
      <c r="O4597" s="436">
        <f t="shared" si="189"/>
        <v>1818613</v>
      </c>
      <c r="P4597" s="89" t="s">
        <v>5274</v>
      </c>
      <c r="Q4597" s="422" t="s">
        <v>47</v>
      </c>
      <c r="R4597" s="422" t="s">
        <v>1869</v>
      </c>
      <c r="S4597" s="422" t="s">
        <v>1861</v>
      </c>
      <c r="U4597" s="422" t="s">
        <v>1953</v>
      </c>
      <c r="V4597" s="422" t="s">
        <v>2813</v>
      </c>
    </row>
    <row r="4598" spans="1:22" ht="15.75" thickBot="1" x14ac:dyDescent="0.3">
      <c r="A4598" t="s">
        <v>4670</v>
      </c>
      <c r="B4598" t="s">
        <v>4670</v>
      </c>
      <c r="C4598" s="424" t="str">
        <f t="shared" si="187"/>
        <v>RMTejo II - Transportes Rodoviários de Passageiros, Unipessoal LDA.</v>
      </c>
      <c r="D4598" t="s">
        <v>629</v>
      </c>
      <c r="F4598" s="422" t="s">
        <v>620</v>
      </c>
      <c r="G4598" s="89" t="s">
        <v>1954</v>
      </c>
      <c r="H4598" s="313" t="s">
        <v>735</v>
      </c>
      <c r="I4598" s="311" t="str">
        <f t="shared" si="188"/>
        <v>Pesado de Passageiros M3:  : Gasóleo : E2</v>
      </c>
      <c r="J4598">
        <v>83</v>
      </c>
      <c r="K4598" s="422">
        <v>2023</v>
      </c>
      <c r="L4598" s="427">
        <v>7466.2999999999993</v>
      </c>
      <c r="M4598" s="427" t="s">
        <v>630</v>
      </c>
      <c r="N4598" s="434">
        <v>22218</v>
      </c>
      <c r="O4598" s="436">
        <f t="shared" si="189"/>
        <v>1844094</v>
      </c>
      <c r="P4598" s="89" t="s">
        <v>5275</v>
      </c>
      <c r="Q4598" s="422" t="s">
        <v>47</v>
      </c>
      <c r="R4598" s="422" t="s">
        <v>1869</v>
      </c>
      <c r="S4598" s="422" t="s">
        <v>1861</v>
      </c>
      <c r="U4598" s="422" t="s">
        <v>1953</v>
      </c>
      <c r="V4598" s="422" t="s">
        <v>2813</v>
      </c>
    </row>
    <row r="4599" spans="1:22" ht="15.75" thickBot="1" x14ac:dyDescent="0.3">
      <c r="A4599" t="s">
        <v>4670</v>
      </c>
      <c r="B4599" t="s">
        <v>4670</v>
      </c>
      <c r="C4599" s="424" t="str">
        <f t="shared" si="187"/>
        <v>RMTejo II - Transportes Rodoviários de Passageiros, Unipessoal LDA.</v>
      </c>
      <c r="D4599" t="s">
        <v>629</v>
      </c>
      <c r="F4599" s="422" t="s">
        <v>620</v>
      </c>
      <c r="G4599" s="89" t="s">
        <v>1954</v>
      </c>
      <c r="H4599" s="313" t="s">
        <v>735</v>
      </c>
      <c r="I4599" s="311" t="str">
        <f t="shared" si="188"/>
        <v>Pesado de Passageiros M3:  : Gasóleo : E2</v>
      </c>
      <c r="J4599">
        <v>83</v>
      </c>
      <c r="K4599" s="422">
        <v>2023</v>
      </c>
      <c r="L4599" s="427">
        <v>4648.0999999999995</v>
      </c>
      <c r="M4599" s="427" t="s">
        <v>630</v>
      </c>
      <c r="N4599" s="434">
        <v>14710</v>
      </c>
      <c r="O4599" s="436">
        <f t="shared" si="189"/>
        <v>1220930</v>
      </c>
      <c r="P4599" s="89" t="s">
        <v>5276</v>
      </c>
      <c r="Q4599" s="422" t="s">
        <v>47</v>
      </c>
      <c r="R4599" s="422" t="s">
        <v>1869</v>
      </c>
      <c r="S4599" s="422" t="s">
        <v>1861</v>
      </c>
      <c r="U4599" s="422" t="s">
        <v>1953</v>
      </c>
      <c r="V4599" s="422" t="s">
        <v>2813</v>
      </c>
    </row>
    <row r="4600" spans="1:22" ht="15.75" thickBot="1" x14ac:dyDescent="0.3">
      <c r="A4600" t="s">
        <v>4670</v>
      </c>
      <c r="B4600" t="s">
        <v>4670</v>
      </c>
      <c r="C4600" s="424" t="str">
        <f t="shared" si="187"/>
        <v>RMTejo II - Transportes Rodoviários de Passageiros, Unipessoal LDA.</v>
      </c>
      <c r="D4600" t="s">
        <v>629</v>
      </c>
      <c r="F4600" s="422" t="s">
        <v>620</v>
      </c>
      <c r="G4600" s="89" t="s">
        <v>2224</v>
      </c>
      <c r="H4600" s="313" t="s">
        <v>732</v>
      </c>
      <c r="I4600" s="311" t="str">
        <f t="shared" si="188"/>
        <v>Pesado de Passageiros M3:  : Gasóleo : E3</v>
      </c>
      <c r="J4600">
        <v>81</v>
      </c>
      <c r="K4600" s="422">
        <v>2023</v>
      </c>
      <c r="L4600" s="427">
        <v>10505.650000000001</v>
      </c>
      <c r="M4600" s="427" t="s">
        <v>630</v>
      </c>
      <c r="N4600" s="434">
        <v>29919</v>
      </c>
      <c r="O4600" s="436">
        <f t="shared" si="189"/>
        <v>2423439</v>
      </c>
      <c r="P4600" s="89" t="s">
        <v>5277</v>
      </c>
      <c r="Q4600" s="422" t="s">
        <v>47</v>
      </c>
      <c r="R4600" s="422" t="s">
        <v>1869</v>
      </c>
      <c r="S4600" s="422" t="s">
        <v>1861</v>
      </c>
      <c r="U4600" s="422" t="s">
        <v>1953</v>
      </c>
      <c r="V4600" s="422" t="s">
        <v>2813</v>
      </c>
    </row>
    <row r="4601" spans="1:22" ht="15.75" thickBot="1" x14ac:dyDescent="0.3">
      <c r="A4601" t="s">
        <v>4670</v>
      </c>
      <c r="B4601" t="s">
        <v>4670</v>
      </c>
      <c r="C4601" s="424" t="str">
        <f t="shared" si="187"/>
        <v>RMTejo II - Transportes Rodoviários de Passageiros, Unipessoal LDA.</v>
      </c>
      <c r="D4601" t="s">
        <v>629</v>
      </c>
      <c r="F4601" s="422" t="s">
        <v>620</v>
      </c>
      <c r="G4601" s="89" t="s">
        <v>2224</v>
      </c>
      <c r="H4601" s="313" t="s">
        <v>732</v>
      </c>
      <c r="I4601" s="311" t="str">
        <f t="shared" si="188"/>
        <v>Pesado de Passageiros M3:  : Gasóleo : E3</v>
      </c>
      <c r="J4601">
        <v>81</v>
      </c>
      <c r="K4601" s="422">
        <v>2023</v>
      </c>
      <c r="L4601" s="427">
        <v>12658.58</v>
      </c>
      <c r="M4601" s="427" t="s">
        <v>630</v>
      </c>
      <c r="N4601" s="434">
        <v>32322</v>
      </c>
      <c r="O4601" s="436">
        <f t="shared" si="189"/>
        <v>2618082</v>
      </c>
      <c r="P4601" s="89" t="s">
        <v>5278</v>
      </c>
      <c r="Q4601" s="422" t="s">
        <v>47</v>
      </c>
      <c r="R4601" s="422" t="s">
        <v>1869</v>
      </c>
      <c r="S4601" s="422" t="s">
        <v>1861</v>
      </c>
      <c r="U4601" s="422" t="s">
        <v>1953</v>
      </c>
      <c r="V4601" s="422" t="s">
        <v>2813</v>
      </c>
    </row>
    <row r="4602" spans="1:22" ht="15.75" thickBot="1" x14ac:dyDescent="0.3">
      <c r="A4602" t="s">
        <v>4670</v>
      </c>
      <c r="B4602" t="s">
        <v>4670</v>
      </c>
      <c r="C4602" s="424" t="str">
        <f t="shared" si="187"/>
        <v>RMTejo II - Transportes Rodoviários de Passageiros, Unipessoal LDA.</v>
      </c>
      <c r="D4602" t="s">
        <v>629</v>
      </c>
      <c r="F4602" s="422" t="s">
        <v>620</v>
      </c>
      <c r="G4602" s="89" t="s">
        <v>2207</v>
      </c>
      <c r="H4602" s="313" t="s">
        <v>735</v>
      </c>
      <c r="I4602" s="311" t="str">
        <f t="shared" si="188"/>
        <v>Pesado de Passageiros M3:  : Gasóleo : E2</v>
      </c>
      <c r="J4602">
        <v>82</v>
      </c>
      <c r="K4602" s="422">
        <v>2023</v>
      </c>
      <c r="L4602" s="427">
        <v>7713.98</v>
      </c>
      <c r="M4602" s="427" t="s">
        <v>630</v>
      </c>
      <c r="N4602" s="434">
        <v>23797</v>
      </c>
      <c r="O4602" s="436">
        <f t="shared" si="189"/>
        <v>1951354</v>
      </c>
      <c r="P4602" s="89" t="s">
        <v>5279</v>
      </c>
      <c r="Q4602" s="422" t="s">
        <v>47</v>
      </c>
      <c r="R4602" s="422" t="s">
        <v>1869</v>
      </c>
      <c r="S4602" s="422" t="s">
        <v>1861</v>
      </c>
      <c r="U4602" s="422" t="s">
        <v>1953</v>
      </c>
      <c r="V4602" s="422" t="s">
        <v>2813</v>
      </c>
    </row>
    <row r="4603" spans="1:22" ht="15.75" thickBot="1" x14ac:dyDescent="0.3">
      <c r="A4603" t="s">
        <v>4670</v>
      </c>
      <c r="B4603" t="s">
        <v>4670</v>
      </c>
      <c r="C4603" s="424" t="str">
        <f t="shared" si="187"/>
        <v>RMTejo II - Transportes Rodoviários de Passageiros, Unipessoal LDA.</v>
      </c>
      <c r="D4603" t="s">
        <v>629</v>
      </c>
      <c r="F4603" s="422" t="s">
        <v>620</v>
      </c>
      <c r="G4603" s="89" t="s">
        <v>2207</v>
      </c>
      <c r="H4603" s="313" t="s">
        <v>735</v>
      </c>
      <c r="I4603" s="311" t="str">
        <f t="shared" si="188"/>
        <v>Pesado de Passageiros M3:  : Gasóleo : E2</v>
      </c>
      <c r="J4603">
        <v>82</v>
      </c>
      <c r="K4603" s="422">
        <v>2023</v>
      </c>
      <c r="L4603" s="427">
        <v>7132.83</v>
      </c>
      <c r="M4603" s="427" t="s">
        <v>630</v>
      </c>
      <c r="N4603" s="434">
        <v>21893</v>
      </c>
      <c r="O4603" s="436">
        <f t="shared" si="189"/>
        <v>1795226</v>
      </c>
      <c r="P4603" s="89" t="s">
        <v>5280</v>
      </c>
      <c r="Q4603" s="422" t="s">
        <v>47</v>
      </c>
      <c r="R4603" s="422" t="s">
        <v>1869</v>
      </c>
      <c r="S4603" s="422" t="s">
        <v>1861</v>
      </c>
      <c r="U4603" s="422" t="s">
        <v>1953</v>
      </c>
      <c r="V4603" s="422" t="s">
        <v>2813</v>
      </c>
    </row>
    <row r="4604" spans="1:22" ht="15.75" thickBot="1" x14ac:dyDescent="0.3">
      <c r="A4604" t="s">
        <v>4670</v>
      </c>
      <c r="B4604" t="s">
        <v>4670</v>
      </c>
      <c r="C4604" s="424" t="str">
        <f t="shared" si="187"/>
        <v>RMTejo II - Transportes Rodoviários de Passageiros, Unipessoal LDA.</v>
      </c>
      <c r="D4604" t="s">
        <v>629</v>
      </c>
      <c r="F4604" s="422" t="s">
        <v>620</v>
      </c>
      <c r="G4604" s="89" t="s">
        <v>2207</v>
      </c>
      <c r="H4604" s="313" t="s">
        <v>735</v>
      </c>
      <c r="I4604" s="311" t="str">
        <f t="shared" si="188"/>
        <v>Pesado de Passageiros M3:  : Gasóleo : E2</v>
      </c>
      <c r="J4604">
        <v>76</v>
      </c>
      <c r="K4604" s="422">
        <v>2023</v>
      </c>
      <c r="L4604" s="427">
        <v>8303.33</v>
      </c>
      <c r="M4604" s="427" t="s">
        <v>630</v>
      </c>
      <c r="N4604" s="434">
        <v>23954</v>
      </c>
      <c r="O4604" s="436">
        <f t="shared" si="189"/>
        <v>1820504</v>
      </c>
      <c r="P4604" s="89" t="s">
        <v>5281</v>
      </c>
      <c r="Q4604" s="422" t="s">
        <v>47</v>
      </c>
      <c r="R4604" s="422" t="s">
        <v>1869</v>
      </c>
      <c r="S4604" s="422" t="s">
        <v>1861</v>
      </c>
      <c r="U4604" s="422" t="s">
        <v>1953</v>
      </c>
      <c r="V4604" s="422" t="s">
        <v>2813</v>
      </c>
    </row>
    <row r="4605" spans="1:22" ht="15.75" thickBot="1" x14ac:dyDescent="0.3">
      <c r="A4605" t="s">
        <v>4670</v>
      </c>
      <c r="B4605" t="s">
        <v>4670</v>
      </c>
      <c r="C4605" s="424" t="str">
        <f t="shared" si="187"/>
        <v>RMTejo II - Transportes Rodoviários de Passageiros, Unipessoal LDA.</v>
      </c>
      <c r="D4605" t="s">
        <v>629</v>
      </c>
      <c r="F4605" s="422" t="s">
        <v>620</v>
      </c>
      <c r="G4605" s="89" t="s">
        <v>2212</v>
      </c>
      <c r="H4605" s="313" t="s">
        <v>731</v>
      </c>
      <c r="I4605" s="311" t="str">
        <f t="shared" si="188"/>
        <v>Pesado de Passageiros M3:  : Gasóleo : E4</v>
      </c>
      <c r="J4605">
        <v>73</v>
      </c>
      <c r="K4605" s="422">
        <v>2023</v>
      </c>
      <c r="L4605" s="427">
        <v>17918.04</v>
      </c>
      <c r="M4605" s="427" t="s">
        <v>630</v>
      </c>
      <c r="N4605" s="434">
        <v>51847</v>
      </c>
      <c r="O4605" s="436">
        <f t="shared" si="189"/>
        <v>3784831</v>
      </c>
      <c r="P4605" s="89" t="s">
        <v>5282</v>
      </c>
      <c r="Q4605" s="422" t="s">
        <v>47</v>
      </c>
      <c r="R4605" s="422" t="s">
        <v>1869</v>
      </c>
      <c r="S4605" s="422" t="s">
        <v>1861</v>
      </c>
      <c r="U4605" s="422" t="s">
        <v>1953</v>
      </c>
      <c r="V4605" s="422" t="s">
        <v>2813</v>
      </c>
    </row>
    <row r="4606" spans="1:22" ht="15.75" thickBot="1" x14ac:dyDescent="0.3">
      <c r="A4606" t="s">
        <v>4670</v>
      </c>
      <c r="B4606" t="s">
        <v>4670</v>
      </c>
      <c r="C4606" s="424" t="str">
        <f t="shared" si="187"/>
        <v>RMTejo II - Transportes Rodoviários de Passageiros, Unipessoal LDA.</v>
      </c>
      <c r="D4606" t="s">
        <v>629</v>
      </c>
      <c r="F4606" s="422" t="s">
        <v>620</v>
      </c>
      <c r="G4606" s="89" t="s">
        <v>2228</v>
      </c>
      <c r="H4606" s="313" t="s">
        <v>732</v>
      </c>
      <c r="I4606" s="311" t="str">
        <f t="shared" si="188"/>
        <v>Pesado de Passageiros M3:  : Gasóleo : E3</v>
      </c>
      <c r="J4606">
        <v>76</v>
      </c>
      <c r="K4606" s="422">
        <v>2023</v>
      </c>
      <c r="L4606" s="427">
        <v>5672.07</v>
      </c>
      <c r="M4606" s="427" t="s">
        <v>630</v>
      </c>
      <c r="N4606" s="434">
        <v>20683</v>
      </c>
      <c r="O4606" s="436">
        <f t="shared" si="189"/>
        <v>1571908</v>
      </c>
      <c r="P4606" s="89" t="s">
        <v>5283</v>
      </c>
      <c r="Q4606" s="422" t="s">
        <v>47</v>
      </c>
      <c r="R4606" s="422" t="s">
        <v>1869</v>
      </c>
      <c r="S4606" s="422" t="s">
        <v>1861</v>
      </c>
      <c r="U4606" s="422" t="s">
        <v>1953</v>
      </c>
      <c r="V4606" s="422" t="s">
        <v>2813</v>
      </c>
    </row>
    <row r="4607" spans="1:22" ht="15.75" thickBot="1" x14ac:dyDescent="0.3">
      <c r="A4607" t="s">
        <v>4670</v>
      </c>
      <c r="B4607" t="s">
        <v>4670</v>
      </c>
      <c r="C4607" s="424" t="str">
        <f t="shared" si="187"/>
        <v>RMTejo II - Transportes Rodoviários de Passageiros, Unipessoal LDA.</v>
      </c>
      <c r="D4607" t="s">
        <v>629</v>
      </c>
      <c r="F4607" s="422" t="s">
        <v>620</v>
      </c>
      <c r="G4607" s="89" t="s">
        <v>2207</v>
      </c>
      <c r="H4607" s="313" t="s">
        <v>735</v>
      </c>
      <c r="I4607" s="311" t="str">
        <f t="shared" si="188"/>
        <v>Pesado de Passageiros M3:  : Gasóleo : E2</v>
      </c>
      <c r="J4607">
        <v>77</v>
      </c>
      <c r="K4607" s="422">
        <v>2023</v>
      </c>
      <c r="L4607" s="427">
        <v>10943.94</v>
      </c>
      <c r="M4607" s="427" t="s">
        <v>630</v>
      </c>
      <c r="N4607" s="434">
        <v>32271</v>
      </c>
      <c r="O4607" s="436">
        <f t="shared" si="189"/>
        <v>2484867</v>
      </c>
      <c r="P4607" s="89" t="s">
        <v>5284</v>
      </c>
      <c r="Q4607" s="422" t="s">
        <v>47</v>
      </c>
      <c r="R4607" s="422" t="s">
        <v>1869</v>
      </c>
      <c r="S4607" s="422" t="s">
        <v>1861</v>
      </c>
      <c r="U4607" s="422" t="s">
        <v>1953</v>
      </c>
      <c r="V4607" s="422" t="s">
        <v>2813</v>
      </c>
    </row>
    <row r="4608" spans="1:22" ht="15.75" thickBot="1" x14ac:dyDescent="0.3">
      <c r="A4608" t="s">
        <v>4670</v>
      </c>
      <c r="B4608" t="s">
        <v>4670</v>
      </c>
      <c r="C4608" s="424" t="str">
        <f t="shared" si="187"/>
        <v>RMTejo II - Transportes Rodoviários de Passageiros, Unipessoal LDA.</v>
      </c>
      <c r="D4608" t="s">
        <v>629</v>
      </c>
      <c r="F4608" s="422" t="s">
        <v>620</v>
      </c>
      <c r="G4608" s="89" t="s">
        <v>2215</v>
      </c>
      <c r="H4608" s="313" t="s">
        <v>735</v>
      </c>
      <c r="I4608" s="311" t="str">
        <f t="shared" si="188"/>
        <v>Pesado de Passageiros M3:  : Gasóleo : E2</v>
      </c>
      <c r="J4608">
        <v>49</v>
      </c>
      <c r="K4608" s="422">
        <v>2023</v>
      </c>
      <c r="L4608" s="427">
        <v>10981.880000000001</v>
      </c>
      <c r="M4608" s="427" t="s">
        <v>630</v>
      </c>
      <c r="N4608" s="434">
        <v>30372</v>
      </c>
      <c r="O4608" s="436">
        <f t="shared" si="189"/>
        <v>1488228</v>
      </c>
      <c r="P4608" s="89" t="s">
        <v>5285</v>
      </c>
      <c r="Q4608" s="422" t="s">
        <v>47</v>
      </c>
      <c r="R4608" s="422" t="s">
        <v>1869</v>
      </c>
      <c r="S4608" s="422" t="s">
        <v>1861</v>
      </c>
      <c r="U4608" s="422" t="s">
        <v>1953</v>
      </c>
      <c r="V4608" s="422" t="s">
        <v>2813</v>
      </c>
    </row>
    <row r="4609" spans="1:22" ht="15.75" thickBot="1" x14ac:dyDescent="0.3">
      <c r="A4609" t="s">
        <v>4670</v>
      </c>
      <c r="B4609" t="s">
        <v>4670</v>
      </c>
      <c r="C4609" s="424" t="str">
        <f t="shared" si="187"/>
        <v>RMTejo II - Transportes Rodoviários de Passageiros, Unipessoal LDA.</v>
      </c>
      <c r="D4609" t="s">
        <v>629</v>
      </c>
      <c r="F4609" s="422" t="s">
        <v>620</v>
      </c>
      <c r="G4609" s="89" t="s">
        <v>2215</v>
      </c>
      <c r="H4609" s="313" t="s">
        <v>735</v>
      </c>
      <c r="I4609" s="311" t="str">
        <f t="shared" si="188"/>
        <v>Pesado de Passageiros M3:  : Gasóleo : E2</v>
      </c>
      <c r="J4609">
        <v>49</v>
      </c>
      <c r="K4609" s="422">
        <v>2023</v>
      </c>
      <c r="L4609" s="427">
        <v>10522.800000000001</v>
      </c>
      <c r="M4609" s="427" t="s">
        <v>630</v>
      </c>
      <c r="N4609" s="434">
        <v>28071</v>
      </c>
      <c r="O4609" s="436">
        <f t="shared" si="189"/>
        <v>1375479</v>
      </c>
      <c r="P4609" s="89" t="s">
        <v>5286</v>
      </c>
      <c r="Q4609" s="422" t="s">
        <v>47</v>
      </c>
      <c r="R4609" s="422" t="s">
        <v>1869</v>
      </c>
      <c r="S4609" s="422" t="s">
        <v>1861</v>
      </c>
      <c r="U4609" s="422" t="s">
        <v>1953</v>
      </c>
      <c r="V4609" s="422" t="s">
        <v>2813</v>
      </c>
    </row>
    <row r="4610" spans="1:22" ht="15.75" thickBot="1" x14ac:dyDescent="0.3">
      <c r="A4610" t="s">
        <v>4670</v>
      </c>
      <c r="B4610" t="s">
        <v>4670</v>
      </c>
      <c r="C4610" s="424" t="str">
        <f t="shared" si="187"/>
        <v>RMTejo II - Transportes Rodoviários de Passageiros, Unipessoal LDA.</v>
      </c>
      <c r="D4610" t="s">
        <v>629</v>
      </c>
      <c r="F4610" s="422" t="s">
        <v>620</v>
      </c>
      <c r="G4610" s="89" t="s">
        <v>2215</v>
      </c>
      <c r="H4610" s="313" t="s">
        <v>735</v>
      </c>
      <c r="I4610" s="311" t="str">
        <f t="shared" si="188"/>
        <v>Pesado de Passageiros M3:  : Gasóleo : E2</v>
      </c>
      <c r="J4610">
        <v>49</v>
      </c>
      <c r="K4610" s="422">
        <v>2023</v>
      </c>
      <c r="L4610" s="427">
        <v>10095.51</v>
      </c>
      <c r="M4610" s="427" t="s">
        <v>630</v>
      </c>
      <c r="N4610" s="434">
        <v>25345</v>
      </c>
      <c r="O4610" s="436">
        <f t="shared" si="189"/>
        <v>1241905</v>
      </c>
      <c r="P4610" s="89" t="s">
        <v>5287</v>
      </c>
      <c r="Q4610" s="422" t="s">
        <v>47</v>
      </c>
      <c r="R4610" s="422" t="s">
        <v>1869</v>
      </c>
      <c r="S4610" s="422" t="s">
        <v>1861</v>
      </c>
      <c r="U4610" s="422" t="s">
        <v>1953</v>
      </c>
      <c r="V4610" s="422" t="s">
        <v>2813</v>
      </c>
    </row>
    <row r="4611" spans="1:22" ht="15.75" thickBot="1" x14ac:dyDescent="0.3">
      <c r="A4611" t="s">
        <v>4670</v>
      </c>
      <c r="B4611" t="s">
        <v>4670</v>
      </c>
      <c r="C4611" s="424" t="str">
        <f t="shared" si="187"/>
        <v>RMTejo II - Transportes Rodoviários de Passageiros, Unipessoal LDA.</v>
      </c>
      <c r="D4611" t="s">
        <v>629</v>
      </c>
      <c r="F4611" s="422" t="s">
        <v>620</v>
      </c>
      <c r="G4611" s="89" t="s">
        <v>2212</v>
      </c>
      <c r="H4611" s="313" t="s">
        <v>731</v>
      </c>
      <c r="I4611" s="311" t="str">
        <f t="shared" si="188"/>
        <v>Pesado de Passageiros M3:  : Gasóleo : E4</v>
      </c>
      <c r="J4611">
        <v>41</v>
      </c>
      <c r="K4611" s="422">
        <v>2023</v>
      </c>
      <c r="L4611" s="427">
        <v>15033.86</v>
      </c>
      <c r="M4611" s="427" t="s">
        <v>630</v>
      </c>
      <c r="N4611" s="434">
        <v>48372</v>
      </c>
      <c r="O4611" s="436">
        <f t="shared" si="189"/>
        <v>1983252</v>
      </c>
      <c r="P4611" s="89" t="s">
        <v>5288</v>
      </c>
      <c r="Q4611" s="422" t="s">
        <v>47</v>
      </c>
      <c r="R4611" s="422" t="s">
        <v>1869</v>
      </c>
      <c r="S4611" s="422" t="s">
        <v>1861</v>
      </c>
      <c r="U4611" s="422" t="s">
        <v>1953</v>
      </c>
      <c r="V4611" s="422" t="s">
        <v>2813</v>
      </c>
    </row>
    <row r="4612" spans="1:22" ht="15.75" thickBot="1" x14ac:dyDescent="0.3">
      <c r="A4612" t="s">
        <v>4670</v>
      </c>
      <c r="B4612" t="s">
        <v>4670</v>
      </c>
      <c r="C4612" s="424" t="str">
        <f t="shared" si="187"/>
        <v>RMTejo II - Transportes Rodoviários de Passageiros, Unipessoal LDA.</v>
      </c>
      <c r="D4612" t="s">
        <v>629</v>
      </c>
      <c r="F4612" s="422" t="s">
        <v>620</v>
      </c>
      <c r="G4612" s="89" t="s">
        <v>2205</v>
      </c>
      <c r="H4612" s="313" t="s">
        <v>734</v>
      </c>
      <c r="I4612" s="311" t="str">
        <f t="shared" si="188"/>
        <v>Pesado de Passageiros M3:  : Gasóleo : E5</v>
      </c>
      <c r="J4612">
        <v>83</v>
      </c>
      <c r="K4612" s="422">
        <v>2023</v>
      </c>
      <c r="L4612" s="427">
        <v>9915.7100000000009</v>
      </c>
      <c r="M4612" s="427" t="s">
        <v>630</v>
      </c>
      <c r="N4612" s="434">
        <v>31498</v>
      </c>
      <c r="O4612" s="436">
        <f t="shared" si="189"/>
        <v>2614334</v>
      </c>
      <c r="P4612" s="89" t="s">
        <v>5289</v>
      </c>
      <c r="Q4612" s="422" t="s">
        <v>47</v>
      </c>
      <c r="R4612" s="422" t="s">
        <v>1869</v>
      </c>
      <c r="S4612" s="422" t="s">
        <v>1861</v>
      </c>
      <c r="U4612" s="422" t="s">
        <v>1953</v>
      </c>
      <c r="V4612" s="422" t="s">
        <v>2813</v>
      </c>
    </row>
    <row r="4613" spans="1:22" ht="15.75" thickBot="1" x14ac:dyDescent="0.3">
      <c r="A4613" t="s">
        <v>4670</v>
      </c>
      <c r="B4613" t="s">
        <v>4670</v>
      </c>
      <c r="C4613" s="424" t="str">
        <f t="shared" si="187"/>
        <v>RMTejo II - Transportes Rodoviários de Passageiros, Unipessoal LDA.</v>
      </c>
      <c r="D4613" t="s">
        <v>629</v>
      </c>
      <c r="F4613" s="422" t="s">
        <v>620</v>
      </c>
      <c r="G4613" s="89" t="s">
        <v>2205</v>
      </c>
      <c r="H4613" s="313" t="s">
        <v>731</v>
      </c>
      <c r="I4613" s="311" t="str">
        <f t="shared" si="188"/>
        <v>Pesado de Passageiros M3:  : Gasóleo : E4</v>
      </c>
      <c r="J4613">
        <v>55</v>
      </c>
      <c r="K4613" s="422">
        <v>2023</v>
      </c>
      <c r="L4613" s="427">
        <v>23703.15</v>
      </c>
      <c r="M4613" s="427" t="s">
        <v>630</v>
      </c>
      <c r="N4613" s="434">
        <v>60104</v>
      </c>
      <c r="O4613" s="436">
        <f t="shared" si="189"/>
        <v>3305720</v>
      </c>
      <c r="P4613" s="89" t="s">
        <v>5290</v>
      </c>
      <c r="Q4613" s="422" t="s">
        <v>47</v>
      </c>
      <c r="R4613" s="422" t="s">
        <v>1869</v>
      </c>
      <c r="S4613" s="422" t="s">
        <v>1861</v>
      </c>
      <c r="U4613" s="422" t="s">
        <v>1953</v>
      </c>
      <c r="V4613" s="422" t="s">
        <v>2813</v>
      </c>
    </row>
    <row r="4614" spans="1:22" ht="15.75" thickBot="1" x14ac:dyDescent="0.3">
      <c r="A4614" t="s">
        <v>4670</v>
      </c>
      <c r="B4614" t="s">
        <v>4670</v>
      </c>
      <c r="C4614" s="424" t="str">
        <f t="shared" si="187"/>
        <v>RMTejo II - Transportes Rodoviários de Passageiros, Unipessoal LDA.</v>
      </c>
      <c r="D4614" t="s">
        <v>629</v>
      </c>
      <c r="F4614" s="422" t="s">
        <v>620</v>
      </c>
      <c r="G4614" s="89" t="s">
        <v>2211</v>
      </c>
      <c r="H4614" s="313" t="s">
        <v>732</v>
      </c>
      <c r="I4614" s="311" t="str">
        <f t="shared" si="188"/>
        <v>Pesado de Passageiros M3:  : Gasóleo : E3</v>
      </c>
      <c r="J4614">
        <v>50</v>
      </c>
      <c r="K4614" s="422">
        <v>2023</v>
      </c>
      <c r="L4614" s="427">
        <v>14621.849999999999</v>
      </c>
      <c r="M4614" s="427" t="s">
        <v>630</v>
      </c>
      <c r="N4614" s="434">
        <v>39879</v>
      </c>
      <c r="O4614" s="436">
        <f t="shared" si="189"/>
        <v>1993950</v>
      </c>
      <c r="P4614" s="89" t="s">
        <v>5291</v>
      </c>
      <c r="Q4614" s="422" t="s">
        <v>47</v>
      </c>
      <c r="R4614" s="422" t="s">
        <v>1869</v>
      </c>
      <c r="S4614" s="422" t="s">
        <v>1861</v>
      </c>
      <c r="U4614" s="422" t="s">
        <v>1953</v>
      </c>
      <c r="V4614" s="422" t="s">
        <v>2813</v>
      </c>
    </row>
    <row r="4615" spans="1:22" ht="15.75" thickBot="1" x14ac:dyDescent="0.3">
      <c r="A4615" t="s">
        <v>4670</v>
      </c>
      <c r="B4615" t="s">
        <v>4670</v>
      </c>
      <c r="C4615" s="424" t="str">
        <f t="shared" si="187"/>
        <v>RMTejo II - Transportes Rodoviários de Passageiros, Unipessoal LDA.</v>
      </c>
      <c r="D4615" t="s">
        <v>629</v>
      </c>
      <c r="F4615" s="422" t="s">
        <v>620</v>
      </c>
      <c r="G4615" s="89" t="s">
        <v>2212</v>
      </c>
      <c r="H4615" s="313" t="s">
        <v>731</v>
      </c>
      <c r="I4615" s="311" t="str">
        <f t="shared" si="188"/>
        <v>Pesado de Passageiros M3:  : Gasóleo : E4</v>
      </c>
      <c r="J4615">
        <v>51</v>
      </c>
      <c r="K4615" s="422">
        <v>2023</v>
      </c>
      <c r="L4615" s="427">
        <v>7866.57</v>
      </c>
      <c r="M4615" s="427" t="s">
        <v>630</v>
      </c>
      <c r="N4615" s="434">
        <v>27320</v>
      </c>
      <c r="O4615" s="436">
        <f t="shared" si="189"/>
        <v>1393320</v>
      </c>
      <c r="P4615" s="89" t="s">
        <v>5292</v>
      </c>
      <c r="Q4615" s="422" t="s">
        <v>47</v>
      </c>
      <c r="R4615" s="422" t="s">
        <v>1869</v>
      </c>
      <c r="S4615" s="422" t="s">
        <v>1861</v>
      </c>
      <c r="U4615" s="422" t="s">
        <v>1953</v>
      </c>
      <c r="V4615" s="422" t="s">
        <v>2813</v>
      </c>
    </row>
    <row r="4616" spans="1:22" ht="15.75" thickBot="1" x14ac:dyDescent="0.3">
      <c r="A4616" t="s">
        <v>4670</v>
      </c>
      <c r="B4616" t="s">
        <v>4670</v>
      </c>
      <c r="C4616" s="424" t="str">
        <f t="shared" si="187"/>
        <v>RMTejo II - Transportes Rodoviários de Passageiros, Unipessoal LDA.</v>
      </c>
      <c r="D4616" t="s">
        <v>629</v>
      </c>
      <c r="F4616" s="422" t="s">
        <v>620</v>
      </c>
      <c r="G4616" s="89" t="s">
        <v>2212</v>
      </c>
      <c r="H4616" s="313" t="s">
        <v>731</v>
      </c>
      <c r="I4616" s="311" t="str">
        <f t="shared" si="188"/>
        <v>Pesado de Passageiros M3:  : Gasóleo : E4</v>
      </c>
      <c r="J4616">
        <v>51</v>
      </c>
      <c r="K4616" s="422">
        <v>2023</v>
      </c>
      <c r="L4616" s="427">
        <v>9672.57</v>
      </c>
      <c r="M4616" s="427" t="s">
        <v>630</v>
      </c>
      <c r="N4616" s="434">
        <v>34950</v>
      </c>
      <c r="O4616" s="436">
        <f t="shared" si="189"/>
        <v>1782450</v>
      </c>
      <c r="P4616" s="89" t="s">
        <v>5293</v>
      </c>
      <c r="Q4616" s="422" t="s">
        <v>47</v>
      </c>
      <c r="R4616" s="422" t="s">
        <v>1869</v>
      </c>
      <c r="S4616" s="422" t="s">
        <v>1861</v>
      </c>
      <c r="U4616" s="422" t="s">
        <v>1953</v>
      </c>
      <c r="V4616" s="422" t="s">
        <v>2813</v>
      </c>
    </row>
    <row r="4617" spans="1:22" ht="15.75" thickBot="1" x14ac:dyDescent="0.3">
      <c r="A4617" t="s">
        <v>4670</v>
      </c>
      <c r="B4617" t="s">
        <v>4670</v>
      </c>
      <c r="C4617" s="424" t="str">
        <f t="shared" si="187"/>
        <v>RMTejo II - Transportes Rodoviários de Passageiros, Unipessoal LDA.</v>
      </c>
      <c r="D4617" t="s">
        <v>629</v>
      </c>
      <c r="F4617" s="422" t="s">
        <v>620</v>
      </c>
      <c r="G4617" s="89" t="s">
        <v>2212</v>
      </c>
      <c r="H4617" s="313" t="s">
        <v>731</v>
      </c>
      <c r="I4617" s="311" t="str">
        <f t="shared" si="188"/>
        <v>Pesado de Passageiros M3:  : Gasóleo : E4</v>
      </c>
      <c r="J4617">
        <v>51</v>
      </c>
      <c r="K4617" s="422">
        <v>2023</v>
      </c>
      <c r="L4617" s="427">
        <v>9740.6200000000008</v>
      </c>
      <c r="M4617" s="427" t="s">
        <v>630</v>
      </c>
      <c r="N4617" s="434">
        <v>34514</v>
      </c>
      <c r="O4617" s="436">
        <f t="shared" si="189"/>
        <v>1760214</v>
      </c>
      <c r="P4617" s="89" t="s">
        <v>5294</v>
      </c>
      <c r="Q4617" s="422" t="s">
        <v>47</v>
      </c>
      <c r="R4617" s="422" t="s">
        <v>1869</v>
      </c>
      <c r="S4617" s="422" t="s">
        <v>1861</v>
      </c>
      <c r="U4617" s="422" t="s">
        <v>1953</v>
      </c>
      <c r="V4617" s="422" t="s">
        <v>2813</v>
      </c>
    </row>
    <row r="4618" spans="1:22" ht="15.75" thickBot="1" x14ac:dyDescent="0.3">
      <c r="A4618" t="s">
        <v>4670</v>
      </c>
      <c r="B4618" t="s">
        <v>4670</v>
      </c>
      <c r="C4618" s="424" t="str">
        <f t="shared" si="187"/>
        <v>RMTejo II - Transportes Rodoviários de Passageiros, Unipessoal LDA.</v>
      </c>
      <c r="D4618" t="s">
        <v>629</v>
      </c>
      <c r="F4618" s="422" t="s">
        <v>620</v>
      </c>
      <c r="G4618" s="89" t="s">
        <v>2212</v>
      </c>
      <c r="H4618" s="313" t="s">
        <v>731</v>
      </c>
      <c r="I4618" s="311" t="str">
        <f t="shared" si="188"/>
        <v>Pesado de Passageiros M3:  : Gasóleo : E4</v>
      </c>
      <c r="J4618">
        <v>51</v>
      </c>
      <c r="K4618" s="422">
        <v>2023</v>
      </c>
      <c r="L4618" s="427">
        <v>6114.1299999999992</v>
      </c>
      <c r="M4618" s="427" t="s">
        <v>630</v>
      </c>
      <c r="N4618" s="434">
        <v>21599</v>
      </c>
      <c r="O4618" s="436">
        <f t="shared" si="189"/>
        <v>1101549</v>
      </c>
      <c r="P4618" s="89" t="s">
        <v>5295</v>
      </c>
      <c r="Q4618" s="422" t="s">
        <v>47</v>
      </c>
      <c r="R4618" s="422" t="s">
        <v>1869</v>
      </c>
      <c r="S4618" s="422" t="s">
        <v>1861</v>
      </c>
      <c r="U4618" s="422" t="s">
        <v>1953</v>
      </c>
      <c r="V4618" s="422" t="s">
        <v>2813</v>
      </c>
    </row>
    <row r="4619" spans="1:22" ht="15.75" thickBot="1" x14ac:dyDescent="0.3">
      <c r="A4619" t="s">
        <v>4670</v>
      </c>
      <c r="B4619" t="s">
        <v>4670</v>
      </c>
      <c r="C4619" s="424" t="str">
        <f t="shared" si="187"/>
        <v>RMTejo II - Transportes Rodoviários de Passageiros, Unipessoal LDA.</v>
      </c>
      <c r="D4619" t="s">
        <v>629</v>
      </c>
      <c r="F4619" s="422" t="s">
        <v>620</v>
      </c>
      <c r="G4619" s="89" t="s">
        <v>2212</v>
      </c>
      <c r="H4619" s="313" t="s">
        <v>734</v>
      </c>
      <c r="I4619" s="311" t="str">
        <f t="shared" si="188"/>
        <v>Pesado de Passageiros M3:  : Gasóleo : E5</v>
      </c>
      <c r="J4619">
        <v>89</v>
      </c>
      <c r="K4619" s="422">
        <v>2023</v>
      </c>
      <c r="L4619" s="427">
        <v>11436.46</v>
      </c>
      <c r="M4619" s="427" t="s">
        <v>630</v>
      </c>
      <c r="N4619" s="434">
        <v>33033</v>
      </c>
      <c r="O4619" s="436">
        <f t="shared" si="189"/>
        <v>2939937</v>
      </c>
      <c r="P4619" s="89" t="s">
        <v>5296</v>
      </c>
      <c r="Q4619" s="422" t="s">
        <v>47</v>
      </c>
      <c r="R4619" s="422" t="s">
        <v>1869</v>
      </c>
      <c r="S4619" s="422" t="s">
        <v>1861</v>
      </c>
      <c r="U4619" s="422" t="s">
        <v>1953</v>
      </c>
      <c r="V4619" s="422" t="s">
        <v>2813</v>
      </c>
    </row>
    <row r="4620" spans="1:22" ht="15.75" thickBot="1" x14ac:dyDescent="0.3">
      <c r="A4620" t="s">
        <v>4670</v>
      </c>
      <c r="B4620" t="s">
        <v>4670</v>
      </c>
      <c r="C4620" s="424" t="str">
        <f t="shared" si="187"/>
        <v>RMTejo II - Transportes Rodoviários de Passageiros, Unipessoal LDA.</v>
      </c>
      <c r="D4620" t="s">
        <v>629</v>
      </c>
      <c r="F4620" s="422" t="s">
        <v>620</v>
      </c>
      <c r="G4620" s="89" t="s">
        <v>2212</v>
      </c>
      <c r="H4620" s="313" t="s">
        <v>734</v>
      </c>
      <c r="I4620" s="311" t="str">
        <f t="shared" si="188"/>
        <v>Pesado de Passageiros M3:  : Gasóleo : E5</v>
      </c>
      <c r="J4620">
        <v>88</v>
      </c>
      <c r="K4620" s="422">
        <v>2023</v>
      </c>
      <c r="L4620" s="427">
        <v>9615.0300000000007</v>
      </c>
      <c r="M4620" s="427" t="s">
        <v>630</v>
      </c>
      <c r="N4620" s="434">
        <v>30238</v>
      </c>
      <c r="O4620" s="436">
        <f t="shared" si="189"/>
        <v>2660944</v>
      </c>
      <c r="P4620" s="89" t="s">
        <v>5297</v>
      </c>
      <c r="Q4620" s="422" t="s">
        <v>47</v>
      </c>
      <c r="R4620" s="422" t="s">
        <v>1869</v>
      </c>
      <c r="S4620" s="422" t="s">
        <v>1861</v>
      </c>
      <c r="U4620" s="422" t="s">
        <v>1953</v>
      </c>
      <c r="V4620" s="422" t="s">
        <v>2813</v>
      </c>
    </row>
    <row r="4621" spans="1:22" ht="15.75" thickBot="1" x14ac:dyDescent="0.3">
      <c r="A4621" t="s">
        <v>4670</v>
      </c>
      <c r="B4621" t="s">
        <v>4670</v>
      </c>
      <c r="C4621" s="424" t="str">
        <f t="shared" si="187"/>
        <v>RMTejo II - Transportes Rodoviários de Passageiros, Unipessoal LDA.</v>
      </c>
      <c r="D4621" t="s">
        <v>629</v>
      </c>
      <c r="F4621" s="422" t="s">
        <v>620</v>
      </c>
      <c r="G4621" s="89" t="s">
        <v>2212</v>
      </c>
      <c r="H4621" s="313" t="s">
        <v>734</v>
      </c>
      <c r="I4621" s="311" t="str">
        <f t="shared" si="188"/>
        <v>Pesado de Passageiros M3:  : Gasóleo : E5</v>
      </c>
      <c r="J4621">
        <v>89</v>
      </c>
      <c r="K4621" s="422">
        <v>2023</v>
      </c>
      <c r="L4621" s="427">
        <v>9445.09</v>
      </c>
      <c r="M4621" s="427" t="s">
        <v>630</v>
      </c>
      <c r="N4621" s="434">
        <v>30363</v>
      </c>
      <c r="O4621" s="436">
        <f t="shared" si="189"/>
        <v>2702307</v>
      </c>
      <c r="P4621" s="89" t="s">
        <v>5298</v>
      </c>
      <c r="Q4621" s="422" t="s">
        <v>47</v>
      </c>
      <c r="R4621" s="422" t="s">
        <v>1869</v>
      </c>
      <c r="S4621" s="422" t="s">
        <v>1861</v>
      </c>
      <c r="U4621" s="422" t="s">
        <v>1953</v>
      </c>
      <c r="V4621" s="422" t="s">
        <v>2813</v>
      </c>
    </row>
    <row r="4622" spans="1:22" ht="15.75" thickBot="1" x14ac:dyDescent="0.3">
      <c r="A4622" t="s">
        <v>4670</v>
      </c>
      <c r="B4622" t="s">
        <v>4670</v>
      </c>
      <c r="C4622" s="424" t="str">
        <f t="shared" si="187"/>
        <v>RMTejo II - Transportes Rodoviários de Passageiros, Unipessoal LDA.</v>
      </c>
      <c r="D4622" t="s">
        <v>629</v>
      </c>
      <c r="F4622" s="422" t="s">
        <v>620</v>
      </c>
      <c r="G4622" s="89" t="s">
        <v>2212</v>
      </c>
      <c r="H4622" s="313" t="s">
        <v>734</v>
      </c>
      <c r="I4622" s="311" t="str">
        <f t="shared" si="188"/>
        <v>Pesado de Passageiros M3:  : Gasóleo : E5</v>
      </c>
      <c r="J4622">
        <v>89</v>
      </c>
      <c r="K4622" s="422">
        <v>2023</v>
      </c>
      <c r="L4622" s="427">
        <v>9932.0400000000009</v>
      </c>
      <c r="M4622" s="427" t="s">
        <v>630</v>
      </c>
      <c r="N4622" s="434">
        <v>32535</v>
      </c>
      <c r="O4622" s="436">
        <f t="shared" si="189"/>
        <v>2895615</v>
      </c>
      <c r="P4622" s="89" t="s">
        <v>5299</v>
      </c>
      <c r="Q4622" s="422" t="s">
        <v>47</v>
      </c>
      <c r="R4622" s="422" t="s">
        <v>1869</v>
      </c>
      <c r="S4622" s="422" t="s">
        <v>1861</v>
      </c>
      <c r="U4622" s="422" t="s">
        <v>1953</v>
      </c>
      <c r="V4622" s="422" t="s">
        <v>2813</v>
      </c>
    </row>
    <row r="4623" spans="1:22" ht="15.75" thickBot="1" x14ac:dyDescent="0.3">
      <c r="A4623" t="s">
        <v>4670</v>
      </c>
      <c r="B4623" t="s">
        <v>4670</v>
      </c>
      <c r="C4623" s="424" t="str">
        <f t="shared" si="187"/>
        <v>RMTejo II - Transportes Rodoviários de Passageiros, Unipessoal LDA.</v>
      </c>
      <c r="D4623" t="s">
        <v>629</v>
      </c>
      <c r="F4623" s="422" t="s">
        <v>620</v>
      </c>
      <c r="G4623" s="89" t="s">
        <v>2212</v>
      </c>
      <c r="H4623" s="313" t="s">
        <v>734</v>
      </c>
      <c r="I4623" s="311" t="str">
        <f t="shared" si="188"/>
        <v>Pesado de Passageiros M3:  : Gasóleo : E5</v>
      </c>
      <c r="J4623">
        <v>88</v>
      </c>
      <c r="K4623" s="422">
        <v>2023</v>
      </c>
      <c r="L4623" s="427">
        <v>11134.66</v>
      </c>
      <c r="M4623" s="427" t="s">
        <v>630</v>
      </c>
      <c r="N4623" s="434">
        <v>36956</v>
      </c>
      <c r="O4623" s="436">
        <f t="shared" si="189"/>
        <v>3252128</v>
      </c>
      <c r="P4623" s="89" t="s">
        <v>5300</v>
      </c>
      <c r="Q4623" s="422" t="s">
        <v>47</v>
      </c>
      <c r="R4623" s="422" t="s">
        <v>1869</v>
      </c>
      <c r="S4623" s="422" t="s">
        <v>1861</v>
      </c>
      <c r="U4623" s="422" t="s">
        <v>1953</v>
      </c>
      <c r="V4623" s="422" t="s">
        <v>2813</v>
      </c>
    </row>
    <row r="4624" spans="1:22" ht="15.75" thickBot="1" x14ac:dyDescent="0.3">
      <c r="A4624" t="s">
        <v>4670</v>
      </c>
      <c r="B4624" t="s">
        <v>4670</v>
      </c>
      <c r="C4624" s="424" t="str">
        <f t="shared" si="187"/>
        <v>RMTejo II - Transportes Rodoviários de Passageiros, Unipessoal LDA.</v>
      </c>
      <c r="D4624" t="s">
        <v>629</v>
      </c>
      <c r="F4624" s="422" t="s">
        <v>620</v>
      </c>
      <c r="G4624" s="89" t="s">
        <v>2225</v>
      </c>
      <c r="H4624" s="313" t="s">
        <v>734</v>
      </c>
      <c r="I4624" s="311" t="str">
        <f t="shared" si="188"/>
        <v>Pesado de Passageiros M3:  : Gasóleo : E5</v>
      </c>
      <c r="J4624">
        <v>50</v>
      </c>
      <c r="K4624" s="422">
        <v>2023</v>
      </c>
      <c r="L4624" s="427">
        <v>16615.66</v>
      </c>
      <c r="M4624" s="427" t="s">
        <v>630</v>
      </c>
      <c r="N4624" s="434">
        <v>51052</v>
      </c>
      <c r="O4624" s="436">
        <f t="shared" si="189"/>
        <v>2552600</v>
      </c>
      <c r="P4624" s="89" t="s">
        <v>5301</v>
      </c>
      <c r="Q4624" s="422" t="s">
        <v>47</v>
      </c>
      <c r="R4624" s="422" t="s">
        <v>1869</v>
      </c>
      <c r="S4624" s="422" t="s">
        <v>1861</v>
      </c>
      <c r="U4624" s="422" t="s">
        <v>1953</v>
      </c>
      <c r="V4624" s="422" t="s">
        <v>2813</v>
      </c>
    </row>
    <row r="4625" spans="1:22" ht="15.75" thickBot="1" x14ac:dyDescent="0.3">
      <c r="A4625" t="s">
        <v>4670</v>
      </c>
      <c r="B4625" t="s">
        <v>4670</v>
      </c>
      <c r="C4625" s="424" t="str">
        <f t="shared" si="187"/>
        <v>RMTejo II - Transportes Rodoviários de Passageiros, Unipessoal LDA.</v>
      </c>
      <c r="D4625" t="s">
        <v>629</v>
      </c>
      <c r="F4625" s="422" t="s">
        <v>620</v>
      </c>
      <c r="G4625" s="89" t="s">
        <v>2212</v>
      </c>
      <c r="H4625" s="313" t="s">
        <v>734</v>
      </c>
      <c r="I4625" s="311" t="str">
        <f t="shared" si="188"/>
        <v>Pesado de Passageiros M3:  : Gasóleo : E5</v>
      </c>
      <c r="J4625">
        <v>55</v>
      </c>
      <c r="K4625" s="422">
        <v>2023</v>
      </c>
      <c r="L4625" s="427">
        <v>16704.93</v>
      </c>
      <c r="M4625" s="427" t="s">
        <v>630</v>
      </c>
      <c r="N4625" s="434">
        <v>48581</v>
      </c>
      <c r="O4625" s="436">
        <f t="shared" si="189"/>
        <v>2671955</v>
      </c>
      <c r="P4625" s="89" t="s">
        <v>5302</v>
      </c>
      <c r="Q4625" s="422" t="s">
        <v>47</v>
      </c>
      <c r="R4625" s="422" t="s">
        <v>1869</v>
      </c>
      <c r="S4625" s="422" t="s">
        <v>1861</v>
      </c>
      <c r="U4625" s="422" t="s">
        <v>1953</v>
      </c>
      <c r="V4625" s="422" t="s">
        <v>2813</v>
      </c>
    </row>
    <row r="4626" spans="1:22" ht="15.75" thickBot="1" x14ac:dyDescent="0.3">
      <c r="A4626" t="s">
        <v>4670</v>
      </c>
      <c r="B4626" t="s">
        <v>4670</v>
      </c>
      <c r="C4626" s="424" t="str">
        <f t="shared" si="187"/>
        <v>RMTejo II - Transportes Rodoviários de Passageiros, Unipessoal LDA.</v>
      </c>
      <c r="D4626" t="s">
        <v>629</v>
      </c>
      <c r="F4626" s="422" t="s">
        <v>620</v>
      </c>
      <c r="G4626" s="89" t="s">
        <v>2208</v>
      </c>
      <c r="H4626" s="313" t="s">
        <v>736</v>
      </c>
      <c r="I4626" s="311" t="str">
        <f t="shared" si="188"/>
        <v>Pesado de Passageiros M3:  : Gasóleo : E1</v>
      </c>
      <c r="J4626">
        <v>83</v>
      </c>
      <c r="K4626" s="422">
        <v>2023</v>
      </c>
      <c r="L4626" s="427">
        <v>9542.24</v>
      </c>
      <c r="M4626" s="427" t="s">
        <v>630</v>
      </c>
      <c r="N4626" s="434">
        <v>25585</v>
      </c>
      <c r="O4626" s="436">
        <f t="shared" si="189"/>
        <v>2123555</v>
      </c>
      <c r="P4626" s="89" t="s">
        <v>5303</v>
      </c>
      <c r="Q4626" s="422" t="s">
        <v>47</v>
      </c>
      <c r="R4626" s="422" t="s">
        <v>1869</v>
      </c>
      <c r="S4626" s="422" t="s">
        <v>1861</v>
      </c>
      <c r="U4626" s="422" t="s">
        <v>1953</v>
      </c>
      <c r="V4626" s="422" t="s">
        <v>2813</v>
      </c>
    </row>
    <row r="4627" spans="1:22" ht="15.75" thickBot="1" x14ac:dyDescent="0.3">
      <c r="A4627" t="s">
        <v>4670</v>
      </c>
      <c r="B4627" t="s">
        <v>4670</v>
      </c>
      <c r="C4627" s="424" t="str">
        <f t="shared" si="187"/>
        <v>RMTejo II - Transportes Rodoviários de Passageiros, Unipessoal LDA.</v>
      </c>
      <c r="D4627" t="s">
        <v>629</v>
      </c>
      <c r="F4627" s="422" t="s">
        <v>620</v>
      </c>
      <c r="G4627" s="89" t="s">
        <v>2208</v>
      </c>
      <c r="H4627" s="313" t="s">
        <v>736</v>
      </c>
      <c r="I4627" s="311" t="str">
        <f t="shared" si="188"/>
        <v>Pesado de Passageiros M3:  : Gasóleo : E1</v>
      </c>
      <c r="J4627">
        <v>83</v>
      </c>
      <c r="K4627" s="422">
        <v>2023</v>
      </c>
      <c r="L4627" s="427">
        <v>13265.04</v>
      </c>
      <c r="M4627" s="427" t="s">
        <v>630</v>
      </c>
      <c r="N4627" s="434">
        <v>40245</v>
      </c>
      <c r="O4627" s="436">
        <f t="shared" si="189"/>
        <v>3340335</v>
      </c>
      <c r="P4627" s="89" t="s">
        <v>5304</v>
      </c>
      <c r="Q4627" s="422" t="s">
        <v>47</v>
      </c>
      <c r="R4627" s="422" t="s">
        <v>1869</v>
      </c>
      <c r="S4627" s="422" t="s">
        <v>1861</v>
      </c>
      <c r="U4627" s="422" t="s">
        <v>1953</v>
      </c>
      <c r="V4627" s="422" t="s">
        <v>2813</v>
      </c>
    </row>
    <row r="4628" spans="1:22" ht="15.75" thickBot="1" x14ac:dyDescent="0.3">
      <c r="A4628" t="s">
        <v>4670</v>
      </c>
      <c r="B4628" t="s">
        <v>4670</v>
      </c>
      <c r="C4628" s="424" t="str">
        <f t="shared" si="187"/>
        <v>RMTejo II - Transportes Rodoviários de Passageiros, Unipessoal LDA.</v>
      </c>
      <c r="D4628" t="s">
        <v>629</v>
      </c>
      <c r="F4628" s="422" t="s">
        <v>620</v>
      </c>
      <c r="G4628" s="89" t="s">
        <v>2208</v>
      </c>
      <c r="H4628" s="313" t="s">
        <v>736</v>
      </c>
      <c r="I4628" s="311" t="str">
        <f t="shared" si="188"/>
        <v>Pesado de Passageiros M3:  : Gasóleo : E1</v>
      </c>
      <c r="J4628">
        <v>83</v>
      </c>
      <c r="K4628" s="422">
        <v>2023</v>
      </c>
      <c r="L4628" s="427">
        <v>7505.95</v>
      </c>
      <c r="M4628" s="427" t="s">
        <v>630</v>
      </c>
      <c r="N4628" s="434">
        <v>24307</v>
      </c>
      <c r="O4628" s="436">
        <f t="shared" si="189"/>
        <v>2017481</v>
      </c>
      <c r="P4628" s="89" t="s">
        <v>5305</v>
      </c>
      <c r="Q4628" s="422" t="s">
        <v>47</v>
      </c>
      <c r="R4628" s="422" t="s">
        <v>1869</v>
      </c>
      <c r="S4628" s="422" t="s">
        <v>1861</v>
      </c>
      <c r="U4628" s="422" t="s">
        <v>1953</v>
      </c>
      <c r="V4628" s="422" t="s">
        <v>2813</v>
      </c>
    </row>
    <row r="4629" spans="1:22" ht="15.75" thickBot="1" x14ac:dyDescent="0.3">
      <c r="A4629" t="s">
        <v>4670</v>
      </c>
      <c r="B4629" t="s">
        <v>4670</v>
      </c>
      <c r="C4629" s="424" t="str">
        <f t="shared" si="187"/>
        <v>RMTejo II - Transportes Rodoviários de Passageiros, Unipessoal LDA.</v>
      </c>
      <c r="D4629" t="s">
        <v>629</v>
      </c>
      <c r="F4629" s="422" t="s">
        <v>620</v>
      </c>
      <c r="G4629" s="89" t="s">
        <v>2208</v>
      </c>
      <c r="H4629" s="313" t="s">
        <v>736</v>
      </c>
      <c r="I4629" s="311" t="str">
        <f t="shared" si="188"/>
        <v>Pesado de Passageiros M3:  : Gasóleo : E1</v>
      </c>
      <c r="J4629">
        <v>83</v>
      </c>
      <c r="K4629" s="422">
        <v>2023</v>
      </c>
      <c r="L4629" s="427">
        <v>8488.69</v>
      </c>
      <c r="M4629" s="427" t="s">
        <v>630</v>
      </c>
      <c r="N4629" s="434">
        <v>26768</v>
      </c>
      <c r="O4629" s="436">
        <f t="shared" si="189"/>
        <v>2221744</v>
      </c>
      <c r="P4629" s="89" t="s">
        <v>5306</v>
      </c>
      <c r="Q4629" s="422" t="s">
        <v>47</v>
      </c>
      <c r="R4629" s="422" t="s">
        <v>1869</v>
      </c>
      <c r="S4629" s="422" t="s">
        <v>1861</v>
      </c>
      <c r="U4629" s="422" t="s">
        <v>1953</v>
      </c>
      <c r="V4629" s="422" t="s">
        <v>2813</v>
      </c>
    </row>
    <row r="4630" spans="1:22" ht="15.75" thickBot="1" x14ac:dyDescent="0.3">
      <c r="A4630" t="s">
        <v>4670</v>
      </c>
      <c r="B4630" t="s">
        <v>4670</v>
      </c>
      <c r="C4630" s="424" t="str">
        <f t="shared" si="187"/>
        <v>RMTejo II - Transportes Rodoviários de Passageiros, Unipessoal LDA.</v>
      </c>
      <c r="D4630" t="s">
        <v>629</v>
      </c>
      <c r="F4630" s="422" t="s">
        <v>620</v>
      </c>
      <c r="G4630" s="89" t="s">
        <v>2206</v>
      </c>
      <c r="H4630" s="313" t="s">
        <v>735</v>
      </c>
      <c r="I4630" s="311" t="str">
        <f t="shared" si="188"/>
        <v>Pesado de Passageiros M3:  : Gasóleo : E2</v>
      </c>
      <c r="J4630">
        <v>49</v>
      </c>
      <c r="K4630" s="422">
        <v>2023</v>
      </c>
      <c r="L4630" s="427">
        <v>976.2</v>
      </c>
      <c r="M4630" s="427" t="s">
        <v>630</v>
      </c>
      <c r="N4630" s="434">
        <v>2719</v>
      </c>
      <c r="O4630" s="436">
        <f t="shared" si="189"/>
        <v>133231</v>
      </c>
      <c r="P4630" s="89" t="s">
        <v>5307</v>
      </c>
      <c r="Q4630" s="422" t="s">
        <v>47</v>
      </c>
      <c r="R4630" s="422" t="s">
        <v>1869</v>
      </c>
      <c r="S4630" s="422" t="s">
        <v>1861</v>
      </c>
      <c r="U4630" s="422" t="s">
        <v>1953</v>
      </c>
      <c r="V4630" s="422" t="s">
        <v>2813</v>
      </c>
    </row>
    <row r="4631" spans="1:22" ht="15.75" thickBot="1" x14ac:dyDescent="0.3">
      <c r="A4631" t="s">
        <v>4670</v>
      </c>
      <c r="B4631" t="s">
        <v>4670</v>
      </c>
      <c r="C4631" s="424" t="str">
        <f t="shared" si="187"/>
        <v>RMTejo II - Transportes Rodoviários de Passageiros, Unipessoal LDA.</v>
      </c>
      <c r="D4631" t="s">
        <v>629</v>
      </c>
      <c r="F4631" s="422" t="s">
        <v>620</v>
      </c>
      <c r="G4631" s="89" t="s">
        <v>2215</v>
      </c>
      <c r="H4631" s="313" t="s">
        <v>735</v>
      </c>
      <c r="I4631" s="311" t="str">
        <f t="shared" si="188"/>
        <v>Pesado de Passageiros M3:  : Gasóleo : E2</v>
      </c>
      <c r="J4631">
        <v>80</v>
      </c>
      <c r="K4631" s="422">
        <v>2023</v>
      </c>
      <c r="L4631" s="427">
        <v>8675.6899999999987</v>
      </c>
      <c r="M4631" s="427" t="s">
        <v>630</v>
      </c>
      <c r="N4631" s="434">
        <v>24597</v>
      </c>
      <c r="O4631" s="436">
        <f t="shared" si="189"/>
        <v>1967760</v>
      </c>
      <c r="P4631" s="89" t="s">
        <v>5308</v>
      </c>
      <c r="Q4631" s="422" t="s">
        <v>47</v>
      </c>
      <c r="R4631" s="422" t="s">
        <v>1869</v>
      </c>
      <c r="S4631" s="422" t="s">
        <v>1861</v>
      </c>
      <c r="U4631" s="422" t="s">
        <v>1953</v>
      </c>
      <c r="V4631" s="422" t="s">
        <v>2813</v>
      </c>
    </row>
    <row r="4632" spans="1:22" ht="15.75" thickBot="1" x14ac:dyDescent="0.3">
      <c r="A4632" t="s">
        <v>4670</v>
      </c>
      <c r="B4632" t="s">
        <v>4670</v>
      </c>
      <c r="C4632" s="424" t="str">
        <f t="shared" ref="C4632:C4695" si="190">IF(A4632=B4632,B4632,RIGHT(A4632,LEN(A4632)-LEN(B4632)-3))</f>
        <v>RMTejo II - Transportes Rodoviários de Passageiros, Unipessoal LDA.</v>
      </c>
      <c r="D4632" t="s">
        <v>629</v>
      </c>
      <c r="F4632" s="422" t="s">
        <v>620</v>
      </c>
      <c r="G4632" s="89" t="s">
        <v>2215</v>
      </c>
      <c r="H4632" s="313" t="s">
        <v>735</v>
      </c>
      <c r="I4632" s="311" t="str">
        <f t="shared" si="188"/>
        <v>Pesado de Passageiros M3:  : Gasóleo : E2</v>
      </c>
      <c r="J4632">
        <v>80</v>
      </c>
      <c r="K4632" s="422">
        <v>2023</v>
      </c>
      <c r="L4632" s="427">
        <v>10726.8</v>
      </c>
      <c r="M4632" s="427" t="s">
        <v>630</v>
      </c>
      <c r="N4632" s="434">
        <v>31012</v>
      </c>
      <c r="O4632" s="436">
        <f t="shared" si="189"/>
        <v>2480960</v>
      </c>
      <c r="P4632" s="89" t="s">
        <v>5309</v>
      </c>
      <c r="Q4632" s="422" t="s">
        <v>47</v>
      </c>
      <c r="R4632" s="422" t="s">
        <v>1869</v>
      </c>
      <c r="S4632" s="422" t="s">
        <v>1861</v>
      </c>
      <c r="U4632" s="422" t="s">
        <v>1953</v>
      </c>
      <c r="V4632" s="422" t="s">
        <v>2813</v>
      </c>
    </row>
    <row r="4633" spans="1:22" ht="15.75" thickBot="1" x14ac:dyDescent="0.3">
      <c r="A4633" t="s">
        <v>4670</v>
      </c>
      <c r="B4633" t="s">
        <v>4670</v>
      </c>
      <c r="C4633" s="424" t="str">
        <f t="shared" si="190"/>
        <v>RMTejo II - Transportes Rodoviários de Passageiros, Unipessoal LDA.</v>
      </c>
      <c r="D4633" t="s">
        <v>629</v>
      </c>
      <c r="F4633" s="422" t="s">
        <v>620</v>
      </c>
      <c r="G4633" s="89" t="s">
        <v>2208</v>
      </c>
      <c r="H4633" s="313" t="s">
        <v>735</v>
      </c>
      <c r="I4633" s="311" t="str">
        <f t="shared" si="188"/>
        <v>Pesado de Passageiros M3:  : Gasóleo : E2</v>
      </c>
      <c r="J4633">
        <v>74</v>
      </c>
      <c r="K4633" s="422">
        <v>2023</v>
      </c>
      <c r="L4633" s="427">
        <v>174</v>
      </c>
      <c r="M4633" s="427" t="s">
        <v>630</v>
      </c>
      <c r="N4633" s="434">
        <v>483</v>
      </c>
      <c r="O4633" s="436">
        <f t="shared" si="189"/>
        <v>35742</v>
      </c>
      <c r="P4633" s="89" t="s">
        <v>5310</v>
      </c>
      <c r="Q4633" s="422" t="s">
        <v>47</v>
      </c>
      <c r="R4633" s="422" t="s">
        <v>1869</v>
      </c>
      <c r="S4633" s="422" t="s">
        <v>1861</v>
      </c>
      <c r="U4633" s="422" t="s">
        <v>1953</v>
      </c>
      <c r="V4633" s="422" t="s">
        <v>2813</v>
      </c>
    </row>
    <row r="4634" spans="1:22" ht="15.75" thickBot="1" x14ac:dyDescent="0.3">
      <c r="A4634" t="s">
        <v>4670</v>
      </c>
      <c r="B4634" t="s">
        <v>4670</v>
      </c>
      <c r="C4634" s="424" t="str">
        <f t="shared" si="190"/>
        <v>RMTejo II - Transportes Rodoviários de Passageiros, Unipessoal LDA.</v>
      </c>
      <c r="D4634" t="s">
        <v>629</v>
      </c>
      <c r="F4634" s="422" t="s">
        <v>620</v>
      </c>
      <c r="G4634" s="89" t="s">
        <v>2220</v>
      </c>
      <c r="H4634" s="313" t="s">
        <v>732</v>
      </c>
      <c r="I4634" s="311" t="str">
        <f t="shared" si="188"/>
        <v>Pesado de Passageiros M3:  : Gasóleo : E3</v>
      </c>
      <c r="J4634">
        <v>79</v>
      </c>
      <c r="K4634" s="422">
        <v>2023</v>
      </c>
      <c r="L4634" s="427">
        <v>9761.31</v>
      </c>
      <c r="M4634" s="427" t="s">
        <v>630</v>
      </c>
      <c r="N4634" s="434">
        <v>29687</v>
      </c>
      <c r="O4634" s="436">
        <f t="shared" si="189"/>
        <v>2345273</v>
      </c>
      <c r="P4634" s="89" t="s">
        <v>5311</v>
      </c>
      <c r="Q4634" s="422" t="s">
        <v>47</v>
      </c>
      <c r="R4634" s="422" t="s">
        <v>1869</v>
      </c>
      <c r="S4634" s="422" t="s">
        <v>1861</v>
      </c>
      <c r="U4634" s="422" t="s">
        <v>1953</v>
      </c>
      <c r="V4634" s="422" t="s">
        <v>2813</v>
      </c>
    </row>
    <row r="4635" spans="1:22" ht="15.75" thickBot="1" x14ac:dyDescent="0.3">
      <c r="A4635" t="s">
        <v>4670</v>
      </c>
      <c r="B4635" t="s">
        <v>4670</v>
      </c>
      <c r="C4635" s="424" t="str">
        <f t="shared" si="190"/>
        <v>RMTejo II - Transportes Rodoviários de Passageiros, Unipessoal LDA.</v>
      </c>
      <c r="D4635" t="s">
        <v>629</v>
      </c>
      <c r="F4635" s="422" t="s">
        <v>620</v>
      </c>
      <c r="G4635" s="89" t="s">
        <v>2220</v>
      </c>
      <c r="H4635" s="313" t="s">
        <v>732</v>
      </c>
      <c r="I4635" s="311" t="str">
        <f t="shared" si="188"/>
        <v>Pesado de Passageiros M3:  : Gasóleo : E3</v>
      </c>
      <c r="J4635">
        <v>79</v>
      </c>
      <c r="K4635" s="422">
        <v>2023</v>
      </c>
      <c r="L4635" s="427">
        <v>12264.65</v>
      </c>
      <c r="M4635" s="427" t="s">
        <v>630</v>
      </c>
      <c r="N4635" s="434">
        <v>34339</v>
      </c>
      <c r="O4635" s="436">
        <f t="shared" si="189"/>
        <v>2712781</v>
      </c>
      <c r="P4635" s="89" t="s">
        <v>5312</v>
      </c>
      <c r="Q4635" s="422" t="s">
        <v>47</v>
      </c>
      <c r="R4635" s="422" t="s">
        <v>1869</v>
      </c>
      <c r="S4635" s="422" t="s">
        <v>1861</v>
      </c>
      <c r="U4635" s="422" t="s">
        <v>1953</v>
      </c>
      <c r="V4635" s="422" t="s">
        <v>2813</v>
      </c>
    </row>
    <row r="4636" spans="1:22" ht="15.75" thickBot="1" x14ac:dyDescent="0.3">
      <c r="A4636" t="s">
        <v>4670</v>
      </c>
      <c r="B4636" t="s">
        <v>4670</v>
      </c>
      <c r="C4636" s="424" t="str">
        <f t="shared" si="190"/>
        <v>RMTejo II - Transportes Rodoviários de Passageiros, Unipessoal LDA.</v>
      </c>
      <c r="D4636" t="s">
        <v>629</v>
      </c>
      <c r="F4636" s="422" t="s">
        <v>620</v>
      </c>
      <c r="G4636" s="89" t="s">
        <v>2207</v>
      </c>
      <c r="H4636" s="313" t="s">
        <v>732</v>
      </c>
      <c r="I4636" s="311" t="str">
        <f t="shared" si="188"/>
        <v>Pesado de Passageiros M3:  : Gasóleo : E3</v>
      </c>
      <c r="J4636">
        <v>53</v>
      </c>
      <c r="K4636" s="422">
        <v>2023</v>
      </c>
      <c r="L4636" s="427">
        <v>12166.81</v>
      </c>
      <c r="M4636" s="427" t="s">
        <v>630</v>
      </c>
      <c r="N4636" s="434">
        <v>35444</v>
      </c>
      <c r="O4636" s="436">
        <f t="shared" si="189"/>
        <v>1878532</v>
      </c>
      <c r="P4636" s="89" t="s">
        <v>5313</v>
      </c>
      <c r="Q4636" s="422" t="s">
        <v>47</v>
      </c>
      <c r="R4636" s="422" t="s">
        <v>1869</v>
      </c>
      <c r="S4636" s="422" t="s">
        <v>1861</v>
      </c>
      <c r="U4636" s="422" t="s">
        <v>1953</v>
      </c>
      <c r="V4636" s="422" t="s">
        <v>2813</v>
      </c>
    </row>
    <row r="4637" spans="1:22" ht="15.75" thickBot="1" x14ac:dyDescent="0.3">
      <c r="A4637" t="s">
        <v>4670</v>
      </c>
      <c r="B4637" t="s">
        <v>4670</v>
      </c>
      <c r="C4637" s="424" t="str">
        <f t="shared" si="190"/>
        <v>RMTejo II - Transportes Rodoviários de Passageiros, Unipessoal LDA.</v>
      </c>
      <c r="D4637" t="s">
        <v>629</v>
      </c>
      <c r="F4637" s="422" t="s">
        <v>620</v>
      </c>
      <c r="G4637" s="89" t="s">
        <v>2206</v>
      </c>
      <c r="H4637" s="313" t="s">
        <v>735</v>
      </c>
      <c r="I4637" s="311" t="str">
        <f t="shared" si="188"/>
        <v>Pesado de Passageiros M3:  : Gasóleo : E2</v>
      </c>
      <c r="J4637">
        <v>80</v>
      </c>
      <c r="K4637" s="422">
        <v>2023</v>
      </c>
      <c r="L4637" s="427">
        <v>13721.329999999998</v>
      </c>
      <c r="M4637" s="427" t="s">
        <v>630</v>
      </c>
      <c r="N4637" s="434">
        <v>37459</v>
      </c>
      <c r="O4637" s="436">
        <f t="shared" si="189"/>
        <v>2996720</v>
      </c>
      <c r="P4637" s="89" t="s">
        <v>5314</v>
      </c>
      <c r="Q4637" s="422" t="s">
        <v>47</v>
      </c>
      <c r="R4637" s="422" t="s">
        <v>1869</v>
      </c>
      <c r="S4637" s="422" t="s">
        <v>1861</v>
      </c>
      <c r="U4637" s="422" t="s">
        <v>1953</v>
      </c>
      <c r="V4637" s="422" t="s">
        <v>2813</v>
      </c>
    </row>
    <row r="4638" spans="1:22" ht="15.75" thickBot="1" x14ac:dyDescent="0.3">
      <c r="A4638" t="s">
        <v>4670</v>
      </c>
      <c r="B4638" t="s">
        <v>4670</v>
      </c>
      <c r="C4638" s="424" t="str">
        <f t="shared" si="190"/>
        <v>RMTejo II - Transportes Rodoviários de Passageiros, Unipessoal LDA.</v>
      </c>
      <c r="D4638" t="s">
        <v>629</v>
      </c>
      <c r="F4638" s="422" t="s">
        <v>620</v>
      </c>
      <c r="G4638" s="89" t="s">
        <v>2225</v>
      </c>
      <c r="H4638" s="313" t="s">
        <v>734</v>
      </c>
      <c r="I4638" s="311" t="str">
        <f t="shared" si="188"/>
        <v>Pesado de Passageiros M3:  : Gasóleo : E5</v>
      </c>
      <c r="J4638">
        <v>50</v>
      </c>
      <c r="K4638" s="422">
        <v>2023</v>
      </c>
      <c r="L4638" s="427">
        <v>16927.39</v>
      </c>
      <c r="M4638" s="427" t="s">
        <v>630</v>
      </c>
      <c r="N4638" s="434">
        <v>49566</v>
      </c>
      <c r="O4638" s="436">
        <f t="shared" si="189"/>
        <v>2478300</v>
      </c>
      <c r="P4638" s="89" t="s">
        <v>5315</v>
      </c>
      <c r="Q4638" s="422" t="s">
        <v>47</v>
      </c>
      <c r="R4638" s="422" t="s">
        <v>1869</v>
      </c>
      <c r="S4638" s="422" t="s">
        <v>1861</v>
      </c>
      <c r="U4638" s="422" t="s">
        <v>1953</v>
      </c>
      <c r="V4638" s="422" t="s">
        <v>2813</v>
      </c>
    </row>
    <row r="4639" spans="1:22" ht="15.75" thickBot="1" x14ac:dyDescent="0.3">
      <c r="A4639" t="s">
        <v>4670</v>
      </c>
      <c r="B4639" t="s">
        <v>4670</v>
      </c>
      <c r="C4639" s="424" t="str">
        <f t="shared" si="190"/>
        <v>RMTejo II - Transportes Rodoviários de Passageiros, Unipessoal LDA.</v>
      </c>
      <c r="D4639" t="s">
        <v>629</v>
      </c>
      <c r="F4639" s="422" t="s">
        <v>620</v>
      </c>
      <c r="G4639" s="89" t="s">
        <v>2211</v>
      </c>
      <c r="H4639" s="313" t="s">
        <v>731</v>
      </c>
      <c r="I4639" s="311" t="str">
        <f t="shared" si="188"/>
        <v>Pesado de Passageiros M3:  : Gasóleo : E4</v>
      </c>
      <c r="J4639">
        <v>26</v>
      </c>
      <c r="K4639" s="422">
        <v>2023</v>
      </c>
      <c r="L4639" s="427">
        <v>1199.26</v>
      </c>
      <c r="M4639" s="427" t="s">
        <v>630</v>
      </c>
      <c r="N4639" s="434">
        <v>7305</v>
      </c>
      <c r="O4639" s="436">
        <f t="shared" si="189"/>
        <v>189930</v>
      </c>
      <c r="P4639" s="89" t="s">
        <v>2654</v>
      </c>
      <c r="Q4639" s="422" t="s">
        <v>47</v>
      </c>
      <c r="R4639" s="422" t="s">
        <v>1869</v>
      </c>
      <c r="S4639" s="422" t="s">
        <v>1861</v>
      </c>
      <c r="U4639" s="422" t="s">
        <v>1953</v>
      </c>
      <c r="V4639" s="422" t="s">
        <v>2813</v>
      </c>
    </row>
    <row r="4640" spans="1:22" ht="15.75" thickBot="1" x14ac:dyDescent="0.3">
      <c r="A4640" t="s">
        <v>4670</v>
      </c>
      <c r="B4640" t="s">
        <v>4670</v>
      </c>
      <c r="C4640" s="424" t="str">
        <f t="shared" si="190"/>
        <v>RMTejo II - Transportes Rodoviários de Passageiros, Unipessoal LDA.</v>
      </c>
      <c r="D4640" t="s">
        <v>629</v>
      </c>
      <c r="F4640" s="422" t="s">
        <v>620</v>
      </c>
      <c r="G4640" s="89" t="s">
        <v>2204</v>
      </c>
      <c r="H4640" s="313" t="s">
        <v>731</v>
      </c>
      <c r="I4640" s="311" t="str">
        <f t="shared" si="188"/>
        <v>Pesado de Passageiros M3:  : Gasóleo : E4</v>
      </c>
      <c r="J4640">
        <v>30</v>
      </c>
      <c r="K4640" s="422">
        <v>2023</v>
      </c>
      <c r="L4640" s="427">
        <v>1298.58</v>
      </c>
      <c r="M4640" s="427" t="s">
        <v>630</v>
      </c>
      <c r="N4640" s="434">
        <v>6716</v>
      </c>
      <c r="O4640" s="436">
        <f t="shared" si="189"/>
        <v>201480</v>
      </c>
      <c r="P4640" s="89" t="s">
        <v>5316</v>
      </c>
      <c r="Q4640" s="422" t="s">
        <v>47</v>
      </c>
      <c r="R4640" s="422" t="s">
        <v>1869</v>
      </c>
      <c r="S4640" s="422" t="s">
        <v>1861</v>
      </c>
      <c r="U4640" s="422" t="s">
        <v>1953</v>
      </c>
      <c r="V4640" s="422" t="s">
        <v>2813</v>
      </c>
    </row>
    <row r="4641" spans="1:22" ht="15.75" thickBot="1" x14ac:dyDescent="0.3">
      <c r="A4641" t="s">
        <v>4670</v>
      </c>
      <c r="B4641" t="s">
        <v>4670</v>
      </c>
      <c r="C4641" s="424" t="str">
        <f t="shared" si="190"/>
        <v>RMTejo II - Transportes Rodoviários de Passageiros, Unipessoal LDA.</v>
      </c>
      <c r="D4641" t="s">
        <v>629</v>
      </c>
      <c r="F4641" s="422" t="s">
        <v>620</v>
      </c>
      <c r="G4641" s="89" t="s">
        <v>2205</v>
      </c>
      <c r="H4641" s="313" t="s">
        <v>731</v>
      </c>
      <c r="I4641" s="311" t="str">
        <f t="shared" si="188"/>
        <v>Pesado de Passageiros M3:  : Gasóleo : E4</v>
      </c>
      <c r="J4641">
        <v>30</v>
      </c>
      <c r="K4641" s="422">
        <v>2023</v>
      </c>
      <c r="L4641" s="427">
        <v>5330.25</v>
      </c>
      <c r="M4641" s="427" t="s">
        <v>630</v>
      </c>
      <c r="N4641" s="434">
        <v>33878</v>
      </c>
      <c r="O4641" s="436">
        <f t="shared" si="189"/>
        <v>1016340</v>
      </c>
      <c r="P4641" s="89" t="s">
        <v>2656</v>
      </c>
      <c r="Q4641" s="422" t="s">
        <v>47</v>
      </c>
      <c r="R4641" s="422" t="s">
        <v>1869</v>
      </c>
      <c r="S4641" s="422" t="s">
        <v>1861</v>
      </c>
      <c r="U4641" s="422" t="s">
        <v>1953</v>
      </c>
      <c r="V4641" s="422" t="s">
        <v>2813</v>
      </c>
    </row>
    <row r="4642" spans="1:22" ht="15.75" thickBot="1" x14ac:dyDescent="0.3">
      <c r="A4642" t="s">
        <v>4670</v>
      </c>
      <c r="B4642" t="s">
        <v>4670</v>
      </c>
      <c r="C4642" s="424" t="str">
        <f t="shared" si="190"/>
        <v>RMTejo II - Transportes Rodoviários de Passageiros, Unipessoal LDA.</v>
      </c>
      <c r="D4642" t="s">
        <v>629</v>
      </c>
      <c r="F4642" s="422" t="s">
        <v>620</v>
      </c>
      <c r="G4642" s="89" t="s">
        <v>2212</v>
      </c>
      <c r="H4642" s="313" t="s">
        <v>734</v>
      </c>
      <c r="I4642" s="311" t="str">
        <f t="shared" ref="I4642:I4705" si="191">D4642&amp;": "&amp;E4642&amp;" : "&amp;F4642&amp;" : "&amp;H4642</f>
        <v>Pesado de Passageiros M3:  : Gasóleo : E5</v>
      </c>
      <c r="J4642">
        <v>25</v>
      </c>
      <c r="K4642" s="422">
        <v>2023</v>
      </c>
      <c r="L4642" s="427">
        <v>3687.79</v>
      </c>
      <c r="M4642" s="427" t="s">
        <v>630</v>
      </c>
      <c r="N4642" s="434">
        <v>24092</v>
      </c>
      <c r="O4642" s="436">
        <f t="shared" ref="O4642:O4705" si="192">N4642*J4642</f>
        <v>602300</v>
      </c>
      <c r="P4642" s="89" t="s">
        <v>2657</v>
      </c>
      <c r="Q4642" s="422" t="s">
        <v>47</v>
      </c>
      <c r="R4642" s="422" t="s">
        <v>1869</v>
      </c>
      <c r="S4642" s="422" t="s">
        <v>1861</v>
      </c>
      <c r="U4642" s="422" t="s">
        <v>1953</v>
      </c>
      <c r="V4642" s="422" t="s">
        <v>2813</v>
      </c>
    </row>
    <row r="4643" spans="1:22" ht="15.75" thickBot="1" x14ac:dyDescent="0.3">
      <c r="A4643" t="s">
        <v>4670</v>
      </c>
      <c r="B4643" t="s">
        <v>4670</v>
      </c>
      <c r="C4643" s="424" t="str">
        <f t="shared" si="190"/>
        <v>RMTejo II - Transportes Rodoviários de Passageiros, Unipessoal LDA.</v>
      </c>
      <c r="D4643" t="s">
        <v>629</v>
      </c>
      <c r="F4643" s="422" t="s">
        <v>620</v>
      </c>
      <c r="G4643" s="89" t="s">
        <v>2210</v>
      </c>
      <c r="H4643" s="313" t="s">
        <v>735</v>
      </c>
      <c r="I4643" s="311" t="str">
        <f t="shared" si="191"/>
        <v>Pesado de Passageiros M3:  : Gasóleo : E2</v>
      </c>
      <c r="J4643">
        <v>80</v>
      </c>
      <c r="K4643" s="422">
        <v>2023</v>
      </c>
      <c r="L4643" s="427">
        <v>9562.7000000000007</v>
      </c>
      <c r="M4643" s="427" t="s">
        <v>630</v>
      </c>
      <c r="N4643" s="434">
        <v>27033</v>
      </c>
      <c r="O4643" s="436">
        <f t="shared" si="192"/>
        <v>2162640</v>
      </c>
      <c r="P4643" s="89" t="s">
        <v>5317</v>
      </c>
      <c r="Q4643" s="422" t="s">
        <v>47</v>
      </c>
      <c r="R4643" s="422" t="s">
        <v>1869</v>
      </c>
      <c r="S4643" s="422" t="s">
        <v>1861</v>
      </c>
      <c r="U4643" s="422" t="s">
        <v>1953</v>
      </c>
      <c r="V4643" s="422" t="s">
        <v>2813</v>
      </c>
    </row>
    <row r="4644" spans="1:22" ht="15.75" thickBot="1" x14ac:dyDescent="0.3">
      <c r="A4644" t="s">
        <v>4670</v>
      </c>
      <c r="B4644" t="s">
        <v>4670</v>
      </c>
      <c r="C4644" s="424" t="str">
        <f t="shared" si="190"/>
        <v>RMTejo II - Transportes Rodoviários de Passageiros, Unipessoal LDA.</v>
      </c>
      <c r="D4644" t="s">
        <v>629</v>
      </c>
      <c r="F4644" s="422" t="s">
        <v>620</v>
      </c>
      <c r="G4644" s="89" t="s">
        <v>2205</v>
      </c>
      <c r="H4644" s="313" t="s">
        <v>731</v>
      </c>
      <c r="I4644" s="311" t="str">
        <f t="shared" si="191"/>
        <v>Pesado de Passageiros M3:  : Gasóleo : E4</v>
      </c>
      <c r="J4644">
        <v>74</v>
      </c>
      <c r="K4644" s="422">
        <v>2023</v>
      </c>
      <c r="L4644" s="427">
        <v>16002.39</v>
      </c>
      <c r="M4644" s="427" t="s">
        <v>630</v>
      </c>
      <c r="N4644" s="434">
        <v>41298</v>
      </c>
      <c r="O4644" s="436">
        <f t="shared" si="192"/>
        <v>3056052</v>
      </c>
      <c r="P4644" s="89" t="s">
        <v>5318</v>
      </c>
      <c r="Q4644" s="422" t="s">
        <v>47</v>
      </c>
      <c r="R4644" s="422" t="s">
        <v>1869</v>
      </c>
      <c r="S4644" s="422" t="s">
        <v>1861</v>
      </c>
      <c r="U4644" s="422" t="s">
        <v>1953</v>
      </c>
      <c r="V4644" s="422" t="s">
        <v>2813</v>
      </c>
    </row>
    <row r="4645" spans="1:22" ht="15.75" thickBot="1" x14ac:dyDescent="0.3">
      <c r="A4645" t="s">
        <v>4670</v>
      </c>
      <c r="B4645" t="s">
        <v>4670</v>
      </c>
      <c r="C4645" s="424" t="str">
        <f t="shared" si="190"/>
        <v>RMTejo II - Transportes Rodoviários de Passageiros, Unipessoal LDA.</v>
      </c>
      <c r="D4645" t="s">
        <v>629</v>
      </c>
      <c r="F4645" s="422" t="s">
        <v>620</v>
      </c>
      <c r="G4645" s="89" t="s">
        <v>1954</v>
      </c>
      <c r="H4645" s="313" t="s">
        <v>732</v>
      </c>
      <c r="I4645" s="311" t="str">
        <f t="shared" si="191"/>
        <v>Pesado de Passageiros M3:  : Gasóleo : E3</v>
      </c>
      <c r="J4645">
        <v>79</v>
      </c>
      <c r="K4645" s="422">
        <v>2023</v>
      </c>
      <c r="L4645" s="427">
        <v>2922.11</v>
      </c>
      <c r="M4645" s="427" t="s">
        <v>630</v>
      </c>
      <c r="N4645" s="434">
        <v>10197</v>
      </c>
      <c r="O4645" s="436">
        <f t="shared" si="192"/>
        <v>805563</v>
      </c>
      <c r="P4645" s="89" t="s">
        <v>5319</v>
      </c>
      <c r="Q4645" s="422" t="s">
        <v>47</v>
      </c>
      <c r="R4645" s="422" t="s">
        <v>1869</v>
      </c>
      <c r="S4645" s="422" t="s">
        <v>1861</v>
      </c>
      <c r="U4645" s="422" t="s">
        <v>1953</v>
      </c>
      <c r="V4645" s="422" t="s">
        <v>2813</v>
      </c>
    </row>
    <row r="4646" spans="1:22" ht="15.75" thickBot="1" x14ac:dyDescent="0.3">
      <c r="A4646" t="s">
        <v>4670</v>
      </c>
      <c r="B4646" t="s">
        <v>4670</v>
      </c>
      <c r="C4646" s="424" t="str">
        <f t="shared" si="190"/>
        <v>RMTejo II - Transportes Rodoviários de Passageiros, Unipessoal LDA.</v>
      </c>
      <c r="D4646" t="s">
        <v>629</v>
      </c>
      <c r="F4646" s="422" t="s">
        <v>620</v>
      </c>
      <c r="G4646" s="89" t="s">
        <v>2223</v>
      </c>
      <c r="H4646" s="313" t="s">
        <v>734</v>
      </c>
      <c r="I4646" s="311" t="str">
        <f t="shared" si="191"/>
        <v>Pesado de Passageiros M3:  : Gasóleo : E5</v>
      </c>
      <c r="J4646">
        <v>56</v>
      </c>
      <c r="K4646" s="422">
        <v>2023</v>
      </c>
      <c r="L4646" s="427">
        <v>17680.169999999998</v>
      </c>
      <c r="M4646" s="427" t="s">
        <v>630</v>
      </c>
      <c r="N4646" s="434">
        <v>54809</v>
      </c>
      <c r="O4646" s="436">
        <f t="shared" si="192"/>
        <v>3069304</v>
      </c>
      <c r="P4646" s="89" t="s">
        <v>5320</v>
      </c>
      <c r="Q4646" s="422" t="s">
        <v>47</v>
      </c>
      <c r="R4646" s="422" t="s">
        <v>1869</v>
      </c>
      <c r="S4646" s="422" t="s">
        <v>1861</v>
      </c>
      <c r="U4646" s="422" t="s">
        <v>1953</v>
      </c>
      <c r="V4646" s="422" t="s">
        <v>2813</v>
      </c>
    </row>
    <row r="4647" spans="1:22" ht="15.75" thickBot="1" x14ac:dyDescent="0.3">
      <c r="A4647" t="s">
        <v>4670</v>
      </c>
      <c r="B4647" t="s">
        <v>4670</v>
      </c>
      <c r="C4647" s="424" t="str">
        <f t="shared" si="190"/>
        <v>RMTejo II - Transportes Rodoviários de Passageiros, Unipessoal LDA.</v>
      </c>
      <c r="D4647" t="s">
        <v>629</v>
      </c>
      <c r="F4647" s="422" t="s">
        <v>620</v>
      </c>
      <c r="G4647" s="89" t="s">
        <v>2225</v>
      </c>
      <c r="H4647" s="313" t="s">
        <v>734</v>
      </c>
      <c r="I4647" s="311" t="str">
        <f t="shared" si="191"/>
        <v>Pesado de Passageiros M3:  : Gasóleo : E5</v>
      </c>
      <c r="J4647">
        <v>79</v>
      </c>
      <c r="K4647" s="422">
        <v>2023</v>
      </c>
      <c r="L4647" s="427">
        <v>14039.900000000001</v>
      </c>
      <c r="M4647" s="427" t="s">
        <v>630</v>
      </c>
      <c r="N4647" s="434">
        <v>41287</v>
      </c>
      <c r="O4647" s="436">
        <f t="shared" si="192"/>
        <v>3261673</v>
      </c>
      <c r="P4647" s="89" t="s">
        <v>5321</v>
      </c>
      <c r="Q4647" s="422" t="s">
        <v>47</v>
      </c>
      <c r="R4647" s="422" t="s">
        <v>1869</v>
      </c>
      <c r="S4647" s="422" t="s">
        <v>1861</v>
      </c>
      <c r="U4647" s="422" t="s">
        <v>1953</v>
      </c>
      <c r="V4647" s="422" t="s">
        <v>2813</v>
      </c>
    </row>
    <row r="4648" spans="1:22" ht="15.75" thickBot="1" x14ac:dyDescent="0.3">
      <c r="A4648" t="s">
        <v>4670</v>
      </c>
      <c r="B4648" t="s">
        <v>4670</v>
      </c>
      <c r="C4648" s="424" t="str">
        <f t="shared" si="190"/>
        <v>RMTejo II - Transportes Rodoviários de Passageiros, Unipessoal LDA.</v>
      </c>
      <c r="D4648" t="s">
        <v>629</v>
      </c>
      <c r="F4648" s="422" t="s">
        <v>620</v>
      </c>
      <c r="G4648" s="89" t="s">
        <v>2204</v>
      </c>
      <c r="H4648" s="313" t="s">
        <v>731</v>
      </c>
      <c r="I4648" s="311" t="str">
        <f t="shared" si="191"/>
        <v>Pesado de Passageiros M3:  : Gasóleo : E4</v>
      </c>
      <c r="J4648">
        <v>55</v>
      </c>
      <c r="K4648" s="422">
        <v>2023</v>
      </c>
      <c r="L4648" s="427">
        <v>20975.18</v>
      </c>
      <c r="M4648" s="427" t="s">
        <v>630</v>
      </c>
      <c r="N4648" s="434">
        <v>66029</v>
      </c>
      <c r="O4648" s="436">
        <f t="shared" si="192"/>
        <v>3631595</v>
      </c>
      <c r="P4648" s="89" t="s">
        <v>2677</v>
      </c>
      <c r="Q4648" s="422" t="s">
        <v>47</v>
      </c>
      <c r="R4648" s="422" t="s">
        <v>1869</v>
      </c>
      <c r="S4648" s="422" t="s">
        <v>1861</v>
      </c>
      <c r="U4648" s="422" t="s">
        <v>1953</v>
      </c>
      <c r="V4648" s="422" t="s">
        <v>2813</v>
      </c>
    </row>
    <row r="4649" spans="1:22" ht="15.75" thickBot="1" x14ac:dyDescent="0.3">
      <c r="A4649" t="s">
        <v>4670</v>
      </c>
      <c r="B4649" t="s">
        <v>4670</v>
      </c>
      <c r="C4649" s="424" t="str">
        <f t="shared" si="190"/>
        <v>RMTejo II - Transportes Rodoviários de Passageiros, Unipessoal LDA.</v>
      </c>
      <c r="D4649" t="s">
        <v>629</v>
      </c>
      <c r="F4649" s="422" t="s">
        <v>620</v>
      </c>
      <c r="G4649" s="89" t="s">
        <v>2220</v>
      </c>
      <c r="H4649" s="313" t="s">
        <v>732</v>
      </c>
      <c r="I4649" s="311" t="str">
        <f t="shared" si="191"/>
        <v>Pesado de Passageiros M3:  : Gasóleo : E3</v>
      </c>
      <c r="J4649">
        <v>72</v>
      </c>
      <c r="K4649" s="422">
        <v>2023</v>
      </c>
      <c r="L4649" s="427">
        <v>4450.22</v>
      </c>
      <c r="M4649" s="427" t="s">
        <v>630</v>
      </c>
      <c r="N4649" s="434">
        <v>12383</v>
      </c>
      <c r="O4649" s="436">
        <f t="shared" si="192"/>
        <v>891576</v>
      </c>
      <c r="P4649" s="89" t="s">
        <v>5322</v>
      </c>
      <c r="Q4649" s="422" t="s">
        <v>47</v>
      </c>
      <c r="R4649" s="422" t="s">
        <v>1869</v>
      </c>
      <c r="S4649" s="422" t="s">
        <v>1861</v>
      </c>
      <c r="U4649" s="422" t="s">
        <v>1953</v>
      </c>
      <c r="V4649" s="422" t="s">
        <v>2813</v>
      </c>
    </row>
    <row r="4650" spans="1:22" ht="15.75" thickBot="1" x14ac:dyDescent="0.3">
      <c r="A4650" t="s">
        <v>4670</v>
      </c>
      <c r="B4650" t="s">
        <v>4670</v>
      </c>
      <c r="C4650" s="424" t="str">
        <f t="shared" si="190"/>
        <v>RMTejo II - Transportes Rodoviários de Passageiros, Unipessoal LDA.</v>
      </c>
      <c r="D4650" t="s">
        <v>629</v>
      </c>
      <c r="F4650" s="422" t="s">
        <v>620</v>
      </c>
      <c r="G4650" s="89" t="s">
        <v>2222</v>
      </c>
      <c r="H4650" s="313" t="s">
        <v>732</v>
      </c>
      <c r="I4650" s="311" t="str">
        <f t="shared" si="191"/>
        <v>Pesado de Passageiros M3:  : Gasóleo : E3</v>
      </c>
      <c r="J4650">
        <v>72</v>
      </c>
      <c r="K4650" s="422">
        <v>2023</v>
      </c>
      <c r="L4650" s="427">
        <v>14645.93</v>
      </c>
      <c r="M4650" s="427" t="s">
        <v>630</v>
      </c>
      <c r="N4650" s="434">
        <v>42347</v>
      </c>
      <c r="O4650" s="436">
        <f t="shared" si="192"/>
        <v>3048984</v>
      </c>
      <c r="P4650" s="89" t="s">
        <v>5323</v>
      </c>
      <c r="Q4650" s="422" t="s">
        <v>47</v>
      </c>
      <c r="R4650" s="422" t="s">
        <v>1869</v>
      </c>
      <c r="S4650" s="422" t="s">
        <v>1861</v>
      </c>
      <c r="U4650" s="422" t="s">
        <v>1953</v>
      </c>
      <c r="V4650" s="422" t="s">
        <v>2813</v>
      </c>
    </row>
    <row r="4651" spans="1:22" ht="15.75" thickBot="1" x14ac:dyDescent="0.3">
      <c r="A4651" t="s">
        <v>4670</v>
      </c>
      <c r="B4651" t="s">
        <v>4670</v>
      </c>
      <c r="C4651" s="424" t="str">
        <f t="shared" si="190"/>
        <v>RMTejo II - Transportes Rodoviários de Passageiros, Unipessoal LDA.</v>
      </c>
      <c r="D4651" t="s">
        <v>629</v>
      </c>
      <c r="F4651" s="422" t="s">
        <v>620</v>
      </c>
      <c r="G4651" s="89" t="s">
        <v>2220</v>
      </c>
      <c r="H4651" s="313" t="s">
        <v>732</v>
      </c>
      <c r="I4651" s="311" t="str">
        <f t="shared" si="191"/>
        <v>Pesado de Passageiros M3:  : Gasóleo : E3</v>
      </c>
      <c r="J4651">
        <v>59</v>
      </c>
      <c r="K4651" s="422">
        <v>2023</v>
      </c>
      <c r="L4651" s="427">
        <v>7865.63</v>
      </c>
      <c r="M4651" s="427" t="s">
        <v>630</v>
      </c>
      <c r="N4651" s="434">
        <v>20653</v>
      </c>
      <c r="O4651" s="436">
        <f t="shared" si="192"/>
        <v>1218527</v>
      </c>
      <c r="P4651" s="89" t="s">
        <v>5324</v>
      </c>
      <c r="Q4651" s="422" t="s">
        <v>47</v>
      </c>
      <c r="R4651" s="422" t="s">
        <v>1869</v>
      </c>
      <c r="S4651" s="422" t="s">
        <v>1861</v>
      </c>
      <c r="U4651" s="422" t="s">
        <v>1953</v>
      </c>
      <c r="V4651" s="422" t="s">
        <v>2813</v>
      </c>
    </row>
    <row r="4652" spans="1:22" ht="15.75" thickBot="1" x14ac:dyDescent="0.3">
      <c r="A4652" t="s">
        <v>4670</v>
      </c>
      <c r="B4652" t="s">
        <v>4670</v>
      </c>
      <c r="C4652" s="424" t="str">
        <f t="shared" si="190"/>
        <v>RMTejo II - Transportes Rodoviários de Passageiros, Unipessoal LDA.</v>
      </c>
      <c r="D4652" t="s">
        <v>629</v>
      </c>
      <c r="F4652" s="422" t="s">
        <v>620</v>
      </c>
      <c r="G4652" s="89" t="s">
        <v>2220</v>
      </c>
      <c r="H4652" s="313" t="s">
        <v>732</v>
      </c>
      <c r="I4652" s="311" t="str">
        <f t="shared" si="191"/>
        <v>Pesado de Passageiros M3:  : Gasóleo : E3</v>
      </c>
      <c r="J4652">
        <v>69</v>
      </c>
      <c r="K4652" s="422">
        <v>2023</v>
      </c>
      <c r="L4652" s="427">
        <v>15200.14</v>
      </c>
      <c r="M4652" s="427" t="s">
        <v>630</v>
      </c>
      <c r="N4652" s="434">
        <v>43217</v>
      </c>
      <c r="O4652" s="436">
        <f t="shared" si="192"/>
        <v>2981973</v>
      </c>
      <c r="P4652" s="89" t="s">
        <v>5325</v>
      </c>
      <c r="Q4652" s="422" t="s">
        <v>47</v>
      </c>
      <c r="R4652" s="422" t="s">
        <v>1869</v>
      </c>
      <c r="S4652" s="422" t="s">
        <v>1861</v>
      </c>
      <c r="U4652" s="422" t="s">
        <v>1953</v>
      </c>
      <c r="V4652" s="422" t="s">
        <v>2813</v>
      </c>
    </row>
    <row r="4653" spans="1:22" ht="15.75" thickBot="1" x14ac:dyDescent="0.3">
      <c r="A4653" t="s">
        <v>4670</v>
      </c>
      <c r="B4653" t="s">
        <v>4670</v>
      </c>
      <c r="C4653" s="424" t="str">
        <f t="shared" si="190"/>
        <v>RMTejo II - Transportes Rodoviários de Passageiros, Unipessoal LDA.</v>
      </c>
      <c r="D4653" t="s">
        <v>629</v>
      </c>
      <c r="F4653" s="422" t="s">
        <v>620</v>
      </c>
      <c r="G4653" s="89" t="s">
        <v>2204</v>
      </c>
      <c r="H4653" s="313" t="s">
        <v>734</v>
      </c>
      <c r="I4653" s="311" t="str">
        <f t="shared" si="191"/>
        <v>Pesado de Passageiros M3:  : Gasóleo : E5</v>
      </c>
      <c r="J4653">
        <v>82</v>
      </c>
      <c r="K4653" s="422">
        <v>2023</v>
      </c>
      <c r="L4653" s="427">
        <v>17299.29</v>
      </c>
      <c r="M4653" s="427" t="s">
        <v>630</v>
      </c>
      <c r="N4653" s="434">
        <v>37894</v>
      </c>
      <c r="O4653" s="436">
        <f t="shared" si="192"/>
        <v>3107308</v>
      </c>
      <c r="P4653" s="89" t="s">
        <v>5326</v>
      </c>
      <c r="Q4653" s="422" t="s">
        <v>47</v>
      </c>
      <c r="R4653" s="422" t="s">
        <v>1869</v>
      </c>
      <c r="S4653" s="422" t="s">
        <v>1861</v>
      </c>
      <c r="U4653" s="422" t="s">
        <v>1953</v>
      </c>
      <c r="V4653" s="422" t="s">
        <v>2813</v>
      </c>
    </row>
    <row r="4654" spans="1:22" ht="15.75" thickBot="1" x14ac:dyDescent="0.3">
      <c r="A4654" t="s">
        <v>4670</v>
      </c>
      <c r="B4654" t="s">
        <v>4670</v>
      </c>
      <c r="C4654" s="424" t="str">
        <f t="shared" si="190"/>
        <v>RMTejo II - Transportes Rodoviários de Passageiros, Unipessoal LDA.</v>
      </c>
      <c r="D4654" t="s">
        <v>629</v>
      </c>
      <c r="F4654" s="422" t="s">
        <v>620</v>
      </c>
      <c r="G4654" s="89" t="s">
        <v>2204</v>
      </c>
      <c r="H4654" s="313" t="s">
        <v>734</v>
      </c>
      <c r="I4654" s="311" t="str">
        <f t="shared" si="191"/>
        <v>Pesado de Passageiros M3:  : Gasóleo : E5</v>
      </c>
      <c r="J4654">
        <v>82</v>
      </c>
      <c r="K4654" s="422">
        <v>2023</v>
      </c>
      <c r="L4654" s="427">
        <v>5672.32</v>
      </c>
      <c r="M4654" s="427" t="s">
        <v>630</v>
      </c>
      <c r="N4654" s="434">
        <v>12195</v>
      </c>
      <c r="O4654" s="436">
        <f t="shared" si="192"/>
        <v>999990</v>
      </c>
      <c r="P4654" s="89" t="s">
        <v>5327</v>
      </c>
      <c r="Q4654" s="422" t="s">
        <v>47</v>
      </c>
      <c r="R4654" s="422" t="s">
        <v>1869</v>
      </c>
      <c r="S4654" s="422" t="s">
        <v>1861</v>
      </c>
      <c r="U4654" s="422" t="s">
        <v>1953</v>
      </c>
      <c r="V4654" s="422" t="s">
        <v>2813</v>
      </c>
    </row>
    <row r="4655" spans="1:22" ht="15.75" thickBot="1" x14ac:dyDescent="0.3">
      <c r="A4655" t="s">
        <v>4670</v>
      </c>
      <c r="B4655" t="s">
        <v>4670</v>
      </c>
      <c r="C4655" s="424" t="str">
        <f t="shared" si="190"/>
        <v>RMTejo II - Transportes Rodoviários de Passageiros, Unipessoal LDA.</v>
      </c>
      <c r="D4655" t="s">
        <v>629</v>
      </c>
      <c r="F4655" s="422" t="s">
        <v>620</v>
      </c>
      <c r="G4655" s="89" t="s">
        <v>2228</v>
      </c>
      <c r="H4655" s="313" t="s">
        <v>732</v>
      </c>
      <c r="I4655" s="311" t="str">
        <f t="shared" si="191"/>
        <v>Pesado de Passageiros M3:  : Gasóleo : E3</v>
      </c>
      <c r="J4655">
        <v>83</v>
      </c>
      <c r="K4655" s="422">
        <v>2023</v>
      </c>
      <c r="L4655" s="427">
        <v>9377.34</v>
      </c>
      <c r="M4655" s="427" t="s">
        <v>630</v>
      </c>
      <c r="N4655" s="434">
        <v>24824</v>
      </c>
      <c r="O4655" s="436">
        <f t="shared" si="192"/>
        <v>2060392</v>
      </c>
      <c r="P4655" s="89" t="s">
        <v>5328</v>
      </c>
      <c r="Q4655" s="422" t="s">
        <v>47</v>
      </c>
      <c r="R4655" s="422" t="s">
        <v>1869</v>
      </c>
      <c r="S4655" s="422" t="s">
        <v>1861</v>
      </c>
      <c r="U4655" s="422" t="s">
        <v>1953</v>
      </c>
      <c r="V4655" s="422" t="s">
        <v>2813</v>
      </c>
    </row>
    <row r="4656" spans="1:22" ht="15.75" thickBot="1" x14ac:dyDescent="0.3">
      <c r="A4656" t="s">
        <v>4670</v>
      </c>
      <c r="B4656" t="s">
        <v>4670</v>
      </c>
      <c r="C4656" s="424" t="str">
        <f t="shared" si="190"/>
        <v>RMTejo II - Transportes Rodoviários de Passageiros, Unipessoal LDA.</v>
      </c>
      <c r="D4656" t="s">
        <v>629</v>
      </c>
      <c r="F4656" s="422" t="s">
        <v>620</v>
      </c>
      <c r="G4656" s="89" t="s">
        <v>2221</v>
      </c>
      <c r="H4656" s="313" t="s">
        <v>734</v>
      </c>
      <c r="I4656" s="311" t="str">
        <f t="shared" si="191"/>
        <v>Pesado de Passageiros M3:  : Gasóleo : E5</v>
      </c>
      <c r="J4656">
        <v>49</v>
      </c>
      <c r="K4656" s="422">
        <v>2023</v>
      </c>
      <c r="L4656" s="427">
        <v>1186.32</v>
      </c>
      <c r="M4656" s="427" t="s">
        <v>630</v>
      </c>
      <c r="N4656" s="434">
        <v>3499</v>
      </c>
      <c r="O4656" s="436">
        <f t="shared" si="192"/>
        <v>171451</v>
      </c>
      <c r="P4656" s="89" t="s">
        <v>5329</v>
      </c>
      <c r="Q4656" s="422" t="s">
        <v>47</v>
      </c>
      <c r="R4656" s="422" t="s">
        <v>1869</v>
      </c>
      <c r="S4656" s="422" t="s">
        <v>1861</v>
      </c>
      <c r="U4656" s="422" t="s">
        <v>1953</v>
      </c>
      <c r="V4656" s="422" t="s">
        <v>2813</v>
      </c>
    </row>
    <row r="4657" spans="1:22" ht="15.75" thickBot="1" x14ac:dyDescent="0.3">
      <c r="A4657" t="s">
        <v>4670</v>
      </c>
      <c r="B4657" t="s">
        <v>4670</v>
      </c>
      <c r="C4657" s="424" t="str">
        <f t="shared" si="190"/>
        <v>RMTejo II - Transportes Rodoviários de Passageiros, Unipessoal LDA.</v>
      </c>
      <c r="D4657" t="s">
        <v>629</v>
      </c>
      <c r="F4657" s="422" t="s">
        <v>620</v>
      </c>
      <c r="G4657" s="89" t="s">
        <v>2211</v>
      </c>
      <c r="H4657" s="313" t="s">
        <v>732</v>
      </c>
      <c r="I4657" s="311" t="str">
        <f t="shared" si="191"/>
        <v>Pesado de Passageiros M3:  : Gasóleo : E3</v>
      </c>
      <c r="J4657">
        <v>72</v>
      </c>
      <c r="K4657" s="422">
        <v>2023</v>
      </c>
      <c r="L4657" s="427">
        <v>12434.02</v>
      </c>
      <c r="M4657" s="427" t="s">
        <v>630</v>
      </c>
      <c r="N4657" s="434">
        <v>34133</v>
      </c>
      <c r="O4657" s="436">
        <f t="shared" si="192"/>
        <v>2457576</v>
      </c>
      <c r="P4657" s="89" t="s">
        <v>5330</v>
      </c>
      <c r="Q4657" s="422" t="s">
        <v>47</v>
      </c>
      <c r="R4657" s="422" t="s">
        <v>1869</v>
      </c>
      <c r="S4657" s="422" t="s">
        <v>1861</v>
      </c>
      <c r="U4657" s="422" t="s">
        <v>1953</v>
      </c>
      <c r="V4657" s="422" t="s">
        <v>2813</v>
      </c>
    </row>
    <row r="4658" spans="1:22" ht="15.75" thickBot="1" x14ac:dyDescent="0.3">
      <c r="A4658" t="s">
        <v>4670</v>
      </c>
      <c r="B4658" t="s">
        <v>4670</v>
      </c>
      <c r="C4658" s="424" t="str">
        <f t="shared" si="190"/>
        <v>RMTejo II - Transportes Rodoviários de Passageiros, Unipessoal LDA.</v>
      </c>
      <c r="D4658" t="s">
        <v>629</v>
      </c>
      <c r="F4658" s="422" t="s">
        <v>620</v>
      </c>
      <c r="G4658" s="89" t="s">
        <v>2206</v>
      </c>
      <c r="H4658" s="313" t="s">
        <v>735</v>
      </c>
      <c r="I4658" s="311" t="str">
        <f t="shared" si="191"/>
        <v>Pesado de Passageiros M3:  : Gasóleo : E2</v>
      </c>
      <c r="J4658">
        <v>67</v>
      </c>
      <c r="K4658" s="422">
        <v>2023</v>
      </c>
      <c r="L4658" s="427">
        <v>7287.09</v>
      </c>
      <c r="M4658" s="427" t="s">
        <v>630</v>
      </c>
      <c r="N4658" s="434">
        <v>20777</v>
      </c>
      <c r="O4658" s="436">
        <f t="shared" si="192"/>
        <v>1392059</v>
      </c>
      <c r="P4658" s="89" t="s">
        <v>5331</v>
      </c>
      <c r="Q4658" s="422" t="s">
        <v>47</v>
      </c>
      <c r="R4658" s="422" t="s">
        <v>1869</v>
      </c>
      <c r="S4658" s="422" t="s">
        <v>1861</v>
      </c>
      <c r="U4658" s="422" t="s">
        <v>1953</v>
      </c>
      <c r="V4658" s="422" t="s">
        <v>2813</v>
      </c>
    </row>
    <row r="4659" spans="1:22" ht="15.75" thickBot="1" x14ac:dyDescent="0.3">
      <c r="A4659" t="s">
        <v>4670</v>
      </c>
      <c r="B4659" t="s">
        <v>4670</v>
      </c>
      <c r="C4659" s="424" t="str">
        <f t="shared" si="190"/>
        <v>RMTejo II - Transportes Rodoviários de Passageiros, Unipessoal LDA.</v>
      </c>
      <c r="D4659" t="s">
        <v>629</v>
      </c>
      <c r="F4659" s="422" t="s">
        <v>620</v>
      </c>
      <c r="G4659" s="89" t="s">
        <v>2219</v>
      </c>
      <c r="H4659" s="313" t="s">
        <v>732</v>
      </c>
      <c r="I4659" s="311" t="str">
        <f t="shared" si="191"/>
        <v>Pesado de Passageiros M3:  : Gasóleo : E3</v>
      </c>
      <c r="J4659">
        <v>74</v>
      </c>
      <c r="K4659" s="422">
        <v>2023</v>
      </c>
      <c r="L4659" s="427">
        <v>18148.690000000002</v>
      </c>
      <c r="M4659" s="427" t="s">
        <v>630</v>
      </c>
      <c r="N4659" s="434">
        <v>36618</v>
      </c>
      <c r="O4659" s="436">
        <f t="shared" si="192"/>
        <v>2709732</v>
      </c>
      <c r="P4659" s="89" t="s">
        <v>5332</v>
      </c>
      <c r="Q4659" s="422" t="s">
        <v>47</v>
      </c>
      <c r="R4659" s="422" t="s">
        <v>1869</v>
      </c>
      <c r="S4659" s="422" t="s">
        <v>1861</v>
      </c>
      <c r="U4659" s="422" t="s">
        <v>1953</v>
      </c>
      <c r="V4659" s="422" t="s">
        <v>2813</v>
      </c>
    </row>
    <row r="4660" spans="1:22" ht="15.75" thickBot="1" x14ac:dyDescent="0.3">
      <c r="A4660" t="s">
        <v>4670</v>
      </c>
      <c r="B4660" t="s">
        <v>4670</v>
      </c>
      <c r="C4660" s="424" t="str">
        <f t="shared" si="190"/>
        <v>RMTejo II - Transportes Rodoviários de Passageiros, Unipessoal LDA.</v>
      </c>
      <c r="D4660" t="s">
        <v>629</v>
      </c>
      <c r="F4660" s="422" t="s">
        <v>620</v>
      </c>
      <c r="G4660" s="89" t="s">
        <v>2211</v>
      </c>
      <c r="H4660" s="313" t="s">
        <v>732</v>
      </c>
      <c r="I4660" s="311" t="str">
        <f t="shared" si="191"/>
        <v>Pesado de Passageiros M3:  : Gasóleo : E3</v>
      </c>
      <c r="J4660">
        <v>50</v>
      </c>
      <c r="K4660" s="422">
        <v>2023</v>
      </c>
      <c r="L4660" s="427">
        <v>6658.24</v>
      </c>
      <c r="M4660" s="427" t="s">
        <v>630</v>
      </c>
      <c r="N4660" s="434">
        <v>20898</v>
      </c>
      <c r="O4660" s="436">
        <f t="shared" si="192"/>
        <v>1044900</v>
      </c>
      <c r="P4660" s="89" t="s">
        <v>2686</v>
      </c>
      <c r="Q4660" s="422" t="s">
        <v>47</v>
      </c>
      <c r="R4660" s="422" t="s">
        <v>1869</v>
      </c>
      <c r="S4660" s="422" t="s">
        <v>1861</v>
      </c>
      <c r="U4660" s="422" t="s">
        <v>1953</v>
      </c>
      <c r="V4660" s="422" t="s">
        <v>2813</v>
      </c>
    </row>
    <row r="4661" spans="1:22" ht="15.75" thickBot="1" x14ac:dyDescent="0.3">
      <c r="A4661" t="s">
        <v>4670</v>
      </c>
      <c r="B4661" t="s">
        <v>4670</v>
      </c>
      <c r="C4661" s="424" t="str">
        <f t="shared" si="190"/>
        <v>RMTejo II - Transportes Rodoviários de Passageiros, Unipessoal LDA.</v>
      </c>
      <c r="D4661" t="s">
        <v>629</v>
      </c>
      <c r="F4661" s="422" t="s">
        <v>620</v>
      </c>
      <c r="G4661" s="89" t="s">
        <v>2211</v>
      </c>
      <c r="H4661" s="313" t="s">
        <v>731</v>
      </c>
      <c r="I4661" s="311" t="str">
        <f t="shared" si="191"/>
        <v>Pesado de Passageiros M3:  : Gasóleo : E4</v>
      </c>
      <c r="J4661">
        <v>83</v>
      </c>
      <c r="K4661" s="422">
        <v>2023</v>
      </c>
      <c r="L4661" s="427">
        <v>8974.9699999999993</v>
      </c>
      <c r="M4661" s="427" t="s">
        <v>630</v>
      </c>
      <c r="N4661" s="434">
        <v>28630</v>
      </c>
      <c r="O4661" s="436">
        <f t="shared" si="192"/>
        <v>2376290</v>
      </c>
      <c r="P4661" s="89" t="s">
        <v>2688</v>
      </c>
      <c r="Q4661" s="422" t="s">
        <v>47</v>
      </c>
      <c r="R4661" s="422" t="s">
        <v>1869</v>
      </c>
      <c r="S4661" s="422" t="s">
        <v>1861</v>
      </c>
      <c r="U4661" s="422" t="s">
        <v>1953</v>
      </c>
      <c r="V4661" s="422" t="s">
        <v>2813</v>
      </c>
    </row>
    <row r="4662" spans="1:22" ht="15.75" thickBot="1" x14ac:dyDescent="0.3">
      <c r="A4662" t="s">
        <v>4670</v>
      </c>
      <c r="B4662" t="s">
        <v>4670</v>
      </c>
      <c r="C4662" s="424" t="str">
        <f t="shared" si="190"/>
        <v>RMTejo II - Transportes Rodoviários de Passageiros, Unipessoal LDA.</v>
      </c>
      <c r="D4662" t="s">
        <v>629</v>
      </c>
      <c r="F4662" s="422" t="s">
        <v>620</v>
      </c>
      <c r="G4662" s="89" t="s">
        <v>2211</v>
      </c>
      <c r="H4662" s="313" t="s">
        <v>734</v>
      </c>
      <c r="I4662" s="311" t="str">
        <f t="shared" si="191"/>
        <v>Pesado de Passageiros M3:  : Gasóleo : E5</v>
      </c>
      <c r="J4662">
        <v>83</v>
      </c>
      <c r="K4662" s="422">
        <v>2023</v>
      </c>
      <c r="L4662" s="427">
        <v>9355.98</v>
      </c>
      <c r="M4662" s="427" t="s">
        <v>630</v>
      </c>
      <c r="N4662" s="434">
        <v>29051</v>
      </c>
      <c r="O4662" s="436">
        <f t="shared" si="192"/>
        <v>2411233</v>
      </c>
      <c r="P4662" s="89" t="s">
        <v>2690</v>
      </c>
      <c r="Q4662" s="422" t="s">
        <v>47</v>
      </c>
      <c r="R4662" s="422" t="s">
        <v>1869</v>
      </c>
      <c r="S4662" s="422" t="s">
        <v>1861</v>
      </c>
      <c r="U4662" s="422" t="s">
        <v>1953</v>
      </c>
      <c r="V4662" s="422" t="s">
        <v>2813</v>
      </c>
    </row>
    <row r="4663" spans="1:22" ht="15.75" thickBot="1" x14ac:dyDescent="0.3">
      <c r="A4663" t="s">
        <v>4670</v>
      </c>
      <c r="B4663" t="s">
        <v>4670</v>
      </c>
      <c r="C4663" s="424" t="str">
        <f t="shared" si="190"/>
        <v>RMTejo II - Transportes Rodoviários de Passageiros, Unipessoal LDA.</v>
      </c>
      <c r="D4663" t="s">
        <v>629</v>
      </c>
      <c r="F4663" s="422" t="s">
        <v>620</v>
      </c>
      <c r="G4663" s="89" t="s">
        <v>2211</v>
      </c>
      <c r="H4663" s="313" t="s">
        <v>734</v>
      </c>
      <c r="I4663" s="311" t="str">
        <f t="shared" si="191"/>
        <v>Pesado de Passageiros M3:  : Gasóleo : E5</v>
      </c>
      <c r="J4663">
        <v>83</v>
      </c>
      <c r="K4663" s="422">
        <v>2023</v>
      </c>
      <c r="L4663" s="427">
        <v>10436.200000000001</v>
      </c>
      <c r="M4663" s="427" t="s">
        <v>630</v>
      </c>
      <c r="N4663" s="434">
        <v>35563</v>
      </c>
      <c r="O4663" s="436">
        <f t="shared" si="192"/>
        <v>2951729</v>
      </c>
      <c r="P4663" s="89" t="s">
        <v>2691</v>
      </c>
      <c r="Q4663" s="422" t="s">
        <v>47</v>
      </c>
      <c r="R4663" s="422" t="s">
        <v>1869</v>
      </c>
      <c r="S4663" s="422" t="s">
        <v>1861</v>
      </c>
      <c r="U4663" s="422" t="s">
        <v>1953</v>
      </c>
      <c r="V4663" s="422" t="s">
        <v>2813</v>
      </c>
    </row>
    <row r="4664" spans="1:22" ht="15.75" thickBot="1" x14ac:dyDescent="0.3">
      <c r="A4664" t="s">
        <v>4670</v>
      </c>
      <c r="B4664" t="s">
        <v>4670</v>
      </c>
      <c r="C4664" s="424" t="str">
        <f t="shared" si="190"/>
        <v>RMTejo II - Transportes Rodoviários de Passageiros, Unipessoal LDA.</v>
      </c>
      <c r="D4664" t="s">
        <v>629</v>
      </c>
      <c r="F4664" s="422" t="s">
        <v>620</v>
      </c>
      <c r="G4664" s="89" t="s">
        <v>2223</v>
      </c>
      <c r="H4664" s="313" t="s">
        <v>734</v>
      </c>
      <c r="I4664" s="311" t="str">
        <f t="shared" si="191"/>
        <v>Pesado de Passageiros M3:  : Gasóleo : E5</v>
      </c>
      <c r="J4664">
        <v>75</v>
      </c>
      <c r="K4664" s="422">
        <v>2023</v>
      </c>
      <c r="L4664" s="427">
        <v>4516.6100000000006</v>
      </c>
      <c r="M4664" s="427" t="s">
        <v>630</v>
      </c>
      <c r="N4664" s="434">
        <v>13794</v>
      </c>
      <c r="O4664" s="436">
        <f t="shared" si="192"/>
        <v>1034550</v>
      </c>
      <c r="P4664" s="89" t="s">
        <v>5333</v>
      </c>
      <c r="Q4664" s="422" t="s">
        <v>47</v>
      </c>
      <c r="R4664" s="422" t="s">
        <v>1869</v>
      </c>
      <c r="S4664" s="422" t="s">
        <v>1861</v>
      </c>
      <c r="U4664" s="422" t="s">
        <v>1953</v>
      </c>
      <c r="V4664" s="422" t="s">
        <v>2813</v>
      </c>
    </row>
    <row r="4665" spans="1:22" ht="15.75" thickBot="1" x14ac:dyDescent="0.3">
      <c r="A4665" t="s">
        <v>4670</v>
      </c>
      <c r="B4665" t="s">
        <v>4670</v>
      </c>
      <c r="C4665" s="424" t="str">
        <f t="shared" si="190"/>
        <v>RMTejo II - Transportes Rodoviários de Passageiros, Unipessoal LDA.</v>
      </c>
      <c r="D4665" t="s">
        <v>629</v>
      </c>
      <c r="F4665" s="422" t="s">
        <v>620</v>
      </c>
      <c r="G4665" s="89" t="s">
        <v>2223</v>
      </c>
      <c r="H4665" s="313" t="s">
        <v>734</v>
      </c>
      <c r="I4665" s="311" t="str">
        <f t="shared" si="191"/>
        <v>Pesado de Passageiros M3:  : Gasóleo : E5</v>
      </c>
      <c r="J4665">
        <v>75</v>
      </c>
      <c r="K4665" s="422">
        <v>2023</v>
      </c>
      <c r="L4665" s="427">
        <v>6700.51</v>
      </c>
      <c r="M4665" s="427" t="s">
        <v>630</v>
      </c>
      <c r="N4665" s="434">
        <v>18827</v>
      </c>
      <c r="O4665" s="436">
        <f t="shared" si="192"/>
        <v>1412025</v>
      </c>
      <c r="P4665" s="89" t="s">
        <v>2711</v>
      </c>
      <c r="Q4665" s="422" t="s">
        <v>47</v>
      </c>
      <c r="R4665" s="422" t="s">
        <v>1869</v>
      </c>
      <c r="S4665" s="422" t="s">
        <v>1861</v>
      </c>
      <c r="U4665" s="422" t="s">
        <v>1953</v>
      </c>
      <c r="V4665" s="422" t="s">
        <v>2813</v>
      </c>
    </row>
    <row r="4666" spans="1:22" ht="15.75" thickBot="1" x14ac:dyDescent="0.3">
      <c r="A4666" t="s">
        <v>4670</v>
      </c>
      <c r="B4666" t="s">
        <v>4670</v>
      </c>
      <c r="C4666" s="424" t="str">
        <f t="shared" si="190"/>
        <v>RMTejo II - Transportes Rodoviários de Passageiros, Unipessoal LDA.</v>
      </c>
      <c r="D4666" t="s">
        <v>629</v>
      </c>
      <c r="F4666" s="422" t="s">
        <v>620</v>
      </c>
      <c r="G4666" s="89" t="s">
        <v>2212</v>
      </c>
      <c r="H4666" s="313" t="s">
        <v>734</v>
      </c>
      <c r="I4666" s="311" t="str">
        <f t="shared" si="191"/>
        <v>Pesado de Passageiros M3:  : Gasóleo : E5</v>
      </c>
      <c r="J4666">
        <v>79</v>
      </c>
      <c r="K4666" s="422">
        <v>2023</v>
      </c>
      <c r="L4666" s="427">
        <v>12257.58</v>
      </c>
      <c r="M4666" s="427" t="s">
        <v>630</v>
      </c>
      <c r="N4666" s="434">
        <v>36417</v>
      </c>
      <c r="O4666" s="436">
        <f t="shared" si="192"/>
        <v>2876943</v>
      </c>
      <c r="P4666" s="89" t="s">
        <v>5334</v>
      </c>
      <c r="Q4666" s="422" t="s">
        <v>47</v>
      </c>
      <c r="R4666" s="422" t="s">
        <v>1869</v>
      </c>
      <c r="S4666" s="422" t="s">
        <v>1861</v>
      </c>
      <c r="U4666" s="422" t="s">
        <v>1953</v>
      </c>
      <c r="V4666" s="422" t="s">
        <v>2813</v>
      </c>
    </row>
    <row r="4667" spans="1:22" ht="15.75" thickBot="1" x14ac:dyDescent="0.3">
      <c r="A4667" t="s">
        <v>4670</v>
      </c>
      <c r="B4667" t="s">
        <v>4670</v>
      </c>
      <c r="C4667" s="424" t="str">
        <f t="shared" si="190"/>
        <v>RMTejo II - Transportes Rodoviários de Passageiros, Unipessoal LDA.</v>
      </c>
      <c r="D4667" t="s">
        <v>629</v>
      </c>
      <c r="F4667" s="422" t="s">
        <v>620</v>
      </c>
      <c r="G4667" s="89" t="s">
        <v>2223</v>
      </c>
      <c r="H4667" s="313" t="s">
        <v>734</v>
      </c>
      <c r="I4667" s="311" t="str">
        <f t="shared" si="191"/>
        <v>Pesado de Passageiros M3:  : Gasóleo : E5</v>
      </c>
      <c r="J4667">
        <v>67</v>
      </c>
      <c r="K4667" s="422">
        <v>2023</v>
      </c>
      <c r="L4667" s="427">
        <v>11832.630000000001</v>
      </c>
      <c r="M4667" s="427" t="s">
        <v>630</v>
      </c>
      <c r="N4667" s="434">
        <v>34904</v>
      </c>
      <c r="O4667" s="436">
        <f t="shared" si="192"/>
        <v>2338568</v>
      </c>
      <c r="P4667" s="89" t="s">
        <v>5335</v>
      </c>
      <c r="Q4667" s="422" t="s">
        <v>47</v>
      </c>
      <c r="R4667" s="422" t="s">
        <v>1869</v>
      </c>
      <c r="S4667" s="422" t="s">
        <v>1861</v>
      </c>
      <c r="U4667" s="422" t="s">
        <v>1953</v>
      </c>
      <c r="V4667" s="422" t="s">
        <v>2813</v>
      </c>
    </row>
    <row r="4668" spans="1:22" ht="15.75" thickBot="1" x14ac:dyDescent="0.3">
      <c r="A4668" t="s">
        <v>4670</v>
      </c>
      <c r="B4668" t="s">
        <v>4670</v>
      </c>
      <c r="C4668" s="424" t="str">
        <f t="shared" si="190"/>
        <v>RMTejo II - Transportes Rodoviários de Passageiros, Unipessoal LDA.</v>
      </c>
      <c r="D4668" t="s">
        <v>629</v>
      </c>
      <c r="F4668" s="422" t="s">
        <v>620</v>
      </c>
      <c r="G4668" s="89" t="s">
        <v>2205</v>
      </c>
      <c r="H4668" s="313" t="s">
        <v>731</v>
      </c>
      <c r="I4668" s="311" t="str">
        <f t="shared" si="191"/>
        <v>Pesado de Passageiros M3:  : Gasóleo : E4</v>
      </c>
      <c r="J4668">
        <v>65</v>
      </c>
      <c r="K4668" s="422">
        <v>2023</v>
      </c>
      <c r="L4668" s="427">
        <v>17184.800000000003</v>
      </c>
      <c r="M4668" s="427" t="s">
        <v>630</v>
      </c>
      <c r="N4668" s="434">
        <v>48366</v>
      </c>
      <c r="O4668" s="436">
        <f t="shared" si="192"/>
        <v>3143790</v>
      </c>
      <c r="P4668" s="89" t="s">
        <v>5336</v>
      </c>
      <c r="Q4668" s="422" t="s">
        <v>47</v>
      </c>
      <c r="R4668" s="422" t="s">
        <v>1869</v>
      </c>
      <c r="S4668" s="422" t="s">
        <v>1861</v>
      </c>
      <c r="U4668" s="422" t="s">
        <v>1953</v>
      </c>
      <c r="V4668" s="422" t="s">
        <v>2813</v>
      </c>
    </row>
    <row r="4669" spans="1:22" ht="15.75" thickBot="1" x14ac:dyDescent="0.3">
      <c r="A4669" t="s">
        <v>4670</v>
      </c>
      <c r="B4669" t="s">
        <v>4670</v>
      </c>
      <c r="C4669" s="424" t="str">
        <f t="shared" si="190"/>
        <v>RMTejo II - Transportes Rodoviários de Passageiros, Unipessoal LDA.</v>
      </c>
      <c r="D4669" t="s">
        <v>629</v>
      </c>
      <c r="F4669" s="422" t="s">
        <v>620</v>
      </c>
      <c r="G4669" s="89" t="s">
        <v>2205</v>
      </c>
      <c r="H4669" s="313" t="s">
        <v>734</v>
      </c>
      <c r="I4669" s="311" t="str">
        <f t="shared" si="191"/>
        <v>Pesado de Passageiros M3:  : Gasóleo : E5</v>
      </c>
      <c r="J4669">
        <v>85</v>
      </c>
      <c r="K4669" s="422">
        <v>2023</v>
      </c>
      <c r="L4669" s="427">
        <v>14784.279999999999</v>
      </c>
      <c r="M4669" s="427" t="s">
        <v>630</v>
      </c>
      <c r="N4669" s="434">
        <v>44214</v>
      </c>
      <c r="O4669" s="436">
        <f t="shared" si="192"/>
        <v>3758190</v>
      </c>
      <c r="P4669" s="89" t="s">
        <v>5337</v>
      </c>
      <c r="Q4669" s="422" t="s">
        <v>47</v>
      </c>
      <c r="R4669" s="422" t="s">
        <v>1869</v>
      </c>
      <c r="S4669" s="422" t="s">
        <v>1861</v>
      </c>
      <c r="U4669" s="422" t="s">
        <v>1953</v>
      </c>
      <c r="V4669" s="422" t="s">
        <v>2813</v>
      </c>
    </row>
    <row r="4670" spans="1:22" ht="15.75" thickBot="1" x14ac:dyDescent="0.3">
      <c r="A4670" t="s">
        <v>4670</v>
      </c>
      <c r="B4670" t="s">
        <v>4670</v>
      </c>
      <c r="C4670" s="424" t="str">
        <f t="shared" si="190"/>
        <v>RMTejo II - Transportes Rodoviários de Passageiros, Unipessoal LDA.</v>
      </c>
      <c r="D4670" t="s">
        <v>629</v>
      </c>
      <c r="F4670" s="422" t="s">
        <v>620</v>
      </c>
      <c r="G4670" s="89" t="s">
        <v>2205</v>
      </c>
      <c r="H4670" s="313" t="s">
        <v>731</v>
      </c>
      <c r="I4670" s="311" t="str">
        <f t="shared" si="191"/>
        <v>Pesado de Passageiros M3:  : Gasóleo : E4</v>
      </c>
      <c r="J4670">
        <v>85</v>
      </c>
      <c r="K4670" s="422">
        <v>2023</v>
      </c>
      <c r="L4670" s="427">
        <v>134.83000000000001</v>
      </c>
      <c r="M4670" s="427" t="s">
        <v>630</v>
      </c>
      <c r="N4670" s="434">
        <v>408</v>
      </c>
      <c r="O4670" s="436">
        <f t="shared" si="192"/>
        <v>34680</v>
      </c>
      <c r="P4670" s="89" t="s">
        <v>5338</v>
      </c>
      <c r="Q4670" s="422" t="s">
        <v>47</v>
      </c>
      <c r="R4670" s="422" t="s">
        <v>1869</v>
      </c>
      <c r="S4670" s="422" t="s">
        <v>1861</v>
      </c>
      <c r="U4670" s="422" t="s">
        <v>1953</v>
      </c>
      <c r="V4670" s="422" t="s">
        <v>2813</v>
      </c>
    </row>
    <row r="4671" spans="1:22" ht="15.75" thickBot="1" x14ac:dyDescent="0.3">
      <c r="A4671" t="s">
        <v>4670</v>
      </c>
      <c r="B4671" t="s">
        <v>4670</v>
      </c>
      <c r="C4671" s="424" t="str">
        <f t="shared" si="190"/>
        <v>RMTejo II - Transportes Rodoviários de Passageiros, Unipessoal LDA.</v>
      </c>
      <c r="D4671" t="s">
        <v>629</v>
      </c>
      <c r="F4671" s="422" t="s">
        <v>620</v>
      </c>
      <c r="G4671" s="89" t="s">
        <v>2206</v>
      </c>
      <c r="H4671" s="313" t="s">
        <v>735</v>
      </c>
      <c r="I4671" s="311" t="str">
        <f t="shared" si="191"/>
        <v>Pesado de Passageiros M3:  : Gasóleo : E2</v>
      </c>
      <c r="J4671">
        <v>74</v>
      </c>
      <c r="K4671" s="422">
        <v>2023</v>
      </c>
      <c r="L4671" s="427">
        <v>9690.18</v>
      </c>
      <c r="M4671" s="427" t="s">
        <v>630</v>
      </c>
      <c r="N4671" s="434">
        <v>27154</v>
      </c>
      <c r="O4671" s="436">
        <f t="shared" si="192"/>
        <v>2009396</v>
      </c>
      <c r="P4671" s="89" t="s">
        <v>5339</v>
      </c>
      <c r="Q4671" s="422" t="s">
        <v>47</v>
      </c>
      <c r="R4671" s="422" t="s">
        <v>1869</v>
      </c>
      <c r="S4671" s="422" t="s">
        <v>1861</v>
      </c>
      <c r="U4671" s="422" t="s">
        <v>1953</v>
      </c>
      <c r="V4671" s="422" t="s">
        <v>2813</v>
      </c>
    </row>
    <row r="4672" spans="1:22" ht="15.75" thickBot="1" x14ac:dyDescent="0.3">
      <c r="A4672" t="s">
        <v>4670</v>
      </c>
      <c r="B4672" t="s">
        <v>4670</v>
      </c>
      <c r="C4672" s="424" t="str">
        <f t="shared" si="190"/>
        <v>RMTejo II - Transportes Rodoviários de Passageiros, Unipessoal LDA.</v>
      </c>
      <c r="D4672" t="s">
        <v>629</v>
      </c>
      <c r="F4672" s="422" t="s">
        <v>620</v>
      </c>
      <c r="G4672" s="89" t="s">
        <v>2206</v>
      </c>
      <c r="H4672" s="313" t="s">
        <v>735</v>
      </c>
      <c r="I4672" s="311" t="str">
        <f t="shared" si="191"/>
        <v>Pesado de Passageiros M3:  : Gasóleo : E2</v>
      </c>
      <c r="J4672">
        <v>74</v>
      </c>
      <c r="K4672" s="422">
        <v>2023</v>
      </c>
      <c r="L4672" s="427">
        <v>7218.0300000000007</v>
      </c>
      <c r="M4672" s="427" t="s">
        <v>630</v>
      </c>
      <c r="N4672" s="434">
        <v>20738</v>
      </c>
      <c r="O4672" s="436">
        <f t="shared" si="192"/>
        <v>1534612</v>
      </c>
      <c r="P4672" s="89" t="s">
        <v>5340</v>
      </c>
      <c r="Q4672" s="422" t="s">
        <v>47</v>
      </c>
      <c r="R4672" s="422" t="s">
        <v>1869</v>
      </c>
      <c r="S4672" s="422" t="s">
        <v>1861</v>
      </c>
      <c r="U4672" s="422" t="s">
        <v>1953</v>
      </c>
      <c r="V4672" s="422" t="s">
        <v>2813</v>
      </c>
    </row>
    <row r="4673" spans="1:22" ht="15.75" thickBot="1" x14ac:dyDescent="0.3">
      <c r="A4673" t="s">
        <v>4670</v>
      </c>
      <c r="B4673" t="s">
        <v>4670</v>
      </c>
      <c r="C4673" s="424" t="str">
        <f t="shared" si="190"/>
        <v>RMTejo II - Transportes Rodoviários de Passageiros, Unipessoal LDA.</v>
      </c>
      <c r="D4673" t="s">
        <v>629</v>
      </c>
      <c r="F4673" s="422" t="s">
        <v>620</v>
      </c>
      <c r="G4673" s="89" t="s">
        <v>2220</v>
      </c>
      <c r="H4673" s="313" t="s">
        <v>732</v>
      </c>
      <c r="I4673" s="311" t="str">
        <f t="shared" si="191"/>
        <v>Pesado de Passageiros M3:  : Gasóleo : E3</v>
      </c>
      <c r="J4673">
        <v>55</v>
      </c>
      <c r="K4673" s="422">
        <v>2023</v>
      </c>
      <c r="L4673" s="427">
        <v>5307.65</v>
      </c>
      <c r="M4673" s="427" t="s">
        <v>630</v>
      </c>
      <c r="N4673" s="434">
        <v>12340</v>
      </c>
      <c r="O4673" s="436">
        <f t="shared" si="192"/>
        <v>678700</v>
      </c>
      <c r="P4673" s="89" t="s">
        <v>2716</v>
      </c>
      <c r="Q4673" s="422" t="s">
        <v>47</v>
      </c>
      <c r="R4673" s="422" t="s">
        <v>1869</v>
      </c>
      <c r="S4673" s="422" t="s">
        <v>1861</v>
      </c>
      <c r="U4673" s="422" t="s">
        <v>1953</v>
      </c>
      <c r="V4673" s="422" t="s">
        <v>2813</v>
      </c>
    </row>
    <row r="4674" spans="1:22" ht="15.75" thickBot="1" x14ac:dyDescent="0.3">
      <c r="A4674" t="s">
        <v>4670</v>
      </c>
      <c r="B4674" t="s">
        <v>4670</v>
      </c>
      <c r="C4674" s="424" t="str">
        <f t="shared" si="190"/>
        <v>RMTejo II - Transportes Rodoviários de Passageiros, Unipessoal LDA.</v>
      </c>
      <c r="D4674" t="s">
        <v>629</v>
      </c>
      <c r="F4674" s="422" t="s">
        <v>620</v>
      </c>
      <c r="G4674" s="89" t="s">
        <v>2212</v>
      </c>
      <c r="H4674" s="313" t="s">
        <v>734</v>
      </c>
      <c r="I4674" s="311" t="str">
        <f t="shared" si="191"/>
        <v>Pesado de Passageiros M3:  : Gasóleo : E5</v>
      </c>
      <c r="J4674">
        <v>71</v>
      </c>
      <c r="K4674" s="422">
        <v>2023</v>
      </c>
      <c r="L4674" s="427">
        <v>16314.42</v>
      </c>
      <c r="M4674" s="427" t="s">
        <v>630</v>
      </c>
      <c r="N4674" s="434">
        <v>45834</v>
      </c>
      <c r="O4674" s="436">
        <f t="shared" si="192"/>
        <v>3254214</v>
      </c>
      <c r="P4674" s="89" t="s">
        <v>2723</v>
      </c>
      <c r="Q4674" s="422" t="s">
        <v>47</v>
      </c>
      <c r="R4674" s="422" t="s">
        <v>1869</v>
      </c>
      <c r="S4674" s="422" t="s">
        <v>1861</v>
      </c>
      <c r="U4674" s="422" t="s">
        <v>1953</v>
      </c>
      <c r="V4674" s="422" t="s">
        <v>2813</v>
      </c>
    </row>
    <row r="4675" spans="1:22" ht="15.75" thickBot="1" x14ac:dyDescent="0.3">
      <c r="A4675" t="s">
        <v>4670</v>
      </c>
      <c r="B4675" t="s">
        <v>4670</v>
      </c>
      <c r="C4675" s="424" t="str">
        <f t="shared" si="190"/>
        <v>RMTejo II - Transportes Rodoviários de Passageiros, Unipessoal LDA.</v>
      </c>
      <c r="D4675" t="s">
        <v>629</v>
      </c>
      <c r="F4675" s="422" t="s">
        <v>620</v>
      </c>
      <c r="G4675" s="89" t="s">
        <v>2225</v>
      </c>
      <c r="H4675" s="313" t="s">
        <v>734</v>
      </c>
      <c r="I4675" s="311" t="str">
        <f t="shared" si="191"/>
        <v>Pesado de Passageiros M3:  : Gasóleo : E5</v>
      </c>
      <c r="J4675">
        <v>71</v>
      </c>
      <c r="K4675" s="422">
        <v>2023</v>
      </c>
      <c r="L4675" s="427">
        <v>19123.400000000001</v>
      </c>
      <c r="M4675" s="427" t="s">
        <v>630</v>
      </c>
      <c r="N4675" s="434">
        <v>55123</v>
      </c>
      <c r="O4675" s="436">
        <f t="shared" si="192"/>
        <v>3913733</v>
      </c>
      <c r="P4675" s="89" t="s">
        <v>2730</v>
      </c>
      <c r="Q4675" s="422" t="s">
        <v>47</v>
      </c>
      <c r="R4675" s="422" t="s">
        <v>1869</v>
      </c>
      <c r="S4675" s="422" t="s">
        <v>1861</v>
      </c>
      <c r="U4675" s="422" t="s">
        <v>1953</v>
      </c>
      <c r="V4675" s="422" t="s">
        <v>2813</v>
      </c>
    </row>
    <row r="4676" spans="1:22" ht="15.75" thickBot="1" x14ac:dyDescent="0.3">
      <c r="A4676" t="s">
        <v>4670</v>
      </c>
      <c r="B4676" t="s">
        <v>4670</v>
      </c>
      <c r="C4676" s="424" t="str">
        <f t="shared" si="190"/>
        <v>RMTejo II - Transportes Rodoviários de Passageiros, Unipessoal LDA.</v>
      </c>
      <c r="D4676" t="s">
        <v>629</v>
      </c>
      <c r="F4676" s="422" t="s">
        <v>620</v>
      </c>
      <c r="G4676" s="89" t="s">
        <v>2204</v>
      </c>
      <c r="H4676" s="313" t="s">
        <v>734</v>
      </c>
      <c r="I4676" s="311" t="str">
        <f t="shared" si="191"/>
        <v>Pesado de Passageiros M3:  : Gasóleo : E5</v>
      </c>
      <c r="J4676">
        <v>80</v>
      </c>
      <c r="K4676" s="422">
        <v>2023</v>
      </c>
      <c r="L4676" s="427">
        <v>10054.07</v>
      </c>
      <c r="M4676" s="427" t="s">
        <v>630</v>
      </c>
      <c r="N4676" s="434">
        <v>32522</v>
      </c>
      <c r="O4676" s="436">
        <f t="shared" si="192"/>
        <v>2601760</v>
      </c>
      <c r="P4676" s="89" t="s">
        <v>2757</v>
      </c>
      <c r="Q4676" s="422" t="s">
        <v>47</v>
      </c>
      <c r="R4676" s="422" t="s">
        <v>1869</v>
      </c>
      <c r="S4676" s="422" t="s">
        <v>1861</v>
      </c>
      <c r="U4676" s="422" t="s">
        <v>1953</v>
      </c>
      <c r="V4676" s="422" t="s">
        <v>2813</v>
      </c>
    </row>
    <row r="4677" spans="1:22" ht="15.75" thickBot="1" x14ac:dyDescent="0.3">
      <c r="A4677" t="s">
        <v>4670</v>
      </c>
      <c r="B4677" t="s">
        <v>4670</v>
      </c>
      <c r="C4677" s="424" t="str">
        <f t="shared" si="190"/>
        <v>RMTejo II - Transportes Rodoviários de Passageiros, Unipessoal LDA.</v>
      </c>
      <c r="D4677" t="s">
        <v>629</v>
      </c>
      <c r="F4677" s="422" t="s">
        <v>620</v>
      </c>
      <c r="G4677" s="89" t="s">
        <v>2211</v>
      </c>
      <c r="H4677" s="313" t="s">
        <v>731</v>
      </c>
      <c r="I4677" s="311" t="str">
        <f t="shared" si="191"/>
        <v>Pesado de Passageiros M3:  : Gasóleo : E4</v>
      </c>
      <c r="J4677">
        <v>78</v>
      </c>
      <c r="K4677" s="422">
        <v>2023</v>
      </c>
      <c r="L4677" s="427">
        <v>7023.91</v>
      </c>
      <c r="M4677" s="427" t="s">
        <v>630</v>
      </c>
      <c r="N4677" s="434">
        <v>20817</v>
      </c>
      <c r="O4677" s="436">
        <f t="shared" si="192"/>
        <v>1623726</v>
      </c>
      <c r="P4677" s="89" t="s">
        <v>2762</v>
      </c>
      <c r="Q4677" s="422" t="s">
        <v>47</v>
      </c>
      <c r="R4677" s="422" t="s">
        <v>1869</v>
      </c>
      <c r="S4677" s="422" t="s">
        <v>1861</v>
      </c>
      <c r="U4677" s="422" t="s">
        <v>1953</v>
      </c>
      <c r="V4677" s="422" t="s">
        <v>2813</v>
      </c>
    </row>
    <row r="4678" spans="1:22" ht="15.75" thickBot="1" x14ac:dyDescent="0.3">
      <c r="A4678" t="s">
        <v>4670</v>
      </c>
      <c r="B4678" t="s">
        <v>4670</v>
      </c>
      <c r="C4678" s="424" t="str">
        <f t="shared" si="190"/>
        <v>RMTejo II - Transportes Rodoviários de Passageiros, Unipessoal LDA.</v>
      </c>
      <c r="D4678" t="s">
        <v>629</v>
      </c>
      <c r="F4678" s="422" t="s">
        <v>620</v>
      </c>
      <c r="G4678" s="89" t="s">
        <v>2204</v>
      </c>
      <c r="H4678" s="313" t="s">
        <v>734</v>
      </c>
      <c r="I4678" s="311" t="str">
        <f t="shared" si="191"/>
        <v>Pesado de Passageiros M3:  : Gasóleo : E5</v>
      </c>
      <c r="J4678">
        <v>74</v>
      </c>
      <c r="K4678" s="422">
        <v>2023</v>
      </c>
      <c r="L4678" s="427">
        <v>10137.900000000001</v>
      </c>
      <c r="M4678" s="427" t="s">
        <v>630</v>
      </c>
      <c r="N4678" s="434">
        <v>34251</v>
      </c>
      <c r="O4678" s="436">
        <f t="shared" si="192"/>
        <v>2534574</v>
      </c>
      <c r="P4678" s="89" t="s">
        <v>2764</v>
      </c>
      <c r="Q4678" s="422" t="s">
        <v>47</v>
      </c>
      <c r="R4678" s="422" t="s">
        <v>1869</v>
      </c>
      <c r="S4678" s="422" t="s">
        <v>1861</v>
      </c>
      <c r="U4678" s="422" t="s">
        <v>1953</v>
      </c>
      <c r="V4678" s="422" t="s">
        <v>2813</v>
      </c>
    </row>
    <row r="4679" spans="1:22" ht="15.75" thickBot="1" x14ac:dyDescent="0.3">
      <c r="A4679" t="s">
        <v>4670</v>
      </c>
      <c r="B4679" t="s">
        <v>4670</v>
      </c>
      <c r="C4679" s="424" t="str">
        <f t="shared" si="190"/>
        <v>RMTejo II - Transportes Rodoviários de Passageiros, Unipessoal LDA.</v>
      </c>
      <c r="D4679" t="s">
        <v>629</v>
      </c>
      <c r="F4679" s="422" t="s">
        <v>620</v>
      </c>
      <c r="G4679" s="89" t="s">
        <v>2204</v>
      </c>
      <c r="H4679" s="313" t="s">
        <v>734</v>
      </c>
      <c r="I4679" s="311" t="str">
        <f t="shared" si="191"/>
        <v>Pesado de Passageiros M3:  : Gasóleo : E5</v>
      </c>
      <c r="J4679">
        <v>83</v>
      </c>
      <c r="K4679" s="422">
        <v>2023</v>
      </c>
      <c r="L4679" s="427">
        <v>21756.55</v>
      </c>
      <c r="M4679" s="427" t="s">
        <v>630</v>
      </c>
      <c r="N4679" s="434">
        <v>71596</v>
      </c>
      <c r="O4679" s="436">
        <f t="shared" si="192"/>
        <v>5942468</v>
      </c>
      <c r="P4679" s="89" t="s">
        <v>2765</v>
      </c>
      <c r="Q4679" s="422" t="s">
        <v>47</v>
      </c>
      <c r="R4679" s="422" t="s">
        <v>1869</v>
      </c>
      <c r="S4679" s="422" t="s">
        <v>1861</v>
      </c>
      <c r="U4679" s="422" t="s">
        <v>1953</v>
      </c>
      <c r="V4679" s="422" t="s">
        <v>2813</v>
      </c>
    </row>
    <row r="4680" spans="1:22" ht="15.75" thickBot="1" x14ac:dyDescent="0.3">
      <c r="A4680" t="s">
        <v>4670</v>
      </c>
      <c r="B4680" t="s">
        <v>4670</v>
      </c>
      <c r="C4680" s="424" t="str">
        <f t="shared" si="190"/>
        <v>RMTejo II - Transportes Rodoviários de Passageiros, Unipessoal LDA.</v>
      </c>
      <c r="D4680" t="s">
        <v>629</v>
      </c>
      <c r="F4680" s="422" t="s">
        <v>620</v>
      </c>
      <c r="G4680" s="89" t="s">
        <v>2220</v>
      </c>
      <c r="H4680" s="313" t="s">
        <v>732</v>
      </c>
      <c r="I4680" s="311" t="str">
        <f t="shared" si="191"/>
        <v>Pesado de Passageiros M3:  : Gasóleo : E3</v>
      </c>
      <c r="J4680">
        <v>63</v>
      </c>
      <c r="K4680" s="422">
        <v>2023</v>
      </c>
      <c r="L4680" s="427">
        <v>7786.82</v>
      </c>
      <c r="M4680" s="427" t="s">
        <v>630</v>
      </c>
      <c r="N4680" s="434">
        <v>23373</v>
      </c>
      <c r="O4680" s="436">
        <f t="shared" si="192"/>
        <v>1472499</v>
      </c>
      <c r="P4680" s="89" t="s">
        <v>2772</v>
      </c>
      <c r="Q4680" s="422" t="s">
        <v>47</v>
      </c>
      <c r="R4680" s="422" t="s">
        <v>1869</v>
      </c>
      <c r="S4680" s="422" t="s">
        <v>1861</v>
      </c>
      <c r="U4680" s="422" t="s">
        <v>1953</v>
      </c>
      <c r="V4680" s="422" t="s">
        <v>2813</v>
      </c>
    </row>
    <row r="4681" spans="1:22" ht="15.75" thickBot="1" x14ac:dyDescent="0.3">
      <c r="A4681" t="s">
        <v>4670</v>
      </c>
      <c r="B4681" t="s">
        <v>4670</v>
      </c>
      <c r="C4681" s="424" t="str">
        <f t="shared" si="190"/>
        <v>RMTejo II - Transportes Rodoviários de Passageiros, Unipessoal LDA.</v>
      </c>
      <c r="D4681" t="s">
        <v>629</v>
      </c>
      <c r="F4681" s="422" t="s">
        <v>620</v>
      </c>
      <c r="G4681" s="89" t="s">
        <v>2205</v>
      </c>
      <c r="H4681" s="313" t="s">
        <v>731</v>
      </c>
      <c r="I4681" s="311" t="str">
        <f t="shared" si="191"/>
        <v>Pesado de Passageiros M3:  : Gasóleo : E4</v>
      </c>
      <c r="J4681">
        <v>77</v>
      </c>
      <c r="K4681" s="422">
        <v>2023</v>
      </c>
      <c r="L4681" s="427">
        <v>8382.52</v>
      </c>
      <c r="M4681" s="427" t="s">
        <v>630</v>
      </c>
      <c r="N4681" s="434">
        <v>22962</v>
      </c>
      <c r="O4681" s="436">
        <f t="shared" si="192"/>
        <v>1768074</v>
      </c>
      <c r="P4681" s="89" t="s">
        <v>2778</v>
      </c>
      <c r="Q4681" s="422" t="s">
        <v>47</v>
      </c>
      <c r="R4681" s="422" t="s">
        <v>1869</v>
      </c>
      <c r="S4681" s="422" t="s">
        <v>1861</v>
      </c>
      <c r="U4681" s="422" t="s">
        <v>1953</v>
      </c>
      <c r="V4681" s="422" t="s">
        <v>2813</v>
      </c>
    </row>
    <row r="4682" spans="1:22" ht="15.75" thickBot="1" x14ac:dyDescent="0.3">
      <c r="A4682" t="s">
        <v>4670</v>
      </c>
      <c r="B4682" t="s">
        <v>4670</v>
      </c>
      <c r="C4682" s="424" t="str">
        <f t="shared" si="190"/>
        <v>RMTejo II - Transportes Rodoviários de Passageiros, Unipessoal LDA.</v>
      </c>
      <c r="D4682" t="s">
        <v>629</v>
      </c>
      <c r="F4682" s="422" t="s">
        <v>620</v>
      </c>
      <c r="G4682" s="89" t="s">
        <v>2211</v>
      </c>
      <c r="H4682" s="313" t="s">
        <v>731</v>
      </c>
      <c r="I4682" s="311" t="str">
        <f t="shared" si="191"/>
        <v>Pesado de Passageiros M3:  : Gasóleo : E4</v>
      </c>
      <c r="J4682">
        <v>78</v>
      </c>
      <c r="K4682" s="422">
        <v>2023</v>
      </c>
      <c r="L4682" s="427">
        <v>8193.6929999999993</v>
      </c>
      <c r="M4682" s="427" t="s">
        <v>630</v>
      </c>
      <c r="N4682" s="434">
        <v>24409</v>
      </c>
      <c r="O4682" s="436">
        <f t="shared" si="192"/>
        <v>1903902</v>
      </c>
      <c r="P4682" s="89" t="s">
        <v>2781</v>
      </c>
      <c r="Q4682" s="422" t="s">
        <v>47</v>
      </c>
      <c r="R4682" s="422" t="s">
        <v>1869</v>
      </c>
      <c r="S4682" s="422" t="s">
        <v>1861</v>
      </c>
      <c r="U4682" s="422" t="s">
        <v>1953</v>
      </c>
      <c r="V4682" s="422" t="s">
        <v>2813</v>
      </c>
    </row>
    <row r="4683" spans="1:22" ht="15.75" thickBot="1" x14ac:dyDescent="0.3">
      <c r="A4683" t="s">
        <v>4670</v>
      </c>
      <c r="B4683" t="s">
        <v>4670</v>
      </c>
      <c r="C4683" s="424" t="str">
        <f t="shared" si="190"/>
        <v>RMTejo II - Transportes Rodoviários de Passageiros, Unipessoal LDA.</v>
      </c>
      <c r="D4683" t="s">
        <v>629</v>
      </c>
      <c r="F4683" s="422" t="s">
        <v>620</v>
      </c>
      <c r="G4683" s="89" t="s">
        <v>2204</v>
      </c>
      <c r="H4683" s="313" t="s">
        <v>731</v>
      </c>
      <c r="I4683" s="311" t="str">
        <f t="shared" si="191"/>
        <v>Pesado de Passageiros M3:  : Gasóleo : E4</v>
      </c>
      <c r="J4683">
        <v>77</v>
      </c>
      <c r="K4683" s="422">
        <v>2023</v>
      </c>
      <c r="L4683" s="427">
        <v>10192.450000000001</v>
      </c>
      <c r="M4683" s="427" t="s">
        <v>630</v>
      </c>
      <c r="N4683" s="434">
        <v>26075</v>
      </c>
      <c r="O4683" s="436">
        <f t="shared" si="192"/>
        <v>2007775</v>
      </c>
      <c r="P4683" s="89" t="s">
        <v>2782</v>
      </c>
      <c r="Q4683" s="422" t="s">
        <v>47</v>
      </c>
      <c r="R4683" s="422" t="s">
        <v>1869</v>
      </c>
      <c r="S4683" s="422" t="s">
        <v>1861</v>
      </c>
      <c r="U4683" s="422" t="s">
        <v>1953</v>
      </c>
      <c r="V4683" s="422" t="s">
        <v>2813</v>
      </c>
    </row>
    <row r="4684" spans="1:22" ht="15.75" thickBot="1" x14ac:dyDescent="0.3">
      <c r="A4684" t="s">
        <v>4670</v>
      </c>
      <c r="B4684" t="s">
        <v>4670</v>
      </c>
      <c r="C4684" s="424" t="str">
        <f t="shared" si="190"/>
        <v>RMTejo II - Transportes Rodoviários de Passageiros, Unipessoal LDA.</v>
      </c>
      <c r="D4684" t="s">
        <v>629</v>
      </c>
      <c r="F4684" s="422" t="s">
        <v>620</v>
      </c>
      <c r="G4684" s="89" t="s">
        <v>2221</v>
      </c>
      <c r="H4684" s="313" t="s">
        <v>734</v>
      </c>
      <c r="I4684" s="311" t="str">
        <f t="shared" si="191"/>
        <v>Pesado de Passageiros M3:  : Gasóleo : E5</v>
      </c>
      <c r="J4684">
        <v>90</v>
      </c>
      <c r="K4684" s="422">
        <v>2023</v>
      </c>
      <c r="L4684" s="427">
        <v>14075.43</v>
      </c>
      <c r="M4684" s="427" t="s">
        <v>630</v>
      </c>
      <c r="N4684" s="434">
        <v>43579</v>
      </c>
      <c r="O4684" s="436">
        <f t="shared" si="192"/>
        <v>3922110</v>
      </c>
      <c r="P4684" s="89" t="s">
        <v>2792</v>
      </c>
      <c r="Q4684" s="422" t="s">
        <v>47</v>
      </c>
      <c r="R4684" s="422" t="s">
        <v>1869</v>
      </c>
      <c r="S4684" s="422" t="s">
        <v>1861</v>
      </c>
      <c r="U4684" s="422" t="s">
        <v>1953</v>
      </c>
      <c r="V4684" s="422" t="s">
        <v>2813</v>
      </c>
    </row>
    <row r="4685" spans="1:22" ht="15.75" thickBot="1" x14ac:dyDescent="0.3">
      <c r="A4685" t="s">
        <v>4670</v>
      </c>
      <c r="B4685" t="s">
        <v>4670</v>
      </c>
      <c r="C4685" s="424" t="str">
        <f t="shared" si="190"/>
        <v>RMTejo II - Transportes Rodoviários de Passageiros, Unipessoal LDA.</v>
      </c>
      <c r="D4685" t="s">
        <v>629</v>
      </c>
      <c r="F4685" s="422" t="s">
        <v>620</v>
      </c>
      <c r="G4685" s="89" t="s">
        <v>2221</v>
      </c>
      <c r="H4685" s="313" t="s">
        <v>734</v>
      </c>
      <c r="I4685" s="311" t="str">
        <f t="shared" si="191"/>
        <v>Pesado de Passageiros M3:  : Gasóleo : E5</v>
      </c>
      <c r="J4685">
        <v>90</v>
      </c>
      <c r="K4685" s="422">
        <v>2023</v>
      </c>
      <c r="L4685" s="427">
        <v>11776.240000000002</v>
      </c>
      <c r="M4685" s="427" t="s">
        <v>630</v>
      </c>
      <c r="N4685" s="434">
        <v>36132</v>
      </c>
      <c r="O4685" s="436">
        <f t="shared" si="192"/>
        <v>3251880</v>
      </c>
      <c r="P4685" s="89" t="s">
        <v>2793</v>
      </c>
      <c r="Q4685" s="422" t="s">
        <v>47</v>
      </c>
      <c r="R4685" s="422" t="s">
        <v>1869</v>
      </c>
      <c r="S4685" s="422" t="s">
        <v>1861</v>
      </c>
      <c r="U4685" s="422" t="s">
        <v>1953</v>
      </c>
      <c r="V4685" s="422" t="s">
        <v>2813</v>
      </c>
    </row>
    <row r="4686" spans="1:22" ht="15.75" thickBot="1" x14ac:dyDescent="0.3">
      <c r="A4686" t="s">
        <v>4670</v>
      </c>
      <c r="B4686" t="s">
        <v>4670</v>
      </c>
      <c r="C4686" s="424" t="str">
        <f t="shared" si="190"/>
        <v>RMTejo II - Transportes Rodoviários de Passageiros, Unipessoal LDA.</v>
      </c>
      <c r="D4686" t="s">
        <v>629</v>
      </c>
      <c r="F4686" s="422" t="s">
        <v>620</v>
      </c>
      <c r="G4686" s="89" t="s">
        <v>2221</v>
      </c>
      <c r="H4686" s="313" t="s">
        <v>734</v>
      </c>
      <c r="I4686" s="311" t="str">
        <f t="shared" si="191"/>
        <v>Pesado de Passageiros M3:  : Gasóleo : E5</v>
      </c>
      <c r="J4686">
        <v>90</v>
      </c>
      <c r="K4686" s="422">
        <v>2023</v>
      </c>
      <c r="L4686" s="427">
        <v>11096.310000000001</v>
      </c>
      <c r="M4686" s="427" t="s">
        <v>630</v>
      </c>
      <c r="N4686" s="434">
        <v>37528</v>
      </c>
      <c r="O4686" s="436">
        <f t="shared" si="192"/>
        <v>3377520</v>
      </c>
      <c r="P4686" s="89" t="s">
        <v>2794</v>
      </c>
      <c r="Q4686" s="422" t="s">
        <v>47</v>
      </c>
      <c r="R4686" s="422" t="s">
        <v>1869</v>
      </c>
      <c r="S4686" s="422" t="s">
        <v>1861</v>
      </c>
      <c r="U4686" s="422" t="s">
        <v>1953</v>
      </c>
      <c r="V4686" s="422" t="s">
        <v>2813</v>
      </c>
    </row>
    <row r="4687" spans="1:22" ht="15.75" thickBot="1" x14ac:dyDescent="0.3">
      <c r="A4687" t="s">
        <v>4670</v>
      </c>
      <c r="B4687" t="s">
        <v>4670</v>
      </c>
      <c r="C4687" s="424" t="str">
        <f t="shared" si="190"/>
        <v>RMTejo II - Transportes Rodoviários de Passageiros, Unipessoal LDA.</v>
      </c>
      <c r="D4687" t="s">
        <v>629</v>
      </c>
      <c r="F4687" s="422" t="s">
        <v>620</v>
      </c>
      <c r="G4687" s="89" t="s">
        <v>2221</v>
      </c>
      <c r="H4687" s="313" t="s">
        <v>734</v>
      </c>
      <c r="I4687" s="311" t="str">
        <f t="shared" si="191"/>
        <v>Pesado de Passageiros M3:  : Gasóleo : E5</v>
      </c>
      <c r="J4687">
        <v>90</v>
      </c>
      <c r="K4687" s="422">
        <v>2023</v>
      </c>
      <c r="L4687" s="427">
        <v>14267.119999999999</v>
      </c>
      <c r="M4687" s="427" t="s">
        <v>630</v>
      </c>
      <c r="N4687" s="434">
        <v>46566</v>
      </c>
      <c r="O4687" s="436">
        <f t="shared" si="192"/>
        <v>4190940</v>
      </c>
      <c r="P4687" s="89" t="s">
        <v>2795</v>
      </c>
      <c r="Q4687" s="422" t="s">
        <v>47</v>
      </c>
      <c r="R4687" s="422" t="s">
        <v>1869</v>
      </c>
      <c r="S4687" s="422" t="s">
        <v>1861</v>
      </c>
      <c r="U4687" s="422" t="s">
        <v>1953</v>
      </c>
      <c r="V4687" s="422" t="s">
        <v>2813</v>
      </c>
    </row>
    <row r="4688" spans="1:22" ht="15.75" thickBot="1" x14ac:dyDescent="0.3">
      <c r="A4688" t="s">
        <v>4670</v>
      </c>
      <c r="B4688" t="s">
        <v>4670</v>
      </c>
      <c r="C4688" s="424" t="str">
        <f t="shared" si="190"/>
        <v>RMTejo II - Transportes Rodoviários de Passageiros, Unipessoal LDA.</v>
      </c>
      <c r="D4688" t="s">
        <v>629</v>
      </c>
      <c r="F4688" s="422" t="s">
        <v>620</v>
      </c>
      <c r="G4688" s="89" t="s">
        <v>2221</v>
      </c>
      <c r="H4688" s="313" t="s">
        <v>734</v>
      </c>
      <c r="I4688" s="311" t="str">
        <f t="shared" si="191"/>
        <v>Pesado de Passageiros M3:  : Gasóleo : E5</v>
      </c>
      <c r="J4688">
        <v>90</v>
      </c>
      <c r="K4688" s="422">
        <v>2023</v>
      </c>
      <c r="L4688" s="427">
        <v>9481.73</v>
      </c>
      <c r="M4688" s="427" t="s">
        <v>630</v>
      </c>
      <c r="N4688" s="434">
        <v>29468</v>
      </c>
      <c r="O4688" s="436">
        <f t="shared" si="192"/>
        <v>2652120</v>
      </c>
      <c r="P4688" s="89" t="s">
        <v>5341</v>
      </c>
      <c r="Q4688" s="422" t="s">
        <v>47</v>
      </c>
      <c r="R4688" s="422" t="s">
        <v>1869</v>
      </c>
      <c r="S4688" s="422" t="s">
        <v>1861</v>
      </c>
      <c r="U4688" s="422" t="s">
        <v>1953</v>
      </c>
      <c r="V4688" s="422" t="s">
        <v>2813</v>
      </c>
    </row>
    <row r="4689" spans="1:22" ht="15.75" thickBot="1" x14ac:dyDescent="0.3">
      <c r="A4689" t="s">
        <v>4670</v>
      </c>
      <c r="B4689" t="s">
        <v>4670</v>
      </c>
      <c r="C4689" s="424" t="str">
        <f t="shared" si="190"/>
        <v>RMTejo II - Transportes Rodoviários de Passageiros, Unipessoal LDA.</v>
      </c>
      <c r="D4689" t="s">
        <v>629</v>
      </c>
      <c r="F4689" s="422" t="s">
        <v>620</v>
      </c>
      <c r="G4689" s="89" t="s">
        <v>2221</v>
      </c>
      <c r="H4689" s="313" t="s">
        <v>734</v>
      </c>
      <c r="I4689" s="311" t="str">
        <f t="shared" si="191"/>
        <v>Pesado de Passageiros M3:  : Gasóleo : E5</v>
      </c>
      <c r="J4689">
        <v>90</v>
      </c>
      <c r="K4689" s="422">
        <v>2023</v>
      </c>
      <c r="L4689" s="427">
        <v>10212.07</v>
      </c>
      <c r="M4689" s="427" t="s">
        <v>630</v>
      </c>
      <c r="N4689" s="434">
        <v>32023</v>
      </c>
      <c r="O4689" s="436">
        <f t="shared" si="192"/>
        <v>2882070</v>
      </c>
      <c r="P4689" s="89" t="s">
        <v>5342</v>
      </c>
      <c r="Q4689" s="422" t="s">
        <v>47</v>
      </c>
      <c r="R4689" s="422" t="s">
        <v>1869</v>
      </c>
      <c r="S4689" s="422" t="s">
        <v>1861</v>
      </c>
      <c r="U4689" s="422" t="s">
        <v>1953</v>
      </c>
      <c r="V4689" s="422" t="s">
        <v>2813</v>
      </c>
    </row>
    <row r="4690" spans="1:22" ht="15.75" thickBot="1" x14ac:dyDescent="0.3">
      <c r="A4690" t="s">
        <v>4670</v>
      </c>
      <c r="B4690" t="s">
        <v>4670</v>
      </c>
      <c r="C4690" s="424" t="str">
        <f t="shared" si="190"/>
        <v>RMTejo II - Transportes Rodoviários de Passageiros, Unipessoal LDA.</v>
      </c>
      <c r="D4690" t="s">
        <v>629</v>
      </c>
      <c r="F4690" s="422" t="s">
        <v>620</v>
      </c>
      <c r="G4690" s="89" t="s">
        <v>2221</v>
      </c>
      <c r="H4690" s="313" t="s">
        <v>734</v>
      </c>
      <c r="I4690" s="311" t="str">
        <f t="shared" si="191"/>
        <v>Pesado de Passageiros M3:  : Gasóleo : E5</v>
      </c>
      <c r="J4690">
        <v>90</v>
      </c>
      <c r="K4690" s="422">
        <v>2023</v>
      </c>
      <c r="L4690" s="427">
        <v>11624.34</v>
      </c>
      <c r="M4690" s="427" t="s">
        <v>630</v>
      </c>
      <c r="N4690" s="434">
        <v>35106</v>
      </c>
      <c r="O4690" s="436">
        <f t="shared" si="192"/>
        <v>3159540</v>
      </c>
      <c r="P4690" s="89" t="s">
        <v>5343</v>
      </c>
      <c r="Q4690" s="422" t="s">
        <v>47</v>
      </c>
      <c r="R4690" s="422" t="s">
        <v>1869</v>
      </c>
      <c r="S4690" s="422" t="s">
        <v>1861</v>
      </c>
      <c r="U4690" s="422" t="s">
        <v>1953</v>
      </c>
      <c r="V4690" s="422" t="s">
        <v>2813</v>
      </c>
    </row>
    <row r="4691" spans="1:22" ht="15.75" thickBot="1" x14ac:dyDescent="0.3">
      <c r="A4691" t="s">
        <v>4670</v>
      </c>
      <c r="B4691" t="s">
        <v>4670</v>
      </c>
      <c r="C4691" s="424" t="str">
        <f t="shared" si="190"/>
        <v>RMTejo II - Transportes Rodoviários de Passageiros, Unipessoal LDA.</v>
      </c>
      <c r="D4691" t="s">
        <v>629</v>
      </c>
      <c r="F4691" s="422" t="s">
        <v>620</v>
      </c>
      <c r="G4691" s="89" t="s">
        <v>2221</v>
      </c>
      <c r="H4691" s="313" t="s">
        <v>734</v>
      </c>
      <c r="I4691" s="311" t="str">
        <f t="shared" si="191"/>
        <v>Pesado de Passageiros M3:  : Gasóleo : E5</v>
      </c>
      <c r="J4691">
        <v>80</v>
      </c>
      <c r="K4691" s="422">
        <v>2023</v>
      </c>
      <c r="L4691" s="427">
        <v>15959.59</v>
      </c>
      <c r="M4691" s="427" t="s">
        <v>630</v>
      </c>
      <c r="N4691" s="434">
        <v>49311</v>
      </c>
      <c r="O4691" s="436">
        <f t="shared" si="192"/>
        <v>3944880</v>
      </c>
      <c r="P4691" s="89" t="s">
        <v>5344</v>
      </c>
      <c r="Q4691" s="422" t="s">
        <v>47</v>
      </c>
      <c r="R4691" s="422" t="s">
        <v>1869</v>
      </c>
      <c r="S4691" s="422" t="s">
        <v>1861</v>
      </c>
      <c r="U4691" s="422" t="s">
        <v>1953</v>
      </c>
      <c r="V4691" s="422" t="s">
        <v>2813</v>
      </c>
    </row>
    <row r="4692" spans="1:22" ht="15.75" thickBot="1" x14ac:dyDescent="0.3">
      <c r="A4692" t="s">
        <v>4670</v>
      </c>
      <c r="B4692" t="s">
        <v>4670</v>
      </c>
      <c r="C4692" s="424" t="str">
        <f t="shared" si="190"/>
        <v>RMTejo II - Transportes Rodoviários de Passageiros, Unipessoal LDA.</v>
      </c>
      <c r="D4692" t="s">
        <v>629</v>
      </c>
      <c r="F4692" s="422" t="s">
        <v>620</v>
      </c>
      <c r="G4692" s="89" t="s">
        <v>2221</v>
      </c>
      <c r="H4692" s="313" t="s">
        <v>734</v>
      </c>
      <c r="I4692" s="311" t="str">
        <f t="shared" si="191"/>
        <v>Pesado de Passageiros M3:  : Gasóleo : E5</v>
      </c>
      <c r="J4692">
        <v>90</v>
      </c>
      <c r="K4692" s="422">
        <v>2023</v>
      </c>
      <c r="L4692" s="427">
        <v>0</v>
      </c>
      <c r="M4692" s="427" t="s">
        <v>630</v>
      </c>
      <c r="N4692" s="434">
        <v>0</v>
      </c>
      <c r="O4692" s="436">
        <f t="shared" si="192"/>
        <v>0</v>
      </c>
      <c r="P4692" s="89" t="s">
        <v>5345</v>
      </c>
      <c r="Q4692" s="422" t="s">
        <v>47</v>
      </c>
      <c r="R4692" s="422" t="s">
        <v>1869</v>
      </c>
      <c r="S4692" s="422" t="s">
        <v>1861</v>
      </c>
      <c r="U4692" s="422" t="s">
        <v>1953</v>
      </c>
      <c r="V4692" s="422" t="s">
        <v>2813</v>
      </c>
    </row>
    <row r="4693" spans="1:22" ht="15.75" thickBot="1" x14ac:dyDescent="0.3">
      <c r="A4693" t="s">
        <v>4670</v>
      </c>
      <c r="B4693" t="s">
        <v>4670</v>
      </c>
      <c r="C4693" s="424" t="str">
        <f t="shared" si="190"/>
        <v>RMTejo II - Transportes Rodoviários de Passageiros, Unipessoal LDA.</v>
      </c>
      <c r="D4693" t="s">
        <v>629</v>
      </c>
      <c r="F4693" s="422" t="s">
        <v>620</v>
      </c>
      <c r="G4693" s="89" t="s">
        <v>2221</v>
      </c>
      <c r="H4693" s="313" t="s">
        <v>734</v>
      </c>
      <c r="I4693" s="311" t="str">
        <f t="shared" si="191"/>
        <v>Pesado de Passageiros M3:  : Gasóleo : E5</v>
      </c>
      <c r="J4693">
        <v>90</v>
      </c>
      <c r="K4693" s="422">
        <v>2023</v>
      </c>
      <c r="L4693" s="427">
        <v>11756.64</v>
      </c>
      <c r="M4693" s="427" t="s">
        <v>630</v>
      </c>
      <c r="N4693" s="434">
        <v>34845</v>
      </c>
      <c r="O4693" s="436">
        <f t="shared" si="192"/>
        <v>3136050</v>
      </c>
      <c r="P4693" s="89" t="s">
        <v>5346</v>
      </c>
      <c r="Q4693" s="422" t="s">
        <v>47</v>
      </c>
      <c r="R4693" s="422" t="s">
        <v>1869</v>
      </c>
      <c r="S4693" s="422" t="s">
        <v>1861</v>
      </c>
      <c r="U4693" s="422" t="s">
        <v>1953</v>
      </c>
      <c r="V4693" s="422" t="s">
        <v>2813</v>
      </c>
    </row>
    <row r="4694" spans="1:22" ht="15.75" thickBot="1" x14ac:dyDescent="0.3">
      <c r="A4694" t="s">
        <v>4670</v>
      </c>
      <c r="B4694" t="s">
        <v>4670</v>
      </c>
      <c r="C4694" s="424" t="str">
        <f t="shared" si="190"/>
        <v>RMTejo II - Transportes Rodoviários de Passageiros, Unipessoal LDA.</v>
      </c>
      <c r="D4694" t="s">
        <v>629</v>
      </c>
      <c r="F4694" s="422" t="s">
        <v>620</v>
      </c>
      <c r="G4694" s="89" t="s">
        <v>2221</v>
      </c>
      <c r="H4694" s="313" t="s">
        <v>734</v>
      </c>
      <c r="I4694" s="311" t="str">
        <f t="shared" si="191"/>
        <v>Pesado de Passageiros M3:  : Gasóleo : E5</v>
      </c>
      <c r="J4694">
        <v>80</v>
      </c>
      <c r="K4694" s="422">
        <v>2023</v>
      </c>
      <c r="L4694" s="427">
        <v>11190.93</v>
      </c>
      <c r="M4694" s="427" t="s">
        <v>630</v>
      </c>
      <c r="N4694" s="434">
        <v>34613</v>
      </c>
      <c r="O4694" s="436">
        <f t="shared" si="192"/>
        <v>2769040</v>
      </c>
      <c r="P4694" s="89" t="s">
        <v>5347</v>
      </c>
      <c r="Q4694" s="422" t="s">
        <v>47</v>
      </c>
      <c r="R4694" s="422" t="s">
        <v>1869</v>
      </c>
      <c r="S4694" s="422" t="s">
        <v>1861</v>
      </c>
      <c r="U4694" s="422" t="s">
        <v>1953</v>
      </c>
      <c r="V4694" s="422" t="s">
        <v>2813</v>
      </c>
    </row>
    <row r="4695" spans="1:22" ht="15.75" thickBot="1" x14ac:dyDescent="0.3">
      <c r="A4695" t="s">
        <v>4670</v>
      </c>
      <c r="B4695" t="s">
        <v>4670</v>
      </c>
      <c r="C4695" s="424" t="str">
        <f t="shared" si="190"/>
        <v>RMTejo II - Transportes Rodoviários de Passageiros, Unipessoal LDA.</v>
      </c>
      <c r="D4695" t="s">
        <v>629</v>
      </c>
      <c r="F4695" s="422" t="s">
        <v>620</v>
      </c>
      <c r="G4695" s="89" t="s">
        <v>2221</v>
      </c>
      <c r="H4695" s="313" t="s">
        <v>734</v>
      </c>
      <c r="I4695" s="311" t="str">
        <f t="shared" si="191"/>
        <v>Pesado de Passageiros M3:  : Gasóleo : E5</v>
      </c>
      <c r="J4695">
        <v>80</v>
      </c>
      <c r="K4695" s="422">
        <v>2023</v>
      </c>
      <c r="L4695" s="427">
        <v>13169.470000000001</v>
      </c>
      <c r="M4695" s="427" t="s">
        <v>630</v>
      </c>
      <c r="N4695" s="434">
        <v>39216</v>
      </c>
      <c r="O4695" s="436">
        <f t="shared" si="192"/>
        <v>3137280</v>
      </c>
      <c r="P4695" s="89" t="s">
        <v>5348</v>
      </c>
      <c r="Q4695" s="422" t="s">
        <v>47</v>
      </c>
      <c r="R4695" s="422" t="s">
        <v>1869</v>
      </c>
      <c r="S4695" s="422" t="s">
        <v>1861</v>
      </c>
      <c r="U4695" s="422" t="s">
        <v>1953</v>
      </c>
      <c r="V4695" s="422" t="s">
        <v>2813</v>
      </c>
    </row>
    <row r="4696" spans="1:22" ht="15.75" thickBot="1" x14ac:dyDescent="0.3">
      <c r="A4696" t="s">
        <v>4670</v>
      </c>
      <c r="B4696" t="s">
        <v>4670</v>
      </c>
      <c r="C4696" s="424" t="str">
        <f t="shared" ref="C4696:C4759" si="193">IF(A4696=B4696,B4696,RIGHT(A4696,LEN(A4696)-LEN(B4696)-3))</f>
        <v>RMTejo II - Transportes Rodoviários de Passageiros, Unipessoal LDA.</v>
      </c>
      <c r="D4696" t="s">
        <v>629</v>
      </c>
      <c r="F4696" s="422" t="s">
        <v>620</v>
      </c>
      <c r="G4696" s="89" t="s">
        <v>2221</v>
      </c>
      <c r="H4696" s="313" t="s">
        <v>734</v>
      </c>
      <c r="I4696" s="311" t="str">
        <f t="shared" si="191"/>
        <v>Pesado de Passageiros M3:  : Gasóleo : E5</v>
      </c>
      <c r="J4696">
        <v>80</v>
      </c>
      <c r="K4696" s="422">
        <v>2023</v>
      </c>
      <c r="L4696" s="427">
        <v>12295.04</v>
      </c>
      <c r="M4696" s="427" t="s">
        <v>630</v>
      </c>
      <c r="N4696" s="434">
        <v>37651</v>
      </c>
      <c r="O4696" s="436">
        <f t="shared" si="192"/>
        <v>3012080</v>
      </c>
      <c r="P4696" s="89" t="s">
        <v>5349</v>
      </c>
      <c r="Q4696" s="422" t="s">
        <v>47</v>
      </c>
      <c r="R4696" s="422" t="s">
        <v>1869</v>
      </c>
      <c r="S4696" s="422" t="s">
        <v>1861</v>
      </c>
      <c r="U4696" s="422" t="s">
        <v>1953</v>
      </c>
      <c r="V4696" s="422" t="s">
        <v>2813</v>
      </c>
    </row>
    <row r="4697" spans="1:22" ht="15.75" thickBot="1" x14ac:dyDescent="0.3">
      <c r="A4697" t="s">
        <v>4670</v>
      </c>
      <c r="B4697" t="s">
        <v>4670</v>
      </c>
      <c r="C4697" s="424" t="str">
        <f t="shared" si="193"/>
        <v>RMTejo II - Transportes Rodoviários de Passageiros, Unipessoal LDA.</v>
      </c>
      <c r="D4697" t="s">
        <v>629</v>
      </c>
      <c r="F4697" s="422" t="s">
        <v>620</v>
      </c>
      <c r="G4697" s="89" t="s">
        <v>2221</v>
      </c>
      <c r="H4697" s="313" t="s">
        <v>734</v>
      </c>
      <c r="I4697" s="311" t="str">
        <f t="shared" si="191"/>
        <v>Pesado de Passageiros M3:  : Gasóleo : E5</v>
      </c>
      <c r="J4697">
        <v>80</v>
      </c>
      <c r="K4697" s="422">
        <v>2023</v>
      </c>
      <c r="L4697" s="427">
        <v>9198.58</v>
      </c>
      <c r="M4697" s="427" t="s">
        <v>630</v>
      </c>
      <c r="N4697" s="434">
        <v>29060</v>
      </c>
      <c r="O4697" s="436">
        <f t="shared" si="192"/>
        <v>2324800</v>
      </c>
      <c r="P4697" s="89" t="s">
        <v>5350</v>
      </c>
      <c r="Q4697" s="422" t="s">
        <v>47</v>
      </c>
      <c r="R4697" s="422" t="s">
        <v>1869</v>
      </c>
      <c r="S4697" s="422" t="s">
        <v>1861</v>
      </c>
      <c r="U4697" s="422" t="s">
        <v>1953</v>
      </c>
      <c r="V4697" s="422" t="s">
        <v>2813</v>
      </c>
    </row>
    <row r="4698" spans="1:22" ht="15.75" thickBot="1" x14ac:dyDescent="0.3">
      <c r="A4698" t="s">
        <v>4670</v>
      </c>
      <c r="B4698" t="s">
        <v>4670</v>
      </c>
      <c r="C4698" s="424" t="str">
        <f t="shared" si="193"/>
        <v>RMTejo II - Transportes Rodoviários de Passageiros, Unipessoal LDA.</v>
      </c>
      <c r="D4698" t="s">
        <v>629</v>
      </c>
      <c r="F4698" s="422" t="s">
        <v>620</v>
      </c>
      <c r="G4698" s="89" t="s">
        <v>2221</v>
      </c>
      <c r="H4698" s="313" t="s">
        <v>734</v>
      </c>
      <c r="I4698" s="311" t="str">
        <f t="shared" si="191"/>
        <v>Pesado de Passageiros M3:  : Gasóleo : E5</v>
      </c>
      <c r="J4698">
        <v>90</v>
      </c>
      <c r="K4698" s="422">
        <v>2023</v>
      </c>
      <c r="L4698" s="427">
        <v>8384.4</v>
      </c>
      <c r="M4698" s="427" t="s">
        <v>630</v>
      </c>
      <c r="N4698" s="434">
        <v>27302</v>
      </c>
      <c r="O4698" s="436">
        <f t="shared" si="192"/>
        <v>2457180</v>
      </c>
      <c r="P4698" s="89" t="s">
        <v>5351</v>
      </c>
      <c r="Q4698" s="422" t="s">
        <v>47</v>
      </c>
      <c r="R4698" s="422" t="s">
        <v>1869</v>
      </c>
      <c r="S4698" s="422" t="s">
        <v>1861</v>
      </c>
      <c r="U4698" s="422" t="s">
        <v>1953</v>
      </c>
      <c r="V4698" s="422" t="s">
        <v>2813</v>
      </c>
    </row>
    <row r="4699" spans="1:22" ht="15.75" thickBot="1" x14ac:dyDescent="0.3">
      <c r="A4699" t="s">
        <v>4670</v>
      </c>
      <c r="B4699" t="s">
        <v>4670</v>
      </c>
      <c r="C4699" s="424" t="str">
        <f t="shared" si="193"/>
        <v>RMTejo II - Transportes Rodoviários de Passageiros, Unipessoal LDA.</v>
      </c>
      <c r="D4699" t="s">
        <v>629</v>
      </c>
      <c r="F4699" s="422" t="s">
        <v>620</v>
      </c>
      <c r="G4699" s="89" t="s">
        <v>2221</v>
      </c>
      <c r="H4699" s="313" t="s">
        <v>734</v>
      </c>
      <c r="I4699" s="311" t="str">
        <f t="shared" si="191"/>
        <v>Pesado de Passageiros M3:  : Gasóleo : E5</v>
      </c>
      <c r="J4699">
        <v>80</v>
      </c>
      <c r="K4699" s="422">
        <v>2023</v>
      </c>
      <c r="L4699" s="427">
        <v>11390.24</v>
      </c>
      <c r="M4699" s="427" t="s">
        <v>630</v>
      </c>
      <c r="N4699" s="434">
        <v>36824</v>
      </c>
      <c r="O4699" s="436">
        <f t="shared" si="192"/>
        <v>2945920</v>
      </c>
      <c r="P4699" s="89" t="s">
        <v>5352</v>
      </c>
      <c r="Q4699" s="422" t="s">
        <v>47</v>
      </c>
      <c r="R4699" s="422" t="s">
        <v>1869</v>
      </c>
      <c r="S4699" s="422" t="s">
        <v>1861</v>
      </c>
      <c r="U4699" s="422" t="s">
        <v>1953</v>
      </c>
      <c r="V4699" s="422" t="s">
        <v>2813</v>
      </c>
    </row>
    <row r="4700" spans="1:22" ht="15.75" thickBot="1" x14ac:dyDescent="0.3">
      <c r="A4700" t="s">
        <v>4670</v>
      </c>
      <c r="B4700" t="s">
        <v>4670</v>
      </c>
      <c r="C4700" s="424" t="str">
        <f t="shared" si="193"/>
        <v>RMTejo II - Transportes Rodoviários de Passageiros, Unipessoal LDA.</v>
      </c>
      <c r="D4700" t="s">
        <v>629</v>
      </c>
      <c r="F4700" s="422" t="s">
        <v>620</v>
      </c>
      <c r="G4700" s="89" t="s">
        <v>2221</v>
      </c>
      <c r="H4700" s="313" t="s">
        <v>734</v>
      </c>
      <c r="I4700" s="311" t="str">
        <f t="shared" si="191"/>
        <v>Pesado de Passageiros M3:  : Gasóleo : E5</v>
      </c>
      <c r="J4700">
        <v>90</v>
      </c>
      <c r="K4700" s="422">
        <v>2023</v>
      </c>
      <c r="L4700" s="427">
        <v>10995.05</v>
      </c>
      <c r="M4700" s="427" t="s">
        <v>630</v>
      </c>
      <c r="N4700" s="434">
        <v>37209</v>
      </c>
      <c r="O4700" s="436">
        <f t="shared" si="192"/>
        <v>3348810</v>
      </c>
      <c r="P4700" s="89" t="s">
        <v>5353</v>
      </c>
      <c r="Q4700" s="422" t="s">
        <v>47</v>
      </c>
      <c r="R4700" s="422" t="s">
        <v>1869</v>
      </c>
      <c r="S4700" s="422" t="s">
        <v>1861</v>
      </c>
      <c r="U4700" s="422" t="s">
        <v>1953</v>
      </c>
      <c r="V4700" s="422" t="s">
        <v>2813</v>
      </c>
    </row>
    <row r="4701" spans="1:22" ht="15.75" thickBot="1" x14ac:dyDescent="0.3">
      <c r="A4701" t="s">
        <v>4670</v>
      </c>
      <c r="B4701" t="s">
        <v>4670</v>
      </c>
      <c r="C4701" s="424" t="str">
        <f t="shared" si="193"/>
        <v>RMTejo II - Transportes Rodoviários de Passageiros, Unipessoal LDA.</v>
      </c>
      <c r="D4701" t="s">
        <v>629</v>
      </c>
      <c r="F4701" s="422" t="s">
        <v>620</v>
      </c>
      <c r="G4701" s="89" t="s">
        <v>2221</v>
      </c>
      <c r="H4701" s="313" t="s">
        <v>734</v>
      </c>
      <c r="I4701" s="311" t="str">
        <f t="shared" si="191"/>
        <v>Pesado de Passageiros M3:  : Gasóleo : E5</v>
      </c>
      <c r="J4701">
        <v>90</v>
      </c>
      <c r="K4701" s="422">
        <v>2023</v>
      </c>
      <c r="L4701" s="427">
        <v>14684.84</v>
      </c>
      <c r="M4701" s="427" t="s">
        <v>630</v>
      </c>
      <c r="N4701" s="434">
        <v>45069</v>
      </c>
      <c r="O4701" s="436">
        <f t="shared" si="192"/>
        <v>4056210</v>
      </c>
      <c r="P4701" s="89" t="s">
        <v>5354</v>
      </c>
      <c r="Q4701" s="422" t="s">
        <v>47</v>
      </c>
      <c r="R4701" s="422" t="s">
        <v>1869</v>
      </c>
      <c r="S4701" s="422" t="s">
        <v>1861</v>
      </c>
      <c r="U4701" s="422" t="s">
        <v>1953</v>
      </c>
      <c r="V4701" s="422" t="s">
        <v>2813</v>
      </c>
    </row>
    <row r="4702" spans="1:22" ht="15.75" thickBot="1" x14ac:dyDescent="0.3">
      <c r="A4702" t="s">
        <v>4670</v>
      </c>
      <c r="B4702" t="s">
        <v>4670</v>
      </c>
      <c r="C4702" s="424" t="str">
        <f t="shared" si="193"/>
        <v>RMTejo II - Transportes Rodoviários de Passageiros, Unipessoal LDA.</v>
      </c>
      <c r="D4702" t="s">
        <v>629</v>
      </c>
      <c r="F4702" s="422" t="s">
        <v>620</v>
      </c>
      <c r="G4702" s="89" t="s">
        <v>2221</v>
      </c>
      <c r="H4702" s="313" t="s">
        <v>734</v>
      </c>
      <c r="I4702" s="311" t="str">
        <f t="shared" si="191"/>
        <v>Pesado de Passageiros M3:  : Gasóleo : E5</v>
      </c>
      <c r="J4702">
        <v>90</v>
      </c>
      <c r="K4702" s="422">
        <v>2023</v>
      </c>
      <c r="L4702" s="427">
        <v>4388.68</v>
      </c>
      <c r="M4702" s="427" t="s">
        <v>630</v>
      </c>
      <c r="N4702" s="434">
        <v>13588</v>
      </c>
      <c r="O4702" s="436">
        <f t="shared" si="192"/>
        <v>1222920</v>
      </c>
      <c r="P4702" s="89" t="s">
        <v>5355</v>
      </c>
      <c r="Q4702" s="422" t="s">
        <v>47</v>
      </c>
      <c r="R4702" s="422" t="s">
        <v>1869</v>
      </c>
      <c r="S4702" s="422" t="s">
        <v>1861</v>
      </c>
      <c r="U4702" s="422" t="s">
        <v>1953</v>
      </c>
      <c r="V4702" s="422" t="s">
        <v>2813</v>
      </c>
    </row>
    <row r="4703" spans="1:22" ht="15.75" thickBot="1" x14ac:dyDescent="0.3">
      <c r="A4703" t="s">
        <v>4670</v>
      </c>
      <c r="B4703" t="s">
        <v>4670</v>
      </c>
      <c r="C4703" s="424" t="str">
        <f t="shared" si="193"/>
        <v>RMTejo II - Transportes Rodoviários de Passageiros, Unipessoal LDA.</v>
      </c>
      <c r="D4703" t="s">
        <v>629</v>
      </c>
      <c r="F4703" s="422" t="s">
        <v>620</v>
      </c>
      <c r="G4703" s="89" t="s">
        <v>2221</v>
      </c>
      <c r="H4703" s="313" t="s">
        <v>734</v>
      </c>
      <c r="I4703" s="311" t="str">
        <f t="shared" si="191"/>
        <v>Pesado de Passageiros M3:  : Gasóleo : E5</v>
      </c>
      <c r="J4703">
        <v>80</v>
      </c>
      <c r="K4703" s="422">
        <v>2023</v>
      </c>
      <c r="L4703" s="427">
        <v>11476.25</v>
      </c>
      <c r="M4703" s="427" t="s">
        <v>630</v>
      </c>
      <c r="N4703" s="434">
        <v>33587</v>
      </c>
      <c r="O4703" s="436">
        <f t="shared" si="192"/>
        <v>2686960</v>
      </c>
      <c r="P4703" s="89" t="s">
        <v>5356</v>
      </c>
      <c r="Q4703" s="422" t="s">
        <v>47</v>
      </c>
      <c r="R4703" s="422" t="s">
        <v>1869</v>
      </c>
      <c r="S4703" s="422" t="s">
        <v>1861</v>
      </c>
      <c r="U4703" s="422" t="s">
        <v>1953</v>
      </c>
      <c r="V4703" s="422" t="s">
        <v>2813</v>
      </c>
    </row>
    <row r="4704" spans="1:22" ht="15.75" thickBot="1" x14ac:dyDescent="0.3">
      <c r="A4704" t="s">
        <v>4670</v>
      </c>
      <c r="B4704" t="s">
        <v>4670</v>
      </c>
      <c r="C4704" s="424" t="str">
        <f t="shared" si="193"/>
        <v>RMTejo II - Transportes Rodoviários de Passageiros, Unipessoal LDA.</v>
      </c>
      <c r="D4704" t="s">
        <v>629</v>
      </c>
      <c r="F4704" s="422" t="s">
        <v>620</v>
      </c>
      <c r="G4704" s="89" t="s">
        <v>2221</v>
      </c>
      <c r="H4704" s="313" t="s">
        <v>734</v>
      </c>
      <c r="I4704" s="311" t="str">
        <f t="shared" si="191"/>
        <v>Pesado de Passageiros M3:  : Gasóleo : E5</v>
      </c>
      <c r="J4704">
        <v>90</v>
      </c>
      <c r="K4704" s="422">
        <v>2023</v>
      </c>
      <c r="L4704" s="427">
        <v>12281.46</v>
      </c>
      <c r="M4704" s="427" t="s">
        <v>630</v>
      </c>
      <c r="N4704" s="434">
        <v>38454</v>
      </c>
      <c r="O4704" s="436">
        <f t="shared" si="192"/>
        <v>3460860</v>
      </c>
      <c r="P4704" s="89" t="s">
        <v>5357</v>
      </c>
      <c r="Q4704" s="422" t="s">
        <v>47</v>
      </c>
      <c r="R4704" s="422" t="s">
        <v>1869</v>
      </c>
      <c r="S4704" s="422" t="s">
        <v>1861</v>
      </c>
      <c r="U4704" s="422" t="s">
        <v>1953</v>
      </c>
      <c r="V4704" s="422" t="s">
        <v>2813</v>
      </c>
    </row>
    <row r="4705" spans="1:22" ht="15.75" thickBot="1" x14ac:dyDescent="0.3">
      <c r="A4705" t="s">
        <v>4670</v>
      </c>
      <c r="B4705" t="s">
        <v>4670</v>
      </c>
      <c r="C4705" s="424" t="str">
        <f t="shared" si="193"/>
        <v>RMTejo II - Transportes Rodoviários de Passageiros, Unipessoal LDA.</v>
      </c>
      <c r="D4705" t="s">
        <v>629</v>
      </c>
      <c r="F4705" s="422" t="s">
        <v>620</v>
      </c>
      <c r="G4705" s="89" t="s">
        <v>2221</v>
      </c>
      <c r="H4705" s="313" t="s">
        <v>734</v>
      </c>
      <c r="I4705" s="311" t="str">
        <f t="shared" si="191"/>
        <v>Pesado de Passageiros M3:  : Gasóleo : E5</v>
      </c>
      <c r="J4705">
        <v>90</v>
      </c>
      <c r="K4705" s="422">
        <v>2023</v>
      </c>
      <c r="L4705" s="427">
        <v>6868.04</v>
      </c>
      <c r="M4705" s="427" t="s">
        <v>630</v>
      </c>
      <c r="N4705" s="434">
        <v>21631</v>
      </c>
      <c r="O4705" s="436">
        <f t="shared" si="192"/>
        <v>1946790</v>
      </c>
      <c r="P4705" s="89" t="s">
        <v>5358</v>
      </c>
      <c r="Q4705" s="422" t="s">
        <v>47</v>
      </c>
      <c r="R4705" s="422" t="s">
        <v>1869</v>
      </c>
      <c r="S4705" s="422" t="s">
        <v>1861</v>
      </c>
      <c r="U4705" s="422" t="s">
        <v>1953</v>
      </c>
      <c r="V4705" s="422" t="s">
        <v>2813</v>
      </c>
    </row>
    <row r="4706" spans="1:22" ht="15.75" thickBot="1" x14ac:dyDescent="0.3">
      <c r="A4706" t="s">
        <v>4670</v>
      </c>
      <c r="B4706" t="s">
        <v>4670</v>
      </c>
      <c r="C4706" s="424" t="str">
        <f t="shared" si="193"/>
        <v>RMTejo II - Transportes Rodoviários de Passageiros, Unipessoal LDA.</v>
      </c>
      <c r="D4706" t="s">
        <v>629</v>
      </c>
      <c r="F4706" s="422" t="s">
        <v>620</v>
      </c>
      <c r="G4706" s="89" t="s">
        <v>2221</v>
      </c>
      <c r="H4706" s="313" t="s">
        <v>734</v>
      </c>
      <c r="I4706" s="311" t="str">
        <f t="shared" ref="I4706:I4769" si="194">D4706&amp;": "&amp;E4706&amp;" : "&amp;F4706&amp;" : "&amp;H4706</f>
        <v>Pesado de Passageiros M3:  : Gasóleo : E5</v>
      </c>
      <c r="J4706">
        <v>90</v>
      </c>
      <c r="K4706" s="422">
        <v>2023</v>
      </c>
      <c r="L4706" s="427">
        <v>12512.42</v>
      </c>
      <c r="M4706" s="427" t="s">
        <v>630</v>
      </c>
      <c r="N4706" s="434">
        <v>39009</v>
      </c>
      <c r="O4706" s="436">
        <f t="shared" ref="O4706:O4769" si="195">N4706*J4706</f>
        <v>3510810</v>
      </c>
      <c r="P4706" s="89" t="s">
        <v>5359</v>
      </c>
      <c r="Q4706" s="422" t="s">
        <v>47</v>
      </c>
      <c r="R4706" s="422" t="s">
        <v>1869</v>
      </c>
      <c r="S4706" s="422" t="s">
        <v>1861</v>
      </c>
      <c r="U4706" s="422" t="s">
        <v>1953</v>
      </c>
      <c r="V4706" s="422" t="s">
        <v>2813</v>
      </c>
    </row>
    <row r="4707" spans="1:22" ht="15.75" thickBot="1" x14ac:dyDescent="0.3">
      <c r="A4707" t="s">
        <v>4670</v>
      </c>
      <c r="B4707" t="s">
        <v>4670</v>
      </c>
      <c r="C4707" s="424" t="str">
        <f t="shared" si="193"/>
        <v>RMTejo II - Transportes Rodoviários de Passageiros, Unipessoal LDA.</v>
      </c>
      <c r="D4707" t="s">
        <v>629</v>
      </c>
      <c r="F4707" s="422" t="s">
        <v>620</v>
      </c>
      <c r="G4707" s="89" t="s">
        <v>2221</v>
      </c>
      <c r="H4707" s="313" t="s">
        <v>734</v>
      </c>
      <c r="I4707" s="311" t="str">
        <f t="shared" si="194"/>
        <v>Pesado de Passageiros M3:  : Gasóleo : E5</v>
      </c>
      <c r="J4707">
        <v>90</v>
      </c>
      <c r="K4707" s="422">
        <v>2023</v>
      </c>
      <c r="L4707" s="427">
        <v>11484.15</v>
      </c>
      <c r="M4707" s="427" t="s">
        <v>630</v>
      </c>
      <c r="N4707" s="434">
        <v>38590</v>
      </c>
      <c r="O4707" s="436">
        <f t="shared" si="195"/>
        <v>3473100</v>
      </c>
      <c r="P4707" s="89" t="s">
        <v>5360</v>
      </c>
      <c r="Q4707" s="422" t="s">
        <v>47</v>
      </c>
      <c r="R4707" s="422" t="s">
        <v>1869</v>
      </c>
      <c r="S4707" s="422" t="s">
        <v>1861</v>
      </c>
      <c r="U4707" s="422" t="s">
        <v>1953</v>
      </c>
      <c r="V4707" s="422" t="s">
        <v>2813</v>
      </c>
    </row>
    <row r="4708" spans="1:22" ht="15.75" thickBot="1" x14ac:dyDescent="0.3">
      <c r="A4708" t="s">
        <v>4670</v>
      </c>
      <c r="B4708" t="s">
        <v>4670</v>
      </c>
      <c r="C4708" s="424" t="str">
        <f t="shared" si="193"/>
        <v>RMTejo II - Transportes Rodoviários de Passageiros, Unipessoal LDA.</v>
      </c>
      <c r="D4708" t="s">
        <v>629</v>
      </c>
      <c r="F4708" s="422" t="s">
        <v>620</v>
      </c>
      <c r="G4708" s="89" t="s">
        <v>2221</v>
      </c>
      <c r="H4708" s="313" t="s">
        <v>734</v>
      </c>
      <c r="I4708" s="311" t="str">
        <f t="shared" si="194"/>
        <v>Pesado de Passageiros M3:  : Gasóleo : E5</v>
      </c>
      <c r="J4708">
        <v>90</v>
      </c>
      <c r="K4708" s="422">
        <v>2023</v>
      </c>
      <c r="L4708" s="427">
        <v>11086.189999999999</v>
      </c>
      <c r="M4708" s="427" t="s">
        <v>630</v>
      </c>
      <c r="N4708" s="434">
        <v>33866</v>
      </c>
      <c r="O4708" s="436">
        <f t="shared" si="195"/>
        <v>3047940</v>
      </c>
      <c r="P4708" s="89" t="s">
        <v>5361</v>
      </c>
      <c r="Q4708" s="422" t="s">
        <v>47</v>
      </c>
      <c r="R4708" s="422" t="s">
        <v>1869</v>
      </c>
      <c r="S4708" s="422" t="s">
        <v>1861</v>
      </c>
      <c r="U4708" s="422" t="s">
        <v>1953</v>
      </c>
      <c r="V4708" s="422" t="s">
        <v>2813</v>
      </c>
    </row>
    <row r="4709" spans="1:22" ht="15.75" thickBot="1" x14ac:dyDescent="0.3">
      <c r="A4709" t="s">
        <v>4670</v>
      </c>
      <c r="B4709" t="s">
        <v>4670</v>
      </c>
      <c r="C4709" s="424" t="str">
        <f t="shared" si="193"/>
        <v>RMTejo II - Transportes Rodoviários de Passageiros, Unipessoal LDA.</v>
      </c>
      <c r="D4709" t="s">
        <v>629</v>
      </c>
      <c r="F4709" s="422" t="s">
        <v>620</v>
      </c>
      <c r="G4709" s="89" t="s">
        <v>2213</v>
      </c>
      <c r="H4709" s="313" t="s">
        <v>734</v>
      </c>
      <c r="I4709" s="311" t="str">
        <f t="shared" si="194"/>
        <v>Pesado de Passageiros M3:  : Gasóleo : E5</v>
      </c>
      <c r="J4709">
        <v>90</v>
      </c>
      <c r="K4709" s="422">
        <v>2023</v>
      </c>
      <c r="L4709" s="427">
        <v>10023.91</v>
      </c>
      <c r="M4709" s="427" t="s">
        <v>630</v>
      </c>
      <c r="N4709" s="434">
        <v>30313</v>
      </c>
      <c r="O4709" s="436">
        <f t="shared" si="195"/>
        <v>2728170</v>
      </c>
      <c r="P4709" s="89" t="s">
        <v>5362</v>
      </c>
      <c r="Q4709" s="422" t="s">
        <v>47</v>
      </c>
      <c r="R4709" s="422" t="s">
        <v>1869</v>
      </c>
      <c r="S4709" s="422" t="s">
        <v>1861</v>
      </c>
      <c r="U4709" s="422" t="s">
        <v>1953</v>
      </c>
      <c r="V4709" s="422" t="s">
        <v>2813</v>
      </c>
    </row>
    <row r="4710" spans="1:22" ht="15.75" thickBot="1" x14ac:dyDescent="0.3">
      <c r="A4710" t="s">
        <v>4670</v>
      </c>
      <c r="B4710" t="s">
        <v>4670</v>
      </c>
      <c r="C4710" s="424" t="str">
        <f t="shared" si="193"/>
        <v>RMTejo II - Transportes Rodoviários de Passageiros, Unipessoal LDA.</v>
      </c>
      <c r="D4710" t="s">
        <v>629</v>
      </c>
      <c r="F4710" s="422" t="s">
        <v>620</v>
      </c>
      <c r="G4710" s="89" t="s">
        <v>2221</v>
      </c>
      <c r="H4710" s="313" t="s">
        <v>734</v>
      </c>
      <c r="I4710" s="311" t="str">
        <f t="shared" si="194"/>
        <v>Pesado de Passageiros M3:  : Gasóleo : E5</v>
      </c>
      <c r="J4710">
        <v>90</v>
      </c>
      <c r="K4710" s="422">
        <v>2023</v>
      </c>
      <c r="L4710" s="427">
        <v>13105.52</v>
      </c>
      <c r="M4710" s="427" t="s">
        <v>630</v>
      </c>
      <c r="N4710" s="434">
        <v>42516</v>
      </c>
      <c r="O4710" s="436">
        <f t="shared" si="195"/>
        <v>3826440</v>
      </c>
      <c r="P4710" s="89" t="s">
        <v>5363</v>
      </c>
      <c r="Q4710" s="422" t="s">
        <v>47</v>
      </c>
      <c r="R4710" s="422" t="s">
        <v>1869</v>
      </c>
      <c r="S4710" s="422" t="s">
        <v>1861</v>
      </c>
      <c r="U4710" s="422" t="s">
        <v>1953</v>
      </c>
      <c r="V4710" s="422" t="s">
        <v>2813</v>
      </c>
    </row>
    <row r="4711" spans="1:22" ht="15.75" thickBot="1" x14ac:dyDescent="0.3">
      <c r="A4711" t="s">
        <v>4670</v>
      </c>
      <c r="B4711" t="s">
        <v>4670</v>
      </c>
      <c r="C4711" s="424" t="str">
        <f t="shared" si="193"/>
        <v>RMTejo II - Transportes Rodoviários de Passageiros, Unipessoal LDA.</v>
      </c>
      <c r="D4711" t="s">
        <v>629</v>
      </c>
      <c r="F4711" s="422" t="s">
        <v>620</v>
      </c>
      <c r="G4711" s="89" t="s">
        <v>2225</v>
      </c>
      <c r="H4711" s="313" t="s">
        <v>734</v>
      </c>
      <c r="I4711" s="311" t="str">
        <f t="shared" si="194"/>
        <v>Pesado de Passageiros M3:  : Gasóleo : E5</v>
      </c>
      <c r="J4711">
        <v>67</v>
      </c>
      <c r="K4711" s="422">
        <v>2023</v>
      </c>
      <c r="L4711" s="427">
        <v>10762.73</v>
      </c>
      <c r="M4711" s="427" t="s">
        <v>630</v>
      </c>
      <c r="N4711" s="434">
        <v>26374</v>
      </c>
      <c r="O4711" s="436">
        <f t="shared" si="195"/>
        <v>1767058</v>
      </c>
      <c r="P4711" s="89" t="s">
        <v>5364</v>
      </c>
      <c r="Q4711" s="422" t="s">
        <v>47</v>
      </c>
      <c r="R4711" s="422" t="s">
        <v>1869</v>
      </c>
      <c r="S4711" s="422" t="s">
        <v>1861</v>
      </c>
      <c r="U4711" s="422" t="s">
        <v>1953</v>
      </c>
      <c r="V4711" s="422" t="s">
        <v>2813</v>
      </c>
    </row>
    <row r="4712" spans="1:22" ht="15.75" thickBot="1" x14ac:dyDescent="0.3">
      <c r="A4712" t="s">
        <v>4670</v>
      </c>
      <c r="B4712" t="s">
        <v>4670</v>
      </c>
      <c r="C4712" s="424" t="str">
        <f t="shared" si="193"/>
        <v>RMTejo II - Transportes Rodoviários de Passageiros, Unipessoal LDA.</v>
      </c>
      <c r="D4712" t="s">
        <v>629</v>
      </c>
      <c r="F4712" s="422" t="s">
        <v>620</v>
      </c>
      <c r="G4712" s="89" t="s">
        <v>2225</v>
      </c>
      <c r="H4712" s="313" t="s">
        <v>734</v>
      </c>
      <c r="I4712" s="311" t="str">
        <f t="shared" si="194"/>
        <v>Pesado de Passageiros M3:  : Gasóleo : E5</v>
      </c>
      <c r="J4712">
        <v>67</v>
      </c>
      <c r="K4712" s="422">
        <v>2023</v>
      </c>
      <c r="L4712" s="427">
        <v>4412.51</v>
      </c>
      <c r="M4712" s="427" t="s">
        <v>630</v>
      </c>
      <c r="N4712" s="434">
        <v>10590</v>
      </c>
      <c r="O4712" s="436">
        <f t="shared" si="195"/>
        <v>709530</v>
      </c>
      <c r="P4712" s="89" t="s">
        <v>5365</v>
      </c>
      <c r="Q4712" s="422" t="s">
        <v>47</v>
      </c>
      <c r="R4712" s="422" t="s">
        <v>1869</v>
      </c>
      <c r="S4712" s="422" t="s">
        <v>1861</v>
      </c>
      <c r="U4712" s="422" t="s">
        <v>1953</v>
      </c>
      <c r="V4712" s="422" t="s">
        <v>2813</v>
      </c>
    </row>
    <row r="4713" spans="1:22" ht="15.75" thickBot="1" x14ac:dyDescent="0.3">
      <c r="A4713" t="s">
        <v>4670</v>
      </c>
      <c r="B4713" t="s">
        <v>4670</v>
      </c>
      <c r="C4713" s="424" t="str">
        <f t="shared" si="193"/>
        <v>RMTejo II - Transportes Rodoviários de Passageiros, Unipessoal LDA.</v>
      </c>
      <c r="D4713" t="s">
        <v>629</v>
      </c>
      <c r="F4713" s="422" t="s">
        <v>620</v>
      </c>
      <c r="G4713" s="89" t="s">
        <v>2225</v>
      </c>
      <c r="H4713" s="313" t="s">
        <v>734</v>
      </c>
      <c r="I4713" s="311" t="str">
        <f t="shared" si="194"/>
        <v>Pesado de Passageiros M3:  : Gasóleo : E5</v>
      </c>
      <c r="J4713">
        <v>73</v>
      </c>
      <c r="K4713" s="422">
        <v>2023</v>
      </c>
      <c r="L4713" s="427">
        <v>21639.919999999998</v>
      </c>
      <c r="M4713" s="427" t="s">
        <v>630</v>
      </c>
      <c r="N4713" s="434">
        <v>61474</v>
      </c>
      <c r="O4713" s="436">
        <f t="shared" si="195"/>
        <v>4487602</v>
      </c>
      <c r="P4713" s="89" t="s">
        <v>5366</v>
      </c>
      <c r="Q4713" s="422" t="s">
        <v>47</v>
      </c>
      <c r="R4713" s="422" t="s">
        <v>1869</v>
      </c>
      <c r="S4713" s="422" t="s">
        <v>1861</v>
      </c>
      <c r="U4713" s="422" t="s">
        <v>1953</v>
      </c>
      <c r="V4713" s="422" t="s">
        <v>2813</v>
      </c>
    </row>
    <row r="4714" spans="1:22" ht="15.75" thickBot="1" x14ac:dyDescent="0.3">
      <c r="A4714" t="s">
        <v>4670</v>
      </c>
      <c r="B4714" t="s">
        <v>4670</v>
      </c>
      <c r="C4714" s="424" t="str">
        <f t="shared" si="193"/>
        <v>RMTejo II - Transportes Rodoviários de Passageiros, Unipessoal LDA.</v>
      </c>
      <c r="D4714" t="s">
        <v>629</v>
      </c>
      <c r="F4714" s="422" t="s">
        <v>620</v>
      </c>
      <c r="G4714" s="89" t="s">
        <v>2225</v>
      </c>
      <c r="H4714" s="313" t="s">
        <v>734</v>
      </c>
      <c r="I4714" s="311" t="str">
        <f t="shared" si="194"/>
        <v>Pesado de Passageiros M3:  : Gasóleo : E5</v>
      </c>
      <c r="J4714">
        <v>67</v>
      </c>
      <c r="K4714" s="422">
        <v>2023</v>
      </c>
      <c r="L4714" s="427">
        <v>13544.56</v>
      </c>
      <c r="M4714" s="427" t="s">
        <v>630</v>
      </c>
      <c r="N4714" s="434">
        <v>39490</v>
      </c>
      <c r="O4714" s="436">
        <f t="shared" si="195"/>
        <v>2645830</v>
      </c>
      <c r="P4714" s="89" t="s">
        <v>5367</v>
      </c>
      <c r="Q4714" s="422" t="s">
        <v>47</v>
      </c>
      <c r="R4714" s="422" t="s">
        <v>1869</v>
      </c>
      <c r="S4714" s="422" t="s">
        <v>1861</v>
      </c>
      <c r="U4714" s="422" t="s">
        <v>1953</v>
      </c>
      <c r="V4714" s="422" t="s">
        <v>2813</v>
      </c>
    </row>
    <row r="4715" spans="1:22" ht="15.75" thickBot="1" x14ac:dyDescent="0.3">
      <c r="A4715" t="s">
        <v>4670</v>
      </c>
      <c r="B4715" t="s">
        <v>4670</v>
      </c>
      <c r="C4715" s="424" t="str">
        <f t="shared" si="193"/>
        <v>RMTejo II - Transportes Rodoviários de Passageiros, Unipessoal LDA.</v>
      </c>
      <c r="D4715" t="s">
        <v>629</v>
      </c>
      <c r="F4715" s="422" t="s">
        <v>620</v>
      </c>
      <c r="G4715" s="89" t="s">
        <v>2221</v>
      </c>
      <c r="H4715" s="313" t="s">
        <v>734</v>
      </c>
      <c r="I4715" s="311" t="str">
        <f t="shared" si="194"/>
        <v>Pesado de Passageiros M3:  : Gasóleo : E5</v>
      </c>
      <c r="J4715">
        <v>90</v>
      </c>
      <c r="K4715" s="422">
        <v>2023</v>
      </c>
      <c r="L4715" s="427">
        <v>5306.46</v>
      </c>
      <c r="M4715" s="427" t="s">
        <v>630</v>
      </c>
      <c r="N4715" s="434">
        <v>16501</v>
      </c>
      <c r="O4715" s="436">
        <f t="shared" si="195"/>
        <v>1485090</v>
      </c>
      <c r="P4715" s="89" t="s">
        <v>5368</v>
      </c>
      <c r="Q4715" s="422" t="s">
        <v>47</v>
      </c>
      <c r="R4715" s="422" t="s">
        <v>1869</v>
      </c>
      <c r="S4715" s="422" t="s">
        <v>1861</v>
      </c>
      <c r="U4715" s="422" t="s">
        <v>1953</v>
      </c>
      <c r="V4715" s="422" t="s">
        <v>2813</v>
      </c>
    </row>
    <row r="4716" spans="1:22" ht="15.75" thickBot="1" x14ac:dyDescent="0.3">
      <c r="A4716" t="s">
        <v>4670</v>
      </c>
      <c r="B4716" t="s">
        <v>4670</v>
      </c>
      <c r="C4716" s="424" t="str">
        <f t="shared" si="193"/>
        <v>RMTejo II - Transportes Rodoviários de Passageiros, Unipessoal LDA.</v>
      </c>
      <c r="D4716" t="s">
        <v>629</v>
      </c>
      <c r="F4716" s="422" t="s">
        <v>620</v>
      </c>
      <c r="G4716" s="89" t="s">
        <v>2213</v>
      </c>
      <c r="H4716" s="313" t="s">
        <v>734</v>
      </c>
      <c r="I4716" s="311" t="str">
        <f t="shared" si="194"/>
        <v>Pesado de Passageiros M3:  : Gasóleo : E5</v>
      </c>
      <c r="J4716">
        <v>56</v>
      </c>
      <c r="K4716" s="422">
        <v>2023</v>
      </c>
      <c r="L4716" s="427">
        <v>7323.84</v>
      </c>
      <c r="M4716" s="427" t="s">
        <v>630</v>
      </c>
      <c r="N4716" s="434">
        <v>22148</v>
      </c>
      <c r="O4716" s="436">
        <f t="shared" si="195"/>
        <v>1240288</v>
      </c>
      <c r="P4716" s="89" t="s">
        <v>5369</v>
      </c>
      <c r="Q4716" s="422" t="s">
        <v>47</v>
      </c>
      <c r="R4716" s="422" t="s">
        <v>1869</v>
      </c>
      <c r="S4716" s="422" t="s">
        <v>1861</v>
      </c>
      <c r="U4716" s="422" t="s">
        <v>1953</v>
      </c>
      <c r="V4716" s="422" t="s">
        <v>2813</v>
      </c>
    </row>
    <row r="4717" spans="1:22" ht="15.75" thickBot="1" x14ac:dyDescent="0.3">
      <c r="A4717" t="s">
        <v>4670</v>
      </c>
      <c r="B4717" t="s">
        <v>4670</v>
      </c>
      <c r="C4717" s="424" t="str">
        <f t="shared" si="193"/>
        <v>RMTejo II - Transportes Rodoviários de Passageiros, Unipessoal LDA.</v>
      </c>
      <c r="D4717" t="s">
        <v>629</v>
      </c>
      <c r="F4717" s="422" t="s">
        <v>620</v>
      </c>
      <c r="G4717" s="89" t="s">
        <v>2225</v>
      </c>
      <c r="H4717" s="313" t="s">
        <v>734</v>
      </c>
      <c r="I4717" s="311" t="str">
        <f t="shared" si="194"/>
        <v>Pesado de Passageiros M3:  : Gasóleo : E5</v>
      </c>
      <c r="J4717">
        <v>80</v>
      </c>
      <c r="K4717" s="422">
        <v>2023</v>
      </c>
      <c r="L4717" s="427">
        <v>5121.2999999999993</v>
      </c>
      <c r="M4717" s="427" t="s">
        <v>630</v>
      </c>
      <c r="N4717" s="434">
        <v>15905</v>
      </c>
      <c r="O4717" s="436">
        <f t="shared" si="195"/>
        <v>1272400</v>
      </c>
      <c r="P4717" s="89" t="s">
        <v>5370</v>
      </c>
      <c r="Q4717" s="422" t="s">
        <v>47</v>
      </c>
      <c r="R4717" s="422" t="s">
        <v>1869</v>
      </c>
      <c r="S4717" s="422" t="s">
        <v>1861</v>
      </c>
      <c r="U4717" s="422" t="s">
        <v>1953</v>
      </c>
      <c r="V4717" s="422" t="s">
        <v>2813</v>
      </c>
    </row>
    <row r="4718" spans="1:22" ht="15.75" thickBot="1" x14ac:dyDescent="0.3">
      <c r="A4718" t="s">
        <v>4670</v>
      </c>
      <c r="B4718" t="s">
        <v>4670</v>
      </c>
      <c r="C4718" s="424" t="str">
        <f t="shared" si="193"/>
        <v>RMTejo II - Transportes Rodoviários de Passageiros, Unipessoal LDA.</v>
      </c>
      <c r="D4718" t="s">
        <v>629</v>
      </c>
      <c r="F4718" s="422" t="s">
        <v>620</v>
      </c>
      <c r="G4718" s="89" t="s">
        <v>2213</v>
      </c>
      <c r="H4718" s="313" t="s">
        <v>734</v>
      </c>
      <c r="I4718" s="311" t="str">
        <f t="shared" si="194"/>
        <v>Pesado de Passageiros M3:  : Gasóleo : E5</v>
      </c>
      <c r="J4718">
        <v>61</v>
      </c>
      <c r="K4718" s="422">
        <v>2023</v>
      </c>
      <c r="L4718" s="427">
        <v>5668.3899999999994</v>
      </c>
      <c r="M4718" s="427" t="s">
        <v>630</v>
      </c>
      <c r="N4718" s="434">
        <v>19063</v>
      </c>
      <c r="O4718" s="436">
        <f t="shared" si="195"/>
        <v>1162843</v>
      </c>
      <c r="P4718" s="89" t="s">
        <v>5371</v>
      </c>
      <c r="Q4718" s="422" t="s">
        <v>47</v>
      </c>
      <c r="R4718" s="422" t="s">
        <v>1869</v>
      </c>
      <c r="S4718" s="422" t="s">
        <v>1861</v>
      </c>
      <c r="U4718" s="422" t="s">
        <v>1953</v>
      </c>
      <c r="V4718" s="422" t="s">
        <v>2813</v>
      </c>
    </row>
    <row r="4719" spans="1:22" ht="15.75" thickBot="1" x14ac:dyDescent="0.3">
      <c r="A4719" t="s">
        <v>4670</v>
      </c>
      <c r="B4719" t="s">
        <v>4670</v>
      </c>
      <c r="C4719" s="424" t="str">
        <f t="shared" si="193"/>
        <v>RMTejo II - Transportes Rodoviários de Passageiros, Unipessoal LDA.</v>
      </c>
      <c r="D4719" t="s">
        <v>629</v>
      </c>
      <c r="F4719" s="422" t="s">
        <v>620</v>
      </c>
      <c r="G4719" s="89" t="s">
        <v>2213</v>
      </c>
      <c r="H4719" s="313" t="s">
        <v>734</v>
      </c>
      <c r="I4719" s="311" t="str">
        <f t="shared" si="194"/>
        <v>Pesado de Passageiros M3:  : Gasóleo : E5</v>
      </c>
      <c r="J4719">
        <v>90</v>
      </c>
      <c r="K4719" s="422">
        <v>2023</v>
      </c>
      <c r="L4719" s="427">
        <v>3644.39</v>
      </c>
      <c r="M4719" s="427" t="s">
        <v>630</v>
      </c>
      <c r="N4719" s="434">
        <v>11647</v>
      </c>
      <c r="O4719" s="436">
        <f t="shared" si="195"/>
        <v>1048230</v>
      </c>
      <c r="P4719" s="89" t="s">
        <v>5372</v>
      </c>
      <c r="Q4719" s="422" t="s">
        <v>47</v>
      </c>
      <c r="R4719" s="422" t="s">
        <v>1869</v>
      </c>
      <c r="S4719" s="422" t="s">
        <v>1861</v>
      </c>
      <c r="U4719" s="422" t="s">
        <v>1953</v>
      </c>
      <c r="V4719" s="422" t="s">
        <v>2813</v>
      </c>
    </row>
    <row r="4720" spans="1:22" ht="15.75" thickBot="1" x14ac:dyDescent="0.3">
      <c r="A4720" t="s">
        <v>4670</v>
      </c>
      <c r="B4720" t="s">
        <v>4670</v>
      </c>
      <c r="C4720" s="424" t="str">
        <f t="shared" si="193"/>
        <v>RMTejo II - Transportes Rodoviários de Passageiros, Unipessoal LDA.</v>
      </c>
      <c r="D4720" t="s">
        <v>629</v>
      </c>
      <c r="F4720" s="422" t="s">
        <v>620</v>
      </c>
      <c r="G4720" s="89" t="s">
        <v>2214</v>
      </c>
      <c r="H4720" s="313" t="s">
        <v>734</v>
      </c>
      <c r="I4720" s="311" t="str">
        <f t="shared" si="194"/>
        <v>Pesado de Passageiros M3:  : Gasóleo : E5</v>
      </c>
      <c r="J4720">
        <v>83</v>
      </c>
      <c r="K4720" s="422">
        <v>2023</v>
      </c>
      <c r="L4720" s="427">
        <v>196.08</v>
      </c>
      <c r="M4720" s="427" t="s">
        <v>630</v>
      </c>
      <c r="N4720" s="434">
        <v>712</v>
      </c>
      <c r="O4720" s="436">
        <f t="shared" si="195"/>
        <v>59096</v>
      </c>
      <c r="P4720" s="89" t="s">
        <v>5373</v>
      </c>
      <c r="Q4720" s="422" t="s">
        <v>47</v>
      </c>
      <c r="R4720" s="422" t="s">
        <v>1869</v>
      </c>
      <c r="S4720" s="422" t="s">
        <v>1861</v>
      </c>
      <c r="U4720" s="422" t="s">
        <v>1953</v>
      </c>
      <c r="V4720" s="422" t="s">
        <v>2813</v>
      </c>
    </row>
    <row r="4721" spans="1:22" ht="15.75" thickBot="1" x14ac:dyDescent="0.3">
      <c r="A4721" t="s">
        <v>4670</v>
      </c>
      <c r="B4721" t="s">
        <v>4670</v>
      </c>
      <c r="C4721" s="424" t="str">
        <f t="shared" si="193"/>
        <v>RMTejo II - Transportes Rodoviários de Passageiros, Unipessoal LDA.</v>
      </c>
      <c r="D4721" t="s">
        <v>629</v>
      </c>
      <c r="F4721" s="422" t="s">
        <v>620</v>
      </c>
      <c r="G4721" s="89" t="s">
        <v>2213</v>
      </c>
      <c r="H4721" s="313" t="s">
        <v>734</v>
      </c>
      <c r="I4721" s="311" t="str">
        <f t="shared" si="194"/>
        <v>Pesado de Passageiros M3:  : Gasóleo : E5</v>
      </c>
      <c r="J4721">
        <v>90</v>
      </c>
      <c r="K4721" s="422">
        <v>2023</v>
      </c>
      <c r="L4721" s="427">
        <v>2384.34</v>
      </c>
      <c r="M4721" s="427" t="s">
        <v>630</v>
      </c>
      <c r="N4721" s="434">
        <v>8396</v>
      </c>
      <c r="O4721" s="436">
        <f t="shared" si="195"/>
        <v>755640</v>
      </c>
      <c r="P4721" s="89" t="s">
        <v>5374</v>
      </c>
      <c r="Q4721" s="422" t="s">
        <v>47</v>
      </c>
      <c r="R4721" s="422" t="s">
        <v>1869</v>
      </c>
      <c r="S4721" s="422" t="s">
        <v>1861</v>
      </c>
      <c r="U4721" s="422" t="s">
        <v>1953</v>
      </c>
      <c r="V4721" s="422" t="s">
        <v>2813</v>
      </c>
    </row>
    <row r="4722" spans="1:22" ht="15.75" thickBot="1" x14ac:dyDescent="0.3">
      <c r="A4722" t="s">
        <v>4670</v>
      </c>
      <c r="B4722" t="s">
        <v>4670</v>
      </c>
      <c r="C4722" s="424" t="str">
        <f t="shared" si="193"/>
        <v>RMTejo II - Transportes Rodoviários de Passageiros, Unipessoal LDA.</v>
      </c>
      <c r="D4722" t="s">
        <v>629</v>
      </c>
      <c r="F4722" s="422" t="s">
        <v>620</v>
      </c>
      <c r="G4722" s="89" t="s">
        <v>2213</v>
      </c>
      <c r="H4722" s="313" t="s">
        <v>734</v>
      </c>
      <c r="I4722" s="311" t="str">
        <f t="shared" si="194"/>
        <v>Pesado de Passageiros M3:  : Gasóleo : E5</v>
      </c>
      <c r="J4722">
        <v>80</v>
      </c>
      <c r="K4722" s="422">
        <v>2023</v>
      </c>
      <c r="L4722" s="427">
        <v>5305.66</v>
      </c>
      <c r="M4722" s="427" t="s">
        <v>630</v>
      </c>
      <c r="N4722" s="434">
        <v>16330</v>
      </c>
      <c r="O4722" s="436">
        <f t="shared" si="195"/>
        <v>1306400</v>
      </c>
      <c r="P4722" s="89" t="s">
        <v>5375</v>
      </c>
      <c r="Q4722" s="422" t="s">
        <v>47</v>
      </c>
      <c r="R4722" s="422" t="s">
        <v>1869</v>
      </c>
      <c r="S4722" s="422" t="s">
        <v>1861</v>
      </c>
      <c r="U4722" s="422" t="s">
        <v>1953</v>
      </c>
      <c r="V4722" s="422" t="s">
        <v>2813</v>
      </c>
    </row>
    <row r="4723" spans="1:22" ht="15.75" thickBot="1" x14ac:dyDescent="0.3">
      <c r="A4723" t="s">
        <v>4670</v>
      </c>
      <c r="B4723" t="s">
        <v>4670</v>
      </c>
      <c r="C4723" s="424" t="str">
        <f t="shared" si="193"/>
        <v>RMTejo II - Transportes Rodoviários de Passageiros, Unipessoal LDA.</v>
      </c>
      <c r="D4723" t="s">
        <v>629</v>
      </c>
      <c r="F4723" s="422" t="s">
        <v>620</v>
      </c>
      <c r="G4723" s="89" t="s">
        <v>2213</v>
      </c>
      <c r="H4723" s="313" t="s">
        <v>734</v>
      </c>
      <c r="I4723" s="311" t="str">
        <f t="shared" si="194"/>
        <v>Pesado de Passageiros M3:  : Gasóleo : E5</v>
      </c>
      <c r="J4723">
        <v>90</v>
      </c>
      <c r="K4723" s="422">
        <v>2023</v>
      </c>
      <c r="L4723" s="427">
        <v>4032.2799999999997</v>
      </c>
      <c r="M4723" s="427" t="s">
        <v>630</v>
      </c>
      <c r="N4723" s="434">
        <v>12895</v>
      </c>
      <c r="O4723" s="436">
        <f t="shared" si="195"/>
        <v>1160550</v>
      </c>
      <c r="P4723" s="89" t="s">
        <v>5376</v>
      </c>
      <c r="Q4723" s="422" t="s">
        <v>47</v>
      </c>
      <c r="R4723" s="422" t="s">
        <v>1869</v>
      </c>
      <c r="S4723" s="422" t="s">
        <v>1861</v>
      </c>
      <c r="U4723" s="422" t="s">
        <v>1953</v>
      </c>
      <c r="V4723" s="422" t="s">
        <v>2813</v>
      </c>
    </row>
    <row r="4724" spans="1:22" ht="15.75" thickBot="1" x14ac:dyDescent="0.3">
      <c r="A4724" t="s">
        <v>4670</v>
      </c>
      <c r="B4724" t="s">
        <v>4670</v>
      </c>
      <c r="C4724" s="424" t="str">
        <f t="shared" si="193"/>
        <v>RMTejo II - Transportes Rodoviários de Passageiros, Unipessoal LDA.</v>
      </c>
      <c r="D4724" t="s">
        <v>629</v>
      </c>
      <c r="F4724" s="422" t="s">
        <v>620</v>
      </c>
      <c r="G4724" s="89" t="s">
        <v>2213</v>
      </c>
      <c r="H4724" s="313" t="s">
        <v>734</v>
      </c>
      <c r="I4724" s="311" t="str">
        <f t="shared" si="194"/>
        <v>Pesado de Passageiros M3:  : Gasóleo : E5</v>
      </c>
      <c r="J4724">
        <v>55</v>
      </c>
      <c r="K4724" s="422">
        <v>2023</v>
      </c>
      <c r="L4724" s="427">
        <v>3551.9500000000003</v>
      </c>
      <c r="M4724" s="427" t="s">
        <v>630</v>
      </c>
      <c r="N4724" s="434">
        <v>10497</v>
      </c>
      <c r="O4724" s="436">
        <f t="shared" si="195"/>
        <v>577335</v>
      </c>
      <c r="P4724" s="89" t="s">
        <v>5377</v>
      </c>
      <c r="Q4724" s="422" t="s">
        <v>47</v>
      </c>
      <c r="R4724" s="422" t="s">
        <v>1869</v>
      </c>
      <c r="S4724" s="422" t="s">
        <v>1861</v>
      </c>
      <c r="U4724" s="422" t="s">
        <v>1953</v>
      </c>
      <c r="V4724" s="422" t="s">
        <v>2813</v>
      </c>
    </row>
    <row r="4725" spans="1:22" ht="15.75" thickBot="1" x14ac:dyDescent="0.3">
      <c r="A4725" t="s">
        <v>4670</v>
      </c>
      <c r="B4725" t="s">
        <v>4670</v>
      </c>
      <c r="C4725" s="424" t="str">
        <f t="shared" si="193"/>
        <v>RMTejo II - Transportes Rodoviários de Passageiros, Unipessoal LDA.</v>
      </c>
      <c r="D4725" t="s">
        <v>629</v>
      </c>
      <c r="F4725" s="422" t="s">
        <v>620</v>
      </c>
      <c r="G4725" s="89" t="s">
        <v>2213</v>
      </c>
      <c r="H4725" s="313" t="s">
        <v>734</v>
      </c>
      <c r="I4725" s="311" t="str">
        <f t="shared" si="194"/>
        <v>Pesado de Passageiros M3:  : Gasóleo : E5</v>
      </c>
      <c r="J4725">
        <v>80</v>
      </c>
      <c r="K4725" s="422">
        <v>2023</v>
      </c>
      <c r="L4725" s="427">
        <v>4922.91</v>
      </c>
      <c r="M4725" s="427" t="s">
        <v>630</v>
      </c>
      <c r="N4725" s="434">
        <v>14954</v>
      </c>
      <c r="O4725" s="436">
        <f t="shared" si="195"/>
        <v>1196320</v>
      </c>
      <c r="P4725" s="89" t="s">
        <v>5378</v>
      </c>
      <c r="Q4725" s="422" t="s">
        <v>47</v>
      </c>
      <c r="R4725" s="422" t="s">
        <v>1869</v>
      </c>
      <c r="S4725" s="422" t="s">
        <v>1861</v>
      </c>
      <c r="U4725" s="422" t="s">
        <v>1953</v>
      </c>
      <c r="V4725" s="422" t="s">
        <v>2813</v>
      </c>
    </row>
    <row r="4726" spans="1:22" ht="15.75" thickBot="1" x14ac:dyDescent="0.3">
      <c r="A4726" t="s">
        <v>4670</v>
      </c>
      <c r="B4726" t="s">
        <v>4670</v>
      </c>
      <c r="C4726" s="424" t="str">
        <f t="shared" si="193"/>
        <v>RMTejo II - Transportes Rodoviários de Passageiros, Unipessoal LDA.</v>
      </c>
      <c r="D4726" t="s">
        <v>629</v>
      </c>
      <c r="F4726" s="422" t="s">
        <v>620</v>
      </c>
      <c r="G4726" s="89" t="s">
        <v>2223</v>
      </c>
      <c r="H4726" s="313" t="s">
        <v>734</v>
      </c>
      <c r="I4726" s="311" t="str">
        <f t="shared" si="194"/>
        <v>Pesado de Passageiros M3:  : Gasóleo : E5</v>
      </c>
      <c r="J4726">
        <v>59</v>
      </c>
      <c r="K4726" s="422">
        <v>2023</v>
      </c>
      <c r="L4726" s="427">
        <v>3341.66</v>
      </c>
      <c r="M4726" s="427" t="s">
        <v>630</v>
      </c>
      <c r="N4726" s="434">
        <v>10487</v>
      </c>
      <c r="O4726" s="436">
        <f t="shared" si="195"/>
        <v>618733</v>
      </c>
      <c r="P4726" s="89" t="s">
        <v>5379</v>
      </c>
      <c r="Q4726" s="422" t="s">
        <v>47</v>
      </c>
      <c r="R4726" s="422" t="s">
        <v>1869</v>
      </c>
      <c r="S4726" s="422" t="s">
        <v>1861</v>
      </c>
      <c r="U4726" s="422" t="s">
        <v>1953</v>
      </c>
      <c r="V4726" s="422" t="s">
        <v>2813</v>
      </c>
    </row>
    <row r="4727" spans="1:22" ht="15.75" thickBot="1" x14ac:dyDescent="0.3">
      <c r="A4727" t="s">
        <v>4670</v>
      </c>
      <c r="B4727" t="s">
        <v>4670</v>
      </c>
      <c r="C4727" s="424" t="str">
        <f t="shared" si="193"/>
        <v>RMTejo II - Transportes Rodoviários de Passageiros, Unipessoal LDA.</v>
      </c>
      <c r="D4727" t="s">
        <v>629</v>
      </c>
      <c r="F4727" s="422" t="s">
        <v>620</v>
      </c>
      <c r="G4727" s="89" t="s">
        <v>2213</v>
      </c>
      <c r="H4727" s="313" t="s">
        <v>734</v>
      </c>
      <c r="I4727" s="311" t="str">
        <f t="shared" si="194"/>
        <v>Pesado de Passageiros M3:  : Gasóleo : E5</v>
      </c>
      <c r="J4727">
        <v>55</v>
      </c>
      <c r="K4727" s="422">
        <v>2023</v>
      </c>
      <c r="L4727" s="427">
        <v>4964.7</v>
      </c>
      <c r="M4727" s="427" t="s">
        <v>630</v>
      </c>
      <c r="N4727" s="434">
        <v>15082</v>
      </c>
      <c r="O4727" s="436">
        <f t="shared" si="195"/>
        <v>829510</v>
      </c>
      <c r="P4727" s="89" t="s">
        <v>5380</v>
      </c>
      <c r="Q4727" s="422" t="s">
        <v>47</v>
      </c>
      <c r="R4727" s="422" t="s">
        <v>1869</v>
      </c>
      <c r="S4727" s="422" t="s">
        <v>1861</v>
      </c>
      <c r="U4727" s="422" t="s">
        <v>1953</v>
      </c>
      <c r="V4727" s="422" t="s">
        <v>2813</v>
      </c>
    </row>
    <row r="4728" spans="1:22" ht="15.75" thickBot="1" x14ac:dyDescent="0.3">
      <c r="A4728" t="s">
        <v>4670</v>
      </c>
      <c r="B4728" t="s">
        <v>4670</v>
      </c>
      <c r="C4728" s="424" t="str">
        <f t="shared" si="193"/>
        <v>RMTejo II - Transportes Rodoviários de Passageiros, Unipessoal LDA.</v>
      </c>
      <c r="D4728" t="s">
        <v>629</v>
      </c>
      <c r="F4728" s="422" t="s">
        <v>620</v>
      </c>
      <c r="G4728" s="89" t="s">
        <v>2223</v>
      </c>
      <c r="H4728" s="313" t="s">
        <v>734</v>
      </c>
      <c r="I4728" s="311" t="str">
        <f t="shared" si="194"/>
        <v>Pesado de Passageiros M3:  : Gasóleo : E5</v>
      </c>
      <c r="J4728">
        <v>61</v>
      </c>
      <c r="K4728" s="422">
        <v>2023</v>
      </c>
      <c r="L4728" s="427">
        <v>3965.58</v>
      </c>
      <c r="M4728" s="427" t="s">
        <v>630</v>
      </c>
      <c r="N4728" s="434">
        <v>11834</v>
      </c>
      <c r="O4728" s="436">
        <f t="shared" si="195"/>
        <v>721874</v>
      </c>
      <c r="P4728" s="89" t="s">
        <v>5381</v>
      </c>
      <c r="Q4728" s="422" t="s">
        <v>47</v>
      </c>
      <c r="R4728" s="422" t="s">
        <v>1869</v>
      </c>
      <c r="S4728" s="422" t="s">
        <v>1861</v>
      </c>
      <c r="U4728" s="422" t="s">
        <v>1953</v>
      </c>
      <c r="V4728" s="422" t="s">
        <v>2813</v>
      </c>
    </row>
    <row r="4729" spans="1:22" ht="15.75" thickBot="1" x14ac:dyDescent="0.3">
      <c r="A4729" t="s">
        <v>4670</v>
      </c>
      <c r="B4729" t="s">
        <v>4670</v>
      </c>
      <c r="C4729" s="424" t="str">
        <f t="shared" si="193"/>
        <v>RMTejo II - Transportes Rodoviários de Passageiros, Unipessoal LDA.</v>
      </c>
      <c r="D4729" t="s">
        <v>629</v>
      </c>
      <c r="F4729" s="422" t="s">
        <v>620</v>
      </c>
      <c r="G4729" s="89" t="s">
        <v>2223</v>
      </c>
      <c r="H4729" s="313" t="s">
        <v>734</v>
      </c>
      <c r="I4729" s="311" t="str">
        <f t="shared" si="194"/>
        <v>Pesado de Passageiros M3:  : Gasóleo : E5</v>
      </c>
      <c r="J4729">
        <v>80</v>
      </c>
      <c r="K4729" s="422">
        <v>2023</v>
      </c>
      <c r="L4729" s="427">
        <v>3258.3700000000003</v>
      </c>
      <c r="M4729" s="427" t="s">
        <v>630</v>
      </c>
      <c r="N4729" s="434">
        <v>9993</v>
      </c>
      <c r="O4729" s="436">
        <f t="shared" si="195"/>
        <v>799440</v>
      </c>
      <c r="P4729" s="89" t="s">
        <v>5382</v>
      </c>
      <c r="Q4729" s="422" t="s">
        <v>47</v>
      </c>
      <c r="R4729" s="422" t="s">
        <v>1869</v>
      </c>
      <c r="S4729" s="422" t="s">
        <v>1861</v>
      </c>
      <c r="U4729" s="422" t="s">
        <v>1953</v>
      </c>
      <c r="V4729" s="422" t="s">
        <v>2813</v>
      </c>
    </row>
    <row r="4730" spans="1:22" ht="15.75" thickBot="1" x14ac:dyDescent="0.3">
      <c r="A4730" t="s">
        <v>4670</v>
      </c>
      <c r="B4730" t="s">
        <v>4670</v>
      </c>
      <c r="C4730" s="424" t="str">
        <f t="shared" si="193"/>
        <v>RMTejo II - Transportes Rodoviários de Passageiros, Unipessoal LDA.</v>
      </c>
      <c r="D4730" t="s">
        <v>629</v>
      </c>
      <c r="F4730" s="422" t="s">
        <v>620</v>
      </c>
      <c r="G4730" s="89" t="s">
        <v>2213</v>
      </c>
      <c r="H4730" s="313" t="s">
        <v>734</v>
      </c>
      <c r="I4730" s="311" t="str">
        <f t="shared" si="194"/>
        <v>Pesado de Passageiros M3:  : Gasóleo : E5</v>
      </c>
      <c r="J4730">
        <v>55</v>
      </c>
      <c r="K4730" s="422">
        <v>2023</v>
      </c>
      <c r="L4730" s="427">
        <v>4981.8200000000006</v>
      </c>
      <c r="M4730" s="427" t="s">
        <v>630</v>
      </c>
      <c r="N4730" s="434">
        <v>13827</v>
      </c>
      <c r="O4730" s="436">
        <f t="shared" si="195"/>
        <v>760485</v>
      </c>
      <c r="P4730" s="89" t="s">
        <v>5383</v>
      </c>
      <c r="Q4730" s="422" t="s">
        <v>47</v>
      </c>
      <c r="R4730" s="422" t="s">
        <v>1869</v>
      </c>
      <c r="S4730" s="422" t="s">
        <v>1861</v>
      </c>
      <c r="U4730" s="422" t="s">
        <v>1953</v>
      </c>
      <c r="V4730" s="422" t="s">
        <v>2813</v>
      </c>
    </row>
    <row r="4731" spans="1:22" ht="15.75" thickBot="1" x14ac:dyDescent="0.3">
      <c r="A4731" t="s">
        <v>4670</v>
      </c>
      <c r="B4731" t="s">
        <v>4670</v>
      </c>
      <c r="C4731" s="424" t="str">
        <f t="shared" si="193"/>
        <v>RMTejo II - Transportes Rodoviários de Passageiros, Unipessoal LDA.</v>
      </c>
      <c r="D4731" t="s">
        <v>629</v>
      </c>
      <c r="F4731" s="422" t="s">
        <v>620</v>
      </c>
      <c r="G4731" s="89" t="s">
        <v>2213</v>
      </c>
      <c r="H4731" s="313" t="s">
        <v>734</v>
      </c>
      <c r="I4731" s="311" t="str">
        <f t="shared" si="194"/>
        <v>Pesado de Passageiros M3:  : Gasóleo : E5</v>
      </c>
      <c r="J4731">
        <v>90</v>
      </c>
      <c r="K4731" s="422">
        <v>2023</v>
      </c>
      <c r="L4731" s="427">
        <v>4205.22</v>
      </c>
      <c r="M4731" s="427" t="s">
        <v>630</v>
      </c>
      <c r="N4731" s="434">
        <v>13364</v>
      </c>
      <c r="O4731" s="436">
        <f t="shared" si="195"/>
        <v>1202760</v>
      </c>
      <c r="P4731" s="89" t="s">
        <v>5384</v>
      </c>
      <c r="Q4731" s="422" t="s">
        <v>47</v>
      </c>
      <c r="R4731" s="422" t="s">
        <v>1869</v>
      </c>
      <c r="S4731" s="422" t="s">
        <v>1861</v>
      </c>
      <c r="U4731" s="422" t="s">
        <v>1953</v>
      </c>
      <c r="V4731" s="422" t="s">
        <v>2813</v>
      </c>
    </row>
    <row r="4732" spans="1:22" ht="15.75" thickBot="1" x14ac:dyDescent="0.3">
      <c r="A4732" t="s">
        <v>4670</v>
      </c>
      <c r="B4732" t="s">
        <v>4670</v>
      </c>
      <c r="C4732" s="424" t="str">
        <f t="shared" si="193"/>
        <v>RMTejo II - Transportes Rodoviários de Passageiros, Unipessoal LDA.</v>
      </c>
      <c r="D4732" t="s">
        <v>629</v>
      </c>
      <c r="F4732" s="422" t="s">
        <v>620</v>
      </c>
      <c r="G4732" s="89" t="s">
        <v>2214</v>
      </c>
      <c r="H4732" s="313" t="s">
        <v>734</v>
      </c>
      <c r="I4732" s="311" t="str">
        <f t="shared" si="194"/>
        <v>Pesado de Passageiros M3:  : Gasóleo : E5</v>
      </c>
      <c r="J4732">
        <v>71</v>
      </c>
      <c r="K4732" s="422">
        <v>2023</v>
      </c>
      <c r="L4732" s="427">
        <v>2672.53</v>
      </c>
      <c r="M4732" s="427" t="s">
        <v>630</v>
      </c>
      <c r="N4732" s="434">
        <v>8757</v>
      </c>
      <c r="O4732" s="436">
        <f t="shared" si="195"/>
        <v>621747</v>
      </c>
      <c r="P4732" s="89" t="s">
        <v>5385</v>
      </c>
      <c r="Q4732" s="422" t="s">
        <v>47</v>
      </c>
      <c r="R4732" s="422" t="s">
        <v>1869</v>
      </c>
      <c r="S4732" s="422" t="s">
        <v>1861</v>
      </c>
      <c r="U4732" s="422" t="s">
        <v>1953</v>
      </c>
      <c r="V4732" s="422" t="s">
        <v>2813</v>
      </c>
    </row>
    <row r="4733" spans="1:22" ht="15.75" thickBot="1" x14ac:dyDescent="0.3">
      <c r="A4733" t="s">
        <v>4670</v>
      </c>
      <c r="B4733" t="s">
        <v>4670</v>
      </c>
      <c r="C4733" s="424" t="str">
        <f t="shared" si="193"/>
        <v>RMTejo II - Transportes Rodoviários de Passageiros, Unipessoal LDA.</v>
      </c>
      <c r="D4733" t="s">
        <v>629</v>
      </c>
      <c r="F4733" s="422" t="s">
        <v>620</v>
      </c>
      <c r="G4733" s="89" t="s">
        <v>2221</v>
      </c>
      <c r="H4733" s="313" t="s">
        <v>734</v>
      </c>
      <c r="I4733" s="311" t="str">
        <f t="shared" si="194"/>
        <v>Pesado de Passageiros M3:  : Gasóleo : E5</v>
      </c>
      <c r="J4733">
        <v>59</v>
      </c>
      <c r="K4733" s="422">
        <v>2023</v>
      </c>
      <c r="L4733" s="427">
        <v>3643.75</v>
      </c>
      <c r="M4733" s="427" t="s">
        <v>630</v>
      </c>
      <c r="N4733" s="434">
        <v>11271</v>
      </c>
      <c r="O4733" s="436">
        <f t="shared" si="195"/>
        <v>664989</v>
      </c>
      <c r="P4733" s="89" t="s">
        <v>5386</v>
      </c>
      <c r="Q4733" s="422" t="s">
        <v>47</v>
      </c>
      <c r="R4733" s="422" t="s">
        <v>1869</v>
      </c>
      <c r="S4733" s="422" t="s">
        <v>1861</v>
      </c>
      <c r="U4733" s="422" t="s">
        <v>1953</v>
      </c>
      <c r="V4733" s="422" t="s">
        <v>2813</v>
      </c>
    </row>
    <row r="4734" spans="1:22" ht="15.75" thickBot="1" x14ac:dyDescent="0.3">
      <c r="A4734" t="s">
        <v>4670</v>
      </c>
      <c r="B4734" t="s">
        <v>4670</v>
      </c>
      <c r="C4734" s="424" t="str">
        <f t="shared" si="193"/>
        <v>RMTejo II - Transportes Rodoviários de Passageiros, Unipessoal LDA.</v>
      </c>
      <c r="D4734" t="s">
        <v>629</v>
      </c>
      <c r="F4734" s="422" t="s">
        <v>620</v>
      </c>
      <c r="G4734" s="89" t="s">
        <v>2213</v>
      </c>
      <c r="H4734" s="313" t="s">
        <v>734</v>
      </c>
      <c r="I4734" s="311" t="str">
        <f t="shared" si="194"/>
        <v>Pesado de Passageiros M3:  : Gasóleo : E5</v>
      </c>
      <c r="J4734">
        <v>59</v>
      </c>
      <c r="K4734" s="422">
        <v>2023</v>
      </c>
      <c r="L4734" s="427">
        <v>2813.44</v>
      </c>
      <c r="M4734" s="427" t="s">
        <v>630</v>
      </c>
      <c r="N4734" s="434">
        <v>9105</v>
      </c>
      <c r="O4734" s="436">
        <f t="shared" si="195"/>
        <v>537195</v>
      </c>
      <c r="P4734" s="89" t="s">
        <v>5387</v>
      </c>
      <c r="Q4734" s="422" t="s">
        <v>47</v>
      </c>
      <c r="R4734" s="422" t="s">
        <v>1869</v>
      </c>
      <c r="S4734" s="422" t="s">
        <v>1861</v>
      </c>
      <c r="U4734" s="422" t="s">
        <v>1953</v>
      </c>
      <c r="V4734" s="422" t="s">
        <v>2813</v>
      </c>
    </row>
    <row r="4735" spans="1:22" ht="15.75" thickBot="1" x14ac:dyDescent="0.3">
      <c r="A4735" t="s">
        <v>4670</v>
      </c>
      <c r="B4735" t="s">
        <v>4670</v>
      </c>
      <c r="C4735" s="424" t="str">
        <f t="shared" si="193"/>
        <v>RMTejo II - Transportes Rodoviários de Passageiros, Unipessoal LDA.</v>
      </c>
      <c r="D4735" t="s">
        <v>629</v>
      </c>
      <c r="F4735" s="422" t="s">
        <v>620</v>
      </c>
      <c r="G4735" s="89" t="s">
        <v>2221</v>
      </c>
      <c r="H4735" s="313" t="s">
        <v>734</v>
      </c>
      <c r="I4735" s="311" t="str">
        <f t="shared" si="194"/>
        <v>Pesado de Passageiros M3:  : Gasóleo : E5</v>
      </c>
      <c r="J4735">
        <v>59</v>
      </c>
      <c r="K4735" s="422">
        <v>2023</v>
      </c>
      <c r="L4735" s="427">
        <v>2703.96</v>
      </c>
      <c r="M4735" s="427" t="s">
        <v>630</v>
      </c>
      <c r="N4735" s="434">
        <v>8887</v>
      </c>
      <c r="O4735" s="436">
        <f t="shared" si="195"/>
        <v>524333</v>
      </c>
      <c r="P4735" s="89" t="s">
        <v>5388</v>
      </c>
      <c r="Q4735" s="422" t="s">
        <v>47</v>
      </c>
      <c r="R4735" s="422" t="s">
        <v>1869</v>
      </c>
      <c r="S4735" s="422" t="s">
        <v>1861</v>
      </c>
      <c r="U4735" s="422" t="s">
        <v>1953</v>
      </c>
      <c r="V4735" s="422" t="s">
        <v>2813</v>
      </c>
    </row>
    <row r="4736" spans="1:22" ht="15.75" thickBot="1" x14ac:dyDescent="0.3">
      <c r="A4736" t="s">
        <v>4670</v>
      </c>
      <c r="B4736" t="s">
        <v>4670</v>
      </c>
      <c r="C4736" s="424" t="str">
        <f t="shared" si="193"/>
        <v>RMTejo II - Transportes Rodoviários de Passageiros, Unipessoal LDA.</v>
      </c>
      <c r="D4736" t="s">
        <v>629</v>
      </c>
      <c r="F4736" s="422" t="s">
        <v>620</v>
      </c>
      <c r="G4736" s="89" t="s">
        <v>2214</v>
      </c>
      <c r="H4736" s="313" t="s">
        <v>733</v>
      </c>
      <c r="I4736" s="311" t="str">
        <f t="shared" si="194"/>
        <v>Pesado de Passageiros M3:  : Gasóleo : E6</v>
      </c>
      <c r="J4736">
        <v>59</v>
      </c>
      <c r="K4736" s="422">
        <v>2023</v>
      </c>
      <c r="L4736" s="427">
        <v>4075.16</v>
      </c>
      <c r="M4736" s="427" t="s">
        <v>630</v>
      </c>
      <c r="N4736" s="434">
        <v>15139</v>
      </c>
      <c r="O4736" s="436">
        <f t="shared" si="195"/>
        <v>893201</v>
      </c>
      <c r="P4736" s="89" t="s">
        <v>5389</v>
      </c>
      <c r="Q4736" s="422" t="s">
        <v>47</v>
      </c>
      <c r="R4736" s="422" t="s">
        <v>1869</v>
      </c>
      <c r="S4736" s="422" t="s">
        <v>1861</v>
      </c>
      <c r="U4736" s="422" t="s">
        <v>1953</v>
      </c>
      <c r="V4736" s="422" t="s">
        <v>2813</v>
      </c>
    </row>
    <row r="4737" spans="1:22" ht="15.75" thickBot="1" x14ac:dyDescent="0.3">
      <c r="A4737" t="s">
        <v>4670</v>
      </c>
      <c r="B4737" t="s">
        <v>4670</v>
      </c>
      <c r="C4737" s="424" t="str">
        <f t="shared" si="193"/>
        <v>RMTejo II - Transportes Rodoviários de Passageiros, Unipessoal LDA.</v>
      </c>
      <c r="D4737" t="s">
        <v>629</v>
      </c>
      <c r="F4737" s="422" t="s">
        <v>620</v>
      </c>
      <c r="G4737" s="89" t="s">
        <v>2214</v>
      </c>
      <c r="H4737" s="313" t="s">
        <v>733</v>
      </c>
      <c r="I4737" s="311" t="str">
        <f t="shared" si="194"/>
        <v>Pesado de Passageiros M3:  : Gasóleo : E6</v>
      </c>
      <c r="J4737">
        <v>63</v>
      </c>
      <c r="K4737" s="422">
        <v>2023</v>
      </c>
      <c r="L4737" s="427">
        <v>3536.38</v>
      </c>
      <c r="M4737" s="427" t="s">
        <v>630</v>
      </c>
      <c r="N4737" s="434">
        <v>13116</v>
      </c>
      <c r="O4737" s="436">
        <f t="shared" si="195"/>
        <v>826308</v>
      </c>
      <c r="P4737" s="89" t="s">
        <v>5390</v>
      </c>
      <c r="Q4737" s="422" t="s">
        <v>47</v>
      </c>
      <c r="R4737" s="422" t="s">
        <v>1869</v>
      </c>
      <c r="S4737" s="422" t="s">
        <v>1861</v>
      </c>
      <c r="U4737" s="422" t="s">
        <v>1953</v>
      </c>
      <c r="V4737" s="422" t="s">
        <v>2813</v>
      </c>
    </row>
    <row r="4738" spans="1:22" ht="15.75" thickBot="1" x14ac:dyDescent="0.3">
      <c r="A4738" t="s">
        <v>4670</v>
      </c>
      <c r="B4738" t="s">
        <v>4670</v>
      </c>
      <c r="C4738" s="424" t="str">
        <f t="shared" si="193"/>
        <v>RMTejo II - Transportes Rodoviários de Passageiros, Unipessoal LDA.</v>
      </c>
      <c r="D4738" t="s">
        <v>629</v>
      </c>
      <c r="F4738" s="422" t="s">
        <v>620</v>
      </c>
      <c r="G4738" s="89" t="s">
        <v>2214</v>
      </c>
      <c r="H4738" s="313" t="s">
        <v>733</v>
      </c>
      <c r="I4738" s="311" t="str">
        <f t="shared" si="194"/>
        <v>Pesado de Passageiros M3:  : Gasóleo : E6</v>
      </c>
      <c r="J4738">
        <v>59</v>
      </c>
      <c r="K4738" s="422">
        <v>2023</v>
      </c>
      <c r="L4738" s="427">
        <v>8216.91</v>
      </c>
      <c r="M4738" s="427" t="s">
        <v>630</v>
      </c>
      <c r="N4738" s="434">
        <v>27451</v>
      </c>
      <c r="O4738" s="436">
        <f t="shared" si="195"/>
        <v>1619609</v>
      </c>
      <c r="P4738" s="89" t="s">
        <v>5391</v>
      </c>
      <c r="Q4738" s="422" t="s">
        <v>47</v>
      </c>
      <c r="R4738" s="422" t="s">
        <v>1869</v>
      </c>
      <c r="S4738" s="422" t="s">
        <v>1861</v>
      </c>
      <c r="U4738" s="422" t="s">
        <v>1953</v>
      </c>
      <c r="V4738" s="422" t="s">
        <v>2813</v>
      </c>
    </row>
    <row r="4739" spans="1:22" ht="15.75" thickBot="1" x14ac:dyDescent="0.3">
      <c r="A4739" t="s">
        <v>4670</v>
      </c>
      <c r="B4739" t="s">
        <v>4670</v>
      </c>
      <c r="C4739" s="424" t="str">
        <f t="shared" si="193"/>
        <v>RMTejo II - Transportes Rodoviários de Passageiros, Unipessoal LDA.</v>
      </c>
      <c r="D4739" t="s">
        <v>629</v>
      </c>
      <c r="F4739" s="422" t="s">
        <v>620</v>
      </c>
      <c r="G4739" s="89" t="s">
        <v>2214</v>
      </c>
      <c r="H4739" s="313" t="s">
        <v>733</v>
      </c>
      <c r="I4739" s="311" t="str">
        <f t="shared" si="194"/>
        <v>Pesado de Passageiros M3:  : Gasóleo : E6</v>
      </c>
      <c r="J4739">
        <v>84</v>
      </c>
      <c r="K4739" s="422">
        <v>2023</v>
      </c>
      <c r="L4739" s="427">
        <v>214.81</v>
      </c>
      <c r="M4739" s="427" t="s">
        <v>630</v>
      </c>
      <c r="N4739" s="434">
        <v>715</v>
      </c>
      <c r="O4739" s="436">
        <f t="shared" si="195"/>
        <v>60060</v>
      </c>
      <c r="P4739" s="89" t="s">
        <v>5392</v>
      </c>
      <c r="Q4739" s="422" t="s">
        <v>47</v>
      </c>
      <c r="R4739" s="422" t="s">
        <v>1869</v>
      </c>
      <c r="S4739" s="422" t="s">
        <v>1861</v>
      </c>
      <c r="U4739" s="422" t="s">
        <v>1953</v>
      </c>
      <c r="V4739" s="422" t="s">
        <v>2813</v>
      </c>
    </row>
    <row r="4740" spans="1:22" ht="15.75" thickBot="1" x14ac:dyDescent="0.3">
      <c r="A4740" t="s">
        <v>4670</v>
      </c>
      <c r="B4740" t="s">
        <v>4670</v>
      </c>
      <c r="C4740" s="424" t="str">
        <f t="shared" si="193"/>
        <v>RMTejo II - Transportes Rodoviários de Passageiros, Unipessoal LDA.</v>
      </c>
      <c r="D4740" t="s">
        <v>629</v>
      </c>
      <c r="F4740" s="422" t="s">
        <v>620</v>
      </c>
      <c r="G4740" s="89" t="s">
        <v>2214</v>
      </c>
      <c r="H4740" s="313" t="s">
        <v>733</v>
      </c>
      <c r="I4740" s="311" t="str">
        <f t="shared" si="194"/>
        <v>Pesado de Passageiros M3:  : Gasóleo : E6</v>
      </c>
      <c r="J4740">
        <v>69</v>
      </c>
      <c r="K4740" s="422">
        <v>2023</v>
      </c>
      <c r="L4740" s="427">
        <v>749.91</v>
      </c>
      <c r="M4740" s="427" t="s">
        <v>630</v>
      </c>
      <c r="N4740" s="434">
        <v>2266</v>
      </c>
      <c r="O4740" s="436">
        <f t="shared" si="195"/>
        <v>156354</v>
      </c>
      <c r="P4740" s="89" t="s">
        <v>5393</v>
      </c>
      <c r="Q4740" s="422" t="s">
        <v>47</v>
      </c>
      <c r="R4740" s="422" t="s">
        <v>1869</v>
      </c>
      <c r="S4740" s="422" t="s">
        <v>1861</v>
      </c>
      <c r="U4740" s="422" t="s">
        <v>1953</v>
      </c>
      <c r="V4740" s="422" t="s">
        <v>2813</v>
      </c>
    </row>
    <row r="4741" spans="1:22" ht="15.75" thickBot="1" x14ac:dyDescent="0.3">
      <c r="A4741" t="s">
        <v>4670</v>
      </c>
      <c r="B4741" t="s">
        <v>4670</v>
      </c>
      <c r="C4741" s="424" t="str">
        <f t="shared" si="193"/>
        <v>RMTejo II - Transportes Rodoviários de Passageiros, Unipessoal LDA.</v>
      </c>
      <c r="D4741" t="s">
        <v>629</v>
      </c>
      <c r="F4741" s="422" t="s">
        <v>620</v>
      </c>
      <c r="G4741" s="89" t="s">
        <v>2221</v>
      </c>
      <c r="H4741" s="313" t="s">
        <v>733</v>
      </c>
      <c r="I4741" s="311" t="str">
        <f t="shared" si="194"/>
        <v>Pesado de Passageiros M3:  : Gasóleo : E6</v>
      </c>
      <c r="J4741">
        <v>75</v>
      </c>
      <c r="K4741" s="422">
        <v>2023</v>
      </c>
      <c r="L4741" s="427">
        <v>429.42</v>
      </c>
      <c r="M4741" s="427" t="s">
        <v>630</v>
      </c>
      <c r="N4741" s="434">
        <v>1430</v>
      </c>
      <c r="O4741" s="436">
        <f t="shared" si="195"/>
        <v>107250</v>
      </c>
      <c r="P4741" s="89" t="s">
        <v>5394</v>
      </c>
      <c r="Q4741" s="422" t="s">
        <v>47</v>
      </c>
      <c r="R4741" s="422" t="s">
        <v>1869</v>
      </c>
      <c r="S4741" s="422" t="s">
        <v>1861</v>
      </c>
      <c r="U4741" s="422" t="s">
        <v>1953</v>
      </c>
      <c r="V4741" s="422" t="s">
        <v>2813</v>
      </c>
    </row>
    <row r="4742" spans="1:22" ht="15.75" thickBot="1" x14ac:dyDescent="0.3">
      <c r="A4742" t="s">
        <v>4670</v>
      </c>
      <c r="B4742" t="s">
        <v>4670</v>
      </c>
      <c r="C4742" s="424" t="str">
        <f t="shared" si="193"/>
        <v>RMTejo II - Transportes Rodoviários de Passageiros, Unipessoal LDA.</v>
      </c>
      <c r="D4742" t="s">
        <v>629</v>
      </c>
      <c r="F4742" s="422" t="s">
        <v>620</v>
      </c>
      <c r="G4742" s="89" t="s">
        <v>2221</v>
      </c>
      <c r="H4742" s="313" t="s">
        <v>733</v>
      </c>
      <c r="I4742" s="311" t="str">
        <f t="shared" si="194"/>
        <v>Pesado de Passageiros M3:  : Gasóleo : E6</v>
      </c>
      <c r="J4742">
        <v>75</v>
      </c>
      <c r="K4742" s="422">
        <v>2023</v>
      </c>
      <c r="L4742" s="427">
        <v>355.08</v>
      </c>
      <c r="M4742" s="427" t="s">
        <v>630</v>
      </c>
      <c r="N4742" s="434">
        <v>1183</v>
      </c>
      <c r="O4742" s="436">
        <f t="shared" si="195"/>
        <v>88725</v>
      </c>
      <c r="P4742" s="89" t="s">
        <v>5395</v>
      </c>
      <c r="Q4742" s="422" t="s">
        <v>47</v>
      </c>
      <c r="R4742" s="422" t="s">
        <v>1869</v>
      </c>
      <c r="S4742" s="422" t="s">
        <v>1861</v>
      </c>
      <c r="U4742" s="422" t="s">
        <v>1953</v>
      </c>
      <c r="V4742" s="422" t="s">
        <v>2813</v>
      </c>
    </row>
    <row r="4743" spans="1:22" ht="15.75" thickBot="1" x14ac:dyDescent="0.3">
      <c r="A4743" t="s">
        <v>4670</v>
      </c>
      <c r="B4743" t="s">
        <v>4670</v>
      </c>
      <c r="C4743" s="424" t="str">
        <f t="shared" si="193"/>
        <v>RMTejo II - Transportes Rodoviários de Passageiros, Unipessoal LDA.</v>
      </c>
      <c r="D4743" t="s">
        <v>629</v>
      </c>
      <c r="F4743" s="422" t="s">
        <v>620</v>
      </c>
      <c r="G4743" s="89" t="s">
        <v>2203</v>
      </c>
      <c r="H4743" s="313" t="s">
        <v>733</v>
      </c>
      <c r="I4743" s="311" t="str">
        <f t="shared" si="194"/>
        <v>Pesado de Passageiros M3:  : Gasóleo : E6</v>
      </c>
      <c r="J4743">
        <v>66</v>
      </c>
      <c r="K4743" s="422">
        <v>2023</v>
      </c>
      <c r="L4743" s="427">
        <v>509.95</v>
      </c>
      <c r="M4743" s="427" t="s">
        <v>630</v>
      </c>
      <c r="N4743" s="434">
        <v>1630</v>
      </c>
      <c r="O4743" s="436">
        <f t="shared" si="195"/>
        <v>107580</v>
      </c>
      <c r="P4743" s="89" t="s">
        <v>5396</v>
      </c>
      <c r="Q4743" s="422" t="s">
        <v>47</v>
      </c>
      <c r="R4743" s="422" t="s">
        <v>1869</v>
      </c>
      <c r="S4743" s="422" t="s">
        <v>1861</v>
      </c>
      <c r="U4743" s="422" t="s">
        <v>1953</v>
      </c>
      <c r="V4743" s="422" t="s">
        <v>2813</v>
      </c>
    </row>
    <row r="4744" spans="1:22" ht="15.75" thickBot="1" x14ac:dyDescent="0.3">
      <c r="A4744" t="s">
        <v>4670</v>
      </c>
      <c r="B4744" t="s">
        <v>4670</v>
      </c>
      <c r="C4744" s="424" t="str">
        <f t="shared" si="193"/>
        <v>RMTejo II - Transportes Rodoviários de Passageiros, Unipessoal LDA.</v>
      </c>
      <c r="D4744" t="s">
        <v>629</v>
      </c>
      <c r="F4744" s="422" t="s">
        <v>620</v>
      </c>
      <c r="G4744" s="89" t="s">
        <v>2212</v>
      </c>
      <c r="H4744" s="313" t="s">
        <v>731</v>
      </c>
      <c r="I4744" s="311" t="str">
        <f t="shared" si="194"/>
        <v>Pesado de Passageiros M3:  : Gasóleo : E4</v>
      </c>
      <c r="J4744">
        <v>65</v>
      </c>
      <c r="K4744" s="422">
        <v>2023</v>
      </c>
      <c r="L4744" s="427">
        <v>4804.26</v>
      </c>
      <c r="M4744" s="427" t="s">
        <v>630</v>
      </c>
      <c r="N4744" s="434">
        <v>10166</v>
      </c>
      <c r="O4744" s="436">
        <f t="shared" si="195"/>
        <v>660790</v>
      </c>
      <c r="P4744" s="89" t="s">
        <v>5397</v>
      </c>
      <c r="Q4744" s="422" t="s">
        <v>47</v>
      </c>
      <c r="R4744" s="422" t="s">
        <v>1869</v>
      </c>
      <c r="S4744" s="422" t="s">
        <v>1861</v>
      </c>
      <c r="U4744" s="422" t="s">
        <v>1953</v>
      </c>
      <c r="V4744" s="422" t="s">
        <v>2813</v>
      </c>
    </row>
    <row r="4745" spans="1:22" ht="15.75" thickBot="1" x14ac:dyDescent="0.3">
      <c r="A4745" t="s">
        <v>4670</v>
      </c>
      <c r="B4745" t="s">
        <v>4670</v>
      </c>
      <c r="C4745" s="424" t="str">
        <f t="shared" si="193"/>
        <v>RMTejo II - Transportes Rodoviários de Passageiros, Unipessoal LDA.</v>
      </c>
      <c r="D4745" t="s">
        <v>629</v>
      </c>
      <c r="F4745" s="422" t="s">
        <v>620</v>
      </c>
      <c r="G4745" s="89" t="s">
        <v>2223</v>
      </c>
      <c r="H4745" s="313" t="s">
        <v>734</v>
      </c>
      <c r="I4745" s="311" t="str">
        <f t="shared" si="194"/>
        <v>Pesado de Passageiros M3:  : Gasóleo : E5</v>
      </c>
      <c r="J4745">
        <v>21</v>
      </c>
      <c r="K4745" s="422">
        <v>2023</v>
      </c>
      <c r="L4745" s="427">
        <v>5348.22</v>
      </c>
      <c r="M4745" s="427" t="s">
        <v>630</v>
      </c>
      <c r="N4745" s="434">
        <v>26441</v>
      </c>
      <c r="O4745" s="436">
        <f t="shared" si="195"/>
        <v>555261</v>
      </c>
      <c r="P4745" s="89" t="s">
        <v>5398</v>
      </c>
      <c r="Q4745" s="422" t="s">
        <v>47</v>
      </c>
      <c r="R4745" s="422" t="s">
        <v>1869</v>
      </c>
      <c r="S4745" s="422" t="s">
        <v>1861</v>
      </c>
      <c r="U4745" s="422" t="s">
        <v>1953</v>
      </c>
      <c r="V4745" s="422" t="s">
        <v>2813</v>
      </c>
    </row>
    <row r="4746" spans="1:22" ht="15.75" thickBot="1" x14ac:dyDescent="0.3">
      <c r="A4746" t="s">
        <v>4670</v>
      </c>
      <c r="B4746" t="s">
        <v>4670</v>
      </c>
      <c r="C4746" s="424" t="str">
        <f t="shared" si="193"/>
        <v>RMTejo II - Transportes Rodoviários de Passageiros, Unipessoal LDA.</v>
      </c>
      <c r="D4746" t="s">
        <v>629</v>
      </c>
      <c r="F4746" s="422" t="s">
        <v>620</v>
      </c>
      <c r="G4746" s="89" t="s">
        <v>2205</v>
      </c>
      <c r="H4746" s="313" t="s">
        <v>734</v>
      </c>
      <c r="I4746" s="311" t="str">
        <f t="shared" si="194"/>
        <v>Pesado de Passageiros M3:  : Gasóleo : E5</v>
      </c>
      <c r="J4746">
        <v>83</v>
      </c>
      <c r="K4746" s="422">
        <v>2023</v>
      </c>
      <c r="L4746" s="427">
        <v>8126.14</v>
      </c>
      <c r="M4746" s="427" t="s">
        <v>630</v>
      </c>
      <c r="N4746" s="434">
        <v>26601</v>
      </c>
      <c r="O4746" s="436">
        <f t="shared" si="195"/>
        <v>2207883</v>
      </c>
      <c r="P4746" s="89" t="s">
        <v>5399</v>
      </c>
      <c r="Q4746" s="422" t="s">
        <v>47</v>
      </c>
      <c r="R4746" s="422" t="s">
        <v>1869</v>
      </c>
      <c r="S4746" s="422" t="s">
        <v>1861</v>
      </c>
      <c r="U4746" s="422" t="s">
        <v>1953</v>
      </c>
      <c r="V4746" s="422" t="s">
        <v>2813</v>
      </c>
    </row>
    <row r="4747" spans="1:22" ht="15.75" thickBot="1" x14ac:dyDescent="0.3">
      <c r="A4747" t="s">
        <v>4670</v>
      </c>
      <c r="B4747" t="s">
        <v>4670</v>
      </c>
      <c r="C4747" s="424" t="str">
        <f t="shared" si="193"/>
        <v>RMTejo II - Transportes Rodoviários de Passageiros, Unipessoal LDA.</v>
      </c>
      <c r="D4747" t="s">
        <v>629</v>
      </c>
      <c r="F4747" s="422" t="s">
        <v>620</v>
      </c>
      <c r="G4747" s="89" t="s">
        <v>2205</v>
      </c>
      <c r="H4747" s="313" t="s">
        <v>734</v>
      </c>
      <c r="I4747" s="311" t="str">
        <f t="shared" si="194"/>
        <v>Pesado de Passageiros M3:  : Gasóleo : E5</v>
      </c>
      <c r="J4747">
        <v>75</v>
      </c>
      <c r="K4747" s="422">
        <v>2023</v>
      </c>
      <c r="L4747" s="427">
        <v>20900.28</v>
      </c>
      <c r="M4747" s="427" t="s">
        <v>630</v>
      </c>
      <c r="N4747" s="434">
        <v>61854</v>
      </c>
      <c r="O4747" s="436">
        <f t="shared" si="195"/>
        <v>4639050</v>
      </c>
      <c r="P4747" s="89" t="s">
        <v>5400</v>
      </c>
      <c r="Q4747" s="422" t="s">
        <v>47</v>
      </c>
      <c r="R4747" s="422" t="s">
        <v>1869</v>
      </c>
      <c r="S4747" s="422" t="s">
        <v>1861</v>
      </c>
      <c r="U4747" s="422" t="s">
        <v>1953</v>
      </c>
      <c r="V4747" s="422" t="s">
        <v>2813</v>
      </c>
    </row>
    <row r="4748" spans="1:22" ht="15.75" thickBot="1" x14ac:dyDescent="0.3">
      <c r="A4748" t="s">
        <v>4670</v>
      </c>
      <c r="B4748" t="s">
        <v>4670</v>
      </c>
      <c r="C4748" s="424" t="str">
        <f t="shared" si="193"/>
        <v>RMTejo II - Transportes Rodoviários de Passageiros, Unipessoal LDA.</v>
      </c>
      <c r="D4748" t="s">
        <v>629</v>
      </c>
      <c r="F4748" s="422" t="s">
        <v>620</v>
      </c>
      <c r="G4748" s="89" t="s">
        <v>2223</v>
      </c>
      <c r="H4748" s="313" t="s">
        <v>734</v>
      </c>
      <c r="I4748" s="311" t="str">
        <f t="shared" si="194"/>
        <v>Pesado de Passageiros M3:  : Gasóleo : E5</v>
      </c>
      <c r="J4748">
        <v>24</v>
      </c>
      <c r="K4748" s="422">
        <v>2023</v>
      </c>
      <c r="L4748" s="427">
        <v>2407.8999999999996</v>
      </c>
      <c r="M4748" s="427" t="s">
        <v>630</v>
      </c>
      <c r="N4748" s="434">
        <v>13411</v>
      </c>
      <c r="O4748" s="436">
        <f t="shared" si="195"/>
        <v>321864</v>
      </c>
      <c r="P4748" s="89" t="s">
        <v>5401</v>
      </c>
      <c r="Q4748" s="422" t="s">
        <v>47</v>
      </c>
      <c r="R4748" s="422" t="s">
        <v>1869</v>
      </c>
      <c r="S4748" s="422" t="s">
        <v>1861</v>
      </c>
      <c r="U4748" s="422" t="s">
        <v>1953</v>
      </c>
      <c r="V4748" s="422" t="s">
        <v>2813</v>
      </c>
    </row>
    <row r="4749" spans="1:22" ht="15.75" thickBot="1" x14ac:dyDescent="0.3">
      <c r="A4749" t="s">
        <v>4670</v>
      </c>
      <c r="B4749" t="s">
        <v>4670</v>
      </c>
      <c r="C4749" s="424" t="str">
        <f t="shared" si="193"/>
        <v>RMTejo II - Transportes Rodoviários de Passageiros, Unipessoal LDA.</v>
      </c>
      <c r="D4749" t="s">
        <v>629</v>
      </c>
      <c r="F4749" s="422" t="s">
        <v>620</v>
      </c>
      <c r="G4749" s="89" t="s">
        <v>2223</v>
      </c>
      <c r="H4749" s="313" t="s">
        <v>734</v>
      </c>
      <c r="I4749" s="311" t="str">
        <f t="shared" si="194"/>
        <v>Pesado de Passageiros M3:  : Gasóleo : E5</v>
      </c>
      <c r="J4749">
        <v>24</v>
      </c>
      <c r="K4749" s="422">
        <v>2023</v>
      </c>
      <c r="L4749" s="427">
        <v>1858.3600000000001</v>
      </c>
      <c r="M4749" s="427" t="s">
        <v>630</v>
      </c>
      <c r="N4749" s="434">
        <v>9368</v>
      </c>
      <c r="O4749" s="436">
        <f t="shared" si="195"/>
        <v>224832</v>
      </c>
      <c r="P4749" s="89" t="s">
        <v>5402</v>
      </c>
      <c r="Q4749" s="422" t="s">
        <v>47</v>
      </c>
      <c r="R4749" s="422" t="s">
        <v>1869</v>
      </c>
      <c r="S4749" s="422" t="s">
        <v>1861</v>
      </c>
      <c r="U4749" s="422" t="s">
        <v>1953</v>
      </c>
      <c r="V4749" s="422" t="s">
        <v>2813</v>
      </c>
    </row>
    <row r="4750" spans="1:22" ht="15.75" thickBot="1" x14ac:dyDescent="0.3">
      <c r="A4750" t="s">
        <v>4670</v>
      </c>
      <c r="B4750" t="s">
        <v>4670</v>
      </c>
      <c r="C4750" s="424" t="str">
        <f t="shared" si="193"/>
        <v>RMTejo II - Transportes Rodoviários de Passageiros, Unipessoal LDA.</v>
      </c>
      <c r="D4750" t="s">
        <v>629</v>
      </c>
      <c r="F4750" s="422" t="s">
        <v>620</v>
      </c>
      <c r="G4750" s="89" t="s">
        <v>2205</v>
      </c>
      <c r="H4750" s="313" t="s">
        <v>731</v>
      </c>
      <c r="I4750" s="311" t="str">
        <f t="shared" si="194"/>
        <v>Pesado de Passageiros M3:  : Gasóleo : E4</v>
      </c>
      <c r="J4750">
        <v>27</v>
      </c>
      <c r="K4750" s="422">
        <v>2023</v>
      </c>
      <c r="L4750" s="427">
        <v>1003.4</v>
      </c>
      <c r="M4750" s="427" t="s">
        <v>630</v>
      </c>
      <c r="N4750" s="434">
        <v>6055</v>
      </c>
      <c r="O4750" s="436">
        <f t="shared" si="195"/>
        <v>163485</v>
      </c>
      <c r="P4750" s="89" t="s">
        <v>5403</v>
      </c>
      <c r="Q4750" s="422" t="s">
        <v>47</v>
      </c>
      <c r="R4750" s="422" t="s">
        <v>1869</v>
      </c>
      <c r="S4750" s="422" t="s">
        <v>1861</v>
      </c>
      <c r="U4750" s="422" t="s">
        <v>1953</v>
      </c>
      <c r="V4750" s="422" t="s">
        <v>2813</v>
      </c>
    </row>
    <row r="4751" spans="1:22" ht="15.75" thickBot="1" x14ac:dyDescent="0.3">
      <c r="A4751" t="s">
        <v>4670</v>
      </c>
      <c r="B4751" t="s">
        <v>4670</v>
      </c>
      <c r="C4751" s="424" t="str">
        <f t="shared" si="193"/>
        <v>RMTejo II - Transportes Rodoviários de Passageiros, Unipessoal LDA.</v>
      </c>
      <c r="D4751" t="s">
        <v>1919</v>
      </c>
      <c r="F4751" s="422" t="s">
        <v>620</v>
      </c>
      <c r="G4751" s="89" t="s">
        <v>2225</v>
      </c>
      <c r="H4751" s="313" t="s">
        <v>734</v>
      </c>
      <c r="I4751" s="311" t="str">
        <f t="shared" si="194"/>
        <v>Pesado de Passageiros M2:  : Gasóleo : E5</v>
      </c>
      <c r="J4751">
        <v>16</v>
      </c>
      <c r="K4751" s="422">
        <v>2023</v>
      </c>
      <c r="L4751" s="427">
        <v>2867.02</v>
      </c>
      <c r="M4751" s="427" t="s">
        <v>630</v>
      </c>
      <c r="N4751" s="434">
        <v>22851</v>
      </c>
      <c r="O4751" s="436">
        <f t="shared" si="195"/>
        <v>365616</v>
      </c>
      <c r="P4751" s="89">
        <v>4548</v>
      </c>
      <c r="Q4751" s="422" t="s">
        <v>47</v>
      </c>
      <c r="R4751" s="422" t="s">
        <v>1869</v>
      </c>
      <c r="S4751" s="422" t="s">
        <v>1861</v>
      </c>
      <c r="U4751" s="422" t="s">
        <v>1953</v>
      </c>
      <c r="V4751" s="422" t="s">
        <v>2813</v>
      </c>
    </row>
    <row r="4752" spans="1:22" ht="15.75" thickBot="1" x14ac:dyDescent="0.3">
      <c r="A4752" t="s">
        <v>4593</v>
      </c>
      <c r="B4752" t="s">
        <v>4593</v>
      </c>
      <c r="C4752" s="424" t="str">
        <f t="shared" si="193"/>
        <v>RDL - Rodoviária do Lis, LDA.</v>
      </c>
      <c r="D4752" t="s">
        <v>629</v>
      </c>
      <c r="F4752" s="422" t="s">
        <v>620</v>
      </c>
      <c r="G4752" s="89" t="s">
        <v>1954</v>
      </c>
      <c r="H4752" s="313" t="s">
        <v>735</v>
      </c>
      <c r="I4752" s="311" t="str">
        <f t="shared" si="194"/>
        <v>Pesado de Passageiros M3:  : Gasóleo : E2</v>
      </c>
      <c r="J4752">
        <v>51</v>
      </c>
      <c r="K4752" s="422">
        <v>2023</v>
      </c>
      <c r="L4752" s="427">
        <v>13239.98</v>
      </c>
      <c r="M4752" s="427" t="s">
        <v>630</v>
      </c>
      <c r="N4752" s="434">
        <v>38597</v>
      </c>
      <c r="O4752" s="436">
        <f t="shared" si="195"/>
        <v>1968447</v>
      </c>
      <c r="P4752" s="89" t="s">
        <v>2631</v>
      </c>
      <c r="Q4752" s="422" t="s">
        <v>47</v>
      </c>
      <c r="R4752" s="422" t="s">
        <v>1869</v>
      </c>
      <c r="S4752" s="422" t="s">
        <v>1861</v>
      </c>
      <c r="U4752" s="422" t="s">
        <v>1953</v>
      </c>
      <c r="V4752" s="422" t="s">
        <v>2813</v>
      </c>
    </row>
    <row r="4753" spans="1:22" ht="15.75" thickBot="1" x14ac:dyDescent="0.3">
      <c r="A4753" t="s">
        <v>4593</v>
      </c>
      <c r="B4753" t="s">
        <v>4593</v>
      </c>
      <c r="C4753" s="424" t="str">
        <f t="shared" si="193"/>
        <v>RDL - Rodoviária do Lis, LDA.</v>
      </c>
      <c r="D4753" t="s">
        <v>629</v>
      </c>
      <c r="F4753" s="422" t="s">
        <v>620</v>
      </c>
      <c r="G4753" s="89" t="s">
        <v>2206</v>
      </c>
      <c r="H4753" s="313" t="s">
        <v>735</v>
      </c>
      <c r="I4753" s="311" t="str">
        <f t="shared" si="194"/>
        <v>Pesado de Passageiros M3:  : Gasóleo : E2</v>
      </c>
      <c r="J4753">
        <v>55</v>
      </c>
      <c r="K4753" s="422">
        <v>2023</v>
      </c>
      <c r="L4753" s="427">
        <v>10915.52</v>
      </c>
      <c r="M4753" s="427" t="s">
        <v>630</v>
      </c>
      <c r="N4753" s="434">
        <v>35334</v>
      </c>
      <c r="O4753" s="436">
        <f t="shared" si="195"/>
        <v>1943370</v>
      </c>
      <c r="P4753" s="89" t="s">
        <v>2634</v>
      </c>
      <c r="Q4753" s="422" t="s">
        <v>47</v>
      </c>
      <c r="R4753" s="422" t="s">
        <v>1869</v>
      </c>
      <c r="S4753" s="422" t="s">
        <v>1861</v>
      </c>
      <c r="U4753" s="422" t="s">
        <v>1953</v>
      </c>
      <c r="V4753" s="422" t="s">
        <v>2813</v>
      </c>
    </row>
    <row r="4754" spans="1:22" ht="15.75" thickBot="1" x14ac:dyDescent="0.3">
      <c r="A4754" t="s">
        <v>4593</v>
      </c>
      <c r="B4754" t="s">
        <v>4593</v>
      </c>
      <c r="C4754" s="424" t="str">
        <f t="shared" si="193"/>
        <v>RDL - Rodoviária do Lis, LDA.</v>
      </c>
      <c r="D4754" t="s">
        <v>629</v>
      </c>
      <c r="F4754" s="422" t="s">
        <v>620</v>
      </c>
      <c r="G4754" s="89" t="s">
        <v>1954</v>
      </c>
      <c r="H4754" s="313" t="s">
        <v>735</v>
      </c>
      <c r="I4754" s="311" t="str">
        <f t="shared" si="194"/>
        <v>Pesado de Passageiros M3:  : Gasóleo : E2</v>
      </c>
      <c r="J4754">
        <v>51</v>
      </c>
      <c r="K4754" s="422">
        <v>2023</v>
      </c>
      <c r="L4754" s="427">
        <v>2305.96</v>
      </c>
      <c r="M4754" s="427" t="s">
        <v>630</v>
      </c>
      <c r="N4754" s="434">
        <v>7173</v>
      </c>
      <c r="O4754" s="436">
        <f t="shared" si="195"/>
        <v>365823</v>
      </c>
      <c r="P4754" s="89" t="s">
        <v>2635</v>
      </c>
      <c r="Q4754" s="422" t="s">
        <v>47</v>
      </c>
      <c r="R4754" s="422" t="s">
        <v>1869</v>
      </c>
      <c r="S4754" s="422" t="s">
        <v>1861</v>
      </c>
      <c r="U4754" s="422" t="s">
        <v>1953</v>
      </c>
      <c r="V4754" s="422" t="s">
        <v>2813</v>
      </c>
    </row>
    <row r="4755" spans="1:22" ht="15.75" thickBot="1" x14ac:dyDescent="0.3">
      <c r="A4755" t="s">
        <v>4593</v>
      </c>
      <c r="B4755" t="s">
        <v>4593</v>
      </c>
      <c r="C4755" s="424" t="str">
        <f t="shared" si="193"/>
        <v>RDL - Rodoviária do Lis, LDA.</v>
      </c>
      <c r="D4755" t="s">
        <v>629</v>
      </c>
      <c r="F4755" s="422" t="s">
        <v>620</v>
      </c>
      <c r="G4755" s="89" t="s">
        <v>2206</v>
      </c>
      <c r="H4755" s="313" t="s">
        <v>735</v>
      </c>
      <c r="I4755" s="311" t="str">
        <f t="shared" si="194"/>
        <v>Pesado de Passageiros M3:  : Gasóleo : E2</v>
      </c>
      <c r="J4755">
        <v>55</v>
      </c>
      <c r="K4755" s="422">
        <v>2023</v>
      </c>
      <c r="L4755" s="427">
        <v>14007.25</v>
      </c>
      <c r="M4755" s="427" t="s">
        <v>630</v>
      </c>
      <c r="N4755" s="434">
        <v>40106</v>
      </c>
      <c r="O4755" s="436">
        <f t="shared" si="195"/>
        <v>2205830</v>
      </c>
      <c r="P4755" s="89" t="s">
        <v>2637</v>
      </c>
      <c r="Q4755" s="422" t="s">
        <v>47</v>
      </c>
      <c r="R4755" s="422" t="s">
        <v>1869</v>
      </c>
      <c r="S4755" s="422" t="s">
        <v>1861</v>
      </c>
      <c r="U4755" s="422" t="s">
        <v>1953</v>
      </c>
      <c r="V4755" s="422" t="s">
        <v>2813</v>
      </c>
    </row>
    <row r="4756" spans="1:22" ht="15.75" thickBot="1" x14ac:dyDescent="0.3">
      <c r="A4756" t="s">
        <v>4593</v>
      </c>
      <c r="B4756" t="s">
        <v>4593</v>
      </c>
      <c r="C4756" s="424" t="str">
        <f t="shared" si="193"/>
        <v>RDL - Rodoviária do Lis, LDA.</v>
      </c>
      <c r="D4756" t="s">
        <v>629</v>
      </c>
      <c r="F4756" s="422" t="s">
        <v>620</v>
      </c>
      <c r="G4756" s="89" t="s">
        <v>2218</v>
      </c>
      <c r="H4756" s="313" t="s">
        <v>736</v>
      </c>
      <c r="I4756" s="311" t="str">
        <f t="shared" si="194"/>
        <v>Pesado de Passageiros M3:  : Gasóleo : E1</v>
      </c>
      <c r="J4756">
        <v>74</v>
      </c>
      <c r="K4756" s="422">
        <v>2023</v>
      </c>
      <c r="L4756" s="427">
        <v>161.29</v>
      </c>
      <c r="M4756" s="427" t="s">
        <v>630</v>
      </c>
      <c r="N4756" s="434">
        <v>448</v>
      </c>
      <c r="O4756" s="436">
        <f t="shared" si="195"/>
        <v>33152</v>
      </c>
      <c r="P4756" s="89" t="s">
        <v>5404</v>
      </c>
      <c r="Q4756" s="422" t="s">
        <v>47</v>
      </c>
      <c r="R4756" s="422" t="s">
        <v>1869</v>
      </c>
      <c r="S4756" s="422" t="s">
        <v>1861</v>
      </c>
      <c r="U4756" s="422" t="s">
        <v>1953</v>
      </c>
      <c r="V4756" s="422" t="s">
        <v>2813</v>
      </c>
    </row>
    <row r="4757" spans="1:22" ht="15.75" thickBot="1" x14ac:dyDescent="0.3">
      <c r="A4757" t="s">
        <v>4593</v>
      </c>
      <c r="B4757" t="s">
        <v>4593</v>
      </c>
      <c r="C4757" s="424" t="str">
        <f t="shared" si="193"/>
        <v>RDL - Rodoviária do Lis, LDA.</v>
      </c>
      <c r="D4757" t="s">
        <v>629</v>
      </c>
      <c r="F4757" s="422" t="s">
        <v>620</v>
      </c>
      <c r="G4757" s="89" t="s">
        <v>2208</v>
      </c>
      <c r="H4757" s="313" t="s">
        <v>736</v>
      </c>
      <c r="I4757" s="311" t="str">
        <f t="shared" si="194"/>
        <v>Pesado de Passageiros M3:  : Gasóleo : E1</v>
      </c>
      <c r="J4757">
        <v>83</v>
      </c>
      <c r="K4757" s="422">
        <v>2023</v>
      </c>
      <c r="L4757" s="427">
        <v>12519.66</v>
      </c>
      <c r="M4757" s="427" t="s">
        <v>630</v>
      </c>
      <c r="N4757" s="434">
        <v>38660</v>
      </c>
      <c r="O4757" s="436">
        <f t="shared" si="195"/>
        <v>3208780</v>
      </c>
      <c r="P4757" s="89" t="s">
        <v>2640</v>
      </c>
      <c r="Q4757" s="422" t="s">
        <v>47</v>
      </c>
      <c r="R4757" s="422" t="s">
        <v>1869</v>
      </c>
      <c r="S4757" s="422" t="s">
        <v>1861</v>
      </c>
      <c r="U4757" s="422" t="s">
        <v>1953</v>
      </c>
      <c r="V4757" s="422" t="s">
        <v>2813</v>
      </c>
    </row>
    <row r="4758" spans="1:22" ht="15.75" thickBot="1" x14ac:dyDescent="0.3">
      <c r="A4758" t="s">
        <v>4593</v>
      </c>
      <c r="B4758" t="s">
        <v>4593</v>
      </c>
      <c r="C4758" s="424" t="str">
        <f t="shared" si="193"/>
        <v>RDL - Rodoviária do Lis, LDA.</v>
      </c>
      <c r="D4758" t="s">
        <v>629</v>
      </c>
      <c r="F4758" s="422" t="s">
        <v>620</v>
      </c>
      <c r="G4758" s="89" t="s">
        <v>2208</v>
      </c>
      <c r="H4758" s="313" t="s">
        <v>736</v>
      </c>
      <c r="I4758" s="311" t="str">
        <f t="shared" si="194"/>
        <v>Pesado de Passageiros M3:  : Gasóleo : E1</v>
      </c>
      <c r="J4758">
        <v>83</v>
      </c>
      <c r="K4758" s="422">
        <v>2023</v>
      </c>
      <c r="L4758" s="427">
        <v>16665.39</v>
      </c>
      <c r="M4758" s="427" t="s">
        <v>630</v>
      </c>
      <c r="N4758" s="434">
        <v>53753</v>
      </c>
      <c r="O4758" s="436">
        <f t="shared" si="195"/>
        <v>4461499</v>
      </c>
      <c r="P4758" s="89" t="s">
        <v>2641</v>
      </c>
      <c r="Q4758" s="422" t="s">
        <v>47</v>
      </c>
      <c r="R4758" s="422" t="s">
        <v>1869</v>
      </c>
      <c r="S4758" s="422" t="s">
        <v>1861</v>
      </c>
      <c r="U4758" s="422" t="s">
        <v>1953</v>
      </c>
      <c r="V4758" s="422" t="s">
        <v>2813</v>
      </c>
    </row>
    <row r="4759" spans="1:22" ht="15.75" thickBot="1" x14ac:dyDescent="0.3">
      <c r="A4759" t="s">
        <v>4593</v>
      </c>
      <c r="B4759" t="s">
        <v>4593</v>
      </c>
      <c r="C4759" s="424" t="str">
        <f t="shared" si="193"/>
        <v>RDL - Rodoviária do Lis, LDA.</v>
      </c>
      <c r="D4759" t="s">
        <v>629</v>
      </c>
      <c r="F4759" s="422" t="s">
        <v>620</v>
      </c>
      <c r="G4759" s="89" t="s">
        <v>1954</v>
      </c>
      <c r="H4759" s="313" t="s">
        <v>735</v>
      </c>
      <c r="I4759" s="311" t="str">
        <f t="shared" si="194"/>
        <v>Pesado de Passageiros M3:  : Gasóleo : E2</v>
      </c>
      <c r="J4759">
        <v>51</v>
      </c>
      <c r="K4759" s="422">
        <v>2023</v>
      </c>
      <c r="L4759" s="427">
        <v>0</v>
      </c>
      <c r="M4759" s="427" t="s">
        <v>630</v>
      </c>
      <c r="N4759" s="434">
        <v>0</v>
      </c>
      <c r="O4759" s="436">
        <f t="shared" si="195"/>
        <v>0</v>
      </c>
      <c r="P4759" s="89" t="s">
        <v>5405</v>
      </c>
      <c r="Q4759" s="422" t="s">
        <v>47</v>
      </c>
      <c r="R4759" s="422" t="s">
        <v>1869</v>
      </c>
      <c r="S4759" s="422" t="s">
        <v>1861</v>
      </c>
      <c r="U4759" s="422" t="s">
        <v>1953</v>
      </c>
      <c r="V4759" s="422" t="s">
        <v>2813</v>
      </c>
    </row>
    <row r="4760" spans="1:22" ht="15.75" thickBot="1" x14ac:dyDescent="0.3">
      <c r="A4760" t="s">
        <v>4593</v>
      </c>
      <c r="B4760" t="s">
        <v>4593</v>
      </c>
      <c r="C4760" s="424" t="str">
        <f t="shared" ref="C4760:C4823" si="196">IF(A4760=B4760,B4760,RIGHT(A4760,LEN(A4760)-LEN(B4760)-3))</f>
        <v>RDL - Rodoviária do Lis, LDA.</v>
      </c>
      <c r="D4760" t="s">
        <v>629</v>
      </c>
      <c r="F4760" s="422" t="s">
        <v>620</v>
      </c>
      <c r="G4760" s="89" t="s">
        <v>2208</v>
      </c>
      <c r="H4760" s="313" t="s">
        <v>735</v>
      </c>
      <c r="I4760" s="311" t="str">
        <f t="shared" si="194"/>
        <v>Pesado de Passageiros M3:  : Gasóleo : E2</v>
      </c>
      <c r="J4760">
        <v>83</v>
      </c>
      <c r="K4760" s="422">
        <v>2023</v>
      </c>
      <c r="L4760" s="427">
        <v>11420.41</v>
      </c>
      <c r="M4760" s="427" t="s">
        <v>630</v>
      </c>
      <c r="N4760" s="434">
        <v>32329</v>
      </c>
      <c r="O4760" s="436">
        <f t="shared" si="195"/>
        <v>2683307</v>
      </c>
      <c r="P4760" s="89" t="s">
        <v>2642</v>
      </c>
      <c r="Q4760" s="422" t="s">
        <v>47</v>
      </c>
      <c r="R4760" s="422" t="s">
        <v>1869</v>
      </c>
      <c r="S4760" s="422" t="s">
        <v>1861</v>
      </c>
      <c r="U4760" s="422" t="s">
        <v>1953</v>
      </c>
      <c r="V4760" s="422" t="s">
        <v>2813</v>
      </c>
    </row>
    <row r="4761" spans="1:22" ht="15.75" thickBot="1" x14ac:dyDescent="0.3">
      <c r="A4761" t="s">
        <v>4593</v>
      </c>
      <c r="B4761" t="s">
        <v>4593</v>
      </c>
      <c r="C4761" s="424" t="str">
        <f t="shared" si="196"/>
        <v>RDL - Rodoviária do Lis, LDA.</v>
      </c>
      <c r="D4761" t="s">
        <v>629</v>
      </c>
      <c r="F4761" s="422" t="s">
        <v>620</v>
      </c>
      <c r="G4761" s="89" t="s">
        <v>2209</v>
      </c>
      <c r="H4761" s="313" t="s">
        <v>736</v>
      </c>
      <c r="I4761" s="311" t="str">
        <f t="shared" si="194"/>
        <v>Pesado de Passageiros M3:  : Gasóleo : E1</v>
      </c>
      <c r="J4761">
        <v>80</v>
      </c>
      <c r="K4761" s="422">
        <v>2023</v>
      </c>
      <c r="L4761" s="427">
        <v>177.04</v>
      </c>
      <c r="M4761" s="427" t="s">
        <v>630</v>
      </c>
      <c r="N4761" s="434">
        <v>513</v>
      </c>
      <c r="O4761" s="436">
        <f t="shared" si="195"/>
        <v>41040</v>
      </c>
      <c r="P4761" s="89" t="s">
        <v>5406</v>
      </c>
      <c r="Q4761" s="422" t="s">
        <v>47</v>
      </c>
      <c r="R4761" s="422" t="s">
        <v>1869</v>
      </c>
      <c r="S4761" s="422" t="s">
        <v>1861</v>
      </c>
      <c r="U4761" s="422" t="s">
        <v>1953</v>
      </c>
      <c r="V4761" s="422" t="s">
        <v>2813</v>
      </c>
    </row>
    <row r="4762" spans="1:22" ht="15.75" thickBot="1" x14ac:dyDescent="0.3">
      <c r="A4762" t="s">
        <v>4593</v>
      </c>
      <c r="B4762" t="s">
        <v>4593</v>
      </c>
      <c r="C4762" s="424" t="str">
        <f t="shared" si="196"/>
        <v>RDL - Rodoviária do Lis, LDA.</v>
      </c>
      <c r="D4762" t="s">
        <v>629</v>
      </c>
      <c r="F4762" s="422" t="s">
        <v>620</v>
      </c>
      <c r="G4762" s="89" t="s">
        <v>2206</v>
      </c>
      <c r="H4762" s="313" t="s">
        <v>735</v>
      </c>
      <c r="I4762" s="311" t="str">
        <f t="shared" si="194"/>
        <v>Pesado de Passageiros M3:  : Gasóleo : E2</v>
      </c>
      <c r="J4762">
        <v>80</v>
      </c>
      <c r="K4762" s="422">
        <v>2023</v>
      </c>
      <c r="L4762" s="427">
        <v>10415.779999999999</v>
      </c>
      <c r="M4762" s="427" t="s">
        <v>630</v>
      </c>
      <c r="N4762" s="434">
        <v>31890</v>
      </c>
      <c r="O4762" s="436">
        <f t="shared" si="195"/>
        <v>2551200</v>
      </c>
      <c r="P4762" s="89" t="s">
        <v>2644</v>
      </c>
      <c r="Q4762" s="422" t="s">
        <v>47</v>
      </c>
      <c r="R4762" s="422" t="s">
        <v>1869</v>
      </c>
      <c r="S4762" s="422" t="s">
        <v>1861</v>
      </c>
      <c r="U4762" s="422" t="s">
        <v>1953</v>
      </c>
      <c r="V4762" s="422" t="s">
        <v>2813</v>
      </c>
    </row>
    <row r="4763" spans="1:22" ht="15.75" thickBot="1" x14ac:dyDescent="0.3">
      <c r="A4763" t="s">
        <v>4593</v>
      </c>
      <c r="B4763" t="s">
        <v>4593</v>
      </c>
      <c r="C4763" s="424" t="str">
        <f t="shared" si="196"/>
        <v>RDL - Rodoviária do Lis, LDA.</v>
      </c>
      <c r="D4763" t="s">
        <v>629</v>
      </c>
      <c r="F4763" s="422" t="s">
        <v>620</v>
      </c>
      <c r="G4763" s="89" t="s">
        <v>2209</v>
      </c>
      <c r="H4763" s="313" t="s">
        <v>736</v>
      </c>
      <c r="I4763" s="311" t="str">
        <f t="shared" si="194"/>
        <v>Pesado de Passageiros M3:  : Gasóleo : E1</v>
      </c>
      <c r="J4763">
        <v>80</v>
      </c>
      <c r="K4763" s="422">
        <v>2023</v>
      </c>
      <c r="L4763" s="427">
        <v>233.76</v>
      </c>
      <c r="M4763" s="427" t="s">
        <v>630</v>
      </c>
      <c r="N4763" s="434">
        <v>676</v>
      </c>
      <c r="O4763" s="436">
        <f t="shared" si="195"/>
        <v>54080</v>
      </c>
      <c r="P4763" s="89" t="s">
        <v>5407</v>
      </c>
      <c r="Q4763" s="422" t="s">
        <v>47</v>
      </c>
      <c r="R4763" s="422" t="s">
        <v>1869</v>
      </c>
      <c r="S4763" s="422" t="s">
        <v>1861</v>
      </c>
      <c r="U4763" s="422" t="s">
        <v>1953</v>
      </c>
      <c r="V4763" s="422" t="s">
        <v>2813</v>
      </c>
    </row>
    <row r="4764" spans="1:22" ht="15.75" thickBot="1" x14ac:dyDescent="0.3">
      <c r="A4764" t="s">
        <v>4593</v>
      </c>
      <c r="B4764" t="s">
        <v>4593</v>
      </c>
      <c r="C4764" s="424" t="str">
        <f t="shared" si="196"/>
        <v>RDL - Rodoviária do Lis, LDA.</v>
      </c>
      <c r="D4764" t="s">
        <v>629</v>
      </c>
      <c r="F4764" s="422" t="s">
        <v>620</v>
      </c>
      <c r="G4764" s="89" t="s">
        <v>2208</v>
      </c>
      <c r="H4764" s="313" t="s">
        <v>735</v>
      </c>
      <c r="I4764" s="311" t="str">
        <f t="shared" si="194"/>
        <v>Pesado de Passageiros M3:  : Gasóleo : E2</v>
      </c>
      <c r="J4764">
        <v>83</v>
      </c>
      <c r="K4764" s="422">
        <v>2023</v>
      </c>
      <c r="L4764" s="427">
        <v>10947.59</v>
      </c>
      <c r="M4764" s="427" t="s">
        <v>630</v>
      </c>
      <c r="N4764" s="434">
        <v>31600</v>
      </c>
      <c r="O4764" s="436">
        <f t="shared" si="195"/>
        <v>2622800</v>
      </c>
      <c r="P4764" s="89" t="s">
        <v>2645</v>
      </c>
      <c r="Q4764" s="422" t="s">
        <v>47</v>
      </c>
      <c r="R4764" s="422" t="s">
        <v>1869</v>
      </c>
      <c r="S4764" s="422" t="s">
        <v>1861</v>
      </c>
      <c r="U4764" s="422" t="s">
        <v>1953</v>
      </c>
      <c r="V4764" s="422" t="s">
        <v>2813</v>
      </c>
    </row>
    <row r="4765" spans="1:22" ht="15.75" thickBot="1" x14ac:dyDescent="0.3">
      <c r="A4765" t="s">
        <v>4593</v>
      </c>
      <c r="B4765" t="s">
        <v>4593</v>
      </c>
      <c r="C4765" s="424" t="str">
        <f t="shared" si="196"/>
        <v>RDL - Rodoviária do Lis, LDA.</v>
      </c>
      <c r="D4765" t="s">
        <v>629</v>
      </c>
      <c r="F4765" s="422" t="s">
        <v>620</v>
      </c>
      <c r="G4765" s="89" t="s">
        <v>2206</v>
      </c>
      <c r="H4765" s="313" t="s">
        <v>735</v>
      </c>
      <c r="I4765" s="311" t="str">
        <f t="shared" si="194"/>
        <v>Pesado de Passageiros M3:  : Gasóleo : E2</v>
      </c>
      <c r="J4765">
        <v>80</v>
      </c>
      <c r="K4765" s="422">
        <v>2023</v>
      </c>
      <c r="L4765" s="427">
        <v>11813.7</v>
      </c>
      <c r="M4765" s="427" t="s">
        <v>630</v>
      </c>
      <c r="N4765" s="434">
        <v>34684</v>
      </c>
      <c r="O4765" s="436">
        <f t="shared" si="195"/>
        <v>2774720</v>
      </c>
      <c r="P4765" s="89" t="s">
        <v>2647</v>
      </c>
      <c r="Q4765" s="422" t="s">
        <v>47</v>
      </c>
      <c r="R4765" s="422" t="s">
        <v>1869</v>
      </c>
      <c r="S4765" s="422" t="s">
        <v>1861</v>
      </c>
      <c r="U4765" s="422" t="s">
        <v>1953</v>
      </c>
      <c r="V4765" s="422" t="s">
        <v>2813</v>
      </c>
    </row>
    <row r="4766" spans="1:22" ht="15.75" thickBot="1" x14ac:dyDescent="0.3">
      <c r="A4766" t="s">
        <v>4593</v>
      </c>
      <c r="B4766" t="s">
        <v>4593</v>
      </c>
      <c r="C4766" s="424" t="str">
        <f t="shared" si="196"/>
        <v>RDL - Rodoviária do Lis, LDA.</v>
      </c>
      <c r="D4766" t="s">
        <v>629</v>
      </c>
      <c r="F4766" s="422" t="s">
        <v>620</v>
      </c>
      <c r="G4766" s="89" t="s">
        <v>2209</v>
      </c>
      <c r="H4766" s="313" t="s">
        <v>736</v>
      </c>
      <c r="I4766" s="311" t="str">
        <f t="shared" si="194"/>
        <v>Pesado de Passageiros M3:  : Gasóleo : E1</v>
      </c>
      <c r="J4766">
        <v>74</v>
      </c>
      <c r="K4766" s="422">
        <v>2023</v>
      </c>
      <c r="L4766" s="427">
        <v>7487.48</v>
      </c>
      <c r="M4766" s="427" t="s">
        <v>630</v>
      </c>
      <c r="N4766" s="434">
        <v>19358</v>
      </c>
      <c r="O4766" s="436">
        <f t="shared" si="195"/>
        <v>1432492</v>
      </c>
      <c r="P4766" s="89" t="s">
        <v>2648</v>
      </c>
      <c r="Q4766" s="422" t="s">
        <v>47</v>
      </c>
      <c r="R4766" s="422" t="s">
        <v>1869</v>
      </c>
      <c r="S4766" s="422" t="s">
        <v>1861</v>
      </c>
      <c r="U4766" s="422" t="s">
        <v>1953</v>
      </c>
      <c r="V4766" s="422" t="s">
        <v>2813</v>
      </c>
    </row>
    <row r="4767" spans="1:22" ht="15.75" thickBot="1" x14ac:dyDescent="0.3">
      <c r="A4767" t="s">
        <v>4593</v>
      </c>
      <c r="B4767" t="s">
        <v>4593</v>
      </c>
      <c r="C4767" s="424" t="str">
        <f t="shared" si="196"/>
        <v>RDL - Rodoviária do Lis, LDA.</v>
      </c>
      <c r="D4767" t="s">
        <v>629</v>
      </c>
      <c r="F4767" s="422" t="s">
        <v>620</v>
      </c>
      <c r="G4767" s="89" t="s">
        <v>2209</v>
      </c>
      <c r="H4767" s="313" t="s">
        <v>736</v>
      </c>
      <c r="I4767" s="311" t="str">
        <f t="shared" si="194"/>
        <v>Pesado de Passageiros M3:  : Gasóleo : E1</v>
      </c>
      <c r="J4767">
        <v>74</v>
      </c>
      <c r="K4767" s="422">
        <v>2023</v>
      </c>
      <c r="L4767" s="427">
        <v>10319.57</v>
      </c>
      <c r="M4767" s="427" t="s">
        <v>630</v>
      </c>
      <c r="N4767" s="434">
        <v>36422</v>
      </c>
      <c r="O4767" s="436">
        <f t="shared" si="195"/>
        <v>2695228</v>
      </c>
      <c r="P4767" s="89" t="s">
        <v>2650</v>
      </c>
      <c r="Q4767" s="422" t="s">
        <v>47</v>
      </c>
      <c r="R4767" s="422" t="s">
        <v>1869</v>
      </c>
      <c r="S4767" s="422" t="s">
        <v>1861</v>
      </c>
      <c r="U4767" s="422" t="s">
        <v>1953</v>
      </c>
      <c r="V4767" s="422" t="s">
        <v>2813</v>
      </c>
    </row>
    <row r="4768" spans="1:22" ht="15.75" thickBot="1" x14ac:dyDescent="0.3">
      <c r="A4768" t="s">
        <v>4593</v>
      </c>
      <c r="B4768" t="s">
        <v>4593</v>
      </c>
      <c r="C4768" s="424" t="str">
        <f t="shared" si="196"/>
        <v>RDL - Rodoviária do Lis, LDA.</v>
      </c>
      <c r="D4768" t="s">
        <v>629</v>
      </c>
      <c r="F4768" s="422" t="s">
        <v>620</v>
      </c>
      <c r="G4768" s="89" t="s">
        <v>2210</v>
      </c>
      <c r="H4768" s="313" t="s">
        <v>735</v>
      </c>
      <c r="I4768" s="311" t="str">
        <f t="shared" si="194"/>
        <v>Pesado de Passageiros M3:  : Gasóleo : E2</v>
      </c>
      <c r="J4768">
        <v>80</v>
      </c>
      <c r="K4768" s="422">
        <v>2023</v>
      </c>
      <c r="L4768" s="427">
        <v>15650.68</v>
      </c>
      <c r="M4768" s="427" t="s">
        <v>630</v>
      </c>
      <c r="N4768" s="434">
        <v>49798</v>
      </c>
      <c r="O4768" s="436">
        <f t="shared" si="195"/>
        <v>3983840</v>
      </c>
      <c r="P4768" s="89" t="s">
        <v>2651</v>
      </c>
      <c r="Q4768" s="422" t="s">
        <v>47</v>
      </c>
      <c r="R4768" s="422" t="s">
        <v>1869</v>
      </c>
      <c r="S4768" s="422" t="s">
        <v>1861</v>
      </c>
      <c r="U4768" s="422" t="s">
        <v>1953</v>
      </c>
      <c r="V4768" s="422" t="s">
        <v>2813</v>
      </c>
    </row>
    <row r="4769" spans="1:22" ht="15.75" thickBot="1" x14ac:dyDescent="0.3">
      <c r="A4769" t="s">
        <v>4593</v>
      </c>
      <c r="B4769" t="s">
        <v>4593</v>
      </c>
      <c r="C4769" s="424" t="str">
        <f t="shared" si="196"/>
        <v>RDL - Rodoviária do Lis, LDA.</v>
      </c>
      <c r="D4769" t="s">
        <v>629</v>
      </c>
      <c r="F4769" s="422" t="s">
        <v>620</v>
      </c>
      <c r="G4769" s="89" t="s">
        <v>2210</v>
      </c>
      <c r="H4769" s="313" t="s">
        <v>735</v>
      </c>
      <c r="I4769" s="311" t="str">
        <f t="shared" si="194"/>
        <v>Pesado de Passageiros M3:  : Gasóleo : E2</v>
      </c>
      <c r="J4769">
        <v>80</v>
      </c>
      <c r="K4769" s="422">
        <v>2023</v>
      </c>
      <c r="L4769" s="427">
        <v>9984.33</v>
      </c>
      <c r="M4769" s="427" t="s">
        <v>630</v>
      </c>
      <c r="N4769" s="434">
        <v>29824</v>
      </c>
      <c r="O4769" s="436">
        <f t="shared" si="195"/>
        <v>2385920</v>
      </c>
      <c r="P4769" s="89" t="s">
        <v>2652</v>
      </c>
      <c r="Q4769" s="422" t="s">
        <v>47</v>
      </c>
      <c r="R4769" s="422" t="s">
        <v>1869</v>
      </c>
      <c r="S4769" s="422" t="s">
        <v>1861</v>
      </c>
      <c r="U4769" s="422" t="s">
        <v>1953</v>
      </c>
      <c r="V4769" s="422" t="s">
        <v>2813</v>
      </c>
    </row>
    <row r="4770" spans="1:22" ht="15.75" thickBot="1" x14ac:dyDescent="0.3">
      <c r="A4770" t="s">
        <v>4593</v>
      </c>
      <c r="B4770" t="s">
        <v>4593</v>
      </c>
      <c r="C4770" s="424" t="str">
        <f t="shared" si="196"/>
        <v>RDL - Rodoviária do Lis, LDA.</v>
      </c>
      <c r="D4770" t="s">
        <v>629</v>
      </c>
      <c r="F4770" s="422" t="s">
        <v>620</v>
      </c>
      <c r="G4770" s="89" t="s">
        <v>2219</v>
      </c>
      <c r="H4770" s="313" t="s">
        <v>732</v>
      </c>
      <c r="I4770" s="311" t="str">
        <f t="shared" ref="I4770:I4833" si="197">D4770&amp;": "&amp;E4770&amp;" : "&amp;F4770&amp;" : "&amp;H4770</f>
        <v>Pesado de Passageiros M3:  : Gasóleo : E3</v>
      </c>
      <c r="J4770">
        <v>48</v>
      </c>
      <c r="K4770" s="422">
        <v>2023</v>
      </c>
      <c r="L4770" s="427">
        <v>2813.95</v>
      </c>
      <c r="M4770" s="427" t="s">
        <v>630</v>
      </c>
      <c r="N4770" s="434">
        <v>7930</v>
      </c>
      <c r="O4770" s="436">
        <f t="shared" ref="O4770:O4833" si="198">N4770*J4770</f>
        <v>380640</v>
      </c>
      <c r="P4770" s="89" t="s">
        <v>5408</v>
      </c>
      <c r="Q4770" s="422" t="s">
        <v>47</v>
      </c>
      <c r="R4770" s="422" t="s">
        <v>1869</v>
      </c>
      <c r="S4770" s="422" t="s">
        <v>1861</v>
      </c>
      <c r="U4770" s="422" t="s">
        <v>1953</v>
      </c>
      <c r="V4770" s="422" t="s">
        <v>2813</v>
      </c>
    </row>
    <row r="4771" spans="1:22" ht="15.75" thickBot="1" x14ac:dyDescent="0.3">
      <c r="A4771" t="s">
        <v>4593</v>
      </c>
      <c r="B4771" t="s">
        <v>4593</v>
      </c>
      <c r="C4771" s="424" t="str">
        <f t="shared" si="196"/>
        <v>RDL - Rodoviária do Lis, LDA.</v>
      </c>
      <c r="D4771" t="s">
        <v>629</v>
      </c>
      <c r="F4771" s="422" t="s">
        <v>620</v>
      </c>
      <c r="G4771" s="89" t="s">
        <v>2222</v>
      </c>
      <c r="H4771" s="313" t="s">
        <v>732</v>
      </c>
      <c r="I4771" s="311" t="str">
        <f t="shared" si="197"/>
        <v>Pesado de Passageiros M3:  : Gasóleo : E3</v>
      </c>
      <c r="J4771">
        <v>71</v>
      </c>
      <c r="K4771" s="422">
        <v>2023</v>
      </c>
      <c r="L4771" s="427">
        <v>1646.92</v>
      </c>
      <c r="M4771" s="427" t="s">
        <v>630</v>
      </c>
      <c r="N4771" s="434">
        <v>4673</v>
      </c>
      <c r="O4771" s="436">
        <f t="shared" si="198"/>
        <v>331783</v>
      </c>
      <c r="P4771" s="89" t="s">
        <v>5409</v>
      </c>
      <c r="Q4771" s="422" t="s">
        <v>47</v>
      </c>
      <c r="R4771" s="422" t="s">
        <v>1869</v>
      </c>
      <c r="S4771" s="422" t="s">
        <v>1861</v>
      </c>
      <c r="U4771" s="422" t="s">
        <v>1953</v>
      </c>
      <c r="V4771" s="422" t="s">
        <v>2813</v>
      </c>
    </row>
    <row r="4772" spans="1:22" ht="15.75" thickBot="1" x14ac:dyDescent="0.3">
      <c r="A4772" t="s">
        <v>4593</v>
      </c>
      <c r="B4772" t="s">
        <v>4593</v>
      </c>
      <c r="C4772" s="424" t="str">
        <f t="shared" si="196"/>
        <v>RDL - Rodoviária do Lis, LDA.</v>
      </c>
      <c r="D4772" t="s">
        <v>629</v>
      </c>
      <c r="F4772" s="422" t="s">
        <v>620</v>
      </c>
      <c r="G4772" s="89" t="s">
        <v>2208</v>
      </c>
      <c r="H4772" s="313" t="s">
        <v>735</v>
      </c>
      <c r="I4772" s="311" t="str">
        <f t="shared" si="197"/>
        <v>Pesado de Passageiros M3:  : Gasóleo : E2</v>
      </c>
      <c r="J4772">
        <v>72</v>
      </c>
      <c r="K4772" s="422">
        <v>2023</v>
      </c>
      <c r="L4772" s="427">
        <v>8415.76</v>
      </c>
      <c r="M4772" s="427" t="s">
        <v>630</v>
      </c>
      <c r="N4772" s="434">
        <v>23841</v>
      </c>
      <c r="O4772" s="436">
        <f t="shared" si="198"/>
        <v>1716552</v>
      </c>
      <c r="P4772" s="89" t="s">
        <v>2653</v>
      </c>
      <c r="Q4772" s="422" t="s">
        <v>47</v>
      </c>
      <c r="R4772" s="422" t="s">
        <v>1869</v>
      </c>
      <c r="S4772" s="422" t="s">
        <v>1861</v>
      </c>
      <c r="U4772" s="422" t="s">
        <v>1953</v>
      </c>
      <c r="V4772" s="422" t="s">
        <v>2813</v>
      </c>
    </row>
    <row r="4773" spans="1:22" ht="15.75" thickBot="1" x14ac:dyDescent="0.3">
      <c r="A4773" t="s">
        <v>4593</v>
      </c>
      <c r="B4773" t="s">
        <v>4593</v>
      </c>
      <c r="C4773" s="424" t="str">
        <f t="shared" si="196"/>
        <v>RDL - Rodoviária do Lis, LDA.</v>
      </c>
      <c r="D4773" t="s">
        <v>629</v>
      </c>
      <c r="F4773" s="422" t="s">
        <v>620</v>
      </c>
      <c r="G4773" s="89" t="s">
        <v>2213</v>
      </c>
      <c r="H4773" s="313" t="s">
        <v>734</v>
      </c>
      <c r="I4773" s="311" t="str">
        <f t="shared" si="197"/>
        <v>Pesado de Passageiros M3:  : Gasóleo : E5</v>
      </c>
      <c r="J4773">
        <v>62</v>
      </c>
      <c r="K4773" s="422">
        <v>2023</v>
      </c>
      <c r="L4773" s="427">
        <v>0</v>
      </c>
      <c r="M4773" s="427" t="s">
        <v>630</v>
      </c>
      <c r="N4773" s="434">
        <v>0</v>
      </c>
      <c r="O4773" s="436">
        <f t="shared" si="198"/>
        <v>0</v>
      </c>
      <c r="P4773" s="89" t="s">
        <v>5410</v>
      </c>
      <c r="Q4773" s="422" t="s">
        <v>47</v>
      </c>
      <c r="R4773" s="422" t="s">
        <v>1869</v>
      </c>
      <c r="S4773" s="422" t="s">
        <v>1861</v>
      </c>
      <c r="U4773" s="422" t="s">
        <v>1953</v>
      </c>
      <c r="V4773" s="422" t="s">
        <v>2813</v>
      </c>
    </row>
    <row r="4774" spans="1:22" ht="15.75" thickBot="1" x14ac:dyDescent="0.3">
      <c r="A4774" t="s">
        <v>4593</v>
      </c>
      <c r="B4774" t="s">
        <v>4593</v>
      </c>
      <c r="C4774" s="424" t="str">
        <f t="shared" si="196"/>
        <v>RDL - Rodoviária do Lis, LDA.</v>
      </c>
      <c r="D4774" t="s">
        <v>629</v>
      </c>
      <c r="F4774" s="422" t="s">
        <v>620</v>
      </c>
      <c r="G4774" s="89" t="s">
        <v>2213</v>
      </c>
      <c r="H4774" s="313" t="s">
        <v>734</v>
      </c>
      <c r="I4774" s="311" t="str">
        <f t="shared" si="197"/>
        <v>Pesado de Passageiros M3:  : Gasóleo : E5</v>
      </c>
      <c r="J4774">
        <v>55</v>
      </c>
      <c r="K4774" s="422">
        <v>2023</v>
      </c>
      <c r="L4774" s="427">
        <v>0</v>
      </c>
      <c r="M4774" s="427" t="s">
        <v>630</v>
      </c>
      <c r="N4774" s="434">
        <v>0</v>
      </c>
      <c r="O4774" s="436">
        <f t="shared" si="198"/>
        <v>0</v>
      </c>
      <c r="P4774" s="89" t="s">
        <v>5411</v>
      </c>
      <c r="Q4774" s="422" t="s">
        <v>47</v>
      </c>
      <c r="R4774" s="422" t="s">
        <v>1869</v>
      </c>
      <c r="S4774" s="422" t="s">
        <v>1861</v>
      </c>
      <c r="U4774" s="422" t="s">
        <v>1953</v>
      </c>
      <c r="V4774" s="422" t="s">
        <v>2813</v>
      </c>
    </row>
    <row r="4775" spans="1:22" ht="15.75" thickBot="1" x14ac:dyDescent="0.3">
      <c r="A4775" t="s">
        <v>4593</v>
      </c>
      <c r="B4775" t="s">
        <v>4593</v>
      </c>
      <c r="C4775" s="424" t="str">
        <f t="shared" si="196"/>
        <v>RDL - Rodoviária do Lis, LDA.</v>
      </c>
      <c r="D4775" t="s">
        <v>629</v>
      </c>
      <c r="F4775" s="422" t="s">
        <v>620</v>
      </c>
      <c r="G4775" s="89" t="s">
        <v>2204</v>
      </c>
      <c r="H4775" s="313" t="s">
        <v>731</v>
      </c>
      <c r="I4775" s="311" t="str">
        <f t="shared" si="197"/>
        <v>Pesado de Passageiros M3:  : Gasóleo : E4</v>
      </c>
      <c r="J4775">
        <v>30</v>
      </c>
      <c r="K4775" s="422">
        <v>2023</v>
      </c>
      <c r="L4775" s="427">
        <v>3460.04</v>
      </c>
      <c r="M4775" s="427" t="s">
        <v>630</v>
      </c>
      <c r="N4775" s="434">
        <v>20044</v>
      </c>
      <c r="O4775" s="436">
        <f t="shared" si="198"/>
        <v>601320</v>
      </c>
      <c r="P4775" s="89" t="s">
        <v>2655</v>
      </c>
      <c r="Q4775" s="422" t="s">
        <v>47</v>
      </c>
      <c r="R4775" s="422" t="s">
        <v>1869</v>
      </c>
      <c r="S4775" s="422" t="s">
        <v>1861</v>
      </c>
      <c r="U4775" s="422" t="s">
        <v>1953</v>
      </c>
      <c r="V4775" s="422" t="s">
        <v>2813</v>
      </c>
    </row>
    <row r="4776" spans="1:22" ht="15.75" thickBot="1" x14ac:dyDescent="0.3">
      <c r="A4776" t="s">
        <v>4593</v>
      </c>
      <c r="B4776" t="s">
        <v>4593</v>
      </c>
      <c r="C4776" s="424" t="str">
        <f t="shared" si="196"/>
        <v>RDL - Rodoviária do Lis, LDA.</v>
      </c>
      <c r="D4776" t="s">
        <v>629</v>
      </c>
      <c r="F4776" s="422" t="s">
        <v>620</v>
      </c>
      <c r="G4776" s="89" t="s">
        <v>2215</v>
      </c>
      <c r="H4776" s="313" t="s">
        <v>735</v>
      </c>
      <c r="I4776" s="311" t="str">
        <f t="shared" si="197"/>
        <v>Pesado de Passageiros M3:  : Gasóleo : E2</v>
      </c>
      <c r="J4776">
        <v>80</v>
      </c>
      <c r="K4776" s="422">
        <v>2023</v>
      </c>
      <c r="L4776" s="427">
        <v>10937.8</v>
      </c>
      <c r="M4776" s="427" t="s">
        <v>630</v>
      </c>
      <c r="N4776" s="434">
        <v>30818</v>
      </c>
      <c r="O4776" s="436">
        <f t="shared" si="198"/>
        <v>2465440</v>
      </c>
      <c r="P4776" s="89" t="s">
        <v>2660</v>
      </c>
      <c r="Q4776" s="422" t="s">
        <v>47</v>
      </c>
      <c r="R4776" s="422" t="s">
        <v>1869</v>
      </c>
      <c r="S4776" s="422" t="s">
        <v>1861</v>
      </c>
      <c r="U4776" s="422" t="s">
        <v>1953</v>
      </c>
      <c r="V4776" s="422" t="s">
        <v>2813</v>
      </c>
    </row>
    <row r="4777" spans="1:22" ht="15.75" thickBot="1" x14ac:dyDescent="0.3">
      <c r="A4777" t="s">
        <v>4593</v>
      </c>
      <c r="B4777" t="s">
        <v>4593</v>
      </c>
      <c r="C4777" s="424" t="str">
        <f t="shared" si="196"/>
        <v>RDL - Rodoviária do Lis, LDA.</v>
      </c>
      <c r="D4777" t="s">
        <v>629</v>
      </c>
      <c r="F4777" s="422" t="s">
        <v>620</v>
      </c>
      <c r="G4777" s="89" t="s">
        <v>2206</v>
      </c>
      <c r="H4777" s="313" t="s">
        <v>735</v>
      </c>
      <c r="I4777" s="311" t="str">
        <f t="shared" si="197"/>
        <v>Pesado de Passageiros M3:  : Gasóleo : E2</v>
      </c>
      <c r="J4777">
        <v>80</v>
      </c>
      <c r="K4777" s="422">
        <v>2023</v>
      </c>
      <c r="L4777" s="427">
        <v>10901.99</v>
      </c>
      <c r="M4777" s="427" t="s">
        <v>630</v>
      </c>
      <c r="N4777" s="434">
        <v>30341</v>
      </c>
      <c r="O4777" s="436">
        <f t="shared" si="198"/>
        <v>2427280</v>
      </c>
      <c r="P4777" s="89" t="s">
        <v>2661</v>
      </c>
      <c r="Q4777" s="422" t="s">
        <v>47</v>
      </c>
      <c r="R4777" s="422" t="s">
        <v>1869</v>
      </c>
      <c r="S4777" s="422" t="s">
        <v>1861</v>
      </c>
      <c r="U4777" s="422" t="s">
        <v>1953</v>
      </c>
      <c r="V4777" s="422" t="s">
        <v>2813</v>
      </c>
    </row>
    <row r="4778" spans="1:22" ht="15.75" thickBot="1" x14ac:dyDescent="0.3">
      <c r="A4778" t="s">
        <v>4593</v>
      </c>
      <c r="B4778" t="s">
        <v>4593</v>
      </c>
      <c r="C4778" s="424" t="str">
        <f t="shared" si="196"/>
        <v>RDL - Rodoviária do Lis, LDA.</v>
      </c>
      <c r="D4778" t="s">
        <v>629</v>
      </c>
      <c r="F4778" s="422" t="s">
        <v>620</v>
      </c>
      <c r="G4778" s="89" t="s">
        <v>1954</v>
      </c>
      <c r="H4778" s="313" t="s">
        <v>735</v>
      </c>
      <c r="I4778" s="311" t="str">
        <f t="shared" si="197"/>
        <v>Pesado de Passageiros M3:  : Gasóleo : E2</v>
      </c>
      <c r="J4778">
        <v>82</v>
      </c>
      <c r="K4778" s="422">
        <v>2023</v>
      </c>
      <c r="L4778" s="427">
        <v>14660.36</v>
      </c>
      <c r="M4778" s="427" t="s">
        <v>630</v>
      </c>
      <c r="N4778" s="434">
        <v>47492</v>
      </c>
      <c r="O4778" s="436">
        <f t="shared" si="198"/>
        <v>3894344</v>
      </c>
      <c r="P4778" s="89" t="s">
        <v>2662</v>
      </c>
      <c r="Q4778" s="422" t="s">
        <v>47</v>
      </c>
      <c r="R4778" s="422" t="s">
        <v>1869</v>
      </c>
      <c r="S4778" s="422" t="s">
        <v>1861</v>
      </c>
      <c r="U4778" s="422" t="s">
        <v>1953</v>
      </c>
      <c r="V4778" s="422" t="s">
        <v>2813</v>
      </c>
    </row>
    <row r="4779" spans="1:22" ht="15.75" thickBot="1" x14ac:dyDescent="0.3">
      <c r="A4779" t="s">
        <v>4593</v>
      </c>
      <c r="B4779" t="s">
        <v>4593</v>
      </c>
      <c r="C4779" s="424" t="str">
        <f t="shared" si="196"/>
        <v>RDL - Rodoviária do Lis, LDA.</v>
      </c>
      <c r="D4779" t="s">
        <v>629</v>
      </c>
      <c r="F4779" s="422" t="s">
        <v>620</v>
      </c>
      <c r="G4779" s="89" t="s">
        <v>1954</v>
      </c>
      <c r="H4779" s="313" t="s">
        <v>735</v>
      </c>
      <c r="I4779" s="311" t="str">
        <f t="shared" si="197"/>
        <v>Pesado de Passageiros M3:  : Gasóleo : E2</v>
      </c>
      <c r="J4779">
        <v>82</v>
      </c>
      <c r="K4779" s="422">
        <v>2023</v>
      </c>
      <c r="L4779" s="427">
        <v>9769.25</v>
      </c>
      <c r="M4779" s="427" t="s">
        <v>630</v>
      </c>
      <c r="N4779" s="434">
        <v>28866</v>
      </c>
      <c r="O4779" s="436">
        <f t="shared" si="198"/>
        <v>2367012</v>
      </c>
      <c r="P4779" s="89" t="s">
        <v>2663</v>
      </c>
      <c r="Q4779" s="422" t="s">
        <v>47</v>
      </c>
      <c r="R4779" s="422" t="s">
        <v>1869</v>
      </c>
      <c r="S4779" s="422" t="s">
        <v>1861</v>
      </c>
      <c r="U4779" s="422" t="s">
        <v>1953</v>
      </c>
      <c r="V4779" s="422" t="s">
        <v>2813</v>
      </c>
    </row>
    <row r="4780" spans="1:22" ht="15.75" thickBot="1" x14ac:dyDescent="0.3">
      <c r="A4780" t="s">
        <v>4593</v>
      </c>
      <c r="B4780" t="s">
        <v>4593</v>
      </c>
      <c r="C4780" s="424" t="str">
        <f t="shared" si="196"/>
        <v>RDL - Rodoviária do Lis, LDA.</v>
      </c>
      <c r="D4780" t="s">
        <v>629</v>
      </c>
      <c r="F4780" s="422" t="s">
        <v>620</v>
      </c>
      <c r="G4780" s="89" t="s">
        <v>2206</v>
      </c>
      <c r="H4780" s="313" t="s">
        <v>735</v>
      </c>
      <c r="I4780" s="311" t="str">
        <f t="shared" si="197"/>
        <v>Pesado de Passageiros M3:  : Gasóleo : E2</v>
      </c>
      <c r="J4780">
        <v>55</v>
      </c>
      <c r="K4780" s="422">
        <v>2023</v>
      </c>
      <c r="L4780" s="427">
        <v>10201.67</v>
      </c>
      <c r="M4780" s="427" t="s">
        <v>630</v>
      </c>
      <c r="N4780" s="434">
        <v>30436</v>
      </c>
      <c r="O4780" s="436">
        <f t="shared" si="198"/>
        <v>1673980</v>
      </c>
      <c r="P4780" s="89" t="s">
        <v>2664</v>
      </c>
      <c r="Q4780" s="422" t="s">
        <v>47</v>
      </c>
      <c r="R4780" s="422" t="s">
        <v>1869</v>
      </c>
      <c r="S4780" s="422" t="s">
        <v>1861</v>
      </c>
      <c r="U4780" s="422" t="s">
        <v>1953</v>
      </c>
      <c r="V4780" s="422" t="s">
        <v>2813</v>
      </c>
    </row>
    <row r="4781" spans="1:22" ht="15.75" thickBot="1" x14ac:dyDescent="0.3">
      <c r="A4781" t="s">
        <v>4593</v>
      </c>
      <c r="B4781" t="s">
        <v>4593</v>
      </c>
      <c r="C4781" s="424" t="str">
        <f t="shared" si="196"/>
        <v>RDL - Rodoviária do Lis, LDA.</v>
      </c>
      <c r="D4781" t="s">
        <v>629</v>
      </c>
      <c r="F4781" s="422" t="s">
        <v>620</v>
      </c>
      <c r="G4781" s="89" t="s">
        <v>1954</v>
      </c>
      <c r="H4781" s="313" t="s">
        <v>735</v>
      </c>
      <c r="I4781" s="311" t="str">
        <f t="shared" si="197"/>
        <v>Pesado de Passageiros M3:  : Gasóleo : E2</v>
      </c>
      <c r="J4781">
        <v>55</v>
      </c>
      <c r="K4781" s="422">
        <v>2023</v>
      </c>
      <c r="L4781" s="427">
        <v>7177.42</v>
      </c>
      <c r="M4781" s="427" t="s">
        <v>630</v>
      </c>
      <c r="N4781" s="434">
        <v>19610</v>
      </c>
      <c r="O4781" s="436">
        <f t="shared" si="198"/>
        <v>1078550</v>
      </c>
      <c r="P4781" s="89" t="s">
        <v>2665</v>
      </c>
      <c r="Q4781" s="422" t="s">
        <v>47</v>
      </c>
      <c r="R4781" s="422" t="s">
        <v>1869</v>
      </c>
      <c r="S4781" s="422" t="s">
        <v>1861</v>
      </c>
      <c r="U4781" s="422" t="s">
        <v>1953</v>
      </c>
      <c r="V4781" s="422" t="s">
        <v>2813</v>
      </c>
    </row>
    <row r="4782" spans="1:22" ht="15.75" thickBot="1" x14ac:dyDescent="0.3">
      <c r="A4782" t="s">
        <v>4593</v>
      </c>
      <c r="B4782" t="s">
        <v>4593</v>
      </c>
      <c r="C4782" s="424" t="str">
        <f t="shared" si="196"/>
        <v>RDL - Rodoviária do Lis, LDA.</v>
      </c>
      <c r="D4782" t="s">
        <v>629</v>
      </c>
      <c r="F4782" s="422" t="s">
        <v>620</v>
      </c>
      <c r="G4782" s="89" t="s">
        <v>2216</v>
      </c>
      <c r="H4782" s="313" t="s">
        <v>2230</v>
      </c>
      <c r="I4782" s="311" t="str">
        <f t="shared" si="197"/>
        <v>Pesado de Passageiros M3:  : Gasóleo : E0</v>
      </c>
      <c r="J4782">
        <v>72</v>
      </c>
      <c r="K4782" s="422">
        <v>2023</v>
      </c>
      <c r="L4782" s="427">
        <v>8051.87</v>
      </c>
      <c r="M4782" s="427" t="s">
        <v>630</v>
      </c>
      <c r="N4782" s="434">
        <v>26337</v>
      </c>
      <c r="O4782" s="436">
        <f t="shared" si="198"/>
        <v>1896264</v>
      </c>
      <c r="P4782" s="89" t="s">
        <v>2666</v>
      </c>
      <c r="Q4782" s="422" t="s">
        <v>47</v>
      </c>
      <c r="R4782" s="422" t="s">
        <v>1869</v>
      </c>
      <c r="S4782" s="422" t="s">
        <v>1861</v>
      </c>
      <c r="U4782" s="422" t="s">
        <v>1953</v>
      </c>
      <c r="V4782" s="422" t="s">
        <v>2813</v>
      </c>
    </row>
    <row r="4783" spans="1:22" ht="15.75" thickBot="1" x14ac:dyDescent="0.3">
      <c r="A4783" t="s">
        <v>4593</v>
      </c>
      <c r="B4783" t="s">
        <v>4593</v>
      </c>
      <c r="C4783" s="424" t="str">
        <f t="shared" si="196"/>
        <v>RDL - Rodoviária do Lis, LDA.</v>
      </c>
      <c r="D4783" t="s">
        <v>629</v>
      </c>
      <c r="F4783" s="422" t="s">
        <v>620</v>
      </c>
      <c r="G4783" s="89" t="s">
        <v>2217</v>
      </c>
      <c r="H4783" s="313" t="s">
        <v>736</v>
      </c>
      <c r="I4783" s="311" t="str">
        <f t="shared" si="197"/>
        <v>Pesado de Passageiros M3:  : Gasóleo : E1</v>
      </c>
      <c r="J4783">
        <v>87</v>
      </c>
      <c r="K4783" s="422">
        <v>2023</v>
      </c>
      <c r="L4783" s="427">
        <v>15083.82</v>
      </c>
      <c r="M4783" s="427" t="s">
        <v>630</v>
      </c>
      <c r="N4783" s="434">
        <v>48304</v>
      </c>
      <c r="O4783" s="436">
        <f t="shared" si="198"/>
        <v>4202448</v>
      </c>
      <c r="P4783" s="89" t="s">
        <v>2668</v>
      </c>
      <c r="Q4783" s="422" t="s">
        <v>47</v>
      </c>
      <c r="R4783" s="422" t="s">
        <v>1869</v>
      </c>
      <c r="S4783" s="422" t="s">
        <v>1861</v>
      </c>
      <c r="U4783" s="422" t="s">
        <v>1953</v>
      </c>
      <c r="V4783" s="422" t="s">
        <v>2813</v>
      </c>
    </row>
    <row r="4784" spans="1:22" ht="15.75" thickBot="1" x14ac:dyDescent="0.3">
      <c r="A4784" t="s">
        <v>4593</v>
      </c>
      <c r="B4784" t="s">
        <v>4593</v>
      </c>
      <c r="C4784" s="424" t="str">
        <f t="shared" si="196"/>
        <v>RDL - Rodoviária do Lis, LDA.</v>
      </c>
      <c r="D4784" t="s">
        <v>629</v>
      </c>
      <c r="F4784" s="422" t="s">
        <v>620</v>
      </c>
      <c r="G4784" s="89" t="s">
        <v>2218</v>
      </c>
      <c r="H4784" s="313" t="s">
        <v>736</v>
      </c>
      <c r="I4784" s="311" t="str">
        <f t="shared" si="197"/>
        <v>Pesado de Passageiros M3:  : Gasóleo : E1</v>
      </c>
      <c r="J4784">
        <v>74</v>
      </c>
      <c r="K4784" s="422">
        <v>2023</v>
      </c>
      <c r="L4784" s="427">
        <v>10421.32</v>
      </c>
      <c r="M4784" s="427" t="s">
        <v>630</v>
      </c>
      <c r="N4784" s="434">
        <v>31149</v>
      </c>
      <c r="O4784" s="436">
        <f t="shared" si="198"/>
        <v>2305026</v>
      </c>
      <c r="P4784" s="89" t="s">
        <v>2670</v>
      </c>
      <c r="Q4784" s="422" t="s">
        <v>47</v>
      </c>
      <c r="R4784" s="422" t="s">
        <v>1869</v>
      </c>
      <c r="S4784" s="422" t="s">
        <v>1861</v>
      </c>
      <c r="U4784" s="422" t="s">
        <v>1953</v>
      </c>
      <c r="V4784" s="422" t="s">
        <v>2813</v>
      </c>
    </row>
    <row r="4785" spans="1:22" ht="15.75" thickBot="1" x14ac:dyDescent="0.3">
      <c r="A4785" t="s">
        <v>4593</v>
      </c>
      <c r="B4785" t="s">
        <v>4593</v>
      </c>
      <c r="C4785" s="424" t="str">
        <f t="shared" si="196"/>
        <v>RDL - Rodoviária do Lis, LDA.</v>
      </c>
      <c r="D4785" t="s">
        <v>629</v>
      </c>
      <c r="F4785" s="422" t="s">
        <v>620</v>
      </c>
      <c r="G4785" s="89" t="s">
        <v>2217</v>
      </c>
      <c r="H4785" s="313" t="s">
        <v>736</v>
      </c>
      <c r="I4785" s="311" t="str">
        <f t="shared" si="197"/>
        <v>Pesado de Passageiros M3:  : Gasóleo : E1</v>
      </c>
      <c r="J4785">
        <v>74</v>
      </c>
      <c r="K4785" s="422">
        <v>2023</v>
      </c>
      <c r="L4785" s="427">
        <v>11475.96</v>
      </c>
      <c r="M4785" s="427" t="s">
        <v>630</v>
      </c>
      <c r="N4785" s="434">
        <v>35921</v>
      </c>
      <c r="O4785" s="436">
        <f t="shared" si="198"/>
        <v>2658154</v>
      </c>
      <c r="P4785" s="89" t="s">
        <v>2671</v>
      </c>
      <c r="Q4785" s="422" t="s">
        <v>47</v>
      </c>
      <c r="R4785" s="422" t="s">
        <v>1869</v>
      </c>
      <c r="S4785" s="422" t="s">
        <v>1861</v>
      </c>
      <c r="U4785" s="422" t="s">
        <v>1953</v>
      </c>
      <c r="V4785" s="422" t="s">
        <v>2813</v>
      </c>
    </row>
    <row r="4786" spans="1:22" ht="15.75" thickBot="1" x14ac:dyDescent="0.3">
      <c r="A4786" t="s">
        <v>4593</v>
      </c>
      <c r="B4786" t="s">
        <v>4593</v>
      </c>
      <c r="C4786" s="424" t="str">
        <f t="shared" si="196"/>
        <v>RDL - Rodoviária do Lis, LDA.</v>
      </c>
      <c r="D4786" t="s">
        <v>629</v>
      </c>
      <c r="F4786" s="422" t="s">
        <v>620</v>
      </c>
      <c r="G4786" s="89" t="s">
        <v>2209</v>
      </c>
      <c r="H4786" s="313" t="s">
        <v>736</v>
      </c>
      <c r="I4786" s="311" t="str">
        <f t="shared" si="197"/>
        <v>Pesado de Passageiros M3:  : Gasóleo : E1</v>
      </c>
      <c r="J4786">
        <v>83</v>
      </c>
      <c r="K4786" s="422">
        <v>2023</v>
      </c>
      <c r="L4786" s="427">
        <v>9474.8799999999992</v>
      </c>
      <c r="M4786" s="427" t="s">
        <v>630</v>
      </c>
      <c r="N4786" s="434">
        <v>26987</v>
      </c>
      <c r="O4786" s="436">
        <f t="shared" si="198"/>
        <v>2239921</v>
      </c>
      <c r="P4786" s="89" t="s">
        <v>2672</v>
      </c>
      <c r="Q4786" s="422" t="s">
        <v>47</v>
      </c>
      <c r="R4786" s="422" t="s">
        <v>1869</v>
      </c>
      <c r="S4786" s="422" t="s">
        <v>1861</v>
      </c>
      <c r="U4786" s="422" t="s">
        <v>1953</v>
      </c>
      <c r="V4786" s="422" t="s">
        <v>2813</v>
      </c>
    </row>
    <row r="4787" spans="1:22" ht="15.75" thickBot="1" x14ac:dyDescent="0.3">
      <c r="A4787" t="s">
        <v>4593</v>
      </c>
      <c r="B4787" t="s">
        <v>4593</v>
      </c>
      <c r="C4787" s="424" t="str">
        <f t="shared" si="196"/>
        <v>RDL - Rodoviária do Lis, LDA.</v>
      </c>
      <c r="D4787" t="s">
        <v>629</v>
      </c>
      <c r="F4787" s="422" t="s">
        <v>620</v>
      </c>
      <c r="G4787" s="89" t="s">
        <v>2209</v>
      </c>
      <c r="H4787" s="313" t="s">
        <v>736</v>
      </c>
      <c r="I4787" s="311" t="str">
        <f t="shared" si="197"/>
        <v>Pesado de Passageiros M3:  : Gasóleo : E1</v>
      </c>
      <c r="J4787">
        <v>83</v>
      </c>
      <c r="K4787" s="422">
        <v>2023</v>
      </c>
      <c r="L4787" s="427">
        <v>8762.5600000000013</v>
      </c>
      <c r="M4787" s="427" t="s">
        <v>630</v>
      </c>
      <c r="N4787" s="434">
        <v>23866</v>
      </c>
      <c r="O4787" s="436">
        <f t="shared" si="198"/>
        <v>1980878</v>
      </c>
      <c r="P4787" s="89" t="s">
        <v>2674</v>
      </c>
      <c r="Q4787" s="422" t="s">
        <v>47</v>
      </c>
      <c r="R4787" s="422" t="s">
        <v>1869</v>
      </c>
      <c r="S4787" s="422" t="s">
        <v>1861</v>
      </c>
      <c r="U4787" s="422" t="s">
        <v>1953</v>
      </c>
      <c r="V4787" s="422" t="s">
        <v>2813</v>
      </c>
    </row>
    <row r="4788" spans="1:22" ht="15.75" thickBot="1" x14ac:dyDescent="0.3">
      <c r="A4788" t="s">
        <v>4593</v>
      </c>
      <c r="B4788" t="s">
        <v>4593</v>
      </c>
      <c r="C4788" s="424" t="str">
        <f t="shared" si="196"/>
        <v>RDL - Rodoviária do Lis, LDA.</v>
      </c>
      <c r="D4788" t="s">
        <v>629</v>
      </c>
      <c r="F4788" s="422" t="s">
        <v>620</v>
      </c>
      <c r="G4788" s="89" t="s">
        <v>2209</v>
      </c>
      <c r="H4788" s="313" t="s">
        <v>736</v>
      </c>
      <c r="I4788" s="311" t="str">
        <f t="shared" si="197"/>
        <v>Pesado de Passageiros M3:  : Gasóleo : E1</v>
      </c>
      <c r="J4788">
        <v>83</v>
      </c>
      <c r="K4788" s="422">
        <v>2023</v>
      </c>
      <c r="L4788" s="427">
        <v>10283.5</v>
      </c>
      <c r="M4788" s="427" t="s">
        <v>630</v>
      </c>
      <c r="N4788" s="434">
        <v>28766</v>
      </c>
      <c r="O4788" s="436">
        <f t="shared" si="198"/>
        <v>2387578</v>
      </c>
      <c r="P4788" s="89" t="s">
        <v>2675</v>
      </c>
      <c r="Q4788" s="422" t="s">
        <v>47</v>
      </c>
      <c r="R4788" s="422" t="s">
        <v>1869</v>
      </c>
      <c r="S4788" s="422" t="s">
        <v>1861</v>
      </c>
      <c r="U4788" s="422" t="s">
        <v>1953</v>
      </c>
      <c r="V4788" s="422" t="s">
        <v>2813</v>
      </c>
    </row>
    <row r="4789" spans="1:22" ht="15.75" thickBot="1" x14ac:dyDescent="0.3">
      <c r="A4789" t="s">
        <v>4593</v>
      </c>
      <c r="B4789" t="s">
        <v>4593</v>
      </c>
      <c r="C4789" s="424" t="str">
        <f t="shared" si="196"/>
        <v>RDL - Rodoviária do Lis, LDA.</v>
      </c>
      <c r="D4789" t="s">
        <v>629</v>
      </c>
      <c r="F4789" s="422" t="s">
        <v>620</v>
      </c>
      <c r="G4789" s="89" t="s">
        <v>2206</v>
      </c>
      <c r="H4789" s="313" t="s">
        <v>735</v>
      </c>
      <c r="I4789" s="311" t="str">
        <f t="shared" si="197"/>
        <v>Pesado de Passageiros M3:  : Gasóleo : E2</v>
      </c>
      <c r="J4789">
        <v>69</v>
      </c>
      <c r="K4789" s="422">
        <v>2023</v>
      </c>
      <c r="L4789" s="427">
        <v>9069.57</v>
      </c>
      <c r="M4789" s="427" t="s">
        <v>630</v>
      </c>
      <c r="N4789" s="434">
        <v>26516</v>
      </c>
      <c r="O4789" s="436">
        <f t="shared" si="198"/>
        <v>1829604</v>
      </c>
      <c r="P4789" s="89" t="s">
        <v>2678</v>
      </c>
      <c r="Q4789" s="422" t="s">
        <v>47</v>
      </c>
      <c r="R4789" s="422" t="s">
        <v>1869</v>
      </c>
      <c r="S4789" s="422" t="s">
        <v>1861</v>
      </c>
      <c r="U4789" s="422" t="s">
        <v>1953</v>
      </c>
      <c r="V4789" s="422" t="s">
        <v>2813</v>
      </c>
    </row>
    <row r="4790" spans="1:22" ht="15.75" thickBot="1" x14ac:dyDescent="0.3">
      <c r="A4790" t="s">
        <v>4593</v>
      </c>
      <c r="B4790" t="s">
        <v>4593</v>
      </c>
      <c r="C4790" s="424" t="str">
        <f t="shared" si="196"/>
        <v>RDL - Rodoviária do Lis, LDA.</v>
      </c>
      <c r="D4790" t="s">
        <v>629</v>
      </c>
      <c r="F4790" s="422" t="s">
        <v>620</v>
      </c>
      <c r="G4790" s="89" t="s">
        <v>2219</v>
      </c>
      <c r="H4790" s="313" t="s">
        <v>732</v>
      </c>
      <c r="I4790" s="311" t="str">
        <f t="shared" si="197"/>
        <v>Pesado de Passageiros M3:  : Gasóleo : E3</v>
      </c>
      <c r="J4790">
        <v>83</v>
      </c>
      <c r="K4790" s="422">
        <v>2023</v>
      </c>
      <c r="L4790" s="427">
        <v>14345.79</v>
      </c>
      <c r="M4790" s="427" t="s">
        <v>630</v>
      </c>
      <c r="N4790" s="434">
        <v>41380</v>
      </c>
      <c r="O4790" s="436">
        <f t="shared" si="198"/>
        <v>3434540</v>
      </c>
      <c r="P4790" s="89" t="s">
        <v>2679</v>
      </c>
      <c r="Q4790" s="422" t="s">
        <v>47</v>
      </c>
      <c r="R4790" s="422" t="s">
        <v>1869</v>
      </c>
      <c r="S4790" s="422" t="s">
        <v>1861</v>
      </c>
      <c r="U4790" s="422" t="s">
        <v>1953</v>
      </c>
      <c r="V4790" s="422" t="s">
        <v>2813</v>
      </c>
    </row>
    <row r="4791" spans="1:22" ht="15.75" thickBot="1" x14ac:dyDescent="0.3">
      <c r="A4791" t="s">
        <v>4593</v>
      </c>
      <c r="B4791" t="s">
        <v>4593</v>
      </c>
      <c r="C4791" s="424" t="str">
        <f t="shared" si="196"/>
        <v>RDL - Rodoviária do Lis, LDA.</v>
      </c>
      <c r="D4791" t="s">
        <v>629</v>
      </c>
      <c r="F4791" s="422" t="s">
        <v>620</v>
      </c>
      <c r="G4791" s="89" t="s">
        <v>2220</v>
      </c>
      <c r="H4791" s="313" t="s">
        <v>732</v>
      </c>
      <c r="I4791" s="311" t="str">
        <f t="shared" si="197"/>
        <v>Pesado de Passageiros M3:  : Gasóleo : E3</v>
      </c>
      <c r="J4791">
        <v>63</v>
      </c>
      <c r="K4791" s="422">
        <v>2023</v>
      </c>
      <c r="L4791" s="427">
        <v>11496.29</v>
      </c>
      <c r="M4791" s="427" t="s">
        <v>630</v>
      </c>
      <c r="N4791" s="434">
        <v>33092</v>
      </c>
      <c r="O4791" s="436">
        <f t="shared" si="198"/>
        <v>2084796</v>
      </c>
      <c r="P4791" s="89" t="s">
        <v>2680</v>
      </c>
      <c r="Q4791" s="422" t="s">
        <v>47</v>
      </c>
      <c r="R4791" s="422" t="s">
        <v>1869</v>
      </c>
      <c r="S4791" s="422" t="s">
        <v>1861</v>
      </c>
      <c r="U4791" s="422" t="s">
        <v>1953</v>
      </c>
      <c r="V4791" s="422" t="s">
        <v>2813</v>
      </c>
    </row>
    <row r="4792" spans="1:22" ht="15.75" thickBot="1" x14ac:dyDescent="0.3">
      <c r="A4792" t="s">
        <v>4593</v>
      </c>
      <c r="B4792" t="s">
        <v>4593</v>
      </c>
      <c r="C4792" s="424" t="str">
        <f t="shared" si="196"/>
        <v>RDL - Rodoviária do Lis, LDA.</v>
      </c>
      <c r="D4792" t="s">
        <v>629</v>
      </c>
      <c r="F4792" s="422" t="s">
        <v>620</v>
      </c>
      <c r="G4792" s="89" t="s">
        <v>2220</v>
      </c>
      <c r="H4792" s="313" t="s">
        <v>732</v>
      </c>
      <c r="I4792" s="311" t="str">
        <f t="shared" si="197"/>
        <v>Pesado de Passageiros M3:  : Gasóleo : E3</v>
      </c>
      <c r="J4792">
        <v>78</v>
      </c>
      <c r="K4792" s="422">
        <v>2023</v>
      </c>
      <c r="L4792" s="427">
        <v>13021.34</v>
      </c>
      <c r="M4792" s="427" t="s">
        <v>630</v>
      </c>
      <c r="N4792" s="434">
        <v>35948</v>
      </c>
      <c r="O4792" s="436">
        <f t="shared" si="198"/>
        <v>2803944</v>
      </c>
      <c r="P4792" s="89" t="s">
        <v>2681</v>
      </c>
      <c r="Q4792" s="422" t="s">
        <v>47</v>
      </c>
      <c r="R4792" s="422" t="s">
        <v>1869</v>
      </c>
      <c r="S4792" s="422" t="s">
        <v>1861</v>
      </c>
      <c r="U4792" s="422" t="s">
        <v>1953</v>
      </c>
      <c r="V4792" s="422" t="s">
        <v>2813</v>
      </c>
    </row>
    <row r="4793" spans="1:22" ht="15.75" thickBot="1" x14ac:dyDescent="0.3">
      <c r="A4793" t="s">
        <v>4593</v>
      </c>
      <c r="B4793" t="s">
        <v>4593</v>
      </c>
      <c r="C4793" s="424" t="str">
        <f t="shared" si="196"/>
        <v>RDL - Rodoviária do Lis, LDA.</v>
      </c>
      <c r="D4793" t="s">
        <v>629</v>
      </c>
      <c r="F4793" s="422" t="s">
        <v>620</v>
      </c>
      <c r="G4793" s="89" t="s">
        <v>2214</v>
      </c>
      <c r="H4793" s="313" t="s">
        <v>734</v>
      </c>
      <c r="I4793" s="311" t="str">
        <f t="shared" si="197"/>
        <v>Pesado de Passageiros M3:  : Gasóleo : E5</v>
      </c>
      <c r="J4793">
        <v>63</v>
      </c>
      <c r="K4793" s="422">
        <v>2023</v>
      </c>
      <c r="L4793" s="427">
        <v>13472.59</v>
      </c>
      <c r="M4793" s="427" t="s">
        <v>630</v>
      </c>
      <c r="N4793" s="434">
        <v>38594</v>
      </c>
      <c r="O4793" s="436">
        <f t="shared" si="198"/>
        <v>2431422</v>
      </c>
      <c r="P4793" s="89" t="s">
        <v>2683</v>
      </c>
      <c r="Q4793" s="422" t="s">
        <v>47</v>
      </c>
      <c r="R4793" s="422" t="s">
        <v>1869</v>
      </c>
      <c r="S4793" s="422" t="s">
        <v>1861</v>
      </c>
      <c r="U4793" s="422" t="s">
        <v>1953</v>
      </c>
      <c r="V4793" s="422" t="s">
        <v>2813</v>
      </c>
    </row>
    <row r="4794" spans="1:22" ht="15.75" thickBot="1" x14ac:dyDescent="0.3">
      <c r="A4794" t="s">
        <v>4593</v>
      </c>
      <c r="B4794" t="s">
        <v>4593</v>
      </c>
      <c r="C4794" s="424" t="str">
        <f t="shared" si="196"/>
        <v>RDL - Rodoviária do Lis, LDA.</v>
      </c>
      <c r="D4794" t="s">
        <v>629</v>
      </c>
      <c r="F4794" s="422" t="s">
        <v>620</v>
      </c>
      <c r="G4794" s="89" t="s">
        <v>2207</v>
      </c>
      <c r="H4794" s="313" t="s">
        <v>735</v>
      </c>
      <c r="I4794" s="311" t="str">
        <f t="shared" si="197"/>
        <v>Pesado de Passageiros M3:  : Gasóleo : E2</v>
      </c>
      <c r="J4794">
        <v>51</v>
      </c>
      <c r="K4794" s="422">
        <v>2023</v>
      </c>
      <c r="L4794" s="427">
        <v>9907.52</v>
      </c>
      <c r="M4794" s="427" t="s">
        <v>630</v>
      </c>
      <c r="N4794" s="434">
        <v>25539</v>
      </c>
      <c r="O4794" s="436">
        <f t="shared" si="198"/>
        <v>1302489</v>
      </c>
      <c r="P4794" s="89" t="s">
        <v>2684</v>
      </c>
      <c r="Q4794" s="422" t="s">
        <v>47</v>
      </c>
      <c r="R4794" s="422" t="s">
        <v>1869</v>
      </c>
      <c r="S4794" s="422" t="s">
        <v>1861</v>
      </c>
      <c r="U4794" s="422" t="s">
        <v>1953</v>
      </c>
      <c r="V4794" s="422" t="s">
        <v>2813</v>
      </c>
    </row>
    <row r="4795" spans="1:22" ht="15.75" thickBot="1" x14ac:dyDescent="0.3">
      <c r="A4795" t="s">
        <v>4593</v>
      </c>
      <c r="B4795" t="s">
        <v>4593</v>
      </c>
      <c r="C4795" s="424" t="str">
        <f t="shared" si="196"/>
        <v>RDL - Rodoviária do Lis, LDA.</v>
      </c>
      <c r="D4795" t="s">
        <v>629</v>
      </c>
      <c r="F4795" s="422" t="s">
        <v>620</v>
      </c>
      <c r="G4795" s="89" t="s">
        <v>2211</v>
      </c>
      <c r="H4795" s="313" t="s">
        <v>734</v>
      </c>
      <c r="I4795" s="311" t="str">
        <f t="shared" si="197"/>
        <v>Pesado de Passageiros M3:  : Gasóleo : E5</v>
      </c>
      <c r="J4795">
        <v>83</v>
      </c>
      <c r="K4795" s="422">
        <v>2023</v>
      </c>
      <c r="L4795" s="427">
        <v>12997.279999999999</v>
      </c>
      <c r="M4795" s="427" t="s">
        <v>630</v>
      </c>
      <c r="N4795" s="434">
        <v>43239</v>
      </c>
      <c r="O4795" s="436">
        <f t="shared" si="198"/>
        <v>3588837</v>
      </c>
      <c r="P4795" s="89" t="s">
        <v>2689</v>
      </c>
      <c r="Q4795" s="422" t="s">
        <v>47</v>
      </c>
      <c r="R4795" s="422" t="s">
        <v>1869</v>
      </c>
      <c r="S4795" s="422" t="s">
        <v>1861</v>
      </c>
      <c r="U4795" s="422" t="s">
        <v>1953</v>
      </c>
      <c r="V4795" s="422" t="s">
        <v>2813</v>
      </c>
    </row>
    <row r="4796" spans="1:22" ht="15.75" thickBot="1" x14ac:dyDescent="0.3">
      <c r="A4796" t="s">
        <v>4593</v>
      </c>
      <c r="B4796" t="s">
        <v>4593</v>
      </c>
      <c r="C4796" s="424" t="str">
        <f t="shared" si="196"/>
        <v>RDL - Rodoviária do Lis, LDA.</v>
      </c>
      <c r="D4796" t="s">
        <v>629</v>
      </c>
      <c r="F4796" s="422" t="s">
        <v>620</v>
      </c>
      <c r="G4796" s="89" t="s">
        <v>2211</v>
      </c>
      <c r="H4796" s="313" t="s">
        <v>734</v>
      </c>
      <c r="I4796" s="311" t="str">
        <f t="shared" si="197"/>
        <v>Pesado de Passageiros M3:  : Gasóleo : E5</v>
      </c>
      <c r="J4796">
        <v>83</v>
      </c>
      <c r="K4796" s="422">
        <v>2023</v>
      </c>
      <c r="L4796" s="427">
        <v>13796.79</v>
      </c>
      <c r="M4796" s="427" t="s">
        <v>630</v>
      </c>
      <c r="N4796" s="434">
        <v>46134</v>
      </c>
      <c r="O4796" s="436">
        <f t="shared" si="198"/>
        <v>3829122</v>
      </c>
      <c r="P4796" s="89" t="s">
        <v>2692</v>
      </c>
      <c r="Q4796" s="422" t="s">
        <v>47</v>
      </c>
      <c r="R4796" s="422" t="s">
        <v>1869</v>
      </c>
      <c r="S4796" s="422" t="s">
        <v>1861</v>
      </c>
      <c r="U4796" s="422" t="s">
        <v>1953</v>
      </c>
      <c r="V4796" s="422" t="s">
        <v>2813</v>
      </c>
    </row>
    <row r="4797" spans="1:22" ht="15.75" thickBot="1" x14ac:dyDescent="0.3">
      <c r="A4797" t="s">
        <v>4593</v>
      </c>
      <c r="B4797" t="s">
        <v>4593</v>
      </c>
      <c r="C4797" s="424" t="str">
        <f t="shared" si="196"/>
        <v>RDL - Rodoviária do Lis, LDA.</v>
      </c>
      <c r="D4797" t="s">
        <v>629</v>
      </c>
      <c r="F4797" s="422" t="s">
        <v>620</v>
      </c>
      <c r="G4797" s="89" t="s">
        <v>2211</v>
      </c>
      <c r="H4797" s="313" t="s">
        <v>731</v>
      </c>
      <c r="I4797" s="311" t="str">
        <f t="shared" si="197"/>
        <v>Pesado de Passageiros M3:  : Gasóleo : E4</v>
      </c>
      <c r="J4797">
        <v>71</v>
      </c>
      <c r="K4797" s="422">
        <v>2023</v>
      </c>
      <c r="L4797" s="427">
        <v>12752.05</v>
      </c>
      <c r="M4797" s="427" t="s">
        <v>630</v>
      </c>
      <c r="N4797" s="434">
        <v>36808</v>
      </c>
      <c r="O4797" s="436">
        <f t="shared" si="198"/>
        <v>2613368</v>
      </c>
      <c r="P4797" s="89" t="s">
        <v>2693</v>
      </c>
      <c r="Q4797" s="422" t="s">
        <v>47</v>
      </c>
      <c r="R4797" s="422" t="s">
        <v>1869</v>
      </c>
      <c r="S4797" s="422" t="s">
        <v>1861</v>
      </c>
      <c r="U4797" s="422" t="s">
        <v>1953</v>
      </c>
      <c r="V4797" s="422" t="s">
        <v>2813</v>
      </c>
    </row>
    <row r="4798" spans="1:22" ht="15.75" thickBot="1" x14ac:dyDescent="0.3">
      <c r="A4798" t="s">
        <v>4593</v>
      </c>
      <c r="B4798" t="s">
        <v>4593</v>
      </c>
      <c r="C4798" s="424" t="str">
        <f t="shared" si="196"/>
        <v>RDL - Rodoviária do Lis, LDA.</v>
      </c>
      <c r="D4798" t="s">
        <v>629</v>
      </c>
      <c r="F4798" s="422" t="s">
        <v>620</v>
      </c>
      <c r="G4798" s="89" t="s">
        <v>2214</v>
      </c>
      <c r="H4798" s="313" t="s">
        <v>733</v>
      </c>
      <c r="I4798" s="311" t="str">
        <f t="shared" si="197"/>
        <v>Pesado de Passageiros M3:  : Gasóleo : E6</v>
      </c>
      <c r="J4798">
        <v>23</v>
      </c>
      <c r="K4798" s="422">
        <v>2023</v>
      </c>
      <c r="L4798" s="427">
        <v>7164.3700000000008</v>
      </c>
      <c r="M4798" s="427" t="s">
        <v>630</v>
      </c>
      <c r="N4798" s="434">
        <v>46897</v>
      </c>
      <c r="O4798" s="436">
        <f t="shared" si="198"/>
        <v>1078631</v>
      </c>
      <c r="P4798" s="89" t="s">
        <v>2694</v>
      </c>
      <c r="Q4798" s="422" t="s">
        <v>47</v>
      </c>
      <c r="R4798" s="422" t="s">
        <v>1869</v>
      </c>
      <c r="S4798" s="422" t="s">
        <v>1861</v>
      </c>
      <c r="U4798" s="422" t="s">
        <v>1953</v>
      </c>
      <c r="V4798" s="422" t="s">
        <v>2813</v>
      </c>
    </row>
    <row r="4799" spans="1:22" ht="15.75" thickBot="1" x14ac:dyDescent="0.3">
      <c r="A4799" t="s">
        <v>4593</v>
      </c>
      <c r="B4799" t="s">
        <v>4593</v>
      </c>
      <c r="C4799" s="424" t="str">
        <f t="shared" si="196"/>
        <v>RDL - Rodoviária do Lis, LDA.</v>
      </c>
      <c r="D4799" t="s">
        <v>629</v>
      </c>
      <c r="F4799" s="422" t="s">
        <v>620</v>
      </c>
      <c r="G4799" s="89" t="s">
        <v>2214</v>
      </c>
      <c r="H4799" s="313" t="s">
        <v>733</v>
      </c>
      <c r="I4799" s="311" t="str">
        <f t="shared" si="197"/>
        <v>Pesado de Passageiros M3:  : Gasóleo : E6</v>
      </c>
      <c r="J4799">
        <v>23</v>
      </c>
      <c r="K4799" s="422">
        <v>2023</v>
      </c>
      <c r="L4799" s="427">
        <v>7201.08</v>
      </c>
      <c r="M4799" s="427" t="s">
        <v>630</v>
      </c>
      <c r="N4799" s="434">
        <v>37547</v>
      </c>
      <c r="O4799" s="436">
        <f t="shared" si="198"/>
        <v>863581</v>
      </c>
      <c r="P4799" s="89" t="s">
        <v>2695</v>
      </c>
      <c r="Q4799" s="422" t="s">
        <v>47</v>
      </c>
      <c r="R4799" s="422" t="s">
        <v>1869</v>
      </c>
      <c r="S4799" s="422" t="s">
        <v>1861</v>
      </c>
      <c r="U4799" s="422" t="s">
        <v>1953</v>
      </c>
      <c r="V4799" s="422" t="s">
        <v>2813</v>
      </c>
    </row>
    <row r="4800" spans="1:22" ht="15.75" thickBot="1" x14ac:dyDescent="0.3">
      <c r="A4800" t="s">
        <v>4593</v>
      </c>
      <c r="B4800" t="s">
        <v>4593</v>
      </c>
      <c r="C4800" s="424" t="str">
        <f t="shared" si="196"/>
        <v>RDL - Rodoviária do Lis, LDA.</v>
      </c>
      <c r="D4800" t="s">
        <v>629</v>
      </c>
      <c r="F4800" s="422" t="s">
        <v>620</v>
      </c>
      <c r="G4800" s="89" t="s">
        <v>2203</v>
      </c>
      <c r="H4800" s="313" t="s">
        <v>733</v>
      </c>
      <c r="I4800" s="311" t="str">
        <f t="shared" si="197"/>
        <v>Pesado de Passageiros M3:  : Gasóleo : E6</v>
      </c>
      <c r="J4800">
        <v>39</v>
      </c>
      <c r="K4800" s="422">
        <v>2023</v>
      </c>
      <c r="L4800" s="427">
        <v>17933.13</v>
      </c>
      <c r="M4800" s="427" t="s">
        <v>630</v>
      </c>
      <c r="N4800" s="434">
        <v>65682</v>
      </c>
      <c r="O4800" s="436">
        <f t="shared" si="198"/>
        <v>2561598</v>
      </c>
      <c r="P4800" s="89" t="s">
        <v>2696</v>
      </c>
      <c r="Q4800" s="422" t="s">
        <v>47</v>
      </c>
      <c r="R4800" s="422" t="s">
        <v>1869</v>
      </c>
      <c r="S4800" s="422" t="s">
        <v>1861</v>
      </c>
      <c r="U4800" s="422" t="s">
        <v>1953</v>
      </c>
      <c r="V4800" s="422" t="s">
        <v>2813</v>
      </c>
    </row>
    <row r="4801" spans="1:22" ht="15.75" thickBot="1" x14ac:dyDescent="0.3">
      <c r="A4801" t="s">
        <v>4593</v>
      </c>
      <c r="B4801" t="s">
        <v>4593</v>
      </c>
      <c r="C4801" s="424" t="str">
        <f t="shared" si="196"/>
        <v>RDL - Rodoviária do Lis, LDA.</v>
      </c>
      <c r="D4801" t="s">
        <v>629</v>
      </c>
      <c r="F4801" s="422" t="s">
        <v>620</v>
      </c>
      <c r="G4801" s="89" t="s">
        <v>2205</v>
      </c>
      <c r="H4801" s="313" t="s">
        <v>734</v>
      </c>
      <c r="I4801" s="311" t="str">
        <f t="shared" si="197"/>
        <v>Pesado de Passageiros M3:  : Gasóleo : E5</v>
      </c>
      <c r="J4801">
        <v>83</v>
      </c>
      <c r="K4801" s="422">
        <v>2023</v>
      </c>
      <c r="L4801" s="427">
        <v>14506.97</v>
      </c>
      <c r="M4801" s="427" t="s">
        <v>630</v>
      </c>
      <c r="N4801" s="434">
        <v>45711</v>
      </c>
      <c r="O4801" s="436">
        <f t="shared" si="198"/>
        <v>3794013</v>
      </c>
      <c r="P4801" s="89" t="s">
        <v>2699</v>
      </c>
      <c r="Q4801" s="422" t="s">
        <v>47</v>
      </c>
      <c r="R4801" s="422" t="s">
        <v>1869</v>
      </c>
      <c r="S4801" s="422" t="s">
        <v>1861</v>
      </c>
      <c r="U4801" s="422" t="s">
        <v>1953</v>
      </c>
      <c r="V4801" s="422" t="s">
        <v>2813</v>
      </c>
    </row>
    <row r="4802" spans="1:22" ht="15.75" thickBot="1" x14ac:dyDescent="0.3">
      <c r="A4802" t="s">
        <v>4593</v>
      </c>
      <c r="B4802" t="s">
        <v>4593</v>
      </c>
      <c r="C4802" s="424" t="str">
        <f t="shared" si="196"/>
        <v>RDL - Rodoviária do Lis, LDA.</v>
      </c>
      <c r="D4802" t="s">
        <v>629</v>
      </c>
      <c r="F4802" s="422" t="s">
        <v>620</v>
      </c>
      <c r="G4802" s="89" t="s">
        <v>2212</v>
      </c>
      <c r="H4802" s="313" t="s">
        <v>734</v>
      </c>
      <c r="I4802" s="311" t="str">
        <f t="shared" si="197"/>
        <v>Pesado de Passageiros M3:  : Gasóleo : E5</v>
      </c>
      <c r="J4802">
        <v>85</v>
      </c>
      <c r="K4802" s="422">
        <v>2023</v>
      </c>
      <c r="L4802" s="427">
        <v>12848.099999999999</v>
      </c>
      <c r="M4802" s="427" t="s">
        <v>630</v>
      </c>
      <c r="N4802" s="434">
        <v>41050</v>
      </c>
      <c r="O4802" s="436">
        <f t="shared" si="198"/>
        <v>3489250</v>
      </c>
      <c r="P4802" s="89" t="s">
        <v>2700</v>
      </c>
      <c r="Q4802" s="422" t="s">
        <v>47</v>
      </c>
      <c r="R4802" s="422" t="s">
        <v>1869</v>
      </c>
      <c r="S4802" s="422" t="s">
        <v>1861</v>
      </c>
      <c r="U4802" s="422" t="s">
        <v>1953</v>
      </c>
      <c r="V4802" s="422" t="s">
        <v>2813</v>
      </c>
    </row>
    <row r="4803" spans="1:22" ht="15.75" thickBot="1" x14ac:dyDescent="0.3">
      <c r="A4803" t="s">
        <v>4593</v>
      </c>
      <c r="B4803" t="s">
        <v>4593</v>
      </c>
      <c r="C4803" s="424" t="str">
        <f t="shared" si="196"/>
        <v>RDL - Rodoviária do Lis, LDA.</v>
      </c>
      <c r="D4803" t="s">
        <v>629</v>
      </c>
      <c r="F4803" s="422" t="s">
        <v>620</v>
      </c>
      <c r="G4803" s="89" t="s">
        <v>2203</v>
      </c>
      <c r="H4803" s="313" t="s">
        <v>733</v>
      </c>
      <c r="I4803" s="311" t="str">
        <f t="shared" si="197"/>
        <v>Pesado de Passageiros M3:  : Gasóleo : E6</v>
      </c>
      <c r="J4803">
        <v>25</v>
      </c>
      <c r="K4803" s="422">
        <v>2023</v>
      </c>
      <c r="L4803" s="427">
        <v>8645.02</v>
      </c>
      <c r="M4803" s="427" t="s">
        <v>630</v>
      </c>
      <c r="N4803" s="434">
        <v>46215</v>
      </c>
      <c r="O4803" s="436">
        <f t="shared" si="198"/>
        <v>1155375</v>
      </c>
      <c r="P4803" s="89" t="s">
        <v>2701</v>
      </c>
      <c r="Q4803" s="422" t="s">
        <v>47</v>
      </c>
      <c r="R4803" s="422" t="s">
        <v>1869</v>
      </c>
      <c r="S4803" s="422" t="s">
        <v>1861</v>
      </c>
      <c r="U4803" s="422" t="s">
        <v>1953</v>
      </c>
      <c r="V4803" s="422" t="s">
        <v>2813</v>
      </c>
    </row>
    <row r="4804" spans="1:22" ht="15.75" thickBot="1" x14ac:dyDescent="0.3">
      <c r="A4804" t="s">
        <v>4593</v>
      </c>
      <c r="B4804" t="s">
        <v>4593</v>
      </c>
      <c r="C4804" s="424" t="str">
        <f t="shared" si="196"/>
        <v>RDL - Rodoviária do Lis, LDA.</v>
      </c>
      <c r="D4804" t="s">
        <v>629</v>
      </c>
      <c r="F4804" s="422" t="s">
        <v>620</v>
      </c>
      <c r="G4804" s="89" t="s">
        <v>2204</v>
      </c>
      <c r="H4804" s="313" t="s">
        <v>734</v>
      </c>
      <c r="I4804" s="311" t="str">
        <f t="shared" si="197"/>
        <v>Pesado de Passageiros M3:  : Gasóleo : E5</v>
      </c>
      <c r="J4804">
        <v>71</v>
      </c>
      <c r="K4804" s="422">
        <v>2023</v>
      </c>
      <c r="L4804" s="427">
        <v>12698.29</v>
      </c>
      <c r="M4804" s="427" t="s">
        <v>630</v>
      </c>
      <c r="N4804" s="434">
        <v>39078</v>
      </c>
      <c r="O4804" s="436">
        <f t="shared" si="198"/>
        <v>2774538</v>
      </c>
      <c r="P4804" s="89" t="s">
        <v>2702</v>
      </c>
      <c r="Q4804" s="422" t="s">
        <v>47</v>
      </c>
      <c r="R4804" s="422" t="s">
        <v>1869</v>
      </c>
      <c r="S4804" s="422" t="s">
        <v>1861</v>
      </c>
      <c r="U4804" s="422" t="s">
        <v>1953</v>
      </c>
      <c r="V4804" s="422" t="s">
        <v>2813</v>
      </c>
    </row>
    <row r="4805" spans="1:22" ht="15.75" thickBot="1" x14ac:dyDescent="0.3">
      <c r="A4805" t="s">
        <v>4593</v>
      </c>
      <c r="B4805" t="s">
        <v>4593</v>
      </c>
      <c r="C4805" s="424" t="str">
        <f t="shared" si="196"/>
        <v>RDL - Rodoviária do Lis, LDA.</v>
      </c>
      <c r="D4805" t="s">
        <v>629</v>
      </c>
      <c r="F4805" s="422" t="s">
        <v>620</v>
      </c>
      <c r="G4805" s="89" t="s">
        <v>2203</v>
      </c>
      <c r="H4805" s="313" t="s">
        <v>733</v>
      </c>
      <c r="I4805" s="311" t="str">
        <f t="shared" si="197"/>
        <v>Pesado de Passageiros M3:  : Gasóleo : E6</v>
      </c>
      <c r="J4805">
        <v>63</v>
      </c>
      <c r="K4805" s="422">
        <v>2023</v>
      </c>
      <c r="L4805" s="427">
        <v>16581.73</v>
      </c>
      <c r="M4805" s="427" t="s">
        <v>630</v>
      </c>
      <c r="N4805" s="434">
        <v>43490</v>
      </c>
      <c r="O4805" s="436">
        <f t="shared" si="198"/>
        <v>2739870</v>
      </c>
      <c r="P4805" s="89" t="s">
        <v>2703</v>
      </c>
      <c r="Q4805" s="422" t="s">
        <v>47</v>
      </c>
      <c r="R4805" s="422" t="s">
        <v>1869</v>
      </c>
      <c r="S4805" s="422" t="s">
        <v>1861</v>
      </c>
      <c r="U4805" s="422" t="s">
        <v>1953</v>
      </c>
      <c r="V4805" s="422" t="s">
        <v>2813</v>
      </c>
    </row>
    <row r="4806" spans="1:22" ht="15.75" thickBot="1" x14ac:dyDescent="0.3">
      <c r="A4806" t="s">
        <v>4593</v>
      </c>
      <c r="B4806" t="s">
        <v>4593</v>
      </c>
      <c r="C4806" s="424" t="str">
        <f t="shared" si="196"/>
        <v>RDL - Rodoviária do Lis, LDA.</v>
      </c>
      <c r="D4806" t="s">
        <v>629</v>
      </c>
      <c r="F4806" s="422" t="s">
        <v>620</v>
      </c>
      <c r="G4806" s="89" t="s">
        <v>2203</v>
      </c>
      <c r="H4806" s="313" t="s">
        <v>733</v>
      </c>
      <c r="I4806" s="311" t="str">
        <f t="shared" si="197"/>
        <v>Pesado de Passageiros M3:  : Gasóleo : E6</v>
      </c>
      <c r="J4806">
        <v>63</v>
      </c>
      <c r="K4806" s="422">
        <v>2023</v>
      </c>
      <c r="L4806" s="427">
        <v>8098.71</v>
      </c>
      <c r="M4806" s="427" t="s">
        <v>630</v>
      </c>
      <c r="N4806" s="434">
        <v>22057</v>
      </c>
      <c r="O4806" s="436">
        <f t="shared" si="198"/>
        <v>1389591</v>
      </c>
      <c r="P4806" s="89" t="s">
        <v>2704</v>
      </c>
      <c r="Q4806" s="422" t="s">
        <v>47</v>
      </c>
      <c r="R4806" s="422" t="s">
        <v>1869</v>
      </c>
      <c r="S4806" s="422" t="s">
        <v>1861</v>
      </c>
      <c r="U4806" s="422" t="s">
        <v>1953</v>
      </c>
      <c r="V4806" s="422" t="s">
        <v>2813</v>
      </c>
    </row>
    <row r="4807" spans="1:22" ht="15.75" thickBot="1" x14ac:dyDescent="0.3">
      <c r="A4807" t="s">
        <v>4593</v>
      </c>
      <c r="B4807" t="s">
        <v>4593</v>
      </c>
      <c r="C4807" s="424" t="str">
        <f t="shared" si="196"/>
        <v>RDL - Rodoviária do Lis, LDA.</v>
      </c>
      <c r="D4807" t="s">
        <v>629</v>
      </c>
      <c r="F4807" s="422" t="s">
        <v>620</v>
      </c>
      <c r="G4807" s="89" t="s">
        <v>2222</v>
      </c>
      <c r="H4807" s="313" t="s">
        <v>732</v>
      </c>
      <c r="I4807" s="311" t="str">
        <f t="shared" si="197"/>
        <v>Pesado de Passageiros M3:  : Gasóleo : E3</v>
      </c>
      <c r="J4807">
        <v>97</v>
      </c>
      <c r="K4807" s="422">
        <v>2023</v>
      </c>
      <c r="L4807" s="427">
        <v>21173.03</v>
      </c>
      <c r="M4807" s="427" t="s">
        <v>630</v>
      </c>
      <c r="N4807" s="434">
        <v>39131</v>
      </c>
      <c r="O4807" s="436">
        <f t="shared" si="198"/>
        <v>3795707</v>
      </c>
      <c r="P4807" s="89" t="s">
        <v>2705</v>
      </c>
      <c r="Q4807" s="422" t="s">
        <v>47</v>
      </c>
      <c r="R4807" s="422" t="s">
        <v>1869</v>
      </c>
      <c r="S4807" s="422" t="s">
        <v>1861</v>
      </c>
      <c r="U4807" s="422" t="s">
        <v>1953</v>
      </c>
      <c r="V4807" s="422" t="s">
        <v>2813</v>
      </c>
    </row>
    <row r="4808" spans="1:22" ht="15.75" thickBot="1" x14ac:dyDescent="0.3">
      <c r="A4808" t="s">
        <v>4593</v>
      </c>
      <c r="B4808" t="s">
        <v>4593</v>
      </c>
      <c r="C4808" s="424" t="str">
        <f t="shared" si="196"/>
        <v>RDL - Rodoviária do Lis, LDA.</v>
      </c>
      <c r="D4808" t="s">
        <v>629</v>
      </c>
      <c r="F4808" s="422" t="s">
        <v>620</v>
      </c>
      <c r="G4808" s="89" t="s">
        <v>2220</v>
      </c>
      <c r="H4808" s="313" t="s">
        <v>732</v>
      </c>
      <c r="I4808" s="311" t="str">
        <f t="shared" si="197"/>
        <v>Pesado de Passageiros M3:  : Gasóleo : E3</v>
      </c>
      <c r="J4808">
        <v>74</v>
      </c>
      <c r="K4808" s="422">
        <v>2023</v>
      </c>
      <c r="L4808" s="427">
        <v>23325.96</v>
      </c>
      <c r="M4808" s="427" t="s">
        <v>630</v>
      </c>
      <c r="N4808" s="434">
        <v>45901</v>
      </c>
      <c r="O4808" s="436">
        <f t="shared" si="198"/>
        <v>3396674</v>
      </c>
      <c r="P4808" s="89" t="s">
        <v>2706</v>
      </c>
      <c r="Q4808" s="422" t="s">
        <v>47</v>
      </c>
      <c r="R4808" s="422" t="s">
        <v>1869</v>
      </c>
      <c r="S4808" s="422" t="s">
        <v>1861</v>
      </c>
      <c r="U4808" s="422" t="s">
        <v>1953</v>
      </c>
      <c r="V4808" s="422" t="s">
        <v>2813</v>
      </c>
    </row>
    <row r="4809" spans="1:22" ht="15.75" thickBot="1" x14ac:dyDescent="0.3">
      <c r="A4809" t="s">
        <v>4593</v>
      </c>
      <c r="B4809" t="s">
        <v>4593</v>
      </c>
      <c r="C4809" s="424" t="str">
        <f t="shared" si="196"/>
        <v>RDL - Rodoviária do Lis, LDA.</v>
      </c>
      <c r="D4809" t="s">
        <v>629</v>
      </c>
      <c r="F4809" s="422" t="s">
        <v>620</v>
      </c>
      <c r="G4809" s="89" t="s">
        <v>2211</v>
      </c>
      <c r="H4809" s="313" t="s">
        <v>731</v>
      </c>
      <c r="I4809" s="311" t="str">
        <f t="shared" si="197"/>
        <v>Pesado de Passageiros M3:  : Gasóleo : E4</v>
      </c>
      <c r="J4809">
        <v>62</v>
      </c>
      <c r="K4809" s="422">
        <v>2023</v>
      </c>
      <c r="L4809" s="427">
        <v>15758.29</v>
      </c>
      <c r="M4809" s="427" t="s">
        <v>630</v>
      </c>
      <c r="N4809" s="434">
        <v>39626</v>
      </c>
      <c r="O4809" s="436">
        <f t="shared" si="198"/>
        <v>2456812</v>
      </c>
      <c r="P4809" s="89" t="s">
        <v>2707</v>
      </c>
      <c r="Q4809" s="422" t="s">
        <v>47</v>
      </c>
      <c r="R4809" s="422" t="s">
        <v>1869</v>
      </c>
      <c r="S4809" s="422" t="s">
        <v>1861</v>
      </c>
      <c r="U4809" s="422" t="s">
        <v>1953</v>
      </c>
      <c r="V4809" s="422" t="s">
        <v>2813</v>
      </c>
    </row>
    <row r="4810" spans="1:22" ht="15.75" thickBot="1" x14ac:dyDescent="0.3">
      <c r="A4810" t="s">
        <v>4593</v>
      </c>
      <c r="B4810" t="s">
        <v>4593</v>
      </c>
      <c r="C4810" s="424" t="str">
        <f t="shared" si="196"/>
        <v>RDL - Rodoviária do Lis, LDA.</v>
      </c>
      <c r="D4810" t="s">
        <v>629</v>
      </c>
      <c r="F4810" s="422" t="s">
        <v>620</v>
      </c>
      <c r="G4810" s="89" t="s">
        <v>2211</v>
      </c>
      <c r="H4810" s="313" t="s">
        <v>731</v>
      </c>
      <c r="I4810" s="311" t="str">
        <f t="shared" si="197"/>
        <v>Pesado de Passageiros M3:  : Gasóleo : E4</v>
      </c>
      <c r="J4810">
        <v>62</v>
      </c>
      <c r="K4810" s="422">
        <v>2023</v>
      </c>
      <c r="L4810" s="427">
        <v>8312.1</v>
      </c>
      <c r="M4810" s="427" t="s">
        <v>630</v>
      </c>
      <c r="N4810" s="434">
        <v>20840</v>
      </c>
      <c r="O4810" s="436">
        <f t="shared" si="198"/>
        <v>1292080</v>
      </c>
      <c r="P4810" s="89" t="s">
        <v>2708</v>
      </c>
      <c r="Q4810" s="422" t="s">
        <v>47</v>
      </c>
      <c r="R4810" s="422" t="s">
        <v>1869</v>
      </c>
      <c r="S4810" s="422" t="s">
        <v>1861</v>
      </c>
      <c r="U4810" s="422" t="s">
        <v>1953</v>
      </c>
      <c r="V4810" s="422" t="s">
        <v>2813</v>
      </c>
    </row>
    <row r="4811" spans="1:22" ht="15.75" thickBot="1" x14ac:dyDescent="0.3">
      <c r="A4811" t="s">
        <v>4593</v>
      </c>
      <c r="B4811" t="s">
        <v>4593</v>
      </c>
      <c r="C4811" s="424" t="str">
        <f t="shared" si="196"/>
        <v>RDL - Rodoviária do Lis, LDA.</v>
      </c>
      <c r="D4811" t="s">
        <v>629</v>
      </c>
      <c r="F4811" s="422" t="s">
        <v>620</v>
      </c>
      <c r="G4811" s="89" t="s">
        <v>2211</v>
      </c>
      <c r="H4811" s="313" t="s">
        <v>731</v>
      </c>
      <c r="I4811" s="311" t="str">
        <f t="shared" si="197"/>
        <v>Pesado de Passageiros M3:  : Gasóleo : E4</v>
      </c>
      <c r="J4811">
        <v>52</v>
      </c>
      <c r="K4811" s="422">
        <v>2023</v>
      </c>
      <c r="L4811" s="427">
        <v>7535.9699999999993</v>
      </c>
      <c r="M4811" s="427" t="s">
        <v>630</v>
      </c>
      <c r="N4811" s="434">
        <v>19223</v>
      </c>
      <c r="O4811" s="436">
        <f t="shared" si="198"/>
        <v>999596</v>
      </c>
      <c r="P4811" s="89" t="s">
        <v>2709</v>
      </c>
      <c r="Q4811" s="422" t="s">
        <v>47</v>
      </c>
      <c r="R4811" s="422" t="s">
        <v>1869</v>
      </c>
      <c r="S4811" s="422" t="s">
        <v>1861</v>
      </c>
      <c r="U4811" s="422" t="s">
        <v>1953</v>
      </c>
      <c r="V4811" s="422" t="s">
        <v>2813</v>
      </c>
    </row>
    <row r="4812" spans="1:22" ht="15.75" thickBot="1" x14ac:dyDescent="0.3">
      <c r="A4812" t="s">
        <v>4593</v>
      </c>
      <c r="B4812" t="s">
        <v>4593</v>
      </c>
      <c r="C4812" s="424" t="str">
        <f t="shared" si="196"/>
        <v>RDL - Rodoviária do Lis, LDA.</v>
      </c>
      <c r="D4812" t="s">
        <v>629</v>
      </c>
      <c r="F4812" s="422" t="s">
        <v>620</v>
      </c>
      <c r="G4812" s="89" t="s">
        <v>2223</v>
      </c>
      <c r="H4812" s="313" t="s">
        <v>734</v>
      </c>
      <c r="I4812" s="311" t="str">
        <f t="shared" si="197"/>
        <v>Pesado de Passageiros M3:  : Gasóleo : E5</v>
      </c>
      <c r="J4812">
        <v>75</v>
      </c>
      <c r="K4812" s="422">
        <v>2023</v>
      </c>
      <c r="L4812" s="427">
        <v>7450.77</v>
      </c>
      <c r="M4812" s="427" t="s">
        <v>630</v>
      </c>
      <c r="N4812" s="434">
        <v>23030</v>
      </c>
      <c r="O4812" s="436">
        <f t="shared" si="198"/>
        <v>1727250</v>
      </c>
      <c r="P4812" s="89" t="s">
        <v>2710</v>
      </c>
      <c r="Q4812" s="422" t="s">
        <v>47</v>
      </c>
      <c r="R4812" s="422" t="s">
        <v>1869</v>
      </c>
      <c r="S4812" s="422" t="s">
        <v>1861</v>
      </c>
      <c r="U4812" s="422" t="s">
        <v>1953</v>
      </c>
      <c r="V4812" s="422" t="s">
        <v>2813</v>
      </c>
    </row>
    <row r="4813" spans="1:22" ht="15.75" thickBot="1" x14ac:dyDescent="0.3">
      <c r="A4813" t="s">
        <v>4593</v>
      </c>
      <c r="B4813" t="s">
        <v>4593</v>
      </c>
      <c r="C4813" s="424" t="str">
        <f t="shared" si="196"/>
        <v>RDL - Rodoviária do Lis, LDA.</v>
      </c>
      <c r="D4813" t="s">
        <v>629</v>
      </c>
      <c r="F4813" s="422" t="s">
        <v>620</v>
      </c>
      <c r="G4813" s="89" t="s">
        <v>2223</v>
      </c>
      <c r="H4813" s="313" t="s">
        <v>734</v>
      </c>
      <c r="I4813" s="311" t="str">
        <f t="shared" si="197"/>
        <v>Pesado de Passageiros M3:  : Gasóleo : E5</v>
      </c>
      <c r="J4813">
        <v>75</v>
      </c>
      <c r="K4813" s="422">
        <v>2023</v>
      </c>
      <c r="L4813" s="427">
        <v>8173.24</v>
      </c>
      <c r="M4813" s="427" t="s">
        <v>630</v>
      </c>
      <c r="N4813" s="434">
        <v>24470</v>
      </c>
      <c r="O4813" s="436">
        <f t="shared" si="198"/>
        <v>1835250</v>
      </c>
      <c r="P4813" s="89" t="s">
        <v>2712</v>
      </c>
      <c r="Q4813" s="422" t="s">
        <v>47</v>
      </c>
      <c r="R4813" s="422" t="s">
        <v>1869</v>
      </c>
      <c r="S4813" s="422" t="s">
        <v>1861</v>
      </c>
      <c r="U4813" s="422" t="s">
        <v>1953</v>
      </c>
      <c r="V4813" s="422" t="s">
        <v>2813</v>
      </c>
    </row>
    <row r="4814" spans="1:22" ht="15.75" thickBot="1" x14ac:dyDescent="0.3">
      <c r="A4814" t="s">
        <v>4593</v>
      </c>
      <c r="B4814" t="s">
        <v>4593</v>
      </c>
      <c r="C4814" s="424" t="str">
        <f t="shared" si="196"/>
        <v>RDL - Rodoviária do Lis, LDA.</v>
      </c>
      <c r="D4814" t="s">
        <v>629</v>
      </c>
      <c r="F4814" s="422" t="s">
        <v>620</v>
      </c>
      <c r="G4814" s="89" t="s">
        <v>2207</v>
      </c>
      <c r="H4814" s="313" t="s">
        <v>735</v>
      </c>
      <c r="I4814" s="311" t="str">
        <f t="shared" si="197"/>
        <v>Pesado de Passageiros M3:  : Gasóleo : E2</v>
      </c>
      <c r="J4814">
        <v>74</v>
      </c>
      <c r="K4814" s="422">
        <v>2023</v>
      </c>
      <c r="L4814" s="427">
        <v>12395.23</v>
      </c>
      <c r="M4814" s="427" t="s">
        <v>630</v>
      </c>
      <c r="N4814" s="434">
        <v>36726</v>
      </c>
      <c r="O4814" s="436">
        <f t="shared" si="198"/>
        <v>2717724</v>
      </c>
      <c r="P4814" s="89" t="s">
        <v>2714</v>
      </c>
      <c r="Q4814" s="422" t="s">
        <v>47</v>
      </c>
      <c r="R4814" s="422" t="s">
        <v>1869</v>
      </c>
      <c r="S4814" s="422" t="s">
        <v>1861</v>
      </c>
      <c r="U4814" s="422" t="s">
        <v>1953</v>
      </c>
      <c r="V4814" s="422" t="s">
        <v>2813</v>
      </c>
    </row>
    <row r="4815" spans="1:22" ht="15.75" thickBot="1" x14ac:dyDescent="0.3">
      <c r="A4815" t="s">
        <v>4593</v>
      </c>
      <c r="B4815" t="s">
        <v>4593</v>
      </c>
      <c r="C4815" s="424" t="str">
        <f t="shared" si="196"/>
        <v>RDL - Rodoviária do Lis, LDA.</v>
      </c>
      <c r="D4815" t="s">
        <v>629</v>
      </c>
      <c r="F4815" s="422" t="s">
        <v>620</v>
      </c>
      <c r="G4815" s="89" t="s">
        <v>2205</v>
      </c>
      <c r="H4815" s="313" t="s">
        <v>731</v>
      </c>
      <c r="I4815" s="311" t="str">
        <f t="shared" si="197"/>
        <v>Pesado de Passageiros M3:  : Gasóleo : E4</v>
      </c>
      <c r="J4815">
        <v>27</v>
      </c>
      <c r="K4815" s="422">
        <v>2023</v>
      </c>
      <c r="L4815" s="427">
        <v>1492</v>
      </c>
      <c r="M4815" s="427" t="s">
        <v>630</v>
      </c>
      <c r="N4815" s="434">
        <v>7989</v>
      </c>
      <c r="O4815" s="436">
        <f t="shared" si="198"/>
        <v>215703</v>
      </c>
      <c r="P4815" s="89" t="s">
        <v>5412</v>
      </c>
      <c r="Q4815" s="422" t="s">
        <v>47</v>
      </c>
      <c r="R4815" s="422" t="s">
        <v>1869</v>
      </c>
      <c r="S4815" s="422" t="s">
        <v>1861</v>
      </c>
      <c r="U4815" s="422" t="s">
        <v>1953</v>
      </c>
      <c r="V4815" s="422" t="s">
        <v>2813</v>
      </c>
    </row>
    <row r="4816" spans="1:22" ht="15.75" thickBot="1" x14ac:dyDescent="0.3">
      <c r="A4816" t="s">
        <v>4593</v>
      </c>
      <c r="B4816" t="s">
        <v>4593</v>
      </c>
      <c r="C4816" s="424" t="str">
        <f t="shared" si="196"/>
        <v>RDL - Rodoviária do Lis, LDA.</v>
      </c>
      <c r="D4816" t="s">
        <v>629</v>
      </c>
      <c r="F4816" s="422" t="s">
        <v>620</v>
      </c>
      <c r="G4816" s="89" t="s">
        <v>2211</v>
      </c>
      <c r="H4816" s="313" t="s">
        <v>732</v>
      </c>
      <c r="I4816" s="311" t="str">
        <f t="shared" si="197"/>
        <v>Pesado de Passageiros M3:  : Gasóleo : E3</v>
      </c>
      <c r="J4816">
        <v>59</v>
      </c>
      <c r="K4816" s="422">
        <v>2023</v>
      </c>
      <c r="L4816" s="427">
        <v>10873.220000000001</v>
      </c>
      <c r="M4816" s="427" t="s">
        <v>630</v>
      </c>
      <c r="N4816" s="434">
        <v>30225</v>
      </c>
      <c r="O4816" s="436">
        <f t="shared" si="198"/>
        <v>1783275</v>
      </c>
      <c r="P4816" s="89" t="s">
        <v>2719</v>
      </c>
      <c r="Q4816" s="422" t="s">
        <v>47</v>
      </c>
      <c r="R4816" s="422" t="s">
        <v>1869</v>
      </c>
      <c r="S4816" s="422" t="s">
        <v>1861</v>
      </c>
      <c r="U4816" s="422" t="s">
        <v>1953</v>
      </c>
      <c r="V4816" s="422" t="s">
        <v>2813</v>
      </c>
    </row>
    <row r="4817" spans="1:22" ht="15.75" thickBot="1" x14ac:dyDescent="0.3">
      <c r="A4817" t="s">
        <v>4593</v>
      </c>
      <c r="B4817" t="s">
        <v>4593</v>
      </c>
      <c r="C4817" s="424" t="str">
        <f t="shared" si="196"/>
        <v>RDL - Rodoviária do Lis, LDA.</v>
      </c>
      <c r="D4817" t="s">
        <v>629</v>
      </c>
      <c r="F4817" s="422" t="s">
        <v>620</v>
      </c>
      <c r="G4817" s="89" t="s">
        <v>2211</v>
      </c>
      <c r="H4817" s="313" t="s">
        <v>732</v>
      </c>
      <c r="I4817" s="311" t="str">
        <f t="shared" si="197"/>
        <v>Pesado de Passageiros M3:  : Gasóleo : E3</v>
      </c>
      <c r="J4817">
        <v>59</v>
      </c>
      <c r="K4817" s="422">
        <v>2023</v>
      </c>
      <c r="L4817" s="427">
        <v>13580.630000000001</v>
      </c>
      <c r="M4817" s="427" t="s">
        <v>630</v>
      </c>
      <c r="N4817" s="434">
        <v>43194</v>
      </c>
      <c r="O4817" s="436">
        <f t="shared" si="198"/>
        <v>2548446</v>
      </c>
      <c r="P4817" s="89" t="s">
        <v>2720</v>
      </c>
      <c r="Q4817" s="422" t="s">
        <v>47</v>
      </c>
      <c r="R4817" s="422" t="s">
        <v>1869</v>
      </c>
      <c r="S4817" s="422" t="s">
        <v>1861</v>
      </c>
      <c r="U4817" s="422" t="s">
        <v>1953</v>
      </c>
      <c r="V4817" s="422" t="s">
        <v>2813</v>
      </c>
    </row>
    <row r="4818" spans="1:22" ht="15.75" thickBot="1" x14ac:dyDescent="0.3">
      <c r="A4818" t="s">
        <v>4593</v>
      </c>
      <c r="B4818" t="s">
        <v>4593</v>
      </c>
      <c r="C4818" s="424" t="str">
        <f t="shared" si="196"/>
        <v>RDL - Rodoviária do Lis, LDA.</v>
      </c>
      <c r="D4818" t="s">
        <v>629</v>
      </c>
      <c r="F4818" s="422" t="s">
        <v>620</v>
      </c>
      <c r="G4818" s="89" t="s">
        <v>2211</v>
      </c>
      <c r="H4818" s="313" t="s">
        <v>732</v>
      </c>
      <c r="I4818" s="311" t="str">
        <f t="shared" si="197"/>
        <v>Pesado de Passageiros M3:  : Gasóleo : E3</v>
      </c>
      <c r="J4818">
        <v>59</v>
      </c>
      <c r="K4818" s="422">
        <v>2023</v>
      </c>
      <c r="L4818" s="427">
        <v>14079.19</v>
      </c>
      <c r="M4818" s="427" t="s">
        <v>630</v>
      </c>
      <c r="N4818" s="434">
        <v>43778</v>
      </c>
      <c r="O4818" s="436">
        <f t="shared" si="198"/>
        <v>2582902</v>
      </c>
      <c r="P4818" s="89" t="s">
        <v>2721</v>
      </c>
      <c r="Q4818" s="422" t="s">
        <v>47</v>
      </c>
      <c r="R4818" s="422" t="s">
        <v>1869</v>
      </c>
      <c r="S4818" s="422" t="s">
        <v>1861</v>
      </c>
      <c r="U4818" s="422" t="s">
        <v>1953</v>
      </c>
      <c r="V4818" s="422" t="s">
        <v>2813</v>
      </c>
    </row>
    <row r="4819" spans="1:22" ht="15.75" thickBot="1" x14ac:dyDescent="0.3">
      <c r="A4819" t="s">
        <v>4593</v>
      </c>
      <c r="B4819" t="s">
        <v>4593</v>
      </c>
      <c r="C4819" s="424" t="str">
        <f t="shared" si="196"/>
        <v>RDL - Rodoviária do Lis, LDA.</v>
      </c>
      <c r="D4819" t="s">
        <v>629</v>
      </c>
      <c r="F4819" s="422" t="s">
        <v>620</v>
      </c>
      <c r="G4819" s="89" t="s">
        <v>2211</v>
      </c>
      <c r="H4819" s="313" t="s">
        <v>732</v>
      </c>
      <c r="I4819" s="311" t="str">
        <f t="shared" si="197"/>
        <v>Pesado de Passageiros M3:  : Gasóleo : E3</v>
      </c>
      <c r="J4819">
        <v>59</v>
      </c>
      <c r="K4819" s="422">
        <v>2023</v>
      </c>
      <c r="L4819" s="427">
        <v>13035.79</v>
      </c>
      <c r="M4819" s="427" t="s">
        <v>630</v>
      </c>
      <c r="N4819" s="434">
        <v>39799</v>
      </c>
      <c r="O4819" s="436">
        <f t="shared" si="198"/>
        <v>2348141</v>
      </c>
      <c r="P4819" s="89" t="s">
        <v>2722</v>
      </c>
      <c r="Q4819" s="422" t="s">
        <v>47</v>
      </c>
      <c r="R4819" s="422" t="s">
        <v>1869</v>
      </c>
      <c r="S4819" s="422" t="s">
        <v>1861</v>
      </c>
      <c r="U4819" s="422" t="s">
        <v>1953</v>
      </c>
      <c r="V4819" s="422" t="s">
        <v>2813</v>
      </c>
    </row>
    <row r="4820" spans="1:22" ht="15.75" thickBot="1" x14ac:dyDescent="0.3">
      <c r="A4820" t="s">
        <v>4593</v>
      </c>
      <c r="B4820" t="s">
        <v>4593</v>
      </c>
      <c r="C4820" s="424" t="str">
        <f t="shared" si="196"/>
        <v>RDL - Rodoviária do Lis, LDA.</v>
      </c>
      <c r="D4820" t="s">
        <v>629</v>
      </c>
      <c r="F4820" s="422" t="s">
        <v>620</v>
      </c>
      <c r="G4820" s="89" t="s">
        <v>2212</v>
      </c>
      <c r="H4820" s="313" t="s">
        <v>734</v>
      </c>
      <c r="I4820" s="311" t="str">
        <f t="shared" si="197"/>
        <v>Pesado de Passageiros M3:  : Gasóleo : E5</v>
      </c>
      <c r="J4820">
        <v>71</v>
      </c>
      <c r="K4820" s="422">
        <v>2023</v>
      </c>
      <c r="L4820" s="427">
        <v>17177.129999999997</v>
      </c>
      <c r="M4820" s="427" t="s">
        <v>630</v>
      </c>
      <c r="N4820" s="434">
        <v>51729</v>
      </c>
      <c r="O4820" s="436">
        <f t="shared" si="198"/>
        <v>3672759</v>
      </c>
      <c r="P4820" s="89" t="s">
        <v>2724</v>
      </c>
      <c r="Q4820" s="422" t="s">
        <v>47</v>
      </c>
      <c r="R4820" s="422" t="s">
        <v>1869</v>
      </c>
      <c r="S4820" s="422" t="s">
        <v>1861</v>
      </c>
      <c r="U4820" s="422" t="s">
        <v>1953</v>
      </c>
      <c r="V4820" s="422" t="s">
        <v>2813</v>
      </c>
    </row>
    <row r="4821" spans="1:22" ht="15.75" thickBot="1" x14ac:dyDescent="0.3">
      <c r="A4821" t="s">
        <v>4593</v>
      </c>
      <c r="B4821" t="s">
        <v>4593</v>
      </c>
      <c r="C4821" s="424" t="str">
        <f t="shared" si="196"/>
        <v>RDL - Rodoviária do Lis, LDA.</v>
      </c>
      <c r="D4821" t="s">
        <v>629</v>
      </c>
      <c r="F4821" s="422" t="s">
        <v>620</v>
      </c>
      <c r="G4821" s="89" t="s">
        <v>2212</v>
      </c>
      <c r="H4821" s="313" t="s">
        <v>734</v>
      </c>
      <c r="I4821" s="311" t="str">
        <f t="shared" si="197"/>
        <v>Pesado de Passageiros M3:  : Gasóleo : E5</v>
      </c>
      <c r="J4821">
        <v>71</v>
      </c>
      <c r="K4821" s="422">
        <v>2023</v>
      </c>
      <c r="L4821" s="427">
        <v>2295.31</v>
      </c>
      <c r="M4821" s="427" t="s">
        <v>630</v>
      </c>
      <c r="N4821" s="434">
        <v>7631</v>
      </c>
      <c r="O4821" s="436">
        <f t="shared" si="198"/>
        <v>541801</v>
      </c>
      <c r="P4821" s="89" t="s">
        <v>2725</v>
      </c>
      <c r="Q4821" s="422" t="s">
        <v>47</v>
      </c>
      <c r="R4821" s="422" t="s">
        <v>1869</v>
      </c>
      <c r="S4821" s="422" t="s">
        <v>1861</v>
      </c>
      <c r="U4821" s="422" t="s">
        <v>1953</v>
      </c>
      <c r="V4821" s="422" t="s">
        <v>2813</v>
      </c>
    </row>
    <row r="4822" spans="1:22" ht="15.75" thickBot="1" x14ac:dyDescent="0.3">
      <c r="A4822" t="s">
        <v>4593</v>
      </c>
      <c r="B4822" t="s">
        <v>4593</v>
      </c>
      <c r="C4822" s="424" t="str">
        <f t="shared" si="196"/>
        <v>RDL - Rodoviária do Lis, LDA.</v>
      </c>
      <c r="D4822" t="s">
        <v>629</v>
      </c>
      <c r="F4822" s="422" t="s">
        <v>620</v>
      </c>
      <c r="G4822" s="89" t="s">
        <v>2207</v>
      </c>
      <c r="H4822" s="313" t="s">
        <v>735</v>
      </c>
      <c r="I4822" s="311" t="str">
        <f t="shared" si="197"/>
        <v>Pesado de Passageiros M3:  : Gasóleo : E2</v>
      </c>
      <c r="J4822">
        <v>66</v>
      </c>
      <c r="K4822" s="422">
        <v>2023</v>
      </c>
      <c r="L4822" s="427">
        <v>16426.55</v>
      </c>
      <c r="M4822" s="427" t="s">
        <v>630</v>
      </c>
      <c r="N4822" s="434">
        <v>53129</v>
      </c>
      <c r="O4822" s="436">
        <f t="shared" si="198"/>
        <v>3506514</v>
      </c>
      <c r="P4822" s="89" t="s">
        <v>2726</v>
      </c>
      <c r="Q4822" s="422" t="s">
        <v>47</v>
      </c>
      <c r="R4822" s="422" t="s">
        <v>1869</v>
      </c>
      <c r="S4822" s="422" t="s">
        <v>1861</v>
      </c>
      <c r="U4822" s="422" t="s">
        <v>1953</v>
      </c>
      <c r="V4822" s="422" t="s">
        <v>2813</v>
      </c>
    </row>
    <row r="4823" spans="1:22" ht="15.75" thickBot="1" x14ac:dyDescent="0.3">
      <c r="A4823" t="s">
        <v>4593</v>
      </c>
      <c r="B4823" t="s">
        <v>4593</v>
      </c>
      <c r="C4823" s="424" t="str">
        <f t="shared" si="196"/>
        <v>RDL - Rodoviária do Lis, LDA.</v>
      </c>
      <c r="D4823" t="s">
        <v>629</v>
      </c>
      <c r="F4823" s="422" t="s">
        <v>620</v>
      </c>
      <c r="G4823" s="89" t="s">
        <v>2211</v>
      </c>
      <c r="H4823" s="313" t="s">
        <v>731</v>
      </c>
      <c r="I4823" s="311" t="str">
        <f t="shared" si="197"/>
        <v>Pesado de Passageiros M3:  : Gasóleo : E4</v>
      </c>
      <c r="J4823">
        <v>59</v>
      </c>
      <c r="K4823" s="422">
        <v>2023</v>
      </c>
      <c r="L4823" s="427">
        <v>18439.77</v>
      </c>
      <c r="M4823" s="427" t="s">
        <v>630</v>
      </c>
      <c r="N4823" s="434">
        <v>57998</v>
      </c>
      <c r="O4823" s="436">
        <f t="shared" si="198"/>
        <v>3421882</v>
      </c>
      <c r="P4823" s="89" t="s">
        <v>2727</v>
      </c>
      <c r="Q4823" s="422" t="s">
        <v>47</v>
      </c>
      <c r="R4823" s="422" t="s">
        <v>1869</v>
      </c>
      <c r="S4823" s="422" t="s">
        <v>1861</v>
      </c>
      <c r="U4823" s="422" t="s">
        <v>1953</v>
      </c>
      <c r="V4823" s="422" t="s">
        <v>2813</v>
      </c>
    </row>
    <row r="4824" spans="1:22" ht="15.75" thickBot="1" x14ac:dyDescent="0.3">
      <c r="A4824" t="s">
        <v>4593</v>
      </c>
      <c r="B4824" t="s">
        <v>4593</v>
      </c>
      <c r="C4824" s="424" t="str">
        <f t="shared" ref="C4824:C4887" si="199">IF(A4824=B4824,B4824,RIGHT(A4824,LEN(A4824)-LEN(B4824)-3))</f>
        <v>RDL - Rodoviária do Lis, LDA.</v>
      </c>
      <c r="D4824" t="s">
        <v>629</v>
      </c>
      <c r="F4824" s="422" t="s">
        <v>620</v>
      </c>
      <c r="G4824" s="89" t="s">
        <v>2223</v>
      </c>
      <c r="H4824" s="313" t="s">
        <v>734</v>
      </c>
      <c r="I4824" s="311" t="str">
        <f t="shared" si="197"/>
        <v>Pesado de Passageiros M3:  : Gasóleo : E5</v>
      </c>
      <c r="J4824">
        <v>82</v>
      </c>
      <c r="K4824" s="422">
        <v>2023</v>
      </c>
      <c r="L4824" s="427">
        <v>18029.080000000002</v>
      </c>
      <c r="M4824" s="427" t="s">
        <v>630</v>
      </c>
      <c r="N4824" s="434">
        <v>50299</v>
      </c>
      <c r="O4824" s="436">
        <f t="shared" si="198"/>
        <v>4124518</v>
      </c>
      <c r="P4824" s="89" t="s">
        <v>2731</v>
      </c>
      <c r="Q4824" s="422" t="s">
        <v>47</v>
      </c>
      <c r="R4824" s="422" t="s">
        <v>1869</v>
      </c>
      <c r="S4824" s="422" t="s">
        <v>1861</v>
      </c>
      <c r="U4824" s="422" t="s">
        <v>1953</v>
      </c>
      <c r="V4824" s="422" t="s">
        <v>2813</v>
      </c>
    </row>
    <row r="4825" spans="1:22" ht="15.75" thickBot="1" x14ac:dyDescent="0.3">
      <c r="A4825" t="s">
        <v>4593</v>
      </c>
      <c r="B4825" t="s">
        <v>4593</v>
      </c>
      <c r="C4825" s="424" t="str">
        <f t="shared" si="199"/>
        <v>RDL - Rodoviária do Lis, LDA.</v>
      </c>
      <c r="D4825" t="s">
        <v>629</v>
      </c>
      <c r="F4825" s="422" t="s">
        <v>620</v>
      </c>
      <c r="G4825" s="89" t="s">
        <v>2223</v>
      </c>
      <c r="H4825" s="313" t="s">
        <v>734</v>
      </c>
      <c r="I4825" s="311" t="str">
        <f t="shared" si="197"/>
        <v>Pesado de Passageiros M3:  : Gasóleo : E5</v>
      </c>
      <c r="J4825">
        <v>82</v>
      </c>
      <c r="K4825" s="422">
        <v>2023</v>
      </c>
      <c r="L4825" s="427">
        <v>24141.75</v>
      </c>
      <c r="M4825" s="427" t="s">
        <v>630</v>
      </c>
      <c r="N4825" s="434">
        <v>75317</v>
      </c>
      <c r="O4825" s="436">
        <f t="shared" si="198"/>
        <v>6175994</v>
      </c>
      <c r="P4825" s="89" t="s">
        <v>2732</v>
      </c>
      <c r="Q4825" s="422" t="s">
        <v>47</v>
      </c>
      <c r="R4825" s="422" t="s">
        <v>1869</v>
      </c>
      <c r="S4825" s="422" t="s">
        <v>1861</v>
      </c>
      <c r="U4825" s="422" t="s">
        <v>1953</v>
      </c>
      <c r="V4825" s="422" t="s">
        <v>2813</v>
      </c>
    </row>
    <row r="4826" spans="1:22" ht="15.75" thickBot="1" x14ac:dyDescent="0.3">
      <c r="A4826" t="s">
        <v>4593</v>
      </c>
      <c r="B4826" t="s">
        <v>4593</v>
      </c>
      <c r="C4826" s="424" t="str">
        <f t="shared" si="199"/>
        <v>RDL - Rodoviária do Lis, LDA.</v>
      </c>
      <c r="D4826" t="s">
        <v>629</v>
      </c>
      <c r="F4826" s="422" t="s">
        <v>620</v>
      </c>
      <c r="G4826" s="89" t="s">
        <v>2222</v>
      </c>
      <c r="H4826" s="313" t="s">
        <v>732</v>
      </c>
      <c r="I4826" s="311" t="str">
        <f t="shared" si="197"/>
        <v>Pesado de Passageiros M3:  : Gasóleo : E3</v>
      </c>
      <c r="J4826">
        <v>55</v>
      </c>
      <c r="K4826" s="422">
        <v>2023</v>
      </c>
      <c r="L4826" s="427">
        <v>6646.45</v>
      </c>
      <c r="M4826" s="427" t="s">
        <v>630</v>
      </c>
      <c r="N4826" s="434">
        <v>17232</v>
      </c>
      <c r="O4826" s="436">
        <f t="shared" si="198"/>
        <v>947760</v>
      </c>
      <c r="P4826" s="89" t="s">
        <v>2733</v>
      </c>
      <c r="Q4826" s="422" t="s">
        <v>47</v>
      </c>
      <c r="R4826" s="422" t="s">
        <v>1869</v>
      </c>
      <c r="S4826" s="422" t="s">
        <v>1861</v>
      </c>
      <c r="U4826" s="422" t="s">
        <v>1953</v>
      </c>
      <c r="V4826" s="422" t="s">
        <v>2813</v>
      </c>
    </row>
    <row r="4827" spans="1:22" ht="15.75" thickBot="1" x14ac:dyDescent="0.3">
      <c r="A4827" t="s">
        <v>4593</v>
      </c>
      <c r="B4827" t="s">
        <v>4593</v>
      </c>
      <c r="C4827" s="424" t="str">
        <f t="shared" si="199"/>
        <v>RDL - Rodoviária do Lis, LDA.</v>
      </c>
      <c r="D4827" t="s">
        <v>629</v>
      </c>
      <c r="F4827" s="422" t="s">
        <v>620</v>
      </c>
      <c r="G4827" s="89" t="s">
        <v>2211</v>
      </c>
      <c r="H4827" s="313" t="s">
        <v>731</v>
      </c>
      <c r="I4827" s="311" t="str">
        <f t="shared" si="197"/>
        <v>Pesado de Passageiros M3:  : Gasóleo : E4</v>
      </c>
      <c r="J4827">
        <v>50</v>
      </c>
      <c r="K4827" s="422">
        <v>2023</v>
      </c>
      <c r="L4827" s="427">
        <v>16804.36</v>
      </c>
      <c r="M4827" s="427" t="s">
        <v>630</v>
      </c>
      <c r="N4827" s="434">
        <v>47377</v>
      </c>
      <c r="O4827" s="436">
        <f t="shared" si="198"/>
        <v>2368850</v>
      </c>
      <c r="P4827" s="89" t="s">
        <v>2735</v>
      </c>
      <c r="Q4827" s="422" t="s">
        <v>47</v>
      </c>
      <c r="R4827" s="422" t="s">
        <v>1869</v>
      </c>
      <c r="S4827" s="422" t="s">
        <v>1861</v>
      </c>
      <c r="U4827" s="422" t="s">
        <v>1953</v>
      </c>
      <c r="V4827" s="422" t="s">
        <v>2813</v>
      </c>
    </row>
    <row r="4828" spans="1:22" ht="15.75" thickBot="1" x14ac:dyDescent="0.3">
      <c r="A4828" t="s">
        <v>4593</v>
      </c>
      <c r="B4828" t="s">
        <v>4593</v>
      </c>
      <c r="C4828" s="424" t="str">
        <f t="shared" si="199"/>
        <v>RDL - Rodoviária do Lis, LDA.</v>
      </c>
      <c r="D4828" t="s">
        <v>629</v>
      </c>
      <c r="F4828" s="422" t="s">
        <v>620</v>
      </c>
      <c r="G4828" s="89" t="s">
        <v>2205</v>
      </c>
      <c r="H4828" s="313" t="s">
        <v>734</v>
      </c>
      <c r="I4828" s="311" t="str">
        <f t="shared" si="197"/>
        <v>Pesado de Passageiros M3:  : Gasóleo : E5</v>
      </c>
      <c r="J4828">
        <v>88</v>
      </c>
      <c r="K4828" s="422">
        <v>2023</v>
      </c>
      <c r="L4828" s="427">
        <v>14550.4</v>
      </c>
      <c r="M4828" s="427" t="s">
        <v>630</v>
      </c>
      <c r="N4828" s="434">
        <v>43645</v>
      </c>
      <c r="O4828" s="436">
        <f t="shared" si="198"/>
        <v>3840760</v>
      </c>
      <c r="P4828" s="89" t="s">
        <v>2736</v>
      </c>
      <c r="Q4828" s="422" t="s">
        <v>47</v>
      </c>
      <c r="R4828" s="422" t="s">
        <v>1869</v>
      </c>
      <c r="S4828" s="422" t="s">
        <v>1861</v>
      </c>
      <c r="U4828" s="422" t="s">
        <v>1953</v>
      </c>
      <c r="V4828" s="422" t="s">
        <v>2813</v>
      </c>
    </row>
    <row r="4829" spans="1:22" ht="15.75" thickBot="1" x14ac:dyDescent="0.3">
      <c r="A4829" t="s">
        <v>4593</v>
      </c>
      <c r="B4829" t="s">
        <v>4593</v>
      </c>
      <c r="C4829" s="424" t="str">
        <f t="shared" si="199"/>
        <v>RDL - Rodoviária do Lis, LDA.</v>
      </c>
      <c r="D4829" t="s">
        <v>629</v>
      </c>
      <c r="F4829" s="422" t="s">
        <v>620</v>
      </c>
      <c r="G4829" s="89" t="s">
        <v>2205</v>
      </c>
      <c r="H4829" s="313" t="s">
        <v>734</v>
      </c>
      <c r="I4829" s="311" t="str">
        <f t="shared" si="197"/>
        <v>Pesado de Passageiros M3:  : Gasóleo : E5</v>
      </c>
      <c r="J4829">
        <v>81</v>
      </c>
      <c r="K4829" s="422">
        <v>2023</v>
      </c>
      <c r="L4829" s="427">
        <v>27523</v>
      </c>
      <c r="M4829" s="427" t="s">
        <v>630</v>
      </c>
      <c r="N4829" s="434">
        <v>79769</v>
      </c>
      <c r="O4829" s="436">
        <f t="shared" si="198"/>
        <v>6461289</v>
      </c>
      <c r="P4829" s="89" t="s">
        <v>2737</v>
      </c>
      <c r="Q4829" s="422" t="s">
        <v>47</v>
      </c>
      <c r="R4829" s="422" t="s">
        <v>1869</v>
      </c>
      <c r="S4829" s="422" t="s">
        <v>1861</v>
      </c>
      <c r="U4829" s="422" t="s">
        <v>1953</v>
      </c>
      <c r="V4829" s="422" t="s">
        <v>2813</v>
      </c>
    </row>
    <row r="4830" spans="1:22" ht="15.75" thickBot="1" x14ac:dyDescent="0.3">
      <c r="A4830" t="s">
        <v>4593</v>
      </c>
      <c r="B4830" t="s">
        <v>4593</v>
      </c>
      <c r="C4830" s="424" t="str">
        <f t="shared" si="199"/>
        <v>RDL - Rodoviária do Lis, LDA.</v>
      </c>
      <c r="D4830" t="s">
        <v>629</v>
      </c>
      <c r="F4830" s="422" t="s">
        <v>620</v>
      </c>
      <c r="G4830" s="89" t="s">
        <v>2205</v>
      </c>
      <c r="H4830" s="313" t="s">
        <v>734</v>
      </c>
      <c r="I4830" s="311" t="str">
        <f t="shared" si="197"/>
        <v>Pesado de Passageiros M3:  : Gasóleo : E5</v>
      </c>
      <c r="J4830">
        <v>81</v>
      </c>
      <c r="K4830" s="422">
        <v>2023</v>
      </c>
      <c r="L4830" s="427">
        <v>17213.080000000002</v>
      </c>
      <c r="M4830" s="427" t="s">
        <v>630</v>
      </c>
      <c r="N4830" s="434">
        <v>62602</v>
      </c>
      <c r="O4830" s="436">
        <f t="shared" si="198"/>
        <v>5070762</v>
      </c>
      <c r="P4830" s="89" t="s">
        <v>2738</v>
      </c>
      <c r="Q4830" s="422" t="s">
        <v>47</v>
      </c>
      <c r="R4830" s="422" t="s">
        <v>1869</v>
      </c>
      <c r="S4830" s="422" t="s">
        <v>1861</v>
      </c>
      <c r="U4830" s="422" t="s">
        <v>1953</v>
      </c>
      <c r="V4830" s="422" t="s">
        <v>2813</v>
      </c>
    </row>
    <row r="4831" spans="1:22" ht="15.75" thickBot="1" x14ac:dyDescent="0.3">
      <c r="A4831" t="s">
        <v>4593</v>
      </c>
      <c r="B4831" t="s">
        <v>4593</v>
      </c>
      <c r="C4831" s="424" t="str">
        <f t="shared" si="199"/>
        <v>RDL - Rodoviária do Lis, LDA.</v>
      </c>
      <c r="D4831" t="s">
        <v>629</v>
      </c>
      <c r="F4831" s="422" t="s">
        <v>620</v>
      </c>
      <c r="G4831" s="89" t="s">
        <v>2204</v>
      </c>
      <c r="H4831" s="313" t="s">
        <v>731</v>
      </c>
      <c r="I4831" s="311" t="str">
        <f t="shared" si="197"/>
        <v>Pesado de Passageiros M3:  : Gasóleo : E4</v>
      </c>
      <c r="J4831">
        <v>73</v>
      </c>
      <c r="K4831" s="422">
        <v>2023</v>
      </c>
      <c r="L4831" s="427">
        <v>10474.310000000001</v>
      </c>
      <c r="M4831" s="427" t="s">
        <v>630</v>
      </c>
      <c r="N4831" s="434">
        <v>26069</v>
      </c>
      <c r="O4831" s="436">
        <f t="shared" si="198"/>
        <v>1903037</v>
      </c>
      <c r="P4831" s="89" t="s">
        <v>2748</v>
      </c>
      <c r="Q4831" s="422" t="s">
        <v>47</v>
      </c>
      <c r="R4831" s="422" t="s">
        <v>1869</v>
      </c>
      <c r="S4831" s="422" t="s">
        <v>1861</v>
      </c>
      <c r="U4831" s="422" t="s">
        <v>1953</v>
      </c>
      <c r="V4831" s="422" t="s">
        <v>2813</v>
      </c>
    </row>
    <row r="4832" spans="1:22" ht="15.75" thickBot="1" x14ac:dyDescent="0.3">
      <c r="A4832" t="s">
        <v>4593</v>
      </c>
      <c r="B4832" t="s">
        <v>4593</v>
      </c>
      <c r="C4832" s="424" t="str">
        <f t="shared" si="199"/>
        <v>RDL - Rodoviária do Lis, LDA.</v>
      </c>
      <c r="D4832" t="s">
        <v>629</v>
      </c>
      <c r="F4832" s="422" t="s">
        <v>620</v>
      </c>
      <c r="G4832" s="89" t="s">
        <v>2204</v>
      </c>
      <c r="H4832" s="313" t="s">
        <v>731</v>
      </c>
      <c r="I4832" s="311" t="str">
        <f t="shared" si="197"/>
        <v>Pesado de Passageiros M3:  : Gasóleo : E4</v>
      </c>
      <c r="J4832">
        <v>73</v>
      </c>
      <c r="K4832" s="422">
        <v>2023</v>
      </c>
      <c r="L4832" s="427">
        <v>7803.25</v>
      </c>
      <c r="M4832" s="427" t="s">
        <v>630</v>
      </c>
      <c r="N4832" s="434">
        <v>20906</v>
      </c>
      <c r="O4832" s="436">
        <f t="shared" si="198"/>
        <v>1526138</v>
      </c>
      <c r="P4832" s="89" t="s">
        <v>2749</v>
      </c>
      <c r="Q4832" s="422" t="s">
        <v>47</v>
      </c>
      <c r="R4832" s="422" t="s">
        <v>1869</v>
      </c>
      <c r="S4832" s="422" t="s">
        <v>1861</v>
      </c>
      <c r="U4832" s="422" t="s">
        <v>1953</v>
      </c>
      <c r="V4832" s="422" t="s">
        <v>2813</v>
      </c>
    </row>
    <row r="4833" spans="1:22" ht="15.75" thickBot="1" x14ac:dyDescent="0.3">
      <c r="A4833" t="s">
        <v>4593</v>
      </c>
      <c r="B4833" t="s">
        <v>4593</v>
      </c>
      <c r="C4833" s="424" t="str">
        <f t="shared" si="199"/>
        <v>RDL - Rodoviária do Lis, LDA.</v>
      </c>
      <c r="D4833" t="s">
        <v>629</v>
      </c>
      <c r="F4833" s="422" t="s">
        <v>620</v>
      </c>
      <c r="G4833" s="89" t="s">
        <v>2205</v>
      </c>
      <c r="H4833" s="313" t="s">
        <v>734</v>
      </c>
      <c r="I4833" s="311" t="str">
        <f t="shared" si="197"/>
        <v>Pesado de Passageiros M3:  : Gasóleo : E5</v>
      </c>
      <c r="J4833">
        <v>90</v>
      </c>
      <c r="K4833" s="422">
        <v>2023</v>
      </c>
      <c r="L4833" s="427">
        <v>14221.670000000002</v>
      </c>
      <c r="M4833" s="427" t="s">
        <v>630</v>
      </c>
      <c r="N4833" s="434">
        <v>46467</v>
      </c>
      <c r="O4833" s="436">
        <f t="shared" si="198"/>
        <v>4182030</v>
      </c>
      <c r="P4833" s="89" t="s">
        <v>2750</v>
      </c>
      <c r="Q4833" s="422" t="s">
        <v>47</v>
      </c>
      <c r="R4833" s="422" t="s">
        <v>1869</v>
      </c>
      <c r="S4833" s="422" t="s">
        <v>1861</v>
      </c>
      <c r="U4833" s="422" t="s">
        <v>1953</v>
      </c>
      <c r="V4833" s="422" t="s">
        <v>2813</v>
      </c>
    </row>
    <row r="4834" spans="1:22" ht="15.75" thickBot="1" x14ac:dyDescent="0.3">
      <c r="A4834" t="s">
        <v>4593</v>
      </c>
      <c r="B4834" t="s">
        <v>4593</v>
      </c>
      <c r="C4834" s="424" t="str">
        <f t="shared" si="199"/>
        <v>RDL - Rodoviária do Lis, LDA.</v>
      </c>
      <c r="D4834" t="s">
        <v>629</v>
      </c>
      <c r="F4834" s="422" t="s">
        <v>620</v>
      </c>
      <c r="G4834" s="89" t="s">
        <v>2211</v>
      </c>
      <c r="H4834" s="313" t="s">
        <v>731</v>
      </c>
      <c r="I4834" s="311" t="str">
        <f t="shared" ref="I4834:I4897" si="200">D4834&amp;": "&amp;E4834&amp;" : "&amp;F4834&amp;" : "&amp;H4834</f>
        <v>Pesado de Passageiros M3:  : Gasóleo : E4</v>
      </c>
      <c r="J4834">
        <v>73</v>
      </c>
      <c r="K4834" s="422">
        <v>2023</v>
      </c>
      <c r="L4834" s="427">
        <v>15417.66</v>
      </c>
      <c r="M4834" s="427" t="s">
        <v>630</v>
      </c>
      <c r="N4834" s="434">
        <v>37699</v>
      </c>
      <c r="O4834" s="436">
        <f t="shared" ref="O4834:O4897" si="201">N4834*J4834</f>
        <v>2752027</v>
      </c>
      <c r="P4834" s="89" t="s">
        <v>2751</v>
      </c>
      <c r="Q4834" s="422" t="s">
        <v>47</v>
      </c>
      <c r="R4834" s="422" t="s">
        <v>1869</v>
      </c>
      <c r="S4834" s="422" t="s">
        <v>1861</v>
      </c>
      <c r="U4834" s="422" t="s">
        <v>1953</v>
      </c>
      <c r="V4834" s="422" t="s">
        <v>2813</v>
      </c>
    </row>
    <row r="4835" spans="1:22" ht="15.75" thickBot="1" x14ac:dyDescent="0.3">
      <c r="A4835" t="s">
        <v>4593</v>
      </c>
      <c r="B4835" t="s">
        <v>4593</v>
      </c>
      <c r="C4835" s="424" t="str">
        <f t="shared" si="199"/>
        <v>RDL - Rodoviária do Lis, LDA.</v>
      </c>
      <c r="D4835" t="s">
        <v>629</v>
      </c>
      <c r="F4835" s="422" t="s">
        <v>620</v>
      </c>
      <c r="G4835" s="89" t="s">
        <v>2203</v>
      </c>
      <c r="H4835" s="313" t="s">
        <v>733</v>
      </c>
      <c r="I4835" s="311" t="str">
        <f t="shared" si="200"/>
        <v>Pesado de Passageiros M3:  : Gasóleo : E6</v>
      </c>
      <c r="J4835">
        <v>83</v>
      </c>
      <c r="K4835" s="422">
        <v>2023</v>
      </c>
      <c r="L4835" s="427">
        <v>345.36</v>
      </c>
      <c r="M4835" s="427" t="s">
        <v>630</v>
      </c>
      <c r="N4835" s="434">
        <v>1151</v>
      </c>
      <c r="O4835" s="436">
        <f t="shared" si="201"/>
        <v>95533</v>
      </c>
      <c r="P4835" s="89" t="s">
        <v>5413</v>
      </c>
      <c r="Q4835" s="422" t="s">
        <v>47</v>
      </c>
      <c r="R4835" s="422" t="s">
        <v>1869</v>
      </c>
      <c r="S4835" s="422" t="s">
        <v>1861</v>
      </c>
      <c r="U4835" s="422" t="s">
        <v>1953</v>
      </c>
      <c r="V4835" s="422" t="s">
        <v>2813</v>
      </c>
    </row>
    <row r="4836" spans="1:22" ht="15.75" thickBot="1" x14ac:dyDescent="0.3">
      <c r="A4836" t="s">
        <v>4593</v>
      </c>
      <c r="B4836" t="s">
        <v>4593</v>
      </c>
      <c r="C4836" s="424" t="str">
        <f t="shared" si="199"/>
        <v>RDL - Rodoviária do Lis, LDA.</v>
      </c>
      <c r="D4836" t="s">
        <v>629</v>
      </c>
      <c r="F4836" s="422" t="s">
        <v>620</v>
      </c>
      <c r="G4836" s="89" t="s">
        <v>2204</v>
      </c>
      <c r="H4836" s="313" t="s">
        <v>731</v>
      </c>
      <c r="I4836" s="311" t="str">
        <f t="shared" si="200"/>
        <v>Pesado de Passageiros M3:  : Gasóleo : E4</v>
      </c>
      <c r="J4836">
        <v>73</v>
      </c>
      <c r="K4836" s="422">
        <v>2023</v>
      </c>
      <c r="L4836" s="427">
        <v>23231.15</v>
      </c>
      <c r="M4836" s="427" t="s">
        <v>630</v>
      </c>
      <c r="N4836" s="434">
        <v>60947</v>
      </c>
      <c r="O4836" s="436">
        <f t="shared" si="201"/>
        <v>4449131</v>
      </c>
      <c r="P4836" s="89" t="s">
        <v>2752</v>
      </c>
      <c r="Q4836" s="422" t="s">
        <v>47</v>
      </c>
      <c r="R4836" s="422" t="s">
        <v>1869</v>
      </c>
      <c r="S4836" s="422" t="s">
        <v>1861</v>
      </c>
      <c r="U4836" s="422" t="s">
        <v>1953</v>
      </c>
      <c r="V4836" s="422" t="s">
        <v>2813</v>
      </c>
    </row>
    <row r="4837" spans="1:22" ht="15.75" thickBot="1" x14ac:dyDescent="0.3">
      <c r="A4837" t="s">
        <v>4593</v>
      </c>
      <c r="B4837" t="s">
        <v>4593</v>
      </c>
      <c r="C4837" s="424" t="str">
        <f t="shared" si="199"/>
        <v>RDL - Rodoviária do Lis, LDA.</v>
      </c>
      <c r="D4837" t="s">
        <v>629</v>
      </c>
      <c r="F4837" s="422" t="s">
        <v>620</v>
      </c>
      <c r="G4837" s="89" t="s">
        <v>2212</v>
      </c>
      <c r="H4837" s="313" t="s">
        <v>734</v>
      </c>
      <c r="I4837" s="311" t="str">
        <f t="shared" si="200"/>
        <v>Pesado de Passageiros M3:  : Gasóleo : E5</v>
      </c>
      <c r="J4837">
        <v>83</v>
      </c>
      <c r="K4837" s="422">
        <v>2023</v>
      </c>
      <c r="L4837" s="427">
        <v>11503.51</v>
      </c>
      <c r="M4837" s="427" t="s">
        <v>630</v>
      </c>
      <c r="N4837" s="434">
        <v>37914</v>
      </c>
      <c r="O4837" s="436">
        <f t="shared" si="201"/>
        <v>3146862</v>
      </c>
      <c r="P4837" s="89" t="s">
        <v>2753</v>
      </c>
      <c r="Q4837" s="422" t="s">
        <v>47</v>
      </c>
      <c r="R4837" s="422" t="s">
        <v>1869</v>
      </c>
      <c r="S4837" s="422" t="s">
        <v>1861</v>
      </c>
      <c r="U4837" s="422" t="s">
        <v>1953</v>
      </c>
      <c r="V4837" s="422" t="s">
        <v>2813</v>
      </c>
    </row>
    <row r="4838" spans="1:22" ht="15.75" thickBot="1" x14ac:dyDescent="0.3">
      <c r="A4838" t="s">
        <v>4593</v>
      </c>
      <c r="B4838" t="s">
        <v>4593</v>
      </c>
      <c r="C4838" s="424" t="str">
        <f t="shared" si="199"/>
        <v>RDL - Rodoviária do Lis, LDA.</v>
      </c>
      <c r="D4838" t="s">
        <v>629</v>
      </c>
      <c r="F4838" s="422" t="s">
        <v>620</v>
      </c>
      <c r="G4838" s="89" t="s">
        <v>2212</v>
      </c>
      <c r="H4838" s="313" t="s">
        <v>734</v>
      </c>
      <c r="I4838" s="311" t="str">
        <f t="shared" si="200"/>
        <v>Pesado de Passageiros M3:  : Gasóleo : E5</v>
      </c>
      <c r="J4838">
        <v>74</v>
      </c>
      <c r="K4838" s="422">
        <v>2023</v>
      </c>
      <c r="L4838" s="427">
        <v>16318.73</v>
      </c>
      <c r="M4838" s="427" t="s">
        <v>630</v>
      </c>
      <c r="N4838" s="434">
        <v>47245</v>
      </c>
      <c r="O4838" s="436">
        <f t="shared" si="201"/>
        <v>3496130</v>
      </c>
      <c r="P4838" s="89" t="s">
        <v>2754</v>
      </c>
      <c r="Q4838" s="422" t="s">
        <v>47</v>
      </c>
      <c r="R4838" s="422" t="s">
        <v>1869</v>
      </c>
      <c r="S4838" s="422" t="s">
        <v>1861</v>
      </c>
      <c r="U4838" s="422" t="s">
        <v>1953</v>
      </c>
      <c r="V4838" s="422" t="s">
        <v>2813</v>
      </c>
    </row>
    <row r="4839" spans="1:22" ht="15.75" thickBot="1" x14ac:dyDescent="0.3">
      <c r="A4839" t="s">
        <v>4593</v>
      </c>
      <c r="B4839" t="s">
        <v>4593</v>
      </c>
      <c r="C4839" s="424" t="str">
        <f t="shared" si="199"/>
        <v>RDL - Rodoviária do Lis, LDA.</v>
      </c>
      <c r="D4839" t="s">
        <v>629</v>
      </c>
      <c r="F4839" s="422" t="s">
        <v>620</v>
      </c>
      <c r="G4839" s="89" t="s">
        <v>2204</v>
      </c>
      <c r="H4839" s="313" t="s">
        <v>734</v>
      </c>
      <c r="I4839" s="311" t="str">
        <f t="shared" si="200"/>
        <v>Pesado de Passageiros M3:  : Gasóleo : E5</v>
      </c>
      <c r="J4839">
        <v>82</v>
      </c>
      <c r="K4839" s="422">
        <v>2023</v>
      </c>
      <c r="L4839" s="427">
        <v>13180.18</v>
      </c>
      <c r="M4839" s="427" t="s">
        <v>630</v>
      </c>
      <c r="N4839" s="434">
        <v>40635</v>
      </c>
      <c r="O4839" s="436">
        <f t="shared" si="201"/>
        <v>3332070</v>
      </c>
      <c r="P4839" s="89" t="s">
        <v>2758</v>
      </c>
      <c r="Q4839" s="422" t="s">
        <v>47</v>
      </c>
      <c r="R4839" s="422" t="s">
        <v>1869</v>
      </c>
      <c r="S4839" s="422" t="s">
        <v>1861</v>
      </c>
      <c r="U4839" s="422" t="s">
        <v>1953</v>
      </c>
      <c r="V4839" s="422" t="s">
        <v>2813</v>
      </c>
    </row>
    <row r="4840" spans="1:22" ht="15.75" thickBot="1" x14ac:dyDescent="0.3">
      <c r="A4840" t="s">
        <v>4593</v>
      </c>
      <c r="B4840" t="s">
        <v>4593</v>
      </c>
      <c r="C4840" s="424" t="str">
        <f t="shared" si="199"/>
        <v>RDL - Rodoviária do Lis, LDA.</v>
      </c>
      <c r="D4840" t="s">
        <v>629</v>
      </c>
      <c r="F4840" s="422" t="s">
        <v>620</v>
      </c>
      <c r="G4840" s="89" t="s">
        <v>1954</v>
      </c>
      <c r="H4840" s="313" t="s">
        <v>732</v>
      </c>
      <c r="I4840" s="311" t="str">
        <f t="shared" si="200"/>
        <v>Pesado de Passageiros M3:  : Gasóleo : E3</v>
      </c>
      <c r="J4840">
        <v>79</v>
      </c>
      <c r="K4840" s="422">
        <v>2023</v>
      </c>
      <c r="L4840" s="427">
        <v>5391.24</v>
      </c>
      <c r="M4840" s="427" t="s">
        <v>630</v>
      </c>
      <c r="N4840" s="434">
        <v>15615</v>
      </c>
      <c r="O4840" s="436">
        <f t="shared" si="201"/>
        <v>1233585</v>
      </c>
      <c r="P4840" s="89" t="s">
        <v>5414</v>
      </c>
      <c r="Q4840" s="422" t="s">
        <v>47</v>
      </c>
      <c r="R4840" s="422" t="s">
        <v>1869</v>
      </c>
      <c r="S4840" s="422" t="s">
        <v>1861</v>
      </c>
      <c r="U4840" s="422" t="s">
        <v>1953</v>
      </c>
      <c r="V4840" s="422" t="s">
        <v>2813</v>
      </c>
    </row>
    <row r="4841" spans="1:22" ht="15.75" thickBot="1" x14ac:dyDescent="0.3">
      <c r="A4841" t="s">
        <v>4593</v>
      </c>
      <c r="B4841" t="s">
        <v>4593</v>
      </c>
      <c r="C4841" s="424" t="str">
        <f t="shared" si="199"/>
        <v>RDL - Rodoviária do Lis, LDA.</v>
      </c>
      <c r="D4841" t="s">
        <v>629</v>
      </c>
      <c r="F4841" s="422" t="s">
        <v>620</v>
      </c>
      <c r="G4841" s="89" t="s">
        <v>2220</v>
      </c>
      <c r="H4841" s="313" t="s">
        <v>732</v>
      </c>
      <c r="I4841" s="311" t="str">
        <f t="shared" si="200"/>
        <v>Pesado de Passageiros M3:  : Gasóleo : E3</v>
      </c>
      <c r="J4841">
        <v>78</v>
      </c>
      <c r="K4841" s="422">
        <v>2023</v>
      </c>
      <c r="L4841" s="427">
        <v>3607.1000000000004</v>
      </c>
      <c r="M4841" s="427" t="s">
        <v>630</v>
      </c>
      <c r="N4841" s="434">
        <v>10336</v>
      </c>
      <c r="O4841" s="436">
        <f t="shared" si="201"/>
        <v>806208</v>
      </c>
      <c r="P4841" s="89" t="s">
        <v>2761</v>
      </c>
      <c r="Q4841" s="422" t="s">
        <v>47</v>
      </c>
      <c r="R4841" s="422" t="s">
        <v>1869</v>
      </c>
      <c r="S4841" s="422" t="s">
        <v>1861</v>
      </c>
      <c r="U4841" s="422" t="s">
        <v>1953</v>
      </c>
      <c r="V4841" s="422" t="s">
        <v>2813</v>
      </c>
    </row>
    <row r="4842" spans="1:22" ht="15.75" thickBot="1" x14ac:dyDescent="0.3">
      <c r="A4842" t="s">
        <v>4593</v>
      </c>
      <c r="B4842" t="s">
        <v>4593</v>
      </c>
      <c r="C4842" s="424" t="str">
        <f t="shared" si="199"/>
        <v>RDL - Rodoviária do Lis, LDA.</v>
      </c>
      <c r="D4842" t="s">
        <v>629</v>
      </c>
      <c r="F4842" s="422" t="s">
        <v>620</v>
      </c>
      <c r="G4842" s="89" t="s">
        <v>2220</v>
      </c>
      <c r="H4842" s="313" t="s">
        <v>732</v>
      </c>
      <c r="I4842" s="311" t="str">
        <f t="shared" si="200"/>
        <v>Pesado de Passageiros M3:  : Gasóleo : E3</v>
      </c>
      <c r="J4842">
        <v>63</v>
      </c>
      <c r="K4842" s="422">
        <v>2023</v>
      </c>
      <c r="L4842" s="427">
        <v>11529.83</v>
      </c>
      <c r="M4842" s="427" t="s">
        <v>630</v>
      </c>
      <c r="N4842" s="434">
        <v>34401</v>
      </c>
      <c r="O4842" s="436">
        <f t="shared" si="201"/>
        <v>2167263</v>
      </c>
      <c r="P4842" s="89" t="s">
        <v>2763</v>
      </c>
      <c r="Q4842" s="422" t="s">
        <v>47</v>
      </c>
      <c r="R4842" s="422" t="s">
        <v>1869</v>
      </c>
      <c r="S4842" s="422" t="s">
        <v>1861</v>
      </c>
      <c r="U4842" s="422" t="s">
        <v>1953</v>
      </c>
      <c r="V4842" s="422" t="s">
        <v>2813</v>
      </c>
    </row>
    <row r="4843" spans="1:22" ht="15.75" thickBot="1" x14ac:dyDescent="0.3">
      <c r="A4843" t="s">
        <v>4593</v>
      </c>
      <c r="B4843" t="s">
        <v>4593</v>
      </c>
      <c r="C4843" s="424" t="str">
        <f t="shared" si="199"/>
        <v>RDL - Rodoviária do Lis, LDA.</v>
      </c>
      <c r="D4843" t="s">
        <v>629</v>
      </c>
      <c r="F4843" s="422" t="s">
        <v>620</v>
      </c>
      <c r="G4843" s="89" t="s">
        <v>2227</v>
      </c>
      <c r="H4843" s="313" t="s">
        <v>733</v>
      </c>
      <c r="I4843" s="311" t="str">
        <f t="shared" si="200"/>
        <v>Pesado de Passageiros M3:  : Gasóleo : E6</v>
      </c>
      <c r="J4843">
        <v>26</v>
      </c>
      <c r="K4843" s="422">
        <v>2023</v>
      </c>
      <c r="L4843" s="427">
        <v>9166.89</v>
      </c>
      <c r="M4843" s="427" t="s">
        <v>630</v>
      </c>
      <c r="N4843" s="434">
        <v>49186</v>
      </c>
      <c r="O4843" s="436">
        <f t="shared" si="201"/>
        <v>1278836</v>
      </c>
      <c r="P4843" s="89" t="s">
        <v>2766</v>
      </c>
      <c r="Q4843" s="422" t="s">
        <v>47</v>
      </c>
      <c r="R4843" s="422" t="s">
        <v>1869</v>
      </c>
      <c r="S4843" s="422" t="s">
        <v>1861</v>
      </c>
      <c r="U4843" s="422" t="s">
        <v>1953</v>
      </c>
      <c r="V4843" s="422" t="s">
        <v>2813</v>
      </c>
    </row>
    <row r="4844" spans="1:22" ht="15.75" thickBot="1" x14ac:dyDescent="0.3">
      <c r="A4844" t="s">
        <v>4593</v>
      </c>
      <c r="B4844" t="s">
        <v>4593</v>
      </c>
      <c r="C4844" s="424" t="str">
        <f t="shared" si="199"/>
        <v>RDL - Rodoviária do Lis, LDA.</v>
      </c>
      <c r="D4844" t="s">
        <v>629</v>
      </c>
      <c r="F4844" s="422" t="s">
        <v>620</v>
      </c>
      <c r="G4844" s="89" t="s">
        <v>2203</v>
      </c>
      <c r="H4844" s="313" t="s">
        <v>733</v>
      </c>
      <c r="I4844" s="311" t="str">
        <f t="shared" si="200"/>
        <v>Pesado de Passageiros M3:  : Gasóleo : E6</v>
      </c>
      <c r="J4844">
        <v>63</v>
      </c>
      <c r="K4844" s="422">
        <v>2023</v>
      </c>
      <c r="L4844" s="427">
        <v>18064.47</v>
      </c>
      <c r="M4844" s="427" t="s">
        <v>630</v>
      </c>
      <c r="N4844" s="434">
        <v>51333</v>
      </c>
      <c r="O4844" s="436">
        <f t="shared" si="201"/>
        <v>3233979</v>
      </c>
      <c r="P4844" s="89" t="s">
        <v>2767</v>
      </c>
      <c r="Q4844" s="422" t="s">
        <v>47</v>
      </c>
      <c r="R4844" s="422" t="s">
        <v>1869</v>
      </c>
      <c r="S4844" s="422" t="s">
        <v>1861</v>
      </c>
      <c r="U4844" s="422" t="s">
        <v>1953</v>
      </c>
      <c r="V4844" s="422" t="s">
        <v>2813</v>
      </c>
    </row>
    <row r="4845" spans="1:22" ht="15.75" thickBot="1" x14ac:dyDescent="0.3">
      <c r="A4845" t="s">
        <v>4593</v>
      </c>
      <c r="B4845" t="s">
        <v>4593</v>
      </c>
      <c r="C4845" s="424" t="str">
        <f t="shared" si="199"/>
        <v>RDL - Rodoviária do Lis, LDA.</v>
      </c>
      <c r="D4845" t="s">
        <v>629</v>
      </c>
      <c r="F4845" s="422" t="s">
        <v>620</v>
      </c>
      <c r="G4845" s="89" t="s">
        <v>2213</v>
      </c>
      <c r="H4845" s="313" t="s">
        <v>734</v>
      </c>
      <c r="I4845" s="311" t="str">
        <f t="shared" si="200"/>
        <v>Pesado de Passageiros M3:  : Gasóleo : E5</v>
      </c>
      <c r="J4845">
        <v>66</v>
      </c>
      <c r="K4845" s="422">
        <v>2023</v>
      </c>
      <c r="L4845" s="427">
        <v>17340.11</v>
      </c>
      <c r="M4845" s="427" t="s">
        <v>630</v>
      </c>
      <c r="N4845" s="434">
        <v>53644</v>
      </c>
      <c r="O4845" s="436">
        <f t="shared" si="201"/>
        <v>3540504</v>
      </c>
      <c r="P4845" s="89" t="s">
        <v>2769</v>
      </c>
      <c r="Q4845" s="422" t="s">
        <v>47</v>
      </c>
      <c r="R4845" s="422" t="s">
        <v>1869</v>
      </c>
      <c r="S4845" s="422" t="s">
        <v>1861</v>
      </c>
      <c r="U4845" s="422" t="s">
        <v>1953</v>
      </c>
      <c r="V4845" s="422" t="s">
        <v>2813</v>
      </c>
    </row>
    <row r="4846" spans="1:22" ht="15.75" thickBot="1" x14ac:dyDescent="0.3">
      <c r="A4846" t="s">
        <v>4593</v>
      </c>
      <c r="B4846" t="s">
        <v>4593</v>
      </c>
      <c r="C4846" s="424" t="str">
        <f t="shared" si="199"/>
        <v>RDL - Rodoviária do Lis, LDA.</v>
      </c>
      <c r="D4846" t="s">
        <v>629</v>
      </c>
      <c r="F4846" s="422" t="s">
        <v>620</v>
      </c>
      <c r="G4846" s="89" t="s">
        <v>2220</v>
      </c>
      <c r="H4846" s="313" t="s">
        <v>732</v>
      </c>
      <c r="I4846" s="311" t="str">
        <f t="shared" si="200"/>
        <v>Pesado de Passageiros M3:  : Gasóleo : E3</v>
      </c>
      <c r="J4846">
        <v>63</v>
      </c>
      <c r="K4846" s="422">
        <v>2023</v>
      </c>
      <c r="L4846" s="427">
        <v>11738.25</v>
      </c>
      <c r="M4846" s="427" t="s">
        <v>630</v>
      </c>
      <c r="N4846" s="434">
        <v>32091</v>
      </c>
      <c r="O4846" s="436">
        <f t="shared" si="201"/>
        <v>2021733</v>
      </c>
      <c r="P4846" s="89" t="s">
        <v>2770</v>
      </c>
      <c r="Q4846" s="422" t="s">
        <v>47</v>
      </c>
      <c r="R4846" s="422" t="s">
        <v>1869</v>
      </c>
      <c r="S4846" s="422" t="s">
        <v>1861</v>
      </c>
      <c r="U4846" s="422" t="s">
        <v>1953</v>
      </c>
      <c r="V4846" s="422" t="s">
        <v>2813</v>
      </c>
    </row>
    <row r="4847" spans="1:22" ht="15.75" thickBot="1" x14ac:dyDescent="0.3">
      <c r="A4847" t="s">
        <v>4593</v>
      </c>
      <c r="B4847" t="s">
        <v>4593</v>
      </c>
      <c r="C4847" s="424" t="str">
        <f t="shared" si="199"/>
        <v>RDL - Rodoviária do Lis, LDA.</v>
      </c>
      <c r="D4847" t="s">
        <v>629</v>
      </c>
      <c r="F4847" s="422" t="s">
        <v>620</v>
      </c>
      <c r="G4847" s="89" t="s">
        <v>2222</v>
      </c>
      <c r="H4847" s="313" t="s">
        <v>732</v>
      </c>
      <c r="I4847" s="311" t="str">
        <f t="shared" si="200"/>
        <v>Pesado de Passageiros M3:  : Gasóleo : E3</v>
      </c>
      <c r="J4847">
        <v>92</v>
      </c>
      <c r="K4847" s="422">
        <v>2023</v>
      </c>
      <c r="L4847" s="427">
        <v>18274.2</v>
      </c>
      <c r="M4847" s="427" t="s">
        <v>630</v>
      </c>
      <c r="N4847" s="434">
        <v>43112</v>
      </c>
      <c r="O4847" s="436">
        <f t="shared" si="201"/>
        <v>3966304</v>
      </c>
      <c r="P4847" s="89" t="s">
        <v>5415</v>
      </c>
      <c r="Q4847" s="422" t="s">
        <v>47</v>
      </c>
      <c r="R4847" s="422" t="s">
        <v>1869</v>
      </c>
      <c r="S4847" s="422" t="s">
        <v>1861</v>
      </c>
      <c r="U4847" s="422" t="s">
        <v>1953</v>
      </c>
      <c r="V4847" s="422" t="s">
        <v>2813</v>
      </c>
    </row>
    <row r="4848" spans="1:22" ht="15.75" thickBot="1" x14ac:dyDescent="0.3">
      <c r="A4848" t="s">
        <v>4593</v>
      </c>
      <c r="B4848" t="s">
        <v>4593</v>
      </c>
      <c r="C4848" s="424" t="str">
        <f t="shared" si="199"/>
        <v>RDL - Rodoviária do Lis, LDA.</v>
      </c>
      <c r="D4848" t="s">
        <v>629</v>
      </c>
      <c r="F4848" s="422" t="s">
        <v>620</v>
      </c>
      <c r="G4848" s="89" t="s">
        <v>2228</v>
      </c>
      <c r="H4848" s="313" t="s">
        <v>732</v>
      </c>
      <c r="I4848" s="311" t="str">
        <f t="shared" si="200"/>
        <v>Pesado de Passageiros M3:  : Gasóleo : E3</v>
      </c>
      <c r="J4848">
        <v>74</v>
      </c>
      <c r="K4848" s="422">
        <v>2023</v>
      </c>
      <c r="L4848" s="427">
        <v>6508.18</v>
      </c>
      <c r="M4848" s="427" t="s">
        <v>630</v>
      </c>
      <c r="N4848" s="434">
        <v>17777</v>
      </c>
      <c r="O4848" s="436">
        <f t="shared" si="201"/>
        <v>1315498</v>
      </c>
      <c r="P4848" s="89" t="s">
        <v>5416</v>
      </c>
      <c r="Q4848" s="422" t="s">
        <v>47</v>
      </c>
      <c r="R4848" s="422" t="s">
        <v>1869</v>
      </c>
      <c r="S4848" s="422" t="s">
        <v>1861</v>
      </c>
      <c r="U4848" s="422" t="s">
        <v>1953</v>
      </c>
      <c r="V4848" s="422" t="s">
        <v>2813</v>
      </c>
    </row>
    <row r="4849" spans="1:22" ht="15.75" thickBot="1" x14ac:dyDescent="0.3">
      <c r="A4849" t="s">
        <v>4593</v>
      </c>
      <c r="B4849" t="s">
        <v>4593</v>
      </c>
      <c r="C4849" s="424" t="str">
        <f t="shared" si="199"/>
        <v>RDL - Rodoviária do Lis, LDA.</v>
      </c>
      <c r="D4849" t="s">
        <v>629</v>
      </c>
      <c r="F4849" s="422" t="s">
        <v>620</v>
      </c>
      <c r="G4849" s="89" t="s">
        <v>2222</v>
      </c>
      <c r="H4849" s="313" t="s">
        <v>732</v>
      </c>
      <c r="I4849" s="311" t="str">
        <f t="shared" si="200"/>
        <v>Pesado de Passageiros M3:  : Gasóleo : E3</v>
      </c>
      <c r="J4849">
        <v>69</v>
      </c>
      <c r="K4849" s="422">
        <v>2023</v>
      </c>
      <c r="L4849" s="427">
        <v>9658.2899999999991</v>
      </c>
      <c r="M4849" s="427" t="s">
        <v>630</v>
      </c>
      <c r="N4849" s="434">
        <v>27403</v>
      </c>
      <c r="O4849" s="436">
        <f t="shared" si="201"/>
        <v>1890807</v>
      </c>
      <c r="P4849" s="89" t="s">
        <v>5417</v>
      </c>
      <c r="Q4849" s="422" t="s">
        <v>47</v>
      </c>
      <c r="R4849" s="422" t="s">
        <v>1869</v>
      </c>
      <c r="S4849" s="422" t="s">
        <v>1861</v>
      </c>
      <c r="U4849" s="422" t="s">
        <v>1953</v>
      </c>
      <c r="V4849" s="422" t="s">
        <v>2813</v>
      </c>
    </row>
    <row r="4850" spans="1:22" ht="15.75" thickBot="1" x14ac:dyDescent="0.3">
      <c r="A4850" t="s">
        <v>4593</v>
      </c>
      <c r="B4850" t="s">
        <v>4593</v>
      </c>
      <c r="C4850" s="424" t="str">
        <f t="shared" si="199"/>
        <v>RDL - Rodoviária do Lis, LDA.</v>
      </c>
      <c r="D4850" t="s">
        <v>629</v>
      </c>
      <c r="F4850" s="422" t="s">
        <v>620</v>
      </c>
      <c r="G4850" s="89" t="s">
        <v>2220</v>
      </c>
      <c r="H4850" s="313" t="s">
        <v>732</v>
      </c>
      <c r="I4850" s="311" t="str">
        <f t="shared" si="200"/>
        <v>Pesado de Passageiros M3:  : Gasóleo : E3</v>
      </c>
      <c r="J4850">
        <v>69</v>
      </c>
      <c r="K4850" s="422">
        <v>2023</v>
      </c>
      <c r="L4850" s="427">
        <v>13321.22</v>
      </c>
      <c r="M4850" s="427" t="s">
        <v>630</v>
      </c>
      <c r="N4850" s="434">
        <v>39445</v>
      </c>
      <c r="O4850" s="436">
        <f t="shared" si="201"/>
        <v>2721705</v>
      </c>
      <c r="P4850" s="89" t="s">
        <v>5418</v>
      </c>
      <c r="Q4850" s="422" t="s">
        <v>47</v>
      </c>
      <c r="R4850" s="422" t="s">
        <v>1869</v>
      </c>
      <c r="S4850" s="422" t="s">
        <v>1861</v>
      </c>
      <c r="U4850" s="422" t="s">
        <v>1953</v>
      </c>
      <c r="V4850" s="422" t="s">
        <v>2813</v>
      </c>
    </row>
    <row r="4851" spans="1:22" ht="15.75" thickBot="1" x14ac:dyDescent="0.3">
      <c r="A4851" t="s">
        <v>4593</v>
      </c>
      <c r="B4851" t="s">
        <v>4593</v>
      </c>
      <c r="C4851" s="424" t="str">
        <f t="shared" si="199"/>
        <v>RDL - Rodoviária do Lis, LDA.</v>
      </c>
      <c r="D4851" t="s">
        <v>629</v>
      </c>
      <c r="F4851" s="422" t="s">
        <v>620</v>
      </c>
      <c r="G4851" s="89" t="s">
        <v>2211</v>
      </c>
      <c r="H4851" s="313" t="s">
        <v>731</v>
      </c>
      <c r="I4851" s="311" t="str">
        <f t="shared" si="200"/>
        <v>Pesado de Passageiros M3:  : Gasóleo : E4</v>
      </c>
      <c r="J4851">
        <v>78</v>
      </c>
      <c r="K4851" s="422">
        <v>2023</v>
      </c>
      <c r="L4851" s="427">
        <v>6798.21</v>
      </c>
      <c r="M4851" s="427" t="s">
        <v>630</v>
      </c>
      <c r="N4851" s="434">
        <v>18562</v>
      </c>
      <c r="O4851" s="436">
        <f t="shared" si="201"/>
        <v>1447836</v>
      </c>
      <c r="P4851" s="89" t="s">
        <v>2771</v>
      </c>
      <c r="Q4851" s="422" t="s">
        <v>47</v>
      </c>
      <c r="R4851" s="422" t="s">
        <v>1869</v>
      </c>
      <c r="S4851" s="422" t="s">
        <v>1861</v>
      </c>
      <c r="U4851" s="422" t="s">
        <v>1953</v>
      </c>
      <c r="V4851" s="422" t="s">
        <v>2813</v>
      </c>
    </row>
    <row r="4852" spans="1:22" ht="15.75" thickBot="1" x14ac:dyDescent="0.3">
      <c r="A4852" t="s">
        <v>4593</v>
      </c>
      <c r="B4852" t="s">
        <v>4593</v>
      </c>
      <c r="C4852" s="424" t="str">
        <f t="shared" si="199"/>
        <v>RDL - Rodoviária do Lis, LDA.</v>
      </c>
      <c r="D4852" t="s">
        <v>629</v>
      </c>
      <c r="F4852" s="422" t="s">
        <v>620</v>
      </c>
      <c r="G4852" s="89" t="s">
        <v>2228</v>
      </c>
      <c r="H4852" s="313" t="s">
        <v>732</v>
      </c>
      <c r="I4852" s="311" t="str">
        <f t="shared" si="200"/>
        <v>Pesado de Passageiros M3:  : Gasóleo : E3</v>
      </c>
      <c r="J4852">
        <v>72</v>
      </c>
      <c r="K4852" s="422">
        <v>2023</v>
      </c>
      <c r="L4852" s="427">
        <v>6605.7599999999993</v>
      </c>
      <c r="M4852" s="427" t="s">
        <v>630</v>
      </c>
      <c r="N4852" s="434">
        <v>17070</v>
      </c>
      <c r="O4852" s="436">
        <f t="shared" si="201"/>
        <v>1229040</v>
      </c>
      <c r="P4852" s="89" t="s">
        <v>5419</v>
      </c>
      <c r="Q4852" s="422" t="s">
        <v>47</v>
      </c>
      <c r="R4852" s="422" t="s">
        <v>1869</v>
      </c>
      <c r="S4852" s="422" t="s">
        <v>1861</v>
      </c>
      <c r="U4852" s="422" t="s">
        <v>1953</v>
      </c>
      <c r="V4852" s="422" t="s">
        <v>2813</v>
      </c>
    </row>
    <row r="4853" spans="1:22" ht="15.75" thickBot="1" x14ac:dyDescent="0.3">
      <c r="A4853" t="s">
        <v>4593</v>
      </c>
      <c r="B4853" t="s">
        <v>4593</v>
      </c>
      <c r="C4853" s="424" t="str">
        <f t="shared" si="199"/>
        <v>RDL - Rodoviária do Lis, LDA.</v>
      </c>
      <c r="D4853" t="s">
        <v>629</v>
      </c>
      <c r="F4853" s="422" t="s">
        <v>620</v>
      </c>
      <c r="G4853" s="89" t="s">
        <v>2228</v>
      </c>
      <c r="H4853" s="313" t="s">
        <v>732</v>
      </c>
      <c r="I4853" s="311" t="str">
        <f t="shared" si="200"/>
        <v>Pesado de Passageiros M3:  : Gasóleo : E3</v>
      </c>
      <c r="J4853">
        <v>62</v>
      </c>
      <c r="K4853" s="422">
        <v>2023</v>
      </c>
      <c r="L4853" s="427">
        <v>9383.15</v>
      </c>
      <c r="M4853" s="427" t="s">
        <v>630</v>
      </c>
      <c r="N4853" s="434">
        <v>24315</v>
      </c>
      <c r="O4853" s="436">
        <f t="shared" si="201"/>
        <v>1507530</v>
      </c>
      <c r="P4853" s="89" t="s">
        <v>2773</v>
      </c>
      <c r="Q4853" s="422" t="s">
        <v>47</v>
      </c>
      <c r="R4853" s="422" t="s">
        <v>1869</v>
      </c>
      <c r="S4853" s="422" t="s">
        <v>1861</v>
      </c>
      <c r="U4853" s="422" t="s">
        <v>1953</v>
      </c>
      <c r="V4853" s="422" t="s">
        <v>2813</v>
      </c>
    </row>
    <row r="4854" spans="1:22" ht="15.75" thickBot="1" x14ac:dyDescent="0.3">
      <c r="A4854" t="s">
        <v>4593</v>
      </c>
      <c r="B4854" t="s">
        <v>4593</v>
      </c>
      <c r="C4854" s="424" t="str">
        <f t="shared" si="199"/>
        <v>RDL - Rodoviária do Lis, LDA.</v>
      </c>
      <c r="D4854" t="s">
        <v>629</v>
      </c>
      <c r="F4854" s="422" t="s">
        <v>620</v>
      </c>
      <c r="G4854" s="89" t="s">
        <v>2228</v>
      </c>
      <c r="H4854" s="313" t="s">
        <v>732</v>
      </c>
      <c r="I4854" s="311" t="str">
        <f t="shared" si="200"/>
        <v>Pesado de Passageiros M3:  : Gasóleo : E3</v>
      </c>
      <c r="J4854">
        <v>62</v>
      </c>
      <c r="K4854" s="422">
        <v>2023</v>
      </c>
      <c r="L4854" s="427">
        <v>10331.49</v>
      </c>
      <c r="M4854" s="427" t="s">
        <v>630</v>
      </c>
      <c r="N4854" s="434">
        <v>28996</v>
      </c>
      <c r="O4854" s="436">
        <f t="shared" si="201"/>
        <v>1797752</v>
      </c>
      <c r="P4854" s="89" t="s">
        <v>2774</v>
      </c>
      <c r="Q4854" s="422" t="s">
        <v>47</v>
      </c>
      <c r="R4854" s="422" t="s">
        <v>1869</v>
      </c>
      <c r="S4854" s="422" t="s">
        <v>1861</v>
      </c>
      <c r="U4854" s="422" t="s">
        <v>1953</v>
      </c>
      <c r="V4854" s="422" t="s">
        <v>2813</v>
      </c>
    </row>
    <row r="4855" spans="1:22" ht="15.75" thickBot="1" x14ac:dyDescent="0.3">
      <c r="A4855" t="s">
        <v>4593</v>
      </c>
      <c r="B4855" t="s">
        <v>4593</v>
      </c>
      <c r="C4855" s="424" t="str">
        <f t="shared" si="199"/>
        <v>RDL - Rodoviária do Lis, LDA.</v>
      </c>
      <c r="D4855" t="s">
        <v>629</v>
      </c>
      <c r="F4855" s="422" t="s">
        <v>620</v>
      </c>
      <c r="G4855" s="89" t="s">
        <v>2214</v>
      </c>
      <c r="H4855" s="313" t="s">
        <v>733</v>
      </c>
      <c r="I4855" s="311" t="str">
        <f t="shared" si="200"/>
        <v>Pesado de Passageiros M3:  : Gasóleo : E6</v>
      </c>
      <c r="J4855">
        <v>59</v>
      </c>
      <c r="K4855" s="422">
        <v>2023</v>
      </c>
      <c r="L4855" s="427">
        <v>0</v>
      </c>
      <c r="M4855" s="427" t="s">
        <v>630</v>
      </c>
      <c r="N4855" s="434">
        <v>0</v>
      </c>
      <c r="O4855" s="436">
        <f t="shared" si="201"/>
        <v>0</v>
      </c>
      <c r="P4855" s="89" t="s">
        <v>5420</v>
      </c>
      <c r="Q4855" s="422" t="s">
        <v>47</v>
      </c>
      <c r="R4855" s="422" t="s">
        <v>1869</v>
      </c>
      <c r="S4855" s="422" t="s">
        <v>1861</v>
      </c>
      <c r="U4855" s="422" t="s">
        <v>1953</v>
      </c>
      <c r="V4855" s="422" t="s">
        <v>2813</v>
      </c>
    </row>
    <row r="4856" spans="1:22" ht="15.75" thickBot="1" x14ac:dyDescent="0.3">
      <c r="A4856" t="s">
        <v>4593</v>
      </c>
      <c r="B4856" t="s">
        <v>4593</v>
      </c>
      <c r="C4856" s="424" t="str">
        <f t="shared" si="199"/>
        <v>RDL - Rodoviária do Lis, LDA.</v>
      </c>
      <c r="D4856" t="s">
        <v>629</v>
      </c>
      <c r="F4856" s="422" t="s">
        <v>620</v>
      </c>
      <c r="G4856" s="89" t="s">
        <v>2214</v>
      </c>
      <c r="H4856" s="313" t="s">
        <v>733</v>
      </c>
      <c r="I4856" s="311" t="str">
        <f t="shared" si="200"/>
        <v>Pesado de Passageiros M3:  : Gasóleo : E6</v>
      </c>
      <c r="J4856">
        <v>59</v>
      </c>
      <c r="K4856" s="422">
        <v>2023</v>
      </c>
      <c r="L4856" s="427">
        <v>0</v>
      </c>
      <c r="M4856" s="427" t="s">
        <v>630</v>
      </c>
      <c r="N4856" s="434">
        <v>0</v>
      </c>
      <c r="O4856" s="436">
        <f t="shared" si="201"/>
        <v>0</v>
      </c>
      <c r="P4856" s="89" t="s">
        <v>5421</v>
      </c>
      <c r="Q4856" s="422" t="s">
        <v>47</v>
      </c>
      <c r="R4856" s="422" t="s">
        <v>1869</v>
      </c>
      <c r="S4856" s="422" t="s">
        <v>1861</v>
      </c>
      <c r="U4856" s="422" t="s">
        <v>1953</v>
      </c>
      <c r="V4856" s="422" t="s">
        <v>2813</v>
      </c>
    </row>
    <row r="4857" spans="1:22" ht="15.75" thickBot="1" x14ac:dyDescent="0.3">
      <c r="A4857" t="s">
        <v>4593</v>
      </c>
      <c r="B4857" t="s">
        <v>4593</v>
      </c>
      <c r="C4857" s="424" t="str">
        <f t="shared" si="199"/>
        <v>RDL - Rodoviária do Lis, LDA.</v>
      </c>
      <c r="D4857" t="s">
        <v>629</v>
      </c>
      <c r="F4857" s="422" t="s">
        <v>620</v>
      </c>
      <c r="G4857" s="89" t="s">
        <v>2214</v>
      </c>
      <c r="H4857" s="313" t="s">
        <v>733</v>
      </c>
      <c r="I4857" s="311" t="str">
        <f t="shared" si="200"/>
        <v>Pesado de Passageiros M3:  : Gasóleo : E6</v>
      </c>
      <c r="J4857">
        <v>55</v>
      </c>
      <c r="K4857" s="422">
        <v>2023</v>
      </c>
      <c r="L4857" s="427">
        <v>0</v>
      </c>
      <c r="M4857" s="427" t="s">
        <v>630</v>
      </c>
      <c r="N4857" s="434">
        <v>0</v>
      </c>
      <c r="O4857" s="436">
        <f t="shared" si="201"/>
        <v>0</v>
      </c>
      <c r="P4857" s="89" t="s">
        <v>5422</v>
      </c>
      <c r="Q4857" s="422" t="s">
        <v>47</v>
      </c>
      <c r="R4857" s="422" t="s">
        <v>1869</v>
      </c>
      <c r="S4857" s="422" t="s">
        <v>1861</v>
      </c>
      <c r="U4857" s="422" t="s">
        <v>1953</v>
      </c>
      <c r="V4857" s="422" t="s">
        <v>2813</v>
      </c>
    </row>
    <row r="4858" spans="1:22" ht="15.75" thickBot="1" x14ac:dyDescent="0.3">
      <c r="A4858" t="s">
        <v>4593</v>
      </c>
      <c r="B4858" t="s">
        <v>4593</v>
      </c>
      <c r="C4858" s="424" t="str">
        <f t="shared" si="199"/>
        <v>RDL - Rodoviária do Lis, LDA.</v>
      </c>
      <c r="D4858" t="s">
        <v>629</v>
      </c>
      <c r="F4858" s="422" t="s">
        <v>620</v>
      </c>
      <c r="G4858" s="89" t="s">
        <v>2214</v>
      </c>
      <c r="H4858" s="313" t="s">
        <v>733</v>
      </c>
      <c r="I4858" s="311" t="str">
        <f t="shared" si="200"/>
        <v>Pesado de Passageiros M3:  : Gasóleo : E6</v>
      </c>
      <c r="J4858">
        <v>59</v>
      </c>
      <c r="K4858" s="422">
        <v>2023</v>
      </c>
      <c r="L4858" s="427">
        <v>0</v>
      </c>
      <c r="M4858" s="427" t="s">
        <v>630</v>
      </c>
      <c r="N4858" s="434">
        <v>0</v>
      </c>
      <c r="O4858" s="436">
        <f t="shared" si="201"/>
        <v>0</v>
      </c>
      <c r="P4858" s="89" t="s">
        <v>5423</v>
      </c>
      <c r="Q4858" s="422" t="s">
        <v>47</v>
      </c>
      <c r="R4858" s="422" t="s">
        <v>1869</v>
      </c>
      <c r="S4858" s="422" t="s">
        <v>1861</v>
      </c>
      <c r="U4858" s="422" t="s">
        <v>1953</v>
      </c>
      <c r="V4858" s="422" t="s">
        <v>2813</v>
      </c>
    </row>
    <row r="4859" spans="1:22" ht="15.75" thickBot="1" x14ac:dyDescent="0.3">
      <c r="A4859" t="s">
        <v>4593</v>
      </c>
      <c r="B4859" t="s">
        <v>4593</v>
      </c>
      <c r="C4859" s="424" t="str">
        <f t="shared" si="199"/>
        <v>RDL - Rodoviária do Lis, LDA.</v>
      </c>
      <c r="D4859" t="s">
        <v>629</v>
      </c>
      <c r="F4859" s="422" t="s">
        <v>620</v>
      </c>
      <c r="G4859" s="89" t="s">
        <v>2212</v>
      </c>
      <c r="H4859" s="313" t="s">
        <v>734</v>
      </c>
      <c r="I4859" s="311" t="str">
        <f t="shared" si="200"/>
        <v>Pesado de Passageiros M3:  : Gasóleo : E5</v>
      </c>
      <c r="J4859">
        <v>71</v>
      </c>
      <c r="K4859" s="422">
        <v>2023</v>
      </c>
      <c r="L4859" s="427">
        <v>5014.8500000000004</v>
      </c>
      <c r="M4859" s="427" t="s">
        <v>630</v>
      </c>
      <c r="N4859" s="434">
        <v>16435</v>
      </c>
      <c r="O4859" s="436">
        <f t="shared" si="201"/>
        <v>1166885</v>
      </c>
      <c r="P4859" s="89" t="s">
        <v>2775</v>
      </c>
      <c r="Q4859" s="422" t="s">
        <v>47</v>
      </c>
      <c r="R4859" s="422" t="s">
        <v>1869</v>
      </c>
      <c r="S4859" s="422" t="s">
        <v>1861</v>
      </c>
      <c r="U4859" s="422" t="s">
        <v>1953</v>
      </c>
      <c r="V4859" s="422" t="s">
        <v>2813</v>
      </c>
    </row>
    <row r="4860" spans="1:22" ht="15.75" thickBot="1" x14ac:dyDescent="0.3">
      <c r="A4860" t="s">
        <v>4593</v>
      </c>
      <c r="B4860" t="s">
        <v>4593</v>
      </c>
      <c r="C4860" s="424" t="str">
        <f t="shared" si="199"/>
        <v>RDL - Rodoviária do Lis, LDA.</v>
      </c>
      <c r="D4860" t="s">
        <v>629</v>
      </c>
      <c r="F4860" s="422" t="s">
        <v>620</v>
      </c>
      <c r="G4860" s="89" t="s">
        <v>2212</v>
      </c>
      <c r="H4860" s="313" t="s">
        <v>734</v>
      </c>
      <c r="I4860" s="311" t="str">
        <f t="shared" si="200"/>
        <v>Pesado de Passageiros M3:  : Gasóleo : E5</v>
      </c>
      <c r="J4860">
        <v>71</v>
      </c>
      <c r="K4860" s="422">
        <v>2023</v>
      </c>
      <c r="L4860" s="427">
        <v>10248.5</v>
      </c>
      <c r="M4860" s="427" t="s">
        <v>630</v>
      </c>
      <c r="N4860" s="434">
        <v>33460</v>
      </c>
      <c r="O4860" s="436">
        <f t="shared" si="201"/>
        <v>2375660</v>
      </c>
      <c r="P4860" s="89" t="s">
        <v>2776</v>
      </c>
      <c r="Q4860" s="422" t="s">
        <v>47</v>
      </c>
      <c r="R4860" s="422" t="s">
        <v>1869</v>
      </c>
      <c r="S4860" s="422" t="s">
        <v>1861</v>
      </c>
      <c r="U4860" s="422" t="s">
        <v>1953</v>
      </c>
      <c r="V4860" s="422" t="s">
        <v>2813</v>
      </c>
    </row>
    <row r="4861" spans="1:22" ht="15.75" thickBot="1" x14ac:dyDescent="0.3">
      <c r="A4861" t="s">
        <v>4593</v>
      </c>
      <c r="B4861" t="s">
        <v>4593</v>
      </c>
      <c r="C4861" s="424" t="str">
        <f t="shared" si="199"/>
        <v>RDL - Rodoviária do Lis, LDA.</v>
      </c>
      <c r="D4861" t="s">
        <v>629</v>
      </c>
      <c r="F4861" s="422" t="s">
        <v>620</v>
      </c>
      <c r="G4861" s="89" t="s">
        <v>2212</v>
      </c>
      <c r="H4861" s="313" t="s">
        <v>734</v>
      </c>
      <c r="I4861" s="311" t="str">
        <f t="shared" si="200"/>
        <v>Pesado de Passageiros M3:  : Gasóleo : E5</v>
      </c>
      <c r="J4861">
        <v>71</v>
      </c>
      <c r="K4861" s="422">
        <v>2023</v>
      </c>
      <c r="L4861" s="427">
        <v>7899.25</v>
      </c>
      <c r="M4861" s="427" t="s">
        <v>630</v>
      </c>
      <c r="N4861" s="434">
        <v>26994</v>
      </c>
      <c r="O4861" s="436">
        <f t="shared" si="201"/>
        <v>1916574</v>
      </c>
      <c r="P4861" s="89" t="s">
        <v>2777</v>
      </c>
      <c r="Q4861" s="422" t="s">
        <v>47</v>
      </c>
      <c r="R4861" s="422" t="s">
        <v>1869</v>
      </c>
      <c r="S4861" s="422" t="s">
        <v>1861</v>
      </c>
      <c r="U4861" s="422" t="s">
        <v>1953</v>
      </c>
      <c r="V4861" s="422" t="s">
        <v>2813</v>
      </c>
    </row>
    <row r="4862" spans="1:22" ht="15.75" thickBot="1" x14ac:dyDescent="0.3">
      <c r="A4862" t="s">
        <v>4593</v>
      </c>
      <c r="B4862" t="s">
        <v>4593</v>
      </c>
      <c r="C4862" s="424" t="str">
        <f t="shared" si="199"/>
        <v>RDL - Rodoviária do Lis, LDA.</v>
      </c>
      <c r="D4862" t="s">
        <v>629</v>
      </c>
      <c r="F4862" s="422" t="s">
        <v>620</v>
      </c>
      <c r="G4862" s="89" t="s">
        <v>2221</v>
      </c>
      <c r="H4862" s="313" t="s">
        <v>734</v>
      </c>
      <c r="I4862" s="311" t="str">
        <f t="shared" si="200"/>
        <v>Pesado de Passageiros M3:  : Gasóleo : E5</v>
      </c>
      <c r="J4862">
        <v>79</v>
      </c>
      <c r="K4862" s="422">
        <v>2023</v>
      </c>
      <c r="L4862" s="427">
        <v>0</v>
      </c>
      <c r="M4862" s="427" t="s">
        <v>630</v>
      </c>
      <c r="N4862" s="434">
        <v>0</v>
      </c>
      <c r="O4862" s="436">
        <f t="shared" si="201"/>
        <v>0</v>
      </c>
      <c r="P4862" s="89" t="s">
        <v>5424</v>
      </c>
      <c r="Q4862" s="422" t="s">
        <v>47</v>
      </c>
      <c r="R4862" s="422" t="s">
        <v>1869</v>
      </c>
      <c r="S4862" s="422" t="s">
        <v>1861</v>
      </c>
      <c r="U4862" s="422" t="s">
        <v>1953</v>
      </c>
      <c r="V4862" s="422" t="s">
        <v>2813</v>
      </c>
    </row>
    <row r="4863" spans="1:22" ht="15.75" thickBot="1" x14ac:dyDescent="0.3">
      <c r="A4863" t="s">
        <v>4593</v>
      </c>
      <c r="B4863" t="s">
        <v>4593</v>
      </c>
      <c r="C4863" s="424" t="str">
        <f t="shared" si="199"/>
        <v>RDL - Rodoviária do Lis, LDA.</v>
      </c>
      <c r="D4863" t="s">
        <v>629</v>
      </c>
      <c r="F4863" s="422" t="s">
        <v>620</v>
      </c>
      <c r="G4863" s="89" t="s">
        <v>2219</v>
      </c>
      <c r="H4863" s="313" t="s">
        <v>732</v>
      </c>
      <c r="I4863" s="311" t="str">
        <f t="shared" si="200"/>
        <v>Pesado de Passageiros M3:  : Gasóleo : E3</v>
      </c>
      <c r="J4863">
        <v>76</v>
      </c>
      <c r="K4863" s="422">
        <v>2023</v>
      </c>
      <c r="L4863" s="427">
        <v>12514.45</v>
      </c>
      <c r="M4863" s="427" t="s">
        <v>630</v>
      </c>
      <c r="N4863" s="434">
        <v>30319</v>
      </c>
      <c r="O4863" s="436">
        <f t="shared" si="201"/>
        <v>2304244</v>
      </c>
      <c r="P4863" s="89" t="s">
        <v>2779</v>
      </c>
      <c r="Q4863" s="422" t="s">
        <v>47</v>
      </c>
      <c r="R4863" s="422" t="s">
        <v>1869</v>
      </c>
      <c r="S4863" s="422" t="s">
        <v>1861</v>
      </c>
      <c r="U4863" s="422" t="s">
        <v>1953</v>
      </c>
      <c r="V4863" s="422" t="s">
        <v>2813</v>
      </c>
    </row>
    <row r="4864" spans="1:22" ht="15.75" thickBot="1" x14ac:dyDescent="0.3">
      <c r="A4864" t="s">
        <v>4593</v>
      </c>
      <c r="B4864" t="s">
        <v>4593</v>
      </c>
      <c r="C4864" s="424" t="str">
        <f t="shared" si="199"/>
        <v>RDL - Rodoviária do Lis, LDA.</v>
      </c>
      <c r="D4864" t="s">
        <v>629</v>
      </c>
      <c r="F4864" s="422" t="s">
        <v>620</v>
      </c>
      <c r="G4864" s="89" t="s">
        <v>2219</v>
      </c>
      <c r="H4864" s="313" t="s">
        <v>732</v>
      </c>
      <c r="I4864" s="311" t="str">
        <f t="shared" si="200"/>
        <v>Pesado de Passageiros M3:  : Gasóleo : E3</v>
      </c>
      <c r="J4864">
        <v>76</v>
      </c>
      <c r="K4864" s="422">
        <v>2023</v>
      </c>
      <c r="L4864" s="427">
        <v>11341.31</v>
      </c>
      <c r="M4864" s="427" t="s">
        <v>630</v>
      </c>
      <c r="N4864" s="434">
        <v>28833</v>
      </c>
      <c r="O4864" s="436">
        <f t="shared" si="201"/>
        <v>2191308</v>
      </c>
      <c r="P4864" s="89" t="s">
        <v>2780</v>
      </c>
      <c r="Q4864" s="422" t="s">
        <v>47</v>
      </c>
      <c r="R4864" s="422" t="s">
        <v>1869</v>
      </c>
      <c r="S4864" s="422" t="s">
        <v>1861</v>
      </c>
      <c r="U4864" s="422" t="s">
        <v>1953</v>
      </c>
      <c r="V4864" s="422" t="s">
        <v>2813</v>
      </c>
    </row>
    <row r="4865" spans="1:22" ht="15.75" thickBot="1" x14ac:dyDescent="0.3">
      <c r="A4865" t="s">
        <v>4593</v>
      </c>
      <c r="B4865" t="s">
        <v>4593</v>
      </c>
      <c r="C4865" s="424" t="str">
        <f t="shared" si="199"/>
        <v>RDL - Rodoviária do Lis, LDA.</v>
      </c>
      <c r="D4865" t="s">
        <v>629</v>
      </c>
      <c r="F4865" s="422" t="s">
        <v>620</v>
      </c>
      <c r="G4865" s="89" t="s">
        <v>2228</v>
      </c>
      <c r="H4865" s="313" t="s">
        <v>732</v>
      </c>
      <c r="I4865" s="311" t="str">
        <f t="shared" si="200"/>
        <v>Pesado de Passageiros M3:  : Gasóleo : E3</v>
      </c>
      <c r="J4865">
        <v>62</v>
      </c>
      <c r="K4865" s="422">
        <v>2023</v>
      </c>
      <c r="L4865" s="427">
        <v>25015.25</v>
      </c>
      <c r="M4865" s="427" t="s">
        <v>630</v>
      </c>
      <c r="N4865" s="434">
        <v>65767</v>
      </c>
      <c r="O4865" s="436">
        <f t="shared" si="201"/>
        <v>4077554</v>
      </c>
      <c r="P4865" s="89" t="s">
        <v>2783</v>
      </c>
      <c r="Q4865" s="422" t="s">
        <v>47</v>
      </c>
      <c r="R4865" s="422" t="s">
        <v>1869</v>
      </c>
      <c r="S4865" s="422" t="s">
        <v>1861</v>
      </c>
      <c r="U4865" s="422" t="s">
        <v>1953</v>
      </c>
      <c r="V4865" s="422" t="s">
        <v>2813</v>
      </c>
    </row>
    <row r="4866" spans="1:22" ht="15.75" thickBot="1" x14ac:dyDescent="0.3">
      <c r="A4866" t="s">
        <v>4593</v>
      </c>
      <c r="B4866" t="s">
        <v>4593</v>
      </c>
      <c r="C4866" s="424" t="str">
        <f t="shared" si="199"/>
        <v>RDL - Rodoviária do Lis, LDA.</v>
      </c>
      <c r="D4866" t="s">
        <v>629</v>
      </c>
      <c r="F4866" s="422" t="s">
        <v>620</v>
      </c>
      <c r="G4866" s="89" t="s">
        <v>2228</v>
      </c>
      <c r="H4866" s="313" t="s">
        <v>732</v>
      </c>
      <c r="I4866" s="311" t="str">
        <f t="shared" si="200"/>
        <v>Pesado de Passageiros M3:  : Gasóleo : E3</v>
      </c>
      <c r="J4866">
        <v>62</v>
      </c>
      <c r="K4866" s="422">
        <v>2023</v>
      </c>
      <c r="L4866" s="427">
        <v>22552.75</v>
      </c>
      <c r="M4866" s="427" t="s">
        <v>630</v>
      </c>
      <c r="N4866" s="434">
        <v>60508</v>
      </c>
      <c r="O4866" s="436">
        <f t="shared" si="201"/>
        <v>3751496</v>
      </c>
      <c r="P4866" s="89" t="s">
        <v>2784</v>
      </c>
      <c r="Q4866" s="422" t="s">
        <v>47</v>
      </c>
      <c r="R4866" s="422" t="s">
        <v>1869</v>
      </c>
      <c r="S4866" s="422" t="s">
        <v>1861</v>
      </c>
      <c r="U4866" s="422" t="s">
        <v>1953</v>
      </c>
      <c r="V4866" s="422" t="s">
        <v>2813</v>
      </c>
    </row>
    <row r="4867" spans="1:22" ht="15.75" thickBot="1" x14ac:dyDescent="0.3">
      <c r="A4867" t="s">
        <v>4593</v>
      </c>
      <c r="B4867" t="s">
        <v>4593</v>
      </c>
      <c r="C4867" s="424" t="str">
        <f t="shared" si="199"/>
        <v>RDL - Rodoviária do Lis, LDA.</v>
      </c>
      <c r="D4867" t="s">
        <v>629</v>
      </c>
      <c r="F4867" s="422" t="s">
        <v>620</v>
      </c>
      <c r="G4867" s="89" t="s">
        <v>2219</v>
      </c>
      <c r="H4867" s="313" t="s">
        <v>732</v>
      </c>
      <c r="I4867" s="311" t="str">
        <f t="shared" si="200"/>
        <v>Pesado de Passageiros M3:  : Gasóleo : E3</v>
      </c>
      <c r="J4867">
        <v>76</v>
      </c>
      <c r="K4867" s="422">
        <v>2023</v>
      </c>
      <c r="L4867" s="427">
        <v>9400.08</v>
      </c>
      <c r="M4867" s="427" t="s">
        <v>630</v>
      </c>
      <c r="N4867" s="434">
        <v>24538</v>
      </c>
      <c r="O4867" s="436">
        <f t="shared" si="201"/>
        <v>1864888</v>
      </c>
      <c r="P4867" s="89" t="s">
        <v>5425</v>
      </c>
      <c r="Q4867" s="422" t="s">
        <v>47</v>
      </c>
      <c r="R4867" s="422" t="s">
        <v>1869</v>
      </c>
      <c r="S4867" s="422" t="s">
        <v>1861</v>
      </c>
      <c r="U4867" s="422" t="s">
        <v>1953</v>
      </c>
      <c r="V4867" s="422" t="s">
        <v>2813</v>
      </c>
    </row>
    <row r="4868" spans="1:22" ht="15.75" thickBot="1" x14ac:dyDescent="0.3">
      <c r="A4868" t="s">
        <v>4593</v>
      </c>
      <c r="B4868" t="s">
        <v>4593</v>
      </c>
      <c r="C4868" s="424" t="str">
        <f t="shared" si="199"/>
        <v>RDL - Rodoviária do Lis, LDA.</v>
      </c>
      <c r="D4868" t="s">
        <v>629</v>
      </c>
      <c r="F4868" s="422" t="s">
        <v>620</v>
      </c>
      <c r="G4868" s="89" t="s">
        <v>1954</v>
      </c>
      <c r="H4868" s="313" t="s">
        <v>735</v>
      </c>
      <c r="I4868" s="311" t="str">
        <f t="shared" si="200"/>
        <v>Pesado de Passageiros M3:  : Gasóleo : E2</v>
      </c>
      <c r="J4868">
        <v>76</v>
      </c>
      <c r="K4868" s="422">
        <v>2023</v>
      </c>
      <c r="L4868" s="427">
        <v>13325.8</v>
      </c>
      <c r="M4868" s="427" t="s">
        <v>630</v>
      </c>
      <c r="N4868" s="434">
        <v>40792</v>
      </c>
      <c r="O4868" s="436">
        <f t="shared" si="201"/>
        <v>3100192</v>
      </c>
      <c r="P4868" s="89" t="s">
        <v>2785</v>
      </c>
      <c r="Q4868" s="422" t="s">
        <v>47</v>
      </c>
      <c r="R4868" s="422" t="s">
        <v>1869</v>
      </c>
      <c r="S4868" s="422" t="s">
        <v>1861</v>
      </c>
      <c r="U4868" s="422" t="s">
        <v>1953</v>
      </c>
      <c r="V4868" s="422" t="s">
        <v>2813</v>
      </c>
    </row>
    <row r="4869" spans="1:22" ht="15.75" thickBot="1" x14ac:dyDescent="0.3">
      <c r="A4869" t="s">
        <v>4593</v>
      </c>
      <c r="B4869" t="s">
        <v>4593</v>
      </c>
      <c r="C4869" s="424" t="str">
        <f t="shared" si="199"/>
        <v>RDL - Rodoviária do Lis, LDA.</v>
      </c>
      <c r="D4869" t="s">
        <v>629</v>
      </c>
      <c r="F4869" s="422" t="s">
        <v>620</v>
      </c>
      <c r="G4869" s="89" t="s">
        <v>1954</v>
      </c>
      <c r="H4869" s="313" t="s">
        <v>735</v>
      </c>
      <c r="I4869" s="311" t="str">
        <f t="shared" si="200"/>
        <v>Pesado de Passageiros M3:  : Gasóleo : E2</v>
      </c>
      <c r="J4869">
        <v>74</v>
      </c>
      <c r="K4869" s="422">
        <v>2023</v>
      </c>
      <c r="L4869" s="427">
        <v>11089.36</v>
      </c>
      <c r="M4869" s="427" t="s">
        <v>630</v>
      </c>
      <c r="N4869" s="434">
        <v>36959</v>
      </c>
      <c r="O4869" s="436">
        <f t="shared" si="201"/>
        <v>2734966</v>
      </c>
      <c r="P4869" s="89" t="s">
        <v>2786</v>
      </c>
      <c r="Q4869" s="422" t="s">
        <v>47</v>
      </c>
      <c r="R4869" s="422" t="s">
        <v>1869</v>
      </c>
      <c r="S4869" s="422" t="s">
        <v>1861</v>
      </c>
      <c r="U4869" s="422" t="s">
        <v>1953</v>
      </c>
      <c r="V4869" s="422" t="s">
        <v>2813</v>
      </c>
    </row>
    <row r="4870" spans="1:22" ht="15.75" thickBot="1" x14ac:dyDescent="0.3">
      <c r="A4870" t="s">
        <v>4593</v>
      </c>
      <c r="B4870" t="s">
        <v>4593</v>
      </c>
      <c r="C4870" s="424" t="str">
        <f t="shared" si="199"/>
        <v>RDL - Rodoviária do Lis, LDA.</v>
      </c>
      <c r="D4870" t="s">
        <v>629</v>
      </c>
      <c r="F4870" s="422" t="s">
        <v>620</v>
      </c>
      <c r="G4870" s="89" t="s">
        <v>2208</v>
      </c>
      <c r="H4870" s="313" t="s">
        <v>735</v>
      </c>
      <c r="I4870" s="311" t="str">
        <f t="shared" si="200"/>
        <v>Pesado de Passageiros M3:  : Gasóleo : E2</v>
      </c>
      <c r="J4870">
        <v>53</v>
      </c>
      <c r="K4870" s="422">
        <v>2023</v>
      </c>
      <c r="L4870" s="427">
        <v>12229.33</v>
      </c>
      <c r="M4870" s="427" t="s">
        <v>630</v>
      </c>
      <c r="N4870" s="434">
        <v>36542</v>
      </c>
      <c r="O4870" s="436">
        <f t="shared" si="201"/>
        <v>1936726</v>
      </c>
      <c r="P4870" s="89" t="s">
        <v>2788</v>
      </c>
      <c r="Q4870" s="422" t="s">
        <v>47</v>
      </c>
      <c r="R4870" s="422" t="s">
        <v>1869</v>
      </c>
      <c r="S4870" s="422" t="s">
        <v>1861</v>
      </c>
      <c r="U4870" s="422" t="s">
        <v>1953</v>
      </c>
      <c r="V4870" s="422" t="s">
        <v>2813</v>
      </c>
    </row>
    <row r="4871" spans="1:22" ht="15.75" thickBot="1" x14ac:dyDescent="0.3">
      <c r="A4871" t="s">
        <v>4593</v>
      </c>
      <c r="B4871" t="s">
        <v>4593</v>
      </c>
      <c r="C4871" s="424" t="str">
        <f t="shared" si="199"/>
        <v>RDL - Rodoviária do Lis, LDA.</v>
      </c>
      <c r="D4871" t="s">
        <v>629</v>
      </c>
      <c r="F4871" s="422" t="s">
        <v>620</v>
      </c>
      <c r="G4871" s="89" t="s">
        <v>2215</v>
      </c>
      <c r="H4871" s="313" t="s">
        <v>735</v>
      </c>
      <c r="I4871" s="311" t="str">
        <f t="shared" si="200"/>
        <v>Pesado de Passageiros M3:  : Gasóleo : E2</v>
      </c>
      <c r="J4871">
        <v>80</v>
      </c>
      <c r="K4871" s="422">
        <v>2023</v>
      </c>
      <c r="L4871" s="427">
        <v>12907.03</v>
      </c>
      <c r="M4871" s="427" t="s">
        <v>630</v>
      </c>
      <c r="N4871" s="434">
        <v>44402</v>
      </c>
      <c r="O4871" s="436">
        <f t="shared" si="201"/>
        <v>3552160</v>
      </c>
      <c r="P4871" s="89" t="s">
        <v>2789</v>
      </c>
      <c r="Q4871" s="422" t="s">
        <v>47</v>
      </c>
      <c r="R4871" s="422" t="s">
        <v>1869</v>
      </c>
      <c r="S4871" s="422" t="s">
        <v>1861</v>
      </c>
      <c r="U4871" s="422" t="s">
        <v>1953</v>
      </c>
      <c r="V4871" s="422" t="s">
        <v>2813</v>
      </c>
    </row>
    <row r="4872" spans="1:22" ht="15.75" thickBot="1" x14ac:dyDescent="0.3">
      <c r="A4872" t="s">
        <v>4593</v>
      </c>
      <c r="B4872" t="s">
        <v>4593</v>
      </c>
      <c r="C4872" s="424" t="str">
        <f t="shared" si="199"/>
        <v>RDL - Rodoviária do Lis, LDA.</v>
      </c>
      <c r="D4872" t="s">
        <v>629</v>
      </c>
      <c r="F4872" s="422" t="s">
        <v>620</v>
      </c>
      <c r="G4872" s="89" t="s">
        <v>2214</v>
      </c>
      <c r="H4872" s="313" t="s">
        <v>733</v>
      </c>
      <c r="I4872" s="311" t="str">
        <f t="shared" si="200"/>
        <v>Pesado de Passageiros M3:  : Gasóleo : E6</v>
      </c>
      <c r="J4872">
        <v>59</v>
      </c>
      <c r="K4872" s="422">
        <v>2023</v>
      </c>
      <c r="L4872" s="427">
        <v>445.28</v>
      </c>
      <c r="M4872" s="427" t="s">
        <v>630</v>
      </c>
      <c r="N4872" s="434">
        <v>1483</v>
      </c>
      <c r="O4872" s="436">
        <f t="shared" si="201"/>
        <v>87497</v>
      </c>
      <c r="P4872" s="89" t="s">
        <v>5426</v>
      </c>
      <c r="Q4872" s="422" t="s">
        <v>47</v>
      </c>
      <c r="R4872" s="422" t="s">
        <v>1869</v>
      </c>
      <c r="S4872" s="422" t="s">
        <v>1861</v>
      </c>
      <c r="U4872" s="422" t="s">
        <v>1953</v>
      </c>
      <c r="V4872" s="422" t="s">
        <v>2813</v>
      </c>
    </row>
    <row r="4873" spans="1:22" ht="15.75" thickBot="1" x14ac:dyDescent="0.3">
      <c r="A4873" t="s">
        <v>4593</v>
      </c>
      <c r="B4873" t="s">
        <v>4593</v>
      </c>
      <c r="C4873" s="424" t="str">
        <f t="shared" si="199"/>
        <v>RDL - Rodoviária do Lis, LDA.</v>
      </c>
      <c r="D4873" t="s">
        <v>629</v>
      </c>
      <c r="F4873" s="422" t="s">
        <v>620</v>
      </c>
      <c r="G4873" s="89" t="s">
        <v>2221</v>
      </c>
      <c r="H4873" s="313" t="s">
        <v>733</v>
      </c>
      <c r="I4873" s="311" t="str">
        <f t="shared" si="200"/>
        <v>Pesado de Passageiros M3:  : Gasóleo : E6</v>
      </c>
      <c r="J4873">
        <v>59</v>
      </c>
      <c r="K4873" s="422">
        <v>2023</v>
      </c>
      <c r="L4873" s="427">
        <v>396.65</v>
      </c>
      <c r="M4873" s="427" t="s">
        <v>630</v>
      </c>
      <c r="N4873" s="434">
        <v>1321</v>
      </c>
      <c r="O4873" s="436">
        <f t="shared" si="201"/>
        <v>77939</v>
      </c>
      <c r="P4873" s="89" t="s">
        <v>5427</v>
      </c>
      <c r="Q4873" s="422" t="s">
        <v>47</v>
      </c>
      <c r="R4873" s="422" t="s">
        <v>1869</v>
      </c>
      <c r="S4873" s="422" t="s">
        <v>1861</v>
      </c>
      <c r="U4873" s="422" t="s">
        <v>1953</v>
      </c>
      <c r="V4873" s="422" t="s">
        <v>2813</v>
      </c>
    </row>
    <row r="4874" spans="1:22" ht="15.75" thickBot="1" x14ac:dyDescent="0.3">
      <c r="A4874" t="s">
        <v>4593</v>
      </c>
      <c r="B4874" t="s">
        <v>4593</v>
      </c>
      <c r="C4874" s="424" t="str">
        <f t="shared" si="199"/>
        <v>RDL - Rodoviária do Lis, LDA.</v>
      </c>
      <c r="D4874" t="s">
        <v>629</v>
      </c>
      <c r="F4874" s="422" t="s">
        <v>620</v>
      </c>
      <c r="G4874" s="89" t="s">
        <v>2221</v>
      </c>
      <c r="H4874" s="313" t="s">
        <v>733</v>
      </c>
      <c r="I4874" s="311" t="str">
        <f t="shared" si="200"/>
        <v>Pesado de Passageiros M3:  : Gasóleo : E6</v>
      </c>
      <c r="J4874">
        <v>59</v>
      </c>
      <c r="K4874" s="422">
        <v>2023</v>
      </c>
      <c r="L4874" s="427">
        <v>510.37</v>
      </c>
      <c r="M4874" s="427" t="s">
        <v>630</v>
      </c>
      <c r="N4874" s="434">
        <v>1700</v>
      </c>
      <c r="O4874" s="436">
        <f t="shared" si="201"/>
        <v>100300</v>
      </c>
      <c r="P4874" s="89" t="s">
        <v>5428</v>
      </c>
      <c r="Q4874" s="422" t="s">
        <v>47</v>
      </c>
      <c r="R4874" s="422" t="s">
        <v>1869</v>
      </c>
      <c r="S4874" s="422" t="s">
        <v>1861</v>
      </c>
      <c r="U4874" s="422" t="s">
        <v>1953</v>
      </c>
      <c r="V4874" s="422" t="s">
        <v>2813</v>
      </c>
    </row>
    <row r="4875" spans="1:22" ht="15.75" thickBot="1" x14ac:dyDescent="0.3">
      <c r="A4875" t="s">
        <v>4593</v>
      </c>
      <c r="B4875" t="s">
        <v>4593</v>
      </c>
      <c r="C4875" s="424" t="str">
        <f t="shared" si="199"/>
        <v>RDL - Rodoviária do Lis, LDA.</v>
      </c>
      <c r="D4875" t="s">
        <v>629</v>
      </c>
      <c r="F4875" s="422" t="s">
        <v>620</v>
      </c>
      <c r="G4875" s="89" t="s">
        <v>2221</v>
      </c>
      <c r="H4875" s="313" t="s">
        <v>733</v>
      </c>
      <c r="I4875" s="311" t="str">
        <f t="shared" si="200"/>
        <v>Pesado de Passageiros M3:  : Gasóleo : E6</v>
      </c>
      <c r="J4875">
        <v>61</v>
      </c>
      <c r="K4875" s="422">
        <v>2023</v>
      </c>
      <c r="L4875" s="427">
        <v>405.06</v>
      </c>
      <c r="M4875" s="427" t="s">
        <v>630</v>
      </c>
      <c r="N4875" s="434">
        <v>1227</v>
      </c>
      <c r="O4875" s="436">
        <f t="shared" si="201"/>
        <v>74847</v>
      </c>
      <c r="P4875" s="89" t="s">
        <v>5429</v>
      </c>
      <c r="Q4875" s="422" t="s">
        <v>47</v>
      </c>
      <c r="R4875" s="422" t="s">
        <v>1869</v>
      </c>
      <c r="S4875" s="422" t="s">
        <v>1861</v>
      </c>
      <c r="U4875" s="422" t="s">
        <v>1953</v>
      </c>
      <c r="V4875" s="422" t="s">
        <v>2813</v>
      </c>
    </row>
    <row r="4876" spans="1:22" ht="15.75" thickBot="1" x14ac:dyDescent="0.3">
      <c r="A4876" t="s">
        <v>4593</v>
      </c>
      <c r="B4876" t="s">
        <v>4593</v>
      </c>
      <c r="C4876" s="424" t="str">
        <f t="shared" si="199"/>
        <v>RDL - Rodoviária do Lis, LDA.</v>
      </c>
      <c r="D4876" t="s">
        <v>629</v>
      </c>
      <c r="F4876" s="422" t="s">
        <v>620</v>
      </c>
      <c r="G4876" s="89" t="s">
        <v>2213</v>
      </c>
      <c r="H4876" s="313" t="s">
        <v>734</v>
      </c>
      <c r="I4876" s="311" t="str">
        <f t="shared" si="200"/>
        <v>Pesado de Passageiros M3:  : Gasóleo : E5</v>
      </c>
      <c r="J4876">
        <v>55</v>
      </c>
      <c r="K4876" s="422">
        <v>2023</v>
      </c>
      <c r="L4876" s="427">
        <v>0</v>
      </c>
      <c r="M4876" s="427" t="s">
        <v>630</v>
      </c>
      <c r="N4876" s="434">
        <v>0</v>
      </c>
      <c r="O4876" s="436">
        <f t="shared" si="201"/>
        <v>0</v>
      </c>
      <c r="P4876" s="89" t="s">
        <v>5430</v>
      </c>
      <c r="Q4876" s="422" t="s">
        <v>47</v>
      </c>
      <c r="R4876" s="422" t="s">
        <v>1869</v>
      </c>
      <c r="S4876" s="422" t="s">
        <v>1861</v>
      </c>
      <c r="U4876" s="422" t="s">
        <v>1953</v>
      </c>
      <c r="V4876" s="422" t="s">
        <v>2813</v>
      </c>
    </row>
    <row r="4877" spans="1:22" ht="15.75" thickBot="1" x14ac:dyDescent="0.3">
      <c r="A4877" t="s">
        <v>4593</v>
      </c>
      <c r="B4877" t="s">
        <v>4593</v>
      </c>
      <c r="C4877" s="424" t="str">
        <f t="shared" si="199"/>
        <v>RDL - Rodoviária do Lis, LDA.</v>
      </c>
      <c r="D4877" t="s">
        <v>629</v>
      </c>
      <c r="F4877" s="422" t="s">
        <v>620</v>
      </c>
      <c r="G4877" s="89" t="s">
        <v>2221</v>
      </c>
      <c r="H4877" s="313" t="s">
        <v>733</v>
      </c>
      <c r="I4877" s="311" t="str">
        <f t="shared" si="200"/>
        <v>Pesado de Passageiros M3:  : Gasóleo : E6</v>
      </c>
      <c r="J4877">
        <v>65</v>
      </c>
      <c r="K4877" s="422">
        <v>2023</v>
      </c>
      <c r="L4877" s="427">
        <v>301.19</v>
      </c>
      <c r="M4877" s="427" t="s">
        <v>630</v>
      </c>
      <c r="N4877" s="434">
        <v>1093</v>
      </c>
      <c r="O4877" s="436">
        <f t="shared" si="201"/>
        <v>71045</v>
      </c>
      <c r="P4877" s="89" t="s">
        <v>5431</v>
      </c>
      <c r="Q4877" s="422" t="s">
        <v>47</v>
      </c>
      <c r="R4877" s="422" t="s">
        <v>1869</v>
      </c>
      <c r="S4877" s="422" t="s">
        <v>1861</v>
      </c>
      <c r="U4877" s="422" t="s">
        <v>1953</v>
      </c>
      <c r="V4877" s="422" t="s">
        <v>2813</v>
      </c>
    </row>
    <row r="4878" spans="1:22" ht="15.75" thickBot="1" x14ac:dyDescent="0.3">
      <c r="A4878" t="s">
        <v>4593</v>
      </c>
      <c r="B4878" t="s">
        <v>4593</v>
      </c>
      <c r="C4878" s="424" t="str">
        <f t="shared" si="199"/>
        <v>RDL - Rodoviária do Lis, LDA.</v>
      </c>
      <c r="D4878" t="s">
        <v>629</v>
      </c>
      <c r="F4878" s="422" t="s">
        <v>620</v>
      </c>
      <c r="G4878" s="89" t="s">
        <v>2221</v>
      </c>
      <c r="H4878" s="313" t="s">
        <v>733</v>
      </c>
      <c r="I4878" s="311" t="str">
        <f t="shared" si="200"/>
        <v>Pesado de Passageiros M3:  : Gasóleo : E6</v>
      </c>
      <c r="J4878">
        <v>60</v>
      </c>
      <c r="K4878" s="422">
        <v>2023</v>
      </c>
      <c r="L4878" s="427">
        <v>379.71</v>
      </c>
      <c r="M4878" s="427" t="s">
        <v>630</v>
      </c>
      <c r="N4878" s="434">
        <v>1380</v>
      </c>
      <c r="O4878" s="436">
        <f t="shared" si="201"/>
        <v>82800</v>
      </c>
      <c r="P4878" s="89" t="s">
        <v>5432</v>
      </c>
      <c r="Q4878" s="422" t="s">
        <v>47</v>
      </c>
      <c r="R4878" s="422" t="s">
        <v>1869</v>
      </c>
      <c r="S4878" s="422" t="s">
        <v>1861</v>
      </c>
      <c r="U4878" s="422" t="s">
        <v>1953</v>
      </c>
      <c r="V4878" s="422" t="s">
        <v>2813</v>
      </c>
    </row>
    <row r="4879" spans="1:22" ht="15.75" thickBot="1" x14ac:dyDescent="0.3">
      <c r="A4879" t="s">
        <v>4593</v>
      </c>
      <c r="B4879" t="s">
        <v>4593</v>
      </c>
      <c r="C4879" s="424" t="str">
        <f t="shared" si="199"/>
        <v>RDL - Rodoviária do Lis, LDA.</v>
      </c>
      <c r="D4879" t="s">
        <v>629</v>
      </c>
      <c r="F4879" s="422" t="s">
        <v>620</v>
      </c>
      <c r="G4879" s="89" t="s">
        <v>2214</v>
      </c>
      <c r="H4879" s="313" t="s">
        <v>733</v>
      </c>
      <c r="I4879" s="311" t="str">
        <f t="shared" si="200"/>
        <v>Pesado de Passageiros M3:  : Gasóleo : E6</v>
      </c>
      <c r="J4879">
        <v>55</v>
      </c>
      <c r="K4879" s="422">
        <v>2023</v>
      </c>
      <c r="L4879" s="427">
        <v>98.88</v>
      </c>
      <c r="M4879" s="427" t="s">
        <v>630</v>
      </c>
      <c r="N4879" s="434">
        <v>359</v>
      </c>
      <c r="O4879" s="436">
        <f t="shared" si="201"/>
        <v>19745</v>
      </c>
      <c r="P4879" s="89" t="s">
        <v>5433</v>
      </c>
      <c r="Q4879" s="422" t="s">
        <v>47</v>
      </c>
      <c r="R4879" s="422" t="s">
        <v>1869</v>
      </c>
      <c r="S4879" s="422" t="s">
        <v>1861</v>
      </c>
      <c r="U4879" s="422" t="s">
        <v>1953</v>
      </c>
      <c r="V4879" s="422" t="s">
        <v>2813</v>
      </c>
    </row>
    <row r="4880" spans="1:22" ht="15.75" thickBot="1" x14ac:dyDescent="0.3">
      <c r="A4880" t="s">
        <v>4593</v>
      </c>
      <c r="B4880" t="s">
        <v>4593</v>
      </c>
      <c r="C4880" s="424" t="str">
        <f t="shared" si="199"/>
        <v>RDL - Rodoviária do Lis, LDA.</v>
      </c>
      <c r="D4880" t="s">
        <v>629</v>
      </c>
      <c r="F4880" s="422" t="s">
        <v>620</v>
      </c>
      <c r="G4880" s="89" t="s">
        <v>2214</v>
      </c>
      <c r="H4880" s="313" t="s">
        <v>733</v>
      </c>
      <c r="I4880" s="311" t="str">
        <f t="shared" si="200"/>
        <v>Pesado de Passageiros M3:  : Gasóleo : E6</v>
      </c>
      <c r="J4880">
        <v>55</v>
      </c>
      <c r="K4880" s="422">
        <v>2023</v>
      </c>
      <c r="L4880" s="427">
        <v>546.47</v>
      </c>
      <c r="M4880" s="427" t="s">
        <v>630</v>
      </c>
      <c r="N4880" s="434">
        <v>1985</v>
      </c>
      <c r="O4880" s="436">
        <f t="shared" si="201"/>
        <v>109175</v>
      </c>
      <c r="P4880" s="89" t="s">
        <v>5434</v>
      </c>
      <c r="Q4880" s="422" t="s">
        <v>47</v>
      </c>
      <c r="R4880" s="422" t="s">
        <v>1869</v>
      </c>
      <c r="S4880" s="422" t="s">
        <v>1861</v>
      </c>
      <c r="U4880" s="422" t="s">
        <v>1953</v>
      </c>
      <c r="V4880" s="422" t="s">
        <v>2813</v>
      </c>
    </row>
    <row r="4881" spans="1:22" ht="15.75" thickBot="1" x14ac:dyDescent="0.3">
      <c r="A4881" t="s">
        <v>4593</v>
      </c>
      <c r="B4881" t="s">
        <v>4593</v>
      </c>
      <c r="C4881" s="424" t="str">
        <f t="shared" si="199"/>
        <v>RDL - Rodoviária do Lis, LDA.</v>
      </c>
      <c r="D4881" t="s">
        <v>629</v>
      </c>
      <c r="F4881" s="422" t="s">
        <v>620</v>
      </c>
      <c r="G4881" s="89" t="s">
        <v>2221</v>
      </c>
      <c r="H4881" s="313" t="s">
        <v>733</v>
      </c>
      <c r="I4881" s="311" t="str">
        <f t="shared" si="200"/>
        <v>Pesado de Passageiros M3:  : Gasóleo : E6</v>
      </c>
      <c r="J4881">
        <v>61</v>
      </c>
      <c r="K4881" s="422">
        <v>2023</v>
      </c>
      <c r="L4881" s="427">
        <v>91.57</v>
      </c>
      <c r="M4881" s="427" t="s">
        <v>630</v>
      </c>
      <c r="N4881" s="434">
        <v>332</v>
      </c>
      <c r="O4881" s="436">
        <f t="shared" si="201"/>
        <v>20252</v>
      </c>
      <c r="P4881" s="89" t="s">
        <v>5435</v>
      </c>
      <c r="Q4881" s="422" t="s">
        <v>47</v>
      </c>
      <c r="R4881" s="422" t="s">
        <v>1869</v>
      </c>
      <c r="S4881" s="422" t="s">
        <v>1861</v>
      </c>
      <c r="U4881" s="422" t="s">
        <v>1953</v>
      </c>
      <c r="V4881" s="422" t="s">
        <v>2813</v>
      </c>
    </row>
    <row r="4882" spans="1:22" ht="15.75" thickBot="1" x14ac:dyDescent="0.3">
      <c r="A4882" t="s">
        <v>4593</v>
      </c>
      <c r="B4882" t="s">
        <v>4593</v>
      </c>
      <c r="C4882" s="424" t="str">
        <f t="shared" si="199"/>
        <v>RDL - Rodoviária do Lis, LDA.</v>
      </c>
      <c r="D4882" t="s">
        <v>629</v>
      </c>
      <c r="F4882" s="422" t="s">
        <v>620</v>
      </c>
      <c r="G4882" s="89" t="s">
        <v>2221</v>
      </c>
      <c r="H4882" s="313" t="s">
        <v>733</v>
      </c>
      <c r="I4882" s="311" t="str">
        <f t="shared" si="200"/>
        <v>Pesado de Passageiros M3:  : Gasóleo : E6</v>
      </c>
      <c r="J4882">
        <v>55</v>
      </c>
      <c r="K4882" s="422">
        <v>2023</v>
      </c>
      <c r="L4882" s="427">
        <v>42.1</v>
      </c>
      <c r="M4882" s="427" t="s">
        <v>630</v>
      </c>
      <c r="N4882" s="434">
        <v>153</v>
      </c>
      <c r="O4882" s="436">
        <f t="shared" si="201"/>
        <v>8415</v>
      </c>
      <c r="P4882" s="89" t="s">
        <v>5436</v>
      </c>
      <c r="Q4882" s="422" t="s">
        <v>47</v>
      </c>
      <c r="R4882" s="422" t="s">
        <v>1869</v>
      </c>
      <c r="S4882" s="422" t="s">
        <v>1861</v>
      </c>
      <c r="U4882" s="422" t="s">
        <v>1953</v>
      </c>
      <c r="V4882" s="422" t="s">
        <v>2813</v>
      </c>
    </row>
    <row r="4883" spans="1:22" ht="15.75" thickBot="1" x14ac:dyDescent="0.3">
      <c r="A4883" t="s">
        <v>4593</v>
      </c>
      <c r="B4883" t="s">
        <v>4593</v>
      </c>
      <c r="C4883" s="424" t="str">
        <f t="shared" si="199"/>
        <v>RDL - Rodoviária do Lis, LDA.</v>
      </c>
      <c r="D4883" t="s">
        <v>629</v>
      </c>
      <c r="F4883" s="422" t="s">
        <v>620</v>
      </c>
      <c r="G4883" s="89" t="s">
        <v>2213</v>
      </c>
      <c r="H4883" s="313" t="s">
        <v>734</v>
      </c>
      <c r="I4883" s="311" t="str">
        <f t="shared" si="200"/>
        <v>Pesado de Passageiros M3:  : Gasóleo : E5</v>
      </c>
      <c r="J4883">
        <v>59</v>
      </c>
      <c r="K4883" s="422">
        <v>2023</v>
      </c>
      <c r="L4883" s="427">
        <v>0</v>
      </c>
      <c r="M4883" s="427" t="s">
        <v>630</v>
      </c>
      <c r="N4883" s="434">
        <v>0</v>
      </c>
      <c r="O4883" s="436">
        <f t="shared" si="201"/>
        <v>0</v>
      </c>
      <c r="P4883" s="89" t="s">
        <v>5437</v>
      </c>
      <c r="Q4883" s="422" t="s">
        <v>47</v>
      </c>
      <c r="R4883" s="422" t="s">
        <v>1869</v>
      </c>
      <c r="S4883" s="422" t="s">
        <v>1861</v>
      </c>
      <c r="U4883" s="422" t="s">
        <v>1953</v>
      </c>
      <c r="V4883" s="422" t="s">
        <v>2813</v>
      </c>
    </row>
    <row r="4884" spans="1:22" ht="15.75" thickBot="1" x14ac:dyDescent="0.3">
      <c r="A4884" t="s">
        <v>4593</v>
      </c>
      <c r="B4884" t="s">
        <v>4593</v>
      </c>
      <c r="C4884" s="424" t="str">
        <f t="shared" si="199"/>
        <v>RDL - Rodoviária do Lis, LDA.</v>
      </c>
      <c r="D4884" t="s">
        <v>629</v>
      </c>
      <c r="F4884" s="422" t="s">
        <v>620</v>
      </c>
      <c r="G4884" s="89" t="s">
        <v>2222</v>
      </c>
      <c r="H4884" s="313" t="s">
        <v>732</v>
      </c>
      <c r="I4884" s="311" t="str">
        <f t="shared" si="200"/>
        <v>Pesado de Passageiros M3:  : Gasóleo : E3</v>
      </c>
      <c r="J4884">
        <v>97</v>
      </c>
      <c r="K4884" s="422">
        <v>2023</v>
      </c>
      <c r="L4884" s="427">
        <v>23711.839999999997</v>
      </c>
      <c r="M4884" s="427" t="s">
        <v>630</v>
      </c>
      <c r="N4884" s="434">
        <v>47612</v>
      </c>
      <c r="O4884" s="436">
        <f t="shared" si="201"/>
        <v>4618364</v>
      </c>
      <c r="P4884" s="89" t="s">
        <v>2796</v>
      </c>
      <c r="Q4884" s="422" t="s">
        <v>47</v>
      </c>
      <c r="R4884" s="422" t="s">
        <v>1869</v>
      </c>
      <c r="S4884" s="422" t="s">
        <v>1861</v>
      </c>
      <c r="U4884" s="422" t="s">
        <v>1953</v>
      </c>
      <c r="V4884" s="422" t="s">
        <v>2813</v>
      </c>
    </row>
    <row r="4885" spans="1:22" ht="15.75" thickBot="1" x14ac:dyDescent="0.3">
      <c r="A4885" t="s">
        <v>4593</v>
      </c>
      <c r="B4885" t="s">
        <v>4593</v>
      </c>
      <c r="C4885" s="424" t="str">
        <f t="shared" si="199"/>
        <v>RDL - Rodoviária do Lis, LDA.</v>
      </c>
      <c r="D4885" t="s">
        <v>629</v>
      </c>
      <c r="F4885" s="422" t="s">
        <v>620</v>
      </c>
      <c r="G4885" s="89" t="s">
        <v>5261</v>
      </c>
      <c r="H4885" s="313" t="s">
        <v>733</v>
      </c>
      <c r="I4885" s="311" t="str">
        <f t="shared" si="200"/>
        <v>Pesado de Passageiros M3:  : Gasóleo : E6</v>
      </c>
      <c r="J4885">
        <v>81</v>
      </c>
      <c r="K4885" s="422">
        <v>2023</v>
      </c>
      <c r="L4885" s="427">
        <v>3668.52</v>
      </c>
      <c r="M4885" s="427" t="s">
        <v>630</v>
      </c>
      <c r="N4885" s="434">
        <v>4071</v>
      </c>
      <c r="O4885" s="436">
        <f t="shared" si="201"/>
        <v>329751</v>
      </c>
      <c r="P4885" s="89" t="s">
        <v>5438</v>
      </c>
      <c r="Q4885" s="422" t="s">
        <v>47</v>
      </c>
      <c r="R4885" s="422" t="s">
        <v>1869</v>
      </c>
      <c r="S4885" s="422" t="s">
        <v>1861</v>
      </c>
      <c r="U4885" s="422" t="s">
        <v>1953</v>
      </c>
      <c r="V4885" s="422" t="s">
        <v>2813</v>
      </c>
    </row>
    <row r="4886" spans="1:22" ht="15.75" thickBot="1" x14ac:dyDescent="0.3">
      <c r="A4886" t="s">
        <v>4593</v>
      </c>
      <c r="B4886" t="s">
        <v>4593</v>
      </c>
      <c r="C4886" s="424" t="str">
        <f t="shared" si="199"/>
        <v>RDL - Rodoviária do Lis, LDA.</v>
      </c>
      <c r="D4886" t="s">
        <v>629</v>
      </c>
      <c r="F4886" s="422" t="s">
        <v>620</v>
      </c>
      <c r="G4886" s="89" t="s">
        <v>5261</v>
      </c>
      <c r="H4886" s="313" t="s">
        <v>733</v>
      </c>
      <c r="I4886" s="311" t="str">
        <f t="shared" si="200"/>
        <v>Pesado de Passageiros M3:  : Gasóleo : E6</v>
      </c>
      <c r="J4886">
        <v>81</v>
      </c>
      <c r="K4886" s="422">
        <v>2023</v>
      </c>
      <c r="L4886" s="427">
        <v>1089.0899999999999</v>
      </c>
      <c r="M4886" s="427" t="s">
        <v>630</v>
      </c>
      <c r="N4886" s="434">
        <v>1209</v>
      </c>
      <c r="O4886" s="436">
        <f t="shared" si="201"/>
        <v>97929</v>
      </c>
      <c r="P4886" s="89" t="s">
        <v>5439</v>
      </c>
      <c r="Q4886" s="422" t="s">
        <v>47</v>
      </c>
      <c r="R4886" s="422" t="s">
        <v>1869</v>
      </c>
      <c r="S4886" s="422" t="s">
        <v>1861</v>
      </c>
      <c r="U4886" s="422" t="s">
        <v>1953</v>
      </c>
      <c r="V4886" s="422" t="s">
        <v>2813</v>
      </c>
    </row>
    <row r="4887" spans="1:22" ht="15.75" thickBot="1" x14ac:dyDescent="0.3">
      <c r="A4887" t="s">
        <v>4593</v>
      </c>
      <c r="B4887" t="s">
        <v>4593</v>
      </c>
      <c r="C4887" s="424" t="str">
        <f t="shared" si="199"/>
        <v>RDL - Rodoviária do Lis, LDA.</v>
      </c>
      <c r="D4887" t="s">
        <v>629</v>
      </c>
      <c r="F4887" s="422" t="s">
        <v>620</v>
      </c>
      <c r="G4887" s="89" t="s">
        <v>2219</v>
      </c>
      <c r="H4887" s="313" t="s">
        <v>732</v>
      </c>
      <c r="I4887" s="311" t="str">
        <f t="shared" si="200"/>
        <v>Pesado de Passageiros M3:  : Gasóleo : E3</v>
      </c>
      <c r="J4887">
        <v>95</v>
      </c>
      <c r="K4887" s="422">
        <v>2023</v>
      </c>
      <c r="L4887" s="427">
        <v>13542.779999999999</v>
      </c>
      <c r="M4887" s="427" t="s">
        <v>630</v>
      </c>
      <c r="N4887" s="434">
        <v>30308</v>
      </c>
      <c r="O4887" s="436">
        <f t="shared" si="201"/>
        <v>2879260</v>
      </c>
      <c r="P4887" s="89" t="s">
        <v>2799</v>
      </c>
      <c r="Q4887" s="422" t="s">
        <v>47</v>
      </c>
      <c r="R4887" s="422" t="s">
        <v>1869</v>
      </c>
      <c r="S4887" s="422" t="s">
        <v>1861</v>
      </c>
      <c r="U4887" s="422" t="s">
        <v>1953</v>
      </c>
      <c r="V4887" s="422" t="s">
        <v>2813</v>
      </c>
    </row>
    <row r="4888" spans="1:22" ht="15.75" thickBot="1" x14ac:dyDescent="0.3">
      <c r="A4888" t="s">
        <v>4593</v>
      </c>
      <c r="B4888" t="s">
        <v>4593</v>
      </c>
      <c r="C4888" s="424" t="str">
        <f t="shared" ref="C4888:C4951" si="202">IF(A4888=B4888,B4888,RIGHT(A4888,LEN(A4888)-LEN(B4888)-3))</f>
        <v>RDL - Rodoviária do Lis, LDA.</v>
      </c>
      <c r="D4888" t="s">
        <v>629</v>
      </c>
      <c r="F4888" s="422" t="s">
        <v>620</v>
      </c>
      <c r="G4888" s="89" t="s">
        <v>2219</v>
      </c>
      <c r="H4888" s="313" t="s">
        <v>732</v>
      </c>
      <c r="I4888" s="311" t="str">
        <f t="shared" si="200"/>
        <v>Pesado de Passageiros M3:  : Gasóleo : E3</v>
      </c>
      <c r="J4888">
        <v>92</v>
      </c>
      <c r="K4888" s="422">
        <v>2023</v>
      </c>
      <c r="L4888" s="427">
        <v>16435.48</v>
      </c>
      <c r="M4888" s="427" t="s">
        <v>630</v>
      </c>
      <c r="N4888" s="434">
        <v>34211</v>
      </c>
      <c r="O4888" s="436">
        <f t="shared" si="201"/>
        <v>3147412</v>
      </c>
      <c r="P4888" s="89" t="s">
        <v>2800</v>
      </c>
      <c r="Q4888" s="422" t="s">
        <v>47</v>
      </c>
      <c r="R4888" s="422" t="s">
        <v>1869</v>
      </c>
      <c r="S4888" s="422" t="s">
        <v>1861</v>
      </c>
      <c r="U4888" s="422" t="s">
        <v>1953</v>
      </c>
      <c r="V4888" s="422" t="s">
        <v>2813</v>
      </c>
    </row>
    <row r="4889" spans="1:22" ht="15.75" thickBot="1" x14ac:dyDescent="0.3">
      <c r="A4889" t="s">
        <v>4593</v>
      </c>
      <c r="B4889" t="s">
        <v>4593</v>
      </c>
      <c r="C4889" s="424" t="str">
        <f t="shared" si="202"/>
        <v>RDL - Rodoviária do Lis, LDA.</v>
      </c>
      <c r="D4889" t="s">
        <v>629</v>
      </c>
      <c r="F4889" s="422" t="s">
        <v>620</v>
      </c>
      <c r="G4889" s="89" t="s">
        <v>2219</v>
      </c>
      <c r="H4889" s="313" t="s">
        <v>732</v>
      </c>
      <c r="I4889" s="311" t="str">
        <f t="shared" si="200"/>
        <v>Pesado de Passageiros M3:  : Gasóleo : E3</v>
      </c>
      <c r="J4889">
        <v>92</v>
      </c>
      <c r="K4889" s="422">
        <v>2023</v>
      </c>
      <c r="L4889" s="427">
        <v>22501.510000000002</v>
      </c>
      <c r="M4889" s="427" t="s">
        <v>630</v>
      </c>
      <c r="N4889" s="434">
        <v>50390</v>
      </c>
      <c r="O4889" s="436">
        <f t="shared" si="201"/>
        <v>4635880</v>
      </c>
      <c r="P4889" s="89" t="s">
        <v>2801</v>
      </c>
      <c r="Q4889" s="422" t="s">
        <v>47</v>
      </c>
      <c r="R4889" s="422" t="s">
        <v>1869</v>
      </c>
      <c r="S4889" s="422" t="s">
        <v>1861</v>
      </c>
      <c r="U4889" s="422" t="s">
        <v>1953</v>
      </c>
      <c r="V4889" s="422" t="s">
        <v>2813</v>
      </c>
    </row>
    <row r="4890" spans="1:22" ht="15.75" thickBot="1" x14ac:dyDescent="0.3">
      <c r="A4890" t="s">
        <v>4593</v>
      </c>
      <c r="B4890" t="s">
        <v>4593</v>
      </c>
      <c r="C4890" s="424" t="str">
        <f t="shared" si="202"/>
        <v>RDL - Rodoviária do Lis, LDA.</v>
      </c>
      <c r="D4890" t="s">
        <v>629</v>
      </c>
      <c r="F4890" s="422" t="s">
        <v>620</v>
      </c>
      <c r="G4890" s="89" t="s">
        <v>2204</v>
      </c>
      <c r="H4890" s="313" t="s">
        <v>731</v>
      </c>
      <c r="I4890" s="311" t="str">
        <f t="shared" si="200"/>
        <v>Pesado de Passageiros M3:  : Gasóleo : E4</v>
      </c>
      <c r="J4890">
        <v>57</v>
      </c>
      <c r="K4890" s="422">
        <v>2023</v>
      </c>
      <c r="L4890" s="427">
        <v>1944.25</v>
      </c>
      <c r="M4890" s="427" t="s">
        <v>630</v>
      </c>
      <c r="N4890" s="434">
        <v>6855</v>
      </c>
      <c r="O4890" s="436">
        <f t="shared" si="201"/>
        <v>390735</v>
      </c>
      <c r="P4890" s="89" t="s">
        <v>5440</v>
      </c>
      <c r="Q4890" s="422" t="s">
        <v>47</v>
      </c>
      <c r="R4890" s="422" t="s">
        <v>1869</v>
      </c>
      <c r="S4890" s="422" t="s">
        <v>1861</v>
      </c>
      <c r="U4890" s="422" t="s">
        <v>1953</v>
      </c>
      <c r="V4890" s="422" t="s">
        <v>2813</v>
      </c>
    </row>
    <row r="4891" spans="1:22" ht="15.75" thickBot="1" x14ac:dyDescent="0.3">
      <c r="A4891" t="s">
        <v>4593</v>
      </c>
      <c r="B4891" t="s">
        <v>4593</v>
      </c>
      <c r="C4891" s="424" t="str">
        <f t="shared" si="202"/>
        <v>RDL - Rodoviária do Lis, LDA.</v>
      </c>
      <c r="D4891" t="s">
        <v>629</v>
      </c>
      <c r="F4891" s="422" t="s">
        <v>620</v>
      </c>
      <c r="G4891" s="89">
        <v>2008</v>
      </c>
      <c r="H4891" s="313" t="s">
        <v>734</v>
      </c>
      <c r="I4891" s="311" t="str">
        <f t="shared" si="200"/>
        <v>Pesado de Passageiros M3:  : Gasóleo : E5</v>
      </c>
      <c r="J4891">
        <v>59</v>
      </c>
      <c r="K4891" s="422">
        <v>2023</v>
      </c>
      <c r="L4891" s="427">
        <v>3910.65</v>
      </c>
      <c r="M4891" s="427" t="s">
        <v>630</v>
      </c>
      <c r="N4891" s="434">
        <v>11934</v>
      </c>
      <c r="O4891" s="436">
        <f t="shared" si="201"/>
        <v>704106</v>
      </c>
      <c r="P4891" s="89" t="s">
        <v>5441</v>
      </c>
      <c r="Q4891" s="422" t="s">
        <v>47</v>
      </c>
      <c r="R4891" s="422" t="s">
        <v>1869</v>
      </c>
      <c r="S4891" s="422" t="s">
        <v>1861</v>
      </c>
      <c r="U4891" s="422" t="s">
        <v>1953</v>
      </c>
      <c r="V4891" s="422" t="s">
        <v>2813</v>
      </c>
    </row>
    <row r="4892" spans="1:22" ht="15.75" thickBot="1" x14ac:dyDescent="0.3">
      <c r="A4892" t="s">
        <v>4593</v>
      </c>
      <c r="B4892" t="s">
        <v>4593</v>
      </c>
      <c r="C4892" s="424" t="str">
        <f t="shared" si="202"/>
        <v>RDL - Rodoviária do Lis, LDA.</v>
      </c>
      <c r="D4892" t="s">
        <v>629</v>
      </c>
      <c r="F4892" s="422" t="s">
        <v>620</v>
      </c>
      <c r="G4892" s="89" t="s">
        <v>2212</v>
      </c>
      <c r="H4892" s="313" t="s">
        <v>731</v>
      </c>
      <c r="I4892" s="311" t="str">
        <f t="shared" si="200"/>
        <v>Pesado de Passageiros M3:  : Gasóleo : E4</v>
      </c>
      <c r="J4892">
        <v>90</v>
      </c>
      <c r="K4892" s="422">
        <v>2023</v>
      </c>
      <c r="L4892" s="427">
        <v>1890.57</v>
      </c>
      <c r="M4892" s="427" t="s">
        <v>630</v>
      </c>
      <c r="N4892" s="434">
        <v>3811</v>
      </c>
      <c r="O4892" s="436">
        <f t="shared" si="201"/>
        <v>342990</v>
      </c>
      <c r="P4892" s="89" t="s">
        <v>5442</v>
      </c>
      <c r="Q4892" s="422" t="s">
        <v>47</v>
      </c>
      <c r="R4892" s="422" t="s">
        <v>1869</v>
      </c>
      <c r="S4892" s="422" t="s">
        <v>1861</v>
      </c>
      <c r="U4892" s="422" t="s">
        <v>1953</v>
      </c>
      <c r="V4892" s="422" t="s">
        <v>2813</v>
      </c>
    </row>
    <row r="4893" spans="1:22" ht="15.75" thickBot="1" x14ac:dyDescent="0.3">
      <c r="A4893" t="s">
        <v>4593</v>
      </c>
      <c r="B4893" t="s">
        <v>4593</v>
      </c>
      <c r="C4893" s="424" t="str">
        <f t="shared" si="202"/>
        <v>RDL - Rodoviária do Lis, LDA.</v>
      </c>
      <c r="D4893" t="s">
        <v>629</v>
      </c>
      <c r="F4893" s="422" t="s">
        <v>620</v>
      </c>
      <c r="G4893" s="89" t="s">
        <v>2205</v>
      </c>
      <c r="H4893" s="313" t="s">
        <v>734</v>
      </c>
      <c r="I4893" s="311" t="str">
        <f t="shared" si="200"/>
        <v>Pesado de Passageiros M3:  : Gasóleo : E5</v>
      </c>
      <c r="J4893">
        <v>95</v>
      </c>
      <c r="K4893" s="422">
        <v>2023</v>
      </c>
      <c r="L4893" s="427">
        <v>3891.75</v>
      </c>
      <c r="M4893" s="427" t="s">
        <v>630</v>
      </c>
      <c r="N4893" s="434">
        <v>8007</v>
      </c>
      <c r="O4893" s="436">
        <f t="shared" si="201"/>
        <v>760665</v>
      </c>
      <c r="P4893" s="89" t="s">
        <v>5443</v>
      </c>
      <c r="Q4893" s="422" t="s">
        <v>47</v>
      </c>
      <c r="R4893" s="422" t="s">
        <v>1869</v>
      </c>
      <c r="S4893" s="422" t="s">
        <v>1861</v>
      </c>
      <c r="U4893" s="422" t="s">
        <v>1953</v>
      </c>
      <c r="V4893" s="422" t="s">
        <v>2813</v>
      </c>
    </row>
    <row r="4894" spans="1:22" ht="15.75" thickBot="1" x14ac:dyDescent="0.3">
      <c r="A4894" t="s">
        <v>4593</v>
      </c>
      <c r="B4894" t="s">
        <v>4593</v>
      </c>
      <c r="C4894" s="424" t="str">
        <f t="shared" si="202"/>
        <v>RDL - Rodoviária do Lis, LDA.</v>
      </c>
      <c r="D4894" t="s">
        <v>629</v>
      </c>
      <c r="F4894" s="422" t="s">
        <v>620</v>
      </c>
      <c r="G4894" s="89" t="s">
        <v>2213</v>
      </c>
      <c r="H4894" s="313" t="s">
        <v>734</v>
      </c>
      <c r="I4894" s="311" t="str">
        <f t="shared" si="200"/>
        <v>Pesado de Passageiros M3:  : Gasóleo : E5</v>
      </c>
      <c r="J4894">
        <v>66</v>
      </c>
      <c r="K4894" s="422">
        <v>2023</v>
      </c>
      <c r="L4894" s="427">
        <v>13458.8</v>
      </c>
      <c r="M4894" s="427" t="s">
        <v>630</v>
      </c>
      <c r="N4894" s="434">
        <v>40426</v>
      </c>
      <c r="O4894" s="436">
        <f t="shared" si="201"/>
        <v>2668116</v>
      </c>
      <c r="P4894" s="89" t="s">
        <v>2802</v>
      </c>
      <c r="Q4894" s="422" t="s">
        <v>47</v>
      </c>
      <c r="R4894" s="422" t="s">
        <v>1869</v>
      </c>
      <c r="S4894" s="422" t="s">
        <v>1861</v>
      </c>
      <c r="U4894" s="422" t="s">
        <v>1953</v>
      </c>
      <c r="V4894" s="422" t="s">
        <v>2813</v>
      </c>
    </row>
    <row r="4895" spans="1:22" ht="15.75" thickBot="1" x14ac:dyDescent="0.3">
      <c r="A4895" t="s">
        <v>4593</v>
      </c>
      <c r="B4895" t="s">
        <v>4593</v>
      </c>
      <c r="C4895" s="424" t="str">
        <f t="shared" si="202"/>
        <v>RDL - Rodoviária do Lis, LDA.</v>
      </c>
      <c r="D4895" t="s">
        <v>629</v>
      </c>
      <c r="F4895" s="422" t="s">
        <v>620</v>
      </c>
      <c r="G4895" s="89" t="s">
        <v>2211</v>
      </c>
      <c r="H4895" s="313" t="s">
        <v>731</v>
      </c>
      <c r="I4895" s="311" t="str">
        <f t="shared" si="200"/>
        <v>Pesado de Passageiros M3:  : Gasóleo : E4</v>
      </c>
      <c r="J4895">
        <v>28</v>
      </c>
      <c r="K4895" s="422">
        <v>2023</v>
      </c>
      <c r="L4895" s="427">
        <v>0</v>
      </c>
      <c r="M4895" s="427" t="s">
        <v>630</v>
      </c>
      <c r="N4895" s="434">
        <v>0</v>
      </c>
      <c r="O4895" s="436">
        <f t="shared" si="201"/>
        <v>0</v>
      </c>
      <c r="P4895" s="89" t="s">
        <v>2803</v>
      </c>
      <c r="Q4895" s="422" t="s">
        <v>47</v>
      </c>
      <c r="R4895" s="422" t="s">
        <v>1869</v>
      </c>
      <c r="S4895" s="422" t="s">
        <v>1861</v>
      </c>
      <c r="U4895" s="422" t="s">
        <v>1953</v>
      </c>
      <c r="V4895" s="422" t="s">
        <v>2813</v>
      </c>
    </row>
    <row r="4896" spans="1:22" ht="15.75" thickBot="1" x14ac:dyDescent="0.3">
      <c r="A4896" t="s">
        <v>4593</v>
      </c>
      <c r="B4896" t="s">
        <v>4593</v>
      </c>
      <c r="C4896" s="424" t="str">
        <f t="shared" si="202"/>
        <v>RDL - Rodoviária do Lis, LDA.</v>
      </c>
      <c r="D4896" t="s">
        <v>629</v>
      </c>
      <c r="F4896" s="422" t="s">
        <v>620</v>
      </c>
      <c r="G4896" s="89" t="s">
        <v>2210</v>
      </c>
      <c r="H4896" s="313" t="s">
        <v>735</v>
      </c>
      <c r="I4896" s="311" t="str">
        <f t="shared" si="200"/>
        <v>Pesado de Passageiros M3:  : Gasóleo : E2</v>
      </c>
      <c r="J4896">
        <v>50</v>
      </c>
      <c r="K4896" s="422">
        <v>2023</v>
      </c>
      <c r="L4896" s="427">
        <v>0</v>
      </c>
      <c r="M4896" s="427" t="s">
        <v>630</v>
      </c>
      <c r="N4896" s="434">
        <v>0</v>
      </c>
      <c r="O4896" s="436">
        <f t="shared" si="201"/>
        <v>0</v>
      </c>
      <c r="P4896" s="89" t="s">
        <v>5444</v>
      </c>
      <c r="Q4896" s="422" t="s">
        <v>47</v>
      </c>
      <c r="R4896" s="422" t="s">
        <v>1869</v>
      </c>
      <c r="S4896" s="422" t="s">
        <v>1861</v>
      </c>
      <c r="U4896" s="422" t="s">
        <v>1953</v>
      </c>
      <c r="V4896" s="422" t="s">
        <v>2813</v>
      </c>
    </row>
    <row r="4897" spans="1:22" ht="15.75" thickBot="1" x14ac:dyDescent="0.3">
      <c r="A4897" t="s">
        <v>4593</v>
      </c>
      <c r="B4897" t="s">
        <v>4593</v>
      </c>
      <c r="C4897" s="424" t="str">
        <f t="shared" si="202"/>
        <v>RDL - Rodoviária do Lis, LDA.</v>
      </c>
      <c r="D4897" t="s">
        <v>629</v>
      </c>
      <c r="F4897" s="422" t="s">
        <v>620</v>
      </c>
      <c r="G4897" s="89" t="s">
        <v>2215</v>
      </c>
      <c r="H4897" s="313" t="s">
        <v>735</v>
      </c>
      <c r="I4897" s="311" t="str">
        <f t="shared" si="200"/>
        <v>Pesado de Passageiros M3:  : Gasóleo : E2</v>
      </c>
      <c r="J4897">
        <v>49</v>
      </c>
      <c r="K4897" s="422">
        <v>2023</v>
      </c>
      <c r="L4897" s="427">
        <v>0</v>
      </c>
      <c r="M4897" s="427" t="s">
        <v>630</v>
      </c>
      <c r="N4897" s="434">
        <v>0</v>
      </c>
      <c r="O4897" s="436">
        <f t="shared" si="201"/>
        <v>0</v>
      </c>
      <c r="P4897" s="89" t="s">
        <v>5445</v>
      </c>
      <c r="Q4897" s="422" t="s">
        <v>47</v>
      </c>
      <c r="R4897" s="422" t="s">
        <v>1869</v>
      </c>
      <c r="S4897" s="422" t="s">
        <v>1861</v>
      </c>
      <c r="U4897" s="422" t="s">
        <v>1953</v>
      </c>
      <c r="V4897" s="422" t="s">
        <v>2813</v>
      </c>
    </row>
    <row r="4898" spans="1:22" ht="15.75" thickBot="1" x14ac:dyDescent="0.3">
      <c r="A4898" t="s">
        <v>4593</v>
      </c>
      <c r="B4898" t="s">
        <v>4593</v>
      </c>
      <c r="C4898" s="424" t="str">
        <f t="shared" si="202"/>
        <v>RDL - Rodoviária do Lis, LDA.</v>
      </c>
      <c r="D4898" t="s">
        <v>629</v>
      </c>
      <c r="F4898" s="422" t="s">
        <v>620</v>
      </c>
      <c r="G4898" s="89" t="s">
        <v>2206</v>
      </c>
      <c r="H4898" s="313" t="s">
        <v>735</v>
      </c>
      <c r="I4898" s="311" t="str">
        <f t="shared" ref="I4898:I4961" si="203">D4898&amp;": "&amp;E4898&amp;" : "&amp;F4898&amp;" : "&amp;H4898</f>
        <v>Pesado de Passageiros M3:  : Gasóleo : E2</v>
      </c>
      <c r="J4898">
        <v>50</v>
      </c>
      <c r="K4898" s="422">
        <v>2023</v>
      </c>
      <c r="L4898" s="427">
        <v>0</v>
      </c>
      <c r="M4898" s="427" t="s">
        <v>630</v>
      </c>
      <c r="N4898" s="434">
        <v>0</v>
      </c>
      <c r="O4898" s="436">
        <f t="shared" ref="O4898:O4961" si="204">N4898*J4898</f>
        <v>0</v>
      </c>
      <c r="P4898" s="89" t="s">
        <v>5446</v>
      </c>
      <c r="Q4898" s="422" t="s">
        <v>47</v>
      </c>
      <c r="R4898" s="422" t="s">
        <v>1869</v>
      </c>
      <c r="S4898" s="422" t="s">
        <v>1861</v>
      </c>
      <c r="U4898" s="422" t="s">
        <v>1953</v>
      </c>
      <c r="V4898" s="422" t="s">
        <v>2813</v>
      </c>
    </row>
    <row r="4899" spans="1:22" ht="15.75" thickBot="1" x14ac:dyDescent="0.3">
      <c r="A4899" t="s">
        <v>4593</v>
      </c>
      <c r="B4899" t="s">
        <v>4593</v>
      </c>
      <c r="C4899" s="424" t="str">
        <f t="shared" si="202"/>
        <v>RDL - Rodoviária do Lis, LDA.</v>
      </c>
      <c r="D4899" t="s">
        <v>629</v>
      </c>
      <c r="F4899" s="422" t="s">
        <v>620</v>
      </c>
      <c r="G4899" s="89" t="s">
        <v>2215</v>
      </c>
      <c r="H4899" s="313" t="s">
        <v>735</v>
      </c>
      <c r="I4899" s="311" t="str">
        <f t="shared" si="203"/>
        <v>Pesado de Passageiros M3:  : Gasóleo : E2</v>
      </c>
      <c r="J4899">
        <v>49</v>
      </c>
      <c r="K4899" s="422">
        <v>2023</v>
      </c>
      <c r="L4899" s="427">
        <v>0</v>
      </c>
      <c r="M4899" s="427" t="s">
        <v>630</v>
      </c>
      <c r="N4899" s="434">
        <v>0</v>
      </c>
      <c r="O4899" s="436">
        <f t="shared" si="204"/>
        <v>0</v>
      </c>
      <c r="P4899" s="89" t="s">
        <v>5447</v>
      </c>
      <c r="Q4899" s="422" t="s">
        <v>47</v>
      </c>
      <c r="R4899" s="422" t="s">
        <v>1869</v>
      </c>
      <c r="S4899" s="422" t="s">
        <v>1861</v>
      </c>
      <c r="U4899" s="422" t="s">
        <v>1953</v>
      </c>
      <c r="V4899" s="422" t="s">
        <v>2813</v>
      </c>
    </row>
    <row r="4900" spans="1:22" ht="15.75" thickBot="1" x14ac:dyDescent="0.3">
      <c r="A4900" t="s">
        <v>4593</v>
      </c>
      <c r="B4900" t="s">
        <v>4593</v>
      </c>
      <c r="C4900" s="424" t="str">
        <f t="shared" si="202"/>
        <v>RDL - Rodoviária do Lis, LDA.</v>
      </c>
      <c r="D4900" t="s">
        <v>629</v>
      </c>
      <c r="F4900" s="422" t="s">
        <v>620</v>
      </c>
      <c r="G4900" s="89" t="s">
        <v>2206</v>
      </c>
      <c r="H4900" s="313" t="s">
        <v>735</v>
      </c>
      <c r="I4900" s="311" t="str">
        <f t="shared" si="203"/>
        <v>Pesado de Passageiros M3:  : Gasóleo : E2</v>
      </c>
      <c r="J4900">
        <v>49</v>
      </c>
      <c r="K4900" s="422">
        <v>2023</v>
      </c>
      <c r="L4900" s="427">
        <v>0</v>
      </c>
      <c r="M4900" s="427" t="s">
        <v>630</v>
      </c>
      <c r="N4900" s="434">
        <v>0</v>
      </c>
      <c r="O4900" s="436">
        <f t="shared" si="204"/>
        <v>0</v>
      </c>
      <c r="P4900" s="89" t="s">
        <v>5448</v>
      </c>
      <c r="Q4900" s="422" t="s">
        <v>47</v>
      </c>
      <c r="R4900" s="422" t="s">
        <v>1869</v>
      </c>
      <c r="S4900" s="422" t="s">
        <v>1861</v>
      </c>
      <c r="U4900" s="422" t="s">
        <v>1953</v>
      </c>
      <c r="V4900" s="422" t="s">
        <v>2813</v>
      </c>
    </row>
    <row r="4901" spans="1:22" ht="15.75" thickBot="1" x14ac:dyDescent="0.3">
      <c r="A4901" t="s">
        <v>4593</v>
      </c>
      <c r="B4901" t="s">
        <v>4593</v>
      </c>
      <c r="C4901" s="424" t="str">
        <f t="shared" si="202"/>
        <v>RDL - Rodoviária do Lis, LDA.</v>
      </c>
      <c r="D4901" t="s">
        <v>629</v>
      </c>
      <c r="F4901" s="422" t="s">
        <v>620</v>
      </c>
      <c r="G4901" s="89" t="s">
        <v>2207</v>
      </c>
      <c r="H4901" s="313" t="s">
        <v>735</v>
      </c>
      <c r="I4901" s="311" t="str">
        <f t="shared" si="203"/>
        <v>Pesado de Passageiros M3:  : Gasóleo : E2</v>
      </c>
      <c r="J4901">
        <v>50</v>
      </c>
      <c r="K4901" s="422">
        <v>2023</v>
      </c>
      <c r="L4901" s="427">
        <v>0</v>
      </c>
      <c r="M4901" s="427" t="s">
        <v>630</v>
      </c>
      <c r="N4901" s="434">
        <v>0</v>
      </c>
      <c r="O4901" s="436">
        <f t="shared" si="204"/>
        <v>0</v>
      </c>
      <c r="P4901" s="89" t="s">
        <v>5449</v>
      </c>
      <c r="Q4901" s="422" t="s">
        <v>47</v>
      </c>
      <c r="R4901" s="422" t="s">
        <v>1869</v>
      </c>
      <c r="S4901" s="422" t="s">
        <v>1861</v>
      </c>
      <c r="U4901" s="422" t="s">
        <v>1953</v>
      </c>
      <c r="V4901" s="422" t="s">
        <v>2813</v>
      </c>
    </row>
    <row r="4902" spans="1:22" ht="15.75" thickBot="1" x14ac:dyDescent="0.3">
      <c r="A4902" t="s">
        <v>4593</v>
      </c>
      <c r="B4902" t="s">
        <v>4593</v>
      </c>
      <c r="C4902" s="424" t="str">
        <f t="shared" si="202"/>
        <v>RDL - Rodoviária do Lis, LDA.</v>
      </c>
      <c r="D4902" t="s">
        <v>629</v>
      </c>
      <c r="F4902" s="422" t="s">
        <v>620</v>
      </c>
      <c r="G4902" s="89" t="s">
        <v>2206</v>
      </c>
      <c r="H4902" s="313" t="s">
        <v>735</v>
      </c>
      <c r="I4902" s="311" t="str">
        <f t="shared" si="203"/>
        <v>Pesado de Passageiros M3:  : Gasóleo : E2</v>
      </c>
      <c r="J4902">
        <v>40</v>
      </c>
      <c r="K4902" s="422">
        <v>2023</v>
      </c>
      <c r="L4902" s="427">
        <v>0</v>
      </c>
      <c r="M4902" s="427" t="s">
        <v>630</v>
      </c>
      <c r="N4902" s="434">
        <v>0</v>
      </c>
      <c r="O4902" s="436">
        <f t="shared" si="204"/>
        <v>0</v>
      </c>
      <c r="P4902" s="89" t="s">
        <v>5450</v>
      </c>
      <c r="Q4902" s="422" t="s">
        <v>47</v>
      </c>
      <c r="R4902" s="422" t="s">
        <v>1869</v>
      </c>
      <c r="S4902" s="422" t="s">
        <v>1861</v>
      </c>
      <c r="U4902" s="422" t="s">
        <v>1953</v>
      </c>
      <c r="V4902" s="422" t="s">
        <v>2813</v>
      </c>
    </row>
    <row r="4903" spans="1:22" ht="15.75" thickBot="1" x14ac:dyDescent="0.3">
      <c r="A4903" t="s">
        <v>4593</v>
      </c>
      <c r="B4903" t="s">
        <v>4593</v>
      </c>
      <c r="C4903" s="424" t="str">
        <f t="shared" si="202"/>
        <v>RDL - Rodoviária do Lis, LDA.</v>
      </c>
      <c r="D4903" t="s">
        <v>629</v>
      </c>
      <c r="F4903" s="422" t="s">
        <v>620</v>
      </c>
      <c r="G4903" s="89" t="s">
        <v>2206</v>
      </c>
      <c r="H4903" s="313" t="s">
        <v>735</v>
      </c>
      <c r="I4903" s="311" t="str">
        <f t="shared" si="203"/>
        <v>Pesado de Passageiros M3:  : Gasóleo : E2</v>
      </c>
      <c r="J4903">
        <v>49</v>
      </c>
      <c r="K4903" s="422">
        <v>2023</v>
      </c>
      <c r="L4903" s="427">
        <v>0</v>
      </c>
      <c r="M4903" s="427" t="s">
        <v>630</v>
      </c>
      <c r="N4903" s="434">
        <v>0</v>
      </c>
      <c r="O4903" s="436">
        <f t="shared" si="204"/>
        <v>0</v>
      </c>
      <c r="P4903" s="89" t="s">
        <v>5451</v>
      </c>
      <c r="Q4903" s="422" t="s">
        <v>47</v>
      </c>
      <c r="R4903" s="422" t="s">
        <v>1869</v>
      </c>
      <c r="S4903" s="422" t="s">
        <v>1861</v>
      </c>
      <c r="U4903" s="422" t="s">
        <v>1953</v>
      </c>
      <c r="V4903" s="422" t="s">
        <v>2813</v>
      </c>
    </row>
    <row r="4904" spans="1:22" ht="15.75" thickBot="1" x14ac:dyDescent="0.3">
      <c r="A4904" t="s">
        <v>4593</v>
      </c>
      <c r="B4904" t="s">
        <v>4593</v>
      </c>
      <c r="C4904" s="424" t="str">
        <f t="shared" si="202"/>
        <v>RDL - Rodoviária do Lis, LDA.</v>
      </c>
      <c r="D4904" t="s">
        <v>629</v>
      </c>
      <c r="F4904" s="422" t="s">
        <v>620</v>
      </c>
      <c r="G4904" s="89" t="s">
        <v>2206</v>
      </c>
      <c r="H4904" s="313" t="s">
        <v>735</v>
      </c>
      <c r="I4904" s="311" t="str">
        <f t="shared" si="203"/>
        <v>Pesado de Passageiros M3:  : Gasóleo : E2</v>
      </c>
      <c r="J4904">
        <v>25</v>
      </c>
      <c r="K4904" s="422">
        <v>2023</v>
      </c>
      <c r="L4904" s="427">
        <v>0</v>
      </c>
      <c r="M4904" s="427" t="s">
        <v>630</v>
      </c>
      <c r="N4904" s="434">
        <v>0</v>
      </c>
      <c r="O4904" s="436">
        <f t="shared" si="204"/>
        <v>0</v>
      </c>
      <c r="P4904" s="89" t="s">
        <v>5452</v>
      </c>
      <c r="Q4904" s="422" t="s">
        <v>47</v>
      </c>
      <c r="R4904" s="422" t="s">
        <v>1869</v>
      </c>
      <c r="S4904" s="422" t="s">
        <v>1861</v>
      </c>
      <c r="U4904" s="422" t="s">
        <v>1953</v>
      </c>
      <c r="V4904" s="422" t="s">
        <v>2813</v>
      </c>
    </row>
    <row r="4905" spans="1:22" ht="15.75" thickBot="1" x14ac:dyDescent="0.3">
      <c r="A4905" t="s">
        <v>4593</v>
      </c>
      <c r="B4905" t="s">
        <v>4593</v>
      </c>
      <c r="C4905" s="424" t="str">
        <f t="shared" si="202"/>
        <v>RDL - Rodoviária do Lis, LDA.</v>
      </c>
      <c r="D4905" t="s">
        <v>629</v>
      </c>
      <c r="F4905" s="422" t="s">
        <v>620</v>
      </c>
      <c r="G4905" s="89" t="s">
        <v>2206</v>
      </c>
      <c r="H4905" s="313" t="s">
        <v>735</v>
      </c>
      <c r="I4905" s="311" t="str">
        <f t="shared" si="203"/>
        <v>Pesado de Passageiros M3:  : Gasóleo : E2</v>
      </c>
      <c r="J4905">
        <v>50</v>
      </c>
      <c r="K4905" s="422">
        <v>2023</v>
      </c>
      <c r="L4905" s="427">
        <v>0</v>
      </c>
      <c r="M4905" s="427" t="s">
        <v>630</v>
      </c>
      <c r="N4905" s="434">
        <v>0</v>
      </c>
      <c r="O4905" s="436">
        <f t="shared" si="204"/>
        <v>0</v>
      </c>
      <c r="P4905" s="89" t="s">
        <v>5453</v>
      </c>
      <c r="Q4905" s="422" t="s">
        <v>47</v>
      </c>
      <c r="R4905" s="422" t="s">
        <v>1869</v>
      </c>
      <c r="S4905" s="422" t="s">
        <v>1861</v>
      </c>
      <c r="U4905" s="422" t="s">
        <v>1953</v>
      </c>
      <c r="V4905" s="422" t="s">
        <v>2813</v>
      </c>
    </row>
    <row r="4906" spans="1:22" ht="15.75" thickBot="1" x14ac:dyDescent="0.3">
      <c r="A4906" t="s">
        <v>4593</v>
      </c>
      <c r="B4906" t="s">
        <v>4593</v>
      </c>
      <c r="C4906" s="424" t="str">
        <f t="shared" si="202"/>
        <v>RDL - Rodoviária do Lis, LDA.</v>
      </c>
      <c r="D4906" t="s">
        <v>629</v>
      </c>
      <c r="F4906" s="422" t="s">
        <v>620</v>
      </c>
      <c r="G4906" s="89" t="s">
        <v>2221</v>
      </c>
      <c r="H4906" s="313" t="s">
        <v>734</v>
      </c>
      <c r="I4906" s="311" t="str">
        <f t="shared" si="203"/>
        <v>Pesado de Passageiros M3:  : Gasóleo : E5</v>
      </c>
      <c r="J4906">
        <v>90</v>
      </c>
      <c r="K4906" s="422">
        <v>2023</v>
      </c>
      <c r="L4906" s="427">
        <v>209.96</v>
      </c>
      <c r="M4906" s="427" t="s">
        <v>630</v>
      </c>
      <c r="N4906" s="434">
        <v>635</v>
      </c>
      <c r="O4906" s="436">
        <f t="shared" si="204"/>
        <v>57150</v>
      </c>
      <c r="P4906" s="89" t="s">
        <v>5454</v>
      </c>
      <c r="Q4906" s="422" t="s">
        <v>47</v>
      </c>
      <c r="R4906" s="422" t="s">
        <v>1869</v>
      </c>
      <c r="S4906" s="422" t="s">
        <v>1861</v>
      </c>
      <c r="U4906" s="422" t="s">
        <v>1953</v>
      </c>
      <c r="V4906" s="422" t="s">
        <v>2813</v>
      </c>
    </row>
    <row r="4907" spans="1:22" ht="15.75" thickBot="1" x14ac:dyDescent="0.3">
      <c r="A4907" t="s">
        <v>4593</v>
      </c>
      <c r="B4907" t="s">
        <v>4593</v>
      </c>
      <c r="C4907" s="424" t="str">
        <f t="shared" si="202"/>
        <v>RDL - Rodoviária do Lis, LDA.</v>
      </c>
      <c r="D4907" t="s">
        <v>629</v>
      </c>
      <c r="F4907" s="422" t="s">
        <v>620</v>
      </c>
      <c r="G4907" s="89" t="s">
        <v>2221</v>
      </c>
      <c r="H4907" s="313" t="s">
        <v>734</v>
      </c>
      <c r="I4907" s="311" t="str">
        <f t="shared" si="203"/>
        <v>Pesado de Passageiros M3:  : Gasóleo : E5</v>
      </c>
      <c r="J4907">
        <v>90</v>
      </c>
      <c r="K4907" s="422">
        <v>2023</v>
      </c>
      <c r="L4907" s="427">
        <v>150.02000000000001</v>
      </c>
      <c r="M4907" s="427" t="s">
        <v>630</v>
      </c>
      <c r="N4907" s="434">
        <v>454</v>
      </c>
      <c r="O4907" s="436">
        <f t="shared" si="204"/>
        <v>40860</v>
      </c>
      <c r="P4907" s="89" t="s">
        <v>5455</v>
      </c>
      <c r="Q4907" s="422" t="s">
        <v>47</v>
      </c>
      <c r="R4907" s="422" t="s">
        <v>1869</v>
      </c>
      <c r="S4907" s="422" t="s">
        <v>1861</v>
      </c>
      <c r="U4907" s="422" t="s">
        <v>1953</v>
      </c>
      <c r="V4907" s="422" t="s">
        <v>2813</v>
      </c>
    </row>
    <row r="4908" spans="1:22" ht="15.75" thickBot="1" x14ac:dyDescent="0.3">
      <c r="A4908" t="s">
        <v>4593</v>
      </c>
      <c r="B4908" t="s">
        <v>4593</v>
      </c>
      <c r="C4908" s="424" t="str">
        <f t="shared" si="202"/>
        <v>RDL - Rodoviária do Lis, LDA.</v>
      </c>
      <c r="D4908" t="s">
        <v>629</v>
      </c>
      <c r="F4908" s="422" t="s">
        <v>620</v>
      </c>
      <c r="G4908" s="89" t="s">
        <v>2221</v>
      </c>
      <c r="H4908" s="313" t="s">
        <v>734</v>
      </c>
      <c r="I4908" s="311" t="str">
        <f t="shared" si="203"/>
        <v>Pesado de Passageiros M3:  : Gasóleo : E5</v>
      </c>
      <c r="J4908">
        <v>90</v>
      </c>
      <c r="K4908" s="422">
        <v>2023</v>
      </c>
      <c r="L4908" s="427">
        <v>61.61</v>
      </c>
      <c r="M4908" s="427" t="s">
        <v>630</v>
      </c>
      <c r="N4908" s="434">
        <v>186</v>
      </c>
      <c r="O4908" s="436">
        <f t="shared" si="204"/>
        <v>16740</v>
      </c>
      <c r="P4908" s="89" t="s">
        <v>5456</v>
      </c>
      <c r="Q4908" s="422" t="s">
        <v>47</v>
      </c>
      <c r="R4908" s="422" t="s">
        <v>1869</v>
      </c>
      <c r="S4908" s="422" t="s">
        <v>1861</v>
      </c>
      <c r="U4908" s="422" t="s">
        <v>1953</v>
      </c>
      <c r="V4908" s="422" t="s">
        <v>2813</v>
      </c>
    </row>
    <row r="4909" spans="1:22" ht="15.75" thickBot="1" x14ac:dyDescent="0.3">
      <c r="A4909" t="s">
        <v>4593</v>
      </c>
      <c r="B4909" t="s">
        <v>4593</v>
      </c>
      <c r="C4909" s="424" t="str">
        <f t="shared" si="202"/>
        <v>RDL - Rodoviária do Lis, LDA.</v>
      </c>
      <c r="D4909" t="s">
        <v>629</v>
      </c>
      <c r="F4909" s="422" t="s">
        <v>620</v>
      </c>
      <c r="G4909" s="89" t="s">
        <v>2221</v>
      </c>
      <c r="H4909" s="313" t="s">
        <v>734</v>
      </c>
      <c r="I4909" s="311" t="str">
        <f t="shared" si="203"/>
        <v>Pesado de Passageiros M3:  : Gasóleo : E5</v>
      </c>
      <c r="J4909">
        <v>90</v>
      </c>
      <c r="K4909" s="422">
        <v>2023</v>
      </c>
      <c r="L4909" s="427">
        <v>141.61000000000001</v>
      </c>
      <c r="M4909" s="427" t="s">
        <v>630</v>
      </c>
      <c r="N4909" s="434">
        <v>429</v>
      </c>
      <c r="O4909" s="436">
        <f t="shared" si="204"/>
        <v>38610</v>
      </c>
      <c r="P4909" s="89" t="s">
        <v>5457</v>
      </c>
      <c r="Q4909" s="422" t="s">
        <v>47</v>
      </c>
      <c r="R4909" s="422" t="s">
        <v>1869</v>
      </c>
      <c r="S4909" s="422" t="s">
        <v>1861</v>
      </c>
      <c r="U4909" s="422" t="s">
        <v>1953</v>
      </c>
      <c r="V4909" s="422" t="s">
        <v>2813</v>
      </c>
    </row>
    <row r="4910" spans="1:22" ht="15.75" thickBot="1" x14ac:dyDescent="0.3">
      <c r="A4910" t="s">
        <v>4593</v>
      </c>
      <c r="B4910" t="s">
        <v>4593</v>
      </c>
      <c r="C4910" s="424" t="str">
        <f t="shared" si="202"/>
        <v>RDL - Rodoviária do Lis, LDA.</v>
      </c>
      <c r="D4910" t="s">
        <v>629</v>
      </c>
      <c r="F4910" s="422" t="s">
        <v>620</v>
      </c>
      <c r="G4910" s="89" t="s">
        <v>2221</v>
      </c>
      <c r="H4910" s="313" t="s">
        <v>734</v>
      </c>
      <c r="I4910" s="311" t="str">
        <f t="shared" si="203"/>
        <v>Pesado de Passageiros M3:  : Gasóleo : E5</v>
      </c>
      <c r="J4910">
        <v>90</v>
      </c>
      <c r="K4910" s="422">
        <v>2023</v>
      </c>
      <c r="L4910" s="427">
        <v>151.68</v>
      </c>
      <c r="M4910" s="427" t="s">
        <v>630</v>
      </c>
      <c r="N4910" s="434">
        <v>459</v>
      </c>
      <c r="O4910" s="436">
        <f t="shared" si="204"/>
        <v>41310</v>
      </c>
      <c r="P4910" s="89" t="s">
        <v>5458</v>
      </c>
      <c r="Q4910" s="422" t="s">
        <v>47</v>
      </c>
      <c r="R4910" s="422" t="s">
        <v>1869</v>
      </c>
      <c r="S4910" s="422" t="s">
        <v>1861</v>
      </c>
      <c r="U4910" s="422" t="s">
        <v>1953</v>
      </c>
      <c r="V4910" s="422" t="s">
        <v>2813</v>
      </c>
    </row>
    <row r="4911" spans="1:22" ht="15.75" thickBot="1" x14ac:dyDescent="0.3">
      <c r="A4911" t="s">
        <v>4593</v>
      </c>
      <c r="B4911" t="s">
        <v>4593</v>
      </c>
      <c r="C4911" s="424" t="str">
        <f t="shared" si="202"/>
        <v>RDL - Rodoviária do Lis, LDA.</v>
      </c>
      <c r="D4911" t="s">
        <v>629</v>
      </c>
      <c r="F4911" s="422" t="s">
        <v>620</v>
      </c>
      <c r="G4911" s="89" t="s">
        <v>2203</v>
      </c>
      <c r="H4911" s="313" t="s">
        <v>733</v>
      </c>
      <c r="I4911" s="311" t="str">
        <f t="shared" si="203"/>
        <v>Pesado de Passageiros M3:  : Gasóleo : E6</v>
      </c>
      <c r="J4911">
        <v>59</v>
      </c>
      <c r="K4911" s="422">
        <v>2023</v>
      </c>
      <c r="L4911" s="427">
        <v>0</v>
      </c>
      <c r="M4911" s="427" t="s">
        <v>630</v>
      </c>
      <c r="N4911" s="434">
        <v>0</v>
      </c>
      <c r="O4911" s="436">
        <f t="shared" si="204"/>
        <v>0</v>
      </c>
      <c r="P4911" s="89" t="s">
        <v>5459</v>
      </c>
      <c r="Q4911" s="422" t="s">
        <v>47</v>
      </c>
      <c r="R4911" s="422" t="s">
        <v>1869</v>
      </c>
      <c r="S4911" s="422" t="s">
        <v>1861</v>
      </c>
      <c r="U4911" s="422" t="s">
        <v>1953</v>
      </c>
      <c r="V4911" s="422" t="s">
        <v>2813</v>
      </c>
    </row>
    <row r="4912" spans="1:22" ht="15.75" thickBot="1" x14ac:dyDescent="0.3">
      <c r="A4912" t="s">
        <v>4593</v>
      </c>
      <c r="B4912" t="s">
        <v>4593</v>
      </c>
      <c r="C4912" s="424" t="str">
        <f t="shared" si="202"/>
        <v>RDL - Rodoviária do Lis, LDA.</v>
      </c>
      <c r="D4912" t="s">
        <v>629</v>
      </c>
      <c r="F4912" s="422" t="s">
        <v>620</v>
      </c>
      <c r="G4912" s="89" t="s">
        <v>2213</v>
      </c>
      <c r="H4912" s="313" t="s">
        <v>734</v>
      </c>
      <c r="I4912" s="311" t="str">
        <f t="shared" si="203"/>
        <v>Pesado de Passageiros M3:  : Gasóleo : E5</v>
      </c>
      <c r="J4912">
        <v>31</v>
      </c>
      <c r="K4912" s="422">
        <v>2023</v>
      </c>
      <c r="L4912" s="427">
        <v>0</v>
      </c>
      <c r="M4912" s="427" t="s">
        <v>630</v>
      </c>
      <c r="N4912" s="434">
        <v>0</v>
      </c>
      <c r="O4912" s="436">
        <f t="shared" si="204"/>
        <v>0</v>
      </c>
      <c r="P4912" s="89" t="s">
        <v>5460</v>
      </c>
      <c r="Q4912" s="422" t="s">
        <v>47</v>
      </c>
      <c r="R4912" s="422" t="s">
        <v>1869</v>
      </c>
      <c r="S4912" s="422" t="s">
        <v>1861</v>
      </c>
      <c r="U4912" s="422" t="s">
        <v>1953</v>
      </c>
      <c r="V4912" s="422" t="s">
        <v>2813</v>
      </c>
    </row>
    <row r="4913" spans="1:22" ht="15.75" thickBot="1" x14ac:dyDescent="0.3">
      <c r="A4913" t="s">
        <v>4593</v>
      </c>
      <c r="B4913" t="s">
        <v>4593</v>
      </c>
      <c r="C4913" s="424" t="str">
        <f t="shared" si="202"/>
        <v>RDL - Rodoviária do Lis, LDA.</v>
      </c>
      <c r="D4913" t="s">
        <v>629</v>
      </c>
      <c r="F4913" s="422" t="s">
        <v>620</v>
      </c>
      <c r="G4913" s="89" t="s">
        <v>2221</v>
      </c>
      <c r="H4913" s="313" t="s">
        <v>734</v>
      </c>
      <c r="I4913" s="311" t="str">
        <f t="shared" si="203"/>
        <v>Pesado de Passageiros M3:  : Gasóleo : E5</v>
      </c>
      <c r="J4913">
        <v>90</v>
      </c>
      <c r="K4913" s="422">
        <v>2023</v>
      </c>
      <c r="L4913" s="427">
        <v>0</v>
      </c>
      <c r="M4913" s="427" t="s">
        <v>630</v>
      </c>
      <c r="N4913" s="434">
        <v>0</v>
      </c>
      <c r="O4913" s="436">
        <f t="shared" si="204"/>
        <v>0</v>
      </c>
      <c r="P4913" s="89" t="s">
        <v>5461</v>
      </c>
      <c r="Q4913" s="422" t="s">
        <v>47</v>
      </c>
      <c r="R4913" s="422" t="s">
        <v>1869</v>
      </c>
      <c r="S4913" s="422" t="s">
        <v>1861</v>
      </c>
      <c r="U4913" s="422" t="s">
        <v>1953</v>
      </c>
      <c r="V4913" s="422" t="s">
        <v>2813</v>
      </c>
    </row>
    <row r="4914" spans="1:22" ht="15.75" thickBot="1" x14ac:dyDescent="0.3">
      <c r="A4914" t="s">
        <v>4593</v>
      </c>
      <c r="B4914" t="s">
        <v>4593</v>
      </c>
      <c r="C4914" s="424" t="str">
        <f t="shared" si="202"/>
        <v>RDL - Rodoviária do Lis, LDA.</v>
      </c>
      <c r="D4914" t="s">
        <v>629</v>
      </c>
      <c r="F4914" s="422" t="s">
        <v>620</v>
      </c>
      <c r="G4914" s="89" t="s">
        <v>2221</v>
      </c>
      <c r="H4914" s="313" t="s">
        <v>734</v>
      </c>
      <c r="I4914" s="311" t="str">
        <f t="shared" si="203"/>
        <v>Pesado de Passageiros M3:  : Gasóleo : E5</v>
      </c>
      <c r="J4914">
        <v>90</v>
      </c>
      <c r="K4914" s="422">
        <v>2023</v>
      </c>
      <c r="L4914" s="427">
        <v>0</v>
      </c>
      <c r="M4914" s="427" t="s">
        <v>630</v>
      </c>
      <c r="N4914" s="434">
        <v>0</v>
      </c>
      <c r="O4914" s="436">
        <f t="shared" si="204"/>
        <v>0</v>
      </c>
      <c r="P4914" s="89" t="s">
        <v>5462</v>
      </c>
      <c r="Q4914" s="422" t="s">
        <v>47</v>
      </c>
      <c r="R4914" s="422" t="s">
        <v>1869</v>
      </c>
      <c r="S4914" s="422" t="s">
        <v>1861</v>
      </c>
      <c r="U4914" s="422" t="s">
        <v>1953</v>
      </c>
      <c r="V4914" s="422" t="s">
        <v>2813</v>
      </c>
    </row>
    <row r="4915" spans="1:22" ht="15.75" thickBot="1" x14ac:dyDescent="0.3">
      <c r="A4915" t="s">
        <v>4593</v>
      </c>
      <c r="B4915" t="s">
        <v>4593</v>
      </c>
      <c r="C4915" s="424" t="str">
        <f t="shared" si="202"/>
        <v>RDL - Rodoviária do Lis, LDA.</v>
      </c>
      <c r="D4915" t="s">
        <v>629</v>
      </c>
      <c r="F4915" s="422" t="s">
        <v>620</v>
      </c>
      <c r="G4915" s="89" t="s">
        <v>2203</v>
      </c>
      <c r="H4915" s="313" t="s">
        <v>733</v>
      </c>
      <c r="I4915" s="311" t="str">
        <f t="shared" si="203"/>
        <v>Pesado de Passageiros M3:  : Gasóleo : E6</v>
      </c>
      <c r="J4915">
        <v>57</v>
      </c>
      <c r="K4915" s="422">
        <v>2023</v>
      </c>
      <c r="L4915" s="427">
        <v>0</v>
      </c>
      <c r="M4915" s="427" t="s">
        <v>630</v>
      </c>
      <c r="N4915" s="434">
        <v>0</v>
      </c>
      <c r="O4915" s="436">
        <f t="shared" si="204"/>
        <v>0</v>
      </c>
      <c r="P4915" s="89" t="s">
        <v>5463</v>
      </c>
      <c r="Q4915" s="422" t="s">
        <v>47</v>
      </c>
      <c r="R4915" s="422" t="s">
        <v>1869</v>
      </c>
      <c r="S4915" s="422" t="s">
        <v>1861</v>
      </c>
      <c r="U4915" s="422" t="s">
        <v>1953</v>
      </c>
      <c r="V4915" s="422" t="s">
        <v>2813</v>
      </c>
    </row>
    <row r="4916" spans="1:22" ht="15.75" thickBot="1" x14ac:dyDescent="0.3">
      <c r="A4916" t="s">
        <v>4593</v>
      </c>
      <c r="B4916" t="s">
        <v>4593</v>
      </c>
      <c r="C4916" s="424" t="str">
        <f t="shared" si="202"/>
        <v>RDL - Rodoviária do Lis, LDA.</v>
      </c>
      <c r="D4916" t="s">
        <v>629</v>
      </c>
      <c r="F4916" s="422" t="s">
        <v>620</v>
      </c>
      <c r="G4916" s="89" t="s">
        <v>2202</v>
      </c>
      <c r="H4916" s="313" t="s">
        <v>733</v>
      </c>
      <c r="I4916" s="311" t="str">
        <f t="shared" si="203"/>
        <v>Pesado de Passageiros M3:  : Gasóleo : E6</v>
      </c>
      <c r="J4916">
        <v>57</v>
      </c>
      <c r="K4916" s="422">
        <v>2023</v>
      </c>
      <c r="L4916" s="427">
        <v>0</v>
      </c>
      <c r="M4916" s="427" t="s">
        <v>630</v>
      </c>
      <c r="N4916" s="434">
        <v>0</v>
      </c>
      <c r="O4916" s="436">
        <f t="shared" si="204"/>
        <v>0</v>
      </c>
      <c r="P4916" s="89" t="s">
        <v>5464</v>
      </c>
      <c r="Q4916" s="422" t="s">
        <v>47</v>
      </c>
      <c r="R4916" s="422" t="s">
        <v>1869</v>
      </c>
      <c r="S4916" s="422" t="s">
        <v>1861</v>
      </c>
      <c r="U4916" s="422" t="s">
        <v>1953</v>
      </c>
      <c r="V4916" s="422" t="s">
        <v>2813</v>
      </c>
    </row>
    <row r="4917" spans="1:22" ht="15.75" thickBot="1" x14ac:dyDescent="0.3">
      <c r="A4917" t="s">
        <v>4593</v>
      </c>
      <c r="B4917" t="s">
        <v>4593</v>
      </c>
      <c r="C4917" s="424" t="str">
        <f t="shared" si="202"/>
        <v>RDL - Rodoviária do Lis, LDA.</v>
      </c>
      <c r="D4917" t="s">
        <v>629</v>
      </c>
      <c r="F4917" s="422" t="s">
        <v>620</v>
      </c>
      <c r="G4917" s="89" t="s">
        <v>2202</v>
      </c>
      <c r="H4917" s="313" t="s">
        <v>733</v>
      </c>
      <c r="I4917" s="311" t="str">
        <f t="shared" si="203"/>
        <v>Pesado de Passageiros M3:  : Gasóleo : E6</v>
      </c>
      <c r="J4917">
        <v>57</v>
      </c>
      <c r="K4917" s="422">
        <v>2023</v>
      </c>
      <c r="L4917" s="427">
        <v>0</v>
      </c>
      <c r="M4917" s="427" t="s">
        <v>630</v>
      </c>
      <c r="N4917" s="434">
        <v>0</v>
      </c>
      <c r="O4917" s="436">
        <f t="shared" si="204"/>
        <v>0</v>
      </c>
      <c r="P4917" s="89" t="s">
        <v>5465</v>
      </c>
      <c r="Q4917" s="422" t="s">
        <v>47</v>
      </c>
      <c r="R4917" s="422" t="s">
        <v>1869</v>
      </c>
      <c r="S4917" s="422" t="s">
        <v>1861</v>
      </c>
      <c r="U4917" s="422" t="s">
        <v>1953</v>
      </c>
      <c r="V4917" s="422" t="s">
        <v>2813</v>
      </c>
    </row>
    <row r="4918" spans="1:22" ht="15.75" thickBot="1" x14ac:dyDescent="0.3">
      <c r="A4918" t="s">
        <v>4593</v>
      </c>
      <c r="B4918" t="s">
        <v>4593</v>
      </c>
      <c r="C4918" s="424" t="str">
        <f t="shared" si="202"/>
        <v>RDL - Rodoviária do Lis, LDA.</v>
      </c>
      <c r="D4918" t="s">
        <v>629</v>
      </c>
      <c r="F4918" s="422" t="s">
        <v>620</v>
      </c>
      <c r="G4918" s="89" t="s">
        <v>2214</v>
      </c>
      <c r="H4918" s="313" t="s">
        <v>733</v>
      </c>
      <c r="I4918" s="311" t="str">
        <f t="shared" si="203"/>
        <v>Pesado de Passageiros M3:  : Gasóleo : E6</v>
      </c>
      <c r="J4918">
        <v>57</v>
      </c>
      <c r="K4918" s="422">
        <v>2023</v>
      </c>
      <c r="L4918" s="427">
        <v>0</v>
      </c>
      <c r="M4918" s="427" t="s">
        <v>630</v>
      </c>
      <c r="N4918" s="434">
        <v>0</v>
      </c>
      <c r="O4918" s="436">
        <f t="shared" si="204"/>
        <v>0</v>
      </c>
      <c r="P4918" s="89" t="s">
        <v>5466</v>
      </c>
      <c r="Q4918" s="422" t="s">
        <v>47</v>
      </c>
      <c r="R4918" s="422" t="s">
        <v>1869</v>
      </c>
      <c r="S4918" s="422" t="s">
        <v>1861</v>
      </c>
      <c r="U4918" s="422" t="s">
        <v>1953</v>
      </c>
      <c r="V4918" s="422" t="s">
        <v>2813</v>
      </c>
    </row>
    <row r="4919" spans="1:22" ht="15.75" thickBot="1" x14ac:dyDescent="0.3">
      <c r="A4919" t="s">
        <v>4593</v>
      </c>
      <c r="B4919" t="s">
        <v>4593</v>
      </c>
      <c r="C4919" s="424" t="str">
        <f t="shared" si="202"/>
        <v>RDL - Rodoviária do Lis, LDA.</v>
      </c>
      <c r="D4919" t="s">
        <v>629</v>
      </c>
      <c r="F4919" s="422" t="s">
        <v>620</v>
      </c>
      <c r="G4919" s="89" t="s">
        <v>2202</v>
      </c>
      <c r="H4919" s="313" t="s">
        <v>733</v>
      </c>
      <c r="I4919" s="311" t="str">
        <f t="shared" si="203"/>
        <v>Pesado de Passageiros M3:  : Gasóleo : E6</v>
      </c>
      <c r="J4919">
        <v>50</v>
      </c>
      <c r="K4919" s="422">
        <v>2023</v>
      </c>
      <c r="L4919" s="427">
        <v>0</v>
      </c>
      <c r="M4919" s="427" t="s">
        <v>630</v>
      </c>
      <c r="N4919" s="434">
        <v>0</v>
      </c>
      <c r="O4919" s="436">
        <f t="shared" si="204"/>
        <v>0</v>
      </c>
      <c r="P4919" s="89" t="s">
        <v>5467</v>
      </c>
      <c r="Q4919" s="422" t="s">
        <v>47</v>
      </c>
      <c r="R4919" s="422" t="s">
        <v>1869</v>
      </c>
      <c r="S4919" s="422" t="s">
        <v>1861</v>
      </c>
      <c r="U4919" s="422" t="s">
        <v>1953</v>
      </c>
      <c r="V4919" s="422" t="s">
        <v>2813</v>
      </c>
    </row>
    <row r="4920" spans="1:22" ht="15.75" thickBot="1" x14ac:dyDescent="0.3">
      <c r="A4920" t="s">
        <v>4593</v>
      </c>
      <c r="B4920" t="s">
        <v>4593</v>
      </c>
      <c r="C4920" s="424" t="str">
        <f t="shared" si="202"/>
        <v>RDL - Rodoviária do Lis, LDA.</v>
      </c>
      <c r="D4920" t="s">
        <v>629</v>
      </c>
      <c r="F4920" s="422" t="s">
        <v>620</v>
      </c>
      <c r="G4920" s="89" t="s">
        <v>5262</v>
      </c>
      <c r="H4920" s="313" t="s">
        <v>733</v>
      </c>
      <c r="I4920" s="311" t="str">
        <f t="shared" si="203"/>
        <v>Pesado de Passageiros M3:  : Gasóleo : E6</v>
      </c>
      <c r="J4920">
        <v>57</v>
      </c>
      <c r="K4920" s="422">
        <v>2023</v>
      </c>
      <c r="L4920" s="427">
        <v>0</v>
      </c>
      <c r="M4920" s="427" t="s">
        <v>630</v>
      </c>
      <c r="N4920" s="434">
        <v>0</v>
      </c>
      <c r="O4920" s="436">
        <f t="shared" si="204"/>
        <v>0</v>
      </c>
      <c r="P4920" s="89" t="s">
        <v>5468</v>
      </c>
      <c r="Q4920" s="422" t="s">
        <v>47</v>
      </c>
      <c r="R4920" s="422" t="s">
        <v>1869</v>
      </c>
      <c r="S4920" s="422" t="s">
        <v>1861</v>
      </c>
      <c r="U4920" s="422" t="s">
        <v>1953</v>
      </c>
      <c r="V4920" s="422" t="s">
        <v>2813</v>
      </c>
    </row>
    <row r="4921" spans="1:22" ht="15.75" thickBot="1" x14ac:dyDescent="0.3">
      <c r="A4921" t="s">
        <v>4593</v>
      </c>
      <c r="B4921" t="s">
        <v>4593</v>
      </c>
      <c r="C4921" s="424" t="str">
        <f t="shared" si="202"/>
        <v>RDL - Rodoviária do Lis, LDA.</v>
      </c>
      <c r="D4921" t="s">
        <v>629</v>
      </c>
      <c r="F4921" s="422" t="s">
        <v>620</v>
      </c>
      <c r="G4921" s="89" t="s">
        <v>2214</v>
      </c>
      <c r="H4921" s="313" t="s">
        <v>733</v>
      </c>
      <c r="I4921" s="311" t="str">
        <f t="shared" si="203"/>
        <v>Pesado de Passageiros M3:  : Gasóleo : E6</v>
      </c>
      <c r="J4921">
        <v>57</v>
      </c>
      <c r="K4921" s="422">
        <v>2023</v>
      </c>
      <c r="L4921" s="427">
        <v>0</v>
      </c>
      <c r="M4921" s="427" t="s">
        <v>630</v>
      </c>
      <c r="N4921" s="434">
        <v>0</v>
      </c>
      <c r="O4921" s="436">
        <f t="shared" si="204"/>
        <v>0</v>
      </c>
      <c r="P4921" s="89" t="s">
        <v>5469</v>
      </c>
      <c r="Q4921" s="422" t="s">
        <v>47</v>
      </c>
      <c r="R4921" s="422" t="s">
        <v>1869</v>
      </c>
      <c r="S4921" s="422" t="s">
        <v>1861</v>
      </c>
      <c r="U4921" s="422" t="s">
        <v>1953</v>
      </c>
      <c r="V4921" s="422" t="s">
        <v>2813</v>
      </c>
    </row>
    <row r="4922" spans="1:22" ht="15.75" thickBot="1" x14ac:dyDescent="0.3">
      <c r="A4922" t="s">
        <v>4593</v>
      </c>
      <c r="B4922" t="s">
        <v>4593</v>
      </c>
      <c r="C4922" s="424" t="str">
        <f t="shared" si="202"/>
        <v>RDL - Rodoviária do Lis, LDA.</v>
      </c>
      <c r="D4922" t="s">
        <v>629</v>
      </c>
      <c r="F4922" s="422" t="s">
        <v>620</v>
      </c>
      <c r="G4922" s="89" t="s">
        <v>2202</v>
      </c>
      <c r="H4922" s="313" t="s">
        <v>733</v>
      </c>
      <c r="I4922" s="311" t="str">
        <f t="shared" si="203"/>
        <v>Pesado de Passageiros M3:  : Gasóleo : E6</v>
      </c>
      <c r="J4922">
        <v>57</v>
      </c>
      <c r="K4922" s="422">
        <v>2023</v>
      </c>
      <c r="L4922" s="427">
        <v>0</v>
      </c>
      <c r="M4922" s="427" t="s">
        <v>630</v>
      </c>
      <c r="N4922" s="434">
        <v>0</v>
      </c>
      <c r="O4922" s="436">
        <f t="shared" si="204"/>
        <v>0</v>
      </c>
      <c r="P4922" s="89" t="s">
        <v>5470</v>
      </c>
      <c r="Q4922" s="422" t="s">
        <v>47</v>
      </c>
      <c r="R4922" s="422" t="s">
        <v>1869</v>
      </c>
      <c r="S4922" s="422" t="s">
        <v>1861</v>
      </c>
      <c r="U4922" s="422" t="s">
        <v>1953</v>
      </c>
      <c r="V4922" s="422" t="s">
        <v>2813</v>
      </c>
    </row>
    <row r="4923" spans="1:22" ht="15.75" thickBot="1" x14ac:dyDescent="0.3">
      <c r="A4923" t="s">
        <v>4593</v>
      </c>
      <c r="B4923" t="s">
        <v>4593</v>
      </c>
      <c r="C4923" s="424" t="str">
        <f t="shared" si="202"/>
        <v>RDL - Rodoviária do Lis, LDA.</v>
      </c>
      <c r="D4923" t="s">
        <v>629</v>
      </c>
      <c r="F4923" s="422" t="s">
        <v>620</v>
      </c>
      <c r="G4923" s="89" t="s">
        <v>2203</v>
      </c>
      <c r="H4923" s="313" t="s">
        <v>733</v>
      </c>
      <c r="I4923" s="311" t="str">
        <f t="shared" si="203"/>
        <v>Pesado de Passageiros M3:  : Gasóleo : E6</v>
      </c>
      <c r="J4923">
        <v>55</v>
      </c>
      <c r="K4923" s="422">
        <v>2023</v>
      </c>
      <c r="L4923" s="427">
        <v>0</v>
      </c>
      <c r="M4923" s="427" t="s">
        <v>630</v>
      </c>
      <c r="N4923" s="434">
        <v>0</v>
      </c>
      <c r="O4923" s="436">
        <f t="shared" si="204"/>
        <v>0</v>
      </c>
      <c r="P4923" s="89" t="s">
        <v>5471</v>
      </c>
      <c r="Q4923" s="422" t="s">
        <v>47</v>
      </c>
      <c r="R4923" s="422" t="s">
        <v>1869</v>
      </c>
      <c r="S4923" s="422" t="s">
        <v>1861</v>
      </c>
      <c r="U4923" s="422" t="s">
        <v>1953</v>
      </c>
      <c r="V4923" s="422" t="s">
        <v>2813</v>
      </c>
    </row>
    <row r="4924" spans="1:22" ht="15.75" thickBot="1" x14ac:dyDescent="0.3">
      <c r="A4924" t="s">
        <v>4593</v>
      </c>
      <c r="B4924" t="s">
        <v>4593</v>
      </c>
      <c r="C4924" s="424" t="str">
        <f t="shared" si="202"/>
        <v>RDL - Rodoviária do Lis, LDA.</v>
      </c>
      <c r="D4924" t="s">
        <v>629</v>
      </c>
      <c r="F4924" s="422" t="s">
        <v>620</v>
      </c>
      <c r="G4924" s="89" t="s">
        <v>2203</v>
      </c>
      <c r="H4924" s="313" t="s">
        <v>733</v>
      </c>
      <c r="I4924" s="311" t="str">
        <f t="shared" si="203"/>
        <v>Pesado de Passageiros M3:  : Gasóleo : E6</v>
      </c>
      <c r="J4924">
        <v>57</v>
      </c>
      <c r="K4924" s="422">
        <v>2023</v>
      </c>
      <c r="L4924" s="427">
        <v>0</v>
      </c>
      <c r="M4924" s="427" t="s">
        <v>630</v>
      </c>
      <c r="N4924" s="434">
        <v>0</v>
      </c>
      <c r="O4924" s="436">
        <f t="shared" si="204"/>
        <v>0</v>
      </c>
      <c r="P4924" s="89" t="s">
        <v>5472</v>
      </c>
      <c r="Q4924" s="422" t="s">
        <v>47</v>
      </c>
      <c r="R4924" s="422" t="s">
        <v>1869</v>
      </c>
      <c r="S4924" s="422" t="s">
        <v>1861</v>
      </c>
      <c r="U4924" s="422" t="s">
        <v>1953</v>
      </c>
      <c r="V4924" s="422" t="s">
        <v>2813</v>
      </c>
    </row>
    <row r="4925" spans="1:22" ht="15.75" thickBot="1" x14ac:dyDescent="0.3">
      <c r="A4925" t="s">
        <v>4593</v>
      </c>
      <c r="B4925" t="s">
        <v>4593</v>
      </c>
      <c r="C4925" s="424" t="str">
        <f t="shared" si="202"/>
        <v>RDL - Rodoviária do Lis, LDA.</v>
      </c>
      <c r="D4925" t="s">
        <v>629</v>
      </c>
      <c r="F4925" s="422" t="s">
        <v>620</v>
      </c>
      <c r="G4925" s="89" t="s">
        <v>2221</v>
      </c>
      <c r="H4925" s="313" t="s">
        <v>733</v>
      </c>
      <c r="I4925" s="311" t="str">
        <f t="shared" si="203"/>
        <v>Pesado de Passageiros M3:  : Gasóleo : E6</v>
      </c>
      <c r="J4925">
        <v>57</v>
      </c>
      <c r="K4925" s="422">
        <v>2023</v>
      </c>
      <c r="L4925" s="427">
        <v>0</v>
      </c>
      <c r="M4925" s="427" t="s">
        <v>630</v>
      </c>
      <c r="N4925" s="434">
        <v>0</v>
      </c>
      <c r="O4925" s="436">
        <f t="shared" si="204"/>
        <v>0</v>
      </c>
      <c r="P4925" s="89" t="s">
        <v>5473</v>
      </c>
      <c r="Q4925" s="422" t="s">
        <v>47</v>
      </c>
      <c r="R4925" s="422" t="s">
        <v>1869</v>
      </c>
      <c r="S4925" s="422" t="s">
        <v>1861</v>
      </c>
      <c r="U4925" s="422" t="s">
        <v>1953</v>
      </c>
      <c r="V4925" s="422" t="s">
        <v>2813</v>
      </c>
    </row>
    <row r="4926" spans="1:22" ht="15.75" thickBot="1" x14ac:dyDescent="0.3">
      <c r="A4926" t="s">
        <v>4593</v>
      </c>
      <c r="B4926" t="s">
        <v>4593</v>
      </c>
      <c r="C4926" s="424" t="str">
        <f t="shared" si="202"/>
        <v>RDL - Rodoviária do Lis, LDA.</v>
      </c>
      <c r="D4926" t="s">
        <v>629</v>
      </c>
      <c r="F4926" s="422" t="s">
        <v>620</v>
      </c>
      <c r="G4926" s="89" t="s">
        <v>2214</v>
      </c>
      <c r="H4926" s="313" t="s">
        <v>733</v>
      </c>
      <c r="I4926" s="311" t="str">
        <f t="shared" si="203"/>
        <v>Pesado de Passageiros M3:  : Gasóleo : E6</v>
      </c>
      <c r="J4926">
        <v>57</v>
      </c>
      <c r="K4926" s="422">
        <v>2023</v>
      </c>
      <c r="L4926" s="427">
        <v>0</v>
      </c>
      <c r="M4926" s="427" t="s">
        <v>630</v>
      </c>
      <c r="N4926" s="434">
        <v>0</v>
      </c>
      <c r="O4926" s="436">
        <f t="shared" si="204"/>
        <v>0</v>
      </c>
      <c r="P4926" s="89" t="s">
        <v>5474</v>
      </c>
      <c r="Q4926" s="422" t="s">
        <v>47</v>
      </c>
      <c r="R4926" s="422" t="s">
        <v>1869</v>
      </c>
      <c r="S4926" s="422" t="s">
        <v>1861</v>
      </c>
      <c r="U4926" s="422" t="s">
        <v>1953</v>
      </c>
      <c r="V4926" s="422" t="s">
        <v>2813</v>
      </c>
    </row>
    <row r="4927" spans="1:22" ht="15.75" thickBot="1" x14ac:dyDescent="0.3">
      <c r="A4927" t="s">
        <v>4593</v>
      </c>
      <c r="B4927" t="s">
        <v>4593</v>
      </c>
      <c r="C4927" s="424" t="str">
        <f t="shared" si="202"/>
        <v>RDL - Rodoviária do Lis, LDA.</v>
      </c>
      <c r="D4927" t="s">
        <v>629</v>
      </c>
      <c r="F4927" s="422" t="s">
        <v>620</v>
      </c>
      <c r="G4927" s="89" t="s">
        <v>2227</v>
      </c>
      <c r="H4927" s="313" t="s">
        <v>733</v>
      </c>
      <c r="I4927" s="311" t="str">
        <f t="shared" si="203"/>
        <v>Pesado de Passageiros M3:  : Gasóleo : E6</v>
      </c>
      <c r="J4927">
        <v>33</v>
      </c>
      <c r="K4927" s="422">
        <v>2023</v>
      </c>
      <c r="L4927" s="427">
        <v>0</v>
      </c>
      <c r="M4927" s="427" t="s">
        <v>630</v>
      </c>
      <c r="N4927" s="434">
        <v>0</v>
      </c>
      <c r="O4927" s="436">
        <f t="shared" si="204"/>
        <v>0</v>
      </c>
      <c r="P4927" s="89" t="s">
        <v>5475</v>
      </c>
      <c r="Q4927" s="422" t="s">
        <v>47</v>
      </c>
      <c r="R4927" s="422" t="s">
        <v>1869</v>
      </c>
      <c r="S4927" s="422" t="s">
        <v>1861</v>
      </c>
      <c r="U4927" s="422" t="s">
        <v>1953</v>
      </c>
      <c r="V4927" s="422" t="s">
        <v>2813</v>
      </c>
    </row>
    <row r="4928" spans="1:22" ht="15.75" thickBot="1" x14ac:dyDescent="0.3">
      <c r="A4928" t="s">
        <v>4593</v>
      </c>
      <c r="B4928" t="s">
        <v>4593</v>
      </c>
      <c r="C4928" s="424" t="str">
        <f t="shared" si="202"/>
        <v>RDL - Rodoviária do Lis, LDA.</v>
      </c>
      <c r="D4928" t="s">
        <v>629</v>
      </c>
      <c r="F4928" s="422" t="s">
        <v>620</v>
      </c>
      <c r="G4928" s="89" t="s">
        <v>2227</v>
      </c>
      <c r="H4928" s="313" t="s">
        <v>733</v>
      </c>
      <c r="I4928" s="311" t="str">
        <f t="shared" si="203"/>
        <v>Pesado de Passageiros M3:  : Gasóleo : E6</v>
      </c>
      <c r="J4928">
        <v>33</v>
      </c>
      <c r="K4928" s="422">
        <v>2023</v>
      </c>
      <c r="L4928" s="427">
        <v>0</v>
      </c>
      <c r="M4928" s="427" t="s">
        <v>630</v>
      </c>
      <c r="N4928" s="434">
        <v>0</v>
      </c>
      <c r="O4928" s="436">
        <f t="shared" si="204"/>
        <v>0</v>
      </c>
      <c r="P4928" s="89" t="s">
        <v>5476</v>
      </c>
      <c r="Q4928" s="422" t="s">
        <v>47</v>
      </c>
      <c r="R4928" s="422" t="s">
        <v>1869</v>
      </c>
      <c r="S4928" s="422" t="s">
        <v>1861</v>
      </c>
      <c r="U4928" s="422" t="s">
        <v>1953</v>
      </c>
      <c r="V4928" s="422" t="s">
        <v>2813</v>
      </c>
    </row>
    <row r="4929" spans="1:22" ht="15.75" thickBot="1" x14ac:dyDescent="0.3">
      <c r="A4929" t="s">
        <v>4593</v>
      </c>
      <c r="B4929" t="s">
        <v>4593</v>
      </c>
      <c r="C4929" s="424" t="str">
        <f t="shared" si="202"/>
        <v>RDL - Rodoviária do Lis, LDA.</v>
      </c>
      <c r="D4929" t="s">
        <v>629</v>
      </c>
      <c r="F4929" s="422" t="s">
        <v>620</v>
      </c>
      <c r="G4929" s="89" t="s">
        <v>2227</v>
      </c>
      <c r="H4929" s="313" t="s">
        <v>733</v>
      </c>
      <c r="I4929" s="311" t="str">
        <f t="shared" si="203"/>
        <v>Pesado de Passageiros M3:  : Gasóleo : E6</v>
      </c>
      <c r="J4929">
        <v>33</v>
      </c>
      <c r="K4929" s="422">
        <v>2023</v>
      </c>
      <c r="L4929" s="427">
        <v>0</v>
      </c>
      <c r="M4929" s="427" t="s">
        <v>630</v>
      </c>
      <c r="N4929" s="434">
        <v>0</v>
      </c>
      <c r="O4929" s="436">
        <f t="shared" si="204"/>
        <v>0</v>
      </c>
      <c r="P4929" s="89" t="s">
        <v>5477</v>
      </c>
      <c r="Q4929" s="422" t="s">
        <v>47</v>
      </c>
      <c r="R4929" s="422" t="s">
        <v>1869</v>
      </c>
      <c r="S4929" s="422" t="s">
        <v>1861</v>
      </c>
      <c r="U4929" s="422" t="s">
        <v>1953</v>
      </c>
      <c r="V4929" s="422" t="s">
        <v>2813</v>
      </c>
    </row>
    <row r="4930" spans="1:22" ht="15.75" thickBot="1" x14ac:dyDescent="0.3">
      <c r="A4930" t="s">
        <v>4593</v>
      </c>
      <c r="B4930" t="s">
        <v>4593</v>
      </c>
      <c r="C4930" s="424" t="str">
        <f t="shared" si="202"/>
        <v>RDL - Rodoviária do Lis, LDA.</v>
      </c>
      <c r="D4930" t="s">
        <v>629</v>
      </c>
      <c r="F4930" s="422" t="s">
        <v>620</v>
      </c>
      <c r="G4930" s="89" t="s">
        <v>2227</v>
      </c>
      <c r="H4930" s="313" t="s">
        <v>733</v>
      </c>
      <c r="I4930" s="311" t="str">
        <f t="shared" si="203"/>
        <v>Pesado de Passageiros M3:  : Gasóleo : E6</v>
      </c>
      <c r="J4930">
        <v>33</v>
      </c>
      <c r="K4930" s="422">
        <v>2023</v>
      </c>
      <c r="L4930" s="427">
        <v>0</v>
      </c>
      <c r="M4930" s="427" t="s">
        <v>630</v>
      </c>
      <c r="N4930" s="434">
        <v>0</v>
      </c>
      <c r="O4930" s="436">
        <f t="shared" si="204"/>
        <v>0</v>
      </c>
      <c r="P4930" s="89" t="s">
        <v>5478</v>
      </c>
      <c r="Q4930" s="422" t="s">
        <v>47</v>
      </c>
      <c r="R4930" s="422" t="s">
        <v>1869</v>
      </c>
      <c r="S4930" s="422" t="s">
        <v>1861</v>
      </c>
      <c r="U4930" s="422" t="s">
        <v>1953</v>
      </c>
      <c r="V4930" s="422" t="s">
        <v>2813</v>
      </c>
    </row>
    <row r="4931" spans="1:22" ht="15.75" thickBot="1" x14ac:dyDescent="0.3">
      <c r="A4931" t="s">
        <v>4592</v>
      </c>
      <c r="B4931" t="s">
        <v>4592</v>
      </c>
      <c r="C4931" s="424" t="str">
        <f t="shared" si="202"/>
        <v>RDO - Rodoviária do Oeste, LDA.</v>
      </c>
      <c r="D4931" t="s">
        <v>629</v>
      </c>
      <c r="F4931" s="422" t="s">
        <v>620</v>
      </c>
      <c r="G4931" s="89" t="s">
        <v>2224</v>
      </c>
      <c r="H4931" s="313" t="s">
        <v>732</v>
      </c>
      <c r="I4931" s="311" t="str">
        <f t="shared" si="203"/>
        <v>Pesado de Passageiros M3:  : Gasóleo : E3</v>
      </c>
      <c r="J4931">
        <v>59</v>
      </c>
      <c r="K4931" s="422">
        <v>2023</v>
      </c>
      <c r="L4931" s="427">
        <v>6678.18</v>
      </c>
      <c r="M4931" s="427" t="s">
        <v>630</v>
      </c>
      <c r="N4931" s="434">
        <v>11967</v>
      </c>
      <c r="O4931" s="436">
        <f t="shared" si="204"/>
        <v>706053</v>
      </c>
      <c r="P4931" s="89" t="s">
        <v>5479</v>
      </c>
      <c r="Q4931" s="422" t="s">
        <v>47</v>
      </c>
      <c r="R4931" s="422" t="s">
        <v>1869</v>
      </c>
      <c r="S4931" s="422" t="s">
        <v>1861</v>
      </c>
      <c r="U4931" s="422" t="s">
        <v>1953</v>
      </c>
      <c r="V4931" s="422" t="s">
        <v>2813</v>
      </c>
    </row>
    <row r="4932" spans="1:22" ht="15.75" thickBot="1" x14ac:dyDescent="0.3">
      <c r="A4932" t="s">
        <v>4592</v>
      </c>
      <c r="B4932" t="s">
        <v>4592</v>
      </c>
      <c r="C4932" s="424" t="str">
        <f t="shared" si="202"/>
        <v>RDO - Rodoviária do Oeste, LDA.</v>
      </c>
      <c r="D4932" t="s">
        <v>629</v>
      </c>
      <c r="F4932" s="422" t="s">
        <v>620</v>
      </c>
      <c r="G4932" s="89" t="s">
        <v>2222</v>
      </c>
      <c r="H4932" s="313" t="s">
        <v>732</v>
      </c>
      <c r="I4932" s="311" t="str">
        <f t="shared" si="203"/>
        <v>Pesado de Passageiros M3:  : Gasóleo : E3</v>
      </c>
      <c r="J4932">
        <v>53</v>
      </c>
      <c r="K4932" s="422">
        <v>2023</v>
      </c>
      <c r="L4932" s="427">
        <v>19463.8</v>
      </c>
      <c r="M4932" s="427" t="s">
        <v>630</v>
      </c>
      <c r="N4932" s="434">
        <v>28834</v>
      </c>
      <c r="O4932" s="436">
        <f t="shared" si="204"/>
        <v>1528202</v>
      </c>
      <c r="P4932" s="89" t="s">
        <v>5480</v>
      </c>
      <c r="Q4932" s="422" t="s">
        <v>47</v>
      </c>
      <c r="R4932" s="422" t="s">
        <v>1869</v>
      </c>
      <c r="S4932" s="422" t="s">
        <v>1861</v>
      </c>
      <c r="U4932" s="422" t="s">
        <v>1953</v>
      </c>
      <c r="V4932" s="422" t="s">
        <v>2813</v>
      </c>
    </row>
    <row r="4933" spans="1:22" ht="15.75" thickBot="1" x14ac:dyDescent="0.3">
      <c r="A4933" t="s">
        <v>4592</v>
      </c>
      <c r="B4933" t="s">
        <v>4592</v>
      </c>
      <c r="C4933" s="424" t="str">
        <f t="shared" si="202"/>
        <v>RDO - Rodoviária do Oeste, LDA.</v>
      </c>
      <c r="D4933" t="s">
        <v>629</v>
      </c>
      <c r="F4933" s="422" t="s">
        <v>620</v>
      </c>
      <c r="G4933" s="89" t="s">
        <v>2222</v>
      </c>
      <c r="H4933" s="313" t="s">
        <v>732</v>
      </c>
      <c r="I4933" s="311" t="str">
        <f t="shared" si="203"/>
        <v>Pesado de Passageiros M3:  : Gasóleo : E3</v>
      </c>
      <c r="J4933">
        <v>53</v>
      </c>
      <c r="K4933" s="422">
        <v>2023</v>
      </c>
      <c r="L4933" s="427">
        <v>21521.05</v>
      </c>
      <c r="M4933" s="427" t="s">
        <v>630</v>
      </c>
      <c r="N4933" s="434">
        <v>36576</v>
      </c>
      <c r="O4933" s="436">
        <f t="shared" si="204"/>
        <v>1938528</v>
      </c>
      <c r="P4933" s="89" t="s">
        <v>5481</v>
      </c>
      <c r="Q4933" s="422" t="s">
        <v>47</v>
      </c>
      <c r="R4933" s="422" t="s">
        <v>1869</v>
      </c>
      <c r="S4933" s="422" t="s">
        <v>1861</v>
      </c>
      <c r="U4933" s="422" t="s">
        <v>1953</v>
      </c>
      <c r="V4933" s="422" t="s">
        <v>2813</v>
      </c>
    </row>
    <row r="4934" spans="1:22" ht="15.75" thickBot="1" x14ac:dyDescent="0.3">
      <c r="A4934" t="s">
        <v>4592</v>
      </c>
      <c r="B4934" t="s">
        <v>4592</v>
      </c>
      <c r="C4934" s="424" t="str">
        <f t="shared" si="202"/>
        <v>RDO - Rodoviária do Oeste, LDA.</v>
      </c>
      <c r="D4934" t="s">
        <v>629</v>
      </c>
      <c r="F4934" s="422" t="s">
        <v>620</v>
      </c>
      <c r="G4934" s="89" t="s">
        <v>2222</v>
      </c>
      <c r="H4934" s="313" t="s">
        <v>732</v>
      </c>
      <c r="I4934" s="311" t="str">
        <f t="shared" si="203"/>
        <v>Pesado de Passageiros M3:  : Gasóleo : E3</v>
      </c>
      <c r="J4934">
        <v>53</v>
      </c>
      <c r="K4934" s="422">
        <v>2023</v>
      </c>
      <c r="L4934" s="427">
        <v>17215.79</v>
      </c>
      <c r="M4934" s="427" t="s">
        <v>630</v>
      </c>
      <c r="N4934" s="434">
        <v>26964</v>
      </c>
      <c r="O4934" s="436">
        <f t="shared" si="204"/>
        <v>1429092</v>
      </c>
      <c r="P4934" s="89" t="s">
        <v>5482</v>
      </c>
      <c r="Q4934" s="422" t="s">
        <v>47</v>
      </c>
      <c r="R4934" s="422" t="s">
        <v>1869</v>
      </c>
      <c r="S4934" s="422" t="s">
        <v>1861</v>
      </c>
      <c r="U4934" s="422" t="s">
        <v>1953</v>
      </c>
      <c r="V4934" s="422" t="s">
        <v>2813</v>
      </c>
    </row>
    <row r="4935" spans="1:22" ht="15.75" thickBot="1" x14ac:dyDescent="0.3">
      <c r="A4935" t="s">
        <v>4592</v>
      </c>
      <c r="B4935" t="s">
        <v>4592</v>
      </c>
      <c r="C4935" s="424" t="str">
        <f t="shared" si="202"/>
        <v>RDO - Rodoviária do Oeste, LDA.</v>
      </c>
      <c r="D4935" t="s">
        <v>629</v>
      </c>
      <c r="F4935" s="422" t="s">
        <v>620</v>
      </c>
      <c r="G4935" s="89" t="s">
        <v>2222</v>
      </c>
      <c r="H4935" s="313" t="s">
        <v>732</v>
      </c>
      <c r="I4935" s="311" t="str">
        <f t="shared" si="203"/>
        <v>Pesado de Passageiros M3:  : Gasóleo : E3</v>
      </c>
      <c r="J4935">
        <v>53</v>
      </c>
      <c r="K4935" s="422">
        <v>2023</v>
      </c>
      <c r="L4935" s="427">
        <v>14975.720000000001</v>
      </c>
      <c r="M4935" s="427" t="s">
        <v>630</v>
      </c>
      <c r="N4935" s="434">
        <v>23009</v>
      </c>
      <c r="O4935" s="436">
        <f t="shared" si="204"/>
        <v>1219477</v>
      </c>
      <c r="P4935" s="89" t="s">
        <v>5483</v>
      </c>
      <c r="Q4935" s="422" t="s">
        <v>47</v>
      </c>
      <c r="R4935" s="422" t="s">
        <v>1869</v>
      </c>
      <c r="S4935" s="422" t="s">
        <v>1861</v>
      </c>
      <c r="U4935" s="422" t="s">
        <v>1953</v>
      </c>
      <c r="V4935" s="422" t="s">
        <v>2813</v>
      </c>
    </row>
    <row r="4936" spans="1:22" ht="15.75" thickBot="1" x14ac:dyDescent="0.3">
      <c r="A4936" t="s">
        <v>4592</v>
      </c>
      <c r="B4936" t="s">
        <v>4592</v>
      </c>
      <c r="C4936" s="424" t="str">
        <f t="shared" si="202"/>
        <v>RDO - Rodoviária do Oeste, LDA.</v>
      </c>
      <c r="D4936" t="s">
        <v>629</v>
      </c>
      <c r="F4936" s="422" t="s">
        <v>620</v>
      </c>
      <c r="G4936" s="89" t="s">
        <v>2220</v>
      </c>
      <c r="H4936" s="313" t="s">
        <v>732</v>
      </c>
      <c r="I4936" s="311" t="str">
        <f t="shared" si="203"/>
        <v>Pesado de Passageiros M3:  : Gasóleo : E3</v>
      </c>
      <c r="J4936">
        <v>53</v>
      </c>
      <c r="K4936" s="422">
        <v>2023</v>
      </c>
      <c r="L4936" s="427">
        <v>31886.57</v>
      </c>
      <c r="M4936" s="427" t="s">
        <v>630</v>
      </c>
      <c r="N4936" s="434">
        <v>53196</v>
      </c>
      <c r="O4936" s="436">
        <f t="shared" si="204"/>
        <v>2819388</v>
      </c>
      <c r="P4936" s="89" t="s">
        <v>5484</v>
      </c>
      <c r="Q4936" s="422" t="s">
        <v>47</v>
      </c>
      <c r="R4936" s="422" t="s">
        <v>1869</v>
      </c>
      <c r="S4936" s="422" t="s">
        <v>1861</v>
      </c>
      <c r="U4936" s="422" t="s">
        <v>1953</v>
      </c>
      <c r="V4936" s="422" t="s">
        <v>2813</v>
      </c>
    </row>
    <row r="4937" spans="1:22" ht="15.75" thickBot="1" x14ac:dyDescent="0.3">
      <c r="A4937" t="s">
        <v>4592</v>
      </c>
      <c r="B4937" t="s">
        <v>4592</v>
      </c>
      <c r="C4937" s="424" t="str">
        <f t="shared" si="202"/>
        <v>RDO - Rodoviária do Oeste, LDA.</v>
      </c>
      <c r="D4937" t="s">
        <v>629</v>
      </c>
      <c r="F4937" s="422" t="s">
        <v>620</v>
      </c>
      <c r="G4937" s="89" t="s">
        <v>2204</v>
      </c>
      <c r="H4937" s="313" t="s">
        <v>731</v>
      </c>
      <c r="I4937" s="311" t="str">
        <f t="shared" si="203"/>
        <v>Pesado de Passageiros M3:  : Gasóleo : E4</v>
      </c>
      <c r="J4937">
        <v>53</v>
      </c>
      <c r="K4937" s="422">
        <v>2023</v>
      </c>
      <c r="L4937" s="427">
        <v>18670.36</v>
      </c>
      <c r="M4937" s="427" t="s">
        <v>630</v>
      </c>
      <c r="N4937" s="434">
        <v>36045</v>
      </c>
      <c r="O4937" s="436">
        <f t="shared" si="204"/>
        <v>1910385</v>
      </c>
      <c r="P4937" s="89" t="s">
        <v>2632</v>
      </c>
      <c r="Q4937" s="422" t="s">
        <v>47</v>
      </c>
      <c r="R4937" s="422" t="s">
        <v>1869</v>
      </c>
      <c r="S4937" s="422" t="s">
        <v>1861</v>
      </c>
      <c r="U4937" s="422" t="s">
        <v>1953</v>
      </c>
      <c r="V4937" s="422" t="s">
        <v>2813</v>
      </c>
    </row>
    <row r="4938" spans="1:22" ht="15.75" thickBot="1" x14ac:dyDescent="0.3">
      <c r="A4938" t="s">
        <v>4592</v>
      </c>
      <c r="B4938" t="s">
        <v>4592</v>
      </c>
      <c r="C4938" s="424" t="str">
        <f t="shared" si="202"/>
        <v>RDO - Rodoviária do Oeste, LDA.</v>
      </c>
      <c r="D4938" t="s">
        <v>629</v>
      </c>
      <c r="F4938" s="422" t="s">
        <v>620</v>
      </c>
      <c r="G4938" s="89" t="s">
        <v>2204</v>
      </c>
      <c r="H4938" s="313" t="s">
        <v>731</v>
      </c>
      <c r="I4938" s="311" t="str">
        <f t="shared" si="203"/>
        <v>Pesado de Passageiros M3:  : Gasóleo : E4</v>
      </c>
      <c r="J4938">
        <v>53</v>
      </c>
      <c r="K4938" s="422">
        <v>2023</v>
      </c>
      <c r="L4938" s="427">
        <v>28950.940000000002</v>
      </c>
      <c r="M4938" s="427" t="s">
        <v>630</v>
      </c>
      <c r="N4938" s="434">
        <v>38756</v>
      </c>
      <c r="O4938" s="436">
        <f t="shared" si="204"/>
        <v>2054068</v>
      </c>
      <c r="P4938" s="89" t="s">
        <v>5485</v>
      </c>
      <c r="Q4938" s="422" t="s">
        <v>47</v>
      </c>
      <c r="R4938" s="422" t="s">
        <v>1869</v>
      </c>
      <c r="S4938" s="422" t="s">
        <v>1861</v>
      </c>
      <c r="U4938" s="422" t="s">
        <v>1953</v>
      </c>
      <c r="V4938" s="422" t="s">
        <v>2813</v>
      </c>
    </row>
    <row r="4939" spans="1:22" ht="15.75" thickBot="1" x14ac:dyDescent="0.3">
      <c r="A4939" t="s">
        <v>4592</v>
      </c>
      <c r="B4939" t="s">
        <v>4592</v>
      </c>
      <c r="C4939" s="424" t="str">
        <f t="shared" si="202"/>
        <v>RDO - Rodoviária do Oeste, LDA.</v>
      </c>
      <c r="D4939" t="s">
        <v>629</v>
      </c>
      <c r="F4939" s="422" t="s">
        <v>620</v>
      </c>
      <c r="G4939" s="89" t="s">
        <v>2205</v>
      </c>
      <c r="H4939" s="313" t="s">
        <v>731</v>
      </c>
      <c r="I4939" s="311" t="str">
        <f t="shared" si="203"/>
        <v>Pesado de Passageiros M3:  : Gasóleo : E4</v>
      </c>
      <c r="J4939">
        <v>59</v>
      </c>
      <c r="K4939" s="422">
        <v>2023</v>
      </c>
      <c r="L4939" s="427">
        <v>47206.33</v>
      </c>
      <c r="M4939" s="427" t="s">
        <v>630</v>
      </c>
      <c r="N4939" s="434">
        <v>79757</v>
      </c>
      <c r="O4939" s="436">
        <f t="shared" si="204"/>
        <v>4705663</v>
      </c>
      <c r="P4939" s="89" t="s">
        <v>5486</v>
      </c>
      <c r="Q4939" s="422" t="s">
        <v>47</v>
      </c>
      <c r="R4939" s="422" t="s">
        <v>1869</v>
      </c>
      <c r="S4939" s="422" t="s">
        <v>1861</v>
      </c>
      <c r="U4939" s="422" t="s">
        <v>1953</v>
      </c>
      <c r="V4939" s="422" t="s">
        <v>2813</v>
      </c>
    </row>
    <row r="4940" spans="1:22" ht="15.75" thickBot="1" x14ac:dyDescent="0.3">
      <c r="A4940" t="s">
        <v>4592</v>
      </c>
      <c r="B4940" t="s">
        <v>4592</v>
      </c>
      <c r="C4940" s="424" t="str">
        <f t="shared" si="202"/>
        <v>RDO - Rodoviária do Oeste, LDA.</v>
      </c>
      <c r="D4940" t="s">
        <v>629</v>
      </c>
      <c r="F4940" s="422" t="s">
        <v>620</v>
      </c>
      <c r="G4940" s="89" t="s">
        <v>2212</v>
      </c>
      <c r="H4940" s="313" t="s">
        <v>734</v>
      </c>
      <c r="I4940" s="311" t="str">
        <f t="shared" si="203"/>
        <v>Pesado de Passageiros M3:  : Gasóleo : E5</v>
      </c>
      <c r="J4940">
        <v>69</v>
      </c>
      <c r="K4940" s="422">
        <v>2023</v>
      </c>
      <c r="L4940" s="427">
        <v>37866.699999999997</v>
      </c>
      <c r="M4940" s="427" t="s">
        <v>630</v>
      </c>
      <c r="N4940" s="434">
        <v>65203</v>
      </c>
      <c r="O4940" s="436">
        <f t="shared" si="204"/>
        <v>4499007</v>
      </c>
      <c r="P4940" s="89" t="s">
        <v>5487</v>
      </c>
      <c r="Q4940" s="422" t="s">
        <v>47</v>
      </c>
      <c r="R4940" s="422" t="s">
        <v>1869</v>
      </c>
      <c r="S4940" s="422" t="s">
        <v>1861</v>
      </c>
      <c r="U4940" s="422" t="s">
        <v>1953</v>
      </c>
      <c r="V4940" s="422" t="s">
        <v>2813</v>
      </c>
    </row>
    <row r="4941" spans="1:22" ht="15.75" thickBot="1" x14ac:dyDescent="0.3">
      <c r="A4941" t="s">
        <v>4592</v>
      </c>
      <c r="B4941" t="s">
        <v>4592</v>
      </c>
      <c r="C4941" s="424" t="str">
        <f t="shared" si="202"/>
        <v>RDO - Rodoviária do Oeste, LDA.</v>
      </c>
      <c r="D4941" t="s">
        <v>629</v>
      </c>
      <c r="F4941" s="422" t="s">
        <v>620</v>
      </c>
      <c r="G4941" s="89" t="s">
        <v>2212</v>
      </c>
      <c r="H4941" s="313" t="s">
        <v>734</v>
      </c>
      <c r="I4941" s="311" t="str">
        <f t="shared" si="203"/>
        <v>Pesado de Passageiros M3:  : Gasóleo : E5</v>
      </c>
      <c r="J4941">
        <v>69</v>
      </c>
      <c r="K4941" s="422">
        <v>2023</v>
      </c>
      <c r="L4941" s="427">
        <v>32146.18</v>
      </c>
      <c r="M4941" s="427" t="s">
        <v>630</v>
      </c>
      <c r="N4941" s="434">
        <v>54492</v>
      </c>
      <c r="O4941" s="436">
        <f t="shared" si="204"/>
        <v>3759948</v>
      </c>
      <c r="P4941" s="89" t="s">
        <v>5488</v>
      </c>
      <c r="Q4941" s="422" t="s">
        <v>47</v>
      </c>
      <c r="R4941" s="422" t="s">
        <v>1869</v>
      </c>
      <c r="S4941" s="422" t="s">
        <v>1861</v>
      </c>
      <c r="U4941" s="422" t="s">
        <v>1953</v>
      </c>
      <c r="V4941" s="422" t="s">
        <v>2813</v>
      </c>
    </row>
    <row r="4942" spans="1:22" ht="15.75" thickBot="1" x14ac:dyDescent="0.3">
      <c r="A4942" t="s">
        <v>4592</v>
      </c>
      <c r="B4942" t="s">
        <v>4592</v>
      </c>
      <c r="C4942" s="424" t="str">
        <f t="shared" si="202"/>
        <v>RDO - Rodoviária do Oeste, LDA.</v>
      </c>
      <c r="D4942" t="s">
        <v>629</v>
      </c>
      <c r="F4942" s="422" t="s">
        <v>620</v>
      </c>
      <c r="G4942" s="89" t="s">
        <v>2223</v>
      </c>
      <c r="H4942" s="313" t="s">
        <v>734</v>
      </c>
      <c r="I4942" s="311" t="str">
        <f t="shared" si="203"/>
        <v>Pesado de Passageiros M3:  : Gasóleo : E5</v>
      </c>
      <c r="J4942">
        <v>79</v>
      </c>
      <c r="K4942" s="422">
        <v>2023</v>
      </c>
      <c r="L4942" s="427">
        <v>28963</v>
      </c>
      <c r="M4942" s="427" t="s">
        <v>630</v>
      </c>
      <c r="N4942" s="434">
        <v>59180</v>
      </c>
      <c r="O4942" s="436">
        <f t="shared" si="204"/>
        <v>4675220</v>
      </c>
      <c r="P4942" s="89" t="s">
        <v>5489</v>
      </c>
      <c r="Q4942" s="422" t="s">
        <v>47</v>
      </c>
      <c r="R4942" s="422" t="s">
        <v>1869</v>
      </c>
      <c r="S4942" s="422" t="s">
        <v>1861</v>
      </c>
      <c r="U4942" s="422" t="s">
        <v>1953</v>
      </c>
      <c r="V4942" s="422" t="s">
        <v>2813</v>
      </c>
    </row>
    <row r="4943" spans="1:22" ht="15.75" thickBot="1" x14ac:dyDescent="0.3">
      <c r="A4943" t="s">
        <v>4592</v>
      </c>
      <c r="B4943" t="s">
        <v>4592</v>
      </c>
      <c r="C4943" s="424" t="str">
        <f t="shared" si="202"/>
        <v>RDO - Rodoviária do Oeste, LDA.</v>
      </c>
      <c r="D4943" t="s">
        <v>629</v>
      </c>
      <c r="F4943" s="422" t="s">
        <v>620</v>
      </c>
      <c r="G4943" s="89" t="s">
        <v>2223</v>
      </c>
      <c r="H4943" s="313" t="s">
        <v>734</v>
      </c>
      <c r="I4943" s="311" t="str">
        <f t="shared" si="203"/>
        <v>Pesado de Passageiros M3:  : Gasóleo : E5</v>
      </c>
      <c r="J4943">
        <v>60</v>
      </c>
      <c r="K4943" s="422">
        <v>2023</v>
      </c>
      <c r="L4943" s="427">
        <v>26841.85</v>
      </c>
      <c r="M4943" s="427" t="s">
        <v>630</v>
      </c>
      <c r="N4943" s="434">
        <v>53234</v>
      </c>
      <c r="O4943" s="436">
        <f t="shared" si="204"/>
        <v>3194040</v>
      </c>
      <c r="P4943" s="89" t="s">
        <v>5490</v>
      </c>
      <c r="Q4943" s="422" t="s">
        <v>47</v>
      </c>
      <c r="R4943" s="422" t="s">
        <v>1869</v>
      </c>
      <c r="S4943" s="422" t="s">
        <v>1861</v>
      </c>
      <c r="U4943" s="422" t="s">
        <v>1953</v>
      </c>
      <c r="V4943" s="422" t="s">
        <v>2813</v>
      </c>
    </row>
    <row r="4944" spans="1:22" ht="15.75" thickBot="1" x14ac:dyDescent="0.3">
      <c r="A4944" t="s">
        <v>4592</v>
      </c>
      <c r="B4944" t="s">
        <v>4592</v>
      </c>
      <c r="C4944" s="424" t="str">
        <f t="shared" si="202"/>
        <v>RDO - Rodoviária do Oeste, LDA.</v>
      </c>
      <c r="D4944" t="s">
        <v>629</v>
      </c>
      <c r="F4944" s="422" t="s">
        <v>620</v>
      </c>
      <c r="G4944" s="89" t="s">
        <v>2212</v>
      </c>
      <c r="H4944" s="313" t="s">
        <v>734</v>
      </c>
      <c r="I4944" s="311" t="str">
        <f t="shared" si="203"/>
        <v>Pesado de Passageiros M3:  : Gasóleo : E5</v>
      </c>
      <c r="J4944">
        <v>59</v>
      </c>
      <c r="K4944" s="422">
        <v>2023</v>
      </c>
      <c r="L4944" s="427">
        <v>39611.68</v>
      </c>
      <c r="M4944" s="427" t="s">
        <v>630</v>
      </c>
      <c r="N4944" s="434">
        <v>75328</v>
      </c>
      <c r="O4944" s="436">
        <f t="shared" si="204"/>
        <v>4444352</v>
      </c>
      <c r="P4944" s="89" t="s">
        <v>5491</v>
      </c>
      <c r="Q4944" s="422" t="s">
        <v>47</v>
      </c>
      <c r="R4944" s="422" t="s">
        <v>1869</v>
      </c>
      <c r="S4944" s="422" t="s">
        <v>1861</v>
      </c>
      <c r="U4944" s="422" t="s">
        <v>1953</v>
      </c>
      <c r="V4944" s="422" t="s">
        <v>2813</v>
      </c>
    </row>
    <row r="4945" spans="1:22" ht="15.75" thickBot="1" x14ac:dyDescent="0.3">
      <c r="A4945" t="s">
        <v>4592</v>
      </c>
      <c r="B4945" t="s">
        <v>4592</v>
      </c>
      <c r="C4945" s="424" t="str">
        <f t="shared" si="202"/>
        <v>RDO - Rodoviária do Oeste, LDA.</v>
      </c>
      <c r="D4945" t="s">
        <v>629</v>
      </c>
      <c r="F4945" s="422" t="s">
        <v>620</v>
      </c>
      <c r="G4945" s="89" t="s">
        <v>2206</v>
      </c>
      <c r="H4945" s="313" t="s">
        <v>735</v>
      </c>
      <c r="I4945" s="311" t="str">
        <f t="shared" si="203"/>
        <v>Pesado de Passageiros M3:  : Gasóleo : E2</v>
      </c>
      <c r="J4945">
        <v>55</v>
      </c>
      <c r="K4945" s="422">
        <v>2023</v>
      </c>
      <c r="L4945" s="427">
        <v>18736.59</v>
      </c>
      <c r="M4945" s="427" t="s">
        <v>630</v>
      </c>
      <c r="N4945" s="434">
        <v>33612</v>
      </c>
      <c r="O4945" s="436">
        <f t="shared" si="204"/>
        <v>1848660</v>
      </c>
      <c r="P4945" s="89" t="s">
        <v>5492</v>
      </c>
      <c r="Q4945" s="422" t="s">
        <v>47</v>
      </c>
      <c r="R4945" s="422" t="s">
        <v>1869</v>
      </c>
      <c r="S4945" s="422" t="s">
        <v>1861</v>
      </c>
      <c r="U4945" s="422" t="s">
        <v>1953</v>
      </c>
      <c r="V4945" s="422" t="s">
        <v>2813</v>
      </c>
    </row>
    <row r="4946" spans="1:22" ht="15.75" thickBot="1" x14ac:dyDescent="0.3">
      <c r="A4946" t="s">
        <v>4592</v>
      </c>
      <c r="B4946" t="s">
        <v>4592</v>
      </c>
      <c r="C4946" s="424" t="str">
        <f t="shared" si="202"/>
        <v>RDO - Rodoviária do Oeste, LDA.</v>
      </c>
      <c r="D4946" t="s">
        <v>629</v>
      </c>
      <c r="F4946" s="422" t="s">
        <v>620</v>
      </c>
      <c r="G4946" s="89" t="s">
        <v>1954</v>
      </c>
      <c r="H4946" s="313" t="s">
        <v>735</v>
      </c>
      <c r="I4946" s="311" t="str">
        <f t="shared" si="203"/>
        <v>Pesado de Passageiros M3:  : Gasóleo : E2</v>
      </c>
      <c r="J4946">
        <v>51</v>
      </c>
      <c r="K4946" s="422">
        <v>2023</v>
      </c>
      <c r="L4946" s="427">
        <v>20034.330000000002</v>
      </c>
      <c r="M4946" s="427" t="s">
        <v>630</v>
      </c>
      <c r="N4946" s="434">
        <v>37558</v>
      </c>
      <c r="O4946" s="436">
        <f t="shared" si="204"/>
        <v>1915458</v>
      </c>
      <c r="P4946" s="89" t="s">
        <v>5493</v>
      </c>
      <c r="Q4946" s="422" t="s">
        <v>47</v>
      </c>
      <c r="R4946" s="422" t="s">
        <v>1869</v>
      </c>
      <c r="S4946" s="422" t="s">
        <v>1861</v>
      </c>
      <c r="U4946" s="422" t="s">
        <v>1953</v>
      </c>
      <c r="V4946" s="422" t="s">
        <v>2813</v>
      </c>
    </row>
    <row r="4947" spans="1:22" ht="15.75" thickBot="1" x14ac:dyDescent="0.3">
      <c r="A4947" t="s">
        <v>4592</v>
      </c>
      <c r="B4947" t="s">
        <v>4592</v>
      </c>
      <c r="C4947" s="424" t="str">
        <f t="shared" si="202"/>
        <v>RDO - Rodoviária do Oeste, LDA.</v>
      </c>
      <c r="D4947" t="s">
        <v>629</v>
      </c>
      <c r="F4947" s="422" t="s">
        <v>620</v>
      </c>
      <c r="G4947" s="89" t="s">
        <v>1954</v>
      </c>
      <c r="H4947" s="313" t="s">
        <v>735</v>
      </c>
      <c r="I4947" s="311" t="str">
        <f t="shared" si="203"/>
        <v>Pesado de Passageiros M3:  : Gasóleo : E2</v>
      </c>
      <c r="J4947">
        <v>81</v>
      </c>
      <c r="K4947" s="422">
        <v>2023</v>
      </c>
      <c r="L4947" s="427">
        <v>13464.8</v>
      </c>
      <c r="M4947" s="427" t="s">
        <v>630</v>
      </c>
      <c r="N4947" s="434">
        <v>20982</v>
      </c>
      <c r="O4947" s="436">
        <f t="shared" si="204"/>
        <v>1699542</v>
      </c>
      <c r="P4947" s="89" t="s">
        <v>5494</v>
      </c>
      <c r="Q4947" s="422" t="s">
        <v>47</v>
      </c>
      <c r="R4947" s="422" t="s">
        <v>1869</v>
      </c>
      <c r="S4947" s="422" t="s">
        <v>1861</v>
      </c>
      <c r="U4947" s="422" t="s">
        <v>1953</v>
      </c>
      <c r="V4947" s="422" t="s">
        <v>2813</v>
      </c>
    </row>
    <row r="4948" spans="1:22" ht="15.75" thickBot="1" x14ac:dyDescent="0.3">
      <c r="A4948" t="s">
        <v>4592</v>
      </c>
      <c r="B4948" t="s">
        <v>4592</v>
      </c>
      <c r="C4948" s="424" t="str">
        <f t="shared" si="202"/>
        <v>RDO - Rodoviária do Oeste, LDA.</v>
      </c>
      <c r="D4948" t="s">
        <v>629</v>
      </c>
      <c r="F4948" s="422" t="s">
        <v>620</v>
      </c>
      <c r="G4948" s="89" t="s">
        <v>2207</v>
      </c>
      <c r="H4948" s="313" t="s">
        <v>735</v>
      </c>
      <c r="I4948" s="311" t="str">
        <f t="shared" si="203"/>
        <v>Pesado de Passageiros M3:  : Gasóleo : E2</v>
      </c>
      <c r="J4948">
        <v>81</v>
      </c>
      <c r="K4948" s="422">
        <v>2023</v>
      </c>
      <c r="L4948" s="427">
        <v>9578.92</v>
      </c>
      <c r="M4948" s="427" t="s">
        <v>630</v>
      </c>
      <c r="N4948" s="434">
        <v>15020</v>
      </c>
      <c r="O4948" s="436">
        <f t="shared" si="204"/>
        <v>1216620</v>
      </c>
      <c r="P4948" s="89" t="s">
        <v>5495</v>
      </c>
      <c r="Q4948" s="422" t="s">
        <v>47</v>
      </c>
      <c r="R4948" s="422" t="s">
        <v>1869</v>
      </c>
      <c r="S4948" s="422" t="s">
        <v>1861</v>
      </c>
      <c r="U4948" s="422" t="s">
        <v>1953</v>
      </c>
      <c r="V4948" s="422" t="s">
        <v>2813</v>
      </c>
    </row>
    <row r="4949" spans="1:22" ht="15.75" thickBot="1" x14ac:dyDescent="0.3">
      <c r="A4949" t="s">
        <v>4592</v>
      </c>
      <c r="B4949" t="s">
        <v>4592</v>
      </c>
      <c r="C4949" s="424" t="str">
        <f t="shared" si="202"/>
        <v>RDO - Rodoviária do Oeste, LDA.</v>
      </c>
      <c r="D4949" t="s">
        <v>629</v>
      </c>
      <c r="F4949" s="422" t="s">
        <v>620</v>
      </c>
      <c r="G4949" s="89" t="s">
        <v>2220</v>
      </c>
      <c r="H4949" s="313" t="s">
        <v>732</v>
      </c>
      <c r="I4949" s="311" t="str">
        <f t="shared" si="203"/>
        <v>Pesado de Passageiros M3:  : Gasóleo : E3</v>
      </c>
      <c r="J4949">
        <v>53</v>
      </c>
      <c r="K4949" s="422">
        <v>2023</v>
      </c>
      <c r="L4949" s="427">
        <v>31391.8</v>
      </c>
      <c r="M4949" s="427" t="s">
        <v>630</v>
      </c>
      <c r="N4949" s="434">
        <v>54072</v>
      </c>
      <c r="O4949" s="436">
        <f t="shared" si="204"/>
        <v>2865816</v>
      </c>
      <c r="P4949" s="89" t="s">
        <v>5496</v>
      </c>
      <c r="Q4949" s="422" t="s">
        <v>47</v>
      </c>
      <c r="R4949" s="422" t="s">
        <v>1869</v>
      </c>
      <c r="S4949" s="422" t="s">
        <v>1861</v>
      </c>
      <c r="U4949" s="422" t="s">
        <v>1953</v>
      </c>
      <c r="V4949" s="422" t="s">
        <v>2813</v>
      </c>
    </row>
    <row r="4950" spans="1:22" ht="15.75" thickBot="1" x14ac:dyDescent="0.3">
      <c r="A4950" t="s">
        <v>4592</v>
      </c>
      <c r="B4950" t="s">
        <v>4592</v>
      </c>
      <c r="C4950" s="424" t="str">
        <f t="shared" si="202"/>
        <v>RDO - Rodoviária do Oeste, LDA.</v>
      </c>
      <c r="D4950" t="s">
        <v>629</v>
      </c>
      <c r="F4950" s="422" t="s">
        <v>620</v>
      </c>
      <c r="G4950" s="89" t="s">
        <v>2220</v>
      </c>
      <c r="H4950" s="313" t="s">
        <v>732</v>
      </c>
      <c r="I4950" s="311" t="str">
        <f t="shared" si="203"/>
        <v>Pesado de Passageiros M3:  : Gasóleo : E3</v>
      </c>
      <c r="J4950">
        <v>53</v>
      </c>
      <c r="K4950" s="422">
        <v>2023</v>
      </c>
      <c r="L4950" s="427">
        <v>31339.040000000001</v>
      </c>
      <c r="M4950" s="427" t="s">
        <v>630</v>
      </c>
      <c r="N4950" s="434">
        <v>52494</v>
      </c>
      <c r="O4950" s="436">
        <f t="shared" si="204"/>
        <v>2782182</v>
      </c>
      <c r="P4950" s="89" t="s">
        <v>5497</v>
      </c>
      <c r="Q4950" s="422" t="s">
        <v>47</v>
      </c>
      <c r="R4950" s="422" t="s">
        <v>1869</v>
      </c>
      <c r="S4950" s="422" t="s">
        <v>1861</v>
      </c>
      <c r="U4950" s="422" t="s">
        <v>1953</v>
      </c>
      <c r="V4950" s="422" t="s">
        <v>2813</v>
      </c>
    </row>
    <row r="4951" spans="1:22" ht="15.75" thickBot="1" x14ac:dyDescent="0.3">
      <c r="A4951" t="s">
        <v>4592</v>
      </c>
      <c r="B4951" t="s">
        <v>4592</v>
      </c>
      <c r="C4951" s="424" t="str">
        <f t="shared" si="202"/>
        <v>RDO - Rodoviária do Oeste, LDA.</v>
      </c>
      <c r="D4951" t="s">
        <v>629</v>
      </c>
      <c r="F4951" s="422" t="s">
        <v>620</v>
      </c>
      <c r="G4951" s="89" t="s">
        <v>2220</v>
      </c>
      <c r="H4951" s="313" t="s">
        <v>732</v>
      </c>
      <c r="I4951" s="311" t="str">
        <f t="shared" si="203"/>
        <v>Pesado de Passageiros M3:  : Gasóleo : E3</v>
      </c>
      <c r="J4951">
        <v>53</v>
      </c>
      <c r="K4951" s="422">
        <v>2023</v>
      </c>
      <c r="L4951" s="427">
        <v>32917.14</v>
      </c>
      <c r="M4951" s="427" t="s">
        <v>630</v>
      </c>
      <c r="N4951" s="434">
        <v>54961</v>
      </c>
      <c r="O4951" s="436">
        <f t="shared" si="204"/>
        <v>2912933</v>
      </c>
      <c r="P4951" s="89" t="s">
        <v>5498</v>
      </c>
      <c r="Q4951" s="422" t="s">
        <v>47</v>
      </c>
      <c r="R4951" s="422" t="s">
        <v>1869</v>
      </c>
      <c r="S4951" s="422" t="s">
        <v>1861</v>
      </c>
      <c r="U4951" s="422" t="s">
        <v>1953</v>
      </c>
      <c r="V4951" s="422" t="s">
        <v>2813</v>
      </c>
    </row>
    <row r="4952" spans="1:22" ht="15.75" thickBot="1" x14ac:dyDescent="0.3">
      <c r="A4952" t="s">
        <v>4592</v>
      </c>
      <c r="B4952" t="s">
        <v>4592</v>
      </c>
      <c r="C4952" s="424" t="str">
        <f t="shared" ref="C4952:C5015" si="205">IF(A4952=B4952,B4952,RIGHT(A4952,LEN(A4952)-LEN(B4952)-3))</f>
        <v>RDO - Rodoviária do Oeste, LDA.</v>
      </c>
      <c r="D4952" t="s">
        <v>629</v>
      </c>
      <c r="F4952" s="422" t="s">
        <v>620</v>
      </c>
      <c r="G4952" s="89" t="s">
        <v>2220</v>
      </c>
      <c r="H4952" s="313" t="s">
        <v>732</v>
      </c>
      <c r="I4952" s="311" t="str">
        <f t="shared" si="203"/>
        <v>Pesado de Passageiros M3:  : Gasóleo : E3</v>
      </c>
      <c r="J4952">
        <v>55</v>
      </c>
      <c r="K4952" s="422">
        <v>2023</v>
      </c>
      <c r="L4952" s="427">
        <v>40194.160000000003</v>
      </c>
      <c r="M4952" s="427" t="s">
        <v>630</v>
      </c>
      <c r="N4952" s="434">
        <v>66048</v>
      </c>
      <c r="O4952" s="436">
        <f t="shared" si="204"/>
        <v>3632640</v>
      </c>
      <c r="P4952" s="89" t="s">
        <v>5499</v>
      </c>
      <c r="Q4952" s="422" t="s">
        <v>47</v>
      </c>
      <c r="R4952" s="422" t="s">
        <v>1869</v>
      </c>
      <c r="S4952" s="422" t="s">
        <v>1861</v>
      </c>
      <c r="U4952" s="422" t="s">
        <v>1953</v>
      </c>
      <c r="V4952" s="422" t="s">
        <v>2813</v>
      </c>
    </row>
    <row r="4953" spans="1:22" ht="15.75" thickBot="1" x14ac:dyDescent="0.3">
      <c r="A4953" t="s">
        <v>4592</v>
      </c>
      <c r="B4953" t="s">
        <v>4592</v>
      </c>
      <c r="C4953" s="424" t="str">
        <f t="shared" si="205"/>
        <v>RDO - Rodoviária do Oeste, LDA.</v>
      </c>
      <c r="D4953" t="s">
        <v>629</v>
      </c>
      <c r="F4953" s="422" t="s">
        <v>620</v>
      </c>
      <c r="G4953" s="89" t="s">
        <v>2220</v>
      </c>
      <c r="H4953" s="313" t="s">
        <v>732</v>
      </c>
      <c r="I4953" s="311" t="str">
        <f t="shared" si="203"/>
        <v>Pesado de Passageiros M3:  : Gasóleo : E3</v>
      </c>
      <c r="J4953">
        <v>55</v>
      </c>
      <c r="K4953" s="422">
        <v>2023</v>
      </c>
      <c r="L4953" s="427">
        <v>36773.57</v>
      </c>
      <c r="M4953" s="427" t="s">
        <v>630</v>
      </c>
      <c r="N4953" s="434">
        <v>67223</v>
      </c>
      <c r="O4953" s="436">
        <f t="shared" si="204"/>
        <v>3697265</v>
      </c>
      <c r="P4953" s="89" t="s">
        <v>5500</v>
      </c>
      <c r="Q4953" s="422" t="s">
        <v>47</v>
      </c>
      <c r="R4953" s="422" t="s">
        <v>1869</v>
      </c>
      <c r="S4953" s="422" t="s">
        <v>1861</v>
      </c>
      <c r="U4953" s="422" t="s">
        <v>1953</v>
      </c>
      <c r="V4953" s="422" t="s">
        <v>2813</v>
      </c>
    </row>
    <row r="4954" spans="1:22" ht="15.75" thickBot="1" x14ac:dyDescent="0.3">
      <c r="A4954" t="s">
        <v>4592</v>
      </c>
      <c r="B4954" t="s">
        <v>4592</v>
      </c>
      <c r="C4954" s="424" t="str">
        <f t="shared" si="205"/>
        <v>RDO - Rodoviária do Oeste, LDA.</v>
      </c>
      <c r="D4954" t="s">
        <v>629</v>
      </c>
      <c r="F4954" s="422" t="s">
        <v>620</v>
      </c>
      <c r="G4954" s="89" t="s">
        <v>2220</v>
      </c>
      <c r="H4954" s="313" t="s">
        <v>732</v>
      </c>
      <c r="I4954" s="311" t="str">
        <f t="shared" si="203"/>
        <v>Pesado de Passageiros M3:  : Gasóleo : E3</v>
      </c>
      <c r="J4954">
        <v>55</v>
      </c>
      <c r="K4954" s="422">
        <v>2023</v>
      </c>
      <c r="L4954" s="427">
        <v>32271.550000000003</v>
      </c>
      <c r="M4954" s="427" t="s">
        <v>630</v>
      </c>
      <c r="N4954" s="434">
        <v>54125</v>
      </c>
      <c r="O4954" s="436">
        <f t="shared" si="204"/>
        <v>2976875</v>
      </c>
      <c r="P4954" s="89" t="s">
        <v>5501</v>
      </c>
      <c r="Q4954" s="422" t="s">
        <v>47</v>
      </c>
      <c r="R4954" s="422" t="s">
        <v>1869</v>
      </c>
      <c r="S4954" s="422" t="s">
        <v>1861</v>
      </c>
      <c r="U4954" s="422" t="s">
        <v>1953</v>
      </c>
      <c r="V4954" s="422" t="s">
        <v>2813</v>
      </c>
    </row>
    <row r="4955" spans="1:22" ht="15.75" thickBot="1" x14ac:dyDescent="0.3">
      <c r="A4955" t="s">
        <v>4592</v>
      </c>
      <c r="B4955" t="s">
        <v>4592</v>
      </c>
      <c r="C4955" s="424" t="str">
        <f t="shared" si="205"/>
        <v>RDO - Rodoviária do Oeste, LDA.</v>
      </c>
      <c r="D4955" t="s">
        <v>629</v>
      </c>
      <c r="F4955" s="422" t="s">
        <v>620</v>
      </c>
      <c r="G4955" s="89" t="s">
        <v>2211</v>
      </c>
      <c r="H4955" s="313" t="s">
        <v>732</v>
      </c>
      <c r="I4955" s="311" t="str">
        <f t="shared" si="203"/>
        <v>Pesado de Passageiros M3:  : Gasóleo : E3</v>
      </c>
      <c r="J4955">
        <v>55</v>
      </c>
      <c r="K4955" s="422">
        <v>2023</v>
      </c>
      <c r="L4955" s="427">
        <v>32550.659999999996</v>
      </c>
      <c r="M4955" s="427" t="s">
        <v>630</v>
      </c>
      <c r="N4955" s="434">
        <v>54070</v>
      </c>
      <c r="O4955" s="436">
        <f t="shared" si="204"/>
        <v>2973850</v>
      </c>
      <c r="P4955" s="89" t="s">
        <v>5502</v>
      </c>
      <c r="Q4955" s="422" t="s">
        <v>47</v>
      </c>
      <c r="R4955" s="422" t="s">
        <v>1869</v>
      </c>
      <c r="S4955" s="422" t="s">
        <v>1861</v>
      </c>
      <c r="U4955" s="422" t="s">
        <v>1953</v>
      </c>
      <c r="V4955" s="422" t="s">
        <v>2813</v>
      </c>
    </row>
    <row r="4956" spans="1:22" ht="15.75" thickBot="1" x14ac:dyDescent="0.3">
      <c r="A4956" t="s">
        <v>4592</v>
      </c>
      <c r="B4956" t="s">
        <v>4592</v>
      </c>
      <c r="C4956" s="424" t="str">
        <f t="shared" si="205"/>
        <v>RDO - Rodoviária do Oeste, LDA.</v>
      </c>
      <c r="D4956" t="s">
        <v>629</v>
      </c>
      <c r="F4956" s="422" t="s">
        <v>620</v>
      </c>
      <c r="G4956" s="89" t="s">
        <v>2211</v>
      </c>
      <c r="H4956" s="313" t="s">
        <v>732</v>
      </c>
      <c r="I4956" s="311" t="str">
        <f t="shared" si="203"/>
        <v>Pesado de Passageiros M3:  : Gasóleo : E3</v>
      </c>
      <c r="J4956">
        <v>53</v>
      </c>
      <c r="K4956" s="422">
        <v>2023</v>
      </c>
      <c r="L4956" s="427">
        <v>36546.86</v>
      </c>
      <c r="M4956" s="427" t="s">
        <v>630</v>
      </c>
      <c r="N4956" s="434">
        <v>64340</v>
      </c>
      <c r="O4956" s="436">
        <f t="shared" si="204"/>
        <v>3410020</v>
      </c>
      <c r="P4956" s="89" t="s">
        <v>5503</v>
      </c>
      <c r="Q4956" s="422" t="s">
        <v>47</v>
      </c>
      <c r="R4956" s="422" t="s">
        <v>1869</v>
      </c>
      <c r="S4956" s="422" t="s">
        <v>1861</v>
      </c>
      <c r="U4956" s="422" t="s">
        <v>1953</v>
      </c>
      <c r="V4956" s="422" t="s">
        <v>2813</v>
      </c>
    </row>
    <row r="4957" spans="1:22" ht="15.75" thickBot="1" x14ac:dyDescent="0.3">
      <c r="A4957" t="s">
        <v>4592</v>
      </c>
      <c r="B4957" t="s">
        <v>4592</v>
      </c>
      <c r="C4957" s="424" t="str">
        <f t="shared" si="205"/>
        <v>RDO - Rodoviária do Oeste, LDA.</v>
      </c>
      <c r="D4957" t="s">
        <v>629</v>
      </c>
      <c r="F4957" s="422" t="s">
        <v>620</v>
      </c>
      <c r="G4957" s="89" t="s">
        <v>2211</v>
      </c>
      <c r="H4957" s="313" t="s">
        <v>732</v>
      </c>
      <c r="I4957" s="311" t="str">
        <f t="shared" si="203"/>
        <v>Pesado de Passageiros M3:  : Gasóleo : E3</v>
      </c>
      <c r="J4957">
        <v>53</v>
      </c>
      <c r="K4957" s="422">
        <v>2023</v>
      </c>
      <c r="L4957" s="427">
        <v>34707.730000000003</v>
      </c>
      <c r="M4957" s="427" t="s">
        <v>630</v>
      </c>
      <c r="N4957" s="434">
        <v>61886</v>
      </c>
      <c r="O4957" s="436">
        <f t="shared" si="204"/>
        <v>3279958</v>
      </c>
      <c r="P4957" s="89" t="s">
        <v>5504</v>
      </c>
      <c r="Q4957" s="422" t="s">
        <v>47</v>
      </c>
      <c r="R4957" s="422" t="s">
        <v>1869</v>
      </c>
      <c r="S4957" s="422" t="s">
        <v>1861</v>
      </c>
      <c r="U4957" s="422" t="s">
        <v>1953</v>
      </c>
      <c r="V4957" s="422" t="s">
        <v>2813</v>
      </c>
    </row>
    <row r="4958" spans="1:22" ht="15.75" thickBot="1" x14ac:dyDescent="0.3">
      <c r="A4958" t="s">
        <v>4592</v>
      </c>
      <c r="B4958" t="s">
        <v>4592</v>
      </c>
      <c r="C4958" s="424" t="str">
        <f t="shared" si="205"/>
        <v>RDO - Rodoviária do Oeste, LDA.</v>
      </c>
      <c r="D4958" t="s">
        <v>629</v>
      </c>
      <c r="F4958" s="422" t="s">
        <v>620</v>
      </c>
      <c r="G4958" s="89" t="s">
        <v>2211</v>
      </c>
      <c r="H4958" s="313" t="s">
        <v>732</v>
      </c>
      <c r="I4958" s="311" t="str">
        <f t="shared" si="203"/>
        <v>Pesado de Passageiros M3:  : Gasóleo : E3</v>
      </c>
      <c r="J4958">
        <v>53</v>
      </c>
      <c r="K4958" s="422">
        <v>2023</v>
      </c>
      <c r="L4958" s="427">
        <v>38304.28</v>
      </c>
      <c r="M4958" s="427" t="s">
        <v>630</v>
      </c>
      <c r="N4958" s="434">
        <v>65627</v>
      </c>
      <c r="O4958" s="436">
        <f t="shared" si="204"/>
        <v>3478231</v>
      </c>
      <c r="P4958" s="89" t="s">
        <v>5505</v>
      </c>
      <c r="Q4958" s="422" t="s">
        <v>47</v>
      </c>
      <c r="R4958" s="422" t="s">
        <v>1869</v>
      </c>
      <c r="S4958" s="422" t="s">
        <v>1861</v>
      </c>
      <c r="U4958" s="422" t="s">
        <v>1953</v>
      </c>
      <c r="V4958" s="422" t="s">
        <v>2813</v>
      </c>
    </row>
    <row r="4959" spans="1:22" ht="15.75" thickBot="1" x14ac:dyDescent="0.3">
      <c r="A4959" t="s">
        <v>4592</v>
      </c>
      <c r="B4959" t="s">
        <v>4592</v>
      </c>
      <c r="C4959" s="424" t="str">
        <f t="shared" si="205"/>
        <v>RDO - Rodoviária do Oeste, LDA.</v>
      </c>
      <c r="D4959" t="s">
        <v>629</v>
      </c>
      <c r="F4959" s="422" t="s">
        <v>620</v>
      </c>
      <c r="G4959" s="89" t="s">
        <v>2220</v>
      </c>
      <c r="H4959" s="313" t="s">
        <v>732</v>
      </c>
      <c r="I4959" s="311" t="str">
        <f t="shared" si="203"/>
        <v>Pesado de Passageiros M3:  : Gasóleo : E3</v>
      </c>
      <c r="J4959">
        <v>69</v>
      </c>
      <c r="K4959" s="422">
        <v>2023</v>
      </c>
      <c r="L4959" s="427">
        <v>19912.28</v>
      </c>
      <c r="M4959" s="427" t="s">
        <v>630</v>
      </c>
      <c r="N4959" s="434">
        <v>33357</v>
      </c>
      <c r="O4959" s="436">
        <f t="shared" si="204"/>
        <v>2301633</v>
      </c>
      <c r="P4959" s="89" t="s">
        <v>5506</v>
      </c>
      <c r="Q4959" s="422" t="s">
        <v>47</v>
      </c>
      <c r="R4959" s="422" t="s">
        <v>1869</v>
      </c>
      <c r="S4959" s="422" t="s">
        <v>1861</v>
      </c>
      <c r="U4959" s="422" t="s">
        <v>1953</v>
      </c>
      <c r="V4959" s="422" t="s">
        <v>2813</v>
      </c>
    </row>
    <row r="4960" spans="1:22" ht="15.75" thickBot="1" x14ac:dyDescent="0.3">
      <c r="A4960" t="s">
        <v>4592</v>
      </c>
      <c r="B4960" t="s">
        <v>4592</v>
      </c>
      <c r="C4960" s="424" t="str">
        <f t="shared" si="205"/>
        <v>RDO - Rodoviária do Oeste, LDA.</v>
      </c>
      <c r="D4960" t="s">
        <v>629</v>
      </c>
      <c r="F4960" s="422" t="s">
        <v>620</v>
      </c>
      <c r="G4960" s="89" t="s">
        <v>2211</v>
      </c>
      <c r="H4960" s="313" t="s">
        <v>731</v>
      </c>
      <c r="I4960" s="311" t="str">
        <f t="shared" si="203"/>
        <v>Pesado de Passageiros M3:  : Gasóleo : E4</v>
      </c>
      <c r="J4960">
        <v>55</v>
      </c>
      <c r="K4960" s="422">
        <v>2023</v>
      </c>
      <c r="L4960" s="427">
        <v>46103.649999999994</v>
      </c>
      <c r="M4960" s="427" t="s">
        <v>630</v>
      </c>
      <c r="N4960" s="434">
        <v>76142</v>
      </c>
      <c r="O4960" s="436">
        <f t="shared" si="204"/>
        <v>4187810</v>
      </c>
      <c r="P4960" s="89" t="s">
        <v>5507</v>
      </c>
      <c r="Q4960" s="422" t="s">
        <v>47</v>
      </c>
      <c r="R4960" s="422" t="s">
        <v>1869</v>
      </c>
      <c r="S4960" s="422" t="s">
        <v>1861</v>
      </c>
      <c r="U4960" s="422" t="s">
        <v>1953</v>
      </c>
      <c r="V4960" s="422" t="s">
        <v>2813</v>
      </c>
    </row>
    <row r="4961" spans="1:22" ht="15.75" thickBot="1" x14ac:dyDescent="0.3">
      <c r="A4961" t="s">
        <v>4592</v>
      </c>
      <c r="B4961" t="s">
        <v>4592</v>
      </c>
      <c r="C4961" s="424" t="str">
        <f t="shared" si="205"/>
        <v>RDO - Rodoviária do Oeste, LDA.</v>
      </c>
      <c r="D4961" t="s">
        <v>629</v>
      </c>
      <c r="F4961" s="422" t="s">
        <v>620</v>
      </c>
      <c r="G4961" s="89" t="s">
        <v>2211</v>
      </c>
      <c r="H4961" s="313" t="s">
        <v>731</v>
      </c>
      <c r="I4961" s="311" t="str">
        <f t="shared" si="203"/>
        <v>Pesado de Passageiros M3:  : Gasóleo : E4</v>
      </c>
      <c r="J4961">
        <v>55</v>
      </c>
      <c r="K4961" s="422">
        <v>2023</v>
      </c>
      <c r="L4961" s="427">
        <v>30759.019999999997</v>
      </c>
      <c r="M4961" s="427" t="s">
        <v>630</v>
      </c>
      <c r="N4961" s="434">
        <v>60065</v>
      </c>
      <c r="O4961" s="436">
        <f t="shared" si="204"/>
        <v>3303575</v>
      </c>
      <c r="P4961" s="89" t="s">
        <v>5508</v>
      </c>
      <c r="Q4961" s="422" t="s">
        <v>47</v>
      </c>
      <c r="R4961" s="422" t="s">
        <v>1869</v>
      </c>
      <c r="S4961" s="422" t="s">
        <v>1861</v>
      </c>
      <c r="U4961" s="422" t="s">
        <v>1953</v>
      </c>
      <c r="V4961" s="422" t="s">
        <v>2813</v>
      </c>
    </row>
    <row r="4962" spans="1:22" ht="15.75" thickBot="1" x14ac:dyDescent="0.3">
      <c r="A4962" t="s">
        <v>4592</v>
      </c>
      <c r="B4962" t="s">
        <v>4592</v>
      </c>
      <c r="C4962" s="424" t="str">
        <f t="shared" si="205"/>
        <v>RDO - Rodoviária do Oeste, LDA.</v>
      </c>
      <c r="D4962" t="s">
        <v>629</v>
      </c>
      <c r="F4962" s="422" t="s">
        <v>620</v>
      </c>
      <c r="G4962" s="89" t="s">
        <v>2211</v>
      </c>
      <c r="H4962" s="313" t="s">
        <v>731</v>
      </c>
      <c r="I4962" s="311" t="str">
        <f t="shared" ref="I4962:I5025" si="206">D4962&amp;": "&amp;E4962&amp;" : "&amp;F4962&amp;" : "&amp;H4962</f>
        <v>Pesado de Passageiros M3:  : Gasóleo : E4</v>
      </c>
      <c r="J4962">
        <v>55</v>
      </c>
      <c r="K4962" s="422">
        <v>2023</v>
      </c>
      <c r="L4962" s="427">
        <v>27661.98</v>
      </c>
      <c r="M4962" s="427" t="s">
        <v>630</v>
      </c>
      <c r="N4962" s="434">
        <v>36739</v>
      </c>
      <c r="O4962" s="436">
        <f t="shared" ref="O4962:O5025" si="207">N4962*J4962</f>
        <v>2020645</v>
      </c>
      <c r="P4962" s="89" t="s">
        <v>5509</v>
      </c>
      <c r="Q4962" s="422" t="s">
        <v>47</v>
      </c>
      <c r="R4962" s="422" t="s">
        <v>1869</v>
      </c>
      <c r="S4962" s="422" t="s">
        <v>1861</v>
      </c>
      <c r="U4962" s="422" t="s">
        <v>1953</v>
      </c>
      <c r="V4962" s="422" t="s">
        <v>2813</v>
      </c>
    </row>
    <row r="4963" spans="1:22" ht="15.75" thickBot="1" x14ac:dyDescent="0.3">
      <c r="A4963" t="s">
        <v>4592</v>
      </c>
      <c r="B4963" t="s">
        <v>4592</v>
      </c>
      <c r="C4963" s="424" t="str">
        <f t="shared" si="205"/>
        <v>RDO - Rodoviária do Oeste, LDA.</v>
      </c>
      <c r="D4963" t="s">
        <v>629</v>
      </c>
      <c r="F4963" s="422" t="s">
        <v>620</v>
      </c>
      <c r="G4963" s="89" t="s">
        <v>2206</v>
      </c>
      <c r="H4963" s="313" t="s">
        <v>735</v>
      </c>
      <c r="I4963" s="311" t="str">
        <f t="shared" si="206"/>
        <v>Pesado de Passageiros M3:  : Gasóleo : E2</v>
      </c>
      <c r="J4963">
        <v>71</v>
      </c>
      <c r="K4963" s="422">
        <v>2023</v>
      </c>
      <c r="L4963" s="427">
        <v>15289.31</v>
      </c>
      <c r="M4963" s="427" t="s">
        <v>630</v>
      </c>
      <c r="N4963" s="434">
        <v>27281</v>
      </c>
      <c r="O4963" s="436">
        <f t="shared" si="207"/>
        <v>1936951</v>
      </c>
      <c r="P4963" s="89" t="s">
        <v>5510</v>
      </c>
      <c r="Q4963" s="422" t="s">
        <v>47</v>
      </c>
      <c r="R4963" s="422" t="s">
        <v>1869</v>
      </c>
      <c r="S4963" s="422" t="s">
        <v>1861</v>
      </c>
      <c r="U4963" s="422" t="s">
        <v>1953</v>
      </c>
      <c r="V4963" s="422" t="s">
        <v>2813</v>
      </c>
    </row>
    <row r="4964" spans="1:22" ht="15.75" thickBot="1" x14ac:dyDescent="0.3">
      <c r="A4964" t="s">
        <v>4592</v>
      </c>
      <c r="B4964" t="s">
        <v>4592</v>
      </c>
      <c r="C4964" s="424" t="str">
        <f t="shared" si="205"/>
        <v>RDO - Rodoviária do Oeste, LDA.</v>
      </c>
      <c r="D4964" t="s">
        <v>629</v>
      </c>
      <c r="F4964" s="422" t="s">
        <v>620</v>
      </c>
      <c r="G4964" s="89" t="s">
        <v>2218</v>
      </c>
      <c r="H4964" s="313" t="s">
        <v>2230</v>
      </c>
      <c r="I4964" s="311" t="str">
        <f t="shared" si="206"/>
        <v>Pesado de Passageiros M3:  : Gasóleo : E0</v>
      </c>
      <c r="J4964">
        <v>53</v>
      </c>
      <c r="K4964" s="422">
        <v>2023</v>
      </c>
      <c r="L4964" s="427">
        <v>812.37</v>
      </c>
      <c r="M4964" s="427" t="s">
        <v>630</v>
      </c>
      <c r="N4964" s="434">
        <v>1339</v>
      </c>
      <c r="O4964" s="436">
        <f t="shared" si="207"/>
        <v>70967</v>
      </c>
      <c r="P4964" s="89" t="s">
        <v>5511</v>
      </c>
      <c r="Q4964" s="422" t="s">
        <v>47</v>
      </c>
      <c r="R4964" s="422" t="s">
        <v>1869</v>
      </c>
      <c r="S4964" s="422" t="s">
        <v>1861</v>
      </c>
      <c r="U4964" s="422" t="s">
        <v>1953</v>
      </c>
      <c r="V4964" s="422" t="s">
        <v>2813</v>
      </c>
    </row>
    <row r="4965" spans="1:22" ht="15.75" thickBot="1" x14ac:dyDescent="0.3">
      <c r="A4965" t="s">
        <v>4592</v>
      </c>
      <c r="B4965" t="s">
        <v>4592</v>
      </c>
      <c r="C4965" s="424" t="str">
        <f t="shared" si="205"/>
        <v>RDO - Rodoviária do Oeste, LDA.</v>
      </c>
      <c r="D4965" t="s">
        <v>629</v>
      </c>
      <c r="F4965" s="422" t="s">
        <v>620</v>
      </c>
      <c r="G4965" s="89" t="s">
        <v>2206</v>
      </c>
      <c r="H4965" s="313" t="s">
        <v>735</v>
      </c>
      <c r="I4965" s="311" t="str">
        <f t="shared" si="206"/>
        <v>Pesado de Passageiros M3:  : Gasóleo : E2</v>
      </c>
      <c r="J4965">
        <v>55</v>
      </c>
      <c r="K4965" s="422">
        <v>2023</v>
      </c>
      <c r="L4965" s="427">
        <v>17258.78</v>
      </c>
      <c r="M4965" s="427" t="s">
        <v>630</v>
      </c>
      <c r="N4965" s="434">
        <v>30134</v>
      </c>
      <c r="O4965" s="436">
        <f t="shared" si="207"/>
        <v>1657370</v>
      </c>
      <c r="P4965" s="89" t="s">
        <v>5512</v>
      </c>
      <c r="Q4965" s="422" t="s">
        <v>47</v>
      </c>
      <c r="R4965" s="422" t="s">
        <v>1869</v>
      </c>
      <c r="S4965" s="422" t="s">
        <v>1861</v>
      </c>
      <c r="U4965" s="422" t="s">
        <v>1953</v>
      </c>
      <c r="V4965" s="422" t="s">
        <v>2813</v>
      </c>
    </row>
    <row r="4966" spans="1:22" ht="15.75" thickBot="1" x14ac:dyDescent="0.3">
      <c r="A4966" t="s">
        <v>4592</v>
      </c>
      <c r="B4966" t="s">
        <v>4592</v>
      </c>
      <c r="C4966" s="424" t="str">
        <f t="shared" si="205"/>
        <v>RDO - Rodoviária do Oeste, LDA.</v>
      </c>
      <c r="D4966" t="s">
        <v>629</v>
      </c>
      <c r="F4966" s="422" t="s">
        <v>620</v>
      </c>
      <c r="G4966" s="89" t="s">
        <v>2206</v>
      </c>
      <c r="H4966" s="313" t="s">
        <v>735</v>
      </c>
      <c r="I4966" s="311" t="str">
        <f t="shared" si="206"/>
        <v>Pesado de Passageiros M3:  : Gasóleo : E2</v>
      </c>
      <c r="J4966">
        <v>55</v>
      </c>
      <c r="K4966" s="422">
        <v>2023</v>
      </c>
      <c r="L4966" s="427">
        <v>16802.64</v>
      </c>
      <c r="M4966" s="427" t="s">
        <v>630</v>
      </c>
      <c r="N4966" s="434">
        <v>29111</v>
      </c>
      <c r="O4966" s="436">
        <f t="shared" si="207"/>
        <v>1601105</v>
      </c>
      <c r="P4966" s="89" t="s">
        <v>5513</v>
      </c>
      <c r="Q4966" s="422" t="s">
        <v>47</v>
      </c>
      <c r="R4966" s="422" t="s">
        <v>1869</v>
      </c>
      <c r="S4966" s="422" t="s">
        <v>1861</v>
      </c>
      <c r="U4966" s="422" t="s">
        <v>1953</v>
      </c>
      <c r="V4966" s="422" t="s">
        <v>2813</v>
      </c>
    </row>
    <row r="4967" spans="1:22" ht="15.75" thickBot="1" x14ac:dyDescent="0.3">
      <c r="A4967" t="s">
        <v>4592</v>
      </c>
      <c r="B4967" t="s">
        <v>4592</v>
      </c>
      <c r="C4967" s="424" t="str">
        <f t="shared" si="205"/>
        <v>RDO - Rodoviária do Oeste, LDA.</v>
      </c>
      <c r="D4967" t="s">
        <v>629</v>
      </c>
      <c r="F4967" s="422" t="s">
        <v>620</v>
      </c>
      <c r="G4967" s="89" t="s">
        <v>2214</v>
      </c>
      <c r="H4967" s="313" t="s">
        <v>733</v>
      </c>
      <c r="I4967" s="311" t="str">
        <f t="shared" si="206"/>
        <v>Pesado de Passageiros M3:  : Gasóleo : E6</v>
      </c>
      <c r="J4967">
        <v>63</v>
      </c>
      <c r="K4967" s="422">
        <v>2023</v>
      </c>
      <c r="L4967" s="427">
        <v>54742.95</v>
      </c>
      <c r="M4967" s="427" t="s">
        <v>630</v>
      </c>
      <c r="N4967" s="434">
        <v>88617</v>
      </c>
      <c r="O4967" s="436">
        <f t="shared" si="207"/>
        <v>5582871</v>
      </c>
      <c r="P4967" s="89" t="s">
        <v>5514</v>
      </c>
      <c r="Q4967" s="422" t="s">
        <v>47</v>
      </c>
      <c r="R4967" s="422" t="s">
        <v>1869</v>
      </c>
      <c r="S4967" s="422" t="s">
        <v>1861</v>
      </c>
      <c r="U4967" s="422" t="s">
        <v>1953</v>
      </c>
      <c r="V4967" s="422" t="s">
        <v>2813</v>
      </c>
    </row>
    <row r="4968" spans="1:22" ht="15.75" thickBot="1" x14ac:dyDescent="0.3">
      <c r="A4968" t="s">
        <v>4592</v>
      </c>
      <c r="B4968" t="s">
        <v>4592</v>
      </c>
      <c r="C4968" s="424" t="str">
        <f t="shared" si="205"/>
        <v>RDO - Rodoviária do Oeste, LDA.</v>
      </c>
      <c r="D4968" t="s">
        <v>629</v>
      </c>
      <c r="F4968" s="422" t="s">
        <v>620</v>
      </c>
      <c r="G4968" s="89" t="s">
        <v>2219</v>
      </c>
      <c r="H4968" s="313" t="s">
        <v>732</v>
      </c>
      <c r="I4968" s="311" t="str">
        <f t="shared" si="206"/>
        <v>Pesado de Passageiros M3:  : Gasóleo : E3</v>
      </c>
      <c r="J4968">
        <v>85</v>
      </c>
      <c r="K4968" s="422">
        <v>2023</v>
      </c>
      <c r="L4968" s="427">
        <v>18657.63</v>
      </c>
      <c r="M4968" s="427" t="s">
        <v>630</v>
      </c>
      <c r="N4968" s="434">
        <v>28760</v>
      </c>
      <c r="O4968" s="436">
        <f t="shared" si="207"/>
        <v>2444600</v>
      </c>
      <c r="P4968" s="89" t="s">
        <v>5515</v>
      </c>
      <c r="Q4968" s="422" t="s">
        <v>47</v>
      </c>
      <c r="R4968" s="422" t="s">
        <v>1869</v>
      </c>
      <c r="S4968" s="422" t="s">
        <v>1861</v>
      </c>
      <c r="U4968" s="422" t="s">
        <v>1953</v>
      </c>
      <c r="V4968" s="422" t="s">
        <v>2813</v>
      </c>
    </row>
    <row r="4969" spans="1:22" ht="15.75" thickBot="1" x14ac:dyDescent="0.3">
      <c r="A4969" t="s">
        <v>4592</v>
      </c>
      <c r="B4969" t="s">
        <v>4592</v>
      </c>
      <c r="C4969" s="424" t="str">
        <f t="shared" si="205"/>
        <v>RDO - Rodoviária do Oeste, LDA.</v>
      </c>
      <c r="D4969" t="s">
        <v>629</v>
      </c>
      <c r="F4969" s="422" t="s">
        <v>620</v>
      </c>
      <c r="G4969" s="89" t="s">
        <v>2219</v>
      </c>
      <c r="H4969" s="313" t="s">
        <v>732</v>
      </c>
      <c r="I4969" s="311" t="str">
        <f t="shared" si="206"/>
        <v>Pesado de Passageiros M3:  : Gasóleo : E3</v>
      </c>
      <c r="J4969">
        <v>85</v>
      </c>
      <c r="K4969" s="422">
        <v>2023</v>
      </c>
      <c r="L4969" s="427">
        <v>21105.98</v>
      </c>
      <c r="M4969" s="427" t="s">
        <v>630</v>
      </c>
      <c r="N4969" s="434">
        <v>32084</v>
      </c>
      <c r="O4969" s="436">
        <f t="shared" si="207"/>
        <v>2727140</v>
      </c>
      <c r="P4969" s="89" t="s">
        <v>5516</v>
      </c>
      <c r="Q4969" s="422" t="s">
        <v>47</v>
      </c>
      <c r="R4969" s="422" t="s">
        <v>1869</v>
      </c>
      <c r="S4969" s="422" t="s">
        <v>1861</v>
      </c>
      <c r="U4969" s="422" t="s">
        <v>1953</v>
      </c>
      <c r="V4969" s="422" t="s">
        <v>2813</v>
      </c>
    </row>
    <row r="4970" spans="1:22" ht="15.75" thickBot="1" x14ac:dyDescent="0.3">
      <c r="A4970" t="s">
        <v>4592</v>
      </c>
      <c r="B4970" t="s">
        <v>4592</v>
      </c>
      <c r="C4970" s="424" t="str">
        <f t="shared" si="205"/>
        <v>RDO - Rodoviária do Oeste, LDA.</v>
      </c>
      <c r="D4970" t="s">
        <v>629</v>
      </c>
      <c r="F4970" s="422" t="s">
        <v>620</v>
      </c>
      <c r="G4970" s="89" t="s">
        <v>2219</v>
      </c>
      <c r="H4970" s="313" t="s">
        <v>732</v>
      </c>
      <c r="I4970" s="311" t="str">
        <f t="shared" si="206"/>
        <v>Pesado de Passageiros M3:  : Gasóleo : E3</v>
      </c>
      <c r="J4970">
        <v>85</v>
      </c>
      <c r="K4970" s="422">
        <v>2023</v>
      </c>
      <c r="L4970" s="427">
        <v>20472.66</v>
      </c>
      <c r="M4970" s="427" t="s">
        <v>630</v>
      </c>
      <c r="N4970" s="434">
        <v>36146</v>
      </c>
      <c r="O4970" s="436">
        <f t="shared" si="207"/>
        <v>3072410</v>
      </c>
      <c r="P4970" s="89" t="s">
        <v>5517</v>
      </c>
      <c r="Q4970" s="422" t="s">
        <v>47</v>
      </c>
      <c r="R4970" s="422" t="s">
        <v>1869</v>
      </c>
      <c r="S4970" s="422" t="s">
        <v>1861</v>
      </c>
      <c r="U4970" s="422" t="s">
        <v>1953</v>
      </c>
      <c r="V4970" s="422" t="s">
        <v>2813</v>
      </c>
    </row>
    <row r="4971" spans="1:22" ht="15.75" thickBot="1" x14ac:dyDescent="0.3">
      <c r="A4971" t="s">
        <v>4592</v>
      </c>
      <c r="B4971" t="s">
        <v>4592</v>
      </c>
      <c r="C4971" s="424" t="str">
        <f t="shared" si="205"/>
        <v>RDO - Rodoviária do Oeste, LDA.</v>
      </c>
      <c r="D4971" t="s">
        <v>629</v>
      </c>
      <c r="F4971" s="422" t="s">
        <v>620</v>
      </c>
      <c r="G4971" s="89" t="s">
        <v>2211</v>
      </c>
      <c r="H4971" s="313" t="s">
        <v>731</v>
      </c>
      <c r="I4971" s="311" t="str">
        <f t="shared" si="206"/>
        <v>Pesado de Passageiros M3:  : Gasóleo : E4</v>
      </c>
      <c r="J4971">
        <v>55</v>
      </c>
      <c r="K4971" s="422">
        <v>2023</v>
      </c>
      <c r="L4971" s="427">
        <v>36220.410000000003</v>
      </c>
      <c r="M4971" s="427" t="s">
        <v>630</v>
      </c>
      <c r="N4971" s="434">
        <v>64964</v>
      </c>
      <c r="O4971" s="436">
        <f t="shared" si="207"/>
        <v>3573020</v>
      </c>
      <c r="P4971" s="89" t="s">
        <v>5518</v>
      </c>
      <c r="Q4971" s="422" t="s">
        <v>47</v>
      </c>
      <c r="R4971" s="422" t="s">
        <v>1869</v>
      </c>
      <c r="S4971" s="422" t="s">
        <v>1861</v>
      </c>
      <c r="U4971" s="422" t="s">
        <v>1953</v>
      </c>
      <c r="V4971" s="422" t="s">
        <v>2813</v>
      </c>
    </row>
    <row r="4972" spans="1:22" ht="15.75" thickBot="1" x14ac:dyDescent="0.3">
      <c r="A4972" t="s">
        <v>4592</v>
      </c>
      <c r="B4972" t="s">
        <v>4592</v>
      </c>
      <c r="C4972" s="424" t="str">
        <f t="shared" si="205"/>
        <v>RDO - Rodoviária do Oeste, LDA.</v>
      </c>
      <c r="D4972" t="s">
        <v>629</v>
      </c>
      <c r="F4972" s="422" t="s">
        <v>620</v>
      </c>
      <c r="G4972" s="89" t="s">
        <v>2211</v>
      </c>
      <c r="H4972" s="313" t="s">
        <v>731</v>
      </c>
      <c r="I4972" s="311" t="str">
        <f t="shared" si="206"/>
        <v>Pesado de Passageiros M3:  : Gasóleo : E4</v>
      </c>
      <c r="J4972">
        <v>55</v>
      </c>
      <c r="K4972" s="422">
        <v>2023</v>
      </c>
      <c r="L4972" s="427">
        <v>40640.700000000004</v>
      </c>
      <c r="M4972" s="427" t="s">
        <v>630</v>
      </c>
      <c r="N4972" s="434">
        <v>78568</v>
      </c>
      <c r="O4972" s="436">
        <f t="shared" si="207"/>
        <v>4321240</v>
      </c>
      <c r="P4972" s="89" t="s">
        <v>5519</v>
      </c>
      <c r="Q4972" s="422" t="s">
        <v>47</v>
      </c>
      <c r="R4972" s="422" t="s">
        <v>1869</v>
      </c>
      <c r="S4972" s="422" t="s">
        <v>1861</v>
      </c>
      <c r="U4972" s="422" t="s">
        <v>1953</v>
      </c>
      <c r="V4972" s="422" t="s">
        <v>2813</v>
      </c>
    </row>
    <row r="4973" spans="1:22" ht="15.75" thickBot="1" x14ac:dyDescent="0.3">
      <c r="A4973" t="s">
        <v>4592</v>
      </c>
      <c r="B4973" t="s">
        <v>4592</v>
      </c>
      <c r="C4973" s="424" t="str">
        <f t="shared" si="205"/>
        <v>RDO - Rodoviária do Oeste, LDA.</v>
      </c>
      <c r="D4973" t="s">
        <v>629</v>
      </c>
      <c r="F4973" s="422" t="s">
        <v>620</v>
      </c>
      <c r="G4973" s="89" t="s">
        <v>2211</v>
      </c>
      <c r="H4973" s="313" t="s">
        <v>731</v>
      </c>
      <c r="I4973" s="311" t="str">
        <f t="shared" si="206"/>
        <v>Pesado de Passageiros M3:  : Gasóleo : E4</v>
      </c>
      <c r="J4973">
        <v>55</v>
      </c>
      <c r="K4973" s="422">
        <v>2023</v>
      </c>
      <c r="L4973" s="427">
        <v>40616.47</v>
      </c>
      <c r="M4973" s="427" t="s">
        <v>630</v>
      </c>
      <c r="N4973" s="434">
        <v>68334</v>
      </c>
      <c r="O4973" s="436">
        <f t="shared" si="207"/>
        <v>3758370</v>
      </c>
      <c r="P4973" s="89" t="s">
        <v>5520</v>
      </c>
      <c r="Q4973" s="422" t="s">
        <v>47</v>
      </c>
      <c r="R4973" s="422" t="s">
        <v>1869</v>
      </c>
      <c r="S4973" s="422" t="s">
        <v>1861</v>
      </c>
      <c r="U4973" s="422" t="s">
        <v>1953</v>
      </c>
      <c r="V4973" s="422" t="s">
        <v>2813</v>
      </c>
    </row>
    <row r="4974" spans="1:22" ht="15.75" thickBot="1" x14ac:dyDescent="0.3">
      <c r="A4974" t="s">
        <v>4592</v>
      </c>
      <c r="B4974" t="s">
        <v>4592</v>
      </c>
      <c r="C4974" s="424" t="str">
        <f t="shared" si="205"/>
        <v>RDO - Rodoviária do Oeste, LDA.</v>
      </c>
      <c r="D4974" t="s">
        <v>629</v>
      </c>
      <c r="F4974" s="422" t="s">
        <v>620</v>
      </c>
      <c r="G4974" s="89" t="s">
        <v>2211</v>
      </c>
      <c r="H4974" s="313" t="s">
        <v>732</v>
      </c>
      <c r="I4974" s="311" t="str">
        <f t="shared" si="206"/>
        <v>Pesado de Passageiros M3:  : Gasóleo : E3</v>
      </c>
      <c r="J4974">
        <v>50</v>
      </c>
      <c r="K4974" s="422">
        <v>2023</v>
      </c>
      <c r="L4974" s="427">
        <v>48675.96</v>
      </c>
      <c r="M4974" s="427" t="s">
        <v>630</v>
      </c>
      <c r="N4974" s="434">
        <v>87881</v>
      </c>
      <c r="O4974" s="436">
        <f t="shared" si="207"/>
        <v>4394050</v>
      </c>
      <c r="P4974" s="89" t="s">
        <v>5521</v>
      </c>
      <c r="Q4974" s="422" t="s">
        <v>47</v>
      </c>
      <c r="R4974" s="422" t="s">
        <v>1869</v>
      </c>
      <c r="S4974" s="422" t="s">
        <v>1861</v>
      </c>
      <c r="U4974" s="422" t="s">
        <v>1953</v>
      </c>
      <c r="V4974" s="422" t="s">
        <v>2813</v>
      </c>
    </row>
    <row r="4975" spans="1:22" ht="15.75" thickBot="1" x14ac:dyDescent="0.3">
      <c r="A4975" t="s">
        <v>4592</v>
      </c>
      <c r="B4975" t="s">
        <v>4592</v>
      </c>
      <c r="C4975" s="424" t="str">
        <f t="shared" si="205"/>
        <v>RDO - Rodoviária do Oeste, LDA.</v>
      </c>
      <c r="D4975" t="s">
        <v>629</v>
      </c>
      <c r="F4975" s="422" t="s">
        <v>620</v>
      </c>
      <c r="G4975" s="89" t="s">
        <v>2205</v>
      </c>
      <c r="H4975" s="313" t="s">
        <v>731</v>
      </c>
      <c r="I4975" s="311" t="str">
        <f t="shared" si="206"/>
        <v>Pesado de Passageiros M3:  : Gasóleo : E4</v>
      </c>
      <c r="J4975">
        <v>55</v>
      </c>
      <c r="K4975" s="422">
        <v>2023</v>
      </c>
      <c r="L4975" s="427">
        <v>47398.45</v>
      </c>
      <c r="M4975" s="427" t="s">
        <v>630</v>
      </c>
      <c r="N4975" s="434">
        <v>79529</v>
      </c>
      <c r="O4975" s="436">
        <f t="shared" si="207"/>
        <v>4374095</v>
      </c>
      <c r="P4975" s="89" t="s">
        <v>5522</v>
      </c>
      <c r="Q4975" s="422" t="s">
        <v>47</v>
      </c>
      <c r="R4975" s="422" t="s">
        <v>1869</v>
      </c>
      <c r="S4975" s="422" t="s">
        <v>1861</v>
      </c>
      <c r="U4975" s="422" t="s">
        <v>1953</v>
      </c>
      <c r="V4975" s="422" t="s">
        <v>2813</v>
      </c>
    </row>
    <row r="4976" spans="1:22" ht="15.75" thickBot="1" x14ac:dyDescent="0.3">
      <c r="A4976" t="s">
        <v>4592</v>
      </c>
      <c r="B4976" t="s">
        <v>4592</v>
      </c>
      <c r="C4976" s="424" t="str">
        <f t="shared" si="205"/>
        <v>RDO - Rodoviária do Oeste, LDA.</v>
      </c>
      <c r="D4976" t="s">
        <v>629</v>
      </c>
      <c r="F4976" s="422" t="s">
        <v>620</v>
      </c>
      <c r="G4976" s="89" t="s">
        <v>2205</v>
      </c>
      <c r="H4976" s="313" t="s">
        <v>731</v>
      </c>
      <c r="I4976" s="311" t="str">
        <f t="shared" si="206"/>
        <v>Pesado de Passageiros M3:  : Gasóleo : E4</v>
      </c>
      <c r="J4976">
        <v>55</v>
      </c>
      <c r="K4976" s="422">
        <v>2023</v>
      </c>
      <c r="L4976" s="427">
        <v>38260.350000000006</v>
      </c>
      <c r="M4976" s="427" t="s">
        <v>630</v>
      </c>
      <c r="N4976" s="434">
        <v>64879</v>
      </c>
      <c r="O4976" s="436">
        <f t="shared" si="207"/>
        <v>3568345</v>
      </c>
      <c r="P4976" s="89" t="s">
        <v>5523</v>
      </c>
      <c r="Q4976" s="422" t="s">
        <v>47</v>
      </c>
      <c r="R4976" s="422" t="s">
        <v>1869</v>
      </c>
      <c r="S4976" s="422" t="s">
        <v>1861</v>
      </c>
      <c r="U4976" s="422" t="s">
        <v>1953</v>
      </c>
      <c r="V4976" s="422" t="s">
        <v>2813</v>
      </c>
    </row>
    <row r="4977" spans="1:22" ht="15.75" thickBot="1" x14ac:dyDescent="0.3">
      <c r="A4977" t="s">
        <v>4592</v>
      </c>
      <c r="B4977" t="s">
        <v>4592</v>
      </c>
      <c r="C4977" s="424" t="str">
        <f t="shared" si="205"/>
        <v>RDO - Rodoviária do Oeste, LDA.</v>
      </c>
      <c r="D4977" t="s">
        <v>629</v>
      </c>
      <c r="F4977" s="422" t="s">
        <v>620</v>
      </c>
      <c r="G4977" s="89" t="s">
        <v>2205</v>
      </c>
      <c r="H4977" s="313" t="s">
        <v>731</v>
      </c>
      <c r="I4977" s="311" t="str">
        <f t="shared" si="206"/>
        <v>Pesado de Passageiros M3:  : Gasóleo : E4</v>
      </c>
      <c r="J4977">
        <v>55</v>
      </c>
      <c r="K4977" s="422">
        <v>2023</v>
      </c>
      <c r="L4977" s="427">
        <v>47509.020000000004</v>
      </c>
      <c r="M4977" s="427" t="s">
        <v>630</v>
      </c>
      <c r="N4977" s="434">
        <v>84362</v>
      </c>
      <c r="O4977" s="436">
        <f t="shared" si="207"/>
        <v>4639910</v>
      </c>
      <c r="P4977" s="89" t="s">
        <v>5524</v>
      </c>
      <c r="Q4977" s="422" t="s">
        <v>47</v>
      </c>
      <c r="R4977" s="422" t="s">
        <v>1869</v>
      </c>
      <c r="S4977" s="422" t="s">
        <v>1861</v>
      </c>
      <c r="U4977" s="422" t="s">
        <v>1953</v>
      </c>
      <c r="V4977" s="422" t="s">
        <v>2813</v>
      </c>
    </row>
    <row r="4978" spans="1:22" ht="15.75" thickBot="1" x14ac:dyDescent="0.3">
      <c r="A4978" t="s">
        <v>4592</v>
      </c>
      <c r="B4978" t="s">
        <v>4592</v>
      </c>
      <c r="C4978" s="424" t="str">
        <f t="shared" si="205"/>
        <v>RDO - Rodoviária do Oeste, LDA.</v>
      </c>
      <c r="D4978" t="s">
        <v>629</v>
      </c>
      <c r="F4978" s="422" t="s">
        <v>620</v>
      </c>
      <c r="G4978" s="89" t="s">
        <v>2208</v>
      </c>
      <c r="H4978" s="313" t="s">
        <v>736</v>
      </c>
      <c r="I4978" s="311" t="str">
        <f t="shared" si="206"/>
        <v>Pesado de Passageiros M3:  : Gasóleo : E1</v>
      </c>
      <c r="J4978">
        <v>83</v>
      </c>
      <c r="K4978" s="422">
        <v>2023</v>
      </c>
      <c r="L4978" s="427">
        <v>21790.61</v>
      </c>
      <c r="M4978" s="427" t="s">
        <v>630</v>
      </c>
      <c r="N4978" s="434">
        <v>45012</v>
      </c>
      <c r="O4978" s="436">
        <f t="shared" si="207"/>
        <v>3735996</v>
      </c>
      <c r="P4978" s="89" t="s">
        <v>5525</v>
      </c>
      <c r="Q4978" s="422" t="s">
        <v>47</v>
      </c>
      <c r="R4978" s="422" t="s">
        <v>1869</v>
      </c>
      <c r="S4978" s="422" t="s">
        <v>1861</v>
      </c>
      <c r="U4978" s="422" t="s">
        <v>1953</v>
      </c>
      <c r="V4978" s="422" t="s">
        <v>2813</v>
      </c>
    </row>
    <row r="4979" spans="1:22" ht="15.75" thickBot="1" x14ac:dyDescent="0.3">
      <c r="A4979" t="s">
        <v>4592</v>
      </c>
      <c r="B4979" t="s">
        <v>4592</v>
      </c>
      <c r="C4979" s="424" t="str">
        <f t="shared" si="205"/>
        <v>RDO - Rodoviária do Oeste, LDA.</v>
      </c>
      <c r="D4979" t="s">
        <v>629</v>
      </c>
      <c r="F4979" s="422" t="s">
        <v>620</v>
      </c>
      <c r="G4979" s="89" t="s">
        <v>2210</v>
      </c>
      <c r="H4979" s="313" t="s">
        <v>735</v>
      </c>
      <c r="I4979" s="311" t="str">
        <f t="shared" si="206"/>
        <v>Pesado de Passageiros M3:  : Gasóleo : E2</v>
      </c>
      <c r="J4979">
        <v>83</v>
      </c>
      <c r="K4979" s="422">
        <v>2023</v>
      </c>
      <c r="L4979" s="427">
        <v>21186.52</v>
      </c>
      <c r="M4979" s="427" t="s">
        <v>630</v>
      </c>
      <c r="N4979" s="434">
        <v>41164</v>
      </c>
      <c r="O4979" s="436">
        <f t="shared" si="207"/>
        <v>3416612</v>
      </c>
      <c r="P4979" s="89" t="s">
        <v>5526</v>
      </c>
      <c r="Q4979" s="422" t="s">
        <v>47</v>
      </c>
      <c r="R4979" s="422" t="s">
        <v>1869</v>
      </c>
      <c r="S4979" s="422" t="s">
        <v>1861</v>
      </c>
      <c r="U4979" s="422" t="s">
        <v>1953</v>
      </c>
      <c r="V4979" s="422" t="s">
        <v>2813</v>
      </c>
    </row>
    <row r="4980" spans="1:22" ht="15.75" thickBot="1" x14ac:dyDescent="0.3">
      <c r="A4980" t="s">
        <v>4592</v>
      </c>
      <c r="B4980" t="s">
        <v>4592</v>
      </c>
      <c r="C4980" s="424" t="str">
        <f t="shared" si="205"/>
        <v>RDO - Rodoviária do Oeste, LDA.</v>
      </c>
      <c r="D4980" t="s">
        <v>629</v>
      </c>
      <c r="F4980" s="422" t="s">
        <v>620</v>
      </c>
      <c r="G4980" s="89" t="s">
        <v>2228</v>
      </c>
      <c r="H4980" s="313" t="s">
        <v>732</v>
      </c>
      <c r="I4980" s="311" t="str">
        <f t="shared" si="206"/>
        <v>Pesado de Passageiros M3:  : Gasóleo : E3</v>
      </c>
      <c r="J4980">
        <v>62</v>
      </c>
      <c r="K4980" s="422">
        <v>2023</v>
      </c>
      <c r="L4980" s="427">
        <v>5779.47</v>
      </c>
      <c r="M4980" s="427" t="s">
        <v>630</v>
      </c>
      <c r="N4980" s="434">
        <v>12149</v>
      </c>
      <c r="O4980" s="436">
        <f t="shared" si="207"/>
        <v>753238</v>
      </c>
      <c r="P4980" s="89" t="s">
        <v>5527</v>
      </c>
      <c r="Q4980" s="422" t="s">
        <v>47</v>
      </c>
      <c r="R4980" s="422" t="s">
        <v>1869</v>
      </c>
      <c r="S4980" s="422" t="s">
        <v>1861</v>
      </c>
      <c r="U4980" s="422" t="s">
        <v>1953</v>
      </c>
      <c r="V4980" s="422" t="s">
        <v>2813</v>
      </c>
    </row>
    <row r="4981" spans="1:22" ht="15.75" thickBot="1" x14ac:dyDescent="0.3">
      <c r="A4981" t="s">
        <v>4592</v>
      </c>
      <c r="B4981" t="s">
        <v>4592</v>
      </c>
      <c r="C4981" s="424" t="str">
        <f t="shared" si="205"/>
        <v>RDO - Rodoviária do Oeste, LDA.</v>
      </c>
      <c r="D4981" t="s">
        <v>629</v>
      </c>
      <c r="F4981" s="422" t="s">
        <v>620</v>
      </c>
      <c r="G4981" s="89" t="s">
        <v>2228</v>
      </c>
      <c r="H4981" s="313" t="s">
        <v>732</v>
      </c>
      <c r="I4981" s="311" t="str">
        <f t="shared" si="206"/>
        <v>Pesado de Passageiros M3:  : Gasóleo : E3</v>
      </c>
      <c r="J4981">
        <v>62</v>
      </c>
      <c r="K4981" s="422">
        <v>2023</v>
      </c>
      <c r="L4981" s="427">
        <v>26024.309999999998</v>
      </c>
      <c r="M4981" s="427" t="s">
        <v>630</v>
      </c>
      <c r="N4981" s="434">
        <v>45153</v>
      </c>
      <c r="O4981" s="436">
        <f t="shared" si="207"/>
        <v>2799486</v>
      </c>
      <c r="P4981" s="89" t="s">
        <v>5528</v>
      </c>
      <c r="Q4981" s="422" t="s">
        <v>47</v>
      </c>
      <c r="R4981" s="422" t="s">
        <v>1869</v>
      </c>
      <c r="S4981" s="422" t="s">
        <v>1861</v>
      </c>
      <c r="U4981" s="422" t="s">
        <v>1953</v>
      </c>
      <c r="V4981" s="422" t="s">
        <v>2813</v>
      </c>
    </row>
    <row r="4982" spans="1:22" ht="15.75" thickBot="1" x14ac:dyDescent="0.3">
      <c r="A4982" t="s">
        <v>4592</v>
      </c>
      <c r="B4982" t="s">
        <v>4592</v>
      </c>
      <c r="C4982" s="424" t="str">
        <f t="shared" si="205"/>
        <v>RDO - Rodoviária do Oeste, LDA.</v>
      </c>
      <c r="D4982" t="s">
        <v>629</v>
      </c>
      <c r="F4982" s="422" t="s">
        <v>620</v>
      </c>
      <c r="G4982" s="89" t="s">
        <v>2228</v>
      </c>
      <c r="H4982" s="313" t="s">
        <v>732</v>
      </c>
      <c r="I4982" s="311" t="str">
        <f t="shared" si="206"/>
        <v>Pesado de Passageiros M3:  : Gasóleo : E3</v>
      </c>
      <c r="J4982">
        <v>62</v>
      </c>
      <c r="K4982" s="422">
        <v>2023</v>
      </c>
      <c r="L4982" s="427">
        <v>22525.4</v>
      </c>
      <c r="M4982" s="427" t="s">
        <v>630</v>
      </c>
      <c r="N4982" s="434">
        <v>34215</v>
      </c>
      <c r="O4982" s="436">
        <f t="shared" si="207"/>
        <v>2121330</v>
      </c>
      <c r="P4982" s="89" t="s">
        <v>5529</v>
      </c>
      <c r="Q4982" s="422" t="s">
        <v>47</v>
      </c>
      <c r="R4982" s="422" t="s">
        <v>1869</v>
      </c>
      <c r="S4982" s="422" t="s">
        <v>1861</v>
      </c>
      <c r="U4982" s="422" t="s">
        <v>1953</v>
      </c>
      <c r="V4982" s="422" t="s">
        <v>2813</v>
      </c>
    </row>
    <row r="4983" spans="1:22" ht="15.75" thickBot="1" x14ac:dyDescent="0.3">
      <c r="A4983" t="s">
        <v>4592</v>
      </c>
      <c r="B4983" t="s">
        <v>4592</v>
      </c>
      <c r="C4983" s="424" t="str">
        <f t="shared" si="205"/>
        <v>RDO - Rodoviária do Oeste, LDA.</v>
      </c>
      <c r="D4983" t="s">
        <v>629</v>
      </c>
      <c r="F4983" s="422" t="s">
        <v>620</v>
      </c>
      <c r="G4983" s="89" t="s">
        <v>2228</v>
      </c>
      <c r="H4983" s="313" t="s">
        <v>732</v>
      </c>
      <c r="I4983" s="311" t="str">
        <f t="shared" si="206"/>
        <v>Pesado de Passageiros M3:  : Gasóleo : E3</v>
      </c>
      <c r="J4983">
        <v>62</v>
      </c>
      <c r="K4983" s="422">
        <v>2023</v>
      </c>
      <c r="L4983" s="427">
        <v>27976.300000000003</v>
      </c>
      <c r="M4983" s="427" t="s">
        <v>630</v>
      </c>
      <c r="N4983" s="434">
        <v>46304</v>
      </c>
      <c r="O4983" s="436">
        <f t="shared" si="207"/>
        <v>2870848</v>
      </c>
      <c r="P4983" s="89" t="s">
        <v>5530</v>
      </c>
      <c r="Q4983" s="422" t="s">
        <v>47</v>
      </c>
      <c r="R4983" s="422" t="s">
        <v>1869</v>
      </c>
      <c r="S4983" s="422" t="s">
        <v>1861</v>
      </c>
      <c r="U4983" s="422" t="s">
        <v>1953</v>
      </c>
      <c r="V4983" s="422" t="s">
        <v>2813</v>
      </c>
    </row>
    <row r="4984" spans="1:22" ht="15.75" thickBot="1" x14ac:dyDescent="0.3">
      <c r="A4984" t="s">
        <v>4592</v>
      </c>
      <c r="B4984" t="s">
        <v>4592</v>
      </c>
      <c r="C4984" s="424" t="str">
        <f t="shared" si="205"/>
        <v>RDO - Rodoviária do Oeste, LDA.</v>
      </c>
      <c r="D4984" t="s">
        <v>629</v>
      </c>
      <c r="F4984" s="422" t="s">
        <v>620</v>
      </c>
      <c r="G4984" s="89" t="s">
        <v>2222</v>
      </c>
      <c r="H4984" s="313" t="s">
        <v>732</v>
      </c>
      <c r="I4984" s="311" t="str">
        <f t="shared" si="206"/>
        <v>Pesado de Passageiros M3:  : Gasóleo : E3</v>
      </c>
      <c r="J4984">
        <v>57</v>
      </c>
      <c r="K4984" s="422">
        <v>2023</v>
      </c>
      <c r="L4984" s="427">
        <v>12974.03</v>
      </c>
      <c r="M4984" s="427" t="s">
        <v>630</v>
      </c>
      <c r="N4984" s="434">
        <v>24089</v>
      </c>
      <c r="O4984" s="436">
        <f t="shared" si="207"/>
        <v>1373073</v>
      </c>
      <c r="P4984" s="89" t="s">
        <v>5531</v>
      </c>
      <c r="Q4984" s="422" t="s">
        <v>47</v>
      </c>
      <c r="R4984" s="422" t="s">
        <v>1869</v>
      </c>
      <c r="S4984" s="422" t="s">
        <v>1861</v>
      </c>
      <c r="U4984" s="422" t="s">
        <v>1953</v>
      </c>
      <c r="V4984" s="422" t="s">
        <v>2813</v>
      </c>
    </row>
    <row r="4985" spans="1:22" ht="15.75" thickBot="1" x14ac:dyDescent="0.3">
      <c r="A4985" t="s">
        <v>4592</v>
      </c>
      <c r="B4985" t="s">
        <v>4592</v>
      </c>
      <c r="C4985" s="424" t="str">
        <f t="shared" si="205"/>
        <v>RDO - Rodoviária do Oeste, LDA.</v>
      </c>
      <c r="D4985" t="s">
        <v>629</v>
      </c>
      <c r="F4985" s="422" t="s">
        <v>620</v>
      </c>
      <c r="G4985" s="89" t="s">
        <v>2219</v>
      </c>
      <c r="H4985" s="313" t="s">
        <v>732</v>
      </c>
      <c r="I4985" s="311" t="str">
        <f t="shared" si="206"/>
        <v>Pesado de Passageiros M3:  : Gasóleo : E3</v>
      </c>
      <c r="J4985">
        <v>68</v>
      </c>
      <c r="K4985" s="422">
        <v>2023</v>
      </c>
      <c r="L4985" s="427">
        <v>25665.48</v>
      </c>
      <c r="M4985" s="427" t="s">
        <v>630</v>
      </c>
      <c r="N4985" s="434">
        <v>41108</v>
      </c>
      <c r="O4985" s="436">
        <f t="shared" si="207"/>
        <v>2795344</v>
      </c>
      <c r="P4985" s="89" t="s">
        <v>5532</v>
      </c>
      <c r="Q4985" s="422" t="s">
        <v>47</v>
      </c>
      <c r="R4985" s="422" t="s">
        <v>1869</v>
      </c>
      <c r="S4985" s="422" t="s">
        <v>1861</v>
      </c>
      <c r="U4985" s="422" t="s">
        <v>1953</v>
      </c>
      <c r="V4985" s="422" t="s">
        <v>2813</v>
      </c>
    </row>
    <row r="4986" spans="1:22" ht="15.75" thickBot="1" x14ac:dyDescent="0.3">
      <c r="A4986" t="s">
        <v>4592</v>
      </c>
      <c r="B4986" t="s">
        <v>4592</v>
      </c>
      <c r="C4986" s="424" t="str">
        <f t="shared" si="205"/>
        <v>RDO - Rodoviária do Oeste, LDA.</v>
      </c>
      <c r="D4986" t="s">
        <v>629</v>
      </c>
      <c r="F4986" s="422" t="s">
        <v>620</v>
      </c>
      <c r="G4986" s="89" t="s">
        <v>2224</v>
      </c>
      <c r="H4986" s="313" t="s">
        <v>732</v>
      </c>
      <c r="I4986" s="311" t="str">
        <f t="shared" si="206"/>
        <v>Pesado de Passageiros M3:  : Gasóleo : E3</v>
      </c>
      <c r="J4986">
        <v>57</v>
      </c>
      <c r="K4986" s="422">
        <v>2023</v>
      </c>
      <c r="L4986" s="427">
        <v>22845.46</v>
      </c>
      <c r="M4986" s="427" t="s">
        <v>630</v>
      </c>
      <c r="N4986" s="434">
        <v>36708</v>
      </c>
      <c r="O4986" s="436">
        <f t="shared" si="207"/>
        <v>2092356</v>
      </c>
      <c r="P4986" s="89" t="s">
        <v>5533</v>
      </c>
      <c r="Q4986" s="422" t="s">
        <v>47</v>
      </c>
      <c r="R4986" s="422" t="s">
        <v>1869</v>
      </c>
      <c r="S4986" s="422" t="s">
        <v>1861</v>
      </c>
      <c r="U4986" s="422" t="s">
        <v>1953</v>
      </c>
      <c r="V4986" s="422" t="s">
        <v>2813</v>
      </c>
    </row>
    <row r="4987" spans="1:22" ht="15.75" thickBot="1" x14ac:dyDescent="0.3">
      <c r="A4987" t="s">
        <v>4592</v>
      </c>
      <c r="B4987" t="s">
        <v>4592</v>
      </c>
      <c r="C4987" s="424" t="str">
        <f t="shared" si="205"/>
        <v>RDO - Rodoviária do Oeste, LDA.</v>
      </c>
      <c r="D4987" t="s">
        <v>629</v>
      </c>
      <c r="F4987" s="422" t="s">
        <v>620</v>
      </c>
      <c r="G4987" s="89" t="s">
        <v>2210</v>
      </c>
      <c r="H4987" s="313" t="s">
        <v>735</v>
      </c>
      <c r="I4987" s="311" t="str">
        <f t="shared" si="206"/>
        <v>Pesado de Passageiros M3:  : Gasóleo : E2</v>
      </c>
      <c r="J4987">
        <v>80</v>
      </c>
      <c r="K4987" s="422">
        <v>2023</v>
      </c>
      <c r="L4987" s="427">
        <v>0</v>
      </c>
      <c r="M4987" s="427" t="s">
        <v>630</v>
      </c>
      <c r="N4987" s="434">
        <v>0</v>
      </c>
      <c r="O4987" s="436">
        <f t="shared" si="207"/>
        <v>0</v>
      </c>
      <c r="P4987" s="89" t="s">
        <v>5534</v>
      </c>
      <c r="Q4987" s="422" t="s">
        <v>47</v>
      </c>
      <c r="R4987" s="422" t="s">
        <v>1869</v>
      </c>
      <c r="S4987" s="422" t="s">
        <v>1861</v>
      </c>
      <c r="U4987" s="422" t="s">
        <v>1953</v>
      </c>
      <c r="V4987" s="422" t="s">
        <v>2813</v>
      </c>
    </row>
    <row r="4988" spans="1:22" ht="15.75" thickBot="1" x14ac:dyDescent="0.3">
      <c r="A4988" t="s">
        <v>4592</v>
      </c>
      <c r="B4988" t="s">
        <v>4592</v>
      </c>
      <c r="C4988" s="424" t="str">
        <f t="shared" si="205"/>
        <v>RDO - Rodoviária do Oeste, LDA.</v>
      </c>
      <c r="D4988" t="s">
        <v>629</v>
      </c>
      <c r="F4988" s="422" t="s">
        <v>620</v>
      </c>
      <c r="G4988" s="89" t="s">
        <v>2204</v>
      </c>
      <c r="H4988" s="313" t="s">
        <v>731</v>
      </c>
      <c r="I4988" s="311" t="str">
        <f t="shared" si="206"/>
        <v>Pesado de Passageiros M3:  : Gasóleo : E4</v>
      </c>
      <c r="J4988">
        <v>30</v>
      </c>
      <c r="K4988" s="422">
        <v>2023</v>
      </c>
      <c r="L4988" s="427">
        <v>4773.4699999999993</v>
      </c>
      <c r="M4988" s="427" t="s">
        <v>630</v>
      </c>
      <c r="N4988" s="434">
        <v>17178</v>
      </c>
      <c r="O4988" s="436">
        <f t="shared" si="207"/>
        <v>515340</v>
      </c>
      <c r="P4988" s="89" t="s">
        <v>5535</v>
      </c>
      <c r="Q4988" s="422" t="s">
        <v>47</v>
      </c>
      <c r="R4988" s="422" t="s">
        <v>1869</v>
      </c>
      <c r="S4988" s="422" t="s">
        <v>1861</v>
      </c>
      <c r="U4988" s="422" t="s">
        <v>1953</v>
      </c>
      <c r="V4988" s="422" t="s">
        <v>2813</v>
      </c>
    </row>
    <row r="4989" spans="1:22" ht="15.75" thickBot="1" x14ac:dyDescent="0.3">
      <c r="A4989" t="s">
        <v>4592</v>
      </c>
      <c r="B4989" t="s">
        <v>4592</v>
      </c>
      <c r="C4989" s="424" t="str">
        <f t="shared" si="205"/>
        <v>RDO - Rodoviária do Oeste, LDA.</v>
      </c>
      <c r="D4989" t="s">
        <v>629</v>
      </c>
      <c r="F4989" s="422" t="s">
        <v>620</v>
      </c>
      <c r="G4989" s="89" t="s">
        <v>2204</v>
      </c>
      <c r="H4989" s="313" t="s">
        <v>731</v>
      </c>
      <c r="I4989" s="311" t="str">
        <f t="shared" si="206"/>
        <v>Pesado de Passageiros M3:  : Gasóleo : E4</v>
      </c>
      <c r="J4989">
        <v>30</v>
      </c>
      <c r="K4989" s="422">
        <v>2023</v>
      </c>
      <c r="L4989" s="427">
        <v>1400.24</v>
      </c>
      <c r="M4989" s="427" t="s">
        <v>630</v>
      </c>
      <c r="N4989" s="434">
        <v>8139</v>
      </c>
      <c r="O4989" s="436">
        <f t="shared" si="207"/>
        <v>244170</v>
      </c>
      <c r="P4989" s="89" t="s">
        <v>5536</v>
      </c>
      <c r="Q4989" s="422" t="s">
        <v>47</v>
      </c>
      <c r="R4989" s="422" t="s">
        <v>1869</v>
      </c>
      <c r="S4989" s="422" t="s">
        <v>1861</v>
      </c>
      <c r="U4989" s="422" t="s">
        <v>1953</v>
      </c>
      <c r="V4989" s="422" t="s">
        <v>2813</v>
      </c>
    </row>
    <row r="4990" spans="1:22" ht="15.75" thickBot="1" x14ac:dyDescent="0.3">
      <c r="A4990" t="s">
        <v>4592</v>
      </c>
      <c r="B4990" t="s">
        <v>4592</v>
      </c>
      <c r="C4990" s="424" t="str">
        <f t="shared" si="205"/>
        <v>RDO - Rodoviária do Oeste, LDA.</v>
      </c>
      <c r="D4990" t="s">
        <v>629</v>
      </c>
      <c r="F4990" s="422" t="s">
        <v>620</v>
      </c>
      <c r="G4990" s="89" t="s">
        <v>2205</v>
      </c>
      <c r="H4990" s="313" t="s">
        <v>731</v>
      </c>
      <c r="I4990" s="311" t="str">
        <f t="shared" si="206"/>
        <v>Pesado de Passageiros M3:  : Gasóleo : E4</v>
      </c>
      <c r="J4990">
        <v>30</v>
      </c>
      <c r="K4990" s="422">
        <v>2023</v>
      </c>
      <c r="L4990" s="427">
        <v>8516.619999999999</v>
      </c>
      <c r="M4990" s="427" t="s">
        <v>630</v>
      </c>
      <c r="N4990" s="434">
        <v>32236</v>
      </c>
      <c r="O4990" s="436">
        <f t="shared" si="207"/>
        <v>967080</v>
      </c>
      <c r="P4990" s="89" t="s">
        <v>5537</v>
      </c>
      <c r="Q4990" s="422" t="s">
        <v>47</v>
      </c>
      <c r="R4990" s="422" t="s">
        <v>1869</v>
      </c>
      <c r="S4990" s="422" t="s">
        <v>1861</v>
      </c>
      <c r="U4990" s="422" t="s">
        <v>1953</v>
      </c>
      <c r="V4990" s="422" t="s">
        <v>2813</v>
      </c>
    </row>
    <row r="4991" spans="1:22" ht="15.75" thickBot="1" x14ac:dyDescent="0.3">
      <c r="A4991" t="s">
        <v>4592</v>
      </c>
      <c r="B4991" t="s">
        <v>4592</v>
      </c>
      <c r="C4991" s="424" t="str">
        <f t="shared" si="205"/>
        <v>RDO - Rodoviária do Oeste, LDA.</v>
      </c>
      <c r="D4991" t="s">
        <v>629</v>
      </c>
      <c r="F4991" s="422" t="s">
        <v>620</v>
      </c>
      <c r="G4991" s="89" t="s">
        <v>2221</v>
      </c>
      <c r="H4991" s="313" t="s">
        <v>734</v>
      </c>
      <c r="I4991" s="311" t="str">
        <f t="shared" si="206"/>
        <v>Pesado de Passageiros M3:  : Gasóleo : E5</v>
      </c>
      <c r="J4991">
        <v>50</v>
      </c>
      <c r="K4991" s="422">
        <v>2023</v>
      </c>
      <c r="L4991" s="427">
        <v>44861.45</v>
      </c>
      <c r="M4991" s="427" t="s">
        <v>630</v>
      </c>
      <c r="N4991" s="434">
        <v>77661</v>
      </c>
      <c r="O4991" s="436">
        <f t="shared" si="207"/>
        <v>3883050</v>
      </c>
      <c r="P4991" s="89" t="s">
        <v>5538</v>
      </c>
      <c r="Q4991" s="422" t="s">
        <v>47</v>
      </c>
      <c r="R4991" s="422" t="s">
        <v>1869</v>
      </c>
      <c r="S4991" s="422" t="s">
        <v>1861</v>
      </c>
      <c r="U4991" s="422" t="s">
        <v>1953</v>
      </c>
      <c r="V4991" s="422" t="s">
        <v>2813</v>
      </c>
    </row>
    <row r="4992" spans="1:22" ht="15.75" thickBot="1" x14ac:dyDescent="0.3">
      <c r="A4992" t="s">
        <v>4592</v>
      </c>
      <c r="B4992" t="s">
        <v>4592</v>
      </c>
      <c r="C4992" s="424" t="str">
        <f t="shared" si="205"/>
        <v>RDO - Rodoviária do Oeste, LDA.</v>
      </c>
      <c r="D4992" t="s">
        <v>629</v>
      </c>
      <c r="F4992" s="422" t="s">
        <v>620</v>
      </c>
      <c r="G4992" s="89" t="s">
        <v>2224</v>
      </c>
      <c r="H4992" s="313" t="s">
        <v>732</v>
      </c>
      <c r="I4992" s="311" t="str">
        <f t="shared" si="206"/>
        <v>Pesado de Passageiros M3:  : Gasóleo : E3</v>
      </c>
      <c r="J4992">
        <v>69</v>
      </c>
      <c r="K4992" s="422">
        <v>2023</v>
      </c>
      <c r="L4992" s="427">
        <v>17101.669999999998</v>
      </c>
      <c r="M4992" s="427" t="s">
        <v>630</v>
      </c>
      <c r="N4992" s="434">
        <v>28878</v>
      </c>
      <c r="O4992" s="436">
        <f t="shared" si="207"/>
        <v>1992582</v>
      </c>
      <c r="P4992" s="89" t="s">
        <v>5539</v>
      </c>
      <c r="Q4992" s="422" t="s">
        <v>47</v>
      </c>
      <c r="R4992" s="422" t="s">
        <v>1869</v>
      </c>
      <c r="S4992" s="422" t="s">
        <v>1861</v>
      </c>
      <c r="U4992" s="422" t="s">
        <v>1953</v>
      </c>
      <c r="V4992" s="422" t="s">
        <v>2813</v>
      </c>
    </row>
    <row r="4993" spans="1:22" ht="15.75" thickBot="1" x14ac:dyDescent="0.3">
      <c r="A4993" t="s">
        <v>4592</v>
      </c>
      <c r="B4993" t="s">
        <v>4592</v>
      </c>
      <c r="C4993" s="424" t="str">
        <f t="shared" si="205"/>
        <v>RDO - Rodoviária do Oeste, LDA.</v>
      </c>
      <c r="D4993" t="s">
        <v>629</v>
      </c>
      <c r="F4993" s="422" t="s">
        <v>620</v>
      </c>
      <c r="G4993" s="89" t="s">
        <v>2215</v>
      </c>
      <c r="H4993" s="313" t="s">
        <v>735</v>
      </c>
      <c r="I4993" s="311" t="str">
        <f t="shared" si="206"/>
        <v>Pesado de Passageiros M3:  : Gasóleo : E2</v>
      </c>
      <c r="J4993">
        <v>55</v>
      </c>
      <c r="K4993" s="422">
        <v>2023</v>
      </c>
      <c r="L4993" s="427">
        <v>10107.66</v>
      </c>
      <c r="M4993" s="427" t="s">
        <v>630</v>
      </c>
      <c r="N4993" s="434">
        <v>18670</v>
      </c>
      <c r="O4993" s="436">
        <f t="shared" si="207"/>
        <v>1026850</v>
      </c>
      <c r="P4993" s="89" t="s">
        <v>5540</v>
      </c>
      <c r="Q4993" s="422" t="s">
        <v>47</v>
      </c>
      <c r="R4993" s="422" t="s">
        <v>1869</v>
      </c>
      <c r="S4993" s="422" t="s">
        <v>1861</v>
      </c>
      <c r="U4993" s="422" t="s">
        <v>1953</v>
      </c>
      <c r="V4993" s="422" t="s">
        <v>2813</v>
      </c>
    </row>
    <row r="4994" spans="1:22" ht="15.75" thickBot="1" x14ac:dyDescent="0.3">
      <c r="A4994" t="s">
        <v>4592</v>
      </c>
      <c r="B4994" t="s">
        <v>4592</v>
      </c>
      <c r="C4994" s="424" t="str">
        <f t="shared" si="205"/>
        <v>RDO - Rodoviária do Oeste, LDA.</v>
      </c>
      <c r="D4994" t="s">
        <v>629</v>
      </c>
      <c r="F4994" s="422" t="s">
        <v>620</v>
      </c>
      <c r="G4994" s="89" t="s">
        <v>2223</v>
      </c>
      <c r="H4994" s="313" t="s">
        <v>734</v>
      </c>
      <c r="I4994" s="311" t="str">
        <f t="shared" si="206"/>
        <v>Pesado de Passageiros M3:  : Gasóleo : E5</v>
      </c>
      <c r="J4994">
        <v>56</v>
      </c>
      <c r="K4994" s="422">
        <v>2023</v>
      </c>
      <c r="L4994" s="427">
        <v>51100.03</v>
      </c>
      <c r="M4994" s="427" t="s">
        <v>630</v>
      </c>
      <c r="N4994" s="434">
        <v>91944</v>
      </c>
      <c r="O4994" s="436">
        <f t="shared" si="207"/>
        <v>5148864</v>
      </c>
      <c r="P4994" s="89" t="s">
        <v>5541</v>
      </c>
      <c r="Q4994" s="422" t="s">
        <v>47</v>
      </c>
      <c r="R4994" s="422" t="s">
        <v>1869</v>
      </c>
      <c r="S4994" s="422" t="s">
        <v>1861</v>
      </c>
      <c r="U4994" s="422" t="s">
        <v>1953</v>
      </c>
      <c r="V4994" s="422" t="s">
        <v>2813</v>
      </c>
    </row>
    <row r="4995" spans="1:22" ht="15.75" thickBot="1" x14ac:dyDescent="0.3">
      <c r="A4995" t="s">
        <v>4592</v>
      </c>
      <c r="B4995" t="s">
        <v>4592</v>
      </c>
      <c r="C4995" s="424" t="str">
        <f t="shared" si="205"/>
        <v>RDO - Rodoviária do Oeste, LDA.</v>
      </c>
      <c r="D4995" t="s">
        <v>629</v>
      </c>
      <c r="F4995" s="422" t="s">
        <v>620</v>
      </c>
      <c r="G4995" s="89" t="s">
        <v>2211</v>
      </c>
      <c r="H4995" s="313" t="s">
        <v>731</v>
      </c>
      <c r="I4995" s="311" t="str">
        <f t="shared" si="206"/>
        <v>Pesado de Passageiros M3:  : Gasóleo : E4</v>
      </c>
      <c r="J4995">
        <v>35</v>
      </c>
      <c r="K4995" s="422">
        <v>2023</v>
      </c>
      <c r="L4995" s="427">
        <v>5377.74</v>
      </c>
      <c r="M4995" s="427" t="s">
        <v>630</v>
      </c>
      <c r="N4995" s="434">
        <v>9213</v>
      </c>
      <c r="O4995" s="436">
        <f t="shared" si="207"/>
        <v>322455</v>
      </c>
      <c r="P4995" s="89" t="s">
        <v>5542</v>
      </c>
      <c r="Q4995" s="422" t="s">
        <v>47</v>
      </c>
      <c r="R4995" s="422" t="s">
        <v>1869</v>
      </c>
      <c r="S4995" s="422" t="s">
        <v>1861</v>
      </c>
      <c r="U4995" s="422" t="s">
        <v>1953</v>
      </c>
      <c r="V4995" s="422" t="s">
        <v>2813</v>
      </c>
    </row>
    <row r="4996" spans="1:22" ht="15.75" thickBot="1" x14ac:dyDescent="0.3">
      <c r="A4996" t="s">
        <v>4592</v>
      </c>
      <c r="B4996" t="s">
        <v>4592</v>
      </c>
      <c r="C4996" s="424" t="str">
        <f t="shared" si="205"/>
        <v>RDO - Rodoviária do Oeste, LDA.</v>
      </c>
      <c r="D4996" t="s">
        <v>629</v>
      </c>
      <c r="F4996" s="422" t="s">
        <v>620</v>
      </c>
      <c r="G4996" s="89" t="s">
        <v>1954</v>
      </c>
      <c r="H4996" s="313" t="s">
        <v>735</v>
      </c>
      <c r="I4996" s="311" t="str">
        <f t="shared" si="206"/>
        <v>Pesado de Passageiros M3:  : Gasóleo : E2</v>
      </c>
      <c r="J4996">
        <v>73</v>
      </c>
      <c r="K4996" s="422">
        <v>2023</v>
      </c>
      <c r="L4996" s="427">
        <v>11712.83</v>
      </c>
      <c r="M4996" s="427" t="s">
        <v>630</v>
      </c>
      <c r="N4996" s="434">
        <v>24738</v>
      </c>
      <c r="O4996" s="436">
        <f t="shared" si="207"/>
        <v>1805874</v>
      </c>
      <c r="P4996" s="89" t="s">
        <v>5543</v>
      </c>
      <c r="Q4996" s="422" t="s">
        <v>47</v>
      </c>
      <c r="R4996" s="422" t="s">
        <v>1869</v>
      </c>
      <c r="S4996" s="422" t="s">
        <v>1861</v>
      </c>
      <c r="U4996" s="422" t="s">
        <v>1953</v>
      </c>
      <c r="V4996" s="422" t="s">
        <v>2813</v>
      </c>
    </row>
    <row r="4997" spans="1:22" ht="15.75" thickBot="1" x14ac:dyDescent="0.3">
      <c r="A4997" t="s">
        <v>4592</v>
      </c>
      <c r="B4997" t="s">
        <v>4592</v>
      </c>
      <c r="C4997" s="424" t="str">
        <f t="shared" si="205"/>
        <v>RDO - Rodoviária do Oeste, LDA.</v>
      </c>
      <c r="D4997" t="s">
        <v>629</v>
      </c>
      <c r="F4997" s="422" t="s">
        <v>620</v>
      </c>
      <c r="G4997" s="89" t="s">
        <v>1954</v>
      </c>
      <c r="H4997" s="313" t="s">
        <v>735</v>
      </c>
      <c r="I4997" s="311" t="str">
        <f t="shared" si="206"/>
        <v>Pesado de Passageiros M3:  : Gasóleo : E2</v>
      </c>
      <c r="J4997">
        <v>73</v>
      </c>
      <c r="K4997" s="422">
        <v>2023</v>
      </c>
      <c r="L4997" s="427">
        <v>13783.94</v>
      </c>
      <c r="M4997" s="427" t="s">
        <v>630</v>
      </c>
      <c r="N4997" s="434">
        <v>20385</v>
      </c>
      <c r="O4997" s="436">
        <f t="shared" si="207"/>
        <v>1488105</v>
      </c>
      <c r="P4997" s="89" t="s">
        <v>5544</v>
      </c>
      <c r="Q4997" s="422" t="s">
        <v>47</v>
      </c>
      <c r="R4997" s="422" t="s">
        <v>1869</v>
      </c>
      <c r="S4997" s="422" t="s">
        <v>1861</v>
      </c>
      <c r="U4997" s="422" t="s">
        <v>1953</v>
      </c>
      <c r="V4997" s="422" t="s">
        <v>2813</v>
      </c>
    </row>
    <row r="4998" spans="1:22" ht="15.75" thickBot="1" x14ac:dyDescent="0.3">
      <c r="A4998" t="s">
        <v>4592</v>
      </c>
      <c r="B4998" t="s">
        <v>4592</v>
      </c>
      <c r="C4998" s="424" t="str">
        <f t="shared" si="205"/>
        <v>RDO - Rodoviária do Oeste, LDA.</v>
      </c>
      <c r="D4998" t="s">
        <v>629</v>
      </c>
      <c r="F4998" s="422" t="s">
        <v>620</v>
      </c>
      <c r="G4998" s="89" t="s">
        <v>2206</v>
      </c>
      <c r="H4998" s="313" t="s">
        <v>735</v>
      </c>
      <c r="I4998" s="311" t="str">
        <f t="shared" si="206"/>
        <v>Pesado de Passageiros M3:  : Gasóleo : E2</v>
      </c>
      <c r="J4998">
        <v>69</v>
      </c>
      <c r="K4998" s="422">
        <v>2023</v>
      </c>
      <c r="L4998" s="427">
        <v>20726.599999999999</v>
      </c>
      <c r="M4998" s="427" t="s">
        <v>630</v>
      </c>
      <c r="N4998" s="434">
        <v>26601</v>
      </c>
      <c r="O4998" s="436">
        <f t="shared" si="207"/>
        <v>1835469</v>
      </c>
      <c r="P4998" s="89" t="s">
        <v>5545</v>
      </c>
      <c r="Q4998" s="422" t="s">
        <v>47</v>
      </c>
      <c r="R4998" s="422" t="s">
        <v>1869</v>
      </c>
      <c r="S4998" s="422" t="s">
        <v>1861</v>
      </c>
      <c r="U4998" s="422" t="s">
        <v>1953</v>
      </c>
      <c r="V4998" s="422" t="s">
        <v>2813</v>
      </c>
    </row>
    <row r="4999" spans="1:22" ht="15.75" thickBot="1" x14ac:dyDescent="0.3">
      <c r="A4999" t="s">
        <v>4592</v>
      </c>
      <c r="B4999" t="s">
        <v>4592</v>
      </c>
      <c r="C4999" s="424" t="str">
        <f t="shared" si="205"/>
        <v>RDO - Rodoviária do Oeste, LDA.</v>
      </c>
      <c r="D4999" t="s">
        <v>629</v>
      </c>
      <c r="F4999" s="422" t="s">
        <v>620</v>
      </c>
      <c r="G4999" s="89" t="s">
        <v>2206</v>
      </c>
      <c r="H4999" s="313" t="s">
        <v>735</v>
      </c>
      <c r="I4999" s="311" t="str">
        <f t="shared" si="206"/>
        <v>Pesado de Passageiros M3:  : Gasóleo : E2</v>
      </c>
      <c r="J4999">
        <v>100</v>
      </c>
      <c r="K4999" s="422">
        <v>2023</v>
      </c>
      <c r="L4999" s="427">
        <v>12747.869999999999</v>
      </c>
      <c r="M4999" s="427" t="s">
        <v>630</v>
      </c>
      <c r="N4999" s="434">
        <v>19161</v>
      </c>
      <c r="O4999" s="436">
        <f t="shared" si="207"/>
        <v>1916100</v>
      </c>
      <c r="P4999" s="89" t="s">
        <v>5546</v>
      </c>
      <c r="Q4999" s="422" t="s">
        <v>47</v>
      </c>
      <c r="R4999" s="422" t="s">
        <v>1869</v>
      </c>
      <c r="S4999" s="422" t="s">
        <v>1861</v>
      </c>
      <c r="U4999" s="422" t="s">
        <v>1953</v>
      </c>
      <c r="V4999" s="422" t="s">
        <v>2813</v>
      </c>
    </row>
    <row r="5000" spans="1:22" ht="15.75" thickBot="1" x14ac:dyDescent="0.3">
      <c r="A5000" t="s">
        <v>4592</v>
      </c>
      <c r="B5000" t="s">
        <v>4592</v>
      </c>
      <c r="C5000" s="424" t="str">
        <f t="shared" si="205"/>
        <v>RDO - Rodoviária do Oeste, LDA.</v>
      </c>
      <c r="D5000" t="s">
        <v>629</v>
      </c>
      <c r="F5000" s="422" t="s">
        <v>620</v>
      </c>
      <c r="G5000" s="89" t="s">
        <v>2215</v>
      </c>
      <c r="H5000" s="313" t="s">
        <v>735</v>
      </c>
      <c r="I5000" s="311" t="str">
        <f t="shared" si="206"/>
        <v>Pesado de Passageiros M3:  : Gasóleo : E2</v>
      </c>
      <c r="J5000">
        <v>64</v>
      </c>
      <c r="K5000" s="422">
        <v>2023</v>
      </c>
      <c r="L5000" s="427">
        <v>9880.7000000000007</v>
      </c>
      <c r="M5000" s="427" t="s">
        <v>630</v>
      </c>
      <c r="N5000" s="434">
        <v>11781</v>
      </c>
      <c r="O5000" s="436">
        <f t="shared" si="207"/>
        <v>753984</v>
      </c>
      <c r="P5000" s="89" t="s">
        <v>5547</v>
      </c>
      <c r="Q5000" s="422" t="s">
        <v>47</v>
      </c>
      <c r="R5000" s="422" t="s">
        <v>1869</v>
      </c>
      <c r="S5000" s="422" t="s">
        <v>1861</v>
      </c>
      <c r="U5000" s="422" t="s">
        <v>1953</v>
      </c>
      <c r="V5000" s="422" t="s">
        <v>2813</v>
      </c>
    </row>
    <row r="5001" spans="1:22" ht="15.75" thickBot="1" x14ac:dyDescent="0.3">
      <c r="A5001" t="s">
        <v>4592</v>
      </c>
      <c r="B5001" t="s">
        <v>4592</v>
      </c>
      <c r="C5001" s="424" t="str">
        <f t="shared" si="205"/>
        <v>RDO - Rodoviária do Oeste, LDA.</v>
      </c>
      <c r="D5001" t="s">
        <v>629</v>
      </c>
      <c r="F5001" s="422" t="s">
        <v>620</v>
      </c>
      <c r="G5001" s="89" t="s">
        <v>2211</v>
      </c>
      <c r="H5001" s="313" t="s">
        <v>734</v>
      </c>
      <c r="I5001" s="311" t="str">
        <f t="shared" si="206"/>
        <v>Pesado de Passageiros M3:  : Gasóleo : E5</v>
      </c>
      <c r="J5001">
        <v>83</v>
      </c>
      <c r="K5001" s="422">
        <v>2023</v>
      </c>
      <c r="L5001" s="427">
        <v>28758.89</v>
      </c>
      <c r="M5001" s="427" t="s">
        <v>630</v>
      </c>
      <c r="N5001" s="434">
        <v>53714</v>
      </c>
      <c r="O5001" s="436">
        <f t="shared" si="207"/>
        <v>4458262</v>
      </c>
      <c r="P5001" s="89" t="s">
        <v>5548</v>
      </c>
      <c r="Q5001" s="422" t="s">
        <v>47</v>
      </c>
      <c r="R5001" s="422" t="s">
        <v>1869</v>
      </c>
      <c r="S5001" s="422" t="s">
        <v>1861</v>
      </c>
      <c r="U5001" s="422" t="s">
        <v>1953</v>
      </c>
      <c r="V5001" s="422" t="s">
        <v>2813</v>
      </c>
    </row>
    <row r="5002" spans="1:22" ht="15.75" thickBot="1" x14ac:dyDescent="0.3">
      <c r="A5002" t="s">
        <v>4592</v>
      </c>
      <c r="B5002" t="s">
        <v>4592</v>
      </c>
      <c r="C5002" s="424" t="str">
        <f t="shared" si="205"/>
        <v>RDO - Rodoviária do Oeste, LDA.</v>
      </c>
      <c r="D5002" t="s">
        <v>629</v>
      </c>
      <c r="F5002" s="422" t="s">
        <v>620</v>
      </c>
      <c r="G5002" s="89" t="s">
        <v>2211</v>
      </c>
      <c r="H5002" s="313" t="s">
        <v>734</v>
      </c>
      <c r="I5002" s="311" t="str">
        <f t="shared" si="206"/>
        <v>Pesado de Passageiros M3:  : Gasóleo : E5</v>
      </c>
      <c r="J5002">
        <v>83</v>
      </c>
      <c r="K5002" s="422">
        <v>2023</v>
      </c>
      <c r="L5002" s="427">
        <v>11619.939999999999</v>
      </c>
      <c r="M5002" s="427" t="s">
        <v>630</v>
      </c>
      <c r="N5002" s="434">
        <v>29253</v>
      </c>
      <c r="O5002" s="436">
        <f t="shared" si="207"/>
        <v>2427999</v>
      </c>
      <c r="P5002" s="89" t="s">
        <v>5549</v>
      </c>
      <c r="Q5002" s="422" t="s">
        <v>47</v>
      </c>
      <c r="R5002" s="422" t="s">
        <v>1869</v>
      </c>
      <c r="S5002" s="422" t="s">
        <v>1861</v>
      </c>
      <c r="U5002" s="422" t="s">
        <v>1953</v>
      </c>
      <c r="V5002" s="422" t="s">
        <v>2813</v>
      </c>
    </row>
    <row r="5003" spans="1:22" ht="15.75" thickBot="1" x14ac:dyDescent="0.3">
      <c r="A5003" t="s">
        <v>4592</v>
      </c>
      <c r="B5003" t="s">
        <v>4592</v>
      </c>
      <c r="C5003" s="424" t="str">
        <f t="shared" si="205"/>
        <v>RDO - Rodoviária do Oeste, LDA.</v>
      </c>
      <c r="D5003" t="s">
        <v>629</v>
      </c>
      <c r="F5003" s="422" t="s">
        <v>620</v>
      </c>
      <c r="G5003" s="89" t="s">
        <v>2211</v>
      </c>
      <c r="H5003" s="313" t="s">
        <v>734</v>
      </c>
      <c r="I5003" s="311" t="str">
        <f t="shared" si="206"/>
        <v>Pesado de Passageiros M3:  : Gasóleo : E5</v>
      </c>
      <c r="J5003">
        <v>83</v>
      </c>
      <c r="K5003" s="422">
        <v>2023</v>
      </c>
      <c r="L5003" s="427">
        <v>27542.560000000001</v>
      </c>
      <c r="M5003" s="427" t="s">
        <v>630</v>
      </c>
      <c r="N5003" s="434">
        <v>53167</v>
      </c>
      <c r="O5003" s="436">
        <f t="shared" si="207"/>
        <v>4412861</v>
      </c>
      <c r="P5003" s="89" t="s">
        <v>5550</v>
      </c>
      <c r="Q5003" s="422" t="s">
        <v>47</v>
      </c>
      <c r="R5003" s="422" t="s">
        <v>1869</v>
      </c>
      <c r="S5003" s="422" t="s">
        <v>1861</v>
      </c>
      <c r="U5003" s="422" t="s">
        <v>1953</v>
      </c>
      <c r="V5003" s="422" t="s">
        <v>2813</v>
      </c>
    </row>
    <row r="5004" spans="1:22" ht="15.75" thickBot="1" x14ac:dyDescent="0.3">
      <c r="A5004" t="s">
        <v>4592</v>
      </c>
      <c r="B5004" t="s">
        <v>4592</v>
      </c>
      <c r="C5004" s="424" t="str">
        <f t="shared" si="205"/>
        <v>RDO - Rodoviária do Oeste, LDA.</v>
      </c>
      <c r="D5004" t="s">
        <v>629</v>
      </c>
      <c r="F5004" s="422" t="s">
        <v>620</v>
      </c>
      <c r="G5004" s="89" t="s">
        <v>2211</v>
      </c>
      <c r="H5004" s="313" t="s">
        <v>734</v>
      </c>
      <c r="I5004" s="311" t="str">
        <f t="shared" si="206"/>
        <v>Pesado de Passageiros M3:  : Gasóleo : E5</v>
      </c>
      <c r="J5004">
        <v>83</v>
      </c>
      <c r="K5004" s="422">
        <v>2023</v>
      </c>
      <c r="L5004" s="427">
        <v>24383.55</v>
      </c>
      <c r="M5004" s="427" t="s">
        <v>630</v>
      </c>
      <c r="N5004" s="434">
        <v>46363</v>
      </c>
      <c r="O5004" s="436">
        <f t="shared" si="207"/>
        <v>3848129</v>
      </c>
      <c r="P5004" s="89" t="s">
        <v>5551</v>
      </c>
      <c r="Q5004" s="422" t="s">
        <v>47</v>
      </c>
      <c r="R5004" s="422" t="s">
        <v>1869</v>
      </c>
      <c r="S5004" s="422" t="s">
        <v>1861</v>
      </c>
      <c r="U5004" s="422" t="s">
        <v>1953</v>
      </c>
      <c r="V5004" s="422" t="s">
        <v>2813</v>
      </c>
    </row>
    <row r="5005" spans="1:22" ht="15.75" thickBot="1" x14ac:dyDescent="0.3">
      <c r="A5005" t="s">
        <v>4592</v>
      </c>
      <c r="B5005" t="s">
        <v>4592</v>
      </c>
      <c r="C5005" s="424" t="str">
        <f t="shared" si="205"/>
        <v>RDO - Rodoviária do Oeste, LDA.</v>
      </c>
      <c r="D5005" t="s">
        <v>629</v>
      </c>
      <c r="F5005" s="422" t="s">
        <v>620</v>
      </c>
      <c r="G5005" s="89" t="s">
        <v>2211</v>
      </c>
      <c r="H5005" s="313" t="s">
        <v>734</v>
      </c>
      <c r="I5005" s="311" t="str">
        <f t="shared" si="206"/>
        <v>Pesado de Passageiros M3:  : Gasóleo : E5</v>
      </c>
      <c r="J5005">
        <v>83</v>
      </c>
      <c r="K5005" s="422">
        <v>2023</v>
      </c>
      <c r="L5005" s="427">
        <v>15203.260000000002</v>
      </c>
      <c r="M5005" s="427" t="s">
        <v>630</v>
      </c>
      <c r="N5005" s="434">
        <v>34382</v>
      </c>
      <c r="O5005" s="436">
        <f t="shared" si="207"/>
        <v>2853706</v>
      </c>
      <c r="P5005" s="89" t="s">
        <v>5552</v>
      </c>
      <c r="Q5005" s="422" t="s">
        <v>47</v>
      </c>
      <c r="R5005" s="422" t="s">
        <v>1869</v>
      </c>
      <c r="S5005" s="422" t="s">
        <v>1861</v>
      </c>
      <c r="U5005" s="422" t="s">
        <v>1953</v>
      </c>
      <c r="V5005" s="422" t="s">
        <v>2813</v>
      </c>
    </row>
    <row r="5006" spans="1:22" ht="15.75" thickBot="1" x14ac:dyDescent="0.3">
      <c r="A5006" t="s">
        <v>4592</v>
      </c>
      <c r="B5006" t="s">
        <v>4592</v>
      </c>
      <c r="C5006" s="424" t="str">
        <f t="shared" si="205"/>
        <v>RDO - Rodoviária do Oeste, LDA.</v>
      </c>
      <c r="D5006" t="s">
        <v>629</v>
      </c>
      <c r="F5006" s="422" t="s">
        <v>620</v>
      </c>
      <c r="G5006" s="89" t="s">
        <v>2205</v>
      </c>
      <c r="H5006" s="313" t="s">
        <v>734</v>
      </c>
      <c r="I5006" s="311" t="str">
        <f t="shared" si="206"/>
        <v>Pesado de Passageiros M3:  : Gasóleo : E5</v>
      </c>
      <c r="J5006">
        <v>71</v>
      </c>
      <c r="K5006" s="422">
        <v>2023</v>
      </c>
      <c r="L5006" s="427">
        <v>16344.18</v>
      </c>
      <c r="M5006" s="427" t="s">
        <v>630</v>
      </c>
      <c r="N5006" s="434">
        <v>32597</v>
      </c>
      <c r="O5006" s="436">
        <f t="shared" si="207"/>
        <v>2314387</v>
      </c>
      <c r="P5006" s="89" t="s">
        <v>5553</v>
      </c>
      <c r="Q5006" s="422" t="s">
        <v>47</v>
      </c>
      <c r="R5006" s="422" t="s">
        <v>1869</v>
      </c>
      <c r="S5006" s="422" t="s">
        <v>1861</v>
      </c>
      <c r="U5006" s="422" t="s">
        <v>1953</v>
      </c>
      <c r="V5006" s="422" t="s">
        <v>2813</v>
      </c>
    </row>
    <row r="5007" spans="1:22" ht="15.75" thickBot="1" x14ac:dyDescent="0.3">
      <c r="A5007" t="s">
        <v>4592</v>
      </c>
      <c r="B5007" t="s">
        <v>4592</v>
      </c>
      <c r="C5007" s="424" t="str">
        <f t="shared" si="205"/>
        <v>RDO - Rodoviária do Oeste, LDA.</v>
      </c>
      <c r="D5007" t="s">
        <v>629</v>
      </c>
      <c r="F5007" s="422" t="s">
        <v>620</v>
      </c>
      <c r="G5007" s="89" t="s">
        <v>2207</v>
      </c>
      <c r="H5007" s="313" t="s">
        <v>735</v>
      </c>
      <c r="I5007" s="311" t="str">
        <f t="shared" si="206"/>
        <v>Pesado de Passageiros M3:  : Gasóleo : E2</v>
      </c>
      <c r="J5007">
        <v>98</v>
      </c>
      <c r="K5007" s="422">
        <v>2023</v>
      </c>
      <c r="L5007" s="427">
        <v>14144.18</v>
      </c>
      <c r="M5007" s="427" t="s">
        <v>630</v>
      </c>
      <c r="N5007" s="434">
        <v>18457</v>
      </c>
      <c r="O5007" s="436">
        <f t="shared" si="207"/>
        <v>1808786</v>
      </c>
      <c r="P5007" s="89" t="s">
        <v>5554</v>
      </c>
      <c r="Q5007" s="422" t="s">
        <v>47</v>
      </c>
      <c r="R5007" s="422" t="s">
        <v>1869</v>
      </c>
      <c r="S5007" s="422" t="s">
        <v>1861</v>
      </c>
      <c r="U5007" s="422" t="s">
        <v>1953</v>
      </c>
      <c r="V5007" s="422" t="s">
        <v>2813</v>
      </c>
    </row>
    <row r="5008" spans="1:22" ht="15.75" thickBot="1" x14ac:dyDescent="0.3">
      <c r="A5008" t="s">
        <v>4592</v>
      </c>
      <c r="B5008" t="s">
        <v>4592</v>
      </c>
      <c r="C5008" s="424" t="str">
        <f t="shared" si="205"/>
        <v>RDO - Rodoviária do Oeste, LDA.</v>
      </c>
      <c r="D5008" t="s">
        <v>629</v>
      </c>
      <c r="F5008" s="422" t="s">
        <v>620</v>
      </c>
      <c r="G5008" s="89" t="s">
        <v>2228</v>
      </c>
      <c r="H5008" s="313" t="s">
        <v>732</v>
      </c>
      <c r="I5008" s="311" t="str">
        <f t="shared" si="206"/>
        <v>Pesado de Passageiros M3:  : Gasóleo : E3</v>
      </c>
      <c r="J5008">
        <v>62</v>
      </c>
      <c r="K5008" s="422">
        <v>2023</v>
      </c>
      <c r="L5008" s="427">
        <v>13946.970000000001</v>
      </c>
      <c r="M5008" s="427" t="s">
        <v>630</v>
      </c>
      <c r="N5008" s="434">
        <v>22898</v>
      </c>
      <c r="O5008" s="436">
        <f t="shared" si="207"/>
        <v>1419676</v>
      </c>
      <c r="P5008" s="89" t="s">
        <v>5555</v>
      </c>
      <c r="Q5008" s="422" t="s">
        <v>47</v>
      </c>
      <c r="R5008" s="422" t="s">
        <v>1869</v>
      </c>
      <c r="S5008" s="422" t="s">
        <v>1861</v>
      </c>
      <c r="U5008" s="422" t="s">
        <v>1953</v>
      </c>
      <c r="V5008" s="422" t="s">
        <v>2813</v>
      </c>
    </row>
    <row r="5009" spans="1:22" ht="15.75" thickBot="1" x14ac:dyDescent="0.3">
      <c r="A5009" t="s">
        <v>4592</v>
      </c>
      <c r="B5009" t="s">
        <v>4592</v>
      </c>
      <c r="C5009" s="424" t="str">
        <f t="shared" si="205"/>
        <v>RDO - Rodoviária do Oeste, LDA.</v>
      </c>
      <c r="D5009" t="s">
        <v>629</v>
      </c>
      <c r="F5009" s="422" t="s">
        <v>620</v>
      </c>
      <c r="G5009" s="89" t="s">
        <v>2211</v>
      </c>
      <c r="H5009" s="313" t="s">
        <v>732</v>
      </c>
      <c r="I5009" s="311" t="str">
        <f t="shared" si="206"/>
        <v>Pesado de Passageiros M3:  : Gasóleo : E3</v>
      </c>
      <c r="J5009">
        <v>78</v>
      </c>
      <c r="K5009" s="422">
        <v>2023</v>
      </c>
      <c r="L5009" s="427">
        <v>19532.150000000001</v>
      </c>
      <c r="M5009" s="427" t="s">
        <v>630</v>
      </c>
      <c r="N5009" s="434">
        <v>33619</v>
      </c>
      <c r="O5009" s="436">
        <f t="shared" si="207"/>
        <v>2622282</v>
      </c>
      <c r="P5009" s="89" t="s">
        <v>5556</v>
      </c>
      <c r="Q5009" s="422" t="s">
        <v>47</v>
      </c>
      <c r="R5009" s="422" t="s">
        <v>1869</v>
      </c>
      <c r="S5009" s="422" t="s">
        <v>1861</v>
      </c>
      <c r="U5009" s="422" t="s">
        <v>1953</v>
      </c>
      <c r="V5009" s="422" t="s">
        <v>2813</v>
      </c>
    </row>
    <row r="5010" spans="1:22" ht="15.75" thickBot="1" x14ac:dyDescent="0.3">
      <c r="A5010" t="s">
        <v>4592</v>
      </c>
      <c r="B5010" t="s">
        <v>4592</v>
      </c>
      <c r="C5010" s="424" t="str">
        <f t="shared" si="205"/>
        <v>RDO - Rodoviária do Oeste, LDA.</v>
      </c>
      <c r="D5010" t="s">
        <v>629</v>
      </c>
      <c r="F5010" s="422" t="s">
        <v>620</v>
      </c>
      <c r="G5010" s="89" t="s">
        <v>2213</v>
      </c>
      <c r="H5010" s="313" t="s">
        <v>734</v>
      </c>
      <c r="I5010" s="311" t="str">
        <f t="shared" si="206"/>
        <v>Pesado de Passageiros M3:  : Gasóleo : E5</v>
      </c>
      <c r="J5010">
        <v>83</v>
      </c>
      <c r="K5010" s="422">
        <v>2023</v>
      </c>
      <c r="L5010" s="427">
        <v>3769.84</v>
      </c>
      <c r="M5010" s="427" t="s">
        <v>630</v>
      </c>
      <c r="N5010" s="434">
        <v>7603</v>
      </c>
      <c r="O5010" s="436">
        <f t="shared" si="207"/>
        <v>631049</v>
      </c>
      <c r="P5010" s="89" t="s">
        <v>5557</v>
      </c>
      <c r="Q5010" s="422" t="s">
        <v>47</v>
      </c>
      <c r="R5010" s="422" t="s">
        <v>1869</v>
      </c>
      <c r="S5010" s="422" t="s">
        <v>1861</v>
      </c>
      <c r="U5010" s="422" t="s">
        <v>1953</v>
      </c>
      <c r="V5010" s="422" t="s">
        <v>2813</v>
      </c>
    </row>
    <row r="5011" spans="1:22" ht="15.75" thickBot="1" x14ac:dyDescent="0.3">
      <c r="A5011" t="s">
        <v>4592</v>
      </c>
      <c r="B5011" t="s">
        <v>4592</v>
      </c>
      <c r="C5011" s="424" t="str">
        <f t="shared" si="205"/>
        <v>RDO - Rodoviária do Oeste, LDA.</v>
      </c>
      <c r="D5011" t="s">
        <v>629</v>
      </c>
      <c r="F5011" s="422" t="s">
        <v>620</v>
      </c>
      <c r="G5011" s="89" t="s">
        <v>2211</v>
      </c>
      <c r="H5011" s="313" t="s">
        <v>731</v>
      </c>
      <c r="I5011" s="311" t="str">
        <f t="shared" si="206"/>
        <v>Pesado de Passageiros M3:  : Gasóleo : E4</v>
      </c>
      <c r="J5011">
        <v>50</v>
      </c>
      <c r="K5011" s="422">
        <v>2023</v>
      </c>
      <c r="L5011" s="427">
        <v>31588.11</v>
      </c>
      <c r="M5011" s="427" t="s">
        <v>630</v>
      </c>
      <c r="N5011" s="434">
        <v>49586</v>
      </c>
      <c r="O5011" s="436">
        <f t="shared" si="207"/>
        <v>2479300</v>
      </c>
      <c r="P5011" s="89" t="s">
        <v>5558</v>
      </c>
      <c r="Q5011" s="422" t="s">
        <v>47</v>
      </c>
      <c r="R5011" s="422" t="s">
        <v>1869</v>
      </c>
      <c r="S5011" s="422" t="s">
        <v>1861</v>
      </c>
      <c r="U5011" s="422" t="s">
        <v>1953</v>
      </c>
      <c r="V5011" s="422" t="s">
        <v>2813</v>
      </c>
    </row>
    <row r="5012" spans="1:22" ht="15.75" thickBot="1" x14ac:dyDescent="0.3">
      <c r="A5012" t="s">
        <v>4592</v>
      </c>
      <c r="B5012" t="s">
        <v>4592</v>
      </c>
      <c r="C5012" s="424" t="str">
        <f t="shared" si="205"/>
        <v>RDO - Rodoviária do Oeste, LDA.</v>
      </c>
      <c r="D5012" t="s">
        <v>629</v>
      </c>
      <c r="F5012" s="422" t="s">
        <v>620</v>
      </c>
      <c r="G5012" s="89" t="s">
        <v>2204</v>
      </c>
      <c r="H5012" s="313" t="s">
        <v>731</v>
      </c>
      <c r="I5012" s="311" t="str">
        <f t="shared" si="206"/>
        <v>Pesado de Passageiros M3:  : Gasóleo : E4</v>
      </c>
      <c r="J5012">
        <v>65</v>
      </c>
      <c r="K5012" s="422">
        <v>2023</v>
      </c>
      <c r="L5012" s="427">
        <v>69100.94</v>
      </c>
      <c r="M5012" s="427" t="s">
        <v>630</v>
      </c>
      <c r="N5012" s="434">
        <v>115344</v>
      </c>
      <c r="O5012" s="436">
        <f t="shared" si="207"/>
        <v>7497360</v>
      </c>
      <c r="P5012" s="89" t="s">
        <v>5559</v>
      </c>
      <c r="Q5012" s="422" t="s">
        <v>47</v>
      </c>
      <c r="R5012" s="422" t="s">
        <v>1869</v>
      </c>
      <c r="S5012" s="422" t="s">
        <v>1861</v>
      </c>
      <c r="U5012" s="422" t="s">
        <v>1953</v>
      </c>
      <c r="V5012" s="422" t="s">
        <v>2813</v>
      </c>
    </row>
    <row r="5013" spans="1:22" ht="15.75" thickBot="1" x14ac:dyDescent="0.3">
      <c r="A5013" t="s">
        <v>4592</v>
      </c>
      <c r="B5013" t="s">
        <v>4592</v>
      </c>
      <c r="C5013" s="424" t="str">
        <f t="shared" si="205"/>
        <v>RDO - Rodoviária do Oeste, LDA.</v>
      </c>
      <c r="D5013" t="s">
        <v>629</v>
      </c>
      <c r="F5013" s="422" t="s">
        <v>620</v>
      </c>
      <c r="G5013" s="89" t="s">
        <v>2204</v>
      </c>
      <c r="H5013" s="313" t="s">
        <v>731</v>
      </c>
      <c r="I5013" s="311" t="str">
        <f t="shared" si="206"/>
        <v>Pesado de Passageiros M3:  : Gasóleo : E4</v>
      </c>
      <c r="J5013">
        <v>57</v>
      </c>
      <c r="K5013" s="422">
        <v>2023</v>
      </c>
      <c r="L5013" s="427">
        <v>929.49</v>
      </c>
      <c r="M5013" s="427" t="s">
        <v>630</v>
      </c>
      <c r="N5013" s="434">
        <v>3068</v>
      </c>
      <c r="O5013" s="436">
        <f t="shared" si="207"/>
        <v>174876</v>
      </c>
      <c r="P5013" s="89" t="s">
        <v>5560</v>
      </c>
      <c r="Q5013" s="422" t="s">
        <v>47</v>
      </c>
      <c r="R5013" s="422" t="s">
        <v>1869</v>
      </c>
      <c r="S5013" s="422" t="s">
        <v>1861</v>
      </c>
      <c r="U5013" s="422" t="s">
        <v>1953</v>
      </c>
      <c r="V5013" s="422" t="s">
        <v>2813</v>
      </c>
    </row>
    <row r="5014" spans="1:22" ht="15.75" thickBot="1" x14ac:dyDescent="0.3">
      <c r="A5014" t="s">
        <v>4592</v>
      </c>
      <c r="B5014" t="s">
        <v>4592</v>
      </c>
      <c r="C5014" s="424" t="str">
        <f t="shared" si="205"/>
        <v>RDO - Rodoviária do Oeste, LDA.</v>
      </c>
      <c r="D5014" t="s">
        <v>629</v>
      </c>
      <c r="F5014" s="422" t="s">
        <v>620</v>
      </c>
      <c r="G5014" s="89" t="s">
        <v>2226</v>
      </c>
      <c r="H5014" s="313" t="s">
        <v>733</v>
      </c>
      <c r="I5014" s="311" t="str">
        <f t="shared" si="206"/>
        <v>Pesado de Passageiros M3:  : Gasóleo : E6</v>
      </c>
      <c r="J5014">
        <v>28</v>
      </c>
      <c r="K5014" s="422">
        <v>2023</v>
      </c>
      <c r="L5014" s="427">
        <v>13520.64</v>
      </c>
      <c r="M5014" s="427" t="s">
        <v>630</v>
      </c>
      <c r="N5014" s="434">
        <v>47370</v>
      </c>
      <c r="O5014" s="436">
        <f t="shared" si="207"/>
        <v>1326360</v>
      </c>
      <c r="P5014" s="89" t="s">
        <v>5561</v>
      </c>
      <c r="Q5014" s="422" t="s">
        <v>47</v>
      </c>
      <c r="R5014" s="422" t="s">
        <v>1869</v>
      </c>
      <c r="S5014" s="422" t="s">
        <v>1861</v>
      </c>
      <c r="U5014" s="422" t="s">
        <v>1953</v>
      </c>
      <c r="V5014" s="422" t="s">
        <v>2813</v>
      </c>
    </row>
    <row r="5015" spans="1:22" ht="15.75" thickBot="1" x14ac:dyDescent="0.3">
      <c r="A5015" t="s">
        <v>4592</v>
      </c>
      <c r="B5015" t="s">
        <v>4592</v>
      </c>
      <c r="C5015" s="424" t="str">
        <f t="shared" si="205"/>
        <v>RDO - Rodoviária do Oeste, LDA.</v>
      </c>
      <c r="D5015" t="s">
        <v>629</v>
      </c>
      <c r="F5015" s="422" t="s">
        <v>620</v>
      </c>
      <c r="G5015" s="89" t="s">
        <v>2226</v>
      </c>
      <c r="H5015" s="313" t="s">
        <v>733</v>
      </c>
      <c r="I5015" s="311" t="str">
        <f t="shared" si="206"/>
        <v>Pesado de Passageiros M3:  : Gasóleo : E6</v>
      </c>
      <c r="J5015">
        <v>28</v>
      </c>
      <c r="K5015" s="422">
        <v>2023</v>
      </c>
      <c r="L5015" s="427">
        <v>10579.529999999999</v>
      </c>
      <c r="M5015" s="427" t="s">
        <v>630</v>
      </c>
      <c r="N5015" s="434">
        <v>35542</v>
      </c>
      <c r="O5015" s="436">
        <f t="shared" si="207"/>
        <v>995176</v>
      </c>
      <c r="P5015" s="89" t="s">
        <v>5562</v>
      </c>
      <c r="Q5015" s="422" t="s">
        <v>47</v>
      </c>
      <c r="R5015" s="422" t="s">
        <v>1869</v>
      </c>
      <c r="S5015" s="422" t="s">
        <v>1861</v>
      </c>
      <c r="U5015" s="422" t="s">
        <v>1953</v>
      </c>
      <c r="V5015" s="422" t="s">
        <v>2813</v>
      </c>
    </row>
    <row r="5016" spans="1:22" ht="15.75" thickBot="1" x14ac:dyDescent="0.3">
      <c r="A5016" t="s">
        <v>4592</v>
      </c>
      <c r="B5016" t="s">
        <v>4592</v>
      </c>
      <c r="C5016" s="424" t="str">
        <f t="shared" ref="C5016:C5041" si="208">IF(A5016=B5016,B5016,RIGHT(A5016,LEN(A5016)-LEN(B5016)-3))</f>
        <v>RDO - Rodoviária do Oeste, LDA.</v>
      </c>
      <c r="D5016" t="s">
        <v>629</v>
      </c>
      <c r="F5016" s="422" t="s">
        <v>620</v>
      </c>
      <c r="G5016" s="89" t="s">
        <v>2226</v>
      </c>
      <c r="H5016" s="313" t="s">
        <v>733</v>
      </c>
      <c r="I5016" s="311" t="str">
        <f t="shared" si="206"/>
        <v>Pesado de Passageiros M3:  : Gasóleo : E6</v>
      </c>
      <c r="J5016">
        <v>28</v>
      </c>
      <c r="K5016" s="422">
        <v>2023</v>
      </c>
      <c r="L5016" s="427">
        <v>10849.1</v>
      </c>
      <c r="M5016" s="427" t="s">
        <v>630</v>
      </c>
      <c r="N5016" s="434">
        <v>29948</v>
      </c>
      <c r="O5016" s="436">
        <f t="shared" si="207"/>
        <v>838544</v>
      </c>
      <c r="P5016" s="89" t="s">
        <v>5563</v>
      </c>
      <c r="Q5016" s="422" t="s">
        <v>47</v>
      </c>
      <c r="R5016" s="422" t="s">
        <v>1869</v>
      </c>
      <c r="S5016" s="422" t="s">
        <v>1861</v>
      </c>
      <c r="U5016" s="422" t="s">
        <v>1953</v>
      </c>
      <c r="V5016" s="422" t="s">
        <v>2813</v>
      </c>
    </row>
    <row r="5017" spans="1:22" ht="15.75" thickBot="1" x14ac:dyDescent="0.3">
      <c r="A5017" t="s">
        <v>4592</v>
      </c>
      <c r="B5017" t="s">
        <v>4592</v>
      </c>
      <c r="C5017" s="424" t="str">
        <f t="shared" si="208"/>
        <v>RDO - Rodoviária do Oeste, LDA.</v>
      </c>
      <c r="D5017" t="s">
        <v>629</v>
      </c>
      <c r="F5017" s="422" t="s">
        <v>620</v>
      </c>
      <c r="G5017" s="89" t="s">
        <v>2226</v>
      </c>
      <c r="H5017" s="313" t="s">
        <v>733</v>
      </c>
      <c r="I5017" s="311" t="str">
        <f t="shared" si="206"/>
        <v>Pesado de Passageiros M3:  : Gasóleo : E6</v>
      </c>
      <c r="J5017">
        <v>28</v>
      </c>
      <c r="K5017" s="422">
        <v>2023</v>
      </c>
      <c r="L5017" s="427">
        <v>11559.93</v>
      </c>
      <c r="M5017" s="427" t="s">
        <v>630</v>
      </c>
      <c r="N5017" s="434">
        <v>39133</v>
      </c>
      <c r="O5017" s="436">
        <f t="shared" si="207"/>
        <v>1095724</v>
      </c>
      <c r="P5017" s="89" t="s">
        <v>5564</v>
      </c>
      <c r="Q5017" s="422" t="s">
        <v>47</v>
      </c>
      <c r="R5017" s="422" t="s">
        <v>1869</v>
      </c>
      <c r="S5017" s="422" t="s">
        <v>1861</v>
      </c>
      <c r="U5017" s="422" t="s">
        <v>1953</v>
      </c>
      <c r="V5017" s="422" t="s">
        <v>2813</v>
      </c>
    </row>
    <row r="5018" spans="1:22" ht="15.75" thickBot="1" x14ac:dyDescent="0.3">
      <c r="A5018" t="s">
        <v>4592</v>
      </c>
      <c r="B5018" t="s">
        <v>4592</v>
      </c>
      <c r="C5018" s="424" t="str">
        <f t="shared" si="208"/>
        <v>RDO - Rodoviária do Oeste, LDA.</v>
      </c>
      <c r="D5018" t="s">
        <v>629</v>
      </c>
      <c r="F5018" s="422" t="s">
        <v>620</v>
      </c>
      <c r="G5018" s="89" t="s">
        <v>2224</v>
      </c>
      <c r="H5018" s="313" t="s">
        <v>732</v>
      </c>
      <c r="I5018" s="311" t="str">
        <f t="shared" si="206"/>
        <v>Pesado de Passageiros M3:  : Gasóleo : E3</v>
      </c>
      <c r="J5018">
        <v>53</v>
      </c>
      <c r="K5018" s="422">
        <v>2023</v>
      </c>
      <c r="L5018" s="427">
        <v>21900.02</v>
      </c>
      <c r="M5018" s="427" t="s">
        <v>630</v>
      </c>
      <c r="N5018" s="434">
        <v>38491</v>
      </c>
      <c r="O5018" s="436">
        <f t="shared" si="207"/>
        <v>2040023</v>
      </c>
      <c r="P5018" s="89" t="s">
        <v>5565</v>
      </c>
      <c r="Q5018" s="422" t="s">
        <v>47</v>
      </c>
      <c r="R5018" s="422" t="s">
        <v>1869</v>
      </c>
      <c r="S5018" s="422" t="s">
        <v>1861</v>
      </c>
      <c r="U5018" s="422" t="s">
        <v>1953</v>
      </c>
      <c r="V5018" s="422" t="s">
        <v>2813</v>
      </c>
    </row>
    <row r="5019" spans="1:22" ht="15.75" thickBot="1" x14ac:dyDescent="0.3">
      <c r="A5019" t="s">
        <v>4592</v>
      </c>
      <c r="B5019" t="s">
        <v>4592</v>
      </c>
      <c r="C5019" s="424" t="str">
        <f t="shared" si="208"/>
        <v>RDO - Rodoviária do Oeste, LDA.</v>
      </c>
      <c r="D5019" t="s">
        <v>629</v>
      </c>
      <c r="F5019" s="422" t="s">
        <v>620</v>
      </c>
      <c r="G5019" s="89" t="s">
        <v>2224</v>
      </c>
      <c r="H5019" s="313" t="s">
        <v>732</v>
      </c>
      <c r="I5019" s="311" t="str">
        <f t="shared" si="206"/>
        <v>Pesado de Passageiros M3:  : Gasóleo : E3</v>
      </c>
      <c r="J5019">
        <v>81</v>
      </c>
      <c r="K5019" s="422">
        <v>2023</v>
      </c>
      <c r="L5019" s="427">
        <v>12977.39</v>
      </c>
      <c r="M5019" s="427" t="s">
        <v>630</v>
      </c>
      <c r="N5019" s="434">
        <v>23254</v>
      </c>
      <c r="O5019" s="436">
        <f t="shared" si="207"/>
        <v>1883574</v>
      </c>
      <c r="P5019" s="89" t="s">
        <v>5566</v>
      </c>
      <c r="Q5019" s="422" t="s">
        <v>47</v>
      </c>
      <c r="R5019" s="422" t="s">
        <v>1869</v>
      </c>
      <c r="S5019" s="422" t="s">
        <v>1861</v>
      </c>
      <c r="U5019" s="422" t="s">
        <v>1953</v>
      </c>
      <c r="V5019" s="422" t="s">
        <v>2813</v>
      </c>
    </row>
    <row r="5020" spans="1:22" ht="15.75" thickBot="1" x14ac:dyDescent="0.3">
      <c r="A5020" t="s">
        <v>4592</v>
      </c>
      <c r="B5020" t="s">
        <v>4592</v>
      </c>
      <c r="C5020" s="424" t="str">
        <f t="shared" si="208"/>
        <v>RDO - Rodoviária do Oeste, LDA.</v>
      </c>
      <c r="D5020" t="s">
        <v>629</v>
      </c>
      <c r="F5020" s="422" t="s">
        <v>620</v>
      </c>
      <c r="G5020" s="89" t="s">
        <v>2228</v>
      </c>
      <c r="H5020" s="313" t="s">
        <v>732</v>
      </c>
      <c r="I5020" s="311" t="str">
        <f t="shared" si="206"/>
        <v>Pesado de Passageiros M3:  : Gasóleo : E3</v>
      </c>
      <c r="J5020">
        <v>55</v>
      </c>
      <c r="K5020" s="422">
        <v>2023</v>
      </c>
      <c r="L5020" s="427">
        <v>21466.720000000001</v>
      </c>
      <c r="M5020" s="427" t="s">
        <v>630</v>
      </c>
      <c r="N5020" s="434">
        <v>38377</v>
      </c>
      <c r="O5020" s="436">
        <f t="shared" si="207"/>
        <v>2110735</v>
      </c>
      <c r="P5020" s="89" t="s">
        <v>5567</v>
      </c>
      <c r="Q5020" s="422" t="s">
        <v>47</v>
      </c>
      <c r="R5020" s="422" t="s">
        <v>1869</v>
      </c>
      <c r="S5020" s="422" t="s">
        <v>1861</v>
      </c>
      <c r="U5020" s="422" t="s">
        <v>1953</v>
      </c>
      <c r="V5020" s="422" t="s">
        <v>2813</v>
      </c>
    </row>
    <row r="5021" spans="1:22" ht="15.75" thickBot="1" x14ac:dyDescent="0.3">
      <c r="A5021" t="s">
        <v>4592</v>
      </c>
      <c r="B5021" t="s">
        <v>4592</v>
      </c>
      <c r="C5021" s="424" t="str">
        <f t="shared" si="208"/>
        <v>RDO - Rodoviária do Oeste, LDA.</v>
      </c>
      <c r="D5021" t="s">
        <v>629</v>
      </c>
      <c r="F5021" s="422" t="s">
        <v>620</v>
      </c>
      <c r="G5021" s="89" t="s">
        <v>2228</v>
      </c>
      <c r="H5021" s="313" t="s">
        <v>732</v>
      </c>
      <c r="I5021" s="311" t="str">
        <f t="shared" si="206"/>
        <v>Pesado de Passageiros M3:  : Gasóleo : E3</v>
      </c>
      <c r="J5021">
        <v>55</v>
      </c>
      <c r="K5021" s="422">
        <v>2023</v>
      </c>
      <c r="L5021" s="427">
        <v>10133.27</v>
      </c>
      <c r="M5021" s="427" t="s">
        <v>630</v>
      </c>
      <c r="N5021" s="434">
        <v>21456</v>
      </c>
      <c r="O5021" s="436">
        <f t="shared" si="207"/>
        <v>1180080</v>
      </c>
      <c r="P5021" s="89" t="s">
        <v>5568</v>
      </c>
      <c r="Q5021" s="422" t="s">
        <v>47</v>
      </c>
      <c r="R5021" s="422" t="s">
        <v>1869</v>
      </c>
      <c r="S5021" s="422" t="s">
        <v>1861</v>
      </c>
      <c r="U5021" s="422" t="s">
        <v>1953</v>
      </c>
      <c r="V5021" s="422" t="s">
        <v>2813</v>
      </c>
    </row>
    <row r="5022" spans="1:22" ht="15.75" thickBot="1" x14ac:dyDescent="0.3">
      <c r="A5022" t="s">
        <v>4592</v>
      </c>
      <c r="B5022" t="s">
        <v>4592</v>
      </c>
      <c r="C5022" s="424" t="str">
        <f t="shared" si="208"/>
        <v>RDO - Rodoviária do Oeste, LDA.</v>
      </c>
      <c r="D5022" t="s">
        <v>629</v>
      </c>
      <c r="F5022" s="422" t="s">
        <v>620</v>
      </c>
      <c r="G5022" s="89" t="s">
        <v>2222</v>
      </c>
      <c r="H5022" s="313" t="s">
        <v>732</v>
      </c>
      <c r="I5022" s="311" t="str">
        <f t="shared" si="206"/>
        <v>Pesado de Passageiros M3:  : Gasóleo : E3</v>
      </c>
      <c r="J5022">
        <v>55</v>
      </c>
      <c r="K5022" s="422">
        <v>2023</v>
      </c>
      <c r="L5022" s="427">
        <v>22428.899999999998</v>
      </c>
      <c r="M5022" s="427" t="s">
        <v>630</v>
      </c>
      <c r="N5022" s="434">
        <v>38537</v>
      </c>
      <c r="O5022" s="436">
        <f t="shared" si="207"/>
        <v>2119535</v>
      </c>
      <c r="P5022" s="89" t="s">
        <v>5569</v>
      </c>
      <c r="Q5022" s="422" t="s">
        <v>47</v>
      </c>
      <c r="R5022" s="422" t="s">
        <v>1869</v>
      </c>
      <c r="S5022" s="422" t="s">
        <v>1861</v>
      </c>
      <c r="U5022" s="422" t="s">
        <v>1953</v>
      </c>
      <c r="V5022" s="422" t="s">
        <v>2813</v>
      </c>
    </row>
    <row r="5023" spans="1:22" ht="15.75" thickBot="1" x14ac:dyDescent="0.3">
      <c r="A5023" t="s">
        <v>4592</v>
      </c>
      <c r="B5023" t="s">
        <v>4592</v>
      </c>
      <c r="C5023" s="424" t="str">
        <f t="shared" si="208"/>
        <v>RDO - Rodoviária do Oeste, LDA.</v>
      </c>
      <c r="D5023" t="s">
        <v>629</v>
      </c>
      <c r="F5023" s="422" t="s">
        <v>620</v>
      </c>
      <c r="G5023" s="89" t="s">
        <v>2222</v>
      </c>
      <c r="H5023" s="313" t="s">
        <v>732</v>
      </c>
      <c r="I5023" s="311" t="str">
        <f t="shared" si="206"/>
        <v>Pesado de Passageiros M3:  : Gasóleo : E3</v>
      </c>
      <c r="J5023">
        <v>70</v>
      </c>
      <c r="K5023" s="422">
        <v>2023</v>
      </c>
      <c r="L5023" s="427">
        <v>23757.17</v>
      </c>
      <c r="M5023" s="427" t="s">
        <v>630</v>
      </c>
      <c r="N5023" s="434">
        <v>39324</v>
      </c>
      <c r="O5023" s="436">
        <f t="shared" si="207"/>
        <v>2752680</v>
      </c>
      <c r="P5023" s="89" t="s">
        <v>5570</v>
      </c>
      <c r="Q5023" s="422" t="s">
        <v>47</v>
      </c>
      <c r="R5023" s="422" t="s">
        <v>1869</v>
      </c>
      <c r="S5023" s="422" t="s">
        <v>1861</v>
      </c>
      <c r="U5023" s="422" t="s">
        <v>1953</v>
      </c>
      <c r="V5023" s="422" t="s">
        <v>2813</v>
      </c>
    </row>
    <row r="5024" spans="1:22" ht="15.75" thickBot="1" x14ac:dyDescent="0.3">
      <c r="A5024" t="s">
        <v>4592</v>
      </c>
      <c r="B5024" t="s">
        <v>4592</v>
      </c>
      <c r="C5024" s="424" t="str">
        <f t="shared" si="208"/>
        <v>RDO - Rodoviária do Oeste, LDA.</v>
      </c>
      <c r="D5024" t="s">
        <v>629</v>
      </c>
      <c r="F5024" s="422" t="s">
        <v>620</v>
      </c>
      <c r="G5024" s="89" t="s">
        <v>2222</v>
      </c>
      <c r="H5024" s="313" t="s">
        <v>732</v>
      </c>
      <c r="I5024" s="311" t="str">
        <f t="shared" si="206"/>
        <v>Pesado de Passageiros M3:  : Gasóleo : E3</v>
      </c>
      <c r="J5024">
        <v>55</v>
      </c>
      <c r="K5024" s="422">
        <v>2023</v>
      </c>
      <c r="L5024" s="427">
        <v>13373.630000000001</v>
      </c>
      <c r="M5024" s="427" t="s">
        <v>630</v>
      </c>
      <c r="N5024" s="434">
        <v>20114</v>
      </c>
      <c r="O5024" s="436">
        <f t="shared" si="207"/>
        <v>1106270</v>
      </c>
      <c r="P5024" s="89" t="s">
        <v>5571</v>
      </c>
      <c r="Q5024" s="422" t="s">
        <v>47</v>
      </c>
      <c r="R5024" s="422" t="s">
        <v>1869</v>
      </c>
      <c r="S5024" s="422" t="s">
        <v>1861</v>
      </c>
      <c r="U5024" s="422" t="s">
        <v>1953</v>
      </c>
      <c r="V5024" s="422" t="s">
        <v>2813</v>
      </c>
    </row>
    <row r="5025" spans="1:22" ht="15.75" thickBot="1" x14ac:dyDescent="0.3">
      <c r="A5025" t="s">
        <v>4592</v>
      </c>
      <c r="B5025" t="s">
        <v>4592</v>
      </c>
      <c r="C5025" s="424" t="str">
        <f t="shared" si="208"/>
        <v>RDO - Rodoviária do Oeste, LDA.</v>
      </c>
      <c r="D5025" t="s">
        <v>629</v>
      </c>
      <c r="F5025" s="422" t="s">
        <v>620</v>
      </c>
      <c r="G5025" s="89" t="s">
        <v>2222</v>
      </c>
      <c r="H5025" s="313" t="s">
        <v>732</v>
      </c>
      <c r="I5025" s="311" t="str">
        <f t="shared" si="206"/>
        <v>Pesado de Passageiros M3:  : Gasóleo : E3</v>
      </c>
      <c r="J5025">
        <v>64</v>
      </c>
      <c r="K5025" s="422">
        <v>2023</v>
      </c>
      <c r="L5025" s="427">
        <v>4450.24</v>
      </c>
      <c r="M5025" s="427" t="s">
        <v>630</v>
      </c>
      <c r="N5025" s="434">
        <v>8593</v>
      </c>
      <c r="O5025" s="436">
        <f t="shared" si="207"/>
        <v>549952</v>
      </c>
      <c r="P5025" s="89" t="s">
        <v>5572</v>
      </c>
      <c r="Q5025" s="422" t="s">
        <v>47</v>
      </c>
      <c r="R5025" s="422" t="s">
        <v>1869</v>
      </c>
      <c r="S5025" s="422" t="s">
        <v>1861</v>
      </c>
      <c r="U5025" s="422" t="s">
        <v>1953</v>
      </c>
      <c r="V5025" s="422" t="s">
        <v>2813</v>
      </c>
    </row>
    <row r="5026" spans="1:22" ht="15.75" thickBot="1" x14ac:dyDescent="0.3">
      <c r="A5026" t="s">
        <v>4592</v>
      </c>
      <c r="B5026" t="s">
        <v>4592</v>
      </c>
      <c r="C5026" s="424" t="str">
        <f t="shared" si="208"/>
        <v>RDO - Rodoviária do Oeste, LDA.</v>
      </c>
      <c r="D5026" t="s">
        <v>629</v>
      </c>
      <c r="F5026" s="422" t="s">
        <v>620</v>
      </c>
      <c r="G5026" s="89" t="s">
        <v>2219</v>
      </c>
      <c r="H5026" s="313" t="s">
        <v>732</v>
      </c>
      <c r="I5026" s="311" t="str">
        <f t="shared" ref="I5026:I5089" si="209">D5026&amp;": "&amp;E5026&amp;" : "&amp;F5026&amp;" : "&amp;H5026</f>
        <v>Pesado de Passageiros M3:  : Gasóleo : E3</v>
      </c>
      <c r="J5026">
        <v>51</v>
      </c>
      <c r="K5026" s="422">
        <v>2023</v>
      </c>
      <c r="L5026" s="427">
        <v>23936.2</v>
      </c>
      <c r="M5026" s="427" t="s">
        <v>630</v>
      </c>
      <c r="N5026" s="434">
        <v>38088</v>
      </c>
      <c r="O5026" s="436">
        <f t="shared" ref="O5026:O5089" si="210">N5026*J5026</f>
        <v>1942488</v>
      </c>
      <c r="P5026" s="89" t="s">
        <v>5573</v>
      </c>
      <c r="Q5026" s="422" t="s">
        <v>47</v>
      </c>
      <c r="R5026" s="422" t="s">
        <v>1869</v>
      </c>
      <c r="S5026" s="422" t="s">
        <v>1861</v>
      </c>
      <c r="U5026" s="422" t="s">
        <v>1953</v>
      </c>
      <c r="V5026" s="422" t="s">
        <v>2813</v>
      </c>
    </row>
    <row r="5027" spans="1:22" ht="15.75" thickBot="1" x14ac:dyDescent="0.3">
      <c r="A5027" t="s">
        <v>4592</v>
      </c>
      <c r="B5027" t="s">
        <v>4592</v>
      </c>
      <c r="C5027" s="424" t="str">
        <f t="shared" si="208"/>
        <v>RDO - Rodoviária do Oeste, LDA.</v>
      </c>
      <c r="D5027" t="s">
        <v>629</v>
      </c>
      <c r="F5027" s="422" t="s">
        <v>620</v>
      </c>
      <c r="G5027" s="89" t="s">
        <v>2220</v>
      </c>
      <c r="H5027" s="313" t="s">
        <v>732</v>
      </c>
      <c r="I5027" s="311" t="str">
        <f t="shared" si="209"/>
        <v>Pesado de Passageiros M3:  : Gasóleo : E3</v>
      </c>
      <c r="J5027">
        <v>67</v>
      </c>
      <c r="K5027" s="422">
        <v>2023</v>
      </c>
      <c r="L5027" s="427">
        <v>20645.5</v>
      </c>
      <c r="M5027" s="427" t="s">
        <v>630</v>
      </c>
      <c r="N5027" s="434">
        <v>32042</v>
      </c>
      <c r="O5027" s="436">
        <f t="shared" si="210"/>
        <v>2146814</v>
      </c>
      <c r="P5027" s="89" t="s">
        <v>5574</v>
      </c>
      <c r="Q5027" s="422" t="s">
        <v>47</v>
      </c>
      <c r="R5027" s="422" t="s">
        <v>1869</v>
      </c>
      <c r="S5027" s="422" t="s">
        <v>1861</v>
      </c>
      <c r="U5027" s="422" t="s">
        <v>1953</v>
      </c>
      <c r="V5027" s="422" t="s">
        <v>2813</v>
      </c>
    </row>
    <row r="5028" spans="1:22" ht="15.75" thickBot="1" x14ac:dyDescent="0.3">
      <c r="A5028" t="s">
        <v>4592</v>
      </c>
      <c r="B5028" t="s">
        <v>4592</v>
      </c>
      <c r="C5028" s="424" t="str">
        <f t="shared" si="208"/>
        <v>RDO - Rodoviária do Oeste, LDA.</v>
      </c>
      <c r="D5028" t="s">
        <v>629</v>
      </c>
      <c r="F5028" s="422" t="s">
        <v>620</v>
      </c>
      <c r="G5028" s="89" t="s">
        <v>2220</v>
      </c>
      <c r="H5028" s="313" t="s">
        <v>732</v>
      </c>
      <c r="I5028" s="311" t="str">
        <f t="shared" si="209"/>
        <v>Pesado de Passageiros M3:  : Gasóleo : E3</v>
      </c>
      <c r="J5028">
        <v>55</v>
      </c>
      <c r="K5028" s="422">
        <v>2023</v>
      </c>
      <c r="L5028" s="427">
        <v>17332.47</v>
      </c>
      <c r="M5028" s="427" t="s">
        <v>630</v>
      </c>
      <c r="N5028" s="434">
        <v>24393</v>
      </c>
      <c r="O5028" s="436">
        <f t="shared" si="210"/>
        <v>1341615</v>
      </c>
      <c r="P5028" s="89" t="s">
        <v>5575</v>
      </c>
      <c r="Q5028" s="422" t="s">
        <v>47</v>
      </c>
      <c r="R5028" s="422" t="s">
        <v>1869</v>
      </c>
      <c r="S5028" s="422" t="s">
        <v>1861</v>
      </c>
      <c r="U5028" s="422" t="s">
        <v>1953</v>
      </c>
      <c r="V5028" s="422" t="s">
        <v>2813</v>
      </c>
    </row>
    <row r="5029" spans="1:22" ht="15.75" thickBot="1" x14ac:dyDescent="0.3">
      <c r="A5029" t="s">
        <v>4592</v>
      </c>
      <c r="B5029" t="s">
        <v>4592</v>
      </c>
      <c r="C5029" s="424" t="str">
        <f t="shared" si="208"/>
        <v>RDO - Rodoviária do Oeste, LDA.</v>
      </c>
      <c r="D5029" t="s">
        <v>629</v>
      </c>
      <c r="F5029" s="422" t="s">
        <v>620</v>
      </c>
      <c r="G5029" s="89" t="s">
        <v>2220</v>
      </c>
      <c r="H5029" s="313" t="s">
        <v>732</v>
      </c>
      <c r="I5029" s="311" t="str">
        <f t="shared" si="209"/>
        <v>Pesado de Passageiros M3:  : Gasóleo : E3</v>
      </c>
      <c r="J5029">
        <v>78</v>
      </c>
      <c r="K5029" s="422">
        <v>2023</v>
      </c>
      <c r="L5029" s="427">
        <v>13355.42</v>
      </c>
      <c r="M5029" s="427" t="s">
        <v>630</v>
      </c>
      <c r="N5029" s="434">
        <v>19241</v>
      </c>
      <c r="O5029" s="436">
        <f t="shared" si="210"/>
        <v>1500798</v>
      </c>
      <c r="P5029" s="89" t="s">
        <v>5576</v>
      </c>
      <c r="Q5029" s="422" t="s">
        <v>47</v>
      </c>
      <c r="R5029" s="422" t="s">
        <v>1869</v>
      </c>
      <c r="S5029" s="422" t="s">
        <v>1861</v>
      </c>
      <c r="U5029" s="422" t="s">
        <v>1953</v>
      </c>
      <c r="V5029" s="422" t="s">
        <v>2813</v>
      </c>
    </row>
    <row r="5030" spans="1:22" ht="15.75" thickBot="1" x14ac:dyDescent="0.3">
      <c r="A5030" t="s">
        <v>4592</v>
      </c>
      <c r="B5030" t="s">
        <v>4592</v>
      </c>
      <c r="C5030" s="424" t="str">
        <f t="shared" si="208"/>
        <v>RDO - Rodoviária do Oeste, LDA.</v>
      </c>
      <c r="D5030" t="s">
        <v>629</v>
      </c>
      <c r="F5030" s="422" t="s">
        <v>620</v>
      </c>
      <c r="G5030" s="89" t="s">
        <v>2220</v>
      </c>
      <c r="H5030" s="313" t="s">
        <v>732</v>
      </c>
      <c r="I5030" s="311" t="str">
        <f t="shared" si="209"/>
        <v>Pesado de Passageiros M3:  : Gasóleo : E3</v>
      </c>
      <c r="J5030">
        <v>73</v>
      </c>
      <c r="K5030" s="422">
        <v>2023</v>
      </c>
      <c r="L5030" s="427">
        <v>14253.24</v>
      </c>
      <c r="M5030" s="427" t="s">
        <v>630</v>
      </c>
      <c r="N5030" s="434">
        <v>24059</v>
      </c>
      <c r="O5030" s="436">
        <f t="shared" si="210"/>
        <v>1756307</v>
      </c>
      <c r="P5030" s="89" t="s">
        <v>5577</v>
      </c>
      <c r="Q5030" s="422" t="s">
        <v>47</v>
      </c>
      <c r="R5030" s="422" t="s">
        <v>1869</v>
      </c>
      <c r="S5030" s="422" t="s">
        <v>1861</v>
      </c>
      <c r="U5030" s="422" t="s">
        <v>1953</v>
      </c>
      <c r="V5030" s="422" t="s">
        <v>2813</v>
      </c>
    </row>
    <row r="5031" spans="1:22" ht="15.75" thickBot="1" x14ac:dyDescent="0.3">
      <c r="A5031" t="s">
        <v>4592</v>
      </c>
      <c r="B5031" t="s">
        <v>4592</v>
      </c>
      <c r="C5031" s="424" t="str">
        <f t="shared" si="208"/>
        <v>RDO - Rodoviária do Oeste, LDA.</v>
      </c>
      <c r="D5031" t="s">
        <v>629</v>
      </c>
      <c r="F5031" s="422" t="s">
        <v>620</v>
      </c>
      <c r="G5031" s="89" t="s">
        <v>2211</v>
      </c>
      <c r="H5031" s="313" t="s">
        <v>731</v>
      </c>
      <c r="I5031" s="311" t="str">
        <f t="shared" si="209"/>
        <v>Pesado de Passageiros M3:  : Gasóleo : E4</v>
      </c>
      <c r="J5031">
        <v>28</v>
      </c>
      <c r="K5031" s="422">
        <v>2023</v>
      </c>
      <c r="L5031" s="427">
        <v>7388.42</v>
      </c>
      <c r="M5031" s="427" t="s">
        <v>630</v>
      </c>
      <c r="N5031" s="434">
        <v>26654</v>
      </c>
      <c r="O5031" s="436">
        <f t="shared" si="210"/>
        <v>746312</v>
      </c>
      <c r="P5031" s="89" t="s">
        <v>5578</v>
      </c>
      <c r="Q5031" s="422" t="s">
        <v>47</v>
      </c>
      <c r="R5031" s="422" t="s">
        <v>1869</v>
      </c>
      <c r="S5031" s="422" t="s">
        <v>1861</v>
      </c>
      <c r="U5031" s="422" t="s">
        <v>1953</v>
      </c>
      <c r="V5031" s="422" t="s">
        <v>2813</v>
      </c>
    </row>
    <row r="5032" spans="1:22" ht="15.75" thickBot="1" x14ac:dyDescent="0.3">
      <c r="A5032" t="s">
        <v>4592</v>
      </c>
      <c r="B5032" t="s">
        <v>4592</v>
      </c>
      <c r="C5032" s="424" t="str">
        <f t="shared" si="208"/>
        <v>RDO - Rodoviária do Oeste, LDA.</v>
      </c>
      <c r="D5032" t="s">
        <v>629</v>
      </c>
      <c r="F5032" s="422" t="s">
        <v>620</v>
      </c>
      <c r="G5032" s="89" t="s">
        <v>2211</v>
      </c>
      <c r="H5032" s="313" t="s">
        <v>731</v>
      </c>
      <c r="I5032" s="311" t="str">
        <f t="shared" si="209"/>
        <v>Pesado de Passageiros M3:  : Gasóleo : E4</v>
      </c>
      <c r="J5032">
        <v>55</v>
      </c>
      <c r="K5032" s="422">
        <v>2023</v>
      </c>
      <c r="L5032" s="427">
        <v>32105.39</v>
      </c>
      <c r="M5032" s="427" t="s">
        <v>630</v>
      </c>
      <c r="N5032" s="434">
        <v>48823</v>
      </c>
      <c r="O5032" s="436">
        <f t="shared" si="210"/>
        <v>2685265</v>
      </c>
      <c r="P5032" s="89" t="s">
        <v>5579</v>
      </c>
      <c r="Q5032" s="422" t="s">
        <v>47</v>
      </c>
      <c r="R5032" s="422" t="s">
        <v>1869</v>
      </c>
      <c r="S5032" s="422" t="s">
        <v>1861</v>
      </c>
      <c r="U5032" s="422" t="s">
        <v>1953</v>
      </c>
      <c r="V5032" s="422" t="s">
        <v>2813</v>
      </c>
    </row>
    <row r="5033" spans="1:22" ht="15.75" thickBot="1" x14ac:dyDescent="0.3">
      <c r="A5033" t="s">
        <v>4592</v>
      </c>
      <c r="B5033" t="s">
        <v>4592</v>
      </c>
      <c r="C5033" s="424" t="str">
        <f t="shared" si="208"/>
        <v>RDO - Rodoviária do Oeste, LDA.</v>
      </c>
      <c r="D5033" t="s">
        <v>629</v>
      </c>
      <c r="F5033" s="422" t="s">
        <v>620</v>
      </c>
      <c r="G5033" s="89" t="s">
        <v>2205</v>
      </c>
      <c r="H5033" s="313" t="s">
        <v>731</v>
      </c>
      <c r="I5033" s="311" t="str">
        <f t="shared" si="209"/>
        <v>Pesado de Passageiros M3:  : Gasóleo : E4</v>
      </c>
      <c r="J5033">
        <v>24</v>
      </c>
      <c r="K5033" s="422">
        <v>2023</v>
      </c>
      <c r="L5033" s="427">
        <v>300.58</v>
      </c>
      <c r="M5033" s="427" t="s">
        <v>630</v>
      </c>
      <c r="N5033" s="434">
        <v>1882</v>
      </c>
      <c r="O5033" s="436">
        <f t="shared" si="210"/>
        <v>45168</v>
      </c>
      <c r="P5033" s="89" t="s">
        <v>5580</v>
      </c>
      <c r="Q5033" s="422" t="s">
        <v>47</v>
      </c>
      <c r="R5033" s="422" t="s">
        <v>1869</v>
      </c>
      <c r="S5033" s="422" t="s">
        <v>1861</v>
      </c>
      <c r="U5033" s="422" t="s">
        <v>1953</v>
      </c>
      <c r="V5033" s="422" t="s">
        <v>2813</v>
      </c>
    </row>
    <row r="5034" spans="1:22" ht="15.75" thickBot="1" x14ac:dyDescent="0.3">
      <c r="A5034" t="s">
        <v>4592</v>
      </c>
      <c r="B5034" t="s">
        <v>4592</v>
      </c>
      <c r="C5034" s="424" t="str">
        <f t="shared" si="208"/>
        <v>RDO - Rodoviária do Oeste, LDA.</v>
      </c>
      <c r="D5034" t="s">
        <v>629</v>
      </c>
      <c r="F5034" s="422" t="s">
        <v>620</v>
      </c>
      <c r="G5034" s="89" t="s">
        <v>2204</v>
      </c>
      <c r="H5034" s="313" t="s">
        <v>731</v>
      </c>
      <c r="I5034" s="311" t="str">
        <f t="shared" si="209"/>
        <v>Pesado de Passageiros M3:  : Gasóleo : E4</v>
      </c>
      <c r="J5034">
        <v>26</v>
      </c>
      <c r="K5034" s="422">
        <v>2023</v>
      </c>
      <c r="L5034" s="427">
        <v>2172.34</v>
      </c>
      <c r="M5034" s="427" t="s">
        <v>630</v>
      </c>
      <c r="N5034" s="434">
        <v>11379</v>
      </c>
      <c r="O5034" s="436">
        <f t="shared" si="210"/>
        <v>295854</v>
      </c>
      <c r="P5034" s="89" t="s">
        <v>5581</v>
      </c>
      <c r="Q5034" s="422" t="s">
        <v>47</v>
      </c>
      <c r="R5034" s="422" t="s">
        <v>1869</v>
      </c>
      <c r="S5034" s="422" t="s">
        <v>1861</v>
      </c>
      <c r="U5034" s="422" t="s">
        <v>1953</v>
      </c>
      <c r="V5034" s="422" t="s">
        <v>2813</v>
      </c>
    </row>
    <row r="5035" spans="1:22" ht="15.75" thickBot="1" x14ac:dyDescent="0.3">
      <c r="A5035" t="s">
        <v>4592</v>
      </c>
      <c r="B5035" t="s">
        <v>4592</v>
      </c>
      <c r="C5035" s="424" t="str">
        <f t="shared" si="208"/>
        <v>RDO - Rodoviária do Oeste, LDA.</v>
      </c>
      <c r="D5035" t="s">
        <v>629</v>
      </c>
      <c r="F5035" s="422" t="s">
        <v>620</v>
      </c>
      <c r="G5035" s="89" t="s">
        <v>2204</v>
      </c>
      <c r="H5035" s="313" t="s">
        <v>731</v>
      </c>
      <c r="I5035" s="311" t="str">
        <f t="shared" si="209"/>
        <v>Pesado de Passageiros M3:  : Gasóleo : E4</v>
      </c>
      <c r="J5035">
        <v>55</v>
      </c>
      <c r="K5035" s="422">
        <v>2023</v>
      </c>
      <c r="L5035" s="427">
        <v>26370.92</v>
      </c>
      <c r="M5035" s="427" t="s">
        <v>630</v>
      </c>
      <c r="N5035" s="434">
        <v>40709</v>
      </c>
      <c r="O5035" s="436">
        <f t="shared" si="210"/>
        <v>2238995</v>
      </c>
      <c r="P5035" s="89" t="s">
        <v>5582</v>
      </c>
      <c r="Q5035" s="422" t="s">
        <v>47</v>
      </c>
      <c r="R5035" s="422" t="s">
        <v>1869</v>
      </c>
      <c r="S5035" s="422" t="s">
        <v>1861</v>
      </c>
      <c r="U5035" s="422" t="s">
        <v>1953</v>
      </c>
      <c r="V5035" s="422" t="s">
        <v>2813</v>
      </c>
    </row>
    <row r="5036" spans="1:22" ht="15.75" thickBot="1" x14ac:dyDescent="0.3">
      <c r="A5036" t="s">
        <v>4592</v>
      </c>
      <c r="B5036" t="s">
        <v>4592</v>
      </c>
      <c r="C5036" s="424" t="str">
        <f t="shared" si="208"/>
        <v>RDO - Rodoviária do Oeste, LDA.</v>
      </c>
      <c r="D5036" t="s">
        <v>629</v>
      </c>
      <c r="F5036" s="422" t="s">
        <v>620</v>
      </c>
      <c r="G5036" s="89" t="s">
        <v>2205</v>
      </c>
      <c r="H5036" s="313" t="s">
        <v>731</v>
      </c>
      <c r="I5036" s="311" t="str">
        <f t="shared" si="209"/>
        <v>Pesado de Passageiros M3:  : Gasóleo : E4</v>
      </c>
      <c r="J5036">
        <v>55</v>
      </c>
      <c r="K5036" s="422">
        <v>2023</v>
      </c>
      <c r="L5036" s="427">
        <v>30235.89</v>
      </c>
      <c r="M5036" s="427" t="s">
        <v>630</v>
      </c>
      <c r="N5036" s="434">
        <v>46489</v>
      </c>
      <c r="O5036" s="436">
        <f t="shared" si="210"/>
        <v>2556895</v>
      </c>
      <c r="P5036" s="89" t="s">
        <v>5583</v>
      </c>
      <c r="Q5036" s="422" t="s">
        <v>47</v>
      </c>
      <c r="R5036" s="422" t="s">
        <v>1869</v>
      </c>
      <c r="S5036" s="422" t="s">
        <v>1861</v>
      </c>
      <c r="U5036" s="422" t="s">
        <v>1953</v>
      </c>
      <c r="V5036" s="422" t="s">
        <v>2813</v>
      </c>
    </row>
    <row r="5037" spans="1:22" ht="15.75" thickBot="1" x14ac:dyDescent="0.3">
      <c r="A5037" t="s">
        <v>4592</v>
      </c>
      <c r="B5037" t="s">
        <v>4592</v>
      </c>
      <c r="C5037" s="424" t="str">
        <f t="shared" si="208"/>
        <v>RDO - Rodoviária do Oeste, LDA.</v>
      </c>
      <c r="D5037" t="s">
        <v>629</v>
      </c>
      <c r="F5037" s="422" t="s">
        <v>620</v>
      </c>
      <c r="G5037" s="89" t="s">
        <v>2205</v>
      </c>
      <c r="H5037" s="313" t="s">
        <v>731</v>
      </c>
      <c r="I5037" s="311" t="str">
        <f t="shared" si="209"/>
        <v>Pesado de Passageiros M3:  : Gasóleo : E4</v>
      </c>
      <c r="J5037">
        <v>25</v>
      </c>
      <c r="K5037" s="422">
        <v>2023</v>
      </c>
      <c r="L5037" s="427">
        <v>5716.23</v>
      </c>
      <c r="M5037" s="427" t="s">
        <v>630</v>
      </c>
      <c r="N5037" s="434">
        <v>18965</v>
      </c>
      <c r="O5037" s="436">
        <f t="shared" si="210"/>
        <v>474125</v>
      </c>
      <c r="P5037" s="89" t="s">
        <v>5584</v>
      </c>
      <c r="Q5037" s="422" t="s">
        <v>47</v>
      </c>
      <c r="R5037" s="422" t="s">
        <v>1869</v>
      </c>
      <c r="S5037" s="422" t="s">
        <v>1861</v>
      </c>
      <c r="U5037" s="422" t="s">
        <v>1953</v>
      </c>
      <c r="V5037" s="422" t="s">
        <v>2813</v>
      </c>
    </row>
    <row r="5038" spans="1:22" ht="15.75" thickBot="1" x14ac:dyDescent="0.3">
      <c r="A5038" t="s">
        <v>4592</v>
      </c>
      <c r="B5038" t="s">
        <v>4592</v>
      </c>
      <c r="C5038" s="424" t="str">
        <f t="shared" si="208"/>
        <v>RDO - Rodoviária do Oeste, LDA.</v>
      </c>
      <c r="D5038" t="s">
        <v>629</v>
      </c>
      <c r="F5038" s="422" t="s">
        <v>620</v>
      </c>
      <c r="G5038" s="89" t="s">
        <v>2223</v>
      </c>
      <c r="H5038" s="313" t="s">
        <v>734</v>
      </c>
      <c r="I5038" s="311" t="str">
        <f t="shared" si="209"/>
        <v>Pesado de Passageiros M3:  : Gasóleo : E5</v>
      </c>
      <c r="J5038">
        <v>55</v>
      </c>
      <c r="K5038" s="422">
        <v>2023</v>
      </c>
      <c r="L5038" s="427">
        <v>44614.83</v>
      </c>
      <c r="M5038" s="427" t="s">
        <v>630</v>
      </c>
      <c r="N5038" s="434">
        <v>75092</v>
      </c>
      <c r="O5038" s="436">
        <f t="shared" si="210"/>
        <v>4130060</v>
      </c>
      <c r="P5038" s="89" t="s">
        <v>5585</v>
      </c>
      <c r="Q5038" s="422" t="s">
        <v>47</v>
      </c>
      <c r="R5038" s="422" t="s">
        <v>1869</v>
      </c>
      <c r="S5038" s="422" t="s">
        <v>1861</v>
      </c>
      <c r="U5038" s="422" t="s">
        <v>1953</v>
      </c>
      <c r="V5038" s="422" t="s">
        <v>2813</v>
      </c>
    </row>
    <row r="5039" spans="1:22" ht="15.75" thickBot="1" x14ac:dyDescent="0.3">
      <c r="A5039" t="s">
        <v>4592</v>
      </c>
      <c r="B5039" t="s">
        <v>4592</v>
      </c>
      <c r="C5039" s="424" t="str">
        <f t="shared" si="208"/>
        <v>RDO - Rodoviária do Oeste, LDA.</v>
      </c>
      <c r="D5039" t="s">
        <v>629</v>
      </c>
      <c r="F5039" s="422" t="s">
        <v>620</v>
      </c>
      <c r="G5039" s="89" t="s">
        <v>2221</v>
      </c>
      <c r="H5039" s="313" t="s">
        <v>733</v>
      </c>
      <c r="I5039" s="311" t="str">
        <f t="shared" si="209"/>
        <v>Pesado de Passageiros M3:  : Gasóleo : E6</v>
      </c>
      <c r="J5039">
        <v>25</v>
      </c>
      <c r="K5039" s="422">
        <v>2023</v>
      </c>
      <c r="L5039" s="427">
        <v>11177.630000000001</v>
      </c>
      <c r="M5039" s="427" t="s">
        <v>630</v>
      </c>
      <c r="N5039" s="434">
        <v>30305</v>
      </c>
      <c r="O5039" s="436">
        <f t="shared" si="210"/>
        <v>757625</v>
      </c>
      <c r="P5039" s="89" t="s">
        <v>5586</v>
      </c>
      <c r="Q5039" s="422" t="s">
        <v>47</v>
      </c>
      <c r="R5039" s="422" t="s">
        <v>1869</v>
      </c>
      <c r="S5039" s="422" t="s">
        <v>1861</v>
      </c>
      <c r="U5039" s="422" t="s">
        <v>1953</v>
      </c>
      <c r="V5039" s="422" t="s">
        <v>2813</v>
      </c>
    </row>
    <row r="5040" spans="1:22" ht="15.75" thickBot="1" x14ac:dyDescent="0.3">
      <c r="A5040" t="s">
        <v>4592</v>
      </c>
      <c r="B5040" t="s">
        <v>4592</v>
      </c>
      <c r="C5040" s="424" t="str">
        <f t="shared" si="208"/>
        <v>RDO - Rodoviária do Oeste, LDA.</v>
      </c>
      <c r="D5040" t="s">
        <v>629</v>
      </c>
      <c r="F5040" s="422" t="s">
        <v>620</v>
      </c>
      <c r="G5040" s="89" t="s">
        <v>2221</v>
      </c>
      <c r="H5040" s="313" t="s">
        <v>733</v>
      </c>
      <c r="I5040" s="311" t="str">
        <f t="shared" si="209"/>
        <v>Pesado de Passageiros M3:  : Gasóleo : E6</v>
      </c>
      <c r="J5040">
        <v>25</v>
      </c>
      <c r="K5040" s="422">
        <v>2023</v>
      </c>
      <c r="L5040" s="427">
        <v>10851.08</v>
      </c>
      <c r="M5040" s="427" t="s">
        <v>630</v>
      </c>
      <c r="N5040" s="434">
        <v>34124</v>
      </c>
      <c r="O5040" s="436">
        <f t="shared" si="210"/>
        <v>853100</v>
      </c>
      <c r="P5040" s="89" t="s">
        <v>5587</v>
      </c>
      <c r="Q5040" s="422" t="s">
        <v>47</v>
      </c>
      <c r="R5040" s="422" t="s">
        <v>1869</v>
      </c>
      <c r="S5040" s="422" t="s">
        <v>1861</v>
      </c>
      <c r="U5040" s="422" t="s">
        <v>1953</v>
      </c>
      <c r="V5040" s="422" t="s">
        <v>2813</v>
      </c>
    </row>
    <row r="5041" spans="1:22" ht="15.75" thickBot="1" x14ac:dyDescent="0.3">
      <c r="A5041" t="s">
        <v>4592</v>
      </c>
      <c r="B5041" t="s">
        <v>4592</v>
      </c>
      <c r="C5041" s="424" t="str">
        <f t="shared" si="208"/>
        <v>RDO - Rodoviária do Oeste, LDA.</v>
      </c>
      <c r="D5041" t="s">
        <v>629</v>
      </c>
      <c r="F5041" s="422" t="s">
        <v>620</v>
      </c>
      <c r="G5041" s="89" t="s">
        <v>2213</v>
      </c>
      <c r="H5041" s="313" t="s">
        <v>734</v>
      </c>
      <c r="I5041" s="311" t="str">
        <f t="shared" si="209"/>
        <v>Pesado de Passageiros M3:  : Gasóleo : E5</v>
      </c>
      <c r="J5041">
        <v>53</v>
      </c>
      <c r="K5041" s="422">
        <v>2023</v>
      </c>
      <c r="L5041" s="427">
        <v>30714.43</v>
      </c>
      <c r="M5041" s="427" t="s">
        <v>630</v>
      </c>
      <c r="N5041" s="434">
        <v>54630</v>
      </c>
      <c r="O5041" s="436">
        <f t="shared" si="210"/>
        <v>2895390</v>
      </c>
      <c r="P5041" s="89" t="s">
        <v>5588</v>
      </c>
      <c r="Q5041" s="422" t="s">
        <v>47</v>
      </c>
      <c r="R5041" s="422" t="s">
        <v>1869</v>
      </c>
      <c r="S5041" s="422" t="s">
        <v>1861</v>
      </c>
      <c r="U5041" s="422" t="s">
        <v>1953</v>
      </c>
      <c r="V5041" s="422" t="s">
        <v>2813</v>
      </c>
    </row>
    <row r="5042" spans="1:22" ht="15.75" thickBot="1" x14ac:dyDescent="0.3">
      <c r="A5042" t="s">
        <v>4592</v>
      </c>
      <c r="B5042" t="s">
        <v>4592</v>
      </c>
      <c r="C5042" s="424" t="str">
        <f t="shared" ref="C5042:C5105" si="211">IF(A5042=B5042,B5042,RIGHT(A5042,LEN(A5042)-LEN(B5042)-3))</f>
        <v>RDO - Rodoviária do Oeste, LDA.</v>
      </c>
      <c r="D5042" t="s">
        <v>629</v>
      </c>
      <c r="F5042" s="422" t="s">
        <v>620</v>
      </c>
      <c r="G5042" s="89" t="s">
        <v>2213</v>
      </c>
      <c r="H5042" s="313" t="s">
        <v>734</v>
      </c>
      <c r="I5042" s="311" t="str">
        <f t="shared" si="209"/>
        <v>Pesado de Passageiros M3:  : Gasóleo : E5</v>
      </c>
      <c r="J5042">
        <v>53</v>
      </c>
      <c r="K5042" s="422">
        <v>2023</v>
      </c>
      <c r="L5042" s="427">
        <v>31689.379999999997</v>
      </c>
      <c r="M5042" s="427" t="s">
        <v>630</v>
      </c>
      <c r="N5042" s="434">
        <v>62964</v>
      </c>
      <c r="O5042" s="436">
        <f t="shared" si="210"/>
        <v>3337092</v>
      </c>
      <c r="P5042" s="89" t="s">
        <v>5589</v>
      </c>
      <c r="Q5042" s="422" t="s">
        <v>47</v>
      </c>
      <c r="R5042" s="422" t="s">
        <v>1869</v>
      </c>
      <c r="S5042" s="422" t="s">
        <v>1861</v>
      </c>
      <c r="U5042" s="422" t="s">
        <v>1953</v>
      </c>
      <c r="V5042" s="422" t="s">
        <v>2813</v>
      </c>
    </row>
    <row r="5043" spans="1:22" ht="15.75" thickBot="1" x14ac:dyDescent="0.3">
      <c r="A5043" t="s">
        <v>4592</v>
      </c>
      <c r="B5043" t="s">
        <v>4592</v>
      </c>
      <c r="C5043" s="424" t="str">
        <f t="shared" si="211"/>
        <v>RDO - Rodoviária do Oeste, LDA.</v>
      </c>
      <c r="D5043" t="s">
        <v>629</v>
      </c>
      <c r="F5043" s="422" t="s">
        <v>620</v>
      </c>
      <c r="G5043" s="89" t="s">
        <v>2205</v>
      </c>
      <c r="H5043" s="313" t="s">
        <v>731</v>
      </c>
      <c r="I5043" s="311" t="str">
        <f t="shared" si="209"/>
        <v>Pesado de Passageiros M3:  : Gasóleo : E4</v>
      </c>
      <c r="J5043">
        <v>55</v>
      </c>
      <c r="K5043" s="422">
        <v>2023</v>
      </c>
      <c r="L5043" s="427">
        <v>47310.869999999995</v>
      </c>
      <c r="M5043" s="427" t="s">
        <v>630</v>
      </c>
      <c r="N5043" s="434">
        <v>80454</v>
      </c>
      <c r="O5043" s="436">
        <f t="shared" si="210"/>
        <v>4424970</v>
      </c>
      <c r="P5043" s="89" t="s">
        <v>5590</v>
      </c>
      <c r="Q5043" s="422" t="s">
        <v>47</v>
      </c>
      <c r="R5043" s="422" t="s">
        <v>1869</v>
      </c>
      <c r="S5043" s="422" t="s">
        <v>1861</v>
      </c>
      <c r="U5043" s="422" t="s">
        <v>1953</v>
      </c>
      <c r="V5043" s="422" t="s">
        <v>2813</v>
      </c>
    </row>
    <row r="5044" spans="1:22" ht="15.75" thickBot="1" x14ac:dyDescent="0.3">
      <c r="A5044" t="s">
        <v>4592</v>
      </c>
      <c r="B5044" t="s">
        <v>4592</v>
      </c>
      <c r="C5044" s="424" t="str">
        <f t="shared" si="211"/>
        <v>RDO - Rodoviária do Oeste, LDA.</v>
      </c>
      <c r="D5044" t="s">
        <v>629</v>
      </c>
      <c r="F5044" s="422" t="s">
        <v>620</v>
      </c>
      <c r="G5044" s="89" t="s">
        <v>2205</v>
      </c>
      <c r="H5044" s="313" t="s">
        <v>731</v>
      </c>
      <c r="I5044" s="311" t="str">
        <f t="shared" si="209"/>
        <v>Pesado de Passageiros M3:  : Gasóleo : E4</v>
      </c>
      <c r="J5044">
        <v>55</v>
      </c>
      <c r="K5044" s="422">
        <v>2023</v>
      </c>
      <c r="L5044" s="427">
        <v>46762.630000000005</v>
      </c>
      <c r="M5044" s="427" t="s">
        <v>630</v>
      </c>
      <c r="N5044" s="434">
        <v>80529</v>
      </c>
      <c r="O5044" s="436">
        <f t="shared" si="210"/>
        <v>4429095</v>
      </c>
      <c r="P5044" s="89" t="s">
        <v>5591</v>
      </c>
      <c r="Q5044" s="422" t="s">
        <v>47</v>
      </c>
      <c r="R5044" s="422" t="s">
        <v>1869</v>
      </c>
      <c r="S5044" s="422" t="s">
        <v>1861</v>
      </c>
      <c r="U5044" s="422" t="s">
        <v>1953</v>
      </c>
      <c r="V5044" s="422" t="s">
        <v>2813</v>
      </c>
    </row>
    <row r="5045" spans="1:22" ht="15.75" thickBot="1" x14ac:dyDescent="0.3">
      <c r="A5045" t="s">
        <v>4592</v>
      </c>
      <c r="B5045" t="s">
        <v>4592</v>
      </c>
      <c r="C5045" s="424" t="str">
        <f t="shared" si="211"/>
        <v>RDO - Rodoviária do Oeste, LDA.</v>
      </c>
      <c r="D5045" t="s">
        <v>629</v>
      </c>
      <c r="F5045" s="422" t="s">
        <v>620</v>
      </c>
      <c r="G5045" s="89" t="s">
        <v>2205</v>
      </c>
      <c r="H5045" s="313" t="s">
        <v>731</v>
      </c>
      <c r="I5045" s="311" t="str">
        <f t="shared" si="209"/>
        <v>Pesado de Passageiros M3:  : Gasóleo : E4</v>
      </c>
      <c r="J5045">
        <v>55</v>
      </c>
      <c r="K5045" s="422">
        <v>2023</v>
      </c>
      <c r="L5045" s="427">
        <v>51473.43</v>
      </c>
      <c r="M5045" s="427" t="s">
        <v>630</v>
      </c>
      <c r="N5045" s="434">
        <v>84607</v>
      </c>
      <c r="O5045" s="436">
        <f t="shared" si="210"/>
        <v>4653385</v>
      </c>
      <c r="P5045" s="89" t="s">
        <v>5592</v>
      </c>
      <c r="Q5045" s="422" t="s">
        <v>47</v>
      </c>
      <c r="R5045" s="422" t="s">
        <v>1869</v>
      </c>
      <c r="S5045" s="422" t="s">
        <v>1861</v>
      </c>
      <c r="U5045" s="422" t="s">
        <v>1953</v>
      </c>
      <c r="V5045" s="422" t="s">
        <v>2813</v>
      </c>
    </row>
    <row r="5046" spans="1:22" ht="15.75" thickBot="1" x14ac:dyDescent="0.3">
      <c r="A5046" t="s">
        <v>4592</v>
      </c>
      <c r="B5046" t="s">
        <v>4592</v>
      </c>
      <c r="C5046" s="424" t="str">
        <f t="shared" si="211"/>
        <v>RDO - Rodoviária do Oeste, LDA.</v>
      </c>
      <c r="D5046" t="s">
        <v>629</v>
      </c>
      <c r="F5046" s="422" t="s">
        <v>620</v>
      </c>
      <c r="G5046" s="89" t="s">
        <v>2214</v>
      </c>
      <c r="H5046" s="313" t="s">
        <v>733</v>
      </c>
      <c r="I5046" s="311" t="str">
        <f t="shared" si="209"/>
        <v>Pesado de Passageiros M3:  : Gasóleo : E6</v>
      </c>
      <c r="J5046">
        <v>53</v>
      </c>
      <c r="K5046" s="422">
        <v>2023</v>
      </c>
      <c r="L5046" s="427">
        <v>63447.78</v>
      </c>
      <c r="M5046" s="427" t="s">
        <v>630</v>
      </c>
      <c r="N5046" s="434">
        <v>125748</v>
      </c>
      <c r="O5046" s="436">
        <f t="shared" si="210"/>
        <v>6664644</v>
      </c>
      <c r="P5046" s="89" t="s">
        <v>5593</v>
      </c>
      <c r="Q5046" s="422" t="s">
        <v>47</v>
      </c>
      <c r="R5046" s="422" t="s">
        <v>1869</v>
      </c>
      <c r="S5046" s="422" t="s">
        <v>1861</v>
      </c>
      <c r="U5046" s="422" t="s">
        <v>1953</v>
      </c>
      <c r="V5046" s="422" t="s">
        <v>2813</v>
      </c>
    </row>
    <row r="5047" spans="1:22" ht="15.75" thickBot="1" x14ac:dyDescent="0.3">
      <c r="A5047" t="s">
        <v>4592</v>
      </c>
      <c r="B5047" t="s">
        <v>4592</v>
      </c>
      <c r="C5047" s="424" t="str">
        <f t="shared" si="211"/>
        <v>RDO - Rodoviária do Oeste, LDA.</v>
      </c>
      <c r="D5047" t="s">
        <v>629</v>
      </c>
      <c r="F5047" s="422" t="s">
        <v>620</v>
      </c>
      <c r="G5047" s="89" t="s">
        <v>2214</v>
      </c>
      <c r="H5047" s="313" t="s">
        <v>733</v>
      </c>
      <c r="I5047" s="311" t="str">
        <f t="shared" si="209"/>
        <v>Pesado de Passageiros M3:  : Gasóleo : E6</v>
      </c>
      <c r="J5047">
        <v>53</v>
      </c>
      <c r="K5047" s="422">
        <v>2023</v>
      </c>
      <c r="L5047" s="427">
        <v>54783.53</v>
      </c>
      <c r="M5047" s="427" t="s">
        <v>630</v>
      </c>
      <c r="N5047" s="434">
        <v>84091</v>
      </c>
      <c r="O5047" s="436">
        <f t="shared" si="210"/>
        <v>4456823</v>
      </c>
      <c r="P5047" s="89" t="s">
        <v>5594</v>
      </c>
      <c r="Q5047" s="422" t="s">
        <v>47</v>
      </c>
      <c r="R5047" s="422" t="s">
        <v>1869</v>
      </c>
      <c r="S5047" s="422" t="s">
        <v>1861</v>
      </c>
      <c r="U5047" s="422" t="s">
        <v>1953</v>
      </c>
      <c r="V5047" s="422" t="s">
        <v>2813</v>
      </c>
    </row>
    <row r="5048" spans="1:22" ht="15.75" thickBot="1" x14ac:dyDescent="0.3">
      <c r="A5048" t="s">
        <v>4592</v>
      </c>
      <c r="B5048" t="s">
        <v>4592</v>
      </c>
      <c r="C5048" s="424" t="str">
        <f t="shared" si="211"/>
        <v>RDO - Rodoviária do Oeste, LDA.</v>
      </c>
      <c r="D5048" t="s">
        <v>629</v>
      </c>
      <c r="F5048" s="422" t="s">
        <v>620</v>
      </c>
      <c r="G5048" s="89" t="s">
        <v>2214</v>
      </c>
      <c r="H5048" s="313" t="s">
        <v>733</v>
      </c>
      <c r="I5048" s="311" t="str">
        <f t="shared" si="209"/>
        <v>Pesado de Passageiros M3:  : Gasóleo : E6</v>
      </c>
      <c r="J5048">
        <v>53</v>
      </c>
      <c r="K5048" s="422">
        <v>2023</v>
      </c>
      <c r="L5048" s="427">
        <v>39408.639999999999</v>
      </c>
      <c r="M5048" s="427" t="s">
        <v>630</v>
      </c>
      <c r="N5048" s="434">
        <v>78777</v>
      </c>
      <c r="O5048" s="436">
        <f t="shared" si="210"/>
        <v>4175181</v>
      </c>
      <c r="P5048" s="89" t="s">
        <v>5595</v>
      </c>
      <c r="Q5048" s="422" t="s">
        <v>47</v>
      </c>
      <c r="R5048" s="422" t="s">
        <v>1869</v>
      </c>
      <c r="S5048" s="422" t="s">
        <v>1861</v>
      </c>
      <c r="U5048" s="422" t="s">
        <v>1953</v>
      </c>
      <c r="V5048" s="422" t="s">
        <v>2813</v>
      </c>
    </row>
    <row r="5049" spans="1:22" ht="15.75" thickBot="1" x14ac:dyDescent="0.3">
      <c r="A5049" t="s">
        <v>4592</v>
      </c>
      <c r="B5049" t="s">
        <v>4592</v>
      </c>
      <c r="C5049" s="424" t="str">
        <f t="shared" si="211"/>
        <v>RDO - Rodoviária do Oeste, LDA.</v>
      </c>
      <c r="D5049" t="s">
        <v>629</v>
      </c>
      <c r="F5049" s="422" t="s">
        <v>620</v>
      </c>
      <c r="G5049" s="89" t="s">
        <v>2214</v>
      </c>
      <c r="H5049" s="313" t="s">
        <v>733</v>
      </c>
      <c r="I5049" s="311" t="str">
        <f t="shared" si="209"/>
        <v>Pesado de Passageiros M3:  : Gasóleo : E6</v>
      </c>
      <c r="J5049">
        <v>53</v>
      </c>
      <c r="K5049" s="422">
        <v>2023</v>
      </c>
      <c r="L5049" s="427">
        <v>66653.16</v>
      </c>
      <c r="M5049" s="427" t="s">
        <v>630</v>
      </c>
      <c r="N5049" s="434">
        <v>122906</v>
      </c>
      <c r="O5049" s="436">
        <f t="shared" si="210"/>
        <v>6514018</v>
      </c>
      <c r="P5049" s="89" t="s">
        <v>5596</v>
      </c>
      <c r="Q5049" s="422" t="s">
        <v>47</v>
      </c>
      <c r="R5049" s="422" t="s">
        <v>1869</v>
      </c>
      <c r="S5049" s="422" t="s">
        <v>1861</v>
      </c>
      <c r="U5049" s="422" t="s">
        <v>1953</v>
      </c>
      <c r="V5049" s="422" t="s">
        <v>2813</v>
      </c>
    </row>
    <row r="5050" spans="1:22" ht="15.75" thickBot="1" x14ac:dyDescent="0.3">
      <c r="A5050" t="s">
        <v>4592</v>
      </c>
      <c r="B5050" t="s">
        <v>4592</v>
      </c>
      <c r="C5050" s="424" t="str">
        <f t="shared" si="211"/>
        <v>RDO - Rodoviária do Oeste, LDA.</v>
      </c>
      <c r="D5050" t="s">
        <v>629</v>
      </c>
      <c r="F5050" s="422" t="s">
        <v>620</v>
      </c>
      <c r="G5050" s="89" t="s">
        <v>2204</v>
      </c>
      <c r="H5050" s="313" t="s">
        <v>731</v>
      </c>
      <c r="I5050" s="311" t="str">
        <f t="shared" si="209"/>
        <v>Pesado de Passageiros M3:  : Gasóleo : E4</v>
      </c>
      <c r="J5050">
        <v>70</v>
      </c>
      <c r="K5050" s="422">
        <v>2023</v>
      </c>
      <c r="L5050" s="427">
        <v>32360.949999999997</v>
      </c>
      <c r="M5050" s="427" t="s">
        <v>630</v>
      </c>
      <c r="N5050" s="434">
        <v>53014</v>
      </c>
      <c r="O5050" s="436">
        <f t="shared" si="210"/>
        <v>3710980</v>
      </c>
      <c r="P5050" s="89" t="s">
        <v>5597</v>
      </c>
      <c r="Q5050" s="422" t="s">
        <v>47</v>
      </c>
      <c r="R5050" s="422" t="s">
        <v>1869</v>
      </c>
      <c r="S5050" s="422" t="s">
        <v>1861</v>
      </c>
      <c r="U5050" s="422" t="s">
        <v>1953</v>
      </c>
      <c r="V5050" s="422" t="s">
        <v>2813</v>
      </c>
    </row>
    <row r="5051" spans="1:22" ht="15.75" thickBot="1" x14ac:dyDescent="0.3">
      <c r="A5051" t="s">
        <v>4592</v>
      </c>
      <c r="B5051" t="s">
        <v>4592</v>
      </c>
      <c r="C5051" s="424" t="str">
        <f t="shared" si="211"/>
        <v>RDO - Rodoviária do Oeste, LDA.</v>
      </c>
      <c r="D5051" t="s">
        <v>629</v>
      </c>
      <c r="F5051" s="422" t="s">
        <v>620</v>
      </c>
      <c r="G5051" s="89" t="s">
        <v>2211</v>
      </c>
      <c r="H5051" s="313" t="s">
        <v>731</v>
      </c>
      <c r="I5051" s="311" t="str">
        <f t="shared" si="209"/>
        <v>Pesado de Passageiros M3:  : Gasóleo : E4</v>
      </c>
      <c r="J5051">
        <v>71</v>
      </c>
      <c r="K5051" s="422">
        <v>2023</v>
      </c>
      <c r="L5051" s="427">
        <v>27956.7</v>
      </c>
      <c r="M5051" s="427" t="s">
        <v>630</v>
      </c>
      <c r="N5051" s="434">
        <v>48381</v>
      </c>
      <c r="O5051" s="436">
        <f t="shared" si="210"/>
        <v>3435051</v>
      </c>
      <c r="P5051" s="89" t="s">
        <v>5598</v>
      </c>
      <c r="Q5051" s="422" t="s">
        <v>47</v>
      </c>
      <c r="R5051" s="422" t="s">
        <v>1869</v>
      </c>
      <c r="S5051" s="422" t="s">
        <v>1861</v>
      </c>
      <c r="U5051" s="422" t="s">
        <v>1953</v>
      </c>
      <c r="V5051" s="422" t="s">
        <v>2813</v>
      </c>
    </row>
    <row r="5052" spans="1:22" ht="15.75" thickBot="1" x14ac:dyDescent="0.3">
      <c r="A5052" t="s">
        <v>4592</v>
      </c>
      <c r="B5052" t="s">
        <v>4592</v>
      </c>
      <c r="C5052" s="424" t="str">
        <f t="shared" si="211"/>
        <v>RDO - Rodoviária do Oeste, LDA.</v>
      </c>
      <c r="D5052" t="s">
        <v>629</v>
      </c>
      <c r="F5052" s="422" t="s">
        <v>620</v>
      </c>
      <c r="G5052" s="89" t="s">
        <v>2220</v>
      </c>
      <c r="H5052" s="313" t="s">
        <v>732</v>
      </c>
      <c r="I5052" s="311" t="str">
        <f t="shared" si="209"/>
        <v>Pesado de Passageiros M3:  : Gasóleo : E3</v>
      </c>
      <c r="J5052">
        <v>72</v>
      </c>
      <c r="K5052" s="422">
        <v>2023</v>
      </c>
      <c r="L5052" s="427">
        <v>28541.22</v>
      </c>
      <c r="M5052" s="427" t="s">
        <v>630</v>
      </c>
      <c r="N5052" s="434">
        <v>49383</v>
      </c>
      <c r="O5052" s="436">
        <f t="shared" si="210"/>
        <v>3555576</v>
      </c>
      <c r="P5052" s="89" t="s">
        <v>5599</v>
      </c>
      <c r="Q5052" s="422" t="s">
        <v>47</v>
      </c>
      <c r="R5052" s="422" t="s">
        <v>1869</v>
      </c>
      <c r="S5052" s="422" t="s">
        <v>1861</v>
      </c>
      <c r="U5052" s="422" t="s">
        <v>1953</v>
      </c>
      <c r="V5052" s="422" t="s">
        <v>2813</v>
      </c>
    </row>
    <row r="5053" spans="1:22" ht="15.75" thickBot="1" x14ac:dyDescent="0.3">
      <c r="A5053" t="s">
        <v>4592</v>
      </c>
      <c r="B5053" t="s">
        <v>4592</v>
      </c>
      <c r="C5053" s="424" t="str">
        <f t="shared" si="211"/>
        <v>RDO - Rodoviária do Oeste, LDA.</v>
      </c>
      <c r="D5053" t="s">
        <v>629</v>
      </c>
      <c r="F5053" s="422" t="s">
        <v>620</v>
      </c>
      <c r="G5053" s="89" t="s">
        <v>2204</v>
      </c>
      <c r="H5053" s="313" t="s">
        <v>731</v>
      </c>
      <c r="I5053" s="311" t="str">
        <f t="shared" si="209"/>
        <v>Pesado de Passageiros M3:  : Gasóleo : E4</v>
      </c>
      <c r="J5053">
        <v>53</v>
      </c>
      <c r="K5053" s="422">
        <v>2023</v>
      </c>
      <c r="L5053" s="427">
        <v>27600.36</v>
      </c>
      <c r="M5053" s="427" t="s">
        <v>630</v>
      </c>
      <c r="N5053" s="434">
        <v>45053</v>
      </c>
      <c r="O5053" s="436">
        <f t="shared" si="210"/>
        <v>2387809</v>
      </c>
      <c r="P5053" s="89" t="s">
        <v>5600</v>
      </c>
      <c r="Q5053" s="422" t="s">
        <v>47</v>
      </c>
      <c r="R5053" s="422" t="s">
        <v>1869</v>
      </c>
      <c r="S5053" s="422" t="s">
        <v>1861</v>
      </c>
      <c r="U5053" s="422" t="s">
        <v>1953</v>
      </c>
      <c r="V5053" s="422" t="s">
        <v>2813</v>
      </c>
    </row>
    <row r="5054" spans="1:22" ht="15.75" thickBot="1" x14ac:dyDescent="0.3">
      <c r="A5054" t="s">
        <v>4592</v>
      </c>
      <c r="B5054" t="s">
        <v>4592</v>
      </c>
      <c r="C5054" s="424" t="str">
        <f t="shared" si="211"/>
        <v>RDO - Rodoviária do Oeste, LDA.</v>
      </c>
      <c r="D5054" t="s">
        <v>629</v>
      </c>
      <c r="F5054" s="422" t="s">
        <v>620</v>
      </c>
      <c r="G5054" s="89" t="s">
        <v>2211</v>
      </c>
      <c r="H5054" s="313" t="s">
        <v>731</v>
      </c>
      <c r="I5054" s="311" t="str">
        <f t="shared" si="209"/>
        <v>Pesado de Passageiros M3:  : Gasóleo : E4</v>
      </c>
      <c r="J5054">
        <v>71</v>
      </c>
      <c r="K5054" s="422">
        <v>2023</v>
      </c>
      <c r="L5054" s="427">
        <v>25821.46</v>
      </c>
      <c r="M5054" s="427" t="s">
        <v>630</v>
      </c>
      <c r="N5054" s="434">
        <v>44537</v>
      </c>
      <c r="O5054" s="436">
        <f t="shared" si="210"/>
        <v>3162127</v>
      </c>
      <c r="P5054" s="89" t="s">
        <v>5601</v>
      </c>
      <c r="Q5054" s="422" t="s">
        <v>47</v>
      </c>
      <c r="R5054" s="422" t="s">
        <v>1869</v>
      </c>
      <c r="S5054" s="422" t="s">
        <v>1861</v>
      </c>
      <c r="U5054" s="422" t="s">
        <v>1953</v>
      </c>
      <c r="V5054" s="422" t="s">
        <v>2813</v>
      </c>
    </row>
    <row r="5055" spans="1:22" ht="15.75" thickBot="1" x14ac:dyDescent="0.3">
      <c r="A5055" t="s">
        <v>4592</v>
      </c>
      <c r="B5055" t="s">
        <v>4592</v>
      </c>
      <c r="C5055" s="424" t="str">
        <f t="shared" si="211"/>
        <v>RDO - Rodoviária do Oeste, LDA.</v>
      </c>
      <c r="D5055" t="s">
        <v>629</v>
      </c>
      <c r="F5055" s="422" t="s">
        <v>620</v>
      </c>
      <c r="G5055" s="89" t="s">
        <v>2204</v>
      </c>
      <c r="H5055" s="313" t="s">
        <v>731</v>
      </c>
      <c r="I5055" s="311" t="str">
        <f t="shared" si="209"/>
        <v>Pesado de Passageiros M3:  : Gasóleo : E4</v>
      </c>
      <c r="J5055">
        <v>72</v>
      </c>
      <c r="K5055" s="422">
        <v>2023</v>
      </c>
      <c r="L5055" s="427">
        <v>31968.91</v>
      </c>
      <c r="M5055" s="427" t="s">
        <v>630</v>
      </c>
      <c r="N5055" s="434">
        <v>52513</v>
      </c>
      <c r="O5055" s="436">
        <f t="shared" si="210"/>
        <v>3780936</v>
      </c>
      <c r="P5055" s="89" t="s">
        <v>5602</v>
      </c>
      <c r="Q5055" s="422" t="s">
        <v>47</v>
      </c>
      <c r="R5055" s="422" t="s">
        <v>1869</v>
      </c>
      <c r="S5055" s="422" t="s">
        <v>1861</v>
      </c>
      <c r="U5055" s="422" t="s">
        <v>1953</v>
      </c>
      <c r="V5055" s="422" t="s">
        <v>2813</v>
      </c>
    </row>
    <row r="5056" spans="1:22" ht="15.75" thickBot="1" x14ac:dyDescent="0.3">
      <c r="A5056" t="s">
        <v>4592</v>
      </c>
      <c r="B5056" t="s">
        <v>4592</v>
      </c>
      <c r="C5056" s="424" t="str">
        <f t="shared" si="211"/>
        <v>RDO - Rodoviária do Oeste, LDA.</v>
      </c>
      <c r="D5056" t="s">
        <v>629</v>
      </c>
      <c r="F5056" s="422" t="s">
        <v>620</v>
      </c>
      <c r="G5056" s="89" t="s">
        <v>2223</v>
      </c>
      <c r="H5056" s="313" t="s">
        <v>734</v>
      </c>
      <c r="I5056" s="311" t="str">
        <f t="shared" si="209"/>
        <v>Pesado de Passageiros M3:  : Gasóleo : E5</v>
      </c>
      <c r="J5056">
        <v>71</v>
      </c>
      <c r="K5056" s="422">
        <v>2023</v>
      </c>
      <c r="L5056" s="427">
        <v>30038.15</v>
      </c>
      <c r="M5056" s="427" t="s">
        <v>630</v>
      </c>
      <c r="N5056" s="434">
        <v>58246</v>
      </c>
      <c r="O5056" s="436">
        <f t="shared" si="210"/>
        <v>4135466</v>
      </c>
      <c r="P5056" s="89" t="s">
        <v>5603</v>
      </c>
      <c r="Q5056" s="422" t="s">
        <v>47</v>
      </c>
      <c r="R5056" s="422" t="s">
        <v>1869</v>
      </c>
      <c r="S5056" s="422" t="s">
        <v>1861</v>
      </c>
      <c r="U5056" s="422" t="s">
        <v>1953</v>
      </c>
      <c r="V5056" s="422" t="s">
        <v>2813</v>
      </c>
    </row>
    <row r="5057" spans="1:22" ht="15.75" thickBot="1" x14ac:dyDescent="0.3">
      <c r="A5057" t="s">
        <v>4592</v>
      </c>
      <c r="B5057" t="s">
        <v>4592</v>
      </c>
      <c r="C5057" s="424" t="str">
        <f t="shared" si="211"/>
        <v>RDO - Rodoviária do Oeste, LDA.</v>
      </c>
      <c r="D5057" t="s">
        <v>629</v>
      </c>
      <c r="F5057" s="422" t="s">
        <v>620</v>
      </c>
      <c r="G5057" s="89" t="s">
        <v>2212</v>
      </c>
      <c r="H5057" s="313" t="s">
        <v>731</v>
      </c>
      <c r="I5057" s="311" t="str">
        <f t="shared" si="209"/>
        <v>Pesado de Passageiros M3:  : Gasóleo : E4</v>
      </c>
      <c r="J5057">
        <v>75</v>
      </c>
      <c r="K5057" s="422">
        <v>2023</v>
      </c>
      <c r="L5057" s="427">
        <v>27143.15</v>
      </c>
      <c r="M5057" s="427" t="s">
        <v>630</v>
      </c>
      <c r="N5057" s="434">
        <v>52668</v>
      </c>
      <c r="O5057" s="436">
        <f t="shared" si="210"/>
        <v>3950100</v>
      </c>
      <c r="P5057" s="89" t="s">
        <v>5604</v>
      </c>
      <c r="Q5057" s="422" t="s">
        <v>47</v>
      </c>
      <c r="R5057" s="422" t="s">
        <v>1869</v>
      </c>
      <c r="S5057" s="422" t="s">
        <v>1861</v>
      </c>
      <c r="U5057" s="422" t="s">
        <v>1953</v>
      </c>
      <c r="V5057" s="422" t="s">
        <v>2813</v>
      </c>
    </row>
    <row r="5058" spans="1:22" ht="15.75" thickBot="1" x14ac:dyDescent="0.3">
      <c r="A5058" t="s">
        <v>4592</v>
      </c>
      <c r="B5058" t="s">
        <v>4592</v>
      </c>
      <c r="C5058" s="424" t="str">
        <f t="shared" si="211"/>
        <v>RDO - Rodoviária do Oeste, LDA.</v>
      </c>
      <c r="D5058" t="s">
        <v>629</v>
      </c>
      <c r="F5058" s="422" t="s">
        <v>620</v>
      </c>
      <c r="G5058" s="89" t="s">
        <v>2225</v>
      </c>
      <c r="H5058" s="313" t="s">
        <v>734</v>
      </c>
      <c r="I5058" s="311" t="str">
        <f t="shared" si="209"/>
        <v>Pesado de Passageiros M3:  : Gasóleo : E5</v>
      </c>
      <c r="J5058">
        <v>95</v>
      </c>
      <c r="K5058" s="422">
        <v>2023</v>
      </c>
      <c r="L5058" s="427">
        <v>70056.990000000005</v>
      </c>
      <c r="M5058" s="427" t="s">
        <v>630</v>
      </c>
      <c r="N5058" s="434">
        <v>118352</v>
      </c>
      <c r="O5058" s="436">
        <f t="shared" si="210"/>
        <v>11243440</v>
      </c>
      <c r="P5058" s="89" t="s">
        <v>5605</v>
      </c>
      <c r="Q5058" s="422" t="s">
        <v>47</v>
      </c>
      <c r="R5058" s="422" t="s">
        <v>1869</v>
      </c>
      <c r="S5058" s="422" t="s">
        <v>1861</v>
      </c>
      <c r="U5058" s="422" t="s">
        <v>1953</v>
      </c>
      <c r="V5058" s="422" t="s">
        <v>2813</v>
      </c>
    </row>
    <row r="5059" spans="1:22" ht="15.75" thickBot="1" x14ac:dyDescent="0.3">
      <c r="A5059" t="s">
        <v>4592</v>
      </c>
      <c r="B5059" t="s">
        <v>4592</v>
      </c>
      <c r="C5059" s="424" t="str">
        <f t="shared" si="211"/>
        <v>RDO - Rodoviária do Oeste, LDA.</v>
      </c>
      <c r="D5059" t="s">
        <v>629</v>
      </c>
      <c r="F5059" s="422" t="s">
        <v>620</v>
      </c>
      <c r="G5059" s="89" t="s">
        <v>2204</v>
      </c>
      <c r="H5059" s="313" t="s">
        <v>734</v>
      </c>
      <c r="I5059" s="311" t="str">
        <f t="shared" si="209"/>
        <v>Pesado de Passageiros M3:  : Gasóleo : E5</v>
      </c>
      <c r="J5059">
        <v>83</v>
      </c>
      <c r="K5059" s="422">
        <v>2023</v>
      </c>
      <c r="L5059" s="427">
        <v>25792.47</v>
      </c>
      <c r="M5059" s="427" t="s">
        <v>630</v>
      </c>
      <c r="N5059" s="434">
        <v>48787</v>
      </c>
      <c r="O5059" s="436">
        <f t="shared" si="210"/>
        <v>4049321</v>
      </c>
      <c r="P5059" s="89" t="s">
        <v>5606</v>
      </c>
      <c r="Q5059" s="422" t="s">
        <v>47</v>
      </c>
      <c r="R5059" s="422" t="s">
        <v>1869</v>
      </c>
      <c r="S5059" s="422" t="s">
        <v>1861</v>
      </c>
      <c r="U5059" s="422" t="s">
        <v>1953</v>
      </c>
      <c r="V5059" s="422" t="s">
        <v>2813</v>
      </c>
    </row>
    <row r="5060" spans="1:22" ht="15.75" thickBot="1" x14ac:dyDescent="0.3">
      <c r="A5060" t="s">
        <v>4592</v>
      </c>
      <c r="B5060" t="s">
        <v>4592</v>
      </c>
      <c r="C5060" s="424" t="str">
        <f t="shared" si="211"/>
        <v>RDO - Rodoviária do Oeste, LDA.</v>
      </c>
      <c r="D5060" t="s">
        <v>629</v>
      </c>
      <c r="F5060" s="422" t="s">
        <v>620</v>
      </c>
      <c r="G5060" s="89" t="s">
        <v>2204</v>
      </c>
      <c r="H5060" s="313" t="s">
        <v>734</v>
      </c>
      <c r="I5060" s="311" t="str">
        <f t="shared" si="209"/>
        <v>Pesado de Passageiros M3:  : Gasóleo : E5</v>
      </c>
      <c r="J5060">
        <v>80</v>
      </c>
      <c r="K5060" s="422">
        <v>2023</v>
      </c>
      <c r="L5060" s="427">
        <v>28467.870000000003</v>
      </c>
      <c r="M5060" s="427" t="s">
        <v>630</v>
      </c>
      <c r="N5060" s="434">
        <v>57766</v>
      </c>
      <c r="O5060" s="436">
        <f t="shared" si="210"/>
        <v>4621280</v>
      </c>
      <c r="P5060" s="89" t="s">
        <v>5607</v>
      </c>
      <c r="Q5060" s="422" t="s">
        <v>47</v>
      </c>
      <c r="R5060" s="422" t="s">
        <v>1869</v>
      </c>
      <c r="S5060" s="422" t="s">
        <v>1861</v>
      </c>
      <c r="U5060" s="422" t="s">
        <v>1953</v>
      </c>
      <c r="V5060" s="422" t="s">
        <v>2813</v>
      </c>
    </row>
    <row r="5061" spans="1:22" ht="15.75" thickBot="1" x14ac:dyDescent="0.3">
      <c r="A5061" t="s">
        <v>4592</v>
      </c>
      <c r="B5061" t="s">
        <v>4592</v>
      </c>
      <c r="C5061" s="424" t="str">
        <f t="shared" si="211"/>
        <v>RDO - Rodoviária do Oeste, LDA.</v>
      </c>
      <c r="D5061" t="s">
        <v>629</v>
      </c>
      <c r="F5061" s="422" t="s">
        <v>620</v>
      </c>
      <c r="G5061" s="89" t="s">
        <v>2204</v>
      </c>
      <c r="H5061" s="313" t="s">
        <v>731</v>
      </c>
      <c r="I5061" s="311" t="str">
        <f t="shared" si="209"/>
        <v>Pesado de Passageiros M3:  : Gasóleo : E4</v>
      </c>
      <c r="J5061">
        <v>77</v>
      </c>
      <c r="K5061" s="422">
        <v>2023</v>
      </c>
      <c r="L5061" s="427">
        <v>31252.020000000004</v>
      </c>
      <c r="M5061" s="427" t="s">
        <v>630</v>
      </c>
      <c r="N5061" s="434">
        <v>45221</v>
      </c>
      <c r="O5061" s="436">
        <f t="shared" si="210"/>
        <v>3482017</v>
      </c>
      <c r="P5061" s="89" t="s">
        <v>5608</v>
      </c>
      <c r="Q5061" s="422" t="s">
        <v>47</v>
      </c>
      <c r="R5061" s="422" t="s">
        <v>1869</v>
      </c>
      <c r="S5061" s="422" t="s">
        <v>1861</v>
      </c>
      <c r="U5061" s="422" t="s">
        <v>1953</v>
      </c>
      <c r="V5061" s="422" t="s">
        <v>2813</v>
      </c>
    </row>
    <row r="5062" spans="1:22" ht="15.75" thickBot="1" x14ac:dyDescent="0.3">
      <c r="A5062" t="s">
        <v>4592</v>
      </c>
      <c r="B5062" t="s">
        <v>4592</v>
      </c>
      <c r="C5062" s="424" t="str">
        <f t="shared" si="211"/>
        <v>RDO - Rodoviária do Oeste, LDA.</v>
      </c>
      <c r="D5062" t="s">
        <v>629</v>
      </c>
      <c r="F5062" s="422" t="s">
        <v>620</v>
      </c>
      <c r="G5062" s="89" t="s">
        <v>2211</v>
      </c>
      <c r="H5062" s="313" t="s">
        <v>731</v>
      </c>
      <c r="I5062" s="311" t="str">
        <f t="shared" si="209"/>
        <v>Pesado de Passageiros M3:  : Gasóleo : E4</v>
      </c>
      <c r="J5062">
        <v>76</v>
      </c>
      <c r="K5062" s="422">
        <v>2023</v>
      </c>
      <c r="L5062" s="427">
        <v>27845.64</v>
      </c>
      <c r="M5062" s="427" t="s">
        <v>630</v>
      </c>
      <c r="N5062" s="434">
        <v>45223</v>
      </c>
      <c r="O5062" s="436">
        <f t="shared" si="210"/>
        <v>3436948</v>
      </c>
      <c r="P5062" s="89" t="s">
        <v>5609</v>
      </c>
      <c r="Q5062" s="422" t="s">
        <v>47</v>
      </c>
      <c r="R5062" s="422" t="s">
        <v>1869</v>
      </c>
      <c r="S5062" s="422" t="s">
        <v>1861</v>
      </c>
      <c r="U5062" s="422" t="s">
        <v>1953</v>
      </c>
      <c r="V5062" s="422" t="s">
        <v>2813</v>
      </c>
    </row>
    <row r="5063" spans="1:22" ht="15.75" thickBot="1" x14ac:dyDescent="0.3">
      <c r="A5063" t="s">
        <v>4592</v>
      </c>
      <c r="B5063" t="s">
        <v>4592</v>
      </c>
      <c r="C5063" s="424" t="str">
        <f t="shared" si="211"/>
        <v>RDO - Rodoviária do Oeste, LDA.</v>
      </c>
      <c r="D5063" t="s">
        <v>629</v>
      </c>
      <c r="F5063" s="422" t="s">
        <v>620</v>
      </c>
      <c r="G5063" s="89" t="s">
        <v>2213</v>
      </c>
      <c r="H5063" s="313" t="s">
        <v>734</v>
      </c>
      <c r="I5063" s="311" t="str">
        <f t="shared" si="209"/>
        <v>Pesado de Passageiros M3:  : Gasóleo : E5</v>
      </c>
      <c r="J5063">
        <v>102</v>
      </c>
      <c r="K5063" s="422">
        <v>2023</v>
      </c>
      <c r="L5063" s="427">
        <v>33171.75</v>
      </c>
      <c r="M5063" s="427" t="s">
        <v>630</v>
      </c>
      <c r="N5063" s="434">
        <v>59144</v>
      </c>
      <c r="O5063" s="436">
        <f t="shared" si="210"/>
        <v>6032688</v>
      </c>
      <c r="P5063" s="89" t="s">
        <v>5610</v>
      </c>
      <c r="Q5063" s="422" t="s">
        <v>47</v>
      </c>
      <c r="R5063" s="422" t="s">
        <v>1869</v>
      </c>
      <c r="S5063" s="422" t="s">
        <v>1861</v>
      </c>
      <c r="U5063" s="422" t="s">
        <v>1953</v>
      </c>
      <c r="V5063" s="422" t="s">
        <v>2813</v>
      </c>
    </row>
    <row r="5064" spans="1:22" ht="15.75" thickBot="1" x14ac:dyDescent="0.3">
      <c r="A5064" t="s">
        <v>4592</v>
      </c>
      <c r="B5064" t="s">
        <v>4592</v>
      </c>
      <c r="C5064" s="424" t="str">
        <f t="shared" si="211"/>
        <v>RDO - Rodoviária do Oeste, LDA.</v>
      </c>
      <c r="D5064" t="s">
        <v>629</v>
      </c>
      <c r="F5064" s="422" t="s">
        <v>620</v>
      </c>
      <c r="G5064" s="89" t="s">
        <v>2223</v>
      </c>
      <c r="H5064" s="313" t="s">
        <v>734</v>
      </c>
      <c r="I5064" s="311" t="str">
        <f t="shared" si="209"/>
        <v>Pesado de Passageiros M3:  : Gasóleo : E5</v>
      </c>
      <c r="J5064">
        <v>77</v>
      </c>
      <c r="K5064" s="422">
        <v>2023</v>
      </c>
      <c r="L5064" s="427">
        <v>41154.22</v>
      </c>
      <c r="M5064" s="427" t="s">
        <v>630</v>
      </c>
      <c r="N5064" s="434">
        <v>69633</v>
      </c>
      <c r="O5064" s="436">
        <f t="shared" si="210"/>
        <v>5361741</v>
      </c>
      <c r="P5064" s="89" t="s">
        <v>5611</v>
      </c>
      <c r="Q5064" s="422" t="s">
        <v>47</v>
      </c>
      <c r="R5064" s="422" t="s">
        <v>1869</v>
      </c>
      <c r="S5064" s="422" t="s">
        <v>1861</v>
      </c>
      <c r="U5064" s="422" t="s">
        <v>1953</v>
      </c>
      <c r="V5064" s="422" t="s">
        <v>2813</v>
      </c>
    </row>
    <row r="5065" spans="1:22" ht="15.75" thickBot="1" x14ac:dyDescent="0.3">
      <c r="A5065" t="s">
        <v>4592</v>
      </c>
      <c r="B5065" t="s">
        <v>4592</v>
      </c>
      <c r="C5065" s="424" t="str">
        <f t="shared" si="211"/>
        <v>RDO - Rodoviária do Oeste, LDA.</v>
      </c>
      <c r="D5065" t="s">
        <v>629</v>
      </c>
      <c r="F5065" s="422" t="s">
        <v>620</v>
      </c>
      <c r="G5065" s="89" t="s">
        <v>2211</v>
      </c>
      <c r="H5065" s="313" t="s">
        <v>731</v>
      </c>
      <c r="I5065" s="311" t="str">
        <f t="shared" si="209"/>
        <v>Pesado de Passageiros M3:  : Gasóleo : E4</v>
      </c>
      <c r="J5065">
        <v>89</v>
      </c>
      <c r="K5065" s="422">
        <v>2023</v>
      </c>
      <c r="L5065" s="427">
        <v>43862.65</v>
      </c>
      <c r="M5065" s="427" t="s">
        <v>630</v>
      </c>
      <c r="N5065" s="434">
        <v>78744</v>
      </c>
      <c r="O5065" s="436">
        <f t="shared" si="210"/>
        <v>7008216</v>
      </c>
      <c r="P5065" s="89" t="s">
        <v>5612</v>
      </c>
      <c r="Q5065" s="422" t="s">
        <v>47</v>
      </c>
      <c r="R5065" s="422" t="s">
        <v>1869</v>
      </c>
      <c r="S5065" s="422" t="s">
        <v>1861</v>
      </c>
      <c r="U5065" s="422" t="s">
        <v>1953</v>
      </c>
      <c r="V5065" s="422" t="s">
        <v>2813</v>
      </c>
    </row>
    <row r="5066" spans="1:22" ht="15.75" thickBot="1" x14ac:dyDescent="0.3">
      <c r="A5066" t="s">
        <v>4592</v>
      </c>
      <c r="B5066" t="s">
        <v>4592</v>
      </c>
      <c r="C5066" s="424" t="str">
        <f t="shared" si="211"/>
        <v>RDO - Rodoviária do Oeste, LDA.</v>
      </c>
      <c r="D5066" t="s">
        <v>629</v>
      </c>
      <c r="F5066" s="422" t="s">
        <v>620</v>
      </c>
      <c r="G5066" s="89" t="s">
        <v>2225</v>
      </c>
      <c r="H5066" s="313" t="s">
        <v>734</v>
      </c>
      <c r="I5066" s="311" t="str">
        <f t="shared" si="209"/>
        <v>Pesado de Passageiros M3:  : Gasóleo : E5</v>
      </c>
      <c r="J5066">
        <v>67</v>
      </c>
      <c r="K5066" s="422">
        <v>2023</v>
      </c>
      <c r="L5066" s="427">
        <v>65608.47</v>
      </c>
      <c r="M5066" s="427" t="s">
        <v>630</v>
      </c>
      <c r="N5066" s="434">
        <v>101739</v>
      </c>
      <c r="O5066" s="436">
        <f t="shared" si="210"/>
        <v>6816513</v>
      </c>
      <c r="P5066" s="89" t="s">
        <v>5613</v>
      </c>
      <c r="Q5066" s="422" t="s">
        <v>47</v>
      </c>
      <c r="R5066" s="422" t="s">
        <v>1869</v>
      </c>
      <c r="S5066" s="422" t="s">
        <v>1861</v>
      </c>
      <c r="U5066" s="422" t="s">
        <v>1953</v>
      </c>
      <c r="V5066" s="422" t="s">
        <v>2813</v>
      </c>
    </row>
    <row r="5067" spans="1:22" ht="15.75" thickBot="1" x14ac:dyDescent="0.3">
      <c r="A5067" t="s">
        <v>4592</v>
      </c>
      <c r="B5067" t="s">
        <v>4592</v>
      </c>
      <c r="C5067" s="424" t="str">
        <f t="shared" si="211"/>
        <v>RDO - Rodoviária do Oeste, LDA.</v>
      </c>
      <c r="D5067" t="s">
        <v>629</v>
      </c>
      <c r="F5067" s="422" t="s">
        <v>620</v>
      </c>
      <c r="G5067" s="89" t="s">
        <v>2225</v>
      </c>
      <c r="H5067" s="313" t="s">
        <v>734</v>
      </c>
      <c r="I5067" s="311" t="str">
        <f t="shared" si="209"/>
        <v>Pesado de Passageiros M3:  : Gasóleo : E5</v>
      </c>
      <c r="J5067">
        <v>67</v>
      </c>
      <c r="K5067" s="422">
        <v>2023</v>
      </c>
      <c r="L5067" s="427">
        <v>66847.13</v>
      </c>
      <c r="M5067" s="427" t="s">
        <v>630</v>
      </c>
      <c r="N5067" s="434">
        <v>104480</v>
      </c>
      <c r="O5067" s="436">
        <f t="shared" si="210"/>
        <v>7000160</v>
      </c>
      <c r="P5067" s="89" t="s">
        <v>5614</v>
      </c>
      <c r="Q5067" s="422" t="s">
        <v>47</v>
      </c>
      <c r="R5067" s="422" t="s">
        <v>1869</v>
      </c>
      <c r="S5067" s="422" t="s">
        <v>1861</v>
      </c>
      <c r="U5067" s="422" t="s">
        <v>1953</v>
      </c>
      <c r="V5067" s="422" t="s">
        <v>2813</v>
      </c>
    </row>
    <row r="5068" spans="1:22" ht="15.75" thickBot="1" x14ac:dyDescent="0.3">
      <c r="A5068" t="s">
        <v>4592</v>
      </c>
      <c r="B5068" t="s">
        <v>4592</v>
      </c>
      <c r="C5068" s="424" t="str">
        <f t="shared" si="211"/>
        <v>RDO - Rodoviária do Oeste, LDA.</v>
      </c>
      <c r="D5068" t="s">
        <v>629</v>
      </c>
      <c r="F5068" s="422" t="s">
        <v>620</v>
      </c>
      <c r="G5068" s="89" t="s">
        <v>2225</v>
      </c>
      <c r="H5068" s="313" t="s">
        <v>734</v>
      </c>
      <c r="I5068" s="311" t="str">
        <f t="shared" si="209"/>
        <v>Pesado de Passageiros M3:  : Gasóleo : E5</v>
      </c>
      <c r="J5068">
        <v>67</v>
      </c>
      <c r="K5068" s="422">
        <v>2023</v>
      </c>
      <c r="L5068" s="427">
        <v>47924.84</v>
      </c>
      <c r="M5068" s="427" t="s">
        <v>630</v>
      </c>
      <c r="N5068" s="434">
        <v>68212</v>
      </c>
      <c r="O5068" s="436">
        <f t="shared" si="210"/>
        <v>4570204</v>
      </c>
      <c r="P5068" s="89" t="s">
        <v>5615</v>
      </c>
      <c r="Q5068" s="422" t="s">
        <v>47</v>
      </c>
      <c r="R5068" s="422" t="s">
        <v>1869</v>
      </c>
      <c r="S5068" s="422" t="s">
        <v>1861</v>
      </c>
      <c r="U5068" s="422" t="s">
        <v>1953</v>
      </c>
      <c r="V5068" s="422" t="s">
        <v>2813</v>
      </c>
    </row>
    <row r="5069" spans="1:22" ht="15.75" thickBot="1" x14ac:dyDescent="0.3">
      <c r="A5069" t="s">
        <v>4592</v>
      </c>
      <c r="B5069" t="s">
        <v>4592</v>
      </c>
      <c r="C5069" s="424" t="str">
        <f t="shared" si="211"/>
        <v>RDO - Rodoviária do Oeste, LDA.</v>
      </c>
      <c r="D5069" t="s">
        <v>629</v>
      </c>
      <c r="F5069" s="422" t="s">
        <v>620</v>
      </c>
      <c r="G5069" s="89" t="s">
        <v>2213</v>
      </c>
      <c r="H5069" s="313" t="s">
        <v>734</v>
      </c>
      <c r="I5069" s="311" t="str">
        <f t="shared" si="209"/>
        <v>Pesado de Passageiros M3:  : Gasóleo : E5</v>
      </c>
      <c r="J5069">
        <v>96</v>
      </c>
      <c r="K5069" s="422">
        <v>2023</v>
      </c>
      <c r="L5069" s="427">
        <v>48675.850000000006</v>
      </c>
      <c r="M5069" s="427" t="s">
        <v>630</v>
      </c>
      <c r="N5069" s="434">
        <v>84105</v>
      </c>
      <c r="O5069" s="436">
        <f t="shared" si="210"/>
        <v>8074080</v>
      </c>
      <c r="P5069" s="89" t="s">
        <v>5616</v>
      </c>
      <c r="Q5069" s="422" t="s">
        <v>47</v>
      </c>
      <c r="R5069" s="422" t="s">
        <v>1869</v>
      </c>
      <c r="S5069" s="422" t="s">
        <v>1861</v>
      </c>
      <c r="U5069" s="422" t="s">
        <v>1953</v>
      </c>
      <c r="V5069" s="422" t="s">
        <v>2813</v>
      </c>
    </row>
    <row r="5070" spans="1:22" ht="15.75" thickBot="1" x14ac:dyDescent="0.3">
      <c r="A5070" t="s">
        <v>4592</v>
      </c>
      <c r="B5070" t="s">
        <v>4592</v>
      </c>
      <c r="C5070" s="424" t="str">
        <f t="shared" si="211"/>
        <v>RDO - Rodoviária do Oeste, LDA.</v>
      </c>
      <c r="D5070" t="s">
        <v>629</v>
      </c>
      <c r="F5070" s="422" t="s">
        <v>620</v>
      </c>
      <c r="G5070" s="89" t="s">
        <v>2205</v>
      </c>
      <c r="H5070" s="313" t="s">
        <v>734</v>
      </c>
      <c r="I5070" s="311" t="str">
        <f t="shared" si="209"/>
        <v>Pesado de Passageiros M3:  : Gasóleo : E5</v>
      </c>
      <c r="J5070">
        <v>82</v>
      </c>
      <c r="K5070" s="422">
        <v>2023</v>
      </c>
      <c r="L5070" s="427">
        <v>29449.629999999997</v>
      </c>
      <c r="M5070" s="427" t="s">
        <v>630</v>
      </c>
      <c r="N5070" s="434">
        <v>54903</v>
      </c>
      <c r="O5070" s="436">
        <f t="shared" si="210"/>
        <v>4502046</v>
      </c>
      <c r="P5070" s="89" t="s">
        <v>5617</v>
      </c>
      <c r="Q5070" s="422" t="s">
        <v>47</v>
      </c>
      <c r="R5070" s="422" t="s">
        <v>1869</v>
      </c>
      <c r="S5070" s="422" t="s">
        <v>1861</v>
      </c>
      <c r="U5070" s="422" t="s">
        <v>1953</v>
      </c>
      <c r="V5070" s="422" t="s">
        <v>2813</v>
      </c>
    </row>
    <row r="5071" spans="1:22" ht="15.75" thickBot="1" x14ac:dyDescent="0.3">
      <c r="A5071" t="s">
        <v>4592</v>
      </c>
      <c r="B5071" t="s">
        <v>4592</v>
      </c>
      <c r="C5071" s="424" t="str">
        <f t="shared" si="211"/>
        <v>RDO - Rodoviária do Oeste, LDA.</v>
      </c>
      <c r="D5071" t="s">
        <v>629</v>
      </c>
      <c r="F5071" s="422" t="s">
        <v>620</v>
      </c>
      <c r="G5071" s="89" t="s">
        <v>2223</v>
      </c>
      <c r="H5071" s="313" t="s">
        <v>734</v>
      </c>
      <c r="I5071" s="311" t="str">
        <f t="shared" si="209"/>
        <v>Pesado de Passageiros M3:  : Gasóleo : E5</v>
      </c>
      <c r="J5071">
        <v>83</v>
      </c>
      <c r="K5071" s="422">
        <v>2023</v>
      </c>
      <c r="L5071" s="427">
        <v>28410.760000000002</v>
      </c>
      <c r="M5071" s="427" t="s">
        <v>630</v>
      </c>
      <c r="N5071" s="434">
        <v>52021</v>
      </c>
      <c r="O5071" s="436">
        <f t="shared" si="210"/>
        <v>4317743</v>
      </c>
      <c r="P5071" s="89" t="s">
        <v>5618</v>
      </c>
      <c r="Q5071" s="422" t="s">
        <v>47</v>
      </c>
      <c r="R5071" s="422" t="s">
        <v>1869</v>
      </c>
      <c r="S5071" s="422" t="s">
        <v>1861</v>
      </c>
      <c r="U5071" s="422" t="s">
        <v>1953</v>
      </c>
      <c r="V5071" s="422" t="s">
        <v>2813</v>
      </c>
    </row>
    <row r="5072" spans="1:22" ht="15.75" thickBot="1" x14ac:dyDescent="0.3">
      <c r="A5072" t="s">
        <v>4592</v>
      </c>
      <c r="B5072" t="s">
        <v>4592</v>
      </c>
      <c r="C5072" s="424" t="str">
        <f t="shared" si="211"/>
        <v>RDO - Rodoviária do Oeste, LDA.</v>
      </c>
      <c r="D5072" t="s">
        <v>629</v>
      </c>
      <c r="F5072" s="422" t="s">
        <v>620</v>
      </c>
      <c r="G5072" s="89" t="s">
        <v>2219</v>
      </c>
      <c r="H5072" s="313" t="s">
        <v>732</v>
      </c>
      <c r="I5072" s="311" t="str">
        <f t="shared" si="209"/>
        <v>Pesado de Passageiros M3:  : Gasóleo : E3</v>
      </c>
      <c r="J5072">
        <v>34</v>
      </c>
      <c r="K5072" s="422">
        <v>2023</v>
      </c>
      <c r="L5072" s="427">
        <v>18596.97</v>
      </c>
      <c r="M5072" s="427" t="s">
        <v>630</v>
      </c>
      <c r="N5072" s="434">
        <v>41968</v>
      </c>
      <c r="O5072" s="436">
        <f t="shared" si="210"/>
        <v>1426912</v>
      </c>
      <c r="P5072" s="89" t="s">
        <v>5619</v>
      </c>
      <c r="Q5072" s="422" t="s">
        <v>47</v>
      </c>
      <c r="R5072" s="422" t="s">
        <v>1869</v>
      </c>
      <c r="S5072" s="422" t="s">
        <v>1861</v>
      </c>
      <c r="U5072" s="422" t="s">
        <v>1953</v>
      </c>
      <c r="V5072" s="422" t="s">
        <v>2813</v>
      </c>
    </row>
    <row r="5073" spans="1:22" ht="15.75" thickBot="1" x14ac:dyDescent="0.3">
      <c r="A5073" t="s">
        <v>4592</v>
      </c>
      <c r="B5073" t="s">
        <v>4592</v>
      </c>
      <c r="C5073" s="424" t="str">
        <f t="shared" si="211"/>
        <v>RDO - Rodoviária do Oeste, LDA.</v>
      </c>
      <c r="D5073" t="s">
        <v>629</v>
      </c>
      <c r="F5073" s="422" t="s">
        <v>620</v>
      </c>
      <c r="G5073" s="89" t="s">
        <v>2219</v>
      </c>
      <c r="H5073" s="313" t="s">
        <v>732</v>
      </c>
      <c r="I5073" s="311" t="str">
        <f t="shared" si="209"/>
        <v>Pesado de Passageiros M3:  : Gasóleo : E3</v>
      </c>
      <c r="J5073">
        <v>34</v>
      </c>
      <c r="K5073" s="422">
        <v>2023</v>
      </c>
      <c r="L5073" s="427">
        <v>16840.400000000001</v>
      </c>
      <c r="M5073" s="427" t="s">
        <v>630</v>
      </c>
      <c r="N5073" s="434">
        <v>33781</v>
      </c>
      <c r="O5073" s="436">
        <f t="shared" si="210"/>
        <v>1148554</v>
      </c>
      <c r="P5073" s="89" t="s">
        <v>5620</v>
      </c>
      <c r="Q5073" s="422" t="s">
        <v>47</v>
      </c>
      <c r="R5073" s="422" t="s">
        <v>1869</v>
      </c>
      <c r="S5073" s="422" t="s">
        <v>1861</v>
      </c>
      <c r="U5073" s="422" t="s">
        <v>1953</v>
      </c>
      <c r="V5073" s="422" t="s">
        <v>2813</v>
      </c>
    </row>
    <row r="5074" spans="1:22" ht="15.75" thickBot="1" x14ac:dyDescent="0.3">
      <c r="A5074" t="s">
        <v>4592</v>
      </c>
      <c r="B5074" t="s">
        <v>4592</v>
      </c>
      <c r="C5074" s="424" t="str">
        <f t="shared" si="211"/>
        <v>RDO - Rodoviária do Oeste, LDA.</v>
      </c>
      <c r="D5074" t="s">
        <v>629</v>
      </c>
      <c r="F5074" s="422" t="s">
        <v>620</v>
      </c>
      <c r="G5074" s="89" t="s">
        <v>2219</v>
      </c>
      <c r="H5074" s="313" t="s">
        <v>732</v>
      </c>
      <c r="I5074" s="311" t="str">
        <f t="shared" si="209"/>
        <v>Pesado de Passageiros M3:  : Gasóleo : E3</v>
      </c>
      <c r="J5074">
        <v>36</v>
      </c>
      <c r="K5074" s="422">
        <v>2023</v>
      </c>
      <c r="L5074" s="427">
        <v>29876.560000000001</v>
      </c>
      <c r="M5074" s="427" t="s">
        <v>630</v>
      </c>
      <c r="N5074" s="434">
        <v>55378</v>
      </c>
      <c r="O5074" s="436">
        <f t="shared" si="210"/>
        <v>1993608</v>
      </c>
      <c r="P5074" s="89" t="s">
        <v>5621</v>
      </c>
      <c r="Q5074" s="422" t="s">
        <v>47</v>
      </c>
      <c r="R5074" s="422" t="s">
        <v>1869</v>
      </c>
      <c r="S5074" s="422" t="s">
        <v>1861</v>
      </c>
      <c r="U5074" s="422" t="s">
        <v>1953</v>
      </c>
      <c r="V5074" s="422" t="s">
        <v>2813</v>
      </c>
    </row>
    <row r="5075" spans="1:22" ht="15.75" thickBot="1" x14ac:dyDescent="0.3">
      <c r="A5075" t="s">
        <v>4592</v>
      </c>
      <c r="B5075" t="s">
        <v>4592</v>
      </c>
      <c r="C5075" s="424" t="str">
        <f t="shared" si="211"/>
        <v>RDO - Rodoviária do Oeste, LDA.</v>
      </c>
      <c r="D5075" t="s">
        <v>629</v>
      </c>
      <c r="F5075" s="422" t="s">
        <v>620</v>
      </c>
      <c r="G5075" s="89" t="s">
        <v>2213</v>
      </c>
      <c r="H5075" s="313" t="s">
        <v>733</v>
      </c>
      <c r="I5075" s="311" t="str">
        <f t="shared" si="209"/>
        <v>Pesado de Passageiros M3:  : Gasóleo : E6</v>
      </c>
      <c r="J5075">
        <v>65</v>
      </c>
      <c r="K5075" s="422">
        <v>2023</v>
      </c>
      <c r="L5075" s="427">
        <v>79017.23</v>
      </c>
      <c r="M5075" s="427" t="s">
        <v>630</v>
      </c>
      <c r="N5075" s="434">
        <v>140047</v>
      </c>
      <c r="O5075" s="436">
        <f t="shared" si="210"/>
        <v>9103055</v>
      </c>
      <c r="P5075" s="89" t="s">
        <v>5622</v>
      </c>
      <c r="Q5075" s="422" t="s">
        <v>47</v>
      </c>
      <c r="R5075" s="422" t="s">
        <v>1869</v>
      </c>
      <c r="S5075" s="422" t="s">
        <v>1861</v>
      </c>
      <c r="U5075" s="422" t="s">
        <v>1953</v>
      </c>
      <c r="V5075" s="422" t="s">
        <v>2813</v>
      </c>
    </row>
    <row r="5076" spans="1:22" ht="15.75" thickBot="1" x14ac:dyDescent="0.3">
      <c r="A5076" t="s">
        <v>4592</v>
      </c>
      <c r="B5076" t="s">
        <v>4592</v>
      </c>
      <c r="C5076" s="424" t="str">
        <f t="shared" si="211"/>
        <v>RDO - Rodoviária do Oeste, LDA.</v>
      </c>
      <c r="D5076" t="s">
        <v>629</v>
      </c>
      <c r="F5076" s="422" t="s">
        <v>620</v>
      </c>
      <c r="G5076" s="89" t="s">
        <v>2204</v>
      </c>
      <c r="H5076" s="313" t="s">
        <v>731</v>
      </c>
      <c r="I5076" s="311" t="str">
        <f t="shared" si="209"/>
        <v>Pesado de Passageiros M3:  : Gasóleo : E4</v>
      </c>
      <c r="J5076">
        <v>55</v>
      </c>
      <c r="K5076" s="422">
        <v>2023</v>
      </c>
      <c r="L5076" s="427">
        <v>25621.83</v>
      </c>
      <c r="M5076" s="427" t="s">
        <v>630</v>
      </c>
      <c r="N5076" s="434">
        <v>43178</v>
      </c>
      <c r="O5076" s="436">
        <f t="shared" si="210"/>
        <v>2374790</v>
      </c>
      <c r="P5076" s="89" t="s">
        <v>5623</v>
      </c>
      <c r="Q5076" s="422" t="s">
        <v>47</v>
      </c>
      <c r="R5076" s="422" t="s">
        <v>1869</v>
      </c>
      <c r="S5076" s="422" t="s">
        <v>1861</v>
      </c>
      <c r="U5076" s="422" t="s">
        <v>1953</v>
      </c>
      <c r="V5076" s="422" t="s">
        <v>2813</v>
      </c>
    </row>
    <row r="5077" spans="1:22" ht="15.75" thickBot="1" x14ac:dyDescent="0.3">
      <c r="A5077" t="s">
        <v>4592</v>
      </c>
      <c r="B5077" t="s">
        <v>4592</v>
      </c>
      <c r="C5077" s="424" t="str">
        <f t="shared" si="211"/>
        <v>RDO - Rodoviária do Oeste, LDA.</v>
      </c>
      <c r="D5077" t="s">
        <v>629</v>
      </c>
      <c r="F5077" s="422" t="s">
        <v>620</v>
      </c>
      <c r="G5077" s="89" t="s">
        <v>2211</v>
      </c>
      <c r="H5077" s="313" t="s">
        <v>731</v>
      </c>
      <c r="I5077" s="311" t="str">
        <f t="shared" si="209"/>
        <v>Pesado de Passageiros M3:  : Gasóleo : E4</v>
      </c>
      <c r="J5077">
        <v>88</v>
      </c>
      <c r="K5077" s="422">
        <v>2023</v>
      </c>
      <c r="L5077" s="427">
        <v>34300.549999999996</v>
      </c>
      <c r="M5077" s="427" t="s">
        <v>630</v>
      </c>
      <c r="N5077" s="434">
        <v>57575</v>
      </c>
      <c r="O5077" s="436">
        <f t="shared" si="210"/>
        <v>5066600</v>
      </c>
      <c r="P5077" s="89" t="s">
        <v>5624</v>
      </c>
      <c r="Q5077" s="422" t="s">
        <v>47</v>
      </c>
      <c r="R5077" s="422" t="s">
        <v>1869</v>
      </c>
      <c r="S5077" s="422" t="s">
        <v>1861</v>
      </c>
      <c r="U5077" s="422" t="s">
        <v>1953</v>
      </c>
      <c r="V5077" s="422" t="s">
        <v>2813</v>
      </c>
    </row>
    <row r="5078" spans="1:22" ht="15.75" thickBot="1" x14ac:dyDescent="0.3">
      <c r="A5078" t="s">
        <v>4592</v>
      </c>
      <c r="B5078" t="s">
        <v>4592</v>
      </c>
      <c r="C5078" s="424" t="str">
        <f t="shared" si="211"/>
        <v>RDO - Rodoviária do Oeste, LDA.</v>
      </c>
      <c r="D5078" t="s">
        <v>629</v>
      </c>
      <c r="F5078" s="422" t="s">
        <v>620</v>
      </c>
      <c r="G5078" s="89" t="s">
        <v>2220</v>
      </c>
      <c r="H5078" s="313" t="s">
        <v>731</v>
      </c>
      <c r="I5078" s="311" t="str">
        <f t="shared" si="209"/>
        <v>Pesado de Passageiros M3:  : Gasóleo : E4</v>
      </c>
      <c r="J5078">
        <v>87</v>
      </c>
      <c r="K5078" s="422">
        <v>2023</v>
      </c>
      <c r="L5078" s="427">
        <v>36292.53</v>
      </c>
      <c r="M5078" s="427" t="s">
        <v>630</v>
      </c>
      <c r="N5078" s="434">
        <v>63097</v>
      </c>
      <c r="O5078" s="436">
        <f t="shared" si="210"/>
        <v>5489439</v>
      </c>
      <c r="P5078" s="89" t="s">
        <v>5625</v>
      </c>
      <c r="Q5078" s="422" t="s">
        <v>47</v>
      </c>
      <c r="R5078" s="422" t="s">
        <v>1869</v>
      </c>
      <c r="S5078" s="422" t="s">
        <v>1861</v>
      </c>
      <c r="U5078" s="422" t="s">
        <v>1953</v>
      </c>
      <c r="V5078" s="422" t="s">
        <v>2813</v>
      </c>
    </row>
    <row r="5079" spans="1:22" ht="15.75" thickBot="1" x14ac:dyDescent="0.3">
      <c r="A5079" t="s">
        <v>4592</v>
      </c>
      <c r="B5079" t="s">
        <v>4592</v>
      </c>
      <c r="C5079" s="424" t="str">
        <f t="shared" si="211"/>
        <v>RDO - Rodoviária do Oeste, LDA.</v>
      </c>
      <c r="D5079" t="s">
        <v>629</v>
      </c>
      <c r="F5079" s="422" t="s">
        <v>620</v>
      </c>
      <c r="G5079" s="89" t="s">
        <v>2219</v>
      </c>
      <c r="H5079" s="313" t="s">
        <v>732</v>
      </c>
      <c r="I5079" s="311" t="str">
        <f t="shared" si="209"/>
        <v>Pesado de Passageiros M3:  : Gasóleo : E3</v>
      </c>
      <c r="J5079">
        <v>88</v>
      </c>
      <c r="K5079" s="422">
        <v>2023</v>
      </c>
      <c r="L5079" s="427">
        <v>27948.13</v>
      </c>
      <c r="M5079" s="427" t="s">
        <v>630</v>
      </c>
      <c r="N5079" s="434">
        <v>43537</v>
      </c>
      <c r="O5079" s="436">
        <f t="shared" si="210"/>
        <v>3831256</v>
      </c>
      <c r="P5079" s="89" t="s">
        <v>5626</v>
      </c>
      <c r="Q5079" s="422" t="s">
        <v>47</v>
      </c>
      <c r="R5079" s="422" t="s">
        <v>1869</v>
      </c>
      <c r="S5079" s="422" t="s">
        <v>1861</v>
      </c>
      <c r="U5079" s="422" t="s">
        <v>1953</v>
      </c>
      <c r="V5079" s="422" t="s">
        <v>2813</v>
      </c>
    </row>
    <row r="5080" spans="1:22" ht="15.75" thickBot="1" x14ac:dyDescent="0.3">
      <c r="A5080" t="s">
        <v>4592</v>
      </c>
      <c r="B5080" t="s">
        <v>4592</v>
      </c>
      <c r="C5080" s="424" t="str">
        <f t="shared" si="211"/>
        <v>RDO - Rodoviária do Oeste, LDA.</v>
      </c>
      <c r="D5080" t="s">
        <v>629</v>
      </c>
      <c r="F5080" s="422" t="s">
        <v>620</v>
      </c>
      <c r="G5080" s="89" t="s">
        <v>2221</v>
      </c>
      <c r="H5080" s="313" t="s">
        <v>733</v>
      </c>
      <c r="I5080" s="311" t="str">
        <f t="shared" si="209"/>
        <v>Pesado de Passageiros M3:  : Gasóleo : E6</v>
      </c>
      <c r="J5080">
        <v>61</v>
      </c>
      <c r="K5080" s="422">
        <v>2023</v>
      </c>
      <c r="L5080" s="427">
        <v>45066.78</v>
      </c>
      <c r="M5080" s="427" t="s">
        <v>630</v>
      </c>
      <c r="N5080" s="434">
        <v>91662</v>
      </c>
      <c r="O5080" s="436">
        <f t="shared" si="210"/>
        <v>5591382</v>
      </c>
      <c r="P5080" s="89" t="s">
        <v>5627</v>
      </c>
      <c r="Q5080" s="422" t="s">
        <v>47</v>
      </c>
      <c r="R5080" s="422" t="s">
        <v>1869</v>
      </c>
      <c r="S5080" s="422" t="s">
        <v>1861</v>
      </c>
      <c r="U5080" s="422" t="s">
        <v>1953</v>
      </c>
      <c r="V5080" s="422" t="s">
        <v>2813</v>
      </c>
    </row>
    <row r="5081" spans="1:22" ht="15.75" thickBot="1" x14ac:dyDescent="0.3">
      <c r="A5081" t="s">
        <v>4592</v>
      </c>
      <c r="B5081" t="s">
        <v>4592</v>
      </c>
      <c r="C5081" s="424" t="str">
        <f t="shared" si="211"/>
        <v>RDO - Rodoviária do Oeste, LDA.</v>
      </c>
      <c r="D5081" t="s">
        <v>629</v>
      </c>
      <c r="F5081" s="422" t="s">
        <v>620</v>
      </c>
      <c r="G5081" s="89" t="s">
        <v>2221</v>
      </c>
      <c r="H5081" s="313" t="s">
        <v>733</v>
      </c>
      <c r="I5081" s="311" t="str">
        <f t="shared" si="209"/>
        <v>Pesado de Passageiros M3:  : Gasóleo : E6</v>
      </c>
      <c r="J5081">
        <v>61</v>
      </c>
      <c r="K5081" s="422">
        <v>2023</v>
      </c>
      <c r="L5081" s="427">
        <v>48164.990000000005</v>
      </c>
      <c r="M5081" s="427" t="s">
        <v>630</v>
      </c>
      <c r="N5081" s="434">
        <v>90419</v>
      </c>
      <c r="O5081" s="436">
        <f t="shared" si="210"/>
        <v>5515559</v>
      </c>
      <c r="P5081" s="89" t="s">
        <v>5628</v>
      </c>
      <c r="Q5081" s="422" t="s">
        <v>47</v>
      </c>
      <c r="R5081" s="422" t="s">
        <v>1869</v>
      </c>
      <c r="S5081" s="422" t="s">
        <v>1861</v>
      </c>
      <c r="U5081" s="422" t="s">
        <v>1953</v>
      </c>
      <c r="V5081" s="422" t="s">
        <v>2813</v>
      </c>
    </row>
    <row r="5082" spans="1:22" ht="15.75" thickBot="1" x14ac:dyDescent="0.3">
      <c r="A5082" t="s">
        <v>4592</v>
      </c>
      <c r="B5082" t="s">
        <v>4592</v>
      </c>
      <c r="C5082" s="424" t="str">
        <f t="shared" si="211"/>
        <v>RDO - Rodoviária do Oeste, LDA.</v>
      </c>
      <c r="D5082" t="s">
        <v>629</v>
      </c>
      <c r="F5082" s="422" t="s">
        <v>620</v>
      </c>
      <c r="G5082" s="89" t="s">
        <v>2203</v>
      </c>
      <c r="H5082" s="313" t="s">
        <v>733</v>
      </c>
      <c r="I5082" s="311" t="str">
        <f t="shared" si="209"/>
        <v>Pesado de Passageiros M3:  : Gasóleo : E6</v>
      </c>
      <c r="J5082">
        <v>69</v>
      </c>
      <c r="K5082" s="422">
        <v>2023</v>
      </c>
      <c r="L5082" s="427">
        <v>50132.07</v>
      </c>
      <c r="M5082" s="427" t="s">
        <v>630</v>
      </c>
      <c r="N5082" s="434">
        <v>101248</v>
      </c>
      <c r="O5082" s="436">
        <f t="shared" si="210"/>
        <v>6986112</v>
      </c>
      <c r="P5082" s="89" t="s">
        <v>5629</v>
      </c>
      <c r="Q5082" s="422" t="s">
        <v>47</v>
      </c>
      <c r="R5082" s="422" t="s">
        <v>1869</v>
      </c>
      <c r="S5082" s="422" t="s">
        <v>1861</v>
      </c>
      <c r="U5082" s="422" t="s">
        <v>1953</v>
      </c>
      <c r="V5082" s="422" t="s">
        <v>2813</v>
      </c>
    </row>
    <row r="5083" spans="1:22" ht="15.75" thickBot="1" x14ac:dyDescent="0.3">
      <c r="A5083" t="s">
        <v>4592</v>
      </c>
      <c r="B5083" t="s">
        <v>4592</v>
      </c>
      <c r="C5083" s="424" t="str">
        <f t="shared" si="211"/>
        <v>RDO - Rodoviária do Oeste, LDA.</v>
      </c>
      <c r="D5083" t="s">
        <v>629</v>
      </c>
      <c r="F5083" s="422" t="s">
        <v>620</v>
      </c>
      <c r="G5083" s="89" t="s">
        <v>2203</v>
      </c>
      <c r="H5083" s="313" t="s">
        <v>733</v>
      </c>
      <c r="I5083" s="311" t="str">
        <f t="shared" si="209"/>
        <v>Pesado de Passageiros M3:  : Gasóleo : E6</v>
      </c>
      <c r="J5083">
        <v>64</v>
      </c>
      <c r="K5083" s="422">
        <v>2023</v>
      </c>
      <c r="L5083" s="427">
        <v>54804.44</v>
      </c>
      <c r="M5083" s="427" t="s">
        <v>630</v>
      </c>
      <c r="N5083" s="434">
        <v>99950</v>
      </c>
      <c r="O5083" s="436">
        <f t="shared" si="210"/>
        <v>6396800</v>
      </c>
      <c r="P5083" s="89" t="s">
        <v>5630</v>
      </c>
      <c r="Q5083" s="422" t="s">
        <v>47</v>
      </c>
      <c r="R5083" s="422" t="s">
        <v>1869</v>
      </c>
      <c r="S5083" s="422" t="s">
        <v>1861</v>
      </c>
      <c r="U5083" s="422" t="s">
        <v>1953</v>
      </c>
      <c r="V5083" s="422" t="s">
        <v>2813</v>
      </c>
    </row>
    <row r="5084" spans="1:22" ht="15.75" thickBot="1" x14ac:dyDescent="0.3">
      <c r="A5084" t="s">
        <v>4592</v>
      </c>
      <c r="B5084" t="s">
        <v>4592</v>
      </c>
      <c r="C5084" s="424" t="str">
        <f t="shared" si="211"/>
        <v>RDO - Rodoviária do Oeste, LDA.</v>
      </c>
      <c r="D5084" t="s">
        <v>629</v>
      </c>
      <c r="F5084" s="422" t="s">
        <v>620</v>
      </c>
      <c r="G5084" s="89" t="s">
        <v>2228</v>
      </c>
      <c r="H5084" s="313" t="s">
        <v>732</v>
      </c>
      <c r="I5084" s="311" t="str">
        <f t="shared" si="209"/>
        <v>Pesado de Passageiros M3:  : Gasóleo : E3</v>
      </c>
      <c r="J5084">
        <v>83</v>
      </c>
      <c r="K5084" s="422">
        <v>2023</v>
      </c>
      <c r="L5084" s="427">
        <v>35138.350000000006</v>
      </c>
      <c r="M5084" s="427" t="s">
        <v>630</v>
      </c>
      <c r="N5084" s="434">
        <v>95053</v>
      </c>
      <c r="O5084" s="436">
        <f t="shared" si="210"/>
        <v>7889399</v>
      </c>
      <c r="P5084" s="89" t="s">
        <v>5631</v>
      </c>
      <c r="Q5084" s="422" t="s">
        <v>47</v>
      </c>
      <c r="R5084" s="422" t="s">
        <v>1869</v>
      </c>
      <c r="S5084" s="422" t="s">
        <v>1861</v>
      </c>
      <c r="U5084" s="422" t="s">
        <v>1953</v>
      </c>
      <c r="V5084" s="422" t="s">
        <v>2813</v>
      </c>
    </row>
    <row r="5085" spans="1:22" ht="15.75" thickBot="1" x14ac:dyDescent="0.3">
      <c r="A5085" t="s">
        <v>4592</v>
      </c>
      <c r="B5085" t="s">
        <v>4592</v>
      </c>
      <c r="C5085" s="424" t="str">
        <f t="shared" si="211"/>
        <v>RDO - Rodoviária do Oeste, LDA.</v>
      </c>
      <c r="D5085" t="s">
        <v>629</v>
      </c>
      <c r="F5085" s="422" t="s">
        <v>620</v>
      </c>
      <c r="G5085" s="89" t="s">
        <v>2228</v>
      </c>
      <c r="H5085" s="313" t="s">
        <v>732</v>
      </c>
      <c r="I5085" s="311" t="str">
        <f t="shared" si="209"/>
        <v>Pesado de Passageiros M3:  : Gasóleo : E3</v>
      </c>
      <c r="J5085">
        <v>85</v>
      </c>
      <c r="K5085" s="422">
        <v>2023</v>
      </c>
      <c r="L5085" s="427">
        <v>35091.9</v>
      </c>
      <c r="M5085" s="427" t="s">
        <v>630</v>
      </c>
      <c r="N5085" s="434">
        <v>87772</v>
      </c>
      <c r="O5085" s="436">
        <f t="shared" si="210"/>
        <v>7460620</v>
      </c>
      <c r="P5085" s="89" t="s">
        <v>5632</v>
      </c>
      <c r="Q5085" s="422" t="s">
        <v>47</v>
      </c>
      <c r="R5085" s="422" t="s">
        <v>1869</v>
      </c>
      <c r="S5085" s="422" t="s">
        <v>1861</v>
      </c>
      <c r="U5085" s="422" t="s">
        <v>1953</v>
      </c>
      <c r="V5085" s="422" t="s">
        <v>2813</v>
      </c>
    </row>
    <row r="5086" spans="1:22" ht="15.75" thickBot="1" x14ac:dyDescent="0.3">
      <c r="A5086" t="s">
        <v>4592</v>
      </c>
      <c r="B5086" t="s">
        <v>4592</v>
      </c>
      <c r="C5086" s="424" t="str">
        <f t="shared" si="211"/>
        <v>RDO - Rodoviária do Oeste, LDA.</v>
      </c>
      <c r="D5086" t="s">
        <v>629</v>
      </c>
      <c r="F5086" s="422" t="s">
        <v>620</v>
      </c>
      <c r="G5086" s="89" t="s">
        <v>2224</v>
      </c>
      <c r="H5086" s="313" t="s">
        <v>732</v>
      </c>
      <c r="I5086" s="311" t="str">
        <f t="shared" si="209"/>
        <v>Pesado de Passageiros M3:  : Gasóleo : E3</v>
      </c>
      <c r="J5086">
        <v>79</v>
      </c>
      <c r="K5086" s="422">
        <v>2023</v>
      </c>
      <c r="L5086" s="427">
        <v>15044.67</v>
      </c>
      <c r="M5086" s="427" t="s">
        <v>630</v>
      </c>
      <c r="N5086" s="434">
        <v>19796</v>
      </c>
      <c r="O5086" s="436">
        <f t="shared" si="210"/>
        <v>1563884</v>
      </c>
      <c r="P5086" s="89" t="s">
        <v>5633</v>
      </c>
      <c r="Q5086" s="422" t="s">
        <v>47</v>
      </c>
      <c r="R5086" s="422" t="s">
        <v>1869</v>
      </c>
      <c r="S5086" s="422" t="s">
        <v>1861</v>
      </c>
      <c r="U5086" s="422" t="s">
        <v>1953</v>
      </c>
      <c r="V5086" s="422" t="s">
        <v>2813</v>
      </c>
    </row>
    <row r="5087" spans="1:22" ht="15.75" thickBot="1" x14ac:dyDescent="0.3">
      <c r="A5087" t="s">
        <v>4592</v>
      </c>
      <c r="B5087" t="s">
        <v>4592</v>
      </c>
      <c r="C5087" s="424" t="str">
        <f t="shared" si="211"/>
        <v>RDO - Rodoviária do Oeste, LDA.</v>
      </c>
      <c r="D5087" t="s">
        <v>629</v>
      </c>
      <c r="F5087" s="422" t="s">
        <v>620</v>
      </c>
      <c r="G5087" s="89" t="s">
        <v>2222</v>
      </c>
      <c r="H5087" s="313" t="s">
        <v>732</v>
      </c>
      <c r="I5087" s="311" t="str">
        <f t="shared" si="209"/>
        <v>Pesado de Passageiros M3:  : Gasóleo : E3</v>
      </c>
      <c r="J5087">
        <v>88</v>
      </c>
      <c r="K5087" s="422">
        <v>2023</v>
      </c>
      <c r="L5087" s="427">
        <v>11587.05</v>
      </c>
      <c r="M5087" s="427" t="s">
        <v>630</v>
      </c>
      <c r="N5087" s="434">
        <v>24161</v>
      </c>
      <c r="O5087" s="436">
        <f t="shared" si="210"/>
        <v>2126168</v>
      </c>
      <c r="P5087" s="89" t="s">
        <v>5634</v>
      </c>
      <c r="Q5087" s="422" t="s">
        <v>47</v>
      </c>
      <c r="R5087" s="422" t="s">
        <v>1869</v>
      </c>
      <c r="S5087" s="422" t="s">
        <v>1861</v>
      </c>
      <c r="U5087" s="422" t="s">
        <v>1953</v>
      </c>
      <c r="V5087" s="422" t="s">
        <v>2813</v>
      </c>
    </row>
    <row r="5088" spans="1:22" ht="15.75" thickBot="1" x14ac:dyDescent="0.3">
      <c r="A5088" t="s">
        <v>4592</v>
      </c>
      <c r="B5088" t="s">
        <v>4592</v>
      </c>
      <c r="C5088" s="424" t="str">
        <f t="shared" si="211"/>
        <v>RDO - Rodoviária do Oeste, LDA.</v>
      </c>
      <c r="D5088" t="s">
        <v>629</v>
      </c>
      <c r="F5088" s="422" t="s">
        <v>620</v>
      </c>
      <c r="G5088" s="89" t="s">
        <v>2222</v>
      </c>
      <c r="H5088" s="313" t="s">
        <v>732</v>
      </c>
      <c r="I5088" s="311" t="str">
        <f t="shared" si="209"/>
        <v>Pesado de Passageiros M3:  : Gasóleo : E3</v>
      </c>
      <c r="J5088">
        <v>88</v>
      </c>
      <c r="K5088" s="422">
        <v>2023</v>
      </c>
      <c r="L5088" s="427">
        <v>26709.57</v>
      </c>
      <c r="M5088" s="427" t="s">
        <v>630</v>
      </c>
      <c r="N5088" s="434">
        <v>40327</v>
      </c>
      <c r="O5088" s="436">
        <f t="shared" si="210"/>
        <v>3548776</v>
      </c>
      <c r="P5088" s="89" t="s">
        <v>5635</v>
      </c>
      <c r="Q5088" s="422" t="s">
        <v>47</v>
      </c>
      <c r="R5088" s="422" t="s">
        <v>1869</v>
      </c>
      <c r="S5088" s="422" t="s">
        <v>1861</v>
      </c>
      <c r="U5088" s="422" t="s">
        <v>1953</v>
      </c>
      <c r="V5088" s="422" t="s">
        <v>2813</v>
      </c>
    </row>
    <row r="5089" spans="1:22" ht="15.75" thickBot="1" x14ac:dyDescent="0.3">
      <c r="A5089" t="s">
        <v>4592</v>
      </c>
      <c r="B5089" t="s">
        <v>4592</v>
      </c>
      <c r="C5089" s="424" t="str">
        <f t="shared" si="211"/>
        <v>RDO - Rodoviária do Oeste, LDA.</v>
      </c>
      <c r="D5089" t="s">
        <v>629</v>
      </c>
      <c r="F5089" s="422" t="s">
        <v>620</v>
      </c>
      <c r="G5089" s="89" t="s">
        <v>2213</v>
      </c>
      <c r="H5089" s="313" t="s">
        <v>734</v>
      </c>
      <c r="I5089" s="311" t="str">
        <f t="shared" si="209"/>
        <v>Pesado de Passageiros M3:  : Gasóleo : E5</v>
      </c>
      <c r="J5089">
        <v>83</v>
      </c>
      <c r="K5089" s="422">
        <v>2023</v>
      </c>
      <c r="L5089" s="427">
        <v>4653.03</v>
      </c>
      <c r="M5089" s="427" t="s">
        <v>630</v>
      </c>
      <c r="N5089" s="434">
        <v>16523</v>
      </c>
      <c r="O5089" s="436">
        <f t="shared" si="210"/>
        <v>1371409</v>
      </c>
      <c r="P5089" s="89" t="s">
        <v>5636</v>
      </c>
      <c r="Q5089" s="422" t="s">
        <v>47</v>
      </c>
      <c r="R5089" s="422" t="s">
        <v>1869</v>
      </c>
      <c r="S5089" s="422" t="s">
        <v>1861</v>
      </c>
      <c r="U5089" s="422" t="s">
        <v>1953</v>
      </c>
      <c r="V5089" s="422" t="s">
        <v>2813</v>
      </c>
    </row>
    <row r="5090" spans="1:22" ht="15.75" thickBot="1" x14ac:dyDescent="0.3">
      <c r="A5090" t="s">
        <v>4592</v>
      </c>
      <c r="B5090" t="s">
        <v>4592</v>
      </c>
      <c r="C5090" s="424" t="str">
        <f t="shared" si="211"/>
        <v>RDO - Rodoviária do Oeste, LDA.</v>
      </c>
      <c r="D5090" t="s">
        <v>629</v>
      </c>
      <c r="F5090" s="422" t="s">
        <v>620</v>
      </c>
      <c r="G5090" s="89" t="s">
        <v>5261</v>
      </c>
      <c r="H5090" s="313" t="s">
        <v>733</v>
      </c>
      <c r="I5090" s="311" t="str">
        <f t="shared" ref="I5090:I5153" si="212">D5090&amp;": "&amp;E5090&amp;" : "&amp;F5090&amp;" : "&amp;H5090</f>
        <v>Pesado de Passageiros M3:  : Gasóleo : E6</v>
      </c>
      <c r="J5090">
        <v>51</v>
      </c>
      <c r="K5090" s="422">
        <v>2023</v>
      </c>
      <c r="L5090" s="427">
        <v>21817.13</v>
      </c>
      <c r="M5090" s="427" t="s">
        <v>630</v>
      </c>
      <c r="N5090" s="434">
        <v>15863</v>
      </c>
      <c r="O5090" s="436">
        <f t="shared" ref="O5090:O5153" si="213">N5090*J5090</f>
        <v>809013</v>
      </c>
      <c r="P5090" s="89" t="s">
        <v>5637</v>
      </c>
      <c r="Q5090" s="422" t="s">
        <v>47</v>
      </c>
      <c r="R5090" s="422" t="s">
        <v>1869</v>
      </c>
      <c r="S5090" s="422" t="s">
        <v>1861</v>
      </c>
      <c r="U5090" s="422" t="s">
        <v>1953</v>
      </c>
      <c r="V5090" s="422" t="s">
        <v>2813</v>
      </c>
    </row>
    <row r="5091" spans="1:22" ht="15.75" thickBot="1" x14ac:dyDescent="0.3">
      <c r="A5091" t="s">
        <v>4592</v>
      </c>
      <c r="B5091" t="s">
        <v>4592</v>
      </c>
      <c r="C5091" s="424" t="str">
        <f t="shared" si="211"/>
        <v>RDO - Rodoviária do Oeste, LDA.</v>
      </c>
      <c r="D5091" t="s">
        <v>1919</v>
      </c>
      <c r="F5091" s="422" t="s">
        <v>620</v>
      </c>
      <c r="G5091" s="89" t="s">
        <v>2203</v>
      </c>
      <c r="H5091" s="313" t="s">
        <v>733</v>
      </c>
      <c r="I5091" s="311" t="str">
        <f t="shared" si="212"/>
        <v>Pesado de Passageiros M2:  : Gasóleo : E6</v>
      </c>
      <c r="J5091">
        <v>16</v>
      </c>
      <c r="K5091" s="422">
        <v>2023</v>
      </c>
      <c r="L5091" s="427">
        <v>2864.97</v>
      </c>
      <c r="M5091" s="427" t="s">
        <v>630</v>
      </c>
      <c r="N5091" s="434">
        <v>11508</v>
      </c>
      <c r="O5091" s="436">
        <f t="shared" si="213"/>
        <v>184128</v>
      </c>
      <c r="P5091" s="89" t="s">
        <v>5638</v>
      </c>
      <c r="Q5091" s="422" t="s">
        <v>47</v>
      </c>
      <c r="R5091" s="422" t="s">
        <v>1869</v>
      </c>
      <c r="S5091" s="422" t="s">
        <v>1861</v>
      </c>
      <c r="U5091" s="422" t="s">
        <v>1953</v>
      </c>
      <c r="V5091" s="422" t="s">
        <v>2813</v>
      </c>
    </row>
    <row r="5092" spans="1:22" ht="15.75" thickBot="1" x14ac:dyDescent="0.3">
      <c r="A5092" t="s">
        <v>4592</v>
      </c>
      <c r="B5092" t="s">
        <v>4592</v>
      </c>
      <c r="C5092" s="424" t="str">
        <f t="shared" si="211"/>
        <v>RDO - Rodoviária do Oeste, LDA.</v>
      </c>
      <c r="D5092" t="s">
        <v>1919</v>
      </c>
      <c r="F5092" s="422" t="s">
        <v>620</v>
      </c>
      <c r="G5092" s="89" t="s">
        <v>2224</v>
      </c>
      <c r="H5092" s="313" t="s">
        <v>732</v>
      </c>
      <c r="I5092" s="311" t="str">
        <f t="shared" si="212"/>
        <v>Pesado de Passageiros M2:  : Gasóleo : E3</v>
      </c>
      <c r="J5092">
        <v>22</v>
      </c>
      <c r="K5092" s="422">
        <v>2023</v>
      </c>
      <c r="L5092" s="427">
        <v>0</v>
      </c>
      <c r="M5092" s="427" t="s">
        <v>630</v>
      </c>
      <c r="N5092" s="434">
        <v>0</v>
      </c>
      <c r="O5092" s="436">
        <f t="shared" si="213"/>
        <v>0</v>
      </c>
      <c r="P5092" s="89" t="s">
        <v>5639</v>
      </c>
      <c r="Q5092" s="422" t="s">
        <v>47</v>
      </c>
      <c r="R5092" s="422" t="s">
        <v>1869</v>
      </c>
      <c r="S5092" s="422" t="s">
        <v>1861</v>
      </c>
      <c r="U5092" s="422" t="s">
        <v>1953</v>
      </c>
      <c r="V5092" s="422" t="s">
        <v>2813</v>
      </c>
    </row>
    <row r="5093" spans="1:22" ht="15.75" thickBot="1" x14ac:dyDescent="0.3">
      <c r="A5093" t="s">
        <v>4592</v>
      </c>
      <c r="B5093" t="s">
        <v>4592</v>
      </c>
      <c r="C5093" s="424" t="str">
        <f t="shared" si="211"/>
        <v>RDO - Rodoviária do Oeste, LDA.</v>
      </c>
      <c r="D5093" t="s">
        <v>1919</v>
      </c>
      <c r="F5093" s="422" t="s">
        <v>620</v>
      </c>
      <c r="G5093" s="89" t="s">
        <v>2222</v>
      </c>
      <c r="H5093" s="313" t="s">
        <v>732</v>
      </c>
      <c r="I5093" s="311" t="str">
        <f t="shared" si="212"/>
        <v>Pesado de Passageiros M2:  : Gasóleo : E3</v>
      </c>
      <c r="J5093">
        <v>22</v>
      </c>
      <c r="K5093" s="422">
        <v>2023</v>
      </c>
      <c r="L5093" s="427">
        <v>386.12</v>
      </c>
      <c r="M5093" s="427" t="s">
        <v>630</v>
      </c>
      <c r="N5093" s="434">
        <v>803</v>
      </c>
      <c r="O5093" s="436">
        <f t="shared" si="213"/>
        <v>17666</v>
      </c>
      <c r="P5093" s="89" t="s">
        <v>5640</v>
      </c>
      <c r="Q5093" s="422" t="s">
        <v>47</v>
      </c>
      <c r="R5093" s="422" t="s">
        <v>1869</v>
      </c>
      <c r="S5093" s="422" t="s">
        <v>1861</v>
      </c>
      <c r="U5093" s="422" t="s">
        <v>1953</v>
      </c>
      <c r="V5093" s="422" t="s">
        <v>2813</v>
      </c>
    </row>
    <row r="5094" spans="1:22" ht="15.75" thickBot="1" x14ac:dyDescent="0.3">
      <c r="A5094" t="s">
        <v>4592</v>
      </c>
      <c r="B5094" t="s">
        <v>4592</v>
      </c>
      <c r="C5094" s="424" t="str">
        <f t="shared" si="211"/>
        <v>RDO - Rodoviária do Oeste, LDA.</v>
      </c>
      <c r="D5094" t="s">
        <v>1919</v>
      </c>
      <c r="F5094" s="422" t="s">
        <v>620</v>
      </c>
      <c r="G5094" s="89" t="s">
        <v>2211</v>
      </c>
      <c r="H5094" s="313" t="s">
        <v>731</v>
      </c>
      <c r="I5094" s="311" t="str">
        <f t="shared" si="212"/>
        <v>Pesado de Passageiros M2:  : Gasóleo : E4</v>
      </c>
      <c r="J5094">
        <v>22</v>
      </c>
      <c r="K5094" s="422">
        <v>2023</v>
      </c>
      <c r="L5094" s="427">
        <v>7300.23</v>
      </c>
      <c r="M5094" s="427" t="s">
        <v>630</v>
      </c>
      <c r="N5094" s="434">
        <v>21737</v>
      </c>
      <c r="O5094" s="436">
        <f t="shared" si="213"/>
        <v>478214</v>
      </c>
      <c r="P5094" s="89" t="s">
        <v>5641</v>
      </c>
      <c r="Q5094" s="422" t="s">
        <v>47</v>
      </c>
      <c r="R5094" s="422" t="s">
        <v>1869</v>
      </c>
      <c r="S5094" s="422" t="s">
        <v>1861</v>
      </c>
      <c r="U5094" s="422" t="s">
        <v>1953</v>
      </c>
      <c r="V5094" s="422" t="s">
        <v>2813</v>
      </c>
    </row>
    <row r="5095" spans="1:22" ht="15.75" thickBot="1" x14ac:dyDescent="0.3">
      <c r="A5095" t="s">
        <v>4594</v>
      </c>
      <c r="B5095" t="s">
        <v>4594</v>
      </c>
      <c r="C5095" s="424" t="str">
        <f t="shared" si="211"/>
        <v>Rodolezíria - Transportes Rodoviários de Passageiros, Unipessoal LDA.</v>
      </c>
      <c r="D5095" t="s">
        <v>629</v>
      </c>
      <c r="F5095" s="422" t="s">
        <v>620</v>
      </c>
      <c r="G5095" s="89" t="s">
        <v>2203</v>
      </c>
      <c r="H5095" s="313" t="s">
        <v>733</v>
      </c>
      <c r="I5095" s="311" t="str">
        <f t="shared" si="212"/>
        <v>Pesado de Passageiros M3:  : Gasóleo : E6</v>
      </c>
      <c r="J5095">
        <v>53</v>
      </c>
      <c r="K5095" s="422">
        <v>2023</v>
      </c>
      <c r="L5095" s="427">
        <v>44773.68</v>
      </c>
      <c r="M5095" s="427" t="s">
        <v>630</v>
      </c>
      <c r="N5095" s="434">
        <v>160502</v>
      </c>
      <c r="O5095" s="436">
        <f t="shared" si="213"/>
        <v>8506606</v>
      </c>
      <c r="P5095" s="89" t="s">
        <v>5642</v>
      </c>
      <c r="Q5095" s="422" t="s">
        <v>47</v>
      </c>
      <c r="R5095" s="422" t="s">
        <v>1869</v>
      </c>
      <c r="S5095" s="422" t="s">
        <v>1861</v>
      </c>
      <c r="U5095" s="422" t="s">
        <v>1953</v>
      </c>
      <c r="V5095" s="422" t="s">
        <v>2813</v>
      </c>
    </row>
    <row r="5096" spans="1:22" ht="15.75" thickBot="1" x14ac:dyDescent="0.3">
      <c r="A5096" t="s">
        <v>4594</v>
      </c>
      <c r="B5096" t="s">
        <v>4594</v>
      </c>
      <c r="C5096" s="424" t="str">
        <f t="shared" si="211"/>
        <v>Rodolezíria - Transportes Rodoviários de Passageiros, Unipessoal LDA.</v>
      </c>
      <c r="D5096" t="s">
        <v>629</v>
      </c>
      <c r="F5096" s="422" t="s">
        <v>620</v>
      </c>
      <c r="G5096" s="89" t="s">
        <v>2204</v>
      </c>
      <c r="H5096" s="313" t="s">
        <v>731</v>
      </c>
      <c r="I5096" s="311" t="str">
        <f t="shared" si="212"/>
        <v>Pesado de Passageiros M3:  : Gasóleo : E4</v>
      </c>
      <c r="J5096">
        <v>53</v>
      </c>
      <c r="K5096" s="422">
        <v>2023</v>
      </c>
      <c r="L5096" s="427">
        <v>34676.229999999996</v>
      </c>
      <c r="M5096" s="427" t="s">
        <v>630</v>
      </c>
      <c r="N5096" s="434">
        <v>65736</v>
      </c>
      <c r="O5096" s="436">
        <f t="shared" si="213"/>
        <v>3484008</v>
      </c>
      <c r="P5096" s="89" t="s">
        <v>5643</v>
      </c>
      <c r="Q5096" s="422" t="s">
        <v>47</v>
      </c>
      <c r="R5096" s="422" t="s">
        <v>1869</v>
      </c>
      <c r="S5096" s="422" t="s">
        <v>1861</v>
      </c>
      <c r="U5096" s="422" t="s">
        <v>1953</v>
      </c>
      <c r="V5096" s="422" t="s">
        <v>2813</v>
      </c>
    </row>
    <row r="5097" spans="1:22" ht="15.75" thickBot="1" x14ac:dyDescent="0.3">
      <c r="A5097" t="s">
        <v>4594</v>
      </c>
      <c r="B5097" t="s">
        <v>4594</v>
      </c>
      <c r="C5097" s="424" t="str">
        <f t="shared" si="211"/>
        <v>Rodolezíria - Transportes Rodoviários de Passageiros, Unipessoal LDA.</v>
      </c>
      <c r="D5097" t="s">
        <v>629</v>
      </c>
      <c r="F5097" s="422" t="s">
        <v>620</v>
      </c>
      <c r="G5097" s="89" t="s">
        <v>2220</v>
      </c>
      <c r="H5097" s="313" t="s">
        <v>731</v>
      </c>
      <c r="I5097" s="311" t="str">
        <f t="shared" si="212"/>
        <v>Pesado de Passageiros M3:  : Gasóleo : E4</v>
      </c>
      <c r="J5097">
        <v>68</v>
      </c>
      <c r="K5097" s="422">
        <v>2023</v>
      </c>
      <c r="L5097" s="427">
        <v>17490.34</v>
      </c>
      <c r="M5097" s="427" t="s">
        <v>630</v>
      </c>
      <c r="N5097" s="434">
        <v>24497</v>
      </c>
      <c r="O5097" s="436">
        <f t="shared" si="213"/>
        <v>1665796</v>
      </c>
      <c r="P5097" s="89" t="s">
        <v>5644</v>
      </c>
      <c r="Q5097" s="422" t="s">
        <v>47</v>
      </c>
      <c r="R5097" s="422" t="s">
        <v>1869</v>
      </c>
      <c r="S5097" s="422" t="s">
        <v>1861</v>
      </c>
      <c r="U5097" s="422" t="s">
        <v>1953</v>
      </c>
      <c r="V5097" s="422" t="s">
        <v>2813</v>
      </c>
    </row>
    <row r="5098" spans="1:22" ht="15.75" thickBot="1" x14ac:dyDescent="0.3">
      <c r="A5098" t="s">
        <v>4594</v>
      </c>
      <c r="B5098" t="s">
        <v>4594</v>
      </c>
      <c r="C5098" s="424" t="str">
        <f t="shared" si="211"/>
        <v>Rodolezíria - Transportes Rodoviários de Passageiros, Unipessoal LDA.</v>
      </c>
      <c r="D5098" t="s">
        <v>629</v>
      </c>
      <c r="F5098" s="422" t="s">
        <v>620</v>
      </c>
      <c r="G5098" s="89" t="s">
        <v>1954</v>
      </c>
      <c r="H5098" s="313" t="s">
        <v>735</v>
      </c>
      <c r="I5098" s="311" t="str">
        <f t="shared" si="212"/>
        <v>Pesado de Passageiros M3:  : Gasóleo : E2</v>
      </c>
      <c r="J5098">
        <v>81</v>
      </c>
      <c r="K5098" s="422">
        <v>2023</v>
      </c>
      <c r="L5098" s="427">
        <v>20931.650000000001</v>
      </c>
      <c r="M5098" s="427" t="s">
        <v>630</v>
      </c>
      <c r="N5098" s="434">
        <v>35096</v>
      </c>
      <c r="O5098" s="436">
        <f t="shared" si="213"/>
        <v>2842776</v>
      </c>
      <c r="P5098" s="89" t="s">
        <v>5645</v>
      </c>
      <c r="Q5098" s="422" t="s">
        <v>47</v>
      </c>
      <c r="R5098" s="422" t="s">
        <v>1869</v>
      </c>
      <c r="S5098" s="422" t="s">
        <v>1861</v>
      </c>
      <c r="U5098" s="422" t="s">
        <v>1953</v>
      </c>
      <c r="V5098" s="422" t="s">
        <v>2813</v>
      </c>
    </row>
    <row r="5099" spans="1:22" ht="15.75" thickBot="1" x14ac:dyDescent="0.3">
      <c r="A5099" t="s">
        <v>4594</v>
      </c>
      <c r="B5099" t="s">
        <v>4594</v>
      </c>
      <c r="C5099" s="424" t="str">
        <f t="shared" si="211"/>
        <v>Rodolezíria - Transportes Rodoviários de Passageiros, Unipessoal LDA.</v>
      </c>
      <c r="D5099" t="s">
        <v>629</v>
      </c>
      <c r="F5099" s="422" t="s">
        <v>620</v>
      </c>
      <c r="G5099" s="89" t="s">
        <v>1954</v>
      </c>
      <c r="H5099" s="313" t="s">
        <v>735</v>
      </c>
      <c r="I5099" s="311" t="str">
        <f t="shared" si="212"/>
        <v>Pesado de Passageiros M3:  : Gasóleo : E2</v>
      </c>
      <c r="J5099">
        <v>81</v>
      </c>
      <c r="K5099" s="422">
        <v>2023</v>
      </c>
      <c r="L5099" s="427">
        <v>4353.3999999999996</v>
      </c>
      <c r="M5099" s="427" t="s">
        <v>630</v>
      </c>
      <c r="N5099" s="434">
        <v>13302</v>
      </c>
      <c r="O5099" s="436">
        <f t="shared" si="213"/>
        <v>1077462</v>
      </c>
      <c r="P5099" s="89" t="s">
        <v>5646</v>
      </c>
      <c r="Q5099" s="422" t="s">
        <v>47</v>
      </c>
      <c r="R5099" s="422" t="s">
        <v>1869</v>
      </c>
      <c r="S5099" s="422" t="s">
        <v>1861</v>
      </c>
      <c r="U5099" s="422" t="s">
        <v>1953</v>
      </c>
      <c r="V5099" s="422" t="s">
        <v>2813</v>
      </c>
    </row>
    <row r="5100" spans="1:22" ht="15.75" thickBot="1" x14ac:dyDescent="0.3">
      <c r="A5100" t="s">
        <v>4594</v>
      </c>
      <c r="B5100" t="s">
        <v>4594</v>
      </c>
      <c r="C5100" s="424" t="str">
        <f t="shared" si="211"/>
        <v>Rodolezíria - Transportes Rodoviários de Passageiros, Unipessoal LDA.</v>
      </c>
      <c r="D5100" t="s">
        <v>629</v>
      </c>
      <c r="F5100" s="422" t="s">
        <v>620</v>
      </c>
      <c r="G5100" s="89" t="s">
        <v>2228</v>
      </c>
      <c r="H5100" s="313" t="s">
        <v>732</v>
      </c>
      <c r="I5100" s="311" t="str">
        <f t="shared" si="212"/>
        <v>Pesado de Passageiros M3:  : Gasóleo : E3</v>
      </c>
      <c r="J5100">
        <v>55</v>
      </c>
      <c r="K5100" s="422">
        <v>2023</v>
      </c>
      <c r="L5100" s="427">
        <v>12705.96</v>
      </c>
      <c r="M5100" s="427" t="s">
        <v>630</v>
      </c>
      <c r="N5100" s="434">
        <v>21415</v>
      </c>
      <c r="O5100" s="436">
        <f t="shared" si="213"/>
        <v>1177825</v>
      </c>
      <c r="P5100" s="89" t="s">
        <v>5647</v>
      </c>
      <c r="Q5100" s="422" t="s">
        <v>47</v>
      </c>
      <c r="R5100" s="422" t="s">
        <v>1869</v>
      </c>
      <c r="S5100" s="422" t="s">
        <v>1861</v>
      </c>
      <c r="U5100" s="422" t="s">
        <v>1953</v>
      </c>
      <c r="V5100" s="422" t="s">
        <v>2813</v>
      </c>
    </row>
    <row r="5101" spans="1:22" ht="15.75" thickBot="1" x14ac:dyDescent="0.3">
      <c r="A5101" t="s">
        <v>4594</v>
      </c>
      <c r="B5101" t="s">
        <v>4594</v>
      </c>
      <c r="C5101" s="424" t="str">
        <f t="shared" si="211"/>
        <v>Rodolezíria - Transportes Rodoviários de Passageiros, Unipessoal LDA.</v>
      </c>
      <c r="D5101" t="s">
        <v>629</v>
      </c>
      <c r="F5101" s="422" t="s">
        <v>620</v>
      </c>
      <c r="G5101" s="89" t="s">
        <v>2228</v>
      </c>
      <c r="H5101" s="313" t="s">
        <v>732</v>
      </c>
      <c r="I5101" s="311" t="str">
        <f t="shared" si="212"/>
        <v>Pesado de Passageiros M3:  : Gasóleo : E3</v>
      </c>
      <c r="J5101">
        <v>55</v>
      </c>
      <c r="K5101" s="422">
        <v>2023</v>
      </c>
      <c r="L5101" s="427">
        <v>22570.879999999997</v>
      </c>
      <c r="M5101" s="427" t="s">
        <v>630</v>
      </c>
      <c r="N5101" s="434">
        <v>40608</v>
      </c>
      <c r="O5101" s="436">
        <f t="shared" si="213"/>
        <v>2233440</v>
      </c>
      <c r="P5101" s="89" t="s">
        <v>5648</v>
      </c>
      <c r="Q5101" s="422" t="s">
        <v>47</v>
      </c>
      <c r="R5101" s="422" t="s">
        <v>1869</v>
      </c>
      <c r="S5101" s="422" t="s">
        <v>1861</v>
      </c>
      <c r="U5101" s="422" t="s">
        <v>1953</v>
      </c>
      <c r="V5101" s="422" t="s">
        <v>2813</v>
      </c>
    </row>
    <row r="5102" spans="1:22" ht="15.75" thickBot="1" x14ac:dyDescent="0.3">
      <c r="A5102" t="s">
        <v>4594</v>
      </c>
      <c r="B5102" t="s">
        <v>4594</v>
      </c>
      <c r="C5102" s="424" t="str">
        <f t="shared" si="211"/>
        <v>Rodolezíria - Transportes Rodoviários de Passageiros, Unipessoal LDA.</v>
      </c>
      <c r="D5102" t="s">
        <v>629</v>
      </c>
      <c r="F5102" s="422" t="s">
        <v>620</v>
      </c>
      <c r="G5102" s="89" t="s">
        <v>2213</v>
      </c>
      <c r="H5102" s="313" t="s">
        <v>734</v>
      </c>
      <c r="I5102" s="311" t="str">
        <f t="shared" si="212"/>
        <v>Pesado de Passageiros M3:  : Gasóleo : E5</v>
      </c>
      <c r="J5102">
        <v>53</v>
      </c>
      <c r="K5102" s="422">
        <v>2023</v>
      </c>
      <c r="L5102" s="427">
        <v>38658.58</v>
      </c>
      <c r="M5102" s="427" t="s">
        <v>630</v>
      </c>
      <c r="N5102" s="434">
        <v>70829</v>
      </c>
      <c r="O5102" s="436">
        <f t="shared" si="213"/>
        <v>3753937</v>
      </c>
      <c r="P5102" s="89" t="s">
        <v>5649</v>
      </c>
      <c r="Q5102" s="422" t="s">
        <v>47</v>
      </c>
      <c r="R5102" s="422" t="s">
        <v>1869</v>
      </c>
      <c r="S5102" s="422" t="s">
        <v>1861</v>
      </c>
      <c r="U5102" s="422" t="s">
        <v>1953</v>
      </c>
      <c r="V5102" s="422" t="s">
        <v>2813</v>
      </c>
    </row>
    <row r="5103" spans="1:22" ht="15.75" thickBot="1" x14ac:dyDescent="0.3">
      <c r="A5103" t="s">
        <v>4594</v>
      </c>
      <c r="B5103" t="s">
        <v>4594</v>
      </c>
      <c r="C5103" s="424" t="str">
        <f t="shared" si="211"/>
        <v>Rodolezíria - Transportes Rodoviários de Passageiros, Unipessoal LDA.</v>
      </c>
      <c r="D5103" t="s">
        <v>629</v>
      </c>
      <c r="F5103" s="422" t="s">
        <v>620</v>
      </c>
      <c r="G5103" s="89" t="s">
        <v>2220</v>
      </c>
      <c r="H5103" s="313" t="s">
        <v>733</v>
      </c>
      <c r="I5103" s="311" t="str">
        <f t="shared" si="212"/>
        <v>Pesado de Passageiros M3:  : Gasóleo : E6</v>
      </c>
      <c r="J5103">
        <v>51</v>
      </c>
      <c r="K5103" s="422">
        <v>2023</v>
      </c>
      <c r="L5103" s="427">
        <v>3481.95</v>
      </c>
      <c r="M5103" s="427" t="s">
        <v>630</v>
      </c>
      <c r="N5103" s="434">
        <v>10083</v>
      </c>
      <c r="O5103" s="436">
        <f t="shared" si="213"/>
        <v>514233</v>
      </c>
      <c r="P5103" s="89" t="s">
        <v>5650</v>
      </c>
      <c r="Q5103" s="422" t="s">
        <v>47</v>
      </c>
      <c r="R5103" s="422" t="s">
        <v>1869</v>
      </c>
      <c r="S5103" s="422" t="s">
        <v>1861</v>
      </c>
      <c r="U5103" s="422" t="s">
        <v>1953</v>
      </c>
      <c r="V5103" s="422" t="s">
        <v>2813</v>
      </c>
    </row>
    <row r="5104" spans="1:22" ht="15.75" thickBot="1" x14ac:dyDescent="0.3">
      <c r="A5104" t="s">
        <v>4594</v>
      </c>
      <c r="B5104" t="s">
        <v>4594</v>
      </c>
      <c r="C5104" s="424" t="str">
        <f t="shared" si="211"/>
        <v>Rodolezíria - Transportes Rodoviários de Passageiros, Unipessoal LDA.</v>
      </c>
      <c r="D5104" t="s">
        <v>629</v>
      </c>
      <c r="F5104" s="422" t="s">
        <v>620</v>
      </c>
      <c r="G5104" s="89" t="s">
        <v>2220</v>
      </c>
      <c r="H5104" s="313" t="s">
        <v>733</v>
      </c>
      <c r="I5104" s="311" t="str">
        <f t="shared" si="212"/>
        <v>Pesado de Passageiros M3:  : Gasóleo : E6</v>
      </c>
      <c r="J5104">
        <v>51</v>
      </c>
      <c r="K5104" s="422">
        <v>2023</v>
      </c>
      <c r="L5104" s="427">
        <v>17664.23</v>
      </c>
      <c r="M5104" s="427" t="s">
        <v>630</v>
      </c>
      <c r="N5104" s="434">
        <v>29831</v>
      </c>
      <c r="O5104" s="436">
        <f t="shared" si="213"/>
        <v>1521381</v>
      </c>
      <c r="P5104" s="89" t="s">
        <v>5651</v>
      </c>
      <c r="Q5104" s="422" t="s">
        <v>47</v>
      </c>
      <c r="R5104" s="422" t="s">
        <v>1869</v>
      </c>
      <c r="S5104" s="422" t="s">
        <v>1861</v>
      </c>
      <c r="U5104" s="422" t="s">
        <v>1953</v>
      </c>
      <c r="V5104" s="422" t="s">
        <v>2813</v>
      </c>
    </row>
    <row r="5105" spans="1:22" ht="15.75" thickBot="1" x14ac:dyDescent="0.3">
      <c r="A5105" t="s">
        <v>4594</v>
      </c>
      <c r="B5105" t="s">
        <v>4594</v>
      </c>
      <c r="C5105" s="424" t="str">
        <f t="shared" si="211"/>
        <v>Rodolezíria - Transportes Rodoviários de Passageiros, Unipessoal LDA.</v>
      </c>
      <c r="D5105" t="s">
        <v>629</v>
      </c>
      <c r="F5105" s="422" t="s">
        <v>620</v>
      </c>
      <c r="G5105" s="89" t="s">
        <v>2219</v>
      </c>
      <c r="H5105" s="313" t="s">
        <v>733</v>
      </c>
      <c r="I5105" s="311" t="str">
        <f t="shared" si="212"/>
        <v>Pesado de Passageiros M3:  : Gasóleo : E6</v>
      </c>
      <c r="J5105">
        <v>72</v>
      </c>
      <c r="K5105" s="422">
        <v>2023</v>
      </c>
      <c r="L5105" s="427">
        <v>9602.32</v>
      </c>
      <c r="M5105" s="427" t="s">
        <v>630</v>
      </c>
      <c r="N5105" s="434">
        <v>15298</v>
      </c>
      <c r="O5105" s="436">
        <f t="shared" si="213"/>
        <v>1101456</v>
      </c>
      <c r="P5105" s="89" t="s">
        <v>5652</v>
      </c>
      <c r="Q5105" s="422" t="s">
        <v>47</v>
      </c>
      <c r="R5105" s="422" t="s">
        <v>1869</v>
      </c>
      <c r="S5105" s="422" t="s">
        <v>1861</v>
      </c>
      <c r="U5105" s="422" t="s">
        <v>1953</v>
      </c>
      <c r="V5105" s="422" t="s">
        <v>2813</v>
      </c>
    </row>
    <row r="5106" spans="1:22" ht="15.75" thickBot="1" x14ac:dyDescent="0.3">
      <c r="A5106" t="s">
        <v>4594</v>
      </c>
      <c r="B5106" t="s">
        <v>4594</v>
      </c>
      <c r="C5106" s="424" t="str">
        <f t="shared" ref="C5106:C5169" si="214">IF(A5106=B5106,B5106,RIGHT(A5106,LEN(A5106)-LEN(B5106)-3))</f>
        <v>Rodolezíria - Transportes Rodoviários de Passageiros, Unipessoal LDA.</v>
      </c>
      <c r="D5106" t="s">
        <v>629</v>
      </c>
      <c r="F5106" s="422" t="s">
        <v>620</v>
      </c>
      <c r="G5106" s="89" t="s">
        <v>2212</v>
      </c>
      <c r="H5106" s="313" t="s">
        <v>733</v>
      </c>
      <c r="I5106" s="311" t="str">
        <f t="shared" si="212"/>
        <v>Pesado de Passageiros M3:  : Gasóleo : E6</v>
      </c>
      <c r="J5106">
        <v>59</v>
      </c>
      <c r="K5106" s="422">
        <v>2023</v>
      </c>
      <c r="L5106" s="427">
        <v>0</v>
      </c>
      <c r="M5106" s="427" t="s">
        <v>630</v>
      </c>
      <c r="N5106" s="434">
        <v>0</v>
      </c>
      <c r="O5106" s="436">
        <f t="shared" si="213"/>
        <v>0</v>
      </c>
      <c r="P5106" s="89" t="s">
        <v>5653</v>
      </c>
      <c r="Q5106" s="422" t="s">
        <v>47</v>
      </c>
      <c r="R5106" s="422" t="s">
        <v>1869</v>
      </c>
      <c r="S5106" s="422" t="s">
        <v>1861</v>
      </c>
      <c r="U5106" s="422" t="s">
        <v>1953</v>
      </c>
      <c r="V5106" s="422" t="s">
        <v>2813</v>
      </c>
    </row>
    <row r="5107" spans="1:22" ht="15.75" thickBot="1" x14ac:dyDescent="0.3">
      <c r="A5107" t="s">
        <v>4594</v>
      </c>
      <c r="B5107" t="s">
        <v>4594</v>
      </c>
      <c r="C5107" s="424" t="str">
        <f t="shared" si="214"/>
        <v>Rodolezíria - Transportes Rodoviários de Passageiros, Unipessoal LDA.</v>
      </c>
      <c r="D5107" t="s">
        <v>629</v>
      </c>
      <c r="F5107" s="422" t="s">
        <v>620</v>
      </c>
      <c r="G5107" s="89" t="s">
        <v>2211</v>
      </c>
      <c r="H5107" s="313" t="s">
        <v>731</v>
      </c>
      <c r="I5107" s="311" t="str">
        <f t="shared" si="212"/>
        <v>Pesado de Passageiros M3:  : Gasóleo : E4</v>
      </c>
      <c r="J5107">
        <v>50</v>
      </c>
      <c r="K5107" s="422">
        <v>2023</v>
      </c>
      <c r="L5107" s="427">
        <v>43686.44</v>
      </c>
      <c r="M5107" s="427" t="s">
        <v>630</v>
      </c>
      <c r="N5107" s="434">
        <v>71467</v>
      </c>
      <c r="O5107" s="436">
        <f t="shared" si="213"/>
        <v>3573350</v>
      </c>
      <c r="P5107" s="89" t="s">
        <v>5654</v>
      </c>
      <c r="Q5107" s="422" t="s">
        <v>47</v>
      </c>
      <c r="R5107" s="422" t="s">
        <v>1869</v>
      </c>
      <c r="S5107" s="422" t="s">
        <v>1861</v>
      </c>
      <c r="U5107" s="422" t="s">
        <v>1953</v>
      </c>
      <c r="V5107" s="422" t="s">
        <v>2813</v>
      </c>
    </row>
    <row r="5108" spans="1:22" ht="15.75" thickBot="1" x14ac:dyDescent="0.3">
      <c r="A5108" t="s">
        <v>4594</v>
      </c>
      <c r="B5108" t="s">
        <v>4594</v>
      </c>
      <c r="C5108" s="424" t="str">
        <f t="shared" si="214"/>
        <v>Rodolezíria - Transportes Rodoviários de Passageiros, Unipessoal LDA.</v>
      </c>
      <c r="D5108" t="s">
        <v>629</v>
      </c>
      <c r="F5108" s="422" t="s">
        <v>620</v>
      </c>
      <c r="G5108" s="89" t="s">
        <v>2220</v>
      </c>
      <c r="H5108" s="313" t="s">
        <v>732</v>
      </c>
      <c r="I5108" s="311" t="str">
        <f t="shared" si="212"/>
        <v>Pesado de Passageiros M3:  : Gasóleo : E3</v>
      </c>
      <c r="J5108">
        <v>63</v>
      </c>
      <c r="K5108" s="422">
        <v>2023</v>
      </c>
      <c r="L5108" s="427">
        <v>6116.37</v>
      </c>
      <c r="M5108" s="427" t="s">
        <v>630</v>
      </c>
      <c r="N5108" s="434">
        <v>13621</v>
      </c>
      <c r="O5108" s="436">
        <f t="shared" si="213"/>
        <v>858123</v>
      </c>
      <c r="P5108" s="89" t="s">
        <v>5655</v>
      </c>
      <c r="Q5108" s="422" t="s">
        <v>47</v>
      </c>
      <c r="R5108" s="422" t="s">
        <v>1869</v>
      </c>
      <c r="S5108" s="422" t="s">
        <v>1861</v>
      </c>
      <c r="U5108" s="422" t="s">
        <v>1953</v>
      </c>
      <c r="V5108" s="422" t="s">
        <v>2813</v>
      </c>
    </row>
    <row r="5109" spans="1:22" ht="15.75" thickBot="1" x14ac:dyDescent="0.3">
      <c r="A5109" t="s">
        <v>4594</v>
      </c>
      <c r="B5109" t="s">
        <v>4594</v>
      </c>
      <c r="C5109" s="424" t="str">
        <f t="shared" si="214"/>
        <v>Rodolezíria - Transportes Rodoviários de Passageiros, Unipessoal LDA.</v>
      </c>
      <c r="D5109" t="s">
        <v>629</v>
      </c>
      <c r="F5109" s="422" t="s">
        <v>620</v>
      </c>
      <c r="G5109" s="89" t="s">
        <v>2220</v>
      </c>
      <c r="H5109" s="313" t="s">
        <v>732</v>
      </c>
      <c r="I5109" s="311" t="str">
        <f t="shared" si="212"/>
        <v>Pesado de Passageiros M3:  : Gasóleo : E3</v>
      </c>
      <c r="J5109">
        <v>63</v>
      </c>
      <c r="K5109" s="422">
        <v>2023</v>
      </c>
      <c r="L5109" s="427">
        <v>14043.7</v>
      </c>
      <c r="M5109" s="427" t="s">
        <v>630</v>
      </c>
      <c r="N5109" s="434">
        <v>29135</v>
      </c>
      <c r="O5109" s="436">
        <f t="shared" si="213"/>
        <v>1835505</v>
      </c>
      <c r="P5109" s="89" t="s">
        <v>5656</v>
      </c>
      <c r="Q5109" s="422" t="s">
        <v>47</v>
      </c>
      <c r="R5109" s="422" t="s">
        <v>1869</v>
      </c>
      <c r="S5109" s="422" t="s">
        <v>1861</v>
      </c>
      <c r="U5109" s="422" t="s">
        <v>1953</v>
      </c>
      <c r="V5109" s="422" t="s">
        <v>2813</v>
      </c>
    </row>
    <row r="5110" spans="1:22" ht="15.75" thickBot="1" x14ac:dyDescent="0.3">
      <c r="A5110" t="s">
        <v>4594</v>
      </c>
      <c r="B5110" t="s">
        <v>4594</v>
      </c>
      <c r="C5110" s="424" t="str">
        <f t="shared" si="214"/>
        <v>Rodolezíria - Transportes Rodoviários de Passageiros, Unipessoal LDA.</v>
      </c>
      <c r="D5110" t="s">
        <v>629</v>
      </c>
      <c r="F5110" s="422" t="s">
        <v>620</v>
      </c>
      <c r="G5110" s="89" t="s">
        <v>2220</v>
      </c>
      <c r="H5110" s="313" t="s">
        <v>732</v>
      </c>
      <c r="I5110" s="311" t="str">
        <f t="shared" si="212"/>
        <v>Pesado de Passageiros M3:  : Gasóleo : E3</v>
      </c>
      <c r="J5110">
        <v>63</v>
      </c>
      <c r="K5110" s="422">
        <v>2023</v>
      </c>
      <c r="L5110" s="427">
        <v>18310.78</v>
      </c>
      <c r="M5110" s="427" t="s">
        <v>630</v>
      </c>
      <c r="N5110" s="434">
        <v>34220</v>
      </c>
      <c r="O5110" s="436">
        <f t="shared" si="213"/>
        <v>2155860</v>
      </c>
      <c r="P5110" s="89" t="s">
        <v>5657</v>
      </c>
      <c r="Q5110" s="422" t="s">
        <v>47</v>
      </c>
      <c r="R5110" s="422" t="s">
        <v>1869</v>
      </c>
      <c r="S5110" s="422" t="s">
        <v>1861</v>
      </c>
      <c r="U5110" s="422" t="s">
        <v>1953</v>
      </c>
      <c r="V5110" s="422" t="s">
        <v>2813</v>
      </c>
    </row>
    <row r="5111" spans="1:22" ht="15.75" thickBot="1" x14ac:dyDescent="0.3">
      <c r="A5111" t="s">
        <v>4594</v>
      </c>
      <c r="B5111" t="s">
        <v>4594</v>
      </c>
      <c r="C5111" s="424" t="str">
        <f t="shared" si="214"/>
        <v>Rodolezíria - Transportes Rodoviários de Passageiros, Unipessoal LDA.</v>
      </c>
      <c r="D5111" t="s">
        <v>629</v>
      </c>
      <c r="F5111" s="422" t="s">
        <v>620</v>
      </c>
      <c r="G5111" s="89" t="s">
        <v>2208</v>
      </c>
      <c r="H5111" s="313" t="s">
        <v>733</v>
      </c>
      <c r="I5111" s="311" t="str">
        <f t="shared" si="212"/>
        <v>Pesado de Passageiros M3:  : Gasóleo : E6</v>
      </c>
      <c r="J5111">
        <v>83</v>
      </c>
      <c r="K5111" s="422">
        <v>2023</v>
      </c>
      <c r="L5111" s="427">
        <v>22895.53</v>
      </c>
      <c r="M5111" s="427" t="s">
        <v>630</v>
      </c>
      <c r="N5111" s="434">
        <v>47916</v>
      </c>
      <c r="O5111" s="436">
        <f t="shared" si="213"/>
        <v>3977028</v>
      </c>
      <c r="P5111" s="89" t="s">
        <v>5658</v>
      </c>
      <c r="Q5111" s="422" t="s">
        <v>47</v>
      </c>
      <c r="R5111" s="422" t="s">
        <v>1869</v>
      </c>
      <c r="S5111" s="422" t="s">
        <v>1861</v>
      </c>
      <c r="U5111" s="422" t="s">
        <v>1953</v>
      </c>
      <c r="V5111" s="422" t="s">
        <v>2813</v>
      </c>
    </row>
    <row r="5112" spans="1:22" ht="15.75" thickBot="1" x14ac:dyDescent="0.3">
      <c r="A5112" t="s">
        <v>4594</v>
      </c>
      <c r="B5112" t="s">
        <v>4594</v>
      </c>
      <c r="C5112" s="424" t="str">
        <f t="shared" si="214"/>
        <v>Rodolezíria - Transportes Rodoviários de Passageiros, Unipessoal LDA.</v>
      </c>
      <c r="D5112" t="s">
        <v>629</v>
      </c>
      <c r="F5112" s="422" t="s">
        <v>620</v>
      </c>
      <c r="G5112" s="89" t="s">
        <v>2210</v>
      </c>
      <c r="H5112" s="313" t="s">
        <v>735</v>
      </c>
      <c r="I5112" s="311" t="str">
        <f t="shared" si="212"/>
        <v>Pesado de Passageiros M3:  : Gasóleo : E2</v>
      </c>
      <c r="J5112">
        <v>83</v>
      </c>
      <c r="K5112" s="422">
        <v>2023</v>
      </c>
      <c r="L5112" s="427">
        <v>17929.43</v>
      </c>
      <c r="M5112" s="427" t="s">
        <v>630</v>
      </c>
      <c r="N5112" s="434">
        <v>26383</v>
      </c>
      <c r="O5112" s="436">
        <f t="shared" si="213"/>
        <v>2189789</v>
      </c>
      <c r="P5112" s="89" t="s">
        <v>5659</v>
      </c>
      <c r="Q5112" s="422" t="s">
        <v>47</v>
      </c>
      <c r="R5112" s="422" t="s">
        <v>1869</v>
      </c>
      <c r="S5112" s="422" t="s">
        <v>1861</v>
      </c>
      <c r="U5112" s="422" t="s">
        <v>1953</v>
      </c>
      <c r="V5112" s="422" t="s">
        <v>2813</v>
      </c>
    </row>
    <row r="5113" spans="1:22" ht="15.75" thickBot="1" x14ac:dyDescent="0.3">
      <c r="A5113" t="s">
        <v>4594</v>
      </c>
      <c r="B5113" t="s">
        <v>4594</v>
      </c>
      <c r="C5113" s="424" t="str">
        <f t="shared" si="214"/>
        <v>Rodolezíria - Transportes Rodoviários de Passageiros, Unipessoal LDA.</v>
      </c>
      <c r="D5113" t="s">
        <v>629</v>
      </c>
      <c r="F5113" s="422" t="s">
        <v>620</v>
      </c>
      <c r="G5113" s="89" t="s">
        <v>2211</v>
      </c>
      <c r="H5113" s="313" t="s">
        <v>731</v>
      </c>
      <c r="I5113" s="311" t="str">
        <f t="shared" si="212"/>
        <v>Pesado de Passageiros M3:  : Gasóleo : E4</v>
      </c>
      <c r="J5113">
        <v>74</v>
      </c>
      <c r="K5113" s="422">
        <v>2023</v>
      </c>
      <c r="L5113" s="427">
        <v>29619.35</v>
      </c>
      <c r="M5113" s="427" t="s">
        <v>630</v>
      </c>
      <c r="N5113" s="434">
        <v>51881</v>
      </c>
      <c r="O5113" s="436">
        <f t="shared" si="213"/>
        <v>3839194</v>
      </c>
      <c r="P5113" s="89" t="s">
        <v>5660</v>
      </c>
      <c r="Q5113" s="422" t="s">
        <v>47</v>
      </c>
      <c r="R5113" s="422" t="s">
        <v>1869</v>
      </c>
      <c r="S5113" s="422" t="s">
        <v>1861</v>
      </c>
      <c r="U5113" s="422" t="s">
        <v>1953</v>
      </c>
      <c r="V5113" s="422" t="s">
        <v>2813</v>
      </c>
    </row>
    <row r="5114" spans="1:22" ht="15.75" thickBot="1" x14ac:dyDescent="0.3">
      <c r="A5114" t="s">
        <v>4594</v>
      </c>
      <c r="B5114" t="s">
        <v>4594</v>
      </c>
      <c r="C5114" s="424" t="str">
        <f t="shared" si="214"/>
        <v>Rodolezíria - Transportes Rodoviários de Passageiros, Unipessoal LDA.</v>
      </c>
      <c r="D5114" t="s">
        <v>629</v>
      </c>
      <c r="F5114" s="422" t="s">
        <v>620</v>
      </c>
      <c r="G5114" s="89" t="s">
        <v>2207</v>
      </c>
      <c r="H5114" s="313" t="s">
        <v>732</v>
      </c>
      <c r="I5114" s="311" t="str">
        <f t="shared" si="212"/>
        <v>Pesado de Passageiros M3:  : Gasóleo : E3</v>
      </c>
      <c r="J5114">
        <v>72</v>
      </c>
      <c r="K5114" s="422">
        <v>2023</v>
      </c>
      <c r="L5114" s="427">
        <v>9675.0400000000009</v>
      </c>
      <c r="M5114" s="427" t="s">
        <v>630</v>
      </c>
      <c r="N5114" s="434">
        <v>23864</v>
      </c>
      <c r="O5114" s="436">
        <f t="shared" si="213"/>
        <v>1718208</v>
      </c>
      <c r="P5114" s="89" t="s">
        <v>5661</v>
      </c>
      <c r="Q5114" s="422" t="s">
        <v>47</v>
      </c>
      <c r="R5114" s="422" t="s">
        <v>1869</v>
      </c>
      <c r="S5114" s="422" t="s">
        <v>1861</v>
      </c>
      <c r="U5114" s="422" t="s">
        <v>1953</v>
      </c>
      <c r="V5114" s="422" t="s">
        <v>2813</v>
      </c>
    </row>
    <row r="5115" spans="1:22" ht="15.75" thickBot="1" x14ac:dyDescent="0.3">
      <c r="A5115" t="s">
        <v>4594</v>
      </c>
      <c r="B5115" t="s">
        <v>4594</v>
      </c>
      <c r="C5115" s="424" t="str">
        <f t="shared" si="214"/>
        <v>Rodolezíria - Transportes Rodoviários de Passageiros, Unipessoal LDA.</v>
      </c>
      <c r="D5115" t="s">
        <v>629</v>
      </c>
      <c r="F5115" s="422" t="s">
        <v>620</v>
      </c>
      <c r="G5115" s="89" t="s">
        <v>2207</v>
      </c>
      <c r="H5115" s="313" t="s">
        <v>732</v>
      </c>
      <c r="I5115" s="311" t="str">
        <f t="shared" si="212"/>
        <v>Pesado de Passageiros M3:  : Gasóleo : E3</v>
      </c>
      <c r="J5115">
        <v>72</v>
      </c>
      <c r="K5115" s="422">
        <v>2023</v>
      </c>
      <c r="L5115" s="427">
        <v>9609.01</v>
      </c>
      <c r="M5115" s="427" t="s">
        <v>630</v>
      </c>
      <c r="N5115" s="434">
        <v>21088</v>
      </c>
      <c r="O5115" s="436">
        <f t="shared" si="213"/>
        <v>1518336</v>
      </c>
      <c r="P5115" s="89" t="s">
        <v>5662</v>
      </c>
      <c r="Q5115" s="422" t="s">
        <v>47</v>
      </c>
      <c r="R5115" s="422" t="s">
        <v>1869</v>
      </c>
      <c r="S5115" s="422" t="s">
        <v>1861</v>
      </c>
      <c r="U5115" s="422" t="s">
        <v>1953</v>
      </c>
      <c r="V5115" s="422" t="s">
        <v>2813</v>
      </c>
    </row>
    <row r="5116" spans="1:22" ht="15.75" thickBot="1" x14ac:dyDescent="0.3">
      <c r="A5116" t="s">
        <v>4594</v>
      </c>
      <c r="B5116" t="s">
        <v>4594</v>
      </c>
      <c r="C5116" s="424" t="str">
        <f t="shared" si="214"/>
        <v>Rodolezíria - Transportes Rodoviários de Passageiros, Unipessoal LDA.</v>
      </c>
      <c r="D5116" t="s">
        <v>629</v>
      </c>
      <c r="F5116" s="422" t="s">
        <v>620</v>
      </c>
      <c r="G5116" s="89" t="s">
        <v>2210</v>
      </c>
      <c r="H5116" s="313" t="s">
        <v>735</v>
      </c>
      <c r="I5116" s="311" t="str">
        <f t="shared" si="212"/>
        <v>Pesado de Passageiros M3:  : Gasóleo : E2</v>
      </c>
      <c r="J5116">
        <v>80</v>
      </c>
      <c r="K5116" s="422">
        <v>2023</v>
      </c>
      <c r="L5116" s="427">
        <v>14572.25</v>
      </c>
      <c r="M5116" s="427" t="s">
        <v>630</v>
      </c>
      <c r="N5116" s="434">
        <v>26756</v>
      </c>
      <c r="O5116" s="436">
        <f t="shared" si="213"/>
        <v>2140480</v>
      </c>
      <c r="P5116" s="89" t="s">
        <v>5663</v>
      </c>
      <c r="Q5116" s="422" t="s">
        <v>47</v>
      </c>
      <c r="R5116" s="422" t="s">
        <v>1869</v>
      </c>
      <c r="S5116" s="422" t="s">
        <v>1861</v>
      </c>
      <c r="U5116" s="422" t="s">
        <v>1953</v>
      </c>
      <c r="V5116" s="422" t="s">
        <v>2813</v>
      </c>
    </row>
    <row r="5117" spans="1:22" ht="15.75" thickBot="1" x14ac:dyDescent="0.3">
      <c r="A5117" t="s">
        <v>4594</v>
      </c>
      <c r="B5117" t="s">
        <v>4594</v>
      </c>
      <c r="C5117" s="424" t="str">
        <f t="shared" si="214"/>
        <v>Rodolezíria - Transportes Rodoviários de Passageiros, Unipessoal LDA.</v>
      </c>
      <c r="D5117" t="s">
        <v>629</v>
      </c>
      <c r="F5117" s="422" t="s">
        <v>620</v>
      </c>
      <c r="G5117" s="89" t="s">
        <v>2207</v>
      </c>
      <c r="H5117" s="313" t="s">
        <v>732</v>
      </c>
      <c r="I5117" s="311" t="str">
        <f t="shared" si="212"/>
        <v>Pesado de Passageiros M3:  : Gasóleo : E3</v>
      </c>
      <c r="J5117">
        <v>72</v>
      </c>
      <c r="K5117" s="422">
        <v>2023</v>
      </c>
      <c r="L5117" s="427">
        <v>5890.52</v>
      </c>
      <c r="M5117" s="427" t="s">
        <v>630</v>
      </c>
      <c r="N5117" s="434">
        <v>12868</v>
      </c>
      <c r="O5117" s="436">
        <f t="shared" si="213"/>
        <v>926496</v>
      </c>
      <c r="P5117" s="89" t="s">
        <v>5664</v>
      </c>
      <c r="Q5117" s="422" t="s">
        <v>47</v>
      </c>
      <c r="R5117" s="422" t="s">
        <v>1869</v>
      </c>
      <c r="S5117" s="422" t="s">
        <v>1861</v>
      </c>
      <c r="U5117" s="422" t="s">
        <v>1953</v>
      </c>
      <c r="V5117" s="422" t="s">
        <v>2813</v>
      </c>
    </row>
    <row r="5118" spans="1:22" ht="15.75" thickBot="1" x14ac:dyDescent="0.3">
      <c r="A5118" t="s">
        <v>4594</v>
      </c>
      <c r="B5118" t="s">
        <v>4594</v>
      </c>
      <c r="C5118" s="424" t="str">
        <f t="shared" si="214"/>
        <v>Rodolezíria - Transportes Rodoviários de Passageiros, Unipessoal LDA.</v>
      </c>
      <c r="D5118" t="s">
        <v>629</v>
      </c>
      <c r="F5118" s="422" t="s">
        <v>620</v>
      </c>
      <c r="G5118" s="89" t="s">
        <v>2207</v>
      </c>
      <c r="H5118" s="313" t="s">
        <v>732</v>
      </c>
      <c r="I5118" s="311" t="str">
        <f t="shared" si="212"/>
        <v>Pesado de Passageiros M3:  : Gasóleo : E3</v>
      </c>
      <c r="J5118">
        <v>72</v>
      </c>
      <c r="K5118" s="422">
        <v>2023</v>
      </c>
      <c r="L5118" s="427">
        <v>10525.369999999999</v>
      </c>
      <c r="M5118" s="427" t="s">
        <v>630</v>
      </c>
      <c r="N5118" s="434">
        <v>25369</v>
      </c>
      <c r="O5118" s="436">
        <f t="shared" si="213"/>
        <v>1826568</v>
      </c>
      <c r="P5118" s="89" t="s">
        <v>5665</v>
      </c>
      <c r="Q5118" s="422" t="s">
        <v>47</v>
      </c>
      <c r="R5118" s="422" t="s">
        <v>1869</v>
      </c>
      <c r="S5118" s="422" t="s">
        <v>1861</v>
      </c>
      <c r="U5118" s="422" t="s">
        <v>1953</v>
      </c>
      <c r="V5118" s="422" t="s">
        <v>2813</v>
      </c>
    </row>
    <row r="5119" spans="1:22" ht="15.75" thickBot="1" x14ac:dyDescent="0.3">
      <c r="A5119" t="s">
        <v>4594</v>
      </c>
      <c r="B5119" t="s">
        <v>4594</v>
      </c>
      <c r="C5119" s="424" t="str">
        <f t="shared" si="214"/>
        <v>Rodolezíria - Transportes Rodoviários de Passageiros, Unipessoal LDA.</v>
      </c>
      <c r="D5119" t="s">
        <v>629</v>
      </c>
      <c r="F5119" s="422" t="s">
        <v>620</v>
      </c>
      <c r="G5119" s="89" t="s">
        <v>2207</v>
      </c>
      <c r="H5119" s="313" t="s">
        <v>732</v>
      </c>
      <c r="I5119" s="311" t="str">
        <f t="shared" si="212"/>
        <v>Pesado de Passageiros M3:  : Gasóleo : E3</v>
      </c>
      <c r="J5119">
        <v>72</v>
      </c>
      <c r="K5119" s="422">
        <v>2023</v>
      </c>
      <c r="L5119" s="427">
        <v>6213.93</v>
      </c>
      <c r="M5119" s="427" t="s">
        <v>630</v>
      </c>
      <c r="N5119" s="434">
        <v>16072</v>
      </c>
      <c r="O5119" s="436">
        <f t="shared" si="213"/>
        <v>1157184</v>
      </c>
      <c r="P5119" s="89" t="s">
        <v>5666</v>
      </c>
      <c r="Q5119" s="422" t="s">
        <v>47</v>
      </c>
      <c r="R5119" s="422" t="s">
        <v>1869</v>
      </c>
      <c r="S5119" s="422" t="s">
        <v>1861</v>
      </c>
      <c r="U5119" s="422" t="s">
        <v>1953</v>
      </c>
      <c r="V5119" s="422" t="s">
        <v>2813</v>
      </c>
    </row>
    <row r="5120" spans="1:22" ht="15.75" thickBot="1" x14ac:dyDescent="0.3">
      <c r="A5120" t="s">
        <v>4594</v>
      </c>
      <c r="B5120" t="s">
        <v>4594</v>
      </c>
      <c r="C5120" s="424" t="str">
        <f t="shared" si="214"/>
        <v>Rodolezíria - Transportes Rodoviários de Passageiros, Unipessoal LDA.</v>
      </c>
      <c r="D5120" t="s">
        <v>629</v>
      </c>
      <c r="F5120" s="422" t="s">
        <v>620</v>
      </c>
      <c r="G5120" s="89" t="s">
        <v>2207</v>
      </c>
      <c r="H5120" s="313" t="s">
        <v>735</v>
      </c>
      <c r="I5120" s="311" t="str">
        <f t="shared" si="212"/>
        <v>Pesado de Passageiros M3:  : Gasóleo : E2</v>
      </c>
      <c r="J5120">
        <v>81</v>
      </c>
      <c r="K5120" s="422">
        <v>2023</v>
      </c>
      <c r="L5120" s="427">
        <v>11320.54</v>
      </c>
      <c r="M5120" s="427" t="s">
        <v>630</v>
      </c>
      <c r="N5120" s="434">
        <v>17823</v>
      </c>
      <c r="O5120" s="436">
        <f t="shared" si="213"/>
        <v>1443663</v>
      </c>
      <c r="P5120" s="89" t="s">
        <v>5667</v>
      </c>
      <c r="Q5120" s="422" t="s">
        <v>47</v>
      </c>
      <c r="R5120" s="422" t="s">
        <v>1869</v>
      </c>
      <c r="S5120" s="422" t="s">
        <v>1861</v>
      </c>
      <c r="U5120" s="422" t="s">
        <v>1953</v>
      </c>
      <c r="V5120" s="422" t="s">
        <v>2813</v>
      </c>
    </row>
    <row r="5121" spans="1:22" ht="15.75" thickBot="1" x14ac:dyDescent="0.3">
      <c r="A5121" t="s">
        <v>4594</v>
      </c>
      <c r="B5121" t="s">
        <v>4594</v>
      </c>
      <c r="C5121" s="424" t="str">
        <f t="shared" si="214"/>
        <v>Rodolezíria - Transportes Rodoviários de Passageiros, Unipessoal LDA.</v>
      </c>
      <c r="D5121" t="s">
        <v>629</v>
      </c>
      <c r="F5121" s="422" t="s">
        <v>620</v>
      </c>
      <c r="G5121" s="89" t="s">
        <v>2207</v>
      </c>
      <c r="H5121" s="313" t="s">
        <v>735</v>
      </c>
      <c r="I5121" s="311" t="str">
        <f t="shared" si="212"/>
        <v>Pesado de Passageiros M3:  : Gasóleo : E2</v>
      </c>
      <c r="J5121">
        <v>81</v>
      </c>
      <c r="K5121" s="422">
        <v>2023</v>
      </c>
      <c r="L5121" s="427">
        <v>19252.41</v>
      </c>
      <c r="M5121" s="427" t="s">
        <v>630</v>
      </c>
      <c r="N5121" s="434">
        <v>36470</v>
      </c>
      <c r="O5121" s="436">
        <f t="shared" si="213"/>
        <v>2954070</v>
      </c>
      <c r="P5121" s="89" t="s">
        <v>5668</v>
      </c>
      <c r="Q5121" s="422" t="s">
        <v>47</v>
      </c>
      <c r="R5121" s="422" t="s">
        <v>1869</v>
      </c>
      <c r="S5121" s="422" t="s">
        <v>1861</v>
      </c>
      <c r="U5121" s="422" t="s">
        <v>1953</v>
      </c>
      <c r="V5121" s="422" t="s">
        <v>2813</v>
      </c>
    </row>
    <row r="5122" spans="1:22" ht="15.75" thickBot="1" x14ac:dyDescent="0.3">
      <c r="A5122" t="s">
        <v>4594</v>
      </c>
      <c r="B5122" t="s">
        <v>4594</v>
      </c>
      <c r="C5122" s="424" t="str">
        <f t="shared" si="214"/>
        <v>Rodolezíria - Transportes Rodoviários de Passageiros, Unipessoal LDA.</v>
      </c>
      <c r="D5122" t="s">
        <v>629</v>
      </c>
      <c r="F5122" s="422" t="s">
        <v>620</v>
      </c>
      <c r="G5122" s="89" t="s">
        <v>2204</v>
      </c>
      <c r="H5122" s="313" t="s">
        <v>731</v>
      </c>
      <c r="I5122" s="311" t="str">
        <f t="shared" si="212"/>
        <v>Pesado de Passageiros M3:  : Gasóleo : E4</v>
      </c>
      <c r="J5122">
        <v>19</v>
      </c>
      <c r="K5122" s="422">
        <v>2023</v>
      </c>
      <c r="L5122" s="427">
        <v>958.83</v>
      </c>
      <c r="M5122" s="427" t="s">
        <v>630</v>
      </c>
      <c r="N5122" s="434">
        <v>6255</v>
      </c>
      <c r="O5122" s="436">
        <f t="shared" si="213"/>
        <v>118845</v>
      </c>
      <c r="P5122" s="89" t="s">
        <v>5669</v>
      </c>
      <c r="Q5122" s="422" t="s">
        <v>47</v>
      </c>
      <c r="R5122" s="422" t="s">
        <v>1869</v>
      </c>
      <c r="S5122" s="422" t="s">
        <v>1861</v>
      </c>
      <c r="U5122" s="422" t="s">
        <v>1953</v>
      </c>
      <c r="V5122" s="422" t="s">
        <v>2813</v>
      </c>
    </row>
    <row r="5123" spans="1:22" ht="15.75" thickBot="1" x14ac:dyDescent="0.3">
      <c r="A5123" t="s">
        <v>4594</v>
      </c>
      <c r="B5123" t="s">
        <v>4594</v>
      </c>
      <c r="C5123" s="424" t="str">
        <f t="shared" si="214"/>
        <v>Rodolezíria - Transportes Rodoviários de Passageiros, Unipessoal LDA.</v>
      </c>
      <c r="D5123" t="s">
        <v>629</v>
      </c>
      <c r="F5123" s="422" t="s">
        <v>620</v>
      </c>
      <c r="G5123" s="89" t="s">
        <v>2211</v>
      </c>
      <c r="H5123" s="313" t="s">
        <v>731</v>
      </c>
      <c r="I5123" s="311" t="str">
        <f t="shared" si="212"/>
        <v>Pesado de Passageiros M3:  : Gasóleo : E4</v>
      </c>
      <c r="J5123">
        <v>77</v>
      </c>
      <c r="K5123" s="422">
        <v>2023</v>
      </c>
      <c r="L5123" s="427">
        <v>14902.08</v>
      </c>
      <c r="M5123" s="427" t="s">
        <v>630</v>
      </c>
      <c r="N5123" s="434">
        <v>32147</v>
      </c>
      <c r="O5123" s="436">
        <f t="shared" si="213"/>
        <v>2475319</v>
      </c>
      <c r="P5123" s="89" t="s">
        <v>5670</v>
      </c>
      <c r="Q5123" s="422" t="s">
        <v>47</v>
      </c>
      <c r="R5123" s="422" t="s">
        <v>1869</v>
      </c>
      <c r="S5123" s="422" t="s">
        <v>1861</v>
      </c>
      <c r="U5123" s="422" t="s">
        <v>1953</v>
      </c>
      <c r="V5123" s="422" t="s">
        <v>2813</v>
      </c>
    </row>
    <row r="5124" spans="1:22" ht="15.75" thickBot="1" x14ac:dyDescent="0.3">
      <c r="A5124" t="s">
        <v>4594</v>
      </c>
      <c r="B5124" t="s">
        <v>4594</v>
      </c>
      <c r="C5124" s="424" t="str">
        <f t="shared" si="214"/>
        <v>Rodolezíria - Transportes Rodoviários de Passageiros, Unipessoal LDA.</v>
      </c>
      <c r="D5124" t="s">
        <v>629</v>
      </c>
      <c r="F5124" s="422" t="s">
        <v>620</v>
      </c>
      <c r="G5124" s="89" t="s">
        <v>2211</v>
      </c>
      <c r="H5124" s="313" t="s">
        <v>731</v>
      </c>
      <c r="I5124" s="311" t="str">
        <f t="shared" si="212"/>
        <v>Pesado de Passageiros M3:  : Gasóleo : E4</v>
      </c>
      <c r="J5124">
        <v>78</v>
      </c>
      <c r="K5124" s="422">
        <v>2023</v>
      </c>
      <c r="L5124" s="427">
        <v>7424.8</v>
      </c>
      <c r="M5124" s="427" t="s">
        <v>630</v>
      </c>
      <c r="N5124" s="434">
        <v>15688</v>
      </c>
      <c r="O5124" s="436">
        <f t="shared" si="213"/>
        <v>1223664</v>
      </c>
      <c r="P5124" s="89" t="s">
        <v>5671</v>
      </c>
      <c r="Q5124" s="422" t="s">
        <v>47</v>
      </c>
      <c r="R5124" s="422" t="s">
        <v>1869</v>
      </c>
      <c r="S5124" s="422" t="s">
        <v>1861</v>
      </c>
      <c r="U5124" s="422" t="s">
        <v>1953</v>
      </c>
      <c r="V5124" s="422" t="s">
        <v>2813</v>
      </c>
    </row>
    <row r="5125" spans="1:22" ht="15.75" thickBot="1" x14ac:dyDescent="0.3">
      <c r="A5125" t="s">
        <v>4594</v>
      </c>
      <c r="B5125" t="s">
        <v>4594</v>
      </c>
      <c r="C5125" s="424" t="str">
        <f t="shared" si="214"/>
        <v>Rodolezíria - Transportes Rodoviários de Passageiros, Unipessoal LDA.</v>
      </c>
      <c r="D5125" t="s">
        <v>629</v>
      </c>
      <c r="F5125" s="422" t="s">
        <v>620</v>
      </c>
      <c r="G5125" s="89" t="s">
        <v>2219</v>
      </c>
      <c r="H5125" s="313" t="s">
        <v>732</v>
      </c>
      <c r="I5125" s="311" t="str">
        <f t="shared" si="212"/>
        <v>Pesado de Passageiros M3:  : Gasóleo : E3</v>
      </c>
      <c r="J5125">
        <v>72</v>
      </c>
      <c r="K5125" s="422">
        <v>2023</v>
      </c>
      <c r="L5125" s="427">
        <v>16012.5</v>
      </c>
      <c r="M5125" s="427" t="s">
        <v>630</v>
      </c>
      <c r="N5125" s="434">
        <v>25023</v>
      </c>
      <c r="O5125" s="436">
        <f t="shared" si="213"/>
        <v>1801656</v>
      </c>
      <c r="P5125" s="89" t="s">
        <v>5672</v>
      </c>
      <c r="Q5125" s="422" t="s">
        <v>47</v>
      </c>
      <c r="R5125" s="422" t="s">
        <v>1869</v>
      </c>
      <c r="S5125" s="422" t="s">
        <v>1861</v>
      </c>
      <c r="U5125" s="422" t="s">
        <v>1953</v>
      </c>
      <c r="V5125" s="422" t="s">
        <v>2813</v>
      </c>
    </row>
    <row r="5126" spans="1:22" ht="15.75" thickBot="1" x14ac:dyDescent="0.3">
      <c r="A5126" t="s">
        <v>4594</v>
      </c>
      <c r="B5126" t="s">
        <v>4594</v>
      </c>
      <c r="C5126" s="424" t="str">
        <f t="shared" si="214"/>
        <v>Rodolezíria - Transportes Rodoviários de Passageiros, Unipessoal LDA.</v>
      </c>
      <c r="D5126" t="s">
        <v>629</v>
      </c>
      <c r="F5126" s="422" t="s">
        <v>620</v>
      </c>
      <c r="G5126" s="89" t="s">
        <v>2222</v>
      </c>
      <c r="H5126" s="313" t="s">
        <v>732</v>
      </c>
      <c r="I5126" s="311" t="str">
        <f t="shared" si="212"/>
        <v>Pesado de Passageiros M3:  : Gasóleo : E3</v>
      </c>
      <c r="J5126">
        <v>74</v>
      </c>
      <c r="K5126" s="422">
        <v>2023</v>
      </c>
      <c r="L5126" s="427">
        <v>8739.94</v>
      </c>
      <c r="M5126" s="427" t="s">
        <v>630</v>
      </c>
      <c r="N5126" s="434">
        <v>16522</v>
      </c>
      <c r="O5126" s="436">
        <f t="shared" si="213"/>
        <v>1222628</v>
      </c>
      <c r="P5126" s="89" t="s">
        <v>5673</v>
      </c>
      <c r="Q5126" s="422" t="s">
        <v>47</v>
      </c>
      <c r="R5126" s="422" t="s">
        <v>1869</v>
      </c>
      <c r="S5126" s="422" t="s">
        <v>1861</v>
      </c>
      <c r="U5126" s="422" t="s">
        <v>1953</v>
      </c>
      <c r="V5126" s="422" t="s">
        <v>2813</v>
      </c>
    </row>
    <row r="5127" spans="1:22" ht="15.75" thickBot="1" x14ac:dyDescent="0.3">
      <c r="A5127" t="s">
        <v>4594</v>
      </c>
      <c r="B5127" t="s">
        <v>4594</v>
      </c>
      <c r="C5127" s="424" t="str">
        <f t="shared" si="214"/>
        <v>Rodolezíria - Transportes Rodoviários de Passageiros, Unipessoal LDA.</v>
      </c>
      <c r="D5127" t="s">
        <v>629</v>
      </c>
      <c r="F5127" s="422" t="s">
        <v>620</v>
      </c>
      <c r="G5127" s="89" t="s">
        <v>2207</v>
      </c>
      <c r="H5127" s="313" t="s">
        <v>732</v>
      </c>
      <c r="I5127" s="311" t="str">
        <f t="shared" si="212"/>
        <v>Pesado de Passageiros M3:  : Gasóleo : E3</v>
      </c>
      <c r="J5127">
        <v>57</v>
      </c>
      <c r="K5127" s="422">
        <v>2023</v>
      </c>
      <c r="L5127" s="427">
        <v>10215.19</v>
      </c>
      <c r="M5127" s="427" t="s">
        <v>630</v>
      </c>
      <c r="N5127" s="434">
        <v>29554</v>
      </c>
      <c r="O5127" s="436">
        <f t="shared" si="213"/>
        <v>1684578</v>
      </c>
      <c r="P5127" s="89" t="s">
        <v>5674</v>
      </c>
      <c r="Q5127" s="422" t="s">
        <v>47</v>
      </c>
      <c r="R5127" s="422" t="s">
        <v>1869</v>
      </c>
      <c r="S5127" s="422" t="s">
        <v>1861</v>
      </c>
      <c r="U5127" s="422" t="s">
        <v>1953</v>
      </c>
      <c r="V5127" s="422" t="s">
        <v>2813</v>
      </c>
    </row>
    <row r="5128" spans="1:22" ht="15.75" thickBot="1" x14ac:dyDescent="0.3">
      <c r="A5128" t="s">
        <v>4594</v>
      </c>
      <c r="B5128" t="s">
        <v>4594</v>
      </c>
      <c r="C5128" s="424" t="str">
        <f t="shared" si="214"/>
        <v>Rodolezíria - Transportes Rodoviários de Passageiros, Unipessoal LDA.</v>
      </c>
      <c r="D5128" t="s">
        <v>629</v>
      </c>
      <c r="F5128" s="422" t="s">
        <v>620</v>
      </c>
      <c r="G5128" s="89" t="s">
        <v>2205</v>
      </c>
      <c r="H5128" s="313" t="s">
        <v>731</v>
      </c>
      <c r="I5128" s="311" t="str">
        <f t="shared" si="212"/>
        <v>Pesado de Passageiros M3:  : Gasóleo : E4</v>
      </c>
      <c r="J5128">
        <v>27</v>
      </c>
      <c r="K5128" s="422">
        <v>2023</v>
      </c>
      <c r="L5128" s="427">
        <v>5252.5999999999995</v>
      </c>
      <c r="M5128" s="427" t="s">
        <v>630</v>
      </c>
      <c r="N5128" s="434">
        <v>24712</v>
      </c>
      <c r="O5128" s="436">
        <f t="shared" si="213"/>
        <v>667224</v>
      </c>
      <c r="P5128" s="89" t="s">
        <v>5675</v>
      </c>
      <c r="Q5128" s="422" t="s">
        <v>47</v>
      </c>
      <c r="R5128" s="422" t="s">
        <v>1869</v>
      </c>
      <c r="S5128" s="422" t="s">
        <v>1861</v>
      </c>
      <c r="U5128" s="422" t="s">
        <v>1953</v>
      </c>
      <c r="V5128" s="422" t="s">
        <v>2813</v>
      </c>
    </row>
    <row r="5129" spans="1:22" ht="15.75" thickBot="1" x14ac:dyDescent="0.3">
      <c r="A5129" t="s">
        <v>4594</v>
      </c>
      <c r="B5129" t="s">
        <v>4594</v>
      </c>
      <c r="C5129" s="424" t="str">
        <f t="shared" si="214"/>
        <v>Rodolezíria - Transportes Rodoviários de Passageiros, Unipessoal LDA.</v>
      </c>
      <c r="D5129" t="s">
        <v>629</v>
      </c>
      <c r="F5129" s="422" t="s">
        <v>620</v>
      </c>
      <c r="G5129" s="89" t="s">
        <v>2204</v>
      </c>
      <c r="H5129" s="313" t="s">
        <v>731</v>
      </c>
      <c r="I5129" s="311" t="str">
        <f t="shared" si="212"/>
        <v>Pesado de Passageiros M3:  : Gasóleo : E4</v>
      </c>
      <c r="J5129">
        <v>30</v>
      </c>
      <c r="K5129" s="422">
        <v>2023</v>
      </c>
      <c r="L5129" s="427">
        <v>10183.310000000001</v>
      </c>
      <c r="M5129" s="427" t="s">
        <v>630</v>
      </c>
      <c r="N5129" s="434">
        <v>39313</v>
      </c>
      <c r="O5129" s="436">
        <f t="shared" si="213"/>
        <v>1179390</v>
      </c>
      <c r="P5129" s="89" t="s">
        <v>5676</v>
      </c>
      <c r="Q5129" s="422" t="s">
        <v>47</v>
      </c>
      <c r="R5129" s="422" t="s">
        <v>1869</v>
      </c>
      <c r="S5129" s="422" t="s">
        <v>1861</v>
      </c>
      <c r="U5129" s="422" t="s">
        <v>1953</v>
      </c>
      <c r="V5129" s="422" t="s">
        <v>2813</v>
      </c>
    </row>
    <row r="5130" spans="1:22" ht="15.75" thickBot="1" x14ac:dyDescent="0.3">
      <c r="A5130" t="s">
        <v>4594</v>
      </c>
      <c r="B5130" t="s">
        <v>4594</v>
      </c>
      <c r="C5130" s="424" t="str">
        <f t="shared" si="214"/>
        <v>Rodolezíria - Transportes Rodoviários de Passageiros, Unipessoal LDA.</v>
      </c>
      <c r="D5130" t="s">
        <v>629</v>
      </c>
      <c r="F5130" s="422" t="s">
        <v>620</v>
      </c>
      <c r="G5130" s="89" t="s">
        <v>2205</v>
      </c>
      <c r="H5130" s="313" t="s">
        <v>731</v>
      </c>
      <c r="I5130" s="311" t="str">
        <f t="shared" si="212"/>
        <v>Pesado de Passageiros M3:  : Gasóleo : E4</v>
      </c>
      <c r="J5130">
        <v>30</v>
      </c>
      <c r="K5130" s="422">
        <v>2023</v>
      </c>
      <c r="L5130" s="427">
        <v>6710.74</v>
      </c>
      <c r="M5130" s="427" t="s">
        <v>630</v>
      </c>
      <c r="N5130" s="434">
        <v>26743</v>
      </c>
      <c r="O5130" s="436">
        <f t="shared" si="213"/>
        <v>802290</v>
      </c>
      <c r="P5130" s="89" t="s">
        <v>5677</v>
      </c>
      <c r="Q5130" s="422" t="s">
        <v>47</v>
      </c>
      <c r="R5130" s="422" t="s">
        <v>1869</v>
      </c>
      <c r="S5130" s="422" t="s">
        <v>1861</v>
      </c>
      <c r="U5130" s="422" t="s">
        <v>1953</v>
      </c>
      <c r="V5130" s="422" t="s">
        <v>2813</v>
      </c>
    </row>
    <row r="5131" spans="1:22" ht="15.75" thickBot="1" x14ac:dyDescent="0.3">
      <c r="A5131" t="s">
        <v>4594</v>
      </c>
      <c r="B5131" t="s">
        <v>4594</v>
      </c>
      <c r="C5131" s="424" t="str">
        <f t="shared" si="214"/>
        <v>Rodolezíria - Transportes Rodoviários de Passageiros, Unipessoal LDA.</v>
      </c>
      <c r="D5131" t="s">
        <v>629</v>
      </c>
      <c r="F5131" s="422" t="s">
        <v>620</v>
      </c>
      <c r="G5131" s="89" t="s">
        <v>2205</v>
      </c>
      <c r="H5131" s="313" t="s">
        <v>731</v>
      </c>
      <c r="I5131" s="311" t="str">
        <f t="shared" si="212"/>
        <v>Pesado de Passageiros M3:  : Gasóleo : E4</v>
      </c>
      <c r="J5131">
        <v>27</v>
      </c>
      <c r="K5131" s="422">
        <v>2023</v>
      </c>
      <c r="L5131" s="427">
        <v>296.23</v>
      </c>
      <c r="M5131" s="427" t="s">
        <v>630</v>
      </c>
      <c r="N5131" s="434">
        <v>1792</v>
      </c>
      <c r="O5131" s="436">
        <f t="shared" si="213"/>
        <v>48384</v>
      </c>
      <c r="P5131" s="89" t="s">
        <v>5678</v>
      </c>
      <c r="Q5131" s="422" t="s">
        <v>47</v>
      </c>
      <c r="R5131" s="422" t="s">
        <v>1869</v>
      </c>
      <c r="S5131" s="422" t="s">
        <v>1861</v>
      </c>
      <c r="U5131" s="422" t="s">
        <v>1953</v>
      </c>
      <c r="V5131" s="422" t="s">
        <v>2813</v>
      </c>
    </row>
    <row r="5132" spans="1:22" ht="15.75" thickBot="1" x14ac:dyDescent="0.3">
      <c r="A5132" t="s">
        <v>4594</v>
      </c>
      <c r="B5132" t="s">
        <v>4594</v>
      </c>
      <c r="C5132" s="424" t="str">
        <f t="shared" si="214"/>
        <v>Rodolezíria - Transportes Rodoviários de Passageiros, Unipessoal LDA.</v>
      </c>
      <c r="D5132" t="s">
        <v>629</v>
      </c>
      <c r="F5132" s="422" t="s">
        <v>620</v>
      </c>
      <c r="G5132" s="89" t="s">
        <v>2215</v>
      </c>
      <c r="H5132" s="313" t="s">
        <v>735</v>
      </c>
      <c r="I5132" s="311" t="str">
        <f t="shared" si="212"/>
        <v>Pesado de Passageiros M3:  : Gasóleo : E2</v>
      </c>
      <c r="J5132">
        <v>80</v>
      </c>
      <c r="K5132" s="422">
        <v>2023</v>
      </c>
      <c r="L5132" s="427">
        <v>23233.68</v>
      </c>
      <c r="M5132" s="427" t="s">
        <v>630</v>
      </c>
      <c r="N5132" s="434">
        <v>43630</v>
      </c>
      <c r="O5132" s="436">
        <f t="shared" si="213"/>
        <v>3490400</v>
      </c>
      <c r="P5132" s="89" t="s">
        <v>5679</v>
      </c>
      <c r="Q5132" s="422" t="s">
        <v>47</v>
      </c>
      <c r="R5132" s="422" t="s">
        <v>1869</v>
      </c>
      <c r="S5132" s="422" t="s">
        <v>1861</v>
      </c>
      <c r="U5132" s="422" t="s">
        <v>1953</v>
      </c>
      <c r="V5132" s="422" t="s">
        <v>2813</v>
      </c>
    </row>
    <row r="5133" spans="1:22" ht="15.75" thickBot="1" x14ac:dyDescent="0.3">
      <c r="A5133" t="s">
        <v>4594</v>
      </c>
      <c r="B5133" t="s">
        <v>4594</v>
      </c>
      <c r="C5133" s="424" t="str">
        <f t="shared" si="214"/>
        <v>Rodolezíria - Transportes Rodoviários de Passageiros, Unipessoal LDA.</v>
      </c>
      <c r="D5133" t="s">
        <v>629</v>
      </c>
      <c r="F5133" s="422" t="s">
        <v>620</v>
      </c>
      <c r="G5133" s="89" t="s">
        <v>2215</v>
      </c>
      <c r="H5133" s="313" t="s">
        <v>735</v>
      </c>
      <c r="I5133" s="311" t="str">
        <f t="shared" si="212"/>
        <v>Pesado de Passageiros M3:  : Gasóleo : E2</v>
      </c>
      <c r="J5133">
        <v>80</v>
      </c>
      <c r="K5133" s="422">
        <v>2023</v>
      </c>
      <c r="L5133" s="427">
        <v>23326.89</v>
      </c>
      <c r="M5133" s="427" t="s">
        <v>630</v>
      </c>
      <c r="N5133" s="434">
        <v>39038</v>
      </c>
      <c r="O5133" s="436">
        <f t="shared" si="213"/>
        <v>3123040</v>
      </c>
      <c r="P5133" s="89" t="s">
        <v>5680</v>
      </c>
      <c r="Q5133" s="422" t="s">
        <v>47</v>
      </c>
      <c r="R5133" s="422" t="s">
        <v>1869</v>
      </c>
      <c r="S5133" s="422" t="s">
        <v>1861</v>
      </c>
      <c r="U5133" s="422" t="s">
        <v>1953</v>
      </c>
      <c r="V5133" s="422" t="s">
        <v>2813</v>
      </c>
    </row>
    <row r="5134" spans="1:22" ht="15.75" thickBot="1" x14ac:dyDescent="0.3">
      <c r="A5134" t="s">
        <v>4594</v>
      </c>
      <c r="B5134" t="s">
        <v>4594</v>
      </c>
      <c r="C5134" s="424" t="str">
        <f t="shared" si="214"/>
        <v>Rodolezíria - Transportes Rodoviários de Passageiros, Unipessoal LDA.</v>
      </c>
      <c r="D5134" t="s">
        <v>629</v>
      </c>
      <c r="F5134" s="422" t="s">
        <v>620</v>
      </c>
      <c r="G5134" s="89" t="s">
        <v>2224</v>
      </c>
      <c r="H5134" s="313" t="s">
        <v>732</v>
      </c>
      <c r="I5134" s="311" t="str">
        <f t="shared" si="212"/>
        <v>Pesado de Passageiros M3:  : Gasóleo : E3</v>
      </c>
      <c r="J5134">
        <v>71</v>
      </c>
      <c r="K5134" s="422">
        <v>2023</v>
      </c>
      <c r="L5134" s="427">
        <v>23685.200000000001</v>
      </c>
      <c r="M5134" s="427" t="s">
        <v>630</v>
      </c>
      <c r="N5134" s="434">
        <v>44619</v>
      </c>
      <c r="O5134" s="436">
        <f t="shared" si="213"/>
        <v>3167949</v>
      </c>
      <c r="P5134" s="89" t="s">
        <v>5681</v>
      </c>
      <c r="Q5134" s="422" t="s">
        <v>47</v>
      </c>
      <c r="R5134" s="422" t="s">
        <v>1869</v>
      </c>
      <c r="S5134" s="422" t="s">
        <v>1861</v>
      </c>
      <c r="U5134" s="422" t="s">
        <v>1953</v>
      </c>
      <c r="V5134" s="422" t="s">
        <v>2813</v>
      </c>
    </row>
    <row r="5135" spans="1:22" ht="15.75" thickBot="1" x14ac:dyDescent="0.3">
      <c r="A5135" t="s">
        <v>4594</v>
      </c>
      <c r="B5135" t="s">
        <v>4594</v>
      </c>
      <c r="C5135" s="424" t="str">
        <f t="shared" si="214"/>
        <v>Rodolezíria - Transportes Rodoviários de Passageiros, Unipessoal LDA.</v>
      </c>
      <c r="D5135" t="s">
        <v>629</v>
      </c>
      <c r="F5135" s="422" t="s">
        <v>620</v>
      </c>
      <c r="G5135" s="89" t="s">
        <v>2206</v>
      </c>
      <c r="H5135" s="313" t="s">
        <v>735</v>
      </c>
      <c r="I5135" s="311" t="str">
        <f t="shared" si="212"/>
        <v>Pesado de Passageiros M3:  : Gasóleo : E2</v>
      </c>
      <c r="J5135">
        <v>76</v>
      </c>
      <c r="K5135" s="422">
        <v>2023</v>
      </c>
      <c r="L5135" s="427">
        <v>18630.89</v>
      </c>
      <c r="M5135" s="427" t="s">
        <v>630</v>
      </c>
      <c r="N5135" s="434">
        <v>35546</v>
      </c>
      <c r="O5135" s="436">
        <f t="shared" si="213"/>
        <v>2701496</v>
      </c>
      <c r="P5135" s="89" t="s">
        <v>5682</v>
      </c>
      <c r="Q5135" s="422" t="s">
        <v>47</v>
      </c>
      <c r="R5135" s="422" t="s">
        <v>1869</v>
      </c>
      <c r="S5135" s="422" t="s">
        <v>1861</v>
      </c>
      <c r="U5135" s="422" t="s">
        <v>1953</v>
      </c>
      <c r="V5135" s="422" t="s">
        <v>2813</v>
      </c>
    </row>
    <row r="5136" spans="1:22" ht="15.75" thickBot="1" x14ac:dyDescent="0.3">
      <c r="A5136" t="s">
        <v>4594</v>
      </c>
      <c r="B5136" t="s">
        <v>4594</v>
      </c>
      <c r="C5136" s="424" t="str">
        <f t="shared" si="214"/>
        <v>Rodolezíria - Transportes Rodoviários de Passageiros, Unipessoal LDA.</v>
      </c>
      <c r="D5136" t="s">
        <v>629</v>
      </c>
      <c r="F5136" s="422" t="s">
        <v>620</v>
      </c>
      <c r="G5136" s="89" t="s">
        <v>1954</v>
      </c>
      <c r="H5136" s="313" t="s">
        <v>735</v>
      </c>
      <c r="I5136" s="311" t="str">
        <f t="shared" si="212"/>
        <v>Pesado de Passageiros M3:  : Gasóleo : E2</v>
      </c>
      <c r="J5136">
        <v>55</v>
      </c>
      <c r="K5136" s="422">
        <v>2023</v>
      </c>
      <c r="L5136" s="427">
        <v>13398.99</v>
      </c>
      <c r="M5136" s="427" t="s">
        <v>630</v>
      </c>
      <c r="N5136" s="434">
        <v>22385</v>
      </c>
      <c r="O5136" s="436">
        <f t="shared" si="213"/>
        <v>1231175</v>
      </c>
      <c r="P5136" s="89" t="s">
        <v>5683</v>
      </c>
      <c r="Q5136" s="422" t="s">
        <v>47</v>
      </c>
      <c r="R5136" s="422" t="s">
        <v>1869</v>
      </c>
      <c r="S5136" s="422" t="s">
        <v>1861</v>
      </c>
      <c r="U5136" s="422" t="s">
        <v>1953</v>
      </c>
      <c r="V5136" s="422" t="s">
        <v>2813</v>
      </c>
    </row>
    <row r="5137" spans="1:22" ht="15.75" thickBot="1" x14ac:dyDescent="0.3">
      <c r="A5137" t="s">
        <v>4594</v>
      </c>
      <c r="B5137" t="s">
        <v>4594</v>
      </c>
      <c r="C5137" s="424" t="str">
        <f t="shared" si="214"/>
        <v>Rodolezíria - Transportes Rodoviários de Passageiros, Unipessoal LDA.</v>
      </c>
      <c r="D5137" t="s">
        <v>629</v>
      </c>
      <c r="F5137" s="422" t="s">
        <v>620</v>
      </c>
      <c r="G5137" s="89" t="s">
        <v>2223</v>
      </c>
      <c r="H5137" s="313" t="s">
        <v>734</v>
      </c>
      <c r="I5137" s="311" t="str">
        <f t="shared" si="212"/>
        <v>Pesado de Passageiros M3:  : Gasóleo : E5</v>
      </c>
      <c r="J5137">
        <v>73</v>
      </c>
      <c r="K5137" s="422">
        <v>2023</v>
      </c>
      <c r="L5137" s="427">
        <v>21553.46</v>
      </c>
      <c r="M5137" s="427" t="s">
        <v>630</v>
      </c>
      <c r="N5137" s="434">
        <v>37410</v>
      </c>
      <c r="O5137" s="436">
        <f t="shared" si="213"/>
        <v>2730930</v>
      </c>
      <c r="P5137" s="89" t="s">
        <v>5684</v>
      </c>
      <c r="Q5137" s="422" t="s">
        <v>47</v>
      </c>
      <c r="R5137" s="422" t="s">
        <v>1869</v>
      </c>
      <c r="S5137" s="422" t="s">
        <v>1861</v>
      </c>
      <c r="U5137" s="422" t="s">
        <v>1953</v>
      </c>
      <c r="V5137" s="422" t="s">
        <v>2813</v>
      </c>
    </row>
    <row r="5138" spans="1:22" ht="15.75" thickBot="1" x14ac:dyDescent="0.3">
      <c r="A5138" t="s">
        <v>4594</v>
      </c>
      <c r="B5138" t="s">
        <v>4594</v>
      </c>
      <c r="C5138" s="424" t="str">
        <f t="shared" si="214"/>
        <v>Rodolezíria - Transportes Rodoviários de Passageiros, Unipessoal LDA.</v>
      </c>
      <c r="D5138" t="s">
        <v>629</v>
      </c>
      <c r="F5138" s="422" t="s">
        <v>620</v>
      </c>
      <c r="G5138" s="89" t="s">
        <v>2220</v>
      </c>
      <c r="H5138" s="313" t="s">
        <v>732</v>
      </c>
      <c r="I5138" s="311" t="str">
        <f t="shared" si="212"/>
        <v>Pesado de Passageiros M3:  : Gasóleo : E3</v>
      </c>
      <c r="J5138">
        <v>71</v>
      </c>
      <c r="K5138" s="422">
        <v>2023</v>
      </c>
      <c r="L5138" s="427">
        <v>32745.78</v>
      </c>
      <c r="M5138" s="427" t="s">
        <v>630</v>
      </c>
      <c r="N5138" s="434">
        <v>51425</v>
      </c>
      <c r="O5138" s="436">
        <f t="shared" si="213"/>
        <v>3651175</v>
      </c>
      <c r="P5138" s="89" t="s">
        <v>5685</v>
      </c>
      <c r="Q5138" s="422" t="s">
        <v>47</v>
      </c>
      <c r="R5138" s="422" t="s">
        <v>1869</v>
      </c>
      <c r="S5138" s="422" t="s">
        <v>1861</v>
      </c>
      <c r="U5138" s="422" t="s">
        <v>1953</v>
      </c>
      <c r="V5138" s="422" t="s">
        <v>2813</v>
      </c>
    </row>
    <row r="5139" spans="1:22" ht="15.75" thickBot="1" x14ac:dyDescent="0.3">
      <c r="A5139" t="s">
        <v>4594</v>
      </c>
      <c r="B5139" t="s">
        <v>4594</v>
      </c>
      <c r="C5139" s="424" t="str">
        <f t="shared" si="214"/>
        <v>Rodolezíria - Transportes Rodoviários de Passageiros, Unipessoal LDA.</v>
      </c>
      <c r="D5139" t="s">
        <v>629</v>
      </c>
      <c r="F5139" s="422" t="s">
        <v>620</v>
      </c>
      <c r="G5139" s="89" t="s">
        <v>2220</v>
      </c>
      <c r="H5139" s="313" t="s">
        <v>732</v>
      </c>
      <c r="I5139" s="311" t="str">
        <f t="shared" si="212"/>
        <v>Pesado de Passageiros M3:  : Gasóleo : E3</v>
      </c>
      <c r="J5139">
        <v>83</v>
      </c>
      <c r="K5139" s="422">
        <v>2023</v>
      </c>
      <c r="L5139" s="427">
        <v>20522.940000000002</v>
      </c>
      <c r="M5139" s="427" t="s">
        <v>630</v>
      </c>
      <c r="N5139" s="434">
        <v>33081</v>
      </c>
      <c r="O5139" s="436">
        <f t="shared" si="213"/>
        <v>2745723</v>
      </c>
      <c r="P5139" s="89" t="s">
        <v>5686</v>
      </c>
      <c r="Q5139" s="422" t="s">
        <v>47</v>
      </c>
      <c r="R5139" s="422" t="s">
        <v>1869</v>
      </c>
      <c r="S5139" s="422" t="s">
        <v>1861</v>
      </c>
      <c r="U5139" s="422" t="s">
        <v>1953</v>
      </c>
      <c r="V5139" s="422" t="s">
        <v>2813</v>
      </c>
    </row>
    <row r="5140" spans="1:22" ht="15.75" thickBot="1" x14ac:dyDescent="0.3">
      <c r="A5140" t="s">
        <v>4594</v>
      </c>
      <c r="B5140" t="s">
        <v>4594</v>
      </c>
      <c r="C5140" s="424" t="str">
        <f t="shared" si="214"/>
        <v>Rodolezíria - Transportes Rodoviários de Passageiros, Unipessoal LDA.</v>
      </c>
      <c r="D5140" t="s">
        <v>629</v>
      </c>
      <c r="F5140" s="422" t="s">
        <v>620</v>
      </c>
      <c r="G5140" s="89" t="s">
        <v>2205</v>
      </c>
      <c r="H5140" s="313" t="s">
        <v>731</v>
      </c>
      <c r="I5140" s="311" t="str">
        <f t="shared" si="212"/>
        <v>Pesado de Passageiros M3:  : Gasóleo : E4</v>
      </c>
      <c r="J5140">
        <v>80</v>
      </c>
      <c r="K5140" s="422">
        <v>2023</v>
      </c>
      <c r="L5140" s="427">
        <v>24839.19</v>
      </c>
      <c r="M5140" s="427" t="s">
        <v>630</v>
      </c>
      <c r="N5140" s="434">
        <v>42697</v>
      </c>
      <c r="O5140" s="436">
        <f t="shared" si="213"/>
        <v>3415760</v>
      </c>
      <c r="P5140" s="89" t="s">
        <v>5687</v>
      </c>
      <c r="Q5140" s="422" t="s">
        <v>47</v>
      </c>
      <c r="R5140" s="422" t="s">
        <v>1869</v>
      </c>
      <c r="S5140" s="422" t="s">
        <v>1861</v>
      </c>
      <c r="U5140" s="422" t="s">
        <v>1953</v>
      </c>
      <c r="V5140" s="422" t="s">
        <v>2813</v>
      </c>
    </row>
    <row r="5141" spans="1:22" ht="15.75" thickBot="1" x14ac:dyDescent="0.3">
      <c r="A5141" t="s">
        <v>4594</v>
      </c>
      <c r="B5141" t="s">
        <v>4594</v>
      </c>
      <c r="C5141" s="424" t="str">
        <f t="shared" si="214"/>
        <v>Rodolezíria - Transportes Rodoviários de Passageiros, Unipessoal LDA.</v>
      </c>
      <c r="D5141" t="s">
        <v>629</v>
      </c>
      <c r="F5141" s="422" t="s">
        <v>620</v>
      </c>
      <c r="G5141" s="89" t="s">
        <v>2212</v>
      </c>
      <c r="H5141" s="313" t="s">
        <v>734</v>
      </c>
      <c r="I5141" s="311" t="str">
        <f t="shared" si="212"/>
        <v>Pesado de Passageiros M3:  : Gasóleo : E5</v>
      </c>
      <c r="J5141">
        <v>75</v>
      </c>
      <c r="K5141" s="422">
        <v>2023</v>
      </c>
      <c r="L5141" s="427">
        <v>26260.560000000001</v>
      </c>
      <c r="M5141" s="427" t="s">
        <v>630</v>
      </c>
      <c r="N5141" s="434">
        <v>49864</v>
      </c>
      <c r="O5141" s="436">
        <f t="shared" si="213"/>
        <v>3739800</v>
      </c>
      <c r="P5141" s="89" t="s">
        <v>5688</v>
      </c>
      <c r="Q5141" s="422" t="s">
        <v>47</v>
      </c>
      <c r="R5141" s="422" t="s">
        <v>1869</v>
      </c>
      <c r="S5141" s="422" t="s">
        <v>1861</v>
      </c>
      <c r="U5141" s="422" t="s">
        <v>1953</v>
      </c>
      <c r="V5141" s="422" t="s">
        <v>2813</v>
      </c>
    </row>
    <row r="5142" spans="1:22" ht="15.75" thickBot="1" x14ac:dyDescent="0.3">
      <c r="A5142" t="s">
        <v>4594</v>
      </c>
      <c r="B5142" t="s">
        <v>4594</v>
      </c>
      <c r="C5142" s="424" t="str">
        <f t="shared" si="214"/>
        <v>Rodolezíria - Transportes Rodoviários de Passageiros, Unipessoal LDA.</v>
      </c>
      <c r="D5142" t="s">
        <v>629</v>
      </c>
      <c r="F5142" s="422" t="s">
        <v>620</v>
      </c>
      <c r="G5142" s="89" t="s">
        <v>2225</v>
      </c>
      <c r="H5142" s="313" t="s">
        <v>734</v>
      </c>
      <c r="I5142" s="311" t="str">
        <f t="shared" si="212"/>
        <v>Pesado de Passageiros M3:  : Gasóleo : E5</v>
      </c>
      <c r="J5142">
        <v>66</v>
      </c>
      <c r="K5142" s="422">
        <v>2023</v>
      </c>
      <c r="L5142" s="427">
        <v>24311.81</v>
      </c>
      <c r="M5142" s="427" t="s">
        <v>630</v>
      </c>
      <c r="N5142" s="434">
        <v>40256</v>
      </c>
      <c r="O5142" s="436">
        <f t="shared" si="213"/>
        <v>2656896</v>
      </c>
      <c r="P5142" s="89" t="s">
        <v>5689</v>
      </c>
      <c r="Q5142" s="422" t="s">
        <v>47</v>
      </c>
      <c r="R5142" s="422" t="s">
        <v>1869</v>
      </c>
      <c r="S5142" s="422" t="s">
        <v>1861</v>
      </c>
      <c r="U5142" s="422" t="s">
        <v>1953</v>
      </c>
      <c r="V5142" s="422" t="s">
        <v>2813</v>
      </c>
    </row>
    <row r="5143" spans="1:22" ht="15.75" thickBot="1" x14ac:dyDescent="0.3">
      <c r="A5143" t="s">
        <v>4594</v>
      </c>
      <c r="B5143" t="s">
        <v>4594</v>
      </c>
      <c r="C5143" s="424" t="str">
        <f t="shared" si="214"/>
        <v>Rodolezíria - Transportes Rodoviários de Passageiros, Unipessoal LDA.</v>
      </c>
      <c r="D5143" t="s">
        <v>629</v>
      </c>
      <c r="F5143" s="422" t="s">
        <v>620</v>
      </c>
      <c r="G5143" s="89" t="s">
        <v>2205</v>
      </c>
      <c r="H5143" s="313" t="s">
        <v>734</v>
      </c>
      <c r="I5143" s="311" t="str">
        <f t="shared" si="212"/>
        <v>Pesado de Passageiros M3:  : Gasóleo : E5</v>
      </c>
      <c r="J5143">
        <v>48</v>
      </c>
      <c r="K5143" s="422">
        <v>2023</v>
      </c>
      <c r="L5143" s="427">
        <v>23491.48</v>
      </c>
      <c r="M5143" s="427" t="s">
        <v>630</v>
      </c>
      <c r="N5143" s="434">
        <v>45304</v>
      </c>
      <c r="O5143" s="436">
        <f t="shared" si="213"/>
        <v>2174592</v>
      </c>
      <c r="P5143" s="89" t="s">
        <v>5690</v>
      </c>
      <c r="Q5143" s="422" t="s">
        <v>47</v>
      </c>
      <c r="R5143" s="422" t="s">
        <v>1869</v>
      </c>
      <c r="S5143" s="422" t="s">
        <v>1861</v>
      </c>
      <c r="U5143" s="422" t="s">
        <v>1953</v>
      </c>
      <c r="V5143" s="422" t="s">
        <v>2813</v>
      </c>
    </row>
    <row r="5144" spans="1:22" ht="15.75" thickBot="1" x14ac:dyDescent="0.3">
      <c r="A5144" t="s">
        <v>4594</v>
      </c>
      <c r="B5144" t="s">
        <v>4594</v>
      </c>
      <c r="C5144" s="424" t="str">
        <f t="shared" si="214"/>
        <v>Rodolezíria - Transportes Rodoviários de Passageiros, Unipessoal LDA.</v>
      </c>
      <c r="D5144" t="s">
        <v>629</v>
      </c>
      <c r="F5144" s="422" t="s">
        <v>620</v>
      </c>
      <c r="G5144" s="89" t="s">
        <v>2207</v>
      </c>
      <c r="H5144" s="313" t="s">
        <v>735</v>
      </c>
      <c r="I5144" s="311" t="str">
        <f t="shared" si="212"/>
        <v>Pesado de Passageiros M3:  : Gasóleo : E2</v>
      </c>
      <c r="J5144">
        <v>49</v>
      </c>
      <c r="K5144" s="422">
        <v>2023</v>
      </c>
      <c r="L5144" s="427">
        <v>33478.19</v>
      </c>
      <c r="M5144" s="427" t="s">
        <v>630</v>
      </c>
      <c r="N5144" s="434">
        <v>56550</v>
      </c>
      <c r="O5144" s="436">
        <f t="shared" si="213"/>
        <v>2770950</v>
      </c>
      <c r="P5144" s="89" t="s">
        <v>5691</v>
      </c>
      <c r="Q5144" s="422" t="s">
        <v>47</v>
      </c>
      <c r="R5144" s="422" t="s">
        <v>1869</v>
      </c>
      <c r="S5144" s="422" t="s">
        <v>1861</v>
      </c>
      <c r="U5144" s="422" t="s">
        <v>1953</v>
      </c>
      <c r="V5144" s="422" t="s">
        <v>2813</v>
      </c>
    </row>
    <row r="5145" spans="1:22" ht="15.75" thickBot="1" x14ac:dyDescent="0.3">
      <c r="A5145" t="s">
        <v>4594</v>
      </c>
      <c r="B5145" t="s">
        <v>4594</v>
      </c>
      <c r="C5145" s="424" t="str">
        <f t="shared" si="214"/>
        <v>Rodolezíria - Transportes Rodoviários de Passageiros, Unipessoal LDA.</v>
      </c>
      <c r="D5145" t="s">
        <v>629</v>
      </c>
      <c r="F5145" s="422" t="s">
        <v>620</v>
      </c>
      <c r="G5145" s="89" t="s">
        <v>2207</v>
      </c>
      <c r="H5145" s="313" t="s">
        <v>735</v>
      </c>
      <c r="I5145" s="311" t="str">
        <f t="shared" si="212"/>
        <v>Pesado de Passageiros M3:  : Gasóleo : E2</v>
      </c>
      <c r="J5145">
        <v>49</v>
      </c>
      <c r="K5145" s="422">
        <v>2023</v>
      </c>
      <c r="L5145" s="427">
        <v>28201.21</v>
      </c>
      <c r="M5145" s="427" t="s">
        <v>630</v>
      </c>
      <c r="N5145" s="434">
        <v>51197</v>
      </c>
      <c r="O5145" s="436">
        <f t="shared" si="213"/>
        <v>2508653</v>
      </c>
      <c r="P5145" s="89" t="s">
        <v>5692</v>
      </c>
      <c r="Q5145" s="422" t="s">
        <v>47</v>
      </c>
      <c r="R5145" s="422" t="s">
        <v>1869</v>
      </c>
      <c r="S5145" s="422" t="s">
        <v>1861</v>
      </c>
      <c r="U5145" s="422" t="s">
        <v>1953</v>
      </c>
      <c r="V5145" s="422" t="s">
        <v>2813</v>
      </c>
    </row>
    <row r="5146" spans="1:22" ht="15.75" thickBot="1" x14ac:dyDescent="0.3">
      <c r="A5146" t="s">
        <v>4594</v>
      </c>
      <c r="B5146" t="s">
        <v>4594</v>
      </c>
      <c r="C5146" s="424" t="str">
        <f t="shared" si="214"/>
        <v>Rodolezíria - Transportes Rodoviários de Passageiros, Unipessoal LDA.</v>
      </c>
      <c r="D5146" t="s">
        <v>629</v>
      </c>
      <c r="F5146" s="422" t="s">
        <v>620</v>
      </c>
      <c r="G5146" s="89" t="s">
        <v>2224</v>
      </c>
      <c r="H5146" s="313" t="s">
        <v>732</v>
      </c>
      <c r="I5146" s="311" t="str">
        <f t="shared" si="212"/>
        <v>Pesado de Passageiros M3:  : Gasóleo : E3</v>
      </c>
      <c r="J5146">
        <v>51</v>
      </c>
      <c r="K5146" s="422">
        <v>2023</v>
      </c>
      <c r="L5146" s="427">
        <v>13987.91</v>
      </c>
      <c r="M5146" s="427" t="s">
        <v>630</v>
      </c>
      <c r="N5146" s="434">
        <v>20183</v>
      </c>
      <c r="O5146" s="436">
        <f t="shared" si="213"/>
        <v>1029333</v>
      </c>
      <c r="P5146" s="89" t="s">
        <v>5693</v>
      </c>
      <c r="Q5146" s="422" t="s">
        <v>47</v>
      </c>
      <c r="R5146" s="422" t="s">
        <v>1869</v>
      </c>
      <c r="S5146" s="422" t="s">
        <v>1861</v>
      </c>
      <c r="U5146" s="422" t="s">
        <v>1953</v>
      </c>
      <c r="V5146" s="422" t="s">
        <v>2813</v>
      </c>
    </row>
    <row r="5147" spans="1:22" ht="15.75" thickBot="1" x14ac:dyDescent="0.3">
      <c r="A5147" t="s">
        <v>4594</v>
      </c>
      <c r="B5147" t="s">
        <v>4594</v>
      </c>
      <c r="C5147" s="424" t="str">
        <f t="shared" si="214"/>
        <v>Rodolezíria - Transportes Rodoviários de Passageiros, Unipessoal LDA.</v>
      </c>
      <c r="D5147" t="s">
        <v>629</v>
      </c>
      <c r="F5147" s="422" t="s">
        <v>620</v>
      </c>
      <c r="G5147" s="89" t="s">
        <v>2206</v>
      </c>
      <c r="H5147" s="313" t="s">
        <v>735</v>
      </c>
      <c r="I5147" s="311" t="str">
        <f t="shared" si="212"/>
        <v>Pesado de Passageiros M3:  : Gasóleo : E2</v>
      </c>
      <c r="J5147">
        <v>50</v>
      </c>
      <c r="K5147" s="422">
        <v>2023</v>
      </c>
      <c r="L5147" s="427">
        <v>22660.560000000001</v>
      </c>
      <c r="M5147" s="427" t="s">
        <v>630</v>
      </c>
      <c r="N5147" s="434">
        <v>43001</v>
      </c>
      <c r="O5147" s="436">
        <f t="shared" si="213"/>
        <v>2150050</v>
      </c>
      <c r="P5147" s="89" t="s">
        <v>5694</v>
      </c>
      <c r="Q5147" s="422" t="s">
        <v>47</v>
      </c>
      <c r="R5147" s="422" t="s">
        <v>1869</v>
      </c>
      <c r="S5147" s="422" t="s">
        <v>1861</v>
      </c>
      <c r="U5147" s="422" t="s">
        <v>1953</v>
      </c>
      <c r="V5147" s="422" t="s">
        <v>2813</v>
      </c>
    </row>
    <row r="5148" spans="1:22" ht="15.75" thickBot="1" x14ac:dyDescent="0.3">
      <c r="A5148" t="s">
        <v>4594</v>
      </c>
      <c r="B5148" t="s">
        <v>4594</v>
      </c>
      <c r="C5148" s="424" t="str">
        <f t="shared" si="214"/>
        <v>Rodolezíria - Transportes Rodoviários de Passageiros, Unipessoal LDA.</v>
      </c>
      <c r="D5148" t="s">
        <v>629</v>
      </c>
      <c r="F5148" s="422" t="s">
        <v>620</v>
      </c>
      <c r="G5148" s="89" t="s">
        <v>2207</v>
      </c>
      <c r="H5148" s="313" t="s">
        <v>735</v>
      </c>
      <c r="I5148" s="311" t="str">
        <f t="shared" si="212"/>
        <v>Pesado de Passageiros M3:  : Gasóleo : E2</v>
      </c>
      <c r="J5148">
        <v>53</v>
      </c>
      <c r="K5148" s="422">
        <v>2023</v>
      </c>
      <c r="L5148" s="427">
        <v>23812.61</v>
      </c>
      <c r="M5148" s="427" t="s">
        <v>630</v>
      </c>
      <c r="N5148" s="434">
        <v>39177</v>
      </c>
      <c r="O5148" s="436">
        <f t="shared" si="213"/>
        <v>2076381</v>
      </c>
      <c r="P5148" s="89" t="s">
        <v>5695</v>
      </c>
      <c r="Q5148" s="422" t="s">
        <v>47</v>
      </c>
      <c r="R5148" s="422" t="s">
        <v>1869</v>
      </c>
      <c r="S5148" s="422" t="s">
        <v>1861</v>
      </c>
      <c r="U5148" s="422" t="s">
        <v>1953</v>
      </c>
      <c r="V5148" s="422" t="s">
        <v>2813</v>
      </c>
    </row>
    <row r="5149" spans="1:22" ht="15.75" thickBot="1" x14ac:dyDescent="0.3">
      <c r="A5149" t="s">
        <v>4594</v>
      </c>
      <c r="B5149" t="s">
        <v>4594</v>
      </c>
      <c r="C5149" s="424" t="str">
        <f t="shared" si="214"/>
        <v>Rodolezíria - Transportes Rodoviários de Passageiros, Unipessoal LDA.</v>
      </c>
      <c r="D5149" t="s">
        <v>629</v>
      </c>
      <c r="F5149" s="422" t="s">
        <v>620</v>
      </c>
      <c r="G5149" s="89" t="s">
        <v>2222</v>
      </c>
      <c r="H5149" s="313" t="s">
        <v>732</v>
      </c>
      <c r="I5149" s="311" t="str">
        <f t="shared" si="212"/>
        <v>Pesado de Passageiros M3:  : Gasóleo : E3</v>
      </c>
      <c r="J5149">
        <v>81</v>
      </c>
      <c r="K5149" s="422">
        <v>2023</v>
      </c>
      <c r="L5149" s="427">
        <v>26874.379999999997</v>
      </c>
      <c r="M5149" s="427" t="s">
        <v>630</v>
      </c>
      <c r="N5149" s="434">
        <v>49899</v>
      </c>
      <c r="O5149" s="436">
        <f t="shared" si="213"/>
        <v>4041819</v>
      </c>
      <c r="P5149" s="89" t="s">
        <v>5696</v>
      </c>
      <c r="Q5149" s="422" t="s">
        <v>47</v>
      </c>
      <c r="R5149" s="422" t="s">
        <v>1869</v>
      </c>
      <c r="S5149" s="422" t="s">
        <v>1861</v>
      </c>
      <c r="U5149" s="422" t="s">
        <v>1953</v>
      </c>
      <c r="V5149" s="422" t="s">
        <v>2813</v>
      </c>
    </row>
    <row r="5150" spans="1:22" ht="15.75" thickBot="1" x14ac:dyDescent="0.3">
      <c r="A5150" t="s">
        <v>4594</v>
      </c>
      <c r="B5150" t="s">
        <v>4594</v>
      </c>
      <c r="C5150" s="424" t="str">
        <f t="shared" si="214"/>
        <v>Rodolezíria - Transportes Rodoviários de Passageiros, Unipessoal LDA.</v>
      </c>
      <c r="D5150" t="s">
        <v>629</v>
      </c>
      <c r="F5150" s="422" t="s">
        <v>620</v>
      </c>
      <c r="G5150" s="89" t="s">
        <v>2205</v>
      </c>
      <c r="H5150" s="313" t="s">
        <v>731</v>
      </c>
      <c r="I5150" s="311" t="str">
        <f t="shared" si="212"/>
        <v>Pesado de Passageiros M3:  : Gasóleo : E4</v>
      </c>
      <c r="J5150">
        <v>67</v>
      </c>
      <c r="K5150" s="422">
        <v>2023</v>
      </c>
      <c r="L5150" s="427">
        <v>33049.270000000004</v>
      </c>
      <c r="M5150" s="427" t="s">
        <v>630</v>
      </c>
      <c r="N5150" s="434">
        <v>59103</v>
      </c>
      <c r="O5150" s="436">
        <f t="shared" si="213"/>
        <v>3959901</v>
      </c>
      <c r="P5150" s="89" t="s">
        <v>5697</v>
      </c>
      <c r="Q5150" s="422" t="s">
        <v>47</v>
      </c>
      <c r="R5150" s="422" t="s">
        <v>1869</v>
      </c>
      <c r="S5150" s="422" t="s">
        <v>1861</v>
      </c>
      <c r="U5150" s="422" t="s">
        <v>1953</v>
      </c>
      <c r="V5150" s="422" t="s">
        <v>2813</v>
      </c>
    </row>
    <row r="5151" spans="1:22" ht="15.75" thickBot="1" x14ac:dyDescent="0.3">
      <c r="A5151" t="s">
        <v>4594</v>
      </c>
      <c r="B5151" t="s">
        <v>4594</v>
      </c>
      <c r="C5151" s="424" t="str">
        <f t="shared" si="214"/>
        <v>Rodolezíria - Transportes Rodoviários de Passageiros, Unipessoal LDA.</v>
      </c>
      <c r="D5151" t="s">
        <v>629</v>
      </c>
      <c r="F5151" s="422" t="s">
        <v>620</v>
      </c>
      <c r="G5151" s="89" t="s">
        <v>2222</v>
      </c>
      <c r="H5151" s="313" t="s">
        <v>732</v>
      </c>
      <c r="I5151" s="311" t="str">
        <f t="shared" si="212"/>
        <v>Pesado de Passageiros M3:  : Gasóleo : E3</v>
      </c>
      <c r="J5151">
        <v>68</v>
      </c>
      <c r="K5151" s="422">
        <v>2023</v>
      </c>
      <c r="L5151" s="427">
        <v>25946.98</v>
      </c>
      <c r="M5151" s="427" t="s">
        <v>630</v>
      </c>
      <c r="N5151" s="434">
        <v>41908</v>
      </c>
      <c r="O5151" s="436">
        <f t="shared" si="213"/>
        <v>2849744</v>
      </c>
      <c r="P5151" s="89" t="s">
        <v>5698</v>
      </c>
      <c r="Q5151" s="422" t="s">
        <v>47</v>
      </c>
      <c r="R5151" s="422" t="s">
        <v>1869</v>
      </c>
      <c r="S5151" s="422" t="s">
        <v>1861</v>
      </c>
      <c r="U5151" s="422" t="s">
        <v>1953</v>
      </c>
      <c r="V5151" s="422" t="s">
        <v>2813</v>
      </c>
    </row>
    <row r="5152" spans="1:22" ht="15.75" thickBot="1" x14ac:dyDescent="0.3">
      <c r="A5152" t="s">
        <v>4594</v>
      </c>
      <c r="B5152" t="s">
        <v>4594</v>
      </c>
      <c r="C5152" s="424" t="str">
        <f t="shared" si="214"/>
        <v>Rodolezíria - Transportes Rodoviários de Passageiros, Unipessoal LDA.</v>
      </c>
      <c r="D5152" t="s">
        <v>629</v>
      </c>
      <c r="F5152" s="422" t="s">
        <v>620</v>
      </c>
      <c r="G5152" s="89" t="s">
        <v>2222</v>
      </c>
      <c r="H5152" s="313" t="s">
        <v>732</v>
      </c>
      <c r="I5152" s="311" t="str">
        <f t="shared" si="212"/>
        <v>Pesado de Passageiros M3:  : Gasóleo : E3</v>
      </c>
      <c r="J5152">
        <v>68</v>
      </c>
      <c r="K5152" s="422">
        <v>2023</v>
      </c>
      <c r="L5152" s="427">
        <v>34298.15</v>
      </c>
      <c r="M5152" s="427" t="s">
        <v>630</v>
      </c>
      <c r="N5152" s="434">
        <v>55279</v>
      </c>
      <c r="O5152" s="436">
        <f t="shared" si="213"/>
        <v>3758972</v>
      </c>
      <c r="P5152" s="89" t="s">
        <v>5699</v>
      </c>
      <c r="Q5152" s="422" t="s">
        <v>47</v>
      </c>
      <c r="R5152" s="422" t="s">
        <v>1869</v>
      </c>
      <c r="S5152" s="422" t="s">
        <v>1861</v>
      </c>
      <c r="U5152" s="422" t="s">
        <v>1953</v>
      </c>
      <c r="V5152" s="422" t="s">
        <v>2813</v>
      </c>
    </row>
    <row r="5153" spans="1:22" ht="15.75" thickBot="1" x14ac:dyDescent="0.3">
      <c r="A5153" t="s">
        <v>4594</v>
      </c>
      <c r="B5153" t="s">
        <v>4594</v>
      </c>
      <c r="C5153" s="424" t="str">
        <f t="shared" si="214"/>
        <v>Rodolezíria - Transportes Rodoviários de Passageiros, Unipessoal LDA.</v>
      </c>
      <c r="D5153" t="s">
        <v>629</v>
      </c>
      <c r="F5153" s="422" t="s">
        <v>620</v>
      </c>
      <c r="G5153" s="89" t="s">
        <v>2205</v>
      </c>
      <c r="H5153" s="313" t="s">
        <v>731</v>
      </c>
      <c r="I5153" s="311" t="str">
        <f t="shared" si="212"/>
        <v>Pesado de Passageiros M3:  : Gasóleo : E4</v>
      </c>
      <c r="J5153">
        <v>74</v>
      </c>
      <c r="K5153" s="422">
        <v>2023</v>
      </c>
      <c r="L5153" s="427">
        <v>23780.85</v>
      </c>
      <c r="M5153" s="427" t="s">
        <v>630</v>
      </c>
      <c r="N5153" s="434">
        <v>37497</v>
      </c>
      <c r="O5153" s="436">
        <f t="shared" si="213"/>
        <v>2774778</v>
      </c>
      <c r="P5153" s="89" t="s">
        <v>5700</v>
      </c>
      <c r="Q5153" s="422" t="s">
        <v>47</v>
      </c>
      <c r="R5153" s="422" t="s">
        <v>1869</v>
      </c>
      <c r="S5153" s="422" t="s">
        <v>1861</v>
      </c>
      <c r="U5153" s="422" t="s">
        <v>1953</v>
      </c>
      <c r="V5153" s="422" t="s">
        <v>2813</v>
      </c>
    </row>
    <row r="5154" spans="1:22" ht="15.75" thickBot="1" x14ac:dyDescent="0.3">
      <c r="A5154" t="s">
        <v>4594</v>
      </c>
      <c r="B5154" t="s">
        <v>4594</v>
      </c>
      <c r="C5154" s="424" t="str">
        <f t="shared" si="214"/>
        <v>Rodolezíria - Transportes Rodoviários de Passageiros, Unipessoal LDA.</v>
      </c>
      <c r="D5154" t="s">
        <v>629</v>
      </c>
      <c r="F5154" s="422" t="s">
        <v>620</v>
      </c>
      <c r="G5154" s="89" t="s">
        <v>2224</v>
      </c>
      <c r="H5154" s="313" t="s">
        <v>732</v>
      </c>
      <c r="I5154" s="311" t="str">
        <f t="shared" ref="I5154:I5217" si="215">D5154&amp;": "&amp;E5154&amp;" : "&amp;F5154&amp;" : "&amp;H5154</f>
        <v>Pesado de Passageiros M3:  : Gasóleo : E3</v>
      </c>
      <c r="J5154">
        <v>72</v>
      </c>
      <c r="K5154" s="422">
        <v>2023</v>
      </c>
      <c r="L5154" s="427">
        <v>15736.29</v>
      </c>
      <c r="M5154" s="427" t="s">
        <v>630</v>
      </c>
      <c r="N5154" s="434">
        <v>23728</v>
      </c>
      <c r="O5154" s="436">
        <f t="shared" ref="O5154:O5217" si="216">N5154*J5154</f>
        <v>1708416</v>
      </c>
      <c r="P5154" s="89" t="s">
        <v>5701</v>
      </c>
      <c r="Q5154" s="422" t="s">
        <v>47</v>
      </c>
      <c r="R5154" s="422" t="s">
        <v>1869</v>
      </c>
      <c r="S5154" s="422" t="s">
        <v>1861</v>
      </c>
      <c r="U5154" s="422" t="s">
        <v>1953</v>
      </c>
      <c r="V5154" s="422" t="s">
        <v>2813</v>
      </c>
    </row>
    <row r="5155" spans="1:22" ht="15.75" thickBot="1" x14ac:dyDescent="0.3">
      <c r="A5155" t="s">
        <v>4594</v>
      </c>
      <c r="B5155" t="s">
        <v>4594</v>
      </c>
      <c r="C5155" s="424" t="str">
        <f t="shared" si="214"/>
        <v>Rodolezíria - Transportes Rodoviários de Passageiros, Unipessoal LDA.</v>
      </c>
      <c r="D5155" t="s">
        <v>629</v>
      </c>
      <c r="F5155" s="422" t="s">
        <v>620</v>
      </c>
      <c r="G5155" s="89" t="s">
        <v>2222</v>
      </c>
      <c r="H5155" s="313" t="s">
        <v>732</v>
      </c>
      <c r="I5155" s="311" t="str">
        <f t="shared" si="215"/>
        <v>Pesado de Passageiros M3:  : Gasóleo : E3</v>
      </c>
      <c r="J5155">
        <v>74</v>
      </c>
      <c r="K5155" s="422">
        <v>2023</v>
      </c>
      <c r="L5155" s="427">
        <v>27243.86</v>
      </c>
      <c r="M5155" s="427" t="s">
        <v>630</v>
      </c>
      <c r="N5155" s="434">
        <v>46461</v>
      </c>
      <c r="O5155" s="436">
        <f t="shared" si="216"/>
        <v>3438114</v>
      </c>
      <c r="P5155" s="89" t="s">
        <v>5702</v>
      </c>
      <c r="Q5155" s="422" t="s">
        <v>47</v>
      </c>
      <c r="R5155" s="422" t="s">
        <v>1869</v>
      </c>
      <c r="S5155" s="422" t="s">
        <v>1861</v>
      </c>
      <c r="U5155" s="422" t="s">
        <v>1953</v>
      </c>
      <c r="V5155" s="422" t="s">
        <v>2813</v>
      </c>
    </row>
    <row r="5156" spans="1:22" ht="15.75" thickBot="1" x14ac:dyDescent="0.3">
      <c r="A5156" t="s">
        <v>4594</v>
      </c>
      <c r="B5156" t="s">
        <v>4594</v>
      </c>
      <c r="C5156" s="424" t="str">
        <f t="shared" si="214"/>
        <v>Rodolezíria - Transportes Rodoviários de Passageiros, Unipessoal LDA.</v>
      </c>
      <c r="D5156" t="s">
        <v>629</v>
      </c>
      <c r="F5156" s="422" t="s">
        <v>620</v>
      </c>
      <c r="G5156" s="89" t="s">
        <v>2222</v>
      </c>
      <c r="H5156" s="313" t="s">
        <v>732</v>
      </c>
      <c r="I5156" s="311" t="str">
        <f t="shared" si="215"/>
        <v>Pesado de Passageiros M3:  : Gasóleo : E3</v>
      </c>
      <c r="J5156">
        <v>74</v>
      </c>
      <c r="K5156" s="422">
        <v>2023</v>
      </c>
      <c r="L5156" s="427">
        <v>27658.019999999997</v>
      </c>
      <c r="M5156" s="427" t="s">
        <v>630</v>
      </c>
      <c r="N5156" s="434">
        <v>48250</v>
      </c>
      <c r="O5156" s="436">
        <f t="shared" si="216"/>
        <v>3570500</v>
      </c>
      <c r="P5156" s="89" t="s">
        <v>5703</v>
      </c>
      <c r="Q5156" s="422" t="s">
        <v>47</v>
      </c>
      <c r="R5156" s="422" t="s">
        <v>1869</v>
      </c>
      <c r="S5156" s="422" t="s">
        <v>1861</v>
      </c>
      <c r="U5156" s="422" t="s">
        <v>1953</v>
      </c>
      <c r="V5156" s="422" t="s">
        <v>2813</v>
      </c>
    </row>
    <row r="5157" spans="1:22" ht="15.75" thickBot="1" x14ac:dyDescent="0.3">
      <c r="A5157" t="s">
        <v>4594</v>
      </c>
      <c r="B5157" t="s">
        <v>4594</v>
      </c>
      <c r="C5157" s="424" t="str">
        <f t="shared" si="214"/>
        <v>Rodolezíria - Transportes Rodoviários de Passageiros, Unipessoal LDA.</v>
      </c>
      <c r="D5157" t="s">
        <v>629</v>
      </c>
      <c r="F5157" s="422" t="s">
        <v>620</v>
      </c>
      <c r="G5157" s="89" t="s">
        <v>2207</v>
      </c>
      <c r="H5157" s="313" t="s">
        <v>732</v>
      </c>
      <c r="I5157" s="311" t="str">
        <f t="shared" si="215"/>
        <v>Pesado de Passageiros M3:  : Gasóleo : E3</v>
      </c>
      <c r="J5157">
        <v>74</v>
      </c>
      <c r="K5157" s="422">
        <v>2023</v>
      </c>
      <c r="L5157" s="427">
        <v>26225.19</v>
      </c>
      <c r="M5157" s="427" t="s">
        <v>630</v>
      </c>
      <c r="N5157" s="434">
        <v>47586</v>
      </c>
      <c r="O5157" s="436">
        <f t="shared" si="216"/>
        <v>3521364</v>
      </c>
      <c r="P5157" s="89" t="s">
        <v>5704</v>
      </c>
      <c r="Q5157" s="422" t="s">
        <v>47</v>
      </c>
      <c r="R5157" s="422" t="s">
        <v>1869</v>
      </c>
      <c r="S5157" s="422" t="s">
        <v>1861</v>
      </c>
      <c r="U5157" s="422" t="s">
        <v>1953</v>
      </c>
      <c r="V5157" s="422" t="s">
        <v>2813</v>
      </c>
    </row>
    <row r="5158" spans="1:22" ht="15.75" thickBot="1" x14ac:dyDescent="0.3">
      <c r="A5158" t="s">
        <v>4594</v>
      </c>
      <c r="B5158" t="s">
        <v>4594</v>
      </c>
      <c r="C5158" s="424" t="str">
        <f t="shared" si="214"/>
        <v>Rodolezíria - Transportes Rodoviários de Passageiros, Unipessoal LDA.</v>
      </c>
      <c r="D5158" t="s">
        <v>629</v>
      </c>
      <c r="F5158" s="422" t="s">
        <v>620</v>
      </c>
      <c r="G5158" s="89" t="s">
        <v>2207</v>
      </c>
      <c r="H5158" s="313" t="s">
        <v>732</v>
      </c>
      <c r="I5158" s="311" t="str">
        <f t="shared" si="215"/>
        <v>Pesado de Passageiros M3:  : Gasóleo : E3</v>
      </c>
      <c r="J5158">
        <v>73</v>
      </c>
      <c r="K5158" s="422">
        <v>2023</v>
      </c>
      <c r="L5158" s="427">
        <v>6311.55</v>
      </c>
      <c r="M5158" s="427" t="s">
        <v>630</v>
      </c>
      <c r="N5158" s="434">
        <v>18630</v>
      </c>
      <c r="O5158" s="436">
        <f t="shared" si="216"/>
        <v>1359990</v>
      </c>
      <c r="P5158" s="89" t="s">
        <v>5705</v>
      </c>
      <c r="Q5158" s="422" t="s">
        <v>47</v>
      </c>
      <c r="R5158" s="422" t="s">
        <v>1869</v>
      </c>
      <c r="S5158" s="422" t="s">
        <v>1861</v>
      </c>
      <c r="U5158" s="422" t="s">
        <v>1953</v>
      </c>
      <c r="V5158" s="422" t="s">
        <v>2813</v>
      </c>
    </row>
    <row r="5159" spans="1:22" ht="15.75" thickBot="1" x14ac:dyDescent="0.3">
      <c r="A5159" t="s">
        <v>4594</v>
      </c>
      <c r="B5159" t="s">
        <v>4594</v>
      </c>
      <c r="C5159" s="424" t="str">
        <f t="shared" si="214"/>
        <v>Rodolezíria - Transportes Rodoviários de Passageiros, Unipessoal LDA.</v>
      </c>
      <c r="D5159" t="s">
        <v>629</v>
      </c>
      <c r="F5159" s="422" t="s">
        <v>620</v>
      </c>
      <c r="G5159" s="89" t="s">
        <v>2224</v>
      </c>
      <c r="H5159" s="313" t="s">
        <v>732</v>
      </c>
      <c r="I5159" s="311" t="str">
        <f t="shared" si="215"/>
        <v>Pesado de Passageiros M3:  : Gasóleo : E3</v>
      </c>
      <c r="J5159">
        <v>81</v>
      </c>
      <c r="K5159" s="422">
        <v>2023</v>
      </c>
      <c r="L5159" s="427">
        <v>6245.68</v>
      </c>
      <c r="M5159" s="427" t="s">
        <v>630</v>
      </c>
      <c r="N5159" s="434">
        <v>17990</v>
      </c>
      <c r="O5159" s="436">
        <f t="shared" si="216"/>
        <v>1457190</v>
      </c>
      <c r="P5159" s="89" t="s">
        <v>5706</v>
      </c>
      <c r="Q5159" s="422" t="s">
        <v>47</v>
      </c>
      <c r="R5159" s="422" t="s">
        <v>1869</v>
      </c>
      <c r="S5159" s="422" t="s">
        <v>1861</v>
      </c>
      <c r="U5159" s="422" t="s">
        <v>1953</v>
      </c>
      <c r="V5159" s="422" t="s">
        <v>2813</v>
      </c>
    </row>
    <row r="5160" spans="1:22" ht="15.75" thickBot="1" x14ac:dyDescent="0.3">
      <c r="A5160" t="s">
        <v>4594</v>
      </c>
      <c r="B5160" t="s">
        <v>4594</v>
      </c>
      <c r="C5160" s="424" t="str">
        <f t="shared" si="214"/>
        <v>Rodolezíria - Transportes Rodoviários de Passageiros, Unipessoal LDA.</v>
      </c>
      <c r="D5160" t="s">
        <v>629</v>
      </c>
      <c r="F5160" s="422" t="s">
        <v>620</v>
      </c>
      <c r="G5160" s="89" t="s">
        <v>1954</v>
      </c>
      <c r="H5160" s="313" t="s">
        <v>732</v>
      </c>
      <c r="I5160" s="311" t="str">
        <f t="shared" si="215"/>
        <v>Pesado de Passageiros M3:  : Gasóleo : E3</v>
      </c>
      <c r="J5160">
        <v>81</v>
      </c>
      <c r="K5160" s="422">
        <v>2023</v>
      </c>
      <c r="L5160" s="427">
        <v>14146.42</v>
      </c>
      <c r="M5160" s="427" t="s">
        <v>630</v>
      </c>
      <c r="N5160" s="434">
        <v>28117</v>
      </c>
      <c r="O5160" s="436">
        <f t="shared" si="216"/>
        <v>2277477</v>
      </c>
      <c r="P5160" s="89" t="s">
        <v>5707</v>
      </c>
      <c r="Q5160" s="422" t="s">
        <v>47</v>
      </c>
      <c r="R5160" s="422" t="s">
        <v>1869</v>
      </c>
      <c r="S5160" s="422" t="s">
        <v>1861</v>
      </c>
      <c r="U5160" s="422" t="s">
        <v>1953</v>
      </c>
      <c r="V5160" s="422" t="s">
        <v>2813</v>
      </c>
    </row>
    <row r="5161" spans="1:22" ht="15.75" thickBot="1" x14ac:dyDescent="0.3">
      <c r="A5161" t="s">
        <v>4594</v>
      </c>
      <c r="B5161" t="s">
        <v>4594</v>
      </c>
      <c r="C5161" s="424" t="str">
        <f t="shared" si="214"/>
        <v>Rodolezíria - Transportes Rodoviários de Passageiros, Unipessoal LDA.</v>
      </c>
      <c r="D5161" t="s">
        <v>629</v>
      </c>
      <c r="F5161" s="422" t="s">
        <v>620</v>
      </c>
      <c r="G5161" s="89" t="s">
        <v>1954</v>
      </c>
      <c r="H5161" s="313" t="s">
        <v>732</v>
      </c>
      <c r="I5161" s="311" t="str">
        <f t="shared" si="215"/>
        <v>Pesado de Passageiros M3:  : Gasóleo : E3</v>
      </c>
      <c r="J5161">
        <v>73</v>
      </c>
      <c r="K5161" s="422">
        <v>2023</v>
      </c>
      <c r="L5161" s="427">
        <v>2744.78</v>
      </c>
      <c r="M5161" s="427" t="s">
        <v>630</v>
      </c>
      <c r="N5161" s="434">
        <v>8023</v>
      </c>
      <c r="O5161" s="436">
        <f t="shared" si="216"/>
        <v>585679</v>
      </c>
      <c r="P5161" s="89" t="s">
        <v>5708</v>
      </c>
      <c r="Q5161" s="422" t="s">
        <v>47</v>
      </c>
      <c r="R5161" s="422" t="s">
        <v>1869</v>
      </c>
      <c r="S5161" s="422" t="s">
        <v>1861</v>
      </c>
      <c r="U5161" s="422" t="s">
        <v>1953</v>
      </c>
      <c r="V5161" s="422" t="s">
        <v>2813</v>
      </c>
    </row>
    <row r="5162" spans="1:22" ht="15.75" thickBot="1" x14ac:dyDescent="0.3">
      <c r="A5162" t="s">
        <v>4594</v>
      </c>
      <c r="B5162" t="s">
        <v>4594</v>
      </c>
      <c r="C5162" s="424" t="str">
        <f t="shared" si="214"/>
        <v>Rodolezíria - Transportes Rodoviários de Passageiros, Unipessoal LDA.</v>
      </c>
      <c r="D5162" t="s">
        <v>629</v>
      </c>
      <c r="F5162" s="422" t="s">
        <v>620</v>
      </c>
      <c r="G5162" s="89" t="s">
        <v>2228</v>
      </c>
      <c r="H5162" s="313" t="s">
        <v>732</v>
      </c>
      <c r="I5162" s="311" t="str">
        <f t="shared" si="215"/>
        <v>Pesado de Passageiros M3:  : Gasóleo : E3</v>
      </c>
      <c r="J5162">
        <v>81</v>
      </c>
      <c r="K5162" s="422">
        <v>2023</v>
      </c>
      <c r="L5162" s="427">
        <v>8101.08</v>
      </c>
      <c r="M5162" s="427" t="s">
        <v>630</v>
      </c>
      <c r="N5162" s="434">
        <v>21130</v>
      </c>
      <c r="O5162" s="436">
        <f t="shared" si="216"/>
        <v>1711530</v>
      </c>
      <c r="P5162" s="89" t="s">
        <v>5709</v>
      </c>
      <c r="Q5162" s="422" t="s">
        <v>47</v>
      </c>
      <c r="R5162" s="422" t="s">
        <v>1869</v>
      </c>
      <c r="S5162" s="422" t="s">
        <v>1861</v>
      </c>
      <c r="U5162" s="422" t="s">
        <v>1953</v>
      </c>
      <c r="V5162" s="422" t="s">
        <v>2813</v>
      </c>
    </row>
    <row r="5163" spans="1:22" ht="15.75" thickBot="1" x14ac:dyDescent="0.3">
      <c r="A5163" t="s">
        <v>4594</v>
      </c>
      <c r="B5163" t="s">
        <v>4594</v>
      </c>
      <c r="C5163" s="424" t="str">
        <f t="shared" si="214"/>
        <v>Rodolezíria - Transportes Rodoviários de Passageiros, Unipessoal LDA.</v>
      </c>
      <c r="D5163" t="s">
        <v>629</v>
      </c>
      <c r="F5163" s="422" t="s">
        <v>620</v>
      </c>
      <c r="G5163" s="89" t="s">
        <v>2205</v>
      </c>
      <c r="H5163" s="313" t="s">
        <v>731</v>
      </c>
      <c r="I5163" s="311" t="str">
        <f t="shared" si="215"/>
        <v>Pesado de Passageiros M3:  : Gasóleo : E4</v>
      </c>
      <c r="J5163">
        <v>79</v>
      </c>
      <c r="K5163" s="422">
        <v>2023</v>
      </c>
      <c r="L5163" s="427">
        <v>19206.310000000001</v>
      </c>
      <c r="M5163" s="427" t="s">
        <v>630</v>
      </c>
      <c r="N5163" s="434">
        <v>41156</v>
      </c>
      <c r="O5163" s="436">
        <f t="shared" si="216"/>
        <v>3251324</v>
      </c>
      <c r="P5163" s="89" t="s">
        <v>5710</v>
      </c>
      <c r="Q5163" s="422" t="s">
        <v>47</v>
      </c>
      <c r="R5163" s="422" t="s">
        <v>1869</v>
      </c>
      <c r="S5163" s="422" t="s">
        <v>1861</v>
      </c>
      <c r="U5163" s="422" t="s">
        <v>1953</v>
      </c>
      <c r="V5163" s="422" t="s">
        <v>2813</v>
      </c>
    </row>
    <row r="5164" spans="1:22" ht="15.75" thickBot="1" x14ac:dyDescent="0.3">
      <c r="A5164" t="s">
        <v>4594</v>
      </c>
      <c r="B5164" t="s">
        <v>4594</v>
      </c>
      <c r="C5164" s="424" t="str">
        <f t="shared" si="214"/>
        <v>Rodolezíria - Transportes Rodoviários de Passageiros, Unipessoal LDA.</v>
      </c>
      <c r="D5164" t="s">
        <v>629</v>
      </c>
      <c r="F5164" s="422" t="s">
        <v>620</v>
      </c>
      <c r="G5164" s="89" t="s">
        <v>2223</v>
      </c>
      <c r="H5164" s="313" t="s">
        <v>734</v>
      </c>
      <c r="I5164" s="311" t="str">
        <f t="shared" si="215"/>
        <v>Pesado de Passageiros M3:  : Gasóleo : E5</v>
      </c>
      <c r="J5164">
        <v>56</v>
      </c>
      <c r="K5164" s="422">
        <v>2023</v>
      </c>
      <c r="L5164" s="427">
        <v>28818.3</v>
      </c>
      <c r="M5164" s="427" t="s">
        <v>630</v>
      </c>
      <c r="N5164" s="434">
        <v>40217</v>
      </c>
      <c r="O5164" s="436">
        <f t="shared" si="216"/>
        <v>2252152</v>
      </c>
      <c r="P5164" s="89" t="s">
        <v>5711</v>
      </c>
      <c r="Q5164" s="422" t="s">
        <v>47</v>
      </c>
      <c r="R5164" s="422" t="s">
        <v>1869</v>
      </c>
      <c r="S5164" s="422" t="s">
        <v>1861</v>
      </c>
      <c r="U5164" s="422" t="s">
        <v>1953</v>
      </c>
      <c r="V5164" s="422" t="s">
        <v>2813</v>
      </c>
    </row>
    <row r="5165" spans="1:22" ht="15.75" thickBot="1" x14ac:dyDescent="0.3">
      <c r="A5165" t="s">
        <v>4594</v>
      </c>
      <c r="B5165" t="s">
        <v>4594</v>
      </c>
      <c r="C5165" s="424" t="str">
        <f t="shared" si="214"/>
        <v>Rodolezíria - Transportes Rodoviários de Passageiros, Unipessoal LDA.</v>
      </c>
      <c r="D5165" t="s">
        <v>629</v>
      </c>
      <c r="F5165" s="422" t="s">
        <v>620</v>
      </c>
      <c r="G5165" s="89" t="s">
        <v>2223</v>
      </c>
      <c r="H5165" s="313" t="s">
        <v>734</v>
      </c>
      <c r="I5165" s="311" t="str">
        <f t="shared" si="215"/>
        <v>Pesado de Passageiros M3:  : Gasóleo : E5</v>
      </c>
      <c r="J5165">
        <v>56</v>
      </c>
      <c r="K5165" s="422">
        <v>2023</v>
      </c>
      <c r="L5165" s="427">
        <v>58786.92</v>
      </c>
      <c r="M5165" s="427" t="s">
        <v>630</v>
      </c>
      <c r="N5165" s="434">
        <v>104149</v>
      </c>
      <c r="O5165" s="436">
        <f t="shared" si="216"/>
        <v>5832344</v>
      </c>
      <c r="P5165" s="89" t="s">
        <v>5712</v>
      </c>
      <c r="Q5165" s="422" t="s">
        <v>47</v>
      </c>
      <c r="R5165" s="422" t="s">
        <v>1869</v>
      </c>
      <c r="S5165" s="422" t="s">
        <v>1861</v>
      </c>
      <c r="U5165" s="422" t="s">
        <v>1953</v>
      </c>
      <c r="V5165" s="422" t="s">
        <v>2813</v>
      </c>
    </row>
    <row r="5166" spans="1:22" ht="15.75" thickBot="1" x14ac:dyDescent="0.3">
      <c r="A5166" t="s">
        <v>4594</v>
      </c>
      <c r="B5166" t="s">
        <v>4594</v>
      </c>
      <c r="C5166" s="424" t="str">
        <f t="shared" si="214"/>
        <v>Rodolezíria - Transportes Rodoviários de Passageiros, Unipessoal LDA.</v>
      </c>
      <c r="D5166" t="s">
        <v>629</v>
      </c>
      <c r="F5166" s="422" t="s">
        <v>620</v>
      </c>
      <c r="G5166" s="89" t="s">
        <v>2223</v>
      </c>
      <c r="H5166" s="313" t="s">
        <v>734</v>
      </c>
      <c r="I5166" s="311" t="str">
        <f t="shared" si="215"/>
        <v>Pesado de Passageiros M3:  : Gasóleo : E5</v>
      </c>
      <c r="J5166">
        <v>56</v>
      </c>
      <c r="K5166" s="422">
        <v>2023</v>
      </c>
      <c r="L5166" s="427">
        <v>48413.03</v>
      </c>
      <c r="M5166" s="427" t="s">
        <v>630</v>
      </c>
      <c r="N5166" s="434">
        <v>99122</v>
      </c>
      <c r="O5166" s="436">
        <f t="shared" si="216"/>
        <v>5550832</v>
      </c>
      <c r="P5166" s="89" t="s">
        <v>5713</v>
      </c>
      <c r="Q5166" s="422" t="s">
        <v>47</v>
      </c>
      <c r="R5166" s="422" t="s">
        <v>1869</v>
      </c>
      <c r="S5166" s="422" t="s">
        <v>1861</v>
      </c>
      <c r="U5166" s="422" t="s">
        <v>1953</v>
      </c>
      <c r="V5166" s="422" t="s">
        <v>2813</v>
      </c>
    </row>
    <row r="5167" spans="1:22" ht="15.75" thickBot="1" x14ac:dyDescent="0.3">
      <c r="A5167" t="s">
        <v>4594</v>
      </c>
      <c r="B5167" t="s">
        <v>4594</v>
      </c>
      <c r="C5167" s="424" t="str">
        <f t="shared" si="214"/>
        <v>Rodolezíria - Transportes Rodoviários de Passageiros, Unipessoal LDA.</v>
      </c>
      <c r="D5167" t="s">
        <v>629</v>
      </c>
      <c r="F5167" s="422" t="s">
        <v>620</v>
      </c>
      <c r="G5167" s="89" t="s">
        <v>2225</v>
      </c>
      <c r="H5167" s="313" t="s">
        <v>734</v>
      </c>
      <c r="I5167" s="311" t="str">
        <f t="shared" si="215"/>
        <v>Pesado de Passageiros M3:  : Gasóleo : E5</v>
      </c>
      <c r="J5167">
        <v>79</v>
      </c>
      <c r="K5167" s="422">
        <v>2023</v>
      </c>
      <c r="L5167" s="427">
        <v>24028.85</v>
      </c>
      <c r="M5167" s="427" t="s">
        <v>630</v>
      </c>
      <c r="N5167" s="434">
        <v>44711</v>
      </c>
      <c r="O5167" s="436">
        <f t="shared" si="216"/>
        <v>3532169</v>
      </c>
      <c r="P5167" s="89" t="s">
        <v>5714</v>
      </c>
      <c r="Q5167" s="422" t="s">
        <v>47</v>
      </c>
      <c r="R5167" s="422" t="s">
        <v>1869</v>
      </c>
      <c r="S5167" s="422" t="s">
        <v>1861</v>
      </c>
      <c r="U5167" s="422" t="s">
        <v>1953</v>
      </c>
      <c r="V5167" s="422" t="s">
        <v>2813</v>
      </c>
    </row>
    <row r="5168" spans="1:22" ht="15.75" thickBot="1" x14ac:dyDescent="0.3">
      <c r="A5168" t="s">
        <v>4594</v>
      </c>
      <c r="B5168" t="s">
        <v>4594</v>
      </c>
      <c r="C5168" s="424" t="str">
        <f t="shared" si="214"/>
        <v>Rodolezíria - Transportes Rodoviários de Passageiros, Unipessoal LDA.</v>
      </c>
      <c r="D5168" t="s">
        <v>629</v>
      </c>
      <c r="F5168" s="422" t="s">
        <v>620</v>
      </c>
      <c r="G5168" s="89" t="s">
        <v>2212</v>
      </c>
      <c r="H5168" s="313" t="s">
        <v>731</v>
      </c>
      <c r="I5168" s="311" t="str">
        <f t="shared" si="215"/>
        <v>Pesado de Passageiros M3:  : Gasóleo : E4</v>
      </c>
      <c r="J5168">
        <v>71</v>
      </c>
      <c r="K5168" s="422">
        <v>2023</v>
      </c>
      <c r="L5168" s="427">
        <v>26881.07</v>
      </c>
      <c r="M5168" s="427" t="s">
        <v>630</v>
      </c>
      <c r="N5168" s="434">
        <v>42310</v>
      </c>
      <c r="O5168" s="436">
        <f t="shared" si="216"/>
        <v>3004010</v>
      </c>
      <c r="P5168" s="89" t="s">
        <v>5715</v>
      </c>
      <c r="Q5168" s="422" t="s">
        <v>47</v>
      </c>
      <c r="R5168" s="422" t="s">
        <v>1869</v>
      </c>
      <c r="S5168" s="422" t="s">
        <v>1861</v>
      </c>
      <c r="U5168" s="422" t="s">
        <v>1953</v>
      </c>
      <c r="V5168" s="422" t="s">
        <v>2813</v>
      </c>
    </row>
    <row r="5169" spans="1:22" ht="15.75" thickBot="1" x14ac:dyDescent="0.3">
      <c r="A5169" t="s">
        <v>4594</v>
      </c>
      <c r="B5169" t="s">
        <v>4594</v>
      </c>
      <c r="C5169" s="424" t="str">
        <f t="shared" si="214"/>
        <v>Rodolezíria - Transportes Rodoviários de Passageiros, Unipessoal LDA.</v>
      </c>
      <c r="D5169" t="s">
        <v>629</v>
      </c>
      <c r="F5169" s="422" t="s">
        <v>620</v>
      </c>
      <c r="G5169" s="89" t="s">
        <v>2205</v>
      </c>
      <c r="H5169" s="313" t="s">
        <v>731</v>
      </c>
      <c r="I5169" s="311" t="str">
        <f t="shared" si="215"/>
        <v>Pesado de Passageiros M3:  : Gasóleo : E4</v>
      </c>
      <c r="J5169">
        <v>71</v>
      </c>
      <c r="K5169" s="422">
        <v>2023</v>
      </c>
      <c r="L5169" s="427">
        <v>21841.66</v>
      </c>
      <c r="M5169" s="427" t="s">
        <v>630</v>
      </c>
      <c r="N5169" s="434">
        <v>40966</v>
      </c>
      <c r="O5169" s="436">
        <f t="shared" si="216"/>
        <v>2908586</v>
      </c>
      <c r="P5169" s="89" t="s">
        <v>5716</v>
      </c>
      <c r="Q5169" s="422" t="s">
        <v>47</v>
      </c>
      <c r="R5169" s="422" t="s">
        <v>1869</v>
      </c>
      <c r="S5169" s="422" t="s">
        <v>1861</v>
      </c>
      <c r="U5169" s="422" t="s">
        <v>1953</v>
      </c>
      <c r="V5169" s="422" t="s">
        <v>2813</v>
      </c>
    </row>
    <row r="5170" spans="1:22" ht="15.75" thickBot="1" x14ac:dyDescent="0.3">
      <c r="A5170" t="s">
        <v>4594</v>
      </c>
      <c r="B5170" t="s">
        <v>4594</v>
      </c>
      <c r="C5170" s="424" t="str">
        <f t="shared" ref="C5170:C5233" si="217">IF(A5170=B5170,B5170,RIGHT(A5170,LEN(A5170)-LEN(B5170)-3))</f>
        <v>Rodolezíria - Transportes Rodoviários de Passageiros, Unipessoal LDA.</v>
      </c>
      <c r="D5170" t="s">
        <v>629</v>
      </c>
      <c r="F5170" s="422" t="s">
        <v>620</v>
      </c>
      <c r="G5170" s="89" t="s">
        <v>2222</v>
      </c>
      <c r="H5170" s="313" t="s">
        <v>732</v>
      </c>
      <c r="I5170" s="311" t="str">
        <f t="shared" si="215"/>
        <v>Pesado de Passageiros M3:  : Gasóleo : E3</v>
      </c>
      <c r="J5170">
        <v>74</v>
      </c>
      <c r="K5170" s="422">
        <v>2023</v>
      </c>
      <c r="L5170" s="427">
        <v>13699.76</v>
      </c>
      <c r="M5170" s="427" t="s">
        <v>630</v>
      </c>
      <c r="N5170" s="434">
        <v>24155</v>
      </c>
      <c r="O5170" s="436">
        <f t="shared" si="216"/>
        <v>1787470</v>
      </c>
      <c r="P5170" s="89" t="s">
        <v>5717</v>
      </c>
      <c r="Q5170" s="422" t="s">
        <v>47</v>
      </c>
      <c r="R5170" s="422" t="s">
        <v>1869</v>
      </c>
      <c r="S5170" s="422" t="s">
        <v>1861</v>
      </c>
      <c r="U5170" s="422" t="s">
        <v>1953</v>
      </c>
      <c r="V5170" s="422" t="s">
        <v>2813</v>
      </c>
    </row>
    <row r="5171" spans="1:22" ht="15.75" thickBot="1" x14ac:dyDescent="0.3">
      <c r="A5171" t="s">
        <v>4594</v>
      </c>
      <c r="B5171" t="s">
        <v>4594</v>
      </c>
      <c r="C5171" s="424" t="str">
        <f t="shared" si="217"/>
        <v>Rodolezíria - Transportes Rodoviários de Passageiros, Unipessoal LDA.</v>
      </c>
      <c r="D5171" t="s">
        <v>629</v>
      </c>
      <c r="F5171" s="422" t="s">
        <v>620</v>
      </c>
      <c r="G5171" s="89" t="s">
        <v>2220</v>
      </c>
      <c r="H5171" s="313" t="s">
        <v>732</v>
      </c>
      <c r="I5171" s="311" t="str">
        <f t="shared" si="215"/>
        <v>Pesado de Passageiros M3:  : Gasóleo : E3</v>
      </c>
      <c r="J5171">
        <v>63</v>
      </c>
      <c r="K5171" s="422">
        <v>2023</v>
      </c>
      <c r="L5171" s="427">
        <v>26127.09</v>
      </c>
      <c r="M5171" s="427" t="s">
        <v>630</v>
      </c>
      <c r="N5171" s="434">
        <v>44790</v>
      </c>
      <c r="O5171" s="436">
        <f t="shared" si="216"/>
        <v>2821770</v>
      </c>
      <c r="P5171" s="89" t="s">
        <v>5718</v>
      </c>
      <c r="Q5171" s="422" t="s">
        <v>47</v>
      </c>
      <c r="R5171" s="422" t="s">
        <v>1869</v>
      </c>
      <c r="S5171" s="422" t="s">
        <v>1861</v>
      </c>
      <c r="U5171" s="422" t="s">
        <v>1953</v>
      </c>
      <c r="V5171" s="422" t="s">
        <v>2813</v>
      </c>
    </row>
    <row r="5172" spans="1:22" ht="15.75" thickBot="1" x14ac:dyDescent="0.3">
      <c r="A5172" t="s">
        <v>4594</v>
      </c>
      <c r="B5172" t="s">
        <v>4594</v>
      </c>
      <c r="C5172" s="424" t="str">
        <f t="shared" si="217"/>
        <v>Rodolezíria - Transportes Rodoviários de Passageiros, Unipessoal LDA.</v>
      </c>
      <c r="D5172" t="s">
        <v>629</v>
      </c>
      <c r="F5172" s="422" t="s">
        <v>620</v>
      </c>
      <c r="G5172" s="89" t="s">
        <v>2219</v>
      </c>
      <c r="H5172" s="313" t="s">
        <v>732</v>
      </c>
      <c r="I5172" s="311" t="str">
        <f t="shared" si="215"/>
        <v>Pesado de Passageiros M3:  : Gasóleo : E3</v>
      </c>
      <c r="J5172">
        <v>83</v>
      </c>
      <c r="K5172" s="422">
        <v>2023</v>
      </c>
      <c r="L5172" s="427">
        <v>4671.2999999999993</v>
      </c>
      <c r="M5172" s="427" t="s">
        <v>630</v>
      </c>
      <c r="N5172" s="434">
        <v>11475</v>
      </c>
      <c r="O5172" s="436">
        <f t="shared" si="216"/>
        <v>952425</v>
      </c>
      <c r="P5172" s="89" t="s">
        <v>5719</v>
      </c>
      <c r="Q5172" s="422" t="s">
        <v>47</v>
      </c>
      <c r="R5172" s="422" t="s">
        <v>1869</v>
      </c>
      <c r="S5172" s="422" t="s">
        <v>1861</v>
      </c>
      <c r="U5172" s="422" t="s">
        <v>1953</v>
      </c>
      <c r="V5172" s="422" t="s">
        <v>2813</v>
      </c>
    </row>
    <row r="5173" spans="1:22" ht="15.75" thickBot="1" x14ac:dyDescent="0.3">
      <c r="A5173" t="s">
        <v>4594</v>
      </c>
      <c r="B5173" t="s">
        <v>4594</v>
      </c>
      <c r="C5173" s="424" t="str">
        <f t="shared" si="217"/>
        <v>Rodolezíria - Transportes Rodoviários de Passageiros, Unipessoal LDA.</v>
      </c>
      <c r="D5173" t="s">
        <v>629</v>
      </c>
      <c r="F5173" s="422" t="s">
        <v>620</v>
      </c>
      <c r="G5173" s="89" t="s">
        <v>2224</v>
      </c>
      <c r="H5173" s="313" t="s">
        <v>732</v>
      </c>
      <c r="I5173" s="311" t="str">
        <f t="shared" si="215"/>
        <v>Pesado de Passageiros M3:  : Gasóleo : E3</v>
      </c>
      <c r="J5173">
        <v>76</v>
      </c>
      <c r="K5173" s="422">
        <v>2023</v>
      </c>
      <c r="L5173" s="427">
        <v>5601.07</v>
      </c>
      <c r="M5173" s="427" t="s">
        <v>630</v>
      </c>
      <c r="N5173" s="434">
        <v>16413</v>
      </c>
      <c r="O5173" s="436">
        <f t="shared" si="216"/>
        <v>1247388</v>
      </c>
      <c r="P5173" s="89" t="s">
        <v>5720</v>
      </c>
      <c r="Q5173" s="422" t="s">
        <v>47</v>
      </c>
      <c r="R5173" s="422" t="s">
        <v>1869</v>
      </c>
      <c r="S5173" s="422" t="s">
        <v>1861</v>
      </c>
      <c r="U5173" s="422" t="s">
        <v>1953</v>
      </c>
      <c r="V5173" s="422" t="s">
        <v>2813</v>
      </c>
    </row>
    <row r="5174" spans="1:22" ht="15.75" thickBot="1" x14ac:dyDescent="0.3">
      <c r="A5174" t="s">
        <v>4594</v>
      </c>
      <c r="B5174" t="s">
        <v>4594</v>
      </c>
      <c r="C5174" s="424" t="str">
        <f t="shared" si="217"/>
        <v>Rodolezíria - Transportes Rodoviários de Passageiros, Unipessoal LDA.</v>
      </c>
      <c r="D5174" t="s">
        <v>629</v>
      </c>
      <c r="F5174" s="422" t="s">
        <v>620</v>
      </c>
      <c r="G5174" s="89" t="s">
        <v>2207</v>
      </c>
      <c r="H5174" s="313" t="s">
        <v>732</v>
      </c>
      <c r="I5174" s="311" t="str">
        <f t="shared" si="215"/>
        <v>Pesado de Passageiros M3:  : Gasóleo : E3</v>
      </c>
      <c r="J5174">
        <v>72</v>
      </c>
      <c r="K5174" s="422">
        <v>2023</v>
      </c>
      <c r="L5174" s="427">
        <v>5191.8500000000004</v>
      </c>
      <c r="M5174" s="427" t="s">
        <v>630</v>
      </c>
      <c r="N5174" s="434">
        <v>14060</v>
      </c>
      <c r="O5174" s="436">
        <f t="shared" si="216"/>
        <v>1012320</v>
      </c>
      <c r="P5174" s="89" t="s">
        <v>5721</v>
      </c>
      <c r="Q5174" s="422" t="s">
        <v>47</v>
      </c>
      <c r="R5174" s="422" t="s">
        <v>1869</v>
      </c>
      <c r="S5174" s="422" t="s">
        <v>1861</v>
      </c>
      <c r="U5174" s="422" t="s">
        <v>1953</v>
      </c>
      <c r="V5174" s="422" t="s">
        <v>2813</v>
      </c>
    </row>
    <row r="5175" spans="1:22" ht="15.75" thickBot="1" x14ac:dyDescent="0.3">
      <c r="A5175" t="s">
        <v>4594</v>
      </c>
      <c r="B5175" t="s">
        <v>4594</v>
      </c>
      <c r="C5175" s="424" t="str">
        <f t="shared" si="217"/>
        <v>Rodolezíria - Transportes Rodoviários de Passageiros, Unipessoal LDA.</v>
      </c>
      <c r="D5175" t="s">
        <v>629</v>
      </c>
      <c r="F5175" s="422" t="s">
        <v>620</v>
      </c>
      <c r="G5175" s="89" t="s">
        <v>2207</v>
      </c>
      <c r="H5175" s="313" t="s">
        <v>732</v>
      </c>
      <c r="I5175" s="311" t="str">
        <f t="shared" si="215"/>
        <v>Pesado de Passageiros M3:  : Gasóleo : E3</v>
      </c>
      <c r="J5175">
        <v>72</v>
      </c>
      <c r="K5175" s="422">
        <v>2023</v>
      </c>
      <c r="L5175" s="427">
        <v>13729.16</v>
      </c>
      <c r="M5175" s="427" t="s">
        <v>630</v>
      </c>
      <c r="N5175" s="434">
        <v>27195</v>
      </c>
      <c r="O5175" s="436">
        <f t="shared" si="216"/>
        <v>1958040</v>
      </c>
      <c r="P5175" s="89" t="s">
        <v>5722</v>
      </c>
      <c r="Q5175" s="422" t="s">
        <v>47</v>
      </c>
      <c r="R5175" s="422" t="s">
        <v>1869</v>
      </c>
      <c r="S5175" s="422" t="s">
        <v>1861</v>
      </c>
      <c r="U5175" s="422" t="s">
        <v>1953</v>
      </c>
      <c r="V5175" s="422" t="s">
        <v>2813</v>
      </c>
    </row>
    <row r="5176" spans="1:22" ht="15.75" thickBot="1" x14ac:dyDescent="0.3">
      <c r="A5176" t="s">
        <v>4594</v>
      </c>
      <c r="B5176" t="s">
        <v>4594</v>
      </c>
      <c r="C5176" s="424" t="str">
        <f t="shared" si="217"/>
        <v>Rodolezíria - Transportes Rodoviários de Passageiros, Unipessoal LDA.</v>
      </c>
      <c r="D5176" t="s">
        <v>629</v>
      </c>
      <c r="F5176" s="422" t="s">
        <v>620</v>
      </c>
      <c r="G5176" s="89" t="s">
        <v>1954</v>
      </c>
      <c r="H5176" s="313" t="s">
        <v>732</v>
      </c>
      <c r="I5176" s="311" t="str">
        <f t="shared" si="215"/>
        <v>Pesado de Passageiros M3:  : Gasóleo : E3</v>
      </c>
      <c r="J5176">
        <v>81</v>
      </c>
      <c r="K5176" s="422">
        <v>2023</v>
      </c>
      <c r="L5176" s="427">
        <v>15928.51</v>
      </c>
      <c r="M5176" s="427" t="s">
        <v>630</v>
      </c>
      <c r="N5176" s="434">
        <v>27737</v>
      </c>
      <c r="O5176" s="436">
        <f t="shared" si="216"/>
        <v>2246697</v>
      </c>
      <c r="P5176" s="89" t="s">
        <v>5723</v>
      </c>
      <c r="Q5176" s="422" t="s">
        <v>47</v>
      </c>
      <c r="R5176" s="422" t="s">
        <v>1869</v>
      </c>
      <c r="S5176" s="422" t="s">
        <v>1861</v>
      </c>
      <c r="U5176" s="422" t="s">
        <v>1953</v>
      </c>
      <c r="V5176" s="422" t="s">
        <v>2813</v>
      </c>
    </row>
    <row r="5177" spans="1:22" ht="15.75" thickBot="1" x14ac:dyDescent="0.3">
      <c r="A5177" t="s">
        <v>4594</v>
      </c>
      <c r="B5177" t="s">
        <v>4594</v>
      </c>
      <c r="C5177" s="424" t="str">
        <f t="shared" si="217"/>
        <v>Rodolezíria - Transportes Rodoviários de Passageiros, Unipessoal LDA.</v>
      </c>
      <c r="D5177" t="s">
        <v>629</v>
      </c>
      <c r="F5177" s="422" t="s">
        <v>620</v>
      </c>
      <c r="G5177" s="89" t="s">
        <v>1954</v>
      </c>
      <c r="H5177" s="313" t="s">
        <v>732</v>
      </c>
      <c r="I5177" s="311" t="str">
        <f t="shared" si="215"/>
        <v>Pesado de Passageiros M3:  : Gasóleo : E3</v>
      </c>
      <c r="J5177">
        <v>81</v>
      </c>
      <c r="K5177" s="422">
        <v>2023</v>
      </c>
      <c r="L5177" s="427">
        <v>6885.65</v>
      </c>
      <c r="M5177" s="427" t="s">
        <v>630</v>
      </c>
      <c r="N5177" s="434">
        <v>17461</v>
      </c>
      <c r="O5177" s="436">
        <f t="shared" si="216"/>
        <v>1414341</v>
      </c>
      <c r="P5177" s="89" t="s">
        <v>5724</v>
      </c>
      <c r="Q5177" s="422" t="s">
        <v>47</v>
      </c>
      <c r="R5177" s="422" t="s">
        <v>1869</v>
      </c>
      <c r="S5177" s="422" t="s">
        <v>1861</v>
      </c>
      <c r="U5177" s="422" t="s">
        <v>1953</v>
      </c>
      <c r="V5177" s="422" t="s">
        <v>2813</v>
      </c>
    </row>
    <row r="5178" spans="1:22" ht="15.75" thickBot="1" x14ac:dyDescent="0.3">
      <c r="A5178" t="s">
        <v>4594</v>
      </c>
      <c r="B5178" t="s">
        <v>4594</v>
      </c>
      <c r="C5178" s="424" t="str">
        <f t="shared" si="217"/>
        <v>Rodolezíria - Transportes Rodoviários de Passageiros, Unipessoal LDA.</v>
      </c>
      <c r="D5178" t="s">
        <v>629</v>
      </c>
      <c r="F5178" s="422" t="s">
        <v>620</v>
      </c>
      <c r="G5178" s="89" t="s">
        <v>2205</v>
      </c>
      <c r="H5178" s="313" t="s">
        <v>734</v>
      </c>
      <c r="I5178" s="311" t="str">
        <f t="shared" si="215"/>
        <v>Pesado de Passageiros M3:  : Gasóleo : E5</v>
      </c>
      <c r="J5178">
        <v>72</v>
      </c>
      <c r="K5178" s="422">
        <v>2023</v>
      </c>
      <c r="L5178" s="427">
        <v>24777.96</v>
      </c>
      <c r="M5178" s="427" t="s">
        <v>630</v>
      </c>
      <c r="N5178" s="434">
        <v>41588</v>
      </c>
      <c r="O5178" s="436">
        <f t="shared" si="216"/>
        <v>2994336</v>
      </c>
      <c r="P5178" s="89" t="s">
        <v>5725</v>
      </c>
      <c r="Q5178" s="422" t="s">
        <v>47</v>
      </c>
      <c r="R5178" s="422" t="s">
        <v>1869</v>
      </c>
      <c r="S5178" s="422" t="s">
        <v>1861</v>
      </c>
      <c r="U5178" s="422" t="s">
        <v>1953</v>
      </c>
      <c r="V5178" s="422" t="s">
        <v>2813</v>
      </c>
    </row>
    <row r="5179" spans="1:22" ht="15.75" thickBot="1" x14ac:dyDescent="0.3">
      <c r="A5179" t="s">
        <v>4594</v>
      </c>
      <c r="B5179" t="s">
        <v>4594</v>
      </c>
      <c r="C5179" s="424" t="str">
        <f t="shared" si="217"/>
        <v>Rodolezíria - Transportes Rodoviários de Passageiros, Unipessoal LDA.</v>
      </c>
      <c r="D5179" t="s">
        <v>629</v>
      </c>
      <c r="F5179" s="422" t="s">
        <v>620</v>
      </c>
      <c r="G5179" s="89" t="s">
        <v>2220</v>
      </c>
      <c r="H5179" s="313" t="s">
        <v>732</v>
      </c>
      <c r="I5179" s="311" t="str">
        <f t="shared" si="215"/>
        <v>Pesado de Passageiros M3:  : Gasóleo : E3</v>
      </c>
      <c r="J5179">
        <v>77</v>
      </c>
      <c r="K5179" s="422">
        <v>2023</v>
      </c>
      <c r="L5179" s="427">
        <v>21799.02</v>
      </c>
      <c r="M5179" s="427" t="s">
        <v>630</v>
      </c>
      <c r="N5179" s="434">
        <v>33723</v>
      </c>
      <c r="O5179" s="436">
        <f t="shared" si="216"/>
        <v>2596671</v>
      </c>
      <c r="P5179" s="89" t="s">
        <v>5726</v>
      </c>
      <c r="Q5179" s="422" t="s">
        <v>47</v>
      </c>
      <c r="R5179" s="422" t="s">
        <v>1869</v>
      </c>
      <c r="S5179" s="422" t="s">
        <v>1861</v>
      </c>
      <c r="U5179" s="422" t="s">
        <v>1953</v>
      </c>
      <c r="V5179" s="422" t="s">
        <v>2813</v>
      </c>
    </row>
    <row r="5180" spans="1:22" ht="15.75" thickBot="1" x14ac:dyDescent="0.3">
      <c r="A5180" t="s">
        <v>4594</v>
      </c>
      <c r="B5180" t="s">
        <v>4594</v>
      </c>
      <c r="C5180" s="424" t="str">
        <f t="shared" si="217"/>
        <v>Rodolezíria - Transportes Rodoviários de Passageiros, Unipessoal LDA.</v>
      </c>
      <c r="D5180" t="s">
        <v>629</v>
      </c>
      <c r="F5180" s="422" t="s">
        <v>620</v>
      </c>
      <c r="G5180" s="89" t="s">
        <v>2225</v>
      </c>
      <c r="H5180" s="313" t="s">
        <v>734</v>
      </c>
      <c r="I5180" s="311" t="str">
        <f t="shared" si="215"/>
        <v>Pesado de Passageiros M3:  : Gasóleo : E5</v>
      </c>
      <c r="J5180">
        <v>71</v>
      </c>
      <c r="K5180" s="422">
        <v>2023</v>
      </c>
      <c r="L5180" s="427">
        <v>29354</v>
      </c>
      <c r="M5180" s="427" t="s">
        <v>630</v>
      </c>
      <c r="N5180" s="434">
        <v>48105</v>
      </c>
      <c r="O5180" s="436">
        <f t="shared" si="216"/>
        <v>3415455</v>
      </c>
      <c r="P5180" s="89" t="s">
        <v>5727</v>
      </c>
      <c r="Q5180" s="422" t="s">
        <v>47</v>
      </c>
      <c r="R5180" s="422" t="s">
        <v>1869</v>
      </c>
      <c r="S5180" s="422" t="s">
        <v>1861</v>
      </c>
      <c r="U5180" s="422" t="s">
        <v>1953</v>
      </c>
      <c r="V5180" s="422" t="s">
        <v>2813</v>
      </c>
    </row>
    <row r="5181" spans="1:22" ht="15.75" thickBot="1" x14ac:dyDescent="0.3">
      <c r="A5181" t="s">
        <v>4594</v>
      </c>
      <c r="B5181" t="s">
        <v>4594</v>
      </c>
      <c r="C5181" s="424" t="str">
        <f t="shared" si="217"/>
        <v>Rodolezíria - Transportes Rodoviários de Passageiros, Unipessoal LDA.</v>
      </c>
      <c r="D5181" t="s">
        <v>629</v>
      </c>
      <c r="F5181" s="422" t="s">
        <v>620</v>
      </c>
      <c r="G5181" s="89" t="s">
        <v>2222</v>
      </c>
      <c r="H5181" s="313" t="s">
        <v>732</v>
      </c>
      <c r="I5181" s="311" t="str">
        <f t="shared" si="215"/>
        <v>Pesado de Passageiros M3:  : Gasóleo : E3</v>
      </c>
      <c r="J5181">
        <v>85</v>
      </c>
      <c r="K5181" s="422">
        <v>2023</v>
      </c>
      <c r="L5181" s="427">
        <v>24132.28</v>
      </c>
      <c r="M5181" s="427" t="s">
        <v>630</v>
      </c>
      <c r="N5181" s="434">
        <v>34582</v>
      </c>
      <c r="O5181" s="436">
        <f t="shared" si="216"/>
        <v>2939470</v>
      </c>
      <c r="P5181" s="89" t="s">
        <v>5728</v>
      </c>
      <c r="Q5181" s="422" t="s">
        <v>47</v>
      </c>
      <c r="R5181" s="422" t="s">
        <v>1869</v>
      </c>
      <c r="S5181" s="422" t="s">
        <v>1861</v>
      </c>
      <c r="U5181" s="422" t="s">
        <v>1953</v>
      </c>
      <c r="V5181" s="422" t="s">
        <v>2813</v>
      </c>
    </row>
    <row r="5182" spans="1:22" ht="15.75" thickBot="1" x14ac:dyDescent="0.3">
      <c r="A5182" t="s">
        <v>4594</v>
      </c>
      <c r="B5182" t="s">
        <v>4594</v>
      </c>
      <c r="C5182" s="424" t="str">
        <f t="shared" si="217"/>
        <v>Rodolezíria - Transportes Rodoviários de Passageiros, Unipessoal LDA.</v>
      </c>
      <c r="D5182" t="s">
        <v>629</v>
      </c>
      <c r="F5182" s="422" t="s">
        <v>620</v>
      </c>
      <c r="G5182" s="89" t="s">
        <v>2212</v>
      </c>
      <c r="H5182" s="313" t="s">
        <v>734</v>
      </c>
      <c r="I5182" s="311" t="str">
        <f t="shared" si="215"/>
        <v>Pesado de Passageiros M3:  : Gasóleo : E5</v>
      </c>
      <c r="J5182">
        <v>75</v>
      </c>
      <c r="K5182" s="422">
        <v>2023</v>
      </c>
      <c r="L5182" s="427">
        <v>27340.61</v>
      </c>
      <c r="M5182" s="427" t="s">
        <v>630</v>
      </c>
      <c r="N5182" s="434">
        <v>48149</v>
      </c>
      <c r="O5182" s="436">
        <f t="shared" si="216"/>
        <v>3611175</v>
      </c>
      <c r="P5182" s="89" t="s">
        <v>5729</v>
      </c>
      <c r="Q5182" s="422" t="s">
        <v>47</v>
      </c>
      <c r="R5182" s="422" t="s">
        <v>1869</v>
      </c>
      <c r="S5182" s="422" t="s">
        <v>1861</v>
      </c>
      <c r="U5182" s="422" t="s">
        <v>1953</v>
      </c>
      <c r="V5182" s="422" t="s">
        <v>2813</v>
      </c>
    </row>
    <row r="5183" spans="1:22" ht="15.75" thickBot="1" x14ac:dyDescent="0.3">
      <c r="A5183" t="s">
        <v>4594</v>
      </c>
      <c r="B5183" t="s">
        <v>4594</v>
      </c>
      <c r="C5183" s="424" t="str">
        <f t="shared" si="217"/>
        <v>Rodolezíria - Transportes Rodoviários de Passageiros, Unipessoal LDA.</v>
      </c>
      <c r="D5183" t="s">
        <v>629</v>
      </c>
      <c r="F5183" s="422" t="s">
        <v>620</v>
      </c>
      <c r="G5183" s="89" t="s">
        <v>2225</v>
      </c>
      <c r="H5183" s="313" t="s">
        <v>734</v>
      </c>
      <c r="I5183" s="311" t="str">
        <f t="shared" si="215"/>
        <v>Pesado de Passageiros M3:  : Gasóleo : E5</v>
      </c>
      <c r="J5183">
        <v>51</v>
      </c>
      <c r="K5183" s="422">
        <v>2023</v>
      </c>
      <c r="L5183" s="427">
        <v>21819.489999999998</v>
      </c>
      <c r="M5183" s="427" t="s">
        <v>630</v>
      </c>
      <c r="N5183" s="434">
        <v>38510</v>
      </c>
      <c r="O5183" s="436">
        <f t="shared" si="216"/>
        <v>1964010</v>
      </c>
      <c r="P5183" s="89" t="s">
        <v>5730</v>
      </c>
      <c r="Q5183" s="422" t="s">
        <v>47</v>
      </c>
      <c r="R5183" s="422" t="s">
        <v>1869</v>
      </c>
      <c r="S5183" s="422" t="s">
        <v>1861</v>
      </c>
      <c r="U5183" s="422" t="s">
        <v>1953</v>
      </c>
      <c r="V5183" s="422" t="s">
        <v>2813</v>
      </c>
    </row>
    <row r="5184" spans="1:22" ht="15.75" thickBot="1" x14ac:dyDescent="0.3">
      <c r="A5184" t="s">
        <v>4594</v>
      </c>
      <c r="B5184" t="s">
        <v>4594</v>
      </c>
      <c r="C5184" s="424" t="str">
        <f t="shared" si="217"/>
        <v>Rodolezíria - Transportes Rodoviários de Passageiros, Unipessoal LDA.</v>
      </c>
      <c r="D5184" t="s">
        <v>629</v>
      </c>
      <c r="F5184" s="422" t="s">
        <v>620</v>
      </c>
      <c r="G5184" s="89" t="s">
        <v>1954</v>
      </c>
      <c r="H5184" s="313" t="s">
        <v>735</v>
      </c>
      <c r="I5184" s="311" t="str">
        <f t="shared" si="215"/>
        <v>Pesado de Passageiros M3:  : Gasóleo : E2</v>
      </c>
      <c r="J5184">
        <v>76</v>
      </c>
      <c r="K5184" s="422">
        <v>2023</v>
      </c>
      <c r="L5184" s="427">
        <v>23319.010000000002</v>
      </c>
      <c r="M5184" s="427" t="s">
        <v>630</v>
      </c>
      <c r="N5184" s="434">
        <v>47906</v>
      </c>
      <c r="O5184" s="436">
        <f t="shared" si="216"/>
        <v>3640856</v>
      </c>
      <c r="P5184" s="89" t="s">
        <v>5731</v>
      </c>
      <c r="Q5184" s="422" t="s">
        <v>47</v>
      </c>
      <c r="R5184" s="422" t="s">
        <v>1869</v>
      </c>
      <c r="S5184" s="422" t="s">
        <v>1861</v>
      </c>
      <c r="U5184" s="422" t="s">
        <v>1953</v>
      </c>
      <c r="V5184" s="422" t="s">
        <v>2813</v>
      </c>
    </row>
    <row r="5185" spans="1:22" ht="15.75" thickBot="1" x14ac:dyDescent="0.3">
      <c r="A5185" t="s">
        <v>4594</v>
      </c>
      <c r="B5185" t="s">
        <v>4594</v>
      </c>
      <c r="C5185" s="424" t="str">
        <f t="shared" si="217"/>
        <v>Rodolezíria - Transportes Rodoviários de Passageiros, Unipessoal LDA.</v>
      </c>
      <c r="D5185" t="s">
        <v>629</v>
      </c>
      <c r="F5185" s="422" t="s">
        <v>620</v>
      </c>
      <c r="G5185" s="89" t="s">
        <v>2213</v>
      </c>
      <c r="H5185" s="313" t="s">
        <v>734</v>
      </c>
      <c r="I5185" s="311" t="str">
        <f t="shared" si="215"/>
        <v>Pesado de Passageiros M3:  : Gasóleo : E5</v>
      </c>
      <c r="J5185">
        <v>106</v>
      </c>
      <c r="K5185" s="422">
        <v>2023</v>
      </c>
      <c r="L5185" s="427">
        <v>12581.86</v>
      </c>
      <c r="M5185" s="427" t="s">
        <v>630</v>
      </c>
      <c r="N5185" s="434">
        <v>31678</v>
      </c>
      <c r="O5185" s="436">
        <f t="shared" si="216"/>
        <v>3357868</v>
      </c>
      <c r="P5185" s="89" t="s">
        <v>5732</v>
      </c>
      <c r="Q5185" s="422" t="s">
        <v>47</v>
      </c>
      <c r="R5185" s="422" t="s">
        <v>1869</v>
      </c>
      <c r="S5185" s="422" t="s">
        <v>1861</v>
      </c>
      <c r="U5185" s="422" t="s">
        <v>1953</v>
      </c>
      <c r="V5185" s="422" t="s">
        <v>2813</v>
      </c>
    </row>
    <row r="5186" spans="1:22" ht="15.75" thickBot="1" x14ac:dyDescent="0.3">
      <c r="A5186" t="s">
        <v>4594</v>
      </c>
      <c r="B5186" t="s">
        <v>4594</v>
      </c>
      <c r="C5186" s="424" t="str">
        <f t="shared" si="217"/>
        <v>Rodolezíria - Transportes Rodoviários de Passageiros, Unipessoal LDA.</v>
      </c>
      <c r="D5186" t="s">
        <v>629</v>
      </c>
      <c r="F5186" s="422" t="s">
        <v>620</v>
      </c>
      <c r="G5186" s="89" t="s">
        <v>2220</v>
      </c>
      <c r="H5186" s="313" t="s">
        <v>731</v>
      </c>
      <c r="I5186" s="311" t="str">
        <f t="shared" si="215"/>
        <v>Pesado de Passageiros M3:  : Gasóleo : E4</v>
      </c>
      <c r="J5186">
        <v>65</v>
      </c>
      <c r="K5186" s="422">
        <v>2023</v>
      </c>
      <c r="L5186" s="427">
        <v>21937.91</v>
      </c>
      <c r="M5186" s="427" t="s">
        <v>630</v>
      </c>
      <c r="N5186" s="434">
        <v>25331</v>
      </c>
      <c r="O5186" s="436">
        <f t="shared" si="216"/>
        <v>1646515</v>
      </c>
      <c r="P5186" s="89" t="s">
        <v>5733</v>
      </c>
      <c r="Q5186" s="422" t="s">
        <v>47</v>
      </c>
      <c r="R5186" s="422" t="s">
        <v>1869</v>
      </c>
      <c r="S5186" s="422" t="s">
        <v>1861</v>
      </c>
      <c r="U5186" s="422" t="s">
        <v>1953</v>
      </c>
      <c r="V5186" s="422" t="s">
        <v>2813</v>
      </c>
    </row>
    <row r="5187" spans="1:22" ht="15.75" thickBot="1" x14ac:dyDescent="0.3">
      <c r="A5187" t="s">
        <v>4594</v>
      </c>
      <c r="B5187" t="s">
        <v>4594</v>
      </c>
      <c r="C5187" s="424" t="str">
        <f t="shared" si="217"/>
        <v>Rodolezíria - Transportes Rodoviários de Passageiros, Unipessoal LDA.</v>
      </c>
      <c r="D5187" t="s">
        <v>629</v>
      </c>
      <c r="F5187" s="422" t="s">
        <v>620</v>
      </c>
      <c r="G5187" s="89" t="s">
        <v>2220</v>
      </c>
      <c r="H5187" s="313" t="s">
        <v>731</v>
      </c>
      <c r="I5187" s="311" t="str">
        <f t="shared" si="215"/>
        <v>Pesado de Passageiros M3:  : Gasóleo : E4</v>
      </c>
      <c r="J5187">
        <v>65</v>
      </c>
      <c r="K5187" s="422">
        <v>2023</v>
      </c>
      <c r="L5187" s="427">
        <v>29425.61</v>
      </c>
      <c r="M5187" s="427" t="s">
        <v>630</v>
      </c>
      <c r="N5187" s="434">
        <v>34074</v>
      </c>
      <c r="O5187" s="436">
        <f t="shared" si="216"/>
        <v>2214810</v>
      </c>
      <c r="P5187" s="89" t="s">
        <v>5734</v>
      </c>
      <c r="Q5187" s="422" t="s">
        <v>47</v>
      </c>
      <c r="R5187" s="422" t="s">
        <v>1869</v>
      </c>
      <c r="S5187" s="422" t="s">
        <v>1861</v>
      </c>
      <c r="U5187" s="422" t="s">
        <v>1953</v>
      </c>
      <c r="V5187" s="422" t="s">
        <v>2813</v>
      </c>
    </row>
    <row r="5188" spans="1:22" ht="15.75" thickBot="1" x14ac:dyDescent="0.3">
      <c r="A5188" t="s">
        <v>4594</v>
      </c>
      <c r="B5188" t="s">
        <v>4594</v>
      </c>
      <c r="C5188" s="424" t="str">
        <f t="shared" si="217"/>
        <v>Rodolezíria - Transportes Rodoviários de Passageiros, Unipessoal LDA.</v>
      </c>
      <c r="D5188" t="s">
        <v>629</v>
      </c>
      <c r="F5188" s="422" t="s">
        <v>620</v>
      </c>
      <c r="G5188" s="89" t="s">
        <v>2205</v>
      </c>
      <c r="H5188" s="313" t="s">
        <v>731</v>
      </c>
      <c r="I5188" s="311" t="str">
        <f t="shared" si="215"/>
        <v>Pesado de Passageiros M3:  : Gasóleo : E4</v>
      </c>
      <c r="J5188">
        <v>21</v>
      </c>
      <c r="K5188" s="422">
        <v>2023</v>
      </c>
      <c r="L5188" s="427">
        <v>93.75</v>
      </c>
      <c r="M5188" s="427" t="s">
        <v>630</v>
      </c>
      <c r="N5188" s="434">
        <v>468</v>
      </c>
      <c r="O5188" s="436">
        <f t="shared" si="216"/>
        <v>9828</v>
      </c>
      <c r="P5188" s="89" t="s">
        <v>5735</v>
      </c>
      <c r="Q5188" s="422" t="s">
        <v>47</v>
      </c>
      <c r="R5188" s="422" t="s">
        <v>1869</v>
      </c>
      <c r="S5188" s="422" t="s">
        <v>1861</v>
      </c>
      <c r="U5188" s="422" t="s">
        <v>1953</v>
      </c>
      <c r="V5188" s="422" t="s">
        <v>2813</v>
      </c>
    </row>
    <row r="5189" spans="1:22" ht="15.75" thickBot="1" x14ac:dyDescent="0.3">
      <c r="A5189" t="s">
        <v>4594</v>
      </c>
      <c r="B5189" t="s">
        <v>4594</v>
      </c>
      <c r="C5189" s="424" t="str">
        <f t="shared" si="217"/>
        <v>Rodolezíria - Transportes Rodoviários de Passageiros, Unipessoal LDA.</v>
      </c>
      <c r="D5189" t="s">
        <v>629</v>
      </c>
      <c r="F5189" s="422" t="s">
        <v>620</v>
      </c>
      <c r="G5189" s="89" t="s">
        <v>2205</v>
      </c>
      <c r="H5189" s="313" t="s">
        <v>731</v>
      </c>
      <c r="I5189" s="311" t="str">
        <f t="shared" si="215"/>
        <v>Pesado de Passageiros M3:  : Gasóleo : E4</v>
      </c>
      <c r="J5189">
        <v>72</v>
      </c>
      <c r="K5189" s="422">
        <v>2023</v>
      </c>
      <c r="L5189" s="427">
        <v>3019.84</v>
      </c>
      <c r="M5189" s="427" t="s">
        <v>630</v>
      </c>
      <c r="N5189" s="434">
        <v>8242</v>
      </c>
      <c r="O5189" s="436">
        <f t="shared" si="216"/>
        <v>593424</v>
      </c>
      <c r="P5189" s="89" t="s">
        <v>5736</v>
      </c>
      <c r="Q5189" s="422" t="s">
        <v>47</v>
      </c>
      <c r="R5189" s="422" t="s">
        <v>1869</v>
      </c>
      <c r="S5189" s="422" t="s">
        <v>1861</v>
      </c>
      <c r="U5189" s="422" t="s">
        <v>1953</v>
      </c>
      <c r="V5189" s="422" t="s">
        <v>2813</v>
      </c>
    </row>
    <row r="5190" spans="1:22" ht="15.75" thickBot="1" x14ac:dyDescent="0.3">
      <c r="A5190" t="s">
        <v>4594</v>
      </c>
      <c r="B5190" t="s">
        <v>4594</v>
      </c>
      <c r="C5190" s="424" t="str">
        <f t="shared" si="217"/>
        <v>Rodolezíria - Transportes Rodoviários de Passageiros, Unipessoal LDA.</v>
      </c>
      <c r="D5190" t="s">
        <v>629</v>
      </c>
      <c r="F5190" s="422" t="s">
        <v>620</v>
      </c>
      <c r="G5190" s="89" t="s">
        <v>2205</v>
      </c>
      <c r="H5190" s="313" t="s">
        <v>731</v>
      </c>
      <c r="I5190" s="311" t="str">
        <f t="shared" si="215"/>
        <v>Pesado de Passageiros M3:  : Gasóleo : E4</v>
      </c>
      <c r="J5190">
        <v>66</v>
      </c>
      <c r="K5190" s="422">
        <v>2023</v>
      </c>
      <c r="L5190" s="427">
        <v>5199.01</v>
      </c>
      <c r="M5190" s="427" t="s">
        <v>630</v>
      </c>
      <c r="N5190" s="434">
        <v>11388</v>
      </c>
      <c r="O5190" s="436">
        <f t="shared" si="216"/>
        <v>751608</v>
      </c>
      <c r="P5190" s="89" t="s">
        <v>5737</v>
      </c>
      <c r="Q5190" s="422" t="s">
        <v>47</v>
      </c>
      <c r="R5190" s="422" t="s">
        <v>1869</v>
      </c>
      <c r="S5190" s="422" t="s">
        <v>1861</v>
      </c>
      <c r="U5190" s="422" t="s">
        <v>1953</v>
      </c>
      <c r="V5190" s="422" t="s">
        <v>2813</v>
      </c>
    </row>
    <row r="5191" spans="1:22" ht="15.75" thickBot="1" x14ac:dyDescent="0.3">
      <c r="A5191" t="s">
        <v>4594</v>
      </c>
      <c r="B5191" t="s">
        <v>4594</v>
      </c>
      <c r="C5191" s="424" t="str">
        <f t="shared" si="217"/>
        <v>Rodolezíria - Transportes Rodoviários de Passageiros, Unipessoal LDA.</v>
      </c>
      <c r="D5191" t="s">
        <v>629</v>
      </c>
      <c r="F5191" s="422" t="s">
        <v>620</v>
      </c>
      <c r="G5191" s="89" t="s">
        <v>2205</v>
      </c>
      <c r="H5191" s="313" t="s">
        <v>734</v>
      </c>
      <c r="I5191" s="311" t="str">
        <f t="shared" si="215"/>
        <v>Pesado de Passageiros M3:  : Gasóleo : E5</v>
      </c>
      <c r="J5191">
        <v>95</v>
      </c>
      <c r="K5191" s="422">
        <v>2023</v>
      </c>
      <c r="L5191" s="427">
        <v>2666.04</v>
      </c>
      <c r="M5191" s="427" t="s">
        <v>630</v>
      </c>
      <c r="N5191" s="434">
        <v>5601</v>
      </c>
      <c r="O5191" s="436">
        <f t="shared" si="216"/>
        <v>532095</v>
      </c>
      <c r="P5191" s="89" t="s">
        <v>5738</v>
      </c>
      <c r="Q5191" s="422" t="s">
        <v>47</v>
      </c>
      <c r="R5191" s="422" t="s">
        <v>1869</v>
      </c>
      <c r="S5191" s="422" t="s">
        <v>1861</v>
      </c>
      <c r="U5191" s="422" t="s">
        <v>1953</v>
      </c>
      <c r="V5191" s="422" t="s">
        <v>2813</v>
      </c>
    </row>
    <row r="5192" spans="1:22" ht="15.75" thickBot="1" x14ac:dyDescent="0.3">
      <c r="A5192" t="s">
        <v>4594</v>
      </c>
      <c r="B5192" t="s">
        <v>4594</v>
      </c>
      <c r="C5192" s="424" t="str">
        <f t="shared" si="217"/>
        <v>Rodolezíria - Transportes Rodoviários de Passageiros, Unipessoal LDA.</v>
      </c>
      <c r="D5192" t="s">
        <v>629</v>
      </c>
      <c r="F5192" s="422" t="s">
        <v>620</v>
      </c>
      <c r="G5192" s="89" t="s">
        <v>2204</v>
      </c>
      <c r="H5192" s="313" t="s">
        <v>731</v>
      </c>
      <c r="I5192" s="311" t="str">
        <f t="shared" si="215"/>
        <v>Pesado de Passageiros M3:  : Gasóleo : E4</v>
      </c>
      <c r="J5192">
        <v>98</v>
      </c>
      <c r="K5192" s="422">
        <v>2023</v>
      </c>
      <c r="L5192" s="427">
        <v>0</v>
      </c>
      <c r="M5192" s="427" t="s">
        <v>630</v>
      </c>
      <c r="N5192" s="434">
        <v>0</v>
      </c>
      <c r="O5192" s="436">
        <f t="shared" si="216"/>
        <v>0</v>
      </c>
      <c r="P5192" s="89" t="s">
        <v>5739</v>
      </c>
      <c r="Q5192" s="422" t="s">
        <v>47</v>
      </c>
      <c r="R5192" s="422" t="s">
        <v>1869</v>
      </c>
      <c r="S5192" s="422" t="s">
        <v>1861</v>
      </c>
      <c r="U5192" s="422" t="s">
        <v>1953</v>
      </c>
      <c r="V5192" s="422" t="s">
        <v>2813</v>
      </c>
    </row>
    <row r="5193" spans="1:22" ht="15.75" thickBot="1" x14ac:dyDescent="0.3">
      <c r="A5193" t="s">
        <v>4594</v>
      </c>
      <c r="B5193" t="s">
        <v>4594</v>
      </c>
      <c r="C5193" s="424" t="str">
        <f t="shared" si="217"/>
        <v>Rodolezíria - Transportes Rodoviários de Passageiros, Unipessoal LDA.</v>
      </c>
      <c r="D5193" t="s">
        <v>629</v>
      </c>
      <c r="F5193" s="422" t="s">
        <v>620</v>
      </c>
      <c r="G5193" s="89" t="s">
        <v>2222</v>
      </c>
      <c r="H5193" s="313" t="s">
        <v>732</v>
      </c>
      <c r="I5193" s="311" t="str">
        <f t="shared" si="215"/>
        <v>Pesado de Passageiros M3:  : Gasóleo : E3</v>
      </c>
      <c r="J5193">
        <v>81</v>
      </c>
      <c r="K5193" s="422">
        <v>2023</v>
      </c>
      <c r="L5193" s="427">
        <v>22868.190000000002</v>
      </c>
      <c r="M5193" s="427" t="s">
        <v>630</v>
      </c>
      <c r="N5193" s="434">
        <v>28603</v>
      </c>
      <c r="O5193" s="436">
        <f t="shared" si="216"/>
        <v>2316843</v>
      </c>
      <c r="P5193" s="89" t="s">
        <v>5740</v>
      </c>
      <c r="Q5193" s="422" t="s">
        <v>47</v>
      </c>
      <c r="R5193" s="422" t="s">
        <v>1869</v>
      </c>
      <c r="S5193" s="422" t="s">
        <v>1861</v>
      </c>
      <c r="U5193" s="422" t="s">
        <v>1953</v>
      </c>
      <c r="V5193" s="422" t="s">
        <v>2813</v>
      </c>
    </row>
    <row r="5194" spans="1:22" ht="15.75" thickBot="1" x14ac:dyDescent="0.3">
      <c r="A5194" t="s">
        <v>4594</v>
      </c>
      <c r="B5194" t="s">
        <v>4594</v>
      </c>
      <c r="C5194" s="424" t="str">
        <f t="shared" si="217"/>
        <v>Rodolezíria - Transportes Rodoviários de Passageiros, Unipessoal LDA.</v>
      </c>
      <c r="D5194" t="s">
        <v>629</v>
      </c>
      <c r="F5194" s="422" t="s">
        <v>620</v>
      </c>
      <c r="G5194" s="89" t="s">
        <v>2222</v>
      </c>
      <c r="H5194" s="313" t="s">
        <v>732</v>
      </c>
      <c r="I5194" s="311" t="str">
        <f t="shared" si="215"/>
        <v>Pesado de Passageiros M3:  : Gasóleo : E3</v>
      </c>
      <c r="J5194">
        <v>81</v>
      </c>
      <c r="K5194" s="422">
        <v>2023</v>
      </c>
      <c r="L5194" s="427">
        <v>29937.24</v>
      </c>
      <c r="M5194" s="427" t="s">
        <v>630</v>
      </c>
      <c r="N5194" s="434">
        <v>39046</v>
      </c>
      <c r="O5194" s="436">
        <f t="shared" si="216"/>
        <v>3162726</v>
      </c>
      <c r="P5194" s="89" t="s">
        <v>5741</v>
      </c>
      <c r="Q5194" s="422" t="s">
        <v>47</v>
      </c>
      <c r="R5194" s="422" t="s">
        <v>1869</v>
      </c>
      <c r="S5194" s="422" t="s">
        <v>1861</v>
      </c>
      <c r="U5194" s="422" t="s">
        <v>1953</v>
      </c>
      <c r="V5194" s="422" t="s">
        <v>2813</v>
      </c>
    </row>
    <row r="5195" spans="1:22" ht="15.75" thickBot="1" x14ac:dyDescent="0.3">
      <c r="A5195" t="s">
        <v>4594</v>
      </c>
      <c r="B5195" t="s">
        <v>4594</v>
      </c>
      <c r="C5195" s="424" t="str">
        <f t="shared" si="217"/>
        <v>Rodolezíria - Transportes Rodoviários de Passageiros, Unipessoal LDA.</v>
      </c>
      <c r="D5195" t="s">
        <v>629</v>
      </c>
      <c r="F5195" s="422" t="s">
        <v>620</v>
      </c>
      <c r="G5195" s="89" t="s">
        <v>2222</v>
      </c>
      <c r="H5195" s="313" t="s">
        <v>732</v>
      </c>
      <c r="I5195" s="311" t="str">
        <f t="shared" si="215"/>
        <v>Pesado de Passageiros M3:  : Gasóleo : E3</v>
      </c>
      <c r="J5195">
        <v>81</v>
      </c>
      <c r="K5195" s="422">
        <v>2023</v>
      </c>
      <c r="L5195" s="427">
        <v>19753.489999999998</v>
      </c>
      <c r="M5195" s="427" t="s">
        <v>630</v>
      </c>
      <c r="N5195" s="434">
        <v>27344</v>
      </c>
      <c r="O5195" s="436">
        <f t="shared" si="216"/>
        <v>2214864</v>
      </c>
      <c r="P5195" s="89" t="s">
        <v>5742</v>
      </c>
      <c r="Q5195" s="422" t="s">
        <v>47</v>
      </c>
      <c r="R5195" s="422" t="s">
        <v>1869</v>
      </c>
      <c r="S5195" s="422" t="s">
        <v>1861</v>
      </c>
      <c r="U5195" s="422" t="s">
        <v>1953</v>
      </c>
      <c r="V5195" s="422" t="s">
        <v>2813</v>
      </c>
    </row>
    <row r="5196" spans="1:22" ht="15.75" thickBot="1" x14ac:dyDescent="0.3">
      <c r="A5196" t="s">
        <v>4594</v>
      </c>
      <c r="B5196" t="s">
        <v>4594</v>
      </c>
      <c r="C5196" s="424" t="str">
        <f t="shared" si="217"/>
        <v>Rodolezíria - Transportes Rodoviários de Passageiros, Unipessoal LDA.</v>
      </c>
      <c r="D5196" t="s">
        <v>629</v>
      </c>
      <c r="F5196" s="422" t="s">
        <v>620</v>
      </c>
      <c r="G5196" s="89" t="s">
        <v>2222</v>
      </c>
      <c r="H5196" s="313" t="s">
        <v>732</v>
      </c>
      <c r="I5196" s="311" t="str">
        <f t="shared" si="215"/>
        <v>Pesado de Passageiros M3:  : Gasóleo : E3</v>
      </c>
      <c r="J5196">
        <v>81</v>
      </c>
      <c r="K5196" s="422">
        <v>2023</v>
      </c>
      <c r="L5196" s="427">
        <v>18606.39</v>
      </c>
      <c r="M5196" s="427" t="s">
        <v>630</v>
      </c>
      <c r="N5196" s="434">
        <v>21424</v>
      </c>
      <c r="O5196" s="436">
        <f t="shared" si="216"/>
        <v>1735344</v>
      </c>
      <c r="P5196" s="89" t="s">
        <v>5743</v>
      </c>
      <c r="Q5196" s="422" t="s">
        <v>47</v>
      </c>
      <c r="R5196" s="422" t="s">
        <v>1869</v>
      </c>
      <c r="S5196" s="422" t="s">
        <v>1861</v>
      </c>
      <c r="U5196" s="422" t="s">
        <v>1953</v>
      </c>
      <c r="V5196" s="422" t="s">
        <v>2813</v>
      </c>
    </row>
    <row r="5197" spans="1:22" ht="15.75" thickBot="1" x14ac:dyDescent="0.3">
      <c r="A5197" t="s">
        <v>4594</v>
      </c>
      <c r="B5197" t="s">
        <v>4594</v>
      </c>
      <c r="C5197" s="424" t="str">
        <f t="shared" si="217"/>
        <v>Rodolezíria - Transportes Rodoviários de Passageiros, Unipessoal LDA.</v>
      </c>
      <c r="D5197" t="s">
        <v>629</v>
      </c>
      <c r="F5197" s="422" t="s">
        <v>620</v>
      </c>
      <c r="G5197" s="89" t="s">
        <v>2222</v>
      </c>
      <c r="H5197" s="313" t="s">
        <v>732</v>
      </c>
      <c r="I5197" s="311" t="str">
        <f t="shared" si="215"/>
        <v>Pesado de Passageiros M3:  : Gasóleo : E3</v>
      </c>
      <c r="J5197">
        <v>81</v>
      </c>
      <c r="K5197" s="422">
        <v>2023</v>
      </c>
      <c r="L5197" s="427">
        <v>13820.13</v>
      </c>
      <c r="M5197" s="427" t="s">
        <v>630</v>
      </c>
      <c r="N5197" s="434">
        <v>15807</v>
      </c>
      <c r="O5197" s="436">
        <f t="shared" si="216"/>
        <v>1280367</v>
      </c>
      <c r="P5197" s="89" t="s">
        <v>5744</v>
      </c>
      <c r="Q5197" s="422" t="s">
        <v>47</v>
      </c>
      <c r="R5197" s="422" t="s">
        <v>1869</v>
      </c>
      <c r="S5197" s="422" t="s">
        <v>1861</v>
      </c>
      <c r="U5197" s="422" t="s">
        <v>1953</v>
      </c>
      <c r="V5197" s="422" t="s">
        <v>2813</v>
      </c>
    </row>
    <row r="5198" spans="1:22" ht="15.75" thickBot="1" x14ac:dyDescent="0.3">
      <c r="A5198" t="s">
        <v>4594</v>
      </c>
      <c r="B5198" t="s">
        <v>4594</v>
      </c>
      <c r="C5198" s="424" t="str">
        <f t="shared" si="217"/>
        <v>Rodolezíria - Transportes Rodoviários de Passageiros, Unipessoal LDA.</v>
      </c>
      <c r="D5198" t="s">
        <v>629</v>
      </c>
      <c r="F5198" s="422" t="s">
        <v>620</v>
      </c>
      <c r="G5198" s="89" t="s">
        <v>2223</v>
      </c>
      <c r="H5198" s="313" t="s">
        <v>734</v>
      </c>
      <c r="I5198" s="311" t="str">
        <f t="shared" si="215"/>
        <v>Pesado de Passageiros M3:  : Gasóleo : E5</v>
      </c>
      <c r="J5198">
        <v>89</v>
      </c>
      <c r="K5198" s="422">
        <v>2023</v>
      </c>
      <c r="L5198" s="427">
        <v>39417.300000000003</v>
      </c>
      <c r="M5198" s="427" t="s">
        <v>630</v>
      </c>
      <c r="N5198" s="434">
        <v>98352</v>
      </c>
      <c r="O5198" s="436">
        <f t="shared" si="216"/>
        <v>8753328</v>
      </c>
      <c r="P5198" s="89" t="s">
        <v>5745</v>
      </c>
      <c r="Q5198" s="422" t="s">
        <v>47</v>
      </c>
      <c r="R5198" s="422" t="s">
        <v>1869</v>
      </c>
      <c r="S5198" s="422" t="s">
        <v>1861</v>
      </c>
      <c r="U5198" s="422" t="s">
        <v>1953</v>
      </c>
      <c r="V5198" s="422" t="s">
        <v>2813</v>
      </c>
    </row>
    <row r="5199" spans="1:22" ht="15.75" thickBot="1" x14ac:dyDescent="0.3">
      <c r="A5199" t="s">
        <v>4594</v>
      </c>
      <c r="B5199" t="s">
        <v>4594</v>
      </c>
      <c r="C5199" s="424" t="str">
        <f t="shared" si="217"/>
        <v>Rodolezíria - Transportes Rodoviários de Passageiros, Unipessoal LDA.</v>
      </c>
      <c r="D5199" t="s">
        <v>629</v>
      </c>
      <c r="F5199" s="422" t="s">
        <v>620</v>
      </c>
      <c r="G5199" s="89" t="s">
        <v>2223</v>
      </c>
      <c r="H5199" s="313" t="s">
        <v>734</v>
      </c>
      <c r="I5199" s="311" t="str">
        <f t="shared" si="215"/>
        <v>Pesado de Passageiros M3:  : Gasóleo : E5</v>
      </c>
      <c r="J5199">
        <v>70</v>
      </c>
      <c r="K5199" s="422">
        <v>2023</v>
      </c>
      <c r="L5199" s="427">
        <v>26105.53</v>
      </c>
      <c r="M5199" s="427" t="s">
        <v>630</v>
      </c>
      <c r="N5199" s="434">
        <v>43440</v>
      </c>
      <c r="O5199" s="436">
        <f t="shared" si="216"/>
        <v>3040800</v>
      </c>
      <c r="P5199" s="89" t="s">
        <v>5746</v>
      </c>
      <c r="Q5199" s="422" t="s">
        <v>47</v>
      </c>
      <c r="R5199" s="422" t="s">
        <v>1869</v>
      </c>
      <c r="S5199" s="422" t="s">
        <v>1861</v>
      </c>
      <c r="U5199" s="422" t="s">
        <v>1953</v>
      </c>
      <c r="V5199" s="422" t="s">
        <v>2813</v>
      </c>
    </row>
    <row r="5200" spans="1:22" ht="15.75" thickBot="1" x14ac:dyDescent="0.3">
      <c r="A5200" t="s">
        <v>4594</v>
      </c>
      <c r="B5200" t="s">
        <v>4594</v>
      </c>
      <c r="C5200" s="424" t="str">
        <f t="shared" si="217"/>
        <v>Rodolezíria - Transportes Rodoviários de Passageiros, Unipessoal LDA.</v>
      </c>
      <c r="D5200" t="s">
        <v>629</v>
      </c>
      <c r="F5200" s="422" t="s">
        <v>620</v>
      </c>
      <c r="G5200" s="89" t="s">
        <v>2212</v>
      </c>
      <c r="H5200" s="313" t="s">
        <v>734</v>
      </c>
      <c r="I5200" s="311" t="str">
        <f t="shared" si="215"/>
        <v>Pesado de Passageiros M3:  : Gasóleo : E5</v>
      </c>
      <c r="J5200">
        <v>71</v>
      </c>
      <c r="K5200" s="422">
        <v>2023</v>
      </c>
      <c r="L5200" s="427">
        <v>29337.420000000002</v>
      </c>
      <c r="M5200" s="427" t="s">
        <v>630</v>
      </c>
      <c r="N5200" s="434">
        <v>50944</v>
      </c>
      <c r="O5200" s="436">
        <f t="shared" si="216"/>
        <v>3617024</v>
      </c>
      <c r="P5200" s="89" t="s">
        <v>5747</v>
      </c>
      <c r="Q5200" s="422" t="s">
        <v>47</v>
      </c>
      <c r="R5200" s="422" t="s">
        <v>1869</v>
      </c>
      <c r="S5200" s="422" t="s">
        <v>1861</v>
      </c>
      <c r="U5200" s="422" t="s">
        <v>1953</v>
      </c>
      <c r="V5200" s="422" t="s">
        <v>2813</v>
      </c>
    </row>
    <row r="5201" spans="1:22" ht="15.75" thickBot="1" x14ac:dyDescent="0.3">
      <c r="A5201" t="s">
        <v>4594</v>
      </c>
      <c r="B5201" t="s">
        <v>4594</v>
      </c>
      <c r="C5201" s="424" t="str">
        <f t="shared" si="217"/>
        <v>Rodolezíria - Transportes Rodoviários de Passageiros, Unipessoal LDA.</v>
      </c>
      <c r="D5201" t="s">
        <v>629</v>
      </c>
      <c r="F5201" s="422" t="s">
        <v>620</v>
      </c>
      <c r="G5201" s="89" t="s">
        <v>2205</v>
      </c>
      <c r="H5201" s="313" t="s">
        <v>734</v>
      </c>
      <c r="I5201" s="311" t="str">
        <f t="shared" si="215"/>
        <v>Pesado de Passageiros M3:  : Gasóleo : E5</v>
      </c>
      <c r="J5201">
        <v>72</v>
      </c>
      <c r="K5201" s="422">
        <v>2023</v>
      </c>
      <c r="L5201" s="427">
        <v>28067.579999999998</v>
      </c>
      <c r="M5201" s="427" t="s">
        <v>630</v>
      </c>
      <c r="N5201" s="434">
        <v>46866</v>
      </c>
      <c r="O5201" s="436">
        <f t="shared" si="216"/>
        <v>3374352</v>
      </c>
      <c r="P5201" s="89" t="s">
        <v>5748</v>
      </c>
      <c r="Q5201" s="422" t="s">
        <v>47</v>
      </c>
      <c r="R5201" s="422" t="s">
        <v>1869</v>
      </c>
      <c r="S5201" s="422" t="s">
        <v>1861</v>
      </c>
      <c r="U5201" s="422" t="s">
        <v>1953</v>
      </c>
      <c r="V5201" s="422" t="s">
        <v>2813</v>
      </c>
    </row>
    <row r="5202" spans="1:22" ht="15.75" thickBot="1" x14ac:dyDescent="0.3">
      <c r="A5202" t="s">
        <v>4594</v>
      </c>
      <c r="B5202" t="s">
        <v>4594</v>
      </c>
      <c r="C5202" s="424" t="str">
        <f t="shared" si="217"/>
        <v>Rodolezíria - Transportes Rodoviários de Passageiros, Unipessoal LDA.</v>
      </c>
      <c r="D5202" t="s">
        <v>629</v>
      </c>
      <c r="F5202" s="422" t="s">
        <v>620</v>
      </c>
      <c r="G5202" s="89" t="s">
        <v>2205</v>
      </c>
      <c r="H5202" s="313" t="s">
        <v>734</v>
      </c>
      <c r="I5202" s="311" t="str">
        <f t="shared" si="215"/>
        <v>Pesado de Passageiros M3:  : Gasóleo : E5</v>
      </c>
      <c r="J5202">
        <v>73</v>
      </c>
      <c r="K5202" s="422">
        <v>2023</v>
      </c>
      <c r="L5202" s="427">
        <v>36345.18</v>
      </c>
      <c r="M5202" s="427" t="s">
        <v>630</v>
      </c>
      <c r="N5202" s="434">
        <v>58557</v>
      </c>
      <c r="O5202" s="436">
        <f t="shared" si="216"/>
        <v>4274661</v>
      </c>
      <c r="P5202" s="89" t="s">
        <v>5749</v>
      </c>
      <c r="Q5202" s="422" t="s">
        <v>47</v>
      </c>
      <c r="R5202" s="422" t="s">
        <v>1869</v>
      </c>
      <c r="S5202" s="422" t="s">
        <v>1861</v>
      </c>
      <c r="U5202" s="422" t="s">
        <v>1953</v>
      </c>
      <c r="V5202" s="422" t="s">
        <v>2813</v>
      </c>
    </row>
    <row r="5203" spans="1:22" ht="15.75" thickBot="1" x14ac:dyDescent="0.3">
      <c r="A5203" t="s">
        <v>4594</v>
      </c>
      <c r="B5203" t="s">
        <v>4594</v>
      </c>
      <c r="C5203" s="424" t="str">
        <f t="shared" si="217"/>
        <v>Rodolezíria - Transportes Rodoviários de Passageiros, Unipessoal LDA.</v>
      </c>
      <c r="D5203" t="s">
        <v>629</v>
      </c>
      <c r="F5203" s="422" t="s">
        <v>620</v>
      </c>
      <c r="G5203" s="89" t="s">
        <v>2223</v>
      </c>
      <c r="H5203" s="313" t="s">
        <v>734</v>
      </c>
      <c r="I5203" s="311" t="str">
        <f t="shared" si="215"/>
        <v>Pesado de Passageiros M3:  : Gasóleo : E5</v>
      </c>
      <c r="J5203">
        <v>57</v>
      </c>
      <c r="K5203" s="422">
        <v>2023</v>
      </c>
      <c r="L5203" s="427">
        <v>46397.3</v>
      </c>
      <c r="M5203" s="427" t="s">
        <v>630</v>
      </c>
      <c r="N5203" s="434">
        <v>80505</v>
      </c>
      <c r="O5203" s="436">
        <f t="shared" si="216"/>
        <v>4588785</v>
      </c>
      <c r="P5203" s="89" t="s">
        <v>5750</v>
      </c>
      <c r="Q5203" s="422" t="s">
        <v>47</v>
      </c>
      <c r="R5203" s="422" t="s">
        <v>1869</v>
      </c>
      <c r="S5203" s="422" t="s">
        <v>1861</v>
      </c>
      <c r="U5203" s="422" t="s">
        <v>1953</v>
      </c>
      <c r="V5203" s="422" t="s">
        <v>2813</v>
      </c>
    </row>
    <row r="5204" spans="1:22" ht="15.75" thickBot="1" x14ac:dyDescent="0.3">
      <c r="A5204" t="s">
        <v>4594</v>
      </c>
      <c r="B5204" t="s">
        <v>4594</v>
      </c>
      <c r="C5204" s="424" t="str">
        <f t="shared" si="217"/>
        <v>Rodolezíria - Transportes Rodoviários de Passageiros, Unipessoal LDA.</v>
      </c>
      <c r="D5204" t="s">
        <v>629</v>
      </c>
      <c r="F5204" s="422" t="s">
        <v>620</v>
      </c>
      <c r="G5204" s="89" t="s">
        <v>2212</v>
      </c>
      <c r="H5204" s="313" t="s">
        <v>734</v>
      </c>
      <c r="I5204" s="311" t="str">
        <f t="shared" si="215"/>
        <v>Pesado de Passageiros M3:  : Gasóleo : E5</v>
      </c>
      <c r="J5204">
        <v>63</v>
      </c>
      <c r="K5204" s="422">
        <v>2023</v>
      </c>
      <c r="L5204" s="427">
        <v>51545.61</v>
      </c>
      <c r="M5204" s="427" t="s">
        <v>630</v>
      </c>
      <c r="N5204" s="434">
        <v>129120</v>
      </c>
      <c r="O5204" s="436">
        <f t="shared" si="216"/>
        <v>8134560</v>
      </c>
      <c r="P5204" s="89" t="s">
        <v>5751</v>
      </c>
      <c r="Q5204" s="422" t="s">
        <v>47</v>
      </c>
      <c r="R5204" s="422" t="s">
        <v>1869</v>
      </c>
      <c r="S5204" s="422" t="s">
        <v>1861</v>
      </c>
      <c r="U5204" s="422" t="s">
        <v>1953</v>
      </c>
      <c r="V5204" s="422" t="s">
        <v>2813</v>
      </c>
    </row>
    <row r="5205" spans="1:22" ht="15.75" thickBot="1" x14ac:dyDescent="0.3">
      <c r="A5205" t="s">
        <v>4594</v>
      </c>
      <c r="B5205" t="s">
        <v>4594</v>
      </c>
      <c r="C5205" s="424" t="str">
        <f t="shared" si="217"/>
        <v>Rodolezíria - Transportes Rodoviários de Passageiros, Unipessoal LDA.</v>
      </c>
      <c r="D5205" t="s">
        <v>629</v>
      </c>
      <c r="F5205" s="422" t="s">
        <v>620</v>
      </c>
      <c r="G5205" s="89" t="s">
        <v>2205</v>
      </c>
      <c r="H5205" s="313" t="s">
        <v>731</v>
      </c>
      <c r="I5205" s="311" t="str">
        <f t="shared" si="215"/>
        <v>Pesado de Passageiros M3:  : Gasóleo : E4</v>
      </c>
      <c r="J5205">
        <v>28</v>
      </c>
      <c r="K5205" s="422">
        <v>2023</v>
      </c>
      <c r="L5205" s="427">
        <v>9163.42</v>
      </c>
      <c r="M5205" s="427" t="s">
        <v>630</v>
      </c>
      <c r="N5205" s="434">
        <v>34638</v>
      </c>
      <c r="O5205" s="436">
        <f t="shared" si="216"/>
        <v>969864</v>
      </c>
      <c r="P5205" s="89" t="s">
        <v>5752</v>
      </c>
      <c r="Q5205" s="422" t="s">
        <v>47</v>
      </c>
      <c r="R5205" s="422" t="s">
        <v>1869</v>
      </c>
      <c r="S5205" s="422" t="s">
        <v>1861</v>
      </c>
      <c r="U5205" s="422" t="s">
        <v>1953</v>
      </c>
      <c r="V5205" s="422" t="s">
        <v>2813</v>
      </c>
    </row>
    <row r="5206" spans="1:22" ht="15.75" thickBot="1" x14ac:dyDescent="0.3">
      <c r="A5206" t="s">
        <v>4594</v>
      </c>
      <c r="B5206" t="s">
        <v>4594</v>
      </c>
      <c r="C5206" s="424" t="str">
        <f t="shared" si="217"/>
        <v>Rodolezíria - Transportes Rodoviários de Passageiros, Unipessoal LDA.</v>
      </c>
      <c r="D5206" t="s">
        <v>1919</v>
      </c>
      <c r="F5206" s="422" t="s">
        <v>620</v>
      </c>
      <c r="G5206" s="89" t="s">
        <v>2204</v>
      </c>
      <c r="H5206" s="313" t="s">
        <v>731</v>
      </c>
      <c r="I5206" s="311" t="str">
        <f t="shared" si="215"/>
        <v>Pesado de Passageiros M2:  : Gasóleo : E4</v>
      </c>
      <c r="J5206">
        <v>21</v>
      </c>
      <c r="K5206" s="422">
        <v>2023</v>
      </c>
      <c r="L5206" s="427">
        <v>6375.29</v>
      </c>
      <c r="M5206" s="427" t="s">
        <v>630</v>
      </c>
      <c r="N5206" s="434">
        <v>19349</v>
      </c>
      <c r="O5206" s="436">
        <f t="shared" si="216"/>
        <v>406329</v>
      </c>
      <c r="P5206" s="89" t="s">
        <v>5753</v>
      </c>
      <c r="Q5206" s="422" t="s">
        <v>47</v>
      </c>
      <c r="R5206" s="422" t="s">
        <v>1869</v>
      </c>
      <c r="S5206" s="422" t="s">
        <v>1861</v>
      </c>
      <c r="U5206" s="422" t="s">
        <v>1953</v>
      </c>
      <c r="V5206" s="422" t="s">
        <v>2813</v>
      </c>
    </row>
    <row r="5207" spans="1:22" ht="15.75" thickBot="1" x14ac:dyDescent="0.3">
      <c r="A5207" t="s">
        <v>4594</v>
      </c>
      <c r="B5207" t="s">
        <v>4594</v>
      </c>
      <c r="C5207" s="424" t="str">
        <f t="shared" si="217"/>
        <v>Rodolezíria - Transportes Rodoviários de Passageiros, Unipessoal LDA.</v>
      </c>
      <c r="D5207" t="s">
        <v>1919</v>
      </c>
      <c r="F5207" s="422" t="s">
        <v>620</v>
      </c>
      <c r="G5207" s="89" t="s">
        <v>2204</v>
      </c>
      <c r="H5207" s="313" t="s">
        <v>731</v>
      </c>
      <c r="I5207" s="311" t="str">
        <f t="shared" si="215"/>
        <v>Pesado de Passageiros M2:  : Gasóleo : E4</v>
      </c>
      <c r="J5207">
        <v>21</v>
      </c>
      <c r="K5207" s="422">
        <v>2023</v>
      </c>
      <c r="L5207" s="427">
        <v>9534.26</v>
      </c>
      <c r="M5207" s="427" t="s">
        <v>630</v>
      </c>
      <c r="N5207" s="434">
        <v>29404</v>
      </c>
      <c r="O5207" s="436">
        <f t="shared" si="216"/>
        <v>617484</v>
      </c>
      <c r="P5207" s="89" t="s">
        <v>5754</v>
      </c>
      <c r="Q5207" s="422" t="s">
        <v>47</v>
      </c>
      <c r="R5207" s="422" t="s">
        <v>1869</v>
      </c>
      <c r="S5207" s="422" t="s">
        <v>1861</v>
      </c>
      <c r="U5207" s="422" t="s">
        <v>1953</v>
      </c>
      <c r="V5207" s="422" t="s">
        <v>2813</v>
      </c>
    </row>
    <row r="5208" spans="1:22" ht="15.75" thickBot="1" x14ac:dyDescent="0.3">
      <c r="A5208" t="s">
        <v>4594</v>
      </c>
      <c r="B5208" t="s">
        <v>4594</v>
      </c>
      <c r="C5208" s="424" t="str">
        <f t="shared" si="217"/>
        <v>Rodolezíria - Transportes Rodoviários de Passageiros, Unipessoal LDA.</v>
      </c>
      <c r="D5208" t="s">
        <v>1919</v>
      </c>
      <c r="F5208" s="422" t="s">
        <v>620</v>
      </c>
      <c r="G5208" s="89" t="s">
        <v>2227</v>
      </c>
      <c r="H5208" s="313" t="s">
        <v>733</v>
      </c>
      <c r="I5208" s="311" t="str">
        <f t="shared" si="215"/>
        <v>Pesado de Passageiros M2:  : Gasóleo : E6</v>
      </c>
      <c r="J5208">
        <v>16</v>
      </c>
      <c r="K5208" s="422">
        <v>2023</v>
      </c>
      <c r="L5208" s="427">
        <v>4960.87</v>
      </c>
      <c r="M5208" s="427" t="s">
        <v>630</v>
      </c>
      <c r="N5208" s="434">
        <v>30802</v>
      </c>
      <c r="O5208" s="436">
        <f t="shared" si="216"/>
        <v>492832</v>
      </c>
      <c r="P5208" s="89" t="s">
        <v>5755</v>
      </c>
      <c r="Q5208" s="422" t="s">
        <v>47</v>
      </c>
      <c r="R5208" s="422" t="s">
        <v>1869</v>
      </c>
      <c r="S5208" s="422" t="s">
        <v>1861</v>
      </c>
      <c r="U5208" s="422" t="s">
        <v>1953</v>
      </c>
      <c r="V5208" s="422" t="s">
        <v>2813</v>
      </c>
    </row>
    <row r="5209" spans="1:22" ht="15.75" thickBot="1" x14ac:dyDescent="0.3">
      <c r="A5209" t="s">
        <v>2868</v>
      </c>
      <c r="B5209" t="s">
        <v>2868</v>
      </c>
      <c r="C5209" s="424" t="str">
        <f t="shared" si="217"/>
        <v>Rodoviária do Tejo</v>
      </c>
      <c r="D5209" t="s">
        <v>1919</v>
      </c>
      <c r="F5209" s="422" t="s">
        <v>620</v>
      </c>
      <c r="G5209" s="89" t="s">
        <v>2205</v>
      </c>
      <c r="H5209" s="313" t="s">
        <v>734</v>
      </c>
      <c r="I5209" s="311" t="str">
        <f t="shared" si="215"/>
        <v>Pesado de Passageiros M2:  : Gasóleo : E5</v>
      </c>
      <c r="J5209">
        <v>19</v>
      </c>
      <c r="K5209" s="422">
        <v>2023</v>
      </c>
      <c r="L5209" s="427">
        <v>3118.1</v>
      </c>
      <c r="M5209" s="427" t="s">
        <v>630</v>
      </c>
      <c r="N5209" s="434">
        <v>21249</v>
      </c>
      <c r="O5209" s="436">
        <f t="shared" si="216"/>
        <v>403731</v>
      </c>
      <c r="P5209" s="89" t="s">
        <v>5756</v>
      </c>
      <c r="Q5209" s="422" t="s">
        <v>47</v>
      </c>
      <c r="R5209" s="422" t="s">
        <v>1869</v>
      </c>
      <c r="S5209" s="422" t="s">
        <v>1861</v>
      </c>
      <c r="U5209" s="422" t="s">
        <v>1953</v>
      </c>
      <c r="V5209" s="422" t="s">
        <v>2813</v>
      </c>
    </row>
    <row r="5210" spans="1:22" ht="15.75" thickBot="1" x14ac:dyDescent="0.3">
      <c r="A5210" t="s">
        <v>2868</v>
      </c>
      <c r="B5210" t="s">
        <v>2868</v>
      </c>
      <c r="C5210" s="424" t="str">
        <f t="shared" si="217"/>
        <v>Rodoviária do Tejo</v>
      </c>
      <c r="D5210" t="s">
        <v>1919</v>
      </c>
      <c r="F5210" s="422" t="s">
        <v>620</v>
      </c>
      <c r="G5210" s="89" t="s">
        <v>2205</v>
      </c>
      <c r="H5210" s="313" t="s">
        <v>731</v>
      </c>
      <c r="I5210" s="311" t="str">
        <f t="shared" si="215"/>
        <v>Pesado de Passageiros M2:  : Gasóleo : E4</v>
      </c>
      <c r="J5210">
        <v>17</v>
      </c>
      <c r="K5210" s="422">
        <v>2023</v>
      </c>
      <c r="L5210" s="427">
        <v>8525.86</v>
      </c>
      <c r="M5210" s="427" t="s">
        <v>630</v>
      </c>
      <c r="N5210" s="434">
        <v>44031</v>
      </c>
      <c r="O5210" s="436">
        <f t="shared" si="216"/>
        <v>748527</v>
      </c>
      <c r="P5210" s="89" t="s">
        <v>5757</v>
      </c>
      <c r="Q5210" s="422" t="s">
        <v>47</v>
      </c>
      <c r="R5210" s="422" t="s">
        <v>1869</v>
      </c>
      <c r="S5210" s="422" t="s">
        <v>1861</v>
      </c>
      <c r="U5210" s="422" t="s">
        <v>1953</v>
      </c>
      <c r="V5210" s="422" t="s">
        <v>2813</v>
      </c>
    </row>
    <row r="5211" spans="1:22" ht="15.75" thickBot="1" x14ac:dyDescent="0.3">
      <c r="A5211" t="s">
        <v>2868</v>
      </c>
      <c r="B5211" t="s">
        <v>2868</v>
      </c>
      <c r="C5211" s="424" t="str">
        <f t="shared" si="217"/>
        <v>Rodoviária do Tejo</v>
      </c>
      <c r="D5211" t="s">
        <v>1919</v>
      </c>
      <c r="F5211" s="422" t="s">
        <v>620</v>
      </c>
      <c r="G5211" s="89" t="s">
        <v>2205</v>
      </c>
      <c r="H5211" s="313" t="s">
        <v>731</v>
      </c>
      <c r="I5211" s="311" t="str">
        <f t="shared" si="215"/>
        <v>Pesado de Passageiros M2:  : Gasóleo : E4</v>
      </c>
      <c r="J5211">
        <v>17</v>
      </c>
      <c r="K5211" s="422">
        <v>2023</v>
      </c>
      <c r="L5211" s="427">
        <v>8232.5499999999993</v>
      </c>
      <c r="M5211" s="427" t="s">
        <v>630</v>
      </c>
      <c r="N5211" s="434">
        <v>36818</v>
      </c>
      <c r="O5211" s="436">
        <f t="shared" si="216"/>
        <v>625906</v>
      </c>
      <c r="P5211" s="89" t="s">
        <v>5758</v>
      </c>
      <c r="Q5211" s="422" t="s">
        <v>47</v>
      </c>
      <c r="R5211" s="422" t="s">
        <v>1869</v>
      </c>
      <c r="S5211" s="422" t="s">
        <v>1861</v>
      </c>
      <c r="U5211" s="422" t="s">
        <v>1953</v>
      </c>
      <c r="V5211" s="422" t="s">
        <v>2813</v>
      </c>
    </row>
    <row r="5212" spans="1:22" ht="15.75" thickBot="1" x14ac:dyDescent="0.3">
      <c r="A5212" t="s">
        <v>2868</v>
      </c>
      <c r="B5212" t="s">
        <v>2868</v>
      </c>
      <c r="C5212" s="424" t="str">
        <f t="shared" si="217"/>
        <v>Rodoviária do Tejo</v>
      </c>
      <c r="D5212" t="s">
        <v>1919</v>
      </c>
      <c r="F5212" s="422" t="s">
        <v>620</v>
      </c>
      <c r="G5212" s="89" t="s">
        <v>2212</v>
      </c>
      <c r="H5212" s="313" t="s">
        <v>731</v>
      </c>
      <c r="I5212" s="311" t="str">
        <f t="shared" si="215"/>
        <v>Pesado de Passageiros M2:  : Gasóleo : E4</v>
      </c>
      <c r="J5212">
        <v>21</v>
      </c>
      <c r="K5212" s="422">
        <v>2023</v>
      </c>
      <c r="L5212" s="427">
        <v>3488.4500000000003</v>
      </c>
      <c r="M5212" s="427" t="s">
        <v>630</v>
      </c>
      <c r="N5212" s="434">
        <v>19296</v>
      </c>
      <c r="O5212" s="436">
        <f t="shared" si="216"/>
        <v>405216</v>
      </c>
      <c r="P5212" s="89" t="s">
        <v>5759</v>
      </c>
      <c r="Q5212" s="422" t="s">
        <v>47</v>
      </c>
      <c r="R5212" s="422" t="s">
        <v>1869</v>
      </c>
      <c r="S5212" s="422" t="s">
        <v>1861</v>
      </c>
      <c r="U5212" s="422" t="s">
        <v>1953</v>
      </c>
      <c r="V5212" s="422" t="s">
        <v>2813</v>
      </c>
    </row>
    <row r="5213" spans="1:22" ht="15.75" thickBot="1" x14ac:dyDescent="0.3">
      <c r="A5213" t="s">
        <v>2868</v>
      </c>
      <c r="B5213" t="s">
        <v>2868</v>
      </c>
      <c r="C5213" s="424" t="str">
        <f t="shared" si="217"/>
        <v>Rodoviária do Tejo</v>
      </c>
      <c r="D5213" t="s">
        <v>1919</v>
      </c>
      <c r="F5213" s="422" t="s">
        <v>620</v>
      </c>
      <c r="G5213" s="89" t="s">
        <v>2212</v>
      </c>
      <c r="H5213" s="313" t="s">
        <v>731</v>
      </c>
      <c r="I5213" s="311" t="str">
        <f t="shared" si="215"/>
        <v>Pesado de Passageiros M2:  : Gasóleo : E4</v>
      </c>
      <c r="J5213">
        <v>21</v>
      </c>
      <c r="K5213" s="422">
        <v>2023</v>
      </c>
      <c r="L5213" s="427">
        <v>2721.3900000000003</v>
      </c>
      <c r="M5213" s="427" t="s">
        <v>630</v>
      </c>
      <c r="N5213" s="434">
        <v>13563</v>
      </c>
      <c r="O5213" s="436">
        <f t="shared" si="216"/>
        <v>284823</v>
      </c>
      <c r="P5213" s="89" t="s">
        <v>5760</v>
      </c>
      <c r="Q5213" s="422" t="s">
        <v>47</v>
      </c>
      <c r="R5213" s="422" t="s">
        <v>1869</v>
      </c>
      <c r="S5213" s="422" t="s">
        <v>1861</v>
      </c>
      <c r="U5213" s="422" t="s">
        <v>1953</v>
      </c>
      <c r="V5213" s="422" t="s">
        <v>2813</v>
      </c>
    </row>
    <row r="5214" spans="1:22" ht="15.75" thickBot="1" x14ac:dyDescent="0.3">
      <c r="A5214" t="s">
        <v>2868</v>
      </c>
      <c r="B5214" t="s">
        <v>2868</v>
      </c>
      <c r="C5214" s="424" t="str">
        <f t="shared" si="217"/>
        <v>Rodoviária do Tejo</v>
      </c>
      <c r="D5214" t="s">
        <v>629</v>
      </c>
      <c r="F5214" s="422" t="s">
        <v>620</v>
      </c>
      <c r="G5214" s="89" t="s">
        <v>2202</v>
      </c>
      <c r="H5214" s="313" t="s">
        <v>733</v>
      </c>
      <c r="I5214" s="311" t="str">
        <f t="shared" si="215"/>
        <v>Pesado de Passageiros M3:  : Gasóleo : E6</v>
      </c>
      <c r="J5214">
        <v>53</v>
      </c>
      <c r="K5214" s="422">
        <v>2023</v>
      </c>
      <c r="L5214" s="427">
        <v>35156.69</v>
      </c>
      <c r="M5214" s="427" t="s">
        <v>630</v>
      </c>
      <c r="N5214" s="434">
        <v>129561</v>
      </c>
      <c r="O5214" s="436">
        <f t="shared" si="216"/>
        <v>6866733</v>
      </c>
      <c r="P5214" s="89" t="s">
        <v>5761</v>
      </c>
      <c r="Q5214" s="422" t="s">
        <v>47</v>
      </c>
      <c r="R5214" s="422" t="s">
        <v>1869</v>
      </c>
      <c r="S5214" s="422" t="s">
        <v>1861</v>
      </c>
      <c r="U5214" s="422" t="s">
        <v>1953</v>
      </c>
      <c r="V5214" s="422" t="s">
        <v>2813</v>
      </c>
    </row>
    <row r="5215" spans="1:22" ht="15.75" thickBot="1" x14ac:dyDescent="0.3">
      <c r="A5215" t="s">
        <v>2868</v>
      </c>
      <c r="B5215" t="s">
        <v>2868</v>
      </c>
      <c r="C5215" s="424" t="str">
        <f t="shared" si="217"/>
        <v>Rodoviária do Tejo</v>
      </c>
      <c r="D5215" t="s">
        <v>629</v>
      </c>
      <c r="F5215" s="422" t="s">
        <v>620</v>
      </c>
      <c r="G5215" s="89" t="s">
        <v>2202</v>
      </c>
      <c r="H5215" s="313" t="s">
        <v>733</v>
      </c>
      <c r="I5215" s="311" t="str">
        <f t="shared" si="215"/>
        <v>Pesado de Passageiros M3:  : Gasóleo : E6</v>
      </c>
      <c r="J5215">
        <v>53</v>
      </c>
      <c r="K5215" s="422">
        <v>2023</v>
      </c>
      <c r="L5215" s="427">
        <v>22378.41</v>
      </c>
      <c r="M5215" s="427" t="s">
        <v>630</v>
      </c>
      <c r="N5215" s="434">
        <v>82477</v>
      </c>
      <c r="O5215" s="436">
        <f t="shared" si="216"/>
        <v>4371281</v>
      </c>
      <c r="P5215" s="89" t="s">
        <v>2629</v>
      </c>
      <c r="Q5215" s="422" t="s">
        <v>47</v>
      </c>
      <c r="R5215" s="422" t="s">
        <v>1869</v>
      </c>
      <c r="S5215" s="422" t="s">
        <v>1861</v>
      </c>
      <c r="U5215" s="422" t="s">
        <v>1953</v>
      </c>
      <c r="V5215" s="422" t="s">
        <v>2813</v>
      </c>
    </row>
    <row r="5216" spans="1:22" ht="15.75" thickBot="1" x14ac:dyDescent="0.3">
      <c r="A5216" t="s">
        <v>2868</v>
      </c>
      <c r="B5216" t="s">
        <v>2868</v>
      </c>
      <c r="C5216" s="424" t="str">
        <f t="shared" si="217"/>
        <v>Rodoviária do Tejo</v>
      </c>
      <c r="D5216" t="s">
        <v>629</v>
      </c>
      <c r="F5216" s="422" t="s">
        <v>620</v>
      </c>
      <c r="G5216" s="89" t="s">
        <v>2203</v>
      </c>
      <c r="H5216" s="313" t="s">
        <v>733</v>
      </c>
      <c r="I5216" s="311" t="str">
        <f t="shared" si="215"/>
        <v>Pesado de Passageiros M3:  : Gasóleo : E6</v>
      </c>
      <c r="J5216">
        <v>53</v>
      </c>
      <c r="K5216" s="422">
        <v>2023</v>
      </c>
      <c r="L5216" s="427">
        <v>51323.46</v>
      </c>
      <c r="M5216" s="427" t="s">
        <v>630</v>
      </c>
      <c r="N5216" s="434">
        <v>170286</v>
      </c>
      <c r="O5216" s="436">
        <f t="shared" si="216"/>
        <v>9025158</v>
      </c>
      <c r="P5216" s="89" t="s">
        <v>2630</v>
      </c>
      <c r="Q5216" s="422" t="s">
        <v>47</v>
      </c>
      <c r="R5216" s="422" t="s">
        <v>1869</v>
      </c>
      <c r="S5216" s="422" t="s">
        <v>1861</v>
      </c>
      <c r="U5216" s="422" t="s">
        <v>1953</v>
      </c>
      <c r="V5216" s="422" t="s">
        <v>2813</v>
      </c>
    </row>
    <row r="5217" spans="1:22" ht="15.75" thickBot="1" x14ac:dyDescent="0.3">
      <c r="A5217" t="s">
        <v>2868</v>
      </c>
      <c r="B5217" t="s">
        <v>2868</v>
      </c>
      <c r="C5217" s="424" t="str">
        <f t="shared" si="217"/>
        <v>Rodoviária do Tejo</v>
      </c>
      <c r="D5217" t="s">
        <v>1919</v>
      </c>
      <c r="F5217" s="422" t="s">
        <v>620</v>
      </c>
      <c r="G5217" s="89" t="s">
        <v>2202</v>
      </c>
      <c r="H5217" s="313" t="s">
        <v>733</v>
      </c>
      <c r="I5217" s="311" t="str">
        <f t="shared" si="215"/>
        <v>Pesado de Passageiros M2:  : Gasóleo : E6</v>
      </c>
      <c r="J5217">
        <v>19</v>
      </c>
      <c r="K5217" s="422">
        <v>2023</v>
      </c>
      <c r="L5217" s="427">
        <v>3787.75</v>
      </c>
      <c r="M5217" s="427" t="s">
        <v>630</v>
      </c>
      <c r="N5217" s="434">
        <v>22031</v>
      </c>
      <c r="O5217" s="436">
        <f t="shared" si="216"/>
        <v>418589</v>
      </c>
      <c r="P5217" s="89" t="s">
        <v>5762</v>
      </c>
      <c r="Q5217" s="422" t="s">
        <v>47</v>
      </c>
      <c r="R5217" s="422" t="s">
        <v>1869</v>
      </c>
      <c r="S5217" s="422" t="s">
        <v>1861</v>
      </c>
      <c r="U5217" s="422" t="s">
        <v>1953</v>
      </c>
      <c r="V5217" s="422" t="s">
        <v>2813</v>
      </c>
    </row>
    <row r="5218" spans="1:22" ht="15.75" thickBot="1" x14ac:dyDescent="0.3">
      <c r="A5218" t="s">
        <v>2868</v>
      </c>
      <c r="B5218" t="s">
        <v>2868</v>
      </c>
      <c r="C5218" s="424" t="str">
        <f t="shared" si="217"/>
        <v>Rodoviária do Tejo</v>
      </c>
      <c r="D5218" t="s">
        <v>629</v>
      </c>
      <c r="F5218" s="422" t="s">
        <v>620</v>
      </c>
      <c r="G5218" s="89" t="s">
        <v>2220</v>
      </c>
      <c r="H5218" s="313" t="s">
        <v>732</v>
      </c>
      <c r="I5218" s="311" t="str">
        <f t="shared" ref="I5218:I5281" si="218">D5218&amp;": "&amp;E5218&amp;" : "&amp;F5218&amp;" : "&amp;H5218</f>
        <v>Pesado de Passageiros M3:  : Gasóleo : E3</v>
      </c>
      <c r="J5218">
        <v>53</v>
      </c>
      <c r="K5218" s="422">
        <v>2023</v>
      </c>
      <c r="L5218" s="427">
        <v>11827.46</v>
      </c>
      <c r="M5218" s="427" t="s">
        <v>630</v>
      </c>
      <c r="N5218" s="434">
        <v>35647</v>
      </c>
      <c r="O5218" s="436">
        <f t="shared" ref="O5218:O5281" si="219">N5218*J5218</f>
        <v>1889291</v>
      </c>
      <c r="P5218" s="89" t="s">
        <v>5763</v>
      </c>
      <c r="Q5218" s="422" t="s">
        <v>47</v>
      </c>
      <c r="R5218" s="422" t="s">
        <v>1869</v>
      </c>
      <c r="S5218" s="422" t="s">
        <v>1861</v>
      </c>
      <c r="U5218" s="422" t="s">
        <v>1953</v>
      </c>
      <c r="V5218" s="422" t="s">
        <v>2813</v>
      </c>
    </row>
    <row r="5219" spans="1:22" ht="15.75" thickBot="1" x14ac:dyDescent="0.3">
      <c r="A5219" t="s">
        <v>2868</v>
      </c>
      <c r="B5219" t="s">
        <v>2868</v>
      </c>
      <c r="C5219" s="424" t="str">
        <f t="shared" si="217"/>
        <v>Rodoviária do Tejo</v>
      </c>
      <c r="D5219" t="s">
        <v>629</v>
      </c>
      <c r="F5219" s="422" t="s">
        <v>620</v>
      </c>
      <c r="G5219" s="89" t="s">
        <v>2205</v>
      </c>
      <c r="H5219" s="313" t="s">
        <v>731</v>
      </c>
      <c r="I5219" s="311" t="str">
        <f t="shared" si="218"/>
        <v>Pesado de Passageiros M3:  : Gasóleo : E4</v>
      </c>
      <c r="J5219">
        <v>59</v>
      </c>
      <c r="K5219" s="422">
        <v>2023</v>
      </c>
      <c r="L5219" s="427">
        <v>21546.68</v>
      </c>
      <c r="M5219" s="427" t="s">
        <v>630</v>
      </c>
      <c r="N5219" s="434">
        <v>61992</v>
      </c>
      <c r="O5219" s="436">
        <f t="shared" si="219"/>
        <v>3657528</v>
      </c>
      <c r="P5219" s="89" t="s">
        <v>2633</v>
      </c>
      <c r="Q5219" s="422" t="s">
        <v>47</v>
      </c>
      <c r="R5219" s="422" t="s">
        <v>1869</v>
      </c>
      <c r="S5219" s="422" t="s">
        <v>1861</v>
      </c>
      <c r="U5219" s="422" t="s">
        <v>1953</v>
      </c>
      <c r="V5219" s="422" t="s">
        <v>2813</v>
      </c>
    </row>
    <row r="5220" spans="1:22" ht="15.75" thickBot="1" x14ac:dyDescent="0.3">
      <c r="A5220" t="s">
        <v>2868</v>
      </c>
      <c r="B5220" t="s">
        <v>2868</v>
      </c>
      <c r="C5220" s="424" t="str">
        <f t="shared" si="217"/>
        <v>Rodoviária do Tejo</v>
      </c>
      <c r="D5220" t="s">
        <v>629</v>
      </c>
      <c r="F5220" s="422" t="s">
        <v>620</v>
      </c>
      <c r="G5220" s="89" t="s">
        <v>2202</v>
      </c>
      <c r="H5220" s="313" t="s">
        <v>733</v>
      </c>
      <c r="I5220" s="311" t="str">
        <f t="shared" si="218"/>
        <v>Pesado de Passageiros M3:  : Gasóleo : E6</v>
      </c>
      <c r="J5220">
        <v>19</v>
      </c>
      <c r="K5220" s="422">
        <v>2023</v>
      </c>
      <c r="L5220" s="427">
        <v>4253.1399999999994</v>
      </c>
      <c r="M5220" s="427" t="s">
        <v>630</v>
      </c>
      <c r="N5220" s="434">
        <v>24828</v>
      </c>
      <c r="O5220" s="436">
        <f t="shared" si="219"/>
        <v>471732</v>
      </c>
      <c r="P5220" s="89" t="s">
        <v>5764</v>
      </c>
      <c r="Q5220" s="422" t="s">
        <v>47</v>
      </c>
      <c r="R5220" s="422" t="s">
        <v>1869</v>
      </c>
      <c r="S5220" s="422" t="s">
        <v>1861</v>
      </c>
      <c r="U5220" s="422" t="s">
        <v>1953</v>
      </c>
      <c r="V5220" s="422" t="s">
        <v>2813</v>
      </c>
    </row>
    <row r="5221" spans="1:22" ht="15.75" thickBot="1" x14ac:dyDescent="0.3">
      <c r="A5221" t="s">
        <v>2868</v>
      </c>
      <c r="B5221" t="s">
        <v>2868</v>
      </c>
      <c r="C5221" s="424" t="str">
        <f t="shared" si="217"/>
        <v>Rodoviária do Tejo</v>
      </c>
      <c r="D5221" t="s">
        <v>629</v>
      </c>
      <c r="F5221" s="422" t="s">
        <v>620</v>
      </c>
      <c r="G5221" s="89" t="s">
        <v>2220</v>
      </c>
      <c r="H5221" s="313" t="s">
        <v>732</v>
      </c>
      <c r="I5221" s="311" t="str">
        <f t="shared" si="218"/>
        <v>Pesado de Passageiros M3:  : Gasóleo : E3</v>
      </c>
      <c r="J5221">
        <v>72</v>
      </c>
      <c r="K5221" s="422">
        <v>2023</v>
      </c>
      <c r="L5221" s="427">
        <v>8559.92</v>
      </c>
      <c r="M5221" s="427" t="s">
        <v>630</v>
      </c>
      <c r="N5221" s="434">
        <v>24255</v>
      </c>
      <c r="O5221" s="436">
        <f t="shared" si="219"/>
        <v>1746360</v>
      </c>
      <c r="P5221" s="89" t="s">
        <v>5765</v>
      </c>
      <c r="Q5221" s="422" t="s">
        <v>47</v>
      </c>
      <c r="R5221" s="422" t="s">
        <v>1869</v>
      </c>
      <c r="S5221" s="422" t="s">
        <v>1861</v>
      </c>
      <c r="U5221" s="422" t="s">
        <v>1953</v>
      </c>
      <c r="V5221" s="422" t="s">
        <v>2813</v>
      </c>
    </row>
    <row r="5222" spans="1:22" ht="15.75" thickBot="1" x14ac:dyDescent="0.3">
      <c r="A5222" t="s">
        <v>2868</v>
      </c>
      <c r="B5222" t="s">
        <v>2868</v>
      </c>
      <c r="C5222" s="424" t="str">
        <f t="shared" si="217"/>
        <v>Rodoviária do Tejo</v>
      </c>
      <c r="D5222" t="s">
        <v>629</v>
      </c>
      <c r="F5222" s="422" t="s">
        <v>620</v>
      </c>
      <c r="G5222" s="89" t="s">
        <v>5263</v>
      </c>
      <c r="H5222" s="313" t="s">
        <v>733</v>
      </c>
      <c r="I5222" s="311" t="str">
        <f t="shared" si="218"/>
        <v>Pesado de Passageiros M3:  : Gasóleo : E6</v>
      </c>
      <c r="J5222">
        <v>53</v>
      </c>
      <c r="K5222" s="422">
        <v>2023</v>
      </c>
      <c r="L5222" s="427">
        <v>28708.090000000004</v>
      </c>
      <c r="M5222" s="427" t="s">
        <v>630</v>
      </c>
      <c r="N5222" s="434">
        <v>123918</v>
      </c>
      <c r="O5222" s="436">
        <f t="shared" si="219"/>
        <v>6567654</v>
      </c>
      <c r="P5222" s="89" t="s">
        <v>5766</v>
      </c>
      <c r="Q5222" s="422" t="s">
        <v>47</v>
      </c>
      <c r="R5222" s="422" t="s">
        <v>1869</v>
      </c>
      <c r="S5222" s="422" t="s">
        <v>1861</v>
      </c>
      <c r="U5222" s="422" t="s">
        <v>1953</v>
      </c>
      <c r="V5222" s="422" t="s">
        <v>2813</v>
      </c>
    </row>
    <row r="5223" spans="1:22" ht="15.75" thickBot="1" x14ac:dyDescent="0.3">
      <c r="A5223" t="s">
        <v>2868</v>
      </c>
      <c r="B5223" t="s">
        <v>2868</v>
      </c>
      <c r="C5223" s="424" t="str">
        <f t="shared" si="217"/>
        <v>Rodoviária do Tejo</v>
      </c>
      <c r="D5223" t="s">
        <v>629</v>
      </c>
      <c r="F5223" s="422" t="s">
        <v>620</v>
      </c>
      <c r="G5223" s="89" t="s">
        <v>5263</v>
      </c>
      <c r="H5223" s="313" t="s">
        <v>733</v>
      </c>
      <c r="I5223" s="311" t="str">
        <f t="shared" si="218"/>
        <v>Pesado de Passageiros M3:  : Gasóleo : E6</v>
      </c>
      <c r="J5223">
        <v>53</v>
      </c>
      <c r="K5223" s="422">
        <v>2023</v>
      </c>
      <c r="L5223" s="427">
        <v>35593.94</v>
      </c>
      <c r="M5223" s="427" t="s">
        <v>630</v>
      </c>
      <c r="N5223" s="434">
        <v>154412</v>
      </c>
      <c r="O5223" s="436">
        <f t="shared" si="219"/>
        <v>8183836</v>
      </c>
      <c r="P5223" s="89" t="s">
        <v>5767</v>
      </c>
      <c r="Q5223" s="422" t="s">
        <v>47</v>
      </c>
      <c r="R5223" s="422" t="s">
        <v>1869</v>
      </c>
      <c r="S5223" s="422" t="s">
        <v>1861</v>
      </c>
      <c r="U5223" s="422" t="s">
        <v>1953</v>
      </c>
      <c r="V5223" s="422" t="s">
        <v>2813</v>
      </c>
    </row>
    <row r="5224" spans="1:22" ht="15.75" thickBot="1" x14ac:dyDescent="0.3">
      <c r="A5224" t="s">
        <v>2868</v>
      </c>
      <c r="B5224" t="s">
        <v>2868</v>
      </c>
      <c r="C5224" s="424" t="str">
        <f t="shared" si="217"/>
        <v>Rodoviária do Tejo</v>
      </c>
      <c r="D5224" t="s">
        <v>629</v>
      </c>
      <c r="F5224" s="422" t="s">
        <v>620</v>
      </c>
      <c r="G5224" s="89" t="s">
        <v>5263</v>
      </c>
      <c r="H5224" s="313" t="s">
        <v>733</v>
      </c>
      <c r="I5224" s="311" t="str">
        <f t="shared" si="218"/>
        <v>Pesado de Passageiros M3:  : Gasóleo : E6</v>
      </c>
      <c r="J5224">
        <v>53</v>
      </c>
      <c r="K5224" s="422">
        <v>2023</v>
      </c>
      <c r="L5224" s="427">
        <v>20142.560000000001</v>
      </c>
      <c r="M5224" s="427" t="s">
        <v>630</v>
      </c>
      <c r="N5224" s="434">
        <v>78305</v>
      </c>
      <c r="O5224" s="436">
        <f t="shared" si="219"/>
        <v>4150165</v>
      </c>
      <c r="P5224" s="89" t="s">
        <v>5768</v>
      </c>
      <c r="Q5224" s="422" t="s">
        <v>47</v>
      </c>
      <c r="R5224" s="422" t="s">
        <v>1869</v>
      </c>
      <c r="S5224" s="422" t="s">
        <v>1861</v>
      </c>
      <c r="U5224" s="422" t="s">
        <v>1953</v>
      </c>
      <c r="V5224" s="422" t="s">
        <v>2813</v>
      </c>
    </row>
    <row r="5225" spans="1:22" ht="15.75" thickBot="1" x14ac:dyDescent="0.3">
      <c r="A5225" t="s">
        <v>2868</v>
      </c>
      <c r="B5225" t="s">
        <v>2868</v>
      </c>
      <c r="C5225" s="424" t="str">
        <f t="shared" si="217"/>
        <v>Rodoviária do Tejo</v>
      </c>
      <c r="D5225" t="s">
        <v>629</v>
      </c>
      <c r="F5225" s="422" t="s">
        <v>620</v>
      </c>
      <c r="G5225" s="89" t="s">
        <v>5263</v>
      </c>
      <c r="H5225" s="313" t="s">
        <v>733</v>
      </c>
      <c r="I5225" s="311" t="str">
        <f t="shared" si="218"/>
        <v>Pesado de Passageiros M3:  : Gasóleo : E6</v>
      </c>
      <c r="J5225">
        <v>53</v>
      </c>
      <c r="K5225" s="422">
        <v>2023</v>
      </c>
      <c r="L5225" s="427">
        <v>11276.32</v>
      </c>
      <c r="M5225" s="427" t="s">
        <v>630</v>
      </c>
      <c r="N5225" s="434">
        <v>47185</v>
      </c>
      <c r="O5225" s="436">
        <f t="shared" si="219"/>
        <v>2500805</v>
      </c>
      <c r="P5225" s="89" t="s">
        <v>5769</v>
      </c>
      <c r="Q5225" s="422" t="s">
        <v>47</v>
      </c>
      <c r="R5225" s="422" t="s">
        <v>1869</v>
      </c>
      <c r="S5225" s="422" t="s">
        <v>1861</v>
      </c>
      <c r="U5225" s="422" t="s">
        <v>1953</v>
      </c>
      <c r="V5225" s="422" t="s">
        <v>2813</v>
      </c>
    </row>
    <row r="5226" spans="1:22" ht="15.75" thickBot="1" x14ac:dyDescent="0.3">
      <c r="A5226" t="s">
        <v>2868</v>
      </c>
      <c r="B5226" t="s">
        <v>2868</v>
      </c>
      <c r="C5226" s="424" t="str">
        <f t="shared" si="217"/>
        <v>Rodoviária do Tejo</v>
      </c>
      <c r="D5226" t="s">
        <v>629</v>
      </c>
      <c r="F5226" s="422" t="s">
        <v>620</v>
      </c>
      <c r="G5226" s="89" t="s">
        <v>2205</v>
      </c>
      <c r="H5226" s="313" t="s">
        <v>731</v>
      </c>
      <c r="I5226" s="311" t="str">
        <f t="shared" si="218"/>
        <v>Pesado de Passageiros M3:  : Gasóleo : E4</v>
      </c>
      <c r="J5226">
        <v>55</v>
      </c>
      <c r="K5226" s="422">
        <v>2023</v>
      </c>
      <c r="L5226" s="427">
        <v>18934.939999999999</v>
      </c>
      <c r="M5226" s="427" t="s">
        <v>630</v>
      </c>
      <c r="N5226" s="434">
        <v>59057</v>
      </c>
      <c r="O5226" s="436">
        <f t="shared" si="219"/>
        <v>3248135</v>
      </c>
      <c r="P5226" s="89" t="s">
        <v>2638</v>
      </c>
      <c r="Q5226" s="422" t="s">
        <v>47</v>
      </c>
      <c r="R5226" s="422" t="s">
        <v>1869</v>
      </c>
      <c r="S5226" s="422" t="s">
        <v>1861</v>
      </c>
      <c r="U5226" s="422" t="s">
        <v>1953</v>
      </c>
      <c r="V5226" s="422" t="s">
        <v>2813</v>
      </c>
    </row>
    <row r="5227" spans="1:22" ht="15.75" thickBot="1" x14ac:dyDescent="0.3">
      <c r="A5227" t="s">
        <v>2868</v>
      </c>
      <c r="B5227" t="s">
        <v>2868</v>
      </c>
      <c r="C5227" s="424" t="str">
        <f t="shared" si="217"/>
        <v>Rodoviária do Tejo</v>
      </c>
      <c r="D5227" t="s">
        <v>629</v>
      </c>
      <c r="F5227" s="422" t="s">
        <v>620</v>
      </c>
      <c r="G5227" s="89" t="s">
        <v>2205</v>
      </c>
      <c r="H5227" s="313" t="s">
        <v>731</v>
      </c>
      <c r="I5227" s="311" t="str">
        <f t="shared" si="218"/>
        <v>Pesado de Passageiros M3:  : Gasóleo : E4</v>
      </c>
      <c r="J5227">
        <v>55</v>
      </c>
      <c r="K5227" s="422">
        <v>2023</v>
      </c>
      <c r="L5227" s="427">
        <v>10102.9</v>
      </c>
      <c r="M5227" s="427" t="s">
        <v>630</v>
      </c>
      <c r="N5227" s="434">
        <v>31228</v>
      </c>
      <c r="O5227" s="436">
        <f t="shared" si="219"/>
        <v>1717540</v>
      </c>
      <c r="P5227" s="89" t="s">
        <v>2639</v>
      </c>
      <c r="Q5227" s="422" t="s">
        <v>47</v>
      </c>
      <c r="R5227" s="422" t="s">
        <v>1869</v>
      </c>
      <c r="S5227" s="422" t="s">
        <v>1861</v>
      </c>
      <c r="U5227" s="422" t="s">
        <v>1953</v>
      </c>
      <c r="V5227" s="422" t="s">
        <v>2813</v>
      </c>
    </row>
    <row r="5228" spans="1:22" ht="15.75" thickBot="1" x14ac:dyDescent="0.3">
      <c r="A5228" t="s">
        <v>2868</v>
      </c>
      <c r="B5228" t="s">
        <v>2868</v>
      </c>
      <c r="C5228" s="424" t="str">
        <f t="shared" si="217"/>
        <v>Rodoviária do Tejo</v>
      </c>
      <c r="D5228" t="s">
        <v>629</v>
      </c>
      <c r="F5228" s="422" t="s">
        <v>620</v>
      </c>
      <c r="G5228" s="89" t="s">
        <v>2213</v>
      </c>
      <c r="H5228" s="313" t="s">
        <v>734</v>
      </c>
      <c r="I5228" s="311" t="str">
        <f t="shared" si="218"/>
        <v>Pesado de Passageiros M3:  : Gasóleo : E5</v>
      </c>
      <c r="J5228">
        <v>53</v>
      </c>
      <c r="K5228" s="422">
        <v>2023</v>
      </c>
      <c r="L5228" s="427">
        <v>37608.550000000003</v>
      </c>
      <c r="M5228" s="427" t="s">
        <v>630</v>
      </c>
      <c r="N5228" s="434">
        <v>123276</v>
      </c>
      <c r="O5228" s="436">
        <f t="shared" si="219"/>
        <v>6533628</v>
      </c>
      <c r="P5228" s="89" t="s">
        <v>2658</v>
      </c>
      <c r="Q5228" s="422" t="s">
        <v>47</v>
      </c>
      <c r="R5228" s="422" t="s">
        <v>1869</v>
      </c>
      <c r="S5228" s="422" t="s">
        <v>1861</v>
      </c>
      <c r="U5228" s="422" t="s">
        <v>1953</v>
      </c>
      <c r="V5228" s="422" t="s">
        <v>2813</v>
      </c>
    </row>
    <row r="5229" spans="1:22" ht="15.75" thickBot="1" x14ac:dyDescent="0.3">
      <c r="A5229" t="s">
        <v>2868</v>
      </c>
      <c r="B5229" t="s">
        <v>2868</v>
      </c>
      <c r="C5229" s="424" t="str">
        <f t="shared" si="217"/>
        <v>Rodoviária do Tejo</v>
      </c>
      <c r="D5229" t="s">
        <v>629</v>
      </c>
      <c r="F5229" s="422" t="s">
        <v>620</v>
      </c>
      <c r="G5229" s="89" t="s">
        <v>2214</v>
      </c>
      <c r="H5229" s="313" t="s">
        <v>733</v>
      </c>
      <c r="I5229" s="311" t="str">
        <f t="shared" si="218"/>
        <v>Pesado de Passageiros M3:  : Gasóleo : E6</v>
      </c>
      <c r="J5229">
        <v>53</v>
      </c>
      <c r="K5229" s="422">
        <v>2023</v>
      </c>
      <c r="L5229" s="427">
        <v>47619.479999999996</v>
      </c>
      <c r="M5229" s="427" t="s">
        <v>630</v>
      </c>
      <c r="N5229" s="434">
        <v>161492</v>
      </c>
      <c r="O5229" s="436">
        <f t="shared" si="219"/>
        <v>8559076</v>
      </c>
      <c r="P5229" s="89" t="s">
        <v>2659</v>
      </c>
      <c r="Q5229" s="422" t="s">
        <v>47</v>
      </c>
      <c r="R5229" s="422" t="s">
        <v>1869</v>
      </c>
      <c r="S5229" s="422" t="s">
        <v>1861</v>
      </c>
      <c r="U5229" s="422" t="s">
        <v>1953</v>
      </c>
      <c r="V5229" s="422" t="s">
        <v>2813</v>
      </c>
    </row>
    <row r="5230" spans="1:22" ht="15.75" thickBot="1" x14ac:dyDescent="0.3">
      <c r="A5230" t="s">
        <v>2868</v>
      </c>
      <c r="B5230" t="s">
        <v>2868</v>
      </c>
      <c r="C5230" s="424" t="str">
        <f t="shared" si="217"/>
        <v>Rodoviária do Tejo</v>
      </c>
      <c r="D5230" t="s">
        <v>629</v>
      </c>
      <c r="F5230" s="422" t="s">
        <v>620</v>
      </c>
      <c r="G5230" s="89" t="s">
        <v>2203</v>
      </c>
      <c r="H5230" s="313" t="s">
        <v>733</v>
      </c>
      <c r="I5230" s="311" t="str">
        <f t="shared" si="218"/>
        <v>Pesado de Passageiros M3:  : Gasóleo : E6</v>
      </c>
      <c r="J5230">
        <v>53</v>
      </c>
      <c r="K5230" s="422">
        <v>2023</v>
      </c>
      <c r="L5230" s="427">
        <v>50174.520000000004</v>
      </c>
      <c r="M5230" s="427" t="s">
        <v>630</v>
      </c>
      <c r="N5230" s="434">
        <v>186775</v>
      </c>
      <c r="O5230" s="436">
        <f t="shared" si="219"/>
        <v>9899075</v>
      </c>
      <c r="P5230" s="89" t="s">
        <v>5770</v>
      </c>
      <c r="Q5230" s="422" t="s">
        <v>47</v>
      </c>
      <c r="R5230" s="422" t="s">
        <v>1869</v>
      </c>
      <c r="S5230" s="422" t="s">
        <v>1861</v>
      </c>
      <c r="U5230" s="422" t="s">
        <v>1953</v>
      </c>
      <c r="V5230" s="422" t="s">
        <v>2813</v>
      </c>
    </row>
    <row r="5231" spans="1:22" ht="15.75" thickBot="1" x14ac:dyDescent="0.3">
      <c r="A5231" t="s">
        <v>2868</v>
      </c>
      <c r="B5231" t="s">
        <v>2868</v>
      </c>
      <c r="C5231" s="424" t="str">
        <f t="shared" si="217"/>
        <v>Rodoviária do Tejo</v>
      </c>
      <c r="D5231" t="s">
        <v>629</v>
      </c>
      <c r="F5231" s="422" t="s">
        <v>620</v>
      </c>
      <c r="G5231" s="89" t="s">
        <v>2203</v>
      </c>
      <c r="H5231" s="313" t="s">
        <v>733</v>
      </c>
      <c r="I5231" s="311" t="str">
        <f t="shared" si="218"/>
        <v>Pesado de Passageiros M3:  : Gasóleo : E6</v>
      </c>
      <c r="J5231">
        <v>53</v>
      </c>
      <c r="K5231" s="422">
        <v>2023</v>
      </c>
      <c r="L5231" s="427">
        <v>38796.949999999997</v>
      </c>
      <c r="M5231" s="427" t="s">
        <v>630</v>
      </c>
      <c r="N5231" s="434">
        <v>137458</v>
      </c>
      <c r="O5231" s="436">
        <f t="shared" si="219"/>
        <v>7285274</v>
      </c>
      <c r="P5231" s="89" t="s">
        <v>5771</v>
      </c>
      <c r="Q5231" s="422" t="s">
        <v>47</v>
      </c>
      <c r="R5231" s="422" t="s">
        <v>1869</v>
      </c>
      <c r="S5231" s="422" t="s">
        <v>1861</v>
      </c>
      <c r="U5231" s="422" t="s">
        <v>1953</v>
      </c>
      <c r="V5231" s="422" t="s">
        <v>2813</v>
      </c>
    </row>
    <row r="5232" spans="1:22" ht="15.75" thickBot="1" x14ac:dyDescent="0.3">
      <c r="A5232" t="s">
        <v>2868</v>
      </c>
      <c r="B5232" t="s">
        <v>2868</v>
      </c>
      <c r="C5232" s="424" t="str">
        <f t="shared" si="217"/>
        <v>Rodoviária do Tejo</v>
      </c>
      <c r="D5232" t="s">
        <v>629</v>
      </c>
      <c r="F5232" s="422" t="s">
        <v>620</v>
      </c>
      <c r="G5232" s="89" t="s">
        <v>2226</v>
      </c>
      <c r="H5232" s="313" t="s">
        <v>733</v>
      </c>
      <c r="I5232" s="311" t="str">
        <f t="shared" si="218"/>
        <v>Pesado de Passageiros M3:  : Gasóleo : E6</v>
      </c>
      <c r="J5232">
        <v>53</v>
      </c>
      <c r="K5232" s="422">
        <v>2023</v>
      </c>
      <c r="L5232" s="427">
        <v>32650.7</v>
      </c>
      <c r="M5232" s="427" t="s">
        <v>630</v>
      </c>
      <c r="N5232" s="434">
        <v>113579</v>
      </c>
      <c r="O5232" s="436">
        <f t="shared" si="219"/>
        <v>6019687</v>
      </c>
      <c r="P5232" s="89" t="s">
        <v>5772</v>
      </c>
      <c r="Q5232" s="422" t="s">
        <v>47</v>
      </c>
      <c r="R5232" s="422" t="s">
        <v>1869</v>
      </c>
      <c r="S5232" s="422" t="s">
        <v>1861</v>
      </c>
      <c r="U5232" s="422" t="s">
        <v>1953</v>
      </c>
      <c r="V5232" s="422" t="s">
        <v>2813</v>
      </c>
    </row>
    <row r="5233" spans="1:22" ht="15.75" thickBot="1" x14ac:dyDescent="0.3">
      <c r="A5233" t="s">
        <v>2868</v>
      </c>
      <c r="B5233" t="s">
        <v>2868</v>
      </c>
      <c r="C5233" s="424" t="str">
        <f t="shared" si="217"/>
        <v>Rodoviária do Tejo</v>
      </c>
      <c r="D5233" t="s">
        <v>629</v>
      </c>
      <c r="F5233" s="422" t="s">
        <v>620</v>
      </c>
      <c r="G5233" s="89" t="s">
        <v>2202</v>
      </c>
      <c r="H5233" s="313" t="s">
        <v>733</v>
      </c>
      <c r="I5233" s="311" t="str">
        <f t="shared" si="218"/>
        <v>Pesado de Passageiros M3:  : Gasóleo : E6</v>
      </c>
      <c r="J5233">
        <v>53</v>
      </c>
      <c r="K5233" s="422">
        <v>2023</v>
      </c>
      <c r="L5233" s="427">
        <v>61267.490000000005</v>
      </c>
      <c r="M5233" s="427" t="s">
        <v>630</v>
      </c>
      <c r="N5233" s="434">
        <v>215033</v>
      </c>
      <c r="O5233" s="436">
        <f t="shared" si="219"/>
        <v>11396749</v>
      </c>
      <c r="P5233" s="89" t="s">
        <v>5773</v>
      </c>
      <c r="Q5233" s="422" t="s">
        <v>47</v>
      </c>
      <c r="R5233" s="422" t="s">
        <v>1869</v>
      </c>
      <c r="S5233" s="422" t="s">
        <v>1861</v>
      </c>
      <c r="U5233" s="422" t="s">
        <v>1953</v>
      </c>
      <c r="V5233" s="422" t="s">
        <v>2813</v>
      </c>
    </row>
    <row r="5234" spans="1:22" ht="15.75" thickBot="1" x14ac:dyDescent="0.3">
      <c r="A5234" t="s">
        <v>2868</v>
      </c>
      <c r="B5234" t="s">
        <v>2868</v>
      </c>
      <c r="C5234" s="424" t="str">
        <f t="shared" ref="C5234:C5297" si="220">IF(A5234=B5234,B5234,RIGHT(A5234,LEN(A5234)-LEN(B5234)-3))</f>
        <v>Rodoviária do Tejo</v>
      </c>
      <c r="D5234" t="s">
        <v>629</v>
      </c>
      <c r="F5234" s="422" t="s">
        <v>620</v>
      </c>
      <c r="G5234" s="89" t="s">
        <v>2226</v>
      </c>
      <c r="H5234" s="313" t="s">
        <v>733</v>
      </c>
      <c r="I5234" s="311" t="str">
        <f t="shared" si="218"/>
        <v>Pesado de Passageiros M3:  : Gasóleo : E6</v>
      </c>
      <c r="J5234">
        <v>53</v>
      </c>
      <c r="K5234" s="422">
        <v>2023</v>
      </c>
      <c r="L5234" s="427">
        <v>51113.34</v>
      </c>
      <c r="M5234" s="427" t="s">
        <v>630</v>
      </c>
      <c r="N5234" s="434">
        <v>180457</v>
      </c>
      <c r="O5234" s="436">
        <f t="shared" si="219"/>
        <v>9564221</v>
      </c>
      <c r="P5234" s="89" t="s">
        <v>5774</v>
      </c>
      <c r="Q5234" s="422" t="s">
        <v>47</v>
      </c>
      <c r="R5234" s="422" t="s">
        <v>1869</v>
      </c>
      <c r="S5234" s="422" t="s">
        <v>1861</v>
      </c>
      <c r="U5234" s="422" t="s">
        <v>1953</v>
      </c>
      <c r="V5234" s="422" t="s">
        <v>2813</v>
      </c>
    </row>
    <row r="5235" spans="1:22" ht="15.75" thickBot="1" x14ac:dyDescent="0.3">
      <c r="A5235" t="s">
        <v>2868</v>
      </c>
      <c r="B5235" t="s">
        <v>2868</v>
      </c>
      <c r="C5235" s="424" t="str">
        <f t="shared" si="220"/>
        <v>Rodoviária do Tejo</v>
      </c>
      <c r="D5235" t="s">
        <v>629</v>
      </c>
      <c r="F5235" s="422" t="s">
        <v>620</v>
      </c>
      <c r="G5235" s="89" t="s">
        <v>5263</v>
      </c>
      <c r="H5235" s="313" t="s">
        <v>733</v>
      </c>
      <c r="I5235" s="311" t="str">
        <f t="shared" si="218"/>
        <v>Pesado de Passageiros M3:  : Gasóleo : E6</v>
      </c>
      <c r="J5235">
        <v>53</v>
      </c>
      <c r="K5235" s="422">
        <v>2023</v>
      </c>
      <c r="L5235" s="427">
        <v>23040.080000000002</v>
      </c>
      <c r="M5235" s="427" t="s">
        <v>630</v>
      </c>
      <c r="N5235" s="434">
        <v>89769</v>
      </c>
      <c r="O5235" s="436">
        <f t="shared" si="219"/>
        <v>4757757</v>
      </c>
      <c r="P5235" s="89" t="s">
        <v>5775</v>
      </c>
      <c r="Q5235" s="422" t="s">
        <v>47</v>
      </c>
      <c r="R5235" s="422" t="s">
        <v>1869</v>
      </c>
      <c r="S5235" s="422" t="s">
        <v>1861</v>
      </c>
      <c r="U5235" s="422" t="s">
        <v>1953</v>
      </c>
      <c r="V5235" s="422" t="s">
        <v>2813</v>
      </c>
    </row>
    <row r="5236" spans="1:22" ht="15.75" thickBot="1" x14ac:dyDescent="0.3">
      <c r="A5236" t="s">
        <v>2868</v>
      </c>
      <c r="B5236" t="s">
        <v>2868</v>
      </c>
      <c r="C5236" s="424" t="str">
        <f t="shared" si="220"/>
        <v>Rodoviária do Tejo</v>
      </c>
      <c r="D5236" t="s">
        <v>629</v>
      </c>
      <c r="F5236" s="422" t="s">
        <v>620</v>
      </c>
      <c r="G5236" s="89" t="s">
        <v>5263</v>
      </c>
      <c r="H5236" s="313" t="s">
        <v>733</v>
      </c>
      <c r="I5236" s="311" t="str">
        <f t="shared" si="218"/>
        <v>Pesado de Passageiros M3:  : Gasóleo : E6</v>
      </c>
      <c r="J5236">
        <v>53</v>
      </c>
      <c r="K5236" s="422">
        <v>2023</v>
      </c>
      <c r="L5236" s="427">
        <v>25512.91</v>
      </c>
      <c r="M5236" s="427" t="s">
        <v>630</v>
      </c>
      <c r="N5236" s="434">
        <v>99503</v>
      </c>
      <c r="O5236" s="436">
        <f t="shared" si="219"/>
        <v>5273659</v>
      </c>
      <c r="P5236" s="89" t="s">
        <v>5776</v>
      </c>
      <c r="Q5236" s="422" t="s">
        <v>47</v>
      </c>
      <c r="R5236" s="422" t="s">
        <v>1869</v>
      </c>
      <c r="S5236" s="422" t="s">
        <v>1861</v>
      </c>
      <c r="U5236" s="422" t="s">
        <v>1953</v>
      </c>
      <c r="V5236" s="422" t="s">
        <v>2813</v>
      </c>
    </row>
    <row r="5237" spans="1:22" ht="15.75" thickBot="1" x14ac:dyDescent="0.3">
      <c r="A5237" t="s">
        <v>2868</v>
      </c>
      <c r="B5237" t="s">
        <v>2868</v>
      </c>
      <c r="C5237" s="424" t="str">
        <f t="shared" si="220"/>
        <v>Rodoviária do Tejo</v>
      </c>
      <c r="D5237" t="s">
        <v>629</v>
      </c>
      <c r="F5237" s="422" t="s">
        <v>620</v>
      </c>
      <c r="G5237" s="89" t="s">
        <v>5263</v>
      </c>
      <c r="H5237" s="313" t="s">
        <v>733</v>
      </c>
      <c r="I5237" s="311" t="str">
        <f t="shared" si="218"/>
        <v>Pesado de Passageiros M3:  : Gasóleo : E6</v>
      </c>
      <c r="J5237">
        <v>53</v>
      </c>
      <c r="K5237" s="422">
        <v>2023</v>
      </c>
      <c r="L5237" s="427">
        <v>23953.96</v>
      </c>
      <c r="M5237" s="427" t="s">
        <v>630</v>
      </c>
      <c r="N5237" s="434">
        <v>92036</v>
      </c>
      <c r="O5237" s="436">
        <f t="shared" si="219"/>
        <v>4877908</v>
      </c>
      <c r="P5237" s="89" t="s">
        <v>5777</v>
      </c>
      <c r="Q5237" s="422" t="s">
        <v>47</v>
      </c>
      <c r="R5237" s="422" t="s">
        <v>1869</v>
      </c>
      <c r="S5237" s="422" t="s">
        <v>1861</v>
      </c>
      <c r="U5237" s="422" t="s">
        <v>1953</v>
      </c>
      <c r="V5237" s="422" t="s">
        <v>2813</v>
      </c>
    </row>
    <row r="5238" spans="1:22" ht="15.75" thickBot="1" x14ac:dyDescent="0.3">
      <c r="A5238" t="s">
        <v>2868</v>
      </c>
      <c r="B5238" t="s">
        <v>2868</v>
      </c>
      <c r="C5238" s="424" t="str">
        <f t="shared" si="220"/>
        <v>Rodoviária do Tejo</v>
      </c>
      <c r="D5238" t="s">
        <v>629</v>
      </c>
      <c r="F5238" s="422" t="s">
        <v>620</v>
      </c>
      <c r="G5238" s="89" t="s">
        <v>5263</v>
      </c>
      <c r="H5238" s="313" t="s">
        <v>733</v>
      </c>
      <c r="I5238" s="311" t="str">
        <f t="shared" si="218"/>
        <v>Pesado de Passageiros M3:  : Gasóleo : E6</v>
      </c>
      <c r="J5238">
        <v>53</v>
      </c>
      <c r="K5238" s="422">
        <v>2023</v>
      </c>
      <c r="L5238" s="427">
        <v>19767.72</v>
      </c>
      <c r="M5238" s="427" t="s">
        <v>630</v>
      </c>
      <c r="N5238" s="434">
        <v>74877</v>
      </c>
      <c r="O5238" s="436">
        <f t="shared" si="219"/>
        <v>3968481</v>
      </c>
      <c r="P5238" s="89" t="s">
        <v>5778</v>
      </c>
      <c r="Q5238" s="422" t="s">
        <v>47</v>
      </c>
      <c r="R5238" s="422" t="s">
        <v>1869</v>
      </c>
      <c r="S5238" s="422" t="s">
        <v>1861</v>
      </c>
      <c r="U5238" s="422" t="s">
        <v>1953</v>
      </c>
      <c r="V5238" s="422" t="s">
        <v>2813</v>
      </c>
    </row>
    <row r="5239" spans="1:22" ht="15.75" thickBot="1" x14ac:dyDescent="0.3">
      <c r="A5239" t="s">
        <v>2868</v>
      </c>
      <c r="B5239" t="s">
        <v>2868</v>
      </c>
      <c r="C5239" s="424" t="str">
        <f t="shared" si="220"/>
        <v>Rodoviária do Tejo</v>
      </c>
      <c r="D5239" t="s">
        <v>629</v>
      </c>
      <c r="F5239" s="422" t="s">
        <v>620</v>
      </c>
      <c r="G5239" s="89" t="s">
        <v>2207</v>
      </c>
      <c r="H5239" s="313" t="s">
        <v>735</v>
      </c>
      <c r="I5239" s="311" t="str">
        <f t="shared" si="218"/>
        <v>Pesado de Passageiros M3:  : Gasóleo : E2</v>
      </c>
      <c r="J5239">
        <v>55</v>
      </c>
      <c r="K5239" s="422">
        <v>2023</v>
      </c>
      <c r="L5239" s="427">
        <v>7941.1100000000006</v>
      </c>
      <c r="M5239" s="427" t="s">
        <v>630</v>
      </c>
      <c r="N5239" s="434">
        <v>23955</v>
      </c>
      <c r="O5239" s="436">
        <f t="shared" si="219"/>
        <v>1317525</v>
      </c>
      <c r="P5239" s="89" t="s">
        <v>5779</v>
      </c>
      <c r="Q5239" s="422" t="s">
        <v>47</v>
      </c>
      <c r="R5239" s="422" t="s">
        <v>1869</v>
      </c>
      <c r="S5239" s="422" t="s">
        <v>1861</v>
      </c>
      <c r="U5239" s="422" t="s">
        <v>1953</v>
      </c>
      <c r="V5239" s="422" t="s">
        <v>2813</v>
      </c>
    </row>
    <row r="5240" spans="1:22" ht="15.75" thickBot="1" x14ac:dyDescent="0.3">
      <c r="A5240" t="s">
        <v>2868</v>
      </c>
      <c r="B5240" t="s">
        <v>2868</v>
      </c>
      <c r="C5240" s="424" t="str">
        <f t="shared" si="220"/>
        <v>Rodoviária do Tejo</v>
      </c>
      <c r="D5240" t="s">
        <v>629</v>
      </c>
      <c r="F5240" s="422" t="s">
        <v>620</v>
      </c>
      <c r="G5240" s="89" t="s">
        <v>2214</v>
      </c>
      <c r="H5240" s="313" t="s">
        <v>733</v>
      </c>
      <c r="I5240" s="311" t="str">
        <f t="shared" si="218"/>
        <v>Pesado de Passageiros M3:  : Gasóleo : E6</v>
      </c>
      <c r="J5240">
        <v>53</v>
      </c>
      <c r="K5240" s="422">
        <v>2023</v>
      </c>
      <c r="L5240" s="427">
        <v>46001.899999999994</v>
      </c>
      <c r="M5240" s="427" t="s">
        <v>630</v>
      </c>
      <c r="N5240" s="434">
        <v>149579</v>
      </c>
      <c r="O5240" s="436">
        <f t="shared" si="219"/>
        <v>7927687</v>
      </c>
      <c r="P5240" s="89" t="s">
        <v>2685</v>
      </c>
      <c r="Q5240" s="422" t="s">
        <v>47</v>
      </c>
      <c r="R5240" s="422" t="s">
        <v>1869</v>
      </c>
      <c r="S5240" s="422" t="s">
        <v>1861</v>
      </c>
      <c r="U5240" s="422" t="s">
        <v>1953</v>
      </c>
      <c r="V5240" s="422" t="s">
        <v>2813</v>
      </c>
    </row>
    <row r="5241" spans="1:22" ht="15.75" thickBot="1" x14ac:dyDescent="0.3">
      <c r="A5241" t="s">
        <v>2868</v>
      </c>
      <c r="B5241" t="s">
        <v>2868</v>
      </c>
      <c r="C5241" s="424" t="str">
        <f t="shared" si="220"/>
        <v>Rodoviária do Tejo</v>
      </c>
      <c r="D5241" t="s">
        <v>629</v>
      </c>
      <c r="F5241" s="422" t="s">
        <v>620</v>
      </c>
      <c r="G5241" s="89" t="s">
        <v>2214</v>
      </c>
      <c r="H5241" s="313" t="s">
        <v>733</v>
      </c>
      <c r="I5241" s="311" t="str">
        <f t="shared" si="218"/>
        <v>Pesado de Passageiros M3:  : Gasóleo : E6</v>
      </c>
      <c r="J5241">
        <v>53</v>
      </c>
      <c r="K5241" s="422">
        <v>2023</v>
      </c>
      <c r="L5241" s="427">
        <v>50200.2</v>
      </c>
      <c r="M5241" s="427" t="s">
        <v>630</v>
      </c>
      <c r="N5241" s="434">
        <v>182117</v>
      </c>
      <c r="O5241" s="436">
        <f t="shared" si="219"/>
        <v>9652201</v>
      </c>
      <c r="P5241" s="89" t="s">
        <v>5780</v>
      </c>
      <c r="Q5241" s="422" t="s">
        <v>47</v>
      </c>
      <c r="R5241" s="422" t="s">
        <v>1869</v>
      </c>
      <c r="S5241" s="422" t="s">
        <v>1861</v>
      </c>
      <c r="U5241" s="422" t="s">
        <v>1953</v>
      </c>
      <c r="V5241" s="422" t="s">
        <v>2813</v>
      </c>
    </row>
    <row r="5242" spans="1:22" ht="15.75" thickBot="1" x14ac:dyDescent="0.3">
      <c r="A5242" t="s">
        <v>2868</v>
      </c>
      <c r="B5242" t="s">
        <v>2868</v>
      </c>
      <c r="C5242" s="424" t="str">
        <f t="shared" si="220"/>
        <v>Rodoviária do Tejo</v>
      </c>
      <c r="D5242" t="s">
        <v>629</v>
      </c>
      <c r="F5242" s="422" t="s">
        <v>620</v>
      </c>
      <c r="G5242" s="89" t="s">
        <v>2221</v>
      </c>
      <c r="H5242" s="313" t="s">
        <v>734</v>
      </c>
      <c r="I5242" s="311" t="str">
        <f t="shared" si="218"/>
        <v>Pesado de Passageiros M3:  : Gasóleo : E5</v>
      </c>
      <c r="J5242">
        <v>53</v>
      </c>
      <c r="K5242" s="422">
        <v>2023</v>
      </c>
      <c r="L5242" s="427">
        <v>10020.52</v>
      </c>
      <c r="M5242" s="427" t="s">
        <v>630</v>
      </c>
      <c r="N5242" s="434">
        <v>33240</v>
      </c>
      <c r="O5242" s="436">
        <f t="shared" si="219"/>
        <v>1761720</v>
      </c>
      <c r="P5242" s="89" t="s">
        <v>5781</v>
      </c>
      <c r="Q5242" s="422" t="s">
        <v>47</v>
      </c>
      <c r="R5242" s="422" t="s">
        <v>1869</v>
      </c>
      <c r="S5242" s="422" t="s">
        <v>1861</v>
      </c>
      <c r="U5242" s="422" t="s">
        <v>1953</v>
      </c>
      <c r="V5242" s="422" t="s">
        <v>2813</v>
      </c>
    </row>
    <row r="5243" spans="1:22" ht="15.75" thickBot="1" x14ac:dyDescent="0.3">
      <c r="A5243" t="s">
        <v>2868</v>
      </c>
      <c r="B5243" t="s">
        <v>2868</v>
      </c>
      <c r="C5243" s="424" t="str">
        <f t="shared" si="220"/>
        <v>Rodoviária do Tejo</v>
      </c>
      <c r="D5243" t="s">
        <v>629</v>
      </c>
      <c r="F5243" s="422" t="s">
        <v>620</v>
      </c>
      <c r="G5243" s="89" t="s">
        <v>2221</v>
      </c>
      <c r="H5243" s="313" t="s">
        <v>734</v>
      </c>
      <c r="I5243" s="311" t="str">
        <f t="shared" si="218"/>
        <v>Pesado de Passageiros M3:  : Gasóleo : E5</v>
      </c>
      <c r="J5243">
        <v>53</v>
      </c>
      <c r="K5243" s="422">
        <v>2023</v>
      </c>
      <c r="L5243" s="427">
        <v>40475.760000000002</v>
      </c>
      <c r="M5243" s="427" t="s">
        <v>630</v>
      </c>
      <c r="N5243" s="434">
        <v>130845</v>
      </c>
      <c r="O5243" s="436">
        <f t="shared" si="219"/>
        <v>6934785</v>
      </c>
      <c r="P5243" s="89" t="s">
        <v>2687</v>
      </c>
      <c r="Q5243" s="422" t="s">
        <v>47</v>
      </c>
      <c r="R5243" s="422" t="s">
        <v>1869</v>
      </c>
      <c r="S5243" s="422" t="s">
        <v>1861</v>
      </c>
      <c r="U5243" s="422" t="s">
        <v>1953</v>
      </c>
      <c r="V5243" s="422" t="s">
        <v>2813</v>
      </c>
    </row>
    <row r="5244" spans="1:22" ht="15.75" thickBot="1" x14ac:dyDescent="0.3">
      <c r="A5244" t="s">
        <v>2868</v>
      </c>
      <c r="B5244" t="s">
        <v>2868</v>
      </c>
      <c r="C5244" s="424" t="str">
        <f t="shared" si="220"/>
        <v>Rodoviária do Tejo</v>
      </c>
      <c r="D5244" t="s">
        <v>629</v>
      </c>
      <c r="F5244" s="422" t="s">
        <v>620</v>
      </c>
      <c r="G5244" s="89" t="s">
        <v>2203</v>
      </c>
      <c r="H5244" s="313" t="s">
        <v>733</v>
      </c>
      <c r="I5244" s="311" t="str">
        <f t="shared" si="218"/>
        <v>Pesado de Passageiros M3:  : Gasóleo : E6</v>
      </c>
      <c r="J5244">
        <v>53</v>
      </c>
      <c r="K5244" s="422">
        <v>2023</v>
      </c>
      <c r="L5244" s="427">
        <v>28160.03</v>
      </c>
      <c r="M5244" s="427" t="s">
        <v>630</v>
      </c>
      <c r="N5244" s="434">
        <v>102896</v>
      </c>
      <c r="O5244" s="436">
        <f t="shared" si="219"/>
        <v>5453488</v>
      </c>
      <c r="P5244" s="89" t="s">
        <v>2697</v>
      </c>
      <c r="Q5244" s="422" t="s">
        <v>47</v>
      </c>
      <c r="R5244" s="422" t="s">
        <v>1869</v>
      </c>
      <c r="S5244" s="422" t="s">
        <v>1861</v>
      </c>
      <c r="U5244" s="422" t="s">
        <v>1953</v>
      </c>
      <c r="V5244" s="422" t="s">
        <v>2813</v>
      </c>
    </row>
    <row r="5245" spans="1:22" ht="15.75" thickBot="1" x14ac:dyDescent="0.3">
      <c r="A5245" t="s">
        <v>2868</v>
      </c>
      <c r="B5245" t="s">
        <v>2868</v>
      </c>
      <c r="C5245" s="424" t="str">
        <f t="shared" si="220"/>
        <v>Rodoviária do Tejo</v>
      </c>
      <c r="D5245" t="s">
        <v>629</v>
      </c>
      <c r="F5245" s="422" t="s">
        <v>620</v>
      </c>
      <c r="G5245" s="89" t="s">
        <v>2203</v>
      </c>
      <c r="H5245" s="313" t="s">
        <v>733</v>
      </c>
      <c r="I5245" s="311" t="str">
        <f t="shared" si="218"/>
        <v>Pesado de Passageiros M3:  : Gasóleo : E6</v>
      </c>
      <c r="J5245">
        <v>53</v>
      </c>
      <c r="K5245" s="422">
        <v>2023</v>
      </c>
      <c r="L5245" s="427">
        <v>5176.76</v>
      </c>
      <c r="M5245" s="427" t="s">
        <v>630</v>
      </c>
      <c r="N5245" s="434">
        <v>17720</v>
      </c>
      <c r="O5245" s="436">
        <f t="shared" si="219"/>
        <v>939160</v>
      </c>
      <c r="P5245" s="89" t="s">
        <v>2698</v>
      </c>
      <c r="Q5245" s="422" t="s">
        <v>47</v>
      </c>
      <c r="R5245" s="422" t="s">
        <v>1869</v>
      </c>
      <c r="S5245" s="422" t="s">
        <v>1861</v>
      </c>
      <c r="U5245" s="422" t="s">
        <v>1953</v>
      </c>
      <c r="V5245" s="422" t="s">
        <v>2813</v>
      </c>
    </row>
    <row r="5246" spans="1:22" ht="15.75" thickBot="1" x14ac:dyDescent="0.3">
      <c r="A5246" t="s">
        <v>2868</v>
      </c>
      <c r="B5246" t="s">
        <v>2868</v>
      </c>
      <c r="C5246" s="424" t="str">
        <f t="shared" si="220"/>
        <v>Rodoviária do Tejo</v>
      </c>
      <c r="D5246" t="s">
        <v>629</v>
      </c>
      <c r="F5246" s="422" t="s">
        <v>620</v>
      </c>
      <c r="G5246" s="89" t="s">
        <v>2203</v>
      </c>
      <c r="H5246" s="313" t="s">
        <v>733</v>
      </c>
      <c r="I5246" s="311" t="str">
        <f t="shared" si="218"/>
        <v>Pesado de Passageiros M3:  : Gasóleo : E6</v>
      </c>
      <c r="J5246">
        <v>25</v>
      </c>
      <c r="K5246" s="422">
        <v>2023</v>
      </c>
      <c r="L5246" s="427">
        <v>10622.79</v>
      </c>
      <c r="M5246" s="427" t="s">
        <v>630</v>
      </c>
      <c r="N5246" s="434">
        <v>59142</v>
      </c>
      <c r="O5246" s="436">
        <f t="shared" si="219"/>
        <v>1478550</v>
      </c>
      <c r="P5246" s="89" t="s">
        <v>5782</v>
      </c>
      <c r="Q5246" s="422" t="s">
        <v>47</v>
      </c>
      <c r="R5246" s="422" t="s">
        <v>1869</v>
      </c>
      <c r="S5246" s="422" t="s">
        <v>1861</v>
      </c>
      <c r="U5246" s="422" t="s">
        <v>1953</v>
      </c>
      <c r="V5246" s="422" t="s">
        <v>2813</v>
      </c>
    </row>
    <row r="5247" spans="1:22" ht="15.75" thickBot="1" x14ac:dyDescent="0.3">
      <c r="A5247" t="s">
        <v>2868</v>
      </c>
      <c r="B5247" t="s">
        <v>2868</v>
      </c>
      <c r="C5247" s="424" t="str">
        <f t="shared" si="220"/>
        <v>Rodoviária do Tejo</v>
      </c>
      <c r="D5247" t="s">
        <v>629</v>
      </c>
      <c r="F5247" s="422" t="s">
        <v>620</v>
      </c>
      <c r="G5247" s="89" t="s">
        <v>2226</v>
      </c>
      <c r="H5247" s="313" t="s">
        <v>733</v>
      </c>
      <c r="I5247" s="311" t="str">
        <f t="shared" si="218"/>
        <v>Pesado de Passageiros M3:  : Gasóleo : E6</v>
      </c>
      <c r="J5247">
        <v>53</v>
      </c>
      <c r="K5247" s="422">
        <v>2023</v>
      </c>
      <c r="L5247" s="427">
        <v>48549.45</v>
      </c>
      <c r="M5247" s="427" t="s">
        <v>630</v>
      </c>
      <c r="N5247" s="434">
        <v>174175</v>
      </c>
      <c r="O5247" s="436">
        <f t="shared" si="219"/>
        <v>9231275</v>
      </c>
      <c r="P5247" s="89" t="s">
        <v>5783</v>
      </c>
      <c r="Q5247" s="422" t="s">
        <v>47</v>
      </c>
      <c r="R5247" s="422" t="s">
        <v>1869</v>
      </c>
      <c r="S5247" s="422" t="s">
        <v>1861</v>
      </c>
      <c r="U5247" s="422" t="s">
        <v>1953</v>
      </c>
      <c r="V5247" s="422" t="s">
        <v>2813</v>
      </c>
    </row>
    <row r="5248" spans="1:22" ht="15.75" thickBot="1" x14ac:dyDescent="0.3">
      <c r="A5248" t="s">
        <v>2868</v>
      </c>
      <c r="B5248" t="s">
        <v>2868</v>
      </c>
      <c r="C5248" s="424" t="str">
        <f t="shared" si="220"/>
        <v>Rodoviária do Tejo</v>
      </c>
      <c r="D5248" t="s">
        <v>629</v>
      </c>
      <c r="F5248" s="422" t="s">
        <v>620</v>
      </c>
      <c r="G5248" s="89" t="s">
        <v>2226</v>
      </c>
      <c r="H5248" s="313" t="s">
        <v>733</v>
      </c>
      <c r="I5248" s="311" t="str">
        <f t="shared" si="218"/>
        <v>Pesado de Passageiros M3:  : Gasóleo : E6</v>
      </c>
      <c r="J5248">
        <v>53</v>
      </c>
      <c r="K5248" s="422">
        <v>2023</v>
      </c>
      <c r="L5248" s="427">
        <v>39760.619999999995</v>
      </c>
      <c r="M5248" s="427" t="s">
        <v>630</v>
      </c>
      <c r="N5248" s="434">
        <v>135961</v>
      </c>
      <c r="O5248" s="436">
        <f t="shared" si="219"/>
        <v>7205933</v>
      </c>
      <c r="P5248" s="89" t="s">
        <v>5784</v>
      </c>
      <c r="Q5248" s="422" t="s">
        <v>47</v>
      </c>
      <c r="R5248" s="422" t="s">
        <v>1869</v>
      </c>
      <c r="S5248" s="422" t="s">
        <v>1861</v>
      </c>
      <c r="U5248" s="422" t="s">
        <v>1953</v>
      </c>
      <c r="V5248" s="422" t="s">
        <v>2813</v>
      </c>
    </row>
    <row r="5249" spans="1:22" ht="15.75" thickBot="1" x14ac:dyDescent="0.3">
      <c r="A5249" t="s">
        <v>2868</v>
      </c>
      <c r="B5249" t="s">
        <v>2868</v>
      </c>
      <c r="C5249" s="424" t="str">
        <f t="shared" si="220"/>
        <v>Rodoviária do Tejo</v>
      </c>
      <c r="D5249" t="s">
        <v>629</v>
      </c>
      <c r="F5249" s="422" t="s">
        <v>620</v>
      </c>
      <c r="G5249" s="89" t="s">
        <v>2226</v>
      </c>
      <c r="H5249" s="313" t="s">
        <v>733</v>
      </c>
      <c r="I5249" s="311" t="str">
        <f t="shared" si="218"/>
        <v>Pesado de Passageiros M3:  : Gasóleo : E6</v>
      </c>
      <c r="J5249">
        <v>53</v>
      </c>
      <c r="K5249" s="422">
        <v>2023</v>
      </c>
      <c r="L5249" s="427">
        <v>47751.59</v>
      </c>
      <c r="M5249" s="427" t="s">
        <v>630</v>
      </c>
      <c r="N5249" s="434">
        <v>172087</v>
      </c>
      <c r="O5249" s="436">
        <f t="shared" si="219"/>
        <v>9120611</v>
      </c>
      <c r="P5249" s="89" t="s">
        <v>5785</v>
      </c>
      <c r="Q5249" s="422" t="s">
        <v>47</v>
      </c>
      <c r="R5249" s="422" t="s">
        <v>1869</v>
      </c>
      <c r="S5249" s="422" t="s">
        <v>1861</v>
      </c>
      <c r="U5249" s="422" t="s">
        <v>1953</v>
      </c>
      <c r="V5249" s="422" t="s">
        <v>2813</v>
      </c>
    </row>
    <row r="5250" spans="1:22" ht="15.75" thickBot="1" x14ac:dyDescent="0.3">
      <c r="A5250" t="s">
        <v>2868</v>
      </c>
      <c r="B5250" t="s">
        <v>2868</v>
      </c>
      <c r="C5250" s="424" t="str">
        <f t="shared" si="220"/>
        <v>Rodoviária do Tejo</v>
      </c>
      <c r="D5250" t="s">
        <v>629</v>
      </c>
      <c r="F5250" s="422" t="s">
        <v>620</v>
      </c>
      <c r="G5250" s="89" t="s">
        <v>2226</v>
      </c>
      <c r="H5250" s="313" t="s">
        <v>733</v>
      </c>
      <c r="I5250" s="311" t="str">
        <f t="shared" si="218"/>
        <v>Pesado de Passageiros M3:  : Gasóleo : E6</v>
      </c>
      <c r="J5250">
        <v>53</v>
      </c>
      <c r="K5250" s="422">
        <v>2023</v>
      </c>
      <c r="L5250" s="427">
        <v>28593.599999999999</v>
      </c>
      <c r="M5250" s="427" t="s">
        <v>630</v>
      </c>
      <c r="N5250" s="434">
        <v>100717</v>
      </c>
      <c r="O5250" s="436">
        <f t="shared" si="219"/>
        <v>5338001</v>
      </c>
      <c r="P5250" s="89" t="s">
        <v>5786</v>
      </c>
      <c r="Q5250" s="422" t="s">
        <v>47</v>
      </c>
      <c r="R5250" s="422" t="s">
        <v>1869</v>
      </c>
      <c r="S5250" s="422" t="s">
        <v>1861</v>
      </c>
      <c r="U5250" s="422" t="s">
        <v>1953</v>
      </c>
      <c r="V5250" s="422" t="s">
        <v>2813</v>
      </c>
    </row>
    <row r="5251" spans="1:22" ht="15.75" thickBot="1" x14ac:dyDescent="0.3">
      <c r="A5251" t="s">
        <v>2868</v>
      </c>
      <c r="B5251" t="s">
        <v>2868</v>
      </c>
      <c r="C5251" s="424" t="str">
        <f t="shared" si="220"/>
        <v>Rodoviária do Tejo</v>
      </c>
      <c r="D5251" t="s">
        <v>629</v>
      </c>
      <c r="F5251" s="422" t="s">
        <v>620</v>
      </c>
      <c r="G5251" s="89" t="s">
        <v>2226</v>
      </c>
      <c r="H5251" s="313" t="s">
        <v>733</v>
      </c>
      <c r="I5251" s="311" t="str">
        <f t="shared" si="218"/>
        <v>Pesado de Passageiros M3:  : Gasóleo : E6</v>
      </c>
      <c r="J5251">
        <v>53</v>
      </c>
      <c r="K5251" s="422">
        <v>2023</v>
      </c>
      <c r="L5251" s="427">
        <v>37829.97</v>
      </c>
      <c r="M5251" s="427" t="s">
        <v>630</v>
      </c>
      <c r="N5251" s="434">
        <v>133155</v>
      </c>
      <c r="O5251" s="436">
        <f t="shared" si="219"/>
        <v>7057215</v>
      </c>
      <c r="P5251" s="89" t="s">
        <v>5787</v>
      </c>
      <c r="Q5251" s="422" t="s">
        <v>47</v>
      </c>
      <c r="R5251" s="422" t="s">
        <v>1869</v>
      </c>
      <c r="S5251" s="422" t="s">
        <v>1861</v>
      </c>
      <c r="U5251" s="422" t="s">
        <v>1953</v>
      </c>
      <c r="V5251" s="422" t="s">
        <v>2813</v>
      </c>
    </row>
    <row r="5252" spans="1:22" ht="15.75" thickBot="1" x14ac:dyDescent="0.3">
      <c r="A5252" t="s">
        <v>2868</v>
      </c>
      <c r="B5252" t="s">
        <v>2868</v>
      </c>
      <c r="C5252" s="424" t="str">
        <f t="shared" si="220"/>
        <v>Rodoviária do Tejo</v>
      </c>
      <c r="D5252" t="s">
        <v>629</v>
      </c>
      <c r="F5252" s="422" t="s">
        <v>620</v>
      </c>
      <c r="G5252" s="89" t="s">
        <v>2202</v>
      </c>
      <c r="H5252" s="313" t="s">
        <v>733</v>
      </c>
      <c r="I5252" s="311" t="str">
        <f t="shared" si="218"/>
        <v>Pesado de Passageiros M3:  : Gasóleo : E6</v>
      </c>
      <c r="J5252">
        <v>19</v>
      </c>
      <c r="K5252" s="422">
        <v>2023</v>
      </c>
      <c r="L5252" s="427">
        <v>2101.9699999999998</v>
      </c>
      <c r="M5252" s="427" t="s">
        <v>630</v>
      </c>
      <c r="N5252" s="434">
        <v>12814</v>
      </c>
      <c r="O5252" s="436">
        <f t="shared" si="219"/>
        <v>243466</v>
      </c>
      <c r="P5252" s="89" t="s">
        <v>2715</v>
      </c>
      <c r="Q5252" s="422" t="s">
        <v>47</v>
      </c>
      <c r="R5252" s="422" t="s">
        <v>1869</v>
      </c>
      <c r="S5252" s="422" t="s">
        <v>1861</v>
      </c>
      <c r="U5252" s="422" t="s">
        <v>1953</v>
      </c>
      <c r="V5252" s="422" t="s">
        <v>2813</v>
      </c>
    </row>
    <row r="5253" spans="1:22" ht="15.75" thickBot="1" x14ac:dyDescent="0.3">
      <c r="A5253" t="s">
        <v>2868</v>
      </c>
      <c r="B5253" t="s">
        <v>2868</v>
      </c>
      <c r="C5253" s="424" t="str">
        <f t="shared" si="220"/>
        <v>Rodoviária do Tejo</v>
      </c>
      <c r="D5253" t="s">
        <v>629</v>
      </c>
      <c r="F5253" s="422" t="s">
        <v>620</v>
      </c>
      <c r="G5253" s="89" t="s">
        <v>2211</v>
      </c>
      <c r="H5253" s="313" t="s">
        <v>731</v>
      </c>
      <c r="I5253" s="311" t="str">
        <f t="shared" si="218"/>
        <v>Pesado de Passageiros M3:  : Gasóleo : E4</v>
      </c>
      <c r="J5253">
        <v>55</v>
      </c>
      <c r="K5253" s="422">
        <v>2023</v>
      </c>
      <c r="L5253" s="427">
        <v>18181.71</v>
      </c>
      <c r="M5253" s="427" t="s">
        <v>630</v>
      </c>
      <c r="N5253" s="434">
        <v>56856</v>
      </c>
      <c r="O5253" s="436">
        <f t="shared" si="219"/>
        <v>3127080</v>
      </c>
      <c r="P5253" s="89" t="s">
        <v>2728</v>
      </c>
      <c r="Q5253" s="422" t="s">
        <v>47</v>
      </c>
      <c r="R5253" s="422" t="s">
        <v>1869</v>
      </c>
      <c r="S5253" s="422" t="s">
        <v>1861</v>
      </c>
      <c r="U5253" s="422" t="s">
        <v>1953</v>
      </c>
      <c r="V5253" s="422" t="s">
        <v>2813</v>
      </c>
    </row>
    <row r="5254" spans="1:22" ht="15.75" thickBot="1" x14ac:dyDescent="0.3">
      <c r="A5254" t="s">
        <v>2868</v>
      </c>
      <c r="B5254" t="s">
        <v>2868</v>
      </c>
      <c r="C5254" s="424" t="str">
        <f t="shared" si="220"/>
        <v>Rodoviária do Tejo</v>
      </c>
      <c r="D5254" t="s">
        <v>629</v>
      </c>
      <c r="F5254" s="422" t="s">
        <v>620</v>
      </c>
      <c r="G5254" s="89" t="s">
        <v>2205</v>
      </c>
      <c r="H5254" s="313" t="s">
        <v>731</v>
      </c>
      <c r="I5254" s="311" t="str">
        <f t="shared" si="218"/>
        <v>Pesado de Passageiros M3:  : Gasóleo : E4</v>
      </c>
      <c r="J5254">
        <v>55</v>
      </c>
      <c r="K5254" s="422">
        <v>2023</v>
      </c>
      <c r="L5254" s="427">
        <v>16235.15</v>
      </c>
      <c r="M5254" s="427" t="s">
        <v>630</v>
      </c>
      <c r="N5254" s="434">
        <v>45914</v>
      </c>
      <c r="O5254" s="436">
        <f t="shared" si="219"/>
        <v>2525270</v>
      </c>
      <c r="P5254" s="89" t="s">
        <v>2729</v>
      </c>
      <c r="Q5254" s="422" t="s">
        <v>47</v>
      </c>
      <c r="R5254" s="422" t="s">
        <v>1869</v>
      </c>
      <c r="S5254" s="422" t="s">
        <v>1861</v>
      </c>
      <c r="U5254" s="422" t="s">
        <v>1953</v>
      </c>
      <c r="V5254" s="422" t="s">
        <v>2813</v>
      </c>
    </row>
    <row r="5255" spans="1:22" ht="15.75" thickBot="1" x14ac:dyDescent="0.3">
      <c r="A5255" t="s">
        <v>2868</v>
      </c>
      <c r="B5255" t="s">
        <v>2868</v>
      </c>
      <c r="C5255" s="424" t="str">
        <f t="shared" si="220"/>
        <v>Rodoviária do Tejo</v>
      </c>
      <c r="D5255" t="s">
        <v>629</v>
      </c>
      <c r="F5255" s="422" t="s">
        <v>620</v>
      </c>
      <c r="G5255" s="89" t="s">
        <v>2223</v>
      </c>
      <c r="H5255" s="313" t="s">
        <v>734</v>
      </c>
      <c r="I5255" s="311" t="str">
        <f t="shared" si="218"/>
        <v>Pesado de Passageiros M3:  : Gasóleo : E5</v>
      </c>
      <c r="J5255">
        <v>54</v>
      </c>
      <c r="K5255" s="422">
        <v>2023</v>
      </c>
      <c r="L5255" s="427">
        <v>6620.7199999999993</v>
      </c>
      <c r="M5255" s="427" t="s">
        <v>630</v>
      </c>
      <c r="N5255" s="434">
        <v>16856</v>
      </c>
      <c r="O5255" s="436">
        <f t="shared" si="219"/>
        <v>910224</v>
      </c>
      <c r="P5255" s="89" t="s">
        <v>2734</v>
      </c>
      <c r="Q5255" s="422" t="s">
        <v>47</v>
      </c>
      <c r="R5255" s="422" t="s">
        <v>1869</v>
      </c>
      <c r="S5255" s="422" t="s">
        <v>1861</v>
      </c>
      <c r="U5255" s="422" t="s">
        <v>1953</v>
      </c>
      <c r="V5255" s="422" t="s">
        <v>2813</v>
      </c>
    </row>
    <row r="5256" spans="1:22" ht="15.75" thickBot="1" x14ac:dyDescent="0.3">
      <c r="A5256" t="s">
        <v>2868</v>
      </c>
      <c r="B5256" t="s">
        <v>2868</v>
      </c>
      <c r="C5256" s="424" t="str">
        <f t="shared" si="220"/>
        <v>Rodoviária do Tejo</v>
      </c>
      <c r="D5256" t="s">
        <v>629</v>
      </c>
      <c r="F5256" s="422" t="s">
        <v>620</v>
      </c>
      <c r="G5256" s="89" t="s">
        <v>2205</v>
      </c>
      <c r="H5256" s="313" t="s">
        <v>731</v>
      </c>
      <c r="I5256" s="311" t="str">
        <f t="shared" si="218"/>
        <v>Pesado de Passageiros M3:  : Gasóleo : E4</v>
      </c>
      <c r="J5256">
        <v>55</v>
      </c>
      <c r="K5256" s="422">
        <v>2023</v>
      </c>
      <c r="L5256" s="427">
        <v>27097.58</v>
      </c>
      <c r="M5256" s="427" t="s">
        <v>630</v>
      </c>
      <c r="N5256" s="434">
        <v>82926</v>
      </c>
      <c r="O5256" s="436">
        <f t="shared" si="219"/>
        <v>4560930</v>
      </c>
      <c r="P5256" s="89" t="s">
        <v>2739</v>
      </c>
      <c r="Q5256" s="422" t="s">
        <v>47</v>
      </c>
      <c r="R5256" s="422" t="s">
        <v>1869</v>
      </c>
      <c r="S5256" s="422" t="s">
        <v>1861</v>
      </c>
      <c r="U5256" s="422" t="s">
        <v>1953</v>
      </c>
      <c r="V5256" s="422" t="s">
        <v>2813</v>
      </c>
    </row>
    <row r="5257" spans="1:22" ht="15.75" thickBot="1" x14ac:dyDescent="0.3">
      <c r="A5257" t="s">
        <v>2868</v>
      </c>
      <c r="B5257" t="s">
        <v>2868</v>
      </c>
      <c r="C5257" s="424" t="str">
        <f t="shared" si="220"/>
        <v>Rodoviária do Tejo</v>
      </c>
      <c r="D5257" t="s">
        <v>629</v>
      </c>
      <c r="F5257" s="422" t="s">
        <v>620</v>
      </c>
      <c r="G5257" s="89" t="s">
        <v>2223</v>
      </c>
      <c r="H5257" s="313" t="s">
        <v>734</v>
      </c>
      <c r="I5257" s="311" t="str">
        <f t="shared" si="218"/>
        <v>Pesado de Passageiros M3:  : Gasóleo : E5</v>
      </c>
      <c r="J5257">
        <v>55</v>
      </c>
      <c r="K5257" s="422">
        <v>2023</v>
      </c>
      <c r="L5257" s="427">
        <v>19407.88</v>
      </c>
      <c r="M5257" s="427" t="s">
        <v>630</v>
      </c>
      <c r="N5257" s="434">
        <v>59319</v>
      </c>
      <c r="O5257" s="436">
        <f t="shared" si="219"/>
        <v>3262545</v>
      </c>
      <c r="P5257" s="89" t="s">
        <v>2740</v>
      </c>
      <c r="Q5257" s="422" t="s">
        <v>47</v>
      </c>
      <c r="R5257" s="422" t="s">
        <v>1869</v>
      </c>
      <c r="S5257" s="422" t="s">
        <v>1861</v>
      </c>
      <c r="U5257" s="422" t="s">
        <v>1953</v>
      </c>
      <c r="V5257" s="422" t="s">
        <v>2813</v>
      </c>
    </row>
    <row r="5258" spans="1:22" ht="15.75" thickBot="1" x14ac:dyDescent="0.3">
      <c r="A5258" t="s">
        <v>2868</v>
      </c>
      <c r="B5258" t="s">
        <v>2868</v>
      </c>
      <c r="C5258" s="424" t="str">
        <f t="shared" si="220"/>
        <v>Rodoviária do Tejo</v>
      </c>
      <c r="D5258" t="s">
        <v>629</v>
      </c>
      <c r="F5258" s="422" t="s">
        <v>620</v>
      </c>
      <c r="G5258" s="89" t="s">
        <v>2221</v>
      </c>
      <c r="H5258" s="313" t="s">
        <v>734</v>
      </c>
      <c r="I5258" s="311" t="str">
        <f t="shared" si="218"/>
        <v>Pesado de Passageiros M3:  : Gasóleo : E5</v>
      </c>
      <c r="J5258">
        <v>53</v>
      </c>
      <c r="K5258" s="422">
        <v>2023</v>
      </c>
      <c r="L5258" s="427">
        <v>44044.93</v>
      </c>
      <c r="M5258" s="427" t="s">
        <v>630</v>
      </c>
      <c r="N5258" s="434">
        <v>142583</v>
      </c>
      <c r="O5258" s="436">
        <f t="shared" si="219"/>
        <v>7556899</v>
      </c>
      <c r="P5258" s="89" t="s">
        <v>2741</v>
      </c>
      <c r="Q5258" s="422" t="s">
        <v>47</v>
      </c>
      <c r="R5258" s="422" t="s">
        <v>1869</v>
      </c>
      <c r="S5258" s="422" t="s">
        <v>1861</v>
      </c>
      <c r="U5258" s="422" t="s">
        <v>1953</v>
      </c>
      <c r="V5258" s="422" t="s">
        <v>2813</v>
      </c>
    </row>
    <row r="5259" spans="1:22" ht="15.75" thickBot="1" x14ac:dyDescent="0.3">
      <c r="A5259" t="s">
        <v>2868</v>
      </c>
      <c r="B5259" t="s">
        <v>2868</v>
      </c>
      <c r="C5259" s="424" t="str">
        <f t="shared" si="220"/>
        <v>Rodoviária do Tejo</v>
      </c>
      <c r="D5259" t="s">
        <v>629</v>
      </c>
      <c r="F5259" s="422" t="s">
        <v>620</v>
      </c>
      <c r="G5259" s="89" t="s">
        <v>2221</v>
      </c>
      <c r="H5259" s="313" t="s">
        <v>734</v>
      </c>
      <c r="I5259" s="311" t="str">
        <f t="shared" si="218"/>
        <v>Pesado de Passageiros M3:  : Gasóleo : E5</v>
      </c>
      <c r="J5259">
        <v>53</v>
      </c>
      <c r="K5259" s="422">
        <v>2023</v>
      </c>
      <c r="L5259" s="427">
        <v>38941.839999999997</v>
      </c>
      <c r="M5259" s="427" t="s">
        <v>630</v>
      </c>
      <c r="N5259" s="434">
        <v>124747</v>
      </c>
      <c r="O5259" s="436">
        <f t="shared" si="219"/>
        <v>6611591</v>
      </c>
      <c r="P5259" s="89" t="s">
        <v>2742</v>
      </c>
      <c r="Q5259" s="422" t="s">
        <v>47</v>
      </c>
      <c r="R5259" s="422" t="s">
        <v>1869</v>
      </c>
      <c r="S5259" s="422" t="s">
        <v>1861</v>
      </c>
      <c r="U5259" s="422" t="s">
        <v>1953</v>
      </c>
      <c r="V5259" s="422" t="s">
        <v>2813</v>
      </c>
    </row>
    <row r="5260" spans="1:22" ht="15.75" thickBot="1" x14ac:dyDescent="0.3">
      <c r="A5260" t="s">
        <v>2868</v>
      </c>
      <c r="B5260" t="s">
        <v>2868</v>
      </c>
      <c r="C5260" s="424" t="str">
        <f t="shared" si="220"/>
        <v>Rodoviária do Tejo</v>
      </c>
      <c r="D5260" t="s">
        <v>629</v>
      </c>
      <c r="F5260" s="422" t="s">
        <v>620</v>
      </c>
      <c r="G5260" s="89" t="s">
        <v>2221</v>
      </c>
      <c r="H5260" s="313" t="s">
        <v>734</v>
      </c>
      <c r="I5260" s="311" t="str">
        <f t="shared" si="218"/>
        <v>Pesado de Passageiros M3:  : Gasóleo : E5</v>
      </c>
      <c r="J5260">
        <v>53</v>
      </c>
      <c r="K5260" s="422">
        <v>2023</v>
      </c>
      <c r="L5260" s="427">
        <v>51112.27</v>
      </c>
      <c r="M5260" s="427" t="s">
        <v>630</v>
      </c>
      <c r="N5260" s="434">
        <v>164682</v>
      </c>
      <c r="O5260" s="436">
        <f t="shared" si="219"/>
        <v>8728146</v>
      </c>
      <c r="P5260" s="89" t="s">
        <v>2743</v>
      </c>
      <c r="Q5260" s="422" t="s">
        <v>47</v>
      </c>
      <c r="R5260" s="422" t="s">
        <v>1869</v>
      </c>
      <c r="S5260" s="422" t="s">
        <v>1861</v>
      </c>
      <c r="U5260" s="422" t="s">
        <v>1953</v>
      </c>
      <c r="V5260" s="422" t="s">
        <v>2813</v>
      </c>
    </row>
    <row r="5261" spans="1:22" ht="15.75" thickBot="1" x14ac:dyDescent="0.3">
      <c r="A5261" t="s">
        <v>2868</v>
      </c>
      <c r="B5261" t="s">
        <v>2868</v>
      </c>
      <c r="C5261" s="424" t="str">
        <f t="shared" si="220"/>
        <v>Rodoviária do Tejo</v>
      </c>
      <c r="D5261" t="s">
        <v>629</v>
      </c>
      <c r="F5261" s="422" t="s">
        <v>620</v>
      </c>
      <c r="G5261" s="89" t="s">
        <v>2202</v>
      </c>
      <c r="H5261" s="313" t="s">
        <v>733</v>
      </c>
      <c r="I5261" s="311" t="str">
        <f t="shared" si="218"/>
        <v>Pesado de Passageiros M3:  : Gasóleo : E6</v>
      </c>
      <c r="J5261">
        <v>53</v>
      </c>
      <c r="K5261" s="422">
        <v>2023</v>
      </c>
      <c r="L5261" s="427">
        <v>54204.82</v>
      </c>
      <c r="M5261" s="427" t="s">
        <v>630</v>
      </c>
      <c r="N5261" s="434">
        <v>197127</v>
      </c>
      <c r="O5261" s="436">
        <f t="shared" si="219"/>
        <v>10447731</v>
      </c>
      <c r="P5261" s="89" t="s">
        <v>2744</v>
      </c>
      <c r="Q5261" s="422" t="s">
        <v>47</v>
      </c>
      <c r="R5261" s="422" t="s">
        <v>1869</v>
      </c>
      <c r="S5261" s="422" t="s">
        <v>1861</v>
      </c>
      <c r="U5261" s="422" t="s">
        <v>1953</v>
      </c>
      <c r="V5261" s="422" t="s">
        <v>2813</v>
      </c>
    </row>
    <row r="5262" spans="1:22" ht="15.75" thickBot="1" x14ac:dyDescent="0.3">
      <c r="A5262" t="s">
        <v>2868</v>
      </c>
      <c r="B5262" t="s">
        <v>2868</v>
      </c>
      <c r="C5262" s="424" t="str">
        <f t="shared" si="220"/>
        <v>Rodoviária do Tejo</v>
      </c>
      <c r="D5262" t="s">
        <v>629</v>
      </c>
      <c r="F5262" s="422" t="s">
        <v>620</v>
      </c>
      <c r="G5262" s="89" t="s">
        <v>2202</v>
      </c>
      <c r="H5262" s="313" t="s">
        <v>733</v>
      </c>
      <c r="I5262" s="311" t="str">
        <f t="shared" si="218"/>
        <v>Pesado de Passageiros M3:  : Gasóleo : E6</v>
      </c>
      <c r="J5262">
        <v>53</v>
      </c>
      <c r="K5262" s="422">
        <v>2023</v>
      </c>
      <c r="L5262" s="427">
        <v>54106.770000000004</v>
      </c>
      <c r="M5262" s="427" t="s">
        <v>630</v>
      </c>
      <c r="N5262" s="434">
        <v>194219</v>
      </c>
      <c r="O5262" s="436">
        <f t="shared" si="219"/>
        <v>10293607</v>
      </c>
      <c r="P5262" s="89" t="s">
        <v>2745</v>
      </c>
      <c r="Q5262" s="422" t="s">
        <v>47</v>
      </c>
      <c r="R5262" s="422" t="s">
        <v>1869</v>
      </c>
      <c r="S5262" s="422" t="s">
        <v>1861</v>
      </c>
      <c r="U5262" s="422" t="s">
        <v>1953</v>
      </c>
      <c r="V5262" s="422" t="s">
        <v>2813</v>
      </c>
    </row>
    <row r="5263" spans="1:22" ht="15.75" thickBot="1" x14ac:dyDescent="0.3">
      <c r="A5263" t="s">
        <v>2868</v>
      </c>
      <c r="B5263" t="s">
        <v>2868</v>
      </c>
      <c r="C5263" s="424" t="str">
        <f t="shared" si="220"/>
        <v>Rodoviária do Tejo</v>
      </c>
      <c r="D5263" t="s">
        <v>629</v>
      </c>
      <c r="F5263" s="422" t="s">
        <v>620</v>
      </c>
      <c r="G5263" s="89" t="s">
        <v>2202</v>
      </c>
      <c r="H5263" s="313" t="s">
        <v>733</v>
      </c>
      <c r="I5263" s="311" t="str">
        <f t="shared" si="218"/>
        <v>Pesado de Passageiros M3:  : Gasóleo : E6</v>
      </c>
      <c r="J5263">
        <v>53</v>
      </c>
      <c r="K5263" s="422">
        <v>2023</v>
      </c>
      <c r="L5263" s="427">
        <v>40247.229999999996</v>
      </c>
      <c r="M5263" s="427" t="s">
        <v>630</v>
      </c>
      <c r="N5263" s="434">
        <v>151143</v>
      </c>
      <c r="O5263" s="436">
        <f t="shared" si="219"/>
        <v>8010579</v>
      </c>
      <c r="P5263" s="89" t="s">
        <v>2746</v>
      </c>
      <c r="Q5263" s="422" t="s">
        <v>47</v>
      </c>
      <c r="R5263" s="422" t="s">
        <v>1869</v>
      </c>
      <c r="S5263" s="422" t="s">
        <v>1861</v>
      </c>
      <c r="U5263" s="422" t="s">
        <v>1953</v>
      </c>
      <c r="V5263" s="422" t="s">
        <v>2813</v>
      </c>
    </row>
    <row r="5264" spans="1:22" ht="15.75" thickBot="1" x14ac:dyDescent="0.3">
      <c r="A5264" t="s">
        <v>2868</v>
      </c>
      <c r="B5264" t="s">
        <v>2868</v>
      </c>
      <c r="C5264" s="424" t="str">
        <f t="shared" si="220"/>
        <v>Rodoviária do Tejo</v>
      </c>
      <c r="D5264" t="s">
        <v>629</v>
      </c>
      <c r="F5264" s="422" t="s">
        <v>620</v>
      </c>
      <c r="G5264" s="89" t="s">
        <v>2202</v>
      </c>
      <c r="H5264" s="313" t="s">
        <v>733</v>
      </c>
      <c r="I5264" s="311" t="str">
        <f t="shared" si="218"/>
        <v>Pesado de Passageiros M3:  : Gasóleo : E6</v>
      </c>
      <c r="J5264">
        <v>53</v>
      </c>
      <c r="K5264" s="422">
        <v>2023</v>
      </c>
      <c r="L5264" s="427">
        <v>18870.12</v>
      </c>
      <c r="M5264" s="427" t="s">
        <v>630</v>
      </c>
      <c r="N5264" s="434">
        <v>64272</v>
      </c>
      <c r="O5264" s="436">
        <f t="shared" si="219"/>
        <v>3406416</v>
      </c>
      <c r="P5264" s="89" t="s">
        <v>2747</v>
      </c>
      <c r="Q5264" s="422" t="s">
        <v>47</v>
      </c>
      <c r="R5264" s="422" t="s">
        <v>1869</v>
      </c>
      <c r="S5264" s="422" t="s">
        <v>1861</v>
      </c>
      <c r="U5264" s="422" t="s">
        <v>1953</v>
      </c>
      <c r="V5264" s="422" t="s">
        <v>2813</v>
      </c>
    </row>
    <row r="5265" spans="1:22" ht="15.75" thickBot="1" x14ac:dyDescent="0.3">
      <c r="A5265" t="s">
        <v>2868</v>
      </c>
      <c r="B5265" t="s">
        <v>2868</v>
      </c>
      <c r="C5265" s="424" t="str">
        <f t="shared" si="220"/>
        <v>Rodoviária do Tejo</v>
      </c>
      <c r="D5265" t="s">
        <v>629</v>
      </c>
      <c r="F5265" s="422" t="s">
        <v>620</v>
      </c>
      <c r="G5265" s="89" t="s">
        <v>2226</v>
      </c>
      <c r="H5265" s="313" t="s">
        <v>733</v>
      </c>
      <c r="I5265" s="311" t="str">
        <f t="shared" si="218"/>
        <v>Pesado de Passageiros M3:  : Gasóleo : E6</v>
      </c>
      <c r="J5265">
        <v>53</v>
      </c>
      <c r="K5265" s="422">
        <v>2023</v>
      </c>
      <c r="L5265" s="427">
        <v>46863.58</v>
      </c>
      <c r="M5265" s="427" t="s">
        <v>630</v>
      </c>
      <c r="N5265" s="434">
        <v>179800</v>
      </c>
      <c r="O5265" s="436">
        <f t="shared" si="219"/>
        <v>9529400</v>
      </c>
      <c r="P5265" s="89" t="s">
        <v>2755</v>
      </c>
      <c r="Q5265" s="422" t="s">
        <v>47</v>
      </c>
      <c r="R5265" s="422" t="s">
        <v>1869</v>
      </c>
      <c r="S5265" s="422" t="s">
        <v>1861</v>
      </c>
      <c r="U5265" s="422" t="s">
        <v>1953</v>
      </c>
      <c r="V5265" s="422" t="s">
        <v>2813</v>
      </c>
    </row>
    <row r="5266" spans="1:22" ht="15.75" thickBot="1" x14ac:dyDescent="0.3">
      <c r="A5266" t="s">
        <v>2868</v>
      </c>
      <c r="B5266" t="s">
        <v>2868</v>
      </c>
      <c r="C5266" s="424" t="str">
        <f t="shared" si="220"/>
        <v>Rodoviária do Tejo</v>
      </c>
      <c r="D5266" t="s">
        <v>629</v>
      </c>
      <c r="F5266" s="422" t="s">
        <v>620</v>
      </c>
      <c r="G5266" s="89" t="s">
        <v>2226</v>
      </c>
      <c r="H5266" s="313" t="s">
        <v>733</v>
      </c>
      <c r="I5266" s="311" t="str">
        <f t="shared" si="218"/>
        <v>Pesado de Passageiros M3:  : Gasóleo : E6</v>
      </c>
      <c r="J5266">
        <v>53</v>
      </c>
      <c r="K5266" s="422">
        <v>2023</v>
      </c>
      <c r="L5266" s="427">
        <v>56199.619999999995</v>
      </c>
      <c r="M5266" s="427" t="s">
        <v>630</v>
      </c>
      <c r="N5266" s="434">
        <v>207991</v>
      </c>
      <c r="O5266" s="436">
        <f t="shared" si="219"/>
        <v>11023523</v>
      </c>
      <c r="P5266" s="89" t="s">
        <v>2756</v>
      </c>
      <c r="Q5266" s="422" t="s">
        <v>47</v>
      </c>
      <c r="R5266" s="422" t="s">
        <v>1869</v>
      </c>
      <c r="S5266" s="422" t="s">
        <v>1861</v>
      </c>
      <c r="U5266" s="422" t="s">
        <v>1953</v>
      </c>
      <c r="V5266" s="422" t="s">
        <v>2813</v>
      </c>
    </row>
    <row r="5267" spans="1:22" ht="15.75" thickBot="1" x14ac:dyDescent="0.3">
      <c r="A5267" t="s">
        <v>2868</v>
      </c>
      <c r="B5267" t="s">
        <v>2868</v>
      </c>
      <c r="C5267" s="424" t="str">
        <f t="shared" si="220"/>
        <v>Rodoviária do Tejo</v>
      </c>
      <c r="D5267" t="s">
        <v>629</v>
      </c>
      <c r="F5267" s="422" t="s">
        <v>620</v>
      </c>
      <c r="G5267" s="89" t="s">
        <v>2227</v>
      </c>
      <c r="H5267" s="313" t="s">
        <v>733</v>
      </c>
      <c r="I5267" s="311" t="str">
        <f t="shared" si="218"/>
        <v>Pesado de Passageiros M3:  : Gasóleo : E6</v>
      </c>
      <c r="J5267">
        <v>53</v>
      </c>
      <c r="K5267" s="422">
        <v>2023</v>
      </c>
      <c r="L5267" s="427">
        <v>61660.55</v>
      </c>
      <c r="M5267" s="427" t="s">
        <v>630</v>
      </c>
      <c r="N5267" s="434">
        <v>252792</v>
      </c>
      <c r="O5267" s="436">
        <f t="shared" si="219"/>
        <v>13397976</v>
      </c>
      <c r="P5267" s="89" t="s">
        <v>2759</v>
      </c>
      <c r="Q5267" s="422" t="s">
        <v>47</v>
      </c>
      <c r="R5267" s="422" t="s">
        <v>1869</v>
      </c>
      <c r="S5267" s="422" t="s">
        <v>1861</v>
      </c>
      <c r="U5267" s="422" t="s">
        <v>1953</v>
      </c>
      <c r="V5267" s="422" t="s">
        <v>2813</v>
      </c>
    </row>
    <row r="5268" spans="1:22" ht="15.75" thickBot="1" x14ac:dyDescent="0.3">
      <c r="A5268" t="s">
        <v>2868</v>
      </c>
      <c r="B5268" t="s">
        <v>2868</v>
      </c>
      <c r="C5268" s="424" t="str">
        <f t="shared" si="220"/>
        <v>Rodoviária do Tejo</v>
      </c>
      <c r="D5268" t="s">
        <v>629</v>
      </c>
      <c r="F5268" s="422" t="s">
        <v>620</v>
      </c>
      <c r="G5268" s="89" t="s">
        <v>2227</v>
      </c>
      <c r="H5268" s="313" t="s">
        <v>733</v>
      </c>
      <c r="I5268" s="311" t="str">
        <f t="shared" si="218"/>
        <v>Pesado de Passageiros M3:  : Gasóleo : E6</v>
      </c>
      <c r="J5268">
        <v>26</v>
      </c>
      <c r="K5268" s="422">
        <v>2023</v>
      </c>
      <c r="L5268" s="427">
        <v>8986.61</v>
      </c>
      <c r="M5268" s="427" t="s">
        <v>630</v>
      </c>
      <c r="N5268" s="434">
        <v>45269</v>
      </c>
      <c r="O5268" s="436">
        <f t="shared" si="219"/>
        <v>1176994</v>
      </c>
      <c r="P5268" s="89" t="s">
        <v>5788</v>
      </c>
      <c r="Q5268" s="422" t="s">
        <v>47</v>
      </c>
      <c r="R5268" s="422" t="s">
        <v>1869</v>
      </c>
      <c r="S5268" s="422" t="s">
        <v>1861</v>
      </c>
      <c r="U5268" s="422" t="s">
        <v>1953</v>
      </c>
      <c r="V5268" s="422" t="s">
        <v>2813</v>
      </c>
    </row>
    <row r="5269" spans="1:22" ht="15.75" thickBot="1" x14ac:dyDescent="0.3">
      <c r="A5269" t="s">
        <v>2868</v>
      </c>
      <c r="B5269" t="s">
        <v>2868</v>
      </c>
      <c r="C5269" s="424" t="str">
        <f t="shared" si="220"/>
        <v>Rodoviária do Tejo</v>
      </c>
      <c r="D5269" t="s">
        <v>629</v>
      </c>
      <c r="F5269" s="422" t="s">
        <v>620</v>
      </c>
      <c r="G5269" s="89" t="s">
        <v>2225</v>
      </c>
      <c r="H5269" s="313" t="s">
        <v>734</v>
      </c>
      <c r="I5269" s="311" t="str">
        <f t="shared" si="218"/>
        <v>Pesado de Passageiros M3:  : Gasóleo : E5</v>
      </c>
      <c r="J5269">
        <v>36</v>
      </c>
      <c r="K5269" s="422">
        <v>2023</v>
      </c>
      <c r="L5269" s="427">
        <v>1001.12</v>
      </c>
      <c r="M5269" s="427" t="s">
        <v>630</v>
      </c>
      <c r="N5269" s="434">
        <v>2872</v>
      </c>
      <c r="O5269" s="436">
        <f t="shared" si="219"/>
        <v>103392</v>
      </c>
      <c r="P5269" s="89" t="s">
        <v>5789</v>
      </c>
      <c r="Q5269" s="422" t="s">
        <v>47</v>
      </c>
      <c r="R5269" s="422" t="s">
        <v>1869</v>
      </c>
      <c r="S5269" s="422" t="s">
        <v>1861</v>
      </c>
      <c r="U5269" s="422" t="s">
        <v>1953</v>
      </c>
      <c r="V5269" s="422" t="s">
        <v>2813</v>
      </c>
    </row>
    <row r="5270" spans="1:22" ht="15.75" thickBot="1" x14ac:dyDescent="0.3">
      <c r="A5270" t="s">
        <v>2868</v>
      </c>
      <c r="B5270" t="s">
        <v>2868</v>
      </c>
      <c r="C5270" s="424" t="str">
        <f t="shared" si="220"/>
        <v>Rodoviária do Tejo</v>
      </c>
      <c r="D5270" t="s">
        <v>629</v>
      </c>
      <c r="F5270" s="422" t="s">
        <v>620</v>
      </c>
      <c r="G5270" s="89" t="s">
        <v>2206</v>
      </c>
      <c r="H5270" s="313" t="s">
        <v>735</v>
      </c>
      <c r="I5270" s="311" t="str">
        <f t="shared" si="218"/>
        <v>Pesado de Passageiros M3:  : Gasóleo : E2</v>
      </c>
      <c r="J5270">
        <v>74</v>
      </c>
      <c r="K5270" s="422">
        <v>2023</v>
      </c>
      <c r="L5270" s="427">
        <v>4967.2800000000007</v>
      </c>
      <c r="M5270" s="427" t="s">
        <v>630</v>
      </c>
      <c r="N5270" s="434">
        <v>13269</v>
      </c>
      <c r="O5270" s="436">
        <f t="shared" si="219"/>
        <v>981906</v>
      </c>
      <c r="P5270" s="89" t="s">
        <v>2787</v>
      </c>
      <c r="Q5270" s="422" t="s">
        <v>47</v>
      </c>
      <c r="R5270" s="422" t="s">
        <v>1869</v>
      </c>
      <c r="S5270" s="422" t="s">
        <v>1861</v>
      </c>
      <c r="U5270" s="422" t="s">
        <v>1953</v>
      </c>
      <c r="V5270" s="422" t="s">
        <v>2813</v>
      </c>
    </row>
    <row r="5271" spans="1:22" ht="15.75" thickBot="1" x14ac:dyDescent="0.3">
      <c r="A5271" t="s">
        <v>2868</v>
      </c>
      <c r="B5271" t="s">
        <v>2868</v>
      </c>
      <c r="C5271" s="424" t="str">
        <f t="shared" si="220"/>
        <v>Rodoviária do Tejo</v>
      </c>
      <c r="D5271" t="s">
        <v>629</v>
      </c>
      <c r="F5271" s="422" t="s">
        <v>620</v>
      </c>
      <c r="G5271" s="89" t="s">
        <v>2229</v>
      </c>
      <c r="H5271" s="313" t="s">
        <v>733</v>
      </c>
      <c r="I5271" s="311" t="str">
        <f t="shared" si="218"/>
        <v>Pesado de Passageiros M3:  : Gasóleo : E6</v>
      </c>
      <c r="J5271">
        <v>53</v>
      </c>
      <c r="K5271" s="422">
        <v>2023</v>
      </c>
      <c r="L5271" s="427">
        <v>58289.060000000005</v>
      </c>
      <c r="M5271" s="427" t="s">
        <v>630</v>
      </c>
      <c r="N5271" s="434">
        <v>224953</v>
      </c>
      <c r="O5271" s="436">
        <f t="shared" si="219"/>
        <v>11922509</v>
      </c>
      <c r="P5271" s="89" t="s">
        <v>2790</v>
      </c>
      <c r="Q5271" s="422" t="s">
        <v>47</v>
      </c>
      <c r="R5271" s="422" t="s">
        <v>1869</v>
      </c>
      <c r="S5271" s="422" t="s">
        <v>1861</v>
      </c>
      <c r="U5271" s="422" t="s">
        <v>1953</v>
      </c>
      <c r="V5271" s="422" t="s">
        <v>2813</v>
      </c>
    </row>
    <row r="5272" spans="1:22" ht="15.75" thickBot="1" x14ac:dyDescent="0.3">
      <c r="A5272" t="s">
        <v>2868</v>
      </c>
      <c r="B5272" t="s">
        <v>2868</v>
      </c>
      <c r="C5272" s="424" t="str">
        <f t="shared" si="220"/>
        <v>Rodoviária do Tejo</v>
      </c>
      <c r="D5272" t="s">
        <v>629</v>
      </c>
      <c r="F5272" s="422" t="s">
        <v>620</v>
      </c>
      <c r="G5272" s="89" t="s">
        <v>2229</v>
      </c>
      <c r="H5272" s="313" t="s">
        <v>733</v>
      </c>
      <c r="I5272" s="311" t="str">
        <f t="shared" si="218"/>
        <v>Pesado de Passageiros M3:  : Gasóleo : E6</v>
      </c>
      <c r="J5272">
        <v>53</v>
      </c>
      <c r="K5272" s="422">
        <v>2023</v>
      </c>
      <c r="L5272" s="427">
        <v>55714.44</v>
      </c>
      <c r="M5272" s="427" t="s">
        <v>630</v>
      </c>
      <c r="N5272" s="434">
        <v>212926</v>
      </c>
      <c r="O5272" s="436">
        <f t="shared" si="219"/>
        <v>11285078</v>
      </c>
      <c r="P5272" s="89" t="s">
        <v>2791</v>
      </c>
      <c r="Q5272" s="422" t="s">
        <v>47</v>
      </c>
      <c r="R5272" s="422" t="s">
        <v>1869</v>
      </c>
      <c r="S5272" s="422" t="s">
        <v>1861</v>
      </c>
      <c r="U5272" s="422" t="s">
        <v>1953</v>
      </c>
      <c r="V5272" s="422" t="s">
        <v>2813</v>
      </c>
    </row>
    <row r="5273" spans="1:22" ht="15.75" thickBot="1" x14ac:dyDescent="0.3">
      <c r="A5273" t="s">
        <v>2868</v>
      </c>
      <c r="B5273" t="s">
        <v>2868</v>
      </c>
      <c r="C5273" s="424" t="str">
        <f t="shared" si="220"/>
        <v>Rodoviária do Tejo</v>
      </c>
      <c r="D5273" t="s">
        <v>1919</v>
      </c>
      <c r="F5273" s="422" t="s">
        <v>620</v>
      </c>
      <c r="G5273" s="89" t="s">
        <v>2205</v>
      </c>
      <c r="H5273" s="313" t="s">
        <v>731</v>
      </c>
      <c r="I5273" s="311" t="str">
        <f t="shared" si="218"/>
        <v>Pesado de Passageiros M2:  : Gasóleo : E4</v>
      </c>
      <c r="J5273">
        <v>21</v>
      </c>
      <c r="K5273" s="422">
        <v>2023</v>
      </c>
      <c r="L5273" s="427">
        <v>1096.3800000000001</v>
      </c>
      <c r="M5273" s="427" t="s">
        <v>630</v>
      </c>
      <c r="N5273" s="434">
        <v>6625</v>
      </c>
      <c r="O5273" s="436">
        <f t="shared" si="219"/>
        <v>139125</v>
      </c>
      <c r="P5273" s="89" t="s">
        <v>5790</v>
      </c>
      <c r="Q5273" s="422" t="s">
        <v>47</v>
      </c>
      <c r="R5273" s="422" t="s">
        <v>1869</v>
      </c>
      <c r="S5273" s="422" t="s">
        <v>1861</v>
      </c>
      <c r="U5273" s="422" t="s">
        <v>1953</v>
      </c>
      <c r="V5273" s="422" t="s">
        <v>2813</v>
      </c>
    </row>
    <row r="5274" spans="1:22" ht="15.75" thickBot="1" x14ac:dyDescent="0.3">
      <c r="A5274" t="s">
        <v>2868</v>
      </c>
      <c r="B5274" t="s">
        <v>2868</v>
      </c>
      <c r="C5274" s="424" t="str">
        <f t="shared" si="220"/>
        <v>Rodoviária do Tejo</v>
      </c>
      <c r="D5274" t="s">
        <v>629</v>
      </c>
      <c r="F5274" s="422" t="s">
        <v>620</v>
      </c>
      <c r="G5274" s="89" t="s">
        <v>2213</v>
      </c>
      <c r="H5274" s="313" t="s">
        <v>734</v>
      </c>
      <c r="I5274" s="311" t="str">
        <f t="shared" si="218"/>
        <v>Pesado de Passageiros M3:  : Gasóleo : E5</v>
      </c>
      <c r="J5274">
        <v>23</v>
      </c>
      <c r="K5274" s="422">
        <v>2023</v>
      </c>
      <c r="L5274" s="427">
        <v>228.68</v>
      </c>
      <c r="M5274" s="427" t="s">
        <v>630</v>
      </c>
      <c r="N5274" s="434">
        <v>1143</v>
      </c>
      <c r="O5274" s="436">
        <f t="shared" si="219"/>
        <v>26289</v>
      </c>
      <c r="P5274" s="89" t="s">
        <v>5791</v>
      </c>
      <c r="Q5274" s="422" t="s">
        <v>47</v>
      </c>
      <c r="R5274" s="422" t="s">
        <v>1869</v>
      </c>
      <c r="S5274" s="422" t="s">
        <v>1861</v>
      </c>
      <c r="U5274" s="422" t="s">
        <v>1953</v>
      </c>
      <c r="V5274" s="422" t="s">
        <v>2813</v>
      </c>
    </row>
    <row r="5275" spans="1:22" ht="15.75" thickBot="1" x14ac:dyDescent="0.3">
      <c r="A5275" t="s">
        <v>2868</v>
      </c>
      <c r="B5275" t="s">
        <v>2868</v>
      </c>
      <c r="C5275" s="424" t="str">
        <f t="shared" si="220"/>
        <v>Rodoviária do Tejo</v>
      </c>
      <c r="D5275" t="s">
        <v>629</v>
      </c>
      <c r="F5275" s="422" t="s">
        <v>620</v>
      </c>
      <c r="G5275" s="89" t="s">
        <v>2213</v>
      </c>
      <c r="H5275" s="313" t="s">
        <v>734</v>
      </c>
      <c r="I5275" s="311" t="str">
        <f t="shared" si="218"/>
        <v>Pesado de Passageiros M3:  : Gasóleo : E5</v>
      </c>
      <c r="J5275">
        <v>23</v>
      </c>
      <c r="K5275" s="422">
        <v>2023</v>
      </c>
      <c r="L5275" s="427">
        <v>4422.55</v>
      </c>
      <c r="M5275" s="427" t="s">
        <v>630</v>
      </c>
      <c r="N5275" s="434">
        <v>21917</v>
      </c>
      <c r="O5275" s="436">
        <f t="shared" si="219"/>
        <v>504091</v>
      </c>
      <c r="P5275" s="89" t="s">
        <v>5792</v>
      </c>
      <c r="Q5275" s="422" t="s">
        <v>47</v>
      </c>
      <c r="R5275" s="422" t="s">
        <v>1869</v>
      </c>
      <c r="S5275" s="422" t="s">
        <v>1861</v>
      </c>
      <c r="U5275" s="422" t="s">
        <v>1953</v>
      </c>
      <c r="V5275" s="422" t="s">
        <v>2813</v>
      </c>
    </row>
    <row r="5276" spans="1:22" ht="15.75" thickBot="1" x14ac:dyDescent="0.3">
      <c r="A5276" t="s">
        <v>2868</v>
      </c>
      <c r="B5276" t="s">
        <v>2868</v>
      </c>
      <c r="C5276" s="424" t="str">
        <f t="shared" si="220"/>
        <v>Rodoviária do Tejo</v>
      </c>
      <c r="D5276" t="s">
        <v>629</v>
      </c>
      <c r="F5276" s="422" t="s">
        <v>620</v>
      </c>
      <c r="G5276" s="89" t="s">
        <v>2226</v>
      </c>
      <c r="H5276" s="313" t="s">
        <v>733</v>
      </c>
      <c r="I5276" s="311" t="str">
        <f t="shared" si="218"/>
        <v>Pesado de Passageiros M3:  : Gasóleo : E6</v>
      </c>
      <c r="J5276">
        <v>48</v>
      </c>
      <c r="K5276" s="422">
        <v>2023</v>
      </c>
      <c r="L5276" s="427">
        <v>63029.710000000006</v>
      </c>
      <c r="M5276" s="427" t="s">
        <v>630</v>
      </c>
      <c r="N5276" s="434">
        <v>244125</v>
      </c>
      <c r="O5276" s="436">
        <f t="shared" si="219"/>
        <v>11718000</v>
      </c>
      <c r="P5276" s="89" t="s">
        <v>5793</v>
      </c>
      <c r="Q5276" s="422" t="s">
        <v>47</v>
      </c>
      <c r="R5276" s="422" t="s">
        <v>1869</v>
      </c>
      <c r="S5276" s="422" t="s">
        <v>1861</v>
      </c>
      <c r="U5276" s="422" t="s">
        <v>1953</v>
      </c>
      <c r="V5276" s="422" t="s">
        <v>2813</v>
      </c>
    </row>
    <row r="5277" spans="1:22" ht="15.75" thickBot="1" x14ac:dyDescent="0.3">
      <c r="A5277" t="s">
        <v>2868</v>
      </c>
      <c r="B5277" t="s">
        <v>2868</v>
      </c>
      <c r="C5277" s="424" t="str">
        <f t="shared" si="220"/>
        <v>Rodoviária do Tejo</v>
      </c>
      <c r="D5277" t="s">
        <v>629</v>
      </c>
      <c r="F5277" s="422" t="s">
        <v>620</v>
      </c>
      <c r="G5277" s="89" t="s">
        <v>2226</v>
      </c>
      <c r="H5277" s="313" t="s">
        <v>733</v>
      </c>
      <c r="I5277" s="311" t="str">
        <f t="shared" si="218"/>
        <v>Pesado de Passageiros M3:  : Gasóleo : E6</v>
      </c>
      <c r="J5277">
        <v>48</v>
      </c>
      <c r="K5277" s="422">
        <v>2023</v>
      </c>
      <c r="L5277" s="427">
        <v>78037.34</v>
      </c>
      <c r="M5277" s="427" t="s">
        <v>630</v>
      </c>
      <c r="N5277" s="434">
        <v>308249</v>
      </c>
      <c r="O5277" s="436">
        <f t="shared" si="219"/>
        <v>14795952</v>
      </c>
      <c r="P5277" s="89" t="s">
        <v>5794</v>
      </c>
      <c r="Q5277" s="422" t="s">
        <v>47</v>
      </c>
      <c r="R5277" s="422" t="s">
        <v>1869</v>
      </c>
      <c r="S5277" s="422" t="s">
        <v>1861</v>
      </c>
      <c r="U5277" s="422" t="s">
        <v>1953</v>
      </c>
      <c r="V5277" s="422" t="s">
        <v>2813</v>
      </c>
    </row>
    <row r="5278" spans="1:22" ht="15.75" thickBot="1" x14ac:dyDescent="0.3">
      <c r="A5278" t="s">
        <v>2868</v>
      </c>
      <c r="B5278" t="s">
        <v>2868</v>
      </c>
      <c r="C5278" s="424" t="str">
        <f t="shared" si="220"/>
        <v>Rodoviária do Tejo</v>
      </c>
      <c r="D5278" t="s">
        <v>629</v>
      </c>
      <c r="F5278" s="422" t="s">
        <v>620</v>
      </c>
      <c r="G5278" s="89" t="s">
        <v>2226</v>
      </c>
      <c r="H5278" s="313" t="s">
        <v>733</v>
      </c>
      <c r="I5278" s="311" t="str">
        <f t="shared" si="218"/>
        <v>Pesado de Passageiros M3:  : Gasóleo : E6</v>
      </c>
      <c r="J5278">
        <v>48</v>
      </c>
      <c r="K5278" s="422">
        <v>2023</v>
      </c>
      <c r="L5278" s="427">
        <v>72268.05</v>
      </c>
      <c r="M5278" s="427" t="s">
        <v>630</v>
      </c>
      <c r="N5278" s="434">
        <v>278968</v>
      </c>
      <c r="O5278" s="436">
        <f t="shared" si="219"/>
        <v>13390464</v>
      </c>
      <c r="P5278" s="89" t="s">
        <v>5795</v>
      </c>
      <c r="Q5278" s="422" t="s">
        <v>47</v>
      </c>
      <c r="R5278" s="422" t="s">
        <v>1869</v>
      </c>
      <c r="S5278" s="422" t="s">
        <v>1861</v>
      </c>
      <c r="U5278" s="422" t="s">
        <v>1953</v>
      </c>
      <c r="V5278" s="422" t="s">
        <v>2813</v>
      </c>
    </row>
    <row r="5279" spans="1:22" ht="15.75" thickBot="1" x14ac:dyDescent="0.3">
      <c r="A5279" t="s">
        <v>2868</v>
      </c>
      <c r="B5279" t="s">
        <v>2868</v>
      </c>
      <c r="C5279" s="424" t="str">
        <f t="shared" si="220"/>
        <v>Rodoviária do Tejo</v>
      </c>
      <c r="D5279" t="s">
        <v>629</v>
      </c>
      <c r="F5279" s="422" t="s">
        <v>620</v>
      </c>
      <c r="G5279" s="89" t="s">
        <v>2227</v>
      </c>
      <c r="H5279" s="313" t="s">
        <v>733</v>
      </c>
      <c r="I5279" s="311" t="str">
        <f t="shared" si="218"/>
        <v>Pesado de Passageiros M3:  : Gasóleo : E6</v>
      </c>
      <c r="J5279">
        <v>62</v>
      </c>
      <c r="K5279" s="422">
        <v>2023</v>
      </c>
      <c r="L5279" s="427">
        <v>87821.68</v>
      </c>
      <c r="M5279" s="427" t="s">
        <v>630</v>
      </c>
      <c r="N5279" s="434">
        <v>302742</v>
      </c>
      <c r="O5279" s="436">
        <f t="shared" si="219"/>
        <v>18770004</v>
      </c>
      <c r="P5279" s="89" t="s">
        <v>5796</v>
      </c>
      <c r="Q5279" s="422" t="s">
        <v>47</v>
      </c>
      <c r="R5279" s="422" t="s">
        <v>1869</v>
      </c>
      <c r="S5279" s="422" t="s">
        <v>1861</v>
      </c>
      <c r="U5279" s="422" t="s">
        <v>1953</v>
      </c>
      <c r="V5279" s="422" t="s">
        <v>2813</v>
      </c>
    </row>
    <row r="5280" spans="1:22" ht="15.75" thickBot="1" x14ac:dyDescent="0.3">
      <c r="A5280" t="s">
        <v>2868</v>
      </c>
      <c r="B5280" t="s">
        <v>2868</v>
      </c>
      <c r="C5280" s="424" t="str">
        <f t="shared" si="220"/>
        <v>Rodoviária do Tejo</v>
      </c>
      <c r="D5280" t="s">
        <v>629</v>
      </c>
      <c r="F5280" s="422" t="s">
        <v>620</v>
      </c>
      <c r="G5280" s="89" t="s">
        <v>2227</v>
      </c>
      <c r="H5280" s="313" t="s">
        <v>733</v>
      </c>
      <c r="I5280" s="311" t="str">
        <f t="shared" si="218"/>
        <v>Pesado de Passageiros M3:  : Gasóleo : E6</v>
      </c>
      <c r="J5280">
        <v>62</v>
      </c>
      <c r="K5280" s="422">
        <v>2023</v>
      </c>
      <c r="L5280" s="427">
        <v>103258.48</v>
      </c>
      <c r="M5280" s="427" t="s">
        <v>630</v>
      </c>
      <c r="N5280" s="434">
        <v>370287</v>
      </c>
      <c r="O5280" s="436">
        <f t="shared" si="219"/>
        <v>22957794</v>
      </c>
      <c r="P5280" s="89" t="s">
        <v>5797</v>
      </c>
      <c r="Q5280" s="422" t="s">
        <v>47</v>
      </c>
      <c r="R5280" s="422" t="s">
        <v>1869</v>
      </c>
      <c r="S5280" s="422" t="s">
        <v>1861</v>
      </c>
      <c r="U5280" s="422" t="s">
        <v>1953</v>
      </c>
      <c r="V5280" s="422" t="s">
        <v>2813</v>
      </c>
    </row>
    <row r="5281" spans="1:22" ht="15.75" thickBot="1" x14ac:dyDescent="0.3">
      <c r="A5281" t="s">
        <v>2868</v>
      </c>
      <c r="B5281" t="s">
        <v>2868</v>
      </c>
      <c r="C5281" s="424" t="str">
        <f t="shared" si="220"/>
        <v>Rodoviária do Tejo</v>
      </c>
      <c r="D5281" t="s">
        <v>629</v>
      </c>
      <c r="F5281" s="422" t="s">
        <v>620</v>
      </c>
      <c r="G5281" s="89" t="s">
        <v>2227</v>
      </c>
      <c r="H5281" s="313" t="s">
        <v>733</v>
      </c>
      <c r="I5281" s="311" t="str">
        <f t="shared" si="218"/>
        <v>Pesado de Passageiros M3:  : Gasóleo : E6</v>
      </c>
      <c r="J5281">
        <v>63</v>
      </c>
      <c r="K5281" s="422">
        <v>2023</v>
      </c>
      <c r="L5281" s="427">
        <v>70079.38</v>
      </c>
      <c r="M5281" s="427" t="s">
        <v>630</v>
      </c>
      <c r="N5281" s="434">
        <v>245002</v>
      </c>
      <c r="O5281" s="436">
        <f t="shared" si="219"/>
        <v>15435126</v>
      </c>
      <c r="P5281" s="89" t="s">
        <v>5798</v>
      </c>
      <c r="Q5281" s="422" t="s">
        <v>47</v>
      </c>
      <c r="R5281" s="422" t="s">
        <v>1869</v>
      </c>
      <c r="S5281" s="422" t="s">
        <v>1861</v>
      </c>
      <c r="U5281" s="422" t="s">
        <v>1953</v>
      </c>
      <c r="V5281" s="422" t="s">
        <v>2813</v>
      </c>
    </row>
    <row r="5282" spans="1:22" ht="15.75" thickBot="1" x14ac:dyDescent="0.3">
      <c r="A5282" t="s">
        <v>2868</v>
      </c>
      <c r="B5282" t="s">
        <v>2868</v>
      </c>
      <c r="C5282" s="424" t="str">
        <f t="shared" si="220"/>
        <v>Rodoviária do Tejo</v>
      </c>
      <c r="D5282" t="s">
        <v>629</v>
      </c>
      <c r="F5282" s="422" t="s">
        <v>620</v>
      </c>
      <c r="G5282" s="89" t="s">
        <v>2227</v>
      </c>
      <c r="H5282" s="313" t="s">
        <v>733</v>
      </c>
      <c r="I5282" s="311" t="str">
        <f t="shared" ref="I5282:I5345" si="221">D5282&amp;": "&amp;E5282&amp;" : "&amp;F5282&amp;" : "&amp;H5282</f>
        <v>Pesado de Passageiros M3:  : Gasóleo : E6</v>
      </c>
      <c r="J5282">
        <v>53</v>
      </c>
      <c r="K5282" s="422">
        <v>2023</v>
      </c>
      <c r="L5282" s="427">
        <v>59329.26</v>
      </c>
      <c r="M5282" s="427" t="s">
        <v>630</v>
      </c>
      <c r="N5282" s="434">
        <v>231407</v>
      </c>
      <c r="O5282" s="436">
        <f t="shared" ref="O5282:O5345" si="222">N5282*J5282</f>
        <v>12264571</v>
      </c>
      <c r="P5282" s="89" t="s">
        <v>5799</v>
      </c>
      <c r="Q5282" s="422" t="s">
        <v>47</v>
      </c>
      <c r="R5282" s="422" t="s">
        <v>1869</v>
      </c>
      <c r="S5282" s="422" t="s">
        <v>1861</v>
      </c>
      <c r="U5282" s="422" t="s">
        <v>1953</v>
      </c>
      <c r="V5282" s="422" t="s">
        <v>2813</v>
      </c>
    </row>
    <row r="5283" spans="1:22" ht="15.75" thickBot="1" x14ac:dyDescent="0.3">
      <c r="A5283" t="s">
        <v>2868</v>
      </c>
      <c r="B5283" t="s">
        <v>2868</v>
      </c>
      <c r="C5283" s="424" t="str">
        <f t="shared" si="220"/>
        <v>Rodoviária do Tejo</v>
      </c>
      <c r="D5283" t="s">
        <v>629</v>
      </c>
      <c r="F5283" s="422" t="s">
        <v>620</v>
      </c>
      <c r="G5283" s="89" t="s">
        <v>2227</v>
      </c>
      <c r="H5283" s="313" t="s">
        <v>733</v>
      </c>
      <c r="I5283" s="311" t="str">
        <f t="shared" si="221"/>
        <v>Pesado de Passageiros M3:  : Gasóleo : E6</v>
      </c>
      <c r="J5283">
        <v>53</v>
      </c>
      <c r="K5283" s="422">
        <v>2023</v>
      </c>
      <c r="L5283" s="427">
        <v>51666.619999999995</v>
      </c>
      <c r="M5283" s="427" t="s">
        <v>630</v>
      </c>
      <c r="N5283" s="434">
        <v>192900</v>
      </c>
      <c r="O5283" s="436">
        <f t="shared" si="222"/>
        <v>10223700</v>
      </c>
      <c r="P5283" s="89" t="s">
        <v>5800</v>
      </c>
      <c r="Q5283" s="422" t="s">
        <v>47</v>
      </c>
      <c r="R5283" s="422" t="s">
        <v>1869</v>
      </c>
      <c r="S5283" s="422" t="s">
        <v>1861</v>
      </c>
      <c r="U5283" s="422" t="s">
        <v>1953</v>
      </c>
      <c r="V5283" s="422" t="s">
        <v>2813</v>
      </c>
    </row>
    <row r="5284" spans="1:22" ht="15.75" thickBot="1" x14ac:dyDescent="0.3">
      <c r="A5284" t="s">
        <v>2868</v>
      </c>
      <c r="B5284" t="s">
        <v>2868</v>
      </c>
      <c r="C5284" s="424" t="str">
        <f t="shared" si="220"/>
        <v>Rodoviária do Tejo</v>
      </c>
      <c r="D5284" t="s">
        <v>629</v>
      </c>
      <c r="F5284" s="422" t="s">
        <v>620</v>
      </c>
      <c r="G5284" s="89" t="s">
        <v>2227</v>
      </c>
      <c r="H5284" s="313" t="s">
        <v>733</v>
      </c>
      <c r="I5284" s="311" t="str">
        <f t="shared" si="221"/>
        <v>Pesado de Passageiros M3:  : Gasóleo : E6</v>
      </c>
      <c r="J5284">
        <v>53</v>
      </c>
      <c r="K5284" s="422">
        <v>2023</v>
      </c>
      <c r="L5284" s="427">
        <v>45922.81</v>
      </c>
      <c r="M5284" s="427" t="s">
        <v>630</v>
      </c>
      <c r="N5284" s="434">
        <v>176772</v>
      </c>
      <c r="O5284" s="436">
        <f t="shared" si="222"/>
        <v>9368916</v>
      </c>
      <c r="P5284" s="89" t="s">
        <v>5801</v>
      </c>
      <c r="Q5284" s="422" t="s">
        <v>47</v>
      </c>
      <c r="R5284" s="422" t="s">
        <v>1869</v>
      </c>
      <c r="S5284" s="422" t="s">
        <v>1861</v>
      </c>
      <c r="U5284" s="422" t="s">
        <v>1953</v>
      </c>
      <c r="V5284" s="422" t="s">
        <v>2813</v>
      </c>
    </row>
    <row r="5285" spans="1:22" ht="15.75" thickBot="1" x14ac:dyDescent="0.3">
      <c r="A5285" t="s">
        <v>2868</v>
      </c>
      <c r="B5285" t="s">
        <v>2868</v>
      </c>
      <c r="C5285" s="424" t="str">
        <f t="shared" si="220"/>
        <v>Rodoviária do Tejo</v>
      </c>
      <c r="D5285" t="s">
        <v>629</v>
      </c>
      <c r="F5285" s="422" t="s">
        <v>620</v>
      </c>
      <c r="G5285" s="89" t="s">
        <v>2229</v>
      </c>
      <c r="H5285" s="313" t="s">
        <v>733</v>
      </c>
      <c r="I5285" s="311" t="str">
        <f t="shared" si="221"/>
        <v>Pesado de Passageiros M3:  : Gasóleo : E6</v>
      </c>
      <c r="J5285">
        <v>53</v>
      </c>
      <c r="K5285" s="422">
        <v>2023</v>
      </c>
      <c r="L5285" s="427">
        <v>65242.539999999994</v>
      </c>
      <c r="M5285" s="427" t="s">
        <v>630</v>
      </c>
      <c r="N5285" s="434">
        <v>255704</v>
      </c>
      <c r="O5285" s="436">
        <f t="shared" si="222"/>
        <v>13552312</v>
      </c>
      <c r="P5285" s="89" t="s">
        <v>5802</v>
      </c>
      <c r="Q5285" s="422" t="s">
        <v>47</v>
      </c>
      <c r="R5285" s="422" t="s">
        <v>1869</v>
      </c>
      <c r="S5285" s="422" t="s">
        <v>1861</v>
      </c>
      <c r="U5285" s="422" t="s">
        <v>1953</v>
      </c>
      <c r="V5285" s="422" t="s">
        <v>2813</v>
      </c>
    </row>
    <row r="5286" spans="1:22" ht="15.75" thickBot="1" x14ac:dyDescent="0.3">
      <c r="A5286" t="s">
        <v>2868</v>
      </c>
      <c r="B5286" t="s">
        <v>2868</v>
      </c>
      <c r="C5286" s="424" t="str">
        <f t="shared" si="220"/>
        <v>Rodoviária do Tejo</v>
      </c>
      <c r="D5286" t="s">
        <v>629</v>
      </c>
      <c r="F5286" s="422" t="s">
        <v>620</v>
      </c>
      <c r="G5286" s="89" t="s">
        <v>5263</v>
      </c>
      <c r="H5286" s="313" t="s">
        <v>733</v>
      </c>
      <c r="I5286" s="311" t="str">
        <f t="shared" si="221"/>
        <v>Pesado de Passageiros M3:  : Gasóleo : E6</v>
      </c>
      <c r="J5286">
        <v>59</v>
      </c>
      <c r="K5286" s="422">
        <v>2023</v>
      </c>
      <c r="L5286" s="427">
        <v>47858.240000000005</v>
      </c>
      <c r="M5286" s="427" t="s">
        <v>630</v>
      </c>
      <c r="N5286" s="434">
        <v>193948</v>
      </c>
      <c r="O5286" s="436">
        <f t="shared" si="222"/>
        <v>11442932</v>
      </c>
      <c r="P5286" s="89" t="s">
        <v>5803</v>
      </c>
      <c r="Q5286" s="422" t="s">
        <v>47</v>
      </c>
      <c r="R5286" s="422" t="s">
        <v>1869</v>
      </c>
      <c r="S5286" s="422" t="s">
        <v>1861</v>
      </c>
      <c r="U5286" s="422" t="s">
        <v>1953</v>
      </c>
      <c r="V5286" s="422" t="s">
        <v>2813</v>
      </c>
    </row>
    <row r="5287" spans="1:22" ht="15.75" thickBot="1" x14ac:dyDescent="0.3">
      <c r="A5287" t="s">
        <v>2868</v>
      </c>
      <c r="B5287" t="s">
        <v>2868</v>
      </c>
      <c r="C5287" s="424" t="str">
        <f t="shared" si="220"/>
        <v>Rodoviária do Tejo</v>
      </c>
      <c r="D5287" t="s">
        <v>629</v>
      </c>
      <c r="F5287" s="422" t="s">
        <v>620</v>
      </c>
      <c r="G5287" s="89" t="s">
        <v>5263</v>
      </c>
      <c r="H5287" s="313" t="s">
        <v>733</v>
      </c>
      <c r="I5287" s="311" t="str">
        <f t="shared" si="221"/>
        <v>Pesado de Passageiros M3:  : Gasóleo : E6</v>
      </c>
      <c r="J5287">
        <v>53</v>
      </c>
      <c r="K5287" s="422">
        <v>2023</v>
      </c>
      <c r="L5287" s="427">
        <v>38685.550000000003</v>
      </c>
      <c r="M5287" s="427" t="s">
        <v>630</v>
      </c>
      <c r="N5287" s="434">
        <v>160600</v>
      </c>
      <c r="O5287" s="436">
        <f t="shared" si="222"/>
        <v>8511800</v>
      </c>
      <c r="P5287" s="89" t="s">
        <v>5804</v>
      </c>
      <c r="Q5287" s="422" t="s">
        <v>47</v>
      </c>
      <c r="R5287" s="422" t="s">
        <v>1869</v>
      </c>
      <c r="S5287" s="422" t="s">
        <v>1861</v>
      </c>
      <c r="U5287" s="422" t="s">
        <v>1953</v>
      </c>
      <c r="V5287" s="422" t="s">
        <v>2813</v>
      </c>
    </row>
    <row r="5288" spans="1:22" ht="15.75" thickBot="1" x14ac:dyDescent="0.3">
      <c r="A5288" t="s">
        <v>2868</v>
      </c>
      <c r="B5288" t="s">
        <v>2868</v>
      </c>
      <c r="C5288" s="424" t="str">
        <f t="shared" si="220"/>
        <v>Rodoviária do Tejo</v>
      </c>
      <c r="D5288" t="s">
        <v>629</v>
      </c>
      <c r="F5288" s="422" t="s">
        <v>620</v>
      </c>
      <c r="G5288" s="89" t="s">
        <v>2202</v>
      </c>
      <c r="H5288" s="313" t="s">
        <v>733</v>
      </c>
      <c r="I5288" s="311" t="str">
        <f t="shared" si="221"/>
        <v>Pesado de Passageiros M3:  : Gasóleo : E6</v>
      </c>
      <c r="J5288">
        <v>53</v>
      </c>
      <c r="K5288" s="422">
        <v>2023</v>
      </c>
      <c r="L5288" s="427">
        <v>39480.910000000003</v>
      </c>
      <c r="M5288" s="427" t="s">
        <v>630</v>
      </c>
      <c r="N5288" s="434">
        <v>133520</v>
      </c>
      <c r="O5288" s="436">
        <f t="shared" si="222"/>
        <v>7076560</v>
      </c>
      <c r="P5288" s="89" t="s">
        <v>5805</v>
      </c>
      <c r="Q5288" s="422" t="s">
        <v>47</v>
      </c>
      <c r="R5288" s="422" t="s">
        <v>1869</v>
      </c>
      <c r="S5288" s="422" t="s">
        <v>1861</v>
      </c>
      <c r="U5288" s="422" t="s">
        <v>1953</v>
      </c>
      <c r="V5288" s="422" t="s">
        <v>2813</v>
      </c>
    </row>
    <row r="5289" spans="1:22" ht="15.75" thickBot="1" x14ac:dyDescent="0.3">
      <c r="A5289" t="s">
        <v>2868</v>
      </c>
      <c r="B5289" t="s">
        <v>2868</v>
      </c>
      <c r="C5289" s="424" t="str">
        <f t="shared" si="220"/>
        <v>Rodoviária do Tejo</v>
      </c>
      <c r="D5289" t="s">
        <v>629</v>
      </c>
      <c r="F5289" s="422" t="s">
        <v>620</v>
      </c>
      <c r="G5289" s="89" t="s">
        <v>2202</v>
      </c>
      <c r="H5289" s="313" t="s">
        <v>733</v>
      </c>
      <c r="I5289" s="311" t="str">
        <f t="shared" si="221"/>
        <v>Pesado de Passageiros M3:  : Gasóleo : E6</v>
      </c>
      <c r="J5289">
        <v>53</v>
      </c>
      <c r="K5289" s="422">
        <v>2023</v>
      </c>
      <c r="L5289" s="427">
        <v>26402.260000000002</v>
      </c>
      <c r="M5289" s="427" t="s">
        <v>630</v>
      </c>
      <c r="N5289" s="434">
        <v>94563</v>
      </c>
      <c r="O5289" s="436">
        <f t="shared" si="222"/>
        <v>5011839</v>
      </c>
      <c r="P5289" s="89" t="s">
        <v>5806</v>
      </c>
      <c r="Q5289" s="422" t="s">
        <v>47</v>
      </c>
      <c r="R5289" s="422" t="s">
        <v>1869</v>
      </c>
      <c r="S5289" s="422" t="s">
        <v>1861</v>
      </c>
      <c r="U5289" s="422" t="s">
        <v>1953</v>
      </c>
      <c r="V5289" s="422" t="s">
        <v>2813</v>
      </c>
    </row>
    <row r="5290" spans="1:22" ht="15.75" thickBot="1" x14ac:dyDescent="0.3">
      <c r="A5290" t="s">
        <v>2868</v>
      </c>
      <c r="B5290" t="s">
        <v>2868</v>
      </c>
      <c r="C5290" s="424" t="str">
        <f t="shared" si="220"/>
        <v>Rodoviária do Tejo</v>
      </c>
      <c r="D5290" t="s">
        <v>629</v>
      </c>
      <c r="F5290" s="422" t="s">
        <v>620</v>
      </c>
      <c r="G5290" s="89" t="s">
        <v>2203</v>
      </c>
      <c r="H5290" s="313" t="s">
        <v>733</v>
      </c>
      <c r="I5290" s="311" t="str">
        <f t="shared" si="221"/>
        <v>Pesado de Passageiros M3:  : Gasóleo : E6</v>
      </c>
      <c r="J5290">
        <v>53</v>
      </c>
      <c r="K5290" s="422">
        <v>2023</v>
      </c>
      <c r="L5290" s="427">
        <v>46323.19</v>
      </c>
      <c r="M5290" s="427" t="s">
        <v>630</v>
      </c>
      <c r="N5290" s="434">
        <v>158297</v>
      </c>
      <c r="O5290" s="436">
        <f t="shared" si="222"/>
        <v>8389741</v>
      </c>
      <c r="P5290" s="89" t="s">
        <v>5807</v>
      </c>
      <c r="Q5290" s="422" t="s">
        <v>47</v>
      </c>
      <c r="R5290" s="422" t="s">
        <v>1869</v>
      </c>
      <c r="S5290" s="422" t="s">
        <v>1861</v>
      </c>
      <c r="U5290" s="422" t="s">
        <v>1953</v>
      </c>
      <c r="V5290" s="422" t="s">
        <v>2813</v>
      </c>
    </row>
    <row r="5291" spans="1:22" ht="15.75" thickBot="1" x14ac:dyDescent="0.3">
      <c r="A5291" t="s">
        <v>2868</v>
      </c>
      <c r="B5291" t="s">
        <v>2868</v>
      </c>
      <c r="C5291" s="424" t="str">
        <f t="shared" si="220"/>
        <v>Rodoviária do Tejo</v>
      </c>
      <c r="D5291" t="s">
        <v>629</v>
      </c>
      <c r="F5291" s="422" t="s">
        <v>620</v>
      </c>
      <c r="G5291" s="89" t="s">
        <v>2226</v>
      </c>
      <c r="H5291" s="313" t="s">
        <v>733</v>
      </c>
      <c r="I5291" s="311" t="str">
        <f t="shared" si="221"/>
        <v>Pesado de Passageiros M3:  : Gasóleo : E6</v>
      </c>
      <c r="J5291">
        <v>53</v>
      </c>
      <c r="K5291" s="422">
        <v>2023</v>
      </c>
      <c r="L5291" s="427">
        <v>37385.47</v>
      </c>
      <c r="M5291" s="427" t="s">
        <v>630</v>
      </c>
      <c r="N5291" s="434">
        <v>121120</v>
      </c>
      <c r="O5291" s="436">
        <f t="shared" si="222"/>
        <v>6419360</v>
      </c>
      <c r="P5291" s="89" t="s">
        <v>5808</v>
      </c>
      <c r="Q5291" s="422" t="s">
        <v>47</v>
      </c>
      <c r="R5291" s="422" t="s">
        <v>1869</v>
      </c>
      <c r="S5291" s="422" t="s">
        <v>1861</v>
      </c>
      <c r="U5291" s="422" t="s">
        <v>1953</v>
      </c>
      <c r="V5291" s="422" t="s">
        <v>2813</v>
      </c>
    </row>
    <row r="5292" spans="1:22" ht="15.75" thickBot="1" x14ac:dyDescent="0.3">
      <c r="A5292" t="s">
        <v>2868</v>
      </c>
      <c r="B5292" t="s">
        <v>2868</v>
      </c>
      <c r="C5292" s="424" t="str">
        <f t="shared" si="220"/>
        <v>Rodoviária do Tejo</v>
      </c>
      <c r="D5292" t="s">
        <v>629</v>
      </c>
      <c r="F5292" s="422" t="s">
        <v>620</v>
      </c>
      <c r="G5292" s="89" t="s">
        <v>2226</v>
      </c>
      <c r="H5292" s="313" t="s">
        <v>733</v>
      </c>
      <c r="I5292" s="311" t="str">
        <f t="shared" si="221"/>
        <v>Pesado de Passageiros M3:  : Gasóleo : E6</v>
      </c>
      <c r="J5292">
        <v>53</v>
      </c>
      <c r="K5292" s="422">
        <v>2023</v>
      </c>
      <c r="L5292" s="427">
        <v>47600.86</v>
      </c>
      <c r="M5292" s="427" t="s">
        <v>630</v>
      </c>
      <c r="N5292" s="434">
        <v>165422</v>
      </c>
      <c r="O5292" s="436">
        <f t="shared" si="222"/>
        <v>8767366</v>
      </c>
      <c r="P5292" s="89" t="s">
        <v>5809</v>
      </c>
      <c r="Q5292" s="422" t="s">
        <v>47</v>
      </c>
      <c r="R5292" s="422" t="s">
        <v>1869</v>
      </c>
      <c r="S5292" s="422" t="s">
        <v>1861</v>
      </c>
      <c r="U5292" s="422" t="s">
        <v>1953</v>
      </c>
      <c r="V5292" s="422" t="s">
        <v>2813</v>
      </c>
    </row>
    <row r="5293" spans="1:22" ht="15.75" thickBot="1" x14ac:dyDescent="0.3">
      <c r="A5293" t="s">
        <v>2868</v>
      </c>
      <c r="B5293" t="s">
        <v>2868</v>
      </c>
      <c r="C5293" s="424" t="str">
        <f t="shared" si="220"/>
        <v>Rodoviária do Tejo</v>
      </c>
      <c r="D5293" t="s">
        <v>629</v>
      </c>
      <c r="F5293" s="422" t="s">
        <v>620</v>
      </c>
      <c r="G5293" s="89" t="s">
        <v>2226</v>
      </c>
      <c r="H5293" s="313" t="s">
        <v>733</v>
      </c>
      <c r="I5293" s="311" t="str">
        <f t="shared" si="221"/>
        <v>Pesado de Passageiros M3:  : Gasóleo : E6</v>
      </c>
      <c r="J5293">
        <v>53</v>
      </c>
      <c r="K5293" s="422">
        <v>2023</v>
      </c>
      <c r="L5293" s="427">
        <v>34000.78</v>
      </c>
      <c r="M5293" s="427" t="s">
        <v>630</v>
      </c>
      <c r="N5293" s="434">
        <v>117412</v>
      </c>
      <c r="O5293" s="436">
        <f t="shared" si="222"/>
        <v>6222836</v>
      </c>
      <c r="P5293" s="89" t="s">
        <v>5810</v>
      </c>
      <c r="Q5293" s="422" t="s">
        <v>47</v>
      </c>
      <c r="R5293" s="422" t="s">
        <v>1869</v>
      </c>
      <c r="S5293" s="422" t="s">
        <v>1861</v>
      </c>
      <c r="U5293" s="422" t="s">
        <v>1953</v>
      </c>
      <c r="V5293" s="422" t="s">
        <v>2813</v>
      </c>
    </row>
    <row r="5294" spans="1:22" ht="15.75" thickBot="1" x14ac:dyDescent="0.3">
      <c r="A5294" t="s">
        <v>2868</v>
      </c>
      <c r="B5294" t="s">
        <v>2868</v>
      </c>
      <c r="C5294" s="424" t="str">
        <f t="shared" si="220"/>
        <v>Rodoviária do Tejo</v>
      </c>
      <c r="D5294" t="s">
        <v>629</v>
      </c>
      <c r="F5294" s="422" t="s">
        <v>620</v>
      </c>
      <c r="G5294" s="89" t="s">
        <v>2229</v>
      </c>
      <c r="H5294" s="313" t="s">
        <v>733</v>
      </c>
      <c r="I5294" s="311" t="str">
        <f t="shared" si="221"/>
        <v>Pesado de Passageiros M3:  : Gasóleo : E6</v>
      </c>
      <c r="J5294">
        <v>53</v>
      </c>
      <c r="K5294" s="422">
        <v>2023</v>
      </c>
      <c r="L5294" s="427">
        <v>30046.160000000003</v>
      </c>
      <c r="M5294" s="427" t="s">
        <v>630</v>
      </c>
      <c r="N5294" s="434">
        <v>109803</v>
      </c>
      <c r="O5294" s="436">
        <f t="shared" si="222"/>
        <v>5819559</v>
      </c>
      <c r="P5294" s="89" t="s">
        <v>5811</v>
      </c>
      <c r="Q5294" s="422" t="s">
        <v>47</v>
      </c>
      <c r="R5294" s="422" t="s">
        <v>1869</v>
      </c>
      <c r="S5294" s="422" t="s">
        <v>1861</v>
      </c>
      <c r="U5294" s="422" t="s">
        <v>1953</v>
      </c>
      <c r="V5294" s="422" t="s">
        <v>2813</v>
      </c>
    </row>
    <row r="5295" spans="1:22" ht="15.75" thickBot="1" x14ac:dyDescent="0.3">
      <c r="A5295" t="s">
        <v>2868</v>
      </c>
      <c r="B5295" t="s">
        <v>2868</v>
      </c>
      <c r="C5295" s="424" t="str">
        <f t="shared" si="220"/>
        <v>Rodoviária do Tejo</v>
      </c>
      <c r="D5295" t="s">
        <v>629</v>
      </c>
      <c r="F5295" s="422" t="s">
        <v>620</v>
      </c>
      <c r="G5295" s="89" t="s">
        <v>5263</v>
      </c>
      <c r="H5295" s="313" t="s">
        <v>733</v>
      </c>
      <c r="I5295" s="311" t="str">
        <f t="shared" si="221"/>
        <v>Pesado de Passageiros M3:  : Gasóleo : E6</v>
      </c>
      <c r="J5295">
        <v>53</v>
      </c>
      <c r="K5295" s="422">
        <v>2023</v>
      </c>
      <c r="L5295" s="427">
        <v>19389.45</v>
      </c>
      <c r="M5295" s="427" t="s">
        <v>630</v>
      </c>
      <c r="N5295" s="434">
        <v>71536</v>
      </c>
      <c r="O5295" s="436">
        <f t="shared" si="222"/>
        <v>3791408</v>
      </c>
      <c r="P5295" s="89" t="s">
        <v>5812</v>
      </c>
      <c r="Q5295" s="422" t="s">
        <v>47</v>
      </c>
      <c r="R5295" s="422" t="s">
        <v>1869</v>
      </c>
      <c r="S5295" s="422" t="s">
        <v>1861</v>
      </c>
      <c r="U5295" s="422" t="s">
        <v>1953</v>
      </c>
      <c r="V5295" s="422" t="s">
        <v>2813</v>
      </c>
    </row>
    <row r="5296" spans="1:22" ht="15.75" thickBot="1" x14ac:dyDescent="0.3">
      <c r="A5296" t="s">
        <v>2868</v>
      </c>
      <c r="B5296" t="s">
        <v>2868</v>
      </c>
      <c r="C5296" s="424" t="str">
        <f t="shared" si="220"/>
        <v>Rodoviária do Tejo</v>
      </c>
      <c r="D5296" t="s">
        <v>629</v>
      </c>
      <c r="F5296" s="422" t="s">
        <v>620</v>
      </c>
      <c r="G5296" s="89" t="s">
        <v>5263</v>
      </c>
      <c r="H5296" s="313" t="s">
        <v>733</v>
      </c>
      <c r="I5296" s="311" t="str">
        <f t="shared" si="221"/>
        <v>Pesado de Passageiros M3:  : Gasóleo : E6</v>
      </c>
      <c r="J5296">
        <v>53</v>
      </c>
      <c r="K5296" s="422">
        <v>2023</v>
      </c>
      <c r="L5296" s="427">
        <v>15239.12</v>
      </c>
      <c r="M5296" s="427" t="s">
        <v>630</v>
      </c>
      <c r="N5296" s="434">
        <v>55749</v>
      </c>
      <c r="O5296" s="436">
        <f t="shared" si="222"/>
        <v>2954697</v>
      </c>
      <c r="P5296" s="89" t="s">
        <v>5813</v>
      </c>
      <c r="Q5296" s="422" t="s">
        <v>47</v>
      </c>
      <c r="R5296" s="422" t="s">
        <v>1869</v>
      </c>
      <c r="S5296" s="422" t="s">
        <v>1861</v>
      </c>
      <c r="U5296" s="422" t="s">
        <v>1953</v>
      </c>
      <c r="V5296" s="422" t="s">
        <v>2813</v>
      </c>
    </row>
    <row r="5297" spans="1:22" ht="15.75" thickBot="1" x14ac:dyDescent="0.3">
      <c r="A5297" t="s">
        <v>2868</v>
      </c>
      <c r="B5297" t="s">
        <v>2868</v>
      </c>
      <c r="C5297" s="424" t="str">
        <f t="shared" si="220"/>
        <v>Rodoviária do Tejo</v>
      </c>
      <c r="D5297" t="s">
        <v>629</v>
      </c>
      <c r="F5297" s="422" t="s">
        <v>620</v>
      </c>
      <c r="G5297" s="89" t="s">
        <v>5263</v>
      </c>
      <c r="H5297" s="313" t="s">
        <v>733</v>
      </c>
      <c r="I5297" s="311" t="str">
        <f t="shared" si="221"/>
        <v>Pesado de Passageiros M3:  : Gasóleo : E6</v>
      </c>
      <c r="J5297">
        <v>53</v>
      </c>
      <c r="K5297" s="422">
        <v>2023</v>
      </c>
      <c r="L5297" s="427">
        <v>15120.9</v>
      </c>
      <c r="M5297" s="427" t="s">
        <v>630</v>
      </c>
      <c r="N5297" s="434">
        <v>56498</v>
      </c>
      <c r="O5297" s="436">
        <f t="shared" si="222"/>
        <v>2994394</v>
      </c>
      <c r="P5297" s="89" t="s">
        <v>5814</v>
      </c>
      <c r="Q5297" s="422" t="s">
        <v>47</v>
      </c>
      <c r="R5297" s="422" t="s">
        <v>1869</v>
      </c>
      <c r="S5297" s="422" t="s">
        <v>1861</v>
      </c>
      <c r="U5297" s="422" t="s">
        <v>1953</v>
      </c>
      <c r="V5297" s="422" t="s">
        <v>2813</v>
      </c>
    </row>
    <row r="5298" spans="1:22" ht="15.75" thickBot="1" x14ac:dyDescent="0.3">
      <c r="A5298" t="s">
        <v>2868</v>
      </c>
      <c r="B5298" t="s">
        <v>2868</v>
      </c>
      <c r="C5298" s="424" t="str">
        <f t="shared" ref="C5298:C5361" si="223">IF(A5298=B5298,B5298,RIGHT(A5298,LEN(A5298)-LEN(B5298)-3))</f>
        <v>Rodoviária do Tejo</v>
      </c>
      <c r="D5298" t="s">
        <v>629</v>
      </c>
      <c r="F5298" s="422" t="s">
        <v>620</v>
      </c>
      <c r="G5298" s="89" t="s">
        <v>2227</v>
      </c>
      <c r="H5298" s="313" t="s">
        <v>733</v>
      </c>
      <c r="I5298" s="311" t="str">
        <f t="shared" si="221"/>
        <v>Pesado de Passageiros M3:  : Gasóleo : E6</v>
      </c>
      <c r="J5298">
        <v>33</v>
      </c>
      <c r="K5298" s="422">
        <v>2023</v>
      </c>
      <c r="L5298" s="427">
        <v>0</v>
      </c>
      <c r="M5298" s="427" t="s">
        <v>630</v>
      </c>
      <c r="N5298" s="434">
        <v>0</v>
      </c>
      <c r="O5298" s="436">
        <f t="shared" si="222"/>
        <v>0</v>
      </c>
      <c r="P5298" s="89" t="s">
        <v>5815</v>
      </c>
      <c r="Q5298" s="422" t="s">
        <v>47</v>
      </c>
      <c r="R5298" s="422" t="s">
        <v>1869</v>
      </c>
      <c r="S5298" s="422" t="s">
        <v>1861</v>
      </c>
      <c r="U5298" s="422" t="s">
        <v>1953</v>
      </c>
      <c r="V5298" s="422" t="s">
        <v>2813</v>
      </c>
    </row>
    <row r="5299" spans="1:22" ht="15.75" thickBot="1" x14ac:dyDescent="0.3">
      <c r="A5299" t="s">
        <v>1910</v>
      </c>
      <c r="B5299" t="s">
        <v>1910</v>
      </c>
      <c r="C5299" s="424" t="str">
        <f t="shared" si="223"/>
        <v>Rodoviária de Lisboa, S.A.</v>
      </c>
      <c r="D5299" t="s">
        <v>629</v>
      </c>
      <c r="F5299" s="422" t="s">
        <v>620</v>
      </c>
      <c r="G5299" s="89" t="s">
        <v>2224</v>
      </c>
      <c r="H5299" s="313" t="s">
        <v>732</v>
      </c>
      <c r="I5299" s="311" t="str">
        <f t="shared" si="221"/>
        <v>Pesado de Passageiros M3:  : Gasóleo : E3</v>
      </c>
      <c r="J5299">
        <v>61</v>
      </c>
      <c r="K5299" s="422">
        <v>2023</v>
      </c>
      <c r="L5299">
        <v>584.5</v>
      </c>
      <c r="M5299" t="s">
        <v>630</v>
      </c>
      <c r="N5299" s="131">
        <v>1217</v>
      </c>
      <c r="O5299" s="436">
        <f t="shared" si="222"/>
        <v>74237</v>
      </c>
      <c r="Q5299" s="422" t="s">
        <v>47</v>
      </c>
      <c r="R5299" s="422" t="s">
        <v>1869</v>
      </c>
      <c r="S5299" s="422" t="s">
        <v>1861</v>
      </c>
      <c r="T5299" t="s">
        <v>4825</v>
      </c>
      <c r="U5299" s="422" t="s">
        <v>1953</v>
      </c>
      <c r="V5299" s="422" t="s">
        <v>2813</v>
      </c>
    </row>
    <row r="5300" spans="1:22" ht="15.75" thickBot="1" x14ac:dyDescent="0.3">
      <c r="A5300" t="s">
        <v>1910</v>
      </c>
      <c r="B5300" t="s">
        <v>1910</v>
      </c>
      <c r="C5300" s="424" t="str">
        <f t="shared" si="223"/>
        <v>Rodoviária de Lisboa, S.A.</v>
      </c>
      <c r="D5300" t="s">
        <v>629</v>
      </c>
      <c r="F5300" s="422" t="s">
        <v>620</v>
      </c>
      <c r="G5300" s="89">
        <v>2011</v>
      </c>
      <c r="H5300" s="313" t="s">
        <v>734</v>
      </c>
      <c r="I5300" s="311" t="str">
        <f t="shared" si="221"/>
        <v>Pesado de Passageiros M3:  : Gasóleo : E5</v>
      </c>
      <c r="J5300">
        <v>61</v>
      </c>
      <c r="K5300" s="422">
        <v>2023</v>
      </c>
      <c r="L5300">
        <v>9613</v>
      </c>
      <c r="M5300" t="s">
        <v>630</v>
      </c>
      <c r="N5300" s="131">
        <v>22182</v>
      </c>
      <c r="O5300" s="436">
        <f t="shared" si="222"/>
        <v>1353102</v>
      </c>
      <c r="Q5300" s="422" t="s">
        <v>47</v>
      </c>
      <c r="R5300" s="422" t="s">
        <v>1869</v>
      </c>
      <c r="S5300" s="422" t="s">
        <v>1861</v>
      </c>
      <c r="T5300" t="s">
        <v>4825</v>
      </c>
      <c r="U5300" s="422" t="s">
        <v>1953</v>
      </c>
      <c r="V5300" s="422" t="s">
        <v>2813</v>
      </c>
    </row>
    <row r="5301" spans="1:22" ht="15.75" thickBot="1" x14ac:dyDescent="0.3">
      <c r="A5301" t="s">
        <v>1910</v>
      </c>
      <c r="B5301" t="s">
        <v>1910</v>
      </c>
      <c r="C5301" s="424" t="str">
        <f t="shared" si="223"/>
        <v>Rodoviária de Lisboa, S.A.</v>
      </c>
      <c r="D5301" t="s">
        <v>629</v>
      </c>
      <c r="F5301" s="422" t="s">
        <v>620</v>
      </c>
      <c r="G5301" s="89" t="s">
        <v>2210</v>
      </c>
      <c r="H5301" s="313" t="s">
        <v>735</v>
      </c>
      <c r="I5301" s="311" t="str">
        <f t="shared" si="221"/>
        <v>Pesado de Passageiros M3:  : Gasóleo : E2</v>
      </c>
      <c r="J5301">
        <v>61</v>
      </c>
      <c r="K5301" s="422">
        <v>2023</v>
      </c>
      <c r="L5301">
        <v>96.5</v>
      </c>
      <c r="M5301" t="s">
        <v>630</v>
      </c>
      <c r="N5301" s="131">
        <v>182</v>
      </c>
      <c r="O5301" s="436">
        <f t="shared" si="222"/>
        <v>11102</v>
      </c>
      <c r="Q5301" s="422" t="s">
        <v>47</v>
      </c>
      <c r="R5301" s="422" t="s">
        <v>1869</v>
      </c>
      <c r="S5301" s="422" t="s">
        <v>1861</v>
      </c>
      <c r="T5301" t="s">
        <v>4825</v>
      </c>
      <c r="U5301" s="422" t="s">
        <v>1953</v>
      </c>
      <c r="V5301" s="422" t="s">
        <v>2813</v>
      </c>
    </row>
    <row r="5302" spans="1:22" ht="15.75" thickBot="1" x14ac:dyDescent="0.3">
      <c r="A5302" t="s">
        <v>1910</v>
      </c>
      <c r="B5302" t="s">
        <v>1910</v>
      </c>
      <c r="C5302" s="424" t="str">
        <f t="shared" si="223"/>
        <v>Rodoviária de Lisboa, S.A.</v>
      </c>
      <c r="D5302" t="s">
        <v>629</v>
      </c>
      <c r="F5302" s="422" t="s">
        <v>620</v>
      </c>
      <c r="G5302" s="89">
        <v>2015</v>
      </c>
      <c r="H5302" s="313" t="s">
        <v>733</v>
      </c>
      <c r="I5302" s="311" t="str">
        <f t="shared" si="221"/>
        <v>Pesado de Passageiros M3:  : Gasóleo : E6</v>
      </c>
      <c r="J5302">
        <v>61</v>
      </c>
      <c r="K5302" s="422">
        <v>2023</v>
      </c>
      <c r="L5302">
        <v>16492.5</v>
      </c>
      <c r="M5302" t="s">
        <v>630</v>
      </c>
      <c r="N5302" s="131">
        <v>35382</v>
      </c>
      <c r="O5302" s="436">
        <f t="shared" si="222"/>
        <v>2158302</v>
      </c>
      <c r="Q5302" s="422" t="s">
        <v>47</v>
      </c>
      <c r="R5302" s="422" t="s">
        <v>1869</v>
      </c>
      <c r="S5302" s="422" t="s">
        <v>1861</v>
      </c>
      <c r="T5302" t="s">
        <v>4825</v>
      </c>
      <c r="U5302" s="422" t="s">
        <v>1953</v>
      </c>
      <c r="V5302" s="422" t="s">
        <v>2813</v>
      </c>
    </row>
    <row r="5303" spans="1:22" ht="15.75" thickBot="1" x14ac:dyDescent="0.3">
      <c r="A5303" t="s">
        <v>1910</v>
      </c>
      <c r="B5303" t="s">
        <v>1910</v>
      </c>
      <c r="C5303" s="424" t="str">
        <f t="shared" si="223"/>
        <v>Rodoviária de Lisboa, S.A.</v>
      </c>
      <c r="D5303" t="s">
        <v>629</v>
      </c>
      <c r="F5303" s="422" t="s">
        <v>620</v>
      </c>
      <c r="G5303" s="89">
        <v>2015</v>
      </c>
      <c r="H5303" s="313" t="s">
        <v>733</v>
      </c>
      <c r="I5303" s="311" t="str">
        <f t="shared" si="221"/>
        <v>Pesado de Passageiros M3:  : Gasóleo : E6</v>
      </c>
      <c r="J5303">
        <v>61</v>
      </c>
      <c r="K5303" s="422">
        <v>2023</v>
      </c>
      <c r="L5303">
        <v>13467.7</v>
      </c>
      <c r="M5303" t="s">
        <v>630</v>
      </c>
      <c r="N5303" s="131">
        <v>30149</v>
      </c>
      <c r="O5303" s="436">
        <f t="shared" si="222"/>
        <v>1839089</v>
      </c>
      <c r="Q5303" s="422" t="s">
        <v>47</v>
      </c>
      <c r="R5303" s="422" t="s">
        <v>1869</v>
      </c>
      <c r="S5303" s="422" t="s">
        <v>1861</v>
      </c>
      <c r="T5303" t="s">
        <v>4825</v>
      </c>
      <c r="U5303" s="422" t="s">
        <v>1953</v>
      </c>
      <c r="V5303" s="422" t="s">
        <v>2813</v>
      </c>
    </row>
    <row r="5304" spans="1:22" ht="15.75" thickBot="1" x14ac:dyDescent="0.3">
      <c r="A5304" t="s">
        <v>1910</v>
      </c>
      <c r="B5304" t="s">
        <v>1910</v>
      </c>
      <c r="C5304" s="424" t="str">
        <f t="shared" si="223"/>
        <v>Rodoviária de Lisboa, S.A.</v>
      </c>
      <c r="D5304" t="s">
        <v>629</v>
      </c>
      <c r="F5304" s="422" t="s">
        <v>620</v>
      </c>
      <c r="G5304" s="89">
        <v>2011</v>
      </c>
      <c r="H5304" s="313" t="s">
        <v>734</v>
      </c>
      <c r="I5304" s="311" t="str">
        <f t="shared" si="221"/>
        <v>Pesado de Passageiros M3:  : Gasóleo : E5</v>
      </c>
      <c r="J5304">
        <v>144</v>
      </c>
      <c r="K5304" s="422">
        <v>2023</v>
      </c>
      <c r="L5304">
        <v>39879.300000000003</v>
      </c>
      <c r="M5304" t="s">
        <v>630</v>
      </c>
      <c r="N5304" s="131">
        <v>63227</v>
      </c>
      <c r="O5304" s="436">
        <f t="shared" si="222"/>
        <v>9104688</v>
      </c>
      <c r="Q5304" s="422" t="s">
        <v>47</v>
      </c>
      <c r="R5304" s="422" t="s">
        <v>1869</v>
      </c>
      <c r="S5304" s="422" t="s">
        <v>1861</v>
      </c>
      <c r="T5304" t="s">
        <v>4825</v>
      </c>
      <c r="U5304" s="422" t="s">
        <v>1953</v>
      </c>
      <c r="V5304" s="422" t="s">
        <v>2813</v>
      </c>
    </row>
    <row r="5305" spans="1:22" ht="15.75" thickBot="1" x14ac:dyDescent="0.3">
      <c r="A5305" t="s">
        <v>1910</v>
      </c>
      <c r="B5305" t="s">
        <v>1910</v>
      </c>
      <c r="C5305" s="424" t="str">
        <f t="shared" si="223"/>
        <v>Rodoviária de Lisboa, S.A.</v>
      </c>
      <c r="D5305" t="s">
        <v>629</v>
      </c>
      <c r="F5305" s="422" t="s">
        <v>620</v>
      </c>
      <c r="G5305" s="89" t="s">
        <v>2228</v>
      </c>
      <c r="H5305" s="313" t="s">
        <v>732</v>
      </c>
      <c r="I5305" s="311" t="str">
        <f t="shared" si="221"/>
        <v>Pesado de Passageiros M3:  : Gasóleo : E3</v>
      </c>
      <c r="J5305">
        <v>144</v>
      </c>
      <c r="K5305" s="422">
        <v>2023</v>
      </c>
      <c r="L5305">
        <v>463.8</v>
      </c>
      <c r="M5305" t="s">
        <v>630</v>
      </c>
      <c r="N5305" s="131">
        <v>1030</v>
      </c>
      <c r="O5305" s="436">
        <f t="shared" si="222"/>
        <v>148320</v>
      </c>
      <c r="Q5305" s="422" t="s">
        <v>47</v>
      </c>
      <c r="R5305" s="422" t="s">
        <v>1869</v>
      </c>
      <c r="S5305" s="422" t="s">
        <v>1861</v>
      </c>
      <c r="T5305" t="s">
        <v>4825</v>
      </c>
      <c r="U5305" s="422" t="s">
        <v>1953</v>
      </c>
      <c r="V5305" s="422" t="s">
        <v>2813</v>
      </c>
    </row>
    <row r="5306" spans="1:22" ht="15.75" thickBot="1" x14ac:dyDescent="0.3">
      <c r="A5306" t="s">
        <v>1910</v>
      </c>
      <c r="B5306" t="s">
        <v>1910</v>
      </c>
      <c r="C5306" s="424" t="str">
        <f t="shared" si="223"/>
        <v>Rodoviária de Lisboa, S.A.</v>
      </c>
      <c r="D5306" t="s">
        <v>629</v>
      </c>
      <c r="F5306" s="422" t="s">
        <v>620</v>
      </c>
      <c r="G5306" s="89" t="s">
        <v>2228</v>
      </c>
      <c r="H5306" s="313" t="s">
        <v>732</v>
      </c>
      <c r="I5306" s="311" t="str">
        <f t="shared" si="221"/>
        <v>Pesado de Passageiros M3:  : Gasóleo : E3</v>
      </c>
      <c r="J5306">
        <v>144</v>
      </c>
      <c r="K5306" s="422">
        <v>2023</v>
      </c>
      <c r="L5306">
        <v>804.4</v>
      </c>
      <c r="M5306" t="s">
        <v>630</v>
      </c>
      <c r="N5306" s="131">
        <v>1787</v>
      </c>
      <c r="O5306" s="436">
        <f t="shared" si="222"/>
        <v>257328</v>
      </c>
      <c r="Q5306" s="422" t="s">
        <v>47</v>
      </c>
      <c r="R5306" s="422" t="s">
        <v>1869</v>
      </c>
      <c r="S5306" s="422" t="s">
        <v>1861</v>
      </c>
      <c r="T5306" t="s">
        <v>4825</v>
      </c>
      <c r="U5306" s="422" t="s">
        <v>1953</v>
      </c>
      <c r="V5306" s="422" t="s">
        <v>2813</v>
      </c>
    </row>
    <row r="5307" spans="1:22" ht="15.75" thickBot="1" x14ac:dyDescent="0.3">
      <c r="A5307" t="s">
        <v>1910</v>
      </c>
      <c r="B5307" t="s">
        <v>1910</v>
      </c>
      <c r="C5307" s="424" t="str">
        <f t="shared" si="223"/>
        <v>Rodoviária de Lisboa, S.A.</v>
      </c>
      <c r="D5307" t="s">
        <v>629</v>
      </c>
      <c r="F5307" s="422" t="s">
        <v>620</v>
      </c>
      <c r="G5307" s="89" t="s">
        <v>2210</v>
      </c>
      <c r="H5307" s="313" t="s">
        <v>735</v>
      </c>
      <c r="I5307" s="311" t="str">
        <f t="shared" si="221"/>
        <v>Pesado de Passageiros M3:  : Gasóleo : E2</v>
      </c>
      <c r="J5307">
        <v>144</v>
      </c>
      <c r="K5307" s="422">
        <v>2023</v>
      </c>
      <c r="L5307">
        <v>34.1</v>
      </c>
      <c r="M5307" t="s">
        <v>630</v>
      </c>
      <c r="N5307" s="131">
        <v>64</v>
      </c>
      <c r="O5307" s="436">
        <f t="shared" si="222"/>
        <v>9216</v>
      </c>
      <c r="Q5307" s="422" t="s">
        <v>47</v>
      </c>
      <c r="R5307" s="422" t="s">
        <v>1869</v>
      </c>
      <c r="S5307" s="422" t="s">
        <v>1861</v>
      </c>
      <c r="T5307" t="s">
        <v>4825</v>
      </c>
      <c r="U5307" s="422" t="s">
        <v>1953</v>
      </c>
      <c r="V5307" s="422" t="s">
        <v>2813</v>
      </c>
    </row>
    <row r="5308" spans="1:22" ht="15.75" thickBot="1" x14ac:dyDescent="0.3">
      <c r="A5308" t="s">
        <v>1910</v>
      </c>
      <c r="B5308" t="s">
        <v>1910</v>
      </c>
      <c r="C5308" s="424" t="str">
        <f t="shared" si="223"/>
        <v>Rodoviária de Lisboa, S.A.</v>
      </c>
      <c r="D5308" t="s">
        <v>629</v>
      </c>
      <c r="F5308" s="422" t="s">
        <v>620</v>
      </c>
      <c r="G5308" s="89" t="s">
        <v>2210</v>
      </c>
      <c r="H5308" s="313" t="s">
        <v>735</v>
      </c>
      <c r="I5308" s="311" t="str">
        <f t="shared" si="221"/>
        <v>Pesado de Passageiros M3:  : Gasóleo : E2</v>
      </c>
      <c r="J5308">
        <v>144</v>
      </c>
      <c r="K5308" s="422">
        <v>2023</v>
      </c>
      <c r="L5308">
        <v>114</v>
      </c>
      <c r="M5308" t="s">
        <v>630</v>
      </c>
      <c r="N5308" s="131">
        <v>215</v>
      </c>
      <c r="O5308" s="436">
        <f t="shared" si="222"/>
        <v>30960</v>
      </c>
      <c r="Q5308" s="422" t="s">
        <v>47</v>
      </c>
      <c r="R5308" s="422" t="s">
        <v>1869</v>
      </c>
      <c r="S5308" s="422" t="s">
        <v>1861</v>
      </c>
      <c r="T5308" t="s">
        <v>4825</v>
      </c>
      <c r="U5308" s="422" t="s">
        <v>1953</v>
      </c>
      <c r="V5308" s="422" t="s">
        <v>2813</v>
      </c>
    </row>
    <row r="5309" spans="1:22" ht="15.75" thickBot="1" x14ac:dyDescent="0.3">
      <c r="A5309" t="s">
        <v>1910</v>
      </c>
      <c r="B5309" t="s">
        <v>1910</v>
      </c>
      <c r="C5309" s="424" t="str">
        <f t="shared" si="223"/>
        <v>Rodoviária de Lisboa, S.A.</v>
      </c>
      <c r="D5309" t="s">
        <v>629</v>
      </c>
      <c r="F5309" s="422" t="s">
        <v>620</v>
      </c>
      <c r="G5309" s="89">
        <v>2009</v>
      </c>
      <c r="H5309" s="313" t="s">
        <v>731</v>
      </c>
      <c r="I5309" s="311" t="str">
        <f t="shared" si="221"/>
        <v>Pesado de Passageiros M3:  : Gasóleo : E4</v>
      </c>
      <c r="J5309">
        <v>21</v>
      </c>
      <c r="K5309" s="422">
        <v>2023</v>
      </c>
      <c r="L5309">
        <v>2121.1999999999998</v>
      </c>
      <c r="M5309" t="s">
        <v>630</v>
      </c>
      <c r="N5309" s="131">
        <v>9800</v>
      </c>
      <c r="O5309" s="436">
        <f t="shared" si="222"/>
        <v>205800</v>
      </c>
      <c r="Q5309" s="422" t="s">
        <v>47</v>
      </c>
      <c r="R5309" s="422" t="s">
        <v>1869</v>
      </c>
      <c r="S5309" s="422" t="s">
        <v>1861</v>
      </c>
      <c r="T5309" t="s">
        <v>4825</v>
      </c>
      <c r="U5309" s="422" t="s">
        <v>1953</v>
      </c>
      <c r="V5309" s="422" t="s">
        <v>2813</v>
      </c>
    </row>
    <row r="5310" spans="1:22" ht="15.75" thickBot="1" x14ac:dyDescent="0.3">
      <c r="A5310" t="s">
        <v>1910</v>
      </c>
      <c r="B5310" t="s">
        <v>1910</v>
      </c>
      <c r="C5310" s="424" t="str">
        <f t="shared" si="223"/>
        <v>Rodoviária de Lisboa, S.A.</v>
      </c>
      <c r="D5310" t="s">
        <v>629</v>
      </c>
      <c r="F5310" s="422" t="s">
        <v>620</v>
      </c>
      <c r="G5310" s="89">
        <v>2007</v>
      </c>
      <c r="H5310" s="313" t="s">
        <v>731</v>
      </c>
      <c r="I5310" s="311" t="str">
        <f t="shared" si="221"/>
        <v>Pesado de Passageiros M3:  : Gasóleo : E4</v>
      </c>
      <c r="J5310">
        <v>59</v>
      </c>
      <c r="K5310" s="422">
        <v>2023</v>
      </c>
      <c r="L5310">
        <v>13253.9</v>
      </c>
      <c r="M5310" t="s">
        <v>630</v>
      </c>
      <c r="N5310" s="131">
        <v>24699</v>
      </c>
      <c r="O5310" s="436">
        <f t="shared" si="222"/>
        <v>1457241</v>
      </c>
      <c r="Q5310" s="422" t="s">
        <v>47</v>
      </c>
      <c r="R5310" s="422" t="s">
        <v>1869</v>
      </c>
      <c r="S5310" s="422" t="s">
        <v>1861</v>
      </c>
      <c r="T5310" t="s">
        <v>4825</v>
      </c>
      <c r="U5310" s="422" t="s">
        <v>1953</v>
      </c>
      <c r="V5310" s="422" t="s">
        <v>2813</v>
      </c>
    </row>
    <row r="5311" spans="1:22" ht="15.75" thickBot="1" x14ac:dyDescent="0.3">
      <c r="A5311" t="s">
        <v>1910</v>
      </c>
      <c r="B5311" t="s">
        <v>1910</v>
      </c>
      <c r="C5311" s="424" t="str">
        <f t="shared" si="223"/>
        <v>Rodoviária de Lisboa, S.A.</v>
      </c>
      <c r="D5311" t="s">
        <v>629</v>
      </c>
      <c r="F5311" s="422" t="s">
        <v>620</v>
      </c>
      <c r="G5311" s="89">
        <v>2007</v>
      </c>
      <c r="H5311" s="313" t="s">
        <v>731</v>
      </c>
      <c r="I5311" s="311" t="str">
        <f t="shared" si="221"/>
        <v>Pesado de Passageiros M3:  : Gasóleo : E4</v>
      </c>
      <c r="J5311">
        <v>59</v>
      </c>
      <c r="K5311" s="422">
        <v>2023</v>
      </c>
      <c r="L5311">
        <v>13575.3</v>
      </c>
      <c r="M5311" t="s">
        <v>630</v>
      </c>
      <c r="N5311" s="131">
        <v>27643</v>
      </c>
      <c r="O5311" s="436">
        <f t="shared" si="222"/>
        <v>1630937</v>
      </c>
      <c r="Q5311" s="422" t="s">
        <v>47</v>
      </c>
      <c r="R5311" s="422" t="s">
        <v>1869</v>
      </c>
      <c r="S5311" s="422" t="s">
        <v>1861</v>
      </c>
      <c r="T5311" t="s">
        <v>4825</v>
      </c>
      <c r="U5311" s="422" t="s">
        <v>1953</v>
      </c>
      <c r="V5311" s="422" t="s">
        <v>2813</v>
      </c>
    </row>
    <row r="5312" spans="1:22" ht="15.75" thickBot="1" x14ac:dyDescent="0.3">
      <c r="A5312" t="s">
        <v>1910</v>
      </c>
      <c r="B5312" t="s">
        <v>1910</v>
      </c>
      <c r="C5312" s="424" t="str">
        <f t="shared" si="223"/>
        <v>Rodoviária de Lisboa, S.A.</v>
      </c>
      <c r="D5312" t="s">
        <v>629</v>
      </c>
      <c r="F5312" s="422" t="s">
        <v>620</v>
      </c>
      <c r="G5312" s="89">
        <v>2007</v>
      </c>
      <c r="H5312" s="313" t="s">
        <v>731</v>
      </c>
      <c r="I5312" s="311" t="str">
        <f t="shared" si="221"/>
        <v>Pesado de Passageiros M3:  : Gasóleo : E4</v>
      </c>
      <c r="J5312">
        <v>59</v>
      </c>
      <c r="K5312" s="422">
        <v>2023</v>
      </c>
      <c r="L5312">
        <v>14356.7</v>
      </c>
      <c r="M5312" t="s">
        <v>630</v>
      </c>
      <c r="N5312" s="131">
        <v>29052</v>
      </c>
      <c r="O5312" s="436">
        <f t="shared" si="222"/>
        <v>1714068</v>
      </c>
      <c r="Q5312" s="422" t="s">
        <v>47</v>
      </c>
      <c r="R5312" s="422" t="s">
        <v>1869</v>
      </c>
      <c r="S5312" s="422" t="s">
        <v>1861</v>
      </c>
      <c r="T5312" t="s">
        <v>4825</v>
      </c>
      <c r="U5312" s="422" t="s">
        <v>1953</v>
      </c>
      <c r="V5312" s="422" t="s">
        <v>2813</v>
      </c>
    </row>
    <row r="5313" spans="1:22" ht="15.75" thickBot="1" x14ac:dyDescent="0.3">
      <c r="A5313" t="s">
        <v>1910</v>
      </c>
      <c r="B5313" t="s">
        <v>1910</v>
      </c>
      <c r="C5313" s="424" t="str">
        <f t="shared" si="223"/>
        <v>Rodoviária de Lisboa, S.A.</v>
      </c>
      <c r="D5313" t="s">
        <v>629</v>
      </c>
      <c r="F5313" s="422" t="s">
        <v>620</v>
      </c>
      <c r="G5313" s="89">
        <v>2010</v>
      </c>
      <c r="H5313" s="313" t="s">
        <v>734</v>
      </c>
      <c r="I5313" s="311" t="str">
        <f t="shared" si="221"/>
        <v>Pesado de Passageiros M3:  : Gasóleo : E5</v>
      </c>
      <c r="J5313">
        <v>57</v>
      </c>
      <c r="K5313" s="422">
        <v>2023</v>
      </c>
      <c r="L5313">
        <v>10991.7</v>
      </c>
      <c r="M5313" t="s">
        <v>630</v>
      </c>
      <c r="N5313" s="131">
        <v>27637</v>
      </c>
      <c r="O5313" s="436">
        <f t="shared" si="222"/>
        <v>1575309</v>
      </c>
      <c r="Q5313" s="422" t="s">
        <v>47</v>
      </c>
      <c r="R5313" s="422" t="s">
        <v>1869</v>
      </c>
      <c r="S5313" s="422" t="s">
        <v>1861</v>
      </c>
      <c r="T5313" t="s">
        <v>4825</v>
      </c>
      <c r="U5313" s="422" t="s">
        <v>1953</v>
      </c>
      <c r="V5313" s="422" t="s">
        <v>2813</v>
      </c>
    </row>
    <row r="5314" spans="1:22" ht="15.75" thickBot="1" x14ac:dyDescent="0.3">
      <c r="A5314" t="s">
        <v>1910</v>
      </c>
      <c r="B5314" t="s">
        <v>1910</v>
      </c>
      <c r="C5314" s="424" t="str">
        <f t="shared" si="223"/>
        <v>Rodoviária de Lisboa, S.A.</v>
      </c>
      <c r="D5314" t="s">
        <v>629</v>
      </c>
      <c r="F5314" s="422" t="s">
        <v>620</v>
      </c>
      <c r="G5314" s="89" t="s">
        <v>2212</v>
      </c>
      <c r="H5314" s="313" t="s">
        <v>734</v>
      </c>
      <c r="I5314" s="311" t="str">
        <f t="shared" si="221"/>
        <v>Pesado de Passageiros M3:  : Gasóleo : E5</v>
      </c>
      <c r="J5314">
        <v>57</v>
      </c>
      <c r="K5314" s="422">
        <v>2023</v>
      </c>
      <c r="L5314">
        <v>12826.7</v>
      </c>
      <c r="M5314" t="s">
        <v>630</v>
      </c>
      <c r="N5314" s="131">
        <v>26319</v>
      </c>
      <c r="O5314" s="436">
        <f t="shared" si="222"/>
        <v>1500183</v>
      </c>
      <c r="Q5314" s="422" t="s">
        <v>47</v>
      </c>
      <c r="R5314" s="422" t="s">
        <v>1869</v>
      </c>
      <c r="S5314" s="422" t="s">
        <v>1861</v>
      </c>
      <c r="T5314" t="s">
        <v>4825</v>
      </c>
      <c r="U5314" s="422" t="s">
        <v>1953</v>
      </c>
      <c r="V5314" s="422" t="s">
        <v>2813</v>
      </c>
    </row>
    <row r="5315" spans="1:22" ht="15.75" thickBot="1" x14ac:dyDescent="0.3">
      <c r="A5315" t="s">
        <v>1910</v>
      </c>
      <c r="B5315" t="s">
        <v>1910</v>
      </c>
      <c r="C5315" s="424" t="str">
        <f t="shared" si="223"/>
        <v>Rodoviária de Lisboa, S.A.</v>
      </c>
      <c r="D5315" t="s">
        <v>629</v>
      </c>
      <c r="F5315" s="422" t="s">
        <v>620</v>
      </c>
      <c r="G5315" s="89">
        <v>2008</v>
      </c>
      <c r="H5315" s="313" t="s">
        <v>731</v>
      </c>
      <c r="I5315" s="311" t="str">
        <f t="shared" si="221"/>
        <v>Pesado de Passageiros M3:  : Gasóleo : E4</v>
      </c>
      <c r="J5315">
        <v>21</v>
      </c>
      <c r="K5315" s="422">
        <v>2023</v>
      </c>
      <c r="L5315">
        <v>4203.1000000000004</v>
      </c>
      <c r="M5315" t="s">
        <v>630</v>
      </c>
      <c r="N5315" s="131">
        <v>21709</v>
      </c>
      <c r="O5315" s="436">
        <f t="shared" si="222"/>
        <v>455889</v>
      </c>
      <c r="Q5315" s="422" t="s">
        <v>47</v>
      </c>
      <c r="R5315" s="422" t="s">
        <v>1869</v>
      </c>
      <c r="S5315" s="422" t="s">
        <v>1861</v>
      </c>
      <c r="T5315" t="s">
        <v>4825</v>
      </c>
      <c r="U5315" s="422" t="s">
        <v>1953</v>
      </c>
      <c r="V5315" s="422" t="s">
        <v>2813</v>
      </c>
    </row>
    <row r="5316" spans="1:22" ht="15.75" thickBot="1" x14ac:dyDescent="0.3">
      <c r="A5316" t="s">
        <v>1910</v>
      </c>
      <c r="B5316" t="s">
        <v>1910</v>
      </c>
      <c r="C5316" s="424" t="str">
        <f t="shared" si="223"/>
        <v>Rodoviária de Lisboa, S.A.</v>
      </c>
      <c r="D5316" t="s">
        <v>629</v>
      </c>
      <c r="F5316" s="422" t="s">
        <v>620</v>
      </c>
      <c r="G5316" s="89" t="s">
        <v>2207</v>
      </c>
      <c r="H5316" s="313" t="s">
        <v>732</v>
      </c>
      <c r="I5316" s="311" t="str">
        <f t="shared" si="221"/>
        <v>Pesado de Passageiros M3:  : Gasóleo : E3</v>
      </c>
      <c r="J5316">
        <v>21</v>
      </c>
      <c r="K5316" s="422">
        <v>2023</v>
      </c>
      <c r="L5316">
        <v>1512.2</v>
      </c>
      <c r="M5316" t="s">
        <v>630</v>
      </c>
      <c r="N5316" s="131">
        <v>3150</v>
      </c>
      <c r="O5316" s="436">
        <f t="shared" si="222"/>
        <v>66150</v>
      </c>
      <c r="Q5316" s="422" t="s">
        <v>47</v>
      </c>
      <c r="R5316" s="422" t="s">
        <v>1869</v>
      </c>
      <c r="S5316" s="422" t="s">
        <v>1861</v>
      </c>
      <c r="T5316" t="s">
        <v>4825</v>
      </c>
      <c r="U5316" s="422" t="s">
        <v>1953</v>
      </c>
      <c r="V5316" s="422" t="s">
        <v>2813</v>
      </c>
    </row>
    <row r="5317" spans="1:22" ht="15.75" thickBot="1" x14ac:dyDescent="0.3">
      <c r="A5317" t="s">
        <v>1910</v>
      </c>
      <c r="B5317" t="s">
        <v>1910</v>
      </c>
      <c r="C5317" s="424" t="str">
        <f t="shared" si="223"/>
        <v>Rodoviária de Lisboa, S.A.</v>
      </c>
      <c r="D5317" t="s">
        <v>629</v>
      </c>
      <c r="F5317" s="422" t="s">
        <v>620</v>
      </c>
      <c r="G5317" s="89" t="s">
        <v>2204</v>
      </c>
      <c r="H5317" s="313" t="s">
        <v>731</v>
      </c>
      <c r="I5317" s="311" t="str">
        <f t="shared" si="221"/>
        <v>Pesado de Passageiros M3:  : Gasóleo : E4</v>
      </c>
      <c r="J5317">
        <v>21</v>
      </c>
      <c r="K5317" s="422">
        <v>2023</v>
      </c>
      <c r="L5317">
        <v>11818.9</v>
      </c>
      <c r="M5317" t="s">
        <v>630</v>
      </c>
      <c r="N5317" s="131">
        <v>26466</v>
      </c>
      <c r="O5317" s="436">
        <f t="shared" si="222"/>
        <v>555786</v>
      </c>
      <c r="Q5317" s="422" t="s">
        <v>47</v>
      </c>
      <c r="R5317" s="422" t="s">
        <v>1869</v>
      </c>
      <c r="S5317" s="422" t="s">
        <v>1861</v>
      </c>
      <c r="T5317" t="s">
        <v>4825</v>
      </c>
      <c r="U5317" s="422" t="s">
        <v>1953</v>
      </c>
      <c r="V5317" s="422" t="s">
        <v>2813</v>
      </c>
    </row>
    <row r="5318" spans="1:22" ht="15.75" thickBot="1" x14ac:dyDescent="0.3">
      <c r="A5318" t="s">
        <v>1910</v>
      </c>
      <c r="B5318" t="s">
        <v>1910</v>
      </c>
      <c r="C5318" s="424" t="str">
        <f t="shared" si="223"/>
        <v>Rodoviária de Lisboa, S.A.</v>
      </c>
      <c r="D5318" t="s">
        <v>629</v>
      </c>
      <c r="F5318" s="422" t="s">
        <v>620</v>
      </c>
      <c r="G5318" s="89" t="s">
        <v>2215</v>
      </c>
      <c r="H5318" s="313" t="s">
        <v>735</v>
      </c>
      <c r="I5318" s="311" t="str">
        <f t="shared" si="221"/>
        <v>Pesado de Passageiros M3:  : Gasóleo : E2</v>
      </c>
      <c r="J5318">
        <v>21</v>
      </c>
      <c r="K5318" s="422">
        <v>2023</v>
      </c>
      <c r="L5318">
        <v>199.4</v>
      </c>
      <c r="M5318" t="s">
        <v>630</v>
      </c>
      <c r="N5318" s="131">
        <v>376</v>
      </c>
      <c r="O5318" s="436">
        <f t="shared" si="222"/>
        <v>7896</v>
      </c>
      <c r="Q5318" s="422" t="s">
        <v>47</v>
      </c>
      <c r="R5318" s="422" t="s">
        <v>1869</v>
      </c>
      <c r="S5318" s="422" t="s">
        <v>1861</v>
      </c>
      <c r="T5318" t="s">
        <v>4825</v>
      </c>
      <c r="U5318" s="422" t="s">
        <v>1953</v>
      </c>
      <c r="V5318" s="422" t="s">
        <v>2813</v>
      </c>
    </row>
    <row r="5319" spans="1:22" ht="15.75" thickBot="1" x14ac:dyDescent="0.3">
      <c r="A5319" t="s">
        <v>1910</v>
      </c>
      <c r="B5319" t="s">
        <v>1910</v>
      </c>
      <c r="C5319" s="424" t="str">
        <f t="shared" si="223"/>
        <v>Rodoviária de Lisboa, S.A.</v>
      </c>
      <c r="D5319" t="s">
        <v>629</v>
      </c>
      <c r="F5319" s="422" t="s">
        <v>620</v>
      </c>
      <c r="G5319" s="89" t="s">
        <v>2215</v>
      </c>
      <c r="H5319" s="313" t="s">
        <v>735</v>
      </c>
      <c r="I5319" s="311" t="str">
        <f t="shared" si="221"/>
        <v>Pesado de Passageiros M3:  : Gasóleo : E2</v>
      </c>
      <c r="J5319">
        <v>21</v>
      </c>
      <c r="K5319" s="422">
        <v>2023</v>
      </c>
      <c r="L5319">
        <v>117.5</v>
      </c>
      <c r="M5319" t="s">
        <v>630</v>
      </c>
      <c r="N5319" s="131">
        <v>221</v>
      </c>
      <c r="O5319" s="436">
        <f t="shared" si="222"/>
        <v>4641</v>
      </c>
      <c r="Q5319" s="422" t="s">
        <v>47</v>
      </c>
      <c r="R5319" s="422" t="s">
        <v>1869</v>
      </c>
      <c r="S5319" s="422" t="s">
        <v>1861</v>
      </c>
      <c r="T5319" t="s">
        <v>4825</v>
      </c>
      <c r="U5319" s="422" t="s">
        <v>1953</v>
      </c>
      <c r="V5319" s="422" t="s">
        <v>2813</v>
      </c>
    </row>
    <row r="5320" spans="1:22" ht="15.75" thickBot="1" x14ac:dyDescent="0.3">
      <c r="A5320" t="s">
        <v>1910</v>
      </c>
      <c r="B5320" t="s">
        <v>1910</v>
      </c>
      <c r="C5320" s="424" t="str">
        <f t="shared" si="223"/>
        <v>Rodoviária de Lisboa, S.A.</v>
      </c>
      <c r="D5320" t="s">
        <v>629</v>
      </c>
      <c r="F5320" s="422" t="s">
        <v>620</v>
      </c>
      <c r="G5320" s="89" t="s">
        <v>2215</v>
      </c>
      <c r="H5320" s="313" t="s">
        <v>735</v>
      </c>
      <c r="I5320" s="311" t="str">
        <f t="shared" si="221"/>
        <v>Pesado de Passageiros M3:  : Gasóleo : E2</v>
      </c>
      <c r="J5320">
        <v>21</v>
      </c>
      <c r="K5320" s="422">
        <v>2023</v>
      </c>
      <c r="L5320">
        <v>90.5</v>
      </c>
      <c r="M5320" t="s">
        <v>630</v>
      </c>
      <c r="N5320" s="131">
        <v>170</v>
      </c>
      <c r="O5320" s="436">
        <f t="shared" si="222"/>
        <v>3570</v>
      </c>
      <c r="Q5320" s="422" t="s">
        <v>47</v>
      </c>
      <c r="R5320" s="422" t="s">
        <v>1869</v>
      </c>
      <c r="S5320" s="422" t="s">
        <v>1861</v>
      </c>
      <c r="T5320" t="s">
        <v>4825</v>
      </c>
      <c r="U5320" s="422" t="s">
        <v>1953</v>
      </c>
      <c r="V5320" s="422" t="s">
        <v>2813</v>
      </c>
    </row>
    <row r="5321" spans="1:22" ht="15.75" thickBot="1" x14ac:dyDescent="0.3">
      <c r="A5321" t="s">
        <v>1910</v>
      </c>
      <c r="B5321" t="s">
        <v>1910</v>
      </c>
      <c r="C5321" s="424" t="str">
        <f t="shared" si="223"/>
        <v>Rodoviária de Lisboa, S.A.</v>
      </c>
      <c r="D5321" t="s">
        <v>629</v>
      </c>
      <c r="F5321" s="422" t="s">
        <v>620</v>
      </c>
      <c r="G5321" s="89" t="s">
        <v>2210</v>
      </c>
      <c r="H5321" s="313" t="s">
        <v>735</v>
      </c>
      <c r="I5321" s="311" t="str">
        <f t="shared" si="221"/>
        <v>Pesado de Passageiros M3:  : Gasóleo : E2</v>
      </c>
      <c r="J5321">
        <v>21</v>
      </c>
      <c r="K5321" s="422">
        <v>2023</v>
      </c>
      <c r="L5321">
        <v>46</v>
      </c>
      <c r="M5321" t="s">
        <v>630</v>
      </c>
      <c r="N5321" s="131">
        <v>86</v>
      </c>
      <c r="O5321" s="436">
        <f t="shared" si="222"/>
        <v>1806</v>
      </c>
      <c r="Q5321" s="422" t="s">
        <v>47</v>
      </c>
      <c r="R5321" s="422" t="s">
        <v>1869</v>
      </c>
      <c r="S5321" s="422" t="s">
        <v>1861</v>
      </c>
      <c r="T5321" t="s">
        <v>4825</v>
      </c>
      <c r="U5321" s="422" t="s">
        <v>1953</v>
      </c>
      <c r="V5321" s="422" t="s">
        <v>2813</v>
      </c>
    </row>
    <row r="5322" spans="1:22" ht="15.75" thickBot="1" x14ac:dyDescent="0.3">
      <c r="A5322" t="s">
        <v>1910</v>
      </c>
      <c r="B5322" t="s">
        <v>1910</v>
      </c>
      <c r="C5322" s="424" t="str">
        <f t="shared" si="223"/>
        <v>Rodoviária de Lisboa, S.A.</v>
      </c>
      <c r="D5322" t="s">
        <v>629</v>
      </c>
      <c r="F5322" s="422" t="s">
        <v>620</v>
      </c>
      <c r="G5322" s="89" t="s">
        <v>2215</v>
      </c>
      <c r="H5322" s="313" t="s">
        <v>735</v>
      </c>
      <c r="I5322" s="311" t="str">
        <f t="shared" si="221"/>
        <v>Pesado de Passageiros M3:  : Gasóleo : E2</v>
      </c>
      <c r="J5322">
        <v>21</v>
      </c>
      <c r="K5322" s="422">
        <v>2023</v>
      </c>
      <c r="L5322">
        <v>286.89999999999998</v>
      </c>
      <c r="M5322" t="s">
        <v>630</v>
      </c>
      <c r="N5322" s="131">
        <v>541</v>
      </c>
      <c r="O5322" s="436">
        <f t="shared" si="222"/>
        <v>11361</v>
      </c>
      <c r="Q5322" s="422" t="s">
        <v>47</v>
      </c>
      <c r="R5322" s="422" t="s">
        <v>1869</v>
      </c>
      <c r="S5322" s="422" t="s">
        <v>1861</v>
      </c>
      <c r="T5322" t="s">
        <v>4825</v>
      </c>
      <c r="U5322" s="422" t="s">
        <v>1953</v>
      </c>
      <c r="V5322" s="422" t="s">
        <v>2813</v>
      </c>
    </row>
    <row r="5323" spans="1:22" ht="15.75" thickBot="1" x14ac:dyDescent="0.3">
      <c r="A5323" t="s">
        <v>1910</v>
      </c>
      <c r="B5323" t="s">
        <v>1910</v>
      </c>
      <c r="C5323" s="424" t="str">
        <f t="shared" si="223"/>
        <v>Rodoviária de Lisboa, S.A.</v>
      </c>
      <c r="D5323" t="s">
        <v>629</v>
      </c>
      <c r="F5323" s="422" t="s">
        <v>620</v>
      </c>
      <c r="G5323" s="89" t="s">
        <v>2215</v>
      </c>
      <c r="H5323" s="313" t="s">
        <v>735</v>
      </c>
      <c r="I5323" s="311" t="str">
        <f t="shared" si="221"/>
        <v>Pesado de Passageiros M3:  : Gasóleo : E2</v>
      </c>
      <c r="J5323">
        <v>21</v>
      </c>
      <c r="K5323" s="422">
        <v>2023</v>
      </c>
      <c r="L5323">
        <v>18.8</v>
      </c>
      <c r="M5323" t="s">
        <v>630</v>
      </c>
      <c r="N5323" s="131">
        <v>35</v>
      </c>
      <c r="O5323" s="436">
        <f t="shared" si="222"/>
        <v>735</v>
      </c>
      <c r="Q5323" s="422" t="s">
        <v>47</v>
      </c>
      <c r="R5323" s="422" t="s">
        <v>1869</v>
      </c>
      <c r="S5323" s="422" t="s">
        <v>1861</v>
      </c>
      <c r="T5323" t="s">
        <v>4825</v>
      </c>
      <c r="U5323" s="422" t="s">
        <v>1953</v>
      </c>
      <c r="V5323" s="422" t="s">
        <v>2813</v>
      </c>
    </row>
    <row r="5324" spans="1:22" ht="15.75" thickBot="1" x14ac:dyDescent="0.3">
      <c r="A5324" t="s">
        <v>1910</v>
      </c>
      <c r="B5324" t="s">
        <v>1910</v>
      </c>
      <c r="C5324" s="424" t="str">
        <f t="shared" si="223"/>
        <v>Rodoviária de Lisboa, S.A.</v>
      </c>
      <c r="D5324" t="s">
        <v>629</v>
      </c>
      <c r="F5324" s="422" t="s">
        <v>620</v>
      </c>
      <c r="G5324" s="89" t="s">
        <v>2215</v>
      </c>
      <c r="H5324" s="313" t="s">
        <v>735</v>
      </c>
      <c r="I5324" s="311" t="str">
        <f t="shared" si="221"/>
        <v>Pesado de Passageiros M3:  : Gasóleo : E2</v>
      </c>
      <c r="J5324">
        <v>21</v>
      </c>
      <c r="K5324" s="422">
        <v>2023</v>
      </c>
      <c r="L5324">
        <v>163.69999999999999</v>
      </c>
      <c r="M5324" t="s">
        <v>630</v>
      </c>
      <c r="N5324" s="131">
        <v>308</v>
      </c>
      <c r="O5324" s="436">
        <f t="shared" si="222"/>
        <v>6468</v>
      </c>
      <c r="Q5324" s="422" t="s">
        <v>47</v>
      </c>
      <c r="R5324" s="422" t="s">
        <v>1869</v>
      </c>
      <c r="S5324" s="422" t="s">
        <v>1861</v>
      </c>
      <c r="T5324" t="s">
        <v>4825</v>
      </c>
      <c r="U5324" s="422" t="s">
        <v>1953</v>
      </c>
      <c r="V5324" s="422" t="s">
        <v>2813</v>
      </c>
    </row>
    <row r="5325" spans="1:22" ht="15.75" thickBot="1" x14ac:dyDescent="0.3">
      <c r="A5325" t="s">
        <v>1910</v>
      </c>
      <c r="B5325" t="s">
        <v>1910</v>
      </c>
      <c r="C5325" s="424" t="str">
        <f t="shared" si="223"/>
        <v>Rodoviária de Lisboa, S.A.</v>
      </c>
      <c r="D5325" t="s">
        <v>629</v>
      </c>
      <c r="F5325" s="422" t="s">
        <v>620</v>
      </c>
      <c r="G5325" s="89" t="s">
        <v>2204</v>
      </c>
      <c r="H5325" s="313" t="s">
        <v>731</v>
      </c>
      <c r="I5325" s="311" t="str">
        <f t="shared" si="221"/>
        <v>Pesado de Passageiros M3:  : Gasóleo : E4</v>
      </c>
      <c r="J5325">
        <v>21</v>
      </c>
      <c r="K5325" s="422">
        <v>2023</v>
      </c>
      <c r="L5325">
        <v>5602.2</v>
      </c>
      <c r="M5325" t="s">
        <v>630</v>
      </c>
      <c r="N5325" s="131">
        <v>12015</v>
      </c>
      <c r="O5325" s="436">
        <f t="shared" si="222"/>
        <v>252315</v>
      </c>
      <c r="Q5325" s="422" t="s">
        <v>47</v>
      </c>
      <c r="R5325" s="422" t="s">
        <v>1869</v>
      </c>
      <c r="S5325" s="422" t="s">
        <v>1861</v>
      </c>
      <c r="T5325" t="s">
        <v>4825</v>
      </c>
      <c r="U5325" s="422" t="s">
        <v>1953</v>
      </c>
      <c r="V5325" s="422" t="s">
        <v>2813</v>
      </c>
    </row>
    <row r="5326" spans="1:22" ht="15.75" thickBot="1" x14ac:dyDescent="0.3">
      <c r="A5326" t="s">
        <v>1910</v>
      </c>
      <c r="B5326" t="s">
        <v>1910</v>
      </c>
      <c r="C5326" s="424" t="str">
        <f t="shared" si="223"/>
        <v>Rodoviária de Lisboa, S.A.</v>
      </c>
      <c r="D5326" t="s">
        <v>629</v>
      </c>
      <c r="F5326" s="422" t="s">
        <v>620</v>
      </c>
      <c r="G5326" s="89">
        <v>2012</v>
      </c>
      <c r="H5326" s="313" t="s">
        <v>734</v>
      </c>
      <c r="I5326" s="311" t="str">
        <f t="shared" si="221"/>
        <v>Pesado de Passageiros M3:  : Gasóleo : E5</v>
      </c>
      <c r="J5326">
        <v>51</v>
      </c>
      <c r="K5326" s="422">
        <v>2023</v>
      </c>
      <c r="L5326">
        <v>11554.3</v>
      </c>
      <c r="M5326" t="s">
        <v>630</v>
      </c>
      <c r="N5326" s="131">
        <v>27116</v>
      </c>
      <c r="O5326" s="436">
        <f t="shared" si="222"/>
        <v>1382916</v>
      </c>
      <c r="Q5326" s="422" t="s">
        <v>47</v>
      </c>
      <c r="R5326" s="422" t="s">
        <v>1869</v>
      </c>
      <c r="S5326" s="422" t="s">
        <v>1861</v>
      </c>
      <c r="T5326" t="s">
        <v>4825</v>
      </c>
      <c r="U5326" s="422" t="s">
        <v>1953</v>
      </c>
      <c r="V5326" s="422" t="s">
        <v>2813</v>
      </c>
    </row>
    <row r="5327" spans="1:22" ht="15.75" thickBot="1" x14ac:dyDescent="0.3">
      <c r="A5327" t="s">
        <v>1910</v>
      </c>
      <c r="B5327" t="s">
        <v>1910</v>
      </c>
      <c r="C5327" s="424" t="str">
        <f t="shared" si="223"/>
        <v>Rodoviária de Lisboa, S.A.</v>
      </c>
      <c r="D5327" t="s">
        <v>629</v>
      </c>
      <c r="F5327" s="422" t="s">
        <v>620</v>
      </c>
      <c r="G5327" s="89">
        <v>2012</v>
      </c>
      <c r="H5327" s="313" t="s">
        <v>734</v>
      </c>
      <c r="I5327" s="311" t="str">
        <f t="shared" si="221"/>
        <v>Pesado de Passageiros M3:  : Gasóleo : E5</v>
      </c>
      <c r="J5327">
        <v>51</v>
      </c>
      <c r="K5327" s="422">
        <v>2023</v>
      </c>
      <c r="L5327">
        <v>8591.1</v>
      </c>
      <c r="M5327" t="s">
        <v>630</v>
      </c>
      <c r="N5327" s="131">
        <v>19674</v>
      </c>
      <c r="O5327" s="436">
        <f t="shared" si="222"/>
        <v>1003374</v>
      </c>
      <c r="Q5327" s="422" t="s">
        <v>47</v>
      </c>
      <c r="R5327" s="422" t="s">
        <v>1869</v>
      </c>
      <c r="S5327" s="422" t="s">
        <v>1861</v>
      </c>
      <c r="T5327" t="s">
        <v>4825</v>
      </c>
      <c r="U5327" s="422" t="s">
        <v>1953</v>
      </c>
      <c r="V5327" s="422" t="s">
        <v>2813</v>
      </c>
    </row>
    <row r="5328" spans="1:22" ht="15.75" thickBot="1" x14ac:dyDescent="0.3">
      <c r="A5328" t="s">
        <v>1910</v>
      </c>
      <c r="B5328" t="s">
        <v>1910</v>
      </c>
      <c r="C5328" s="424" t="str">
        <f t="shared" si="223"/>
        <v>Rodoviária de Lisboa, S.A.</v>
      </c>
      <c r="D5328" t="s">
        <v>629</v>
      </c>
      <c r="F5328" s="422" t="s">
        <v>620</v>
      </c>
      <c r="G5328" s="89">
        <v>2009</v>
      </c>
      <c r="H5328" s="313" t="s">
        <v>734</v>
      </c>
      <c r="I5328" s="311" t="str">
        <f t="shared" si="221"/>
        <v>Pesado de Passageiros M3:  : Gasóleo : E5</v>
      </c>
      <c r="J5328">
        <v>80</v>
      </c>
      <c r="K5328" s="422">
        <v>2023</v>
      </c>
      <c r="L5328">
        <v>29498.6</v>
      </c>
      <c r="M5328" t="s">
        <v>630</v>
      </c>
      <c r="N5328" s="131">
        <v>59657</v>
      </c>
      <c r="O5328" s="436">
        <f t="shared" si="222"/>
        <v>4772560</v>
      </c>
      <c r="Q5328" s="422" t="s">
        <v>47</v>
      </c>
      <c r="R5328" s="422" t="s">
        <v>1869</v>
      </c>
      <c r="S5328" s="422" t="s">
        <v>1861</v>
      </c>
      <c r="T5328" t="s">
        <v>4825</v>
      </c>
      <c r="U5328" s="422" t="s">
        <v>1953</v>
      </c>
      <c r="V5328" s="422" t="s">
        <v>2813</v>
      </c>
    </row>
    <row r="5329" spans="1:22" ht="15.75" thickBot="1" x14ac:dyDescent="0.3">
      <c r="A5329" t="s">
        <v>1910</v>
      </c>
      <c r="B5329" t="s">
        <v>1910</v>
      </c>
      <c r="C5329" s="424" t="str">
        <f t="shared" si="223"/>
        <v>Rodoviária de Lisboa, S.A.</v>
      </c>
      <c r="D5329" t="s">
        <v>629</v>
      </c>
      <c r="F5329" s="422" t="s">
        <v>620</v>
      </c>
      <c r="G5329" s="89">
        <v>2013</v>
      </c>
      <c r="H5329" s="313" t="s">
        <v>733</v>
      </c>
      <c r="I5329" s="311" t="str">
        <f t="shared" si="221"/>
        <v>Pesado de Passageiros M3:  : Gasóleo : E6</v>
      </c>
      <c r="J5329">
        <v>96</v>
      </c>
      <c r="K5329" s="422">
        <v>2023</v>
      </c>
      <c r="L5329">
        <v>21995.7</v>
      </c>
      <c r="M5329" t="s">
        <v>630</v>
      </c>
      <c r="N5329" s="131">
        <v>48796</v>
      </c>
      <c r="O5329" s="436">
        <f t="shared" si="222"/>
        <v>4684416</v>
      </c>
      <c r="Q5329" s="422" t="s">
        <v>47</v>
      </c>
      <c r="R5329" s="422" t="s">
        <v>1869</v>
      </c>
      <c r="S5329" s="422" t="s">
        <v>1861</v>
      </c>
      <c r="T5329" t="s">
        <v>4825</v>
      </c>
      <c r="U5329" s="422" t="s">
        <v>1953</v>
      </c>
      <c r="V5329" s="422" t="s">
        <v>2813</v>
      </c>
    </row>
    <row r="5330" spans="1:22" ht="15.75" thickBot="1" x14ac:dyDescent="0.3">
      <c r="A5330" t="s">
        <v>1910</v>
      </c>
      <c r="B5330" t="s">
        <v>1910</v>
      </c>
      <c r="C5330" s="424" t="str">
        <f t="shared" si="223"/>
        <v>Rodoviária de Lisboa, S.A.</v>
      </c>
      <c r="D5330" t="s">
        <v>629</v>
      </c>
      <c r="F5330" s="422" t="s">
        <v>620</v>
      </c>
      <c r="G5330" s="89">
        <v>2014</v>
      </c>
      <c r="H5330" s="313" t="s">
        <v>733</v>
      </c>
      <c r="I5330" s="311" t="str">
        <f t="shared" si="221"/>
        <v>Pesado de Passageiros M3:  : Gasóleo : E6</v>
      </c>
      <c r="J5330">
        <v>72</v>
      </c>
      <c r="K5330" s="422">
        <v>2023</v>
      </c>
      <c r="L5330">
        <v>26433.4</v>
      </c>
      <c r="M5330" t="s">
        <v>630</v>
      </c>
      <c r="N5330" s="131">
        <v>58065</v>
      </c>
      <c r="O5330" s="436">
        <f t="shared" si="222"/>
        <v>4180680</v>
      </c>
      <c r="Q5330" s="422" t="s">
        <v>47</v>
      </c>
      <c r="R5330" s="422" t="s">
        <v>1869</v>
      </c>
      <c r="S5330" s="422" t="s">
        <v>1861</v>
      </c>
      <c r="T5330" t="s">
        <v>4825</v>
      </c>
      <c r="U5330" s="422" t="s">
        <v>1953</v>
      </c>
      <c r="V5330" s="422" t="s">
        <v>2813</v>
      </c>
    </row>
    <row r="5331" spans="1:22" ht="15.75" thickBot="1" x14ac:dyDescent="0.3">
      <c r="A5331" t="s">
        <v>1910</v>
      </c>
      <c r="B5331" t="s">
        <v>1910</v>
      </c>
      <c r="C5331" s="424" t="str">
        <f t="shared" si="223"/>
        <v>Rodoviária de Lisboa, S.A.</v>
      </c>
      <c r="D5331" t="s">
        <v>629</v>
      </c>
      <c r="F5331" s="422" t="s">
        <v>620</v>
      </c>
      <c r="G5331" s="89" t="s">
        <v>2205</v>
      </c>
      <c r="H5331" s="313" t="s">
        <v>734</v>
      </c>
      <c r="I5331" s="311" t="str">
        <f t="shared" si="221"/>
        <v>Pesado de Passageiros M3:  : Gasóleo : E5</v>
      </c>
      <c r="J5331">
        <v>72</v>
      </c>
      <c r="K5331" s="422">
        <v>2023</v>
      </c>
      <c r="L5331">
        <v>395</v>
      </c>
      <c r="M5331" t="s">
        <v>630</v>
      </c>
      <c r="N5331" s="131">
        <v>1897</v>
      </c>
      <c r="O5331" s="436">
        <f t="shared" si="222"/>
        <v>136584</v>
      </c>
      <c r="Q5331" s="422" t="s">
        <v>47</v>
      </c>
      <c r="R5331" s="422" t="s">
        <v>1869</v>
      </c>
      <c r="S5331" s="422" t="s">
        <v>1861</v>
      </c>
      <c r="T5331" t="s">
        <v>4825</v>
      </c>
      <c r="U5331" s="422" t="s">
        <v>1953</v>
      </c>
      <c r="V5331" s="422" t="s">
        <v>2813</v>
      </c>
    </row>
    <row r="5332" spans="1:22" ht="15.75" thickBot="1" x14ac:dyDescent="0.3">
      <c r="A5332" t="s">
        <v>1910</v>
      </c>
      <c r="B5332" t="s">
        <v>1910</v>
      </c>
      <c r="C5332" s="424" t="str">
        <f t="shared" si="223"/>
        <v>Rodoviária de Lisboa, S.A.</v>
      </c>
      <c r="D5332" t="s">
        <v>629</v>
      </c>
      <c r="F5332" s="422" t="s">
        <v>620</v>
      </c>
      <c r="G5332" s="89">
        <v>2013</v>
      </c>
      <c r="H5332" s="313" t="s">
        <v>733</v>
      </c>
      <c r="I5332" s="311" t="str">
        <f t="shared" si="221"/>
        <v>Pesado de Passageiros M3:  : Gasóleo : E6</v>
      </c>
      <c r="J5332">
        <v>72</v>
      </c>
      <c r="K5332" s="422">
        <v>2023</v>
      </c>
      <c r="L5332">
        <v>26208.5</v>
      </c>
      <c r="M5332" t="s">
        <v>630</v>
      </c>
      <c r="N5332" s="131">
        <v>58717</v>
      </c>
      <c r="O5332" s="436">
        <f t="shared" si="222"/>
        <v>4227624</v>
      </c>
      <c r="Q5332" s="422" t="s">
        <v>47</v>
      </c>
      <c r="R5332" s="422" t="s">
        <v>1869</v>
      </c>
      <c r="S5332" s="422" t="s">
        <v>1861</v>
      </c>
      <c r="T5332" t="s">
        <v>4825</v>
      </c>
      <c r="U5332" s="422" t="s">
        <v>1953</v>
      </c>
      <c r="V5332" s="422" t="s">
        <v>2813</v>
      </c>
    </row>
    <row r="5333" spans="1:22" ht="15.75" thickBot="1" x14ac:dyDescent="0.3">
      <c r="A5333" t="s">
        <v>1910</v>
      </c>
      <c r="B5333" t="s">
        <v>1910</v>
      </c>
      <c r="C5333" s="424" t="str">
        <f t="shared" si="223"/>
        <v>Rodoviária de Lisboa, S.A.</v>
      </c>
      <c r="D5333" t="s">
        <v>629</v>
      </c>
      <c r="F5333" s="422" t="s">
        <v>620</v>
      </c>
      <c r="G5333" s="89">
        <v>2014</v>
      </c>
      <c r="H5333" s="313" t="s">
        <v>733</v>
      </c>
      <c r="I5333" s="311" t="str">
        <f t="shared" si="221"/>
        <v>Pesado de Passageiros M3:  : Gasóleo : E6</v>
      </c>
      <c r="J5333">
        <v>99</v>
      </c>
      <c r="K5333" s="422">
        <v>2023</v>
      </c>
      <c r="L5333">
        <v>18015.099999999999</v>
      </c>
      <c r="M5333" t="s">
        <v>630</v>
      </c>
      <c r="N5333" s="131">
        <v>40740</v>
      </c>
      <c r="O5333" s="436">
        <f t="shared" si="222"/>
        <v>4033260</v>
      </c>
      <c r="Q5333" s="422" t="s">
        <v>47</v>
      </c>
      <c r="R5333" s="422" t="s">
        <v>1869</v>
      </c>
      <c r="S5333" s="422" t="s">
        <v>1861</v>
      </c>
      <c r="T5333" t="s">
        <v>4825</v>
      </c>
      <c r="U5333" s="422" t="s">
        <v>1953</v>
      </c>
      <c r="V5333" s="422" t="s">
        <v>2813</v>
      </c>
    </row>
    <row r="5334" spans="1:22" ht="15.75" thickBot="1" x14ac:dyDescent="0.3">
      <c r="A5334" t="s">
        <v>1910</v>
      </c>
      <c r="B5334" t="s">
        <v>1910</v>
      </c>
      <c r="C5334" s="424" t="str">
        <f t="shared" si="223"/>
        <v>Rodoviária de Lisboa, S.A.</v>
      </c>
      <c r="D5334" t="s">
        <v>629</v>
      </c>
      <c r="F5334" s="422" t="s">
        <v>620</v>
      </c>
      <c r="G5334" s="89" t="s">
        <v>2223</v>
      </c>
      <c r="H5334" s="313" t="s">
        <v>734</v>
      </c>
      <c r="I5334" s="311" t="str">
        <f t="shared" si="221"/>
        <v>Pesado de Passageiros M3:  : Gasóleo : E5</v>
      </c>
      <c r="J5334">
        <v>99</v>
      </c>
      <c r="K5334" s="422">
        <v>2023</v>
      </c>
      <c r="L5334">
        <v>7142.7</v>
      </c>
      <c r="M5334" t="s">
        <v>630</v>
      </c>
      <c r="N5334" s="131">
        <v>13858</v>
      </c>
      <c r="O5334" s="436">
        <f t="shared" si="222"/>
        <v>1371942</v>
      </c>
      <c r="Q5334" s="422" t="s">
        <v>47</v>
      </c>
      <c r="R5334" s="422" t="s">
        <v>1869</v>
      </c>
      <c r="S5334" s="422" t="s">
        <v>1861</v>
      </c>
      <c r="T5334" t="s">
        <v>4825</v>
      </c>
      <c r="U5334" s="422" t="s">
        <v>1953</v>
      </c>
      <c r="V5334" s="422" t="s">
        <v>2813</v>
      </c>
    </row>
    <row r="5335" spans="1:22" ht="15.75" thickBot="1" x14ac:dyDescent="0.3">
      <c r="A5335" t="s">
        <v>1910</v>
      </c>
      <c r="B5335" t="s">
        <v>1910</v>
      </c>
      <c r="C5335" s="424" t="str">
        <f t="shared" si="223"/>
        <v>Rodoviária de Lisboa, S.A.</v>
      </c>
      <c r="D5335" t="s">
        <v>629</v>
      </c>
      <c r="F5335" s="422" t="s">
        <v>620</v>
      </c>
      <c r="G5335" s="89" t="s">
        <v>2223</v>
      </c>
      <c r="H5335" s="313" t="s">
        <v>734</v>
      </c>
      <c r="I5335" s="311" t="str">
        <f t="shared" si="221"/>
        <v>Pesado de Passageiros M3:  : Gasóleo : E5</v>
      </c>
      <c r="J5335">
        <v>99</v>
      </c>
      <c r="K5335" s="422">
        <v>2023</v>
      </c>
      <c r="L5335">
        <v>7094</v>
      </c>
      <c r="M5335" t="s">
        <v>630</v>
      </c>
      <c r="N5335" s="131">
        <v>13959</v>
      </c>
      <c r="O5335" s="436">
        <f t="shared" si="222"/>
        <v>1381941</v>
      </c>
      <c r="Q5335" s="422" t="s">
        <v>47</v>
      </c>
      <c r="R5335" s="422" t="s">
        <v>1869</v>
      </c>
      <c r="S5335" s="422" t="s">
        <v>1861</v>
      </c>
      <c r="T5335" t="s">
        <v>4825</v>
      </c>
      <c r="U5335" s="422" t="s">
        <v>1953</v>
      </c>
      <c r="V5335" s="422" t="s">
        <v>2813</v>
      </c>
    </row>
    <row r="5336" spans="1:22" ht="15.75" thickBot="1" x14ac:dyDescent="0.3">
      <c r="A5336" t="s">
        <v>1910</v>
      </c>
      <c r="B5336" t="s">
        <v>1910</v>
      </c>
      <c r="C5336" s="424" t="str">
        <f t="shared" si="223"/>
        <v>Rodoviária de Lisboa, S.A.</v>
      </c>
      <c r="D5336" t="s">
        <v>629</v>
      </c>
      <c r="F5336" s="422" t="s">
        <v>620</v>
      </c>
      <c r="G5336" s="89" t="s">
        <v>2223</v>
      </c>
      <c r="H5336" s="313" t="s">
        <v>734</v>
      </c>
      <c r="I5336" s="311" t="str">
        <f t="shared" si="221"/>
        <v>Pesado de Passageiros M3:  : Gasóleo : E5</v>
      </c>
      <c r="J5336">
        <v>99</v>
      </c>
      <c r="K5336" s="422">
        <v>2023</v>
      </c>
      <c r="L5336">
        <v>6947.5</v>
      </c>
      <c r="M5336" t="s">
        <v>630</v>
      </c>
      <c r="N5336" s="131">
        <v>13780</v>
      </c>
      <c r="O5336" s="436">
        <f t="shared" si="222"/>
        <v>1364220</v>
      </c>
      <c r="Q5336" s="422" t="s">
        <v>47</v>
      </c>
      <c r="R5336" s="422" t="s">
        <v>1869</v>
      </c>
      <c r="S5336" s="422" t="s">
        <v>1861</v>
      </c>
      <c r="T5336" t="s">
        <v>4825</v>
      </c>
      <c r="U5336" s="422" t="s">
        <v>1953</v>
      </c>
      <c r="V5336" s="422" t="s">
        <v>2813</v>
      </c>
    </row>
    <row r="5337" spans="1:22" ht="15.75" thickBot="1" x14ac:dyDescent="0.3">
      <c r="A5337" t="s">
        <v>1910</v>
      </c>
      <c r="B5337" t="s">
        <v>1910</v>
      </c>
      <c r="C5337" s="424" t="str">
        <f t="shared" si="223"/>
        <v>Rodoviária de Lisboa, S.A.</v>
      </c>
      <c r="D5337" t="s">
        <v>629</v>
      </c>
      <c r="F5337" s="422" t="s">
        <v>620</v>
      </c>
      <c r="G5337" s="89" t="s">
        <v>2223</v>
      </c>
      <c r="H5337" s="313" t="s">
        <v>734</v>
      </c>
      <c r="I5337" s="311" t="str">
        <f t="shared" si="221"/>
        <v>Pesado de Passageiros M3:  : Gasóleo : E5</v>
      </c>
      <c r="J5337">
        <v>99</v>
      </c>
      <c r="K5337" s="422">
        <v>2023</v>
      </c>
      <c r="L5337">
        <v>4700.2</v>
      </c>
      <c r="M5337" t="s">
        <v>630</v>
      </c>
      <c r="N5337" s="131">
        <v>9272</v>
      </c>
      <c r="O5337" s="436">
        <f t="shared" si="222"/>
        <v>917928</v>
      </c>
      <c r="Q5337" s="422" t="s">
        <v>47</v>
      </c>
      <c r="R5337" s="422" t="s">
        <v>1869</v>
      </c>
      <c r="S5337" s="422" t="s">
        <v>1861</v>
      </c>
      <c r="T5337" t="s">
        <v>4825</v>
      </c>
      <c r="U5337" s="422" t="s">
        <v>1953</v>
      </c>
      <c r="V5337" s="422" t="s">
        <v>2813</v>
      </c>
    </row>
    <row r="5338" spans="1:22" ht="15.75" thickBot="1" x14ac:dyDescent="0.3">
      <c r="A5338" t="s">
        <v>1910</v>
      </c>
      <c r="B5338" t="s">
        <v>1910</v>
      </c>
      <c r="C5338" s="424" t="str">
        <f t="shared" si="223"/>
        <v>Rodoviária de Lisboa, S.A.</v>
      </c>
      <c r="D5338" t="s">
        <v>629</v>
      </c>
      <c r="F5338" s="422" t="s">
        <v>620</v>
      </c>
      <c r="G5338" s="89" t="s">
        <v>2223</v>
      </c>
      <c r="H5338" s="313" t="s">
        <v>734</v>
      </c>
      <c r="I5338" s="311" t="str">
        <f t="shared" si="221"/>
        <v>Pesado de Passageiros M3:  : Gasóleo : E5</v>
      </c>
      <c r="J5338">
        <v>99</v>
      </c>
      <c r="K5338" s="422">
        <v>2023</v>
      </c>
      <c r="L5338">
        <v>8133.6</v>
      </c>
      <c r="M5338" t="s">
        <v>630</v>
      </c>
      <c r="N5338" s="131">
        <v>16775</v>
      </c>
      <c r="O5338" s="436">
        <f t="shared" si="222"/>
        <v>1660725</v>
      </c>
      <c r="Q5338" s="422" t="s">
        <v>47</v>
      </c>
      <c r="R5338" s="422" t="s">
        <v>1869</v>
      </c>
      <c r="S5338" s="422" t="s">
        <v>1861</v>
      </c>
      <c r="T5338" t="s">
        <v>4825</v>
      </c>
      <c r="U5338" s="422" t="s">
        <v>1953</v>
      </c>
      <c r="V5338" s="422" t="s">
        <v>2813</v>
      </c>
    </row>
    <row r="5339" spans="1:22" ht="15.75" thickBot="1" x14ac:dyDescent="0.3">
      <c r="A5339" t="s">
        <v>1910</v>
      </c>
      <c r="B5339" t="s">
        <v>1910</v>
      </c>
      <c r="C5339" s="424" t="str">
        <f t="shared" si="223"/>
        <v>Rodoviária de Lisboa, S.A.</v>
      </c>
      <c r="D5339" t="s">
        <v>629</v>
      </c>
      <c r="F5339" s="422" t="s">
        <v>620</v>
      </c>
      <c r="G5339" s="89" t="s">
        <v>2228</v>
      </c>
      <c r="H5339" s="313" t="s">
        <v>732</v>
      </c>
      <c r="I5339" s="311" t="str">
        <f t="shared" si="221"/>
        <v>Pesado de Passageiros M3:  : Gasóleo : E3</v>
      </c>
      <c r="J5339">
        <v>99</v>
      </c>
      <c r="K5339" s="422">
        <v>2023</v>
      </c>
      <c r="L5339">
        <v>523</v>
      </c>
      <c r="M5339" t="s">
        <v>630</v>
      </c>
      <c r="N5339" s="131">
        <v>1025</v>
      </c>
      <c r="O5339" s="436">
        <f t="shared" si="222"/>
        <v>101475</v>
      </c>
      <c r="Q5339" s="422" t="s">
        <v>47</v>
      </c>
      <c r="R5339" s="422" t="s">
        <v>1869</v>
      </c>
      <c r="S5339" s="422" t="s">
        <v>1861</v>
      </c>
      <c r="T5339" t="s">
        <v>4825</v>
      </c>
      <c r="U5339" s="422" t="s">
        <v>1953</v>
      </c>
      <c r="V5339" s="422" t="s">
        <v>2813</v>
      </c>
    </row>
    <row r="5340" spans="1:22" ht="15.75" thickBot="1" x14ac:dyDescent="0.3">
      <c r="A5340" t="s">
        <v>1910</v>
      </c>
      <c r="B5340" t="s">
        <v>1910</v>
      </c>
      <c r="C5340" s="424" t="str">
        <f t="shared" si="223"/>
        <v>Rodoviária de Lisboa, S.A.</v>
      </c>
      <c r="D5340" t="s">
        <v>629</v>
      </c>
      <c r="F5340" s="422" t="s">
        <v>620</v>
      </c>
      <c r="G5340" s="89" t="s">
        <v>2228</v>
      </c>
      <c r="H5340" s="313" t="s">
        <v>732</v>
      </c>
      <c r="I5340" s="311" t="str">
        <f t="shared" si="221"/>
        <v>Pesado de Passageiros M3:  : Gasóleo : E3</v>
      </c>
      <c r="J5340">
        <v>99</v>
      </c>
      <c r="K5340" s="422">
        <v>2023</v>
      </c>
      <c r="L5340">
        <v>406.9</v>
      </c>
      <c r="M5340" t="s">
        <v>630</v>
      </c>
      <c r="N5340" s="131">
        <v>797</v>
      </c>
      <c r="O5340" s="436">
        <f t="shared" si="222"/>
        <v>78903</v>
      </c>
      <c r="Q5340" s="422" t="s">
        <v>47</v>
      </c>
      <c r="R5340" s="422" t="s">
        <v>1869</v>
      </c>
      <c r="S5340" s="422" t="s">
        <v>1861</v>
      </c>
      <c r="T5340" t="s">
        <v>4825</v>
      </c>
      <c r="U5340" s="422" t="s">
        <v>1953</v>
      </c>
      <c r="V5340" s="422" t="s">
        <v>2813</v>
      </c>
    </row>
    <row r="5341" spans="1:22" ht="15.75" thickBot="1" x14ac:dyDescent="0.3">
      <c r="A5341" t="s">
        <v>1910</v>
      </c>
      <c r="B5341" t="s">
        <v>1910</v>
      </c>
      <c r="C5341" s="424" t="str">
        <f t="shared" si="223"/>
        <v>Rodoviária de Lisboa, S.A.</v>
      </c>
      <c r="D5341" t="s">
        <v>629</v>
      </c>
      <c r="F5341" s="422" t="s">
        <v>620</v>
      </c>
      <c r="G5341" s="89" t="s">
        <v>2228</v>
      </c>
      <c r="H5341" s="313" t="s">
        <v>732</v>
      </c>
      <c r="I5341" s="311" t="str">
        <f t="shared" si="221"/>
        <v>Pesado de Passageiros M3:  : Gasóleo : E3</v>
      </c>
      <c r="J5341">
        <v>99</v>
      </c>
      <c r="K5341" s="422">
        <v>2023</v>
      </c>
      <c r="L5341">
        <v>538.79999999999995</v>
      </c>
      <c r="M5341" t="s">
        <v>630</v>
      </c>
      <c r="N5341" s="131">
        <v>1056</v>
      </c>
      <c r="O5341" s="436">
        <f t="shared" si="222"/>
        <v>104544</v>
      </c>
      <c r="Q5341" s="422" t="s">
        <v>47</v>
      </c>
      <c r="R5341" s="422" t="s">
        <v>1869</v>
      </c>
      <c r="S5341" s="422" t="s">
        <v>1861</v>
      </c>
      <c r="T5341" t="s">
        <v>4825</v>
      </c>
      <c r="U5341" s="422" t="s">
        <v>1953</v>
      </c>
      <c r="V5341" s="422" t="s">
        <v>2813</v>
      </c>
    </row>
    <row r="5342" spans="1:22" ht="15.75" thickBot="1" x14ac:dyDescent="0.3">
      <c r="A5342" t="s">
        <v>1910</v>
      </c>
      <c r="B5342" t="s">
        <v>1910</v>
      </c>
      <c r="C5342" s="424" t="str">
        <f t="shared" si="223"/>
        <v>Rodoviária de Lisboa, S.A.</v>
      </c>
      <c r="D5342" t="s">
        <v>629</v>
      </c>
      <c r="F5342" s="422" t="s">
        <v>620</v>
      </c>
      <c r="G5342" s="89">
        <v>2005</v>
      </c>
      <c r="H5342" s="313" t="s">
        <v>732</v>
      </c>
      <c r="I5342" s="311" t="str">
        <f t="shared" si="221"/>
        <v>Pesado de Passageiros M3:  : Gasóleo : E3</v>
      </c>
      <c r="J5342">
        <v>69</v>
      </c>
      <c r="K5342" s="422">
        <v>2023</v>
      </c>
      <c r="L5342">
        <v>975.6</v>
      </c>
      <c r="M5342" t="s">
        <v>630</v>
      </c>
      <c r="N5342" s="131">
        <v>2210</v>
      </c>
      <c r="O5342" s="436">
        <f t="shared" si="222"/>
        <v>152490</v>
      </c>
      <c r="Q5342" s="422" t="s">
        <v>47</v>
      </c>
      <c r="R5342" s="422" t="s">
        <v>1869</v>
      </c>
      <c r="S5342" s="422" t="s">
        <v>1861</v>
      </c>
      <c r="T5342" t="s">
        <v>4825</v>
      </c>
      <c r="U5342" s="422" t="s">
        <v>1953</v>
      </c>
      <c r="V5342" s="422" t="s">
        <v>2813</v>
      </c>
    </row>
    <row r="5343" spans="1:22" ht="15.75" thickBot="1" x14ac:dyDescent="0.3">
      <c r="A5343" t="s">
        <v>1910</v>
      </c>
      <c r="B5343" t="s">
        <v>1910</v>
      </c>
      <c r="C5343" s="424" t="str">
        <f t="shared" si="223"/>
        <v>Rodoviária de Lisboa, S.A.</v>
      </c>
      <c r="D5343" t="s">
        <v>629</v>
      </c>
      <c r="F5343" s="422" t="s">
        <v>620</v>
      </c>
      <c r="G5343" s="89" t="s">
        <v>2219</v>
      </c>
      <c r="H5343" s="313" t="s">
        <v>732</v>
      </c>
      <c r="I5343" s="311" t="str">
        <f t="shared" si="221"/>
        <v>Pesado de Passageiros M3:  : Gasóleo : E3</v>
      </c>
      <c r="J5343">
        <v>69</v>
      </c>
      <c r="K5343" s="422">
        <v>2023</v>
      </c>
      <c r="L5343">
        <v>3555.2</v>
      </c>
      <c r="M5343" t="s">
        <v>630</v>
      </c>
      <c r="N5343" s="131">
        <v>8249</v>
      </c>
      <c r="O5343" s="436">
        <f t="shared" si="222"/>
        <v>569181</v>
      </c>
      <c r="Q5343" s="422" t="s">
        <v>47</v>
      </c>
      <c r="R5343" s="422" t="s">
        <v>1869</v>
      </c>
      <c r="S5343" s="422" t="s">
        <v>1861</v>
      </c>
      <c r="T5343" t="s">
        <v>4825</v>
      </c>
      <c r="U5343" s="422" t="s">
        <v>1953</v>
      </c>
      <c r="V5343" s="422" t="s">
        <v>2813</v>
      </c>
    </row>
    <row r="5344" spans="1:22" ht="15.75" thickBot="1" x14ac:dyDescent="0.3">
      <c r="A5344" t="s">
        <v>1910</v>
      </c>
      <c r="B5344" t="s">
        <v>1910</v>
      </c>
      <c r="C5344" s="424" t="str">
        <f t="shared" si="223"/>
        <v>Rodoviária de Lisboa, S.A.</v>
      </c>
      <c r="D5344" t="s">
        <v>629</v>
      </c>
      <c r="F5344" s="422" t="s">
        <v>620</v>
      </c>
      <c r="G5344" s="89">
        <v>2013</v>
      </c>
      <c r="H5344" s="313" t="s">
        <v>733</v>
      </c>
      <c r="I5344" s="311" t="str">
        <f t="shared" si="221"/>
        <v>Pesado de Passageiros M3:  : Gasóleo : E6</v>
      </c>
      <c r="J5344">
        <v>100</v>
      </c>
      <c r="K5344" s="422">
        <v>2023</v>
      </c>
      <c r="L5344">
        <v>7456.7</v>
      </c>
      <c r="M5344" t="s">
        <v>630</v>
      </c>
      <c r="N5344" s="131">
        <v>15779</v>
      </c>
      <c r="O5344" s="436">
        <f t="shared" si="222"/>
        <v>1577900</v>
      </c>
      <c r="Q5344" s="422" t="s">
        <v>47</v>
      </c>
      <c r="R5344" s="422" t="s">
        <v>1869</v>
      </c>
      <c r="S5344" s="422" t="s">
        <v>1861</v>
      </c>
      <c r="T5344" t="s">
        <v>4825</v>
      </c>
      <c r="U5344" s="422" t="s">
        <v>1953</v>
      </c>
      <c r="V5344" s="422" t="s">
        <v>2813</v>
      </c>
    </row>
    <row r="5345" spans="1:22" ht="15.75" thickBot="1" x14ac:dyDescent="0.3">
      <c r="A5345" t="s">
        <v>1910</v>
      </c>
      <c r="B5345" t="s">
        <v>1910</v>
      </c>
      <c r="C5345" s="424" t="str">
        <f t="shared" si="223"/>
        <v>Rodoviária de Lisboa, S.A.</v>
      </c>
      <c r="D5345" t="s">
        <v>629</v>
      </c>
      <c r="F5345" s="422" t="s">
        <v>620</v>
      </c>
      <c r="G5345" s="89">
        <v>2013</v>
      </c>
      <c r="H5345" s="313" t="s">
        <v>733</v>
      </c>
      <c r="I5345" s="311" t="str">
        <f t="shared" si="221"/>
        <v>Pesado de Passageiros M3:  : Gasóleo : E6</v>
      </c>
      <c r="J5345">
        <v>72</v>
      </c>
      <c r="K5345" s="422">
        <v>2023</v>
      </c>
      <c r="L5345">
        <v>16448.900000000001</v>
      </c>
      <c r="M5345" t="s">
        <v>630</v>
      </c>
      <c r="N5345" s="131">
        <v>38893</v>
      </c>
      <c r="O5345" s="436">
        <f t="shared" si="222"/>
        <v>2800296</v>
      </c>
      <c r="Q5345" s="422" t="s">
        <v>47</v>
      </c>
      <c r="R5345" s="422" t="s">
        <v>1869</v>
      </c>
      <c r="S5345" s="422" t="s">
        <v>1861</v>
      </c>
      <c r="T5345" t="s">
        <v>4825</v>
      </c>
      <c r="U5345" s="422" t="s">
        <v>1953</v>
      </c>
      <c r="V5345" s="422" t="s">
        <v>2813</v>
      </c>
    </row>
    <row r="5346" spans="1:22" ht="15.75" thickBot="1" x14ac:dyDescent="0.3">
      <c r="A5346" t="s">
        <v>1910</v>
      </c>
      <c r="B5346" t="s">
        <v>1910</v>
      </c>
      <c r="C5346" s="424" t="str">
        <f t="shared" si="223"/>
        <v>Rodoviária de Lisboa, S.A.</v>
      </c>
      <c r="D5346" t="s">
        <v>629</v>
      </c>
      <c r="F5346" s="422" t="s">
        <v>620</v>
      </c>
      <c r="G5346" s="89">
        <v>2013</v>
      </c>
      <c r="H5346" s="313" t="s">
        <v>733</v>
      </c>
      <c r="I5346" s="311" t="str">
        <f t="shared" ref="I5346:I5409" si="224">D5346&amp;": "&amp;E5346&amp;" : "&amp;F5346&amp;" : "&amp;H5346</f>
        <v>Pesado de Passageiros M3:  : Gasóleo : E6</v>
      </c>
      <c r="J5346">
        <v>100</v>
      </c>
      <c r="K5346" s="422">
        <v>2023</v>
      </c>
      <c r="L5346">
        <v>21017.8</v>
      </c>
      <c r="M5346" t="s">
        <v>630</v>
      </c>
      <c r="N5346" s="131">
        <v>43867</v>
      </c>
      <c r="O5346" s="436">
        <f t="shared" ref="O5346:O5409" si="225">N5346*J5346</f>
        <v>4386700</v>
      </c>
      <c r="Q5346" s="422" t="s">
        <v>47</v>
      </c>
      <c r="R5346" s="422" t="s">
        <v>1869</v>
      </c>
      <c r="S5346" s="422" t="s">
        <v>1861</v>
      </c>
      <c r="T5346" t="s">
        <v>4825</v>
      </c>
      <c r="U5346" s="422" t="s">
        <v>1953</v>
      </c>
      <c r="V5346" s="422" t="s">
        <v>2813</v>
      </c>
    </row>
    <row r="5347" spans="1:22" ht="15.75" thickBot="1" x14ac:dyDescent="0.3">
      <c r="A5347" t="s">
        <v>1910</v>
      </c>
      <c r="B5347" t="s">
        <v>1910</v>
      </c>
      <c r="C5347" s="424" t="str">
        <f t="shared" si="223"/>
        <v>Rodoviária de Lisboa, S.A.</v>
      </c>
      <c r="D5347" t="s">
        <v>629</v>
      </c>
      <c r="F5347" s="422" t="s">
        <v>620</v>
      </c>
      <c r="G5347" s="89">
        <v>2013</v>
      </c>
      <c r="H5347" s="313" t="s">
        <v>733</v>
      </c>
      <c r="I5347" s="311" t="str">
        <f t="shared" si="224"/>
        <v>Pesado de Passageiros M3:  : Gasóleo : E6</v>
      </c>
      <c r="J5347">
        <v>100</v>
      </c>
      <c r="K5347" s="422">
        <v>2023</v>
      </c>
      <c r="L5347">
        <v>16969.8</v>
      </c>
      <c r="M5347" t="s">
        <v>630</v>
      </c>
      <c r="N5347" s="131">
        <v>35972</v>
      </c>
      <c r="O5347" s="436">
        <f t="shared" si="225"/>
        <v>3597200</v>
      </c>
      <c r="Q5347" s="422" t="s">
        <v>47</v>
      </c>
      <c r="R5347" s="422" t="s">
        <v>1869</v>
      </c>
      <c r="S5347" s="422" t="s">
        <v>1861</v>
      </c>
      <c r="T5347" t="s">
        <v>4825</v>
      </c>
      <c r="U5347" s="422" t="s">
        <v>1953</v>
      </c>
      <c r="V5347" s="422" t="s">
        <v>2813</v>
      </c>
    </row>
    <row r="5348" spans="1:22" ht="15.75" thickBot="1" x14ac:dyDescent="0.3">
      <c r="A5348" t="s">
        <v>1910</v>
      </c>
      <c r="B5348" t="s">
        <v>1910</v>
      </c>
      <c r="C5348" s="424" t="str">
        <f t="shared" si="223"/>
        <v>Rodoviária de Lisboa, S.A.</v>
      </c>
      <c r="D5348" t="s">
        <v>629</v>
      </c>
      <c r="F5348" s="422" t="s">
        <v>620</v>
      </c>
      <c r="G5348" s="89" t="s">
        <v>2215</v>
      </c>
      <c r="H5348" s="313" t="s">
        <v>735</v>
      </c>
      <c r="I5348" s="311" t="str">
        <f t="shared" si="224"/>
        <v>Pesado de Passageiros M3:  : Gasóleo : E2</v>
      </c>
      <c r="J5348">
        <v>100</v>
      </c>
      <c r="K5348" s="422">
        <v>2023</v>
      </c>
      <c r="L5348">
        <v>42.9</v>
      </c>
      <c r="M5348" t="s">
        <v>630</v>
      </c>
      <c r="N5348" s="131">
        <v>80</v>
      </c>
      <c r="O5348" s="436">
        <f t="shared" si="225"/>
        <v>8000</v>
      </c>
      <c r="Q5348" s="422" t="s">
        <v>47</v>
      </c>
      <c r="R5348" s="422" t="s">
        <v>1869</v>
      </c>
      <c r="S5348" s="422" t="s">
        <v>1861</v>
      </c>
      <c r="T5348" t="s">
        <v>4825</v>
      </c>
      <c r="U5348" s="422" t="s">
        <v>1953</v>
      </c>
      <c r="V5348" s="422" t="s">
        <v>2813</v>
      </c>
    </row>
    <row r="5349" spans="1:22" ht="15.75" thickBot="1" x14ac:dyDescent="0.3">
      <c r="A5349" t="s">
        <v>1910</v>
      </c>
      <c r="B5349" t="s">
        <v>1910</v>
      </c>
      <c r="C5349" s="424" t="str">
        <f t="shared" si="223"/>
        <v>Rodoviária de Lisboa, S.A.</v>
      </c>
      <c r="D5349" t="s">
        <v>629</v>
      </c>
      <c r="F5349" s="422" t="s">
        <v>620</v>
      </c>
      <c r="G5349" s="89" t="s">
        <v>2212</v>
      </c>
      <c r="H5349" s="313" t="s">
        <v>734</v>
      </c>
      <c r="I5349" s="311" t="str">
        <f t="shared" si="224"/>
        <v>Pesado de Passageiros M3:  : Gasóleo : E5</v>
      </c>
      <c r="J5349">
        <v>100</v>
      </c>
      <c r="K5349" s="422">
        <v>2023</v>
      </c>
      <c r="L5349">
        <v>11741.9</v>
      </c>
      <c r="M5349" t="s">
        <v>630</v>
      </c>
      <c r="N5349" s="131">
        <v>26951</v>
      </c>
      <c r="O5349" s="436">
        <f t="shared" si="225"/>
        <v>2695100</v>
      </c>
      <c r="Q5349" s="422" t="s">
        <v>47</v>
      </c>
      <c r="R5349" s="422" t="s">
        <v>1869</v>
      </c>
      <c r="S5349" s="422" t="s">
        <v>1861</v>
      </c>
      <c r="T5349" t="s">
        <v>4825</v>
      </c>
      <c r="U5349" s="422" t="s">
        <v>1953</v>
      </c>
      <c r="V5349" s="422" t="s">
        <v>2813</v>
      </c>
    </row>
    <row r="5350" spans="1:22" ht="15.75" thickBot="1" x14ac:dyDescent="0.3">
      <c r="A5350" t="s">
        <v>1910</v>
      </c>
      <c r="B5350" t="s">
        <v>1910</v>
      </c>
      <c r="C5350" s="424" t="str">
        <f t="shared" si="223"/>
        <v>Rodoviária de Lisboa, S.A.</v>
      </c>
      <c r="D5350" t="s">
        <v>629</v>
      </c>
      <c r="F5350" s="422" t="s">
        <v>620</v>
      </c>
      <c r="G5350" s="89">
        <v>2013</v>
      </c>
      <c r="H5350" s="313" t="s">
        <v>733</v>
      </c>
      <c r="I5350" s="311" t="str">
        <f t="shared" si="224"/>
        <v>Pesado de Passageiros M3:  : Gasóleo : E6</v>
      </c>
      <c r="J5350">
        <v>72</v>
      </c>
      <c r="K5350" s="422">
        <v>2023</v>
      </c>
      <c r="L5350">
        <v>256.3</v>
      </c>
      <c r="M5350" t="s">
        <v>630</v>
      </c>
      <c r="N5350" s="131">
        <v>596</v>
      </c>
      <c r="O5350" s="436">
        <f t="shared" si="225"/>
        <v>42912</v>
      </c>
      <c r="Q5350" s="422" t="s">
        <v>47</v>
      </c>
      <c r="R5350" s="422" t="s">
        <v>1869</v>
      </c>
      <c r="S5350" s="422" t="s">
        <v>1861</v>
      </c>
      <c r="T5350" t="s">
        <v>4825</v>
      </c>
      <c r="U5350" s="422" t="s">
        <v>1953</v>
      </c>
      <c r="V5350" s="422" t="s">
        <v>2813</v>
      </c>
    </row>
    <row r="5351" spans="1:22" ht="15.75" thickBot="1" x14ac:dyDescent="0.3">
      <c r="A5351" t="s">
        <v>1910</v>
      </c>
      <c r="B5351" t="s">
        <v>1910</v>
      </c>
      <c r="C5351" s="424" t="str">
        <f t="shared" si="223"/>
        <v>Rodoviária de Lisboa, S.A.</v>
      </c>
      <c r="D5351" t="s">
        <v>629</v>
      </c>
      <c r="F5351" s="422" t="s">
        <v>620</v>
      </c>
      <c r="G5351" s="89">
        <v>2014</v>
      </c>
      <c r="H5351" s="313" t="s">
        <v>733</v>
      </c>
      <c r="I5351" s="311" t="str">
        <f t="shared" si="224"/>
        <v>Pesado de Passageiros M3:  : Gasóleo : E6</v>
      </c>
      <c r="J5351">
        <v>72</v>
      </c>
      <c r="K5351" s="422">
        <v>2023</v>
      </c>
      <c r="L5351">
        <v>16222.7</v>
      </c>
      <c r="M5351" t="s">
        <v>630</v>
      </c>
      <c r="N5351" s="131">
        <v>36247</v>
      </c>
      <c r="O5351" s="436">
        <f t="shared" si="225"/>
        <v>2609784</v>
      </c>
      <c r="Q5351" s="422" t="s">
        <v>47</v>
      </c>
      <c r="R5351" s="422" t="s">
        <v>1869</v>
      </c>
      <c r="S5351" s="422" t="s">
        <v>1861</v>
      </c>
      <c r="T5351" t="s">
        <v>4825</v>
      </c>
      <c r="U5351" s="422" t="s">
        <v>1953</v>
      </c>
      <c r="V5351" s="422" t="s">
        <v>2813</v>
      </c>
    </row>
    <row r="5352" spans="1:22" ht="15.75" thickBot="1" x14ac:dyDescent="0.3">
      <c r="A5352" t="s">
        <v>1910</v>
      </c>
      <c r="B5352" t="s">
        <v>1910</v>
      </c>
      <c r="C5352" s="424" t="str">
        <f t="shared" si="223"/>
        <v>Rodoviária de Lisboa, S.A.</v>
      </c>
      <c r="D5352" t="s">
        <v>629</v>
      </c>
      <c r="F5352" s="422" t="s">
        <v>620</v>
      </c>
      <c r="G5352" s="89">
        <v>2013</v>
      </c>
      <c r="H5352" s="313" t="s">
        <v>733</v>
      </c>
      <c r="I5352" s="311" t="str">
        <f t="shared" si="224"/>
        <v>Pesado de Passageiros M3:  : Gasóleo : E6</v>
      </c>
      <c r="J5352">
        <v>72</v>
      </c>
      <c r="K5352" s="422">
        <v>2023</v>
      </c>
      <c r="L5352">
        <v>18872.2</v>
      </c>
      <c r="M5352" t="s">
        <v>630</v>
      </c>
      <c r="N5352" s="131">
        <v>42562</v>
      </c>
      <c r="O5352" s="436">
        <f t="shared" si="225"/>
        <v>3064464</v>
      </c>
      <c r="Q5352" s="422" t="s">
        <v>47</v>
      </c>
      <c r="R5352" s="422" t="s">
        <v>1869</v>
      </c>
      <c r="S5352" s="422" t="s">
        <v>1861</v>
      </c>
      <c r="T5352" t="s">
        <v>4825</v>
      </c>
      <c r="U5352" s="422" t="s">
        <v>1953</v>
      </c>
      <c r="V5352" s="422" t="s">
        <v>2813</v>
      </c>
    </row>
    <row r="5353" spans="1:22" ht="15.75" thickBot="1" x14ac:dyDescent="0.3">
      <c r="A5353" t="s">
        <v>1910</v>
      </c>
      <c r="B5353" t="s">
        <v>1910</v>
      </c>
      <c r="C5353" s="424" t="str">
        <f t="shared" si="223"/>
        <v>Rodoviária de Lisboa, S.A.</v>
      </c>
      <c r="D5353" t="s">
        <v>629</v>
      </c>
      <c r="F5353" s="422" t="s">
        <v>620</v>
      </c>
      <c r="G5353" s="89">
        <v>2007</v>
      </c>
      <c r="H5353" s="313" t="s">
        <v>731</v>
      </c>
      <c r="I5353" s="311" t="str">
        <f t="shared" si="224"/>
        <v>Pesado de Passageiros M3:  : Gasóleo : E4</v>
      </c>
      <c r="J5353">
        <v>120</v>
      </c>
      <c r="K5353" s="422">
        <v>2023</v>
      </c>
      <c r="L5353">
        <v>27236.3</v>
      </c>
      <c r="M5353" t="s">
        <v>630</v>
      </c>
      <c r="N5353" s="131">
        <v>40595</v>
      </c>
      <c r="O5353" s="436">
        <f t="shared" si="225"/>
        <v>4871400</v>
      </c>
      <c r="Q5353" s="422" t="s">
        <v>47</v>
      </c>
      <c r="R5353" s="422" t="s">
        <v>1869</v>
      </c>
      <c r="S5353" s="422" t="s">
        <v>1861</v>
      </c>
      <c r="T5353" t="s">
        <v>4825</v>
      </c>
      <c r="U5353" s="422" t="s">
        <v>1953</v>
      </c>
      <c r="V5353" s="422" t="s">
        <v>2813</v>
      </c>
    </row>
    <row r="5354" spans="1:22" ht="15.75" thickBot="1" x14ac:dyDescent="0.3">
      <c r="A5354" t="s">
        <v>1910</v>
      </c>
      <c r="B5354" t="s">
        <v>1910</v>
      </c>
      <c r="C5354" s="424" t="str">
        <f t="shared" si="223"/>
        <v>Rodoviária de Lisboa, S.A.</v>
      </c>
      <c r="D5354" t="s">
        <v>629</v>
      </c>
      <c r="F5354" s="422" t="s">
        <v>620</v>
      </c>
      <c r="G5354" s="89" t="s">
        <v>2228</v>
      </c>
      <c r="H5354" s="313" t="s">
        <v>732</v>
      </c>
      <c r="I5354" s="311" t="str">
        <f t="shared" si="224"/>
        <v>Pesado de Passageiros M3:  : Gasóleo : E3</v>
      </c>
      <c r="J5354">
        <v>120</v>
      </c>
      <c r="K5354" s="422">
        <v>2023</v>
      </c>
      <c r="L5354">
        <v>746.7</v>
      </c>
      <c r="M5354" t="s">
        <v>630</v>
      </c>
      <c r="N5354" s="131">
        <v>1659</v>
      </c>
      <c r="O5354" s="436">
        <f t="shared" si="225"/>
        <v>199080</v>
      </c>
      <c r="Q5354" s="422" t="s">
        <v>47</v>
      </c>
      <c r="R5354" s="422" t="s">
        <v>1869</v>
      </c>
      <c r="S5354" s="422" t="s">
        <v>1861</v>
      </c>
      <c r="T5354" t="s">
        <v>4825</v>
      </c>
      <c r="U5354" s="422" t="s">
        <v>1953</v>
      </c>
      <c r="V5354" s="422" t="s">
        <v>2813</v>
      </c>
    </row>
    <row r="5355" spans="1:22" ht="15.75" thickBot="1" x14ac:dyDescent="0.3">
      <c r="A5355" t="s">
        <v>1910</v>
      </c>
      <c r="B5355" t="s">
        <v>1910</v>
      </c>
      <c r="C5355" s="424" t="str">
        <f t="shared" si="223"/>
        <v>Rodoviária de Lisboa, S.A.</v>
      </c>
      <c r="D5355" t="s">
        <v>629</v>
      </c>
      <c r="F5355" s="422" t="s">
        <v>620</v>
      </c>
      <c r="G5355" s="89" t="s">
        <v>2211</v>
      </c>
      <c r="H5355" s="313" t="s">
        <v>731</v>
      </c>
      <c r="I5355" s="311" t="str">
        <f t="shared" si="224"/>
        <v>Pesado de Passageiros M3:  : Gasóleo : E4</v>
      </c>
      <c r="J5355">
        <v>120</v>
      </c>
      <c r="K5355" s="422">
        <v>2023</v>
      </c>
      <c r="L5355">
        <v>10632.3</v>
      </c>
      <c r="M5355" t="s">
        <v>630</v>
      </c>
      <c r="N5355" s="131">
        <v>19760</v>
      </c>
      <c r="O5355" s="436">
        <f t="shared" si="225"/>
        <v>2371200</v>
      </c>
      <c r="Q5355" s="422" t="s">
        <v>47</v>
      </c>
      <c r="R5355" s="422" t="s">
        <v>1869</v>
      </c>
      <c r="S5355" s="422" t="s">
        <v>1861</v>
      </c>
      <c r="T5355" t="s">
        <v>4825</v>
      </c>
      <c r="U5355" s="422" t="s">
        <v>1953</v>
      </c>
      <c r="V5355" s="422" t="s">
        <v>2813</v>
      </c>
    </row>
    <row r="5356" spans="1:22" ht="15.75" thickBot="1" x14ac:dyDescent="0.3">
      <c r="A5356" t="s">
        <v>1910</v>
      </c>
      <c r="B5356" t="s">
        <v>1910</v>
      </c>
      <c r="C5356" s="424" t="str">
        <f t="shared" si="223"/>
        <v>Rodoviária de Lisboa, S.A.</v>
      </c>
      <c r="D5356" t="s">
        <v>629</v>
      </c>
      <c r="F5356" s="422" t="s">
        <v>620</v>
      </c>
      <c r="G5356" s="89">
        <v>2019</v>
      </c>
      <c r="H5356" s="313" t="s">
        <v>733</v>
      </c>
      <c r="I5356" s="311" t="str">
        <f t="shared" si="224"/>
        <v>Pesado de Passageiros M3:  : Gasóleo : E6</v>
      </c>
      <c r="J5356">
        <v>95</v>
      </c>
      <c r="K5356" s="422">
        <v>2023</v>
      </c>
      <c r="L5356">
        <v>12182.5</v>
      </c>
      <c r="M5356" t="s">
        <v>630</v>
      </c>
      <c r="N5356" s="131">
        <v>29708</v>
      </c>
      <c r="O5356" s="436">
        <f t="shared" si="225"/>
        <v>2822260</v>
      </c>
      <c r="Q5356" s="422" t="s">
        <v>47</v>
      </c>
      <c r="R5356" s="422" t="s">
        <v>1869</v>
      </c>
      <c r="S5356" s="422" t="s">
        <v>1861</v>
      </c>
      <c r="T5356" t="s">
        <v>4825</v>
      </c>
      <c r="U5356" s="422" t="s">
        <v>1953</v>
      </c>
      <c r="V5356" s="422" t="s">
        <v>2813</v>
      </c>
    </row>
    <row r="5357" spans="1:22" ht="15.75" thickBot="1" x14ac:dyDescent="0.3">
      <c r="A5357" t="s">
        <v>1910</v>
      </c>
      <c r="B5357" t="s">
        <v>1910</v>
      </c>
      <c r="C5357" s="424" t="str">
        <f t="shared" si="223"/>
        <v>Rodoviária de Lisboa, S.A.</v>
      </c>
      <c r="D5357" t="s">
        <v>629</v>
      </c>
      <c r="F5357" s="422" t="s">
        <v>620</v>
      </c>
      <c r="G5357" s="89">
        <v>2012</v>
      </c>
      <c r="H5357" s="313" t="s">
        <v>734</v>
      </c>
      <c r="I5357" s="311" t="str">
        <f t="shared" si="224"/>
        <v>Pesado de Passageiros M3:  : Gasóleo : E5</v>
      </c>
      <c r="J5357">
        <v>68</v>
      </c>
      <c r="K5357" s="422">
        <v>2023</v>
      </c>
      <c r="L5357">
        <v>11681</v>
      </c>
      <c r="M5357" t="s">
        <v>630</v>
      </c>
      <c r="N5357" s="131">
        <v>21662</v>
      </c>
      <c r="O5357" s="436">
        <f t="shared" si="225"/>
        <v>1473016</v>
      </c>
      <c r="Q5357" s="422" t="s">
        <v>47</v>
      </c>
      <c r="R5357" s="422" t="s">
        <v>1869</v>
      </c>
      <c r="S5357" s="422" t="s">
        <v>1861</v>
      </c>
      <c r="T5357" t="s">
        <v>4825</v>
      </c>
      <c r="U5357" s="422" t="s">
        <v>1953</v>
      </c>
      <c r="V5357" s="422" t="s">
        <v>2813</v>
      </c>
    </row>
    <row r="5358" spans="1:22" ht="15.75" thickBot="1" x14ac:dyDescent="0.3">
      <c r="A5358" t="s">
        <v>1910</v>
      </c>
      <c r="B5358" t="s">
        <v>1910</v>
      </c>
      <c r="C5358" s="424" t="str">
        <f t="shared" si="223"/>
        <v>Rodoviária de Lisboa, S.A.</v>
      </c>
      <c r="D5358" t="s">
        <v>629</v>
      </c>
      <c r="F5358" s="422" t="s">
        <v>620</v>
      </c>
      <c r="G5358" s="89" t="s">
        <v>2225</v>
      </c>
      <c r="H5358" s="313" t="s">
        <v>734</v>
      </c>
      <c r="I5358" s="311" t="str">
        <f t="shared" si="224"/>
        <v>Pesado de Passageiros M3:  : Gasóleo : E5</v>
      </c>
      <c r="J5358">
        <v>68</v>
      </c>
      <c r="K5358" s="422">
        <v>2023</v>
      </c>
      <c r="L5358">
        <v>5325.9</v>
      </c>
      <c r="M5358" t="s">
        <v>630</v>
      </c>
      <c r="N5358" s="131">
        <v>10031</v>
      </c>
      <c r="O5358" s="436">
        <f t="shared" si="225"/>
        <v>682108</v>
      </c>
      <c r="Q5358" s="422" t="s">
        <v>47</v>
      </c>
      <c r="R5358" s="422" t="s">
        <v>1869</v>
      </c>
      <c r="S5358" s="422" t="s">
        <v>1861</v>
      </c>
      <c r="T5358" t="s">
        <v>4825</v>
      </c>
      <c r="U5358" s="422" t="s">
        <v>1953</v>
      </c>
      <c r="V5358" s="422" t="s">
        <v>2813</v>
      </c>
    </row>
    <row r="5359" spans="1:22" ht="15.75" thickBot="1" x14ac:dyDescent="0.3">
      <c r="A5359" t="s">
        <v>1910</v>
      </c>
      <c r="B5359" t="s">
        <v>1910</v>
      </c>
      <c r="C5359" s="424" t="str">
        <f t="shared" si="223"/>
        <v>Rodoviária de Lisboa, S.A.</v>
      </c>
      <c r="D5359" t="s">
        <v>629</v>
      </c>
      <c r="F5359" s="422" t="s">
        <v>620</v>
      </c>
      <c r="G5359" s="89" t="s">
        <v>2205</v>
      </c>
      <c r="H5359" s="313" t="s">
        <v>734</v>
      </c>
      <c r="I5359" s="311" t="str">
        <f t="shared" si="224"/>
        <v>Pesado de Passageiros M3:  : Gasóleo : E5</v>
      </c>
      <c r="J5359">
        <v>68</v>
      </c>
      <c r="K5359" s="422">
        <v>2023</v>
      </c>
      <c r="L5359">
        <v>16683.8</v>
      </c>
      <c r="M5359" t="s">
        <v>630</v>
      </c>
      <c r="N5359" s="131">
        <v>34473</v>
      </c>
      <c r="O5359" s="436">
        <f t="shared" si="225"/>
        <v>2344164</v>
      </c>
      <c r="Q5359" s="422" t="s">
        <v>47</v>
      </c>
      <c r="R5359" s="422" t="s">
        <v>1869</v>
      </c>
      <c r="S5359" s="422" t="s">
        <v>1861</v>
      </c>
      <c r="T5359" t="s">
        <v>4825</v>
      </c>
      <c r="U5359" s="422" t="s">
        <v>1953</v>
      </c>
      <c r="V5359" s="422" t="s">
        <v>2813</v>
      </c>
    </row>
    <row r="5360" spans="1:22" ht="15.75" thickBot="1" x14ac:dyDescent="0.3">
      <c r="A5360" t="s">
        <v>1910</v>
      </c>
      <c r="B5360" t="s">
        <v>1910</v>
      </c>
      <c r="C5360" s="424" t="str">
        <f t="shared" si="223"/>
        <v>Rodoviária de Lisboa, S.A.</v>
      </c>
      <c r="D5360" t="s">
        <v>629</v>
      </c>
      <c r="F5360" s="422" t="s">
        <v>620</v>
      </c>
      <c r="G5360" s="89">
        <v>2006</v>
      </c>
      <c r="H5360" s="313" t="s">
        <v>732</v>
      </c>
      <c r="I5360" s="311" t="str">
        <f t="shared" si="224"/>
        <v>Pesado de Passageiros M3:  : Gasóleo : E3</v>
      </c>
      <c r="J5360">
        <v>69</v>
      </c>
      <c r="K5360" s="422">
        <v>2023</v>
      </c>
      <c r="L5360">
        <v>541.1</v>
      </c>
      <c r="M5360" t="s">
        <v>630</v>
      </c>
      <c r="N5360" s="131">
        <v>1400</v>
      </c>
      <c r="O5360" s="436">
        <f t="shared" si="225"/>
        <v>96600</v>
      </c>
      <c r="Q5360" s="422" t="s">
        <v>47</v>
      </c>
      <c r="R5360" s="422" t="s">
        <v>1869</v>
      </c>
      <c r="S5360" s="422" t="s">
        <v>1861</v>
      </c>
      <c r="T5360" t="s">
        <v>4825</v>
      </c>
      <c r="U5360" s="422" t="s">
        <v>1953</v>
      </c>
      <c r="V5360" s="422" t="s">
        <v>2813</v>
      </c>
    </row>
    <row r="5361" spans="1:22" ht="15.75" thickBot="1" x14ac:dyDescent="0.3">
      <c r="A5361" t="s">
        <v>1910</v>
      </c>
      <c r="B5361" t="s">
        <v>1910</v>
      </c>
      <c r="C5361" s="424" t="str">
        <f t="shared" si="223"/>
        <v>Rodoviária de Lisboa, S.A.</v>
      </c>
      <c r="D5361" t="s">
        <v>629</v>
      </c>
      <c r="F5361" s="422" t="s">
        <v>620</v>
      </c>
      <c r="G5361" s="89">
        <v>2013</v>
      </c>
      <c r="H5361" s="313" t="s">
        <v>733</v>
      </c>
      <c r="I5361" s="311" t="str">
        <f t="shared" si="224"/>
        <v>Pesado de Passageiros M3:  : Gasóleo : E6</v>
      </c>
      <c r="J5361">
        <v>72</v>
      </c>
      <c r="K5361" s="422">
        <v>2023</v>
      </c>
      <c r="L5361">
        <v>26790.3</v>
      </c>
      <c r="M5361" t="s">
        <v>630</v>
      </c>
      <c r="N5361" s="131">
        <v>61549</v>
      </c>
      <c r="O5361" s="436">
        <f t="shared" si="225"/>
        <v>4431528</v>
      </c>
      <c r="Q5361" s="422" t="s">
        <v>47</v>
      </c>
      <c r="R5361" s="422" t="s">
        <v>1869</v>
      </c>
      <c r="S5361" s="422" t="s">
        <v>1861</v>
      </c>
      <c r="T5361" t="s">
        <v>4825</v>
      </c>
      <c r="U5361" s="422" t="s">
        <v>1953</v>
      </c>
      <c r="V5361" s="422" t="s">
        <v>2813</v>
      </c>
    </row>
    <row r="5362" spans="1:22" ht="15.75" thickBot="1" x14ac:dyDescent="0.3">
      <c r="A5362" t="s">
        <v>1910</v>
      </c>
      <c r="B5362" t="s">
        <v>1910</v>
      </c>
      <c r="C5362" s="424" t="str">
        <f t="shared" ref="C5362:C5425" si="226">IF(A5362=B5362,B5362,RIGHT(A5362,LEN(A5362)-LEN(B5362)-3))</f>
        <v>Rodoviária de Lisboa, S.A.</v>
      </c>
      <c r="D5362" t="s">
        <v>629</v>
      </c>
      <c r="F5362" s="422" t="s">
        <v>620</v>
      </c>
      <c r="G5362" s="89">
        <v>2011</v>
      </c>
      <c r="H5362" s="313" t="s">
        <v>734</v>
      </c>
      <c r="I5362" s="311" t="str">
        <f t="shared" si="224"/>
        <v>Pesado de Passageiros M3:  : Gasóleo : E5</v>
      </c>
      <c r="J5362">
        <v>62</v>
      </c>
      <c r="K5362" s="422">
        <v>2023</v>
      </c>
      <c r="L5362">
        <v>9228.9</v>
      </c>
      <c r="M5362" t="s">
        <v>630</v>
      </c>
      <c r="N5362" s="131">
        <v>19247</v>
      </c>
      <c r="O5362" s="436">
        <f t="shared" si="225"/>
        <v>1193314</v>
      </c>
      <c r="Q5362" s="422" t="s">
        <v>47</v>
      </c>
      <c r="R5362" s="422" t="s">
        <v>1869</v>
      </c>
      <c r="S5362" s="422" t="s">
        <v>1861</v>
      </c>
      <c r="T5362" t="s">
        <v>4825</v>
      </c>
      <c r="U5362" s="422" t="s">
        <v>1953</v>
      </c>
      <c r="V5362" s="422" t="s">
        <v>2813</v>
      </c>
    </row>
    <row r="5363" spans="1:22" ht="15.75" thickBot="1" x14ac:dyDescent="0.3">
      <c r="A5363" t="s">
        <v>1910</v>
      </c>
      <c r="B5363" t="s">
        <v>1910</v>
      </c>
      <c r="C5363" s="424" t="str">
        <f t="shared" si="226"/>
        <v>Rodoviária de Lisboa, S.A.</v>
      </c>
      <c r="D5363" t="s">
        <v>629</v>
      </c>
      <c r="F5363" s="422" t="s">
        <v>620</v>
      </c>
      <c r="G5363" s="89">
        <v>2011</v>
      </c>
      <c r="H5363" s="313" t="s">
        <v>734</v>
      </c>
      <c r="I5363" s="311" t="str">
        <f t="shared" si="224"/>
        <v>Pesado de Passageiros M3:  : Gasóleo : E5</v>
      </c>
      <c r="J5363">
        <v>144</v>
      </c>
      <c r="K5363" s="422">
        <v>2023</v>
      </c>
      <c r="L5363">
        <v>41062.199999999997</v>
      </c>
      <c r="M5363" t="s">
        <v>630</v>
      </c>
      <c r="N5363" s="131">
        <v>66081</v>
      </c>
      <c r="O5363" s="436">
        <f t="shared" si="225"/>
        <v>9515664</v>
      </c>
      <c r="Q5363" s="422" t="s">
        <v>47</v>
      </c>
      <c r="R5363" s="422" t="s">
        <v>1869</v>
      </c>
      <c r="S5363" s="422" t="s">
        <v>1861</v>
      </c>
      <c r="T5363" t="s">
        <v>4825</v>
      </c>
      <c r="U5363" s="422" t="s">
        <v>1953</v>
      </c>
      <c r="V5363" s="422" t="s">
        <v>2813</v>
      </c>
    </row>
    <row r="5364" spans="1:22" ht="15.75" thickBot="1" x14ac:dyDescent="0.3">
      <c r="A5364" t="s">
        <v>1910</v>
      </c>
      <c r="B5364" t="s">
        <v>1910</v>
      </c>
      <c r="C5364" s="424" t="str">
        <f t="shared" si="226"/>
        <v>Rodoviária de Lisboa, S.A.</v>
      </c>
      <c r="D5364" t="s">
        <v>629</v>
      </c>
      <c r="F5364" s="422" t="s">
        <v>620</v>
      </c>
      <c r="G5364" s="89">
        <v>2004</v>
      </c>
      <c r="H5364" s="313" t="s">
        <v>732</v>
      </c>
      <c r="I5364" s="311" t="str">
        <f t="shared" si="224"/>
        <v>Pesado de Passageiros M3:  : Gasóleo : E3</v>
      </c>
      <c r="J5364">
        <v>74</v>
      </c>
      <c r="K5364" s="422">
        <v>2023</v>
      </c>
      <c r="L5364">
        <v>3272.1</v>
      </c>
      <c r="M5364" t="s">
        <v>630</v>
      </c>
      <c r="N5364" s="131">
        <v>6514</v>
      </c>
      <c r="O5364" s="436">
        <f t="shared" si="225"/>
        <v>482036</v>
      </c>
      <c r="Q5364" s="422" t="s">
        <v>47</v>
      </c>
      <c r="R5364" s="422" t="s">
        <v>1869</v>
      </c>
      <c r="S5364" s="422" t="s">
        <v>1861</v>
      </c>
      <c r="T5364" t="s">
        <v>4825</v>
      </c>
      <c r="U5364" s="422" t="s">
        <v>1953</v>
      </c>
      <c r="V5364" s="422" t="s">
        <v>2813</v>
      </c>
    </row>
    <row r="5365" spans="1:22" ht="15.75" thickBot="1" x14ac:dyDescent="0.3">
      <c r="A5365" t="s">
        <v>1910</v>
      </c>
      <c r="B5365" t="s">
        <v>1910</v>
      </c>
      <c r="C5365" s="424" t="str">
        <f t="shared" si="226"/>
        <v>Rodoviária de Lisboa, S.A.</v>
      </c>
      <c r="D5365" t="s">
        <v>629</v>
      </c>
      <c r="F5365" s="422" t="s">
        <v>620</v>
      </c>
      <c r="G5365" s="89">
        <v>2004</v>
      </c>
      <c r="H5365" s="313" t="s">
        <v>732</v>
      </c>
      <c r="I5365" s="311" t="str">
        <f t="shared" si="224"/>
        <v>Pesado de Passageiros M3:  : Gasóleo : E3</v>
      </c>
      <c r="J5365">
        <v>74</v>
      </c>
      <c r="K5365" s="422">
        <v>2023</v>
      </c>
      <c r="L5365">
        <v>100.1</v>
      </c>
      <c r="M5365" t="s">
        <v>630</v>
      </c>
      <c r="N5365" s="131">
        <v>182</v>
      </c>
      <c r="O5365" s="436">
        <f t="shared" si="225"/>
        <v>13468</v>
      </c>
      <c r="Q5365" s="422" t="s">
        <v>47</v>
      </c>
      <c r="R5365" s="422" t="s">
        <v>1869</v>
      </c>
      <c r="S5365" s="422" t="s">
        <v>1861</v>
      </c>
      <c r="T5365" t="s">
        <v>4825</v>
      </c>
      <c r="U5365" s="422" t="s">
        <v>1953</v>
      </c>
      <c r="V5365" s="422" t="s">
        <v>2813</v>
      </c>
    </row>
    <row r="5366" spans="1:22" ht="15.75" thickBot="1" x14ac:dyDescent="0.3">
      <c r="A5366" t="s">
        <v>1910</v>
      </c>
      <c r="B5366" t="s">
        <v>1910</v>
      </c>
      <c r="C5366" s="424" t="str">
        <f t="shared" si="226"/>
        <v>Rodoviária de Lisboa, S.A.</v>
      </c>
      <c r="D5366" t="s">
        <v>629</v>
      </c>
      <c r="F5366" s="422" t="s">
        <v>620</v>
      </c>
      <c r="G5366" s="89" t="s">
        <v>2222</v>
      </c>
      <c r="H5366" s="313" t="s">
        <v>732</v>
      </c>
      <c r="I5366" s="311" t="str">
        <f t="shared" si="224"/>
        <v>Pesado de Passageiros M3:  : Gasóleo : E3</v>
      </c>
      <c r="J5366">
        <v>74</v>
      </c>
      <c r="K5366" s="422">
        <v>2023</v>
      </c>
      <c r="L5366">
        <v>253.6</v>
      </c>
      <c r="M5366" t="s">
        <v>630</v>
      </c>
      <c r="N5366" s="131">
        <v>506</v>
      </c>
      <c r="O5366" s="436">
        <f t="shared" si="225"/>
        <v>37444</v>
      </c>
      <c r="Q5366" s="422" t="s">
        <v>47</v>
      </c>
      <c r="R5366" s="422" t="s">
        <v>1869</v>
      </c>
      <c r="S5366" s="422" t="s">
        <v>1861</v>
      </c>
      <c r="T5366" t="s">
        <v>4825</v>
      </c>
      <c r="U5366" s="422" t="s">
        <v>1953</v>
      </c>
      <c r="V5366" s="422" t="s">
        <v>2813</v>
      </c>
    </row>
    <row r="5367" spans="1:22" ht="15.75" thickBot="1" x14ac:dyDescent="0.3">
      <c r="A5367" t="s">
        <v>1910</v>
      </c>
      <c r="B5367" t="s">
        <v>1910</v>
      </c>
      <c r="C5367" s="424" t="str">
        <f t="shared" si="226"/>
        <v>Rodoviária de Lisboa, S.A.</v>
      </c>
      <c r="D5367" t="s">
        <v>629</v>
      </c>
      <c r="F5367" s="422" t="s">
        <v>620</v>
      </c>
      <c r="G5367" s="89" t="s">
        <v>2205</v>
      </c>
      <c r="H5367" s="313" t="s">
        <v>734</v>
      </c>
      <c r="I5367" s="311" t="str">
        <f t="shared" si="224"/>
        <v>Pesado de Passageiros M3:  : Gasóleo : E5</v>
      </c>
      <c r="J5367">
        <v>85</v>
      </c>
      <c r="K5367" s="422">
        <v>2023</v>
      </c>
      <c r="L5367">
        <v>10882.9</v>
      </c>
      <c r="M5367" t="s">
        <v>630</v>
      </c>
      <c r="N5367" s="131">
        <v>24572</v>
      </c>
      <c r="O5367" s="436">
        <f t="shared" si="225"/>
        <v>2088620</v>
      </c>
      <c r="Q5367" s="422" t="s">
        <v>47</v>
      </c>
      <c r="R5367" s="422" t="s">
        <v>1869</v>
      </c>
      <c r="S5367" s="422" t="s">
        <v>1861</v>
      </c>
      <c r="T5367" t="s">
        <v>4825</v>
      </c>
      <c r="U5367" s="422" t="s">
        <v>1953</v>
      </c>
      <c r="V5367" s="422" t="s">
        <v>2813</v>
      </c>
    </row>
    <row r="5368" spans="1:22" ht="15.75" thickBot="1" x14ac:dyDescent="0.3">
      <c r="A5368" t="s">
        <v>1910</v>
      </c>
      <c r="B5368" t="s">
        <v>1910</v>
      </c>
      <c r="C5368" s="424" t="str">
        <f t="shared" si="226"/>
        <v>Rodoviária de Lisboa, S.A.</v>
      </c>
      <c r="D5368" t="s">
        <v>629</v>
      </c>
      <c r="F5368" s="422" t="s">
        <v>620</v>
      </c>
      <c r="G5368" s="89">
        <v>2007</v>
      </c>
      <c r="H5368" s="313" t="s">
        <v>731</v>
      </c>
      <c r="I5368" s="311" t="str">
        <f t="shared" si="224"/>
        <v>Pesado de Passageiros M3:  : Gasóleo : E4</v>
      </c>
      <c r="J5368">
        <v>59</v>
      </c>
      <c r="K5368" s="422">
        <v>2023</v>
      </c>
      <c r="L5368">
        <v>14088.1</v>
      </c>
      <c r="M5368" t="s">
        <v>630</v>
      </c>
      <c r="N5368" s="131">
        <v>29825</v>
      </c>
      <c r="O5368" s="436">
        <f t="shared" si="225"/>
        <v>1759675</v>
      </c>
      <c r="Q5368" s="422" t="s">
        <v>47</v>
      </c>
      <c r="R5368" s="422" t="s">
        <v>1869</v>
      </c>
      <c r="S5368" s="422" t="s">
        <v>1861</v>
      </c>
      <c r="T5368" t="s">
        <v>4825</v>
      </c>
      <c r="U5368" s="422" t="s">
        <v>1953</v>
      </c>
      <c r="V5368" s="422" t="s">
        <v>2813</v>
      </c>
    </row>
    <row r="5369" spans="1:22" ht="15.75" thickBot="1" x14ac:dyDescent="0.3">
      <c r="A5369" t="s">
        <v>1910</v>
      </c>
      <c r="B5369" t="s">
        <v>1910</v>
      </c>
      <c r="C5369" s="424" t="str">
        <f t="shared" si="226"/>
        <v>Rodoviária de Lisboa, S.A.</v>
      </c>
      <c r="D5369" t="s">
        <v>629</v>
      </c>
      <c r="F5369" s="422" t="s">
        <v>620</v>
      </c>
      <c r="G5369" s="89" t="s">
        <v>2210</v>
      </c>
      <c r="H5369" s="313" t="s">
        <v>735</v>
      </c>
      <c r="I5369" s="311" t="str">
        <f t="shared" si="224"/>
        <v>Pesado de Passageiros M3:  : Gasóleo : E2</v>
      </c>
      <c r="J5369">
        <v>59</v>
      </c>
      <c r="K5369" s="422">
        <v>2023</v>
      </c>
      <c r="L5369">
        <v>94.3</v>
      </c>
      <c r="M5369" t="s">
        <v>630</v>
      </c>
      <c r="N5369" s="131">
        <v>177</v>
      </c>
      <c r="O5369" s="436">
        <f t="shared" si="225"/>
        <v>10443</v>
      </c>
      <c r="Q5369" s="422" t="s">
        <v>47</v>
      </c>
      <c r="R5369" s="422" t="s">
        <v>1869</v>
      </c>
      <c r="S5369" s="422" t="s">
        <v>1861</v>
      </c>
      <c r="T5369" t="s">
        <v>4825</v>
      </c>
      <c r="U5369" s="422" t="s">
        <v>1953</v>
      </c>
      <c r="V5369" s="422" t="s">
        <v>2813</v>
      </c>
    </row>
    <row r="5370" spans="1:22" ht="15.75" thickBot="1" x14ac:dyDescent="0.3">
      <c r="A5370" t="s">
        <v>1910</v>
      </c>
      <c r="B5370" t="s">
        <v>1910</v>
      </c>
      <c r="C5370" s="424" t="str">
        <f t="shared" si="226"/>
        <v>Rodoviária de Lisboa, S.A.</v>
      </c>
      <c r="D5370" t="s">
        <v>629</v>
      </c>
      <c r="F5370" s="422" t="s">
        <v>620</v>
      </c>
      <c r="G5370" s="89">
        <v>2014</v>
      </c>
      <c r="H5370" s="313" t="s">
        <v>733</v>
      </c>
      <c r="I5370" s="311" t="str">
        <f t="shared" si="224"/>
        <v>Pesado de Passageiros M3:  : Gasóleo : E6</v>
      </c>
      <c r="J5370">
        <v>96</v>
      </c>
      <c r="K5370" s="422">
        <v>2023</v>
      </c>
      <c r="L5370">
        <v>11767.8</v>
      </c>
      <c r="M5370" t="s">
        <v>630</v>
      </c>
      <c r="N5370" s="131">
        <v>24698</v>
      </c>
      <c r="O5370" s="436">
        <f t="shared" si="225"/>
        <v>2371008</v>
      </c>
      <c r="Q5370" s="422" t="s">
        <v>47</v>
      </c>
      <c r="R5370" s="422" t="s">
        <v>1869</v>
      </c>
      <c r="S5370" s="422" t="s">
        <v>1861</v>
      </c>
      <c r="T5370" t="s">
        <v>4825</v>
      </c>
      <c r="U5370" s="422" t="s">
        <v>1953</v>
      </c>
      <c r="V5370" s="422" t="s">
        <v>2813</v>
      </c>
    </row>
    <row r="5371" spans="1:22" ht="15.75" thickBot="1" x14ac:dyDescent="0.3">
      <c r="A5371" t="s">
        <v>1910</v>
      </c>
      <c r="B5371" t="s">
        <v>1910</v>
      </c>
      <c r="C5371" s="424" t="str">
        <f t="shared" si="226"/>
        <v>Rodoviária de Lisboa, S.A.</v>
      </c>
      <c r="D5371" t="s">
        <v>629</v>
      </c>
      <c r="F5371" s="422" t="s">
        <v>620</v>
      </c>
      <c r="G5371" s="89" t="s">
        <v>2223</v>
      </c>
      <c r="H5371" s="313" t="s">
        <v>734</v>
      </c>
      <c r="I5371" s="311" t="str">
        <f t="shared" si="224"/>
        <v>Pesado de Passageiros M3:  : Gasóleo : E5</v>
      </c>
      <c r="J5371">
        <v>96</v>
      </c>
      <c r="K5371" s="422">
        <v>2023</v>
      </c>
      <c r="L5371">
        <v>7034.4</v>
      </c>
      <c r="M5371" t="s">
        <v>630</v>
      </c>
      <c r="N5371" s="131">
        <v>15181</v>
      </c>
      <c r="O5371" s="436">
        <f t="shared" si="225"/>
        <v>1457376</v>
      </c>
      <c r="Q5371" s="422" t="s">
        <v>47</v>
      </c>
      <c r="R5371" s="422" t="s">
        <v>1869</v>
      </c>
      <c r="S5371" s="422" t="s">
        <v>1861</v>
      </c>
      <c r="T5371" t="s">
        <v>4825</v>
      </c>
      <c r="U5371" s="422" t="s">
        <v>1953</v>
      </c>
      <c r="V5371" s="422" t="s">
        <v>2813</v>
      </c>
    </row>
    <row r="5372" spans="1:22" ht="15.75" thickBot="1" x14ac:dyDescent="0.3">
      <c r="A5372" t="s">
        <v>1910</v>
      </c>
      <c r="B5372" t="s">
        <v>1910</v>
      </c>
      <c r="C5372" s="424" t="str">
        <f t="shared" si="226"/>
        <v>Rodoviária de Lisboa, S.A.</v>
      </c>
      <c r="D5372" t="s">
        <v>629</v>
      </c>
      <c r="F5372" s="422" t="s">
        <v>620</v>
      </c>
      <c r="G5372" s="89" t="s">
        <v>2223</v>
      </c>
      <c r="H5372" s="313" t="s">
        <v>734</v>
      </c>
      <c r="I5372" s="311" t="str">
        <f t="shared" si="224"/>
        <v>Pesado de Passageiros M3:  : Gasóleo : E5</v>
      </c>
      <c r="J5372">
        <v>96</v>
      </c>
      <c r="K5372" s="422">
        <v>2023</v>
      </c>
      <c r="L5372">
        <v>7492.4</v>
      </c>
      <c r="M5372" t="s">
        <v>630</v>
      </c>
      <c r="N5372" s="131">
        <v>16651</v>
      </c>
      <c r="O5372" s="436">
        <f t="shared" si="225"/>
        <v>1598496</v>
      </c>
      <c r="Q5372" s="422" t="s">
        <v>47</v>
      </c>
      <c r="R5372" s="422" t="s">
        <v>1869</v>
      </c>
      <c r="S5372" s="422" t="s">
        <v>1861</v>
      </c>
      <c r="T5372" t="s">
        <v>4825</v>
      </c>
      <c r="U5372" s="422" t="s">
        <v>1953</v>
      </c>
      <c r="V5372" s="422" t="s">
        <v>2813</v>
      </c>
    </row>
    <row r="5373" spans="1:22" ht="15.75" thickBot="1" x14ac:dyDescent="0.3">
      <c r="A5373" t="s">
        <v>1910</v>
      </c>
      <c r="B5373" t="s">
        <v>1910</v>
      </c>
      <c r="C5373" s="424" t="str">
        <f t="shared" si="226"/>
        <v>Rodoviária de Lisboa, S.A.</v>
      </c>
      <c r="D5373" t="s">
        <v>629</v>
      </c>
      <c r="F5373" s="422" t="s">
        <v>620</v>
      </c>
      <c r="G5373" s="89">
        <v>2011</v>
      </c>
      <c r="H5373" s="313" t="s">
        <v>734</v>
      </c>
      <c r="I5373" s="311" t="str">
        <f t="shared" si="224"/>
        <v>Pesado de Passageiros M3:  : Gasóleo : E5</v>
      </c>
      <c r="J5373">
        <v>147</v>
      </c>
      <c r="K5373" s="422">
        <v>2023</v>
      </c>
      <c r="L5373">
        <v>7840.8</v>
      </c>
      <c r="M5373" t="s">
        <v>630</v>
      </c>
      <c r="N5373" s="131">
        <v>12506</v>
      </c>
      <c r="O5373" s="436">
        <f t="shared" si="225"/>
        <v>1838382</v>
      </c>
      <c r="Q5373" s="422" t="s">
        <v>47</v>
      </c>
      <c r="R5373" s="422" t="s">
        <v>1869</v>
      </c>
      <c r="S5373" s="422" t="s">
        <v>1861</v>
      </c>
      <c r="T5373" t="s">
        <v>4825</v>
      </c>
      <c r="U5373" s="422" t="s">
        <v>1953</v>
      </c>
      <c r="V5373" s="422" t="s">
        <v>2813</v>
      </c>
    </row>
    <row r="5374" spans="1:22" ht="15.75" thickBot="1" x14ac:dyDescent="0.3">
      <c r="A5374" t="s">
        <v>1910</v>
      </c>
      <c r="B5374" t="s">
        <v>1910</v>
      </c>
      <c r="C5374" s="424" t="str">
        <f t="shared" si="226"/>
        <v>Rodoviária de Lisboa, S.A.</v>
      </c>
      <c r="D5374" t="s">
        <v>629</v>
      </c>
      <c r="F5374" s="422" t="s">
        <v>620</v>
      </c>
      <c r="G5374" s="89" t="s">
        <v>2223</v>
      </c>
      <c r="H5374" s="313" t="s">
        <v>734</v>
      </c>
      <c r="I5374" s="311" t="str">
        <f t="shared" si="224"/>
        <v>Pesado de Passageiros M3:  : Gasóleo : E5</v>
      </c>
      <c r="J5374">
        <v>147</v>
      </c>
      <c r="K5374" s="422">
        <v>2023</v>
      </c>
      <c r="L5374">
        <v>31740</v>
      </c>
      <c r="M5374" t="s">
        <v>630</v>
      </c>
      <c r="N5374" s="131">
        <v>51028</v>
      </c>
      <c r="O5374" s="436">
        <f t="shared" si="225"/>
        <v>7501116</v>
      </c>
      <c r="Q5374" s="422" t="s">
        <v>47</v>
      </c>
      <c r="R5374" s="422" t="s">
        <v>1869</v>
      </c>
      <c r="S5374" s="422" t="s">
        <v>1861</v>
      </c>
      <c r="T5374" t="s">
        <v>4825</v>
      </c>
      <c r="U5374" s="422" t="s">
        <v>1953</v>
      </c>
      <c r="V5374" s="422" t="s">
        <v>2813</v>
      </c>
    </row>
    <row r="5375" spans="1:22" ht="15.75" thickBot="1" x14ac:dyDescent="0.3">
      <c r="A5375" t="s">
        <v>1910</v>
      </c>
      <c r="B5375" t="s">
        <v>1910</v>
      </c>
      <c r="C5375" s="424" t="str">
        <f t="shared" si="226"/>
        <v>Rodoviária de Lisboa, S.A.</v>
      </c>
      <c r="D5375" t="s">
        <v>629</v>
      </c>
      <c r="F5375" s="422" t="s">
        <v>620</v>
      </c>
      <c r="G5375" s="89">
        <v>2011</v>
      </c>
      <c r="H5375" s="313" t="s">
        <v>734</v>
      </c>
      <c r="I5375" s="311" t="str">
        <f t="shared" si="224"/>
        <v>Pesado de Passageiros M3:  : Gasóleo : E5</v>
      </c>
      <c r="J5375">
        <v>144</v>
      </c>
      <c r="K5375" s="422">
        <v>2023</v>
      </c>
      <c r="L5375">
        <v>41570.800000000003</v>
      </c>
      <c r="M5375" t="s">
        <v>630</v>
      </c>
      <c r="N5375" s="131">
        <v>64841</v>
      </c>
      <c r="O5375" s="436">
        <f t="shared" si="225"/>
        <v>9337104</v>
      </c>
      <c r="Q5375" s="422" t="s">
        <v>47</v>
      </c>
      <c r="R5375" s="422" t="s">
        <v>1869</v>
      </c>
      <c r="S5375" s="422" t="s">
        <v>1861</v>
      </c>
      <c r="T5375" t="s">
        <v>4825</v>
      </c>
      <c r="U5375" s="422" t="s">
        <v>1953</v>
      </c>
      <c r="V5375" s="422" t="s">
        <v>2813</v>
      </c>
    </row>
    <row r="5376" spans="1:22" ht="15.75" thickBot="1" x14ac:dyDescent="0.3">
      <c r="A5376" t="s">
        <v>1910</v>
      </c>
      <c r="B5376" t="s">
        <v>1910</v>
      </c>
      <c r="C5376" s="424" t="str">
        <f t="shared" si="226"/>
        <v>Rodoviária de Lisboa, S.A.</v>
      </c>
      <c r="D5376" t="s">
        <v>629</v>
      </c>
      <c r="F5376" s="422" t="s">
        <v>620</v>
      </c>
      <c r="G5376" s="89">
        <v>2009</v>
      </c>
      <c r="H5376" s="313" t="s">
        <v>734</v>
      </c>
      <c r="I5376" s="311" t="str">
        <f t="shared" si="224"/>
        <v>Pesado de Passageiros M3:  : Gasóleo : E5</v>
      </c>
      <c r="J5376">
        <v>97</v>
      </c>
      <c r="K5376" s="422">
        <v>2023</v>
      </c>
      <c r="L5376">
        <v>16378.9</v>
      </c>
      <c r="M5376" t="s">
        <v>630</v>
      </c>
      <c r="N5376" s="131">
        <v>36435</v>
      </c>
      <c r="O5376" s="436">
        <f t="shared" si="225"/>
        <v>3534195</v>
      </c>
      <c r="Q5376" s="422" t="s">
        <v>47</v>
      </c>
      <c r="R5376" s="422" t="s">
        <v>1869</v>
      </c>
      <c r="S5376" s="422" t="s">
        <v>1861</v>
      </c>
      <c r="T5376" t="s">
        <v>4825</v>
      </c>
      <c r="U5376" s="422" t="s">
        <v>1953</v>
      </c>
      <c r="V5376" s="422" t="s">
        <v>2813</v>
      </c>
    </row>
    <row r="5377" spans="1:22" ht="15.75" thickBot="1" x14ac:dyDescent="0.3">
      <c r="A5377" t="s">
        <v>1910</v>
      </c>
      <c r="B5377" t="s">
        <v>1910</v>
      </c>
      <c r="C5377" s="424" t="str">
        <f t="shared" si="226"/>
        <v>Rodoviária de Lisboa, S.A.</v>
      </c>
      <c r="D5377" t="s">
        <v>629</v>
      </c>
      <c r="F5377" s="422" t="s">
        <v>620</v>
      </c>
      <c r="G5377" s="89">
        <v>2013</v>
      </c>
      <c r="H5377" s="313" t="s">
        <v>733</v>
      </c>
      <c r="I5377" s="311" t="str">
        <f t="shared" si="224"/>
        <v>Pesado de Passageiros M3:  : Gasóleo : E6</v>
      </c>
      <c r="J5377">
        <v>72</v>
      </c>
      <c r="K5377" s="422">
        <v>2023</v>
      </c>
      <c r="L5377">
        <v>24221.599999999999</v>
      </c>
      <c r="M5377" t="s">
        <v>630</v>
      </c>
      <c r="N5377" s="131">
        <v>56279</v>
      </c>
      <c r="O5377" s="436">
        <f t="shared" si="225"/>
        <v>4052088</v>
      </c>
      <c r="Q5377" s="422" t="s">
        <v>47</v>
      </c>
      <c r="R5377" s="422" t="s">
        <v>1869</v>
      </c>
      <c r="S5377" s="422" t="s">
        <v>1861</v>
      </c>
      <c r="T5377" t="s">
        <v>4825</v>
      </c>
      <c r="U5377" s="422" t="s">
        <v>1953</v>
      </c>
      <c r="V5377" s="422" t="s">
        <v>2813</v>
      </c>
    </row>
    <row r="5378" spans="1:22" ht="15.75" thickBot="1" x14ac:dyDescent="0.3">
      <c r="A5378" t="s">
        <v>1910</v>
      </c>
      <c r="B5378" t="s">
        <v>1910</v>
      </c>
      <c r="C5378" s="424" t="str">
        <f t="shared" si="226"/>
        <v>Rodoviária de Lisboa, S.A.</v>
      </c>
      <c r="D5378" t="s">
        <v>629</v>
      </c>
      <c r="F5378" s="422" t="s">
        <v>620</v>
      </c>
      <c r="G5378" s="89">
        <v>2008</v>
      </c>
      <c r="H5378" s="313" t="s">
        <v>731</v>
      </c>
      <c r="I5378" s="311" t="str">
        <f t="shared" si="224"/>
        <v>Pesado de Passageiros M3:  : Gasóleo : E4</v>
      </c>
      <c r="J5378">
        <v>60</v>
      </c>
      <c r="K5378" s="422">
        <v>2023</v>
      </c>
      <c r="L5378">
        <v>1152.2</v>
      </c>
      <c r="M5378" t="s">
        <v>630</v>
      </c>
      <c r="N5378" s="131">
        <v>2559</v>
      </c>
      <c r="O5378" s="436">
        <f t="shared" si="225"/>
        <v>153540</v>
      </c>
      <c r="Q5378" s="422" t="s">
        <v>47</v>
      </c>
      <c r="R5378" s="422" t="s">
        <v>1869</v>
      </c>
      <c r="S5378" s="422" t="s">
        <v>1861</v>
      </c>
      <c r="T5378" t="s">
        <v>4825</v>
      </c>
      <c r="U5378" s="422" t="s">
        <v>1953</v>
      </c>
      <c r="V5378" s="422" t="s">
        <v>2813</v>
      </c>
    </row>
    <row r="5379" spans="1:22" ht="15.75" thickBot="1" x14ac:dyDescent="0.3">
      <c r="A5379" t="s">
        <v>1910</v>
      </c>
      <c r="B5379" t="s">
        <v>1910</v>
      </c>
      <c r="C5379" s="424" t="str">
        <f t="shared" si="226"/>
        <v>Rodoviária de Lisboa, S.A.</v>
      </c>
      <c r="D5379" t="s">
        <v>629</v>
      </c>
      <c r="F5379" s="422" t="s">
        <v>620</v>
      </c>
      <c r="G5379" s="89" t="s">
        <v>2207</v>
      </c>
      <c r="H5379" s="313" t="s">
        <v>732</v>
      </c>
      <c r="I5379" s="311" t="str">
        <f t="shared" si="224"/>
        <v>Pesado de Passageiros M3:  : Gasóleo : E3</v>
      </c>
      <c r="J5379">
        <v>60</v>
      </c>
      <c r="K5379" s="422">
        <v>2023</v>
      </c>
      <c r="L5379">
        <v>504</v>
      </c>
      <c r="M5379" t="s">
        <v>630</v>
      </c>
      <c r="N5379" s="131">
        <v>1105</v>
      </c>
      <c r="O5379" s="436">
        <f t="shared" si="225"/>
        <v>66300</v>
      </c>
      <c r="Q5379" s="422" t="s">
        <v>47</v>
      </c>
      <c r="R5379" s="422" t="s">
        <v>1869</v>
      </c>
      <c r="S5379" s="422" t="s">
        <v>1861</v>
      </c>
      <c r="T5379" t="s">
        <v>4825</v>
      </c>
      <c r="U5379" s="422" t="s">
        <v>1953</v>
      </c>
      <c r="V5379" s="422" t="s">
        <v>2813</v>
      </c>
    </row>
    <row r="5380" spans="1:22" ht="15.75" thickBot="1" x14ac:dyDescent="0.3">
      <c r="A5380" t="s">
        <v>1910</v>
      </c>
      <c r="B5380" t="s">
        <v>1910</v>
      </c>
      <c r="C5380" s="424" t="str">
        <f t="shared" si="226"/>
        <v>Rodoviária de Lisboa, S.A.</v>
      </c>
      <c r="D5380" t="s">
        <v>629</v>
      </c>
      <c r="F5380" s="422" t="s">
        <v>620</v>
      </c>
      <c r="G5380" s="89" t="s">
        <v>2207</v>
      </c>
      <c r="H5380" s="313" t="s">
        <v>732</v>
      </c>
      <c r="I5380" s="311" t="str">
        <f t="shared" si="224"/>
        <v>Pesado de Passageiros M3:  : Gasóleo : E3</v>
      </c>
      <c r="J5380">
        <v>60</v>
      </c>
      <c r="K5380" s="422">
        <v>2023</v>
      </c>
      <c r="L5380">
        <v>76.5</v>
      </c>
      <c r="M5380" t="s">
        <v>630</v>
      </c>
      <c r="N5380" s="131">
        <v>159</v>
      </c>
      <c r="O5380" s="436">
        <f t="shared" si="225"/>
        <v>9540</v>
      </c>
      <c r="Q5380" s="422" t="s">
        <v>47</v>
      </c>
      <c r="R5380" s="422" t="s">
        <v>1869</v>
      </c>
      <c r="S5380" s="422" t="s">
        <v>1861</v>
      </c>
      <c r="T5380" t="s">
        <v>4825</v>
      </c>
      <c r="U5380" s="422" t="s">
        <v>1953</v>
      </c>
      <c r="V5380" s="422" t="s">
        <v>2813</v>
      </c>
    </row>
    <row r="5381" spans="1:22" ht="15.75" thickBot="1" x14ac:dyDescent="0.3">
      <c r="A5381" t="s">
        <v>1910</v>
      </c>
      <c r="B5381" t="s">
        <v>1910</v>
      </c>
      <c r="C5381" s="424" t="str">
        <f t="shared" si="226"/>
        <v>Rodoviária de Lisboa, S.A.</v>
      </c>
      <c r="D5381" t="s">
        <v>629</v>
      </c>
      <c r="F5381" s="422" t="s">
        <v>620</v>
      </c>
      <c r="G5381" s="89" t="s">
        <v>2204</v>
      </c>
      <c r="H5381" s="313" t="s">
        <v>731</v>
      </c>
      <c r="I5381" s="311" t="str">
        <f t="shared" si="224"/>
        <v>Pesado de Passageiros M3:  : Gasóleo : E4</v>
      </c>
      <c r="J5381">
        <v>60</v>
      </c>
      <c r="K5381" s="422">
        <v>2023</v>
      </c>
      <c r="L5381">
        <v>18778.7</v>
      </c>
      <c r="M5381" t="s">
        <v>630</v>
      </c>
      <c r="N5381" s="131">
        <v>44257</v>
      </c>
      <c r="O5381" s="436">
        <f t="shared" si="225"/>
        <v>2655420</v>
      </c>
      <c r="Q5381" s="422" t="s">
        <v>47</v>
      </c>
      <c r="R5381" s="422" t="s">
        <v>1869</v>
      </c>
      <c r="S5381" s="422" t="s">
        <v>1861</v>
      </c>
      <c r="T5381" t="s">
        <v>4825</v>
      </c>
      <c r="U5381" s="422" t="s">
        <v>1953</v>
      </c>
      <c r="V5381" s="422" t="s">
        <v>2813</v>
      </c>
    </row>
    <row r="5382" spans="1:22" ht="15.75" thickBot="1" x14ac:dyDescent="0.3">
      <c r="A5382" t="s">
        <v>1910</v>
      </c>
      <c r="B5382" t="s">
        <v>1910</v>
      </c>
      <c r="C5382" s="424" t="str">
        <f t="shared" si="226"/>
        <v>Rodoviária de Lisboa, S.A.</v>
      </c>
      <c r="D5382" t="s">
        <v>629</v>
      </c>
      <c r="F5382" s="422" t="s">
        <v>620</v>
      </c>
      <c r="G5382" s="89">
        <v>2007</v>
      </c>
      <c r="H5382" s="313" t="s">
        <v>731</v>
      </c>
      <c r="I5382" s="311" t="str">
        <f t="shared" si="224"/>
        <v>Pesado de Passageiros M3:  : Gasóleo : E4</v>
      </c>
      <c r="J5382">
        <v>61</v>
      </c>
      <c r="K5382" s="422">
        <v>2023</v>
      </c>
      <c r="L5382">
        <v>15962.1</v>
      </c>
      <c r="M5382" t="s">
        <v>630</v>
      </c>
      <c r="N5382" s="131">
        <v>32231</v>
      </c>
      <c r="O5382" s="436">
        <f t="shared" si="225"/>
        <v>1966091</v>
      </c>
      <c r="Q5382" s="422" t="s">
        <v>47</v>
      </c>
      <c r="R5382" s="422" t="s">
        <v>1869</v>
      </c>
      <c r="S5382" s="422" t="s">
        <v>1861</v>
      </c>
      <c r="T5382" t="s">
        <v>4825</v>
      </c>
      <c r="U5382" s="422" t="s">
        <v>1953</v>
      </c>
      <c r="V5382" s="422" t="s">
        <v>2813</v>
      </c>
    </row>
    <row r="5383" spans="1:22" ht="15.75" thickBot="1" x14ac:dyDescent="0.3">
      <c r="A5383" t="s">
        <v>1910</v>
      </c>
      <c r="B5383" t="s">
        <v>1910</v>
      </c>
      <c r="C5383" s="424" t="str">
        <f t="shared" si="226"/>
        <v>Rodoviária de Lisboa, S.A.</v>
      </c>
      <c r="D5383" t="s">
        <v>629</v>
      </c>
      <c r="F5383" s="422" t="s">
        <v>620</v>
      </c>
      <c r="G5383" s="89" t="s">
        <v>2205</v>
      </c>
      <c r="H5383" s="313" t="s">
        <v>734</v>
      </c>
      <c r="I5383" s="311" t="str">
        <f t="shared" si="224"/>
        <v>Pesado de Passageiros M3:  : Gasóleo : E5</v>
      </c>
      <c r="J5383">
        <v>61</v>
      </c>
      <c r="K5383" s="422">
        <v>2023</v>
      </c>
      <c r="L5383">
        <v>15020.3</v>
      </c>
      <c r="M5383" t="s">
        <v>630</v>
      </c>
      <c r="N5383" s="131">
        <v>31066</v>
      </c>
      <c r="O5383" s="436">
        <f t="shared" si="225"/>
        <v>1895026</v>
      </c>
      <c r="Q5383" s="422" t="s">
        <v>47</v>
      </c>
      <c r="R5383" s="422" t="s">
        <v>1869</v>
      </c>
      <c r="S5383" s="422" t="s">
        <v>1861</v>
      </c>
      <c r="T5383" t="s">
        <v>4825</v>
      </c>
      <c r="U5383" s="422" t="s">
        <v>1953</v>
      </c>
      <c r="V5383" s="422" t="s">
        <v>2813</v>
      </c>
    </row>
    <row r="5384" spans="1:22" ht="15.75" thickBot="1" x14ac:dyDescent="0.3">
      <c r="A5384" t="s">
        <v>1910</v>
      </c>
      <c r="B5384" t="s">
        <v>1910</v>
      </c>
      <c r="C5384" s="424" t="str">
        <f t="shared" si="226"/>
        <v>Rodoviária de Lisboa, S.A.</v>
      </c>
      <c r="D5384" t="s">
        <v>629</v>
      </c>
      <c r="F5384" s="422" t="s">
        <v>620</v>
      </c>
      <c r="G5384" s="89" t="s">
        <v>1954</v>
      </c>
      <c r="H5384" s="313" t="s">
        <v>735</v>
      </c>
      <c r="I5384" s="311" t="str">
        <f t="shared" si="224"/>
        <v>Pesado de Passageiros M3:  : Gasóleo : E2</v>
      </c>
      <c r="J5384">
        <v>61</v>
      </c>
      <c r="K5384" s="422">
        <v>2023</v>
      </c>
      <c r="L5384">
        <v>290.7</v>
      </c>
      <c r="M5384" t="s">
        <v>630</v>
      </c>
      <c r="N5384" s="131">
        <v>605</v>
      </c>
      <c r="O5384" s="436">
        <f t="shared" si="225"/>
        <v>36905</v>
      </c>
      <c r="Q5384" s="422" t="s">
        <v>47</v>
      </c>
      <c r="R5384" s="422" t="s">
        <v>1869</v>
      </c>
      <c r="S5384" s="422" t="s">
        <v>1861</v>
      </c>
      <c r="T5384" t="s">
        <v>4825</v>
      </c>
      <c r="U5384" s="422" t="s">
        <v>1953</v>
      </c>
      <c r="V5384" s="422" t="s">
        <v>2813</v>
      </c>
    </row>
    <row r="5385" spans="1:22" ht="15.75" thickBot="1" x14ac:dyDescent="0.3">
      <c r="A5385" t="s">
        <v>1910</v>
      </c>
      <c r="B5385" t="s">
        <v>1910</v>
      </c>
      <c r="C5385" s="424" t="str">
        <f t="shared" si="226"/>
        <v>Rodoviária de Lisboa, S.A.</v>
      </c>
      <c r="D5385" t="s">
        <v>629</v>
      </c>
      <c r="F5385" s="422" t="s">
        <v>620</v>
      </c>
      <c r="G5385" s="89" t="s">
        <v>2224</v>
      </c>
      <c r="H5385" s="313" t="s">
        <v>732</v>
      </c>
      <c r="I5385" s="311" t="str">
        <f t="shared" si="224"/>
        <v>Pesado de Passageiros M3:  : Gasóleo : E3</v>
      </c>
      <c r="J5385">
        <v>61</v>
      </c>
      <c r="K5385" s="422">
        <v>2023</v>
      </c>
      <c r="L5385">
        <v>817.4</v>
      </c>
      <c r="M5385" t="s">
        <v>630</v>
      </c>
      <c r="N5385" s="131">
        <v>1703</v>
      </c>
      <c r="O5385" s="436">
        <f t="shared" si="225"/>
        <v>103883</v>
      </c>
      <c r="Q5385" s="422" t="s">
        <v>47</v>
      </c>
      <c r="R5385" s="422" t="s">
        <v>1869</v>
      </c>
      <c r="S5385" s="422" t="s">
        <v>1861</v>
      </c>
      <c r="T5385" t="s">
        <v>4825</v>
      </c>
      <c r="U5385" s="422" t="s">
        <v>1953</v>
      </c>
      <c r="V5385" s="422" t="s">
        <v>2813</v>
      </c>
    </row>
    <row r="5386" spans="1:22" ht="15.75" thickBot="1" x14ac:dyDescent="0.3">
      <c r="A5386" t="s">
        <v>1910</v>
      </c>
      <c r="B5386" t="s">
        <v>1910</v>
      </c>
      <c r="C5386" s="424" t="str">
        <f t="shared" si="226"/>
        <v>Rodoviária de Lisboa, S.A.</v>
      </c>
      <c r="D5386" t="s">
        <v>629</v>
      </c>
      <c r="F5386" s="422" t="s">
        <v>620</v>
      </c>
      <c r="G5386" s="89" t="s">
        <v>1954</v>
      </c>
      <c r="H5386" s="313" t="s">
        <v>735</v>
      </c>
      <c r="I5386" s="311" t="str">
        <f t="shared" si="224"/>
        <v>Pesado de Passageiros M3:  : Gasóleo : E2</v>
      </c>
      <c r="J5386">
        <v>61</v>
      </c>
      <c r="K5386" s="422">
        <v>2023</v>
      </c>
      <c r="L5386">
        <v>146</v>
      </c>
      <c r="M5386" t="s">
        <v>630</v>
      </c>
      <c r="N5386" s="131">
        <v>297</v>
      </c>
      <c r="O5386" s="436">
        <f t="shared" si="225"/>
        <v>18117</v>
      </c>
      <c r="Q5386" s="422" t="s">
        <v>47</v>
      </c>
      <c r="R5386" s="422" t="s">
        <v>1869</v>
      </c>
      <c r="S5386" s="422" t="s">
        <v>1861</v>
      </c>
      <c r="T5386" t="s">
        <v>4825</v>
      </c>
      <c r="U5386" s="422" t="s">
        <v>1953</v>
      </c>
      <c r="V5386" s="422" t="s">
        <v>2813</v>
      </c>
    </row>
    <row r="5387" spans="1:22" ht="15.75" thickBot="1" x14ac:dyDescent="0.3">
      <c r="A5387" t="s">
        <v>1910</v>
      </c>
      <c r="B5387" t="s">
        <v>1910</v>
      </c>
      <c r="C5387" s="424" t="str">
        <f t="shared" si="226"/>
        <v>Rodoviária de Lisboa, S.A.</v>
      </c>
      <c r="D5387" t="s">
        <v>629</v>
      </c>
      <c r="F5387" s="422" t="s">
        <v>620</v>
      </c>
      <c r="G5387" s="89">
        <v>2007</v>
      </c>
      <c r="H5387" s="313" t="s">
        <v>731</v>
      </c>
      <c r="I5387" s="311" t="str">
        <f t="shared" si="224"/>
        <v>Pesado de Passageiros M3:  : Gasóleo : E4</v>
      </c>
      <c r="J5387">
        <v>61</v>
      </c>
      <c r="K5387" s="422">
        <v>2023</v>
      </c>
      <c r="L5387">
        <v>18843.8</v>
      </c>
      <c r="M5387" t="s">
        <v>630</v>
      </c>
      <c r="N5387" s="131">
        <v>37736</v>
      </c>
      <c r="O5387" s="436">
        <f t="shared" si="225"/>
        <v>2301896</v>
      </c>
      <c r="Q5387" s="422" t="s">
        <v>47</v>
      </c>
      <c r="R5387" s="422" t="s">
        <v>1869</v>
      </c>
      <c r="S5387" s="422" t="s">
        <v>1861</v>
      </c>
      <c r="T5387" t="s">
        <v>4825</v>
      </c>
      <c r="U5387" s="422" t="s">
        <v>1953</v>
      </c>
      <c r="V5387" s="422" t="s">
        <v>2813</v>
      </c>
    </row>
    <row r="5388" spans="1:22" ht="15.75" thickBot="1" x14ac:dyDescent="0.3">
      <c r="A5388" t="s">
        <v>1910</v>
      </c>
      <c r="B5388" t="s">
        <v>1910</v>
      </c>
      <c r="C5388" s="424" t="str">
        <f t="shared" si="226"/>
        <v>Rodoviária de Lisboa, S.A.</v>
      </c>
      <c r="D5388" t="s">
        <v>629</v>
      </c>
      <c r="F5388" s="422" t="s">
        <v>620</v>
      </c>
      <c r="G5388" s="89">
        <v>2007</v>
      </c>
      <c r="H5388" s="313" t="s">
        <v>731</v>
      </c>
      <c r="I5388" s="311" t="str">
        <f t="shared" si="224"/>
        <v>Pesado de Passageiros M3:  : Gasóleo : E4</v>
      </c>
      <c r="J5388">
        <v>63</v>
      </c>
      <c r="K5388" s="422">
        <v>2023</v>
      </c>
      <c r="L5388">
        <v>16471.7</v>
      </c>
      <c r="M5388" t="s">
        <v>630</v>
      </c>
      <c r="N5388" s="131">
        <v>30464</v>
      </c>
      <c r="O5388" s="436">
        <f t="shared" si="225"/>
        <v>1919232</v>
      </c>
      <c r="Q5388" s="422" t="s">
        <v>47</v>
      </c>
      <c r="R5388" s="422" t="s">
        <v>1869</v>
      </c>
      <c r="S5388" s="422" t="s">
        <v>1861</v>
      </c>
      <c r="T5388" t="s">
        <v>4825</v>
      </c>
      <c r="U5388" s="422" t="s">
        <v>1953</v>
      </c>
      <c r="V5388" s="422" t="s">
        <v>2813</v>
      </c>
    </row>
    <row r="5389" spans="1:22" ht="15.75" thickBot="1" x14ac:dyDescent="0.3">
      <c r="A5389" t="s">
        <v>1910</v>
      </c>
      <c r="B5389" t="s">
        <v>1910</v>
      </c>
      <c r="C5389" s="424" t="str">
        <f t="shared" si="226"/>
        <v>Rodoviária de Lisboa, S.A.</v>
      </c>
      <c r="D5389" t="s">
        <v>629</v>
      </c>
      <c r="F5389" s="422" t="s">
        <v>620</v>
      </c>
      <c r="G5389" s="89" t="s">
        <v>2204</v>
      </c>
      <c r="H5389" s="313" t="s">
        <v>731</v>
      </c>
      <c r="I5389" s="311" t="str">
        <f t="shared" si="224"/>
        <v>Pesado de Passageiros M3:  : Gasóleo : E4</v>
      </c>
      <c r="J5389">
        <v>63</v>
      </c>
      <c r="K5389" s="422">
        <v>2023</v>
      </c>
      <c r="L5389">
        <v>8105.3</v>
      </c>
      <c r="M5389" t="s">
        <v>630</v>
      </c>
      <c r="N5389" s="131">
        <v>15533</v>
      </c>
      <c r="O5389" s="436">
        <f t="shared" si="225"/>
        <v>978579</v>
      </c>
      <c r="Q5389" s="422" t="s">
        <v>47</v>
      </c>
      <c r="R5389" s="422" t="s">
        <v>1869</v>
      </c>
      <c r="S5389" s="422" t="s">
        <v>1861</v>
      </c>
      <c r="T5389" t="s">
        <v>4825</v>
      </c>
      <c r="U5389" s="422" t="s">
        <v>1953</v>
      </c>
      <c r="V5389" s="422" t="s">
        <v>2813</v>
      </c>
    </row>
    <row r="5390" spans="1:22" ht="15.75" thickBot="1" x14ac:dyDescent="0.3">
      <c r="A5390" t="s">
        <v>1910</v>
      </c>
      <c r="B5390" t="s">
        <v>1910</v>
      </c>
      <c r="C5390" s="424" t="str">
        <f t="shared" si="226"/>
        <v>Rodoviária de Lisboa, S.A.</v>
      </c>
      <c r="D5390" t="s">
        <v>629</v>
      </c>
      <c r="F5390" s="422" t="s">
        <v>620</v>
      </c>
      <c r="G5390" s="89" t="s">
        <v>2228</v>
      </c>
      <c r="H5390" s="313" t="s">
        <v>732</v>
      </c>
      <c r="I5390" s="311" t="str">
        <f t="shared" si="224"/>
        <v>Pesado de Passageiros M3:  : Gasóleo : E3</v>
      </c>
      <c r="J5390">
        <v>63</v>
      </c>
      <c r="K5390" s="422">
        <v>2023</v>
      </c>
      <c r="L5390">
        <v>556.4</v>
      </c>
      <c r="M5390" t="s">
        <v>630</v>
      </c>
      <c r="N5390" s="131">
        <v>1236</v>
      </c>
      <c r="O5390" s="436">
        <f t="shared" si="225"/>
        <v>77868</v>
      </c>
      <c r="Q5390" s="422" t="s">
        <v>47</v>
      </c>
      <c r="R5390" s="422" t="s">
        <v>1869</v>
      </c>
      <c r="S5390" s="422" t="s">
        <v>1861</v>
      </c>
      <c r="T5390" t="s">
        <v>4825</v>
      </c>
      <c r="U5390" s="422" t="s">
        <v>1953</v>
      </c>
      <c r="V5390" s="422" t="s">
        <v>2813</v>
      </c>
    </row>
    <row r="5391" spans="1:22" ht="15.75" thickBot="1" x14ac:dyDescent="0.3">
      <c r="A5391" t="s">
        <v>1910</v>
      </c>
      <c r="B5391" t="s">
        <v>1910</v>
      </c>
      <c r="C5391" s="424" t="str">
        <f t="shared" si="226"/>
        <v>Rodoviária de Lisboa, S.A.</v>
      </c>
      <c r="D5391" t="s">
        <v>629</v>
      </c>
      <c r="F5391" s="422" t="s">
        <v>620</v>
      </c>
      <c r="G5391" s="89" t="s">
        <v>2204</v>
      </c>
      <c r="H5391" s="313" t="s">
        <v>731</v>
      </c>
      <c r="I5391" s="311" t="str">
        <f t="shared" si="224"/>
        <v>Pesado de Passageiros M3:  : Gasóleo : E4</v>
      </c>
      <c r="J5391">
        <v>63</v>
      </c>
      <c r="K5391" s="422">
        <v>2023</v>
      </c>
      <c r="L5391">
        <v>12373.7</v>
      </c>
      <c r="M5391" t="s">
        <v>630</v>
      </c>
      <c r="N5391" s="131">
        <v>26756</v>
      </c>
      <c r="O5391" s="436">
        <f t="shared" si="225"/>
        <v>1685628</v>
      </c>
      <c r="Q5391" s="422" t="s">
        <v>47</v>
      </c>
      <c r="R5391" s="422" t="s">
        <v>1869</v>
      </c>
      <c r="S5391" s="422" t="s">
        <v>1861</v>
      </c>
      <c r="T5391" t="s">
        <v>4825</v>
      </c>
      <c r="U5391" s="422" t="s">
        <v>1953</v>
      </c>
      <c r="V5391" s="422" t="s">
        <v>2813</v>
      </c>
    </row>
    <row r="5392" spans="1:22" ht="15.75" thickBot="1" x14ac:dyDescent="0.3">
      <c r="A5392" t="s">
        <v>1910</v>
      </c>
      <c r="B5392" t="s">
        <v>1910</v>
      </c>
      <c r="C5392" s="424" t="str">
        <f t="shared" si="226"/>
        <v>Rodoviária de Lisboa, S.A.</v>
      </c>
      <c r="D5392" t="s">
        <v>629</v>
      </c>
      <c r="F5392" s="422" t="s">
        <v>620</v>
      </c>
      <c r="G5392" s="89" t="s">
        <v>2204</v>
      </c>
      <c r="H5392" s="313" t="s">
        <v>731</v>
      </c>
      <c r="I5392" s="311" t="str">
        <f t="shared" si="224"/>
        <v>Pesado de Passageiros M3:  : Gasóleo : E4</v>
      </c>
      <c r="J5392">
        <v>63</v>
      </c>
      <c r="K5392" s="422">
        <v>2023</v>
      </c>
      <c r="L5392">
        <v>10664.1</v>
      </c>
      <c r="M5392" t="s">
        <v>630</v>
      </c>
      <c r="N5392" s="131">
        <v>21269</v>
      </c>
      <c r="O5392" s="436">
        <f t="shared" si="225"/>
        <v>1339947</v>
      </c>
      <c r="Q5392" s="422" t="s">
        <v>47</v>
      </c>
      <c r="R5392" s="422" t="s">
        <v>1869</v>
      </c>
      <c r="S5392" s="422" t="s">
        <v>1861</v>
      </c>
      <c r="T5392" t="s">
        <v>4825</v>
      </c>
      <c r="U5392" s="422" t="s">
        <v>1953</v>
      </c>
      <c r="V5392" s="422" t="s">
        <v>2813</v>
      </c>
    </row>
    <row r="5393" spans="1:22" ht="15.75" thickBot="1" x14ac:dyDescent="0.3">
      <c r="A5393" t="s">
        <v>1910</v>
      </c>
      <c r="B5393" t="s">
        <v>1910</v>
      </c>
      <c r="C5393" s="424" t="str">
        <f t="shared" si="226"/>
        <v>Rodoviária de Lisboa, S.A.</v>
      </c>
      <c r="D5393" t="s">
        <v>629</v>
      </c>
      <c r="F5393" s="422" t="s">
        <v>620</v>
      </c>
      <c r="G5393" s="89" t="s">
        <v>2204</v>
      </c>
      <c r="H5393" s="313" t="s">
        <v>731</v>
      </c>
      <c r="I5393" s="311" t="str">
        <f t="shared" si="224"/>
        <v>Pesado de Passageiros M3:  : Gasóleo : E4</v>
      </c>
      <c r="J5393">
        <v>63</v>
      </c>
      <c r="K5393" s="422">
        <v>2023</v>
      </c>
      <c r="L5393">
        <v>8311.2999999999993</v>
      </c>
      <c r="M5393" t="s">
        <v>630</v>
      </c>
      <c r="N5393" s="131">
        <v>14427</v>
      </c>
      <c r="O5393" s="436">
        <f t="shared" si="225"/>
        <v>908901</v>
      </c>
      <c r="Q5393" s="422" t="s">
        <v>47</v>
      </c>
      <c r="R5393" s="422" t="s">
        <v>1869</v>
      </c>
      <c r="S5393" s="422" t="s">
        <v>1861</v>
      </c>
      <c r="T5393" t="s">
        <v>4825</v>
      </c>
      <c r="U5393" s="422" t="s">
        <v>1953</v>
      </c>
      <c r="V5393" s="422" t="s">
        <v>2813</v>
      </c>
    </row>
    <row r="5394" spans="1:22" ht="15.75" thickBot="1" x14ac:dyDescent="0.3">
      <c r="A5394" t="s">
        <v>1910</v>
      </c>
      <c r="B5394" t="s">
        <v>1910</v>
      </c>
      <c r="C5394" s="424" t="str">
        <f t="shared" si="226"/>
        <v>Rodoviária de Lisboa, S.A.</v>
      </c>
      <c r="D5394" t="s">
        <v>629</v>
      </c>
      <c r="F5394" s="422" t="s">
        <v>620</v>
      </c>
      <c r="G5394" s="89">
        <v>2004</v>
      </c>
      <c r="H5394" s="313" t="s">
        <v>732</v>
      </c>
      <c r="I5394" s="311" t="str">
        <f t="shared" si="224"/>
        <v>Pesado de Passageiros M3:  : Gasóleo : E3</v>
      </c>
      <c r="J5394">
        <v>74</v>
      </c>
      <c r="K5394" s="422">
        <v>2023</v>
      </c>
      <c r="L5394">
        <v>398.4</v>
      </c>
      <c r="M5394" t="s">
        <v>630</v>
      </c>
      <c r="N5394" s="131">
        <v>796</v>
      </c>
      <c r="O5394" s="436">
        <f t="shared" si="225"/>
        <v>58904</v>
      </c>
      <c r="Q5394" s="422" t="s">
        <v>47</v>
      </c>
      <c r="R5394" s="422" t="s">
        <v>1869</v>
      </c>
      <c r="S5394" s="422" t="s">
        <v>1861</v>
      </c>
      <c r="T5394" t="s">
        <v>4825</v>
      </c>
      <c r="U5394" s="422" t="s">
        <v>1953</v>
      </c>
      <c r="V5394" s="422" t="s">
        <v>2813</v>
      </c>
    </row>
    <row r="5395" spans="1:22" ht="15.75" thickBot="1" x14ac:dyDescent="0.3">
      <c r="A5395" t="s">
        <v>1910</v>
      </c>
      <c r="B5395" t="s">
        <v>1910</v>
      </c>
      <c r="C5395" s="424" t="str">
        <f t="shared" si="226"/>
        <v>Rodoviária de Lisboa, S.A.</v>
      </c>
      <c r="D5395" t="s">
        <v>629</v>
      </c>
      <c r="F5395" s="422" t="s">
        <v>620</v>
      </c>
      <c r="G5395" s="89">
        <v>2004</v>
      </c>
      <c r="H5395" s="313" t="s">
        <v>732</v>
      </c>
      <c r="I5395" s="311" t="str">
        <f t="shared" si="224"/>
        <v>Pesado de Passageiros M3:  : Gasóleo : E3</v>
      </c>
      <c r="J5395">
        <v>74</v>
      </c>
      <c r="K5395" s="422">
        <v>2023</v>
      </c>
      <c r="L5395">
        <v>266.10000000000002</v>
      </c>
      <c r="M5395" t="s">
        <v>630</v>
      </c>
      <c r="N5395" s="131">
        <v>483</v>
      </c>
      <c r="O5395" s="436">
        <f t="shared" si="225"/>
        <v>35742</v>
      </c>
      <c r="Q5395" s="422" t="s">
        <v>47</v>
      </c>
      <c r="R5395" s="422" t="s">
        <v>1869</v>
      </c>
      <c r="S5395" s="422" t="s">
        <v>1861</v>
      </c>
      <c r="T5395" t="s">
        <v>4825</v>
      </c>
      <c r="U5395" s="422" t="s">
        <v>1953</v>
      </c>
      <c r="V5395" s="422" t="s">
        <v>2813</v>
      </c>
    </row>
    <row r="5396" spans="1:22" ht="15.75" thickBot="1" x14ac:dyDescent="0.3">
      <c r="A5396" t="s">
        <v>1910</v>
      </c>
      <c r="B5396" t="s">
        <v>1910</v>
      </c>
      <c r="C5396" s="424" t="str">
        <f t="shared" si="226"/>
        <v>Rodoviária de Lisboa, S.A.</v>
      </c>
      <c r="D5396" t="s">
        <v>629</v>
      </c>
      <c r="F5396" s="422" t="s">
        <v>620</v>
      </c>
      <c r="G5396" s="89">
        <v>2013</v>
      </c>
      <c r="H5396" s="313" t="s">
        <v>733</v>
      </c>
      <c r="I5396" s="311" t="str">
        <f t="shared" si="224"/>
        <v>Pesado de Passageiros M3:  : Gasóleo : E6</v>
      </c>
      <c r="J5396">
        <v>96</v>
      </c>
      <c r="K5396" s="422">
        <v>2023</v>
      </c>
      <c r="L5396">
        <v>11341.3</v>
      </c>
      <c r="M5396" t="s">
        <v>630</v>
      </c>
      <c r="N5396" s="131">
        <v>26774</v>
      </c>
      <c r="O5396" s="436">
        <f t="shared" si="225"/>
        <v>2570304</v>
      </c>
      <c r="Q5396" s="422" t="s">
        <v>47</v>
      </c>
      <c r="R5396" s="422" t="s">
        <v>1869</v>
      </c>
      <c r="S5396" s="422" t="s">
        <v>1861</v>
      </c>
      <c r="T5396" t="s">
        <v>4825</v>
      </c>
      <c r="U5396" s="422" t="s">
        <v>1953</v>
      </c>
      <c r="V5396" s="422" t="s">
        <v>2813</v>
      </c>
    </row>
    <row r="5397" spans="1:22" ht="15.75" thickBot="1" x14ac:dyDescent="0.3">
      <c r="A5397" t="s">
        <v>1910</v>
      </c>
      <c r="B5397" t="s">
        <v>1910</v>
      </c>
      <c r="C5397" s="424" t="str">
        <f t="shared" si="226"/>
        <v>Rodoviária de Lisboa, S.A.</v>
      </c>
      <c r="D5397" t="s">
        <v>629</v>
      </c>
      <c r="F5397" s="422" t="s">
        <v>620</v>
      </c>
      <c r="G5397" s="89" t="s">
        <v>2205</v>
      </c>
      <c r="H5397" s="313" t="s">
        <v>734</v>
      </c>
      <c r="I5397" s="311" t="str">
        <f t="shared" si="224"/>
        <v>Pesado de Passageiros M3:  : Gasóleo : E5</v>
      </c>
      <c r="J5397">
        <v>96</v>
      </c>
      <c r="K5397" s="422">
        <v>2023</v>
      </c>
      <c r="L5397">
        <v>6906</v>
      </c>
      <c r="M5397" t="s">
        <v>630</v>
      </c>
      <c r="N5397" s="131">
        <v>13459</v>
      </c>
      <c r="O5397" s="436">
        <f t="shared" si="225"/>
        <v>1292064</v>
      </c>
      <c r="Q5397" s="422" t="s">
        <v>47</v>
      </c>
      <c r="R5397" s="422" t="s">
        <v>1869</v>
      </c>
      <c r="S5397" s="422" t="s">
        <v>1861</v>
      </c>
      <c r="T5397" t="s">
        <v>4825</v>
      </c>
      <c r="U5397" s="422" t="s">
        <v>1953</v>
      </c>
      <c r="V5397" s="422" t="s">
        <v>2813</v>
      </c>
    </row>
    <row r="5398" spans="1:22" ht="15.75" thickBot="1" x14ac:dyDescent="0.3">
      <c r="A5398" t="s">
        <v>1910</v>
      </c>
      <c r="B5398" t="s">
        <v>1910</v>
      </c>
      <c r="C5398" s="424" t="str">
        <f t="shared" si="226"/>
        <v>Rodoviária de Lisboa, S.A.</v>
      </c>
      <c r="D5398" t="s">
        <v>629</v>
      </c>
      <c r="F5398" s="422" t="s">
        <v>620</v>
      </c>
      <c r="G5398" s="89" t="s">
        <v>2205</v>
      </c>
      <c r="H5398" s="313" t="s">
        <v>734</v>
      </c>
      <c r="I5398" s="311" t="str">
        <f t="shared" si="224"/>
        <v>Pesado de Passageiros M3:  : Gasóleo : E5</v>
      </c>
      <c r="J5398">
        <v>96</v>
      </c>
      <c r="K5398" s="422">
        <v>2023</v>
      </c>
      <c r="L5398">
        <v>7081.7</v>
      </c>
      <c r="M5398" t="s">
        <v>630</v>
      </c>
      <c r="N5398" s="131">
        <v>12765</v>
      </c>
      <c r="O5398" s="436">
        <f t="shared" si="225"/>
        <v>1225440</v>
      </c>
      <c r="Q5398" s="422" t="s">
        <v>47</v>
      </c>
      <c r="R5398" s="422" t="s">
        <v>1869</v>
      </c>
      <c r="S5398" s="422" t="s">
        <v>1861</v>
      </c>
      <c r="T5398" t="s">
        <v>4825</v>
      </c>
      <c r="U5398" s="422" t="s">
        <v>1953</v>
      </c>
      <c r="V5398" s="422" t="s">
        <v>2813</v>
      </c>
    </row>
    <row r="5399" spans="1:22" ht="15.75" thickBot="1" x14ac:dyDescent="0.3">
      <c r="A5399" t="s">
        <v>1910</v>
      </c>
      <c r="B5399" t="s">
        <v>1910</v>
      </c>
      <c r="C5399" s="424" t="str">
        <f t="shared" si="226"/>
        <v>Rodoviária de Lisboa, S.A.</v>
      </c>
      <c r="D5399" t="s">
        <v>629</v>
      </c>
      <c r="F5399" s="422" t="s">
        <v>620</v>
      </c>
      <c r="G5399" s="89" t="s">
        <v>2205</v>
      </c>
      <c r="H5399" s="313" t="s">
        <v>734</v>
      </c>
      <c r="I5399" s="311" t="str">
        <f t="shared" si="224"/>
        <v>Pesado de Passageiros M3:  : Gasóleo : E5</v>
      </c>
      <c r="J5399">
        <v>96</v>
      </c>
      <c r="K5399" s="422">
        <v>2023</v>
      </c>
      <c r="L5399">
        <v>4199.1000000000004</v>
      </c>
      <c r="M5399" t="s">
        <v>630</v>
      </c>
      <c r="N5399" s="131">
        <v>9360</v>
      </c>
      <c r="O5399" s="436">
        <f t="shared" si="225"/>
        <v>898560</v>
      </c>
      <c r="Q5399" s="422" t="s">
        <v>47</v>
      </c>
      <c r="R5399" s="422" t="s">
        <v>1869</v>
      </c>
      <c r="S5399" s="422" t="s">
        <v>1861</v>
      </c>
      <c r="T5399" t="s">
        <v>4825</v>
      </c>
      <c r="U5399" s="422" t="s">
        <v>1953</v>
      </c>
      <c r="V5399" s="422" t="s">
        <v>2813</v>
      </c>
    </row>
    <row r="5400" spans="1:22" ht="15.75" thickBot="1" x14ac:dyDescent="0.3">
      <c r="A5400" t="s">
        <v>1910</v>
      </c>
      <c r="B5400" t="s">
        <v>1910</v>
      </c>
      <c r="C5400" s="424" t="str">
        <f t="shared" si="226"/>
        <v>Rodoviária de Lisboa, S.A.</v>
      </c>
      <c r="D5400" t="s">
        <v>629</v>
      </c>
      <c r="F5400" s="422" t="s">
        <v>620</v>
      </c>
      <c r="G5400" s="89">
        <v>2004</v>
      </c>
      <c r="H5400" s="313" t="s">
        <v>732</v>
      </c>
      <c r="I5400" s="311" t="str">
        <f t="shared" si="224"/>
        <v>Pesado de Passageiros M3:  : Gasóleo : E3</v>
      </c>
      <c r="J5400">
        <v>97</v>
      </c>
      <c r="K5400" s="422">
        <v>2023</v>
      </c>
      <c r="L5400">
        <v>275.10000000000002</v>
      </c>
      <c r="M5400" t="s">
        <v>630</v>
      </c>
      <c r="N5400" s="131">
        <v>500</v>
      </c>
      <c r="O5400" s="436">
        <f t="shared" si="225"/>
        <v>48500</v>
      </c>
      <c r="Q5400" s="422" t="s">
        <v>47</v>
      </c>
      <c r="R5400" s="422" t="s">
        <v>1869</v>
      </c>
      <c r="S5400" s="422" t="s">
        <v>1861</v>
      </c>
      <c r="T5400" t="s">
        <v>4825</v>
      </c>
      <c r="U5400" s="422" t="s">
        <v>1953</v>
      </c>
      <c r="V5400" s="422" t="s">
        <v>2813</v>
      </c>
    </row>
    <row r="5401" spans="1:22" ht="15.75" thickBot="1" x14ac:dyDescent="0.3">
      <c r="A5401" t="s">
        <v>1910</v>
      </c>
      <c r="B5401" t="s">
        <v>1910</v>
      </c>
      <c r="C5401" s="424" t="str">
        <f t="shared" si="226"/>
        <v>Rodoviária de Lisboa, S.A.</v>
      </c>
      <c r="D5401" t="s">
        <v>629</v>
      </c>
      <c r="F5401" s="422" t="s">
        <v>620</v>
      </c>
      <c r="G5401" s="89" t="s">
        <v>2222</v>
      </c>
      <c r="H5401" s="313" t="s">
        <v>732</v>
      </c>
      <c r="I5401" s="311" t="str">
        <f t="shared" si="224"/>
        <v>Pesado de Passageiros M3:  : Gasóleo : E3</v>
      </c>
      <c r="J5401">
        <v>97</v>
      </c>
      <c r="K5401" s="422">
        <v>2023</v>
      </c>
      <c r="L5401">
        <v>937.4</v>
      </c>
      <c r="M5401" t="s">
        <v>630</v>
      </c>
      <c r="N5401" s="131">
        <v>2271</v>
      </c>
      <c r="O5401" s="436">
        <f t="shared" si="225"/>
        <v>220287</v>
      </c>
      <c r="Q5401" s="422" t="s">
        <v>47</v>
      </c>
      <c r="R5401" s="422" t="s">
        <v>1869</v>
      </c>
      <c r="S5401" s="422" t="s">
        <v>1861</v>
      </c>
      <c r="T5401" t="s">
        <v>4825</v>
      </c>
      <c r="U5401" s="422" t="s">
        <v>1953</v>
      </c>
      <c r="V5401" s="422" t="s">
        <v>2813</v>
      </c>
    </row>
    <row r="5402" spans="1:22" ht="15.75" thickBot="1" x14ac:dyDescent="0.3">
      <c r="A5402" t="s">
        <v>1910</v>
      </c>
      <c r="B5402" t="s">
        <v>1910</v>
      </c>
      <c r="C5402" s="424" t="str">
        <f t="shared" si="226"/>
        <v>Rodoviária de Lisboa, S.A.</v>
      </c>
      <c r="D5402" t="s">
        <v>629</v>
      </c>
      <c r="F5402" s="422" t="s">
        <v>620</v>
      </c>
      <c r="G5402" s="89" t="s">
        <v>2205</v>
      </c>
      <c r="H5402" s="313" t="s">
        <v>734</v>
      </c>
      <c r="I5402" s="311" t="str">
        <f t="shared" si="224"/>
        <v>Pesado de Passageiros M3:  : Gasóleo : E5</v>
      </c>
      <c r="J5402">
        <v>97</v>
      </c>
      <c r="K5402" s="422">
        <v>2023</v>
      </c>
      <c r="L5402">
        <v>10271.9</v>
      </c>
      <c r="M5402" t="s">
        <v>630</v>
      </c>
      <c r="N5402" s="131">
        <v>22442</v>
      </c>
      <c r="O5402" s="436">
        <f t="shared" si="225"/>
        <v>2176874</v>
      </c>
      <c r="Q5402" s="422" t="s">
        <v>47</v>
      </c>
      <c r="R5402" s="422" t="s">
        <v>1869</v>
      </c>
      <c r="S5402" s="422" t="s">
        <v>1861</v>
      </c>
      <c r="T5402" t="s">
        <v>4825</v>
      </c>
      <c r="U5402" s="422" t="s">
        <v>1953</v>
      </c>
      <c r="V5402" s="422" t="s">
        <v>2813</v>
      </c>
    </row>
    <row r="5403" spans="1:22" ht="15.75" thickBot="1" x14ac:dyDescent="0.3">
      <c r="A5403" t="s">
        <v>1910</v>
      </c>
      <c r="B5403" t="s">
        <v>1910</v>
      </c>
      <c r="C5403" s="424" t="str">
        <f t="shared" si="226"/>
        <v>Rodoviária de Lisboa, S.A.</v>
      </c>
      <c r="D5403" t="s">
        <v>629</v>
      </c>
      <c r="F5403" s="422" t="s">
        <v>620</v>
      </c>
      <c r="G5403" s="89">
        <v>2013</v>
      </c>
      <c r="H5403" s="313" t="s">
        <v>733</v>
      </c>
      <c r="I5403" s="311" t="str">
        <f t="shared" si="224"/>
        <v>Pesado de Passageiros M3:  : Gasóleo : E6</v>
      </c>
      <c r="J5403">
        <v>73</v>
      </c>
      <c r="K5403" s="422">
        <v>2023</v>
      </c>
      <c r="L5403">
        <v>21863.7</v>
      </c>
      <c r="M5403" t="s">
        <v>630</v>
      </c>
      <c r="N5403" s="131">
        <v>49632</v>
      </c>
      <c r="O5403" s="436">
        <f t="shared" si="225"/>
        <v>3623136</v>
      </c>
      <c r="Q5403" s="422" t="s">
        <v>47</v>
      </c>
      <c r="R5403" s="422" t="s">
        <v>1869</v>
      </c>
      <c r="S5403" s="422" t="s">
        <v>1861</v>
      </c>
      <c r="T5403" t="s">
        <v>4825</v>
      </c>
      <c r="U5403" s="422" t="s">
        <v>1953</v>
      </c>
      <c r="V5403" s="422" t="s">
        <v>2813</v>
      </c>
    </row>
    <row r="5404" spans="1:22" ht="15.75" thickBot="1" x14ac:dyDescent="0.3">
      <c r="A5404" t="s">
        <v>1910</v>
      </c>
      <c r="B5404" t="s">
        <v>1910</v>
      </c>
      <c r="C5404" s="424" t="str">
        <f t="shared" si="226"/>
        <v>Rodoviária de Lisboa, S.A.</v>
      </c>
      <c r="D5404" t="s">
        <v>629</v>
      </c>
      <c r="F5404" s="422" t="s">
        <v>620</v>
      </c>
      <c r="G5404" s="89" t="s">
        <v>1954</v>
      </c>
      <c r="H5404" s="313" t="s">
        <v>735</v>
      </c>
      <c r="I5404" s="311" t="str">
        <f t="shared" si="224"/>
        <v>Pesado de Passageiros M3:  : Gasóleo : E2</v>
      </c>
      <c r="J5404">
        <v>73</v>
      </c>
      <c r="K5404" s="422">
        <v>2023</v>
      </c>
      <c r="L5404">
        <v>401.5</v>
      </c>
      <c r="M5404" t="s">
        <v>630</v>
      </c>
      <c r="N5404" s="131">
        <v>836</v>
      </c>
      <c r="O5404" s="436">
        <f t="shared" si="225"/>
        <v>61028</v>
      </c>
      <c r="Q5404" s="422" t="s">
        <v>47</v>
      </c>
      <c r="R5404" s="422" t="s">
        <v>1869</v>
      </c>
      <c r="S5404" s="422" t="s">
        <v>1861</v>
      </c>
      <c r="T5404" t="s">
        <v>4825</v>
      </c>
      <c r="U5404" s="422" t="s">
        <v>1953</v>
      </c>
      <c r="V5404" s="422" t="s">
        <v>2813</v>
      </c>
    </row>
    <row r="5405" spans="1:22" ht="15.75" thickBot="1" x14ac:dyDescent="0.3">
      <c r="A5405" t="s">
        <v>1910</v>
      </c>
      <c r="B5405" t="s">
        <v>1910</v>
      </c>
      <c r="C5405" s="424" t="str">
        <f t="shared" si="226"/>
        <v>Rodoviária de Lisboa, S.A.</v>
      </c>
      <c r="D5405" t="s">
        <v>629</v>
      </c>
      <c r="F5405" s="422" t="s">
        <v>620</v>
      </c>
      <c r="G5405" s="89" t="s">
        <v>2204</v>
      </c>
      <c r="H5405" s="313" t="s">
        <v>731</v>
      </c>
      <c r="I5405" s="311" t="str">
        <f t="shared" si="224"/>
        <v>Pesado de Passageiros M3:  : Gasóleo : E4</v>
      </c>
      <c r="J5405">
        <v>73</v>
      </c>
      <c r="K5405" s="422">
        <v>2023</v>
      </c>
      <c r="L5405">
        <v>9235.1</v>
      </c>
      <c r="M5405" t="s">
        <v>630</v>
      </c>
      <c r="N5405" s="131">
        <v>20780</v>
      </c>
      <c r="O5405" s="436">
        <f t="shared" si="225"/>
        <v>1516940</v>
      </c>
      <c r="Q5405" s="422" t="s">
        <v>47</v>
      </c>
      <c r="R5405" s="422" t="s">
        <v>1869</v>
      </c>
      <c r="S5405" s="422" t="s">
        <v>1861</v>
      </c>
      <c r="T5405" t="s">
        <v>4825</v>
      </c>
      <c r="U5405" s="422" t="s">
        <v>1953</v>
      </c>
      <c r="V5405" s="422" t="s">
        <v>2813</v>
      </c>
    </row>
    <row r="5406" spans="1:22" ht="15.75" thickBot="1" x14ac:dyDescent="0.3">
      <c r="A5406" t="s">
        <v>1910</v>
      </c>
      <c r="B5406" t="s">
        <v>1910</v>
      </c>
      <c r="C5406" s="424" t="str">
        <f t="shared" si="226"/>
        <v>Rodoviária de Lisboa, S.A.</v>
      </c>
      <c r="D5406" t="s">
        <v>629</v>
      </c>
      <c r="F5406" s="422" t="s">
        <v>620</v>
      </c>
      <c r="G5406" s="89">
        <v>2010</v>
      </c>
      <c r="H5406" s="313" t="s">
        <v>734</v>
      </c>
      <c r="I5406" s="311" t="str">
        <f t="shared" si="224"/>
        <v>Pesado de Passageiros M3:  : Gasóleo : E5</v>
      </c>
      <c r="J5406">
        <v>29</v>
      </c>
      <c r="K5406" s="422">
        <v>2023</v>
      </c>
      <c r="L5406">
        <v>5727.4</v>
      </c>
      <c r="M5406" t="s">
        <v>630</v>
      </c>
      <c r="N5406" s="131">
        <v>20321</v>
      </c>
      <c r="O5406" s="436">
        <f t="shared" si="225"/>
        <v>589309</v>
      </c>
      <c r="Q5406" s="422" t="s">
        <v>47</v>
      </c>
      <c r="R5406" s="422" t="s">
        <v>1869</v>
      </c>
      <c r="S5406" s="422" t="s">
        <v>1861</v>
      </c>
      <c r="T5406" t="s">
        <v>4825</v>
      </c>
      <c r="U5406" s="422" t="s">
        <v>1953</v>
      </c>
      <c r="V5406" s="422" t="s">
        <v>2813</v>
      </c>
    </row>
    <row r="5407" spans="1:22" ht="15.75" thickBot="1" x14ac:dyDescent="0.3">
      <c r="A5407" t="s">
        <v>1910</v>
      </c>
      <c r="B5407" t="s">
        <v>1910</v>
      </c>
      <c r="C5407" s="424" t="str">
        <f t="shared" si="226"/>
        <v>Rodoviária de Lisboa, S.A.</v>
      </c>
      <c r="D5407" t="s">
        <v>629</v>
      </c>
      <c r="F5407" s="422" t="s">
        <v>620</v>
      </c>
      <c r="G5407" s="89" t="s">
        <v>2205</v>
      </c>
      <c r="H5407" s="313" t="s">
        <v>734</v>
      </c>
      <c r="I5407" s="311" t="str">
        <f t="shared" si="224"/>
        <v>Pesado de Passageiros M3:  : Gasóleo : E5</v>
      </c>
      <c r="J5407">
        <v>29</v>
      </c>
      <c r="K5407" s="422">
        <v>2023</v>
      </c>
      <c r="L5407">
        <v>157.30000000000001</v>
      </c>
      <c r="M5407" t="s">
        <v>630</v>
      </c>
      <c r="N5407" s="131">
        <v>858</v>
      </c>
      <c r="O5407" s="436">
        <f t="shared" si="225"/>
        <v>24882</v>
      </c>
      <c r="Q5407" s="422" t="s">
        <v>47</v>
      </c>
      <c r="R5407" s="422" t="s">
        <v>1869</v>
      </c>
      <c r="S5407" s="422" t="s">
        <v>1861</v>
      </c>
      <c r="T5407" t="s">
        <v>4825</v>
      </c>
      <c r="U5407" s="422" t="s">
        <v>1953</v>
      </c>
      <c r="V5407" s="422" t="s">
        <v>2813</v>
      </c>
    </row>
    <row r="5408" spans="1:22" ht="15.75" thickBot="1" x14ac:dyDescent="0.3">
      <c r="A5408" t="s">
        <v>1910</v>
      </c>
      <c r="B5408" t="s">
        <v>1910</v>
      </c>
      <c r="C5408" s="424" t="str">
        <f t="shared" si="226"/>
        <v>Rodoviária de Lisboa, S.A.</v>
      </c>
      <c r="D5408" t="s">
        <v>629</v>
      </c>
      <c r="F5408" s="422" t="s">
        <v>620</v>
      </c>
      <c r="G5408" s="89">
        <v>2013</v>
      </c>
      <c r="H5408" s="313" t="s">
        <v>733</v>
      </c>
      <c r="I5408" s="311" t="str">
        <f t="shared" si="224"/>
        <v>Pesado de Passageiros M3:  : Gasóleo : E6</v>
      </c>
      <c r="J5408">
        <v>72</v>
      </c>
      <c r="K5408" s="422">
        <v>2023</v>
      </c>
      <c r="L5408">
        <v>23573.8</v>
      </c>
      <c r="M5408" t="s">
        <v>630</v>
      </c>
      <c r="N5408" s="131">
        <v>53487</v>
      </c>
      <c r="O5408" s="436">
        <f t="shared" si="225"/>
        <v>3851064</v>
      </c>
      <c r="Q5408" s="422" t="s">
        <v>47</v>
      </c>
      <c r="R5408" s="422" t="s">
        <v>1869</v>
      </c>
      <c r="S5408" s="422" t="s">
        <v>1861</v>
      </c>
      <c r="T5408" t="s">
        <v>4825</v>
      </c>
      <c r="U5408" s="422" t="s">
        <v>1953</v>
      </c>
      <c r="V5408" s="422" t="s">
        <v>2813</v>
      </c>
    </row>
    <row r="5409" spans="1:22" ht="15.75" thickBot="1" x14ac:dyDescent="0.3">
      <c r="A5409" t="s">
        <v>1910</v>
      </c>
      <c r="B5409" t="s">
        <v>1910</v>
      </c>
      <c r="C5409" s="424" t="str">
        <f t="shared" si="226"/>
        <v>Rodoviária de Lisboa, S.A.</v>
      </c>
      <c r="D5409" t="s">
        <v>629</v>
      </c>
      <c r="F5409" s="422" t="s">
        <v>620</v>
      </c>
      <c r="G5409" s="89" t="s">
        <v>2211</v>
      </c>
      <c r="H5409" s="313" t="s">
        <v>731</v>
      </c>
      <c r="I5409" s="311" t="str">
        <f t="shared" si="224"/>
        <v>Pesado de Passageiros M3:  : Gasóleo : E4</v>
      </c>
      <c r="J5409">
        <v>72</v>
      </c>
      <c r="K5409" s="422">
        <v>2023</v>
      </c>
      <c r="L5409">
        <v>7233.5</v>
      </c>
      <c r="M5409" t="s">
        <v>630</v>
      </c>
      <c r="N5409" s="131">
        <v>14849</v>
      </c>
      <c r="O5409" s="436">
        <f t="shared" si="225"/>
        <v>1069128</v>
      </c>
      <c r="Q5409" s="422" t="s">
        <v>47</v>
      </c>
      <c r="R5409" s="422" t="s">
        <v>1869</v>
      </c>
      <c r="S5409" s="422" t="s">
        <v>1861</v>
      </c>
      <c r="T5409" t="s">
        <v>4825</v>
      </c>
      <c r="U5409" s="422" t="s">
        <v>1953</v>
      </c>
      <c r="V5409" s="422" t="s">
        <v>2813</v>
      </c>
    </row>
    <row r="5410" spans="1:22" ht="15.75" thickBot="1" x14ac:dyDescent="0.3">
      <c r="A5410" t="s">
        <v>1910</v>
      </c>
      <c r="B5410" t="s">
        <v>1910</v>
      </c>
      <c r="C5410" s="424" t="str">
        <f t="shared" si="226"/>
        <v>Rodoviária de Lisboa, S.A.</v>
      </c>
      <c r="D5410" t="s">
        <v>629</v>
      </c>
      <c r="F5410" s="422" t="s">
        <v>620</v>
      </c>
      <c r="G5410" s="89">
        <v>2014</v>
      </c>
      <c r="H5410" s="313" t="s">
        <v>733</v>
      </c>
      <c r="I5410" s="311" t="str">
        <f t="shared" ref="I5410:I5473" si="227">D5410&amp;": "&amp;E5410&amp;" : "&amp;F5410&amp;" : "&amp;H5410</f>
        <v>Pesado de Passageiros M3:  : Gasóleo : E6</v>
      </c>
      <c r="J5410">
        <v>72</v>
      </c>
      <c r="K5410" s="422">
        <v>2023</v>
      </c>
      <c r="L5410">
        <v>21291</v>
      </c>
      <c r="M5410" t="s">
        <v>630</v>
      </c>
      <c r="N5410" s="131">
        <v>47875</v>
      </c>
      <c r="O5410" s="436">
        <f t="shared" ref="O5410:O5473" si="228">N5410*J5410</f>
        <v>3447000</v>
      </c>
      <c r="Q5410" s="422" t="s">
        <v>47</v>
      </c>
      <c r="R5410" s="422" t="s">
        <v>1869</v>
      </c>
      <c r="S5410" s="422" t="s">
        <v>1861</v>
      </c>
      <c r="T5410" t="s">
        <v>4825</v>
      </c>
      <c r="U5410" s="422" t="s">
        <v>1953</v>
      </c>
      <c r="V5410" s="422" t="s">
        <v>2813</v>
      </c>
    </row>
    <row r="5411" spans="1:22" ht="15.75" thickBot="1" x14ac:dyDescent="0.3">
      <c r="A5411" t="s">
        <v>1910</v>
      </c>
      <c r="B5411" t="s">
        <v>1910</v>
      </c>
      <c r="C5411" s="424" t="str">
        <f t="shared" si="226"/>
        <v>Rodoviária de Lisboa, S.A.</v>
      </c>
      <c r="D5411" t="s">
        <v>629</v>
      </c>
      <c r="F5411" s="422" t="s">
        <v>620</v>
      </c>
      <c r="G5411" s="89">
        <v>2014</v>
      </c>
      <c r="H5411" s="313" t="s">
        <v>733</v>
      </c>
      <c r="I5411" s="311" t="str">
        <f t="shared" si="227"/>
        <v>Pesado de Passageiros M3:  : Gasóleo : E6</v>
      </c>
      <c r="J5411">
        <v>96</v>
      </c>
      <c r="K5411" s="422">
        <v>2023</v>
      </c>
      <c r="L5411">
        <v>17958.2</v>
      </c>
      <c r="M5411" t="s">
        <v>630</v>
      </c>
      <c r="N5411" s="131">
        <v>36971</v>
      </c>
      <c r="O5411" s="436">
        <f t="shared" si="228"/>
        <v>3549216</v>
      </c>
      <c r="Q5411" s="422" t="s">
        <v>47</v>
      </c>
      <c r="R5411" s="422" t="s">
        <v>1869</v>
      </c>
      <c r="S5411" s="422" t="s">
        <v>1861</v>
      </c>
      <c r="T5411" t="s">
        <v>4825</v>
      </c>
      <c r="U5411" s="422" t="s">
        <v>1953</v>
      </c>
      <c r="V5411" s="422" t="s">
        <v>2813</v>
      </c>
    </row>
    <row r="5412" spans="1:22" ht="15.75" thickBot="1" x14ac:dyDescent="0.3">
      <c r="A5412" t="s">
        <v>1910</v>
      </c>
      <c r="B5412" t="s">
        <v>1910</v>
      </c>
      <c r="C5412" s="424" t="str">
        <f t="shared" si="226"/>
        <v>Rodoviária de Lisboa, S.A.</v>
      </c>
      <c r="D5412" t="s">
        <v>629</v>
      </c>
      <c r="F5412" s="422" t="s">
        <v>620</v>
      </c>
      <c r="G5412" s="89">
        <v>2014</v>
      </c>
      <c r="H5412" s="313" t="s">
        <v>733</v>
      </c>
      <c r="I5412" s="311" t="str">
        <f t="shared" si="227"/>
        <v>Pesado de Passageiros M3:  : Gasóleo : E6</v>
      </c>
      <c r="J5412">
        <v>96</v>
      </c>
      <c r="K5412" s="422">
        <v>2023</v>
      </c>
      <c r="L5412">
        <v>16992.2</v>
      </c>
      <c r="M5412" t="s">
        <v>630</v>
      </c>
      <c r="N5412" s="131">
        <v>38361</v>
      </c>
      <c r="O5412" s="436">
        <f t="shared" si="228"/>
        <v>3682656</v>
      </c>
      <c r="Q5412" s="422" t="s">
        <v>47</v>
      </c>
      <c r="R5412" s="422" t="s">
        <v>1869</v>
      </c>
      <c r="S5412" s="422" t="s">
        <v>1861</v>
      </c>
      <c r="T5412" t="s">
        <v>4825</v>
      </c>
      <c r="U5412" s="422" t="s">
        <v>1953</v>
      </c>
      <c r="V5412" s="422" t="s">
        <v>2813</v>
      </c>
    </row>
    <row r="5413" spans="1:22" ht="15.75" thickBot="1" x14ac:dyDescent="0.3">
      <c r="A5413" t="s">
        <v>1910</v>
      </c>
      <c r="B5413" t="s">
        <v>1910</v>
      </c>
      <c r="C5413" s="424" t="str">
        <f t="shared" si="226"/>
        <v>Rodoviária de Lisboa, S.A.</v>
      </c>
      <c r="D5413" t="s">
        <v>629</v>
      </c>
      <c r="F5413" s="422" t="s">
        <v>620</v>
      </c>
      <c r="G5413" s="89" t="s">
        <v>2222</v>
      </c>
      <c r="H5413" s="313" t="s">
        <v>732</v>
      </c>
      <c r="I5413" s="311" t="str">
        <f t="shared" si="227"/>
        <v>Pesado de Passageiros M3:  : Gasóleo : E3</v>
      </c>
      <c r="J5413">
        <v>74</v>
      </c>
      <c r="K5413" s="422">
        <v>2023</v>
      </c>
      <c r="L5413">
        <v>616.6</v>
      </c>
      <c r="M5413" t="s">
        <v>630</v>
      </c>
      <c r="N5413" s="131">
        <v>1209</v>
      </c>
      <c r="O5413" s="436">
        <f t="shared" si="228"/>
        <v>89466</v>
      </c>
      <c r="Q5413" s="422" t="s">
        <v>47</v>
      </c>
      <c r="R5413" s="422" t="s">
        <v>1869</v>
      </c>
      <c r="S5413" s="422" t="s">
        <v>1861</v>
      </c>
      <c r="T5413" t="s">
        <v>4825</v>
      </c>
      <c r="U5413" s="422" t="s">
        <v>1953</v>
      </c>
      <c r="V5413" s="422" t="s">
        <v>2813</v>
      </c>
    </row>
    <row r="5414" spans="1:22" ht="15.75" thickBot="1" x14ac:dyDescent="0.3">
      <c r="A5414" t="s">
        <v>1910</v>
      </c>
      <c r="B5414" t="s">
        <v>1910</v>
      </c>
      <c r="C5414" s="424" t="str">
        <f t="shared" si="226"/>
        <v>Rodoviária de Lisboa, S.A.</v>
      </c>
      <c r="D5414" t="s">
        <v>629</v>
      </c>
      <c r="F5414" s="422" t="s">
        <v>620</v>
      </c>
      <c r="G5414" s="89" t="s">
        <v>2222</v>
      </c>
      <c r="H5414" s="313" t="s">
        <v>732</v>
      </c>
      <c r="I5414" s="311" t="str">
        <f t="shared" si="227"/>
        <v>Pesado de Passageiros M3:  : Gasóleo : E3</v>
      </c>
      <c r="J5414">
        <v>74</v>
      </c>
      <c r="K5414" s="422">
        <v>2023</v>
      </c>
      <c r="L5414">
        <v>748.9</v>
      </c>
      <c r="M5414" t="s">
        <v>630</v>
      </c>
      <c r="N5414" s="131">
        <v>1468</v>
      </c>
      <c r="O5414" s="436">
        <f t="shared" si="228"/>
        <v>108632</v>
      </c>
      <c r="Q5414" s="422" t="s">
        <v>47</v>
      </c>
      <c r="R5414" s="422" t="s">
        <v>1869</v>
      </c>
      <c r="S5414" s="422" t="s">
        <v>1861</v>
      </c>
      <c r="T5414" t="s">
        <v>4825</v>
      </c>
      <c r="U5414" s="422" t="s">
        <v>1953</v>
      </c>
      <c r="V5414" s="422" t="s">
        <v>2813</v>
      </c>
    </row>
    <row r="5415" spans="1:22" ht="15.75" thickBot="1" x14ac:dyDescent="0.3">
      <c r="A5415" t="s">
        <v>1910</v>
      </c>
      <c r="B5415" t="s">
        <v>1910</v>
      </c>
      <c r="C5415" s="424" t="str">
        <f t="shared" si="226"/>
        <v>Rodoviária de Lisboa, S.A.</v>
      </c>
      <c r="D5415" t="s">
        <v>629</v>
      </c>
      <c r="F5415" s="422" t="s">
        <v>620</v>
      </c>
      <c r="G5415" s="89">
        <v>2004</v>
      </c>
      <c r="H5415" s="313" t="s">
        <v>732</v>
      </c>
      <c r="I5415" s="311" t="str">
        <f t="shared" si="227"/>
        <v>Pesado de Passageiros M3:  : Gasóleo : E3</v>
      </c>
      <c r="J5415">
        <v>74</v>
      </c>
      <c r="K5415" s="422">
        <v>2023</v>
      </c>
      <c r="L5415">
        <v>341.8</v>
      </c>
      <c r="M5415" t="s">
        <v>630</v>
      </c>
      <c r="N5415" s="131">
        <v>581</v>
      </c>
      <c r="O5415" s="436">
        <f t="shared" si="228"/>
        <v>42994</v>
      </c>
      <c r="Q5415" s="422" t="s">
        <v>47</v>
      </c>
      <c r="R5415" s="422" t="s">
        <v>1869</v>
      </c>
      <c r="S5415" s="422" t="s">
        <v>1861</v>
      </c>
      <c r="T5415" t="s">
        <v>4825</v>
      </c>
      <c r="U5415" s="422" t="s">
        <v>1953</v>
      </c>
      <c r="V5415" s="422" t="s">
        <v>2813</v>
      </c>
    </row>
    <row r="5416" spans="1:22" ht="15.75" thickBot="1" x14ac:dyDescent="0.3">
      <c r="A5416" t="s">
        <v>1910</v>
      </c>
      <c r="B5416" t="s">
        <v>1910</v>
      </c>
      <c r="C5416" s="424" t="str">
        <f t="shared" si="226"/>
        <v>Rodoviária de Lisboa, S.A.</v>
      </c>
      <c r="D5416" t="s">
        <v>629</v>
      </c>
      <c r="F5416" s="422" t="s">
        <v>620</v>
      </c>
      <c r="G5416" s="89" t="s">
        <v>2222</v>
      </c>
      <c r="H5416" s="313" t="s">
        <v>732</v>
      </c>
      <c r="I5416" s="311" t="str">
        <f t="shared" si="227"/>
        <v>Pesado de Passageiros M3:  : Gasóleo : E3</v>
      </c>
      <c r="J5416">
        <v>74</v>
      </c>
      <c r="K5416" s="422">
        <v>2023</v>
      </c>
      <c r="L5416">
        <v>2609.6999999999998</v>
      </c>
      <c r="M5416" t="s">
        <v>630</v>
      </c>
      <c r="N5416" s="131">
        <v>6196</v>
      </c>
      <c r="O5416" s="436">
        <f t="shared" si="228"/>
        <v>458504</v>
      </c>
      <c r="Q5416" s="422" t="s">
        <v>47</v>
      </c>
      <c r="R5416" s="422" t="s">
        <v>1869</v>
      </c>
      <c r="S5416" s="422" t="s">
        <v>1861</v>
      </c>
      <c r="T5416" t="s">
        <v>4825</v>
      </c>
      <c r="U5416" s="422" t="s">
        <v>1953</v>
      </c>
      <c r="V5416" s="422" t="s">
        <v>2813</v>
      </c>
    </row>
    <row r="5417" spans="1:22" ht="15.75" thickBot="1" x14ac:dyDescent="0.3">
      <c r="A5417" t="s">
        <v>1910</v>
      </c>
      <c r="B5417" t="s">
        <v>1910</v>
      </c>
      <c r="C5417" s="424" t="str">
        <f t="shared" si="226"/>
        <v>Rodoviária de Lisboa, S.A.</v>
      </c>
      <c r="D5417" t="s">
        <v>629</v>
      </c>
      <c r="F5417" s="422" t="s">
        <v>620</v>
      </c>
      <c r="G5417" s="89">
        <v>2013</v>
      </c>
      <c r="H5417" s="313" t="s">
        <v>733</v>
      </c>
      <c r="I5417" s="311" t="str">
        <f t="shared" si="227"/>
        <v>Pesado de Passageiros M3:  : Gasóleo : E6</v>
      </c>
      <c r="J5417">
        <v>72</v>
      </c>
      <c r="K5417" s="422">
        <v>2023</v>
      </c>
      <c r="L5417">
        <v>14099.8</v>
      </c>
      <c r="M5417" t="s">
        <v>630</v>
      </c>
      <c r="N5417" s="131">
        <v>31784</v>
      </c>
      <c r="O5417" s="436">
        <f t="shared" si="228"/>
        <v>2288448</v>
      </c>
      <c r="Q5417" s="422" t="s">
        <v>47</v>
      </c>
      <c r="R5417" s="422" t="s">
        <v>1869</v>
      </c>
      <c r="S5417" s="422" t="s">
        <v>1861</v>
      </c>
      <c r="T5417" t="s">
        <v>4825</v>
      </c>
      <c r="U5417" s="422" t="s">
        <v>1953</v>
      </c>
      <c r="V5417" s="422" t="s">
        <v>2813</v>
      </c>
    </row>
    <row r="5418" spans="1:22" ht="15.75" thickBot="1" x14ac:dyDescent="0.3">
      <c r="A5418" t="s">
        <v>1910</v>
      </c>
      <c r="B5418" t="s">
        <v>1910</v>
      </c>
      <c r="C5418" s="424" t="str">
        <f t="shared" si="226"/>
        <v>Rodoviária de Lisboa, S.A.</v>
      </c>
      <c r="D5418" t="s">
        <v>629</v>
      </c>
      <c r="F5418" s="422" t="s">
        <v>620</v>
      </c>
      <c r="G5418" s="89" t="s">
        <v>1954</v>
      </c>
      <c r="H5418" s="313" t="s">
        <v>735</v>
      </c>
      <c r="I5418" s="311" t="str">
        <f t="shared" si="227"/>
        <v>Pesado de Passageiros M3:  : Gasóleo : E2</v>
      </c>
      <c r="J5418">
        <v>72</v>
      </c>
      <c r="K5418" s="422">
        <v>2023</v>
      </c>
      <c r="L5418">
        <v>591.6</v>
      </c>
      <c r="M5418" t="s">
        <v>630</v>
      </c>
      <c r="N5418" s="131">
        <v>1232</v>
      </c>
      <c r="O5418" s="436">
        <f t="shared" si="228"/>
        <v>88704</v>
      </c>
      <c r="Q5418" s="422" t="s">
        <v>47</v>
      </c>
      <c r="R5418" s="422" t="s">
        <v>1869</v>
      </c>
      <c r="S5418" s="422" t="s">
        <v>1861</v>
      </c>
      <c r="T5418" t="s">
        <v>4825</v>
      </c>
      <c r="U5418" s="422" t="s">
        <v>1953</v>
      </c>
      <c r="V5418" s="422" t="s">
        <v>2813</v>
      </c>
    </row>
    <row r="5419" spans="1:22" ht="15.75" thickBot="1" x14ac:dyDescent="0.3">
      <c r="A5419" t="s">
        <v>1910</v>
      </c>
      <c r="B5419" t="s">
        <v>1910</v>
      </c>
      <c r="C5419" s="424" t="str">
        <f t="shared" si="226"/>
        <v>Rodoviária de Lisboa, S.A.</v>
      </c>
      <c r="D5419" t="s">
        <v>629</v>
      </c>
      <c r="F5419" s="422" t="s">
        <v>620</v>
      </c>
      <c r="G5419" s="89">
        <v>2020</v>
      </c>
      <c r="H5419" s="313" t="s">
        <v>733</v>
      </c>
      <c r="I5419" s="311" t="str">
        <f t="shared" si="227"/>
        <v>Pesado de Passageiros M3:  : Gasóleo : E6</v>
      </c>
      <c r="J5419">
        <v>108</v>
      </c>
      <c r="K5419" s="422">
        <v>2023</v>
      </c>
      <c r="L5419">
        <v>27181</v>
      </c>
      <c r="M5419" t="s">
        <v>630</v>
      </c>
      <c r="N5419" s="131">
        <v>63694</v>
      </c>
      <c r="O5419" s="436">
        <f t="shared" si="228"/>
        <v>6878952</v>
      </c>
      <c r="Q5419" s="422" t="s">
        <v>47</v>
      </c>
      <c r="R5419" s="422" t="s">
        <v>1869</v>
      </c>
      <c r="S5419" s="422" t="s">
        <v>1861</v>
      </c>
      <c r="T5419" t="s">
        <v>4825</v>
      </c>
      <c r="U5419" s="422" t="s">
        <v>1953</v>
      </c>
      <c r="V5419" s="422" t="s">
        <v>2813</v>
      </c>
    </row>
    <row r="5420" spans="1:22" ht="15.75" thickBot="1" x14ac:dyDescent="0.3">
      <c r="A5420" t="s">
        <v>1910</v>
      </c>
      <c r="B5420" t="s">
        <v>1910</v>
      </c>
      <c r="C5420" s="424" t="str">
        <f t="shared" si="226"/>
        <v>Rodoviária de Lisboa, S.A.</v>
      </c>
      <c r="D5420" t="s">
        <v>629</v>
      </c>
      <c r="F5420" s="422" t="s">
        <v>620</v>
      </c>
      <c r="G5420" s="89">
        <v>2020</v>
      </c>
      <c r="H5420" s="313" t="s">
        <v>733</v>
      </c>
      <c r="I5420" s="311" t="str">
        <f t="shared" si="227"/>
        <v>Pesado de Passageiros M3:  : Gasóleo : E6</v>
      </c>
      <c r="J5420">
        <v>108</v>
      </c>
      <c r="K5420" s="422">
        <v>2023</v>
      </c>
      <c r="L5420">
        <v>25324</v>
      </c>
      <c r="M5420" t="s">
        <v>630</v>
      </c>
      <c r="N5420" s="131">
        <v>60405</v>
      </c>
      <c r="O5420" s="436">
        <f t="shared" si="228"/>
        <v>6523740</v>
      </c>
      <c r="Q5420" s="422" t="s">
        <v>47</v>
      </c>
      <c r="R5420" s="422" t="s">
        <v>1869</v>
      </c>
      <c r="S5420" s="422" t="s">
        <v>1861</v>
      </c>
      <c r="T5420" t="s">
        <v>4825</v>
      </c>
      <c r="U5420" s="422" t="s">
        <v>1953</v>
      </c>
      <c r="V5420" s="422" t="s">
        <v>2813</v>
      </c>
    </row>
    <row r="5421" spans="1:22" ht="15.75" thickBot="1" x14ac:dyDescent="0.3">
      <c r="A5421" t="s">
        <v>1910</v>
      </c>
      <c r="B5421" t="s">
        <v>1910</v>
      </c>
      <c r="C5421" s="424" t="str">
        <f t="shared" si="226"/>
        <v>Rodoviária de Lisboa, S.A.</v>
      </c>
      <c r="D5421" t="s">
        <v>629</v>
      </c>
      <c r="F5421" s="422" t="s">
        <v>620</v>
      </c>
      <c r="G5421" s="89">
        <v>2007</v>
      </c>
      <c r="H5421" s="313" t="s">
        <v>731</v>
      </c>
      <c r="I5421" s="311" t="str">
        <f t="shared" si="227"/>
        <v>Pesado de Passageiros M3:  : Gasóleo : E4</v>
      </c>
      <c r="J5421">
        <v>54</v>
      </c>
      <c r="K5421" s="422">
        <v>2023</v>
      </c>
      <c r="L5421">
        <v>11176.8</v>
      </c>
      <c r="M5421" t="s">
        <v>630</v>
      </c>
      <c r="N5421" s="131">
        <v>25086</v>
      </c>
      <c r="O5421" s="436">
        <f t="shared" si="228"/>
        <v>1354644</v>
      </c>
      <c r="Q5421" s="422" t="s">
        <v>47</v>
      </c>
      <c r="R5421" s="422" t="s">
        <v>1869</v>
      </c>
      <c r="S5421" s="422" t="s">
        <v>1861</v>
      </c>
      <c r="T5421" t="s">
        <v>4825</v>
      </c>
      <c r="U5421" s="422" t="s">
        <v>1953</v>
      </c>
      <c r="V5421" s="422" t="s">
        <v>2813</v>
      </c>
    </row>
    <row r="5422" spans="1:22" ht="15.75" thickBot="1" x14ac:dyDescent="0.3">
      <c r="A5422" t="s">
        <v>1910</v>
      </c>
      <c r="B5422" t="s">
        <v>1910</v>
      </c>
      <c r="C5422" s="424" t="str">
        <f t="shared" si="226"/>
        <v>Rodoviária de Lisboa, S.A.</v>
      </c>
      <c r="D5422" t="s">
        <v>629</v>
      </c>
      <c r="F5422" s="422" t="s">
        <v>620</v>
      </c>
      <c r="G5422" s="89">
        <v>2007</v>
      </c>
      <c r="H5422" s="313" t="s">
        <v>731</v>
      </c>
      <c r="I5422" s="311" t="str">
        <f t="shared" si="227"/>
        <v>Pesado de Passageiros M3:  : Gasóleo : E4</v>
      </c>
      <c r="J5422">
        <v>54</v>
      </c>
      <c r="K5422" s="422">
        <v>2023</v>
      </c>
      <c r="L5422">
        <v>9528.5</v>
      </c>
      <c r="M5422" t="s">
        <v>630</v>
      </c>
      <c r="N5422" s="131">
        <v>21754</v>
      </c>
      <c r="O5422" s="436">
        <f t="shared" si="228"/>
        <v>1174716</v>
      </c>
      <c r="Q5422" s="422" t="s">
        <v>47</v>
      </c>
      <c r="R5422" s="422" t="s">
        <v>1869</v>
      </c>
      <c r="S5422" s="422" t="s">
        <v>1861</v>
      </c>
      <c r="T5422" t="s">
        <v>4825</v>
      </c>
      <c r="U5422" s="422" t="s">
        <v>1953</v>
      </c>
      <c r="V5422" s="422" t="s">
        <v>2813</v>
      </c>
    </row>
    <row r="5423" spans="1:22" ht="15.75" thickBot="1" x14ac:dyDescent="0.3">
      <c r="A5423" t="s">
        <v>1910</v>
      </c>
      <c r="B5423" t="s">
        <v>1910</v>
      </c>
      <c r="C5423" s="424" t="str">
        <f t="shared" si="226"/>
        <v>Rodoviária de Lisboa, S.A.</v>
      </c>
      <c r="D5423" t="s">
        <v>629</v>
      </c>
      <c r="F5423" s="422" t="s">
        <v>620</v>
      </c>
      <c r="G5423" s="89">
        <v>2019</v>
      </c>
      <c r="H5423" s="313" t="s">
        <v>733</v>
      </c>
      <c r="I5423" s="311" t="str">
        <f t="shared" si="227"/>
        <v>Pesado de Passageiros M3:  : Gasóleo : E6</v>
      </c>
      <c r="J5423">
        <v>95</v>
      </c>
      <c r="K5423" s="422">
        <v>2023</v>
      </c>
      <c r="L5423">
        <v>19750.3</v>
      </c>
      <c r="M5423" t="s">
        <v>630</v>
      </c>
      <c r="N5423" s="131">
        <v>39344</v>
      </c>
      <c r="O5423" s="436">
        <f t="shared" si="228"/>
        <v>3737680</v>
      </c>
      <c r="Q5423" s="422" t="s">
        <v>47</v>
      </c>
      <c r="R5423" s="422" t="s">
        <v>1869</v>
      </c>
      <c r="S5423" s="422" t="s">
        <v>1861</v>
      </c>
      <c r="T5423" t="s">
        <v>4825</v>
      </c>
      <c r="U5423" s="422" t="s">
        <v>1953</v>
      </c>
      <c r="V5423" s="422" t="s">
        <v>2813</v>
      </c>
    </row>
    <row r="5424" spans="1:22" ht="15.75" thickBot="1" x14ac:dyDescent="0.3">
      <c r="A5424" t="s">
        <v>1910</v>
      </c>
      <c r="B5424" t="s">
        <v>1910</v>
      </c>
      <c r="C5424" s="424" t="str">
        <f t="shared" si="226"/>
        <v>Rodoviária de Lisboa, S.A.</v>
      </c>
      <c r="D5424" t="s">
        <v>629</v>
      </c>
      <c r="F5424" s="422" t="s">
        <v>620</v>
      </c>
      <c r="G5424" s="89">
        <v>2008</v>
      </c>
      <c r="H5424" s="313" t="s">
        <v>734</v>
      </c>
      <c r="I5424" s="311" t="str">
        <f t="shared" si="227"/>
        <v>Pesado de Passageiros M3:  : Gasóleo : E5</v>
      </c>
      <c r="J5424">
        <v>57</v>
      </c>
      <c r="K5424" s="422">
        <v>2023</v>
      </c>
      <c r="L5424">
        <v>20634</v>
      </c>
      <c r="M5424" t="s">
        <v>630</v>
      </c>
      <c r="N5424" s="131">
        <v>46056</v>
      </c>
      <c r="O5424" s="436">
        <f t="shared" si="228"/>
        <v>2625192</v>
      </c>
      <c r="Q5424" s="422" t="s">
        <v>47</v>
      </c>
      <c r="R5424" s="422" t="s">
        <v>1869</v>
      </c>
      <c r="S5424" s="422" t="s">
        <v>1861</v>
      </c>
      <c r="T5424" t="s">
        <v>4825</v>
      </c>
      <c r="U5424" s="422" t="s">
        <v>1953</v>
      </c>
      <c r="V5424" s="422" t="s">
        <v>2813</v>
      </c>
    </row>
    <row r="5425" spans="1:22" ht="15.75" thickBot="1" x14ac:dyDescent="0.3">
      <c r="A5425" t="s">
        <v>1910</v>
      </c>
      <c r="B5425" t="s">
        <v>1910</v>
      </c>
      <c r="C5425" s="424" t="str">
        <f t="shared" si="226"/>
        <v>Rodoviária de Lisboa, S.A.</v>
      </c>
      <c r="D5425" t="s">
        <v>629</v>
      </c>
      <c r="F5425" s="422" t="s">
        <v>620</v>
      </c>
      <c r="G5425" s="89">
        <v>2019</v>
      </c>
      <c r="H5425" s="313" t="s">
        <v>733</v>
      </c>
      <c r="I5425" s="311" t="str">
        <f t="shared" si="227"/>
        <v>Pesado de Passageiros M3:  : Gasóleo : E6</v>
      </c>
      <c r="J5425">
        <v>95</v>
      </c>
      <c r="K5425" s="422">
        <v>2023</v>
      </c>
      <c r="L5425">
        <v>20593</v>
      </c>
      <c r="M5425" t="s">
        <v>630</v>
      </c>
      <c r="N5425" s="131">
        <v>41711</v>
      </c>
      <c r="O5425" s="436">
        <f t="shared" si="228"/>
        <v>3962545</v>
      </c>
      <c r="Q5425" s="422" t="s">
        <v>47</v>
      </c>
      <c r="R5425" s="422" t="s">
        <v>1869</v>
      </c>
      <c r="S5425" s="422" t="s">
        <v>1861</v>
      </c>
      <c r="T5425" t="s">
        <v>4825</v>
      </c>
      <c r="U5425" s="422" t="s">
        <v>1953</v>
      </c>
      <c r="V5425" s="422" t="s">
        <v>2813</v>
      </c>
    </row>
    <row r="5426" spans="1:22" ht="15.75" thickBot="1" x14ac:dyDescent="0.3">
      <c r="A5426" t="s">
        <v>1910</v>
      </c>
      <c r="B5426" t="s">
        <v>1910</v>
      </c>
      <c r="C5426" s="424" t="str">
        <f t="shared" ref="C5426:C5489" si="229">IF(A5426=B5426,B5426,RIGHT(A5426,LEN(A5426)-LEN(B5426)-3))</f>
        <v>Rodoviária de Lisboa, S.A.</v>
      </c>
      <c r="D5426" t="s">
        <v>629</v>
      </c>
      <c r="F5426" s="422" t="s">
        <v>620</v>
      </c>
      <c r="G5426" s="89">
        <v>2019</v>
      </c>
      <c r="H5426" s="313" t="s">
        <v>733</v>
      </c>
      <c r="I5426" s="311" t="str">
        <f t="shared" si="227"/>
        <v>Pesado de Passageiros M3:  : Gasóleo : E6</v>
      </c>
      <c r="J5426">
        <v>95</v>
      </c>
      <c r="K5426" s="422">
        <v>2023</v>
      </c>
      <c r="L5426">
        <v>18516</v>
      </c>
      <c r="M5426" t="s">
        <v>630</v>
      </c>
      <c r="N5426" s="131">
        <v>38644</v>
      </c>
      <c r="O5426" s="436">
        <f t="shared" si="228"/>
        <v>3671180</v>
      </c>
      <c r="Q5426" s="422" t="s">
        <v>47</v>
      </c>
      <c r="R5426" s="422" t="s">
        <v>1869</v>
      </c>
      <c r="S5426" s="422" t="s">
        <v>1861</v>
      </c>
      <c r="T5426" t="s">
        <v>4825</v>
      </c>
      <c r="U5426" s="422" t="s">
        <v>1953</v>
      </c>
      <c r="V5426" s="422" t="s">
        <v>2813</v>
      </c>
    </row>
    <row r="5427" spans="1:22" ht="15.75" thickBot="1" x14ac:dyDescent="0.3">
      <c r="A5427" t="s">
        <v>1910</v>
      </c>
      <c r="B5427" t="s">
        <v>1910</v>
      </c>
      <c r="C5427" s="424" t="str">
        <f t="shared" si="229"/>
        <v>Rodoviária de Lisboa, S.A.</v>
      </c>
      <c r="D5427" t="s">
        <v>629</v>
      </c>
      <c r="F5427" s="422" t="s">
        <v>620</v>
      </c>
      <c r="G5427" s="89">
        <v>2009</v>
      </c>
      <c r="H5427" s="313" t="s">
        <v>731</v>
      </c>
      <c r="I5427" s="311" t="str">
        <f t="shared" si="227"/>
        <v>Pesado de Passageiros M3:  : Gasóleo : E4</v>
      </c>
      <c r="J5427">
        <v>21</v>
      </c>
      <c r="K5427" s="422">
        <v>2023</v>
      </c>
      <c r="L5427">
        <v>1955.7</v>
      </c>
      <c r="M5427" t="s">
        <v>630</v>
      </c>
      <c r="N5427" s="131">
        <v>9300</v>
      </c>
      <c r="O5427" s="436">
        <f t="shared" si="228"/>
        <v>195300</v>
      </c>
      <c r="Q5427" s="422" t="s">
        <v>47</v>
      </c>
      <c r="R5427" s="422" t="s">
        <v>1869</v>
      </c>
      <c r="S5427" s="422" t="s">
        <v>1861</v>
      </c>
      <c r="T5427" t="s">
        <v>4825</v>
      </c>
      <c r="U5427" s="422" t="s">
        <v>1953</v>
      </c>
      <c r="V5427" s="422" t="s">
        <v>2813</v>
      </c>
    </row>
    <row r="5428" spans="1:22" ht="15.75" thickBot="1" x14ac:dyDescent="0.3">
      <c r="A5428" t="s">
        <v>1910</v>
      </c>
      <c r="B5428" t="s">
        <v>1910</v>
      </c>
      <c r="C5428" s="424" t="str">
        <f t="shared" si="229"/>
        <v>Rodoviária de Lisboa, S.A.</v>
      </c>
      <c r="D5428" t="s">
        <v>629</v>
      </c>
      <c r="F5428" s="422" t="s">
        <v>620</v>
      </c>
      <c r="G5428" s="89">
        <v>2019</v>
      </c>
      <c r="H5428" s="313" t="s">
        <v>733</v>
      </c>
      <c r="I5428" s="311" t="str">
        <f t="shared" si="227"/>
        <v>Pesado de Passageiros M3:  : Gasóleo : E6</v>
      </c>
      <c r="J5428">
        <v>95</v>
      </c>
      <c r="K5428" s="422">
        <v>2023</v>
      </c>
      <c r="L5428">
        <v>20643.7</v>
      </c>
      <c r="M5428" t="s">
        <v>630</v>
      </c>
      <c r="N5428" s="131">
        <v>38634</v>
      </c>
      <c r="O5428" s="436">
        <f t="shared" si="228"/>
        <v>3670230</v>
      </c>
      <c r="Q5428" s="422" t="s">
        <v>47</v>
      </c>
      <c r="R5428" s="422" t="s">
        <v>1869</v>
      </c>
      <c r="S5428" s="422" t="s">
        <v>1861</v>
      </c>
      <c r="T5428" t="s">
        <v>4825</v>
      </c>
      <c r="U5428" s="422" t="s">
        <v>1953</v>
      </c>
      <c r="V5428" s="422" t="s">
        <v>2813</v>
      </c>
    </row>
    <row r="5429" spans="1:22" ht="15.75" thickBot="1" x14ac:dyDescent="0.3">
      <c r="A5429" t="s">
        <v>1910</v>
      </c>
      <c r="B5429" t="s">
        <v>1910</v>
      </c>
      <c r="C5429" s="424" t="str">
        <f t="shared" si="229"/>
        <v>Rodoviária de Lisboa, S.A.</v>
      </c>
      <c r="D5429" t="s">
        <v>629</v>
      </c>
      <c r="F5429" s="422" t="s">
        <v>620</v>
      </c>
      <c r="G5429" s="89">
        <v>2019</v>
      </c>
      <c r="H5429" s="313" t="s">
        <v>733</v>
      </c>
      <c r="I5429" s="311" t="str">
        <f t="shared" si="227"/>
        <v>Pesado de Passageiros M3:  : Gasóleo : E6</v>
      </c>
      <c r="J5429">
        <v>95</v>
      </c>
      <c r="K5429" s="422">
        <v>2023</v>
      </c>
      <c r="L5429">
        <v>20442.7</v>
      </c>
      <c r="M5429" t="s">
        <v>630</v>
      </c>
      <c r="N5429" s="131">
        <v>41732</v>
      </c>
      <c r="O5429" s="436">
        <f t="shared" si="228"/>
        <v>3964540</v>
      </c>
      <c r="Q5429" s="422" t="s">
        <v>47</v>
      </c>
      <c r="R5429" s="422" t="s">
        <v>1869</v>
      </c>
      <c r="S5429" s="422" t="s">
        <v>1861</v>
      </c>
      <c r="T5429" t="s">
        <v>4825</v>
      </c>
      <c r="U5429" s="422" t="s">
        <v>1953</v>
      </c>
      <c r="V5429" s="422" t="s">
        <v>2813</v>
      </c>
    </row>
    <row r="5430" spans="1:22" ht="15.75" thickBot="1" x14ac:dyDescent="0.3">
      <c r="A5430" t="s">
        <v>1910</v>
      </c>
      <c r="B5430" t="s">
        <v>1910</v>
      </c>
      <c r="C5430" s="424" t="str">
        <f t="shared" si="229"/>
        <v>Rodoviária de Lisboa, S.A.</v>
      </c>
      <c r="D5430" t="s">
        <v>629</v>
      </c>
      <c r="F5430" s="422" t="s">
        <v>620</v>
      </c>
      <c r="G5430" s="89">
        <v>2019</v>
      </c>
      <c r="H5430" s="313" t="s">
        <v>733</v>
      </c>
      <c r="I5430" s="311" t="str">
        <f t="shared" si="227"/>
        <v>Pesado de Passageiros M3:  : Gasóleo : E6</v>
      </c>
      <c r="J5430">
        <v>95</v>
      </c>
      <c r="K5430" s="422">
        <v>2023</v>
      </c>
      <c r="L5430">
        <v>21842.1</v>
      </c>
      <c r="M5430" t="s">
        <v>630</v>
      </c>
      <c r="N5430" s="131">
        <v>41349</v>
      </c>
      <c r="O5430" s="436">
        <f t="shared" si="228"/>
        <v>3928155</v>
      </c>
      <c r="Q5430" s="422" t="s">
        <v>47</v>
      </c>
      <c r="R5430" s="422" t="s">
        <v>1869</v>
      </c>
      <c r="S5430" s="422" t="s">
        <v>1861</v>
      </c>
      <c r="T5430" t="s">
        <v>4825</v>
      </c>
      <c r="U5430" s="422" t="s">
        <v>1953</v>
      </c>
      <c r="V5430" s="422" t="s">
        <v>2813</v>
      </c>
    </row>
    <row r="5431" spans="1:22" ht="15.75" thickBot="1" x14ac:dyDescent="0.3">
      <c r="A5431" t="s">
        <v>1910</v>
      </c>
      <c r="B5431" t="s">
        <v>1910</v>
      </c>
      <c r="C5431" s="424" t="str">
        <f t="shared" si="229"/>
        <v>Rodoviária de Lisboa, S.A.</v>
      </c>
      <c r="D5431" t="s">
        <v>629</v>
      </c>
      <c r="F5431" s="422" t="s">
        <v>620</v>
      </c>
      <c r="G5431" s="89">
        <v>2019</v>
      </c>
      <c r="H5431" s="313" t="s">
        <v>733</v>
      </c>
      <c r="I5431" s="311" t="str">
        <f t="shared" si="227"/>
        <v>Pesado de Passageiros M3:  : Gasóleo : E6</v>
      </c>
      <c r="J5431">
        <v>95</v>
      </c>
      <c r="K5431" s="422">
        <v>2023</v>
      </c>
      <c r="L5431">
        <v>22217</v>
      </c>
      <c r="M5431" t="s">
        <v>630</v>
      </c>
      <c r="N5431" s="131">
        <v>44975</v>
      </c>
      <c r="O5431" s="436">
        <f t="shared" si="228"/>
        <v>4272625</v>
      </c>
      <c r="Q5431" s="422" t="s">
        <v>47</v>
      </c>
      <c r="R5431" s="422" t="s">
        <v>1869</v>
      </c>
      <c r="S5431" s="422" t="s">
        <v>1861</v>
      </c>
      <c r="T5431" t="s">
        <v>4825</v>
      </c>
      <c r="U5431" s="422" t="s">
        <v>1953</v>
      </c>
      <c r="V5431" s="422" t="s">
        <v>2813</v>
      </c>
    </row>
    <row r="5432" spans="1:22" ht="15.75" thickBot="1" x14ac:dyDescent="0.3">
      <c r="A5432" t="s">
        <v>1910</v>
      </c>
      <c r="B5432" t="s">
        <v>1910</v>
      </c>
      <c r="C5432" s="424" t="str">
        <f t="shared" si="229"/>
        <v>Rodoviária de Lisboa, S.A.</v>
      </c>
      <c r="D5432" t="s">
        <v>629</v>
      </c>
      <c r="F5432" s="422" t="s">
        <v>620</v>
      </c>
      <c r="G5432" s="89">
        <v>2019</v>
      </c>
      <c r="H5432" s="313" t="s">
        <v>733</v>
      </c>
      <c r="I5432" s="311" t="str">
        <f t="shared" si="227"/>
        <v>Pesado de Passageiros M3:  : Gasóleo : E6</v>
      </c>
      <c r="J5432">
        <v>95</v>
      </c>
      <c r="K5432" s="422">
        <v>2023</v>
      </c>
      <c r="L5432">
        <v>20678.599999999999</v>
      </c>
      <c r="M5432" t="s">
        <v>630</v>
      </c>
      <c r="N5432" s="131">
        <v>39116</v>
      </c>
      <c r="O5432" s="436">
        <f t="shared" si="228"/>
        <v>3716020</v>
      </c>
      <c r="Q5432" s="422" t="s">
        <v>47</v>
      </c>
      <c r="R5432" s="422" t="s">
        <v>1869</v>
      </c>
      <c r="S5432" s="422" t="s">
        <v>1861</v>
      </c>
      <c r="T5432" t="s">
        <v>4825</v>
      </c>
      <c r="U5432" s="422" t="s">
        <v>1953</v>
      </c>
      <c r="V5432" s="422" t="s">
        <v>2813</v>
      </c>
    </row>
    <row r="5433" spans="1:22" ht="15.75" thickBot="1" x14ac:dyDescent="0.3">
      <c r="A5433" t="s">
        <v>1910</v>
      </c>
      <c r="B5433" t="s">
        <v>1910</v>
      </c>
      <c r="C5433" s="424" t="str">
        <f t="shared" si="229"/>
        <v>Rodoviária de Lisboa, S.A.</v>
      </c>
      <c r="D5433" t="s">
        <v>629</v>
      </c>
      <c r="F5433" s="422" t="s">
        <v>620</v>
      </c>
      <c r="G5433" s="89">
        <v>2019</v>
      </c>
      <c r="H5433" s="313" t="s">
        <v>733</v>
      </c>
      <c r="I5433" s="311" t="str">
        <f t="shared" si="227"/>
        <v>Pesado de Passageiros M3:  : Gasóleo : E6</v>
      </c>
      <c r="J5433">
        <v>95</v>
      </c>
      <c r="K5433" s="422">
        <v>2023</v>
      </c>
      <c r="L5433">
        <v>15190.3</v>
      </c>
      <c r="M5433" t="s">
        <v>630</v>
      </c>
      <c r="N5433" s="131">
        <v>31291</v>
      </c>
      <c r="O5433" s="436">
        <f t="shared" si="228"/>
        <v>2972645</v>
      </c>
      <c r="Q5433" s="422" t="s">
        <v>47</v>
      </c>
      <c r="R5433" s="422" t="s">
        <v>1869</v>
      </c>
      <c r="S5433" s="422" t="s">
        <v>1861</v>
      </c>
      <c r="T5433" t="s">
        <v>4825</v>
      </c>
      <c r="U5433" s="422" t="s">
        <v>1953</v>
      </c>
      <c r="V5433" s="422" t="s">
        <v>2813</v>
      </c>
    </row>
    <row r="5434" spans="1:22" ht="15.75" thickBot="1" x14ac:dyDescent="0.3">
      <c r="A5434" t="s">
        <v>1910</v>
      </c>
      <c r="B5434" t="s">
        <v>1910</v>
      </c>
      <c r="C5434" s="424" t="str">
        <f t="shared" si="229"/>
        <v>Rodoviária de Lisboa, S.A.</v>
      </c>
      <c r="D5434" t="s">
        <v>629</v>
      </c>
      <c r="F5434" s="422" t="s">
        <v>620</v>
      </c>
      <c r="G5434" s="89">
        <v>2019</v>
      </c>
      <c r="H5434" s="313" t="s">
        <v>733</v>
      </c>
      <c r="I5434" s="311" t="str">
        <f t="shared" si="227"/>
        <v>Pesado de Passageiros M3:  : Gasóleo : E6</v>
      </c>
      <c r="J5434">
        <v>68</v>
      </c>
      <c r="K5434" s="422">
        <v>2023</v>
      </c>
      <c r="L5434">
        <v>18593.7</v>
      </c>
      <c r="M5434" t="s">
        <v>630</v>
      </c>
      <c r="N5434" s="131">
        <v>42429</v>
      </c>
      <c r="O5434" s="436">
        <f t="shared" si="228"/>
        <v>2885172</v>
      </c>
      <c r="Q5434" s="422" t="s">
        <v>47</v>
      </c>
      <c r="R5434" s="422" t="s">
        <v>1869</v>
      </c>
      <c r="S5434" s="422" t="s">
        <v>1861</v>
      </c>
      <c r="T5434" t="s">
        <v>4825</v>
      </c>
      <c r="U5434" s="422" t="s">
        <v>1953</v>
      </c>
      <c r="V5434" s="422" t="s">
        <v>2813</v>
      </c>
    </row>
    <row r="5435" spans="1:22" ht="15.75" thickBot="1" x14ac:dyDescent="0.3">
      <c r="A5435" t="s">
        <v>1910</v>
      </c>
      <c r="B5435" t="s">
        <v>1910</v>
      </c>
      <c r="C5435" s="424" t="str">
        <f t="shared" si="229"/>
        <v>Rodoviária de Lisboa, S.A.</v>
      </c>
      <c r="D5435" t="s">
        <v>629</v>
      </c>
      <c r="F5435" s="422" t="s">
        <v>620</v>
      </c>
      <c r="G5435" s="89">
        <v>2019</v>
      </c>
      <c r="H5435" s="313" t="s">
        <v>733</v>
      </c>
      <c r="I5435" s="311" t="str">
        <f t="shared" si="227"/>
        <v>Pesado de Passageiros M3:  : Gasóleo : E6</v>
      </c>
      <c r="J5435">
        <v>68</v>
      </c>
      <c r="K5435" s="422">
        <v>2023</v>
      </c>
      <c r="L5435">
        <v>15217.8</v>
      </c>
      <c r="M5435" t="s">
        <v>630</v>
      </c>
      <c r="N5435" s="131">
        <v>36065</v>
      </c>
      <c r="O5435" s="436">
        <f t="shared" si="228"/>
        <v>2452420</v>
      </c>
      <c r="Q5435" s="422" t="s">
        <v>47</v>
      </c>
      <c r="R5435" s="422" t="s">
        <v>1869</v>
      </c>
      <c r="S5435" s="422" t="s">
        <v>1861</v>
      </c>
      <c r="T5435" t="s">
        <v>4825</v>
      </c>
      <c r="U5435" s="422" t="s">
        <v>1953</v>
      </c>
      <c r="V5435" s="422" t="s">
        <v>2813</v>
      </c>
    </row>
    <row r="5436" spans="1:22" ht="15.75" thickBot="1" x14ac:dyDescent="0.3">
      <c r="A5436" t="s">
        <v>1910</v>
      </c>
      <c r="B5436" t="s">
        <v>1910</v>
      </c>
      <c r="C5436" s="424" t="str">
        <f t="shared" si="229"/>
        <v>Rodoviária de Lisboa, S.A.</v>
      </c>
      <c r="D5436" t="s">
        <v>629</v>
      </c>
      <c r="F5436" s="422" t="s">
        <v>620</v>
      </c>
      <c r="G5436" s="89">
        <v>2006</v>
      </c>
      <c r="H5436" s="313" t="s">
        <v>732</v>
      </c>
      <c r="I5436" s="311" t="str">
        <f t="shared" si="227"/>
        <v>Pesado de Passageiros M3:  : Gasóleo : E3</v>
      </c>
      <c r="J5436">
        <v>149</v>
      </c>
      <c r="K5436" s="422">
        <v>2023</v>
      </c>
      <c r="L5436">
        <v>81.3</v>
      </c>
      <c r="M5436" t="s">
        <v>630</v>
      </c>
      <c r="N5436" s="131">
        <v>123</v>
      </c>
      <c r="O5436" s="436">
        <f t="shared" si="228"/>
        <v>18327</v>
      </c>
      <c r="Q5436" s="422" t="s">
        <v>47</v>
      </c>
      <c r="R5436" s="422" t="s">
        <v>1869</v>
      </c>
      <c r="S5436" s="422" t="s">
        <v>1861</v>
      </c>
      <c r="T5436" t="s">
        <v>4825</v>
      </c>
      <c r="U5436" s="422" t="s">
        <v>1953</v>
      </c>
      <c r="V5436" s="422" t="s">
        <v>2813</v>
      </c>
    </row>
    <row r="5437" spans="1:22" ht="15.75" thickBot="1" x14ac:dyDescent="0.3">
      <c r="A5437" t="s">
        <v>1910</v>
      </c>
      <c r="B5437" t="s">
        <v>1910</v>
      </c>
      <c r="C5437" s="424" t="str">
        <f t="shared" si="229"/>
        <v>Rodoviária de Lisboa, S.A.</v>
      </c>
      <c r="D5437" t="s">
        <v>629</v>
      </c>
      <c r="F5437" s="422" t="s">
        <v>620</v>
      </c>
      <c r="G5437" s="89" t="s">
        <v>1954</v>
      </c>
      <c r="H5437" s="313" t="s">
        <v>735</v>
      </c>
      <c r="I5437" s="311" t="str">
        <f t="shared" si="227"/>
        <v>Pesado de Passageiros M3:  : Gasóleo : E2</v>
      </c>
      <c r="J5437">
        <v>109</v>
      </c>
      <c r="K5437" s="422">
        <v>2023</v>
      </c>
      <c r="L5437">
        <v>1115.4000000000001</v>
      </c>
      <c r="M5437" t="s">
        <v>630</v>
      </c>
      <c r="N5437" s="131">
        <v>2323</v>
      </c>
      <c r="O5437" s="436">
        <f t="shared" si="228"/>
        <v>253207</v>
      </c>
      <c r="Q5437" s="422" t="s">
        <v>47</v>
      </c>
      <c r="R5437" s="422" t="s">
        <v>1869</v>
      </c>
      <c r="S5437" s="422" t="s">
        <v>1861</v>
      </c>
      <c r="T5437" t="s">
        <v>4825</v>
      </c>
      <c r="U5437" s="422" t="s">
        <v>1953</v>
      </c>
      <c r="V5437" s="422" t="s">
        <v>2813</v>
      </c>
    </row>
    <row r="5438" spans="1:22" ht="15.75" thickBot="1" x14ac:dyDescent="0.3">
      <c r="A5438" t="s">
        <v>1910</v>
      </c>
      <c r="B5438" t="s">
        <v>1910</v>
      </c>
      <c r="C5438" s="424" t="str">
        <f t="shared" si="229"/>
        <v>Rodoviária de Lisboa, S.A.</v>
      </c>
      <c r="D5438" t="s">
        <v>629</v>
      </c>
      <c r="F5438" s="422" t="s">
        <v>620</v>
      </c>
      <c r="G5438" s="89" t="s">
        <v>2212</v>
      </c>
      <c r="H5438" s="313" t="s">
        <v>734</v>
      </c>
      <c r="I5438" s="311" t="str">
        <f t="shared" si="227"/>
        <v>Pesado de Passageiros M3:  : Gasóleo : E5</v>
      </c>
      <c r="J5438">
        <v>109</v>
      </c>
      <c r="K5438" s="422">
        <v>2023</v>
      </c>
      <c r="L5438">
        <v>8382.6</v>
      </c>
      <c r="M5438" t="s">
        <v>630</v>
      </c>
      <c r="N5438" s="131">
        <v>19906</v>
      </c>
      <c r="O5438" s="436">
        <f t="shared" si="228"/>
        <v>2169754</v>
      </c>
      <c r="Q5438" s="422" t="s">
        <v>47</v>
      </c>
      <c r="R5438" s="422" t="s">
        <v>1869</v>
      </c>
      <c r="S5438" s="422" t="s">
        <v>1861</v>
      </c>
      <c r="T5438" t="s">
        <v>4825</v>
      </c>
      <c r="U5438" s="422" t="s">
        <v>1953</v>
      </c>
      <c r="V5438" s="422" t="s">
        <v>2813</v>
      </c>
    </row>
    <row r="5439" spans="1:22" ht="15.75" thickBot="1" x14ac:dyDescent="0.3">
      <c r="A5439" t="s">
        <v>1910</v>
      </c>
      <c r="B5439" t="s">
        <v>1910</v>
      </c>
      <c r="C5439" s="424" t="str">
        <f t="shared" si="229"/>
        <v>Rodoviária de Lisboa, S.A.</v>
      </c>
      <c r="D5439" t="s">
        <v>629</v>
      </c>
      <c r="F5439" s="422" t="s">
        <v>620</v>
      </c>
      <c r="G5439" s="89">
        <v>2004</v>
      </c>
      <c r="H5439" s="313" t="s">
        <v>732</v>
      </c>
      <c r="I5439" s="311" t="str">
        <f t="shared" si="227"/>
        <v>Pesado de Passageiros M3:  : Gasóleo : E3</v>
      </c>
      <c r="J5439">
        <v>77</v>
      </c>
      <c r="K5439" s="422">
        <v>2023</v>
      </c>
      <c r="L5439">
        <v>1505.9</v>
      </c>
      <c r="M5439" t="s">
        <v>630</v>
      </c>
      <c r="N5439" s="131">
        <v>3134</v>
      </c>
      <c r="O5439" s="436">
        <f t="shared" si="228"/>
        <v>241318</v>
      </c>
      <c r="Q5439" s="422" t="s">
        <v>47</v>
      </c>
      <c r="R5439" s="422" t="s">
        <v>1869</v>
      </c>
      <c r="S5439" s="422" t="s">
        <v>1861</v>
      </c>
      <c r="T5439" t="s">
        <v>4825</v>
      </c>
      <c r="U5439" s="422" t="s">
        <v>1953</v>
      </c>
      <c r="V5439" s="422" t="s">
        <v>2813</v>
      </c>
    </row>
    <row r="5440" spans="1:22" ht="15.75" thickBot="1" x14ac:dyDescent="0.3">
      <c r="A5440" t="s">
        <v>1910</v>
      </c>
      <c r="B5440" t="s">
        <v>1910</v>
      </c>
      <c r="C5440" s="424" t="str">
        <f t="shared" si="229"/>
        <v>Rodoviária de Lisboa, S.A.</v>
      </c>
      <c r="D5440" t="s">
        <v>629</v>
      </c>
      <c r="F5440" s="422" t="s">
        <v>620</v>
      </c>
      <c r="G5440" s="89" t="s">
        <v>2222</v>
      </c>
      <c r="H5440" s="313" t="s">
        <v>732</v>
      </c>
      <c r="I5440" s="311" t="str">
        <f t="shared" si="227"/>
        <v>Pesado de Passageiros M3:  : Gasóleo : E3</v>
      </c>
      <c r="J5440">
        <v>77</v>
      </c>
      <c r="K5440" s="422">
        <v>2023</v>
      </c>
      <c r="L5440">
        <v>2341.5</v>
      </c>
      <c r="M5440" t="s">
        <v>630</v>
      </c>
      <c r="N5440" s="131">
        <v>5032</v>
      </c>
      <c r="O5440" s="436">
        <f t="shared" si="228"/>
        <v>387464</v>
      </c>
      <c r="Q5440" s="422" t="s">
        <v>47</v>
      </c>
      <c r="R5440" s="422" t="s">
        <v>1869</v>
      </c>
      <c r="S5440" s="422" t="s">
        <v>1861</v>
      </c>
      <c r="T5440" t="s">
        <v>4825</v>
      </c>
      <c r="U5440" s="422" t="s">
        <v>1953</v>
      </c>
      <c r="V5440" s="422" t="s">
        <v>2813</v>
      </c>
    </row>
    <row r="5441" spans="1:22" ht="15.75" thickBot="1" x14ac:dyDescent="0.3">
      <c r="A5441" t="s">
        <v>1910</v>
      </c>
      <c r="B5441" t="s">
        <v>1910</v>
      </c>
      <c r="C5441" s="424" t="str">
        <f t="shared" si="229"/>
        <v>Rodoviária de Lisboa, S.A.</v>
      </c>
      <c r="D5441" t="s">
        <v>629</v>
      </c>
      <c r="F5441" s="422" t="s">
        <v>620</v>
      </c>
      <c r="G5441" s="89">
        <v>2013</v>
      </c>
      <c r="H5441" s="313" t="s">
        <v>733</v>
      </c>
      <c r="I5441" s="311" t="str">
        <f t="shared" si="227"/>
        <v>Pesado de Passageiros M3:  : Gasóleo : E6</v>
      </c>
      <c r="J5441">
        <v>100</v>
      </c>
      <c r="K5441" s="422">
        <v>2023</v>
      </c>
      <c r="L5441">
        <v>16885</v>
      </c>
      <c r="M5441" t="s">
        <v>630</v>
      </c>
      <c r="N5441" s="131">
        <v>34275</v>
      </c>
      <c r="O5441" s="436">
        <f t="shared" si="228"/>
        <v>3427500</v>
      </c>
      <c r="Q5441" s="422" t="s">
        <v>47</v>
      </c>
      <c r="R5441" s="422" t="s">
        <v>1869</v>
      </c>
      <c r="S5441" s="422" t="s">
        <v>1861</v>
      </c>
      <c r="T5441" t="s">
        <v>4825</v>
      </c>
      <c r="U5441" s="422" t="s">
        <v>1953</v>
      </c>
      <c r="V5441" s="422" t="s">
        <v>2813</v>
      </c>
    </row>
    <row r="5442" spans="1:22" ht="15.75" thickBot="1" x14ac:dyDescent="0.3">
      <c r="A5442" t="s">
        <v>1910</v>
      </c>
      <c r="B5442" t="s">
        <v>1910</v>
      </c>
      <c r="C5442" s="424" t="str">
        <f t="shared" si="229"/>
        <v>Rodoviária de Lisboa, S.A.</v>
      </c>
      <c r="D5442" t="s">
        <v>629</v>
      </c>
      <c r="F5442" s="422" t="s">
        <v>620</v>
      </c>
      <c r="G5442" s="89">
        <v>2009</v>
      </c>
      <c r="H5442" s="313" t="s">
        <v>734</v>
      </c>
      <c r="I5442" s="311" t="str">
        <f t="shared" si="227"/>
        <v>Pesado de Passageiros M3:  : Gasóleo : E5</v>
      </c>
      <c r="J5442">
        <v>66</v>
      </c>
      <c r="K5442" s="422">
        <v>2023</v>
      </c>
      <c r="L5442">
        <v>25833.5</v>
      </c>
      <c r="M5442" t="s">
        <v>630</v>
      </c>
      <c r="N5442" s="131">
        <v>52300</v>
      </c>
      <c r="O5442" s="436">
        <f t="shared" si="228"/>
        <v>3451800</v>
      </c>
      <c r="Q5442" s="422" t="s">
        <v>47</v>
      </c>
      <c r="R5442" s="422" t="s">
        <v>1869</v>
      </c>
      <c r="S5442" s="422" t="s">
        <v>1861</v>
      </c>
      <c r="T5442" t="s">
        <v>4825</v>
      </c>
      <c r="U5442" s="422" t="s">
        <v>1953</v>
      </c>
      <c r="V5442" s="422" t="s">
        <v>2813</v>
      </c>
    </row>
    <row r="5443" spans="1:22" ht="15.75" thickBot="1" x14ac:dyDescent="0.3">
      <c r="A5443" t="s">
        <v>1910</v>
      </c>
      <c r="B5443" t="s">
        <v>1910</v>
      </c>
      <c r="C5443" s="424" t="str">
        <f t="shared" si="229"/>
        <v>Rodoviária de Lisboa, S.A.</v>
      </c>
      <c r="D5443" t="s">
        <v>629</v>
      </c>
      <c r="F5443" s="422" t="s">
        <v>620</v>
      </c>
      <c r="G5443" s="89">
        <v>2007</v>
      </c>
      <c r="H5443" s="313" t="s">
        <v>731</v>
      </c>
      <c r="I5443" s="311" t="str">
        <f t="shared" si="227"/>
        <v>Pesado de Passageiros M3:  : Gasóleo : E4</v>
      </c>
      <c r="J5443">
        <v>64</v>
      </c>
      <c r="K5443" s="422">
        <v>2023</v>
      </c>
      <c r="L5443">
        <v>14949.8</v>
      </c>
      <c r="M5443" t="s">
        <v>630</v>
      </c>
      <c r="N5443" s="131">
        <v>29019</v>
      </c>
      <c r="O5443" s="436">
        <f t="shared" si="228"/>
        <v>1857216</v>
      </c>
      <c r="Q5443" s="422" t="s">
        <v>47</v>
      </c>
      <c r="R5443" s="422" t="s">
        <v>1869</v>
      </c>
      <c r="S5443" s="422" t="s">
        <v>1861</v>
      </c>
      <c r="T5443" t="s">
        <v>4825</v>
      </c>
      <c r="U5443" s="422" t="s">
        <v>1953</v>
      </c>
      <c r="V5443" s="422" t="s">
        <v>2813</v>
      </c>
    </row>
    <row r="5444" spans="1:22" ht="15.75" thickBot="1" x14ac:dyDescent="0.3">
      <c r="A5444" t="s">
        <v>1910</v>
      </c>
      <c r="B5444" t="s">
        <v>1910</v>
      </c>
      <c r="C5444" s="424" t="str">
        <f t="shared" si="229"/>
        <v>Rodoviária de Lisboa, S.A.</v>
      </c>
      <c r="D5444" t="s">
        <v>629</v>
      </c>
      <c r="F5444" s="422" t="s">
        <v>620</v>
      </c>
      <c r="G5444" s="89">
        <v>2011</v>
      </c>
      <c r="H5444" s="313" t="s">
        <v>734</v>
      </c>
      <c r="I5444" s="311" t="str">
        <f t="shared" si="227"/>
        <v>Pesado de Passageiros M3:  : Gasóleo : E5</v>
      </c>
      <c r="J5444">
        <v>147</v>
      </c>
      <c r="K5444" s="422">
        <v>2023</v>
      </c>
      <c r="L5444">
        <v>8448.2000000000007</v>
      </c>
      <c r="M5444" t="s">
        <v>630</v>
      </c>
      <c r="N5444" s="131">
        <v>13906</v>
      </c>
      <c r="O5444" s="436">
        <f t="shared" si="228"/>
        <v>2044182</v>
      </c>
      <c r="Q5444" s="422" t="s">
        <v>47</v>
      </c>
      <c r="R5444" s="422" t="s">
        <v>1869</v>
      </c>
      <c r="S5444" s="422" t="s">
        <v>1861</v>
      </c>
      <c r="T5444" t="s">
        <v>4825</v>
      </c>
      <c r="U5444" s="422" t="s">
        <v>1953</v>
      </c>
      <c r="V5444" s="422" t="s">
        <v>2813</v>
      </c>
    </row>
    <row r="5445" spans="1:22" ht="15.75" thickBot="1" x14ac:dyDescent="0.3">
      <c r="A5445" t="s">
        <v>1910</v>
      </c>
      <c r="B5445" t="s">
        <v>1910</v>
      </c>
      <c r="C5445" s="424" t="str">
        <f t="shared" si="229"/>
        <v>Rodoviária de Lisboa, S.A.</v>
      </c>
      <c r="D5445" t="s">
        <v>629</v>
      </c>
      <c r="F5445" s="422" t="s">
        <v>620</v>
      </c>
      <c r="G5445" s="89" t="s">
        <v>2223</v>
      </c>
      <c r="H5445" s="313" t="s">
        <v>734</v>
      </c>
      <c r="I5445" s="311" t="str">
        <f t="shared" si="227"/>
        <v>Pesado de Passageiros M3:  : Gasóleo : E5</v>
      </c>
      <c r="J5445">
        <v>147</v>
      </c>
      <c r="K5445" s="422">
        <v>2023</v>
      </c>
      <c r="L5445">
        <v>31836.799999999999</v>
      </c>
      <c r="M5445" t="s">
        <v>630</v>
      </c>
      <c r="N5445" s="131">
        <v>52510</v>
      </c>
      <c r="O5445" s="436">
        <f t="shared" si="228"/>
        <v>7718970</v>
      </c>
      <c r="Q5445" s="422" t="s">
        <v>47</v>
      </c>
      <c r="R5445" s="422" t="s">
        <v>1869</v>
      </c>
      <c r="S5445" s="422" t="s">
        <v>1861</v>
      </c>
      <c r="T5445" t="s">
        <v>4825</v>
      </c>
      <c r="U5445" s="422" t="s">
        <v>1953</v>
      </c>
      <c r="V5445" s="422" t="s">
        <v>2813</v>
      </c>
    </row>
    <row r="5446" spans="1:22" ht="15.75" thickBot="1" x14ac:dyDescent="0.3">
      <c r="A5446" t="s">
        <v>1910</v>
      </c>
      <c r="B5446" t="s">
        <v>1910</v>
      </c>
      <c r="C5446" s="424" t="str">
        <f t="shared" si="229"/>
        <v>Rodoviária de Lisboa, S.A.</v>
      </c>
      <c r="D5446" t="s">
        <v>629</v>
      </c>
      <c r="F5446" s="422" t="s">
        <v>620</v>
      </c>
      <c r="G5446" s="89">
        <v>2020</v>
      </c>
      <c r="H5446" s="313" t="s">
        <v>733</v>
      </c>
      <c r="I5446" s="311" t="str">
        <f t="shared" si="227"/>
        <v>Pesado de Passageiros M3:  : Gasóleo : E6</v>
      </c>
      <c r="J5446">
        <v>106</v>
      </c>
      <c r="K5446" s="422">
        <v>2023</v>
      </c>
      <c r="L5446">
        <v>26896.1</v>
      </c>
      <c r="M5446" t="s">
        <v>630</v>
      </c>
      <c r="N5446" s="131">
        <v>64457</v>
      </c>
      <c r="O5446" s="436">
        <f t="shared" si="228"/>
        <v>6832442</v>
      </c>
      <c r="Q5446" s="422" t="s">
        <v>47</v>
      </c>
      <c r="R5446" s="422" t="s">
        <v>1869</v>
      </c>
      <c r="S5446" s="422" t="s">
        <v>1861</v>
      </c>
      <c r="T5446" t="s">
        <v>4825</v>
      </c>
      <c r="U5446" s="422" t="s">
        <v>1953</v>
      </c>
      <c r="V5446" s="422" t="s">
        <v>2813</v>
      </c>
    </row>
    <row r="5447" spans="1:22" ht="15.75" thickBot="1" x14ac:dyDescent="0.3">
      <c r="A5447" t="s">
        <v>1910</v>
      </c>
      <c r="B5447" t="s">
        <v>1910</v>
      </c>
      <c r="C5447" s="424" t="str">
        <f t="shared" si="229"/>
        <v>Rodoviária de Lisboa, S.A.</v>
      </c>
      <c r="D5447" t="s">
        <v>629</v>
      </c>
      <c r="F5447" s="422" t="s">
        <v>620</v>
      </c>
      <c r="G5447" s="89">
        <v>2020</v>
      </c>
      <c r="H5447" s="313" t="s">
        <v>733</v>
      </c>
      <c r="I5447" s="311" t="str">
        <f t="shared" si="227"/>
        <v>Pesado de Passageiros M3:  : Gasóleo : E6</v>
      </c>
      <c r="J5447">
        <v>106</v>
      </c>
      <c r="K5447" s="422">
        <v>2023</v>
      </c>
      <c r="L5447">
        <v>19483</v>
      </c>
      <c r="M5447" t="s">
        <v>630</v>
      </c>
      <c r="N5447" s="131">
        <v>45700</v>
      </c>
      <c r="O5447" s="436">
        <f t="shared" si="228"/>
        <v>4844200</v>
      </c>
      <c r="Q5447" s="422" t="s">
        <v>47</v>
      </c>
      <c r="R5447" s="422" t="s">
        <v>1869</v>
      </c>
      <c r="S5447" s="422" t="s">
        <v>1861</v>
      </c>
      <c r="T5447" t="s">
        <v>4825</v>
      </c>
      <c r="U5447" s="422" t="s">
        <v>1953</v>
      </c>
      <c r="V5447" s="422" t="s">
        <v>2813</v>
      </c>
    </row>
    <row r="5448" spans="1:22" ht="15.75" thickBot="1" x14ac:dyDescent="0.3">
      <c r="A5448" t="s">
        <v>1910</v>
      </c>
      <c r="B5448" t="s">
        <v>1910</v>
      </c>
      <c r="C5448" s="424" t="str">
        <f t="shared" si="229"/>
        <v>Rodoviária de Lisboa, S.A.</v>
      </c>
      <c r="D5448" t="s">
        <v>629</v>
      </c>
      <c r="F5448" s="422" t="s">
        <v>620</v>
      </c>
      <c r="G5448" s="89">
        <v>2020</v>
      </c>
      <c r="H5448" s="313" t="s">
        <v>733</v>
      </c>
      <c r="I5448" s="311" t="str">
        <f t="shared" si="227"/>
        <v>Pesado de Passageiros M3:  : Gasóleo : E6</v>
      </c>
      <c r="J5448">
        <v>106</v>
      </c>
      <c r="K5448" s="422">
        <v>2023</v>
      </c>
      <c r="L5448">
        <v>19707.2</v>
      </c>
      <c r="M5448" t="s">
        <v>630</v>
      </c>
      <c r="N5448" s="131">
        <v>43377</v>
      </c>
      <c r="O5448" s="436">
        <f t="shared" si="228"/>
        <v>4597962</v>
      </c>
      <c r="Q5448" s="422" t="s">
        <v>47</v>
      </c>
      <c r="R5448" s="422" t="s">
        <v>1869</v>
      </c>
      <c r="S5448" s="422" t="s">
        <v>1861</v>
      </c>
      <c r="T5448" t="s">
        <v>4825</v>
      </c>
      <c r="U5448" s="422" t="s">
        <v>1953</v>
      </c>
      <c r="V5448" s="422" t="s">
        <v>2813</v>
      </c>
    </row>
    <row r="5449" spans="1:22" ht="15.75" thickBot="1" x14ac:dyDescent="0.3">
      <c r="A5449" t="s">
        <v>1910</v>
      </c>
      <c r="B5449" t="s">
        <v>1910</v>
      </c>
      <c r="C5449" s="424" t="str">
        <f t="shared" si="229"/>
        <v>Rodoviária de Lisboa, S.A.</v>
      </c>
      <c r="D5449" t="s">
        <v>629</v>
      </c>
      <c r="F5449" s="422" t="s">
        <v>620</v>
      </c>
      <c r="G5449" s="89">
        <v>2020</v>
      </c>
      <c r="H5449" s="313" t="s">
        <v>733</v>
      </c>
      <c r="I5449" s="311" t="str">
        <f t="shared" si="227"/>
        <v>Pesado de Passageiros M3:  : Gasóleo : E6</v>
      </c>
      <c r="J5449">
        <v>106</v>
      </c>
      <c r="K5449" s="422">
        <v>2023</v>
      </c>
      <c r="L5449">
        <v>10073.200000000001</v>
      </c>
      <c r="M5449" t="s">
        <v>630</v>
      </c>
      <c r="N5449" s="131">
        <v>25573</v>
      </c>
      <c r="O5449" s="436">
        <f t="shared" si="228"/>
        <v>2710738</v>
      </c>
      <c r="Q5449" s="422" t="s">
        <v>47</v>
      </c>
      <c r="R5449" s="422" t="s">
        <v>1869</v>
      </c>
      <c r="S5449" s="422" t="s">
        <v>1861</v>
      </c>
      <c r="T5449" t="s">
        <v>4825</v>
      </c>
      <c r="U5449" s="422" t="s">
        <v>1953</v>
      </c>
      <c r="V5449" s="422" t="s">
        <v>2813</v>
      </c>
    </row>
    <row r="5450" spans="1:22" ht="15.75" thickBot="1" x14ac:dyDescent="0.3">
      <c r="A5450" t="s">
        <v>1910</v>
      </c>
      <c r="B5450" t="s">
        <v>1910</v>
      </c>
      <c r="C5450" s="424" t="str">
        <f t="shared" si="229"/>
        <v>Rodoviária de Lisboa, S.A.</v>
      </c>
      <c r="D5450" t="s">
        <v>629</v>
      </c>
      <c r="F5450" s="422" t="s">
        <v>620</v>
      </c>
      <c r="G5450" s="89">
        <v>2020</v>
      </c>
      <c r="H5450" s="313" t="s">
        <v>733</v>
      </c>
      <c r="I5450" s="311" t="str">
        <f t="shared" si="227"/>
        <v>Pesado de Passageiros M3:  : Gasóleo : E6</v>
      </c>
      <c r="J5450">
        <v>106</v>
      </c>
      <c r="K5450" s="422">
        <v>2023</v>
      </c>
      <c r="L5450">
        <v>20522.2</v>
      </c>
      <c r="M5450" t="s">
        <v>630</v>
      </c>
      <c r="N5450" s="131">
        <v>45768</v>
      </c>
      <c r="O5450" s="436">
        <f t="shared" si="228"/>
        <v>4851408</v>
      </c>
      <c r="Q5450" s="422" t="s">
        <v>47</v>
      </c>
      <c r="R5450" s="422" t="s">
        <v>1869</v>
      </c>
      <c r="S5450" s="422" t="s">
        <v>1861</v>
      </c>
      <c r="T5450" t="s">
        <v>4825</v>
      </c>
      <c r="U5450" s="422" t="s">
        <v>1953</v>
      </c>
      <c r="V5450" s="422" t="s">
        <v>2813</v>
      </c>
    </row>
    <row r="5451" spans="1:22" ht="15.75" thickBot="1" x14ac:dyDescent="0.3">
      <c r="A5451" t="s">
        <v>1910</v>
      </c>
      <c r="B5451" t="s">
        <v>1910</v>
      </c>
      <c r="C5451" s="424" t="str">
        <f t="shared" si="229"/>
        <v>Rodoviária de Lisboa, S.A.</v>
      </c>
      <c r="D5451" t="s">
        <v>629</v>
      </c>
      <c r="F5451" s="422" t="s">
        <v>620</v>
      </c>
      <c r="G5451" s="89">
        <v>2021</v>
      </c>
      <c r="H5451" s="313" t="s">
        <v>733</v>
      </c>
      <c r="I5451" s="311" t="str">
        <f t="shared" si="227"/>
        <v>Pesado de Passageiros M3:  : Gasóleo : E6</v>
      </c>
      <c r="J5451">
        <v>109</v>
      </c>
      <c r="K5451" s="422">
        <v>2023</v>
      </c>
      <c r="L5451">
        <v>31509.8</v>
      </c>
      <c r="M5451" t="s">
        <v>630</v>
      </c>
      <c r="N5451" s="131">
        <v>78750</v>
      </c>
      <c r="O5451" s="436">
        <f t="shared" si="228"/>
        <v>8583750</v>
      </c>
      <c r="Q5451" s="422" t="s">
        <v>47</v>
      </c>
      <c r="R5451" s="422" t="s">
        <v>1869</v>
      </c>
      <c r="S5451" s="422" t="s">
        <v>1861</v>
      </c>
      <c r="T5451" t="s">
        <v>4825</v>
      </c>
      <c r="U5451" s="422" t="s">
        <v>1953</v>
      </c>
      <c r="V5451" s="422" t="s">
        <v>2813</v>
      </c>
    </row>
    <row r="5452" spans="1:22" ht="15.75" thickBot="1" x14ac:dyDescent="0.3">
      <c r="A5452" t="s">
        <v>1910</v>
      </c>
      <c r="B5452" t="s">
        <v>1910</v>
      </c>
      <c r="C5452" s="424" t="str">
        <f t="shared" si="229"/>
        <v>Rodoviária de Lisboa, S.A.</v>
      </c>
      <c r="D5452" t="s">
        <v>629</v>
      </c>
      <c r="F5452" s="422" t="s">
        <v>620</v>
      </c>
      <c r="G5452" s="89">
        <v>2021</v>
      </c>
      <c r="H5452" s="313" t="s">
        <v>733</v>
      </c>
      <c r="I5452" s="311" t="str">
        <f t="shared" si="227"/>
        <v>Pesado de Passageiros M3:  : Gasóleo : E6</v>
      </c>
      <c r="J5452">
        <v>109</v>
      </c>
      <c r="K5452" s="422">
        <v>2023</v>
      </c>
      <c r="L5452">
        <v>22748.799999999999</v>
      </c>
      <c r="M5452" t="s">
        <v>630</v>
      </c>
      <c r="N5452" s="131">
        <v>53367</v>
      </c>
      <c r="O5452" s="436">
        <f t="shared" si="228"/>
        <v>5817003</v>
      </c>
      <c r="Q5452" s="422" t="s">
        <v>47</v>
      </c>
      <c r="R5452" s="422" t="s">
        <v>1869</v>
      </c>
      <c r="S5452" s="422" t="s">
        <v>1861</v>
      </c>
      <c r="T5452" t="s">
        <v>4825</v>
      </c>
      <c r="U5452" s="422" t="s">
        <v>1953</v>
      </c>
      <c r="V5452" s="422" t="s">
        <v>2813</v>
      </c>
    </row>
    <row r="5453" spans="1:22" ht="15.75" thickBot="1" x14ac:dyDescent="0.3">
      <c r="A5453" t="s">
        <v>1910</v>
      </c>
      <c r="B5453" t="s">
        <v>1910</v>
      </c>
      <c r="C5453" s="424" t="str">
        <f t="shared" si="229"/>
        <v>Rodoviária de Lisboa, S.A.</v>
      </c>
      <c r="D5453" t="s">
        <v>629</v>
      </c>
      <c r="F5453" s="422" t="s">
        <v>620</v>
      </c>
      <c r="G5453" s="89">
        <v>2021</v>
      </c>
      <c r="H5453" s="313" t="s">
        <v>733</v>
      </c>
      <c r="I5453" s="311" t="str">
        <f t="shared" si="227"/>
        <v>Pesado de Passageiros M3:  : Gasóleo : E6</v>
      </c>
      <c r="J5453">
        <v>109</v>
      </c>
      <c r="K5453" s="422">
        <v>2023</v>
      </c>
      <c r="L5453">
        <v>24451.200000000001</v>
      </c>
      <c r="M5453" t="s">
        <v>630</v>
      </c>
      <c r="N5453" s="131">
        <v>57795</v>
      </c>
      <c r="O5453" s="436">
        <f t="shared" si="228"/>
        <v>6299655</v>
      </c>
      <c r="Q5453" s="422" t="s">
        <v>47</v>
      </c>
      <c r="R5453" s="422" t="s">
        <v>1869</v>
      </c>
      <c r="S5453" s="422" t="s">
        <v>1861</v>
      </c>
      <c r="T5453" t="s">
        <v>4825</v>
      </c>
      <c r="U5453" s="422" t="s">
        <v>1953</v>
      </c>
      <c r="V5453" s="422" t="s">
        <v>2813</v>
      </c>
    </row>
    <row r="5454" spans="1:22" ht="15.75" thickBot="1" x14ac:dyDescent="0.3">
      <c r="A5454" t="s">
        <v>1910</v>
      </c>
      <c r="B5454" t="s">
        <v>1910</v>
      </c>
      <c r="C5454" s="424" t="str">
        <f t="shared" si="229"/>
        <v>Rodoviária de Lisboa, S.A.</v>
      </c>
      <c r="D5454" t="s">
        <v>629</v>
      </c>
      <c r="F5454" s="422" t="s">
        <v>620</v>
      </c>
      <c r="G5454" s="89">
        <v>2021</v>
      </c>
      <c r="H5454" s="313" t="s">
        <v>733</v>
      </c>
      <c r="I5454" s="311" t="str">
        <f t="shared" si="227"/>
        <v>Pesado de Passageiros M3:  : Gasóleo : E6</v>
      </c>
      <c r="J5454">
        <v>109</v>
      </c>
      <c r="K5454" s="422">
        <v>2023</v>
      </c>
      <c r="L5454">
        <v>20169.8</v>
      </c>
      <c r="M5454" t="s">
        <v>630</v>
      </c>
      <c r="N5454" s="131">
        <v>56048</v>
      </c>
      <c r="O5454" s="436">
        <f t="shared" si="228"/>
        <v>6109232</v>
      </c>
      <c r="Q5454" s="422" t="s">
        <v>47</v>
      </c>
      <c r="R5454" s="422" t="s">
        <v>1869</v>
      </c>
      <c r="S5454" s="422" t="s">
        <v>1861</v>
      </c>
      <c r="T5454" t="s">
        <v>4825</v>
      </c>
      <c r="U5454" s="422" t="s">
        <v>1953</v>
      </c>
      <c r="V5454" s="422" t="s">
        <v>2813</v>
      </c>
    </row>
    <row r="5455" spans="1:22" ht="15.75" thickBot="1" x14ac:dyDescent="0.3">
      <c r="A5455" t="s">
        <v>1910</v>
      </c>
      <c r="B5455" t="s">
        <v>1910</v>
      </c>
      <c r="C5455" s="424" t="str">
        <f t="shared" si="229"/>
        <v>Rodoviária de Lisboa, S.A.</v>
      </c>
      <c r="D5455" t="s">
        <v>629</v>
      </c>
      <c r="F5455" s="422" t="s">
        <v>620</v>
      </c>
      <c r="G5455" s="89">
        <v>2021</v>
      </c>
      <c r="H5455" s="313" t="s">
        <v>733</v>
      </c>
      <c r="I5455" s="311" t="str">
        <f t="shared" si="227"/>
        <v>Pesado de Passageiros M3:  : Gasóleo : E6</v>
      </c>
      <c r="J5455">
        <v>109</v>
      </c>
      <c r="K5455" s="422">
        <v>2023</v>
      </c>
      <c r="L5455">
        <v>23333.8</v>
      </c>
      <c r="M5455" t="s">
        <v>630</v>
      </c>
      <c r="N5455" s="131">
        <v>56507</v>
      </c>
      <c r="O5455" s="436">
        <f t="shared" si="228"/>
        <v>6159263</v>
      </c>
      <c r="Q5455" s="422" t="s">
        <v>47</v>
      </c>
      <c r="R5455" s="422" t="s">
        <v>1869</v>
      </c>
      <c r="S5455" s="422" t="s">
        <v>1861</v>
      </c>
      <c r="T5455" t="s">
        <v>4825</v>
      </c>
      <c r="U5455" s="422" t="s">
        <v>1953</v>
      </c>
      <c r="V5455" s="422" t="s">
        <v>2813</v>
      </c>
    </row>
    <row r="5456" spans="1:22" ht="15.75" thickBot="1" x14ac:dyDescent="0.3">
      <c r="A5456" t="s">
        <v>1910</v>
      </c>
      <c r="B5456" t="s">
        <v>1910</v>
      </c>
      <c r="C5456" s="424" t="str">
        <f t="shared" si="229"/>
        <v>Rodoviária de Lisboa, S.A.</v>
      </c>
      <c r="D5456" t="s">
        <v>629</v>
      </c>
      <c r="F5456" s="422" t="s">
        <v>620</v>
      </c>
      <c r="G5456" s="89">
        <v>2021</v>
      </c>
      <c r="H5456" s="313" t="s">
        <v>733</v>
      </c>
      <c r="I5456" s="311" t="str">
        <f t="shared" si="227"/>
        <v>Pesado de Passageiros M3:  : Gasóleo : E6</v>
      </c>
      <c r="J5456">
        <v>109</v>
      </c>
      <c r="K5456" s="422">
        <v>2023</v>
      </c>
      <c r="L5456">
        <v>21853.599999999999</v>
      </c>
      <c r="M5456" t="s">
        <v>630</v>
      </c>
      <c r="N5456" s="131">
        <v>53574</v>
      </c>
      <c r="O5456" s="436">
        <f t="shared" si="228"/>
        <v>5839566</v>
      </c>
      <c r="Q5456" s="422" t="s">
        <v>47</v>
      </c>
      <c r="R5456" s="422" t="s">
        <v>1869</v>
      </c>
      <c r="S5456" s="422" t="s">
        <v>1861</v>
      </c>
      <c r="T5456" t="s">
        <v>4825</v>
      </c>
      <c r="U5456" s="422" t="s">
        <v>1953</v>
      </c>
      <c r="V5456" s="422" t="s">
        <v>2813</v>
      </c>
    </row>
    <row r="5457" spans="1:22" ht="15.75" thickBot="1" x14ac:dyDescent="0.3">
      <c r="A5457" t="s">
        <v>1910</v>
      </c>
      <c r="B5457" t="s">
        <v>1910</v>
      </c>
      <c r="C5457" s="424" t="str">
        <f t="shared" si="229"/>
        <v>Rodoviária de Lisboa, S.A.</v>
      </c>
      <c r="D5457" t="s">
        <v>629</v>
      </c>
      <c r="F5457" s="422" t="s">
        <v>620</v>
      </c>
      <c r="G5457" s="89">
        <v>2021</v>
      </c>
      <c r="H5457" s="313" t="s">
        <v>733</v>
      </c>
      <c r="I5457" s="311" t="str">
        <f t="shared" si="227"/>
        <v>Pesado de Passageiros M3:  : Gasóleo : E6</v>
      </c>
      <c r="J5457">
        <v>109</v>
      </c>
      <c r="K5457" s="422">
        <v>2023</v>
      </c>
      <c r="L5457">
        <v>27661.4</v>
      </c>
      <c r="M5457" t="s">
        <v>630</v>
      </c>
      <c r="N5457" s="131">
        <v>67497</v>
      </c>
      <c r="O5457" s="436">
        <f t="shared" si="228"/>
        <v>7357173</v>
      </c>
      <c r="Q5457" s="422" t="s">
        <v>47</v>
      </c>
      <c r="R5457" s="422" t="s">
        <v>1869</v>
      </c>
      <c r="S5457" s="422" t="s">
        <v>1861</v>
      </c>
      <c r="T5457" t="s">
        <v>4825</v>
      </c>
      <c r="U5457" s="422" t="s">
        <v>1953</v>
      </c>
      <c r="V5457" s="422" t="s">
        <v>2813</v>
      </c>
    </row>
    <row r="5458" spans="1:22" ht="15.75" thickBot="1" x14ac:dyDescent="0.3">
      <c r="A5458" t="s">
        <v>1910</v>
      </c>
      <c r="B5458" t="s">
        <v>1910</v>
      </c>
      <c r="C5458" s="424" t="str">
        <f t="shared" si="229"/>
        <v>Rodoviária de Lisboa, S.A.</v>
      </c>
      <c r="D5458" t="s">
        <v>629</v>
      </c>
      <c r="F5458" s="422" t="s">
        <v>620</v>
      </c>
      <c r="G5458" s="89">
        <v>2021</v>
      </c>
      <c r="H5458" s="313" t="s">
        <v>733</v>
      </c>
      <c r="I5458" s="311" t="str">
        <f t="shared" si="227"/>
        <v>Pesado de Passageiros M3:  : Gasóleo : E6</v>
      </c>
      <c r="J5458">
        <v>109</v>
      </c>
      <c r="K5458" s="422">
        <v>2023</v>
      </c>
      <c r="L5458">
        <v>30272.6</v>
      </c>
      <c r="M5458" t="s">
        <v>630</v>
      </c>
      <c r="N5458" s="131">
        <v>75883</v>
      </c>
      <c r="O5458" s="436">
        <f t="shared" si="228"/>
        <v>8271247</v>
      </c>
      <c r="Q5458" s="422" t="s">
        <v>47</v>
      </c>
      <c r="R5458" s="422" t="s">
        <v>1869</v>
      </c>
      <c r="S5458" s="422" t="s">
        <v>1861</v>
      </c>
      <c r="T5458" t="s">
        <v>4825</v>
      </c>
      <c r="U5458" s="422" t="s">
        <v>1953</v>
      </c>
      <c r="V5458" s="422" t="s">
        <v>2813</v>
      </c>
    </row>
    <row r="5459" spans="1:22" ht="15.75" thickBot="1" x14ac:dyDescent="0.3">
      <c r="A5459" t="s">
        <v>1910</v>
      </c>
      <c r="B5459" t="s">
        <v>1910</v>
      </c>
      <c r="C5459" s="424" t="str">
        <f t="shared" si="229"/>
        <v>Rodoviária de Lisboa, S.A.</v>
      </c>
      <c r="D5459" t="s">
        <v>629</v>
      </c>
      <c r="F5459" s="422" t="s">
        <v>620</v>
      </c>
      <c r="G5459" s="89">
        <v>2021</v>
      </c>
      <c r="H5459" s="313" t="s">
        <v>733</v>
      </c>
      <c r="I5459" s="311" t="str">
        <f t="shared" si="227"/>
        <v>Pesado de Passageiros M3:  : Gasóleo : E6</v>
      </c>
      <c r="J5459">
        <v>109</v>
      </c>
      <c r="K5459" s="422">
        <v>2023</v>
      </c>
      <c r="L5459">
        <v>22911.200000000001</v>
      </c>
      <c r="M5459" t="s">
        <v>630</v>
      </c>
      <c r="N5459" s="131">
        <v>54007</v>
      </c>
      <c r="O5459" s="436">
        <f t="shared" si="228"/>
        <v>5886763</v>
      </c>
      <c r="Q5459" s="422" t="s">
        <v>47</v>
      </c>
      <c r="R5459" s="422" t="s">
        <v>1869</v>
      </c>
      <c r="S5459" s="422" t="s">
        <v>1861</v>
      </c>
      <c r="T5459" t="s">
        <v>4825</v>
      </c>
      <c r="U5459" s="422" t="s">
        <v>1953</v>
      </c>
      <c r="V5459" s="422" t="s">
        <v>2813</v>
      </c>
    </row>
    <row r="5460" spans="1:22" ht="15.75" thickBot="1" x14ac:dyDescent="0.3">
      <c r="A5460" t="s">
        <v>1910</v>
      </c>
      <c r="B5460" t="s">
        <v>1910</v>
      </c>
      <c r="C5460" s="424" t="str">
        <f t="shared" si="229"/>
        <v>Rodoviária de Lisboa, S.A.</v>
      </c>
      <c r="D5460" t="s">
        <v>629</v>
      </c>
      <c r="F5460" s="422" t="s">
        <v>620</v>
      </c>
      <c r="G5460" s="89">
        <v>2021</v>
      </c>
      <c r="H5460" s="313" t="s">
        <v>733</v>
      </c>
      <c r="I5460" s="311" t="str">
        <f t="shared" si="227"/>
        <v>Pesado de Passageiros M3:  : Gasóleo : E6</v>
      </c>
      <c r="J5460">
        <v>109</v>
      </c>
      <c r="K5460" s="422">
        <v>2023</v>
      </c>
      <c r="L5460">
        <v>26884.7</v>
      </c>
      <c r="M5460" t="s">
        <v>630</v>
      </c>
      <c r="N5460" s="131">
        <v>74719</v>
      </c>
      <c r="O5460" s="436">
        <f t="shared" si="228"/>
        <v>8144371</v>
      </c>
      <c r="Q5460" s="422" t="s">
        <v>47</v>
      </c>
      <c r="R5460" s="422" t="s">
        <v>1869</v>
      </c>
      <c r="S5460" s="422" t="s">
        <v>1861</v>
      </c>
      <c r="T5460" t="s">
        <v>4825</v>
      </c>
      <c r="U5460" s="422" t="s">
        <v>1953</v>
      </c>
      <c r="V5460" s="422" t="s">
        <v>2813</v>
      </c>
    </row>
    <row r="5461" spans="1:22" ht="15.75" thickBot="1" x14ac:dyDescent="0.3">
      <c r="A5461" t="s">
        <v>1910</v>
      </c>
      <c r="B5461" t="s">
        <v>1910</v>
      </c>
      <c r="C5461" s="424" t="str">
        <f t="shared" si="229"/>
        <v>Rodoviária de Lisboa, S.A.</v>
      </c>
      <c r="D5461" t="s">
        <v>629</v>
      </c>
      <c r="F5461" s="422" t="s">
        <v>620</v>
      </c>
      <c r="G5461" s="89">
        <v>2021</v>
      </c>
      <c r="H5461" s="313" t="s">
        <v>733</v>
      </c>
      <c r="I5461" s="311" t="str">
        <f t="shared" si="227"/>
        <v>Pesado de Passageiros M3:  : Gasóleo : E6</v>
      </c>
      <c r="J5461">
        <v>109</v>
      </c>
      <c r="K5461" s="422">
        <v>2023</v>
      </c>
      <c r="L5461">
        <v>28144.400000000001</v>
      </c>
      <c r="M5461" t="s">
        <v>630</v>
      </c>
      <c r="N5461" s="131">
        <v>69228</v>
      </c>
      <c r="O5461" s="436">
        <f t="shared" si="228"/>
        <v>7545852</v>
      </c>
      <c r="Q5461" s="422" t="s">
        <v>47</v>
      </c>
      <c r="R5461" s="422" t="s">
        <v>1869</v>
      </c>
      <c r="S5461" s="422" t="s">
        <v>1861</v>
      </c>
      <c r="T5461" t="s">
        <v>4825</v>
      </c>
      <c r="U5461" s="422" t="s">
        <v>1953</v>
      </c>
      <c r="V5461" s="422" t="s">
        <v>2813</v>
      </c>
    </row>
    <row r="5462" spans="1:22" ht="15.75" thickBot="1" x14ac:dyDescent="0.3">
      <c r="A5462" t="s">
        <v>1910</v>
      </c>
      <c r="B5462" t="s">
        <v>1910</v>
      </c>
      <c r="C5462" s="424" t="str">
        <f t="shared" si="229"/>
        <v>Rodoviária de Lisboa, S.A.</v>
      </c>
      <c r="D5462" t="s">
        <v>629</v>
      </c>
      <c r="F5462" s="422" t="s">
        <v>620</v>
      </c>
      <c r="G5462" s="89">
        <v>2021</v>
      </c>
      <c r="H5462" s="313" t="s">
        <v>733</v>
      </c>
      <c r="I5462" s="311" t="str">
        <f t="shared" si="227"/>
        <v>Pesado de Passageiros M3:  : Gasóleo : E6</v>
      </c>
      <c r="J5462">
        <v>109</v>
      </c>
      <c r="K5462" s="422">
        <v>2023</v>
      </c>
      <c r="L5462">
        <v>25748.400000000001</v>
      </c>
      <c r="M5462" t="s">
        <v>630</v>
      </c>
      <c r="N5462" s="131">
        <v>62856</v>
      </c>
      <c r="O5462" s="436">
        <f t="shared" si="228"/>
        <v>6851304</v>
      </c>
      <c r="Q5462" s="422" t="s">
        <v>47</v>
      </c>
      <c r="R5462" s="422" t="s">
        <v>1869</v>
      </c>
      <c r="S5462" s="422" t="s">
        <v>1861</v>
      </c>
      <c r="T5462" t="s">
        <v>4825</v>
      </c>
      <c r="U5462" s="422" t="s">
        <v>1953</v>
      </c>
      <c r="V5462" s="422" t="s">
        <v>2813</v>
      </c>
    </row>
    <row r="5463" spans="1:22" ht="15.75" thickBot="1" x14ac:dyDescent="0.3">
      <c r="A5463" t="s">
        <v>1910</v>
      </c>
      <c r="B5463" t="s">
        <v>1910</v>
      </c>
      <c r="C5463" s="424" t="str">
        <f t="shared" si="229"/>
        <v>Rodoviária de Lisboa, S.A.</v>
      </c>
      <c r="D5463" t="s">
        <v>629</v>
      </c>
      <c r="F5463" s="422" t="s">
        <v>620</v>
      </c>
      <c r="G5463" s="89">
        <v>2021</v>
      </c>
      <c r="H5463" s="313" t="s">
        <v>733</v>
      </c>
      <c r="I5463" s="311" t="str">
        <f t="shared" si="227"/>
        <v>Pesado de Passageiros M3:  : Gasóleo : E6</v>
      </c>
      <c r="J5463">
        <v>109</v>
      </c>
      <c r="K5463" s="422">
        <v>2023</v>
      </c>
      <c r="L5463">
        <v>26171.3</v>
      </c>
      <c r="M5463" t="s">
        <v>630</v>
      </c>
      <c r="N5463" s="131">
        <v>70621</v>
      </c>
      <c r="O5463" s="436">
        <f t="shared" si="228"/>
        <v>7697689</v>
      </c>
      <c r="Q5463" s="422" t="s">
        <v>47</v>
      </c>
      <c r="R5463" s="422" t="s">
        <v>1869</v>
      </c>
      <c r="S5463" s="422" t="s">
        <v>1861</v>
      </c>
      <c r="T5463" t="s">
        <v>4825</v>
      </c>
      <c r="U5463" s="422" t="s">
        <v>1953</v>
      </c>
      <c r="V5463" s="422" t="s">
        <v>2813</v>
      </c>
    </row>
    <row r="5464" spans="1:22" ht="15.75" thickBot="1" x14ac:dyDescent="0.3">
      <c r="A5464" t="s">
        <v>1910</v>
      </c>
      <c r="B5464" t="s">
        <v>1910</v>
      </c>
      <c r="C5464" s="424" t="str">
        <f t="shared" si="229"/>
        <v>Rodoviária de Lisboa, S.A.</v>
      </c>
      <c r="D5464" t="s">
        <v>629</v>
      </c>
      <c r="F5464" s="422" t="s">
        <v>620</v>
      </c>
      <c r="G5464" s="89">
        <v>2021</v>
      </c>
      <c r="H5464" s="313" t="s">
        <v>733</v>
      </c>
      <c r="I5464" s="311" t="str">
        <f t="shared" si="227"/>
        <v>Pesado de Passageiros M3:  : Gasóleo : E6</v>
      </c>
      <c r="J5464">
        <v>109</v>
      </c>
      <c r="K5464" s="422">
        <v>2023</v>
      </c>
      <c r="L5464">
        <v>21864.1</v>
      </c>
      <c r="M5464" t="s">
        <v>630</v>
      </c>
      <c r="N5464" s="131">
        <v>53507</v>
      </c>
      <c r="O5464" s="436">
        <f t="shared" si="228"/>
        <v>5832263</v>
      </c>
      <c r="Q5464" s="422" t="s">
        <v>47</v>
      </c>
      <c r="R5464" s="422" t="s">
        <v>1869</v>
      </c>
      <c r="S5464" s="422" t="s">
        <v>1861</v>
      </c>
      <c r="T5464" t="s">
        <v>4825</v>
      </c>
      <c r="U5464" s="422" t="s">
        <v>1953</v>
      </c>
      <c r="V5464" s="422" t="s">
        <v>2813</v>
      </c>
    </row>
    <row r="5465" spans="1:22" ht="15.75" thickBot="1" x14ac:dyDescent="0.3">
      <c r="A5465" t="s">
        <v>1910</v>
      </c>
      <c r="B5465" t="s">
        <v>1910</v>
      </c>
      <c r="C5465" s="424" t="str">
        <f t="shared" si="229"/>
        <v>Rodoviária de Lisboa, S.A.</v>
      </c>
      <c r="D5465" t="s">
        <v>629</v>
      </c>
      <c r="F5465" s="422" t="s">
        <v>620</v>
      </c>
      <c r="G5465" s="89">
        <v>2021</v>
      </c>
      <c r="H5465" s="313" t="s">
        <v>733</v>
      </c>
      <c r="I5465" s="311" t="str">
        <f t="shared" si="227"/>
        <v>Pesado de Passageiros M3:  : Gasóleo : E6</v>
      </c>
      <c r="J5465">
        <v>109</v>
      </c>
      <c r="K5465" s="422">
        <v>2023</v>
      </c>
      <c r="L5465">
        <v>25773.3</v>
      </c>
      <c r="M5465" t="s">
        <v>630</v>
      </c>
      <c r="N5465" s="131">
        <v>59281</v>
      </c>
      <c r="O5465" s="436">
        <f t="shared" si="228"/>
        <v>6461629</v>
      </c>
      <c r="Q5465" s="422" t="s">
        <v>47</v>
      </c>
      <c r="R5465" s="422" t="s">
        <v>1869</v>
      </c>
      <c r="S5465" s="422" t="s">
        <v>1861</v>
      </c>
      <c r="T5465" t="s">
        <v>4825</v>
      </c>
      <c r="U5465" s="422" t="s">
        <v>1953</v>
      </c>
      <c r="V5465" s="422" t="s">
        <v>2813</v>
      </c>
    </row>
    <row r="5466" spans="1:22" ht="15.75" thickBot="1" x14ac:dyDescent="0.3">
      <c r="A5466" t="s">
        <v>1910</v>
      </c>
      <c r="B5466" t="s">
        <v>1910</v>
      </c>
      <c r="C5466" s="424" t="str">
        <f t="shared" si="229"/>
        <v>Rodoviária de Lisboa, S.A.</v>
      </c>
      <c r="D5466" t="s">
        <v>629</v>
      </c>
      <c r="F5466" s="422" t="s">
        <v>620</v>
      </c>
      <c r="G5466" s="89">
        <v>2021</v>
      </c>
      <c r="H5466" s="313" t="s">
        <v>733</v>
      </c>
      <c r="I5466" s="311" t="str">
        <f t="shared" si="227"/>
        <v>Pesado de Passageiros M3:  : Gasóleo : E6</v>
      </c>
      <c r="J5466">
        <v>109</v>
      </c>
      <c r="K5466" s="422">
        <v>2023</v>
      </c>
      <c r="L5466">
        <v>31820.3</v>
      </c>
      <c r="M5466" t="s">
        <v>630</v>
      </c>
      <c r="N5466" s="131">
        <v>87849</v>
      </c>
      <c r="O5466" s="436">
        <f t="shared" si="228"/>
        <v>9575541</v>
      </c>
      <c r="Q5466" s="422" t="s">
        <v>47</v>
      </c>
      <c r="R5466" s="422" t="s">
        <v>1869</v>
      </c>
      <c r="S5466" s="422" t="s">
        <v>1861</v>
      </c>
      <c r="T5466" t="s">
        <v>4825</v>
      </c>
      <c r="U5466" s="422" t="s">
        <v>1953</v>
      </c>
      <c r="V5466" s="422" t="s">
        <v>2813</v>
      </c>
    </row>
    <row r="5467" spans="1:22" ht="15.75" thickBot="1" x14ac:dyDescent="0.3">
      <c r="A5467" t="s">
        <v>1910</v>
      </c>
      <c r="B5467" t="s">
        <v>1910</v>
      </c>
      <c r="C5467" s="424" t="str">
        <f t="shared" si="229"/>
        <v>Rodoviária de Lisboa, S.A.</v>
      </c>
      <c r="D5467" t="s">
        <v>629</v>
      </c>
      <c r="F5467" s="422" t="s">
        <v>620</v>
      </c>
      <c r="G5467" s="89">
        <v>2021</v>
      </c>
      <c r="H5467" s="313" t="s">
        <v>733</v>
      </c>
      <c r="I5467" s="311" t="str">
        <f t="shared" si="227"/>
        <v>Pesado de Passageiros M3:  : Gasóleo : E6</v>
      </c>
      <c r="J5467">
        <v>109</v>
      </c>
      <c r="K5467" s="422">
        <v>2023</v>
      </c>
      <c r="L5467">
        <v>19546.400000000001</v>
      </c>
      <c r="M5467" t="s">
        <v>630</v>
      </c>
      <c r="N5467" s="131">
        <v>45028</v>
      </c>
      <c r="O5467" s="436">
        <f t="shared" si="228"/>
        <v>4908052</v>
      </c>
      <c r="Q5467" s="422" t="s">
        <v>47</v>
      </c>
      <c r="R5467" s="422" t="s">
        <v>1869</v>
      </c>
      <c r="S5467" s="422" t="s">
        <v>1861</v>
      </c>
      <c r="T5467" t="s">
        <v>4825</v>
      </c>
      <c r="U5467" s="422" t="s">
        <v>1953</v>
      </c>
      <c r="V5467" s="422" t="s">
        <v>2813</v>
      </c>
    </row>
    <row r="5468" spans="1:22" ht="15.75" thickBot="1" x14ac:dyDescent="0.3">
      <c r="A5468" t="s">
        <v>1910</v>
      </c>
      <c r="B5468" t="s">
        <v>1910</v>
      </c>
      <c r="C5468" s="424" t="str">
        <f t="shared" si="229"/>
        <v>Rodoviária de Lisboa, S.A.</v>
      </c>
      <c r="D5468" t="s">
        <v>629</v>
      </c>
      <c r="F5468" s="422" t="s">
        <v>620</v>
      </c>
      <c r="G5468" s="89">
        <v>2021</v>
      </c>
      <c r="H5468" s="313" t="s">
        <v>733</v>
      </c>
      <c r="I5468" s="311" t="str">
        <f t="shared" si="227"/>
        <v>Pesado de Passageiros M3:  : Gasóleo : E6</v>
      </c>
      <c r="J5468">
        <v>109</v>
      </c>
      <c r="K5468" s="422">
        <v>2023</v>
      </c>
      <c r="L5468">
        <v>26815.7</v>
      </c>
      <c r="M5468" t="s">
        <v>630</v>
      </c>
      <c r="N5468" s="131">
        <v>67893</v>
      </c>
      <c r="O5468" s="436">
        <f t="shared" si="228"/>
        <v>7400337</v>
      </c>
      <c r="Q5468" s="422" t="s">
        <v>47</v>
      </c>
      <c r="R5468" s="422" t="s">
        <v>1869</v>
      </c>
      <c r="S5468" s="422" t="s">
        <v>1861</v>
      </c>
      <c r="T5468" t="s">
        <v>4825</v>
      </c>
      <c r="U5468" s="422" t="s">
        <v>1953</v>
      </c>
      <c r="V5468" s="422" t="s">
        <v>2813</v>
      </c>
    </row>
    <row r="5469" spans="1:22" ht="15.75" thickBot="1" x14ac:dyDescent="0.3">
      <c r="A5469" t="s">
        <v>1910</v>
      </c>
      <c r="B5469" t="s">
        <v>1910</v>
      </c>
      <c r="C5469" s="424" t="str">
        <f t="shared" si="229"/>
        <v>Rodoviária de Lisboa, S.A.</v>
      </c>
      <c r="D5469" t="s">
        <v>629</v>
      </c>
      <c r="F5469" s="422" t="s">
        <v>620</v>
      </c>
      <c r="G5469" s="89">
        <v>2021</v>
      </c>
      <c r="H5469" s="313" t="s">
        <v>733</v>
      </c>
      <c r="I5469" s="311" t="str">
        <f t="shared" si="227"/>
        <v>Pesado de Passageiros M3:  : Gasóleo : E6</v>
      </c>
      <c r="J5469">
        <v>109</v>
      </c>
      <c r="K5469" s="422">
        <v>2023</v>
      </c>
      <c r="L5469">
        <v>6554.9</v>
      </c>
      <c r="M5469" t="s">
        <v>630</v>
      </c>
      <c r="N5469" s="131">
        <v>15309</v>
      </c>
      <c r="O5469" s="436">
        <f t="shared" si="228"/>
        <v>1668681</v>
      </c>
      <c r="Q5469" s="422" t="s">
        <v>47</v>
      </c>
      <c r="R5469" s="422" t="s">
        <v>1869</v>
      </c>
      <c r="S5469" s="422" t="s">
        <v>1861</v>
      </c>
      <c r="T5469" t="s">
        <v>4825</v>
      </c>
      <c r="U5469" s="422" t="s">
        <v>1953</v>
      </c>
      <c r="V5469" s="422" t="s">
        <v>2813</v>
      </c>
    </row>
    <row r="5470" spans="1:22" ht="15.75" thickBot="1" x14ac:dyDescent="0.3">
      <c r="A5470" t="s">
        <v>1910</v>
      </c>
      <c r="B5470" t="s">
        <v>1910</v>
      </c>
      <c r="C5470" s="424" t="str">
        <f t="shared" si="229"/>
        <v>Rodoviária de Lisboa, S.A.</v>
      </c>
      <c r="D5470" t="s">
        <v>629</v>
      </c>
      <c r="F5470" s="422" t="s">
        <v>620</v>
      </c>
      <c r="G5470" s="89" t="s">
        <v>4500</v>
      </c>
      <c r="H5470" s="313" t="s">
        <v>733</v>
      </c>
      <c r="I5470" s="311" t="str">
        <f t="shared" si="227"/>
        <v>Pesado de Passageiros M3:  : Gasóleo : E6</v>
      </c>
      <c r="J5470">
        <v>109</v>
      </c>
      <c r="K5470" s="422">
        <v>2023</v>
      </c>
      <c r="L5470">
        <v>17746.400000000001</v>
      </c>
      <c r="M5470" t="s">
        <v>630</v>
      </c>
      <c r="N5470" s="131">
        <v>48180</v>
      </c>
      <c r="O5470" s="436">
        <f t="shared" si="228"/>
        <v>5251620</v>
      </c>
      <c r="Q5470" s="422" t="s">
        <v>47</v>
      </c>
      <c r="R5470" s="422" t="s">
        <v>1869</v>
      </c>
      <c r="S5470" s="422" t="s">
        <v>1861</v>
      </c>
      <c r="T5470" t="s">
        <v>4825</v>
      </c>
      <c r="U5470" s="422" t="s">
        <v>1953</v>
      </c>
      <c r="V5470" s="422" t="s">
        <v>2813</v>
      </c>
    </row>
    <row r="5471" spans="1:22" ht="15.75" thickBot="1" x14ac:dyDescent="0.3">
      <c r="A5471" t="s">
        <v>1910</v>
      </c>
      <c r="B5471" t="s">
        <v>1910</v>
      </c>
      <c r="C5471" s="424" t="str">
        <f t="shared" si="229"/>
        <v>Rodoviária de Lisboa, S.A.</v>
      </c>
      <c r="D5471" t="s">
        <v>629</v>
      </c>
      <c r="F5471" s="422" t="s">
        <v>620</v>
      </c>
      <c r="G5471" s="89">
        <v>2021</v>
      </c>
      <c r="H5471" s="313" t="s">
        <v>733</v>
      </c>
      <c r="I5471" s="311" t="str">
        <f t="shared" si="227"/>
        <v>Pesado de Passageiros M3:  : Gasóleo : E6</v>
      </c>
      <c r="J5471">
        <v>109</v>
      </c>
      <c r="K5471" s="422">
        <v>2023</v>
      </c>
      <c r="L5471">
        <v>7443.5</v>
      </c>
      <c r="M5471" t="s">
        <v>630</v>
      </c>
      <c r="N5471" s="131">
        <v>17905</v>
      </c>
      <c r="O5471" s="436">
        <f t="shared" si="228"/>
        <v>1951645</v>
      </c>
      <c r="Q5471" s="422" t="s">
        <v>47</v>
      </c>
      <c r="R5471" s="422" t="s">
        <v>1869</v>
      </c>
      <c r="S5471" s="422" t="s">
        <v>1861</v>
      </c>
      <c r="T5471" t="s">
        <v>4825</v>
      </c>
      <c r="U5471" s="422" t="s">
        <v>1953</v>
      </c>
      <c r="V5471" s="422" t="s">
        <v>2813</v>
      </c>
    </row>
    <row r="5472" spans="1:22" ht="15.75" thickBot="1" x14ac:dyDescent="0.3">
      <c r="A5472" t="s">
        <v>1910</v>
      </c>
      <c r="B5472" t="s">
        <v>1910</v>
      </c>
      <c r="C5472" s="424" t="str">
        <f t="shared" si="229"/>
        <v>Rodoviária de Lisboa, S.A.</v>
      </c>
      <c r="D5472" t="s">
        <v>629</v>
      </c>
      <c r="F5472" s="422" t="s">
        <v>620</v>
      </c>
      <c r="G5472" s="89" t="s">
        <v>4500</v>
      </c>
      <c r="H5472" s="313" t="s">
        <v>733</v>
      </c>
      <c r="I5472" s="311" t="str">
        <f t="shared" si="227"/>
        <v>Pesado de Passageiros M3:  : Gasóleo : E6</v>
      </c>
      <c r="J5472">
        <v>109</v>
      </c>
      <c r="K5472" s="422">
        <v>2023</v>
      </c>
      <c r="L5472">
        <v>14844.3</v>
      </c>
      <c r="M5472" t="s">
        <v>630</v>
      </c>
      <c r="N5472" s="131">
        <v>40433</v>
      </c>
      <c r="O5472" s="436">
        <f t="shared" si="228"/>
        <v>4407197</v>
      </c>
      <c r="Q5472" s="422" t="s">
        <v>47</v>
      </c>
      <c r="R5472" s="422" t="s">
        <v>1869</v>
      </c>
      <c r="S5472" s="422" t="s">
        <v>1861</v>
      </c>
      <c r="T5472" t="s">
        <v>4825</v>
      </c>
      <c r="U5472" s="422" t="s">
        <v>1953</v>
      </c>
      <c r="V5472" s="422" t="s">
        <v>2813</v>
      </c>
    </row>
    <row r="5473" spans="1:22" ht="15.75" thickBot="1" x14ac:dyDescent="0.3">
      <c r="A5473" t="s">
        <v>1910</v>
      </c>
      <c r="B5473" t="s">
        <v>1910</v>
      </c>
      <c r="C5473" s="424" t="str">
        <f t="shared" si="229"/>
        <v>Rodoviária de Lisboa, S.A.</v>
      </c>
      <c r="D5473" t="s">
        <v>629</v>
      </c>
      <c r="F5473" s="422" t="s">
        <v>620</v>
      </c>
      <c r="G5473" s="89">
        <v>2021</v>
      </c>
      <c r="H5473" s="313" t="s">
        <v>733</v>
      </c>
      <c r="I5473" s="311" t="str">
        <f t="shared" si="227"/>
        <v>Pesado de Passageiros M3:  : Gasóleo : E6</v>
      </c>
      <c r="J5473">
        <v>109</v>
      </c>
      <c r="K5473" s="422">
        <v>2023</v>
      </c>
      <c r="L5473">
        <v>23317.200000000001</v>
      </c>
      <c r="M5473" t="s">
        <v>630</v>
      </c>
      <c r="N5473" s="131">
        <v>57477</v>
      </c>
      <c r="O5473" s="436">
        <f t="shared" si="228"/>
        <v>6264993</v>
      </c>
      <c r="Q5473" s="422" t="s">
        <v>47</v>
      </c>
      <c r="R5473" s="422" t="s">
        <v>1869</v>
      </c>
      <c r="S5473" s="422" t="s">
        <v>1861</v>
      </c>
      <c r="T5473" t="s">
        <v>4825</v>
      </c>
      <c r="U5473" s="422" t="s">
        <v>1953</v>
      </c>
      <c r="V5473" s="422" t="s">
        <v>2813</v>
      </c>
    </row>
    <row r="5474" spans="1:22" ht="15.75" thickBot="1" x14ac:dyDescent="0.3">
      <c r="A5474" t="s">
        <v>1910</v>
      </c>
      <c r="B5474" t="s">
        <v>1910</v>
      </c>
      <c r="C5474" s="424" t="str">
        <f t="shared" si="229"/>
        <v>Rodoviária de Lisboa, S.A.</v>
      </c>
      <c r="D5474" t="s">
        <v>629</v>
      </c>
      <c r="F5474" s="422" t="s">
        <v>620</v>
      </c>
      <c r="G5474" s="89">
        <v>2021</v>
      </c>
      <c r="H5474" s="313" t="s">
        <v>733</v>
      </c>
      <c r="I5474" s="311" t="str">
        <f t="shared" ref="I5474:I5537" si="230">D5474&amp;": "&amp;E5474&amp;" : "&amp;F5474&amp;" : "&amp;H5474</f>
        <v>Pesado de Passageiros M3:  : Gasóleo : E6</v>
      </c>
      <c r="J5474">
        <v>109</v>
      </c>
      <c r="K5474" s="422">
        <v>2023</v>
      </c>
      <c r="L5474">
        <v>30785.9</v>
      </c>
      <c r="M5474" t="s">
        <v>630</v>
      </c>
      <c r="N5474" s="131">
        <v>78572</v>
      </c>
      <c r="O5474" s="436">
        <f t="shared" ref="O5474:O5537" si="231">N5474*J5474</f>
        <v>8564348</v>
      </c>
      <c r="Q5474" s="422" t="s">
        <v>47</v>
      </c>
      <c r="R5474" s="422" t="s">
        <v>1869</v>
      </c>
      <c r="S5474" s="422" t="s">
        <v>1861</v>
      </c>
      <c r="T5474" t="s">
        <v>4825</v>
      </c>
      <c r="U5474" s="422" t="s">
        <v>1953</v>
      </c>
      <c r="V5474" s="422" t="s">
        <v>2813</v>
      </c>
    </row>
    <row r="5475" spans="1:22" ht="15.75" thickBot="1" x14ac:dyDescent="0.3">
      <c r="A5475" t="s">
        <v>1910</v>
      </c>
      <c r="B5475" t="s">
        <v>1910</v>
      </c>
      <c r="C5475" s="424" t="str">
        <f t="shared" si="229"/>
        <v>Rodoviária de Lisboa, S.A.</v>
      </c>
      <c r="D5475" t="s">
        <v>629</v>
      </c>
      <c r="F5475" s="422" t="s">
        <v>620</v>
      </c>
      <c r="G5475" s="89">
        <v>2021</v>
      </c>
      <c r="H5475" s="313" t="s">
        <v>733</v>
      </c>
      <c r="I5475" s="311" t="str">
        <f t="shared" si="230"/>
        <v>Pesado de Passageiros M3:  : Gasóleo : E6</v>
      </c>
      <c r="J5475">
        <v>109</v>
      </c>
      <c r="K5475" s="422">
        <v>2023</v>
      </c>
      <c r="L5475">
        <v>27772</v>
      </c>
      <c r="M5475" t="s">
        <v>630</v>
      </c>
      <c r="N5475" s="131">
        <v>67179</v>
      </c>
      <c r="O5475" s="436">
        <f t="shared" si="231"/>
        <v>7322511</v>
      </c>
      <c r="Q5475" s="422" t="s">
        <v>47</v>
      </c>
      <c r="R5475" s="422" t="s">
        <v>1869</v>
      </c>
      <c r="S5475" s="422" t="s">
        <v>1861</v>
      </c>
      <c r="T5475" t="s">
        <v>4825</v>
      </c>
      <c r="U5475" s="422" t="s">
        <v>1953</v>
      </c>
      <c r="V5475" s="422" t="s">
        <v>2813</v>
      </c>
    </row>
    <row r="5476" spans="1:22" ht="15.75" thickBot="1" x14ac:dyDescent="0.3">
      <c r="A5476" t="s">
        <v>1910</v>
      </c>
      <c r="B5476" t="s">
        <v>1910</v>
      </c>
      <c r="C5476" s="424" t="str">
        <f t="shared" si="229"/>
        <v>Rodoviária de Lisboa, S.A.</v>
      </c>
      <c r="D5476" t="s">
        <v>629</v>
      </c>
      <c r="F5476" s="422" t="s">
        <v>620</v>
      </c>
      <c r="G5476" s="89">
        <v>2021</v>
      </c>
      <c r="H5476" s="313" t="s">
        <v>733</v>
      </c>
      <c r="I5476" s="311" t="str">
        <f t="shared" si="230"/>
        <v>Pesado de Passageiros M3:  : Gasóleo : E6</v>
      </c>
      <c r="J5476">
        <v>109</v>
      </c>
      <c r="K5476" s="422">
        <v>2023</v>
      </c>
      <c r="L5476">
        <v>29862.3</v>
      </c>
      <c r="M5476" t="s">
        <v>630</v>
      </c>
      <c r="N5476" s="131">
        <v>70846</v>
      </c>
      <c r="O5476" s="436">
        <f t="shared" si="231"/>
        <v>7722214</v>
      </c>
      <c r="Q5476" s="422" t="s">
        <v>47</v>
      </c>
      <c r="R5476" s="422" t="s">
        <v>1869</v>
      </c>
      <c r="S5476" s="422" t="s">
        <v>1861</v>
      </c>
      <c r="T5476" t="s">
        <v>4825</v>
      </c>
      <c r="U5476" s="422" t="s">
        <v>1953</v>
      </c>
      <c r="V5476" s="422" t="s">
        <v>2813</v>
      </c>
    </row>
    <row r="5477" spans="1:22" ht="15.75" thickBot="1" x14ac:dyDescent="0.3">
      <c r="A5477" t="s">
        <v>1910</v>
      </c>
      <c r="B5477" t="s">
        <v>1910</v>
      </c>
      <c r="C5477" s="424" t="str">
        <f t="shared" si="229"/>
        <v>Rodoviária de Lisboa, S.A.</v>
      </c>
      <c r="D5477" t="s">
        <v>629</v>
      </c>
      <c r="F5477" s="422" t="s">
        <v>620</v>
      </c>
      <c r="G5477" s="89">
        <v>2021</v>
      </c>
      <c r="H5477" s="313" t="s">
        <v>733</v>
      </c>
      <c r="I5477" s="311" t="str">
        <f t="shared" si="230"/>
        <v>Pesado de Passageiros M3:  : Gasóleo : E6</v>
      </c>
      <c r="J5477">
        <v>109</v>
      </c>
      <c r="K5477" s="422">
        <v>2023</v>
      </c>
      <c r="L5477">
        <v>21749.4</v>
      </c>
      <c r="M5477" t="s">
        <v>630</v>
      </c>
      <c r="N5477" s="131">
        <v>52525</v>
      </c>
      <c r="O5477" s="436">
        <f t="shared" si="231"/>
        <v>5725225</v>
      </c>
      <c r="Q5477" s="422" t="s">
        <v>47</v>
      </c>
      <c r="R5477" s="422" t="s">
        <v>1869</v>
      </c>
      <c r="S5477" s="422" t="s">
        <v>1861</v>
      </c>
      <c r="T5477" t="s">
        <v>4825</v>
      </c>
      <c r="U5477" s="422" t="s">
        <v>1953</v>
      </c>
      <c r="V5477" s="422" t="s">
        <v>2813</v>
      </c>
    </row>
    <row r="5478" spans="1:22" ht="15.75" thickBot="1" x14ac:dyDescent="0.3">
      <c r="A5478" t="s">
        <v>1910</v>
      </c>
      <c r="B5478" t="s">
        <v>1910</v>
      </c>
      <c r="C5478" s="424" t="str">
        <f t="shared" si="229"/>
        <v>Rodoviária de Lisboa, S.A.</v>
      </c>
      <c r="D5478" t="s">
        <v>629</v>
      </c>
      <c r="F5478" s="422" t="s">
        <v>620</v>
      </c>
      <c r="G5478" s="89">
        <v>2021</v>
      </c>
      <c r="H5478" s="313" t="s">
        <v>733</v>
      </c>
      <c r="I5478" s="311" t="str">
        <f t="shared" si="230"/>
        <v>Pesado de Passageiros M3:  : Gasóleo : E6</v>
      </c>
      <c r="J5478">
        <v>109</v>
      </c>
      <c r="K5478" s="422">
        <v>2023</v>
      </c>
      <c r="L5478">
        <v>32531.7</v>
      </c>
      <c r="M5478" t="s">
        <v>630</v>
      </c>
      <c r="N5478" s="131">
        <v>80318</v>
      </c>
      <c r="O5478" s="436">
        <f t="shared" si="231"/>
        <v>8754662</v>
      </c>
      <c r="Q5478" s="422" t="s">
        <v>47</v>
      </c>
      <c r="R5478" s="422" t="s">
        <v>1869</v>
      </c>
      <c r="S5478" s="422" t="s">
        <v>1861</v>
      </c>
      <c r="T5478" t="s">
        <v>4825</v>
      </c>
      <c r="U5478" s="422" t="s">
        <v>1953</v>
      </c>
      <c r="V5478" s="422" t="s">
        <v>2813</v>
      </c>
    </row>
    <row r="5479" spans="1:22" ht="15.75" thickBot="1" x14ac:dyDescent="0.3">
      <c r="A5479" t="s">
        <v>1910</v>
      </c>
      <c r="B5479" t="s">
        <v>1910</v>
      </c>
      <c r="C5479" s="424" t="str">
        <f t="shared" si="229"/>
        <v>Rodoviária de Lisboa, S.A.</v>
      </c>
      <c r="D5479" t="s">
        <v>629</v>
      </c>
      <c r="F5479" s="422" t="s">
        <v>620</v>
      </c>
      <c r="G5479" s="89">
        <v>2021</v>
      </c>
      <c r="H5479" s="313" t="s">
        <v>733</v>
      </c>
      <c r="I5479" s="311" t="str">
        <f t="shared" si="230"/>
        <v>Pesado de Passageiros M3:  : Gasóleo : E6</v>
      </c>
      <c r="J5479">
        <v>109</v>
      </c>
      <c r="K5479" s="422">
        <v>2023</v>
      </c>
      <c r="L5479">
        <v>30517.3</v>
      </c>
      <c r="M5479" t="s">
        <v>630</v>
      </c>
      <c r="N5479" s="131">
        <v>76865</v>
      </c>
      <c r="O5479" s="436">
        <f t="shared" si="231"/>
        <v>8378285</v>
      </c>
      <c r="Q5479" s="422" t="s">
        <v>47</v>
      </c>
      <c r="R5479" s="422" t="s">
        <v>1869</v>
      </c>
      <c r="S5479" s="422" t="s">
        <v>1861</v>
      </c>
      <c r="T5479" t="s">
        <v>4825</v>
      </c>
      <c r="U5479" s="422" t="s">
        <v>1953</v>
      </c>
      <c r="V5479" s="422" t="s">
        <v>2813</v>
      </c>
    </row>
    <row r="5480" spans="1:22" ht="15.75" thickBot="1" x14ac:dyDescent="0.3">
      <c r="A5480" t="s">
        <v>1910</v>
      </c>
      <c r="B5480" t="s">
        <v>1910</v>
      </c>
      <c r="C5480" s="424" t="str">
        <f t="shared" si="229"/>
        <v>Rodoviária de Lisboa, S.A.</v>
      </c>
      <c r="D5480" t="s">
        <v>629</v>
      </c>
      <c r="F5480" s="422" t="s">
        <v>620</v>
      </c>
      <c r="G5480" s="89">
        <v>2021</v>
      </c>
      <c r="H5480" s="313" t="s">
        <v>733</v>
      </c>
      <c r="I5480" s="311" t="str">
        <f t="shared" si="230"/>
        <v>Pesado de Passageiros M3:  : Gasóleo : E6</v>
      </c>
      <c r="J5480">
        <v>109</v>
      </c>
      <c r="K5480" s="422">
        <v>2023</v>
      </c>
      <c r="L5480">
        <v>28430</v>
      </c>
      <c r="M5480" t="s">
        <v>630</v>
      </c>
      <c r="N5480" s="131">
        <v>68998</v>
      </c>
      <c r="O5480" s="436">
        <f t="shared" si="231"/>
        <v>7520782</v>
      </c>
      <c r="Q5480" s="422" t="s">
        <v>47</v>
      </c>
      <c r="R5480" s="422" t="s">
        <v>1869</v>
      </c>
      <c r="S5480" s="422" t="s">
        <v>1861</v>
      </c>
      <c r="T5480" t="s">
        <v>4825</v>
      </c>
      <c r="U5480" s="422" t="s">
        <v>1953</v>
      </c>
      <c r="V5480" s="422" t="s">
        <v>2813</v>
      </c>
    </row>
    <row r="5481" spans="1:22" ht="15.75" thickBot="1" x14ac:dyDescent="0.3">
      <c r="A5481" t="s">
        <v>1910</v>
      </c>
      <c r="B5481" t="s">
        <v>1910</v>
      </c>
      <c r="C5481" s="424" t="str">
        <f t="shared" si="229"/>
        <v>Rodoviária de Lisboa, S.A.</v>
      </c>
      <c r="D5481" t="s">
        <v>629</v>
      </c>
      <c r="F5481" s="422" t="s">
        <v>620</v>
      </c>
      <c r="G5481" s="89">
        <v>2021</v>
      </c>
      <c r="H5481" s="313" t="s">
        <v>733</v>
      </c>
      <c r="I5481" s="311" t="str">
        <f t="shared" si="230"/>
        <v>Pesado de Passageiros M3:  : Gasóleo : E6</v>
      </c>
      <c r="J5481">
        <v>109</v>
      </c>
      <c r="K5481" s="422">
        <v>2023</v>
      </c>
      <c r="L5481">
        <v>26923.200000000001</v>
      </c>
      <c r="M5481" t="s">
        <v>630</v>
      </c>
      <c r="N5481" s="131">
        <v>65586</v>
      </c>
      <c r="O5481" s="436">
        <f t="shared" si="231"/>
        <v>7148874</v>
      </c>
      <c r="Q5481" s="422" t="s">
        <v>47</v>
      </c>
      <c r="R5481" s="422" t="s">
        <v>1869</v>
      </c>
      <c r="S5481" s="422" t="s">
        <v>1861</v>
      </c>
      <c r="T5481" t="s">
        <v>4825</v>
      </c>
      <c r="U5481" s="422" t="s">
        <v>1953</v>
      </c>
      <c r="V5481" s="422" t="s">
        <v>2813</v>
      </c>
    </row>
    <row r="5482" spans="1:22" ht="15.75" thickBot="1" x14ac:dyDescent="0.3">
      <c r="A5482" t="s">
        <v>1910</v>
      </c>
      <c r="B5482" t="s">
        <v>1910</v>
      </c>
      <c r="C5482" s="424" t="str">
        <f t="shared" si="229"/>
        <v>Rodoviária de Lisboa, S.A.</v>
      </c>
      <c r="D5482" t="s">
        <v>629</v>
      </c>
      <c r="F5482" s="422" t="s">
        <v>620</v>
      </c>
      <c r="G5482" s="89">
        <v>2021</v>
      </c>
      <c r="H5482" s="313" t="s">
        <v>733</v>
      </c>
      <c r="I5482" s="311" t="str">
        <f t="shared" si="230"/>
        <v>Pesado de Passageiros M3:  : Gasóleo : E6</v>
      </c>
      <c r="J5482">
        <v>109</v>
      </c>
      <c r="K5482" s="422">
        <v>2023</v>
      </c>
      <c r="L5482">
        <v>27578.400000000001</v>
      </c>
      <c r="M5482" t="s">
        <v>630</v>
      </c>
      <c r="N5482" s="131">
        <v>74948</v>
      </c>
      <c r="O5482" s="436">
        <f t="shared" si="231"/>
        <v>8169332</v>
      </c>
      <c r="Q5482" s="422" t="s">
        <v>47</v>
      </c>
      <c r="R5482" s="422" t="s">
        <v>1869</v>
      </c>
      <c r="S5482" s="422" t="s">
        <v>1861</v>
      </c>
      <c r="T5482" t="s">
        <v>4825</v>
      </c>
      <c r="U5482" s="422" t="s">
        <v>1953</v>
      </c>
      <c r="V5482" s="422" t="s">
        <v>2813</v>
      </c>
    </row>
    <row r="5483" spans="1:22" ht="15.75" thickBot="1" x14ac:dyDescent="0.3">
      <c r="A5483" t="s">
        <v>1910</v>
      </c>
      <c r="B5483" t="s">
        <v>1910</v>
      </c>
      <c r="C5483" s="424" t="str">
        <f t="shared" si="229"/>
        <v>Rodoviária de Lisboa, S.A.</v>
      </c>
      <c r="D5483" t="s">
        <v>629</v>
      </c>
      <c r="F5483" s="422" t="s">
        <v>620</v>
      </c>
      <c r="G5483" s="89">
        <v>2021</v>
      </c>
      <c r="H5483" s="313" t="s">
        <v>733</v>
      </c>
      <c r="I5483" s="311" t="str">
        <f t="shared" si="230"/>
        <v>Pesado de Passageiros M3:  : Gasóleo : E6</v>
      </c>
      <c r="J5483">
        <v>109</v>
      </c>
      <c r="K5483" s="422">
        <v>2023</v>
      </c>
      <c r="L5483">
        <v>24553.3</v>
      </c>
      <c r="M5483" t="s">
        <v>630</v>
      </c>
      <c r="N5483" s="131">
        <v>60513</v>
      </c>
      <c r="O5483" s="436">
        <f t="shared" si="231"/>
        <v>6595917</v>
      </c>
      <c r="Q5483" s="422" t="s">
        <v>47</v>
      </c>
      <c r="R5483" s="422" t="s">
        <v>1869</v>
      </c>
      <c r="S5483" s="422" t="s">
        <v>1861</v>
      </c>
      <c r="T5483" t="s">
        <v>4825</v>
      </c>
      <c r="U5483" s="422" t="s">
        <v>1953</v>
      </c>
      <c r="V5483" s="422" t="s">
        <v>2813</v>
      </c>
    </row>
    <row r="5484" spans="1:22" ht="15.75" thickBot="1" x14ac:dyDescent="0.3">
      <c r="A5484" t="s">
        <v>1910</v>
      </c>
      <c r="B5484" t="s">
        <v>1910</v>
      </c>
      <c r="C5484" s="424" t="str">
        <f t="shared" si="229"/>
        <v>Rodoviária de Lisboa, S.A.</v>
      </c>
      <c r="D5484" t="s">
        <v>629</v>
      </c>
      <c r="F5484" s="422" t="s">
        <v>620</v>
      </c>
      <c r="G5484" s="89">
        <v>2021</v>
      </c>
      <c r="H5484" s="313" t="s">
        <v>733</v>
      </c>
      <c r="I5484" s="311" t="str">
        <f t="shared" si="230"/>
        <v>Pesado de Passageiros M3:  : Gasóleo : E6</v>
      </c>
      <c r="J5484">
        <v>109</v>
      </c>
      <c r="K5484" s="422">
        <v>2023</v>
      </c>
      <c r="L5484">
        <v>12150.3</v>
      </c>
      <c r="M5484" t="s">
        <v>630</v>
      </c>
      <c r="N5484" s="131">
        <v>28124</v>
      </c>
      <c r="O5484" s="436">
        <f t="shared" si="231"/>
        <v>3065516</v>
      </c>
      <c r="Q5484" s="422" t="s">
        <v>47</v>
      </c>
      <c r="R5484" s="422" t="s">
        <v>1869</v>
      </c>
      <c r="S5484" s="422" t="s">
        <v>1861</v>
      </c>
      <c r="T5484" t="s">
        <v>4825</v>
      </c>
      <c r="U5484" s="422" t="s">
        <v>1953</v>
      </c>
      <c r="V5484" s="422" t="s">
        <v>2813</v>
      </c>
    </row>
    <row r="5485" spans="1:22" ht="15.75" thickBot="1" x14ac:dyDescent="0.3">
      <c r="A5485" t="s">
        <v>1910</v>
      </c>
      <c r="B5485" t="s">
        <v>1910</v>
      </c>
      <c r="C5485" s="424" t="str">
        <f t="shared" si="229"/>
        <v>Rodoviária de Lisboa, S.A.</v>
      </c>
      <c r="D5485" t="s">
        <v>629</v>
      </c>
      <c r="F5485" s="422" t="s">
        <v>620</v>
      </c>
      <c r="G5485" s="89" t="s">
        <v>4500</v>
      </c>
      <c r="H5485" s="313" t="s">
        <v>733</v>
      </c>
      <c r="I5485" s="311" t="str">
        <f t="shared" si="230"/>
        <v>Pesado de Passageiros M3:  : Gasóleo : E6</v>
      </c>
      <c r="J5485">
        <v>109</v>
      </c>
      <c r="K5485" s="422">
        <v>2023</v>
      </c>
      <c r="L5485">
        <v>10301.5</v>
      </c>
      <c r="M5485" t="s">
        <v>630</v>
      </c>
      <c r="N5485" s="131">
        <v>27323</v>
      </c>
      <c r="O5485" s="436">
        <f t="shared" si="231"/>
        <v>2978207</v>
      </c>
      <c r="Q5485" s="422" t="s">
        <v>47</v>
      </c>
      <c r="R5485" s="422" t="s">
        <v>1869</v>
      </c>
      <c r="S5485" s="422" t="s">
        <v>1861</v>
      </c>
      <c r="T5485" t="s">
        <v>4825</v>
      </c>
      <c r="U5485" s="422" t="s">
        <v>1953</v>
      </c>
      <c r="V5485" s="422" t="s">
        <v>2813</v>
      </c>
    </row>
    <row r="5486" spans="1:22" ht="15.75" thickBot="1" x14ac:dyDescent="0.3">
      <c r="A5486" t="s">
        <v>1910</v>
      </c>
      <c r="B5486" t="s">
        <v>1910</v>
      </c>
      <c r="C5486" s="424" t="str">
        <f t="shared" si="229"/>
        <v>Rodoviária de Lisboa, S.A.</v>
      </c>
      <c r="D5486" t="s">
        <v>629</v>
      </c>
      <c r="F5486" s="422" t="s">
        <v>620</v>
      </c>
      <c r="G5486" s="89">
        <v>2021</v>
      </c>
      <c r="H5486" s="313" t="s">
        <v>733</v>
      </c>
      <c r="I5486" s="311" t="str">
        <f t="shared" si="230"/>
        <v>Pesado de Passageiros M3:  : Gasóleo : E6</v>
      </c>
      <c r="J5486">
        <v>109</v>
      </c>
      <c r="K5486" s="422">
        <v>2023</v>
      </c>
      <c r="L5486">
        <v>33821.5</v>
      </c>
      <c r="M5486" t="s">
        <v>630</v>
      </c>
      <c r="N5486" s="131">
        <v>89437</v>
      </c>
      <c r="O5486" s="436">
        <f t="shared" si="231"/>
        <v>9748633</v>
      </c>
      <c r="Q5486" s="422" t="s">
        <v>47</v>
      </c>
      <c r="R5486" s="422" t="s">
        <v>1869</v>
      </c>
      <c r="S5486" s="422" t="s">
        <v>1861</v>
      </c>
      <c r="T5486" t="s">
        <v>4825</v>
      </c>
      <c r="U5486" s="422" t="s">
        <v>1953</v>
      </c>
      <c r="V5486" s="422" t="s">
        <v>2813</v>
      </c>
    </row>
    <row r="5487" spans="1:22" ht="15.75" thickBot="1" x14ac:dyDescent="0.3">
      <c r="A5487" t="s">
        <v>1910</v>
      </c>
      <c r="B5487" t="s">
        <v>1910</v>
      </c>
      <c r="C5487" s="424" t="str">
        <f t="shared" si="229"/>
        <v>Rodoviária de Lisboa, S.A.</v>
      </c>
      <c r="D5487" t="s">
        <v>629</v>
      </c>
      <c r="F5487" s="422" t="s">
        <v>620</v>
      </c>
      <c r="G5487" s="89">
        <v>2021</v>
      </c>
      <c r="H5487" s="313" t="s">
        <v>733</v>
      </c>
      <c r="I5487" s="311" t="str">
        <f t="shared" si="230"/>
        <v>Pesado de Passageiros M3:  : Gasóleo : E6</v>
      </c>
      <c r="J5487">
        <v>109</v>
      </c>
      <c r="K5487" s="422">
        <v>2023</v>
      </c>
      <c r="L5487">
        <v>32419.200000000001</v>
      </c>
      <c r="M5487" t="s">
        <v>630</v>
      </c>
      <c r="N5487" s="131">
        <v>81104</v>
      </c>
      <c r="O5487" s="436">
        <f t="shared" si="231"/>
        <v>8840336</v>
      </c>
      <c r="Q5487" s="422" t="s">
        <v>47</v>
      </c>
      <c r="R5487" s="422" t="s">
        <v>1869</v>
      </c>
      <c r="S5487" s="422" t="s">
        <v>1861</v>
      </c>
      <c r="T5487" t="s">
        <v>4825</v>
      </c>
      <c r="U5487" s="422" t="s">
        <v>1953</v>
      </c>
      <c r="V5487" s="422" t="s">
        <v>2813</v>
      </c>
    </row>
    <row r="5488" spans="1:22" ht="15.75" thickBot="1" x14ac:dyDescent="0.3">
      <c r="A5488" t="s">
        <v>1910</v>
      </c>
      <c r="B5488" t="s">
        <v>1910</v>
      </c>
      <c r="C5488" s="424" t="str">
        <f t="shared" si="229"/>
        <v>Rodoviária de Lisboa, S.A.</v>
      </c>
      <c r="D5488" t="s">
        <v>629</v>
      </c>
      <c r="F5488" s="422" t="s">
        <v>620</v>
      </c>
      <c r="G5488" s="89">
        <v>2021</v>
      </c>
      <c r="H5488" s="313" t="s">
        <v>733</v>
      </c>
      <c r="I5488" s="311" t="str">
        <f t="shared" si="230"/>
        <v>Pesado de Passageiros M3:  : Gasóleo : E6</v>
      </c>
      <c r="J5488">
        <v>109</v>
      </c>
      <c r="K5488" s="422">
        <v>2023</v>
      </c>
      <c r="L5488">
        <v>22734.9</v>
      </c>
      <c r="M5488" t="s">
        <v>630</v>
      </c>
      <c r="N5488" s="131">
        <v>51398</v>
      </c>
      <c r="O5488" s="436">
        <f t="shared" si="231"/>
        <v>5602382</v>
      </c>
      <c r="Q5488" s="422" t="s">
        <v>47</v>
      </c>
      <c r="R5488" s="422" t="s">
        <v>1869</v>
      </c>
      <c r="S5488" s="422" t="s">
        <v>1861</v>
      </c>
      <c r="T5488" t="s">
        <v>4825</v>
      </c>
      <c r="U5488" s="422" t="s">
        <v>1953</v>
      </c>
      <c r="V5488" s="422" t="s">
        <v>2813</v>
      </c>
    </row>
    <row r="5489" spans="1:22" ht="15.75" thickBot="1" x14ac:dyDescent="0.3">
      <c r="A5489" t="s">
        <v>1910</v>
      </c>
      <c r="B5489" t="s">
        <v>1910</v>
      </c>
      <c r="C5489" s="424" t="str">
        <f t="shared" si="229"/>
        <v>Rodoviária de Lisboa, S.A.</v>
      </c>
      <c r="D5489" t="s">
        <v>629</v>
      </c>
      <c r="F5489" s="422" t="s">
        <v>620</v>
      </c>
      <c r="G5489" s="89">
        <v>2021</v>
      </c>
      <c r="H5489" s="313" t="s">
        <v>733</v>
      </c>
      <c r="I5489" s="311" t="str">
        <f t="shared" si="230"/>
        <v>Pesado de Passageiros M3:  : Gasóleo : E6</v>
      </c>
      <c r="J5489">
        <v>109</v>
      </c>
      <c r="K5489" s="422">
        <v>2023</v>
      </c>
      <c r="L5489">
        <v>18567.900000000001</v>
      </c>
      <c r="M5489" t="s">
        <v>630</v>
      </c>
      <c r="N5489" s="131">
        <v>44611</v>
      </c>
      <c r="O5489" s="436">
        <f t="shared" si="231"/>
        <v>4862599</v>
      </c>
      <c r="Q5489" s="422" t="s">
        <v>47</v>
      </c>
      <c r="R5489" s="422" t="s">
        <v>1869</v>
      </c>
      <c r="S5489" s="422" t="s">
        <v>1861</v>
      </c>
      <c r="T5489" t="s">
        <v>4825</v>
      </c>
      <c r="U5489" s="422" t="s">
        <v>1953</v>
      </c>
      <c r="V5489" s="422" t="s">
        <v>2813</v>
      </c>
    </row>
    <row r="5490" spans="1:22" ht="15.75" thickBot="1" x14ac:dyDescent="0.3">
      <c r="A5490" t="s">
        <v>1910</v>
      </c>
      <c r="B5490" t="s">
        <v>1910</v>
      </c>
      <c r="C5490" s="424" t="str">
        <f t="shared" ref="C5490:C5553" si="232">IF(A5490=B5490,B5490,RIGHT(A5490,LEN(A5490)-LEN(B5490)-3))</f>
        <v>Rodoviária de Lisboa, S.A.</v>
      </c>
      <c r="D5490" t="s">
        <v>629</v>
      </c>
      <c r="F5490" s="422" t="s">
        <v>620</v>
      </c>
      <c r="G5490" s="89">
        <v>2022</v>
      </c>
      <c r="H5490" s="313" t="s">
        <v>5816</v>
      </c>
      <c r="I5490" s="311" t="str">
        <f t="shared" si="230"/>
        <v>Pesado de Passageiros M3:  : Gasóleo : E6 D/E E7</v>
      </c>
      <c r="J5490">
        <v>109</v>
      </c>
      <c r="K5490" s="422">
        <v>2023</v>
      </c>
      <c r="L5490">
        <v>19602.3</v>
      </c>
      <c r="M5490" t="s">
        <v>630</v>
      </c>
      <c r="N5490" s="131">
        <v>45406</v>
      </c>
      <c r="O5490" s="436">
        <f t="shared" si="231"/>
        <v>4949254</v>
      </c>
      <c r="Q5490" s="422" t="s">
        <v>47</v>
      </c>
      <c r="R5490" s="422" t="s">
        <v>1869</v>
      </c>
      <c r="S5490" s="422" t="s">
        <v>1861</v>
      </c>
      <c r="T5490" t="s">
        <v>4825</v>
      </c>
      <c r="U5490" s="422" t="s">
        <v>1953</v>
      </c>
      <c r="V5490" s="422" t="s">
        <v>2813</v>
      </c>
    </row>
    <row r="5491" spans="1:22" ht="15.75" thickBot="1" x14ac:dyDescent="0.3">
      <c r="A5491" t="s">
        <v>1910</v>
      </c>
      <c r="B5491" t="s">
        <v>1910</v>
      </c>
      <c r="C5491" s="424" t="str">
        <f t="shared" si="232"/>
        <v>Rodoviária de Lisboa, S.A.</v>
      </c>
      <c r="D5491" t="s">
        <v>629</v>
      </c>
      <c r="F5491" s="422" t="s">
        <v>620</v>
      </c>
      <c r="G5491" s="89">
        <v>2022</v>
      </c>
      <c r="H5491" s="313" t="s">
        <v>5816</v>
      </c>
      <c r="I5491" s="311" t="str">
        <f t="shared" si="230"/>
        <v>Pesado de Passageiros M3:  : Gasóleo : E6 D/E E7</v>
      </c>
      <c r="J5491">
        <v>109</v>
      </c>
      <c r="K5491" s="422">
        <v>2023</v>
      </c>
      <c r="L5491">
        <v>23756.2</v>
      </c>
      <c r="M5491" t="s">
        <v>630</v>
      </c>
      <c r="N5491" s="131">
        <v>54067</v>
      </c>
      <c r="O5491" s="436">
        <f t="shared" si="231"/>
        <v>5893303</v>
      </c>
      <c r="Q5491" s="422" t="s">
        <v>47</v>
      </c>
      <c r="R5491" s="422" t="s">
        <v>1869</v>
      </c>
      <c r="S5491" s="422" t="s">
        <v>1861</v>
      </c>
      <c r="T5491" t="s">
        <v>4825</v>
      </c>
      <c r="U5491" s="422" t="s">
        <v>1953</v>
      </c>
      <c r="V5491" s="422" t="s">
        <v>2813</v>
      </c>
    </row>
    <row r="5492" spans="1:22" ht="15.75" thickBot="1" x14ac:dyDescent="0.3">
      <c r="A5492" t="s">
        <v>1910</v>
      </c>
      <c r="B5492" t="s">
        <v>1910</v>
      </c>
      <c r="C5492" s="424" t="str">
        <f t="shared" si="232"/>
        <v>Rodoviária de Lisboa, S.A.</v>
      </c>
      <c r="D5492" t="s">
        <v>629</v>
      </c>
      <c r="F5492" s="422" t="s">
        <v>620</v>
      </c>
      <c r="G5492" s="89">
        <v>2022</v>
      </c>
      <c r="H5492" s="313" t="s">
        <v>5816</v>
      </c>
      <c r="I5492" s="311" t="str">
        <f t="shared" si="230"/>
        <v>Pesado de Passageiros M3:  : Gasóleo : E6 D/E E7</v>
      </c>
      <c r="J5492">
        <v>109</v>
      </c>
      <c r="K5492" s="422">
        <v>2023</v>
      </c>
      <c r="L5492">
        <v>19764.599999999999</v>
      </c>
      <c r="M5492" t="s">
        <v>630</v>
      </c>
      <c r="N5492" s="131">
        <v>48428</v>
      </c>
      <c r="O5492" s="436">
        <f t="shared" si="231"/>
        <v>5278652</v>
      </c>
      <c r="Q5492" s="422" t="s">
        <v>47</v>
      </c>
      <c r="R5492" s="422" t="s">
        <v>1869</v>
      </c>
      <c r="S5492" s="422" t="s">
        <v>1861</v>
      </c>
      <c r="T5492" t="s">
        <v>4825</v>
      </c>
      <c r="U5492" s="422" t="s">
        <v>1953</v>
      </c>
      <c r="V5492" s="422" t="s">
        <v>2813</v>
      </c>
    </row>
    <row r="5493" spans="1:22" ht="15.75" thickBot="1" x14ac:dyDescent="0.3">
      <c r="A5493" t="s">
        <v>1910</v>
      </c>
      <c r="B5493" t="s">
        <v>1910</v>
      </c>
      <c r="C5493" s="424" t="str">
        <f t="shared" si="232"/>
        <v>Rodoviária de Lisboa, S.A.</v>
      </c>
      <c r="D5493" t="s">
        <v>629</v>
      </c>
      <c r="F5493" s="422" t="s">
        <v>620</v>
      </c>
      <c r="G5493" s="89">
        <v>2022</v>
      </c>
      <c r="H5493" s="313" t="s">
        <v>5816</v>
      </c>
      <c r="I5493" s="311" t="str">
        <f t="shared" si="230"/>
        <v>Pesado de Passageiros M3:  : Gasóleo : E6 D/E E7</v>
      </c>
      <c r="J5493">
        <v>109</v>
      </c>
      <c r="K5493" s="422">
        <v>2023</v>
      </c>
      <c r="L5493">
        <v>25500</v>
      </c>
      <c r="M5493" t="s">
        <v>630</v>
      </c>
      <c r="N5493" s="131">
        <v>61888</v>
      </c>
      <c r="O5493" s="436">
        <f t="shared" si="231"/>
        <v>6745792</v>
      </c>
      <c r="Q5493" s="422" t="s">
        <v>47</v>
      </c>
      <c r="R5493" s="422" t="s">
        <v>1869</v>
      </c>
      <c r="S5493" s="422" t="s">
        <v>1861</v>
      </c>
      <c r="T5493" t="s">
        <v>4825</v>
      </c>
      <c r="U5493" s="422" t="s">
        <v>1953</v>
      </c>
      <c r="V5493" s="422" t="s">
        <v>2813</v>
      </c>
    </row>
    <row r="5494" spans="1:22" ht="15.75" thickBot="1" x14ac:dyDescent="0.3">
      <c r="A5494" t="s">
        <v>1910</v>
      </c>
      <c r="B5494" t="s">
        <v>1910</v>
      </c>
      <c r="C5494" s="424" t="str">
        <f t="shared" si="232"/>
        <v>Rodoviária de Lisboa, S.A.</v>
      </c>
      <c r="D5494" t="s">
        <v>629</v>
      </c>
      <c r="F5494" s="422" t="s">
        <v>620</v>
      </c>
      <c r="G5494" s="89">
        <v>2022</v>
      </c>
      <c r="H5494" s="313" t="s">
        <v>5816</v>
      </c>
      <c r="I5494" s="311" t="str">
        <f t="shared" si="230"/>
        <v>Pesado de Passageiros M3:  : Gasóleo : E6 D/E E7</v>
      </c>
      <c r="J5494">
        <v>109</v>
      </c>
      <c r="K5494" s="422">
        <v>2023</v>
      </c>
      <c r="L5494">
        <v>27692.6</v>
      </c>
      <c r="M5494" t="s">
        <v>630</v>
      </c>
      <c r="N5494" s="131">
        <v>66109</v>
      </c>
      <c r="O5494" s="436">
        <f t="shared" si="231"/>
        <v>7205881</v>
      </c>
      <c r="Q5494" s="422" t="s">
        <v>47</v>
      </c>
      <c r="R5494" s="422" t="s">
        <v>1869</v>
      </c>
      <c r="S5494" s="422" t="s">
        <v>1861</v>
      </c>
      <c r="T5494" t="s">
        <v>4825</v>
      </c>
      <c r="U5494" s="422" t="s">
        <v>1953</v>
      </c>
      <c r="V5494" s="422" t="s">
        <v>2813</v>
      </c>
    </row>
    <row r="5495" spans="1:22" ht="15.75" thickBot="1" x14ac:dyDescent="0.3">
      <c r="A5495" t="s">
        <v>1910</v>
      </c>
      <c r="B5495" t="s">
        <v>1910</v>
      </c>
      <c r="C5495" s="424" t="str">
        <f t="shared" si="232"/>
        <v>Rodoviária de Lisboa, S.A.</v>
      </c>
      <c r="D5495" t="s">
        <v>629</v>
      </c>
      <c r="F5495" s="422" t="s">
        <v>620</v>
      </c>
      <c r="G5495" s="89">
        <v>2022</v>
      </c>
      <c r="H5495" s="313" t="s">
        <v>5816</v>
      </c>
      <c r="I5495" s="311" t="str">
        <f t="shared" si="230"/>
        <v>Pesado de Passageiros M3:  : Gasóleo : E6 D/E E7</v>
      </c>
      <c r="J5495">
        <v>109</v>
      </c>
      <c r="K5495" s="422">
        <v>2023</v>
      </c>
      <c r="L5495">
        <v>20411.2</v>
      </c>
      <c r="M5495" t="s">
        <v>630</v>
      </c>
      <c r="N5495" s="131">
        <v>49510</v>
      </c>
      <c r="O5495" s="436">
        <f t="shared" si="231"/>
        <v>5396590</v>
      </c>
      <c r="Q5495" s="422" t="s">
        <v>47</v>
      </c>
      <c r="R5495" s="422" t="s">
        <v>1869</v>
      </c>
      <c r="S5495" s="422" t="s">
        <v>1861</v>
      </c>
      <c r="T5495" t="s">
        <v>4825</v>
      </c>
      <c r="U5495" s="422" t="s">
        <v>1953</v>
      </c>
      <c r="V5495" s="422" t="s">
        <v>2813</v>
      </c>
    </row>
    <row r="5496" spans="1:22" ht="15.75" thickBot="1" x14ac:dyDescent="0.3">
      <c r="A5496" t="s">
        <v>1910</v>
      </c>
      <c r="B5496" t="s">
        <v>1910</v>
      </c>
      <c r="C5496" s="424" t="str">
        <f t="shared" si="232"/>
        <v>Rodoviária de Lisboa, S.A.</v>
      </c>
      <c r="D5496" t="s">
        <v>629</v>
      </c>
      <c r="F5496" s="422" t="s">
        <v>620</v>
      </c>
      <c r="G5496" s="89">
        <v>2022</v>
      </c>
      <c r="H5496" s="313" t="s">
        <v>5816</v>
      </c>
      <c r="I5496" s="311" t="str">
        <f t="shared" si="230"/>
        <v>Pesado de Passageiros M3:  : Gasóleo : E6 D/E E7</v>
      </c>
      <c r="J5496">
        <v>109</v>
      </c>
      <c r="K5496" s="422">
        <v>2023</v>
      </c>
      <c r="L5496">
        <v>27736.400000000001</v>
      </c>
      <c r="M5496" t="s">
        <v>630</v>
      </c>
      <c r="N5496" s="131">
        <v>68009</v>
      </c>
      <c r="O5496" s="436">
        <f t="shared" si="231"/>
        <v>7412981</v>
      </c>
      <c r="Q5496" s="422" t="s">
        <v>47</v>
      </c>
      <c r="R5496" s="422" t="s">
        <v>1869</v>
      </c>
      <c r="S5496" s="422" t="s">
        <v>1861</v>
      </c>
      <c r="T5496" t="s">
        <v>4825</v>
      </c>
      <c r="U5496" s="422" t="s">
        <v>1953</v>
      </c>
      <c r="V5496" s="422" t="s">
        <v>2813</v>
      </c>
    </row>
    <row r="5497" spans="1:22" ht="15.75" thickBot="1" x14ac:dyDescent="0.3">
      <c r="A5497" t="s">
        <v>1910</v>
      </c>
      <c r="B5497" t="s">
        <v>1910</v>
      </c>
      <c r="C5497" s="424" t="str">
        <f t="shared" si="232"/>
        <v>Rodoviária de Lisboa, S.A.</v>
      </c>
      <c r="D5497" t="s">
        <v>629</v>
      </c>
      <c r="F5497" s="422" t="s">
        <v>620</v>
      </c>
      <c r="G5497" s="89">
        <v>2022</v>
      </c>
      <c r="H5497" s="313" t="s">
        <v>5816</v>
      </c>
      <c r="I5497" s="311" t="str">
        <f t="shared" si="230"/>
        <v>Pesado de Passageiros M3:  : Gasóleo : E6 D/E E7</v>
      </c>
      <c r="J5497">
        <v>109</v>
      </c>
      <c r="K5497" s="422">
        <v>2023</v>
      </c>
      <c r="L5497">
        <v>23984.400000000001</v>
      </c>
      <c r="M5497" t="s">
        <v>630</v>
      </c>
      <c r="N5497" s="131">
        <v>53467</v>
      </c>
      <c r="O5497" s="436">
        <f t="shared" si="231"/>
        <v>5827903</v>
      </c>
      <c r="Q5497" s="422" t="s">
        <v>47</v>
      </c>
      <c r="R5497" s="422" t="s">
        <v>1869</v>
      </c>
      <c r="S5497" s="422" t="s">
        <v>1861</v>
      </c>
      <c r="T5497" t="s">
        <v>4825</v>
      </c>
      <c r="U5497" s="422" t="s">
        <v>1953</v>
      </c>
      <c r="V5497" s="422" t="s">
        <v>2813</v>
      </c>
    </row>
    <row r="5498" spans="1:22" ht="15.75" thickBot="1" x14ac:dyDescent="0.3">
      <c r="A5498" t="s">
        <v>1910</v>
      </c>
      <c r="B5498" t="s">
        <v>1910</v>
      </c>
      <c r="C5498" s="424" t="str">
        <f t="shared" si="232"/>
        <v>Rodoviária de Lisboa, S.A.</v>
      </c>
      <c r="D5498" t="s">
        <v>629</v>
      </c>
      <c r="F5498" s="422" t="s">
        <v>620</v>
      </c>
      <c r="G5498" s="89">
        <v>2022</v>
      </c>
      <c r="H5498" s="313" t="s">
        <v>5816</v>
      </c>
      <c r="I5498" s="311" t="str">
        <f t="shared" si="230"/>
        <v>Pesado de Passageiros M3:  : Gasóleo : E6 D/E E7</v>
      </c>
      <c r="J5498">
        <v>109</v>
      </c>
      <c r="K5498" s="422">
        <v>2023</v>
      </c>
      <c r="L5498">
        <v>15904.1</v>
      </c>
      <c r="M5498" t="s">
        <v>630</v>
      </c>
      <c r="N5498" s="131">
        <v>40199</v>
      </c>
      <c r="O5498" s="436">
        <f t="shared" si="231"/>
        <v>4381691</v>
      </c>
      <c r="Q5498" s="422" t="s">
        <v>47</v>
      </c>
      <c r="R5498" s="422" t="s">
        <v>1869</v>
      </c>
      <c r="S5498" s="422" t="s">
        <v>1861</v>
      </c>
      <c r="T5498" t="s">
        <v>4825</v>
      </c>
      <c r="U5498" s="422" t="s">
        <v>1953</v>
      </c>
      <c r="V5498" s="422" t="s">
        <v>2813</v>
      </c>
    </row>
    <row r="5499" spans="1:22" ht="15.75" thickBot="1" x14ac:dyDescent="0.3">
      <c r="A5499" t="s">
        <v>1910</v>
      </c>
      <c r="B5499" t="s">
        <v>1910</v>
      </c>
      <c r="C5499" s="424" t="str">
        <f t="shared" si="232"/>
        <v>Rodoviária de Lisboa, S.A.</v>
      </c>
      <c r="D5499" t="s">
        <v>629</v>
      </c>
      <c r="F5499" s="422" t="s">
        <v>620</v>
      </c>
      <c r="G5499" s="89">
        <v>2022</v>
      </c>
      <c r="H5499" s="313" t="s">
        <v>5816</v>
      </c>
      <c r="I5499" s="311" t="str">
        <f t="shared" si="230"/>
        <v>Pesado de Passageiros M3:  : Gasóleo : E6 D/E E7</v>
      </c>
      <c r="J5499">
        <v>109</v>
      </c>
      <c r="K5499" s="422">
        <v>2023</v>
      </c>
      <c r="L5499">
        <v>20446.599999999999</v>
      </c>
      <c r="M5499" t="s">
        <v>630</v>
      </c>
      <c r="N5499" s="131">
        <v>50000</v>
      </c>
      <c r="O5499" s="436">
        <f t="shared" si="231"/>
        <v>5450000</v>
      </c>
      <c r="Q5499" s="422" t="s">
        <v>47</v>
      </c>
      <c r="R5499" s="422" t="s">
        <v>1869</v>
      </c>
      <c r="S5499" s="422" t="s">
        <v>1861</v>
      </c>
      <c r="T5499" t="s">
        <v>4825</v>
      </c>
      <c r="U5499" s="422" t="s">
        <v>1953</v>
      </c>
      <c r="V5499" s="422" t="s">
        <v>2813</v>
      </c>
    </row>
    <row r="5500" spans="1:22" ht="15.75" thickBot="1" x14ac:dyDescent="0.3">
      <c r="A5500" t="s">
        <v>1910</v>
      </c>
      <c r="B5500" t="s">
        <v>1910</v>
      </c>
      <c r="C5500" s="424" t="str">
        <f t="shared" si="232"/>
        <v>Rodoviária de Lisboa, S.A.</v>
      </c>
      <c r="D5500" t="s">
        <v>629</v>
      </c>
      <c r="F5500" s="422" t="s">
        <v>620</v>
      </c>
      <c r="G5500" s="89">
        <v>2022</v>
      </c>
      <c r="H5500" s="313" t="s">
        <v>5816</v>
      </c>
      <c r="I5500" s="311" t="str">
        <f t="shared" si="230"/>
        <v>Pesado de Passageiros M3:  : Gasóleo : E6 D/E E7</v>
      </c>
      <c r="J5500">
        <v>109</v>
      </c>
      <c r="K5500" s="422">
        <v>2023</v>
      </c>
      <c r="L5500">
        <v>26834.400000000001</v>
      </c>
      <c r="M5500" t="s">
        <v>630</v>
      </c>
      <c r="N5500" s="131">
        <v>67102</v>
      </c>
      <c r="O5500" s="436">
        <f t="shared" si="231"/>
        <v>7314118</v>
      </c>
      <c r="Q5500" s="422" t="s">
        <v>47</v>
      </c>
      <c r="R5500" s="422" t="s">
        <v>1869</v>
      </c>
      <c r="S5500" s="422" t="s">
        <v>1861</v>
      </c>
      <c r="T5500" t="s">
        <v>4825</v>
      </c>
      <c r="U5500" s="422" t="s">
        <v>1953</v>
      </c>
      <c r="V5500" s="422" t="s">
        <v>2813</v>
      </c>
    </row>
    <row r="5501" spans="1:22" ht="15.75" thickBot="1" x14ac:dyDescent="0.3">
      <c r="A5501" t="s">
        <v>1910</v>
      </c>
      <c r="B5501" t="s">
        <v>1910</v>
      </c>
      <c r="C5501" s="424" t="str">
        <f t="shared" si="232"/>
        <v>Rodoviária de Lisboa, S.A.</v>
      </c>
      <c r="D5501" t="s">
        <v>629</v>
      </c>
      <c r="F5501" s="422" t="s">
        <v>620</v>
      </c>
      <c r="G5501" s="89">
        <v>2022</v>
      </c>
      <c r="H5501" s="313" t="s">
        <v>5816</v>
      </c>
      <c r="I5501" s="311" t="str">
        <f t="shared" si="230"/>
        <v>Pesado de Passageiros M3:  : Gasóleo : E6 D/E E7</v>
      </c>
      <c r="J5501">
        <v>109</v>
      </c>
      <c r="K5501" s="422">
        <v>2023</v>
      </c>
      <c r="L5501">
        <v>19008.3</v>
      </c>
      <c r="M5501" t="s">
        <v>630</v>
      </c>
      <c r="N5501" s="131">
        <v>43895</v>
      </c>
      <c r="O5501" s="436">
        <f t="shared" si="231"/>
        <v>4784555</v>
      </c>
      <c r="Q5501" s="422" t="s">
        <v>47</v>
      </c>
      <c r="R5501" s="422" t="s">
        <v>1869</v>
      </c>
      <c r="S5501" s="422" t="s">
        <v>1861</v>
      </c>
      <c r="T5501" t="s">
        <v>4825</v>
      </c>
      <c r="U5501" s="422" t="s">
        <v>1953</v>
      </c>
      <c r="V5501" s="422" t="s">
        <v>2813</v>
      </c>
    </row>
    <row r="5502" spans="1:22" ht="15.75" thickBot="1" x14ac:dyDescent="0.3">
      <c r="A5502" t="s">
        <v>1910</v>
      </c>
      <c r="B5502" t="s">
        <v>1910</v>
      </c>
      <c r="C5502" s="424" t="str">
        <f t="shared" si="232"/>
        <v>Rodoviária de Lisboa, S.A.</v>
      </c>
      <c r="D5502" t="s">
        <v>629</v>
      </c>
      <c r="F5502" s="422" t="s">
        <v>620</v>
      </c>
      <c r="G5502" s="89">
        <v>2022</v>
      </c>
      <c r="H5502" s="313" t="s">
        <v>5816</v>
      </c>
      <c r="I5502" s="311" t="str">
        <f t="shared" si="230"/>
        <v>Pesado de Passageiros M3:  : Gasóleo : E6 D/E E7</v>
      </c>
      <c r="J5502">
        <v>109</v>
      </c>
      <c r="K5502" s="422">
        <v>2023</v>
      </c>
      <c r="L5502">
        <v>27372</v>
      </c>
      <c r="M5502" t="s">
        <v>630</v>
      </c>
      <c r="N5502" s="131">
        <v>61680</v>
      </c>
      <c r="O5502" s="436">
        <f t="shared" si="231"/>
        <v>6723120</v>
      </c>
      <c r="Q5502" s="422" t="s">
        <v>47</v>
      </c>
      <c r="R5502" s="422" t="s">
        <v>1869</v>
      </c>
      <c r="S5502" s="422" t="s">
        <v>1861</v>
      </c>
      <c r="T5502" t="s">
        <v>4825</v>
      </c>
      <c r="U5502" s="422" t="s">
        <v>1953</v>
      </c>
      <c r="V5502" s="422" t="s">
        <v>2813</v>
      </c>
    </row>
    <row r="5503" spans="1:22" ht="15.75" thickBot="1" x14ac:dyDescent="0.3">
      <c r="A5503" t="s">
        <v>1910</v>
      </c>
      <c r="B5503" t="s">
        <v>1910</v>
      </c>
      <c r="C5503" s="424" t="str">
        <f t="shared" si="232"/>
        <v>Rodoviária de Lisboa, S.A.</v>
      </c>
      <c r="D5503" t="s">
        <v>629</v>
      </c>
      <c r="F5503" s="422" t="s">
        <v>620</v>
      </c>
      <c r="G5503" s="89">
        <v>2022</v>
      </c>
      <c r="H5503" s="313" t="s">
        <v>5816</v>
      </c>
      <c r="I5503" s="311" t="str">
        <f t="shared" si="230"/>
        <v>Pesado de Passageiros M3:  : Gasóleo : E6 D/E E7</v>
      </c>
      <c r="J5503">
        <v>109</v>
      </c>
      <c r="K5503" s="422">
        <v>2023</v>
      </c>
      <c r="L5503">
        <v>25574.3</v>
      </c>
      <c r="M5503" t="s">
        <v>630</v>
      </c>
      <c r="N5503" s="131">
        <v>61255</v>
      </c>
      <c r="O5503" s="436">
        <f t="shared" si="231"/>
        <v>6676795</v>
      </c>
      <c r="Q5503" s="422" t="s">
        <v>47</v>
      </c>
      <c r="R5503" s="422" t="s">
        <v>1869</v>
      </c>
      <c r="S5503" s="422" t="s">
        <v>1861</v>
      </c>
      <c r="T5503" t="s">
        <v>4825</v>
      </c>
      <c r="U5503" s="422" t="s">
        <v>1953</v>
      </c>
      <c r="V5503" s="422" t="s">
        <v>2813</v>
      </c>
    </row>
    <row r="5504" spans="1:22" ht="15.75" thickBot="1" x14ac:dyDescent="0.3">
      <c r="A5504" t="s">
        <v>1910</v>
      </c>
      <c r="B5504" t="s">
        <v>1910</v>
      </c>
      <c r="C5504" s="424" t="str">
        <f t="shared" si="232"/>
        <v>Rodoviária de Lisboa, S.A.</v>
      </c>
      <c r="D5504" t="s">
        <v>629</v>
      </c>
      <c r="F5504" s="422" t="s">
        <v>620</v>
      </c>
      <c r="G5504" s="89">
        <v>2022</v>
      </c>
      <c r="H5504" s="313" t="s">
        <v>5816</v>
      </c>
      <c r="I5504" s="311" t="str">
        <f t="shared" si="230"/>
        <v>Pesado de Passageiros M3:  : Gasóleo : E6 D/E E7</v>
      </c>
      <c r="J5504">
        <v>109</v>
      </c>
      <c r="K5504" s="422">
        <v>2023</v>
      </c>
      <c r="L5504">
        <v>20677.7</v>
      </c>
      <c r="M5504" t="s">
        <v>630</v>
      </c>
      <c r="N5504" s="131">
        <v>46854</v>
      </c>
      <c r="O5504" s="436">
        <f t="shared" si="231"/>
        <v>5107086</v>
      </c>
      <c r="Q5504" s="422" t="s">
        <v>47</v>
      </c>
      <c r="R5504" s="422" t="s">
        <v>1869</v>
      </c>
      <c r="S5504" s="422" t="s">
        <v>1861</v>
      </c>
      <c r="T5504" t="s">
        <v>4825</v>
      </c>
      <c r="U5504" s="422" t="s">
        <v>1953</v>
      </c>
      <c r="V5504" s="422" t="s">
        <v>2813</v>
      </c>
    </row>
    <row r="5505" spans="1:22" ht="15.75" thickBot="1" x14ac:dyDescent="0.3">
      <c r="A5505" t="s">
        <v>1910</v>
      </c>
      <c r="B5505" t="s">
        <v>1910</v>
      </c>
      <c r="C5505" s="424" t="str">
        <f t="shared" si="232"/>
        <v>Rodoviária de Lisboa, S.A.</v>
      </c>
      <c r="D5505" t="s">
        <v>629</v>
      </c>
      <c r="F5505" s="422" t="s">
        <v>620</v>
      </c>
      <c r="G5505" s="89">
        <v>2022</v>
      </c>
      <c r="H5505" s="313" t="s">
        <v>5816</v>
      </c>
      <c r="I5505" s="311" t="str">
        <f t="shared" si="230"/>
        <v>Pesado de Passageiros M3:  : Gasóleo : E6 D/E E7</v>
      </c>
      <c r="J5505">
        <v>109</v>
      </c>
      <c r="K5505" s="422">
        <v>2023</v>
      </c>
      <c r="L5505">
        <v>22704.2</v>
      </c>
      <c r="M5505" t="s">
        <v>630</v>
      </c>
      <c r="N5505" s="131">
        <v>58404</v>
      </c>
      <c r="O5505" s="436">
        <f t="shared" si="231"/>
        <v>6366036</v>
      </c>
      <c r="Q5505" s="422" t="s">
        <v>47</v>
      </c>
      <c r="R5505" s="422" t="s">
        <v>1869</v>
      </c>
      <c r="S5505" s="422" t="s">
        <v>1861</v>
      </c>
      <c r="T5505" t="s">
        <v>4825</v>
      </c>
      <c r="U5505" s="422" t="s">
        <v>1953</v>
      </c>
      <c r="V5505" s="422" t="s">
        <v>2813</v>
      </c>
    </row>
    <row r="5506" spans="1:22" ht="15.75" thickBot="1" x14ac:dyDescent="0.3">
      <c r="A5506" t="s">
        <v>1910</v>
      </c>
      <c r="B5506" t="s">
        <v>1910</v>
      </c>
      <c r="C5506" s="424" t="str">
        <f t="shared" si="232"/>
        <v>Rodoviária de Lisboa, S.A.</v>
      </c>
      <c r="D5506" t="s">
        <v>629</v>
      </c>
      <c r="F5506" s="422" t="s">
        <v>620</v>
      </c>
      <c r="G5506" s="89">
        <v>2022</v>
      </c>
      <c r="H5506" s="313" t="s">
        <v>5816</v>
      </c>
      <c r="I5506" s="311" t="str">
        <f t="shared" si="230"/>
        <v>Pesado de Passageiros M3:  : Gasóleo : E6 D/E E7</v>
      </c>
      <c r="J5506">
        <v>25</v>
      </c>
      <c r="K5506" s="422">
        <v>2023</v>
      </c>
      <c r="L5506">
        <v>7303.2</v>
      </c>
      <c r="M5506" t="s">
        <v>630</v>
      </c>
      <c r="N5506" s="131">
        <v>32965</v>
      </c>
      <c r="O5506" s="436">
        <f t="shared" si="231"/>
        <v>824125</v>
      </c>
      <c r="Q5506" s="422" t="s">
        <v>47</v>
      </c>
      <c r="R5506" s="422" t="s">
        <v>1869</v>
      </c>
      <c r="S5506" s="422" t="s">
        <v>1861</v>
      </c>
      <c r="T5506" t="s">
        <v>4825</v>
      </c>
      <c r="U5506" s="422" t="s">
        <v>1953</v>
      </c>
      <c r="V5506" s="422" t="s">
        <v>2813</v>
      </c>
    </row>
    <row r="5507" spans="1:22" ht="15.75" thickBot="1" x14ac:dyDescent="0.3">
      <c r="A5507" t="s">
        <v>1910</v>
      </c>
      <c r="B5507" t="s">
        <v>1910</v>
      </c>
      <c r="C5507" s="424" t="str">
        <f t="shared" si="232"/>
        <v>Rodoviária de Lisboa, S.A.</v>
      </c>
      <c r="D5507" t="s">
        <v>629</v>
      </c>
      <c r="F5507" s="422" t="s">
        <v>620</v>
      </c>
      <c r="G5507" s="89">
        <v>2022</v>
      </c>
      <c r="H5507" s="313" t="s">
        <v>5816</v>
      </c>
      <c r="I5507" s="311" t="str">
        <f t="shared" si="230"/>
        <v>Pesado de Passageiros M3:  : Gasóleo : E6 D/E E7</v>
      </c>
      <c r="J5507">
        <v>109</v>
      </c>
      <c r="K5507" s="422">
        <v>2023</v>
      </c>
      <c r="L5507">
        <v>23946</v>
      </c>
      <c r="M5507" t="s">
        <v>630</v>
      </c>
      <c r="N5507" s="131">
        <v>60534</v>
      </c>
      <c r="O5507" s="436">
        <f t="shared" si="231"/>
        <v>6598206</v>
      </c>
      <c r="Q5507" s="422" t="s">
        <v>47</v>
      </c>
      <c r="R5507" s="422" t="s">
        <v>1869</v>
      </c>
      <c r="S5507" s="422" t="s">
        <v>1861</v>
      </c>
      <c r="T5507" t="s">
        <v>4825</v>
      </c>
      <c r="U5507" s="422" t="s">
        <v>1953</v>
      </c>
      <c r="V5507" s="422" t="s">
        <v>2813</v>
      </c>
    </row>
    <row r="5508" spans="1:22" ht="15.75" thickBot="1" x14ac:dyDescent="0.3">
      <c r="A5508" t="s">
        <v>1910</v>
      </c>
      <c r="B5508" t="s">
        <v>1910</v>
      </c>
      <c r="C5508" s="424" t="str">
        <f t="shared" si="232"/>
        <v>Rodoviária de Lisboa, S.A.</v>
      </c>
      <c r="D5508" t="s">
        <v>629</v>
      </c>
      <c r="F5508" s="422" t="s">
        <v>620</v>
      </c>
      <c r="G5508" s="89">
        <v>2022</v>
      </c>
      <c r="H5508" s="313" t="s">
        <v>5816</v>
      </c>
      <c r="I5508" s="311" t="str">
        <f t="shared" si="230"/>
        <v>Pesado de Passageiros M3:  : Gasóleo : E6 D/E E7</v>
      </c>
      <c r="J5508">
        <v>109</v>
      </c>
      <c r="K5508" s="422">
        <v>2023</v>
      </c>
      <c r="L5508">
        <v>23270.3</v>
      </c>
      <c r="M5508" t="s">
        <v>630</v>
      </c>
      <c r="N5508" s="131">
        <v>53510</v>
      </c>
      <c r="O5508" s="436">
        <f t="shared" si="231"/>
        <v>5832590</v>
      </c>
      <c r="Q5508" s="422" t="s">
        <v>47</v>
      </c>
      <c r="R5508" s="422" t="s">
        <v>1869</v>
      </c>
      <c r="S5508" s="422" t="s">
        <v>1861</v>
      </c>
      <c r="T5508" t="s">
        <v>4825</v>
      </c>
      <c r="U5508" s="422" t="s">
        <v>1953</v>
      </c>
      <c r="V5508" s="422" t="s">
        <v>2813</v>
      </c>
    </row>
    <row r="5509" spans="1:22" ht="15.75" thickBot="1" x14ac:dyDescent="0.3">
      <c r="A5509" t="s">
        <v>1910</v>
      </c>
      <c r="B5509" t="s">
        <v>1910</v>
      </c>
      <c r="C5509" s="424" t="str">
        <f t="shared" si="232"/>
        <v>Rodoviária de Lisboa, S.A.</v>
      </c>
      <c r="D5509" t="s">
        <v>629</v>
      </c>
      <c r="F5509" s="422" t="s">
        <v>620</v>
      </c>
      <c r="G5509" s="89">
        <v>2022</v>
      </c>
      <c r="H5509" s="313" t="s">
        <v>5816</v>
      </c>
      <c r="I5509" s="311" t="str">
        <f t="shared" si="230"/>
        <v>Pesado de Passageiros M3:  : Gasóleo : E6 D/E E7</v>
      </c>
      <c r="J5509">
        <v>109</v>
      </c>
      <c r="K5509" s="422">
        <v>2023</v>
      </c>
      <c r="L5509">
        <v>24027.5</v>
      </c>
      <c r="M5509" t="s">
        <v>630</v>
      </c>
      <c r="N5509" s="131">
        <v>54412</v>
      </c>
      <c r="O5509" s="436">
        <f t="shared" si="231"/>
        <v>5930908</v>
      </c>
      <c r="Q5509" s="422" t="s">
        <v>47</v>
      </c>
      <c r="R5509" s="422" t="s">
        <v>1869</v>
      </c>
      <c r="S5509" s="422" t="s">
        <v>1861</v>
      </c>
      <c r="T5509" t="s">
        <v>4825</v>
      </c>
      <c r="U5509" s="422" t="s">
        <v>1953</v>
      </c>
      <c r="V5509" s="422" t="s">
        <v>2813</v>
      </c>
    </row>
    <row r="5510" spans="1:22" ht="15.75" thickBot="1" x14ac:dyDescent="0.3">
      <c r="A5510" t="s">
        <v>1910</v>
      </c>
      <c r="B5510" t="s">
        <v>1910</v>
      </c>
      <c r="C5510" s="424" t="str">
        <f t="shared" si="232"/>
        <v>Rodoviária de Lisboa, S.A.</v>
      </c>
      <c r="D5510" t="s">
        <v>629</v>
      </c>
      <c r="F5510" s="422" t="s">
        <v>620</v>
      </c>
      <c r="G5510" s="89">
        <v>2022</v>
      </c>
      <c r="H5510" s="313" t="s">
        <v>5816</v>
      </c>
      <c r="I5510" s="311" t="str">
        <f t="shared" si="230"/>
        <v>Pesado de Passageiros M3:  : Gasóleo : E6 D/E E7</v>
      </c>
      <c r="J5510">
        <v>25</v>
      </c>
      <c r="K5510" s="422">
        <v>2023</v>
      </c>
      <c r="L5510">
        <v>8580</v>
      </c>
      <c r="M5510" t="s">
        <v>630</v>
      </c>
      <c r="N5510" s="131">
        <v>38496</v>
      </c>
      <c r="O5510" s="436">
        <f t="shared" si="231"/>
        <v>962400</v>
      </c>
      <c r="Q5510" s="422" t="s">
        <v>47</v>
      </c>
      <c r="R5510" s="422" t="s">
        <v>1869</v>
      </c>
      <c r="S5510" s="422" t="s">
        <v>1861</v>
      </c>
      <c r="T5510" t="s">
        <v>4825</v>
      </c>
      <c r="U5510" s="422" t="s">
        <v>1953</v>
      </c>
      <c r="V5510" s="422" t="s">
        <v>2813</v>
      </c>
    </row>
    <row r="5511" spans="1:22" ht="15.75" thickBot="1" x14ac:dyDescent="0.3">
      <c r="A5511" t="s">
        <v>1910</v>
      </c>
      <c r="B5511" t="s">
        <v>1910</v>
      </c>
      <c r="C5511" s="424" t="str">
        <f t="shared" si="232"/>
        <v>Rodoviária de Lisboa, S.A.</v>
      </c>
      <c r="D5511" t="s">
        <v>629</v>
      </c>
      <c r="F5511" s="422" t="s">
        <v>620</v>
      </c>
      <c r="G5511" s="89">
        <v>2022</v>
      </c>
      <c r="H5511" s="313" t="s">
        <v>5816</v>
      </c>
      <c r="I5511" s="311" t="str">
        <f t="shared" si="230"/>
        <v>Pesado de Passageiros M3:  : Gasóleo : E6 D/E E7</v>
      </c>
      <c r="J5511">
        <v>89</v>
      </c>
      <c r="K5511" s="422">
        <v>2023</v>
      </c>
      <c r="L5511">
        <v>31067.200000000001</v>
      </c>
      <c r="M5511" t="s">
        <v>630</v>
      </c>
      <c r="N5511" s="131">
        <v>77315</v>
      </c>
      <c r="O5511" s="436">
        <f t="shared" si="231"/>
        <v>6881035</v>
      </c>
      <c r="Q5511" s="422" t="s">
        <v>47</v>
      </c>
      <c r="R5511" s="422" t="s">
        <v>1869</v>
      </c>
      <c r="S5511" s="422" t="s">
        <v>1861</v>
      </c>
      <c r="T5511" t="s">
        <v>4825</v>
      </c>
      <c r="U5511" s="422" t="s">
        <v>1953</v>
      </c>
      <c r="V5511" s="422" t="s">
        <v>2813</v>
      </c>
    </row>
    <row r="5512" spans="1:22" ht="15.75" thickBot="1" x14ac:dyDescent="0.3">
      <c r="A5512" t="s">
        <v>1910</v>
      </c>
      <c r="B5512" t="s">
        <v>1910</v>
      </c>
      <c r="C5512" s="424" t="str">
        <f t="shared" si="232"/>
        <v>Rodoviária de Lisboa, S.A.</v>
      </c>
      <c r="D5512" t="s">
        <v>629</v>
      </c>
      <c r="F5512" s="422" t="s">
        <v>620</v>
      </c>
      <c r="G5512" s="89">
        <v>2022</v>
      </c>
      <c r="H5512" s="313" t="s">
        <v>5816</v>
      </c>
      <c r="I5512" s="311" t="str">
        <f t="shared" si="230"/>
        <v>Pesado de Passageiros M3:  : Gasóleo : E6 D/E E7</v>
      </c>
      <c r="J5512">
        <v>109</v>
      </c>
      <c r="K5512" s="422">
        <v>2023</v>
      </c>
      <c r="L5512">
        <v>19414.099999999999</v>
      </c>
      <c r="M5512" t="s">
        <v>630</v>
      </c>
      <c r="N5512" s="131">
        <v>50097</v>
      </c>
      <c r="O5512" s="436">
        <f t="shared" si="231"/>
        <v>5460573</v>
      </c>
      <c r="Q5512" s="422" t="s">
        <v>47</v>
      </c>
      <c r="R5512" s="422" t="s">
        <v>1869</v>
      </c>
      <c r="S5512" s="422" t="s">
        <v>1861</v>
      </c>
      <c r="T5512" t="s">
        <v>4825</v>
      </c>
      <c r="U5512" s="422" t="s">
        <v>1953</v>
      </c>
      <c r="V5512" s="422" t="s">
        <v>2813</v>
      </c>
    </row>
    <row r="5513" spans="1:22" ht="15.75" thickBot="1" x14ac:dyDescent="0.3">
      <c r="A5513" t="s">
        <v>1910</v>
      </c>
      <c r="B5513" t="s">
        <v>1910</v>
      </c>
      <c r="C5513" s="424" t="str">
        <f t="shared" si="232"/>
        <v>Rodoviária de Lisboa, S.A.</v>
      </c>
      <c r="D5513" t="s">
        <v>629</v>
      </c>
      <c r="F5513" s="422" t="s">
        <v>620</v>
      </c>
      <c r="G5513" s="89">
        <v>2022</v>
      </c>
      <c r="H5513" s="313" t="s">
        <v>5816</v>
      </c>
      <c r="I5513" s="311" t="str">
        <f t="shared" si="230"/>
        <v>Pesado de Passageiros M3:  : Gasóleo : E6 D/E E7</v>
      </c>
      <c r="J5513">
        <v>109</v>
      </c>
      <c r="K5513" s="422">
        <v>2023</v>
      </c>
      <c r="L5513">
        <v>24957.599999999999</v>
      </c>
      <c r="M5513" t="s">
        <v>630</v>
      </c>
      <c r="N5513" s="131">
        <v>59683</v>
      </c>
      <c r="O5513" s="436">
        <f t="shared" si="231"/>
        <v>6505447</v>
      </c>
      <c r="Q5513" s="422" t="s">
        <v>47</v>
      </c>
      <c r="R5513" s="422" t="s">
        <v>1869</v>
      </c>
      <c r="S5513" s="422" t="s">
        <v>1861</v>
      </c>
      <c r="T5513" t="s">
        <v>4825</v>
      </c>
      <c r="U5513" s="422" t="s">
        <v>1953</v>
      </c>
      <c r="V5513" s="422" t="s">
        <v>2813</v>
      </c>
    </row>
    <row r="5514" spans="1:22" ht="15.75" thickBot="1" x14ac:dyDescent="0.3">
      <c r="A5514" t="s">
        <v>1910</v>
      </c>
      <c r="B5514" t="s">
        <v>1910</v>
      </c>
      <c r="C5514" s="424" t="str">
        <f t="shared" si="232"/>
        <v>Rodoviária de Lisboa, S.A.</v>
      </c>
      <c r="D5514" t="s">
        <v>629</v>
      </c>
      <c r="F5514" s="422" t="s">
        <v>620</v>
      </c>
      <c r="G5514" s="89">
        <v>2022</v>
      </c>
      <c r="H5514" s="313" t="s">
        <v>5816</v>
      </c>
      <c r="I5514" s="311" t="str">
        <f t="shared" si="230"/>
        <v>Pesado de Passageiros M3:  : Gasóleo : E6 D/E E7</v>
      </c>
      <c r="J5514">
        <v>109</v>
      </c>
      <c r="K5514" s="422">
        <v>2023</v>
      </c>
      <c r="L5514">
        <v>24643.3</v>
      </c>
      <c r="M5514" t="s">
        <v>630</v>
      </c>
      <c r="N5514" s="131">
        <v>59566</v>
      </c>
      <c r="O5514" s="436">
        <f t="shared" si="231"/>
        <v>6492694</v>
      </c>
      <c r="Q5514" s="422" t="s">
        <v>47</v>
      </c>
      <c r="R5514" s="422" t="s">
        <v>1869</v>
      </c>
      <c r="S5514" s="422" t="s">
        <v>1861</v>
      </c>
      <c r="T5514" t="s">
        <v>4825</v>
      </c>
      <c r="U5514" s="422" t="s">
        <v>1953</v>
      </c>
      <c r="V5514" s="422" t="s">
        <v>2813</v>
      </c>
    </row>
    <row r="5515" spans="1:22" ht="15.75" thickBot="1" x14ac:dyDescent="0.3">
      <c r="A5515" t="s">
        <v>1910</v>
      </c>
      <c r="B5515" t="s">
        <v>1910</v>
      </c>
      <c r="C5515" s="424" t="str">
        <f t="shared" si="232"/>
        <v>Rodoviária de Lisboa, S.A.</v>
      </c>
      <c r="D5515" t="s">
        <v>629</v>
      </c>
      <c r="F5515" s="422" t="s">
        <v>620</v>
      </c>
      <c r="G5515" s="89">
        <v>2022</v>
      </c>
      <c r="H5515" s="313" t="s">
        <v>5816</v>
      </c>
      <c r="I5515" s="311" t="str">
        <f t="shared" si="230"/>
        <v>Pesado de Passageiros M3:  : Gasóleo : E6 D/E E7</v>
      </c>
      <c r="J5515">
        <v>109</v>
      </c>
      <c r="K5515" s="422">
        <v>2023</v>
      </c>
      <c r="L5515">
        <v>24133.8</v>
      </c>
      <c r="M5515" t="s">
        <v>630</v>
      </c>
      <c r="N5515" s="131">
        <v>57678</v>
      </c>
      <c r="O5515" s="436">
        <f t="shared" si="231"/>
        <v>6286902</v>
      </c>
      <c r="Q5515" s="422" t="s">
        <v>47</v>
      </c>
      <c r="R5515" s="422" t="s">
        <v>1869</v>
      </c>
      <c r="S5515" s="422" t="s">
        <v>1861</v>
      </c>
      <c r="T5515" t="s">
        <v>4825</v>
      </c>
      <c r="U5515" s="422" t="s">
        <v>1953</v>
      </c>
      <c r="V5515" s="422" t="s">
        <v>2813</v>
      </c>
    </row>
    <row r="5516" spans="1:22" ht="15.75" thickBot="1" x14ac:dyDescent="0.3">
      <c r="A5516" t="s">
        <v>1910</v>
      </c>
      <c r="B5516" t="s">
        <v>1910</v>
      </c>
      <c r="C5516" s="424" t="str">
        <f t="shared" si="232"/>
        <v>Rodoviária de Lisboa, S.A.</v>
      </c>
      <c r="D5516" t="s">
        <v>629</v>
      </c>
      <c r="F5516" s="422" t="s">
        <v>620</v>
      </c>
      <c r="G5516" s="89">
        <v>2022</v>
      </c>
      <c r="H5516" s="313" t="s">
        <v>5816</v>
      </c>
      <c r="I5516" s="311" t="str">
        <f t="shared" si="230"/>
        <v>Pesado de Passageiros M3:  : Gasóleo : E6 D/E E7</v>
      </c>
      <c r="J5516">
        <v>109</v>
      </c>
      <c r="K5516" s="422">
        <v>2023</v>
      </c>
      <c r="L5516">
        <v>24399.9</v>
      </c>
      <c r="M5516" t="s">
        <v>630</v>
      </c>
      <c r="N5516" s="131">
        <v>58849</v>
      </c>
      <c r="O5516" s="436">
        <f t="shared" si="231"/>
        <v>6414541</v>
      </c>
      <c r="Q5516" s="422" t="s">
        <v>47</v>
      </c>
      <c r="R5516" s="422" t="s">
        <v>1869</v>
      </c>
      <c r="S5516" s="422" t="s">
        <v>1861</v>
      </c>
      <c r="T5516" t="s">
        <v>4825</v>
      </c>
      <c r="U5516" s="422" t="s">
        <v>1953</v>
      </c>
      <c r="V5516" s="422" t="s">
        <v>2813</v>
      </c>
    </row>
    <row r="5517" spans="1:22" ht="15.75" thickBot="1" x14ac:dyDescent="0.3">
      <c r="A5517" t="s">
        <v>1910</v>
      </c>
      <c r="B5517" t="s">
        <v>1910</v>
      </c>
      <c r="C5517" s="424" t="str">
        <f t="shared" si="232"/>
        <v>Rodoviária de Lisboa, S.A.</v>
      </c>
      <c r="D5517" t="s">
        <v>629</v>
      </c>
      <c r="F5517" s="422" t="s">
        <v>620</v>
      </c>
      <c r="G5517" s="89">
        <v>2022</v>
      </c>
      <c r="H5517" s="313" t="s">
        <v>5816</v>
      </c>
      <c r="I5517" s="311" t="str">
        <f t="shared" si="230"/>
        <v>Pesado de Passageiros M3:  : Gasóleo : E6 D/E E7</v>
      </c>
      <c r="J5517">
        <v>109</v>
      </c>
      <c r="K5517" s="422">
        <v>2023</v>
      </c>
      <c r="L5517">
        <v>23196.1</v>
      </c>
      <c r="M5517" t="s">
        <v>630</v>
      </c>
      <c r="N5517" s="131">
        <v>55674</v>
      </c>
      <c r="O5517" s="436">
        <f t="shared" si="231"/>
        <v>6068466</v>
      </c>
      <c r="Q5517" s="422" t="s">
        <v>47</v>
      </c>
      <c r="R5517" s="422" t="s">
        <v>1869</v>
      </c>
      <c r="S5517" s="422" t="s">
        <v>1861</v>
      </c>
      <c r="T5517" t="s">
        <v>4825</v>
      </c>
      <c r="U5517" s="422" t="s">
        <v>1953</v>
      </c>
      <c r="V5517" s="422" t="s">
        <v>2813</v>
      </c>
    </row>
    <row r="5518" spans="1:22" ht="15.75" thickBot="1" x14ac:dyDescent="0.3">
      <c r="A5518" t="s">
        <v>1910</v>
      </c>
      <c r="B5518" t="s">
        <v>1910</v>
      </c>
      <c r="C5518" s="424" t="str">
        <f t="shared" si="232"/>
        <v>Rodoviária de Lisboa, S.A.</v>
      </c>
      <c r="D5518" t="s">
        <v>629</v>
      </c>
      <c r="F5518" s="422" t="s">
        <v>620</v>
      </c>
      <c r="G5518" s="89">
        <v>2022</v>
      </c>
      <c r="H5518" s="313" t="s">
        <v>5816</v>
      </c>
      <c r="I5518" s="311" t="str">
        <f t="shared" si="230"/>
        <v>Pesado de Passageiros M3:  : Gasóleo : E6 D/E E7</v>
      </c>
      <c r="J5518">
        <v>109</v>
      </c>
      <c r="K5518" s="422">
        <v>2023</v>
      </c>
      <c r="L5518">
        <v>24140.7</v>
      </c>
      <c r="M5518" t="s">
        <v>630</v>
      </c>
      <c r="N5518" s="131">
        <v>55265</v>
      </c>
      <c r="O5518" s="436">
        <f t="shared" si="231"/>
        <v>6023885</v>
      </c>
      <c r="Q5518" s="422" t="s">
        <v>47</v>
      </c>
      <c r="R5518" s="422" t="s">
        <v>1869</v>
      </c>
      <c r="S5518" s="422" t="s">
        <v>1861</v>
      </c>
      <c r="T5518" t="s">
        <v>4825</v>
      </c>
      <c r="U5518" s="422" t="s">
        <v>1953</v>
      </c>
      <c r="V5518" s="422" t="s">
        <v>2813</v>
      </c>
    </row>
    <row r="5519" spans="1:22" ht="15.75" thickBot="1" x14ac:dyDescent="0.3">
      <c r="A5519" t="s">
        <v>1910</v>
      </c>
      <c r="B5519" t="s">
        <v>1910</v>
      </c>
      <c r="C5519" s="424" t="str">
        <f t="shared" si="232"/>
        <v>Rodoviária de Lisboa, S.A.</v>
      </c>
      <c r="D5519" t="s">
        <v>629</v>
      </c>
      <c r="F5519" s="422" t="s">
        <v>620</v>
      </c>
      <c r="G5519" s="89">
        <v>2022</v>
      </c>
      <c r="H5519" s="313" t="s">
        <v>5816</v>
      </c>
      <c r="I5519" s="311" t="str">
        <f t="shared" si="230"/>
        <v>Pesado de Passageiros M3:  : Gasóleo : E6 D/E E7</v>
      </c>
      <c r="J5519">
        <v>25</v>
      </c>
      <c r="K5519" s="422">
        <v>2023</v>
      </c>
      <c r="L5519">
        <v>7522</v>
      </c>
      <c r="M5519" t="s">
        <v>630</v>
      </c>
      <c r="N5519" s="131">
        <v>35119</v>
      </c>
      <c r="O5519" s="436">
        <f t="shared" si="231"/>
        <v>877975</v>
      </c>
      <c r="Q5519" s="422" t="s">
        <v>47</v>
      </c>
      <c r="R5519" s="422" t="s">
        <v>1869</v>
      </c>
      <c r="S5519" s="422" t="s">
        <v>1861</v>
      </c>
      <c r="T5519" t="s">
        <v>4825</v>
      </c>
      <c r="U5519" s="422" t="s">
        <v>1953</v>
      </c>
      <c r="V5519" s="422" t="s">
        <v>2813</v>
      </c>
    </row>
    <row r="5520" spans="1:22" ht="15.75" thickBot="1" x14ac:dyDescent="0.3">
      <c r="A5520" t="s">
        <v>1910</v>
      </c>
      <c r="B5520" t="s">
        <v>1910</v>
      </c>
      <c r="C5520" s="424" t="str">
        <f t="shared" si="232"/>
        <v>Rodoviária de Lisboa, S.A.</v>
      </c>
      <c r="D5520" t="s">
        <v>629</v>
      </c>
      <c r="F5520" s="422" t="s">
        <v>620</v>
      </c>
      <c r="G5520" s="89">
        <v>2022</v>
      </c>
      <c r="H5520" s="313" t="s">
        <v>5816</v>
      </c>
      <c r="I5520" s="311" t="str">
        <f t="shared" si="230"/>
        <v>Pesado de Passageiros M3:  : Gasóleo : E6 D/E E7</v>
      </c>
      <c r="J5520">
        <v>25</v>
      </c>
      <c r="K5520" s="422">
        <v>2023</v>
      </c>
      <c r="L5520">
        <v>7700.6</v>
      </c>
      <c r="M5520" t="s">
        <v>630</v>
      </c>
      <c r="N5520" s="131">
        <v>36798</v>
      </c>
      <c r="O5520" s="436">
        <f t="shared" si="231"/>
        <v>919950</v>
      </c>
      <c r="Q5520" s="422" t="s">
        <v>47</v>
      </c>
      <c r="R5520" s="422" t="s">
        <v>1869</v>
      </c>
      <c r="S5520" s="422" t="s">
        <v>1861</v>
      </c>
      <c r="T5520" t="s">
        <v>4825</v>
      </c>
      <c r="U5520" s="422" t="s">
        <v>1953</v>
      </c>
      <c r="V5520" s="422" t="s">
        <v>2813</v>
      </c>
    </row>
    <row r="5521" spans="1:22" ht="15.75" thickBot="1" x14ac:dyDescent="0.3">
      <c r="A5521" t="s">
        <v>1910</v>
      </c>
      <c r="B5521" t="s">
        <v>1910</v>
      </c>
      <c r="C5521" s="424" t="str">
        <f t="shared" si="232"/>
        <v>Rodoviária de Lisboa, S.A.</v>
      </c>
      <c r="D5521" t="s">
        <v>629</v>
      </c>
      <c r="F5521" s="422" t="s">
        <v>620</v>
      </c>
      <c r="G5521" s="89">
        <v>2022</v>
      </c>
      <c r="H5521" s="313" t="s">
        <v>5816</v>
      </c>
      <c r="I5521" s="311" t="str">
        <f t="shared" si="230"/>
        <v>Pesado de Passageiros M3:  : Gasóleo : E6 D/E E7</v>
      </c>
      <c r="J5521">
        <v>25</v>
      </c>
      <c r="K5521" s="422">
        <v>2023</v>
      </c>
      <c r="L5521">
        <v>7471.1</v>
      </c>
      <c r="M5521" t="s">
        <v>630</v>
      </c>
      <c r="N5521" s="131">
        <v>34075</v>
      </c>
      <c r="O5521" s="436">
        <f t="shared" si="231"/>
        <v>851875</v>
      </c>
      <c r="Q5521" s="422" t="s">
        <v>47</v>
      </c>
      <c r="R5521" s="422" t="s">
        <v>1869</v>
      </c>
      <c r="S5521" s="422" t="s">
        <v>1861</v>
      </c>
      <c r="T5521" t="s">
        <v>4825</v>
      </c>
      <c r="U5521" s="422" t="s">
        <v>1953</v>
      </c>
      <c r="V5521" s="422" t="s">
        <v>2813</v>
      </c>
    </row>
    <row r="5522" spans="1:22" ht="15.75" thickBot="1" x14ac:dyDescent="0.3">
      <c r="A5522" t="s">
        <v>1910</v>
      </c>
      <c r="B5522" t="s">
        <v>1910</v>
      </c>
      <c r="C5522" s="424" t="str">
        <f t="shared" si="232"/>
        <v>Rodoviária de Lisboa, S.A.</v>
      </c>
      <c r="D5522" t="s">
        <v>629</v>
      </c>
      <c r="F5522" s="422" t="s">
        <v>620</v>
      </c>
      <c r="G5522" s="89">
        <v>2022</v>
      </c>
      <c r="H5522" s="313" t="s">
        <v>5816</v>
      </c>
      <c r="I5522" s="311" t="str">
        <f t="shared" si="230"/>
        <v>Pesado de Passageiros M3:  : Gasóleo : E6 D/E E7</v>
      </c>
      <c r="J5522">
        <v>83</v>
      </c>
      <c r="K5522" s="422">
        <v>2023</v>
      </c>
      <c r="L5522">
        <v>29220.9</v>
      </c>
      <c r="M5522" t="s">
        <v>630</v>
      </c>
      <c r="N5522" s="131">
        <v>85781</v>
      </c>
      <c r="O5522" s="436">
        <f t="shared" si="231"/>
        <v>7119823</v>
      </c>
      <c r="Q5522" s="422" t="s">
        <v>47</v>
      </c>
      <c r="R5522" s="422" t="s">
        <v>1869</v>
      </c>
      <c r="S5522" s="422" t="s">
        <v>1861</v>
      </c>
      <c r="T5522" t="s">
        <v>4825</v>
      </c>
      <c r="U5522" s="422" t="s">
        <v>1953</v>
      </c>
      <c r="V5522" s="422" t="s">
        <v>2813</v>
      </c>
    </row>
    <row r="5523" spans="1:22" ht="15.75" thickBot="1" x14ac:dyDescent="0.3">
      <c r="A5523" t="s">
        <v>1910</v>
      </c>
      <c r="B5523" t="s">
        <v>1910</v>
      </c>
      <c r="C5523" s="424" t="str">
        <f t="shared" si="232"/>
        <v>Rodoviária de Lisboa, S.A.</v>
      </c>
      <c r="D5523" t="s">
        <v>629</v>
      </c>
      <c r="F5523" s="422" t="s">
        <v>620</v>
      </c>
      <c r="G5523" s="89">
        <v>2022</v>
      </c>
      <c r="H5523" s="313" t="s">
        <v>5816</v>
      </c>
      <c r="I5523" s="311" t="str">
        <f t="shared" si="230"/>
        <v>Pesado de Passageiros M3:  : Gasóleo : E6 D/E E7</v>
      </c>
      <c r="J5523">
        <v>109</v>
      </c>
      <c r="K5523" s="422">
        <v>2023</v>
      </c>
      <c r="L5523">
        <v>19580.400000000001</v>
      </c>
      <c r="M5523" t="s">
        <v>630</v>
      </c>
      <c r="N5523" s="131">
        <v>49884</v>
      </c>
      <c r="O5523" s="436">
        <f t="shared" si="231"/>
        <v>5437356</v>
      </c>
      <c r="Q5523" s="422" t="s">
        <v>47</v>
      </c>
      <c r="R5523" s="422" t="s">
        <v>1869</v>
      </c>
      <c r="S5523" s="422" t="s">
        <v>1861</v>
      </c>
      <c r="T5523" t="s">
        <v>4825</v>
      </c>
      <c r="U5523" s="422" t="s">
        <v>1953</v>
      </c>
      <c r="V5523" s="422" t="s">
        <v>2813</v>
      </c>
    </row>
    <row r="5524" spans="1:22" ht="15.75" thickBot="1" x14ac:dyDescent="0.3">
      <c r="A5524" t="s">
        <v>1910</v>
      </c>
      <c r="B5524" t="s">
        <v>1910</v>
      </c>
      <c r="C5524" s="424" t="str">
        <f t="shared" si="232"/>
        <v>Rodoviária de Lisboa, S.A.</v>
      </c>
      <c r="D5524" t="s">
        <v>629</v>
      </c>
      <c r="F5524" s="422" t="s">
        <v>620</v>
      </c>
      <c r="G5524" s="89">
        <v>2022</v>
      </c>
      <c r="H5524" s="313" t="s">
        <v>5816</v>
      </c>
      <c r="I5524" s="311" t="str">
        <f t="shared" si="230"/>
        <v>Pesado de Passageiros M3:  : Gasóleo : E6 D/E E7</v>
      </c>
      <c r="J5524">
        <v>109</v>
      </c>
      <c r="K5524" s="422">
        <v>2023</v>
      </c>
      <c r="L5524">
        <v>18851.8</v>
      </c>
      <c r="M5524" t="s">
        <v>630</v>
      </c>
      <c r="N5524" s="131">
        <v>49725</v>
      </c>
      <c r="O5524" s="436">
        <f t="shared" si="231"/>
        <v>5420025</v>
      </c>
      <c r="Q5524" s="422" t="s">
        <v>47</v>
      </c>
      <c r="R5524" s="422" t="s">
        <v>1869</v>
      </c>
      <c r="S5524" s="422" t="s">
        <v>1861</v>
      </c>
      <c r="T5524" t="s">
        <v>4825</v>
      </c>
      <c r="U5524" s="422" t="s">
        <v>1953</v>
      </c>
      <c r="V5524" s="422" t="s">
        <v>2813</v>
      </c>
    </row>
    <row r="5525" spans="1:22" ht="15.75" thickBot="1" x14ac:dyDescent="0.3">
      <c r="A5525" t="s">
        <v>1910</v>
      </c>
      <c r="B5525" t="s">
        <v>1910</v>
      </c>
      <c r="C5525" s="424" t="str">
        <f t="shared" si="232"/>
        <v>Rodoviária de Lisboa, S.A.</v>
      </c>
      <c r="D5525" t="s">
        <v>629</v>
      </c>
      <c r="F5525" s="422" t="s">
        <v>620</v>
      </c>
      <c r="G5525" s="89">
        <v>2022</v>
      </c>
      <c r="H5525" s="313" t="s">
        <v>5816</v>
      </c>
      <c r="I5525" s="311" t="str">
        <f t="shared" si="230"/>
        <v>Pesado de Passageiros M3:  : Gasóleo : E6 D/E E7</v>
      </c>
      <c r="J5525">
        <v>109</v>
      </c>
      <c r="K5525" s="422">
        <v>2023</v>
      </c>
      <c r="L5525">
        <v>24226.5</v>
      </c>
      <c r="M5525" t="s">
        <v>630</v>
      </c>
      <c r="N5525" s="131">
        <v>58508</v>
      </c>
      <c r="O5525" s="436">
        <f t="shared" si="231"/>
        <v>6377372</v>
      </c>
      <c r="Q5525" s="422" t="s">
        <v>47</v>
      </c>
      <c r="R5525" s="422" t="s">
        <v>1869</v>
      </c>
      <c r="S5525" s="422" t="s">
        <v>1861</v>
      </c>
      <c r="T5525" t="s">
        <v>4825</v>
      </c>
      <c r="U5525" s="422" t="s">
        <v>1953</v>
      </c>
      <c r="V5525" s="422" t="s">
        <v>2813</v>
      </c>
    </row>
    <row r="5526" spans="1:22" ht="15.75" thickBot="1" x14ac:dyDescent="0.3">
      <c r="A5526" t="s">
        <v>1910</v>
      </c>
      <c r="B5526" t="s">
        <v>1910</v>
      </c>
      <c r="C5526" s="424" t="str">
        <f t="shared" si="232"/>
        <v>Rodoviária de Lisboa, S.A.</v>
      </c>
      <c r="D5526" t="s">
        <v>629</v>
      </c>
      <c r="F5526" s="422" t="s">
        <v>620</v>
      </c>
      <c r="G5526" s="89">
        <v>2022</v>
      </c>
      <c r="H5526" s="313" t="s">
        <v>5816</v>
      </c>
      <c r="I5526" s="311" t="str">
        <f t="shared" si="230"/>
        <v>Pesado de Passageiros M3:  : Gasóleo : E6 D/E E7</v>
      </c>
      <c r="J5526">
        <v>109</v>
      </c>
      <c r="K5526" s="422">
        <v>2023</v>
      </c>
      <c r="L5526">
        <v>20533.5</v>
      </c>
      <c r="M5526" t="s">
        <v>630</v>
      </c>
      <c r="N5526" s="131">
        <v>45867</v>
      </c>
      <c r="O5526" s="436">
        <f t="shared" si="231"/>
        <v>4999503</v>
      </c>
      <c r="Q5526" s="422" t="s">
        <v>47</v>
      </c>
      <c r="R5526" s="422" t="s">
        <v>1869</v>
      </c>
      <c r="S5526" s="422" t="s">
        <v>1861</v>
      </c>
      <c r="T5526" t="s">
        <v>4825</v>
      </c>
      <c r="U5526" s="422" t="s">
        <v>1953</v>
      </c>
      <c r="V5526" s="422" t="s">
        <v>2813</v>
      </c>
    </row>
    <row r="5527" spans="1:22" ht="15.75" thickBot="1" x14ac:dyDescent="0.3">
      <c r="A5527" t="s">
        <v>1910</v>
      </c>
      <c r="B5527" t="s">
        <v>1910</v>
      </c>
      <c r="C5527" s="424" t="str">
        <f t="shared" si="232"/>
        <v>Rodoviária de Lisboa, S.A.</v>
      </c>
      <c r="D5527" t="s">
        <v>629</v>
      </c>
      <c r="F5527" s="422" t="s">
        <v>620</v>
      </c>
      <c r="G5527" s="89">
        <v>2022</v>
      </c>
      <c r="H5527" s="313" t="s">
        <v>5816</v>
      </c>
      <c r="I5527" s="311" t="str">
        <f t="shared" si="230"/>
        <v>Pesado de Passageiros M3:  : Gasóleo : E6 D/E E7</v>
      </c>
      <c r="J5527">
        <v>109</v>
      </c>
      <c r="K5527" s="422">
        <v>2023</v>
      </c>
      <c r="L5527">
        <v>17640</v>
      </c>
      <c r="M5527" t="s">
        <v>630</v>
      </c>
      <c r="N5527" s="131">
        <v>45317</v>
      </c>
      <c r="O5527" s="436">
        <f t="shared" si="231"/>
        <v>4939553</v>
      </c>
      <c r="Q5527" s="422" t="s">
        <v>47</v>
      </c>
      <c r="R5527" s="422" t="s">
        <v>1869</v>
      </c>
      <c r="S5527" s="422" t="s">
        <v>1861</v>
      </c>
      <c r="T5527" t="s">
        <v>4825</v>
      </c>
      <c r="U5527" s="422" t="s">
        <v>1953</v>
      </c>
      <c r="V5527" s="422" t="s">
        <v>2813</v>
      </c>
    </row>
    <row r="5528" spans="1:22" ht="15.75" thickBot="1" x14ac:dyDescent="0.3">
      <c r="A5528" t="s">
        <v>1910</v>
      </c>
      <c r="B5528" t="s">
        <v>1910</v>
      </c>
      <c r="C5528" s="424" t="str">
        <f t="shared" si="232"/>
        <v>Rodoviária de Lisboa, S.A.</v>
      </c>
      <c r="D5528" t="s">
        <v>629</v>
      </c>
      <c r="F5528" s="422" t="s">
        <v>620</v>
      </c>
      <c r="G5528" s="89">
        <v>2022</v>
      </c>
      <c r="H5528" s="313" t="s">
        <v>5816</v>
      </c>
      <c r="I5528" s="311" t="str">
        <f t="shared" si="230"/>
        <v>Pesado de Passageiros M3:  : Gasóleo : E6 D/E E7</v>
      </c>
      <c r="J5528">
        <v>109</v>
      </c>
      <c r="K5528" s="422">
        <v>2023</v>
      </c>
      <c r="L5528">
        <v>18536.400000000001</v>
      </c>
      <c r="M5528" t="s">
        <v>630</v>
      </c>
      <c r="N5528" s="131">
        <v>47211</v>
      </c>
      <c r="O5528" s="436">
        <f t="shared" si="231"/>
        <v>5145999</v>
      </c>
      <c r="Q5528" s="422" t="s">
        <v>47</v>
      </c>
      <c r="R5528" s="422" t="s">
        <v>1869</v>
      </c>
      <c r="S5528" s="422" t="s">
        <v>1861</v>
      </c>
      <c r="T5528" t="s">
        <v>4825</v>
      </c>
      <c r="U5528" s="422" t="s">
        <v>1953</v>
      </c>
      <c r="V5528" s="422" t="s">
        <v>2813</v>
      </c>
    </row>
    <row r="5529" spans="1:22" ht="15.75" thickBot="1" x14ac:dyDescent="0.3">
      <c r="A5529" t="s">
        <v>1910</v>
      </c>
      <c r="B5529" t="s">
        <v>1910</v>
      </c>
      <c r="C5529" s="424" t="str">
        <f t="shared" si="232"/>
        <v>Rodoviária de Lisboa, S.A.</v>
      </c>
      <c r="D5529" t="s">
        <v>629</v>
      </c>
      <c r="F5529" s="422" t="s">
        <v>620</v>
      </c>
      <c r="G5529" s="89">
        <v>2022</v>
      </c>
      <c r="H5529" s="313" t="s">
        <v>5816</v>
      </c>
      <c r="I5529" s="311" t="str">
        <f t="shared" si="230"/>
        <v>Pesado de Passageiros M3:  : Gasóleo : E6 D/E E7</v>
      </c>
      <c r="J5529">
        <v>109</v>
      </c>
      <c r="K5529" s="422">
        <v>2023</v>
      </c>
      <c r="L5529">
        <v>18544.7</v>
      </c>
      <c r="M5529" t="s">
        <v>630</v>
      </c>
      <c r="N5529" s="131">
        <v>43188</v>
      </c>
      <c r="O5529" s="436">
        <f t="shared" si="231"/>
        <v>4707492</v>
      </c>
      <c r="Q5529" s="422" t="s">
        <v>47</v>
      </c>
      <c r="R5529" s="422" t="s">
        <v>1869</v>
      </c>
      <c r="S5529" s="422" t="s">
        <v>1861</v>
      </c>
      <c r="T5529" t="s">
        <v>4825</v>
      </c>
      <c r="U5529" s="422" t="s">
        <v>1953</v>
      </c>
      <c r="V5529" s="422" t="s">
        <v>2813</v>
      </c>
    </row>
    <row r="5530" spans="1:22" ht="15.75" thickBot="1" x14ac:dyDescent="0.3">
      <c r="A5530" t="s">
        <v>1910</v>
      </c>
      <c r="B5530" t="s">
        <v>1910</v>
      </c>
      <c r="C5530" s="424" t="str">
        <f t="shared" si="232"/>
        <v>Rodoviária de Lisboa, S.A.</v>
      </c>
      <c r="D5530" t="s">
        <v>629</v>
      </c>
      <c r="F5530" s="422" t="s">
        <v>620</v>
      </c>
      <c r="G5530" s="89">
        <v>2022</v>
      </c>
      <c r="H5530" s="313" t="s">
        <v>5816</v>
      </c>
      <c r="I5530" s="311" t="str">
        <f t="shared" si="230"/>
        <v>Pesado de Passageiros M3:  : Gasóleo : E6 D/E E7</v>
      </c>
      <c r="J5530">
        <v>109</v>
      </c>
      <c r="K5530" s="422">
        <v>2023</v>
      </c>
      <c r="L5530">
        <v>20164.099999999999</v>
      </c>
      <c r="M5530" t="s">
        <v>630</v>
      </c>
      <c r="N5530" s="131">
        <v>52941</v>
      </c>
      <c r="O5530" s="436">
        <f t="shared" si="231"/>
        <v>5770569</v>
      </c>
      <c r="Q5530" s="422" t="s">
        <v>47</v>
      </c>
      <c r="R5530" s="422" t="s">
        <v>1869</v>
      </c>
      <c r="S5530" s="422" t="s">
        <v>1861</v>
      </c>
      <c r="T5530" t="s">
        <v>4825</v>
      </c>
      <c r="U5530" s="422" t="s">
        <v>1953</v>
      </c>
      <c r="V5530" s="422" t="s">
        <v>2813</v>
      </c>
    </row>
    <row r="5531" spans="1:22" ht="15.75" thickBot="1" x14ac:dyDescent="0.3">
      <c r="A5531" t="s">
        <v>1910</v>
      </c>
      <c r="B5531" t="s">
        <v>1910</v>
      </c>
      <c r="C5531" s="424" t="str">
        <f t="shared" si="232"/>
        <v>Rodoviária de Lisboa, S.A.</v>
      </c>
      <c r="D5531" t="s">
        <v>629</v>
      </c>
      <c r="F5531" s="422" t="s">
        <v>620</v>
      </c>
      <c r="G5531" s="89">
        <v>2022</v>
      </c>
      <c r="H5531" s="313" t="s">
        <v>5816</v>
      </c>
      <c r="I5531" s="311" t="str">
        <f t="shared" si="230"/>
        <v>Pesado de Passageiros M3:  : Gasóleo : E6 D/E E7</v>
      </c>
      <c r="J5531">
        <v>25</v>
      </c>
      <c r="K5531" s="422">
        <v>2023</v>
      </c>
      <c r="L5531">
        <v>8388</v>
      </c>
      <c r="M5531" t="s">
        <v>630</v>
      </c>
      <c r="N5531" s="131">
        <v>40806</v>
      </c>
      <c r="O5531" s="436">
        <f t="shared" si="231"/>
        <v>1020150</v>
      </c>
      <c r="Q5531" s="422" t="s">
        <v>47</v>
      </c>
      <c r="R5531" s="422" t="s">
        <v>1869</v>
      </c>
      <c r="S5531" s="422" t="s">
        <v>1861</v>
      </c>
      <c r="T5531" t="s">
        <v>4825</v>
      </c>
      <c r="U5531" s="422" t="s">
        <v>1953</v>
      </c>
      <c r="V5531" s="422" t="s">
        <v>2813</v>
      </c>
    </row>
    <row r="5532" spans="1:22" ht="15.75" thickBot="1" x14ac:dyDescent="0.3">
      <c r="A5532" t="s">
        <v>1910</v>
      </c>
      <c r="B5532" t="s">
        <v>1910</v>
      </c>
      <c r="C5532" s="424" t="str">
        <f t="shared" si="232"/>
        <v>Rodoviária de Lisboa, S.A.</v>
      </c>
      <c r="D5532" t="s">
        <v>629</v>
      </c>
      <c r="F5532" s="422" t="s">
        <v>620</v>
      </c>
      <c r="G5532" s="89">
        <v>2022</v>
      </c>
      <c r="H5532" s="313" t="s">
        <v>5816</v>
      </c>
      <c r="I5532" s="311" t="str">
        <f t="shared" si="230"/>
        <v>Pesado de Passageiros M3:  : Gasóleo : E6 D/E E7</v>
      </c>
      <c r="J5532">
        <v>109</v>
      </c>
      <c r="K5532" s="422">
        <v>2023</v>
      </c>
      <c r="L5532">
        <v>24365.8</v>
      </c>
      <c r="M5532" t="s">
        <v>630</v>
      </c>
      <c r="N5532" s="131">
        <v>55875</v>
      </c>
      <c r="O5532" s="436">
        <f t="shared" si="231"/>
        <v>6090375</v>
      </c>
      <c r="Q5532" s="422" t="s">
        <v>47</v>
      </c>
      <c r="R5532" s="422" t="s">
        <v>1869</v>
      </c>
      <c r="S5532" s="422" t="s">
        <v>1861</v>
      </c>
      <c r="T5532" t="s">
        <v>4825</v>
      </c>
      <c r="U5532" s="422" t="s">
        <v>1953</v>
      </c>
      <c r="V5532" s="422" t="s">
        <v>2813</v>
      </c>
    </row>
    <row r="5533" spans="1:22" ht="15.75" thickBot="1" x14ac:dyDescent="0.3">
      <c r="A5533" t="s">
        <v>1910</v>
      </c>
      <c r="B5533" t="s">
        <v>1910</v>
      </c>
      <c r="C5533" s="424" t="str">
        <f t="shared" si="232"/>
        <v>Rodoviária de Lisboa, S.A.</v>
      </c>
      <c r="D5533" t="s">
        <v>629</v>
      </c>
      <c r="F5533" s="422" t="s">
        <v>620</v>
      </c>
      <c r="G5533" s="89">
        <v>2022</v>
      </c>
      <c r="H5533" s="313" t="s">
        <v>5816</v>
      </c>
      <c r="I5533" s="311" t="str">
        <f t="shared" si="230"/>
        <v>Pesado de Passageiros M3:  : Gasóleo : E6 D/E E7</v>
      </c>
      <c r="J5533">
        <v>83</v>
      </c>
      <c r="K5533" s="422">
        <v>2023</v>
      </c>
      <c r="L5533">
        <v>21525.9</v>
      </c>
      <c r="M5533" t="s">
        <v>630</v>
      </c>
      <c r="N5533" s="131">
        <v>60076</v>
      </c>
      <c r="O5533" s="436">
        <f t="shared" si="231"/>
        <v>4986308</v>
      </c>
      <c r="Q5533" s="422" t="s">
        <v>47</v>
      </c>
      <c r="R5533" s="422" t="s">
        <v>1869</v>
      </c>
      <c r="S5533" s="422" t="s">
        <v>1861</v>
      </c>
      <c r="T5533" t="s">
        <v>4825</v>
      </c>
      <c r="U5533" s="422" t="s">
        <v>1953</v>
      </c>
      <c r="V5533" s="422" t="s">
        <v>2813</v>
      </c>
    </row>
    <row r="5534" spans="1:22" ht="15.75" thickBot="1" x14ac:dyDescent="0.3">
      <c r="A5534" t="s">
        <v>1910</v>
      </c>
      <c r="B5534" t="s">
        <v>1910</v>
      </c>
      <c r="C5534" s="424" t="str">
        <f t="shared" si="232"/>
        <v>Rodoviária de Lisboa, S.A.</v>
      </c>
      <c r="D5534" t="s">
        <v>629</v>
      </c>
      <c r="F5534" s="422" t="s">
        <v>620</v>
      </c>
      <c r="G5534" s="89">
        <v>2022</v>
      </c>
      <c r="H5534" s="313" t="s">
        <v>5816</v>
      </c>
      <c r="I5534" s="311" t="str">
        <f t="shared" si="230"/>
        <v>Pesado de Passageiros M3:  : Gasóleo : E6 D/E E7</v>
      </c>
      <c r="J5534">
        <v>25</v>
      </c>
      <c r="K5534" s="422">
        <v>2023</v>
      </c>
      <c r="L5534">
        <v>6108.8</v>
      </c>
      <c r="M5534" t="s">
        <v>630</v>
      </c>
      <c r="N5534" s="131">
        <v>33922</v>
      </c>
      <c r="O5534" s="436">
        <f t="shared" si="231"/>
        <v>848050</v>
      </c>
      <c r="Q5534" s="422" t="s">
        <v>47</v>
      </c>
      <c r="R5534" s="422" t="s">
        <v>1869</v>
      </c>
      <c r="S5534" s="422" t="s">
        <v>1861</v>
      </c>
      <c r="T5534" t="s">
        <v>4825</v>
      </c>
      <c r="U5534" s="422" t="s">
        <v>1953</v>
      </c>
      <c r="V5534" s="422" t="s">
        <v>2813</v>
      </c>
    </row>
    <row r="5535" spans="1:22" ht="15.75" thickBot="1" x14ac:dyDescent="0.3">
      <c r="A5535" t="s">
        <v>1910</v>
      </c>
      <c r="B5535" t="s">
        <v>1910</v>
      </c>
      <c r="C5535" s="424" t="str">
        <f t="shared" si="232"/>
        <v>Rodoviária de Lisboa, S.A.</v>
      </c>
      <c r="D5535" t="s">
        <v>629</v>
      </c>
      <c r="F5535" s="422" t="s">
        <v>620</v>
      </c>
      <c r="G5535" s="89">
        <v>2022</v>
      </c>
      <c r="H5535" s="313" t="s">
        <v>5816</v>
      </c>
      <c r="I5535" s="311" t="str">
        <f t="shared" si="230"/>
        <v>Pesado de Passageiros M3:  : Gasóleo : E6 D/E E7</v>
      </c>
      <c r="J5535">
        <v>109</v>
      </c>
      <c r="K5535" s="422">
        <v>2023</v>
      </c>
      <c r="L5535">
        <v>22850</v>
      </c>
      <c r="M5535" t="s">
        <v>630</v>
      </c>
      <c r="N5535" s="131">
        <v>47929</v>
      </c>
      <c r="O5535" s="436">
        <f t="shared" si="231"/>
        <v>5224261</v>
      </c>
      <c r="Q5535" s="422" t="s">
        <v>47</v>
      </c>
      <c r="R5535" s="422" t="s">
        <v>1869</v>
      </c>
      <c r="S5535" s="422" t="s">
        <v>1861</v>
      </c>
      <c r="T5535" t="s">
        <v>4825</v>
      </c>
      <c r="U5535" s="422" t="s">
        <v>1953</v>
      </c>
      <c r="V5535" s="422" t="s">
        <v>2813</v>
      </c>
    </row>
    <row r="5536" spans="1:22" ht="15.75" thickBot="1" x14ac:dyDescent="0.3">
      <c r="A5536" t="s">
        <v>1910</v>
      </c>
      <c r="B5536" t="s">
        <v>1910</v>
      </c>
      <c r="C5536" s="424" t="str">
        <f t="shared" si="232"/>
        <v>Rodoviária de Lisboa, S.A.</v>
      </c>
      <c r="D5536" t="s">
        <v>629</v>
      </c>
      <c r="F5536" s="422" t="s">
        <v>620</v>
      </c>
      <c r="G5536" s="89">
        <v>2022</v>
      </c>
      <c r="H5536" s="313" t="s">
        <v>5816</v>
      </c>
      <c r="I5536" s="311" t="str">
        <f t="shared" si="230"/>
        <v>Pesado de Passageiros M3:  : Gasóleo : E6 D/E E7</v>
      </c>
      <c r="J5536">
        <v>83</v>
      </c>
      <c r="K5536" s="422">
        <v>2023</v>
      </c>
      <c r="L5536">
        <v>24388.799999999999</v>
      </c>
      <c r="M5536" t="s">
        <v>630</v>
      </c>
      <c r="N5536" s="131">
        <v>67995</v>
      </c>
      <c r="O5536" s="436">
        <f t="shared" si="231"/>
        <v>5643585</v>
      </c>
      <c r="Q5536" s="422" t="s">
        <v>47</v>
      </c>
      <c r="R5536" s="422" t="s">
        <v>1869</v>
      </c>
      <c r="S5536" s="422" t="s">
        <v>1861</v>
      </c>
      <c r="T5536" t="s">
        <v>4825</v>
      </c>
      <c r="U5536" s="422" t="s">
        <v>1953</v>
      </c>
      <c r="V5536" s="422" t="s">
        <v>2813</v>
      </c>
    </row>
    <row r="5537" spans="1:22" ht="15.75" thickBot="1" x14ac:dyDescent="0.3">
      <c r="A5537" t="s">
        <v>1910</v>
      </c>
      <c r="B5537" t="s">
        <v>1910</v>
      </c>
      <c r="C5537" s="424" t="str">
        <f t="shared" si="232"/>
        <v>Rodoviária de Lisboa, S.A.</v>
      </c>
      <c r="D5537" t="s">
        <v>629</v>
      </c>
      <c r="F5537" s="422" t="s">
        <v>620</v>
      </c>
      <c r="G5537" s="89">
        <v>2022</v>
      </c>
      <c r="H5537" s="313" t="s">
        <v>5816</v>
      </c>
      <c r="I5537" s="311" t="str">
        <f t="shared" si="230"/>
        <v>Pesado de Passageiros M3:  : Gasóleo : E6 D/E E7</v>
      </c>
      <c r="J5537">
        <v>109</v>
      </c>
      <c r="K5537" s="422">
        <v>2023</v>
      </c>
      <c r="L5537">
        <v>22405</v>
      </c>
      <c r="M5537" t="s">
        <v>630</v>
      </c>
      <c r="N5537" s="131">
        <v>50312</v>
      </c>
      <c r="O5537" s="436">
        <f t="shared" si="231"/>
        <v>5484008</v>
      </c>
      <c r="Q5537" s="422" t="s">
        <v>47</v>
      </c>
      <c r="R5537" s="422" t="s">
        <v>1869</v>
      </c>
      <c r="S5537" s="422" t="s">
        <v>1861</v>
      </c>
      <c r="T5537" t="s">
        <v>4825</v>
      </c>
      <c r="U5537" s="422" t="s">
        <v>1953</v>
      </c>
      <c r="V5537" s="422" t="s">
        <v>2813</v>
      </c>
    </row>
    <row r="5538" spans="1:22" ht="15.75" thickBot="1" x14ac:dyDescent="0.3">
      <c r="A5538" t="s">
        <v>1910</v>
      </c>
      <c r="B5538" t="s">
        <v>1910</v>
      </c>
      <c r="C5538" s="424" t="str">
        <f t="shared" si="232"/>
        <v>Rodoviária de Lisboa, S.A.</v>
      </c>
      <c r="D5538" t="s">
        <v>629</v>
      </c>
      <c r="F5538" s="422" t="s">
        <v>620</v>
      </c>
      <c r="G5538" s="89">
        <v>2022</v>
      </c>
      <c r="H5538" s="313" t="s">
        <v>5816</v>
      </c>
      <c r="I5538" s="311" t="str">
        <f t="shared" ref="I5538:I5601" si="233">D5538&amp;": "&amp;E5538&amp;" : "&amp;F5538&amp;" : "&amp;H5538</f>
        <v>Pesado de Passageiros M3:  : Gasóleo : E6 D/E E7</v>
      </c>
      <c r="J5538">
        <v>109</v>
      </c>
      <c r="K5538" s="422">
        <v>2023</v>
      </c>
      <c r="L5538">
        <v>25648.2</v>
      </c>
      <c r="M5538" t="s">
        <v>630</v>
      </c>
      <c r="N5538" s="131">
        <v>61201</v>
      </c>
      <c r="O5538" s="436">
        <f t="shared" ref="O5538:O5601" si="234">N5538*J5538</f>
        <v>6670909</v>
      </c>
      <c r="Q5538" s="422" t="s">
        <v>47</v>
      </c>
      <c r="R5538" s="422" t="s">
        <v>1869</v>
      </c>
      <c r="S5538" s="422" t="s">
        <v>1861</v>
      </c>
      <c r="T5538" t="s">
        <v>4825</v>
      </c>
      <c r="U5538" s="422" t="s">
        <v>1953</v>
      </c>
      <c r="V5538" s="422" t="s">
        <v>2813</v>
      </c>
    </row>
    <row r="5539" spans="1:22" ht="15.75" thickBot="1" x14ac:dyDescent="0.3">
      <c r="A5539" t="s">
        <v>1910</v>
      </c>
      <c r="B5539" t="s">
        <v>1910</v>
      </c>
      <c r="C5539" s="424" t="str">
        <f t="shared" si="232"/>
        <v>Rodoviária de Lisboa, S.A.</v>
      </c>
      <c r="D5539" t="s">
        <v>629</v>
      </c>
      <c r="F5539" s="422" t="s">
        <v>620</v>
      </c>
      <c r="G5539" s="89">
        <v>2022</v>
      </c>
      <c r="H5539" s="313" t="s">
        <v>5816</v>
      </c>
      <c r="I5539" s="311" t="str">
        <f t="shared" si="233"/>
        <v>Pesado de Passageiros M3:  : Gasóleo : E6 D/E E7</v>
      </c>
      <c r="J5539">
        <v>89</v>
      </c>
      <c r="K5539" s="422">
        <v>2023</v>
      </c>
      <c r="L5539">
        <v>30521</v>
      </c>
      <c r="M5539" t="s">
        <v>630</v>
      </c>
      <c r="N5539" s="131">
        <v>75804</v>
      </c>
      <c r="O5539" s="436">
        <f t="shared" si="234"/>
        <v>6746556</v>
      </c>
      <c r="Q5539" s="422" t="s">
        <v>47</v>
      </c>
      <c r="R5539" s="422" t="s">
        <v>1869</v>
      </c>
      <c r="S5539" s="422" t="s">
        <v>1861</v>
      </c>
      <c r="T5539" t="s">
        <v>4825</v>
      </c>
      <c r="U5539" s="422" t="s">
        <v>1953</v>
      </c>
      <c r="V5539" s="422" t="s">
        <v>2813</v>
      </c>
    </row>
    <row r="5540" spans="1:22" ht="15.75" thickBot="1" x14ac:dyDescent="0.3">
      <c r="A5540" t="s">
        <v>1910</v>
      </c>
      <c r="B5540" t="s">
        <v>1910</v>
      </c>
      <c r="C5540" s="424" t="str">
        <f t="shared" si="232"/>
        <v>Rodoviária de Lisboa, S.A.</v>
      </c>
      <c r="D5540" t="s">
        <v>629</v>
      </c>
      <c r="F5540" s="422" t="s">
        <v>620</v>
      </c>
      <c r="G5540" s="89">
        <v>2022</v>
      </c>
      <c r="H5540" s="313" t="s">
        <v>5816</v>
      </c>
      <c r="I5540" s="311" t="str">
        <f t="shared" si="233"/>
        <v>Pesado de Passageiros M3:  : Gasóleo : E6 D/E E7</v>
      </c>
      <c r="J5540">
        <v>109</v>
      </c>
      <c r="K5540" s="422">
        <v>2023</v>
      </c>
      <c r="L5540">
        <v>24761.3</v>
      </c>
      <c r="M5540" t="s">
        <v>630</v>
      </c>
      <c r="N5540" s="131">
        <v>60131</v>
      </c>
      <c r="O5540" s="436">
        <f t="shared" si="234"/>
        <v>6554279</v>
      </c>
      <c r="Q5540" s="422" t="s">
        <v>47</v>
      </c>
      <c r="R5540" s="422" t="s">
        <v>1869</v>
      </c>
      <c r="S5540" s="422" t="s">
        <v>1861</v>
      </c>
      <c r="T5540" t="s">
        <v>4825</v>
      </c>
      <c r="U5540" s="422" t="s">
        <v>1953</v>
      </c>
      <c r="V5540" s="422" t="s">
        <v>2813</v>
      </c>
    </row>
    <row r="5541" spans="1:22" ht="15.75" thickBot="1" x14ac:dyDescent="0.3">
      <c r="A5541" t="s">
        <v>1910</v>
      </c>
      <c r="B5541" t="s">
        <v>1910</v>
      </c>
      <c r="C5541" s="424" t="str">
        <f t="shared" si="232"/>
        <v>Rodoviária de Lisboa, S.A.</v>
      </c>
      <c r="D5541" t="s">
        <v>629</v>
      </c>
      <c r="F5541" s="422" t="s">
        <v>620</v>
      </c>
      <c r="G5541" s="89">
        <v>2022</v>
      </c>
      <c r="H5541" s="313" t="s">
        <v>5816</v>
      </c>
      <c r="I5541" s="311" t="str">
        <f t="shared" si="233"/>
        <v>Pesado de Passageiros M3:  : Gasóleo : E6 D/E E7</v>
      </c>
      <c r="J5541">
        <v>109</v>
      </c>
      <c r="K5541" s="422">
        <v>2023</v>
      </c>
      <c r="L5541">
        <v>23429.5</v>
      </c>
      <c r="M5541" t="s">
        <v>630</v>
      </c>
      <c r="N5541" s="131">
        <v>51025</v>
      </c>
      <c r="O5541" s="436">
        <f t="shared" si="234"/>
        <v>5561725</v>
      </c>
      <c r="Q5541" s="422" t="s">
        <v>47</v>
      </c>
      <c r="R5541" s="422" t="s">
        <v>1869</v>
      </c>
      <c r="S5541" s="422" t="s">
        <v>1861</v>
      </c>
      <c r="T5541" t="s">
        <v>4825</v>
      </c>
      <c r="U5541" s="422" t="s">
        <v>1953</v>
      </c>
      <c r="V5541" s="422" t="s">
        <v>2813</v>
      </c>
    </row>
    <row r="5542" spans="1:22" ht="15.75" thickBot="1" x14ac:dyDescent="0.3">
      <c r="A5542" t="s">
        <v>1910</v>
      </c>
      <c r="B5542" t="s">
        <v>1910</v>
      </c>
      <c r="C5542" s="424" t="str">
        <f t="shared" si="232"/>
        <v>Rodoviária de Lisboa, S.A.</v>
      </c>
      <c r="D5542" t="s">
        <v>629</v>
      </c>
      <c r="F5542" s="422" t="s">
        <v>620</v>
      </c>
      <c r="G5542" s="89">
        <v>2022</v>
      </c>
      <c r="H5542" s="313" t="s">
        <v>5816</v>
      </c>
      <c r="I5542" s="311" t="str">
        <f t="shared" si="233"/>
        <v>Pesado de Passageiros M3:  : Gasóleo : E6 D/E E7</v>
      </c>
      <c r="J5542">
        <v>109</v>
      </c>
      <c r="K5542" s="422">
        <v>2023</v>
      </c>
      <c r="L5542">
        <v>21857.4</v>
      </c>
      <c r="M5542" t="s">
        <v>630</v>
      </c>
      <c r="N5542" s="131">
        <v>51870</v>
      </c>
      <c r="O5542" s="436">
        <f t="shared" si="234"/>
        <v>5653830</v>
      </c>
      <c r="Q5542" s="422" t="s">
        <v>47</v>
      </c>
      <c r="R5542" s="422" t="s">
        <v>1869</v>
      </c>
      <c r="S5542" s="422" t="s">
        <v>1861</v>
      </c>
      <c r="T5542" t="s">
        <v>4825</v>
      </c>
      <c r="U5542" s="422" t="s">
        <v>1953</v>
      </c>
      <c r="V5542" s="422" t="s">
        <v>2813</v>
      </c>
    </row>
    <row r="5543" spans="1:22" ht="15.75" thickBot="1" x14ac:dyDescent="0.3">
      <c r="A5543" t="s">
        <v>1910</v>
      </c>
      <c r="B5543" t="s">
        <v>1910</v>
      </c>
      <c r="C5543" s="424" t="str">
        <f t="shared" si="232"/>
        <v>Rodoviária de Lisboa, S.A.</v>
      </c>
      <c r="D5543" t="s">
        <v>629</v>
      </c>
      <c r="F5543" s="422" t="s">
        <v>620</v>
      </c>
      <c r="G5543" s="89">
        <v>2022</v>
      </c>
      <c r="H5543" s="313" t="s">
        <v>5816</v>
      </c>
      <c r="I5543" s="311" t="str">
        <f t="shared" si="233"/>
        <v>Pesado de Passageiros M3:  : Gasóleo : E6 D/E E7</v>
      </c>
      <c r="J5543">
        <v>109</v>
      </c>
      <c r="K5543" s="422">
        <v>2023</v>
      </c>
      <c r="L5543">
        <v>24998.9</v>
      </c>
      <c r="M5543" t="s">
        <v>630</v>
      </c>
      <c r="N5543" s="131">
        <v>56285</v>
      </c>
      <c r="O5543" s="436">
        <f t="shared" si="234"/>
        <v>6135065</v>
      </c>
      <c r="Q5543" s="422" t="s">
        <v>47</v>
      </c>
      <c r="R5543" s="422" t="s">
        <v>1869</v>
      </c>
      <c r="S5543" s="422" t="s">
        <v>1861</v>
      </c>
      <c r="T5543" t="s">
        <v>4825</v>
      </c>
      <c r="U5543" s="422" t="s">
        <v>1953</v>
      </c>
      <c r="V5543" s="422" t="s">
        <v>2813</v>
      </c>
    </row>
    <row r="5544" spans="1:22" ht="15.75" thickBot="1" x14ac:dyDescent="0.3">
      <c r="A5544" t="s">
        <v>1910</v>
      </c>
      <c r="B5544" t="s">
        <v>1910</v>
      </c>
      <c r="C5544" s="424" t="str">
        <f t="shared" si="232"/>
        <v>Rodoviária de Lisboa, S.A.</v>
      </c>
      <c r="D5544" t="s">
        <v>629</v>
      </c>
      <c r="F5544" s="422" t="s">
        <v>620</v>
      </c>
      <c r="G5544" s="89">
        <v>2022</v>
      </c>
      <c r="H5544" s="313" t="s">
        <v>5816</v>
      </c>
      <c r="I5544" s="311" t="str">
        <f t="shared" si="233"/>
        <v>Pesado de Passageiros M3:  : Gasóleo : E6 D/E E7</v>
      </c>
      <c r="J5544">
        <v>109</v>
      </c>
      <c r="K5544" s="422">
        <v>2023</v>
      </c>
      <c r="L5544">
        <v>26595.200000000001</v>
      </c>
      <c r="M5544" t="s">
        <v>630</v>
      </c>
      <c r="N5544" s="131">
        <v>64232</v>
      </c>
      <c r="O5544" s="436">
        <f t="shared" si="234"/>
        <v>7001288</v>
      </c>
      <c r="Q5544" s="422" t="s">
        <v>47</v>
      </c>
      <c r="R5544" s="422" t="s">
        <v>1869</v>
      </c>
      <c r="S5544" s="422" t="s">
        <v>1861</v>
      </c>
      <c r="T5544" t="s">
        <v>4825</v>
      </c>
      <c r="U5544" s="422" t="s">
        <v>1953</v>
      </c>
      <c r="V5544" s="422" t="s">
        <v>2813</v>
      </c>
    </row>
    <row r="5545" spans="1:22" ht="15.75" thickBot="1" x14ac:dyDescent="0.3">
      <c r="A5545" t="s">
        <v>1910</v>
      </c>
      <c r="B5545" t="s">
        <v>1910</v>
      </c>
      <c r="C5545" s="424" t="str">
        <f t="shared" si="232"/>
        <v>Rodoviária de Lisboa, S.A.</v>
      </c>
      <c r="D5545" t="s">
        <v>629</v>
      </c>
      <c r="F5545" s="422" t="s">
        <v>620</v>
      </c>
      <c r="G5545" s="89">
        <v>2022</v>
      </c>
      <c r="H5545" s="313" t="s">
        <v>5816</v>
      </c>
      <c r="I5545" s="311" t="str">
        <f t="shared" si="233"/>
        <v>Pesado de Passageiros M3:  : Gasóleo : E6 D/E E7</v>
      </c>
      <c r="J5545">
        <v>109</v>
      </c>
      <c r="K5545" s="422">
        <v>2023</v>
      </c>
      <c r="L5545">
        <v>24571.5</v>
      </c>
      <c r="M5545" t="s">
        <v>630</v>
      </c>
      <c r="N5545" s="131">
        <v>59564</v>
      </c>
      <c r="O5545" s="436">
        <f t="shared" si="234"/>
        <v>6492476</v>
      </c>
      <c r="Q5545" s="422" t="s">
        <v>47</v>
      </c>
      <c r="R5545" s="422" t="s">
        <v>1869</v>
      </c>
      <c r="S5545" s="422" t="s">
        <v>1861</v>
      </c>
      <c r="T5545" t="s">
        <v>4825</v>
      </c>
      <c r="U5545" s="422" t="s">
        <v>1953</v>
      </c>
      <c r="V5545" s="422" t="s">
        <v>2813</v>
      </c>
    </row>
    <row r="5546" spans="1:22" ht="15.75" thickBot="1" x14ac:dyDescent="0.3">
      <c r="A5546" t="s">
        <v>1910</v>
      </c>
      <c r="B5546" t="s">
        <v>1910</v>
      </c>
      <c r="C5546" s="424" t="str">
        <f t="shared" si="232"/>
        <v>Rodoviária de Lisboa, S.A.</v>
      </c>
      <c r="D5546" t="s">
        <v>629</v>
      </c>
      <c r="F5546" s="422" t="s">
        <v>620</v>
      </c>
      <c r="G5546" s="89">
        <v>2022</v>
      </c>
      <c r="H5546" s="313" t="s">
        <v>5816</v>
      </c>
      <c r="I5546" s="311" t="str">
        <f t="shared" si="233"/>
        <v>Pesado de Passageiros M3:  : Gasóleo : E6 D/E E7</v>
      </c>
      <c r="J5546">
        <v>89</v>
      </c>
      <c r="K5546" s="422">
        <v>2023</v>
      </c>
      <c r="L5546">
        <v>32694.1</v>
      </c>
      <c r="M5546" t="s">
        <v>630</v>
      </c>
      <c r="N5546" s="131">
        <v>81837</v>
      </c>
      <c r="O5546" s="436">
        <f t="shared" si="234"/>
        <v>7283493</v>
      </c>
      <c r="Q5546" s="422" t="s">
        <v>47</v>
      </c>
      <c r="R5546" s="422" t="s">
        <v>1869</v>
      </c>
      <c r="S5546" s="422" t="s">
        <v>1861</v>
      </c>
      <c r="T5546" t="s">
        <v>4825</v>
      </c>
      <c r="U5546" s="422" t="s">
        <v>1953</v>
      </c>
      <c r="V5546" s="422" t="s">
        <v>2813</v>
      </c>
    </row>
    <row r="5547" spans="1:22" ht="15.75" thickBot="1" x14ac:dyDescent="0.3">
      <c r="A5547" t="s">
        <v>1910</v>
      </c>
      <c r="B5547" t="s">
        <v>1910</v>
      </c>
      <c r="C5547" s="424" t="str">
        <f t="shared" si="232"/>
        <v>Rodoviária de Lisboa, S.A.</v>
      </c>
      <c r="D5547" t="s">
        <v>629</v>
      </c>
      <c r="F5547" s="422" t="s">
        <v>620</v>
      </c>
      <c r="G5547" s="89">
        <v>2022</v>
      </c>
      <c r="H5547" s="313" t="s">
        <v>5816</v>
      </c>
      <c r="I5547" s="311" t="str">
        <f t="shared" si="233"/>
        <v>Pesado de Passageiros M3:  : Gasóleo : E6 D/E E7</v>
      </c>
      <c r="J5547">
        <v>109</v>
      </c>
      <c r="K5547" s="422">
        <v>2023</v>
      </c>
      <c r="L5547">
        <v>24587.9</v>
      </c>
      <c r="M5547" t="s">
        <v>630</v>
      </c>
      <c r="N5547" s="131">
        <v>59326</v>
      </c>
      <c r="O5547" s="436">
        <f t="shared" si="234"/>
        <v>6466534</v>
      </c>
      <c r="Q5547" s="422" t="s">
        <v>47</v>
      </c>
      <c r="R5547" s="422" t="s">
        <v>1869</v>
      </c>
      <c r="S5547" s="422" t="s">
        <v>1861</v>
      </c>
      <c r="T5547" t="s">
        <v>4825</v>
      </c>
      <c r="U5547" s="422" t="s">
        <v>1953</v>
      </c>
      <c r="V5547" s="422" t="s">
        <v>2813</v>
      </c>
    </row>
    <row r="5548" spans="1:22" ht="15.75" thickBot="1" x14ac:dyDescent="0.3">
      <c r="A5548" t="s">
        <v>1910</v>
      </c>
      <c r="B5548" t="s">
        <v>1910</v>
      </c>
      <c r="C5548" s="424" t="str">
        <f t="shared" si="232"/>
        <v>Rodoviária de Lisboa, S.A.</v>
      </c>
      <c r="D5548" t="s">
        <v>629</v>
      </c>
      <c r="F5548" s="422" t="s">
        <v>620</v>
      </c>
      <c r="G5548" s="89">
        <v>2022</v>
      </c>
      <c r="H5548" s="313" t="s">
        <v>5816</v>
      </c>
      <c r="I5548" s="311" t="str">
        <f t="shared" si="233"/>
        <v>Pesado de Passageiros M3:  : Gasóleo : E6 D/E E7</v>
      </c>
      <c r="J5548">
        <v>109</v>
      </c>
      <c r="K5548" s="422">
        <v>2023</v>
      </c>
      <c r="L5548">
        <v>25601.1</v>
      </c>
      <c r="M5548" t="s">
        <v>630</v>
      </c>
      <c r="N5548" s="131">
        <v>62385</v>
      </c>
      <c r="O5548" s="436">
        <f t="shared" si="234"/>
        <v>6799965</v>
      </c>
      <c r="Q5548" s="422" t="s">
        <v>47</v>
      </c>
      <c r="R5548" s="422" t="s">
        <v>1869</v>
      </c>
      <c r="S5548" s="422" t="s">
        <v>1861</v>
      </c>
      <c r="T5548" t="s">
        <v>4825</v>
      </c>
      <c r="U5548" s="422" t="s">
        <v>1953</v>
      </c>
      <c r="V5548" s="422" t="s">
        <v>2813</v>
      </c>
    </row>
    <row r="5549" spans="1:22" ht="15.75" thickBot="1" x14ac:dyDescent="0.3">
      <c r="A5549" t="s">
        <v>1910</v>
      </c>
      <c r="B5549" t="s">
        <v>1910</v>
      </c>
      <c r="C5549" s="424" t="str">
        <f t="shared" si="232"/>
        <v>Rodoviária de Lisboa, S.A.</v>
      </c>
      <c r="D5549" t="s">
        <v>629</v>
      </c>
      <c r="F5549" s="422" t="s">
        <v>620</v>
      </c>
      <c r="G5549" s="89">
        <v>2022</v>
      </c>
      <c r="H5549" s="313" t="s">
        <v>5816</v>
      </c>
      <c r="I5549" s="311" t="str">
        <f t="shared" si="233"/>
        <v>Pesado de Passageiros M3:  : Gasóleo : E6 D/E E7</v>
      </c>
      <c r="J5549">
        <v>109</v>
      </c>
      <c r="K5549" s="422">
        <v>2023</v>
      </c>
      <c r="L5549">
        <v>24566.6</v>
      </c>
      <c r="M5549" t="s">
        <v>630</v>
      </c>
      <c r="N5549" s="131">
        <v>59176</v>
      </c>
      <c r="O5549" s="436">
        <f t="shared" si="234"/>
        <v>6450184</v>
      </c>
      <c r="Q5549" s="422" t="s">
        <v>47</v>
      </c>
      <c r="R5549" s="422" t="s">
        <v>1869</v>
      </c>
      <c r="S5549" s="422" t="s">
        <v>1861</v>
      </c>
      <c r="T5549" t="s">
        <v>4825</v>
      </c>
      <c r="U5549" s="422" t="s">
        <v>1953</v>
      </c>
      <c r="V5549" s="422" t="s">
        <v>2813</v>
      </c>
    </row>
    <row r="5550" spans="1:22" ht="15.75" thickBot="1" x14ac:dyDescent="0.3">
      <c r="A5550" t="s">
        <v>1910</v>
      </c>
      <c r="B5550" t="s">
        <v>1910</v>
      </c>
      <c r="C5550" s="424" t="str">
        <f t="shared" si="232"/>
        <v>Rodoviária de Lisboa, S.A.</v>
      </c>
      <c r="D5550" t="s">
        <v>629</v>
      </c>
      <c r="F5550" s="422" t="s">
        <v>620</v>
      </c>
      <c r="G5550" s="89">
        <v>2022</v>
      </c>
      <c r="H5550" s="313" t="s">
        <v>5816</v>
      </c>
      <c r="I5550" s="311" t="str">
        <f t="shared" si="233"/>
        <v>Pesado de Passageiros M3:  : Gasóleo : E6 D/E E7</v>
      </c>
      <c r="J5550">
        <v>109</v>
      </c>
      <c r="K5550" s="422">
        <v>2023</v>
      </c>
      <c r="L5550">
        <v>24650.9</v>
      </c>
      <c r="M5550" t="s">
        <v>630</v>
      </c>
      <c r="N5550" s="131">
        <v>58880</v>
      </c>
      <c r="O5550" s="436">
        <f t="shared" si="234"/>
        <v>6417920</v>
      </c>
      <c r="Q5550" s="422" t="s">
        <v>47</v>
      </c>
      <c r="R5550" s="422" t="s">
        <v>1869</v>
      </c>
      <c r="S5550" s="422" t="s">
        <v>1861</v>
      </c>
      <c r="T5550" t="s">
        <v>4825</v>
      </c>
      <c r="U5550" s="422" t="s">
        <v>1953</v>
      </c>
      <c r="V5550" s="422" t="s">
        <v>2813</v>
      </c>
    </row>
    <row r="5551" spans="1:22" ht="15.75" thickBot="1" x14ac:dyDescent="0.3">
      <c r="A5551" t="s">
        <v>1910</v>
      </c>
      <c r="B5551" t="s">
        <v>1910</v>
      </c>
      <c r="C5551" s="424" t="str">
        <f t="shared" si="232"/>
        <v>Rodoviária de Lisboa, S.A.</v>
      </c>
      <c r="D5551" t="s">
        <v>629</v>
      </c>
      <c r="F5551" s="422" t="s">
        <v>620</v>
      </c>
      <c r="G5551" s="89">
        <v>2022</v>
      </c>
      <c r="H5551" s="313" t="s">
        <v>5816</v>
      </c>
      <c r="I5551" s="311" t="str">
        <f t="shared" si="233"/>
        <v>Pesado de Passageiros M3:  : Gasóleo : E6 D/E E7</v>
      </c>
      <c r="J5551">
        <v>85</v>
      </c>
      <c r="K5551" s="422">
        <v>2023</v>
      </c>
      <c r="L5551">
        <v>31448.3</v>
      </c>
      <c r="M5551" t="s">
        <v>630</v>
      </c>
      <c r="N5551" s="131">
        <v>72776</v>
      </c>
      <c r="O5551" s="436">
        <f t="shared" si="234"/>
        <v>6185960</v>
      </c>
      <c r="Q5551" s="422" t="s">
        <v>47</v>
      </c>
      <c r="R5551" s="422" t="s">
        <v>1869</v>
      </c>
      <c r="S5551" s="422" t="s">
        <v>1861</v>
      </c>
      <c r="T5551" t="s">
        <v>4825</v>
      </c>
      <c r="U5551" s="422" t="s">
        <v>1953</v>
      </c>
      <c r="V5551" s="422" t="s">
        <v>2813</v>
      </c>
    </row>
    <row r="5552" spans="1:22" ht="15.75" thickBot="1" x14ac:dyDescent="0.3">
      <c r="A5552" t="s">
        <v>1910</v>
      </c>
      <c r="B5552" t="s">
        <v>1910</v>
      </c>
      <c r="C5552" s="424" t="str">
        <f t="shared" si="232"/>
        <v>Rodoviária de Lisboa, S.A.</v>
      </c>
      <c r="D5552" t="s">
        <v>629</v>
      </c>
      <c r="F5552" s="422" t="s">
        <v>620</v>
      </c>
      <c r="G5552" s="89">
        <v>2022</v>
      </c>
      <c r="H5552" s="313" t="s">
        <v>5816</v>
      </c>
      <c r="I5552" s="311" t="str">
        <f t="shared" si="233"/>
        <v>Pesado de Passageiros M3:  : Gasóleo : E6 D/E E7</v>
      </c>
      <c r="J5552">
        <v>109</v>
      </c>
      <c r="K5552" s="422">
        <v>2023</v>
      </c>
      <c r="L5552">
        <v>24554.5</v>
      </c>
      <c r="M5552" t="s">
        <v>630</v>
      </c>
      <c r="N5552" s="131">
        <v>57645</v>
      </c>
      <c r="O5552" s="436">
        <f t="shared" si="234"/>
        <v>6283305</v>
      </c>
      <c r="Q5552" s="422" t="s">
        <v>47</v>
      </c>
      <c r="R5552" s="422" t="s">
        <v>1869</v>
      </c>
      <c r="S5552" s="422" t="s">
        <v>1861</v>
      </c>
      <c r="T5552" t="s">
        <v>4825</v>
      </c>
      <c r="U5552" s="422" t="s">
        <v>1953</v>
      </c>
      <c r="V5552" s="422" t="s">
        <v>2813</v>
      </c>
    </row>
    <row r="5553" spans="1:22" ht="15.75" thickBot="1" x14ac:dyDescent="0.3">
      <c r="A5553" t="s">
        <v>1910</v>
      </c>
      <c r="B5553" t="s">
        <v>1910</v>
      </c>
      <c r="C5553" s="424" t="str">
        <f t="shared" si="232"/>
        <v>Rodoviária de Lisboa, S.A.</v>
      </c>
      <c r="D5553" t="s">
        <v>629</v>
      </c>
      <c r="F5553" s="422" t="s">
        <v>620</v>
      </c>
      <c r="G5553" s="89">
        <v>2022</v>
      </c>
      <c r="H5553" s="313" t="s">
        <v>5816</v>
      </c>
      <c r="I5553" s="311" t="str">
        <f t="shared" si="233"/>
        <v>Pesado de Passageiros M3:  : Gasóleo : E6 D/E E7</v>
      </c>
      <c r="J5553">
        <v>109</v>
      </c>
      <c r="K5553" s="422">
        <v>2023</v>
      </c>
      <c r="L5553">
        <v>24766.799999999999</v>
      </c>
      <c r="M5553" t="s">
        <v>630</v>
      </c>
      <c r="N5553" s="131">
        <v>59948</v>
      </c>
      <c r="O5553" s="436">
        <f t="shared" si="234"/>
        <v>6534332</v>
      </c>
      <c r="Q5553" s="422" t="s">
        <v>47</v>
      </c>
      <c r="R5553" s="422" t="s">
        <v>1869</v>
      </c>
      <c r="S5553" s="422" t="s">
        <v>1861</v>
      </c>
      <c r="T5553" t="s">
        <v>4825</v>
      </c>
      <c r="U5553" s="422" t="s">
        <v>1953</v>
      </c>
      <c r="V5553" s="422" t="s">
        <v>2813</v>
      </c>
    </row>
    <row r="5554" spans="1:22" ht="15.75" thickBot="1" x14ac:dyDescent="0.3">
      <c r="A5554" t="s">
        <v>1910</v>
      </c>
      <c r="B5554" t="s">
        <v>1910</v>
      </c>
      <c r="C5554" s="424" t="str">
        <f t="shared" ref="C5554:C5617" si="235">IF(A5554=B5554,B5554,RIGHT(A5554,LEN(A5554)-LEN(B5554)-3))</f>
        <v>Rodoviária de Lisboa, S.A.</v>
      </c>
      <c r="D5554" t="s">
        <v>629</v>
      </c>
      <c r="F5554" s="422" t="s">
        <v>620</v>
      </c>
      <c r="G5554" s="89">
        <v>2022</v>
      </c>
      <c r="H5554" s="313" t="s">
        <v>5816</v>
      </c>
      <c r="I5554" s="311" t="str">
        <f t="shared" si="233"/>
        <v>Pesado de Passageiros M3:  : Gasóleo : E6 D/E E7</v>
      </c>
      <c r="J5554">
        <v>83</v>
      </c>
      <c r="K5554" s="422">
        <v>2023</v>
      </c>
      <c r="L5554">
        <v>9807.9</v>
      </c>
      <c r="M5554" t="s">
        <v>630</v>
      </c>
      <c r="N5554" s="131">
        <v>27671</v>
      </c>
      <c r="O5554" s="436">
        <f t="shared" si="234"/>
        <v>2296693</v>
      </c>
      <c r="Q5554" s="422" t="s">
        <v>47</v>
      </c>
      <c r="R5554" s="422" t="s">
        <v>1869</v>
      </c>
      <c r="S5554" s="422" t="s">
        <v>1861</v>
      </c>
      <c r="T5554" t="s">
        <v>4825</v>
      </c>
      <c r="U5554" s="422" t="s">
        <v>1953</v>
      </c>
      <c r="V5554" s="422" t="s">
        <v>2813</v>
      </c>
    </row>
    <row r="5555" spans="1:22" ht="15.75" thickBot="1" x14ac:dyDescent="0.3">
      <c r="A5555" t="s">
        <v>1910</v>
      </c>
      <c r="B5555" t="s">
        <v>1910</v>
      </c>
      <c r="C5555" s="424" t="str">
        <f t="shared" si="235"/>
        <v>Rodoviária de Lisboa, S.A.</v>
      </c>
      <c r="D5555" t="s">
        <v>629</v>
      </c>
      <c r="F5555" s="422" t="s">
        <v>620</v>
      </c>
      <c r="G5555" s="89" t="s">
        <v>5261</v>
      </c>
      <c r="H5555" s="313" t="s">
        <v>5816</v>
      </c>
      <c r="I5555" s="311" t="str">
        <f t="shared" si="233"/>
        <v>Pesado de Passageiros M3:  : Gasóleo : E6 D/E E7</v>
      </c>
      <c r="J5555">
        <v>83</v>
      </c>
      <c r="K5555" s="422">
        <v>2023</v>
      </c>
      <c r="L5555">
        <v>13100.3</v>
      </c>
      <c r="M5555" t="s">
        <v>630</v>
      </c>
      <c r="N5555" s="131">
        <v>31840</v>
      </c>
      <c r="O5555" s="436">
        <f t="shared" si="234"/>
        <v>2642720</v>
      </c>
      <c r="Q5555" s="422" t="s">
        <v>47</v>
      </c>
      <c r="R5555" s="422" t="s">
        <v>1869</v>
      </c>
      <c r="S5555" s="422" t="s">
        <v>1861</v>
      </c>
      <c r="T5555" t="s">
        <v>4825</v>
      </c>
      <c r="U5555" s="422" t="s">
        <v>1953</v>
      </c>
      <c r="V5555" s="422" t="s">
        <v>2813</v>
      </c>
    </row>
    <row r="5556" spans="1:22" ht="15.75" thickBot="1" x14ac:dyDescent="0.3">
      <c r="A5556" t="s">
        <v>1910</v>
      </c>
      <c r="B5556" t="s">
        <v>1910</v>
      </c>
      <c r="C5556" s="424" t="str">
        <f t="shared" si="235"/>
        <v>Rodoviária de Lisboa, S.A.</v>
      </c>
      <c r="D5556" t="s">
        <v>629</v>
      </c>
      <c r="F5556" s="422" t="s">
        <v>620</v>
      </c>
      <c r="G5556" s="89">
        <v>2022</v>
      </c>
      <c r="H5556" s="313" t="s">
        <v>5816</v>
      </c>
      <c r="I5556" s="311" t="str">
        <f t="shared" si="233"/>
        <v>Pesado de Passageiros M3:  : Gasóleo : E6 D/E E7</v>
      </c>
      <c r="J5556">
        <v>109</v>
      </c>
      <c r="K5556" s="422">
        <v>2023</v>
      </c>
      <c r="L5556">
        <v>30288.7</v>
      </c>
      <c r="M5556" t="s">
        <v>630</v>
      </c>
      <c r="N5556" s="131">
        <v>75365</v>
      </c>
      <c r="O5556" s="436">
        <f t="shared" si="234"/>
        <v>8214785</v>
      </c>
      <c r="Q5556" s="422" t="s">
        <v>47</v>
      </c>
      <c r="R5556" s="422" t="s">
        <v>1869</v>
      </c>
      <c r="S5556" s="422" t="s">
        <v>1861</v>
      </c>
      <c r="T5556" t="s">
        <v>4825</v>
      </c>
      <c r="U5556" s="422" t="s">
        <v>1953</v>
      </c>
      <c r="V5556" s="422" t="s">
        <v>2813</v>
      </c>
    </row>
    <row r="5557" spans="1:22" ht="15.75" thickBot="1" x14ac:dyDescent="0.3">
      <c r="A5557" t="s">
        <v>1910</v>
      </c>
      <c r="B5557" t="s">
        <v>1910</v>
      </c>
      <c r="C5557" s="424" t="str">
        <f t="shared" si="235"/>
        <v>Rodoviária de Lisboa, S.A.</v>
      </c>
      <c r="D5557" t="s">
        <v>629</v>
      </c>
      <c r="F5557" s="422" t="s">
        <v>620</v>
      </c>
      <c r="G5557" s="89">
        <v>2022</v>
      </c>
      <c r="H5557" s="313" t="s">
        <v>5816</v>
      </c>
      <c r="I5557" s="311" t="str">
        <f t="shared" si="233"/>
        <v>Pesado de Passageiros M3:  : Gasóleo : E6 D/E E7</v>
      </c>
      <c r="J5557">
        <v>109</v>
      </c>
      <c r="K5557" s="422">
        <v>2023</v>
      </c>
      <c r="L5557">
        <v>25102</v>
      </c>
      <c r="M5557" t="s">
        <v>630</v>
      </c>
      <c r="N5557" s="131">
        <v>59968</v>
      </c>
      <c r="O5557" s="436">
        <f t="shared" si="234"/>
        <v>6536512</v>
      </c>
      <c r="Q5557" s="422" t="s">
        <v>47</v>
      </c>
      <c r="R5557" s="422" t="s">
        <v>1869</v>
      </c>
      <c r="S5557" s="422" t="s">
        <v>1861</v>
      </c>
      <c r="T5557" t="s">
        <v>4825</v>
      </c>
      <c r="U5557" s="422" t="s">
        <v>1953</v>
      </c>
      <c r="V5557" s="422" t="s">
        <v>2813</v>
      </c>
    </row>
    <row r="5558" spans="1:22" ht="15.75" thickBot="1" x14ac:dyDescent="0.3">
      <c r="A5558" t="s">
        <v>1910</v>
      </c>
      <c r="B5558" t="s">
        <v>1910</v>
      </c>
      <c r="C5558" s="424" t="str">
        <f t="shared" si="235"/>
        <v>Rodoviária de Lisboa, S.A.</v>
      </c>
      <c r="D5558" t="s">
        <v>629</v>
      </c>
      <c r="F5558" s="422" t="s">
        <v>620</v>
      </c>
      <c r="G5558" s="89">
        <v>2022</v>
      </c>
      <c r="H5558" s="313" t="s">
        <v>5816</v>
      </c>
      <c r="I5558" s="311" t="str">
        <f t="shared" si="233"/>
        <v>Pesado de Passageiros M3:  : Gasóleo : E6 D/E E7</v>
      </c>
      <c r="J5558">
        <v>109</v>
      </c>
      <c r="K5558" s="422">
        <v>2023</v>
      </c>
      <c r="L5558">
        <v>23725.3</v>
      </c>
      <c r="M5558" t="s">
        <v>630</v>
      </c>
      <c r="N5558" s="131">
        <v>52329</v>
      </c>
      <c r="O5558" s="436">
        <f t="shared" si="234"/>
        <v>5703861</v>
      </c>
      <c r="Q5558" s="422" t="s">
        <v>47</v>
      </c>
      <c r="R5558" s="422" t="s">
        <v>1869</v>
      </c>
      <c r="S5558" s="422" t="s">
        <v>1861</v>
      </c>
      <c r="T5558" t="s">
        <v>4825</v>
      </c>
      <c r="U5558" s="422" t="s">
        <v>1953</v>
      </c>
      <c r="V5558" s="422" t="s">
        <v>2813</v>
      </c>
    </row>
    <row r="5559" spans="1:22" ht="15.75" thickBot="1" x14ac:dyDescent="0.3">
      <c r="A5559" t="s">
        <v>1910</v>
      </c>
      <c r="B5559" t="s">
        <v>1910</v>
      </c>
      <c r="C5559" s="424" t="str">
        <f t="shared" si="235"/>
        <v>Rodoviária de Lisboa, S.A.</v>
      </c>
      <c r="D5559" t="s">
        <v>629</v>
      </c>
      <c r="F5559" s="422" t="s">
        <v>620</v>
      </c>
      <c r="G5559" s="89">
        <v>2022</v>
      </c>
      <c r="H5559" s="313" t="s">
        <v>5816</v>
      </c>
      <c r="I5559" s="311" t="str">
        <f t="shared" si="233"/>
        <v>Pesado de Passageiros M3:  : Gasóleo : E6 D/E E7</v>
      </c>
      <c r="J5559">
        <v>109</v>
      </c>
      <c r="K5559" s="422">
        <v>2023</v>
      </c>
      <c r="L5559">
        <v>25085.8</v>
      </c>
      <c r="M5559" t="s">
        <v>630</v>
      </c>
      <c r="N5559" s="131">
        <v>60294</v>
      </c>
      <c r="O5559" s="436">
        <f t="shared" si="234"/>
        <v>6572046</v>
      </c>
      <c r="Q5559" s="422" t="s">
        <v>47</v>
      </c>
      <c r="R5559" s="422" t="s">
        <v>1869</v>
      </c>
      <c r="S5559" s="422" t="s">
        <v>1861</v>
      </c>
      <c r="T5559" t="s">
        <v>4825</v>
      </c>
      <c r="U5559" s="422" t="s">
        <v>1953</v>
      </c>
      <c r="V5559" s="422" t="s">
        <v>2813</v>
      </c>
    </row>
    <row r="5560" spans="1:22" ht="15.75" thickBot="1" x14ac:dyDescent="0.3">
      <c r="A5560" t="s">
        <v>1910</v>
      </c>
      <c r="B5560" t="s">
        <v>1910</v>
      </c>
      <c r="C5560" s="424" t="str">
        <f t="shared" si="235"/>
        <v>Rodoviária de Lisboa, S.A.</v>
      </c>
      <c r="D5560" t="s">
        <v>629</v>
      </c>
      <c r="F5560" s="422" t="s">
        <v>620</v>
      </c>
      <c r="G5560" s="89">
        <v>2022</v>
      </c>
      <c r="H5560" s="313" t="s">
        <v>5816</v>
      </c>
      <c r="I5560" s="311" t="str">
        <f t="shared" si="233"/>
        <v>Pesado de Passageiros M3:  : Gasóleo : E6 D/E E7</v>
      </c>
      <c r="J5560">
        <v>109</v>
      </c>
      <c r="K5560" s="422">
        <v>2023</v>
      </c>
      <c r="L5560">
        <v>25054.7</v>
      </c>
      <c r="M5560" t="s">
        <v>630</v>
      </c>
      <c r="N5560" s="131">
        <v>57948</v>
      </c>
      <c r="O5560" s="436">
        <f t="shared" si="234"/>
        <v>6316332</v>
      </c>
      <c r="Q5560" s="422" t="s">
        <v>47</v>
      </c>
      <c r="R5560" s="422" t="s">
        <v>1869</v>
      </c>
      <c r="S5560" s="422" t="s">
        <v>1861</v>
      </c>
      <c r="T5560" t="s">
        <v>4825</v>
      </c>
      <c r="U5560" s="422" t="s">
        <v>1953</v>
      </c>
      <c r="V5560" s="422" t="s">
        <v>2813</v>
      </c>
    </row>
    <row r="5561" spans="1:22" ht="15.75" thickBot="1" x14ac:dyDescent="0.3">
      <c r="A5561" t="s">
        <v>1910</v>
      </c>
      <c r="B5561" t="s">
        <v>1910</v>
      </c>
      <c r="C5561" s="424" t="str">
        <f t="shared" si="235"/>
        <v>Rodoviária de Lisboa, S.A.</v>
      </c>
      <c r="D5561" t="s">
        <v>629</v>
      </c>
      <c r="F5561" s="422" t="s">
        <v>620</v>
      </c>
      <c r="G5561" s="89">
        <v>2022</v>
      </c>
      <c r="H5561" s="313" t="s">
        <v>5816</v>
      </c>
      <c r="I5561" s="311" t="str">
        <f t="shared" si="233"/>
        <v>Pesado de Passageiros M3:  : Gasóleo : E6 D/E E7</v>
      </c>
      <c r="J5561">
        <v>83</v>
      </c>
      <c r="K5561" s="422">
        <v>2023</v>
      </c>
      <c r="L5561">
        <v>23584</v>
      </c>
      <c r="M5561" t="s">
        <v>630</v>
      </c>
      <c r="N5561" s="131">
        <v>67375</v>
      </c>
      <c r="O5561" s="436">
        <f t="shared" si="234"/>
        <v>5592125</v>
      </c>
      <c r="Q5561" s="422" t="s">
        <v>47</v>
      </c>
      <c r="R5561" s="422" t="s">
        <v>1869</v>
      </c>
      <c r="S5561" s="422" t="s">
        <v>1861</v>
      </c>
      <c r="T5561" t="s">
        <v>4825</v>
      </c>
      <c r="U5561" s="422" t="s">
        <v>1953</v>
      </c>
      <c r="V5561" s="422" t="s">
        <v>2813</v>
      </c>
    </row>
    <row r="5562" spans="1:22" ht="15.75" thickBot="1" x14ac:dyDescent="0.3">
      <c r="A5562" t="s">
        <v>1910</v>
      </c>
      <c r="B5562" t="s">
        <v>1910</v>
      </c>
      <c r="C5562" s="424" t="str">
        <f t="shared" si="235"/>
        <v>Rodoviária de Lisboa, S.A.</v>
      </c>
      <c r="D5562" t="s">
        <v>629</v>
      </c>
      <c r="F5562" s="422" t="s">
        <v>620</v>
      </c>
      <c r="G5562" s="89">
        <v>2022</v>
      </c>
      <c r="H5562" s="313" t="s">
        <v>5816</v>
      </c>
      <c r="I5562" s="311" t="str">
        <f t="shared" si="233"/>
        <v>Pesado de Passageiros M3:  : Gasóleo : E6 D/E E7</v>
      </c>
      <c r="J5562">
        <v>83</v>
      </c>
      <c r="K5562" s="422">
        <v>2023</v>
      </c>
      <c r="L5562">
        <v>27332</v>
      </c>
      <c r="M5562" t="s">
        <v>630</v>
      </c>
      <c r="N5562" s="131">
        <v>81141</v>
      </c>
      <c r="O5562" s="436">
        <f t="shared" si="234"/>
        <v>6734703</v>
      </c>
      <c r="Q5562" s="422" t="s">
        <v>47</v>
      </c>
      <c r="R5562" s="422" t="s">
        <v>1869</v>
      </c>
      <c r="S5562" s="422" t="s">
        <v>1861</v>
      </c>
      <c r="T5562" t="s">
        <v>4825</v>
      </c>
      <c r="U5562" s="422" t="s">
        <v>1953</v>
      </c>
      <c r="V5562" s="422" t="s">
        <v>2813</v>
      </c>
    </row>
    <row r="5563" spans="1:22" ht="15.75" thickBot="1" x14ac:dyDescent="0.3">
      <c r="A5563" t="s">
        <v>1910</v>
      </c>
      <c r="B5563" t="s">
        <v>1910</v>
      </c>
      <c r="C5563" s="424" t="str">
        <f t="shared" si="235"/>
        <v>Rodoviária de Lisboa, S.A.</v>
      </c>
      <c r="D5563" t="s">
        <v>629</v>
      </c>
      <c r="F5563" s="422" t="s">
        <v>620</v>
      </c>
      <c r="G5563" s="89">
        <v>2022</v>
      </c>
      <c r="H5563" s="313" t="s">
        <v>5816</v>
      </c>
      <c r="I5563" s="311" t="str">
        <f t="shared" si="233"/>
        <v>Pesado de Passageiros M3:  : Gasóleo : E6 D/E E7</v>
      </c>
      <c r="J5563">
        <v>109</v>
      </c>
      <c r="K5563" s="422">
        <v>2023</v>
      </c>
      <c r="L5563">
        <v>27540.2</v>
      </c>
      <c r="M5563" t="s">
        <v>630</v>
      </c>
      <c r="N5563" s="131">
        <v>68821</v>
      </c>
      <c r="O5563" s="436">
        <f t="shared" si="234"/>
        <v>7501489</v>
      </c>
      <c r="Q5563" s="422" t="s">
        <v>47</v>
      </c>
      <c r="R5563" s="422" t="s">
        <v>1869</v>
      </c>
      <c r="S5563" s="422" t="s">
        <v>1861</v>
      </c>
      <c r="T5563" t="s">
        <v>4825</v>
      </c>
      <c r="U5563" s="422" t="s">
        <v>1953</v>
      </c>
      <c r="V5563" s="422" t="s">
        <v>2813</v>
      </c>
    </row>
    <row r="5564" spans="1:22" ht="15.75" thickBot="1" x14ac:dyDescent="0.3">
      <c r="A5564" t="s">
        <v>1910</v>
      </c>
      <c r="B5564" t="s">
        <v>1910</v>
      </c>
      <c r="C5564" s="424" t="str">
        <f t="shared" si="235"/>
        <v>Rodoviária de Lisboa, S.A.</v>
      </c>
      <c r="D5564" t="s">
        <v>629</v>
      </c>
      <c r="F5564" s="422" t="s">
        <v>620</v>
      </c>
      <c r="G5564" s="89">
        <v>2022</v>
      </c>
      <c r="H5564" s="313" t="s">
        <v>5816</v>
      </c>
      <c r="I5564" s="311" t="str">
        <f t="shared" si="233"/>
        <v>Pesado de Passageiros M3:  : Gasóleo : E6 D/E E7</v>
      </c>
      <c r="J5564">
        <v>109</v>
      </c>
      <c r="K5564" s="422">
        <v>2023</v>
      </c>
      <c r="L5564">
        <v>24491.7</v>
      </c>
      <c r="M5564" t="s">
        <v>630</v>
      </c>
      <c r="N5564" s="131">
        <v>59041</v>
      </c>
      <c r="O5564" s="436">
        <f t="shared" si="234"/>
        <v>6435469</v>
      </c>
      <c r="Q5564" s="422" t="s">
        <v>47</v>
      </c>
      <c r="R5564" s="422" t="s">
        <v>1869</v>
      </c>
      <c r="S5564" s="422" t="s">
        <v>1861</v>
      </c>
      <c r="T5564" t="s">
        <v>4825</v>
      </c>
      <c r="U5564" s="422" t="s">
        <v>1953</v>
      </c>
      <c r="V5564" s="422" t="s">
        <v>2813</v>
      </c>
    </row>
    <row r="5565" spans="1:22" ht="15.75" thickBot="1" x14ac:dyDescent="0.3">
      <c r="A5565" t="s">
        <v>1910</v>
      </c>
      <c r="B5565" t="s">
        <v>1910</v>
      </c>
      <c r="C5565" s="424" t="str">
        <f t="shared" si="235"/>
        <v>Rodoviária de Lisboa, S.A.</v>
      </c>
      <c r="D5565" t="s">
        <v>629</v>
      </c>
      <c r="F5565" s="422" t="s">
        <v>620</v>
      </c>
      <c r="G5565" s="89">
        <v>2022</v>
      </c>
      <c r="H5565" s="313" t="s">
        <v>5816</v>
      </c>
      <c r="I5565" s="311" t="str">
        <f t="shared" si="233"/>
        <v>Pesado de Passageiros M3:  : Gasóleo : E6 D/E E7</v>
      </c>
      <c r="J5565">
        <v>109</v>
      </c>
      <c r="K5565" s="422">
        <v>2023</v>
      </c>
      <c r="L5565">
        <v>25225.599999999999</v>
      </c>
      <c r="M5565" t="s">
        <v>630</v>
      </c>
      <c r="N5565" s="131">
        <v>59855</v>
      </c>
      <c r="O5565" s="436">
        <f t="shared" si="234"/>
        <v>6524195</v>
      </c>
      <c r="Q5565" s="422" t="s">
        <v>47</v>
      </c>
      <c r="R5565" s="422" t="s">
        <v>1869</v>
      </c>
      <c r="S5565" s="422" t="s">
        <v>1861</v>
      </c>
      <c r="T5565" t="s">
        <v>4825</v>
      </c>
      <c r="U5565" s="422" t="s">
        <v>1953</v>
      </c>
      <c r="V5565" s="422" t="s">
        <v>2813</v>
      </c>
    </row>
    <row r="5566" spans="1:22" ht="15.75" thickBot="1" x14ac:dyDescent="0.3">
      <c r="A5566" t="s">
        <v>1910</v>
      </c>
      <c r="B5566" t="s">
        <v>1910</v>
      </c>
      <c r="C5566" s="424" t="str">
        <f t="shared" si="235"/>
        <v>Rodoviária de Lisboa, S.A.</v>
      </c>
      <c r="D5566" t="s">
        <v>629</v>
      </c>
      <c r="F5566" s="422" t="s">
        <v>620</v>
      </c>
      <c r="G5566" s="89">
        <v>2022</v>
      </c>
      <c r="H5566" s="313" t="s">
        <v>5816</v>
      </c>
      <c r="I5566" s="311" t="str">
        <f t="shared" si="233"/>
        <v>Pesado de Passageiros M3:  : Gasóleo : E6 D/E E7</v>
      </c>
      <c r="J5566">
        <v>83</v>
      </c>
      <c r="K5566" s="422">
        <v>2023</v>
      </c>
      <c r="L5566">
        <v>6815.5</v>
      </c>
      <c r="M5566" t="s">
        <v>630</v>
      </c>
      <c r="N5566" s="131">
        <v>20222</v>
      </c>
      <c r="O5566" s="436">
        <f t="shared" si="234"/>
        <v>1678426</v>
      </c>
      <c r="Q5566" s="422" t="s">
        <v>47</v>
      </c>
      <c r="R5566" s="422" t="s">
        <v>1869</v>
      </c>
      <c r="S5566" s="422" t="s">
        <v>1861</v>
      </c>
      <c r="T5566" t="s">
        <v>4825</v>
      </c>
      <c r="U5566" s="422" t="s">
        <v>1953</v>
      </c>
      <c r="V5566" s="422" t="s">
        <v>2813</v>
      </c>
    </row>
    <row r="5567" spans="1:22" ht="15.75" thickBot="1" x14ac:dyDescent="0.3">
      <c r="A5567" t="s">
        <v>1910</v>
      </c>
      <c r="B5567" t="s">
        <v>1910</v>
      </c>
      <c r="C5567" s="424" t="str">
        <f t="shared" si="235"/>
        <v>Rodoviária de Lisboa, S.A.</v>
      </c>
      <c r="D5567" t="s">
        <v>629</v>
      </c>
      <c r="F5567" s="422" t="s">
        <v>620</v>
      </c>
      <c r="G5567" s="89" t="s">
        <v>5261</v>
      </c>
      <c r="H5567" s="313" t="s">
        <v>5816</v>
      </c>
      <c r="I5567" s="311" t="str">
        <f t="shared" si="233"/>
        <v>Pesado de Passageiros M3:  : Gasóleo : E6 D/E E7</v>
      </c>
      <c r="J5567">
        <v>83</v>
      </c>
      <c r="K5567" s="422">
        <v>2023</v>
      </c>
      <c r="L5567">
        <v>18336.7</v>
      </c>
      <c r="M5567" t="s">
        <v>630</v>
      </c>
      <c r="N5567" s="131">
        <v>45925</v>
      </c>
      <c r="O5567" s="436">
        <f t="shared" si="234"/>
        <v>3811775</v>
      </c>
      <c r="Q5567" s="422" t="s">
        <v>47</v>
      </c>
      <c r="R5567" s="422" t="s">
        <v>1869</v>
      </c>
      <c r="S5567" s="422" t="s">
        <v>1861</v>
      </c>
      <c r="T5567" t="s">
        <v>4825</v>
      </c>
      <c r="U5567" s="422" t="s">
        <v>1953</v>
      </c>
      <c r="V5567" s="422" t="s">
        <v>2813</v>
      </c>
    </row>
    <row r="5568" spans="1:22" ht="15.75" thickBot="1" x14ac:dyDescent="0.3">
      <c r="A5568" t="s">
        <v>1910</v>
      </c>
      <c r="B5568" t="s">
        <v>1910</v>
      </c>
      <c r="C5568" s="424" t="str">
        <f t="shared" si="235"/>
        <v>Rodoviária de Lisboa, S.A.</v>
      </c>
      <c r="D5568" t="s">
        <v>629</v>
      </c>
      <c r="F5568" s="422" t="s">
        <v>620</v>
      </c>
      <c r="G5568" s="89">
        <v>2022</v>
      </c>
      <c r="H5568" s="313" t="s">
        <v>5816</v>
      </c>
      <c r="I5568" s="311" t="str">
        <f t="shared" si="233"/>
        <v>Pesado de Passageiros M3:  : Gasóleo : E6 D/E E7</v>
      </c>
      <c r="J5568">
        <v>109</v>
      </c>
      <c r="K5568" s="422">
        <v>2023</v>
      </c>
      <c r="L5568">
        <v>24614.7</v>
      </c>
      <c r="M5568" t="s">
        <v>630</v>
      </c>
      <c r="N5568" s="131">
        <v>58630</v>
      </c>
      <c r="O5568" s="436">
        <f t="shared" si="234"/>
        <v>6390670</v>
      </c>
      <c r="Q5568" s="422" t="s">
        <v>47</v>
      </c>
      <c r="R5568" s="422" t="s">
        <v>1869</v>
      </c>
      <c r="S5568" s="422" t="s">
        <v>1861</v>
      </c>
      <c r="T5568" t="s">
        <v>4825</v>
      </c>
      <c r="U5568" s="422" t="s">
        <v>1953</v>
      </c>
      <c r="V5568" s="422" t="s">
        <v>2813</v>
      </c>
    </row>
    <row r="5569" spans="1:22" ht="15.75" thickBot="1" x14ac:dyDescent="0.3">
      <c r="A5569" t="s">
        <v>1910</v>
      </c>
      <c r="B5569" t="s">
        <v>1910</v>
      </c>
      <c r="C5569" s="424" t="str">
        <f t="shared" si="235"/>
        <v>Rodoviária de Lisboa, S.A.</v>
      </c>
      <c r="D5569" t="s">
        <v>629</v>
      </c>
      <c r="F5569" s="422" t="s">
        <v>620</v>
      </c>
      <c r="G5569" s="89">
        <v>2022</v>
      </c>
      <c r="H5569" s="313" t="s">
        <v>5816</v>
      </c>
      <c r="I5569" s="311" t="str">
        <f t="shared" si="233"/>
        <v>Pesado de Passageiros M3:  : Gasóleo : E6 D/E E7</v>
      </c>
      <c r="J5569">
        <v>109</v>
      </c>
      <c r="K5569" s="422">
        <v>2023</v>
      </c>
      <c r="L5569">
        <v>25706</v>
      </c>
      <c r="M5569" t="s">
        <v>630</v>
      </c>
      <c r="N5569" s="131">
        <v>61677</v>
      </c>
      <c r="O5569" s="436">
        <f t="shared" si="234"/>
        <v>6722793</v>
      </c>
      <c r="Q5569" s="422" t="s">
        <v>47</v>
      </c>
      <c r="R5569" s="422" t="s">
        <v>1869</v>
      </c>
      <c r="S5569" s="422" t="s">
        <v>1861</v>
      </c>
      <c r="T5569" t="s">
        <v>4825</v>
      </c>
      <c r="U5569" s="422" t="s">
        <v>1953</v>
      </c>
      <c r="V5569" s="422" t="s">
        <v>2813</v>
      </c>
    </row>
    <row r="5570" spans="1:22" ht="15.75" thickBot="1" x14ac:dyDescent="0.3">
      <c r="A5570" t="s">
        <v>1910</v>
      </c>
      <c r="B5570" t="s">
        <v>1910</v>
      </c>
      <c r="C5570" s="424" t="str">
        <f t="shared" si="235"/>
        <v>Rodoviária de Lisboa, S.A.</v>
      </c>
      <c r="D5570" t="s">
        <v>629</v>
      </c>
      <c r="F5570" s="422" t="s">
        <v>620</v>
      </c>
      <c r="G5570" s="89">
        <v>2022</v>
      </c>
      <c r="H5570" s="313" t="s">
        <v>5816</v>
      </c>
      <c r="I5570" s="311" t="str">
        <f t="shared" si="233"/>
        <v>Pesado de Passageiros M3:  : Gasóleo : E6 D/E E7</v>
      </c>
      <c r="J5570">
        <v>109</v>
      </c>
      <c r="K5570" s="422">
        <v>2023</v>
      </c>
      <c r="L5570">
        <v>22989.9</v>
      </c>
      <c r="M5570" t="s">
        <v>630</v>
      </c>
      <c r="N5570" s="131">
        <v>53641</v>
      </c>
      <c r="O5570" s="436">
        <f t="shared" si="234"/>
        <v>5846869</v>
      </c>
      <c r="Q5570" s="422" t="s">
        <v>47</v>
      </c>
      <c r="R5570" s="422" t="s">
        <v>1869</v>
      </c>
      <c r="S5570" s="422" t="s">
        <v>1861</v>
      </c>
      <c r="T5570" t="s">
        <v>4825</v>
      </c>
      <c r="U5570" s="422" t="s">
        <v>1953</v>
      </c>
      <c r="V5570" s="422" t="s">
        <v>2813</v>
      </c>
    </row>
    <row r="5571" spans="1:22" ht="15.75" thickBot="1" x14ac:dyDescent="0.3">
      <c r="A5571" t="s">
        <v>1910</v>
      </c>
      <c r="B5571" t="s">
        <v>1910</v>
      </c>
      <c r="C5571" s="424" t="str">
        <f t="shared" si="235"/>
        <v>Rodoviária de Lisboa, S.A.</v>
      </c>
      <c r="D5571" t="s">
        <v>629</v>
      </c>
      <c r="F5571" s="422" t="s">
        <v>620</v>
      </c>
      <c r="G5571" s="89">
        <v>2022</v>
      </c>
      <c r="H5571" s="313" t="s">
        <v>5816</v>
      </c>
      <c r="I5571" s="311" t="str">
        <f t="shared" si="233"/>
        <v>Pesado de Passageiros M3:  : Gasóleo : E6 D/E E7</v>
      </c>
      <c r="J5571">
        <v>109</v>
      </c>
      <c r="K5571" s="422">
        <v>2023</v>
      </c>
      <c r="L5571">
        <v>24583.7</v>
      </c>
      <c r="M5571" t="s">
        <v>630</v>
      </c>
      <c r="N5571" s="131">
        <v>59812</v>
      </c>
      <c r="O5571" s="436">
        <f t="shared" si="234"/>
        <v>6519508</v>
      </c>
      <c r="Q5571" s="422" t="s">
        <v>47</v>
      </c>
      <c r="R5571" s="422" t="s">
        <v>1869</v>
      </c>
      <c r="S5571" s="422" t="s">
        <v>1861</v>
      </c>
      <c r="T5571" t="s">
        <v>4825</v>
      </c>
      <c r="U5571" s="422" t="s">
        <v>1953</v>
      </c>
      <c r="V5571" s="422" t="s">
        <v>2813</v>
      </c>
    </row>
    <row r="5572" spans="1:22" ht="15.75" thickBot="1" x14ac:dyDescent="0.3">
      <c r="A5572" t="s">
        <v>1910</v>
      </c>
      <c r="B5572" t="s">
        <v>1910</v>
      </c>
      <c r="C5572" s="424" t="str">
        <f t="shared" si="235"/>
        <v>Rodoviária de Lisboa, S.A.</v>
      </c>
      <c r="D5572" t="s">
        <v>629</v>
      </c>
      <c r="F5572" s="422" t="s">
        <v>620</v>
      </c>
      <c r="G5572" s="89">
        <v>2022</v>
      </c>
      <c r="H5572" s="313" t="s">
        <v>5816</v>
      </c>
      <c r="I5572" s="311" t="str">
        <f t="shared" si="233"/>
        <v>Pesado de Passageiros M3:  : Gasóleo : E6 D/E E7</v>
      </c>
      <c r="J5572">
        <v>109</v>
      </c>
      <c r="K5572" s="422">
        <v>2023</v>
      </c>
      <c r="L5572">
        <v>24161.1</v>
      </c>
      <c r="M5572" t="s">
        <v>630</v>
      </c>
      <c r="N5572" s="131">
        <v>58174</v>
      </c>
      <c r="O5572" s="436">
        <f t="shared" si="234"/>
        <v>6340966</v>
      </c>
      <c r="Q5572" s="422" t="s">
        <v>47</v>
      </c>
      <c r="R5572" s="422" t="s">
        <v>1869</v>
      </c>
      <c r="S5572" s="422" t="s">
        <v>1861</v>
      </c>
      <c r="T5572" t="s">
        <v>4825</v>
      </c>
      <c r="U5572" s="422" t="s">
        <v>1953</v>
      </c>
      <c r="V5572" s="422" t="s">
        <v>2813</v>
      </c>
    </row>
    <row r="5573" spans="1:22" ht="15.75" thickBot="1" x14ac:dyDescent="0.3">
      <c r="A5573" t="s">
        <v>1910</v>
      </c>
      <c r="B5573" t="s">
        <v>1910</v>
      </c>
      <c r="C5573" s="424" t="str">
        <f t="shared" si="235"/>
        <v>Rodoviária de Lisboa, S.A.</v>
      </c>
      <c r="D5573" t="s">
        <v>629</v>
      </c>
      <c r="F5573" s="422" t="s">
        <v>620</v>
      </c>
      <c r="G5573" s="89">
        <v>2022</v>
      </c>
      <c r="H5573" s="313" t="s">
        <v>5816</v>
      </c>
      <c r="I5573" s="311" t="str">
        <f t="shared" si="233"/>
        <v>Pesado de Passageiros M3:  : Gasóleo : E6 D/E E7</v>
      </c>
      <c r="J5573">
        <v>109</v>
      </c>
      <c r="K5573" s="422">
        <v>2023</v>
      </c>
      <c r="L5573">
        <v>24512.3</v>
      </c>
      <c r="M5573" t="s">
        <v>630</v>
      </c>
      <c r="N5573" s="131">
        <v>58989</v>
      </c>
      <c r="O5573" s="436">
        <f t="shared" si="234"/>
        <v>6429801</v>
      </c>
      <c r="Q5573" s="422" t="s">
        <v>47</v>
      </c>
      <c r="R5573" s="422" t="s">
        <v>1869</v>
      </c>
      <c r="S5573" s="422" t="s">
        <v>1861</v>
      </c>
      <c r="T5573" t="s">
        <v>4825</v>
      </c>
      <c r="U5573" s="422" t="s">
        <v>1953</v>
      </c>
      <c r="V5573" s="422" t="s">
        <v>2813</v>
      </c>
    </row>
    <row r="5574" spans="1:22" ht="15.75" thickBot="1" x14ac:dyDescent="0.3">
      <c r="A5574" t="s">
        <v>1910</v>
      </c>
      <c r="B5574" t="s">
        <v>1910</v>
      </c>
      <c r="C5574" s="424" t="str">
        <f t="shared" si="235"/>
        <v>Rodoviária de Lisboa, S.A.</v>
      </c>
      <c r="D5574" t="s">
        <v>629</v>
      </c>
      <c r="F5574" s="422" t="s">
        <v>620</v>
      </c>
      <c r="G5574" s="89">
        <v>2022</v>
      </c>
      <c r="H5574" s="313" t="s">
        <v>5816</v>
      </c>
      <c r="I5574" s="311" t="str">
        <f t="shared" si="233"/>
        <v>Pesado de Passageiros M3:  : Gasóleo : E6 D/E E7</v>
      </c>
      <c r="J5574">
        <v>109</v>
      </c>
      <c r="K5574" s="422">
        <v>2023</v>
      </c>
      <c r="L5574">
        <v>24621.7</v>
      </c>
      <c r="M5574" t="s">
        <v>630</v>
      </c>
      <c r="N5574" s="131">
        <v>58943</v>
      </c>
      <c r="O5574" s="436">
        <f t="shared" si="234"/>
        <v>6424787</v>
      </c>
      <c r="Q5574" s="422" t="s">
        <v>47</v>
      </c>
      <c r="R5574" s="422" t="s">
        <v>1869</v>
      </c>
      <c r="S5574" s="422" t="s">
        <v>1861</v>
      </c>
      <c r="T5574" t="s">
        <v>4825</v>
      </c>
      <c r="U5574" s="422" t="s">
        <v>1953</v>
      </c>
      <c r="V5574" s="422" t="s">
        <v>2813</v>
      </c>
    </row>
    <row r="5575" spans="1:22" ht="15.75" thickBot="1" x14ac:dyDescent="0.3">
      <c r="A5575" t="s">
        <v>1910</v>
      </c>
      <c r="B5575" t="s">
        <v>1910</v>
      </c>
      <c r="C5575" s="424" t="str">
        <f t="shared" si="235"/>
        <v>Rodoviária de Lisboa, S.A.</v>
      </c>
      <c r="D5575" t="s">
        <v>629</v>
      </c>
      <c r="F5575" s="422" t="s">
        <v>620</v>
      </c>
      <c r="G5575" s="89">
        <v>2022</v>
      </c>
      <c r="H5575" s="313" t="s">
        <v>5816</v>
      </c>
      <c r="I5575" s="311" t="str">
        <f t="shared" si="233"/>
        <v>Pesado de Passageiros M3:  : Gasóleo : E6 D/E E7</v>
      </c>
      <c r="J5575">
        <v>109</v>
      </c>
      <c r="K5575" s="422">
        <v>2023</v>
      </c>
      <c r="L5575">
        <v>23227.8</v>
      </c>
      <c r="M5575" t="s">
        <v>630</v>
      </c>
      <c r="N5575" s="131">
        <v>55817</v>
      </c>
      <c r="O5575" s="436">
        <f t="shared" si="234"/>
        <v>6084053</v>
      </c>
      <c r="Q5575" s="422" t="s">
        <v>47</v>
      </c>
      <c r="R5575" s="422" t="s">
        <v>1869</v>
      </c>
      <c r="S5575" s="422" t="s">
        <v>1861</v>
      </c>
      <c r="T5575" t="s">
        <v>4825</v>
      </c>
      <c r="U5575" s="422" t="s">
        <v>1953</v>
      </c>
      <c r="V5575" s="422" t="s">
        <v>2813</v>
      </c>
    </row>
    <row r="5576" spans="1:22" ht="15.75" thickBot="1" x14ac:dyDescent="0.3">
      <c r="A5576" t="s">
        <v>1910</v>
      </c>
      <c r="B5576" t="s">
        <v>1910</v>
      </c>
      <c r="C5576" s="424" t="str">
        <f t="shared" si="235"/>
        <v>Rodoviária de Lisboa, S.A.</v>
      </c>
      <c r="D5576" t="s">
        <v>629</v>
      </c>
      <c r="F5576" s="422" t="s">
        <v>620</v>
      </c>
      <c r="G5576" s="89">
        <v>2022</v>
      </c>
      <c r="H5576" s="313" t="s">
        <v>5816</v>
      </c>
      <c r="I5576" s="311" t="str">
        <f t="shared" si="233"/>
        <v>Pesado de Passageiros M3:  : Gasóleo : E6 D/E E7</v>
      </c>
      <c r="J5576">
        <v>109</v>
      </c>
      <c r="K5576" s="422">
        <v>2023</v>
      </c>
      <c r="L5576">
        <v>24768.9</v>
      </c>
      <c r="M5576" t="s">
        <v>630</v>
      </c>
      <c r="N5576" s="131">
        <v>59377</v>
      </c>
      <c r="O5576" s="436">
        <f t="shared" si="234"/>
        <v>6472093</v>
      </c>
      <c r="Q5576" s="422" t="s">
        <v>47</v>
      </c>
      <c r="R5576" s="422" t="s">
        <v>1869</v>
      </c>
      <c r="S5576" s="422" t="s">
        <v>1861</v>
      </c>
      <c r="T5576" t="s">
        <v>4825</v>
      </c>
      <c r="U5576" s="422" t="s">
        <v>1953</v>
      </c>
      <c r="V5576" s="422" t="s">
        <v>2813</v>
      </c>
    </row>
    <row r="5577" spans="1:22" ht="15.75" thickBot="1" x14ac:dyDescent="0.3">
      <c r="A5577" t="s">
        <v>1910</v>
      </c>
      <c r="B5577" t="s">
        <v>1910</v>
      </c>
      <c r="C5577" s="424" t="str">
        <f t="shared" si="235"/>
        <v>Rodoviária de Lisboa, S.A.</v>
      </c>
      <c r="D5577" t="s">
        <v>629</v>
      </c>
      <c r="F5577" s="422" t="s">
        <v>620</v>
      </c>
      <c r="G5577" s="89">
        <v>2022</v>
      </c>
      <c r="H5577" s="313" t="s">
        <v>5816</v>
      </c>
      <c r="I5577" s="311" t="str">
        <f t="shared" si="233"/>
        <v>Pesado de Passageiros M3:  : Gasóleo : E6 D/E E7</v>
      </c>
      <c r="J5577">
        <v>109</v>
      </c>
      <c r="K5577" s="422">
        <v>2023</v>
      </c>
      <c r="L5577">
        <v>24865.5</v>
      </c>
      <c r="M5577" t="s">
        <v>630</v>
      </c>
      <c r="N5577" s="131">
        <v>59596</v>
      </c>
      <c r="O5577" s="436">
        <f t="shared" si="234"/>
        <v>6495964</v>
      </c>
      <c r="Q5577" s="422" t="s">
        <v>47</v>
      </c>
      <c r="R5577" s="422" t="s">
        <v>1869</v>
      </c>
      <c r="S5577" s="422" t="s">
        <v>1861</v>
      </c>
      <c r="T5577" t="s">
        <v>4825</v>
      </c>
      <c r="U5577" s="422" t="s">
        <v>1953</v>
      </c>
      <c r="V5577" s="422" t="s">
        <v>2813</v>
      </c>
    </row>
    <row r="5578" spans="1:22" ht="15.75" thickBot="1" x14ac:dyDescent="0.3">
      <c r="A5578" t="s">
        <v>1910</v>
      </c>
      <c r="B5578" t="s">
        <v>1910</v>
      </c>
      <c r="C5578" s="424" t="str">
        <f t="shared" si="235"/>
        <v>Rodoviária de Lisboa, S.A.</v>
      </c>
      <c r="D5578" t="s">
        <v>629</v>
      </c>
      <c r="F5578" s="422" t="s">
        <v>620</v>
      </c>
      <c r="G5578" s="89">
        <v>2022</v>
      </c>
      <c r="H5578" s="313" t="s">
        <v>5816</v>
      </c>
      <c r="I5578" s="311" t="str">
        <f t="shared" si="233"/>
        <v>Pesado de Passageiros M3:  : Gasóleo : E6 D/E E7</v>
      </c>
      <c r="J5578">
        <v>109</v>
      </c>
      <c r="K5578" s="422">
        <v>2023</v>
      </c>
      <c r="L5578">
        <v>27375</v>
      </c>
      <c r="M5578" t="s">
        <v>630</v>
      </c>
      <c r="N5578" s="131">
        <v>63216</v>
      </c>
      <c r="O5578" s="436">
        <f t="shared" si="234"/>
        <v>6890544</v>
      </c>
      <c r="Q5578" s="422" t="s">
        <v>47</v>
      </c>
      <c r="R5578" s="422" t="s">
        <v>1869</v>
      </c>
      <c r="S5578" s="422" t="s">
        <v>1861</v>
      </c>
      <c r="T5578" t="s">
        <v>4825</v>
      </c>
      <c r="U5578" s="422" t="s">
        <v>1953</v>
      </c>
      <c r="V5578" s="422" t="s">
        <v>2813</v>
      </c>
    </row>
    <row r="5579" spans="1:22" ht="15.75" thickBot="1" x14ac:dyDescent="0.3">
      <c r="A5579" t="s">
        <v>1910</v>
      </c>
      <c r="B5579" t="s">
        <v>1910</v>
      </c>
      <c r="C5579" s="424" t="str">
        <f t="shared" si="235"/>
        <v>Rodoviária de Lisboa, S.A.</v>
      </c>
      <c r="D5579" t="s">
        <v>629</v>
      </c>
      <c r="F5579" s="422" t="s">
        <v>620</v>
      </c>
      <c r="G5579" s="89">
        <v>2022</v>
      </c>
      <c r="H5579" s="313" t="s">
        <v>5816</v>
      </c>
      <c r="I5579" s="311" t="str">
        <f t="shared" si="233"/>
        <v>Pesado de Passageiros M3:  : Gasóleo : E6 D/E E7</v>
      </c>
      <c r="J5579">
        <v>109</v>
      </c>
      <c r="K5579" s="422">
        <v>2023</v>
      </c>
      <c r="L5579">
        <v>24150.1</v>
      </c>
      <c r="M5579" t="s">
        <v>630</v>
      </c>
      <c r="N5579" s="131">
        <v>56905</v>
      </c>
      <c r="O5579" s="436">
        <f t="shared" si="234"/>
        <v>6202645</v>
      </c>
      <c r="Q5579" s="422" t="s">
        <v>47</v>
      </c>
      <c r="R5579" s="422" t="s">
        <v>1869</v>
      </c>
      <c r="S5579" s="422" t="s">
        <v>1861</v>
      </c>
      <c r="T5579" t="s">
        <v>4825</v>
      </c>
      <c r="U5579" s="422" t="s">
        <v>1953</v>
      </c>
      <c r="V5579" s="422" t="s">
        <v>2813</v>
      </c>
    </row>
    <row r="5580" spans="1:22" ht="15.75" thickBot="1" x14ac:dyDescent="0.3">
      <c r="A5580" t="s">
        <v>1910</v>
      </c>
      <c r="B5580" t="s">
        <v>1910</v>
      </c>
      <c r="C5580" s="424" t="str">
        <f t="shared" si="235"/>
        <v>Rodoviária de Lisboa, S.A.</v>
      </c>
      <c r="D5580" t="s">
        <v>629</v>
      </c>
      <c r="F5580" s="422" t="s">
        <v>620</v>
      </c>
      <c r="G5580" s="89">
        <v>2022</v>
      </c>
      <c r="H5580" s="313" t="s">
        <v>5816</v>
      </c>
      <c r="I5580" s="311" t="str">
        <f t="shared" si="233"/>
        <v>Pesado de Passageiros M3:  : Gasóleo : E6 D/E E7</v>
      </c>
      <c r="J5580">
        <v>109</v>
      </c>
      <c r="K5580" s="422">
        <v>2023</v>
      </c>
      <c r="L5580">
        <v>24484.6</v>
      </c>
      <c r="M5580" t="s">
        <v>630</v>
      </c>
      <c r="N5580" s="131">
        <v>58816</v>
      </c>
      <c r="O5580" s="436">
        <f t="shared" si="234"/>
        <v>6410944</v>
      </c>
      <c r="Q5580" s="422" t="s">
        <v>47</v>
      </c>
      <c r="R5580" s="422" t="s">
        <v>1869</v>
      </c>
      <c r="S5580" s="422" t="s">
        <v>1861</v>
      </c>
      <c r="T5580" t="s">
        <v>4825</v>
      </c>
      <c r="U5580" s="422" t="s">
        <v>1953</v>
      </c>
      <c r="V5580" s="422" t="s">
        <v>2813</v>
      </c>
    </row>
    <row r="5581" spans="1:22" ht="15.75" thickBot="1" x14ac:dyDescent="0.3">
      <c r="A5581" t="s">
        <v>1910</v>
      </c>
      <c r="B5581" t="s">
        <v>1910</v>
      </c>
      <c r="C5581" s="424" t="str">
        <f t="shared" si="235"/>
        <v>Rodoviária de Lisboa, S.A.</v>
      </c>
      <c r="D5581" t="s">
        <v>629</v>
      </c>
      <c r="F5581" s="422" t="s">
        <v>620</v>
      </c>
      <c r="G5581" s="89">
        <v>2022</v>
      </c>
      <c r="H5581" s="313" t="s">
        <v>5816</v>
      </c>
      <c r="I5581" s="311" t="str">
        <f t="shared" si="233"/>
        <v>Pesado de Passageiros M3:  : Gasóleo : E6 D/E E7</v>
      </c>
      <c r="J5581">
        <v>109</v>
      </c>
      <c r="K5581" s="422">
        <v>2023</v>
      </c>
      <c r="L5581">
        <v>24725.1</v>
      </c>
      <c r="M5581" t="s">
        <v>630</v>
      </c>
      <c r="N5581" s="131">
        <v>59627</v>
      </c>
      <c r="O5581" s="436">
        <f t="shared" si="234"/>
        <v>6499343</v>
      </c>
      <c r="Q5581" s="422" t="s">
        <v>47</v>
      </c>
      <c r="R5581" s="422" t="s">
        <v>1869</v>
      </c>
      <c r="S5581" s="422" t="s">
        <v>1861</v>
      </c>
      <c r="T5581" t="s">
        <v>4825</v>
      </c>
      <c r="U5581" s="422" t="s">
        <v>1953</v>
      </c>
      <c r="V5581" s="422" t="s">
        <v>2813</v>
      </c>
    </row>
    <row r="5582" spans="1:22" ht="15.75" thickBot="1" x14ac:dyDescent="0.3">
      <c r="A5582" t="s">
        <v>1910</v>
      </c>
      <c r="B5582" t="s">
        <v>1910</v>
      </c>
      <c r="C5582" s="424" t="str">
        <f t="shared" si="235"/>
        <v>Rodoviária de Lisboa, S.A.</v>
      </c>
      <c r="D5582" t="s">
        <v>629</v>
      </c>
      <c r="F5582" s="422" t="s">
        <v>620</v>
      </c>
      <c r="G5582" s="89">
        <v>2022</v>
      </c>
      <c r="H5582" s="313" t="s">
        <v>5816</v>
      </c>
      <c r="I5582" s="311" t="str">
        <f t="shared" si="233"/>
        <v>Pesado de Passageiros M3:  : Gasóleo : E6 D/E E7</v>
      </c>
      <c r="J5582">
        <v>109</v>
      </c>
      <c r="K5582" s="422">
        <v>2023</v>
      </c>
      <c r="L5582">
        <v>30700.2</v>
      </c>
      <c r="M5582" t="s">
        <v>630</v>
      </c>
      <c r="N5582" s="131">
        <v>67697</v>
      </c>
      <c r="O5582" s="436">
        <f t="shared" si="234"/>
        <v>7378973</v>
      </c>
      <c r="Q5582" s="422" t="s">
        <v>47</v>
      </c>
      <c r="R5582" s="422" t="s">
        <v>1869</v>
      </c>
      <c r="S5582" s="422" t="s">
        <v>1861</v>
      </c>
      <c r="T5582" t="s">
        <v>4825</v>
      </c>
      <c r="U5582" s="422" t="s">
        <v>1953</v>
      </c>
      <c r="V5582" s="422" t="s">
        <v>2813</v>
      </c>
    </row>
    <row r="5583" spans="1:22" ht="15.75" thickBot="1" x14ac:dyDescent="0.3">
      <c r="A5583" t="s">
        <v>1910</v>
      </c>
      <c r="B5583" t="s">
        <v>1910</v>
      </c>
      <c r="C5583" s="424" t="str">
        <f t="shared" si="235"/>
        <v>Rodoviária de Lisboa, S.A.</v>
      </c>
      <c r="D5583" t="s">
        <v>629</v>
      </c>
      <c r="F5583" s="422" t="s">
        <v>620</v>
      </c>
      <c r="G5583" s="89">
        <v>2022</v>
      </c>
      <c r="H5583" s="313" t="s">
        <v>5816</v>
      </c>
      <c r="I5583" s="311" t="str">
        <f t="shared" si="233"/>
        <v>Pesado de Passageiros M3:  : Gasóleo : E6 D/E E7</v>
      </c>
      <c r="J5583">
        <v>83</v>
      </c>
      <c r="K5583" s="422">
        <v>2023</v>
      </c>
      <c r="L5583">
        <v>32569.4</v>
      </c>
      <c r="M5583" t="s">
        <v>630</v>
      </c>
      <c r="N5583" s="131">
        <v>95508</v>
      </c>
      <c r="O5583" s="436">
        <f t="shared" si="234"/>
        <v>7927164</v>
      </c>
      <c r="Q5583" s="422" t="s">
        <v>47</v>
      </c>
      <c r="R5583" s="422" t="s">
        <v>1869</v>
      </c>
      <c r="S5583" s="422" t="s">
        <v>1861</v>
      </c>
      <c r="T5583" t="s">
        <v>4825</v>
      </c>
      <c r="U5583" s="422" t="s">
        <v>1953</v>
      </c>
      <c r="V5583" s="422" t="s">
        <v>2813</v>
      </c>
    </row>
    <row r="5584" spans="1:22" ht="15.75" thickBot="1" x14ac:dyDescent="0.3">
      <c r="A5584" t="s">
        <v>1910</v>
      </c>
      <c r="B5584" t="s">
        <v>1910</v>
      </c>
      <c r="C5584" s="424" t="str">
        <f t="shared" si="235"/>
        <v>Rodoviária de Lisboa, S.A.</v>
      </c>
      <c r="D5584" t="s">
        <v>629</v>
      </c>
      <c r="F5584" s="422" t="s">
        <v>620</v>
      </c>
      <c r="G5584" s="89">
        <v>2022</v>
      </c>
      <c r="H5584" s="313" t="s">
        <v>5816</v>
      </c>
      <c r="I5584" s="311" t="str">
        <f t="shared" si="233"/>
        <v>Pesado de Passageiros M3:  : Gasóleo : E6 D/E E7</v>
      </c>
      <c r="J5584">
        <v>25</v>
      </c>
      <c r="K5584" s="422">
        <v>2023</v>
      </c>
      <c r="L5584">
        <v>8274.9</v>
      </c>
      <c r="M5584" t="s">
        <v>630</v>
      </c>
      <c r="N5584" s="131">
        <v>36387</v>
      </c>
      <c r="O5584" s="436">
        <f t="shared" si="234"/>
        <v>909675</v>
      </c>
      <c r="Q5584" s="422" t="s">
        <v>47</v>
      </c>
      <c r="R5584" s="422" t="s">
        <v>1869</v>
      </c>
      <c r="S5584" s="422" t="s">
        <v>1861</v>
      </c>
      <c r="T5584" t="s">
        <v>4825</v>
      </c>
      <c r="U5584" s="422" t="s">
        <v>1953</v>
      </c>
      <c r="V5584" s="422" t="s">
        <v>2813</v>
      </c>
    </row>
    <row r="5585" spans="1:22" ht="15.75" thickBot="1" x14ac:dyDescent="0.3">
      <c r="A5585" t="s">
        <v>1910</v>
      </c>
      <c r="B5585" t="s">
        <v>1910</v>
      </c>
      <c r="C5585" s="424" t="str">
        <f t="shared" si="235"/>
        <v>Rodoviária de Lisboa, S.A.</v>
      </c>
      <c r="D5585" t="s">
        <v>629</v>
      </c>
      <c r="F5585" s="422" t="s">
        <v>620</v>
      </c>
      <c r="G5585" s="89">
        <v>2022</v>
      </c>
      <c r="H5585" s="313" t="s">
        <v>5816</v>
      </c>
      <c r="I5585" s="311" t="str">
        <f t="shared" si="233"/>
        <v>Pesado de Passageiros M3:  : Gasóleo : E6 D/E E7</v>
      </c>
      <c r="J5585">
        <v>109</v>
      </c>
      <c r="K5585" s="422">
        <v>2023</v>
      </c>
      <c r="L5585">
        <v>21170.3</v>
      </c>
      <c r="M5585" t="s">
        <v>630</v>
      </c>
      <c r="N5585" s="131">
        <v>56852</v>
      </c>
      <c r="O5585" s="436">
        <f t="shared" si="234"/>
        <v>6196868</v>
      </c>
      <c r="Q5585" s="422" t="s">
        <v>47</v>
      </c>
      <c r="R5585" s="422" t="s">
        <v>1869</v>
      </c>
      <c r="S5585" s="422" t="s">
        <v>1861</v>
      </c>
      <c r="T5585" t="s">
        <v>4825</v>
      </c>
      <c r="U5585" s="422" t="s">
        <v>1953</v>
      </c>
      <c r="V5585" s="422" t="s">
        <v>2813</v>
      </c>
    </row>
    <row r="5586" spans="1:22" ht="15.75" thickBot="1" x14ac:dyDescent="0.3">
      <c r="A5586" t="s">
        <v>1910</v>
      </c>
      <c r="B5586" t="s">
        <v>1910</v>
      </c>
      <c r="C5586" s="424" t="str">
        <f t="shared" si="235"/>
        <v>Rodoviária de Lisboa, S.A.</v>
      </c>
      <c r="D5586" t="s">
        <v>629</v>
      </c>
      <c r="F5586" s="422" t="s">
        <v>620</v>
      </c>
      <c r="G5586" s="89">
        <v>2022</v>
      </c>
      <c r="H5586" s="313" t="s">
        <v>5816</v>
      </c>
      <c r="I5586" s="311" t="str">
        <f t="shared" si="233"/>
        <v>Pesado de Passageiros M3:  : Gasóleo : E6 D/E E7</v>
      </c>
      <c r="J5586">
        <v>83</v>
      </c>
      <c r="K5586" s="422">
        <v>2023</v>
      </c>
      <c r="L5586">
        <v>12250.4</v>
      </c>
      <c r="M5586" t="s">
        <v>630</v>
      </c>
      <c r="N5586" s="131">
        <v>33955</v>
      </c>
      <c r="O5586" s="436">
        <f t="shared" si="234"/>
        <v>2818265</v>
      </c>
      <c r="Q5586" s="422" t="s">
        <v>47</v>
      </c>
      <c r="R5586" s="422" t="s">
        <v>1869</v>
      </c>
      <c r="S5586" s="422" t="s">
        <v>1861</v>
      </c>
      <c r="T5586" t="s">
        <v>4825</v>
      </c>
      <c r="U5586" s="422" t="s">
        <v>1953</v>
      </c>
      <c r="V5586" s="422" t="s">
        <v>2813</v>
      </c>
    </row>
    <row r="5587" spans="1:22" ht="15.75" thickBot="1" x14ac:dyDescent="0.3">
      <c r="A5587" t="s">
        <v>1910</v>
      </c>
      <c r="B5587" t="s">
        <v>1910</v>
      </c>
      <c r="C5587" s="424" t="str">
        <f t="shared" si="235"/>
        <v>Rodoviária de Lisboa, S.A.</v>
      </c>
      <c r="D5587" t="s">
        <v>629</v>
      </c>
      <c r="F5587" s="422" t="s">
        <v>620</v>
      </c>
      <c r="G5587" s="89" t="s">
        <v>5261</v>
      </c>
      <c r="H5587" s="313" t="s">
        <v>5816</v>
      </c>
      <c r="I5587" s="311" t="str">
        <f t="shared" si="233"/>
        <v>Pesado de Passageiros M3:  : Gasóleo : E6 D/E E7</v>
      </c>
      <c r="J5587">
        <v>83</v>
      </c>
      <c r="K5587" s="422">
        <v>2023</v>
      </c>
      <c r="L5587">
        <v>9348.9</v>
      </c>
      <c r="M5587" t="s">
        <v>630</v>
      </c>
      <c r="N5587" s="131">
        <v>23364</v>
      </c>
      <c r="O5587" s="436">
        <f t="shared" si="234"/>
        <v>1939212</v>
      </c>
      <c r="Q5587" s="422" t="s">
        <v>47</v>
      </c>
      <c r="R5587" s="422" t="s">
        <v>1869</v>
      </c>
      <c r="S5587" s="422" t="s">
        <v>1861</v>
      </c>
      <c r="T5587" t="s">
        <v>4825</v>
      </c>
      <c r="U5587" s="422" t="s">
        <v>1953</v>
      </c>
      <c r="V5587" s="422" t="s">
        <v>2813</v>
      </c>
    </row>
    <row r="5588" spans="1:22" ht="15.75" thickBot="1" x14ac:dyDescent="0.3">
      <c r="A5588" t="s">
        <v>1910</v>
      </c>
      <c r="B5588" t="s">
        <v>1910</v>
      </c>
      <c r="C5588" s="424" t="str">
        <f t="shared" si="235"/>
        <v>Rodoviária de Lisboa, S.A.</v>
      </c>
      <c r="D5588" t="s">
        <v>629</v>
      </c>
      <c r="F5588" s="422" t="s">
        <v>620</v>
      </c>
      <c r="G5588" s="89">
        <v>2022</v>
      </c>
      <c r="H5588" s="313" t="s">
        <v>5816</v>
      </c>
      <c r="I5588" s="311" t="str">
        <f t="shared" si="233"/>
        <v>Pesado de Passageiros M3:  : Gasóleo : E6 D/E E7</v>
      </c>
      <c r="J5588">
        <v>109</v>
      </c>
      <c r="K5588" s="422">
        <v>2023</v>
      </c>
      <c r="L5588">
        <v>25799.4</v>
      </c>
      <c r="M5588" t="s">
        <v>630</v>
      </c>
      <c r="N5588" s="131">
        <v>61959</v>
      </c>
      <c r="O5588" s="436">
        <f t="shared" si="234"/>
        <v>6753531</v>
      </c>
      <c r="Q5588" s="422" t="s">
        <v>47</v>
      </c>
      <c r="R5588" s="422" t="s">
        <v>1869</v>
      </c>
      <c r="S5588" s="422" t="s">
        <v>1861</v>
      </c>
      <c r="T5588" t="s">
        <v>4825</v>
      </c>
      <c r="U5588" s="422" t="s">
        <v>1953</v>
      </c>
      <c r="V5588" s="422" t="s">
        <v>2813</v>
      </c>
    </row>
    <row r="5589" spans="1:22" ht="15.75" thickBot="1" x14ac:dyDescent="0.3">
      <c r="A5589" t="s">
        <v>1910</v>
      </c>
      <c r="B5589" t="s">
        <v>1910</v>
      </c>
      <c r="C5589" s="424" t="str">
        <f t="shared" si="235"/>
        <v>Rodoviária de Lisboa, S.A.</v>
      </c>
      <c r="D5589" t="s">
        <v>629</v>
      </c>
      <c r="F5589" s="422" t="s">
        <v>620</v>
      </c>
      <c r="G5589" s="89">
        <v>2022</v>
      </c>
      <c r="H5589" s="313" t="s">
        <v>5816</v>
      </c>
      <c r="I5589" s="311" t="str">
        <f t="shared" si="233"/>
        <v>Pesado de Passageiros M3:  : Gasóleo : E6 D/E E7</v>
      </c>
      <c r="J5589">
        <v>83</v>
      </c>
      <c r="K5589" s="422">
        <v>2023</v>
      </c>
      <c r="L5589">
        <v>20543.5</v>
      </c>
      <c r="M5589" t="s">
        <v>630</v>
      </c>
      <c r="N5589" s="131">
        <v>57726</v>
      </c>
      <c r="O5589" s="436">
        <f t="shared" si="234"/>
        <v>4791258</v>
      </c>
      <c r="Q5589" s="422" t="s">
        <v>47</v>
      </c>
      <c r="R5589" s="422" t="s">
        <v>1869</v>
      </c>
      <c r="S5589" s="422" t="s">
        <v>1861</v>
      </c>
      <c r="T5589" t="s">
        <v>4825</v>
      </c>
      <c r="U5589" s="422" t="s">
        <v>1953</v>
      </c>
      <c r="V5589" s="422" t="s">
        <v>2813</v>
      </c>
    </row>
    <row r="5590" spans="1:22" ht="15.75" thickBot="1" x14ac:dyDescent="0.3">
      <c r="A5590" t="s">
        <v>1910</v>
      </c>
      <c r="B5590" t="s">
        <v>1910</v>
      </c>
      <c r="C5590" s="424" t="str">
        <f t="shared" si="235"/>
        <v>Rodoviária de Lisboa, S.A.</v>
      </c>
      <c r="D5590" t="s">
        <v>629</v>
      </c>
      <c r="F5590" s="422" t="s">
        <v>620</v>
      </c>
      <c r="G5590" s="89">
        <v>2022</v>
      </c>
      <c r="H5590" s="313" t="s">
        <v>5816</v>
      </c>
      <c r="I5590" s="311" t="str">
        <f t="shared" si="233"/>
        <v>Pesado de Passageiros M3:  : Gasóleo : E6 D/E E7</v>
      </c>
      <c r="J5590">
        <v>109</v>
      </c>
      <c r="K5590" s="422">
        <v>2023</v>
      </c>
      <c r="L5590">
        <v>24634.400000000001</v>
      </c>
      <c r="M5590" t="s">
        <v>630</v>
      </c>
      <c r="N5590" s="131">
        <v>55385</v>
      </c>
      <c r="O5590" s="436">
        <f t="shared" si="234"/>
        <v>6036965</v>
      </c>
      <c r="Q5590" s="422" t="s">
        <v>47</v>
      </c>
      <c r="R5590" s="422" t="s">
        <v>1869</v>
      </c>
      <c r="S5590" s="422" t="s">
        <v>1861</v>
      </c>
      <c r="T5590" t="s">
        <v>4825</v>
      </c>
      <c r="U5590" s="422" t="s">
        <v>1953</v>
      </c>
      <c r="V5590" s="422" t="s">
        <v>2813</v>
      </c>
    </row>
    <row r="5591" spans="1:22" ht="15.75" thickBot="1" x14ac:dyDescent="0.3">
      <c r="A5591" t="s">
        <v>1910</v>
      </c>
      <c r="B5591" t="s">
        <v>1910</v>
      </c>
      <c r="C5591" s="424" t="str">
        <f t="shared" si="235"/>
        <v>Rodoviária de Lisboa, S.A.</v>
      </c>
      <c r="D5591" t="s">
        <v>629</v>
      </c>
      <c r="F5591" s="422" t="s">
        <v>620</v>
      </c>
      <c r="G5591" s="89">
        <v>2022</v>
      </c>
      <c r="H5591" s="313" t="s">
        <v>5816</v>
      </c>
      <c r="I5591" s="311" t="str">
        <f t="shared" si="233"/>
        <v>Pesado de Passageiros M3:  : Gasóleo : E6 D/E E7</v>
      </c>
      <c r="J5591">
        <v>109</v>
      </c>
      <c r="K5591" s="422">
        <v>2023</v>
      </c>
      <c r="L5591">
        <v>22133.8</v>
      </c>
      <c r="M5591" t="s">
        <v>630</v>
      </c>
      <c r="N5591" s="131">
        <v>53133</v>
      </c>
      <c r="O5591" s="436">
        <f t="shared" si="234"/>
        <v>5791497</v>
      </c>
      <c r="Q5591" s="422" t="s">
        <v>47</v>
      </c>
      <c r="R5591" s="422" t="s">
        <v>1869</v>
      </c>
      <c r="S5591" s="422" t="s">
        <v>1861</v>
      </c>
      <c r="T5591" t="s">
        <v>4825</v>
      </c>
      <c r="U5591" s="422" t="s">
        <v>1953</v>
      </c>
      <c r="V5591" s="422" t="s">
        <v>2813</v>
      </c>
    </row>
    <row r="5592" spans="1:22" ht="15.75" thickBot="1" x14ac:dyDescent="0.3">
      <c r="A5592" t="s">
        <v>1910</v>
      </c>
      <c r="B5592" t="s">
        <v>1910</v>
      </c>
      <c r="C5592" s="424" t="str">
        <f t="shared" si="235"/>
        <v>Rodoviária de Lisboa, S.A.</v>
      </c>
      <c r="D5592" t="s">
        <v>629</v>
      </c>
      <c r="F5592" s="422" t="s">
        <v>620</v>
      </c>
      <c r="G5592" s="89">
        <v>2022</v>
      </c>
      <c r="H5592" s="313" t="s">
        <v>5816</v>
      </c>
      <c r="I5592" s="311" t="str">
        <f t="shared" si="233"/>
        <v>Pesado de Passageiros M3:  : Gasóleo : E6 D/E E7</v>
      </c>
      <c r="J5592">
        <v>109</v>
      </c>
      <c r="K5592" s="422">
        <v>2023</v>
      </c>
      <c r="L5592">
        <v>23044.3</v>
      </c>
      <c r="M5592" t="s">
        <v>630</v>
      </c>
      <c r="N5592" s="131">
        <v>51101</v>
      </c>
      <c r="O5592" s="436">
        <f t="shared" si="234"/>
        <v>5570009</v>
      </c>
      <c r="Q5592" s="422" t="s">
        <v>47</v>
      </c>
      <c r="R5592" s="422" t="s">
        <v>1869</v>
      </c>
      <c r="S5592" s="422" t="s">
        <v>1861</v>
      </c>
      <c r="T5592" t="s">
        <v>4825</v>
      </c>
      <c r="U5592" s="422" t="s">
        <v>1953</v>
      </c>
      <c r="V5592" s="422" t="s">
        <v>2813</v>
      </c>
    </row>
    <row r="5593" spans="1:22" ht="15.75" thickBot="1" x14ac:dyDescent="0.3">
      <c r="A5593" t="s">
        <v>1910</v>
      </c>
      <c r="B5593" t="s">
        <v>1910</v>
      </c>
      <c r="C5593" s="424" t="str">
        <f t="shared" si="235"/>
        <v>Rodoviária de Lisboa, S.A.</v>
      </c>
      <c r="D5593" t="s">
        <v>629</v>
      </c>
      <c r="F5593" s="422" t="s">
        <v>620</v>
      </c>
      <c r="G5593" s="89">
        <v>2022</v>
      </c>
      <c r="H5593" s="313" t="s">
        <v>5816</v>
      </c>
      <c r="I5593" s="311" t="str">
        <f t="shared" si="233"/>
        <v>Pesado de Passageiros M3:  : Gasóleo : E6 D/E E7</v>
      </c>
      <c r="J5593">
        <v>109</v>
      </c>
      <c r="K5593" s="422">
        <v>2023</v>
      </c>
      <c r="L5593">
        <v>24878.799999999999</v>
      </c>
      <c r="M5593" t="s">
        <v>630</v>
      </c>
      <c r="N5593" s="131">
        <v>56626</v>
      </c>
      <c r="O5593" s="436">
        <f t="shared" si="234"/>
        <v>6172234</v>
      </c>
      <c r="Q5593" s="422" t="s">
        <v>47</v>
      </c>
      <c r="R5593" s="422" t="s">
        <v>1869</v>
      </c>
      <c r="S5593" s="422" t="s">
        <v>1861</v>
      </c>
      <c r="T5593" t="s">
        <v>4825</v>
      </c>
      <c r="U5593" s="422" t="s">
        <v>1953</v>
      </c>
      <c r="V5593" s="422" t="s">
        <v>2813</v>
      </c>
    </row>
    <row r="5594" spans="1:22" ht="15.75" thickBot="1" x14ac:dyDescent="0.3">
      <c r="A5594" t="s">
        <v>1910</v>
      </c>
      <c r="B5594" t="s">
        <v>1910</v>
      </c>
      <c r="C5594" s="424" t="str">
        <f t="shared" si="235"/>
        <v>Rodoviária de Lisboa, S.A.</v>
      </c>
      <c r="D5594" t="s">
        <v>629</v>
      </c>
      <c r="F5594" s="422" t="s">
        <v>620</v>
      </c>
      <c r="G5594" s="89">
        <v>2022</v>
      </c>
      <c r="H5594" s="313" t="s">
        <v>5816</v>
      </c>
      <c r="I5594" s="311" t="str">
        <f t="shared" si="233"/>
        <v>Pesado de Passageiros M3:  : Gasóleo : E6 D/E E7</v>
      </c>
      <c r="J5594">
        <v>109</v>
      </c>
      <c r="K5594" s="422">
        <v>2023</v>
      </c>
      <c r="L5594">
        <v>24361.9</v>
      </c>
      <c r="M5594" t="s">
        <v>630</v>
      </c>
      <c r="N5594" s="131">
        <v>58144</v>
      </c>
      <c r="O5594" s="436">
        <f t="shared" si="234"/>
        <v>6337696</v>
      </c>
      <c r="Q5594" s="422" t="s">
        <v>47</v>
      </c>
      <c r="R5594" s="422" t="s">
        <v>1869</v>
      </c>
      <c r="S5594" s="422" t="s">
        <v>1861</v>
      </c>
      <c r="T5594" t="s">
        <v>4825</v>
      </c>
      <c r="U5594" s="422" t="s">
        <v>1953</v>
      </c>
      <c r="V5594" s="422" t="s">
        <v>2813</v>
      </c>
    </row>
    <row r="5595" spans="1:22" ht="15.75" thickBot="1" x14ac:dyDescent="0.3">
      <c r="A5595" t="s">
        <v>1910</v>
      </c>
      <c r="B5595" t="s">
        <v>1910</v>
      </c>
      <c r="C5595" s="424" t="str">
        <f t="shared" si="235"/>
        <v>Rodoviária de Lisboa, S.A.</v>
      </c>
      <c r="D5595" t="s">
        <v>629</v>
      </c>
      <c r="F5595" s="422" t="s">
        <v>620</v>
      </c>
      <c r="G5595" s="89">
        <v>2022</v>
      </c>
      <c r="H5595" s="313" t="s">
        <v>5816</v>
      </c>
      <c r="I5595" s="311" t="str">
        <f t="shared" si="233"/>
        <v>Pesado de Passageiros M3:  : Gasóleo : E6 D/E E7</v>
      </c>
      <c r="J5595">
        <v>109</v>
      </c>
      <c r="K5595" s="422">
        <v>2023</v>
      </c>
      <c r="L5595">
        <v>26537.599999999999</v>
      </c>
      <c r="M5595" t="s">
        <v>630</v>
      </c>
      <c r="N5595" s="131">
        <v>60253</v>
      </c>
      <c r="O5595" s="436">
        <f t="shared" si="234"/>
        <v>6567577</v>
      </c>
      <c r="Q5595" s="422" t="s">
        <v>47</v>
      </c>
      <c r="R5595" s="422" t="s">
        <v>1869</v>
      </c>
      <c r="S5595" s="422" t="s">
        <v>1861</v>
      </c>
      <c r="T5595" t="s">
        <v>4825</v>
      </c>
      <c r="U5595" s="422" t="s">
        <v>1953</v>
      </c>
      <c r="V5595" s="422" t="s">
        <v>2813</v>
      </c>
    </row>
    <row r="5596" spans="1:22" ht="15.75" thickBot="1" x14ac:dyDescent="0.3">
      <c r="A5596" t="s">
        <v>1910</v>
      </c>
      <c r="B5596" t="s">
        <v>1910</v>
      </c>
      <c r="C5596" s="424" t="str">
        <f t="shared" si="235"/>
        <v>Rodoviária de Lisboa, S.A.</v>
      </c>
      <c r="D5596" t="s">
        <v>629</v>
      </c>
      <c r="F5596" s="422" t="s">
        <v>620</v>
      </c>
      <c r="G5596" s="89">
        <v>2022</v>
      </c>
      <c r="H5596" s="313" t="s">
        <v>5816</v>
      </c>
      <c r="I5596" s="311" t="str">
        <f t="shared" si="233"/>
        <v>Pesado de Passageiros M3:  : Gasóleo : E6 D/E E7</v>
      </c>
      <c r="J5596">
        <v>109</v>
      </c>
      <c r="K5596" s="422">
        <v>2023</v>
      </c>
      <c r="L5596">
        <v>24371.5</v>
      </c>
      <c r="M5596" t="s">
        <v>630</v>
      </c>
      <c r="N5596" s="131">
        <v>58478</v>
      </c>
      <c r="O5596" s="436">
        <f t="shared" si="234"/>
        <v>6374102</v>
      </c>
      <c r="Q5596" s="422" t="s">
        <v>47</v>
      </c>
      <c r="R5596" s="422" t="s">
        <v>1869</v>
      </c>
      <c r="S5596" s="422" t="s">
        <v>1861</v>
      </c>
      <c r="T5596" t="s">
        <v>4825</v>
      </c>
      <c r="U5596" s="422" t="s">
        <v>1953</v>
      </c>
      <c r="V5596" s="422" t="s">
        <v>2813</v>
      </c>
    </row>
    <row r="5597" spans="1:22" ht="15.75" thickBot="1" x14ac:dyDescent="0.3">
      <c r="A5597" t="s">
        <v>1910</v>
      </c>
      <c r="B5597" t="s">
        <v>1910</v>
      </c>
      <c r="C5597" s="424" t="str">
        <f t="shared" si="235"/>
        <v>Rodoviária de Lisboa, S.A.</v>
      </c>
      <c r="D5597" t="s">
        <v>629</v>
      </c>
      <c r="F5597" s="422" t="s">
        <v>620</v>
      </c>
      <c r="G5597" s="89">
        <v>2022</v>
      </c>
      <c r="H5597" s="313" t="s">
        <v>5816</v>
      </c>
      <c r="I5597" s="311" t="str">
        <f t="shared" si="233"/>
        <v>Pesado de Passageiros M3:  : Gasóleo : E6 D/E E7</v>
      </c>
      <c r="J5597">
        <v>109</v>
      </c>
      <c r="K5597" s="422">
        <v>2023</v>
      </c>
      <c r="L5597">
        <v>24518.2</v>
      </c>
      <c r="M5597" t="s">
        <v>630</v>
      </c>
      <c r="N5597" s="131">
        <v>58978</v>
      </c>
      <c r="O5597" s="436">
        <f t="shared" si="234"/>
        <v>6428602</v>
      </c>
      <c r="Q5597" s="422" t="s">
        <v>47</v>
      </c>
      <c r="R5597" s="422" t="s">
        <v>1869</v>
      </c>
      <c r="S5597" s="422" t="s">
        <v>1861</v>
      </c>
      <c r="T5597" t="s">
        <v>4825</v>
      </c>
      <c r="U5597" s="422" t="s">
        <v>1953</v>
      </c>
      <c r="V5597" s="422" t="s">
        <v>2813</v>
      </c>
    </row>
    <row r="5598" spans="1:22" ht="15.75" thickBot="1" x14ac:dyDescent="0.3">
      <c r="A5598" t="s">
        <v>1910</v>
      </c>
      <c r="B5598" t="s">
        <v>1910</v>
      </c>
      <c r="C5598" s="424" t="str">
        <f t="shared" si="235"/>
        <v>Rodoviária de Lisboa, S.A.</v>
      </c>
      <c r="D5598" t="s">
        <v>629</v>
      </c>
      <c r="F5598" s="422" t="s">
        <v>620</v>
      </c>
      <c r="G5598" s="89">
        <v>2022</v>
      </c>
      <c r="H5598" s="313" t="s">
        <v>5816</v>
      </c>
      <c r="I5598" s="311" t="str">
        <f t="shared" si="233"/>
        <v>Pesado de Passageiros M3:  : Gasóleo : E6 D/E E7</v>
      </c>
      <c r="J5598">
        <v>25</v>
      </c>
      <c r="K5598" s="422">
        <v>2023</v>
      </c>
      <c r="L5598">
        <v>7256</v>
      </c>
      <c r="M5598" t="s">
        <v>630</v>
      </c>
      <c r="N5598" s="131">
        <v>34351</v>
      </c>
      <c r="O5598" s="436">
        <f t="shared" si="234"/>
        <v>858775</v>
      </c>
      <c r="Q5598" s="422" t="s">
        <v>47</v>
      </c>
      <c r="R5598" s="422" t="s">
        <v>1869</v>
      </c>
      <c r="S5598" s="422" t="s">
        <v>1861</v>
      </c>
      <c r="T5598" t="s">
        <v>4825</v>
      </c>
      <c r="U5598" s="422" t="s">
        <v>1953</v>
      </c>
      <c r="V5598" s="422" t="s">
        <v>2813</v>
      </c>
    </row>
    <row r="5599" spans="1:22" ht="15.75" thickBot="1" x14ac:dyDescent="0.3">
      <c r="A5599" t="s">
        <v>1910</v>
      </c>
      <c r="B5599" t="s">
        <v>1910</v>
      </c>
      <c r="C5599" s="424" t="str">
        <f t="shared" si="235"/>
        <v>Rodoviária de Lisboa, S.A.</v>
      </c>
      <c r="D5599" t="s">
        <v>629</v>
      </c>
      <c r="F5599" s="422" t="s">
        <v>620</v>
      </c>
      <c r="G5599" s="89">
        <v>2022</v>
      </c>
      <c r="H5599" s="313" t="s">
        <v>5816</v>
      </c>
      <c r="I5599" s="311" t="str">
        <f t="shared" si="233"/>
        <v>Pesado de Passageiros M3:  : Gasóleo : E6 D/E E7</v>
      </c>
      <c r="J5599">
        <v>109</v>
      </c>
      <c r="K5599" s="422">
        <v>2023</v>
      </c>
      <c r="L5599">
        <v>26093</v>
      </c>
      <c r="M5599" t="s">
        <v>630</v>
      </c>
      <c r="N5599" s="131">
        <v>58578</v>
      </c>
      <c r="O5599" s="436">
        <f t="shared" si="234"/>
        <v>6385002</v>
      </c>
      <c r="Q5599" s="422" t="s">
        <v>47</v>
      </c>
      <c r="R5599" s="422" t="s">
        <v>1869</v>
      </c>
      <c r="S5599" s="422" t="s">
        <v>1861</v>
      </c>
      <c r="T5599" t="s">
        <v>4825</v>
      </c>
      <c r="U5599" s="422" t="s">
        <v>1953</v>
      </c>
      <c r="V5599" s="422" t="s">
        <v>2813</v>
      </c>
    </row>
    <row r="5600" spans="1:22" ht="15.75" thickBot="1" x14ac:dyDescent="0.3">
      <c r="A5600" t="s">
        <v>1910</v>
      </c>
      <c r="B5600" t="s">
        <v>1910</v>
      </c>
      <c r="C5600" s="424" t="str">
        <f t="shared" si="235"/>
        <v>Rodoviária de Lisboa, S.A.</v>
      </c>
      <c r="D5600" t="s">
        <v>629</v>
      </c>
      <c r="F5600" s="422" t="s">
        <v>620</v>
      </c>
      <c r="G5600" s="89">
        <v>2022</v>
      </c>
      <c r="H5600" s="313" t="s">
        <v>5816</v>
      </c>
      <c r="I5600" s="311" t="str">
        <f t="shared" si="233"/>
        <v>Pesado de Passageiros M3:  : Gasóleo : E6 D/E E7</v>
      </c>
      <c r="J5600">
        <v>109</v>
      </c>
      <c r="K5600" s="422">
        <v>2023</v>
      </c>
      <c r="L5600">
        <v>26452.7</v>
      </c>
      <c r="M5600" t="s">
        <v>630</v>
      </c>
      <c r="N5600" s="131">
        <v>61869</v>
      </c>
      <c r="O5600" s="436">
        <f t="shared" si="234"/>
        <v>6743721</v>
      </c>
      <c r="Q5600" s="422" t="s">
        <v>47</v>
      </c>
      <c r="R5600" s="422" t="s">
        <v>1869</v>
      </c>
      <c r="S5600" s="422" t="s">
        <v>1861</v>
      </c>
      <c r="T5600" t="s">
        <v>4825</v>
      </c>
      <c r="U5600" s="422" t="s">
        <v>1953</v>
      </c>
      <c r="V5600" s="422" t="s">
        <v>2813</v>
      </c>
    </row>
    <row r="5601" spans="1:22" ht="15.75" thickBot="1" x14ac:dyDescent="0.3">
      <c r="A5601" t="s">
        <v>1910</v>
      </c>
      <c r="B5601" t="s">
        <v>1910</v>
      </c>
      <c r="C5601" s="424" t="str">
        <f t="shared" si="235"/>
        <v>Rodoviária de Lisboa, S.A.</v>
      </c>
      <c r="D5601" t="s">
        <v>629</v>
      </c>
      <c r="F5601" s="422" t="s">
        <v>620</v>
      </c>
      <c r="G5601" s="89">
        <v>2022</v>
      </c>
      <c r="H5601" s="313" t="s">
        <v>5816</v>
      </c>
      <c r="I5601" s="311" t="str">
        <f t="shared" si="233"/>
        <v>Pesado de Passageiros M3:  : Gasóleo : E6 D/E E7</v>
      </c>
      <c r="J5601">
        <v>109</v>
      </c>
      <c r="K5601" s="422">
        <v>2023</v>
      </c>
      <c r="L5601">
        <v>26093.200000000001</v>
      </c>
      <c r="M5601" t="s">
        <v>630</v>
      </c>
      <c r="N5601" s="131">
        <v>62865</v>
      </c>
      <c r="O5601" s="436">
        <f t="shared" si="234"/>
        <v>6852285</v>
      </c>
      <c r="Q5601" s="422" t="s">
        <v>47</v>
      </c>
      <c r="R5601" s="422" t="s">
        <v>1869</v>
      </c>
      <c r="S5601" s="422" t="s">
        <v>1861</v>
      </c>
      <c r="T5601" t="s">
        <v>4825</v>
      </c>
      <c r="U5601" s="422" t="s">
        <v>1953</v>
      </c>
      <c r="V5601" s="422" t="s">
        <v>2813</v>
      </c>
    </row>
    <row r="5602" spans="1:22" ht="15.75" thickBot="1" x14ac:dyDescent="0.3">
      <c r="A5602" t="s">
        <v>1910</v>
      </c>
      <c r="B5602" t="s">
        <v>1910</v>
      </c>
      <c r="C5602" s="424" t="str">
        <f t="shared" si="235"/>
        <v>Rodoviária de Lisboa, S.A.</v>
      </c>
      <c r="D5602" t="s">
        <v>629</v>
      </c>
      <c r="F5602" s="422" t="s">
        <v>620</v>
      </c>
      <c r="G5602" s="89">
        <v>2022</v>
      </c>
      <c r="H5602" s="313" t="s">
        <v>5816</v>
      </c>
      <c r="I5602" s="311" t="str">
        <f t="shared" ref="I5602:I5665" si="236">D5602&amp;": "&amp;E5602&amp;" : "&amp;F5602&amp;" : "&amp;H5602</f>
        <v>Pesado de Passageiros M3:  : Gasóleo : E6 D/E E7</v>
      </c>
      <c r="J5602">
        <v>83</v>
      </c>
      <c r="K5602" s="422">
        <v>2023</v>
      </c>
      <c r="L5602">
        <v>5080.2</v>
      </c>
      <c r="M5602" t="s">
        <v>630</v>
      </c>
      <c r="N5602" s="131">
        <v>13302</v>
      </c>
      <c r="O5602" s="436">
        <f t="shared" ref="O5602:O5665" si="237">N5602*J5602</f>
        <v>1104066</v>
      </c>
      <c r="Q5602" s="422" t="s">
        <v>47</v>
      </c>
      <c r="R5602" s="422" t="s">
        <v>1869</v>
      </c>
      <c r="S5602" s="422" t="s">
        <v>1861</v>
      </c>
      <c r="T5602" t="s">
        <v>4825</v>
      </c>
      <c r="U5602" s="422" t="s">
        <v>1953</v>
      </c>
      <c r="V5602" s="422" t="s">
        <v>2813</v>
      </c>
    </row>
    <row r="5603" spans="1:22" ht="15.75" thickBot="1" x14ac:dyDescent="0.3">
      <c r="A5603" t="s">
        <v>1910</v>
      </c>
      <c r="B5603" t="s">
        <v>1910</v>
      </c>
      <c r="C5603" s="424" t="str">
        <f t="shared" si="235"/>
        <v>Rodoviária de Lisboa, S.A.</v>
      </c>
      <c r="D5603" t="s">
        <v>629</v>
      </c>
      <c r="F5603" s="422" t="s">
        <v>620</v>
      </c>
      <c r="G5603" s="89" t="s">
        <v>5261</v>
      </c>
      <c r="H5603" s="313" t="s">
        <v>5816</v>
      </c>
      <c r="I5603" s="311" t="str">
        <f t="shared" si="236"/>
        <v>Pesado de Passageiros M3:  : Gasóleo : E6 D/E E7</v>
      </c>
      <c r="J5603">
        <v>83</v>
      </c>
      <c r="K5603" s="422">
        <v>2023</v>
      </c>
      <c r="L5603">
        <v>17420.900000000001</v>
      </c>
      <c r="M5603" t="s">
        <v>630</v>
      </c>
      <c r="N5603" s="131">
        <v>43720</v>
      </c>
      <c r="O5603" s="436">
        <f t="shared" si="237"/>
        <v>3628760</v>
      </c>
      <c r="Q5603" s="422" t="s">
        <v>47</v>
      </c>
      <c r="R5603" s="422" t="s">
        <v>1869</v>
      </c>
      <c r="S5603" s="422" t="s">
        <v>1861</v>
      </c>
      <c r="T5603" t="s">
        <v>4825</v>
      </c>
      <c r="U5603" s="422" t="s">
        <v>1953</v>
      </c>
      <c r="V5603" s="422" t="s">
        <v>2813</v>
      </c>
    </row>
    <row r="5604" spans="1:22" ht="15.75" thickBot="1" x14ac:dyDescent="0.3">
      <c r="A5604" t="s">
        <v>1910</v>
      </c>
      <c r="B5604" t="s">
        <v>1910</v>
      </c>
      <c r="C5604" s="424" t="str">
        <f t="shared" si="235"/>
        <v>Rodoviária de Lisboa, S.A.</v>
      </c>
      <c r="D5604" t="s">
        <v>629</v>
      </c>
      <c r="F5604" s="422" t="s">
        <v>620</v>
      </c>
      <c r="G5604" s="89">
        <v>2022</v>
      </c>
      <c r="H5604" s="313" t="s">
        <v>5816</v>
      </c>
      <c r="I5604" s="311" t="str">
        <f t="shared" si="236"/>
        <v>Pesado de Passageiros M3:  : Gasóleo : E6 D/E E7</v>
      </c>
      <c r="J5604">
        <v>25</v>
      </c>
      <c r="K5604" s="422">
        <v>2023</v>
      </c>
      <c r="L5604">
        <v>5820.5</v>
      </c>
      <c r="M5604" t="s">
        <v>630</v>
      </c>
      <c r="N5604" s="131">
        <v>37861</v>
      </c>
      <c r="O5604" s="436">
        <f t="shared" si="237"/>
        <v>946525</v>
      </c>
      <c r="Q5604" s="422" t="s">
        <v>47</v>
      </c>
      <c r="R5604" s="422" t="s">
        <v>1869</v>
      </c>
      <c r="S5604" s="422" t="s">
        <v>1861</v>
      </c>
      <c r="T5604" t="s">
        <v>4825</v>
      </c>
      <c r="U5604" s="422" t="s">
        <v>1953</v>
      </c>
      <c r="V5604" s="422" t="s">
        <v>2813</v>
      </c>
    </row>
    <row r="5605" spans="1:22" ht="15.75" thickBot="1" x14ac:dyDescent="0.3">
      <c r="A5605" t="s">
        <v>1910</v>
      </c>
      <c r="B5605" t="s">
        <v>1910</v>
      </c>
      <c r="C5605" s="424" t="str">
        <f t="shared" si="235"/>
        <v>Rodoviária de Lisboa, S.A.</v>
      </c>
      <c r="D5605" t="s">
        <v>629</v>
      </c>
      <c r="F5605" s="422" t="s">
        <v>620</v>
      </c>
      <c r="G5605" s="89">
        <v>2022</v>
      </c>
      <c r="H5605" s="313" t="s">
        <v>5816</v>
      </c>
      <c r="I5605" s="311" t="str">
        <f t="shared" si="236"/>
        <v>Pesado de Passageiros M3:  : Gasóleo : E6 D/E E7</v>
      </c>
      <c r="J5605">
        <v>109</v>
      </c>
      <c r="K5605" s="422">
        <v>2023</v>
      </c>
      <c r="L5605">
        <v>24983.7</v>
      </c>
      <c r="M5605" t="s">
        <v>630</v>
      </c>
      <c r="N5605" s="131">
        <v>53142</v>
      </c>
      <c r="O5605" s="436">
        <f t="shared" si="237"/>
        <v>5792478</v>
      </c>
      <c r="Q5605" s="422" t="s">
        <v>47</v>
      </c>
      <c r="R5605" s="422" t="s">
        <v>1869</v>
      </c>
      <c r="S5605" s="422" t="s">
        <v>1861</v>
      </c>
      <c r="T5605" t="s">
        <v>4825</v>
      </c>
      <c r="U5605" s="422" t="s">
        <v>1953</v>
      </c>
      <c r="V5605" s="422" t="s">
        <v>2813</v>
      </c>
    </row>
    <row r="5606" spans="1:22" ht="15.75" thickBot="1" x14ac:dyDescent="0.3">
      <c r="A5606" t="s">
        <v>1910</v>
      </c>
      <c r="B5606" t="s">
        <v>1910</v>
      </c>
      <c r="C5606" s="424" t="str">
        <f t="shared" si="235"/>
        <v>Rodoviária de Lisboa, S.A.</v>
      </c>
      <c r="D5606" t="s">
        <v>629</v>
      </c>
      <c r="F5606" s="422" t="s">
        <v>620</v>
      </c>
      <c r="G5606" s="89">
        <v>2022</v>
      </c>
      <c r="H5606" s="313" t="s">
        <v>5816</v>
      </c>
      <c r="I5606" s="311" t="str">
        <f t="shared" si="236"/>
        <v>Pesado de Passageiros M3:  : Gasóleo : E6 D/E E7</v>
      </c>
      <c r="J5606">
        <v>109</v>
      </c>
      <c r="K5606" s="422">
        <v>2023</v>
      </c>
      <c r="L5606">
        <v>21762.6</v>
      </c>
      <c r="M5606" t="s">
        <v>630</v>
      </c>
      <c r="N5606" s="131">
        <v>53450</v>
      </c>
      <c r="O5606" s="436">
        <f t="shared" si="237"/>
        <v>5826050</v>
      </c>
      <c r="Q5606" s="422" t="s">
        <v>47</v>
      </c>
      <c r="R5606" s="422" t="s">
        <v>1869</v>
      </c>
      <c r="S5606" s="422" t="s">
        <v>1861</v>
      </c>
      <c r="T5606" t="s">
        <v>4825</v>
      </c>
      <c r="U5606" s="422" t="s">
        <v>1953</v>
      </c>
      <c r="V5606" s="422" t="s">
        <v>2813</v>
      </c>
    </row>
    <row r="5607" spans="1:22" ht="15.75" thickBot="1" x14ac:dyDescent="0.3">
      <c r="A5607" t="s">
        <v>1910</v>
      </c>
      <c r="B5607" t="s">
        <v>1910</v>
      </c>
      <c r="C5607" s="424" t="str">
        <f t="shared" si="235"/>
        <v>Rodoviária de Lisboa, S.A.</v>
      </c>
      <c r="D5607" t="s">
        <v>629</v>
      </c>
      <c r="F5607" s="422" t="s">
        <v>620</v>
      </c>
      <c r="G5607" s="89">
        <v>2022</v>
      </c>
      <c r="H5607" s="313" t="s">
        <v>5816</v>
      </c>
      <c r="I5607" s="311" t="str">
        <f t="shared" si="236"/>
        <v>Pesado de Passageiros M3:  : Gasóleo : E6 D/E E7</v>
      </c>
      <c r="J5607">
        <v>109</v>
      </c>
      <c r="K5607" s="422">
        <v>2023</v>
      </c>
      <c r="L5607">
        <v>27745.3</v>
      </c>
      <c r="M5607" t="s">
        <v>630</v>
      </c>
      <c r="N5607" s="131">
        <v>76134</v>
      </c>
      <c r="O5607" s="436">
        <f t="shared" si="237"/>
        <v>8298606</v>
      </c>
      <c r="Q5607" s="422" t="s">
        <v>47</v>
      </c>
      <c r="R5607" s="422" t="s">
        <v>1869</v>
      </c>
      <c r="S5607" s="422" t="s">
        <v>1861</v>
      </c>
      <c r="T5607" t="s">
        <v>4825</v>
      </c>
      <c r="U5607" s="422" t="s">
        <v>1953</v>
      </c>
      <c r="V5607" s="422" t="s">
        <v>2813</v>
      </c>
    </row>
    <row r="5608" spans="1:22" ht="15.75" thickBot="1" x14ac:dyDescent="0.3">
      <c r="A5608" t="s">
        <v>1910</v>
      </c>
      <c r="B5608" t="s">
        <v>1910</v>
      </c>
      <c r="C5608" s="424" t="str">
        <f t="shared" si="235"/>
        <v>Rodoviária de Lisboa, S.A.</v>
      </c>
      <c r="D5608" t="s">
        <v>629</v>
      </c>
      <c r="F5608" s="422" t="s">
        <v>620</v>
      </c>
      <c r="G5608" s="89">
        <v>2022</v>
      </c>
      <c r="H5608" s="313" t="s">
        <v>5816</v>
      </c>
      <c r="I5608" s="311" t="str">
        <f t="shared" si="236"/>
        <v>Pesado de Passageiros M3:  : Gasóleo : E6 D/E E7</v>
      </c>
      <c r="J5608">
        <v>109</v>
      </c>
      <c r="K5608" s="422">
        <v>2023</v>
      </c>
      <c r="L5608">
        <v>25006.9</v>
      </c>
      <c r="M5608" t="s">
        <v>630</v>
      </c>
      <c r="N5608" s="131">
        <v>56124</v>
      </c>
      <c r="O5608" s="436">
        <f t="shared" si="237"/>
        <v>6117516</v>
      </c>
      <c r="Q5608" s="422" t="s">
        <v>47</v>
      </c>
      <c r="R5608" s="422" t="s">
        <v>1869</v>
      </c>
      <c r="S5608" s="422" t="s">
        <v>1861</v>
      </c>
      <c r="T5608" t="s">
        <v>4825</v>
      </c>
      <c r="U5608" s="422" t="s">
        <v>1953</v>
      </c>
      <c r="V5608" s="422" t="s">
        <v>2813</v>
      </c>
    </row>
    <row r="5609" spans="1:22" ht="15.75" thickBot="1" x14ac:dyDescent="0.3">
      <c r="A5609" t="s">
        <v>1910</v>
      </c>
      <c r="B5609" t="s">
        <v>1910</v>
      </c>
      <c r="C5609" s="424" t="str">
        <f t="shared" si="235"/>
        <v>Rodoviária de Lisboa, S.A.</v>
      </c>
      <c r="D5609" t="s">
        <v>629</v>
      </c>
      <c r="F5609" s="422" t="s">
        <v>620</v>
      </c>
      <c r="G5609" s="89">
        <v>2022</v>
      </c>
      <c r="H5609" s="313" t="s">
        <v>5816</v>
      </c>
      <c r="I5609" s="311" t="str">
        <f t="shared" si="236"/>
        <v>Pesado de Passageiros M3:  : Gasóleo : E6 D/E E7</v>
      </c>
      <c r="J5609">
        <v>109</v>
      </c>
      <c r="K5609" s="422">
        <v>2023</v>
      </c>
      <c r="L5609">
        <v>22402.1</v>
      </c>
      <c r="M5609" t="s">
        <v>630</v>
      </c>
      <c r="N5609" s="131">
        <v>54607</v>
      </c>
      <c r="O5609" s="436">
        <f t="shared" si="237"/>
        <v>5952163</v>
      </c>
      <c r="Q5609" s="422" t="s">
        <v>47</v>
      </c>
      <c r="R5609" s="422" t="s">
        <v>1869</v>
      </c>
      <c r="S5609" s="422" t="s">
        <v>1861</v>
      </c>
      <c r="T5609" t="s">
        <v>4825</v>
      </c>
      <c r="U5609" s="422" t="s">
        <v>1953</v>
      </c>
      <c r="V5609" s="422" t="s">
        <v>2813</v>
      </c>
    </row>
    <row r="5610" spans="1:22" ht="15.75" thickBot="1" x14ac:dyDescent="0.3">
      <c r="A5610" t="s">
        <v>1910</v>
      </c>
      <c r="B5610" t="s">
        <v>1910</v>
      </c>
      <c r="C5610" s="424" t="str">
        <f t="shared" si="235"/>
        <v>Rodoviária de Lisboa, S.A.</v>
      </c>
      <c r="D5610" t="s">
        <v>629</v>
      </c>
      <c r="F5610" s="422" t="s">
        <v>620</v>
      </c>
      <c r="G5610" s="89">
        <v>2022</v>
      </c>
      <c r="H5610" s="313" t="s">
        <v>5816</v>
      </c>
      <c r="I5610" s="311" t="str">
        <f t="shared" si="236"/>
        <v>Pesado de Passageiros M3:  : Gasóleo : E6 D/E E7</v>
      </c>
      <c r="J5610">
        <v>109</v>
      </c>
      <c r="K5610" s="422">
        <v>2023</v>
      </c>
      <c r="L5610">
        <v>22823.5</v>
      </c>
      <c r="M5610" t="s">
        <v>630</v>
      </c>
      <c r="N5610" s="131">
        <v>55881</v>
      </c>
      <c r="O5610" s="436">
        <f t="shared" si="237"/>
        <v>6091029</v>
      </c>
      <c r="Q5610" s="422" t="s">
        <v>47</v>
      </c>
      <c r="R5610" s="422" t="s">
        <v>1869</v>
      </c>
      <c r="S5610" s="422" t="s">
        <v>1861</v>
      </c>
      <c r="T5610" t="s">
        <v>4825</v>
      </c>
      <c r="U5610" s="422" t="s">
        <v>1953</v>
      </c>
      <c r="V5610" s="422" t="s">
        <v>2813</v>
      </c>
    </row>
    <row r="5611" spans="1:22" ht="15.75" thickBot="1" x14ac:dyDescent="0.3">
      <c r="A5611" t="s">
        <v>1910</v>
      </c>
      <c r="B5611" t="s">
        <v>1910</v>
      </c>
      <c r="C5611" s="424" t="str">
        <f t="shared" si="235"/>
        <v>Rodoviária de Lisboa, S.A.</v>
      </c>
      <c r="D5611" t="s">
        <v>629</v>
      </c>
      <c r="F5611" s="422" t="s">
        <v>620</v>
      </c>
      <c r="G5611" s="89">
        <v>2022</v>
      </c>
      <c r="H5611" s="313" t="s">
        <v>5816</v>
      </c>
      <c r="I5611" s="311" t="str">
        <f t="shared" si="236"/>
        <v>Pesado de Passageiros M3:  : Gasóleo : E6 D/E E7</v>
      </c>
      <c r="J5611">
        <v>25</v>
      </c>
      <c r="K5611" s="422">
        <v>2023</v>
      </c>
      <c r="L5611">
        <v>8297.5</v>
      </c>
      <c r="M5611" t="s">
        <v>630</v>
      </c>
      <c r="N5611" s="131">
        <v>49623</v>
      </c>
      <c r="O5611" s="436">
        <f t="shared" si="237"/>
        <v>1240575</v>
      </c>
      <c r="Q5611" s="422" t="s">
        <v>47</v>
      </c>
      <c r="R5611" s="422" t="s">
        <v>1869</v>
      </c>
      <c r="S5611" s="422" t="s">
        <v>1861</v>
      </c>
      <c r="T5611" t="s">
        <v>4825</v>
      </c>
      <c r="U5611" s="422" t="s">
        <v>1953</v>
      </c>
      <c r="V5611" s="422" t="s">
        <v>2813</v>
      </c>
    </row>
    <row r="5612" spans="1:22" ht="15.75" thickBot="1" x14ac:dyDescent="0.3">
      <c r="A5612" t="s">
        <v>1910</v>
      </c>
      <c r="B5612" t="s">
        <v>1910</v>
      </c>
      <c r="C5612" s="424" t="str">
        <f t="shared" si="235"/>
        <v>Rodoviária de Lisboa, S.A.</v>
      </c>
      <c r="D5612" t="s">
        <v>629</v>
      </c>
      <c r="F5612" s="422" t="s">
        <v>620</v>
      </c>
      <c r="G5612" s="89">
        <v>2022</v>
      </c>
      <c r="H5612" s="313" t="s">
        <v>5816</v>
      </c>
      <c r="I5612" s="311" t="str">
        <f t="shared" si="236"/>
        <v>Pesado de Passageiros M3:  : Gasóleo : E6 D/E E7</v>
      </c>
      <c r="J5612">
        <v>85</v>
      </c>
      <c r="K5612" s="422">
        <v>2023</v>
      </c>
      <c r="L5612">
        <v>19962.5</v>
      </c>
      <c r="M5612" t="s">
        <v>630</v>
      </c>
      <c r="N5612" s="131">
        <v>48907</v>
      </c>
      <c r="O5612" s="436">
        <f t="shared" si="237"/>
        <v>4157095</v>
      </c>
      <c r="Q5612" s="422" t="s">
        <v>47</v>
      </c>
      <c r="R5612" s="422" t="s">
        <v>1869</v>
      </c>
      <c r="S5612" s="422" t="s">
        <v>1861</v>
      </c>
      <c r="T5612" t="s">
        <v>4825</v>
      </c>
      <c r="U5612" s="422" t="s">
        <v>1953</v>
      </c>
      <c r="V5612" s="422" t="s">
        <v>2813</v>
      </c>
    </row>
    <row r="5613" spans="1:22" ht="15.75" thickBot="1" x14ac:dyDescent="0.3">
      <c r="A5613" t="s">
        <v>1910</v>
      </c>
      <c r="B5613" t="s">
        <v>1910</v>
      </c>
      <c r="C5613" s="424" t="str">
        <f t="shared" si="235"/>
        <v>Rodoviária de Lisboa, S.A.</v>
      </c>
      <c r="D5613" t="s">
        <v>629</v>
      </c>
      <c r="F5613" s="422" t="s">
        <v>620</v>
      </c>
      <c r="G5613" s="89">
        <v>2022</v>
      </c>
      <c r="H5613" s="313" t="s">
        <v>5816</v>
      </c>
      <c r="I5613" s="311" t="str">
        <f t="shared" si="236"/>
        <v>Pesado de Passageiros M3:  : Gasóleo : E6 D/E E7</v>
      </c>
      <c r="J5613">
        <v>37</v>
      </c>
      <c r="K5613" s="422">
        <v>2023</v>
      </c>
      <c r="L5613">
        <v>10998.8</v>
      </c>
      <c r="M5613" t="s">
        <v>630</v>
      </c>
      <c r="N5613" s="131">
        <v>49041</v>
      </c>
      <c r="O5613" s="436">
        <f t="shared" si="237"/>
        <v>1814517</v>
      </c>
      <c r="Q5613" s="422" t="s">
        <v>47</v>
      </c>
      <c r="R5613" s="422" t="s">
        <v>1869</v>
      </c>
      <c r="S5613" s="422" t="s">
        <v>1861</v>
      </c>
      <c r="T5613" t="s">
        <v>4825</v>
      </c>
      <c r="U5613" s="422" t="s">
        <v>1953</v>
      </c>
      <c r="V5613" s="422" t="s">
        <v>2813</v>
      </c>
    </row>
    <row r="5614" spans="1:22" ht="15.75" thickBot="1" x14ac:dyDescent="0.3">
      <c r="A5614" t="s">
        <v>1910</v>
      </c>
      <c r="B5614" t="s">
        <v>1910</v>
      </c>
      <c r="C5614" s="424" t="str">
        <f t="shared" si="235"/>
        <v>Rodoviária de Lisboa, S.A.</v>
      </c>
      <c r="D5614" t="s">
        <v>629</v>
      </c>
      <c r="F5614" s="422" t="s">
        <v>620</v>
      </c>
      <c r="G5614" s="89">
        <v>2022</v>
      </c>
      <c r="H5614" s="313" t="s">
        <v>5816</v>
      </c>
      <c r="I5614" s="311" t="str">
        <f t="shared" si="236"/>
        <v>Pesado de Passageiros M3:  : Gasóleo : E6 D/E E7</v>
      </c>
      <c r="J5614">
        <v>85</v>
      </c>
      <c r="K5614" s="422">
        <v>2023</v>
      </c>
      <c r="L5614">
        <v>30565.5</v>
      </c>
      <c r="M5614" t="s">
        <v>630</v>
      </c>
      <c r="N5614" s="131">
        <v>72123</v>
      </c>
      <c r="O5614" s="436">
        <f t="shared" si="237"/>
        <v>6130455</v>
      </c>
      <c r="Q5614" s="422" t="s">
        <v>47</v>
      </c>
      <c r="R5614" s="422" t="s">
        <v>1869</v>
      </c>
      <c r="S5614" s="422" t="s">
        <v>1861</v>
      </c>
      <c r="T5614" t="s">
        <v>4825</v>
      </c>
      <c r="U5614" s="422" t="s">
        <v>1953</v>
      </c>
      <c r="V5614" s="422" t="s">
        <v>2813</v>
      </c>
    </row>
    <row r="5615" spans="1:22" ht="15.75" thickBot="1" x14ac:dyDescent="0.3">
      <c r="A5615" t="s">
        <v>1910</v>
      </c>
      <c r="B5615" t="s">
        <v>1910</v>
      </c>
      <c r="C5615" s="424" t="str">
        <f t="shared" si="235"/>
        <v>Rodoviária de Lisboa, S.A.</v>
      </c>
      <c r="D5615" t="s">
        <v>629</v>
      </c>
      <c r="F5615" s="422" t="s">
        <v>620</v>
      </c>
      <c r="G5615" s="89">
        <v>2022</v>
      </c>
      <c r="H5615" s="313" t="s">
        <v>5816</v>
      </c>
      <c r="I5615" s="311" t="str">
        <f t="shared" si="236"/>
        <v>Pesado de Passageiros M3:  : Gasóleo : E6 D/E E7</v>
      </c>
      <c r="J5615">
        <v>37</v>
      </c>
      <c r="K5615" s="422">
        <v>2023</v>
      </c>
      <c r="L5615">
        <v>11432.7</v>
      </c>
      <c r="M5615" t="s">
        <v>630</v>
      </c>
      <c r="N5615" s="131">
        <v>51255</v>
      </c>
      <c r="O5615" s="436">
        <f t="shared" si="237"/>
        <v>1896435</v>
      </c>
      <c r="Q5615" s="422" t="s">
        <v>47</v>
      </c>
      <c r="R5615" s="422" t="s">
        <v>1869</v>
      </c>
      <c r="S5615" s="422" t="s">
        <v>1861</v>
      </c>
      <c r="T5615" t="s">
        <v>4825</v>
      </c>
      <c r="U5615" s="422" t="s">
        <v>1953</v>
      </c>
      <c r="V5615" s="422" t="s">
        <v>2813</v>
      </c>
    </row>
    <row r="5616" spans="1:22" ht="15.75" thickBot="1" x14ac:dyDescent="0.3">
      <c r="A5616" t="s">
        <v>1910</v>
      </c>
      <c r="B5616" t="s">
        <v>1910</v>
      </c>
      <c r="C5616" s="424" t="str">
        <f t="shared" si="235"/>
        <v>Rodoviária de Lisboa, S.A.</v>
      </c>
      <c r="D5616" t="s">
        <v>629</v>
      </c>
      <c r="F5616" s="422" t="s">
        <v>620</v>
      </c>
      <c r="G5616" s="89">
        <v>2022</v>
      </c>
      <c r="H5616" s="313" t="s">
        <v>5816</v>
      </c>
      <c r="I5616" s="311" t="str">
        <f t="shared" si="236"/>
        <v>Pesado de Passageiros M3:  : Gasóleo : E6 D/E E7</v>
      </c>
      <c r="J5616">
        <v>85</v>
      </c>
      <c r="K5616" s="422">
        <v>2023</v>
      </c>
      <c r="L5616">
        <v>30535.599999999999</v>
      </c>
      <c r="M5616" t="s">
        <v>630</v>
      </c>
      <c r="N5616" s="131">
        <v>71375</v>
      </c>
      <c r="O5616" s="436">
        <f t="shared" si="237"/>
        <v>6066875</v>
      </c>
      <c r="Q5616" s="422" t="s">
        <v>47</v>
      </c>
      <c r="R5616" s="422" t="s">
        <v>1869</v>
      </c>
      <c r="S5616" s="422" t="s">
        <v>1861</v>
      </c>
      <c r="T5616" t="s">
        <v>4825</v>
      </c>
      <c r="U5616" s="422" t="s">
        <v>1953</v>
      </c>
      <c r="V5616" s="422" t="s">
        <v>2813</v>
      </c>
    </row>
    <row r="5617" spans="1:22" ht="15.75" thickBot="1" x14ac:dyDescent="0.3">
      <c r="A5617" t="s">
        <v>1910</v>
      </c>
      <c r="B5617" t="s">
        <v>1910</v>
      </c>
      <c r="C5617" s="424" t="str">
        <f t="shared" si="235"/>
        <v>Rodoviária de Lisboa, S.A.</v>
      </c>
      <c r="D5617" t="s">
        <v>629</v>
      </c>
      <c r="F5617" s="422" t="s">
        <v>620</v>
      </c>
      <c r="G5617" s="89">
        <v>2022</v>
      </c>
      <c r="H5617" s="313" t="s">
        <v>5816</v>
      </c>
      <c r="I5617" s="311" t="str">
        <f t="shared" si="236"/>
        <v>Pesado de Passageiros M3:  : Gasóleo : E6 D/E E7</v>
      </c>
      <c r="J5617">
        <v>109</v>
      </c>
      <c r="K5617" s="422">
        <v>2023</v>
      </c>
      <c r="L5617">
        <v>23878.9</v>
      </c>
      <c r="M5617" t="s">
        <v>630</v>
      </c>
      <c r="N5617" s="131">
        <v>58394</v>
      </c>
      <c r="O5617" s="436">
        <f t="shared" si="237"/>
        <v>6364946</v>
      </c>
      <c r="Q5617" s="422" t="s">
        <v>47</v>
      </c>
      <c r="R5617" s="422" t="s">
        <v>1869</v>
      </c>
      <c r="S5617" s="422" t="s">
        <v>1861</v>
      </c>
      <c r="T5617" t="s">
        <v>4825</v>
      </c>
      <c r="U5617" s="422" t="s">
        <v>1953</v>
      </c>
      <c r="V5617" s="422" t="s">
        <v>2813</v>
      </c>
    </row>
    <row r="5618" spans="1:22" ht="15.75" thickBot="1" x14ac:dyDescent="0.3">
      <c r="A5618" t="s">
        <v>1910</v>
      </c>
      <c r="B5618" t="s">
        <v>1910</v>
      </c>
      <c r="C5618" s="424" t="str">
        <f t="shared" ref="C5618:C5681" si="238">IF(A5618=B5618,B5618,RIGHT(A5618,LEN(A5618)-LEN(B5618)-3))</f>
        <v>Rodoviária de Lisboa, S.A.</v>
      </c>
      <c r="D5618" t="s">
        <v>629</v>
      </c>
      <c r="F5618" s="422" t="s">
        <v>620</v>
      </c>
      <c r="G5618" s="89">
        <v>2022</v>
      </c>
      <c r="H5618" s="313" t="s">
        <v>5816</v>
      </c>
      <c r="I5618" s="311" t="str">
        <f t="shared" si="236"/>
        <v>Pesado de Passageiros M3:  : Gasóleo : E6 D/E E7</v>
      </c>
      <c r="J5618">
        <v>85</v>
      </c>
      <c r="K5618" s="422">
        <v>2023</v>
      </c>
      <c r="L5618">
        <v>30680.1</v>
      </c>
      <c r="M5618" t="s">
        <v>630</v>
      </c>
      <c r="N5618" s="131">
        <v>74237</v>
      </c>
      <c r="O5618" s="436">
        <f t="shared" si="237"/>
        <v>6310145</v>
      </c>
      <c r="Q5618" s="422" t="s">
        <v>47</v>
      </c>
      <c r="R5618" s="422" t="s">
        <v>1869</v>
      </c>
      <c r="S5618" s="422" t="s">
        <v>1861</v>
      </c>
      <c r="T5618" t="s">
        <v>4825</v>
      </c>
      <c r="U5618" s="422" t="s">
        <v>1953</v>
      </c>
      <c r="V5618" s="422" t="s">
        <v>2813</v>
      </c>
    </row>
    <row r="5619" spans="1:22" ht="15.75" thickBot="1" x14ac:dyDescent="0.3">
      <c r="A5619" t="s">
        <v>1910</v>
      </c>
      <c r="B5619" t="s">
        <v>1910</v>
      </c>
      <c r="C5619" s="424" t="str">
        <f t="shared" si="238"/>
        <v>Rodoviária de Lisboa, S.A.</v>
      </c>
      <c r="D5619" t="s">
        <v>629</v>
      </c>
      <c r="F5619" s="422" t="s">
        <v>620</v>
      </c>
      <c r="G5619" s="89">
        <v>2022</v>
      </c>
      <c r="H5619" s="313" t="s">
        <v>5816</v>
      </c>
      <c r="I5619" s="311" t="str">
        <f t="shared" si="236"/>
        <v>Pesado de Passageiros M3:  : Gasóleo : E6 D/E E7</v>
      </c>
      <c r="J5619">
        <v>109</v>
      </c>
      <c r="K5619" s="422">
        <v>2023</v>
      </c>
      <c r="L5619">
        <v>7069.7</v>
      </c>
      <c r="M5619" t="s">
        <v>630</v>
      </c>
      <c r="N5619" s="131">
        <v>16377</v>
      </c>
      <c r="O5619" s="436">
        <f t="shared" si="237"/>
        <v>1785093</v>
      </c>
      <c r="Q5619" s="422" t="s">
        <v>47</v>
      </c>
      <c r="R5619" s="422" t="s">
        <v>1869</v>
      </c>
      <c r="S5619" s="422" t="s">
        <v>1861</v>
      </c>
      <c r="T5619" t="s">
        <v>4825</v>
      </c>
      <c r="U5619" s="422" t="s">
        <v>1953</v>
      </c>
      <c r="V5619" s="422" t="s">
        <v>2813</v>
      </c>
    </row>
    <row r="5620" spans="1:22" ht="15.75" thickBot="1" x14ac:dyDescent="0.3">
      <c r="A5620" t="s">
        <v>1910</v>
      </c>
      <c r="B5620" t="s">
        <v>1910</v>
      </c>
      <c r="C5620" s="424" t="str">
        <f t="shared" si="238"/>
        <v>Rodoviária de Lisboa, S.A.</v>
      </c>
      <c r="D5620" t="s">
        <v>629</v>
      </c>
      <c r="F5620" s="422" t="s">
        <v>620</v>
      </c>
      <c r="G5620" s="89" t="s">
        <v>5261</v>
      </c>
      <c r="H5620" s="313" t="s">
        <v>5816</v>
      </c>
      <c r="I5620" s="311" t="str">
        <f t="shared" si="236"/>
        <v>Pesado de Passageiros M3:  : Gasóleo : E6 D/E E7</v>
      </c>
      <c r="J5620">
        <v>109</v>
      </c>
      <c r="K5620" s="422">
        <v>2023</v>
      </c>
      <c r="L5620">
        <v>19818</v>
      </c>
      <c r="M5620" t="s">
        <v>630</v>
      </c>
      <c r="N5620" s="131">
        <v>48066</v>
      </c>
      <c r="O5620" s="436">
        <f t="shared" si="237"/>
        <v>5239194</v>
      </c>
      <c r="Q5620" s="422" t="s">
        <v>47</v>
      </c>
      <c r="R5620" s="422" t="s">
        <v>1869</v>
      </c>
      <c r="S5620" s="422" t="s">
        <v>1861</v>
      </c>
      <c r="T5620" t="s">
        <v>4825</v>
      </c>
      <c r="U5620" s="422" t="s">
        <v>1953</v>
      </c>
      <c r="V5620" s="422" t="s">
        <v>2813</v>
      </c>
    </row>
    <row r="5621" spans="1:22" ht="15.75" thickBot="1" x14ac:dyDescent="0.3">
      <c r="A5621" t="s">
        <v>1910</v>
      </c>
      <c r="B5621" t="s">
        <v>1910</v>
      </c>
      <c r="C5621" s="424" t="str">
        <f t="shared" si="238"/>
        <v>Rodoviária de Lisboa, S.A.</v>
      </c>
      <c r="D5621" t="s">
        <v>629</v>
      </c>
      <c r="F5621" s="422" t="s">
        <v>620</v>
      </c>
      <c r="G5621" s="89">
        <v>2022</v>
      </c>
      <c r="H5621" s="313" t="s">
        <v>5816</v>
      </c>
      <c r="I5621" s="311" t="str">
        <f t="shared" si="236"/>
        <v>Pesado de Passageiros M3:  : Gasóleo : E6 D/E E7</v>
      </c>
      <c r="J5621">
        <v>85</v>
      </c>
      <c r="K5621" s="422">
        <v>2023</v>
      </c>
      <c r="L5621">
        <v>31673.599999999999</v>
      </c>
      <c r="M5621" t="s">
        <v>630</v>
      </c>
      <c r="N5621" s="131">
        <v>76231</v>
      </c>
      <c r="O5621" s="436">
        <f t="shared" si="237"/>
        <v>6479635</v>
      </c>
      <c r="Q5621" s="422" t="s">
        <v>47</v>
      </c>
      <c r="R5621" s="422" t="s">
        <v>1869</v>
      </c>
      <c r="S5621" s="422" t="s">
        <v>1861</v>
      </c>
      <c r="T5621" t="s">
        <v>4825</v>
      </c>
      <c r="U5621" s="422" t="s">
        <v>1953</v>
      </c>
      <c r="V5621" s="422" t="s">
        <v>2813</v>
      </c>
    </row>
    <row r="5622" spans="1:22" ht="15.75" thickBot="1" x14ac:dyDescent="0.3">
      <c r="A5622" t="s">
        <v>1910</v>
      </c>
      <c r="B5622" t="s">
        <v>1910</v>
      </c>
      <c r="C5622" s="424" t="str">
        <f t="shared" si="238"/>
        <v>Rodoviária de Lisboa, S.A.</v>
      </c>
      <c r="D5622" t="s">
        <v>629</v>
      </c>
      <c r="F5622" s="422" t="s">
        <v>620</v>
      </c>
      <c r="G5622" s="89">
        <v>2022</v>
      </c>
      <c r="H5622" s="313" t="s">
        <v>5816</v>
      </c>
      <c r="I5622" s="311" t="str">
        <f t="shared" si="236"/>
        <v>Pesado de Passageiros M3:  : Gasóleo : E6 D/E E7</v>
      </c>
      <c r="J5622">
        <v>37</v>
      </c>
      <c r="K5622" s="422">
        <v>2023</v>
      </c>
      <c r="L5622">
        <v>8556.2000000000007</v>
      </c>
      <c r="M5622" t="s">
        <v>630</v>
      </c>
      <c r="N5622" s="131">
        <v>37974</v>
      </c>
      <c r="O5622" s="436">
        <f t="shared" si="237"/>
        <v>1405038</v>
      </c>
      <c r="Q5622" s="422" t="s">
        <v>47</v>
      </c>
      <c r="R5622" s="422" t="s">
        <v>1869</v>
      </c>
      <c r="S5622" s="422" t="s">
        <v>1861</v>
      </c>
      <c r="T5622" t="s">
        <v>4825</v>
      </c>
      <c r="U5622" s="422" t="s">
        <v>1953</v>
      </c>
      <c r="V5622" s="422" t="s">
        <v>2813</v>
      </c>
    </row>
    <row r="5623" spans="1:22" ht="15.75" thickBot="1" x14ac:dyDescent="0.3">
      <c r="A5623" t="s">
        <v>1910</v>
      </c>
      <c r="B5623" t="s">
        <v>1910</v>
      </c>
      <c r="C5623" s="424" t="str">
        <f t="shared" si="238"/>
        <v>Rodoviária de Lisboa, S.A.</v>
      </c>
      <c r="D5623" t="s">
        <v>629</v>
      </c>
      <c r="F5623" s="422" t="s">
        <v>620</v>
      </c>
      <c r="G5623" s="89">
        <v>2022</v>
      </c>
      <c r="H5623" s="313" t="s">
        <v>5816</v>
      </c>
      <c r="I5623" s="311" t="str">
        <f t="shared" si="236"/>
        <v>Pesado de Passageiros M3:  : Gasóleo : E6 D/E E7</v>
      </c>
      <c r="J5623">
        <v>109</v>
      </c>
      <c r="K5623" s="422">
        <v>2023</v>
      </c>
      <c r="L5623">
        <v>32599.9</v>
      </c>
      <c r="M5623" t="s">
        <v>630</v>
      </c>
      <c r="N5623" s="131">
        <v>93982</v>
      </c>
      <c r="O5623" s="436">
        <f t="shared" si="237"/>
        <v>10244038</v>
      </c>
      <c r="Q5623" s="422" t="s">
        <v>47</v>
      </c>
      <c r="R5623" s="422" t="s">
        <v>1869</v>
      </c>
      <c r="S5623" s="422" t="s">
        <v>1861</v>
      </c>
      <c r="T5623" t="s">
        <v>4825</v>
      </c>
      <c r="U5623" s="422" t="s">
        <v>1953</v>
      </c>
      <c r="V5623" s="422" t="s">
        <v>2813</v>
      </c>
    </row>
    <row r="5624" spans="1:22" ht="15.75" thickBot="1" x14ac:dyDescent="0.3">
      <c r="A5624" t="s">
        <v>1910</v>
      </c>
      <c r="B5624" t="s">
        <v>1910</v>
      </c>
      <c r="C5624" s="424" t="str">
        <f t="shared" si="238"/>
        <v>Rodoviária de Lisboa, S.A.</v>
      </c>
      <c r="D5624" t="s">
        <v>629</v>
      </c>
      <c r="F5624" s="422" t="s">
        <v>620</v>
      </c>
      <c r="G5624" s="89">
        <v>2022</v>
      </c>
      <c r="H5624" s="313" t="s">
        <v>5816</v>
      </c>
      <c r="I5624" s="311" t="str">
        <f t="shared" si="236"/>
        <v>Pesado de Passageiros M3:  : Gasóleo : E6 D/E E7</v>
      </c>
      <c r="J5624">
        <v>85</v>
      </c>
      <c r="K5624" s="422">
        <v>2023</v>
      </c>
      <c r="L5624">
        <v>22993.5</v>
      </c>
      <c r="M5624" t="s">
        <v>630</v>
      </c>
      <c r="N5624" s="131">
        <v>57635</v>
      </c>
      <c r="O5624" s="436">
        <f t="shared" si="237"/>
        <v>4898975</v>
      </c>
      <c r="Q5624" s="422" t="s">
        <v>47</v>
      </c>
      <c r="R5624" s="422" t="s">
        <v>1869</v>
      </c>
      <c r="S5624" s="422" t="s">
        <v>1861</v>
      </c>
      <c r="T5624" t="s">
        <v>4825</v>
      </c>
      <c r="U5624" s="422" t="s">
        <v>1953</v>
      </c>
      <c r="V5624" s="422" t="s">
        <v>2813</v>
      </c>
    </row>
    <row r="5625" spans="1:22" ht="15.75" thickBot="1" x14ac:dyDescent="0.3">
      <c r="A5625" t="s">
        <v>1910</v>
      </c>
      <c r="B5625" t="s">
        <v>1910</v>
      </c>
      <c r="C5625" s="424" t="str">
        <f t="shared" si="238"/>
        <v>Rodoviária de Lisboa, S.A.</v>
      </c>
      <c r="D5625" t="s">
        <v>629</v>
      </c>
      <c r="F5625" s="422" t="s">
        <v>620</v>
      </c>
      <c r="G5625" s="89">
        <v>2022</v>
      </c>
      <c r="H5625" s="313" t="s">
        <v>5816</v>
      </c>
      <c r="I5625" s="311" t="str">
        <f t="shared" si="236"/>
        <v>Pesado de Passageiros M3:  : Gasóleo : E6 D/E E7</v>
      </c>
      <c r="J5625">
        <v>109</v>
      </c>
      <c r="K5625" s="422">
        <v>2023</v>
      </c>
      <c r="L5625">
        <v>25774.1</v>
      </c>
      <c r="M5625" t="s">
        <v>630</v>
      </c>
      <c r="N5625" s="131">
        <v>63151</v>
      </c>
      <c r="O5625" s="436">
        <f t="shared" si="237"/>
        <v>6883459</v>
      </c>
      <c r="Q5625" s="422" t="s">
        <v>47</v>
      </c>
      <c r="R5625" s="422" t="s">
        <v>1869</v>
      </c>
      <c r="S5625" s="422" t="s">
        <v>1861</v>
      </c>
      <c r="T5625" t="s">
        <v>4825</v>
      </c>
      <c r="U5625" s="422" t="s">
        <v>1953</v>
      </c>
      <c r="V5625" s="422" t="s">
        <v>2813</v>
      </c>
    </row>
    <row r="5626" spans="1:22" ht="15.75" thickBot="1" x14ac:dyDescent="0.3">
      <c r="A5626" t="s">
        <v>1910</v>
      </c>
      <c r="B5626" t="s">
        <v>1910</v>
      </c>
      <c r="C5626" s="424" t="str">
        <f t="shared" si="238"/>
        <v>Rodoviária de Lisboa, S.A.</v>
      </c>
      <c r="D5626" t="s">
        <v>629</v>
      </c>
      <c r="F5626" s="422" t="s">
        <v>620</v>
      </c>
      <c r="G5626" s="89">
        <v>2022</v>
      </c>
      <c r="H5626" s="313" t="s">
        <v>5816</v>
      </c>
      <c r="I5626" s="311" t="str">
        <f t="shared" si="236"/>
        <v>Pesado de Passageiros M3:  : Gasóleo : E6 D/E E7</v>
      </c>
      <c r="J5626">
        <v>89</v>
      </c>
      <c r="K5626" s="422">
        <v>2023</v>
      </c>
      <c r="L5626">
        <v>27474</v>
      </c>
      <c r="M5626" t="s">
        <v>630</v>
      </c>
      <c r="N5626" s="131">
        <v>79403</v>
      </c>
      <c r="O5626" s="436">
        <f t="shared" si="237"/>
        <v>7066867</v>
      </c>
      <c r="Q5626" s="422" t="s">
        <v>47</v>
      </c>
      <c r="R5626" s="422" t="s">
        <v>1869</v>
      </c>
      <c r="S5626" s="422" t="s">
        <v>1861</v>
      </c>
      <c r="T5626" t="s">
        <v>4825</v>
      </c>
      <c r="U5626" s="422" t="s">
        <v>1953</v>
      </c>
      <c r="V5626" s="422" t="s">
        <v>2813</v>
      </c>
    </row>
    <row r="5627" spans="1:22" ht="15.75" thickBot="1" x14ac:dyDescent="0.3">
      <c r="A5627" t="s">
        <v>1910</v>
      </c>
      <c r="B5627" t="s">
        <v>1910</v>
      </c>
      <c r="C5627" s="424" t="str">
        <f t="shared" si="238"/>
        <v>Rodoviária de Lisboa, S.A.</v>
      </c>
      <c r="D5627" t="s">
        <v>629</v>
      </c>
      <c r="F5627" s="422" t="s">
        <v>620</v>
      </c>
      <c r="G5627" s="89">
        <v>2022</v>
      </c>
      <c r="H5627" s="313" t="s">
        <v>5816</v>
      </c>
      <c r="I5627" s="311" t="str">
        <f t="shared" si="236"/>
        <v>Pesado de Passageiros M3:  : Gasóleo : E6 D/E E7</v>
      </c>
      <c r="J5627">
        <v>85</v>
      </c>
      <c r="K5627" s="422">
        <v>2023</v>
      </c>
      <c r="L5627">
        <v>31284.799999999999</v>
      </c>
      <c r="M5627" t="s">
        <v>630</v>
      </c>
      <c r="N5627" s="131">
        <v>74117</v>
      </c>
      <c r="O5627" s="436">
        <f t="shared" si="237"/>
        <v>6299945</v>
      </c>
      <c r="Q5627" s="422" t="s">
        <v>47</v>
      </c>
      <c r="R5627" s="422" t="s">
        <v>1869</v>
      </c>
      <c r="S5627" s="422" t="s">
        <v>1861</v>
      </c>
      <c r="T5627" t="s">
        <v>4825</v>
      </c>
      <c r="U5627" s="422" t="s">
        <v>1953</v>
      </c>
      <c r="V5627" s="422" t="s">
        <v>2813</v>
      </c>
    </row>
    <row r="5628" spans="1:22" ht="15.75" thickBot="1" x14ac:dyDescent="0.3">
      <c r="A5628" t="s">
        <v>1910</v>
      </c>
      <c r="B5628" t="s">
        <v>1910</v>
      </c>
      <c r="C5628" s="424" t="str">
        <f t="shared" si="238"/>
        <v>Rodoviária de Lisboa, S.A.</v>
      </c>
      <c r="D5628" t="s">
        <v>629</v>
      </c>
      <c r="F5628" s="422" t="s">
        <v>620</v>
      </c>
      <c r="G5628" s="89">
        <v>2022</v>
      </c>
      <c r="H5628" s="313" t="s">
        <v>5816</v>
      </c>
      <c r="I5628" s="311" t="str">
        <f t="shared" si="236"/>
        <v>Pesado de Passageiros M3:  : Gasóleo : E6 D/E E7</v>
      </c>
      <c r="J5628">
        <v>37</v>
      </c>
      <c r="K5628" s="422">
        <v>2023</v>
      </c>
      <c r="L5628">
        <v>9801.6</v>
      </c>
      <c r="M5628" t="s">
        <v>630</v>
      </c>
      <c r="N5628" s="131">
        <v>43302</v>
      </c>
      <c r="O5628" s="436">
        <f t="shared" si="237"/>
        <v>1602174</v>
      </c>
      <c r="Q5628" s="422" t="s">
        <v>47</v>
      </c>
      <c r="R5628" s="422" t="s">
        <v>1869</v>
      </c>
      <c r="S5628" s="422" t="s">
        <v>1861</v>
      </c>
      <c r="T5628" t="s">
        <v>4825</v>
      </c>
      <c r="U5628" s="422" t="s">
        <v>1953</v>
      </c>
      <c r="V5628" s="422" t="s">
        <v>2813</v>
      </c>
    </row>
    <row r="5629" spans="1:22" ht="15.75" thickBot="1" x14ac:dyDescent="0.3">
      <c r="A5629" t="s">
        <v>1910</v>
      </c>
      <c r="B5629" t="s">
        <v>1910</v>
      </c>
      <c r="C5629" s="424" t="str">
        <f t="shared" si="238"/>
        <v>Rodoviária de Lisboa, S.A.</v>
      </c>
      <c r="D5629" t="s">
        <v>629</v>
      </c>
      <c r="F5629" s="422" t="s">
        <v>620</v>
      </c>
      <c r="G5629" s="89">
        <v>2022</v>
      </c>
      <c r="H5629" s="313" t="s">
        <v>5816</v>
      </c>
      <c r="I5629" s="311" t="str">
        <f t="shared" si="236"/>
        <v>Pesado de Passageiros M3:  : Gasóleo : E6 D/E E7</v>
      </c>
      <c r="J5629">
        <v>109</v>
      </c>
      <c r="K5629" s="422">
        <v>2023</v>
      </c>
      <c r="L5629">
        <v>7294.5</v>
      </c>
      <c r="M5629" t="s">
        <v>630</v>
      </c>
      <c r="N5629" s="131">
        <v>17842</v>
      </c>
      <c r="O5629" s="436">
        <f t="shared" si="237"/>
        <v>1944778</v>
      </c>
      <c r="Q5629" s="422" t="s">
        <v>47</v>
      </c>
      <c r="R5629" s="422" t="s">
        <v>1869</v>
      </c>
      <c r="S5629" s="422" t="s">
        <v>1861</v>
      </c>
      <c r="T5629" t="s">
        <v>4825</v>
      </c>
      <c r="U5629" s="422" t="s">
        <v>1953</v>
      </c>
      <c r="V5629" s="422" t="s">
        <v>2813</v>
      </c>
    </row>
    <row r="5630" spans="1:22" ht="15.75" thickBot="1" x14ac:dyDescent="0.3">
      <c r="A5630" t="s">
        <v>1910</v>
      </c>
      <c r="B5630" t="s">
        <v>1910</v>
      </c>
      <c r="C5630" s="424" t="str">
        <f t="shared" si="238"/>
        <v>Rodoviária de Lisboa, S.A.</v>
      </c>
      <c r="D5630" t="s">
        <v>629</v>
      </c>
      <c r="F5630" s="422" t="s">
        <v>620</v>
      </c>
      <c r="G5630" s="89" t="s">
        <v>5261</v>
      </c>
      <c r="H5630" s="313" t="s">
        <v>5816</v>
      </c>
      <c r="I5630" s="311" t="str">
        <f t="shared" si="236"/>
        <v>Pesado de Passageiros M3:  : Gasóleo : E6 D/E E7</v>
      </c>
      <c r="J5630">
        <v>109</v>
      </c>
      <c r="K5630" s="422">
        <v>2023</v>
      </c>
      <c r="L5630">
        <v>13964.1</v>
      </c>
      <c r="M5630" t="s">
        <v>630</v>
      </c>
      <c r="N5630" s="131">
        <v>38403</v>
      </c>
      <c r="O5630" s="436">
        <f t="shared" si="237"/>
        <v>4185927</v>
      </c>
      <c r="Q5630" s="422" t="s">
        <v>47</v>
      </c>
      <c r="R5630" s="422" t="s">
        <v>1869</v>
      </c>
      <c r="S5630" s="422" t="s">
        <v>1861</v>
      </c>
      <c r="T5630" t="s">
        <v>4825</v>
      </c>
      <c r="U5630" s="422" t="s">
        <v>1953</v>
      </c>
      <c r="V5630" s="422" t="s">
        <v>2813</v>
      </c>
    </row>
    <row r="5631" spans="1:22" ht="15.75" thickBot="1" x14ac:dyDescent="0.3">
      <c r="A5631" t="s">
        <v>1910</v>
      </c>
      <c r="B5631" t="s">
        <v>1910</v>
      </c>
      <c r="C5631" s="424" t="str">
        <f t="shared" si="238"/>
        <v>Rodoviária de Lisboa, S.A.</v>
      </c>
      <c r="D5631" t="s">
        <v>629</v>
      </c>
      <c r="F5631" s="422" t="s">
        <v>620</v>
      </c>
      <c r="G5631" s="89" t="s">
        <v>5261</v>
      </c>
      <c r="H5631" s="313" t="s">
        <v>5816</v>
      </c>
      <c r="I5631" s="311" t="str">
        <f t="shared" si="236"/>
        <v>Pesado de Passageiros M3:  : Gasóleo : E6 D/E E7</v>
      </c>
      <c r="J5631">
        <v>109</v>
      </c>
      <c r="K5631" s="422">
        <v>2023</v>
      </c>
      <c r="L5631">
        <v>5285.3</v>
      </c>
      <c r="M5631" t="s">
        <v>630</v>
      </c>
      <c r="N5631" s="131">
        <v>13572</v>
      </c>
      <c r="O5631" s="436">
        <f t="shared" si="237"/>
        <v>1479348</v>
      </c>
      <c r="Q5631" s="422" t="s">
        <v>47</v>
      </c>
      <c r="R5631" s="422" t="s">
        <v>1869</v>
      </c>
      <c r="S5631" s="422" t="s">
        <v>1861</v>
      </c>
      <c r="T5631" t="s">
        <v>4825</v>
      </c>
      <c r="U5631" s="422" t="s">
        <v>1953</v>
      </c>
      <c r="V5631" s="422" t="s">
        <v>2813</v>
      </c>
    </row>
    <row r="5632" spans="1:22" ht="15.75" thickBot="1" x14ac:dyDescent="0.3">
      <c r="A5632" t="s">
        <v>1910</v>
      </c>
      <c r="B5632" t="s">
        <v>1910</v>
      </c>
      <c r="C5632" s="424" t="str">
        <f t="shared" si="238"/>
        <v>Rodoviária de Lisboa, S.A.</v>
      </c>
      <c r="D5632" t="s">
        <v>629</v>
      </c>
      <c r="F5632" s="422" t="s">
        <v>620</v>
      </c>
      <c r="G5632" s="89">
        <v>2022</v>
      </c>
      <c r="H5632" s="313" t="s">
        <v>5816</v>
      </c>
      <c r="I5632" s="311" t="str">
        <f t="shared" si="236"/>
        <v>Pesado de Passageiros M3:  : Gasóleo : E6 D/E E7</v>
      </c>
      <c r="J5632">
        <v>109</v>
      </c>
      <c r="K5632" s="422">
        <v>2023</v>
      </c>
      <c r="L5632">
        <v>21849.5</v>
      </c>
      <c r="M5632" t="s">
        <v>630</v>
      </c>
      <c r="N5632" s="131">
        <v>56809</v>
      </c>
      <c r="O5632" s="436">
        <f t="shared" si="237"/>
        <v>6192181</v>
      </c>
      <c r="Q5632" s="422" t="s">
        <v>47</v>
      </c>
      <c r="R5632" s="422" t="s">
        <v>1869</v>
      </c>
      <c r="S5632" s="422" t="s">
        <v>1861</v>
      </c>
      <c r="T5632" t="s">
        <v>4825</v>
      </c>
      <c r="U5632" s="422" t="s">
        <v>1953</v>
      </c>
      <c r="V5632" s="422" t="s">
        <v>2813</v>
      </c>
    </row>
    <row r="5633" spans="1:22" ht="15.75" thickBot="1" x14ac:dyDescent="0.3">
      <c r="A5633" t="s">
        <v>1910</v>
      </c>
      <c r="B5633" t="s">
        <v>1910</v>
      </c>
      <c r="C5633" s="424" t="str">
        <f t="shared" si="238"/>
        <v>Rodoviária de Lisboa, S.A.</v>
      </c>
      <c r="D5633" t="s">
        <v>629</v>
      </c>
      <c r="F5633" s="422" t="s">
        <v>620</v>
      </c>
      <c r="G5633" s="89">
        <v>2022</v>
      </c>
      <c r="H5633" s="313" t="s">
        <v>5816</v>
      </c>
      <c r="I5633" s="311" t="str">
        <f t="shared" si="236"/>
        <v>Pesado de Passageiros M3:  : Gasóleo : E6 D/E E7</v>
      </c>
      <c r="J5633">
        <v>85</v>
      </c>
      <c r="K5633" s="422">
        <v>2023</v>
      </c>
      <c r="L5633">
        <v>32820.800000000003</v>
      </c>
      <c r="M5633" t="s">
        <v>630</v>
      </c>
      <c r="N5633" s="131">
        <v>74933</v>
      </c>
      <c r="O5633" s="436">
        <f t="shared" si="237"/>
        <v>6369305</v>
      </c>
      <c r="Q5633" s="422" t="s">
        <v>47</v>
      </c>
      <c r="R5633" s="422" t="s">
        <v>1869</v>
      </c>
      <c r="S5633" s="422" t="s">
        <v>1861</v>
      </c>
      <c r="T5633" t="s">
        <v>4825</v>
      </c>
      <c r="U5633" s="422" t="s">
        <v>1953</v>
      </c>
      <c r="V5633" s="422" t="s">
        <v>2813</v>
      </c>
    </row>
    <row r="5634" spans="1:22" ht="15.75" thickBot="1" x14ac:dyDescent="0.3">
      <c r="A5634" t="s">
        <v>1910</v>
      </c>
      <c r="B5634" t="s">
        <v>1910</v>
      </c>
      <c r="C5634" s="424" t="str">
        <f t="shared" si="238"/>
        <v>Rodoviária de Lisboa, S.A.</v>
      </c>
      <c r="D5634" t="s">
        <v>629</v>
      </c>
      <c r="F5634" s="422" t="s">
        <v>620</v>
      </c>
      <c r="G5634" s="89">
        <v>2022</v>
      </c>
      <c r="H5634" s="313" t="s">
        <v>5816</v>
      </c>
      <c r="I5634" s="311" t="str">
        <f t="shared" si="236"/>
        <v>Pesado de Passageiros M3:  : Gasóleo : E6 D/E E7</v>
      </c>
      <c r="J5634">
        <v>83</v>
      </c>
      <c r="K5634" s="422">
        <v>2023</v>
      </c>
      <c r="L5634">
        <v>23793.5</v>
      </c>
      <c r="M5634" t="s">
        <v>630</v>
      </c>
      <c r="N5634" s="131">
        <v>69528</v>
      </c>
      <c r="O5634" s="436">
        <f t="shared" si="237"/>
        <v>5770824</v>
      </c>
      <c r="Q5634" s="422" t="s">
        <v>47</v>
      </c>
      <c r="R5634" s="422" t="s">
        <v>1869</v>
      </c>
      <c r="S5634" s="422" t="s">
        <v>1861</v>
      </c>
      <c r="T5634" t="s">
        <v>4825</v>
      </c>
      <c r="U5634" s="422" t="s">
        <v>1953</v>
      </c>
      <c r="V5634" s="422" t="s">
        <v>2813</v>
      </c>
    </row>
    <row r="5635" spans="1:22" ht="15.75" thickBot="1" x14ac:dyDescent="0.3">
      <c r="A5635" t="s">
        <v>1910</v>
      </c>
      <c r="B5635" t="s">
        <v>1910</v>
      </c>
      <c r="C5635" s="424" t="str">
        <f t="shared" si="238"/>
        <v>Rodoviária de Lisboa, S.A.</v>
      </c>
      <c r="D5635" t="s">
        <v>629</v>
      </c>
      <c r="F5635" s="422" t="s">
        <v>620</v>
      </c>
      <c r="G5635" s="89">
        <v>2022</v>
      </c>
      <c r="H5635" s="313" t="s">
        <v>5816</v>
      </c>
      <c r="I5635" s="311" t="str">
        <f t="shared" si="236"/>
        <v>Pesado de Passageiros M3:  : Gasóleo : E6 D/E E7</v>
      </c>
      <c r="J5635">
        <v>85</v>
      </c>
      <c r="K5635" s="422">
        <v>2023</v>
      </c>
      <c r="L5635">
        <v>33827.300000000003</v>
      </c>
      <c r="M5635" t="s">
        <v>630</v>
      </c>
      <c r="N5635" s="131">
        <v>78686</v>
      </c>
      <c r="O5635" s="436">
        <f t="shared" si="237"/>
        <v>6688310</v>
      </c>
      <c r="Q5635" s="422" t="s">
        <v>47</v>
      </c>
      <c r="R5635" s="422" t="s">
        <v>1869</v>
      </c>
      <c r="S5635" s="422" t="s">
        <v>1861</v>
      </c>
      <c r="T5635" t="s">
        <v>4825</v>
      </c>
      <c r="U5635" s="422" t="s">
        <v>1953</v>
      </c>
      <c r="V5635" s="422" t="s">
        <v>2813</v>
      </c>
    </row>
    <row r="5636" spans="1:22" ht="15.75" thickBot="1" x14ac:dyDescent="0.3">
      <c r="A5636" t="s">
        <v>1910</v>
      </c>
      <c r="B5636" t="s">
        <v>1910</v>
      </c>
      <c r="C5636" s="424" t="str">
        <f t="shared" si="238"/>
        <v>Rodoviária de Lisboa, S.A.</v>
      </c>
      <c r="D5636" t="s">
        <v>629</v>
      </c>
      <c r="F5636" s="422" t="s">
        <v>620</v>
      </c>
      <c r="G5636" s="89">
        <v>2022</v>
      </c>
      <c r="H5636" s="313" t="s">
        <v>5816</v>
      </c>
      <c r="I5636" s="311" t="str">
        <f t="shared" si="236"/>
        <v>Pesado de Passageiros M3:  : Gasóleo : E6 D/E E7</v>
      </c>
      <c r="J5636">
        <v>85</v>
      </c>
      <c r="K5636" s="422">
        <v>2023</v>
      </c>
      <c r="L5636">
        <v>20015.099999999999</v>
      </c>
      <c r="M5636" t="s">
        <v>630</v>
      </c>
      <c r="N5636" s="131">
        <v>50116</v>
      </c>
      <c r="O5636" s="436">
        <f t="shared" si="237"/>
        <v>4259860</v>
      </c>
      <c r="Q5636" s="422" t="s">
        <v>47</v>
      </c>
      <c r="R5636" s="422" t="s">
        <v>1869</v>
      </c>
      <c r="S5636" s="422" t="s">
        <v>1861</v>
      </c>
      <c r="T5636" t="s">
        <v>4825</v>
      </c>
      <c r="U5636" s="422" t="s">
        <v>1953</v>
      </c>
      <c r="V5636" s="422" t="s">
        <v>2813</v>
      </c>
    </row>
    <row r="5637" spans="1:22" ht="15.75" thickBot="1" x14ac:dyDescent="0.3">
      <c r="A5637" t="s">
        <v>1910</v>
      </c>
      <c r="B5637" t="s">
        <v>1910</v>
      </c>
      <c r="C5637" s="424" t="str">
        <f t="shared" si="238"/>
        <v>Rodoviária de Lisboa, S.A.</v>
      </c>
      <c r="D5637" t="s">
        <v>629</v>
      </c>
      <c r="F5637" s="422" t="s">
        <v>620</v>
      </c>
      <c r="G5637" s="89">
        <v>2022</v>
      </c>
      <c r="H5637" s="313" t="s">
        <v>5816</v>
      </c>
      <c r="I5637" s="311" t="str">
        <f t="shared" si="236"/>
        <v>Pesado de Passageiros M3:  : Gasóleo : E6 D/E E7</v>
      </c>
      <c r="J5637">
        <v>89</v>
      </c>
      <c r="K5637" s="422">
        <v>2023</v>
      </c>
      <c r="L5637">
        <v>29512.5</v>
      </c>
      <c r="M5637" t="s">
        <v>630</v>
      </c>
      <c r="N5637" s="131">
        <v>72862</v>
      </c>
      <c r="O5637" s="436">
        <f t="shared" si="237"/>
        <v>6484718</v>
      </c>
      <c r="Q5637" s="422" t="s">
        <v>47</v>
      </c>
      <c r="R5637" s="422" t="s">
        <v>1869</v>
      </c>
      <c r="S5637" s="422" t="s">
        <v>1861</v>
      </c>
      <c r="T5637" t="s">
        <v>4825</v>
      </c>
      <c r="U5637" s="422" t="s">
        <v>1953</v>
      </c>
      <c r="V5637" s="422" t="s">
        <v>2813</v>
      </c>
    </row>
    <row r="5638" spans="1:22" ht="15.75" thickBot="1" x14ac:dyDescent="0.3">
      <c r="A5638" t="s">
        <v>1910</v>
      </c>
      <c r="B5638" t="s">
        <v>1910</v>
      </c>
      <c r="C5638" s="424" t="str">
        <f t="shared" si="238"/>
        <v>Rodoviária de Lisboa, S.A.</v>
      </c>
      <c r="D5638" t="s">
        <v>629</v>
      </c>
      <c r="F5638" s="422" t="s">
        <v>620</v>
      </c>
      <c r="G5638" s="89">
        <v>2022</v>
      </c>
      <c r="H5638" s="313" t="s">
        <v>5816</v>
      </c>
      <c r="I5638" s="311" t="str">
        <f t="shared" si="236"/>
        <v>Pesado de Passageiros M3:  : Gasóleo : E6 D/E E7</v>
      </c>
      <c r="J5638">
        <v>85</v>
      </c>
      <c r="K5638" s="422">
        <v>2023</v>
      </c>
      <c r="L5638">
        <v>31439.599999999999</v>
      </c>
      <c r="M5638" t="s">
        <v>630</v>
      </c>
      <c r="N5638" s="131">
        <v>77087</v>
      </c>
      <c r="O5638" s="436">
        <f t="shared" si="237"/>
        <v>6552395</v>
      </c>
      <c r="Q5638" s="422" t="s">
        <v>47</v>
      </c>
      <c r="R5638" s="422" t="s">
        <v>1869</v>
      </c>
      <c r="S5638" s="422" t="s">
        <v>1861</v>
      </c>
      <c r="T5638" t="s">
        <v>4825</v>
      </c>
      <c r="U5638" s="422" t="s">
        <v>1953</v>
      </c>
      <c r="V5638" s="422" t="s">
        <v>2813</v>
      </c>
    </row>
    <row r="5639" spans="1:22" ht="15.75" thickBot="1" x14ac:dyDescent="0.3">
      <c r="A5639" t="s">
        <v>1910</v>
      </c>
      <c r="B5639" t="s">
        <v>1910</v>
      </c>
      <c r="C5639" s="424" t="str">
        <f t="shared" si="238"/>
        <v>Rodoviária de Lisboa, S.A.</v>
      </c>
      <c r="D5639" t="s">
        <v>629</v>
      </c>
      <c r="F5639" s="422" t="s">
        <v>620</v>
      </c>
      <c r="G5639" s="89">
        <v>2022</v>
      </c>
      <c r="H5639" s="313" t="s">
        <v>5816</v>
      </c>
      <c r="I5639" s="311" t="str">
        <f t="shared" si="236"/>
        <v>Pesado de Passageiros M3:  : Gasóleo : E6 D/E E7</v>
      </c>
      <c r="J5639">
        <v>85</v>
      </c>
      <c r="K5639" s="422">
        <v>2023</v>
      </c>
      <c r="L5639">
        <v>22329.8</v>
      </c>
      <c r="M5639" t="s">
        <v>630</v>
      </c>
      <c r="N5639" s="131">
        <v>55782</v>
      </c>
      <c r="O5639" s="436">
        <f t="shared" si="237"/>
        <v>4741470</v>
      </c>
      <c r="Q5639" s="422" t="s">
        <v>47</v>
      </c>
      <c r="R5639" s="422" t="s">
        <v>1869</v>
      </c>
      <c r="S5639" s="422" t="s">
        <v>1861</v>
      </c>
      <c r="T5639" t="s">
        <v>4825</v>
      </c>
      <c r="U5639" s="422" t="s">
        <v>1953</v>
      </c>
      <c r="V5639" s="422" t="s">
        <v>2813</v>
      </c>
    </row>
    <row r="5640" spans="1:22" ht="15.75" thickBot="1" x14ac:dyDescent="0.3">
      <c r="A5640" t="s">
        <v>1910</v>
      </c>
      <c r="B5640" t="s">
        <v>1910</v>
      </c>
      <c r="C5640" s="424" t="str">
        <f t="shared" si="238"/>
        <v>Rodoviária de Lisboa, S.A.</v>
      </c>
      <c r="D5640" t="s">
        <v>629</v>
      </c>
      <c r="F5640" s="422" t="s">
        <v>620</v>
      </c>
      <c r="G5640" s="89">
        <v>2022</v>
      </c>
      <c r="H5640" s="313" t="s">
        <v>5816</v>
      </c>
      <c r="I5640" s="311" t="str">
        <f t="shared" si="236"/>
        <v>Pesado de Passageiros M3:  : Gasóleo : E6 D/E E7</v>
      </c>
      <c r="J5640">
        <v>109</v>
      </c>
      <c r="K5640" s="422">
        <v>2023</v>
      </c>
      <c r="L5640">
        <v>4928</v>
      </c>
      <c r="M5640" t="s">
        <v>630</v>
      </c>
      <c r="N5640" s="131">
        <v>11422</v>
      </c>
      <c r="O5640" s="436">
        <f t="shared" si="237"/>
        <v>1244998</v>
      </c>
      <c r="Q5640" s="422" t="s">
        <v>47</v>
      </c>
      <c r="R5640" s="422" t="s">
        <v>1869</v>
      </c>
      <c r="S5640" s="422" t="s">
        <v>1861</v>
      </c>
      <c r="T5640" t="s">
        <v>4825</v>
      </c>
      <c r="U5640" s="422" t="s">
        <v>1953</v>
      </c>
      <c r="V5640" s="422" t="s">
        <v>2813</v>
      </c>
    </row>
    <row r="5641" spans="1:22" ht="15.75" thickBot="1" x14ac:dyDescent="0.3">
      <c r="A5641" t="s">
        <v>1910</v>
      </c>
      <c r="B5641" t="s">
        <v>1910</v>
      </c>
      <c r="C5641" s="424" t="str">
        <f t="shared" si="238"/>
        <v>Rodoviária de Lisboa, S.A.</v>
      </c>
      <c r="D5641" t="s">
        <v>629</v>
      </c>
      <c r="F5641" s="422" t="s">
        <v>620</v>
      </c>
      <c r="G5641" s="89" t="s">
        <v>5261</v>
      </c>
      <c r="H5641" s="313" t="s">
        <v>5816</v>
      </c>
      <c r="I5641" s="311" t="str">
        <f t="shared" si="236"/>
        <v>Pesado de Passageiros M3:  : Gasóleo : E6 D/E E7</v>
      </c>
      <c r="J5641">
        <v>109</v>
      </c>
      <c r="K5641" s="422">
        <v>2023</v>
      </c>
      <c r="L5641">
        <v>18848.5</v>
      </c>
      <c r="M5641" t="s">
        <v>630</v>
      </c>
      <c r="N5641" s="131">
        <v>46790</v>
      </c>
      <c r="O5641" s="436">
        <f t="shared" si="237"/>
        <v>5100110</v>
      </c>
      <c r="Q5641" s="422" t="s">
        <v>47</v>
      </c>
      <c r="R5641" s="422" t="s">
        <v>1869</v>
      </c>
      <c r="S5641" s="422" t="s">
        <v>1861</v>
      </c>
      <c r="T5641" t="s">
        <v>4825</v>
      </c>
      <c r="U5641" s="422" t="s">
        <v>1953</v>
      </c>
      <c r="V5641" s="422" t="s">
        <v>2813</v>
      </c>
    </row>
    <row r="5642" spans="1:22" ht="15.75" thickBot="1" x14ac:dyDescent="0.3">
      <c r="A5642" t="s">
        <v>1910</v>
      </c>
      <c r="B5642" t="s">
        <v>1910</v>
      </c>
      <c r="C5642" s="424" t="str">
        <f t="shared" si="238"/>
        <v>Rodoviária de Lisboa, S.A.</v>
      </c>
      <c r="D5642" t="s">
        <v>629</v>
      </c>
      <c r="F5642" s="422" t="s">
        <v>620</v>
      </c>
      <c r="G5642" s="89">
        <v>2022</v>
      </c>
      <c r="H5642" s="313" t="s">
        <v>5816</v>
      </c>
      <c r="I5642" s="311" t="str">
        <f t="shared" si="236"/>
        <v>Pesado de Passageiros M3:  : Gasóleo : E6 D/E E7</v>
      </c>
      <c r="J5642">
        <v>89</v>
      </c>
      <c r="K5642" s="422">
        <v>2023</v>
      </c>
      <c r="L5642">
        <v>22372.400000000001</v>
      </c>
      <c r="M5642" t="s">
        <v>630</v>
      </c>
      <c r="N5642" s="131">
        <v>62816</v>
      </c>
      <c r="O5642" s="436">
        <f t="shared" si="237"/>
        <v>5590624</v>
      </c>
      <c r="Q5642" s="422" t="s">
        <v>47</v>
      </c>
      <c r="R5642" s="422" t="s">
        <v>1869</v>
      </c>
      <c r="S5642" s="422" t="s">
        <v>1861</v>
      </c>
      <c r="T5642" t="s">
        <v>4825</v>
      </c>
      <c r="U5642" s="422" t="s">
        <v>1953</v>
      </c>
      <c r="V5642" s="422" t="s">
        <v>2813</v>
      </c>
    </row>
    <row r="5643" spans="1:22" ht="15.75" thickBot="1" x14ac:dyDescent="0.3">
      <c r="A5643" t="s">
        <v>1910</v>
      </c>
      <c r="B5643" t="s">
        <v>1910</v>
      </c>
      <c r="C5643" s="424" t="str">
        <f t="shared" si="238"/>
        <v>Rodoviária de Lisboa, S.A.</v>
      </c>
      <c r="D5643" t="s">
        <v>629</v>
      </c>
      <c r="F5643" s="422" t="s">
        <v>620</v>
      </c>
      <c r="G5643" s="89" t="s">
        <v>5261</v>
      </c>
      <c r="H5643" s="313" t="s">
        <v>5816</v>
      </c>
      <c r="I5643" s="311" t="str">
        <f t="shared" si="236"/>
        <v>Pesado de Passageiros M3:  : Gasóleo : E6 D/E E7</v>
      </c>
      <c r="J5643">
        <v>109</v>
      </c>
      <c r="K5643" s="422">
        <v>2023</v>
      </c>
      <c r="L5643">
        <v>1925.3</v>
      </c>
      <c r="M5643" t="s">
        <v>630</v>
      </c>
      <c r="N5643" s="131">
        <v>7747</v>
      </c>
      <c r="O5643" s="436">
        <f t="shared" si="237"/>
        <v>844423</v>
      </c>
      <c r="Q5643" s="422" t="s">
        <v>47</v>
      </c>
      <c r="R5643" s="422" t="s">
        <v>1869</v>
      </c>
      <c r="S5643" s="422" t="s">
        <v>1861</v>
      </c>
      <c r="T5643" t="s">
        <v>4825</v>
      </c>
      <c r="U5643" s="422" t="s">
        <v>1953</v>
      </c>
      <c r="V5643" s="422" t="s">
        <v>2813</v>
      </c>
    </row>
    <row r="5644" spans="1:22" ht="15.75" thickBot="1" x14ac:dyDescent="0.3">
      <c r="A5644" t="s">
        <v>1910</v>
      </c>
      <c r="B5644" t="s">
        <v>1910</v>
      </c>
      <c r="C5644" s="424" t="str">
        <f t="shared" si="238"/>
        <v>Rodoviária de Lisboa, S.A.</v>
      </c>
      <c r="D5644" t="s">
        <v>629</v>
      </c>
      <c r="F5644" s="422" t="s">
        <v>620</v>
      </c>
      <c r="G5644" s="89">
        <v>2022</v>
      </c>
      <c r="H5644" s="313" t="s">
        <v>5816</v>
      </c>
      <c r="I5644" s="311" t="str">
        <f t="shared" si="236"/>
        <v>Pesado de Passageiros M3:  : Gasóleo : E6 D/E E7</v>
      </c>
      <c r="J5644">
        <v>109</v>
      </c>
      <c r="K5644" s="422">
        <v>2023</v>
      </c>
      <c r="L5644">
        <v>5253.4</v>
      </c>
      <c r="M5644" t="s">
        <v>630</v>
      </c>
      <c r="N5644" s="131">
        <v>12020</v>
      </c>
      <c r="O5644" s="436">
        <f t="shared" si="237"/>
        <v>1310180</v>
      </c>
      <c r="Q5644" s="422" t="s">
        <v>47</v>
      </c>
      <c r="R5644" s="422" t="s">
        <v>1869</v>
      </c>
      <c r="S5644" s="422" t="s">
        <v>1861</v>
      </c>
      <c r="T5644" t="s">
        <v>4825</v>
      </c>
      <c r="U5644" s="422" t="s">
        <v>1953</v>
      </c>
      <c r="V5644" s="422" t="s">
        <v>2813</v>
      </c>
    </row>
    <row r="5645" spans="1:22" ht="15.75" thickBot="1" x14ac:dyDescent="0.3">
      <c r="A5645" t="s">
        <v>1910</v>
      </c>
      <c r="B5645" t="s">
        <v>1910</v>
      </c>
      <c r="C5645" s="424" t="str">
        <f t="shared" si="238"/>
        <v>Rodoviária de Lisboa, S.A.</v>
      </c>
      <c r="D5645" t="s">
        <v>629</v>
      </c>
      <c r="F5645" s="422" t="s">
        <v>620</v>
      </c>
      <c r="G5645" s="89" t="s">
        <v>5261</v>
      </c>
      <c r="H5645" s="313" t="s">
        <v>5816</v>
      </c>
      <c r="I5645" s="311" t="str">
        <f t="shared" si="236"/>
        <v>Pesado de Passageiros M3:  : Gasóleo : E6 D/E E7</v>
      </c>
      <c r="J5645">
        <v>109</v>
      </c>
      <c r="K5645" s="422">
        <v>2023</v>
      </c>
      <c r="L5645">
        <v>19695.7</v>
      </c>
      <c r="M5645" t="s">
        <v>630</v>
      </c>
      <c r="N5645" s="131">
        <v>47949</v>
      </c>
      <c r="O5645" s="436">
        <f t="shared" si="237"/>
        <v>5226441</v>
      </c>
      <c r="Q5645" s="422" t="s">
        <v>47</v>
      </c>
      <c r="R5645" s="422" t="s">
        <v>1869</v>
      </c>
      <c r="S5645" s="422" t="s">
        <v>1861</v>
      </c>
      <c r="T5645" t="s">
        <v>4825</v>
      </c>
      <c r="U5645" s="422" t="s">
        <v>1953</v>
      </c>
      <c r="V5645" s="422" t="s">
        <v>2813</v>
      </c>
    </row>
    <row r="5646" spans="1:22" ht="15.75" thickBot="1" x14ac:dyDescent="0.3">
      <c r="A5646" t="s">
        <v>1910</v>
      </c>
      <c r="B5646" t="s">
        <v>1910</v>
      </c>
      <c r="C5646" s="424" t="str">
        <f t="shared" si="238"/>
        <v>Rodoviária de Lisboa, S.A.</v>
      </c>
      <c r="D5646" t="s">
        <v>629</v>
      </c>
      <c r="F5646" s="422" t="s">
        <v>620</v>
      </c>
      <c r="G5646" s="89">
        <v>2022</v>
      </c>
      <c r="H5646" s="313" t="s">
        <v>5816</v>
      </c>
      <c r="I5646" s="311" t="str">
        <f t="shared" si="236"/>
        <v>Pesado de Passageiros M3:  : Gasóleo : E6 D/E E7</v>
      </c>
      <c r="J5646">
        <v>109</v>
      </c>
      <c r="K5646" s="422">
        <v>2023</v>
      </c>
      <c r="L5646">
        <v>22092.9</v>
      </c>
      <c r="M5646" t="s">
        <v>630</v>
      </c>
      <c r="N5646" s="131">
        <v>58622</v>
      </c>
      <c r="O5646" s="436">
        <f t="shared" si="237"/>
        <v>6389798</v>
      </c>
      <c r="Q5646" s="422" t="s">
        <v>47</v>
      </c>
      <c r="R5646" s="422" t="s">
        <v>1869</v>
      </c>
      <c r="S5646" s="422" t="s">
        <v>1861</v>
      </c>
      <c r="T5646" t="s">
        <v>4825</v>
      </c>
      <c r="U5646" s="422" t="s">
        <v>1953</v>
      </c>
      <c r="V5646" s="422" t="s">
        <v>2813</v>
      </c>
    </row>
    <row r="5647" spans="1:22" ht="15.75" thickBot="1" x14ac:dyDescent="0.3">
      <c r="A5647" t="s">
        <v>1910</v>
      </c>
      <c r="B5647" t="s">
        <v>1910</v>
      </c>
      <c r="C5647" s="424" t="str">
        <f t="shared" si="238"/>
        <v>Rodoviária de Lisboa, S.A.</v>
      </c>
      <c r="D5647" t="s">
        <v>629</v>
      </c>
      <c r="F5647" s="422" t="s">
        <v>620</v>
      </c>
      <c r="G5647" s="89">
        <v>2022</v>
      </c>
      <c r="H5647" s="313" t="s">
        <v>5816</v>
      </c>
      <c r="I5647" s="311" t="str">
        <f t="shared" si="236"/>
        <v>Pesado de Passageiros M3:  : Gasóleo : E6 D/E E7</v>
      </c>
      <c r="J5647">
        <v>109</v>
      </c>
      <c r="K5647" s="422">
        <v>2023</v>
      </c>
      <c r="L5647">
        <v>19884.900000000001</v>
      </c>
      <c r="M5647" t="s">
        <v>630</v>
      </c>
      <c r="N5647" s="131">
        <v>46957</v>
      </c>
      <c r="O5647" s="436">
        <f t="shared" si="237"/>
        <v>5118313</v>
      </c>
      <c r="Q5647" s="422" t="s">
        <v>47</v>
      </c>
      <c r="R5647" s="422" t="s">
        <v>1869</v>
      </c>
      <c r="S5647" s="422" t="s">
        <v>1861</v>
      </c>
      <c r="T5647" t="s">
        <v>4825</v>
      </c>
      <c r="U5647" s="422" t="s">
        <v>1953</v>
      </c>
      <c r="V5647" s="422" t="s">
        <v>2813</v>
      </c>
    </row>
    <row r="5648" spans="1:22" ht="15.75" thickBot="1" x14ac:dyDescent="0.3">
      <c r="A5648" t="s">
        <v>1910</v>
      </c>
      <c r="B5648" t="s">
        <v>1910</v>
      </c>
      <c r="C5648" s="424" t="str">
        <f t="shared" si="238"/>
        <v>Rodoviária de Lisboa, S.A.</v>
      </c>
      <c r="D5648" t="s">
        <v>629</v>
      </c>
      <c r="F5648" s="422" t="s">
        <v>620</v>
      </c>
      <c r="G5648" s="89">
        <v>2022</v>
      </c>
      <c r="H5648" s="313" t="s">
        <v>5816</v>
      </c>
      <c r="I5648" s="311" t="str">
        <f t="shared" si="236"/>
        <v>Pesado de Passageiros M3:  : Gasóleo : E6 D/E E7</v>
      </c>
      <c r="J5648">
        <v>109</v>
      </c>
      <c r="K5648" s="422">
        <v>2023</v>
      </c>
      <c r="L5648">
        <v>21638.2</v>
      </c>
      <c r="M5648" t="s">
        <v>630</v>
      </c>
      <c r="N5648" s="131">
        <v>56073</v>
      </c>
      <c r="O5648" s="436">
        <f t="shared" si="237"/>
        <v>6111957</v>
      </c>
      <c r="Q5648" s="422" t="s">
        <v>47</v>
      </c>
      <c r="R5648" s="422" t="s">
        <v>1869</v>
      </c>
      <c r="S5648" s="422" t="s">
        <v>1861</v>
      </c>
      <c r="T5648" t="s">
        <v>4825</v>
      </c>
      <c r="U5648" s="422" t="s">
        <v>1953</v>
      </c>
      <c r="V5648" s="422" t="s">
        <v>2813</v>
      </c>
    </row>
    <row r="5649" spans="1:22" ht="15.75" thickBot="1" x14ac:dyDescent="0.3">
      <c r="A5649" t="s">
        <v>1910</v>
      </c>
      <c r="B5649" t="s">
        <v>1910</v>
      </c>
      <c r="C5649" s="424" t="str">
        <f t="shared" si="238"/>
        <v>Rodoviária de Lisboa, S.A.</v>
      </c>
      <c r="D5649" t="s">
        <v>629</v>
      </c>
      <c r="F5649" s="422" t="s">
        <v>620</v>
      </c>
      <c r="G5649" s="89">
        <v>2022</v>
      </c>
      <c r="H5649" s="313" t="s">
        <v>5816</v>
      </c>
      <c r="I5649" s="311" t="str">
        <f t="shared" si="236"/>
        <v>Pesado de Passageiros M3:  : Gasóleo : E6 D/E E7</v>
      </c>
      <c r="J5649">
        <v>109</v>
      </c>
      <c r="K5649" s="422">
        <v>2023</v>
      </c>
      <c r="L5649">
        <v>21302.7</v>
      </c>
      <c r="M5649" t="s">
        <v>630</v>
      </c>
      <c r="N5649" s="131">
        <v>56309</v>
      </c>
      <c r="O5649" s="436">
        <f t="shared" si="237"/>
        <v>6137681</v>
      </c>
      <c r="Q5649" s="422" t="s">
        <v>47</v>
      </c>
      <c r="R5649" s="422" t="s">
        <v>1869</v>
      </c>
      <c r="S5649" s="422" t="s">
        <v>1861</v>
      </c>
      <c r="T5649" t="s">
        <v>4825</v>
      </c>
      <c r="U5649" s="422" t="s">
        <v>1953</v>
      </c>
      <c r="V5649" s="422" t="s">
        <v>2813</v>
      </c>
    </row>
    <row r="5650" spans="1:22" ht="15.75" thickBot="1" x14ac:dyDescent="0.3">
      <c r="A5650" t="s">
        <v>1910</v>
      </c>
      <c r="B5650" t="s">
        <v>1910</v>
      </c>
      <c r="C5650" s="424" t="str">
        <f t="shared" si="238"/>
        <v>Rodoviária de Lisboa, S.A.</v>
      </c>
      <c r="D5650" t="s">
        <v>629</v>
      </c>
      <c r="F5650" s="422" t="s">
        <v>620</v>
      </c>
      <c r="G5650" s="89">
        <v>2022</v>
      </c>
      <c r="H5650" s="313" t="s">
        <v>5816</v>
      </c>
      <c r="I5650" s="311" t="str">
        <f t="shared" si="236"/>
        <v>Pesado de Passageiros M3:  : Gasóleo : E6 D/E E7</v>
      </c>
      <c r="J5650">
        <v>109</v>
      </c>
      <c r="K5650" s="422">
        <v>2023</v>
      </c>
      <c r="L5650">
        <v>29681.3</v>
      </c>
      <c r="M5650" t="s">
        <v>630</v>
      </c>
      <c r="N5650" s="131">
        <v>66010</v>
      </c>
      <c r="O5650" s="436">
        <f t="shared" si="237"/>
        <v>7195090</v>
      </c>
      <c r="Q5650" s="422" t="s">
        <v>47</v>
      </c>
      <c r="R5650" s="422" t="s">
        <v>1869</v>
      </c>
      <c r="S5650" s="422" t="s">
        <v>1861</v>
      </c>
      <c r="T5650" t="s">
        <v>4825</v>
      </c>
      <c r="U5650" s="422" t="s">
        <v>1953</v>
      </c>
      <c r="V5650" s="422" t="s">
        <v>2813</v>
      </c>
    </row>
    <row r="5651" spans="1:22" ht="15.75" thickBot="1" x14ac:dyDescent="0.3">
      <c r="A5651" t="s">
        <v>1910</v>
      </c>
      <c r="B5651" t="s">
        <v>1910</v>
      </c>
      <c r="C5651" s="424" t="str">
        <f t="shared" si="238"/>
        <v>Rodoviária de Lisboa, S.A.</v>
      </c>
      <c r="D5651" t="s">
        <v>629</v>
      </c>
      <c r="F5651" s="422" t="s">
        <v>620</v>
      </c>
      <c r="G5651" s="89">
        <v>2022</v>
      </c>
      <c r="H5651" s="313" t="s">
        <v>5816</v>
      </c>
      <c r="I5651" s="311" t="str">
        <f t="shared" si="236"/>
        <v>Pesado de Passageiros M3:  : Gasóleo : E6 D/E E7</v>
      </c>
      <c r="J5651">
        <v>109</v>
      </c>
      <c r="K5651" s="422">
        <v>2023</v>
      </c>
      <c r="L5651">
        <v>5383.5</v>
      </c>
      <c r="M5651" t="s">
        <v>630</v>
      </c>
      <c r="N5651" s="131">
        <v>12198</v>
      </c>
      <c r="O5651" s="436">
        <f t="shared" si="237"/>
        <v>1329582</v>
      </c>
      <c r="Q5651" s="422" t="s">
        <v>47</v>
      </c>
      <c r="R5651" s="422" t="s">
        <v>1869</v>
      </c>
      <c r="S5651" s="422" t="s">
        <v>1861</v>
      </c>
      <c r="T5651" t="s">
        <v>4825</v>
      </c>
      <c r="U5651" s="422" t="s">
        <v>1953</v>
      </c>
      <c r="V5651" s="422" t="s">
        <v>2813</v>
      </c>
    </row>
    <row r="5652" spans="1:22" ht="15.75" thickBot="1" x14ac:dyDescent="0.3">
      <c r="A5652" t="s">
        <v>1910</v>
      </c>
      <c r="B5652" t="s">
        <v>1910</v>
      </c>
      <c r="C5652" s="424" t="str">
        <f t="shared" si="238"/>
        <v>Rodoviária de Lisboa, S.A.</v>
      </c>
      <c r="D5652" t="s">
        <v>629</v>
      </c>
      <c r="F5652" s="422" t="s">
        <v>620</v>
      </c>
      <c r="G5652" s="89" t="s">
        <v>5261</v>
      </c>
      <c r="H5652" s="313" t="s">
        <v>5816</v>
      </c>
      <c r="I5652" s="311" t="str">
        <f t="shared" si="236"/>
        <v>Pesado de Passageiros M3:  : Gasóleo : E6 D/E E7</v>
      </c>
      <c r="J5652">
        <v>109</v>
      </c>
      <c r="K5652" s="422">
        <v>2023</v>
      </c>
      <c r="L5652">
        <v>18865.7</v>
      </c>
      <c r="M5652" t="s">
        <v>630</v>
      </c>
      <c r="N5652" s="131">
        <v>45660</v>
      </c>
      <c r="O5652" s="436">
        <f t="shared" si="237"/>
        <v>4976940</v>
      </c>
      <c r="Q5652" s="422" t="s">
        <v>47</v>
      </c>
      <c r="R5652" s="422" t="s">
        <v>1869</v>
      </c>
      <c r="S5652" s="422" t="s">
        <v>1861</v>
      </c>
      <c r="T5652" t="s">
        <v>4825</v>
      </c>
      <c r="U5652" s="422" t="s">
        <v>1953</v>
      </c>
      <c r="V5652" s="422" t="s">
        <v>2813</v>
      </c>
    </row>
    <row r="5653" spans="1:22" ht="15.75" thickBot="1" x14ac:dyDescent="0.3">
      <c r="A5653" t="s">
        <v>1910</v>
      </c>
      <c r="B5653" t="s">
        <v>1910</v>
      </c>
      <c r="C5653" s="424" t="str">
        <f t="shared" si="238"/>
        <v>Rodoviária de Lisboa, S.A.</v>
      </c>
      <c r="D5653" t="s">
        <v>629</v>
      </c>
      <c r="F5653" s="422" t="s">
        <v>620</v>
      </c>
      <c r="G5653" s="89">
        <v>2022</v>
      </c>
      <c r="H5653" s="313" t="s">
        <v>5816</v>
      </c>
      <c r="I5653" s="311" t="str">
        <f t="shared" si="236"/>
        <v>Pesado de Passageiros M3:  : Gasóleo : E6 D/E E7</v>
      </c>
      <c r="J5653">
        <v>109</v>
      </c>
      <c r="K5653" s="422">
        <v>2023</v>
      </c>
      <c r="L5653">
        <v>21280.2</v>
      </c>
      <c r="M5653" t="s">
        <v>630</v>
      </c>
      <c r="N5653" s="131">
        <v>55497</v>
      </c>
      <c r="O5653" s="436">
        <f t="shared" si="237"/>
        <v>6049173</v>
      </c>
      <c r="Q5653" s="422" t="s">
        <v>47</v>
      </c>
      <c r="R5653" s="422" t="s">
        <v>1869</v>
      </c>
      <c r="S5653" s="422" t="s">
        <v>1861</v>
      </c>
      <c r="T5653" t="s">
        <v>4825</v>
      </c>
      <c r="U5653" s="422" t="s">
        <v>1953</v>
      </c>
      <c r="V5653" s="422" t="s">
        <v>2813</v>
      </c>
    </row>
    <row r="5654" spans="1:22" ht="15.75" thickBot="1" x14ac:dyDescent="0.3">
      <c r="A5654" t="s">
        <v>1910</v>
      </c>
      <c r="B5654" t="s">
        <v>1910</v>
      </c>
      <c r="C5654" s="424" t="str">
        <f t="shared" si="238"/>
        <v>Rodoviária de Lisboa, S.A.</v>
      </c>
      <c r="D5654" t="s">
        <v>629</v>
      </c>
      <c r="F5654" s="422" t="s">
        <v>620</v>
      </c>
      <c r="G5654" s="89">
        <v>2022</v>
      </c>
      <c r="H5654" s="313" t="s">
        <v>5816</v>
      </c>
      <c r="I5654" s="311" t="str">
        <f t="shared" si="236"/>
        <v>Pesado de Passageiros M3:  : Gasóleo : E6 D/E E7</v>
      </c>
      <c r="J5654">
        <v>109</v>
      </c>
      <c r="K5654" s="422">
        <v>2023</v>
      </c>
      <c r="L5654">
        <v>24406.7</v>
      </c>
      <c r="M5654" t="s">
        <v>630</v>
      </c>
      <c r="N5654" s="131">
        <v>64129</v>
      </c>
      <c r="O5654" s="436">
        <f t="shared" si="237"/>
        <v>6990061</v>
      </c>
      <c r="Q5654" s="422" t="s">
        <v>47</v>
      </c>
      <c r="R5654" s="422" t="s">
        <v>1869</v>
      </c>
      <c r="S5654" s="422" t="s">
        <v>1861</v>
      </c>
      <c r="T5654" t="s">
        <v>4825</v>
      </c>
      <c r="U5654" s="422" t="s">
        <v>1953</v>
      </c>
      <c r="V5654" s="422" t="s">
        <v>2813</v>
      </c>
    </row>
    <row r="5655" spans="1:22" ht="15.75" thickBot="1" x14ac:dyDescent="0.3">
      <c r="A5655" t="s">
        <v>1910</v>
      </c>
      <c r="B5655" t="s">
        <v>1910</v>
      </c>
      <c r="C5655" s="424" t="str">
        <f t="shared" si="238"/>
        <v>Rodoviária de Lisboa, S.A.</v>
      </c>
      <c r="D5655" t="s">
        <v>629</v>
      </c>
      <c r="F5655" s="422" t="s">
        <v>620</v>
      </c>
      <c r="G5655" s="89">
        <v>2022</v>
      </c>
      <c r="H5655" s="313" t="s">
        <v>5816</v>
      </c>
      <c r="I5655" s="311" t="str">
        <f t="shared" si="236"/>
        <v>Pesado de Passageiros M3:  : Gasóleo : E6 D/E E7</v>
      </c>
      <c r="J5655">
        <v>89</v>
      </c>
      <c r="K5655" s="422">
        <v>2023</v>
      </c>
      <c r="L5655">
        <v>25106.5</v>
      </c>
      <c r="M5655" t="s">
        <v>630</v>
      </c>
      <c r="N5655" s="131">
        <v>72710</v>
      </c>
      <c r="O5655" s="436">
        <f t="shared" si="237"/>
        <v>6471190</v>
      </c>
      <c r="Q5655" s="422" t="s">
        <v>47</v>
      </c>
      <c r="R5655" s="422" t="s">
        <v>1869</v>
      </c>
      <c r="S5655" s="422" t="s">
        <v>1861</v>
      </c>
      <c r="T5655" t="s">
        <v>4825</v>
      </c>
      <c r="U5655" s="422" t="s">
        <v>1953</v>
      </c>
      <c r="V5655" s="422" t="s">
        <v>2813</v>
      </c>
    </row>
    <row r="5656" spans="1:22" ht="15.75" thickBot="1" x14ac:dyDescent="0.3">
      <c r="A5656" t="s">
        <v>1910</v>
      </c>
      <c r="B5656" t="s">
        <v>1910</v>
      </c>
      <c r="C5656" s="424" t="str">
        <f t="shared" si="238"/>
        <v>Rodoviária de Lisboa, S.A.</v>
      </c>
      <c r="D5656" t="s">
        <v>629</v>
      </c>
      <c r="F5656" s="422" t="s">
        <v>620</v>
      </c>
      <c r="G5656" s="89">
        <v>2022</v>
      </c>
      <c r="H5656" s="313" t="s">
        <v>5816</v>
      </c>
      <c r="I5656" s="311" t="str">
        <f t="shared" si="236"/>
        <v>Pesado de Passageiros M3:  : Gasóleo : E6 D/E E7</v>
      </c>
      <c r="J5656">
        <v>37</v>
      </c>
      <c r="K5656" s="422">
        <v>2023</v>
      </c>
      <c r="L5656">
        <v>9531.2000000000007</v>
      </c>
      <c r="M5656" t="s">
        <v>630</v>
      </c>
      <c r="N5656" s="131">
        <v>42034</v>
      </c>
      <c r="O5656" s="436">
        <f t="shared" si="237"/>
        <v>1555258</v>
      </c>
      <c r="Q5656" s="422" t="s">
        <v>47</v>
      </c>
      <c r="R5656" s="422" t="s">
        <v>1869</v>
      </c>
      <c r="S5656" s="422" t="s">
        <v>1861</v>
      </c>
      <c r="T5656" t="s">
        <v>4825</v>
      </c>
      <c r="U5656" s="422" t="s">
        <v>1953</v>
      </c>
      <c r="V5656" s="422" t="s">
        <v>2813</v>
      </c>
    </row>
    <row r="5657" spans="1:22" ht="15.75" thickBot="1" x14ac:dyDescent="0.3">
      <c r="A5657" t="s">
        <v>1910</v>
      </c>
      <c r="B5657" t="s">
        <v>1910</v>
      </c>
      <c r="C5657" s="424" t="str">
        <f t="shared" si="238"/>
        <v>Rodoviária de Lisboa, S.A.</v>
      </c>
      <c r="D5657" t="s">
        <v>629</v>
      </c>
      <c r="F5657" s="422" t="s">
        <v>620</v>
      </c>
      <c r="G5657" s="89">
        <v>2022</v>
      </c>
      <c r="H5657" s="313" t="s">
        <v>5816</v>
      </c>
      <c r="I5657" s="311" t="str">
        <f t="shared" si="236"/>
        <v>Pesado de Passageiros M3:  : Gasóleo : E6 D/E E7</v>
      </c>
      <c r="J5657">
        <v>37</v>
      </c>
      <c r="K5657" s="422">
        <v>2023</v>
      </c>
      <c r="L5657">
        <v>7624.2</v>
      </c>
      <c r="M5657" t="s">
        <v>630</v>
      </c>
      <c r="N5657" s="131">
        <v>30030</v>
      </c>
      <c r="O5657" s="436">
        <f t="shared" si="237"/>
        <v>1111110</v>
      </c>
      <c r="Q5657" s="422" t="s">
        <v>47</v>
      </c>
      <c r="R5657" s="422" t="s">
        <v>1869</v>
      </c>
      <c r="S5657" s="422" t="s">
        <v>1861</v>
      </c>
      <c r="T5657" t="s">
        <v>4825</v>
      </c>
      <c r="U5657" s="422" t="s">
        <v>1953</v>
      </c>
      <c r="V5657" s="422" t="s">
        <v>2813</v>
      </c>
    </row>
    <row r="5658" spans="1:22" ht="15.75" thickBot="1" x14ac:dyDescent="0.3">
      <c r="A5658" t="s">
        <v>1910</v>
      </c>
      <c r="B5658" t="s">
        <v>1910</v>
      </c>
      <c r="C5658" s="424" t="str">
        <f t="shared" si="238"/>
        <v>Rodoviária de Lisboa, S.A.</v>
      </c>
      <c r="D5658" t="s">
        <v>629</v>
      </c>
      <c r="F5658" s="422" t="s">
        <v>620</v>
      </c>
      <c r="G5658" s="89">
        <v>2022</v>
      </c>
      <c r="H5658" s="313" t="s">
        <v>5816</v>
      </c>
      <c r="I5658" s="311" t="str">
        <f t="shared" si="236"/>
        <v>Pesado de Passageiros M3:  : Gasóleo : E6 D/E E7</v>
      </c>
      <c r="J5658">
        <v>37</v>
      </c>
      <c r="K5658" s="422">
        <v>2023</v>
      </c>
      <c r="L5658">
        <v>10901.3</v>
      </c>
      <c r="M5658" t="s">
        <v>630</v>
      </c>
      <c r="N5658" s="131">
        <v>49419</v>
      </c>
      <c r="O5658" s="436">
        <f t="shared" si="237"/>
        <v>1828503</v>
      </c>
      <c r="Q5658" s="422" t="s">
        <v>47</v>
      </c>
      <c r="R5658" s="422" t="s">
        <v>1869</v>
      </c>
      <c r="S5658" s="422" t="s">
        <v>1861</v>
      </c>
      <c r="T5658" t="s">
        <v>4825</v>
      </c>
      <c r="U5658" s="422" t="s">
        <v>1953</v>
      </c>
      <c r="V5658" s="422" t="s">
        <v>2813</v>
      </c>
    </row>
    <row r="5659" spans="1:22" ht="15.75" thickBot="1" x14ac:dyDescent="0.3">
      <c r="A5659" t="s">
        <v>1910</v>
      </c>
      <c r="B5659" t="s">
        <v>1910</v>
      </c>
      <c r="C5659" s="424" t="str">
        <f t="shared" si="238"/>
        <v>Rodoviária de Lisboa, S.A.</v>
      </c>
      <c r="D5659" t="s">
        <v>629</v>
      </c>
      <c r="F5659" s="422" t="s">
        <v>620</v>
      </c>
      <c r="G5659" s="89">
        <v>2022</v>
      </c>
      <c r="H5659" s="313" t="s">
        <v>5816</v>
      </c>
      <c r="I5659" s="311" t="str">
        <f t="shared" si="236"/>
        <v>Pesado de Passageiros M3:  : Gasóleo : E6 D/E E7</v>
      </c>
      <c r="J5659">
        <v>89</v>
      </c>
      <c r="K5659" s="422">
        <v>2023</v>
      </c>
      <c r="L5659">
        <v>29000.6</v>
      </c>
      <c r="M5659" t="s">
        <v>630</v>
      </c>
      <c r="N5659" s="131">
        <v>71894</v>
      </c>
      <c r="O5659" s="436">
        <f t="shared" si="237"/>
        <v>6398566</v>
      </c>
      <c r="Q5659" s="422" t="s">
        <v>47</v>
      </c>
      <c r="R5659" s="422" t="s">
        <v>1869</v>
      </c>
      <c r="S5659" s="422" t="s">
        <v>1861</v>
      </c>
      <c r="T5659" t="s">
        <v>4825</v>
      </c>
      <c r="U5659" s="422" t="s">
        <v>1953</v>
      </c>
      <c r="V5659" s="422" t="s">
        <v>2813</v>
      </c>
    </row>
    <row r="5660" spans="1:22" ht="15.75" thickBot="1" x14ac:dyDescent="0.3">
      <c r="A5660" t="s">
        <v>1910</v>
      </c>
      <c r="B5660" t="s">
        <v>1910</v>
      </c>
      <c r="C5660" s="424" t="str">
        <f t="shared" si="238"/>
        <v>Rodoviária de Lisboa, S.A.</v>
      </c>
      <c r="D5660" t="s">
        <v>629</v>
      </c>
      <c r="F5660" s="422" t="s">
        <v>620</v>
      </c>
      <c r="G5660" s="89">
        <v>2022</v>
      </c>
      <c r="H5660" s="313" t="s">
        <v>5816</v>
      </c>
      <c r="I5660" s="311" t="str">
        <f t="shared" si="236"/>
        <v>Pesado de Passageiros M3:  : Gasóleo : E6 D/E E7</v>
      </c>
      <c r="J5660">
        <v>37</v>
      </c>
      <c r="K5660" s="422">
        <v>2023</v>
      </c>
      <c r="L5660">
        <v>11681.5</v>
      </c>
      <c r="M5660" t="s">
        <v>630</v>
      </c>
      <c r="N5660" s="131">
        <v>51580</v>
      </c>
      <c r="O5660" s="436">
        <f t="shared" si="237"/>
        <v>1908460</v>
      </c>
      <c r="Q5660" s="422" t="s">
        <v>47</v>
      </c>
      <c r="R5660" s="422" t="s">
        <v>1869</v>
      </c>
      <c r="S5660" s="422" t="s">
        <v>1861</v>
      </c>
      <c r="T5660" t="s">
        <v>4825</v>
      </c>
      <c r="U5660" s="422" t="s">
        <v>1953</v>
      </c>
      <c r="V5660" s="422" t="s">
        <v>2813</v>
      </c>
    </row>
    <row r="5661" spans="1:22" ht="15.75" thickBot="1" x14ac:dyDescent="0.3">
      <c r="A5661" t="s">
        <v>1910</v>
      </c>
      <c r="B5661" t="s">
        <v>1910</v>
      </c>
      <c r="C5661" s="424" t="str">
        <f t="shared" si="238"/>
        <v>Rodoviária de Lisboa, S.A.</v>
      </c>
      <c r="D5661" t="s">
        <v>629</v>
      </c>
      <c r="F5661" s="422" t="s">
        <v>620</v>
      </c>
      <c r="G5661" s="89">
        <v>2022</v>
      </c>
      <c r="H5661" s="313" t="s">
        <v>5816</v>
      </c>
      <c r="I5661" s="311" t="str">
        <f t="shared" si="236"/>
        <v>Pesado de Passageiros M3:  : Gasóleo : E6 D/E E7</v>
      </c>
      <c r="J5661">
        <v>109</v>
      </c>
      <c r="K5661" s="422">
        <v>2023</v>
      </c>
      <c r="L5661">
        <v>22560.5</v>
      </c>
      <c r="M5661" t="s">
        <v>630</v>
      </c>
      <c r="N5661" s="131">
        <v>51079</v>
      </c>
      <c r="O5661" s="436">
        <f t="shared" si="237"/>
        <v>5567611</v>
      </c>
      <c r="Q5661" s="422" t="s">
        <v>47</v>
      </c>
      <c r="R5661" s="422" t="s">
        <v>1869</v>
      </c>
      <c r="S5661" s="422" t="s">
        <v>1861</v>
      </c>
      <c r="T5661" t="s">
        <v>4825</v>
      </c>
      <c r="U5661" s="422" t="s">
        <v>1953</v>
      </c>
      <c r="V5661" s="422" t="s">
        <v>2813</v>
      </c>
    </row>
    <row r="5662" spans="1:22" ht="15.75" thickBot="1" x14ac:dyDescent="0.3">
      <c r="A5662" t="s">
        <v>1910</v>
      </c>
      <c r="B5662" t="s">
        <v>1910</v>
      </c>
      <c r="C5662" s="424" t="str">
        <f t="shared" si="238"/>
        <v>Rodoviária de Lisboa, S.A.</v>
      </c>
      <c r="D5662" t="s">
        <v>629</v>
      </c>
      <c r="F5662" s="422" t="s">
        <v>620</v>
      </c>
      <c r="G5662" s="89">
        <v>2022</v>
      </c>
      <c r="H5662" s="313" t="s">
        <v>5816</v>
      </c>
      <c r="I5662" s="311" t="str">
        <f t="shared" si="236"/>
        <v>Pesado de Passageiros M3:  : Gasóleo : E6 D/E E7</v>
      </c>
      <c r="J5662">
        <v>37</v>
      </c>
      <c r="K5662" s="422">
        <v>2023</v>
      </c>
      <c r="L5662">
        <v>9864.2000000000007</v>
      </c>
      <c r="M5662" t="s">
        <v>630</v>
      </c>
      <c r="N5662" s="131">
        <v>38203</v>
      </c>
      <c r="O5662" s="436">
        <f t="shared" si="237"/>
        <v>1413511</v>
      </c>
      <c r="Q5662" s="422" t="s">
        <v>47</v>
      </c>
      <c r="R5662" s="422" t="s">
        <v>1869</v>
      </c>
      <c r="S5662" s="422" t="s">
        <v>1861</v>
      </c>
      <c r="T5662" t="s">
        <v>4825</v>
      </c>
      <c r="U5662" s="422" t="s">
        <v>1953</v>
      </c>
      <c r="V5662" s="422" t="s">
        <v>2813</v>
      </c>
    </row>
    <row r="5663" spans="1:22" ht="15.75" thickBot="1" x14ac:dyDescent="0.3">
      <c r="A5663" t="s">
        <v>1910</v>
      </c>
      <c r="B5663" t="s">
        <v>1910</v>
      </c>
      <c r="C5663" s="424" t="str">
        <f t="shared" si="238"/>
        <v>Rodoviária de Lisboa, S.A.</v>
      </c>
      <c r="D5663" t="s">
        <v>629</v>
      </c>
      <c r="F5663" s="422" t="s">
        <v>620</v>
      </c>
      <c r="G5663" s="89">
        <v>2022</v>
      </c>
      <c r="H5663" s="313" t="s">
        <v>5816</v>
      </c>
      <c r="I5663" s="311" t="str">
        <f t="shared" si="236"/>
        <v>Pesado de Passageiros M3:  : Gasóleo : E6 D/E E7</v>
      </c>
      <c r="J5663">
        <v>109</v>
      </c>
      <c r="K5663" s="422">
        <v>2023</v>
      </c>
      <c r="L5663">
        <v>26392.6</v>
      </c>
      <c r="M5663" t="s">
        <v>630</v>
      </c>
      <c r="N5663" s="131">
        <v>69217</v>
      </c>
      <c r="O5663" s="436">
        <f t="shared" si="237"/>
        <v>7544653</v>
      </c>
      <c r="Q5663" s="422" t="s">
        <v>47</v>
      </c>
      <c r="R5663" s="422" t="s">
        <v>1869</v>
      </c>
      <c r="S5663" s="422" t="s">
        <v>1861</v>
      </c>
      <c r="T5663" t="s">
        <v>4825</v>
      </c>
      <c r="U5663" s="422" t="s">
        <v>1953</v>
      </c>
      <c r="V5663" s="422" t="s">
        <v>2813</v>
      </c>
    </row>
    <row r="5664" spans="1:22" ht="15.75" thickBot="1" x14ac:dyDescent="0.3">
      <c r="A5664" t="s">
        <v>1910</v>
      </c>
      <c r="B5664" t="s">
        <v>1910</v>
      </c>
      <c r="C5664" s="424" t="str">
        <f t="shared" si="238"/>
        <v>Rodoviária de Lisboa, S.A.</v>
      </c>
      <c r="D5664" t="s">
        <v>629</v>
      </c>
      <c r="F5664" s="422" t="s">
        <v>620</v>
      </c>
      <c r="G5664" s="89">
        <v>2022</v>
      </c>
      <c r="H5664" s="313" t="s">
        <v>5816</v>
      </c>
      <c r="I5664" s="311" t="str">
        <f t="shared" si="236"/>
        <v>Pesado de Passageiros M3:  : Gasóleo : E6 D/E E7</v>
      </c>
      <c r="J5664">
        <v>37</v>
      </c>
      <c r="K5664" s="422">
        <v>2023</v>
      </c>
      <c r="L5664">
        <v>8298.4</v>
      </c>
      <c r="M5664" t="s">
        <v>630</v>
      </c>
      <c r="N5664" s="131">
        <v>31818</v>
      </c>
      <c r="O5664" s="436">
        <f t="shared" si="237"/>
        <v>1177266</v>
      </c>
      <c r="Q5664" s="422" t="s">
        <v>47</v>
      </c>
      <c r="R5664" s="422" t="s">
        <v>1869</v>
      </c>
      <c r="S5664" s="422" t="s">
        <v>1861</v>
      </c>
      <c r="T5664" t="s">
        <v>4825</v>
      </c>
      <c r="U5664" s="422" t="s">
        <v>1953</v>
      </c>
      <c r="V5664" s="422" t="s">
        <v>2813</v>
      </c>
    </row>
    <row r="5665" spans="1:22" ht="15.75" thickBot="1" x14ac:dyDescent="0.3">
      <c r="A5665" t="s">
        <v>1910</v>
      </c>
      <c r="B5665" t="s">
        <v>1910</v>
      </c>
      <c r="C5665" s="424" t="str">
        <f t="shared" si="238"/>
        <v>Rodoviária de Lisboa, S.A.</v>
      </c>
      <c r="D5665" t="s">
        <v>629</v>
      </c>
      <c r="F5665" s="422" t="s">
        <v>620</v>
      </c>
      <c r="G5665" s="89">
        <v>2022</v>
      </c>
      <c r="H5665" s="313" t="s">
        <v>5816</v>
      </c>
      <c r="I5665" s="311" t="str">
        <f t="shared" si="236"/>
        <v>Pesado de Passageiros M3:  : Gasóleo : E6 D/E E7</v>
      </c>
      <c r="J5665">
        <v>89</v>
      </c>
      <c r="K5665" s="422">
        <v>2023</v>
      </c>
      <c r="L5665">
        <v>18340</v>
      </c>
      <c r="M5665" t="s">
        <v>630</v>
      </c>
      <c r="N5665" s="131">
        <v>45210</v>
      </c>
      <c r="O5665" s="436">
        <f t="shared" si="237"/>
        <v>4023690</v>
      </c>
      <c r="Q5665" s="422" t="s">
        <v>47</v>
      </c>
      <c r="R5665" s="422" t="s">
        <v>1869</v>
      </c>
      <c r="S5665" s="422" t="s">
        <v>1861</v>
      </c>
      <c r="T5665" t="s">
        <v>4825</v>
      </c>
      <c r="U5665" s="422" t="s">
        <v>1953</v>
      </c>
      <c r="V5665" s="422" t="s">
        <v>2813</v>
      </c>
    </row>
    <row r="5666" spans="1:22" ht="15.75" thickBot="1" x14ac:dyDescent="0.3">
      <c r="A5666" t="s">
        <v>1910</v>
      </c>
      <c r="B5666" t="s">
        <v>1910</v>
      </c>
      <c r="C5666" s="424" t="str">
        <f t="shared" si="238"/>
        <v>Rodoviária de Lisboa, S.A.</v>
      </c>
      <c r="D5666" t="s">
        <v>629</v>
      </c>
      <c r="F5666" s="422" t="s">
        <v>620</v>
      </c>
      <c r="G5666" s="89">
        <v>2022</v>
      </c>
      <c r="H5666" s="313" t="s">
        <v>5816</v>
      </c>
      <c r="I5666" s="311" t="str">
        <f t="shared" ref="I5666:I5729" si="239">D5666&amp;": "&amp;E5666&amp;" : "&amp;F5666&amp;" : "&amp;H5666</f>
        <v>Pesado de Passageiros M3:  : Gasóleo : E6 D/E E7</v>
      </c>
      <c r="J5666">
        <v>89</v>
      </c>
      <c r="K5666" s="422">
        <v>2023</v>
      </c>
      <c r="L5666">
        <v>30319.7</v>
      </c>
      <c r="M5666" t="s">
        <v>630</v>
      </c>
      <c r="N5666" s="131">
        <v>74527</v>
      </c>
      <c r="O5666" s="436">
        <f t="shared" ref="O5666:O5729" si="240">N5666*J5666</f>
        <v>6632903</v>
      </c>
      <c r="Q5666" s="422" t="s">
        <v>47</v>
      </c>
      <c r="R5666" s="422" t="s">
        <v>1869</v>
      </c>
      <c r="S5666" s="422" t="s">
        <v>1861</v>
      </c>
      <c r="T5666" t="s">
        <v>4825</v>
      </c>
      <c r="U5666" s="422" t="s">
        <v>1953</v>
      </c>
      <c r="V5666" s="422" t="s">
        <v>2813</v>
      </c>
    </row>
    <row r="5667" spans="1:22" ht="15.75" thickBot="1" x14ac:dyDescent="0.3">
      <c r="A5667" t="s">
        <v>1910</v>
      </c>
      <c r="B5667" t="s">
        <v>1910</v>
      </c>
      <c r="C5667" s="424" t="str">
        <f t="shared" si="238"/>
        <v>Rodoviária de Lisboa, S.A.</v>
      </c>
      <c r="D5667" t="s">
        <v>629</v>
      </c>
      <c r="F5667" s="422" t="s">
        <v>620</v>
      </c>
      <c r="G5667" s="89">
        <v>2022</v>
      </c>
      <c r="H5667" s="313" t="s">
        <v>5816</v>
      </c>
      <c r="I5667" s="311" t="str">
        <f t="shared" si="239"/>
        <v>Pesado de Passageiros M3:  : Gasóleo : E6 D/E E7</v>
      </c>
      <c r="J5667">
        <v>83</v>
      </c>
      <c r="K5667" s="422">
        <v>2023</v>
      </c>
      <c r="L5667">
        <v>23909.599999999999</v>
      </c>
      <c r="M5667" t="s">
        <v>630</v>
      </c>
      <c r="N5667" s="131">
        <v>69083</v>
      </c>
      <c r="O5667" s="436">
        <f t="shared" si="240"/>
        <v>5733889</v>
      </c>
      <c r="Q5667" s="422" t="s">
        <v>47</v>
      </c>
      <c r="R5667" s="422" t="s">
        <v>1869</v>
      </c>
      <c r="S5667" s="422" t="s">
        <v>1861</v>
      </c>
      <c r="T5667" t="s">
        <v>4825</v>
      </c>
      <c r="U5667" s="422" t="s">
        <v>1953</v>
      </c>
      <c r="V5667" s="422" t="s">
        <v>2813</v>
      </c>
    </row>
    <row r="5668" spans="1:22" ht="15.75" thickBot="1" x14ac:dyDescent="0.3">
      <c r="A5668" t="s">
        <v>1910</v>
      </c>
      <c r="B5668" t="s">
        <v>1910</v>
      </c>
      <c r="C5668" s="424" t="str">
        <f t="shared" si="238"/>
        <v>Rodoviária de Lisboa, S.A.</v>
      </c>
      <c r="D5668" t="s">
        <v>629</v>
      </c>
      <c r="F5668" s="422" t="s">
        <v>620</v>
      </c>
      <c r="G5668" s="89">
        <v>2022</v>
      </c>
      <c r="H5668" s="313" t="s">
        <v>5816</v>
      </c>
      <c r="I5668" s="311" t="str">
        <f t="shared" si="239"/>
        <v>Pesado de Passageiros M3:  : Gasóleo : E6 D/E E7</v>
      </c>
      <c r="J5668">
        <v>37</v>
      </c>
      <c r="K5668" s="422">
        <v>2023</v>
      </c>
      <c r="L5668">
        <v>6147.2</v>
      </c>
      <c r="M5668" t="s">
        <v>630</v>
      </c>
      <c r="N5668" s="131">
        <v>25549</v>
      </c>
      <c r="O5668" s="436">
        <f t="shared" si="240"/>
        <v>945313</v>
      </c>
      <c r="Q5668" s="422" t="s">
        <v>47</v>
      </c>
      <c r="R5668" s="422" t="s">
        <v>1869</v>
      </c>
      <c r="S5668" s="422" t="s">
        <v>1861</v>
      </c>
      <c r="T5668" t="s">
        <v>4825</v>
      </c>
      <c r="U5668" s="422" t="s">
        <v>1953</v>
      </c>
      <c r="V5668" s="422" t="s">
        <v>2813</v>
      </c>
    </row>
    <row r="5669" spans="1:22" ht="15.75" thickBot="1" x14ac:dyDescent="0.3">
      <c r="A5669" t="s">
        <v>1910</v>
      </c>
      <c r="B5669" t="s">
        <v>1910</v>
      </c>
      <c r="C5669" s="424" t="str">
        <f t="shared" si="238"/>
        <v>Rodoviária de Lisboa, S.A.</v>
      </c>
      <c r="D5669" t="s">
        <v>629</v>
      </c>
      <c r="F5669" s="422" t="s">
        <v>620</v>
      </c>
      <c r="G5669" s="89">
        <v>2022</v>
      </c>
      <c r="H5669" s="313" t="s">
        <v>5816</v>
      </c>
      <c r="I5669" s="311" t="str">
        <f t="shared" si="239"/>
        <v>Pesado de Passageiros M3:  : Gasóleo : E6 D/E E7</v>
      </c>
      <c r="J5669">
        <v>83</v>
      </c>
      <c r="K5669" s="422">
        <v>2023</v>
      </c>
      <c r="L5669">
        <v>21867.8</v>
      </c>
      <c r="M5669" t="s">
        <v>630</v>
      </c>
      <c r="N5669" s="131">
        <v>63254</v>
      </c>
      <c r="O5669" s="436">
        <f t="shared" si="240"/>
        <v>5250082</v>
      </c>
      <c r="Q5669" s="422" t="s">
        <v>47</v>
      </c>
      <c r="R5669" s="422" t="s">
        <v>1869</v>
      </c>
      <c r="S5669" s="422" t="s">
        <v>1861</v>
      </c>
      <c r="T5669" t="s">
        <v>4825</v>
      </c>
      <c r="U5669" s="422" t="s">
        <v>1953</v>
      </c>
      <c r="V5669" s="422" t="s">
        <v>2813</v>
      </c>
    </row>
    <row r="5670" spans="1:22" ht="15.75" thickBot="1" x14ac:dyDescent="0.3">
      <c r="A5670" t="s">
        <v>1910</v>
      </c>
      <c r="B5670" t="s">
        <v>1910</v>
      </c>
      <c r="C5670" s="424" t="str">
        <f t="shared" si="238"/>
        <v>Rodoviária de Lisboa, S.A.</v>
      </c>
      <c r="D5670" t="s">
        <v>629</v>
      </c>
      <c r="F5670" s="422" t="s">
        <v>620</v>
      </c>
      <c r="G5670" s="89">
        <v>2022</v>
      </c>
      <c r="H5670" s="313" t="s">
        <v>5816</v>
      </c>
      <c r="I5670" s="311" t="str">
        <f t="shared" si="239"/>
        <v>Pesado de Passageiros M3:  : Gasóleo : E6 D/E E7</v>
      </c>
      <c r="J5670">
        <v>37</v>
      </c>
      <c r="K5670" s="422">
        <v>2023</v>
      </c>
      <c r="L5670">
        <v>9943.7000000000007</v>
      </c>
      <c r="M5670" t="s">
        <v>630</v>
      </c>
      <c r="N5670" s="131">
        <v>41070</v>
      </c>
      <c r="O5670" s="436">
        <f t="shared" si="240"/>
        <v>1519590</v>
      </c>
      <c r="Q5670" s="422" t="s">
        <v>47</v>
      </c>
      <c r="R5670" s="422" t="s">
        <v>1869</v>
      </c>
      <c r="S5670" s="422" t="s">
        <v>1861</v>
      </c>
      <c r="T5670" t="s">
        <v>4825</v>
      </c>
      <c r="U5670" s="422" t="s">
        <v>1953</v>
      </c>
      <c r="V5670" s="422" t="s">
        <v>2813</v>
      </c>
    </row>
    <row r="5671" spans="1:22" ht="15.75" thickBot="1" x14ac:dyDescent="0.3">
      <c r="A5671" t="s">
        <v>1910</v>
      </c>
      <c r="B5671" t="s">
        <v>1910</v>
      </c>
      <c r="C5671" s="424" t="str">
        <f t="shared" si="238"/>
        <v>Rodoviária de Lisboa, S.A.</v>
      </c>
      <c r="D5671" t="s">
        <v>629</v>
      </c>
      <c r="F5671" s="422" t="s">
        <v>620</v>
      </c>
      <c r="G5671" s="89" t="s">
        <v>5261</v>
      </c>
      <c r="H5671" s="313" t="s">
        <v>5816</v>
      </c>
      <c r="I5671" s="311" t="str">
        <f t="shared" si="239"/>
        <v>Pesado de Passageiros M3:  : Gasóleo : E6 D/E E7</v>
      </c>
      <c r="J5671">
        <v>37</v>
      </c>
      <c r="K5671" s="422">
        <v>2023</v>
      </c>
      <c r="L5671">
        <v>2120.1999999999998</v>
      </c>
      <c r="M5671" t="s">
        <v>630</v>
      </c>
      <c r="N5671" s="131">
        <v>9880</v>
      </c>
      <c r="O5671" s="436">
        <f t="shared" si="240"/>
        <v>365560</v>
      </c>
      <c r="Q5671" s="422" t="s">
        <v>47</v>
      </c>
      <c r="R5671" s="422" t="s">
        <v>1869</v>
      </c>
      <c r="S5671" s="422" t="s">
        <v>1861</v>
      </c>
      <c r="T5671" t="s">
        <v>4825</v>
      </c>
      <c r="U5671" s="422" t="s">
        <v>1953</v>
      </c>
      <c r="V5671" s="422" t="s">
        <v>2813</v>
      </c>
    </row>
    <row r="5672" spans="1:22" ht="15.75" thickBot="1" x14ac:dyDescent="0.3">
      <c r="A5672" t="s">
        <v>1910</v>
      </c>
      <c r="B5672" t="s">
        <v>1910</v>
      </c>
      <c r="C5672" s="424" t="str">
        <f t="shared" si="238"/>
        <v>Rodoviária de Lisboa, S.A.</v>
      </c>
      <c r="D5672" t="s">
        <v>629</v>
      </c>
      <c r="F5672" s="422" t="s">
        <v>620</v>
      </c>
      <c r="G5672" s="89">
        <v>2022</v>
      </c>
      <c r="H5672" s="313" t="s">
        <v>5816</v>
      </c>
      <c r="I5672" s="311" t="str">
        <f t="shared" si="239"/>
        <v>Pesado de Passageiros M3:  : Gasóleo : E6 D/E E7</v>
      </c>
      <c r="J5672">
        <v>37</v>
      </c>
      <c r="K5672" s="422">
        <v>2023</v>
      </c>
      <c r="L5672">
        <v>10317</v>
      </c>
      <c r="M5672" t="s">
        <v>630</v>
      </c>
      <c r="N5672" s="131">
        <v>43889</v>
      </c>
      <c r="O5672" s="436">
        <f t="shared" si="240"/>
        <v>1623893</v>
      </c>
      <c r="Q5672" s="422" t="s">
        <v>47</v>
      </c>
      <c r="R5672" s="422" t="s">
        <v>1869</v>
      </c>
      <c r="S5672" s="422" t="s">
        <v>1861</v>
      </c>
      <c r="T5672" t="s">
        <v>4825</v>
      </c>
      <c r="U5672" s="422" t="s">
        <v>1953</v>
      </c>
      <c r="V5672" s="422" t="s">
        <v>2813</v>
      </c>
    </row>
    <row r="5673" spans="1:22" ht="15.75" thickBot="1" x14ac:dyDescent="0.3">
      <c r="A5673" t="s">
        <v>1910</v>
      </c>
      <c r="B5673" t="s">
        <v>1910</v>
      </c>
      <c r="C5673" s="424" t="str">
        <f t="shared" si="238"/>
        <v>Rodoviária de Lisboa, S.A.</v>
      </c>
      <c r="D5673" t="s">
        <v>629</v>
      </c>
      <c r="F5673" s="422" t="s">
        <v>620</v>
      </c>
      <c r="G5673" s="89">
        <v>2022</v>
      </c>
      <c r="H5673" s="313" t="s">
        <v>5816</v>
      </c>
      <c r="I5673" s="311" t="str">
        <f t="shared" si="239"/>
        <v>Pesado de Passageiros M3:  : Gasóleo : E6 D/E E7</v>
      </c>
      <c r="J5673">
        <v>37</v>
      </c>
      <c r="K5673" s="422">
        <v>2023</v>
      </c>
      <c r="L5673">
        <v>9645.9</v>
      </c>
      <c r="M5673" t="s">
        <v>630</v>
      </c>
      <c r="N5673" s="131">
        <v>40580</v>
      </c>
      <c r="O5673" s="436">
        <f t="shared" si="240"/>
        <v>1501460</v>
      </c>
      <c r="Q5673" s="422" t="s">
        <v>47</v>
      </c>
      <c r="R5673" s="422" t="s">
        <v>1869</v>
      </c>
      <c r="S5673" s="422" t="s">
        <v>1861</v>
      </c>
      <c r="T5673" t="s">
        <v>4825</v>
      </c>
      <c r="U5673" s="422" t="s">
        <v>1953</v>
      </c>
      <c r="V5673" s="422" t="s">
        <v>2813</v>
      </c>
    </row>
    <row r="5674" spans="1:22" ht="15.75" thickBot="1" x14ac:dyDescent="0.3">
      <c r="A5674" t="s">
        <v>1910</v>
      </c>
      <c r="B5674" t="s">
        <v>1910</v>
      </c>
      <c r="C5674" s="424" t="str">
        <f t="shared" si="238"/>
        <v>Rodoviária de Lisboa, S.A.</v>
      </c>
      <c r="D5674" t="s">
        <v>629</v>
      </c>
      <c r="F5674" s="422" t="s">
        <v>620</v>
      </c>
      <c r="G5674" s="89">
        <v>2022</v>
      </c>
      <c r="H5674" s="313" t="s">
        <v>5816</v>
      </c>
      <c r="I5674" s="311" t="str">
        <f t="shared" si="239"/>
        <v>Pesado de Passageiros M3:  : Gasóleo : E6 D/E E7</v>
      </c>
      <c r="J5674">
        <v>37</v>
      </c>
      <c r="K5674" s="422">
        <v>2023</v>
      </c>
      <c r="L5674">
        <v>12452.6</v>
      </c>
      <c r="M5674" t="s">
        <v>630</v>
      </c>
      <c r="N5674" s="131">
        <v>56771</v>
      </c>
      <c r="O5674" s="436">
        <f t="shared" si="240"/>
        <v>2100527</v>
      </c>
      <c r="Q5674" s="422" t="s">
        <v>47</v>
      </c>
      <c r="R5674" s="422" t="s">
        <v>1869</v>
      </c>
      <c r="S5674" s="422" t="s">
        <v>1861</v>
      </c>
      <c r="T5674" t="s">
        <v>4825</v>
      </c>
      <c r="U5674" s="422" t="s">
        <v>1953</v>
      </c>
      <c r="V5674" s="422" t="s">
        <v>2813</v>
      </c>
    </row>
    <row r="5675" spans="1:22" ht="15.75" thickBot="1" x14ac:dyDescent="0.3">
      <c r="A5675" t="s">
        <v>1910</v>
      </c>
      <c r="B5675" t="s">
        <v>1910</v>
      </c>
      <c r="C5675" s="424" t="str">
        <f t="shared" si="238"/>
        <v>Rodoviária de Lisboa, S.A.</v>
      </c>
      <c r="D5675" t="s">
        <v>629</v>
      </c>
      <c r="F5675" s="422" t="s">
        <v>620</v>
      </c>
      <c r="G5675" s="89">
        <v>2022</v>
      </c>
      <c r="H5675" s="313" t="s">
        <v>5816</v>
      </c>
      <c r="I5675" s="311" t="str">
        <f t="shared" si="239"/>
        <v>Pesado de Passageiros M3:  : Gasóleo : E6 D/E E7</v>
      </c>
      <c r="J5675">
        <v>37</v>
      </c>
      <c r="K5675" s="422">
        <v>2023</v>
      </c>
      <c r="L5675">
        <v>8071</v>
      </c>
      <c r="M5675" t="s">
        <v>630</v>
      </c>
      <c r="N5675" s="131">
        <v>34065</v>
      </c>
      <c r="O5675" s="436">
        <f t="shared" si="240"/>
        <v>1260405</v>
      </c>
      <c r="Q5675" s="422" t="s">
        <v>47</v>
      </c>
      <c r="R5675" s="422" t="s">
        <v>1869</v>
      </c>
      <c r="S5675" s="422" t="s">
        <v>1861</v>
      </c>
      <c r="T5675" t="s">
        <v>4825</v>
      </c>
      <c r="U5675" s="422" t="s">
        <v>1953</v>
      </c>
      <c r="V5675" s="422" t="s">
        <v>2813</v>
      </c>
    </row>
    <row r="5676" spans="1:22" ht="15.75" thickBot="1" x14ac:dyDescent="0.3">
      <c r="A5676" t="s">
        <v>1910</v>
      </c>
      <c r="B5676" t="s">
        <v>1910</v>
      </c>
      <c r="C5676" s="424" t="str">
        <f t="shared" si="238"/>
        <v>Rodoviária de Lisboa, S.A.</v>
      </c>
      <c r="D5676" t="s">
        <v>629</v>
      </c>
      <c r="F5676" s="422" t="s">
        <v>620</v>
      </c>
      <c r="G5676" s="89">
        <v>2022</v>
      </c>
      <c r="H5676" s="313" t="s">
        <v>5816</v>
      </c>
      <c r="I5676" s="311" t="str">
        <f t="shared" si="239"/>
        <v>Pesado de Passageiros M3:  : Gasóleo : E6 D/E E7</v>
      </c>
      <c r="J5676">
        <v>37</v>
      </c>
      <c r="K5676" s="422">
        <v>2023</v>
      </c>
      <c r="L5676">
        <v>9642.4</v>
      </c>
      <c r="M5676" t="s">
        <v>630</v>
      </c>
      <c r="N5676" s="131">
        <v>41239</v>
      </c>
      <c r="O5676" s="436">
        <f t="shared" si="240"/>
        <v>1525843</v>
      </c>
      <c r="Q5676" s="422" t="s">
        <v>47</v>
      </c>
      <c r="R5676" s="422" t="s">
        <v>1869</v>
      </c>
      <c r="S5676" s="422" t="s">
        <v>1861</v>
      </c>
      <c r="T5676" t="s">
        <v>4825</v>
      </c>
      <c r="U5676" s="422" t="s">
        <v>1953</v>
      </c>
      <c r="V5676" s="422" t="s">
        <v>2813</v>
      </c>
    </row>
    <row r="5677" spans="1:22" ht="15.75" thickBot="1" x14ac:dyDescent="0.3">
      <c r="A5677" t="s">
        <v>1910</v>
      </c>
      <c r="B5677" t="s">
        <v>1910</v>
      </c>
      <c r="C5677" s="424" t="str">
        <f t="shared" si="238"/>
        <v>Rodoviária de Lisboa, S.A.</v>
      </c>
      <c r="D5677" t="s">
        <v>629</v>
      </c>
      <c r="F5677" s="422" t="s">
        <v>620</v>
      </c>
      <c r="G5677" s="89" t="s">
        <v>5261</v>
      </c>
      <c r="H5677" s="313" t="s">
        <v>5816</v>
      </c>
      <c r="I5677" s="311" t="str">
        <f t="shared" si="239"/>
        <v>Pesado de Passageiros M3:  : Gasóleo : E6 D/E E7</v>
      </c>
      <c r="J5677">
        <v>37</v>
      </c>
      <c r="K5677" s="422">
        <v>2023</v>
      </c>
      <c r="L5677">
        <v>1959.1</v>
      </c>
      <c r="M5677" t="s">
        <v>630</v>
      </c>
      <c r="N5677" s="131">
        <v>8421</v>
      </c>
      <c r="O5677" s="436">
        <f t="shared" si="240"/>
        <v>311577</v>
      </c>
      <c r="Q5677" s="422" t="s">
        <v>47</v>
      </c>
      <c r="R5677" s="422" t="s">
        <v>1869</v>
      </c>
      <c r="S5677" s="422" t="s">
        <v>1861</v>
      </c>
      <c r="T5677" t="s">
        <v>4825</v>
      </c>
      <c r="U5677" s="422" t="s">
        <v>1953</v>
      </c>
      <c r="V5677" s="422" t="s">
        <v>2813</v>
      </c>
    </row>
    <row r="5678" spans="1:22" ht="15.75" thickBot="1" x14ac:dyDescent="0.3">
      <c r="A5678" t="s">
        <v>1910</v>
      </c>
      <c r="B5678" t="s">
        <v>1910</v>
      </c>
      <c r="C5678" s="424" t="str">
        <f t="shared" si="238"/>
        <v>Rodoviária de Lisboa, S.A.</v>
      </c>
      <c r="D5678" t="s">
        <v>629</v>
      </c>
      <c r="F5678" s="422" t="s">
        <v>620</v>
      </c>
      <c r="G5678" s="89">
        <v>2022</v>
      </c>
      <c r="H5678" s="313" t="s">
        <v>5816</v>
      </c>
      <c r="I5678" s="311" t="str">
        <f t="shared" si="239"/>
        <v>Pesado de Passageiros M3:  : Gasóleo : E6 D/E E7</v>
      </c>
      <c r="J5678">
        <v>37</v>
      </c>
      <c r="K5678" s="422">
        <v>2023</v>
      </c>
      <c r="L5678">
        <v>9029.7999999999993</v>
      </c>
      <c r="M5678" t="s">
        <v>630</v>
      </c>
      <c r="N5678" s="131">
        <v>37808</v>
      </c>
      <c r="O5678" s="436">
        <f t="shared" si="240"/>
        <v>1398896</v>
      </c>
      <c r="Q5678" s="422" t="s">
        <v>47</v>
      </c>
      <c r="R5678" s="422" t="s">
        <v>1869</v>
      </c>
      <c r="S5678" s="422" t="s">
        <v>1861</v>
      </c>
      <c r="T5678" t="s">
        <v>4825</v>
      </c>
      <c r="U5678" s="422" t="s">
        <v>1953</v>
      </c>
      <c r="V5678" s="422" t="s">
        <v>2813</v>
      </c>
    </row>
    <row r="5679" spans="1:22" ht="15.75" thickBot="1" x14ac:dyDescent="0.3">
      <c r="A5679" t="s">
        <v>1910</v>
      </c>
      <c r="B5679" t="s">
        <v>1910</v>
      </c>
      <c r="C5679" s="424" t="str">
        <f t="shared" si="238"/>
        <v>Rodoviária de Lisboa, S.A.</v>
      </c>
      <c r="D5679" t="s">
        <v>629</v>
      </c>
      <c r="F5679" s="422" t="s">
        <v>620</v>
      </c>
      <c r="G5679" s="89">
        <v>2022</v>
      </c>
      <c r="H5679" s="313" t="s">
        <v>5816</v>
      </c>
      <c r="I5679" s="311" t="str">
        <f t="shared" si="239"/>
        <v>Pesado de Passageiros M3:  : Gasóleo : E6 D/E E7</v>
      </c>
      <c r="J5679">
        <v>37</v>
      </c>
      <c r="K5679" s="422">
        <v>2023</v>
      </c>
      <c r="L5679">
        <v>11754.5</v>
      </c>
      <c r="M5679" t="s">
        <v>630</v>
      </c>
      <c r="N5679" s="131">
        <v>50123</v>
      </c>
      <c r="O5679" s="436">
        <f t="shared" si="240"/>
        <v>1854551</v>
      </c>
      <c r="Q5679" s="422" t="s">
        <v>47</v>
      </c>
      <c r="R5679" s="422" t="s">
        <v>1869</v>
      </c>
      <c r="S5679" s="422" t="s">
        <v>1861</v>
      </c>
      <c r="T5679" t="s">
        <v>4825</v>
      </c>
      <c r="U5679" s="422" t="s">
        <v>1953</v>
      </c>
      <c r="V5679" s="422" t="s">
        <v>2813</v>
      </c>
    </row>
    <row r="5680" spans="1:22" ht="15.75" thickBot="1" x14ac:dyDescent="0.3">
      <c r="A5680" t="s">
        <v>1910</v>
      </c>
      <c r="B5680" t="s">
        <v>1910</v>
      </c>
      <c r="C5680" s="424" t="str">
        <f t="shared" si="238"/>
        <v>Rodoviária de Lisboa, S.A.</v>
      </c>
      <c r="D5680" t="s">
        <v>629</v>
      </c>
      <c r="F5680" s="422" t="s">
        <v>620</v>
      </c>
      <c r="G5680" s="89">
        <v>2022</v>
      </c>
      <c r="H5680" s="313" t="s">
        <v>5816</v>
      </c>
      <c r="I5680" s="311" t="str">
        <f t="shared" si="239"/>
        <v>Pesado de Passageiros M3:  : Gasóleo : E6 D/E E7</v>
      </c>
      <c r="J5680">
        <v>109</v>
      </c>
      <c r="K5680" s="422">
        <v>2023</v>
      </c>
      <c r="L5680">
        <v>16968.2</v>
      </c>
      <c r="M5680" t="s">
        <v>630</v>
      </c>
      <c r="N5680" s="131">
        <v>45507</v>
      </c>
      <c r="O5680" s="436">
        <f t="shared" si="240"/>
        <v>4960263</v>
      </c>
      <c r="Q5680" s="422" t="s">
        <v>47</v>
      </c>
      <c r="R5680" s="422" t="s">
        <v>1869</v>
      </c>
      <c r="S5680" s="422" t="s">
        <v>1861</v>
      </c>
      <c r="T5680" t="s">
        <v>4825</v>
      </c>
      <c r="U5680" s="422" t="s">
        <v>1953</v>
      </c>
      <c r="V5680" s="422" t="s">
        <v>2813</v>
      </c>
    </row>
    <row r="5681" spans="1:22" ht="15.75" thickBot="1" x14ac:dyDescent="0.3">
      <c r="A5681" t="s">
        <v>1910</v>
      </c>
      <c r="B5681" t="s">
        <v>1910</v>
      </c>
      <c r="C5681" s="424" t="str">
        <f t="shared" si="238"/>
        <v>Rodoviária de Lisboa, S.A.</v>
      </c>
      <c r="D5681" t="s">
        <v>629</v>
      </c>
      <c r="F5681" s="422" t="s">
        <v>620</v>
      </c>
      <c r="G5681" s="89">
        <v>2022</v>
      </c>
      <c r="H5681" s="313" t="s">
        <v>5816</v>
      </c>
      <c r="I5681" s="311" t="str">
        <f t="shared" si="239"/>
        <v>Pesado de Passageiros M3:  : Gasóleo : E6 D/E E7</v>
      </c>
      <c r="J5681">
        <v>109</v>
      </c>
      <c r="K5681" s="422">
        <v>2023</v>
      </c>
      <c r="L5681">
        <v>23515.599999999999</v>
      </c>
      <c r="M5681" t="s">
        <v>630</v>
      </c>
      <c r="N5681" s="131">
        <v>51433</v>
      </c>
      <c r="O5681" s="436">
        <f t="shared" si="240"/>
        <v>5606197</v>
      </c>
      <c r="Q5681" s="422" t="s">
        <v>47</v>
      </c>
      <c r="R5681" s="422" t="s">
        <v>1869</v>
      </c>
      <c r="S5681" s="422" t="s">
        <v>1861</v>
      </c>
      <c r="T5681" t="s">
        <v>4825</v>
      </c>
      <c r="U5681" s="422" t="s">
        <v>1953</v>
      </c>
      <c r="V5681" s="422" t="s">
        <v>2813</v>
      </c>
    </row>
    <row r="5682" spans="1:22" ht="15.75" thickBot="1" x14ac:dyDescent="0.3">
      <c r="A5682" t="s">
        <v>1910</v>
      </c>
      <c r="B5682" t="s">
        <v>1910</v>
      </c>
      <c r="C5682" s="424" t="str">
        <f t="shared" ref="C5682:C5745" si="241">IF(A5682=B5682,B5682,RIGHT(A5682,LEN(A5682)-LEN(B5682)-3))</f>
        <v>Rodoviária de Lisboa, S.A.</v>
      </c>
      <c r="D5682" t="s">
        <v>629</v>
      </c>
      <c r="F5682" s="422" t="s">
        <v>620</v>
      </c>
      <c r="G5682" s="89">
        <v>2022</v>
      </c>
      <c r="H5682" s="313" t="s">
        <v>5816</v>
      </c>
      <c r="I5682" s="311" t="str">
        <f t="shared" si="239"/>
        <v>Pesado de Passageiros M3:  : Gasóleo : E6 D/E E7</v>
      </c>
      <c r="J5682">
        <v>109</v>
      </c>
      <c r="K5682" s="422">
        <v>2023</v>
      </c>
      <c r="L5682">
        <v>18809.099999999999</v>
      </c>
      <c r="M5682" t="s">
        <v>630</v>
      </c>
      <c r="N5682" s="131">
        <v>50541</v>
      </c>
      <c r="O5682" s="436">
        <f t="shared" si="240"/>
        <v>5508969</v>
      </c>
      <c r="Q5682" s="422" t="s">
        <v>47</v>
      </c>
      <c r="R5682" s="422" t="s">
        <v>1869</v>
      </c>
      <c r="S5682" s="422" t="s">
        <v>1861</v>
      </c>
      <c r="T5682" t="s">
        <v>4825</v>
      </c>
      <c r="U5682" s="422" t="s">
        <v>1953</v>
      </c>
      <c r="V5682" s="422" t="s">
        <v>2813</v>
      </c>
    </row>
    <row r="5683" spans="1:22" ht="15.75" thickBot="1" x14ac:dyDescent="0.3">
      <c r="A5683" t="s">
        <v>1910</v>
      </c>
      <c r="B5683" t="s">
        <v>1910</v>
      </c>
      <c r="C5683" s="424" t="str">
        <f t="shared" si="241"/>
        <v>Rodoviária de Lisboa, S.A.</v>
      </c>
      <c r="D5683" t="s">
        <v>629</v>
      </c>
      <c r="F5683" s="422" t="s">
        <v>620</v>
      </c>
      <c r="G5683" s="89">
        <v>2022</v>
      </c>
      <c r="H5683" s="313" t="s">
        <v>5816</v>
      </c>
      <c r="I5683" s="311" t="str">
        <f t="shared" si="239"/>
        <v>Pesado de Passageiros M3:  : Gasóleo : E6 D/E E7</v>
      </c>
      <c r="J5683">
        <v>109</v>
      </c>
      <c r="K5683" s="422">
        <v>2023</v>
      </c>
      <c r="L5683">
        <v>18062.5</v>
      </c>
      <c r="M5683" t="s">
        <v>630</v>
      </c>
      <c r="N5683" s="131">
        <v>41050</v>
      </c>
      <c r="O5683" s="436">
        <f t="shared" si="240"/>
        <v>4474450</v>
      </c>
      <c r="Q5683" s="422" t="s">
        <v>47</v>
      </c>
      <c r="R5683" s="422" t="s">
        <v>1869</v>
      </c>
      <c r="S5683" s="422" t="s">
        <v>1861</v>
      </c>
      <c r="T5683" t="s">
        <v>4825</v>
      </c>
      <c r="U5683" s="422" t="s">
        <v>1953</v>
      </c>
      <c r="V5683" s="422" t="s">
        <v>2813</v>
      </c>
    </row>
    <row r="5684" spans="1:22" ht="15.75" thickBot="1" x14ac:dyDescent="0.3">
      <c r="A5684" t="s">
        <v>1910</v>
      </c>
      <c r="B5684" t="s">
        <v>1910</v>
      </c>
      <c r="C5684" s="424" t="str">
        <f t="shared" si="241"/>
        <v>Rodoviária de Lisboa, S.A.</v>
      </c>
      <c r="D5684" t="s">
        <v>629</v>
      </c>
      <c r="F5684" s="422" t="s">
        <v>620</v>
      </c>
      <c r="G5684" s="89">
        <v>2022</v>
      </c>
      <c r="H5684" s="313" t="s">
        <v>5816</v>
      </c>
      <c r="I5684" s="311" t="str">
        <f t="shared" si="239"/>
        <v>Pesado de Passageiros M3:  : Gasóleo : E6 D/E E7</v>
      </c>
      <c r="J5684">
        <v>109</v>
      </c>
      <c r="K5684" s="422">
        <v>2023</v>
      </c>
      <c r="L5684">
        <v>19424.5</v>
      </c>
      <c r="M5684" t="s">
        <v>630</v>
      </c>
      <c r="N5684" s="131">
        <v>52013</v>
      </c>
      <c r="O5684" s="436">
        <f t="shared" si="240"/>
        <v>5669417</v>
      </c>
      <c r="Q5684" s="422" t="s">
        <v>47</v>
      </c>
      <c r="R5684" s="422" t="s">
        <v>1869</v>
      </c>
      <c r="S5684" s="422" t="s">
        <v>1861</v>
      </c>
      <c r="T5684" t="s">
        <v>4825</v>
      </c>
      <c r="U5684" s="422" t="s">
        <v>1953</v>
      </c>
      <c r="V5684" s="422" t="s">
        <v>2813</v>
      </c>
    </row>
    <row r="5685" spans="1:22" ht="15.75" thickBot="1" x14ac:dyDescent="0.3">
      <c r="A5685" t="s">
        <v>1910</v>
      </c>
      <c r="B5685" t="s">
        <v>1910</v>
      </c>
      <c r="C5685" s="424" t="str">
        <f t="shared" si="241"/>
        <v>Rodoviária de Lisboa, S.A.</v>
      </c>
      <c r="D5685" t="s">
        <v>629</v>
      </c>
      <c r="F5685" s="422" t="s">
        <v>620</v>
      </c>
      <c r="G5685" s="89">
        <v>2022</v>
      </c>
      <c r="H5685" s="313" t="s">
        <v>5816</v>
      </c>
      <c r="I5685" s="311" t="str">
        <f t="shared" si="239"/>
        <v>Pesado de Passageiros M3:  : Gasóleo : E6 D/E E7</v>
      </c>
      <c r="J5685">
        <v>109</v>
      </c>
      <c r="K5685" s="422">
        <v>2023</v>
      </c>
      <c r="L5685">
        <v>15976.4</v>
      </c>
      <c r="M5685" t="s">
        <v>630</v>
      </c>
      <c r="N5685" s="131">
        <v>35479</v>
      </c>
      <c r="O5685" s="436">
        <f t="shared" si="240"/>
        <v>3867211</v>
      </c>
      <c r="Q5685" s="422" t="s">
        <v>47</v>
      </c>
      <c r="R5685" s="422" t="s">
        <v>1869</v>
      </c>
      <c r="S5685" s="422" t="s">
        <v>1861</v>
      </c>
      <c r="T5685" t="s">
        <v>4825</v>
      </c>
      <c r="U5685" s="422" t="s">
        <v>1953</v>
      </c>
      <c r="V5685" s="422" t="s">
        <v>2813</v>
      </c>
    </row>
    <row r="5686" spans="1:22" ht="15.75" thickBot="1" x14ac:dyDescent="0.3">
      <c r="A5686" t="s">
        <v>1910</v>
      </c>
      <c r="B5686" t="s">
        <v>1910</v>
      </c>
      <c r="C5686" s="424" t="str">
        <f t="shared" si="241"/>
        <v>Rodoviária de Lisboa, S.A.</v>
      </c>
      <c r="D5686" t="s">
        <v>629</v>
      </c>
      <c r="F5686" s="422" t="s">
        <v>620</v>
      </c>
      <c r="G5686" s="89" t="s">
        <v>5261</v>
      </c>
      <c r="H5686" s="313" t="s">
        <v>5816</v>
      </c>
      <c r="I5686" s="311" t="str">
        <f t="shared" si="239"/>
        <v>Pesado de Passageiros M3:  : Gasóleo : E6 D/E E7</v>
      </c>
      <c r="J5686">
        <v>109</v>
      </c>
      <c r="K5686" s="422">
        <v>2023</v>
      </c>
      <c r="L5686">
        <v>8155.6</v>
      </c>
      <c r="M5686" t="s">
        <v>630</v>
      </c>
      <c r="N5686" s="131">
        <v>19057</v>
      </c>
      <c r="O5686" s="436">
        <f t="shared" si="240"/>
        <v>2077213</v>
      </c>
      <c r="Q5686" s="422" t="s">
        <v>47</v>
      </c>
      <c r="R5686" s="422" t="s">
        <v>1869</v>
      </c>
      <c r="S5686" s="422" t="s">
        <v>1861</v>
      </c>
      <c r="T5686" t="s">
        <v>4825</v>
      </c>
      <c r="U5686" s="422" t="s">
        <v>1953</v>
      </c>
      <c r="V5686" s="422" t="s">
        <v>2813</v>
      </c>
    </row>
    <row r="5687" spans="1:22" ht="15.75" thickBot="1" x14ac:dyDescent="0.3">
      <c r="A5687" t="s">
        <v>1910</v>
      </c>
      <c r="B5687" t="s">
        <v>1910</v>
      </c>
      <c r="C5687" s="424" t="str">
        <f t="shared" si="241"/>
        <v>Rodoviária de Lisboa, S.A.</v>
      </c>
      <c r="D5687" t="s">
        <v>629</v>
      </c>
      <c r="F5687" s="422" t="s">
        <v>620</v>
      </c>
      <c r="G5687" s="89">
        <v>2022</v>
      </c>
      <c r="H5687" s="313" t="s">
        <v>5816</v>
      </c>
      <c r="I5687" s="311" t="str">
        <f t="shared" si="239"/>
        <v>Pesado de Passageiros M3:  : Gasóleo : E6 D/E E7</v>
      </c>
      <c r="J5687">
        <v>109</v>
      </c>
      <c r="K5687" s="422">
        <v>2023</v>
      </c>
      <c r="L5687">
        <v>22848.2</v>
      </c>
      <c r="M5687" t="s">
        <v>630</v>
      </c>
      <c r="N5687" s="131">
        <v>58799</v>
      </c>
      <c r="O5687" s="436">
        <f t="shared" si="240"/>
        <v>6409091</v>
      </c>
      <c r="Q5687" s="422" t="s">
        <v>47</v>
      </c>
      <c r="R5687" s="422" t="s">
        <v>1869</v>
      </c>
      <c r="S5687" s="422" t="s">
        <v>1861</v>
      </c>
      <c r="T5687" t="s">
        <v>4825</v>
      </c>
      <c r="U5687" s="422" t="s">
        <v>1953</v>
      </c>
      <c r="V5687" s="422" t="s">
        <v>2813</v>
      </c>
    </row>
    <row r="5688" spans="1:22" ht="15.75" thickBot="1" x14ac:dyDescent="0.3">
      <c r="A5688" t="s">
        <v>1910</v>
      </c>
      <c r="B5688" t="s">
        <v>1910</v>
      </c>
      <c r="C5688" s="424" t="str">
        <f t="shared" si="241"/>
        <v>Rodoviária de Lisboa, S.A.</v>
      </c>
      <c r="D5688" t="s">
        <v>629</v>
      </c>
      <c r="F5688" s="422" t="s">
        <v>620</v>
      </c>
      <c r="G5688" s="89">
        <v>2022</v>
      </c>
      <c r="H5688" s="313" t="s">
        <v>5816</v>
      </c>
      <c r="I5688" s="311" t="str">
        <f t="shared" si="239"/>
        <v>Pesado de Passageiros M3:  : Gasóleo : E6 D/E E7</v>
      </c>
      <c r="J5688">
        <v>109</v>
      </c>
      <c r="K5688" s="422">
        <v>2023</v>
      </c>
      <c r="L5688">
        <v>22131</v>
      </c>
      <c r="M5688" t="s">
        <v>630</v>
      </c>
      <c r="N5688" s="131">
        <v>49385</v>
      </c>
      <c r="O5688" s="436">
        <f t="shared" si="240"/>
        <v>5382965</v>
      </c>
      <c r="Q5688" s="422" t="s">
        <v>47</v>
      </c>
      <c r="R5688" s="422" t="s">
        <v>1869</v>
      </c>
      <c r="S5688" s="422" t="s">
        <v>1861</v>
      </c>
      <c r="T5688" t="s">
        <v>4825</v>
      </c>
      <c r="U5688" s="422" t="s">
        <v>1953</v>
      </c>
      <c r="V5688" s="422" t="s">
        <v>2813</v>
      </c>
    </row>
    <row r="5689" spans="1:22" ht="15.75" thickBot="1" x14ac:dyDescent="0.3">
      <c r="A5689" t="s">
        <v>1910</v>
      </c>
      <c r="B5689" t="s">
        <v>1910</v>
      </c>
      <c r="C5689" s="424" t="str">
        <f t="shared" si="241"/>
        <v>Rodoviária de Lisboa, S.A.</v>
      </c>
      <c r="D5689" t="s">
        <v>629</v>
      </c>
      <c r="F5689" s="422" t="s">
        <v>620</v>
      </c>
      <c r="G5689" s="89">
        <v>2022</v>
      </c>
      <c r="H5689" s="313" t="s">
        <v>5816</v>
      </c>
      <c r="I5689" s="311" t="str">
        <f t="shared" si="239"/>
        <v>Pesado de Passageiros M3:  : Gasóleo : E6 D/E E7</v>
      </c>
      <c r="J5689">
        <v>85</v>
      </c>
      <c r="K5689" s="422">
        <v>2023</v>
      </c>
      <c r="L5689">
        <v>22744.7</v>
      </c>
      <c r="M5689" t="s">
        <v>630</v>
      </c>
      <c r="N5689" s="131">
        <v>56809</v>
      </c>
      <c r="O5689" s="436">
        <f t="shared" si="240"/>
        <v>4828765</v>
      </c>
      <c r="Q5689" s="422" t="s">
        <v>47</v>
      </c>
      <c r="R5689" s="422" t="s">
        <v>1869</v>
      </c>
      <c r="S5689" s="422" t="s">
        <v>1861</v>
      </c>
      <c r="T5689" t="s">
        <v>4825</v>
      </c>
      <c r="U5689" s="422" t="s">
        <v>1953</v>
      </c>
      <c r="V5689" s="422" t="s">
        <v>2813</v>
      </c>
    </row>
    <row r="5690" spans="1:22" ht="15.75" thickBot="1" x14ac:dyDescent="0.3">
      <c r="A5690" t="s">
        <v>1910</v>
      </c>
      <c r="B5690" t="s">
        <v>1910</v>
      </c>
      <c r="C5690" s="424" t="str">
        <f t="shared" si="241"/>
        <v>Rodoviária de Lisboa, S.A.</v>
      </c>
      <c r="D5690" t="s">
        <v>629</v>
      </c>
      <c r="F5690" s="422" t="s">
        <v>620</v>
      </c>
      <c r="G5690" s="89">
        <v>2022</v>
      </c>
      <c r="H5690" s="313" t="s">
        <v>5816</v>
      </c>
      <c r="I5690" s="311" t="str">
        <f t="shared" si="239"/>
        <v>Pesado de Passageiros M3:  : Gasóleo : E6 D/E E7</v>
      </c>
      <c r="J5690">
        <v>109</v>
      </c>
      <c r="K5690" s="422">
        <v>2023</v>
      </c>
      <c r="L5690">
        <v>27797.7</v>
      </c>
      <c r="M5690" t="s">
        <v>630</v>
      </c>
      <c r="N5690" s="131">
        <v>67781</v>
      </c>
      <c r="O5690" s="436">
        <f t="shared" si="240"/>
        <v>7388129</v>
      </c>
      <c r="Q5690" s="422" t="s">
        <v>47</v>
      </c>
      <c r="R5690" s="422" t="s">
        <v>1869</v>
      </c>
      <c r="S5690" s="422" t="s">
        <v>1861</v>
      </c>
      <c r="T5690" t="s">
        <v>4825</v>
      </c>
      <c r="U5690" s="422" t="s">
        <v>1953</v>
      </c>
      <c r="V5690" s="422" t="s">
        <v>2813</v>
      </c>
    </row>
    <row r="5691" spans="1:22" ht="15.75" thickBot="1" x14ac:dyDescent="0.3">
      <c r="A5691" t="s">
        <v>1910</v>
      </c>
      <c r="B5691" t="s">
        <v>1910</v>
      </c>
      <c r="C5691" s="424" t="str">
        <f t="shared" si="241"/>
        <v>Rodoviária de Lisboa, S.A.</v>
      </c>
      <c r="D5691" t="s">
        <v>629</v>
      </c>
      <c r="F5691" s="422" t="s">
        <v>620</v>
      </c>
      <c r="G5691" s="89">
        <v>2022</v>
      </c>
      <c r="H5691" s="313" t="s">
        <v>5816</v>
      </c>
      <c r="I5691" s="311" t="str">
        <f t="shared" si="239"/>
        <v>Pesado de Passageiros M3:  : Gasóleo : E6 D/E E7</v>
      </c>
      <c r="J5691">
        <v>85</v>
      </c>
      <c r="K5691" s="422">
        <v>2023</v>
      </c>
      <c r="L5691">
        <v>23213.8</v>
      </c>
      <c r="M5691" t="s">
        <v>630</v>
      </c>
      <c r="N5691" s="131">
        <v>57954</v>
      </c>
      <c r="O5691" s="436">
        <f t="shared" si="240"/>
        <v>4926090</v>
      </c>
      <c r="Q5691" s="422" t="s">
        <v>47</v>
      </c>
      <c r="R5691" s="422" t="s">
        <v>1869</v>
      </c>
      <c r="S5691" s="422" t="s">
        <v>1861</v>
      </c>
      <c r="T5691" t="s">
        <v>4825</v>
      </c>
      <c r="U5691" s="422" t="s">
        <v>1953</v>
      </c>
      <c r="V5691" s="422" t="s">
        <v>2813</v>
      </c>
    </row>
    <row r="5692" spans="1:22" ht="15.75" thickBot="1" x14ac:dyDescent="0.3">
      <c r="A5692" t="s">
        <v>1910</v>
      </c>
      <c r="B5692" t="s">
        <v>1910</v>
      </c>
      <c r="C5692" s="424" t="str">
        <f t="shared" si="241"/>
        <v>Rodoviária de Lisboa, S.A.</v>
      </c>
      <c r="D5692" t="s">
        <v>629</v>
      </c>
      <c r="F5692" s="422" t="s">
        <v>620</v>
      </c>
      <c r="G5692" s="89">
        <v>2022</v>
      </c>
      <c r="H5692" s="313" t="s">
        <v>5816</v>
      </c>
      <c r="I5692" s="311" t="str">
        <f t="shared" si="239"/>
        <v>Pesado de Passageiros M3:  : Gasóleo : E6 D/E E7</v>
      </c>
      <c r="J5692">
        <v>85</v>
      </c>
      <c r="K5692" s="422">
        <v>2023</v>
      </c>
      <c r="L5692">
        <v>34328.199999999997</v>
      </c>
      <c r="M5692" t="s">
        <v>630</v>
      </c>
      <c r="N5692" s="131">
        <v>80911</v>
      </c>
      <c r="O5692" s="436">
        <f t="shared" si="240"/>
        <v>6877435</v>
      </c>
      <c r="Q5692" s="422" t="s">
        <v>47</v>
      </c>
      <c r="R5692" s="422" t="s">
        <v>1869</v>
      </c>
      <c r="S5692" s="422" t="s">
        <v>1861</v>
      </c>
      <c r="T5692" t="s">
        <v>4825</v>
      </c>
      <c r="U5692" s="422" t="s">
        <v>1953</v>
      </c>
      <c r="V5692" s="422" t="s">
        <v>2813</v>
      </c>
    </row>
    <row r="5693" spans="1:22" ht="15.75" thickBot="1" x14ac:dyDescent="0.3">
      <c r="A5693" t="s">
        <v>1910</v>
      </c>
      <c r="B5693" t="s">
        <v>1910</v>
      </c>
      <c r="C5693" s="424" t="str">
        <f t="shared" si="241"/>
        <v>Rodoviária de Lisboa, S.A.</v>
      </c>
      <c r="D5693" t="s">
        <v>629</v>
      </c>
      <c r="F5693" s="422" t="s">
        <v>620</v>
      </c>
      <c r="G5693" s="89">
        <v>2022</v>
      </c>
      <c r="H5693" s="313" t="s">
        <v>5816</v>
      </c>
      <c r="I5693" s="311" t="str">
        <f t="shared" si="239"/>
        <v>Pesado de Passageiros M3:  : Gasóleo : E6 D/E E7</v>
      </c>
      <c r="J5693">
        <v>109</v>
      </c>
      <c r="K5693" s="422">
        <v>2023</v>
      </c>
      <c r="L5693">
        <v>20031.099999999999</v>
      </c>
      <c r="M5693" t="s">
        <v>630</v>
      </c>
      <c r="N5693" s="131">
        <v>47364</v>
      </c>
      <c r="O5693" s="436">
        <f t="shared" si="240"/>
        <v>5162676</v>
      </c>
      <c r="Q5693" s="422" t="s">
        <v>47</v>
      </c>
      <c r="R5693" s="422" t="s">
        <v>1869</v>
      </c>
      <c r="S5693" s="422" t="s">
        <v>1861</v>
      </c>
      <c r="T5693" t="s">
        <v>4825</v>
      </c>
      <c r="U5693" s="422" t="s">
        <v>1953</v>
      </c>
      <c r="V5693" s="422" t="s">
        <v>2813</v>
      </c>
    </row>
    <row r="5694" spans="1:22" ht="15.75" thickBot="1" x14ac:dyDescent="0.3">
      <c r="A5694" t="s">
        <v>1910</v>
      </c>
      <c r="B5694" t="s">
        <v>1910</v>
      </c>
      <c r="C5694" s="424" t="str">
        <f t="shared" si="241"/>
        <v>Rodoviária de Lisboa, S.A.</v>
      </c>
      <c r="D5694" t="s">
        <v>629</v>
      </c>
      <c r="F5694" s="422" t="s">
        <v>620</v>
      </c>
      <c r="G5694" s="89">
        <v>2022</v>
      </c>
      <c r="H5694" s="313" t="s">
        <v>5816</v>
      </c>
      <c r="I5694" s="311" t="str">
        <f t="shared" si="239"/>
        <v>Pesado de Passageiros M3:  : Gasóleo : E6 D/E E7</v>
      </c>
      <c r="J5694">
        <v>83</v>
      </c>
      <c r="K5694" s="422">
        <v>2023</v>
      </c>
      <c r="L5694">
        <v>27113.7</v>
      </c>
      <c r="M5694" t="s">
        <v>630</v>
      </c>
      <c r="N5694" s="131">
        <v>78738</v>
      </c>
      <c r="O5694" s="436">
        <f t="shared" si="240"/>
        <v>6535254</v>
      </c>
      <c r="Q5694" s="422" t="s">
        <v>47</v>
      </c>
      <c r="R5694" s="422" t="s">
        <v>1869</v>
      </c>
      <c r="S5694" s="422" t="s">
        <v>1861</v>
      </c>
      <c r="T5694" t="s">
        <v>4825</v>
      </c>
      <c r="U5694" s="422" t="s">
        <v>1953</v>
      </c>
      <c r="V5694" s="422" t="s">
        <v>2813</v>
      </c>
    </row>
    <row r="5695" spans="1:22" ht="15.75" thickBot="1" x14ac:dyDescent="0.3">
      <c r="A5695" t="s">
        <v>1910</v>
      </c>
      <c r="B5695" t="s">
        <v>1910</v>
      </c>
      <c r="C5695" s="424" t="str">
        <f t="shared" si="241"/>
        <v>Rodoviária de Lisboa, S.A.</v>
      </c>
      <c r="D5695" t="s">
        <v>629</v>
      </c>
      <c r="F5695" s="422" t="s">
        <v>620</v>
      </c>
      <c r="G5695" s="89">
        <v>2022</v>
      </c>
      <c r="H5695" s="313" t="s">
        <v>5816</v>
      </c>
      <c r="I5695" s="311" t="str">
        <f t="shared" si="239"/>
        <v>Pesado de Passageiros M3:  : Gasóleo : E6 D/E E7</v>
      </c>
      <c r="J5695">
        <v>85</v>
      </c>
      <c r="K5695" s="422">
        <v>2023</v>
      </c>
      <c r="L5695">
        <v>31143.7</v>
      </c>
      <c r="M5695" t="s">
        <v>630</v>
      </c>
      <c r="N5695" s="131">
        <v>73495</v>
      </c>
      <c r="O5695" s="436">
        <f t="shared" si="240"/>
        <v>6247075</v>
      </c>
      <c r="Q5695" s="422" t="s">
        <v>47</v>
      </c>
      <c r="R5695" s="422" t="s">
        <v>1869</v>
      </c>
      <c r="S5695" s="422" t="s">
        <v>1861</v>
      </c>
      <c r="T5695" t="s">
        <v>4825</v>
      </c>
      <c r="U5695" s="422" t="s">
        <v>1953</v>
      </c>
      <c r="V5695" s="422" t="s">
        <v>2813</v>
      </c>
    </row>
    <row r="5696" spans="1:22" ht="15.75" thickBot="1" x14ac:dyDescent="0.3">
      <c r="A5696" t="s">
        <v>1910</v>
      </c>
      <c r="B5696" t="s">
        <v>1910</v>
      </c>
      <c r="C5696" s="424" t="str">
        <f t="shared" si="241"/>
        <v>Rodoviária de Lisboa, S.A.</v>
      </c>
      <c r="D5696" t="s">
        <v>629</v>
      </c>
      <c r="F5696" s="422" t="s">
        <v>620</v>
      </c>
      <c r="G5696" s="89">
        <v>2022</v>
      </c>
      <c r="H5696" s="313" t="s">
        <v>5816</v>
      </c>
      <c r="I5696" s="311" t="str">
        <f t="shared" si="239"/>
        <v>Pesado de Passageiros M3:  : Gasóleo : E6 D/E E7</v>
      </c>
      <c r="J5696">
        <v>85</v>
      </c>
      <c r="K5696" s="422">
        <v>2023</v>
      </c>
      <c r="L5696">
        <v>22226.3</v>
      </c>
      <c r="M5696" t="s">
        <v>630</v>
      </c>
      <c r="N5696" s="131">
        <v>55799</v>
      </c>
      <c r="O5696" s="436">
        <f t="shared" si="240"/>
        <v>4742915</v>
      </c>
      <c r="Q5696" s="422" t="s">
        <v>47</v>
      </c>
      <c r="R5696" s="422" t="s">
        <v>1869</v>
      </c>
      <c r="S5696" s="422" t="s">
        <v>1861</v>
      </c>
      <c r="T5696" t="s">
        <v>4825</v>
      </c>
      <c r="U5696" s="422" t="s">
        <v>1953</v>
      </c>
      <c r="V5696" s="422" t="s">
        <v>2813</v>
      </c>
    </row>
    <row r="5697" spans="1:22" ht="15.75" thickBot="1" x14ac:dyDescent="0.3">
      <c r="A5697" t="s">
        <v>1910</v>
      </c>
      <c r="B5697" t="s">
        <v>1910</v>
      </c>
      <c r="C5697" s="424" t="str">
        <f t="shared" si="241"/>
        <v>Rodoviária de Lisboa, S.A.</v>
      </c>
      <c r="D5697" t="s">
        <v>629</v>
      </c>
      <c r="F5697" s="422" t="s">
        <v>620</v>
      </c>
      <c r="G5697" s="89">
        <v>2022</v>
      </c>
      <c r="H5697" s="313" t="s">
        <v>5816</v>
      </c>
      <c r="I5697" s="311" t="str">
        <f t="shared" si="239"/>
        <v>Pesado de Passageiros M3:  : Gasóleo : E6 D/E E7</v>
      </c>
      <c r="J5697">
        <v>85</v>
      </c>
      <c r="K5697" s="422">
        <v>2023</v>
      </c>
      <c r="L5697">
        <v>20704.2</v>
      </c>
      <c r="M5697" t="s">
        <v>630</v>
      </c>
      <c r="N5697" s="131">
        <v>51158</v>
      </c>
      <c r="O5697" s="436">
        <f t="shared" si="240"/>
        <v>4348430</v>
      </c>
      <c r="Q5697" s="422" t="s">
        <v>47</v>
      </c>
      <c r="R5697" s="422" t="s">
        <v>1869</v>
      </c>
      <c r="S5697" s="422" t="s">
        <v>1861</v>
      </c>
      <c r="T5697" t="s">
        <v>4825</v>
      </c>
      <c r="U5697" s="422" t="s">
        <v>1953</v>
      </c>
      <c r="V5697" s="422" t="s">
        <v>2813</v>
      </c>
    </row>
    <row r="5698" spans="1:22" ht="15.75" thickBot="1" x14ac:dyDescent="0.3">
      <c r="A5698" t="s">
        <v>1910</v>
      </c>
      <c r="B5698" t="s">
        <v>1910</v>
      </c>
      <c r="C5698" s="424" t="str">
        <f t="shared" si="241"/>
        <v>Rodoviária de Lisboa, S.A.</v>
      </c>
      <c r="D5698" t="s">
        <v>629</v>
      </c>
      <c r="F5698" s="422" t="s">
        <v>620</v>
      </c>
      <c r="G5698" s="89">
        <v>2022</v>
      </c>
      <c r="H5698" s="313" t="s">
        <v>5816</v>
      </c>
      <c r="I5698" s="311" t="str">
        <f t="shared" si="239"/>
        <v>Pesado de Passageiros M3:  : Gasóleo : E6 D/E E7</v>
      </c>
      <c r="J5698">
        <v>85</v>
      </c>
      <c r="K5698" s="422">
        <v>2023</v>
      </c>
      <c r="L5698">
        <v>22054.7</v>
      </c>
      <c r="M5698" t="s">
        <v>630</v>
      </c>
      <c r="N5698" s="131">
        <v>53953</v>
      </c>
      <c r="O5698" s="436">
        <f t="shared" si="240"/>
        <v>4586005</v>
      </c>
      <c r="Q5698" s="422" t="s">
        <v>47</v>
      </c>
      <c r="R5698" s="422" t="s">
        <v>1869</v>
      </c>
      <c r="S5698" s="422" t="s">
        <v>1861</v>
      </c>
      <c r="T5698" t="s">
        <v>4825</v>
      </c>
      <c r="U5698" s="422" t="s">
        <v>1953</v>
      </c>
      <c r="V5698" s="422" t="s">
        <v>2813</v>
      </c>
    </row>
    <row r="5699" spans="1:22" ht="15.75" thickBot="1" x14ac:dyDescent="0.3">
      <c r="A5699" t="s">
        <v>1910</v>
      </c>
      <c r="B5699" t="s">
        <v>1910</v>
      </c>
      <c r="C5699" s="424" t="str">
        <f t="shared" si="241"/>
        <v>Rodoviária de Lisboa, S.A.</v>
      </c>
      <c r="D5699" t="s">
        <v>629</v>
      </c>
      <c r="F5699" s="422" t="s">
        <v>620</v>
      </c>
      <c r="G5699" s="89">
        <v>2022</v>
      </c>
      <c r="H5699" s="313" t="s">
        <v>5816</v>
      </c>
      <c r="I5699" s="311" t="str">
        <f t="shared" si="239"/>
        <v>Pesado de Passageiros M3:  : Gasóleo : E6 D/E E7</v>
      </c>
      <c r="J5699">
        <v>85</v>
      </c>
      <c r="K5699" s="422">
        <v>2023</v>
      </c>
      <c r="L5699">
        <v>17480.400000000001</v>
      </c>
      <c r="M5699" t="s">
        <v>630</v>
      </c>
      <c r="N5699" s="131">
        <v>45578</v>
      </c>
      <c r="O5699" s="436">
        <f t="shared" si="240"/>
        <v>3874130</v>
      </c>
      <c r="Q5699" s="422" t="s">
        <v>47</v>
      </c>
      <c r="R5699" s="422" t="s">
        <v>1869</v>
      </c>
      <c r="S5699" s="422" t="s">
        <v>1861</v>
      </c>
      <c r="T5699" t="s">
        <v>4825</v>
      </c>
      <c r="U5699" s="422" t="s">
        <v>1953</v>
      </c>
      <c r="V5699" s="422" t="s">
        <v>2813</v>
      </c>
    </row>
    <row r="5700" spans="1:22" ht="15.75" thickBot="1" x14ac:dyDescent="0.3">
      <c r="A5700" t="s">
        <v>1910</v>
      </c>
      <c r="B5700" t="s">
        <v>1910</v>
      </c>
      <c r="C5700" s="424" t="str">
        <f t="shared" si="241"/>
        <v>Rodoviária de Lisboa, S.A.</v>
      </c>
      <c r="D5700" t="s">
        <v>629</v>
      </c>
      <c r="F5700" s="422" t="s">
        <v>620</v>
      </c>
      <c r="G5700" s="89">
        <v>2022</v>
      </c>
      <c r="H5700" s="313" t="s">
        <v>5816</v>
      </c>
      <c r="I5700" s="311" t="str">
        <f t="shared" si="239"/>
        <v>Pesado de Passageiros M3:  : Gasóleo : E6 D/E E7</v>
      </c>
      <c r="J5700">
        <v>85</v>
      </c>
      <c r="K5700" s="422">
        <v>2023</v>
      </c>
      <c r="L5700">
        <v>21892.9</v>
      </c>
      <c r="M5700" t="s">
        <v>630</v>
      </c>
      <c r="N5700" s="131">
        <v>57275</v>
      </c>
      <c r="O5700" s="436">
        <f t="shared" si="240"/>
        <v>4868375</v>
      </c>
      <c r="Q5700" s="422" t="s">
        <v>47</v>
      </c>
      <c r="R5700" s="422" t="s">
        <v>1869</v>
      </c>
      <c r="S5700" s="422" t="s">
        <v>1861</v>
      </c>
      <c r="T5700" t="s">
        <v>4825</v>
      </c>
      <c r="U5700" s="422" t="s">
        <v>1953</v>
      </c>
      <c r="V5700" s="422" t="s">
        <v>2813</v>
      </c>
    </row>
    <row r="5701" spans="1:22" ht="15.75" thickBot="1" x14ac:dyDescent="0.3">
      <c r="A5701" t="s">
        <v>1910</v>
      </c>
      <c r="B5701" t="s">
        <v>1910</v>
      </c>
      <c r="C5701" s="424" t="str">
        <f t="shared" si="241"/>
        <v>Rodoviária de Lisboa, S.A.</v>
      </c>
      <c r="D5701" t="s">
        <v>629</v>
      </c>
      <c r="F5701" s="422" t="s">
        <v>620</v>
      </c>
      <c r="G5701" s="89">
        <v>2022</v>
      </c>
      <c r="H5701" s="313" t="s">
        <v>5816</v>
      </c>
      <c r="I5701" s="311" t="str">
        <f t="shared" si="239"/>
        <v>Pesado de Passageiros M3:  : Gasóleo : E6 D/E E7</v>
      </c>
      <c r="J5701">
        <v>109</v>
      </c>
      <c r="K5701" s="422">
        <v>2023</v>
      </c>
      <c r="L5701">
        <v>19611.3</v>
      </c>
      <c r="M5701" t="s">
        <v>630</v>
      </c>
      <c r="N5701" s="131">
        <v>52252</v>
      </c>
      <c r="O5701" s="436">
        <f t="shared" si="240"/>
        <v>5695468</v>
      </c>
      <c r="Q5701" s="422" t="s">
        <v>47</v>
      </c>
      <c r="R5701" s="422" t="s">
        <v>1869</v>
      </c>
      <c r="S5701" s="422" t="s">
        <v>1861</v>
      </c>
      <c r="T5701" t="s">
        <v>4825</v>
      </c>
      <c r="U5701" s="422" t="s">
        <v>1953</v>
      </c>
      <c r="V5701" s="422" t="s">
        <v>2813</v>
      </c>
    </row>
    <row r="5702" spans="1:22" ht="15.75" thickBot="1" x14ac:dyDescent="0.3">
      <c r="A5702" t="s">
        <v>1910</v>
      </c>
      <c r="B5702" t="s">
        <v>1910</v>
      </c>
      <c r="C5702" s="424" t="str">
        <f t="shared" si="241"/>
        <v>Rodoviária de Lisboa, S.A.</v>
      </c>
      <c r="D5702" t="s">
        <v>629</v>
      </c>
      <c r="F5702" s="422" t="s">
        <v>620</v>
      </c>
      <c r="G5702" s="89">
        <v>2022</v>
      </c>
      <c r="H5702" s="313" t="s">
        <v>5816</v>
      </c>
      <c r="I5702" s="311" t="str">
        <f t="shared" si="239"/>
        <v>Pesado de Passageiros M3:  : Gasóleo : E6 D/E E7</v>
      </c>
      <c r="J5702">
        <v>85</v>
      </c>
      <c r="K5702" s="422">
        <v>2023</v>
      </c>
      <c r="L5702">
        <v>22835.7</v>
      </c>
      <c r="M5702" t="s">
        <v>630</v>
      </c>
      <c r="N5702" s="131">
        <v>57212</v>
      </c>
      <c r="O5702" s="436">
        <f t="shared" si="240"/>
        <v>4863020</v>
      </c>
      <c r="Q5702" s="422" t="s">
        <v>47</v>
      </c>
      <c r="R5702" s="422" t="s">
        <v>1869</v>
      </c>
      <c r="S5702" s="422" t="s">
        <v>1861</v>
      </c>
      <c r="T5702" t="s">
        <v>4825</v>
      </c>
      <c r="U5702" s="422" t="s">
        <v>1953</v>
      </c>
      <c r="V5702" s="422" t="s">
        <v>2813</v>
      </c>
    </row>
    <row r="5703" spans="1:22" ht="15.75" thickBot="1" x14ac:dyDescent="0.3">
      <c r="A5703" t="s">
        <v>1910</v>
      </c>
      <c r="B5703" t="s">
        <v>1910</v>
      </c>
      <c r="C5703" s="424" t="str">
        <f t="shared" si="241"/>
        <v>Rodoviária de Lisboa, S.A.</v>
      </c>
      <c r="D5703" t="s">
        <v>629</v>
      </c>
      <c r="F5703" s="422" t="s">
        <v>620</v>
      </c>
      <c r="G5703" s="89">
        <v>2022</v>
      </c>
      <c r="H5703" s="313" t="s">
        <v>5816</v>
      </c>
      <c r="I5703" s="311" t="str">
        <f t="shared" si="239"/>
        <v>Pesado de Passageiros M3:  : Gasóleo : E6 D/E E7</v>
      </c>
      <c r="J5703">
        <v>109</v>
      </c>
      <c r="K5703" s="422">
        <v>2023</v>
      </c>
      <c r="L5703">
        <v>13036.5</v>
      </c>
      <c r="M5703" t="s">
        <v>630</v>
      </c>
      <c r="N5703" s="131">
        <v>34626</v>
      </c>
      <c r="O5703" s="436">
        <f t="shared" si="240"/>
        <v>3774234</v>
      </c>
      <c r="Q5703" s="422" t="s">
        <v>47</v>
      </c>
      <c r="R5703" s="422" t="s">
        <v>1869</v>
      </c>
      <c r="S5703" s="422" t="s">
        <v>1861</v>
      </c>
      <c r="T5703" t="s">
        <v>4825</v>
      </c>
      <c r="U5703" s="422" t="s">
        <v>1953</v>
      </c>
      <c r="V5703" s="422" t="s">
        <v>2813</v>
      </c>
    </row>
    <row r="5704" spans="1:22" ht="15.75" thickBot="1" x14ac:dyDescent="0.3">
      <c r="A5704" t="s">
        <v>1910</v>
      </c>
      <c r="B5704" t="s">
        <v>1910</v>
      </c>
      <c r="C5704" s="424" t="str">
        <f t="shared" si="241"/>
        <v>Rodoviária de Lisboa, S.A.</v>
      </c>
      <c r="D5704" t="s">
        <v>629</v>
      </c>
      <c r="F5704" s="422" t="s">
        <v>620</v>
      </c>
      <c r="G5704" s="89" t="s">
        <v>5261</v>
      </c>
      <c r="H5704" s="313" t="s">
        <v>5816</v>
      </c>
      <c r="I5704" s="311" t="str">
        <f t="shared" si="239"/>
        <v>Pesado de Passageiros M3:  : Gasóleo : E6 D/E E7</v>
      </c>
      <c r="J5704">
        <v>109</v>
      </c>
      <c r="K5704" s="422">
        <v>2023</v>
      </c>
      <c r="L5704">
        <v>12152.9</v>
      </c>
      <c r="M5704" t="s">
        <v>630</v>
      </c>
      <c r="N5704" s="131">
        <v>31415</v>
      </c>
      <c r="O5704" s="436">
        <f t="shared" si="240"/>
        <v>3424235</v>
      </c>
      <c r="Q5704" s="422" t="s">
        <v>47</v>
      </c>
      <c r="R5704" s="422" t="s">
        <v>1869</v>
      </c>
      <c r="S5704" s="422" t="s">
        <v>1861</v>
      </c>
      <c r="T5704" t="s">
        <v>4825</v>
      </c>
      <c r="U5704" s="422" t="s">
        <v>1953</v>
      </c>
      <c r="V5704" s="422" t="s">
        <v>2813</v>
      </c>
    </row>
    <row r="5705" spans="1:22" ht="15.75" thickBot="1" x14ac:dyDescent="0.3">
      <c r="A5705" t="s">
        <v>1910</v>
      </c>
      <c r="B5705" t="s">
        <v>1910</v>
      </c>
      <c r="C5705" s="424" t="str">
        <f t="shared" si="241"/>
        <v>Rodoviária de Lisboa, S.A.</v>
      </c>
      <c r="D5705" t="s">
        <v>629</v>
      </c>
      <c r="F5705" s="422" t="s">
        <v>620</v>
      </c>
      <c r="G5705" s="89">
        <v>2022</v>
      </c>
      <c r="H5705" s="313" t="s">
        <v>5816</v>
      </c>
      <c r="I5705" s="311" t="str">
        <f t="shared" si="239"/>
        <v>Pesado de Passageiros M3:  : Gasóleo : E6 D/E E7</v>
      </c>
      <c r="J5705">
        <v>109</v>
      </c>
      <c r="K5705" s="422">
        <v>2023</v>
      </c>
      <c r="L5705">
        <v>11696.4</v>
      </c>
      <c r="M5705" t="s">
        <v>630</v>
      </c>
      <c r="N5705" s="131">
        <v>30908</v>
      </c>
      <c r="O5705" s="436">
        <f t="shared" si="240"/>
        <v>3368972</v>
      </c>
      <c r="Q5705" s="422" t="s">
        <v>47</v>
      </c>
      <c r="R5705" s="422" t="s">
        <v>1869</v>
      </c>
      <c r="S5705" s="422" t="s">
        <v>1861</v>
      </c>
      <c r="T5705" t="s">
        <v>4825</v>
      </c>
      <c r="U5705" s="422" t="s">
        <v>1953</v>
      </c>
      <c r="V5705" s="422" t="s">
        <v>2813</v>
      </c>
    </row>
    <row r="5706" spans="1:22" ht="15.75" thickBot="1" x14ac:dyDescent="0.3">
      <c r="A5706" t="s">
        <v>1910</v>
      </c>
      <c r="B5706" t="s">
        <v>1910</v>
      </c>
      <c r="C5706" s="424" t="str">
        <f t="shared" si="241"/>
        <v>Rodoviária de Lisboa, S.A.</v>
      </c>
      <c r="D5706" t="s">
        <v>629</v>
      </c>
      <c r="F5706" s="422" t="s">
        <v>620</v>
      </c>
      <c r="G5706" s="89" t="s">
        <v>5261</v>
      </c>
      <c r="H5706" s="313" t="s">
        <v>5816</v>
      </c>
      <c r="I5706" s="311" t="str">
        <f t="shared" si="239"/>
        <v>Pesado de Passageiros M3:  : Gasóleo : E6 D/E E7</v>
      </c>
      <c r="J5706">
        <v>109</v>
      </c>
      <c r="K5706" s="422">
        <v>2023</v>
      </c>
      <c r="L5706">
        <v>18457.900000000001</v>
      </c>
      <c r="M5706" t="s">
        <v>630</v>
      </c>
      <c r="N5706" s="131">
        <v>44196</v>
      </c>
      <c r="O5706" s="436">
        <f t="shared" si="240"/>
        <v>4817364</v>
      </c>
      <c r="Q5706" s="422" t="s">
        <v>47</v>
      </c>
      <c r="R5706" s="422" t="s">
        <v>1869</v>
      </c>
      <c r="S5706" s="422" t="s">
        <v>1861</v>
      </c>
      <c r="T5706" t="s">
        <v>4825</v>
      </c>
      <c r="U5706" s="422" t="s">
        <v>1953</v>
      </c>
      <c r="V5706" s="422" t="s">
        <v>2813</v>
      </c>
    </row>
    <row r="5707" spans="1:22" ht="15.75" thickBot="1" x14ac:dyDescent="0.3">
      <c r="A5707" t="s">
        <v>1910</v>
      </c>
      <c r="B5707" t="s">
        <v>1910</v>
      </c>
      <c r="C5707" s="424" t="str">
        <f t="shared" si="241"/>
        <v>Rodoviária de Lisboa, S.A.</v>
      </c>
      <c r="D5707" t="s">
        <v>629</v>
      </c>
      <c r="F5707" s="422" t="s">
        <v>620</v>
      </c>
      <c r="G5707" s="89">
        <v>2022</v>
      </c>
      <c r="H5707" s="313" t="s">
        <v>5816</v>
      </c>
      <c r="I5707" s="311" t="str">
        <f t="shared" si="239"/>
        <v>Pesado de Passageiros M3:  : Gasóleo : E6 D/E E7</v>
      </c>
      <c r="J5707">
        <v>85</v>
      </c>
      <c r="K5707" s="422">
        <v>2023</v>
      </c>
      <c r="L5707">
        <v>22738.9</v>
      </c>
      <c r="M5707" t="s">
        <v>630</v>
      </c>
      <c r="N5707" s="131">
        <v>55753</v>
      </c>
      <c r="O5707" s="436">
        <f t="shared" si="240"/>
        <v>4739005</v>
      </c>
      <c r="Q5707" s="422" t="s">
        <v>47</v>
      </c>
      <c r="R5707" s="422" t="s">
        <v>1869</v>
      </c>
      <c r="S5707" s="422" t="s">
        <v>1861</v>
      </c>
      <c r="T5707" t="s">
        <v>4825</v>
      </c>
      <c r="U5707" s="422" t="s">
        <v>1953</v>
      </c>
      <c r="V5707" s="422" t="s">
        <v>2813</v>
      </c>
    </row>
    <row r="5708" spans="1:22" ht="15.75" thickBot="1" x14ac:dyDescent="0.3">
      <c r="A5708" t="s">
        <v>1910</v>
      </c>
      <c r="B5708" t="s">
        <v>1910</v>
      </c>
      <c r="C5708" s="424" t="str">
        <f t="shared" si="241"/>
        <v>Rodoviária de Lisboa, S.A.</v>
      </c>
      <c r="D5708" t="s">
        <v>629</v>
      </c>
      <c r="F5708" s="422" t="s">
        <v>620</v>
      </c>
      <c r="G5708" s="89">
        <v>2022</v>
      </c>
      <c r="H5708" s="313" t="s">
        <v>5816</v>
      </c>
      <c r="I5708" s="311" t="str">
        <f t="shared" si="239"/>
        <v>Pesado de Passageiros M3:  : Gasóleo : E6 D/E E7</v>
      </c>
      <c r="J5708">
        <v>109</v>
      </c>
      <c r="K5708" s="422">
        <v>2023</v>
      </c>
      <c r="L5708">
        <v>24506.2</v>
      </c>
      <c r="M5708" t="s">
        <v>630</v>
      </c>
      <c r="N5708" s="131">
        <v>57257</v>
      </c>
      <c r="O5708" s="436">
        <f t="shared" si="240"/>
        <v>6241013</v>
      </c>
      <c r="Q5708" s="422" t="s">
        <v>47</v>
      </c>
      <c r="R5708" s="422" t="s">
        <v>1869</v>
      </c>
      <c r="S5708" s="422" t="s">
        <v>1861</v>
      </c>
      <c r="T5708" t="s">
        <v>4825</v>
      </c>
      <c r="U5708" s="422" t="s">
        <v>1953</v>
      </c>
      <c r="V5708" s="422" t="s">
        <v>2813</v>
      </c>
    </row>
    <row r="5709" spans="1:22" ht="15.75" thickBot="1" x14ac:dyDescent="0.3">
      <c r="A5709" t="s">
        <v>1910</v>
      </c>
      <c r="B5709" t="s">
        <v>1910</v>
      </c>
      <c r="C5709" s="424" t="str">
        <f t="shared" si="241"/>
        <v>Rodoviária de Lisboa, S.A.</v>
      </c>
      <c r="D5709" t="s">
        <v>629</v>
      </c>
      <c r="F5709" s="422" t="s">
        <v>620</v>
      </c>
      <c r="G5709" s="89">
        <v>2022</v>
      </c>
      <c r="H5709" s="313" t="s">
        <v>5816</v>
      </c>
      <c r="I5709" s="311" t="str">
        <f t="shared" si="239"/>
        <v>Pesado de Passageiros M3:  : Gasóleo : E6 D/E E7</v>
      </c>
      <c r="J5709">
        <v>109</v>
      </c>
      <c r="K5709" s="422">
        <v>2023</v>
      </c>
      <c r="L5709">
        <v>16151</v>
      </c>
      <c r="M5709" t="s">
        <v>630</v>
      </c>
      <c r="N5709" s="131">
        <v>37510</v>
      </c>
      <c r="O5709" s="436">
        <f t="shared" si="240"/>
        <v>4088590</v>
      </c>
      <c r="Q5709" s="422" t="s">
        <v>47</v>
      </c>
      <c r="R5709" s="422" t="s">
        <v>1869</v>
      </c>
      <c r="S5709" s="422" t="s">
        <v>1861</v>
      </c>
      <c r="T5709" t="s">
        <v>4825</v>
      </c>
      <c r="U5709" s="422" t="s">
        <v>1953</v>
      </c>
      <c r="V5709" s="422" t="s">
        <v>2813</v>
      </c>
    </row>
    <row r="5710" spans="1:22" ht="15.75" thickBot="1" x14ac:dyDescent="0.3">
      <c r="A5710" t="s">
        <v>1910</v>
      </c>
      <c r="B5710" t="s">
        <v>1910</v>
      </c>
      <c r="C5710" s="424" t="str">
        <f t="shared" si="241"/>
        <v>Rodoviária de Lisboa, S.A.</v>
      </c>
      <c r="D5710" t="s">
        <v>629</v>
      </c>
      <c r="F5710" s="422" t="s">
        <v>620</v>
      </c>
      <c r="G5710" s="89">
        <v>2022</v>
      </c>
      <c r="H5710" s="313" t="s">
        <v>5816</v>
      </c>
      <c r="I5710" s="311" t="str">
        <f t="shared" si="239"/>
        <v>Pesado de Passageiros M3:  : Gasóleo : E6 D/E E7</v>
      </c>
      <c r="J5710">
        <v>85</v>
      </c>
      <c r="K5710" s="422">
        <v>2023</v>
      </c>
      <c r="L5710">
        <v>20460</v>
      </c>
      <c r="M5710" t="s">
        <v>630</v>
      </c>
      <c r="N5710" s="131">
        <v>52290</v>
      </c>
      <c r="O5710" s="436">
        <f t="shared" si="240"/>
        <v>4444650</v>
      </c>
      <c r="Q5710" s="422" t="s">
        <v>47</v>
      </c>
      <c r="R5710" s="422" t="s">
        <v>1869</v>
      </c>
      <c r="S5710" s="422" t="s">
        <v>1861</v>
      </c>
      <c r="T5710" t="s">
        <v>4825</v>
      </c>
      <c r="U5710" s="422" t="s">
        <v>1953</v>
      </c>
      <c r="V5710" s="422" t="s">
        <v>2813</v>
      </c>
    </row>
    <row r="5711" spans="1:22" ht="15.75" thickBot="1" x14ac:dyDescent="0.3">
      <c r="A5711" t="s">
        <v>1910</v>
      </c>
      <c r="B5711" t="s">
        <v>1910</v>
      </c>
      <c r="C5711" s="424" t="str">
        <f t="shared" si="241"/>
        <v>Rodoviária de Lisboa, S.A.</v>
      </c>
      <c r="D5711" t="s">
        <v>629</v>
      </c>
      <c r="F5711" s="422" t="s">
        <v>620</v>
      </c>
      <c r="G5711" s="89">
        <v>2022</v>
      </c>
      <c r="H5711" s="313" t="s">
        <v>5816</v>
      </c>
      <c r="I5711" s="311" t="str">
        <f t="shared" si="239"/>
        <v>Pesado de Passageiros M3:  : Gasóleo : E6 D/E E7</v>
      </c>
      <c r="J5711">
        <v>109</v>
      </c>
      <c r="K5711" s="422">
        <v>2023</v>
      </c>
      <c r="L5711">
        <v>23431.5</v>
      </c>
      <c r="M5711" t="s">
        <v>630</v>
      </c>
      <c r="N5711" s="131">
        <v>58497</v>
      </c>
      <c r="O5711" s="436">
        <f t="shared" si="240"/>
        <v>6376173</v>
      </c>
      <c r="Q5711" s="422" t="s">
        <v>47</v>
      </c>
      <c r="R5711" s="422" t="s">
        <v>1869</v>
      </c>
      <c r="S5711" s="422" t="s">
        <v>1861</v>
      </c>
      <c r="T5711" t="s">
        <v>4825</v>
      </c>
      <c r="U5711" s="422" t="s">
        <v>1953</v>
      </c>
      <c r="V5711" s="422" t="s">
        <v>2813</v>
      </c>
    </row>
    <row r="5712" spans="1:22" ht="15.75" thickBot="1" x14ac:dyDescent="0.3">
      <c r="A5712" t="s">
        <v>1910</v>
      </c>
      <c r="B5712" t="s">
        <v>1910</v>
      </c>
      <c r="C5712" s="424" t="str">
        <f t="shared" si="241"/>
        <v>Rodoviária de Lisboa, S.A.</v>
      </c>
      <c r="D5712" t="s">
        <v>629</v>
      </c>
      <c r="F5712" s="422" t="s">
        <v>620</v>
      </c>
      <c r="G5712" s="89">
        <v>2022</v>
      </c>
      <c r="H5712" s="313" t="s">
        <v>5816</v>
      </c>
      <c r="I5712" s="311" t="str">
        <f t="shared" si="239"/>
        <v>Pesado de Passageiros M3:  : Gasóleo : E6 D/E E7</v>
      </c>
      <c r="J5712">
        <v>85</v>
      </c>
      <c r="K5712" s="422">
        <v>2023</v>
      </c>
      <c r="L5712">
        <v>22283.7</v>
      </c>
      <c r="M5712" t="s">
        <v>630</v>
      </c>
      <c r="N5712" s="131">
        <v>55961</v>
      </c>
      <c r="O5712" s="436">
        <f t="shared" si="240"/>
        <v>4756685</v>
      </c>
      <c r="Q5712" s="422" t="s">
        <v>47</v>
      </c>
      <c r="R5712" s="422" t="s">
        <v>1869</v>
      </c>
      <c r="S5712" s="422" t="s">
        <v>1861</v>
      </c>
      <c r="T5712" t="s">
        <v>4825</v>
      </c>
      <c r="U5712" s="422" t="s">
        <v>1953</v>
      </c>
      <c r="V5712" s="422" t="s">
        <v>2813</v>
      </c>
    </row>
    <row r="5713" spans="1:22" ht="15.75" thickBot="1" x14ac:dyDescent="0.3">
      <c r="A5713" t="s">
        <v>1910</v>
      </c>
      <c r="B5713" t="s">
        <v>1910</v>
      </c>
      <c r="C5713" s="424" t="str">
        <f t="shared" si="241"/>
        <v>Rodoviária de Lisboa, S.A.</v>
      </c>
      <c r="D5713" t="s">
        <v>629</v>
      </c>
      <c r="F5713" s="422" t="s">
        <v>620</v>
      </c>
      <c r="G5713" s="89">
        <v>2022</v>
      </c>
      <c r="H5713" s="313" t="s">
        <v>5816</v>
      </c>
      <c r="I5713" s="311" t="str">
        <f t="shared" si="239"/>
        <v>Pesado de Passageiros M3:  : Gasóleo : E6 D/E E7</v>
      </c>
      <c r="J5713">
        <v>109</v>
      </c>
      <c r="K5713" s="422">
        <v>2023</v>
      </c>
      <c r="L5713">
        <v>25264.5</v>
      </c>
      <c r="M5713" t="s">
        <v>630</v>
      </c>
      <c r="N5713" s="131">
        <v>66832</v>
      </c>
      <c r="O5713" s="436">
        <f t="shared" si="240"/>
        <v>7284688</v>
      </c>
      <c r="Q5713" s="422" t="s">
        <v>47</v>
      </c>
      <c r="R5713" s="422" t="s">
        <v>1869</v>
      </c>
      <c r="S5713" s="422" t="s">
        <v>1861</v>
      </c>
      <c r="T5713" t="s">
        <v>4825</v>
      </c>
      <c r="U5713" s="422" t="s">
        <v>1953</v>
      </c>
      <c r="V5713" s="422" t="s">
        <v>2813</v>
      </c>
    </row>
    <row r="5714" spans="1:22" ht="15.75" thickBot="1" x14ac:dyDescent="0.3">
      <c r="A5714" t="s">
        <v>1910</v>
      </c>
      <c r="B5714" t="s">
        <v>1910</v>
      </c>
      <c r="C5714" s="424" t="str">
        <f t="shared" si="241"/>
        <v>Rodoviária de Lisboa, S.A.</v>
      </c>
      <c r="D5714" t="s">
        <v>629</v>
      </c>
      <c r="F5714" s="422" t="s">
        <v>620</v>
      </c>
      <c r="G5714" s="89">
        <v>2022</v>
      </c>
      <c r="H5714" s="313" t="s">
        <v>5816</v>
      </c>
      <c r="I5714" s="311" t="str">
        <f t="shared" si="239"/>
        <v>Pesado de Passageiros M3:  : Gasóleo : E6 D/E E7</v>
      </c>
      <c r="J5714">
        <v>109</v>
      </c>
      <c r="K5714" s="422">
        <v>2023</v>
      </c>
      <c r="L5714">
        <v>19711</v>
      </c>
      <c r="M5714" t="s">
        <v>630</v>
      </c>
      <c r="N5714" s="131">
        <v>47452</v>
      </c>
      <c r="O5714" s="436">
        <f t="shared" si="240"/>
        <v>5172268</v>
      </c>
      <c r="Q5714" s="422" t="s">
        <v>47</v>
      </c>
      <c r="R5714" s="422" t="s">
        <v>1869</v>
      </c>
      <c r="S5714" s="422" t="s">
        <v>1861</v>
      </c>
      <c r="T5714" t="s">
        <v>4825</v>
      </c>
      <c r="U5714" s="422" t="s">
        <v>1953</v>
      </c>
      <c r="V5714" s="422" t="s">
        <v>2813</v>
      </c>
    </row>
    <row r="5715" spans="1:22" ht="15.75" thickBot="1" x14ac:dyDescent="0.3">
      <c r="A5715" t="s">
        <v>1910</v>
      </c>
      <c r="B5715" t="s">
        <v>1910</v>
      </c>
      <c r="C5715" s="424" t="str">
        <f t="shared" si="241"/>
        <v>Rodoviária de Lisboa, S.A.</v>
      </c>
      <c r="D5715" t="s">
        <v>629</v>
      </c>
      <c r="F5715" s="422" t="s">
        <v>620</v>
      </c>
      <c r="G5715" s="89">
        <v>2022</v>
      </c>
      <c r="H5715" s="313" t="s">
        <v>5816</v>
      </c>
      <c r="I5715" s="311" t="str">
        <f t="shared" si="239"/>
        <v>Pesado de Passageiros M3:  : Gasóleo : E6 D/E E7</v>
      </c>
      <c r="J5715">
        <v>85</v>
      </c>
      <c r="K5715" s="422">
        <v>2023</v>
      </c>
      <c r="L5715">
        <v>21505.5</v>
      </c>
      <c r="M5715" t="s">
        <v>630</v>
      </c>
      <c r="N5715" s="131">
        <v>52613</v>
      </c>
      <c r="O5715" s="436">
        <f t="shared" si="240"/>
        <v>4472105</v>
      </c>
      <c r="Q5715" s="422" t="s">
        <v>47</v>
      </c>
      <c r="R5715" s="422" t="s">
        <v>1869</v>
      </c>
      <c r="S5715" s="422" t="s">
        <v>1861</v>
      </c>
      <c r="T5715" t="s">
        <v>4825</v>
      </c>
      <c r="U5715" s="422" t="s">
        <v>1953</v>
      </c>
      <c r="V5715" s="422" t="s">
        <v>2813</v>
      </c>
    </row>
    <row r="5716" spans="1:22" ht="15.75" thickBot="1" x14ac:dyDescent="0.3">
      <c r="A5716" t="s">
        <v>1910</v>
      </c>
      <c r="B5716" t="s">
        <v>1910</v>
      </c>
      <c r="C5716" s="424" t="str">
        <f t="shared" si="241"/>
        <v>Rodoviária de Lisboa, S.A.</v>
      </c>
      <c r="D5716" t="s">
        <v>629</v>
      </c>
      <c r="F5716" s="422" t="s">
        <v>620</v>
      </c>
      <c r="G5716" s="89">
        <v>2022</v>
      </c>
      <c r="H5716" s="313" t="s">
        <v>5816</v>
      </c>
      <c r="I5716" s="311" t="str">
        <f t="shared" si="239"/>
        <v>Pesado de Passageiros M3:  : Gasóleo : E6 D/E E7</v>
      </c>
      <c r="J5716">
        <v>109</v>
      </c>
      <c r="K5716" s="422">
        <v>2023</v>
      </c>
      <c r="L5716">
        <v>18488.8</v>
      </c>
      <c r="M5716" t="s">
        <v>630</v>
      </c>
      <c r="N5716" s="131">
        <v>44268</v>
      </c>
      <c r="O5716" s="436">
        <f t="shared" si="240"/>
        <v>4825212</v>
      </c>
      <c r="Q5716" s="422" t="s">
        <v>47</v>
      </c>
      <c r="R5716" s="422" t="s">
        <v>1869</v>
      </c>
      <c r="S5716" s="422" t="s">
        <v>1861</v>
      </c>
      <c r="T5716" t="s">
        <v>4825</v>
      </c>
      <c r="U5716" s="422" t="s">
        <v>1953</v>
      </c>
      <c r="V5716" s="422" t="s">
        <v>2813</v>
      </c>
    </row>
    <row r="5717" spans="1:22" ht="15.75" thickBot="1" x14ac:dyDescent="0.3">
      <c r="A5717" t="s">
        <v>1910</v>
      </c>
      <c r="B5717" t="s">
        <v>1910</v>
      </c>
      <c r="C5717" s="424" t="str">
        <f t="shared" si="241"/>
        <v>Rodoviária de Lisboa, S.A.</v>
      </c>
      <c r="D5717" t="s">
        <v>629</v>
      </c>
      <c r="F5717" s="422" t="s">
        <v>620</v>
      </c>
      <c r="G5717" s="89">
        <v>2022</v>
      </c>
      <c r="H5717" s="313" t="s">
        <v>5816</v>
      </c>
      <c r="I5717" s="311" t="str">
        <f t="shared" si="239"/>
        <v>Pesado de Passageiros M3:  : Gasóleo : E6 D/E E7</v>
      </c>
      <c r="J5717">
        <v>85</v>
      </c>
      <c r="K5717" s="422">
        <v>2023</v>
      </c>
      <c r="L5717">
        <v>18835.5</v>
      </c>
      <c r="M5717" t="s">
        <v>630</v>
      </c>
      <c r="N5717" s="131">
        <v>48469</v>
      </c>
      <c r="O5717" s="436">
        <f t="shared" si="240"/>
        <v>4119865</v>
      </c>
      <c r="Q5717" s="422" t="s">
        <v>47</v>
      </c>
      <c r="R5717" s="422" t="s">
        <v>1869</v>
      </c>
      <c r="S5717" s="422" t="s">
        <v>1861</v>
      </c>
      <c r="T5717" t="s">
        <v>4825</v>
      </c>
      <c r="U5717" s="422" t="s">
        <v>1953</v>
      </c>
      <c r="V5717" s="422" t="s">
        <v>2813</v>
      </c>
    </row>
    <row r="5718" spans="1:22" ht="15.75" thickBot="1" x14ac:dyDescent="0.3">
      <c r="A5718" t="s">
        <v>1910</v>
      </c>
      <c r="B5718" t="s">
        <v>1910</v>
      </c>
      <c r="C5718" s="424" t="str">
        <f t="shared" si="241"/>
        <v>Rodoviária de Lisboa, S.A.</v>
      </c>
      <c r="D5718" t="s">
        <v>629</v>
      </c>
      <c r="F5718" s="422" t="s">
        <v>620</v>
      </c>
      <c r="G5718" s="89">
        <v>2022</v>
      </c>
      <c r="H5718" s="313" t="s">
        <v>5816</v>
      </c>
      <c r="I5718" s="311" t="str">
        <f t="shared" si="239"/>
        <v>Pesado de Passageiros M3:  : Gasóleo : E6 D/E E7</v>
      </c>
      <c r="J5718">
        <v>109</v>
      </c>
      <c r="K5718" s="422">
        <v>2023</v>
      </c>
      <c r="L5718">
        <v>22881.5</v>
      </c>
      <c r="M5718" t="s">
        <v>630</v>
      </c>
      <c r="N5718" s="131">
        <v>54481</v>
      </c>
      <c r="O5718" s="436">
        <f t="shared" si="240"/>
        <v>5938429</v>
      </c>
      <c r="Q5718" s="422" t="s">
        <v>47</v>
      </c>
      <c r="R5718" s="422" t="s">
        <v>1869</v>
      </c>
      <c r="S5718" s="422" t="s">
        <v>1861</v>
      </c>
      <c r="T5718" t="s">
        <v>4825</v>
      </c>
      <c r="U5718" s="422" t="s">
        <v>1953</v>
      </c>
      <c r="V5718" s="422" t="s">
        <v>2813</v>
      </c>
    </row>
    <row r="5719" spans="1:22" ht="15.75" thickBot="1" x14ac:dyDescent="0.3">
      <c r="A5719" t="s">
        <v>1910</v>
      </c>
      <c r="B5719" t="s">
        <v>1910</v>
      </c>
      <c r="C5719" s="424" t="str">
        <f t="shared" si="241"/>
        <v>Rodoviária de Lisboa, S.A.</v>
      </c>
      <c r="D5719" t="s">
        <v>629</v>
      </c>
      <c r="F5719" s="422" t="s">
        <v>620</v>
      </c>
      <c r="G5719" s="89">
        <v>2022</v>
      </c>
      <c r="H5719" s="313" t="s">
        <v>5816</v>
      </c>
      <c r="I5719" s="311" t="str">
        <f t="shared" si="239"/>
        <v>Pesado de Passageiros M3:  : Gasóleo : E6 D/E E7</v>
      </c>
      <c r="J5719">
        <v>85</v>
      </c>
      <c r="K5719" s="422">
        <v>2023</v>
      </c>
      <c r="L5719">
        <v>22171.200000000001</v>
      </c>
      <c r="M5719" t="s">
        <v>630</v>
      </c>
      <c r="N5719" s="131">
        <v>55814</v>
      </c>
      <c r="O5719" s="436">
        <f t="shared" si="240"/>
        <v>4744190</v>
      </c>
      <c r="Q5719" s="422" t="s">
        <v>47</v>
      </c>
      <c r="R5719" s="422" t="s">
        <v>1869</v>
      </c>
      <c r="S5719" s="422" t="s">
        <v>1861</v>
      </c>
      <c r="T5719" t="s">
        <v>4825</v>
      </c>
      <c r="U5719" s="422" t="s">
        <v>1953</v>
      </c>
      <c r="V5719" s="422" t="s">
        <v>2813</v>
      </c>
    </row>
    <row r="5720" spans="1:22" ht="15.75" thickBot="1" x14ac:dyDescent="0.3">
      <c r="A5720" t="s">
        <v>1910</v>
      </c>
      <c r="B5720" t="s">
        <v>1910</v>
      </c>
      <c r="C5720" s="424" t="str">
        <f t="shared" si="241"/>
        <v>Rodoviária de Lisboa, S.A.</v>
      </c>
      <c r="D5720" t="s">
        <v>629</v>
      </c>
      <c r="F5720" s="422" t="s">
        <v>620</v>
      </c>
      <c r="G5720" s="89">
        <v>2022</v>
      </c>
      <c r="H5720" s="313" t="s">
        <v>5816</v>
      </c>
      <c r="I5720" s="311" t="str">
        <f t="shared" si="239"/>
        <v>Pesado de Passageiros M3:  : Gasóleo : E6 D/E E7</v>
      </c>
      <c r="J5720">
        <v>109</v>
      </c>
      <c r="K5720" s="422">
        <v>2023</v>
      </c>
      <c r="L5720">
        <v>25355.9</v>
      </c>
      <c r="M5720" t="s">
        <v>630</v>
      </c>
      <c r="N5720" s="131">
        <v>59081</v>
      </c>
      <c r="O5720" s="436">
        <f t="shared" si="240"/>
        <v>6439829</v>
      </c>
      <c r="Q5720" s="422" t="s">
        <v>47</v>
      </c>
      <c r="R5720" s="422" t="s">
        <v>1869</v>
      </c>
      <c r="S5720" s="422" t="s">
        <v>1861</v>
      </c>
      <c r="T5720" t="s">
        <v>4825</v>
      </c>
      <c r="U5720" s="422" t="s">
        <v>1953</v>
      </c>
      <c r="V5720" s="422" t="s">
        <v>2813</v>
      </c>
    </row>
    <row r="5721" spans="1:22" ht="15.75" thickBot="1" x14ac:dyDescent="0.3">
      <c r="A5721" t="s">
        <v>1910</v>
      </c>
      <c r="B5721" t="s">
        <v>1910</v>
      </c>
      <c r="C5721" s="424" t="str">
        <f t="shared" si="241"/>
        <v>Rodoviária de Lisboa, S.A.</v>
      </c>
      <c r="D5721" t="s">
        <v>629</v>
      </c>
      <c r="F5721" s="422" t="s">
        <v>620</v>
      </c>
      <c r="G5721" s="89">
        <v>2022</v>
      </c>
      <c r="H5721" s="313" t="s">
        <v>5816</v>
      </c>
      <c r="I5721" s="311" t="str">
        <f t="shared" si="239"/>
        <v>Pesado de Passageiros M3:  : Gasóleo : E6 D/E E7</v>
      </c>
      <c r="J5721">
        <v>85</v>
      </c>
      <c r="K5721" s="422">
        <v>2023</v>
      </c>
      <c r="L5721">
        <v>19529.599999999999</v>
      </c>
      <c r="M5721" t="s">
        <v>630</v>
      </c>
      <c r="N5721" s="131">
        <v>51183</v>
      </c>
      <c r="O5721" s="436">
        <f t="shared" si="240"/>
        <v>4350555</v>
      </c>
      <c r="Q5721" s="422" t="s">
        <v>47</v>
      </c>
      <c r="R5721" s="422" t="s">
        <v>1869</v>
      </c>
      <c r="S5721" s="422" t="s">
        <v>1861</v>
      </c>
      <c r="T5721" t="s">
        <v>4825</v>
      </c>
      <c r="U5721" s="422" t="s">
        <v>1953</v>
      </c>
      <c r="V5721" s="422" t="s">
        <v>2813</v>
      </c>
    </row>
    <row r="5722" spans="1:22" ht="15.75" thickBot="1" x14ac:dyDescent="0.3">
      <c r="A5722" t="s">
        <v>1910</v>
      </c>
      <c r="B5722" t="s">
        <v>1910</v>
      </c>
      <c r="C5722" s="424" t="str">
        <f t="shared" si="241"/>
        <v>Rodoviária de Lisboa, S.A.</v>
      </c>
      <c r="D5722" t="s">
        <v>629</v>
      </c>
      <c r="F5722" s="422" t="s">
        <v>620</v>
      </c>
      <c r="G5722" s="89">
        <v>2022</v>
      </c>
      <c r="H5722" s="313" t="s">
        <v>5816</v>
      </c>
      <c r="I5722" s="311" t="str">
        <f t="shared" si="239"/>
        <v>Pesado de Passageiros M3:  : Gasóleo : E6 D/E E7</v>
      </c>
      <c r="J5722">
        <v>109</v>
      </c>
      <c r="K5722" s="422">
        <v>2023</v>
      </c>
      <c r="L5722">
        <v>31844.6</v>
      </c>
      <c r="M5722" t="s">
        <v>630</v>
      </c>
      <c r="N5722" s="131">
        <v>87318</v>
      </c>
      <c r="O5722" s="436">
        <f t="shared" si="240"/>
        <v>9517662</v>
      </c>
      <c r="Q5722" s="422" t="s">
        <v>47</v>
      </c>
      <c r="R5722" s="422" t="s">
        <v>1869</v>
      </c>
      <c r="S5722" s="422" t="s">
        <v>1861</v>
      </c>
      <c r="T5722" t="s">
        <v>4825</v>
      </c>
      <c r="U5722" s="422" t="s">
        <v>1953</v>
      </c>
      <c r="V5722" s="422" t="s">
        <v>2813</v>
      </c>
    </row>
    <row r="5723" spans="1:22" ht="15.75" thickBot="1" x14ac:dyDescent="0.3">
      <c r="A5723" t="s">
        <v>1910</v>
      </c>
      <c r="B5723" t="s">
        <v>1910</v>
      </c>
      <c r="C5723" s="424" t="str">
        <f t="shared" si="241"/>
        <v>Rodoviária de Lisboa, S.A.</v>
      </c>
      <c r="D5723" t="s">
        <v>629</v>
      </c>
      <c r="F5723" s="422" t="s">
        <v>620</v>
      </c>
      <c r="G5723" s="89">
        <v>2022</v>
      </c>
      <c r="H5723" s="313" t="s">
        <v>5816</v>
      </c>
      <c r="I5723" s="311" t="str">
        <f t="shared" si="239"/>
        <v>Pesado de Passageiros M3:  : Gasóleo : E6 D/E E7</v>
      </c>
      <c r="J5723">
        <v>85</v>
      </c>
      <c r="K5723" s="422">
        <v>2023</v>
      </c>
      <c r="L5723">
        <v>18102.7</v>
      </c>
      <c r="M5723" t="s">
        <v>630</v>
      </c>
      <c r="N5723" s="131">
        <v>47169</v>
      </c>
      <c r="O5723" s="436">
        <f t="shared" si="240"/>
        <v>4009365</v>
      </c>
      <c r="Q5723" s="422" t="s">
        <v>47</v>
      </c>
      <c r="R5723" s="422" t="s">
        <v>1869</v>
      </c>
      <c r="S5723" s="422" t="s">
        <v>1861</v>
      </c>
      <c r="T5723" t="s">
        <v>4825</v>
      </c>
      <c r="U5723" s="422" t="s">
        <v>1953</v>
      </c>
      <c r="V5723" s="422" t="s">
        <v>2813</v>
      </c>
    </row>
    <row r="5724" spans="1:22" ht="15.75" thickBot="1" x14ac:dyDescent="0.3">
      <c r="A5724" t="s">
        <v>1910</v>
      </c>
      <c r="B5724" t="s">
        <v>1910</v>
      </c>
      <c r="C5724" s="424" t="str">
        <f t="shared" si="241"/>
        <v>Rodoviária de Lisboa, S.A.</v>
      </c>
      <c r="D5724" t="s">
        <v>629</v>
      </c>
      <c r="F5724" s="422" t="s">
        <v>620</v>
      </c>
      <c r="G5724" s="89">
        <v>2022</v>
      </c>
      <c r="H5724" s="313" t="s">
        <v>5816</v>
      </c>
      <c r="I5724" s="311" t="str">
        <f t="shared" si="239"/>
        <v>Pesado de Passageiros M3:  : Gasóleo : E6 D/E E7</v>
      </c>
      <c r="J5724">
        <v>109</v>
      </c>
      <c r="K5724" s="422">
        <v>2023</v>
      </c>
      <c r="L5724">
        <v>20631.2</v>
      </c>
      <c r="M5724" t="s">
        <v>630</v>
      </c>
      <c r="N5724" s="131">
        <v>47572</v>
      </c>
      <c r="O5724" s="436">
        <f t="shared" si="240"/>
        <v>5185348</v>
      </c>
      <c r="Q5724" s="422" t="s">
        <v>47</v>
      </c>
      <c r="R5724" s="422" t="s">
        <v>1869</v>
      </c>
      <c r="S5724" s="422" t="s">
        <v>1861</v>
      </c>
      <c r="T5724" t="s">
        <v>4825</v>
      </c>
      <c r="U5724" s="422" t="s">
        <v>1953</v>
      </c>
      <c r="V5724" s="422" t="s">
        <v>2813</v>
      </c>
    </row>
    <row r="5725" spans="1:22" ht="15.75" thickBot="1" x14ac:dyDescent="0.3">
      <c r="A5725" t="s">
        <v>1910</v>
      </c>
      <c r="B5725" t="s">
        <v>1910</v>
      </c>
      <c r="C5725" s="424" t="str">
        <f t="shared" si="241"/>
        <v>Rodoviária de Lisboa, S.A.</v>
      </c>
      <c r="D5725" t="s">
        <v>629</v>
      </c>
      <c r="F5725" s="422" t="s">
        <v>620</v>
      </c>
      <c r="G5725" s="89">
        <v>2022</v>
      </c>
      <c r="H5725" s="313" t="s">
        <v>5816</v>
      </c>
      <c r="I5725" s="311" t="str">
        <f t="shared" si="239"/>
        <v>Pesado de Passageiros M3:  : Gasóleo : E6 D/E E7</v>
      </c>
      <c r="J5725">
        <v>109</v>
      </c>
      <c r="K5725" s="422">
        <v>2023</v>
      </c>
      <c r="L5725">
        <v>20846.400000000001</v>
      </c>
      <c r="M5725" t="s">
        <v>630</v>
      </c>
      <c r="N5725" s="131">
        <v>55443</v>
      </c>
      <c r="O5725" s="436">
        <f t="shared" si="240"/>
        <v>6043287</v>
      </c>
      <c r="Q5725" s="422" t="s">
        <v>47</v>
      </c>
      <c r="R5725" s="422" t="s">
        <v>1869</v>
      </c>
      <c r="S5725" s="422" t="s">
        <v>1861</v>
      </c>
      <c r="T5725" t="s">
        <v>4825</v>
      </c>
      <c r="U5725" s="422" t="s">
        <v>1953</v>
      </c>
      <c r="V5725" s="422" t="s">
        <v>2813</v>
      </c>
    </row>
    <row r="5726" spans="1:22" ht="15.75" thickBot="1" x14ac:dyDescent="0.3">
      <c r="A5726" t="s">
        <v>1910</v>
      </c>
      <c r="B5726" t="s">
        <v>1910</v>
      </c>
      <c r="C5726" s="424" t="str">
        <f t="shared" si="241"/>
        <v>Rodoviária de Lisboa, S.A.</v>
      </c>
      <c r="D5726" t="s">
        <v>629</v>
      </c>
      <c r="F5726" s="422" t="s">
        <v>620</v>
      </c>
      <c r="G5726" s="89">
        <v>2022</v>
      </c>
      <c r="H5726" s="313" t="s">
        <v>5816</v>
      </c>
      <c r="I5726" s="311" t="str">
        <f t="shared" si="239"/>
        <v>Pesado de Passageiros M3:  : Gasóleo : E6 D/E E7</v>
      </c>
      <c r="J5726">
        <v>37</v>
      </c>
      <c r="K5726" s="422">
        <v>2023</v>
      </c>
      <c r="L5726">
        <v>9953.2000000000007</v>
      </c>
      <c r="M5726" t="s">
        <v>630</v>
      </c>
      <c r="N5726" s="131">
        <v>47930</v>
      </c>
      <c r="O5726" s="436">
        <f t="shared" si="240"/>
        <v>1773410</v>
      </c>
      <c r="Q5726" s="422" t="s">
        <v>47</v>
      </c>
      <c r="R5726" s="422" t="s">
        <v>1869</v>
      </c>
      <c r="S5726" s="422" t="s">
        <v>1861</v>
      </c>
      <c r="T5726" t="s">
        <v>4825</v>
      </c>
      <c r="U5726" s="422" t="s">
        <v>1953</v>
      </c>
      <c r="V5726" s="422" t="s">
        <v>2813</v>
      </c>
    </row>
    <row r="5727" spans="1:22" ht="15.75" thickBot="1" x14ac:dyDescent="0.3">
      <c r="A5727" t="s">
        <v>1910</v>
      </c>
      <c r="B5727" t="s">
        <v>1910</v>
      </c>
      <c r="C5727" s="424" t="str">
        <f t="shared" si="241"/>
        <v>Rodoviária de Lisboa, S.A.</v>
      </c>
      <c r="D5727" t="s">
        <v>629</v>
      </c>
      <c r="F5727" s="422" t="s">
        <v>620</v>
      </c>
      <c r="G5727" s="89">
        <v>2022</v>
      </c>
      <c r="H5727" s="313" t="s">
        <v>5816</v>
      </c>
      <c r="I5727" s="311" t="str">
        <f t="shared" si="239"/>
        <v>Pesado de Passageiros M3:  : Gasóleo : E6 D/E E7</v>
      </c>
      <c r="J5727">
        <v>85</v>
      </c>
      <c r="K5727" s="422">
        <v>2023</v>
      </c>
      <c r="L5727">
        <v>20094.400000000001</v>
      </c>
      <c r="M5727" t="s">
        <v>630</v>
      </c>
      <c r="N5727" s="131">
        <v>49689</v>
      </c>
      <c r="O5727" s="436">
        <f t="shared" si="240"/>
        <v>4223565</v>
      </c>
      <c r="Q5727" s="422" t="s">
        <v>47</v>
      </c>
      <c r="R5727" s="422" t="s">
        <v>1869</v>
      </c>
      <c r="S5727" s="422" t="s">
        <v>1861</v>
      </c>
      <c r="T5727" t="s">
        <v>4825</v>
      </c>
      <c r="U5727" s="422" t="s">
        <v>1953</v>
      </c>
      <c r="V5727" s="422" t="s">
        <v>2813</v>
      </c>
    </row>
    <row r="5728" spans="1:22" ht="15.75" thickBot="1" x14ac:dyDescent="0.3">
      <c r="A5728" t="s">
        <v>1910</v>
      </c>
      <c r="B5728" t="s">
        <v>1910</v>
      </c>
      <c r="C5728" s="424" t="str">
        <f t="shared" si="241"/>
        <v>Rodoviária de Lisboa, S.A.</v>
      </c>
      <c r="D5728" t="s">
        <v>629</v>
      </c>
      <c r="F5728" s="422" t="s">
        <v>620</v>
      </c>
      <c r="G5728" s="89">
        <v>2022</v>
      </c>
      <c r="H5728" s="313" t="s">
        <v>5816</v>
      </c>
      <c r="I5728" s="311" t="str">
        <f t="shared" si="239"/>
        <v>Pesado de Passageiros M3:  : Gasóleo : E6 D/E E7</v>
      </c>
      <c r="J5728">
        <v>85</v>
      </c>
      <c r="K5728" s="422">
        <v>2023</v>
      </c>
      <c r="L5728">
        <v>19392.400000000001</v>
      </c>
      <c r="M5728" t="s">
        <v>630</v>
      </c>
      <c r="N5728" s="131">
        <v>51078</v>
      </c>
      <c r="O5728" s="436">
        <f t="shared" si="240"/>
        <v>4341630</v>
      </c>
      <c r="Q5728" s="422" t="s">
        <v>47</v>
      </c>
      <c r="R5728" s="422" t="s">
        <v>1869</v>
      </c>
      <c r="S5728" s="422" t="s">
        <v>1861</v>
      </c>
      <c r="T5728" t="s">
        <v>4825</v>
      </c>
      <c r="U5728" s="422" t="s">
        <v>1953</v>
      </c>
      <c r="V5728" s="422" t="s">
        <v>2813</v>
      </c>
    </row>
    <row r="5729" spans="1:22" ht="15.75" thickBot="1" x14ac:dyDescent="0.3">
      <c r="A5729" t="s">
        <v>1910</v>
      </c>
      <c r="B5729" t="s">
        <v>1910</v>
      </c>
      <c r="C5729" s="424" t="str">
        <f t="shared" si="241"/>
        <v>Rodoviária de Lisboa, S.A.</v>
      </c>
      <c r="D5729" t="s">
        <v>629</v>
      </c>
      <c r="F5729" s="422" t="s">
        <v>620</v>
      </c>
      <c r="G5729" s="89">
        <v>2022</v>
      </c>
      <c r="H5729" s="313" t="s">
        <v>5816</v>
      </c>
      <c r="I5729" s="311" t="str">
        <f t="shared" si="239"/>
        <v>Pesado de Passageiros M3:  : Gasóleo : E6 D/E E7</v>
      </c>
      <c r="J5729">
        <v>85</v>
      </c>
      <c r="K5729" s="422">
        <v>2023</v>
      </c>
      <c r="L5729">
        <v>17043.599999999999</v>
      </c>
      <c r="M5729" t="s">
        <v>630</v>
      </c>
      <c r="N5729" s="131">
        <v>45390</v>
      </c>
      <c r="O5729" s="436">
        <f t="shared" si="240"/>
        <v>3858150</v>
      </c>
      <c r="Q5729" s="422" t="s">
        <v>47</v>
      </c>
      <c r="R5729" s="422" t="s">
        <v>1869</v>
      </c>
      <c r="S5729" s="422" t="s">
        <v>1861</v>
      </c>
      <c r="T5729" t="s">
        <v>4825</v>
      </c>
      <c r="U5729" s="422" t="s">
        <v>1953</v>
      </c>
      <c r="V5729" s="422" t="s">
        <v>2813</v>
      </c>
    </row>
    <row r="5730" spans="1:22" ht="15.75" thickBot="1" x14ac:dyDescent="0.3">
      <c r="A5730" t="s">
        <v>1910</v>
      </c>
      <c r="B5730" t="s">
        <v>1910</v>
      </c>
      <c r="C5730" s="424" t="str">
        <f t="shared" si="241"/>
        <v>Rodoviária de Lisboa, S.A.</v>
      </c>
      <c r="D5730" t="s">
        <v>629</v>
      </c>
      <c r="F5730" s="422" t="s">
        <v>620</v>
      </c>
      <c r="G5730" s="89">
        <v>2022</v>
      </c>
      <c r="H5730" s="313" t="s">
        <v>5816</v>
      </c>
      <c r="I5730" s="311" t="str">
        <f t="shared" ref="I5730:I5793" si="242">D5730&amp;": "&amp;E5730&amp;" : "&amp;F5730&amp;" : "&amp;H5730</f>
        <v>Pesado de Passageiros M3:  : Gasóleo : E6 D/E E7</v>
      </c>
      <c r="J5730">
        <v>109</v>
      </c>
      <c r="K5730" s="422">
        <v>2023</v>
      </c>
      <c r="L5730">
        <v>19006.5</v>
      </c>
      <c r="M5730" t="s">
        <v>630</v>
      </c>
      <c r="N5730" s="131">
        <v>43252</v>
      </c>
      <c r="O5730" s="436">
        <f t="shared" ref="O5730:O5793" si="243">N5730*J5730</f>
        <v>4714468</v>
      </c>
      <c r="Q5730" s="422" t="s">
        <v>47</v>
      </c>
      <c r="R5730" s="422" t="s">
        <v>1869</v>
      </c>
      <c r="S5730" s="422" t="s">
        <v>1861</v>
      </c>
      <c r="T5730" t="s">
        <v>4825</v>
      </c>
      <c r="U5730" s="422" t="s">
        <v>1953</v>
      </c>
      <c r="V5730" s="422" t="s">
        <v>2813</v>
      </c>
    </row>
    <row r="5731" spans="1:22" ht="15.75" thickBot="1" x14ac:dyDescent="0.3">
      <c r="A5731" t="s">
        <v>1910</v>
      </c>
      <c r="B5731" t="s">
        <v>1910</v>
      </c>
      <c r="C5731" s="424" t="str">
        <f t="shared" si="241"/>
        <v>Rodoviária de Lisboa, S.A.</v>
      </c>
      <c r="D5731" t="s">
        <v>629</v>
      </c>
      <c r="F5731" s="422" t="s">
        <v>620</v>
      </c>
      <c r="G5731" s="89">
        <v>2022</v>
      </c>
      <c r="H5731" s="313" t="s">
        <v>5816</v>
      </c>
      <c r="I5731" s="311" t="str">
        <f t="shared" si="242"/>
        <v>Pesado de Passageiros M3:  : Gasóleo : E6 D/E E7</v>
      </c>
      <c r="J5731">
        <v>85</v>
      </c>
      <c r="K5731" s="422">
        <v>2023</v>
      </c>
      <c r="L5731">
        <v>20224.599999999999</v>
      </c>
      <c r="M5731" t="s">
        <v>630</v>
      </c>
      <c r="N5731" s="131">
        <v>50890</v>
      </c>
      <c r="O5731" s="436">
        <f t="shared" si="243"/>
        <v>4325650</v>
      </c>
      <c r="Q5731" s="422" t="s">
        <v>47</v>
      </c>
      <c r="R5731" s="422" t="s">
        <v>1869</v>
      </c>
      <c r="S5731" s="422" t="s">
        <v>1861</v>
      </c>
      <c r="T5731" t="s">
        <v>4825</v>
      </c>
      <c r="U5731" s="422" t="s">
        <v>1953</v>
      </c>
      <c r="V5731" s="422" t="s">
        <v>2813</v>
      </c>
    </row>
    <row r="5732" spans="1:22" ht="15.75" thickBot="1" x14ac:dyDescent="0.3">
      <c r="A5732" t="s">
        <v>1910</v>
      </c>
      <c r="B5732" t="s">
        <v>1910</v>
      </c>
      <c r="C5732" s="424" t="str">
        <f t="shared" si="241"/>
        <v>Rodoviária de Lisboa, S.A.</v>
      </c>
      <c r="D5732" t="s">
        <v>629</v>
      </c>
      <c r="F5732" s="422" t="s">
        <v>620</v>
      </c>
      <c r="G5732" s="89">
        <v>2022</v>
      </c>
      <c r="H5732" s="313" t="s">
        <v>5816</v>
      </c>
      <c r="I5732" s="311" t="str">
        <f t="shared" si="242"/>
        <v>Pesado de Passageiros M3:  : Gasóleo : E6 D/E E7</v>
      </c>
      <c r="J5732">
        <v>109</v>
      </c>
      <c r="K5732" s="422">
        <v>2023</v>
      </c>
      <c r="L5732">
        <v>25619.200000000001</v>
      </c>
      <c r="M5732" t="s">
        <v>630</v>
      </c>
      <c r="N5732" s="131">
        <v>60137</v>
      </c>
      <c r="O5732" s="436">
        <f t="shared" si="243"/>
        <v>6554933</v>
      </c>
      <c r="Q5732" s="422" t="s">
        <v>47</v>
      </c>
      <c r="R5732" s="422" t="s">
        <v>1869</v>
      </c>
      <c r="S5732" s="422" t="s">
        <v>1861</v>
      </c>
      <c r="T5732" t="s">
        <v>4825</v>
      </c>
      <c r="U5732" s="422" t="s">
        <v>1953</v>
      </c>
      <c r="V5732" s="422" t="s">
        <v>2813</v>
      </c>
    </row>
    <row r="5733" spans="1:22" ht="15.75" thickBot="1" x14ac:dyDescent="0.3">
      <c r="A5733" t="s">
        <v>1910</v>
      </c>
      <c r="B5733" t="s">
        <v>1910</v>
      </c>
      <c r="C5733" s="424" t="str">
        <f t="shared" si="241"/>
        <v>Rodoviária de Lisboa, S.A.</v>
      </c>
      <c r="D5733" t="s">
        <v>629</v>
      </c>
      <c r="F5733" s="422" t="s">
        <v>620</v>
      </c>
      <c r="G5733" s="89">
        <v>2022</v>
      </c>
      <c r="H5733" s="313" t="s">
        <v>5816</v>
      </c>
      <c r="I5733" s="311" t="str">
        <f t="shared" si="242"/>
        <v>Pesado de Passageiros M3:  : Gasóleo : E6 D/E E7</v>
      </c>
      <c r="J5733">
        <v>37</v>
      </c>
      <c r="K5733" s="422">
        <v>2023</v>
      </c>
      <c r="L5733">
        <v>11935.6</v>
      </c>
      <c r="M5733" t="s">
        <v>630</v>
      </c>
      <c r="N5733" s="131">
        <v>52721</v>
      </c>
      <c r="O5733" s="436">
        <f t="shared" si="243"/>
        <v>1950677</v>
      </c>
      <c r="Q5733" s="422" t="s">
        <v>47</v>
      </c>
      <c r="R5733" s="422" t="s">
        <v>1869</v>
      </c>
      <c r="S5733" s="422" t="s">
        <v>1861</v>
      </c>
      <c r="T5733" t="s">
        <v>4825</v>
      </c>
      <c r="U5733" s="422" t="s">
        <v>1953</v>
      </c>
      <c r="V5733" s="422" t="s">
        <v>2813</v>
      </c>
    </row>
    <row r="5734" spans="1:22" ht="15.75" thickBot="1" x14ac:dyDescent="0.3">
      <c r="A5734" t="s">
        <v>1910</v>
      </c>
      <c r="B5734" t="s">
        <v>1910</v>
      </c>
      <c r="C5734" s="424" t="str">
        <f t="shared" si="241"/>
        <v>Rodoviária de Lisboa, S.A.</v>
      </c>
      <c r="D5734" t="s">
        <v>629</v>
      </c>
      <c r="F5734" s="422" t="s">
        <v>620</v>
      </c>
      <c r="G5734" s="89">
        <v>2022</v>
      </c>
      <c r="H5734" s="313" t="s">
        <v>5816</v>
      </c>
      <c r="I5734" s="311" t="str">
        <f t="shared" si="242"/>
        <v>Pesado de Passageiros M3:  : Gasóleo : E6 D/E E7</v>
      </c>
      <c r="J5734">
        <v>85</v>
      </c>
      <c r="K5734" s="422">
        <v>2023</v>
      </c>
      <c r="L5734">
        <v>31693.1</v>
      </c>
      <c r="M5734" t="s">
        <v>630</v>
      </c>
      <c r="N5734" s="131">
        <v>71976</v>
      </c>
      <c r="O5734" s="436">
        <f t="shared" si="243"/>
        <v>6117960</v>
      </c>
      <c r="Q5734" s="422" t="s">
        <v>47</v>
      </c>
      <c r="R5734" s="422" t="s">
        <v>1869</v>
      </c>
      <c r="S5734" s="422" t="s">
        <v>1861</v>
      </c>
      <c r="T5734" t="s">
        <v>4825</v>
      </c>
      <c r="U5734" s="422" t="s">
        <v>1953</v>
      </c>
      <c r="V5734" s="422" t="s">
        <v>2813</v>
      </c>
    </row>
    <row r="5735" spans="1:22" ht="15.75" thickBot="1" x14ac:dyDescent="0.3">
      <c r="A5735" t="s">
        <v>1910</v>
      </c>
      <c r="B5735" t="s">
        <v>1910</v>
      </c>
      <c r="C5735" s="424" t="str">
        <f t="shared" si="241"/>
        <v>Rodoviária de Lisboa, S.A.</v>
      </c>
      <c r="D5735" t="s">
        <v>629</v>
      </c>
      <c r="F5735" s="422" t="s">
        <v>620</v>
      </c>
      <c r="G5735" s="89">
        <v>2022</v>
      </c>
      <c r="H5735" s="313" t="s">
        <v>5816</v>
      </c>
      <c r="I5735" s="311" t="str">
        <f t="shared" si="242"/>
        <v>Pesado de Passageiros M3:  : Gasóleo : E6 D/E E7</v>
      </c>
      <c r="J5735">
        <v>37</v>
      </c>
      <c r="K5735" s="422">
        <v>2023</v>
      </c>
      <c r="L5735">
        <v>9725</v>
      </c>
      <c r="M5735" t="s">
        <v>630</v>
      </c>
      <c r="N5735" s="131">
        <v>44827</v>
      </c>
      <c r="O5735" s="436">
        <f t="shared" si="243"/>
        <v>1658599</v>
      </c>
      <c r="Q5735" s="422" t="s">
        <v>47</v>
      </c>
      <c r="R5735" s="422" t="s">
        <v>1869</v>
      </c>
      <c r="S5735" s="422" t="s">
        <v>1861</v>
      </c>
      <c r="T5735" t="s">
        <v>4825</v>
      </c>
      <c r="U5735" s="422" t="s">
        <v>1953</v>
      </c>
      <c r="V5735" s="422" t="s">
        <v>2813</v>
      </c>
    </row>
    <row r="5736" spans="1:22" ht="15.75" thickBot="1" x14ac:dyDescent="0.3">
      <c r="A5736" t="s">
        <v>1910</v>
      </c>
      <c r="B5736" t="s">
        <v>1910</v>
      </c>
      <c r="C5736" s="424" t="str">
        <f t="shared" si="241"/>
        <v>Rodoviária de Lisboa, S.A.</v>
      </c>
      <c r="D5736" t="s">
        <v>629</v>
      </c>
      <c r="F5736" s="422" t="s">
        <v>620</v>
      </c>
      <c r="G5736" s="89">
        <v>2022</v>
      </c>
      <c r="H5736" s="313" t="s">
        <v>5816</v>
      </c>
      <c r="I5736" s="311" t="str">
        <f t="shared" si="242"/>
        <v>Pesado de Passageiros M3:  : Gasóleo : E6 D/E E7</v>
      </c>
      <c r="J5736">
        <v>85</v>
      </c>
      <c r="K5736" s="422">
        <v>2023</v>
      </c>
      <c r="L5736">
        <v>27449.7</v>
      </c>
      <c r="M5736" t="s">
        <v>630</v>
      </c>
      <c r="N5736" s="131">
        <v>61434</v>
      </c>
      <c r="O5736" s="436">
        <f t="shared" si="243"/>
        <v>5221890</v>
      </c>
      <c r="Q5736" s="422" t="s">
        <v>47</v>
      </c>
      <c r="R5736" s="422" t="s">
        <v>1869</v>
      </c>
      <c r="S5736" s="422" t="s">
        <v>1861</v>
      </c>
      <c r="T5736" t="s">
        <v>4825</v>
      </c>
      <c r="U5736" s="422" t="s">
        <v>1953</v>
      </c>
      <c r="V5736" s="422" t="s">
        <v>2813</v>
      </c>
    </row>
    <row r="5737" spans="1:22" ht="15.75" thickBot="1" x14ac:dyDescent="0.3">
      <c r="A5737" t="s">
        <v>1910</v>
      </c>
      <c r="B5737" t="s">
        <v>1910</v>
      </c>
      <c r="C5737" s="424" t="str">
        <f t="shared" si="241"/>
        <v>Rodoviária de Lisboa, S.A.</v>
      </c>
      <c r="D5737" t="s">
        <v>629</v>
      </c>
      <c r="F5737" s="422" t="s">
        <v>620</v>
      </c>
      <c r="G5737" s="89">
        <v>2022</v>
      </c>
      <c r="H5737" s="313" t="s">
        <v>5816</v>
      </c>
      <c r="I5737" s="311" t="str">
        <f t="shared" si="242"/>
        <v>Pesado de Passageiros M3:  : Gasóleo : E6 D/E E7</v>
      </c>
      <c r="J5737">
        <v>85</v>
      </c>
      <c r="K5737" s="422">
        <v>2023</v>
      </c>
      <c r="L5737">
        <v>29820.799999999999</v>
      </c>
      <c r="M5737" t="s">
        <v>630</v>
      </c>
      <c r="N5737" s="131">
        <v>68604</v>
      </c>
      <c r="O5737" s="436">
        <f t="shared" si="243"/>
        <v>5831340</v>
      </c>
      <c r="Q5737" s="422" t="s">
        <v>47</v>
      </c>
      <c r="R5737" s="422" t="s">
        <v>1869</v>
      </c>
      <c r="S5737" s="422" t="s">
        <v>1861</v>
      </c>
      <c r="T5737" t="s">
        <v>4825</v>
      </c>
      <c r="U5737" s="422" t="s">
        <v>1953</v>
      </c>
      <c r="V5737" s="422" t="s">
        <v>2813</v>
      </c>
    </row>
    <row r="5738" spans="1:22" ht="15.75" thickBot="1" x14ac:dyDescent="0.3">
      <c r="A5738" t="s">
        <v>1910</v>
      </c>
      <c r="B5738" t="s">
        <v>1910</v>
      </c>
      <c r="C5738" s="424" t="str">
        <f t="shared" si="241"/>
        <v>Rodoviária de Lisboa, S.A.</v>
      </c>
      <c r="D5738" t="s">
        <v>629</v>
      </c>
      <c r="F5738" s="422" t="s">
        <v>620</v>
      </c>
      <c r="G5738" s="89">
        <v>2022</v>
      </c>
      <c r="H5738" s="313" t="s">
        <v>5816</v>
      </c>
      <c r="I5738" s="311" t="str">
        <f t="shared" si="242"/>
        <v>Pesado de Passageiros M3:  : Gasóleo : E6 D/E E7</v>
      </c>
      <c r="J5738">
        <v>109</v>
      </c>
      <c r="K5738" s="422">
        <v>2023</v>
      </c>
      <c r="L5738">
        <v>18392.400000000001</v>
      </c>
      <c r="M5738" t="s">
        <v>630</v>
      </c>
      <c r="N5738" s="131">
        <v>49218</v>
      </c>
      <c r="O5738" s="436">
        <f t="shared" si="243"/>
        <v>5364762</v>
      </c>
      <c r="Q5738" s="422" t="s">
        <v>47</v>
      </c>
      <c r="R5738" s="422" t="s">
        <v>1869</v>
      </c>
      <c r="S5738" s="422" t="s">
        <v>1861</v>
      </c>
      <c r="T5738" t="s">
        <v>4825</v>
      </c>
      <c r="U5738" s="422" t="s">
        <v>1953</v>
      </c>
      <c r="V5738" s="422" t="s">
        <v>2813</v>
      </c>
    </row>
    <row r="5739" spans="1:22" ht="15.75" thickBot="1" x14ac:dyDescent="0.3">
      <c r="A5739" t="s">
        <v>1910</v>
      </c>
      <c r="B5739" t="s">
        <v>1910</v>
      </c>
      <c r="C5739" s="424" t="str">
        <f t="shared" si="241"/>
        <v>Rodoviária de Lisboa, S.A.</v>
      </c>
      <c r="D5739" t="s">
        <v>629</v>
      </c>
      <c r="F5739" s="422" t="s">
        <v>620</v>
      </c>
      <c r="G5739" s="89">
        <v>2022</v>
      </c>
      <c r="H5739" s="313" t="s">
        <v>5816</v>
      </c>
      <c r="I5739" s="311" t="str">
        <f t="shared" si="242"/>
        <v>Pesado de Passageiros M3:  : Gasóleo : E6 D/E E7</v>
      </c>
      <c r="J5739">
        <v>37</v>
      </c>
      <c r="K5739" s="422">
        <v>2023</v>
      </c>
      <c r="L5739">
        <v>12321.7</v>
      </c>
      <c r="M5739" t="s">
        <v>630</v>
      </c>
      <c r="N5739" s="131">
        <v>52315</v>
      </c>
      <c r="O5739" s="436">
        <f t="shared" si="243"/>
        <v>1935655</v>
      </c>
      <c r="Q5739" s="422" t="s">
        <v>47</v>
      </c>
      <c r="R5739" s="422" t="s">
        <v>1869</v>
      </c>
      <c r="S5739" s="422" t="s">
        <v>1861</v>
      </c>
      <c r="T5739" t="s">
        <v>4825</v>
      </c>
      <c r="U5739" s="422" t="s">
        <v>1953</v>
      </c>
      <c r="V5739" s="422" t="s">
        <v>2813</v>
      </c>
    </row>
    <row r="5740" spans="1:22" ht="15.75" thickBot="1" x14ac:dyDescent="0.3">
      <c r="A5740" t="s">
        <v>1910</v>
      </c>
      <c r="B5740" t="s">
        <v>1910</v>
      </c>
      <c r="C5740" s="424" t="str">
        <f t="shared" si="241"/>
        <v>Rodoviária de Lisboa, S.A.</v>
      </c>
      <c r="D5740" t="s">
        <v>629</v>
      </c>
      <c r="F5740" s="422" t="s">
        <v>620</v>
      </c>
      <c r="G5740" s="89">
        <v>2022</v>
      </c>
      <c r="H5740" s="313" t="s">
        <v>5816</v>
      </c>
      <c r="I5740" s="311" t="str">
        <f t="shared" si="242"/>
        <v>Pesado de Passageiros M3:  : Gasóleo : E6 D/E E7</v>
      </c>
      <c r="J5740">
        <v>89</v>
      </c>
      <c r="K5740" s="422">
        <v>2023</v>
      </c>
      <c r="L5740">
        <v>23118.400000000001</v>
      </c>
      <c r="M5740" t="s">
        <v>630</v>
      </c>
      <c r="N5740" s="131">
        <v>65756</v>
      </c>
      <c r="O5740" s="436">
        <f t="shared" si="243"/>
        <v>5852284</v>
      </c>
      <c r="Q5740" s="422" t="s">
        <v>47</v>
      </c>
      <c r="R5740" s="422" t="s">
        <v>1869</v>
      </c>
      <c r="S5740" s="422" t="s">
        <v>1861</v>
      </c>
      <c r="T5740" t="s">
        <v>4825</v>
      </c>
      <c r="U5740" s="422" t="s">
        <v>1953</v>
      </c>
      <c r="V5740" s="422" t="s">
        <v>2813</v>
      </c>
    </row>
    <row r="5741" spans="1:22" ht="15.75" thickBot="1" x14ac:dyDescent="0.3">
      <c r="A5741" t="s">
        <v>1910</v>
      </c>
      <c r="B5741" t="s">
        <v>1910</v>
      </c>
      <c r="C5741" s="424" t="str">
        <f t="shared" si="241"/>
        <v>Rodoviária de Lisboa, S.A.</v>
      </c>
      <c r="D5741" t="s">
        <v>629</v>
      </c>
      <c r="F5741" s="422" t="s">
        <v>620</v>
      </c>
      <c r="G5741" s="89">
        <v>2022</v>
      </c>
      <c r="H5741" s="313" t="s">
        <v>5816</v>
      </c>
      <c r="I5741" s="311" t="str">
        <f t="shared" si="242"/>
        <v>Pesado de Passageiros M3:  : Gasóleo : E6 D/E E7</v>
      </c>
      <c r="J5741">
        <v>89</v>
      </c>
      <c r="K5741" s="422">
        <v>2023</v>
      </c>
      <c r="L5741">
        <v>22982.799999999999</v>
      </c>
      <c r="M5741" t="s">
        <v>630</v>
      </c>
      <c r="N5741" s="131">
        <v>66760</v>
      </c>
      <c r="O5741" s="436">
        <f t="shared" si="243"/>
        <v>5941640</v>
      </c>
      <c r="Q5741" s="422" t="s">
        <v>47</v>
      </c>
      <c r="R5741" s="422" t="s">
        <v>1869</v>
      </c>
      <c r="S5741" s="422" t="s">
        <v>1861</v>
      </c>
      <c r="T5741" t="s">
        <v>4825</v>
      </c>
      <c r="U5741" s="422" t="s">
        <v>1953</v>
      </c>
      <c r="V5741" s="422" t="s">
        <v>2813</v>
      </c>
    </row>
    <row r="5742" spans="1:22" ht="15.75" thickBot="1" x14ac:dyDescent="0.3">
      <c r="A5742" t="s">
        <v>1910</v>
      </c>
      <c r="B5742" t="s">
        <v>1910</v>
      </c>
      <c r="C5742" s="424" t="str">
        <f t="shared" si="241"/>
        <v>Rodoviária de Lisboa, S.A.</v>
      </c>
      <c r="D5742" t="s">
        <v>629</v>
      </c>
      <c r="F5742" s="422" t="s">
        <v>620</v>
      </c>
      <c r="G5742" s="89">
        <v>2022</v>
      </c>
      <c r="H5742" s="313" t="s">
        <v>5816</v>
      </c>
      <c r="I5742" s="311" t="str">
        <f t="shared" si="242"/>
        <v>Pesado de Passageiros M3:  : Gasóleo : E6 D/E E7</v>
      </c>
      <c r="J5742">
        <v>89</v>
      </c>
      <c r="K5742" s="422">
        <v>2023</v>
      </c>
      <c r="L5742">
        <v>22833.1</v>
      </c>
      <c r="M5742" t="s">
        <v>630</v>
      </c>
      <c r="N5742" s="131">
        <v>66011</v>
      </c>
      <c r="O5742" s="436">
        <f t="shared" si="243"/>
        <v>5874979</v>
      </c>
      <c r="Q5742" s="422" t="s">
        <v>47</v>
      </c>
      <c r="R5742" s="422" t="s">
        <v>1869</v>
      </c>
      <c r="S5742" s="422" t="s">
        <v>1861</v>
      </c>
      <c r="T5742" t="s">
        <v>4825</v>
      </c>
      <c r="U5742" s="422" t="s">
        <v>1953</v>
      </c>
      <c r="V5742" s="422" t="s">
        <v>2813</v>
      </c>
    </row>
    <row r="5743" spans="1:22" ht="15.75" thickBot="1" x14ac:dyDescent="0.3">
      <c r="A5743" t="s">
        <v>1910</v>
      </c>
      <c r="B5743" t="s">
        <v>1910</v>
      </c>
      <c r="C5743" s="424" t="str">
        <f t="shared" si="241"/>
        <v>Rodoviária de Lisboa, S.A.</v>
      </c>
      <c r="D5743" t="s">
        <v>629</v>
      </c>
      <c r="F5743" s="422" t="s">
        <v>620</v>
      </c>
      <c r="G5743" s="89">
        <v>2022</v>
      </c>
      <c r="H5743" s="313" t="s">
        <v>5816</v>
      </c>
      <c r="I5743" s="311" t="str">
        <f t="shared" si="242"/>
        <v>Pesado de Passageiros M3:  : Gasóleo : E6 D/E E7</v>
      </c>
      <c r="J5743">
        <v>89</v>
      </c>
      <c r="K5743" s="422">
        <v>2023</v>
      </c>
      <c r="L5743">
        <v>18146.599999999999</v>
      </c>
      <c r="M5743" t="s">
        <v>630</v>
      </c>
      <c r="N5743" s="131">
        <v>52701</v>
      </c>
      <c r="O5743" s="436">
        <f t="shared" si="243"/>
        <v>4690389</v>
      </c>
      <c r="Q5743" s="422" t="s">
        <v>47</v>
      </c>
      <c r="R5743" s="422" t="s">
        <v>1869</v>
      </c>
      <c r="S5743" s="422" t="s">
        <v>1861</v>
      </c>
      <c r="T5743" t="s">
        <v>4825</v>
      </c>
      <c r="U5743" s="422" t="s">
        <v>1953</v>
      </c>
      <c r="V5743" s="422" t="s">
        <v>2813</v>
      </c>
    </row>
    <row r="5744" spans="1:22" ht="15.75" thickBot="1" x14ac:dyDescent="0.3">
      <c r="A5744" t="s">
        <v>1910</v>
      </c>
      <c r="B5744" t="s">
        <v>1910</v>
      </c>
      <c r="C5744" s="424" t="str">
        <f t="shared" si="241"/>
        <v>Rodoviária de Lisboa, S.A.</v>
      </c>
      <c r="D5744" t="s">
        <v>629</v>
      </c>
      <c r="F5744" s="422" t="s">
        <v>620</v>
      </c>
      <c r="G5744" s="89">
        <v>2022</v>
      </c>
      <c r="H5744" s="313" t="s">
        <v>5816</v>
      </c>
      <c r="I5744" s="311" t="str">
        <f t="shared" si="242"/>
        <v>Pesado de Passageiros M3:  : Gasóleo : E6 D/E E7</v>
      </c>
      <c r="J5744">
        <v>83</v>
      </c>
      <c r="K5744" s="422">
        <v>2023</v>
      </c>
      <c r="L5744">
        <v>26221.1</v>
      </c>
      <c r="M5744" t="s">
        <v>630</v>
      </c>
      <c r="N5744" s="131">
        <v>65882</v>
      </c>
      <c r="O5744" s="436">
        <f t="shared" si="243"/>
        <v>5468206</v>
      </c>
      <c r="Q5744" s="422" t="s">
        <v>47</v>
      </c>
      <c r="R5744" s="422" t="s">
        <v>1869</v>
      </c>
      <c r="S5744" s="422" t="s">
        <v>1861</v>
      </c>
      <c r="T5744" t="s">
        <v>4825</v>
      </c>
      <c r="U5744" s="422" t="s">
        <v>1953</v>
      </c>
      <c r="V5744" s="422" t="s">
        <v>2813</v>
      </c>
    </row>
    <row r="5745" spans="1:22" ht="15.75" thickBot="1" x14ac:dyDescent="0.3">
      <c r="A5745" t="s">
        <v>1910</v>
      </c>
      <c r="B5745" t="s">
        <v>1910</v>
      </c>
      <c r="C5745" s="424" t="str">
        <f t="shared" si="241"/>
        <v>Rodoviária de Lisboa, S.A.</v>
      </c>
      <c r="D5745" t="s">
        <v>629</v>
      </c>
      <c r="F5745" s="422" t="s">
        <v>620</v>
      </c>
      <c r="G5745" s="89">
        <v>2022</v>
      </c>
      <c r="H5745" s="313" t="s">
        <v>5816</v>
      </c>
      <c r="I5745" s="311" t="str">
        <f t="shared" si="242"/>
        <v>Pesado de Passageiros M3:  : Gasóleo : E6 D/E E7</v>
      </c>
      <c r="J5745">
        <v>89</v>
      </c>
      <c r="K5745" s="422">
        <v>2023</v>
      </c>
      <c r="L5745">
        <v>21241.3</v>
      </c>
      <c r="M5745" t="s">
        <v>630</v>
      </c>
      <c r="N5745" s="131">
        <v>60085</v>
      </c>
      <c r="O5745" s="436">
        <f t="shared" si="243"/>
        <v>5347565</v>
      </c>
      <c r="Q5745" s="422" t="s">
        <v>47</v>
      </c>
      <c r="R5745" s="422" t="s">
        <v>1869</v>
      </c>
      <c r="S5745" s="422" t="s">
        <v>1861</v>
      </c>
      <c r="T5745" t="s">
        <v>4825</v>
      </c>
      <c r="U5745" s="422" t="s">
        <v>1953</v>
      </c>
      <c r="V5745" s="422" t="s">
        <v>2813</v>
      </c>
    </row>
    <row r="5746" spans="1:22" ht="15.75" thickBot="1" x14ac:dyDescent="0.3">
      <c r="A5746" t="s">
        <v>1910</v>
      </c>
      <c r="B5746" t="s">
        <v>1910</v>
      </c>
      <c r="C5746" s="424" t="str">
        <f t="shared" ref="C5746:C5809" si="244">IF(A5746=B5746,B5746,RIGHT(A5746,LEN(A5746)-LEN(B5746)-3))</f>
        <v>Rodoviária de Lisboa, S.A.</v>
      </c>
      <c r="D5746" t="s">
        <v>629</v>
      </c>
      <c r="F5746" s="422" t="s">
        <v>620</v>
      </c>
      <c r="G5746" s="89">
        <v>2022</v>
      </c>
      <c r="H5746" s="313" t="s">
        <v>5816</v>
      </c>
      <c r="I5746" s="311" t="str">
        <f t="shared" si="242"/>
        <v>Pesado de Passageiros M3:  : Gasóleo : E6 D/E E7</v>
      </c>
      <c r="J5746">
        <v>89</v>
      </c>
      <c r="K5746" s="422">
        <v>2023</v>
      </c>
      <c r="L5746">
        <v>23197.200000000001</v>
      </c>
      <c r="M5746" t="s">
        <v>630</v>
      </c>
      <c r="N5746" s="131">
        <v>64925</v>
      </c>
      <c r="O5746" s="436">
        <f t="shared" si="243"/>
        <v>5778325</v>
      </c>
      <c r="Q5746" s="422" t="s">
        <v>47</v>
      </c>
      <c r="R5746" s="422" t="s">
        <v>1869</v>
      </c>
      <c r="S5746" s="422" t="s">
        <v>1861</v>
      </c>
      <c r="T5746" t="s">
        <v>4825</v>
      </c>
      <c r="U5746" s="422" t="s">
        <v>1953</v>
      </c>
      <c r="V5746" s="422" t="s">
        <v>2813</v>
      </c>
    </row>
    <row r="5747" spans="1:22" ht="15.75" thickBot="1" x14ac:dyDescent="0.3">
      <c r="A5747" t="s">
        <v>1910</v>
      </c>
      <c r="B5747" t="s">
        <v>1910</v>
      </c>
      <c r="C5747" s="424" t="str">
        <f t="shared" si="244"/>
        <v>Rodoviária de Lisboa, S.A.</v>
      </c>
      <c r="D5747" t="s">
        <v>629</v>
      </c>
      <c r="F5747" s="422" t="s">
        <v>620</v>
      </c>
      <c r="G5747" s="89">
        <v>2022</v>
      </c>
      <c r="H5747" s="313" t="s">
        <v>5816</v>
      </c>
      <c r="I5747" s="311" t="str">
        <f t="shared" si="242"/>
        <v>Pesado de Passageiros M3:  : Gasóleo : E6 D/E E7</v>
      </c>
      <c r="J5747">
        <v>83</v>
      </c>
      <c r="K5747" s="422">
        <v>2023</v>
      </c>
      <c r="L5747">
        <v>23235.8</v>
      </c>
      <c r="M5747" t="s">
        <v>630</v>
      </c>
      <c r="N5747" s="131">
        <v>66965</v>
      </c>
      <c r="O5747" s="436">
        <f t="shared" si="243"/>
        <v>5558095</v>
      </c>
      <c r="Q5747" s="422" t="s">
        <v>47</v>
      </c>
      <c r="R5747" s="422" t="s">
        <v>1869</v>
      </c>
      <c r="S5747" s="422" t="s">
        <v>1861</v>
      </c>
      <c r="T5747" t="s">
        <v>4825</v>
      </c>
      <c r="U5747" s="422" t="s">
        <v>1953</v>
      </c>
      <c r="V5747" s="422" t="s">
        <v>2813</v>
      </c>
    </row>
    <row r="5748" spans="1:22" ht="15.75" thickBot="1" x14ac:dyDescent="0.3">
      <c r="A5748" t="s">
        <v>1910</v>
      </c>
      <c r="B5748" t="s">
        <v>1910</v>
      </c>
      <c r="C5748" s="424" t="str">
        <f t="shared" si="244"/>
        <v>Rodoviária de Lisboa, S.A.</v>
      </c>
      <c r="D5748" t="s">
        <v>629</v>
      </c>
      <c r="F5748" s="422" t="s">
        <v>620</v>
      </c>
      <c r="G5748" s="89">
        <v>2022</v>
      </c>
      <c r="H5748" s="313" t="s">
        <v>5816</v>
      </c>
      <c r="I5748" s="311" t="str">
        <f t="shared" si="242"/>
        <v>Pesado de Passageiros M3:  : Gasóleo : E6 D/E E7</v>
      </c>
      <c r="J5748">
        <v>83</v>
      </c>
      <c r="K5748" s="422">
        <v>2023</v>
      </c>
      <c r="L5748">
        <v>21872</v>
      </c>
      <c r="M5748" t="s">
        <v>630</v>
      </c>
      <c r="N5748" s="131">
        <v>63767</v>
      </c>
      <c r="O5748" s="436">
        <f t="shared" si="243"/>
        <v>5292661</v>
      </c>
      <c r="Q5748" s="422" t="s">
        <v>47</v>
      </c>
      <c r="R5748" s="422" t="s">
        <v>1869</v>
      </c>
      <c r="S5748" s="422" t="s">
        <v>1861</v>
      </c>
      <c r="T5748" t="s">
        <v>4825</v>
      </c>
      <c r="U5748" s="422" t="s">
        <v>1953</v>
      </c>
      <c r="V5748" s="422" t="s">
        <v>2813</v>
      </c>
    </row>
    <row r="5749" spans="1:22" ht="15.75" thickBot="1" x14ac:dyDescent="0.3">
      <c r="A5749" t="s">
        <v>1910</v>
      </c>
      <c r="B5749" t="s">
        <v>1910</v>
      </c>
      <c r="C5749" s="424" t="str">
        <f t="shared" si="244"/>
        <v>Rodoviária de Lisboa, S.A.</v>
      </c>
      <c r="D5749" t="s">
        <v>629</v>
      </c>
      <c r="F5749" s="422" t="s">
        <v>620</v>
      </c>
      <c r="G5749" s="89">
        <v>2022</v>
      </c>
      <c r="H5749" s="313" t="s">
        <v>5816</v>
      </c>
      <c r="I5749" s="311" t="str">
        <f t="shared" si="242"/>
        <v>Pesado de Passageiros M3:  : Gasóleo : E6 D/E E7</v>
      </c>
      <c r="J5749">
        <v>89</v>
      </c>
      <c r="K5749" s="422">
        <v>2023</v>
      </c>
      <c r="L5749">
        <v>20996.2</v>
      </c>
      <c r="M5749" t="s">
        <v>630</v>
      </c>
      <c r="N5749" s="131">
        <v>57150</v>
      </c>
      <c r="O5749" s="436">
        <f t="shared" si="243"/>
        <v>5086350</v>
      </c>
      <c r="Q5749" s="422" t="s">
        <v>47</v>
      </c>
      <c r="R5749" s="422" t="s">
        <v>1869</v>
      </c>
      <c r="S5749" s="422" t="s">
        <v>1861</v>
      </c>
      <c r="T5749" t="s">
        <v>4825</v>
      </c>
      <c r="U5749" s="422" t="s">
        <v>1953</v>
      </c>
      <c r="V5749" s="422" t="s">
        <v>2813</v>
      </c>
    </row>
    <row r="5750" spans="1:22" ht="15.75" thickBot="1" x14ac:dyDescent="0.3">
      <c r="A5750" t="s">
        <v>1910</v>
      </c>
      <c r="B5750" t="s">
        <v>1910</v>
      </c>
      <c r="C5750" s="424" t="str">
        <f t="shared" si="244"/>
        <v>Rodoviária de Lisboa, S.A.</v>
      </c>
      <c r="D5750" t="s">
        <v>629</v>
      </c>
      <c r="F5750" s="422" t="s">
        <v>620</v>
      </c>
      <c r="G5750" s="89">
        <v>2022</v>
      </c>
      <c r="H5750" s="313" t="s">
        <v>5816</v>
      </c>
      <c r="I5750" s="311" t="str">
        <f t="shared" si="242"/>
        <v>Pesado de Passageiros M3:  : Gasóleo : E6 D/E E7</v>
      </c>
      <c r="J5750">
        <v>83</v>
      </c>
      <c r="K5750" s="422">
        <v>2023</v>
      </c>
      <c r="L5750">
        <v>14508.9</v>
      </c>
      <c r="M5750" t="s">
        <v>630</v>
      </c>
      <c r="N5750" s="131">
        <v>40840</v>
      </c>
      <c r="O5750" s="436">
        <f t="shared" si="243"/>
        <v>3389720</v>
      </c>
      <c r="Q5750" s="422" t="s">
        <v>47</v>
      </c>
      <c r="R5750" s="422" t="s">
        <v>1869</v>
      </c>
      <c r="S5750" s="422" t="s">
        <v>1861</v>
      </c>
      <c r="T5750" t="s">
        <v>4825</v>
      </c>
      <c r="U5750" s="422" t="s">
        <v>1953</v>
      </c>
      <c r="V5750" s="422" t="s">
        <v>2813</v>
      </c>
    </row>
    <row r="5751" spans="1:22" ht="15.75" thickBot="1" x14ac:dyDescent="0.3">
      <c r="A5751" t="s">
        <v>1910</v>
      </c>
      <c r="B5751" t="s">
        <v>1910</v>
      </c>
      <c r="C5751" s="424" t="str">
        <f t="shared" si="244"/>
        <v>Rodoviária de Lisboa, S.A.</v>
      </c>
      <c r="D5751" t="s">
        <v>629</v>
      </c>
      <c r="F5751" s="422" t="s">
        <v>620</v>
      </c>
      <c r="G5751" s="89">
        <v>2022</v>
      </c>
      <c r="H5751" s="313" t="s">
        <v>5816</v>
      </c>
      <c r="I5751" s="311" t="str">
        <f t="shared" si="242"/>
        <v>Pesado de Passageiros M3:  : Gasóleo : E6 D/E E7</v>
      </c>
      <c r="J5751">
        <v>83</v>
      </c>
      <c r="K5751" s="422">
        <v>2023</v>
      </c>
      <c r="L5751">
        <v>23449</v>
      </c>
      <c r="M5751" t="s">
        <v>630</v>
      </c>
      <c r="N5751" s="131">
        <v>67053</v>
      </c>
      <c r="O5751" s="436">
        <f t="shared" si="243"/>
        <v>5565399</v>
      </c>
      <c r="Q5751" s="422" t="s">
        <v>47</v>
      </c>
      <c r="R5751" s="422" t="s">
        <v>1869</v>
      </c>
      <c r="S5751" s="422" t="s">
        <v>1861</v>
      </c>
      <c r="T5751" t="s">
        <v>4825</v>
      </c>
      <c r="U5751" s="422" t="s">
        <v>1953</v>
      </c>
      <c r="V5751" s="422" t="s">
        <v>2813</v>
      </c>
    </row>
    <row r="5752" spans="1:22" ht="15.75" thickBot="1" x14ac:dyDescent="0.3">
      <c r="A5752" t="s">
        <v>1910</v>
      </c>
      <c r="B5752" t="s">
        <v>1910</v>
      </c>
      <c r="C5752" s="424" t="str">
        <f t="shared" si="244"/>
        <v>Rodoviária de Lisboa, S.A.</v>
      </c>
      <c r="D5752" t="s">
        <v>629</v>
      </c>
      <c r="F5752" s="422" t="s">
        <v>620</v>
      </c>
      <c r="G5752" s="89">
        <v>2022</v>
      </c>
      <c r="H5752" s="313" t="s">
        <v>5816</v>
      </c>
      <c r="I5752" s="311" t="str">
        <f t="shared" si="242"/>
        <v>Pesado de Passageiros M3:  : Gasóleo : E6 D/E E7</v>
      </c>
      <c r="J5752">
        <v>89</v>
      </c>
      <c r="K5752" s="422">
        <v>2023</v>
      </c>
      <c r="L5752">
        <v>21756.1</v>
      </c>
      <c r="M5752" t="s">
        <v>630</v>
      </c>
      <c r="N5752" s="131">
        <v>61444</v>
      </c>
      <c r="O5752" s="436">
        <f t="shared" si="243"/>
        <v>5468516</v>
      </c>
      <c r="Q5752" s="422" t="s">
        <v>47</v>
      </c>
      <c r="R5752" s="422" t="s">
        <v>1869</v>
      </c>
      <c r="S5752" s="422" t="s">
        <v>1861</v>
      </c>
      <c r="T5752" t="s">
        <v>4825</v>
      </c>
      <c r="U5752" s="422" t="s">
        <v>1953</v>
      </c>
      <c r="V5752" s="422" t="s">
        <v>2813</v>
      </c>
    </row>
    <row r="5753" spans="1:22" ht="15.75" thickBot="1" x14ac:dyDescent="0.3">
      <c r="A5753" t="s">
        <v>1910</v>
      </c>
      <c r="B5753" t="s">
        <v>1910</v>
      </c>
      <c r="C5753" s="424" t="str">
        <f t="shared" si="244"/>
        <v>Rodoviária de Lisboa, S.A.</v>
      </c>
      <c r="D5753" t="s">
        <v>629</v>
      </c>
      <c r="F5753" s="422" t="s">
        <v>620</v>
      </c>
      <c r="G5753" s="89">
        <v>2022</v>
      </c>
      <c r="H5753" s="313" t="s">
        <v>5816</v>
      </c>
      <c r="I5753" s="311" t="str">
        <f t="shared" si="242"/>
        <v>Pesado de Passageiros M3:  : Gasóleo : E6 D/E E7</v>
      </c>
      <c r="J5753">
        <v>83</v>
      </c>
      <c r="K5753" s="422">
        <v>2023</v>
      </c>
      <c r="L5753">
        <v>26024.7</v>
      </c>
      <c r="M5753" t="s">
        <v>630</v>
      </c>
      <c r="N5753" s="131">
        <v>64204</v>
      </c>
      <c r="O5753" s="436">
        <f t="shared" si="243"/>
        <v>5328932</v>
      </c>
      <c r="Q5753" s="422" t="s">
        <v>47</v>
      </c>
      <c r="R5753" s="422" t="s">
        <v>1869</v>
      </c>
      <c r="S5753" s="422" t="s">
        <v>1861</v>
      </c>
      <c r="T5753" t="s">
        <v>4825</v>
      </c>
      <c r="U5753" s="422" t="s">
        <v>1953</v>
      </c>
      <c r="V5753" s="422" t="s">
        <v>2813</v>
      </c>
    </row>
    <row r="5754" spans="1:22" ht="15.75" thickBot="1" x14ac:dyDescent="0.3">
      <c r="A5754" t="s">
        <v>1910</v>
      </c>
      <c r="B5754" t="s">
        <v>1910</v>
      </c>
      <c r="C5754" s="424" t="str">
        <f t="shared" si="244"/>
        <v>Rodoviária de Lisboa, S.A.</v>
      </c>
      <c r="D5754" t="s">
        <v>629</v>
      </c>
      <c r="F5754" s="422" t="s">
        <v>620</v>
      </c>
      <c r="G5754" s="89">
        <v>2022</v>
      </c>
      <c r="H5754" s="313" t="s">
        <v>5816</v>
      </c>
      <c r="I5754" s="311" t="str">
        <f t="shared" si="242"/>
        <v>Pesado de Passageiros M3:  : Gasóleo : E6 D/E E7</v>
      </c>
      <c r="J5754">
        <v>83</v>
      </c>
      <c r="K5754" s="422">
        <v>2023</v>
      </c>
      <c r="L5754">
        <v>25651.9</v>
      </c>
      <c r="M5754" t="s">
        <v>630</v>
      </c>
      <c r="N5754" s="131">
        <v>62028</v>
      </c>
      <c r="O5754" s="436">
        <f t="shared" si="243"/>
        <v>5148324</v>
      </c>
      <c r="Q5754" s="422" t="s">
        <v>47</v>
      </c>
      <c r="R5754" s="422" t="s">
        <v>1869</v>
      </c>
      <c r="S5754" s="422" t="s">
        <v>1861</v>
      </c>
      <c r="T5754" t="s">
        <v>4825</v>
      </c>
      <c r="U5754" s="422" t="s">
        <v>1953</v>
      </c>
      <c r="V5754" s="422" t="s">
        <v>2813</v>
      </c>
    </row>
    <row r="5755" spans="1:22" ht="15.75" thickBot="1" x14ac:dyDescent="0.3">
      <c r="A5755" t="s">
        <v>1910</v>
      </c>
      <c r="B5755" t="s">
        <v>1910</v>
      </c>
      <c r="C5755" s="424" t="str">
        <f t="shared" si="244"/>
        <v>Rodoviária de Lisboa, S.A.</v>
      </c>
      <c r="D5755" t="s">
        <v>629</v>
      </c>
      <c r="F5755" s="422" t="s">
        <v>620</v>
      </c>
      <c r="G5755" s="89">
        <v>2022</v>
      </c>
      <c r="H5755" s="313" t="s">
        <v>5816</v>
      </c>
      <c r="I5755" s="311" t="str">
        <f t="shared" si="242"/>
        <v>Pesado de Passageiros M3:  : Gasóleo : E6 D/E E7</v>
      </c>
      <c r="J5755">
        <v>89</v>
      </c>
      <c r="K5755" s="422">
        <v>2023</v>
      </c>
      <c r="L5755">
        <v>28170.400000000001</v>
      </c>
      <c r="M5755" t="s">
        <v>630</v>
      </c>
      <c r="N5755" s="131">
        <v>69030</v>
      </c>
      <c r="O5755" s="436">
        <f t="shared" si="243"/>
        <v>6143670</v>
      </c>
      <c r="Q5755" s="422" t="s">
        <v>47</v>
      </c>
      <c r="R5755" s="422" t="s">
        <v>1869</v>
      </c>
      <c r="S5755" s="422" t="s">
        <v>1861</v>
      </c>
      <c r="T5755" t="s">
        <v>4825</v>
      </c>
      <c r="U5755" s="422" t="s">
        <v>1953</v>
      </c>
      <c r="V5755" s="422" t="s">
        <v>2813</v>
      </c>
    </row>
    <row r="5756" spans="1:22" ht="15.75" thickBot="1" x14ac:dyDescent="0.3">
      <c r="A5756" t="s">
        <v>1910</v>
      </c>
      <c r="B5756" t="s">
        <v>1910</v>
      </c>
      <c r="C5756" s="424" t="str">
        <f t="shared" si="244"/>
        <v>Rodoviária de Lisboa, S.A.</v>
      </c>
      <c r="D5756" t="s">
        <v>629</v>
      </c>
      <c r="F5756" s="422" t="s">
        <v>620</v>
      </c>
      <c r="G5756" s="89">
        <v>2022</v>
      </c>
      <c r="H5756" s="313" t="s">
        <v>5816</v>
      </c>
      <c r="I5756" s="311" t="str">
        <f t="shared" si="242"/>
        <v>Pesado de Passageiros M3:  : Gasóleo : E6 D/E E7</v>
      </c>
      <c r="J5756">
        <v>109</v>
      </c>
      <c r="K5756" s="422">
        <v>2023</v>
      </c>
      <c r="L5756">
        <v>21568.1</v>
      </c>
      <c r="M5756" t="s">
        <v>630</v>
      </c>
      <c r="N5756" s="131">
        <v>48170</v>
      </c>
      <c r="O5756" s="436">
        <f t="shared" si="243"/>
        <v>5250530</v>
      </c>
      <c r="Q5756" s="422" t="s">
        <v>47</v>
      </c>
      <c r="R5756" s="422" t="s">
        <v>1869</v>
      </c>
      <c r="S5756" s="422" t="s">
        <v>1861</v>
      </c>
      <c r="T5756" t="s">
        <v>4825</v>
      </c>
      <c r="U5756" s="422" t="s">
        <v>1953</v>
      </c>
      <c r="V5756" s="422" t="s">
        <v>2813</v>
      </c>
    </row>
    <row r="5757" spans="1:22" ht="15.75" thickBot="1" x14ac:dyDescent="0.3">
      <c r="A5757" t="s">
        <v>1910</v>
      </c>
      <c r="B5757" t="s">
        <v>1910</v>
      </c>
      <c r="C5757" s="424" t="str">
        <f t="shared" si="244"/>
        <v>Rodoviária de Lisboa, S.A.</v>
      </c>
      <c r="D5757" t="s">
        <v>629</v>
      </c>
      <c r="F5757" s="422" t="s">
        <v>620</v>
      </c>
      <c r="G5757" s="89">
        <v>2022</v>
      </c>
      <c r="H5757" s="313" t="s">
        <v>5816</v>
      </c>
      <c r="I5757" s="311" t="str">
        <f t="shared" si="242"/>
        <v>Pesado de Passageiros M3:  : Gasóleo : E6 D/E E7</v>
      </c>
      <c r="J5757">
        <v>89</v>
      </c>
      <c r="K5757" s="422">
        <v>2023</v>
      </c>
      <c r="L5757">
        <v>29233.599999999999</v>
      </c>
      <c r="M5757" t="s">
        <v>630</v>
      </c>
      <c r="N5757" s="131">
        <v>73182</v>
      </c>
      <c r="O5757" s="436">
        <f t="shared" si="243"/>
        <v>6513198</v>
      </c>
      <c r="Q5757" s="422" t="s">
        <v>47</v>
      </c>
      <c r="R5757" s="422" t="s">
        <v>1869</v>
      </c>
      <c r="S5757" s="422" t="s">
        <v>1861</v>
      </c>
      <c r="T5757" t="s">
        <v>4825</v>
      </c>
      <c r="U5757" s="422" t="s">
        <v>1953</v>
      </c>
      <c r="V5757" s="422" t="s">
        <v>2813</v>
      </c>
    </row>
    <row r="5758" spans="1:22" ht="15.75" thickBot="1" x14ac:dyDescent="0.3">
      <c r="A5758" t="s">
        <v>1910</v>
      </c>
      <c r="B5758" t="s">
        <v>1910</v>
      </c>
      <c r="C5758" s="424" t="str">
        <f t="shared" si="244"/>
        <v>Rodoviária de Lisboa, S.A.</v>
      </c>
      <c r="D5758" t="s">
        <v>629</v>
      </c>
      <c r="F5758" s="422" t="s">
        <v>620</v>
      </c>
      <c r="G5758" s="89">
        <v>2022</v>
      </c>
      <c r="H5758" s="313" t="s">
        <v>5816</v>
      </c>
      <c r="I5758" s="311" t="str">
        <f t="shared" si="242"/>
        <v>Pesado de Passageiros M3:  : Gasóleo : E6 D/E E7</v>
      </c>
      <c r="J5758">
        <v>89</v>
      </c>
      <c r="K5758" s="422">
        <v>2023</v>
      </c>
      <c r="L5758">
        <v>20450.2</v>
      </c>
      <c r="M5758" t="s">
        <v>630</v>
      </c>
      <c r="N5758" s="131">
        <v>57064</v>
      </c>
      <c r="O5758" s="436">
        <f t="shared" si="243"/>
        <v>5078696</v>
      </c>
      <c r="Q5758" s="422" t="s">
        <v>47</v>
      </c>
      <c r="R5758" s="422" t="s">
        <v>1869</v>
      </c>
      <c r="S5758" s="422" t="s">
        <v>1861</v>
      </c>
      <c r="T5758" t="s">
        <v>4825</v>
      </c>
      <c r="U5758" s="422" t="s">
        <v>1953</v>
      </c>
      <c r="V5758" s="422" t="s">
        <v>2813</v>
      </c>
    </row>
    <row r="5759" spans="1:22" ht="15.75" thickBot="1" x14ac:dyDescent="0.3">
      <c r="A5759" t="s">
        <v>1910</v>
      </c>
      <c r="B5759" t="s">
        <v>1910</v>
      </c>
      <c r="C5759" s="424" t="str">
        <f t="shared" si="244"/>
        <v>Rodoviária de Lisboa, S.A.</v>
      </c>
      <c r="D5759" t="s">
        <v>629</v>
      </c>
      <c r="F5759" s="422" t="s">
        <v>620</v>
      </c>
      <c r="G5759" s="89">
        <v>2022</v>
      </c>
      <c r="H5759" s="313" t="s">
        <v>5816</v>
      </c>
      <c r="I5759" s="311" t="str">
        <f t="shared" si="242"/>
        <v>Pesado de Passageiros M3:  : Gasóleo : E6 D/E E7</v>
      </c>
      <c r="J5759">
        <v>83</v>
      </c>
      <c r="K5759" s="422">
        <v>2023</v>
      </c>
      <c r="L5759">
        <v>21223.200000000001</v>
      </c>
      <c r="M5759" t="s">
        <v>630</v>
      </c>
      <c r="N5759" s="131">
        <v>52847</v>
      </c>
      <c r="O5759" s="436">
        <f t="shared" si="243"/>
        <v>4386301</v>
      </c>
      <c r="Q5759" s="422" t="s">
        <v>47</v>
      </c>
      <c r="R5759" s="422" t="s">
        <v>1869</v>
      </c>
      <c r="S5759" s="422" t="s">
        <v>1861</v>
      </c>
      <c r="T5759" t="s">
        <v>4825</v>
      </c>
      <c r="U5759" s="422" t="s">
        <v>1953</v>
      </c>
      <c r="V5759" s="422" t="s">
        <v>2813</v>
      </c>
    </row>
    <row r="5760" spans="1:22" ht="15.75" thickBot="1" x14ac:dyDescent="0.3">
      <c r="A5760" t="s">
        <v>1910</v>
      </c>
      <c r="B5760" t="s">
        <v>1910</v>
      </c>
      <c r="C5760" s="424" t="str">
        <f t="shared" si="244"/>
        <v>Rodoviária de Lisboa, S.A.</v>
      </c>
      <c r="D5760" t="s">
        <v>629</v>
      </c>
      <c r="F5760" s="422" t="s">
        <v>620</v>
      </c>
      <c r="G5760" s="89">
        <v>2022</v>
      </c>
      <c r="H5760" s="313" t="s">
        <v>5816</v>
      </c>
      <c r="I5760" s="311" t="str">
        <f t="shared" si="242"/>
        <v>Pesado de Passageiros M3:  : Gasóleo : E6 D/E E7</v>
      </c>
      <c r="J5760">
        <v>109</v>
      </c>
      <c r="K5760" s="422">
        <v>2023</v>
      </c>
      <c r="L5760">
        <v>26151.7</v>
      </c>
      <c r="M5760" t="s">
        <v>630</v>
      </c>
      <c r="N5760" s="131">
        <v>57609</v>
      </c>
      <c r="O5760" s="436">
        <f t="shared" si="243"/>
        <v>6279381</v>
      </c>
      <c r="Q5760" s="422" t="s">
        <v>47</v>
      </c>
      <c r="R5760" s="422" t="s">
        <v>1869</v>
      </c>
      <c r="S5760" s="422" t="s">
        <v>1861</v>
      </c>
      <c r="T5760" t="s">
        <v>4825</v>
      </c>
      <c r="U5760" s="422" t="s">
        <v>1953</v>
      </c>
      <c r="V5760" s="422" t="s">
        <v>2813</v>
      </c>
    </row>
    <row r="5761" spans="1:22" ht="15.75" thickBot="1" x14ac:dyDescent="0.3">
      <c r="A5761" t="s">
        <v>1910</v>
      </c>
      <c r="B5761" t="s">
        <v>1910</v>
      </c>
      <c r="C5761" s="424" t="str">
        <f t="shared" si="244"/>
        <v>Rodoviária de Lisboa, S.A.</v>
      </c>
      <c r="D5761" t="s">
        <v>629</v>
      </c>
      <c r="F5761" s="422" t="s">
        <v>620</v>
      </c>
      <c r="G5761" s="89">
        <v>2022</v>
      </c>
      <c r="H5761" s="313" t="s">
        <v>5816</v>
      </c>
      <c r="I5761" s="311" t="str">
        <f t="shared" si="242"/>
        <v>Pesado de Passageiros M3:  : Gasóleo : E6 D/E E7</v>
      </c>
      <c r="J5761">
        <v>109</v>
      </c>
      <c r="K5761" s="422">
        <v>2023</v>
      </c>
      <c r="L5761">
        <v>19721.3</v>
      </c>
      <c r="M5761" t="s">
        <v>630</v>
      </c>
      <c r="N5761" s="131">
        <v>52335</v>
      </c>
      <c r="O5761" s="436">
        <f t="shared" si="243"/>
        <v>5704515</v>
      </c>
      <c r="Q5761" s="422" t="s">
        <v>47</v>
      </c>
      <c r="R5761" s="422" t="s">
        <v>1869</v>
      </c>
      <c r="S5761" s="422" t="s">
        <v>1861</v>
      </c>
      <c r="T5761" t="s">
        <v>4825</v>
      </c>
      <c r="U5761" s="422" t="s">
        <v>1953</v>
      </c>
      <c r="V5761" s="422" t="s">
        <v>2813</v>
      </c>
    </row>
    <row r="5762" spans="1:22" ht="15.75" thickBot="1" x14ac:dyDescent="0.3">
      <c r="A5762" t="s">
        <v>1910</v>
      </c>
      <c r="B5762" t="s">
        <v>1910</v>
      </c>
      <c r="C5762" s="424" t="str">
        <f t="shared" si="244"/>
        <v>Rodoviária de Lisboa, S.A.</v>
      </c>
      <c r="D5762" t="s">
        <v>629</v>
      </c>
      <c r="F5762" s="422" t="s">
        <v>620</v>
      </c>
      <c r="G5762" s="89">
        <v>2022</v>
      </c>
      <c r="H5762" s="313" t="s">
        <v>5816</v>
      </c>
      <c r="I5762" s="311" t="str">
        <f t="shared" si="242"/>
        <v>Pesado de Passageiros M3:  : Gasóleo : E6 D/E E7</v>
      </c>
      <c r="J5762">
        <v>89</v>
      </c>
      <c r="K5762" s="422">
        <v>2023</v>
      </c>
      <c r="L5762">
        <v>26278.3</v>
      </c>
      <c r="M5762" t="s">
        <v>630</v>
      </c>
      <c r="N5762" s="131">
        <v>64030</v>
      </c>
      <c r="O5762" s="436">
        <f t="shared" si="243"/>
        <v>5698670</v>
      </c>
      <c r="Q5762" s="422" t="s">
        <v>47</v>
      </c>
      <c r="R5762" s="422" t="s">
        <v>1869</v>
      </c>
      <c r="S5762" s="422" t="s">
        <v>1861</v>
      </c>
      <c r="T5762" t="s">
        <v>4825</v>
      </c>
      <c r="U5762" s="422" t="s">
        <v>1953</v>
      </c>
      <c r="V5762" s="422" t="s">
        <v>2813</v>
      </c>
    </row>
    <row r="5763" spans="1:22" ht="15.75" thickBot="1" x14ac:dyDescent="0.3">
      <c r="A5763" t="s">
        <v>1910</v>
      </c>
      <c r="B5763" t="s">
        <v>1910</v>
      </c>
      <c r="C5763" s="424" t="str">
        <f t="shared" si="244"/>
        <v>Rodoviária de Lisboa, S.A.</v>
      </c>
      <c r="D5763" t="s">
        <v>629</v>
      </c>
      <c r="F5763" s="422" t="s">
        <v>620</v>
      </c>
      <c r="G5763" s="89">
        <v>2022</v>
      </c>
      <c r="H5763" s="313" t="s">
        <v>5816</v>
      </c>
      <c r="I5763" s="311" t="str">
        <f t="shared" si="242"/>
        <v>Pesado de Passageiros M3:  : Gasóleo : E6 D/E E7</v>
      </c>
      <c r="J5763">
        <v>89</v>
      </c>
      <c r="K5763" s="422">
        <v>2023</v>
      </c>
      <c r="L5763">
        <v>28026.400000000001</v>
      </c>
      <c r="M5763" t="s">
        <v>630</v>
      </c>
      <c r="N5763" s="131">
        <v>68118</v>
      </c>
      <c r="O5763" s="436">
        <f t="shared" si="243"/>
        <v>6062502</v>
      </c>
      <c r="Q5763" s="422" t="s">
        <v>47</v>
      </c>
      <c r="R5763" s="422" t="s">
        <v>1869</v>
      </c>
      <c r="S5763" s="422" t="s">
        <v>1861</v>
      </c>
      <c r="T5763" t="s">
        <v>4825</v>
      </c>
      <c r="U5763" s="422" t="s">
        <v>1953</v>
      </c>
      <c r="V5763" s="422" t="s">
        <v>2813</v>
      </c>
    </row>
    <row r="5764" spans="1:22" ht="15.75" thickBot="1" x14ac:dyDescent="0.3">
      <c r="A5764" t="s">
        <v>1910</v>
      </c>
      <c r="B5764" t="s">
        <v>1910</v>
      </c>
      <c r="C5764" s="424" t="str">
        <f t="shared" si="244"/>
        <v>Rodoviária de Lisboa, S.A.</v>
      </c>
      <c r="D5764" t="s">
        <v>629</v>
      </c>
      <c r="F5764" s="422" t="s">
        <v>620</v>
      </c>
      <c r="G5764" s="89">
        <v>2022</v>
      </c>
      <c r="H5764" s="313" t="s">
        <v>5816</v>
      </c>
      <c r="I5764" s="311" t="str">
        <f t="shared" si="242"/>
        <v>Pesado de Passageiros M3:  : Gasóleo : E6 D/E E7</v>
      </c>
      <c r="J5764">
        <v>89</v>
      </c>
      <c r="K5764" s="422">
        <v>2023</v>
      </c>
      <c r="L5764">
        <v>18427.5</v>
      </c>
      <c r="M5764" t="s">
        <v>630</v>
      </c>
      <c r="N5764" s="131">
        <v>52055</v>
      </c>
      <c r="O5764" s="436">
        <f t="shared" si="243"/>
        <v>4632895</v>
      </c>
      <c r="Q5764" s="422" t="s">
        <v>47</v>
      </c>
      <c r="R5764" s="422" t="s">
        <v>1869</v>
      </c>
      <c r="S5764" s="422" t="s">
        <v>1861</v>
      </c>
      <c r="T5764" t="s">
        <v>4825</v>
      </c>
      <c r="U5764" s="422" t="s">
        <v>1953</v>
      </c>
      <c r="V5764" s="422" t="s">
        <v>2813</v>
      </c>
    </row>
    <row r="5765" spans="1:22" ht="15.75" thickBot="1" x14ac:dyDescent="0.3">
      <c r="A5765" t="s">
        <v>1910</v>
      </c>
      <c r="B5765" t="s">
        <v>1910</v>
      </c>
      <c r="C5765" s="424" t="str">
        <f t="shared" si="244"/>
        <v>Rodoviária de Lisboa, S.A.</v>
      </c>
      <c r="D5765" t="s">
        <v>629</v>
      </c>
      <c r="F5765" s="422" t="s">
        <v>620</v>
      </c>
      <c r="G5765" s="89">
        <v>2022</v>
      </c>
      <c r="H5765" s="313" t="s">
        <v>5816</v>
      </c>
      <c r="I5765" s="311" t="str">
        <f t="shared" si="242"/>
        <v>Pesado de Passageiros M3:  : Gasóleo : E6 D/E E7</v>
      </c>
      <c r="J5765">
        <v>89</v>
      </c>
      <c r="K5765" s="422">
        <v>2023</v>
      </c>
      <c r="L5765">
        <v>31081.200000000001</v>
      </c>
      <c r="M5765" t="s">
        <v>630</v>
      </c>
      <c r="N5765" s="131">
        <v>75015</v>
      </c>
      <c r="O5765" s="436">
        <f t="shared" si="243"/>
        <v>6676335</v>
      </c>
      <c r="Q5765" s="422" t="s">
        <v>47</v>
      </c>
      <c r="R5765" s="422" t="s">
        <v>1869</v>
      </c>
      <c r="S5765" s="422" t="s">
        <v>1861</v>
      </c>
      <c r="T5765" t="s">
        <v>4825</v>
      </c>
      <c r="U5765" s="422" t="s">
        <v>1953</v>
      </c>
      <c r="V5765" s="422" t="s">
        <v>2813</v>
      </c>
    </row>
    <row r="5766" spans="1:22" ht="15.75" thickBot="1" x14ac:dyDescent="0.3">
      <c r="A5766" t="s">
        <v>1910</v>
      </c>
      <c r="B5766" t="s">
        <v>1910</v>
      </c>
      <c r="C5766" s="424" t="str">
        <f t="shared" si="244"/>
        <v>Rodoviária de Lisboa, S.A.</v>
      </c>
      <c r="D5766" t="s">
        <v>629</v>
      </c>
      <c r="F5766" s="422" t="s">
        <v>620</v>
      </c>
      <c r="G5766" s="89">
        <v>2022</v>
      </c>
      <c r="H5766" s="313" t="s">
        <v>5816</v>
      </c>
      <c r="I5766" s="311" t="str">
        <f t="shared" si="242"/>
        <v>Pesado de Passageiros M3:  : Gasóleo : E6 D/E E7</v>
      </c>
      <c r="J5766">
        <v>89</v>
      </c>
      <c r="K5766" s="422">
        <v>2023</v>
      </c>
      <c r="L5766">
        <v>21564.2</v>
      </c>
      <c r="M5766" t="s">
        <v>630</v>
      </c>
      <c r="N5766" s="131">
        <v>61287</v>
      </c>
      <c r="O5766" s="436">
        <f t="shared" si="243"/>
        <v>5454543</v>
      </c>
      <c r="Q5766" s="422" t="s">
        <v>47</v>
      </c>
      <c r="R5766" s="422" t="s">
        <v>1869</v>
      </c>
      <c r="S5766" s="422" t="s">
        <v>1861</v>
      </c>
      <c r="T5766" t="s">
        <v>4825</v>
      </c>
      <c r="U5766" s="422" t="s">
        <v>1953</v>
      </c>
      <c r="V5766" s="422" t="s">
        <v>2813</v>
      </c>
    </row>
    <row r="5767" spans="1:22" ht="15.75" thickBot="1" x14ac:dyDescent="0.3">
      <c r="A5767" t="s">
        <v>1910</v>
      </c>
      <c r="B5767" t="s">
        <v>1910</v>
      </c>
      <c r="C5767" s="424" t="str">
        <f t="shared" si="244"/>
        <v>Rodoviária de Lisboa, S.A.</v>
      </c>
      <c r="D5767" t="s">
        <v>629</v>
      </c>
      <c r="F5767" s="422" t="s">
        <v>620</v>
      </c>
      <c r="G5767" s="89">
        <v>2022</v>
      </c>
      <c r="H5767" s="313" t="s">
        <v>5816</v>
      </c>
      <c r="I5767" s="311" t="str">
        <f t="shared" si="242"/>
        <v>Pesado de Passageiros M3:  : Gasóleo : E6 D/E E7</v>
      </c>
      <c r="J5767">
        <v>89</v>
      </c>
      <c r="K5767" s="422">
        <v>2023</v>
      </c>
      <c r="L5767">
        <v>19962.2</v>
      </c>
      <c r="M5767" t="s">
        <v>630</v>
      </c>
      <c r="N5767" s="131">
        <v>57777</v>
      </c>
      <c r="O5767" s="436">
        <f t="shared" si="243"/>
        <v>5142153</v>
      </c>
      <c r="Q5767" s="422" t="s">
        <v>47</v>
      </c>
      <c r="R5767" s="422" t="s">
        <v>1869</v>
      </c>
      <c r="S5767" s="422" t="s">
        <v>1861</v>
      </c>
      <c r="T5767" t="s">
        <v>4825</v>
      </c>
      <c r="U5767" s="422" t="s">
        <v>1953</v>
      </c>
      <c r="V5767" s="422" t="s">
        <v>2813</v>
      </c>
    </row>
    <row r="5768" spans="1:22" ht="15.75" thickBot="1" x14ac:dyDescent="0.3">
      <c r="A5768" t="s">
        <v>1910</v>
      </c>
      <c r="B5768" t="s">
        <v>1910</v>
      </c>
      <c r="C5768" s="424" t="str">
        <f t="shared" si="244"/>
        <v>Rodoviária de Lisboa, S.A.</v>
      </c>
      <c r="D5768" t="s">
        <v>629</v>
      </c>
      <c r="F5768" s="422" t="s">
        <v>620</v>
      </c>
      <c r="G5768" s="89">
        <v>2022</v>
      </c>
      <c r="H5768" s="313" t="s">
        <v>5816</v>
      </c>
      <c r="I5768" s="311" t="str">
        <f t="shared" si="242"/>
        <v>Pesado de Passageiros M3:  : Gasóleo : E6 D/E E7</v>
      </c>
      <c r="J5768">
        <v>83</v>
      </c>
      <c r="K5768" s="422">
        <v>2023</v>
      </c>
      <c r="L5768">
        <v>18378.900000000001</v>
      </c>
      <c r="M5768" t="s">
        <v>630</v>
      </c>
      <c r="N5768" s="131">
        <v>53299</v>
      </c>
      <c r="O5768" s="436">
        <f t="shared" si="243"/>
        <v>4423817</v>
      </c>
      <c r="Q5768" s="422" t="s">
        <v>47</v>
      </c>
      <c r="R5768" s="422" t="s">
        <v>1869</v>
      </c>
      <c r="S5768" s="422" t="s">
        <v>1861</v>
      </c>
      <c r="T5768" t="s">
        <v>4825</v>
      </c>
      <c r="U5768" s="422" t="s">
        <v>1953</v>
      </c>
      <c r="V5768" s="422" t="s">
        <v>2813</v>
      </c>
    </row>
    <row r="5769" spans="1:22" ht="15.75" thickBot="1" x14ac:dyDescent="0.3">
      <c r="A5769" t="s">
        <v>1910</v>
      </c>
      <c r="B5769" t="s">
        <v>1910</v>
      </c>
      <c r="C5769" s="424" t="str">
        <f t="shared" si="244"/>
        <v>Rodoviária de Lisboa, S.A.</v>
      </c>
      <c r="D5769" t="s">
        <v>629</v>
      </c>
      <c r="F5769" s="422" t="s">
        <v>620</v>
      </c>
      <c r="G5769" s="89">
        <v>2022</v>
      </c>
      <c r="H5769" s="313" t="s">
        <v>5816</v>
      </c>
      <c r="I5769" s="311" t="str">
        <f t="shared" si="242"/>
        <v>Pesado de Passageiros M3:  : Gasóleo : E6 D/E E7</v>
      </c>
      <c r="J5769">
        <v>89</v>
      </c>
      <c r="K5769" s="422">
        <v>2023</v>
      </c>
      <c r="L5769">
        <v>23517.200000000001</v>
      </c>
      <c r="M5769" t="s">
        <v>630</v>
      </c>
      <c r="N5769" s="131">
        <v>68167</v>
      </c>
      <c r="O5769" s="436">
        <f t="shared" si="243"/>
        <v>6066863</v>
      </c>
      <c r="Q5769" s="422" t="s">
        <v>47</v>
      </c>
      <c r="R5769" s="422" t="s">
        <v>1869</v>
      </c>
      <c r="S5769" s="422" t="s">
        <v>1861</v>
      </c>
      <c r="T5769" t="s">
        <v>4825</v>
      </c>
      <c r="U5769" s="422" t="s">
        <v>1953</v>
      </c>
      <c r="V5769" s="422" t="s">
        <v>2813</v>
      </c>
    </row>
    <row r="5770" spans="1:22" ht="15.75" thickBot="1" x14ac:dyDescent="0.3">
      <c r="A5770" t="s">
        <v>1910</v>
      </c>
      <c r="B5770" t="s">
        <v>1910</v>
      </c>
      <c r="C5770" s="424" t="str">
        <f t="shared" si="244"/>
        <v>Rodoviária de Lisboa, S.A.</v>
      </c>
      <c r="D5770" t="s">
        <v>629</v>
      </c>
      <c r="F5770" s="422" t="s">
        <v>620</v>
      </c>
      <c r="G5770" s="89">
        <v>2022</v>
      </c>
      <c r="H5770" s="313" t="s">
        <v>5816</v>
      </c>
      <c r="I5770" s="311" t="str">
        <f t="shared" si="242"/>
        <v>Pesado de Passageiros M3:  : Gasóleo : E6 D/E E7</v>
      </c>
      <c r="J5770">
        <v>89</v>
      </c>
      <c r="K5770" s="422">
        <v>2023</v>
      </c>
      <c r="L5770">
        <v>30534.5</v>
      </c>
      <c r="M5770" t="s">
        <v>630</v>
      </c>
      <c r="N5770" s="131">
        <v>74376</v>
      </c>
      <c r="O5770" s="436">
        <f t="shared" si="243"/>
        <v>6619464</v>
      </c>
      <c r="Q5770" s="422" t="s">
        <v>47</v>
      </c>
      <c r="R5770" s="422" t="s">
        <v>1869</v>
      </c>
      <c r="S5770" s="422" t="s">
        <v>1861</v>
      </c>
      <c r="T5770" t="s">
        <v>4825</v>
      </c>
      <c r="U5770" s="422" t="s">
        <v>1953</v>
      </c>
      <c r="V5770" s="422" t="s">
        <v>2813</v>
      </c>
    </row>
    <row r="5771" spans="1:22" ht="15.75" thickBot="1" x14ac:dyDescent="0.3">
      <c r="A5771" t="s">
        <v>1910</v>
      </c>
      <c r="B5771" t="s">
        <v>1910</v>
      </c>
      <c r="C5771" s="424" t="str">
        <f t="shared" si="244"/>
        <v>Rodoviária de Lisboa, S.A.</v>
      </c>
      <c r="D5771" t="s">
        <v>629</v>
      </c>
      <c r="F5771" s="422" t="s">
        <v>620</v>
      </c>
      <c r="G5771" s="89">
        <v>2022</v>
      </c>
      <c r="H5771" s="313" t="s">
        <v>5816</v>
      </c>
      <c r="I5771" s="311" t="str">
        <f t="shared" si="242"/>
        <v>Pesado de Passageiros M3:  : Gasóleo : E6 D/E E7</v>
      </c>
      <c r="J5771">
        <v>109</v>
      </c>
      <c r="K5771" s="422">
        <v>2023</v>
      </c>
      <c r="L5771">
        <v>19098.599999999999</v>
      </c>
      <c r="M5771" t="s">
        <v>630</v>
      </c>
      <c r="N5771" s="131">
        <v>50823</v>
      </c>
      <c r="O5771" s="436">
        <f t="shared" si="243"/>
        <v>5539707</v>
      </c>
      <c r="Q5771" s="422" t="s">
        <v>47</v>
      </c>
      <c r="R5771" s="422" t="s">
        <v>1869</v>
      </c>
      <c r="S5771" s="422" t="s">
        <v>1861</v>
      </c>
      <c r="T5771" t="s">
        <v>4825</v>
      </c>
      <c r="U5771" s="422" t="s">
        <v>1953</v>
      </c>
      <c r="V5771" s="422" t="s">
        <v>2813</v>
      </c>
    </row>
    <row r="5772" spans="1:22" ht="15.75" thickBot="1" x14ac:dyDescent="0.3">
      <c r="A5772" t="s">
        <v>1910</v>
      </c>
      <c r="B5772" t="s">
        <v>1910</v>
      </c>
      <c r="C5772" s="424" t="str">
        <f t="shared" si="244"/>
        <v>Rodoviária de Lisboa, S.A.</v>
      </c>
      <c r="D5772" t="s">
        <v>629</v>
      </c>
      <c r="F5772" s="422" t="s">
        <v>620</v>
      </c>
      <c r="G5772" s="89">
        <v>2022</v>
      </c>
      <c r="H5772" s="313" t="s">
        <v>5816</v>
      </c>
      <c r="I5772" s="311" t="str">
        <f t="shared" si="242"/>
        <v>Pesado de Passageiros M3:  : Gasóleo : E6 D/E E7</v>
      </c>
      <c r="J5772">
        <v>89</v>
      </c>
      <c r="K5772" s="422">
        <v>2023</v>
      </c>
      <c r="L5772">
        <v>30274.799999999999</v>
      </c>
      <c r="M5772" t="s">
        <v>630</v>
      </c>
      <c r="N5772" s="131">
        <v>87717</v>
      </c>
      <c r="O5772" s="436">
        <f t="shared" si="243"/>
        <v>7806813</v>
      </c>
      <c r="Q5772" s="422" t="s">
        <v>47</v>
      </c>
      <c r="R5772" s="422" t="s">
        <v>1869</v>
      </c>
      <c r="S5772" s="422" t="s">
        <v>1861</v>
      </c>
      <c r="T5772" t="s">
        <v>4825</v>
      </c>
      <c r="U5772" s="422" t="s">
        <v>1953</v>
      </c>
      <c r="V5772" s="422" t="s">
        <v>2813</v>
      </c>
    </row>
    <row r="5773" spans="1:22" ht="15.75" thickBot="1" x14ac:dyDescent="0.3">
      <c r="A5773" t="s">
        <v>1910</v>
      </c>
      <c r="B5773" t="s">
        <v>1910</v>
      </c>
      <c r="C5773" s="424" t="str">
        <f t="shared" si="244"/>
        <v>Rodoviária de Lisboa, S.A.</v>
      </c>
      <c r="D5773" t="s">
        <v>629</v>
      </c>
      <c r="F5773" s="422" t="s">
        <v>620</v>
      </c>
      <c r="G5773" s="89">
        <v>2022</v>
      </c>
      <c r="H5773" s="313" t="s">
        <v>5816</v>
      </c>
      <c r="I5773" s="311" t="str">
        <f t="shared" si="242"/>
        <v>Pesado de Passageiros M3:  : Gasóleo : E6 D/E E7</v>
      </c>
      <c r="J5773">
        <v>109</v>
      </c>
      <c r="K5773" s="422">
        <v>2023</v>
      </c>
      <c r="L5773">
        <v>19748.599999999999</v>
      </c>
      <c r="M5773" t="s">
        <v>630</v>
      </c>
      <c r="N5773" s="131">
        <v>52742</v>
      </c>
      <c r="O5773" s="436">
        <f t="shared" si="243"/>
        <v>5748878</v>
      </c>
      <c r="Q5773" s="422" t="s">
        <v>47</v>
      </c>
      <c r="R5773" s="422" t="s">
        <v>1869</v>
      </c>
      <c r="S5773" s="422" t="s">
        <v>1861</v>
      </c>
      <c r="T5773" t="s">
        <v>4825</v>
      </c>
      <c r="U5773" s="422" t="s">
        <v>1953</v>
      </c>
      <c r="V5773" s="422" t="s">
        <v>2813</v>
      </c>
    </row>
    <row r="5774" spans="1:22" ht="15.75" thickBot="1" x14ac:dyDescent="0.3">
      <c r="A5774" t="s">
        <v>1910</v>
      </c>
      <c r="B5774" t="s">
        <v>1910</v>
      </c>
      <c r="C5774" s="424" t="str">
        <f t="shared" si="244"/>
        <v>Rodoviária de Lisboa, S.A.</v>
      </c>
      <c r="D5774" t="s">
        <v>629</v>
      </c>
      <c r="F5774" s="422" t="s">
        <v>620</v>
      </c>
      <c r="G5774" s="89">
        <v>2022</v>
      </c>
      <c r="H5774" s="313" t="s">
        <v>5816</v>
      </c>
      <c r="I5774" s="311" t="str">
        <f t="shared" si="242"/>
        <v>Pesado de Passageiros M3:  : Gasóleo : E6 D/E E7</v>
      </c>
      <c r="J5774">
        <v>89</v>
      </c>
      <c r="K5774" s="422">
        <v>2023</v>
      </c>
      <c r="L5774">
        <v>22856.2</v>
      </c>
      <c r="M5774" t="s">
        <v>630</v>
      </c>
      <c r="N5774" s="131">
        <v>66349</v>
      </c>
      <c r="O5774" s="436">
        <f t="shared" si="243"/>
        <v>5905061</v>
      </c>
      <c r="Q5774" s="422" t="s">
        <v>47</v>
      </c>
      <c r="R5774" s="422" t="s">
        <v>1869</v>
      </c>
      <c r="S5774" s="422" t="s">
        <v>1861</v>
      </c>
      <c r="T5774" t="s">
        <v>4825</v>
      </c>
      <c r="U5774" s="422" t="s">
        <v>1953</v>
      </c>
      <c r="V5774" s="422" t="s">
        <v>2813</v>
      </c>
    </row>
    <row r="5775" spans="1:22" ht="15.75" thickBot="1" x14ac:dyDescent="0.3">
      <c r="A5775" t="s">
        <v>1910</v>
      </c>
      <c r="B5775" t="s">
        <v>1910</v>
      </c>
      <c r="C5775" s="424" t="str">
        <f t="shared" si="244"/>
        <v>Rodoviária de Lisboa, S.A.</v>
      </c>
      <c r="D5775" t="s">
        <v>629</v>
      </c>
      <c r="F5775" s="422" t="s">
        <v>620</v>
      </c>
      <c r="G5775" s="89">
        <v>2022</v>
      </c>
      <c r="H5775" s="313" t="s">
        <v>5816</v>
      </c>
      <c r="I5775" s="311" t="str">
        <f t="shared" si="242"/>
        <v>Pesado de Passageiros M3:  : Gasóleo : E6 D/E E7</v>
      </c>
      <c r="J5775">
        <v>109</v>
      </c>
      <c r="K5775" s="422">
        <v>2023</v>
      </c>
      <c r="L5775">
        <v>22647.4</v>
      </c>
      <c r="M5775" t="s">
        <v>630</v>
      </c>
      <c r="N5775" s="131">
        <v>53030</v>
      </c>
      <c r="O5775" s="436">
        <f t="shared" si="243"/>
        <v>5780270</v>
      </c>
      <c r="Q5775" s="422" t="s">
        <v>47</v>
      </c>
      <c r="R5775" s="422" t="s">
        <v>1869</v>
      </c>
      <c r="S5775" s="422" t="s">
        <v>1861</v>
      </c>
      <c r="T5775" t="s">
        <v>4825</v>
      </c>
      <c r="U5775" s="422" t="s">
        <v>1953</v>
      </c>
      <c r="V5775" s="422" t="s">
        <v>2813</v>
      </c>
    </row>
    <row r="5776" spans="1:22" ht="15.75" thickBot="1" x14ac:dyDescent="0.3">
      <c r="A5776" t="s">
        <v>1910</v>
      </c>
      <c r="B5776" t="s">
        <v>1910</v>
      </c>
      <c r="C5776" s="424" t="str">
        <f t="shared" si="244"/>
        <v>Rodoviária de Lisboa, S.A.</v>
      </c>
      <c r="D5776" t="s">
        <v>629</v>
      </c>
      <c r="F5776" s="422" t="s">
        <v>1944</v>
      </c>
      <c r="G5776" s="89">
        <v>2019</v>
      </c>
      <c r="H5776" s="313" t="s">
        <v>733</v>
      </c>
      <c r="I5776" s="311" t="str">
        <f t="shared" si="242"/>
        <v>Pesado de Passageiros M3:  : GNC : E6</v>
      </c>
      <c r="J5776">
        <v>31</v>
      </c>
      <c r="K5776" s="422">
        <v>2023</v>
      </c>
      <c r="L5776">
        <v>7249.2</v>
      </c>
      <c r="M5776" t="s">
        <v>1924</v>
      </c>
      <c r="N5776" s="131">
        <v>25590</v>
      </c>
      <c r="O5776" s="436">
        <f t="shared" si="243"/>
        <v>793290</v>
      </c>
      <c r="Q5776" s="422" t="s">
        <v>47</v>
      </c>
      <c r="R5776" s="422" t="s">
        <v>1869</v>
      </c>
      <c r="S5776" s="422" t="s">
        <v>1945</v>
      </c>
      <c r="T5776" t="s">
        <v>4825</v>
      </c>
      <c r="U5776" s="422" t="s">
        <v>1953</v>
      </c>
      <c r="V5776" s="422" t="s">
        <v>2813</v>
      </c>
    </row>
    <row r="5777" spans="1:22" ht="15.75" thickBot="1" x14ac:dyDescent="0.3">
      <c r="A5777" t="s">
        <v>1910</v>
      </c>
      <c r="B5777" t="s">
        <v>1910</v>
      </c>
      <c r="C5777" s="424" t="str">
        <f t="shared" si="244"/>
        <v>Rodoviária de Lisboa, S.A.</v>
      </c>
      <c r="D5777" t="s">
        <v>629</v>
      </c>
      <c r="F5777" s="422" t="s">
        <v>1944</v>
      </c>
      <c r="G5777" s="89">
        <v>2019</v>
      </c>
      <c r="H5777" s="313" t="s">
        <v>733</v>
      </c>
      <c r="I5777" s="311" t="str">
        <f t="shared" si="242"/>
        <v>Pesado de Passageiros M3:  : GNC : E6</v>
      </c>
      <c r="J5777">
        <v>31</v>
      </c>
      <c r="K5777" s="422">
        <v>2023</v>
      </c>
      <c r="L5777">
        <v>10050.1</v>
      </c>
      <c r="M5777" t="s">
        <v>1924</v>
      </c>
      <c r="N5777" s="131">
        <v>35582</v>
      </c>
      <c r="O5777" s="436">
        <f t="shared" si="243"/>
        <v>1103042</v>
      </c>
      <c r="Q5777" s="422" t="s">
        <v>47</v>
      </c>
      <c r="R5777" s="422" t="s">
        <v>1869</v>
      </c>
      <c r="S5777" s="422" t="s">
        <v>1945</v>
      </c>
      <c r="T5777" t="s">
        <v>4825</v>
      </c>
      <c r="U5777" s="422" t="s">
        <v>1953</v>
      </c>
      <c r="V5777" s="422" t="s">
        <v>2813</v>
      </c>
    </row>
    <row r="5778" spans="1:22" ht="15.75" thickBot="1" x14ac:dyDescent="0.3">
      <c r="A5778" t="s">
        <v>1910</v>
      </c>
      <c r="B5778" t="s">
        <v>1910</v>
      </c>
      <c r="C5778" s="424" t="str">
        <f t="shared" si="244"/>
        <v>Rodoviária de Lisboa, S.A.</v>
      </c>
      <c r="D5778" t="s">
        <v>629</v>
      </c>
      <c r="F5778" s="422" t="s">
        <v>1944</v>
      </c>
      <c r="G5778" s="89">
        <v>2019</v>
      </c>
      <c r="H5778" s="313" t="s">
        <v>733</v>
      </c>
      <c r="I5778" s="311" t="str">
        <f t="shared" si="242"/>
        <v>Pesado de Passageiros M3:  : GNC : E6</v>
      </c>
      <c r="J5778">
        <v>85</v>
      </c>
      <c r="K5778" s="422">
        <v>2023</v>
      </c>
      <c r="L5778">
        <v>33115.1</v>
      </c>
      <c r="M5778" t="s">
        <v>1924</v>
      </c>
      <c r="N5778" s="131">
        <v>73998</v>
      </c>
      <c r="O5778" s="436">
        <f t="shared" si="243"/>
        <v>6289830</v>
      </c>
      <c r="Q5778" s="422" t="s">
        <v>47</v>
      </c>
      <c r="R5778" s="422" t="s">
        <v>1869</v>
      </c>
      <c r="S5778" s="422" t="s">
        <v>1945</v>
      </c>
      <c r="T5778" t="s">
        <v>4825</v>
      </c>
      <c r="U5778" s="422" t="s">
        <v>1953</v>
      </c>
      <c r="V5778" s="422" t="s">
        <v>2813</v>
      </c>
    </row>
    <row r="5779" spans="1:22" ht="15.75" thickBot="1" x14ac:dyDescent="0.3">
      <c r="A5779" t="s">
        <v>1910</v>
      </c>
      <c r="B5779" t="s">
        <v>1910</v>
      </c>
      <c r="C5779" s="424" t="str">
        <f t="shared" si="244"/>
        <v>Rodoviária de Lisboa, S.A.</v>
      </c>
      <c r="D5779" t="s">
        <v>629</v>
      </c>
      <c r="F5779" s="422" t="s">
        <v>1944</v>
      </c>
      <c r="G5779" s="89">
        <v>2014</v>
      </c>
      <c r="H5779" s="313" t="s">
        <v>733</v>
      </c>
      <c r="I5779" s="311" t="str">
        <f t="shared" si="242"/>
        <v>Pesado de Passageiros M3:  : GNC : E6</v>
      </c>
      <c r="J5779">
        <v>69</v>
      </c>
      <c r="K5779" s="422">
        <v>2023</v>
      </c>
      <c r="L5779">
        <v>19730.400000000001</v>
      </c>
      <c r="M5779" t="s">
        <v>1924</v>
      </c>
      <c r="N5779" s="131">
        <v>33938</v>
      </c>
      <c r="O5779" s="436">
        <f t="shared" si="243"/>
        <v>2341722</v>
      </c>
      <c r="Q5779" s="422" t="s">
        <v>47</v>
      </c>
      <c r="R5779" s="422" t="s">
        <v>1869</v>
      </c>
      <c r="S5779" s="422" t="s">
        <v>1945</v>
      </c>
      <c r="T5779" t="s">
        <v>4825</v>
      </c>
      <c r="U5779" s="422" t="s">
        <v>1953</v>
      </c>
      <c r="V5779" s="422" t="s">
        <v>2813</v>
      </c>
    </row>
    <row r="5780" spans="1:22" ht="15.75" thickBot="1" x14ac:dyDescent="0.3">
      <c r="A5780" t="s">
        <v>1910</v>
      </c>
      <c r="B5780" t="s">
        <v>1910</v>
      </c>
      <c r="C5780" s="424" t="str">
        <f t="shared" si="244"/>
        <v>Rodoviária de Lisboa, S.A.</v>
      </c>
      <c r="D5780" t="s">
        <v>629</v>
      </c>
      <c r="F5780" s="422" t="s">
        <v>1944</v>
      </c>
      <c r="G5780" s="89">
        <v>2022</v>
      </c>
      <c r="H5780" s="313" t="s">
        <v>733</v>
      </c>
      <c r="I5780" s="311" t="str">
        <f t="shared" si="242"/>
        <v>Pesado de Passageiros M3:  : GNC : E6</v>
      </c>
      <c r="J5780">
        <v>24</v>
      </c>
      <c r="K5780" s="422">
        <v>2023</v>
      </c>
      <c r="L5780">
        <v>8510.1</v>
      </c>
      <c r="M5780" t="s">
        <v>1924</v>
      </c>
      <c r="N5780" s="131">
        <v>31091</v>
      </c>
      <c r="O5780" s="436">
        <f t="shared" si="243"/>
        <v>746184</v>
      </c>
      <c r="Q5780" s="422" t="s">
        <v>47</v>
      </c>
      <c r="R5780" s="422" t="s">
        <v>1869</v>
      </c>
      <c r="S5780" s="422" t="s">
        <v>1945</v>
      </c>
      <c r="T5780" t="s">
        <v>4825</v>
      </c>
      <c r="U5780" s="422" t="s">
        <v>1953</v>
      </c>
      <c r="V5780" s="422" t="s">
        <v>2813</v>
      </c>
    </row>
    <row r="5781" spans="1:22" ht="15.75" thickBot="1" x14ac:dyDescent="0.3">
      <c r="A5781" t="s">
        <v>4598</v>
      </c>
      <c r="B5781" t="s">
        <v>4598</v>
      </c>
      <c r="C5781" s="424" t="str">
        <f t="shared" si="244"/>
        <v>Transol - Transportes e Turismo, S.A.</v>
      </c>
      <c r="D5781" t="s">
        <v>629</v>
      </c>
      <c r="F5781" t="s">
        <v>620</v>
      </c>
      <c r="G5781" s="435">
        <v>2001</v>
      </c>
      <c r="H5781" s="433" t="s">
        <v>732</v>
      </c>
      <c r="I5781" s="311" t="str">
        <f t="shared" si="242"/>
        <v>Pesado de Passageiros M3:  : Gasóleo : E3</v>
      </c>
      <c r="J5781" s="433">
        <v>49</v>
      </c>
      <c r="K5781" s="422">
        <v>2023</v>
      </c>
      <c r="L5781" s="427">
        <v>8049.17</v>
      </c>
      <c r="M5781" s="427" t="s">
        <v>630</v>
      </c>
      <c r="N5781" s="434">
        <v>23543</v>
      </c>
      <c r="O5781" s="436">
        <f t="shared" si="243"/>
        <v>1153607</v>
      </c>
      <c r="Q5781" s="422" t="s">
        <v>47</v>
      </c>
      <c r="R5781" s="422" t="s">
        <v>1869</v>
      </c>
      <c r="S5781" s="422" t="s">
        <v>1861</v>
      </c>
      <c r="T5781" t="s">
        <v>4823</v>
      </c>
      <c r="U5781" s="422" t="s">
        <v>1953</v>
      </c>
      <c r="V5781" s="422" t="s">
        <v>2813</v>
      </c>
    </row>
    <row r="5782" spans="1:22" ht="15.75" thickBot="1" x14ac:dyDescent="0.3">
      <c r="A5782" t="s">
        <v>4598</v>
      </c>
      <c r="B5782" t="s">
        <v>4598</v>
      </c>
      <c r="C5782" s="424" t="str">
        <f t="shared" si="244"/>
        <v>Transol - Transportes e Turismo, S.A.</v>
      </c>
      <c r="D5782" t="s">
        <v>629</v>
      </c>
      <c r="F5782" t="s">
        <v>620</v>
      </c>
      <c r="G5782" s="435">
        <v>2019</v>
      </c>
      <c r="H5782" s="433" t="s">
        <v>733</v>
      </c>
      <c r="I5782" s="311" t="str">
        <f t="shared" si="242"/>
        <v>Pesado de Passageiros M3:  : Gasóleo : E6</v>
      </c>
      <c r="J5782" s="433">
        <v>24</v>
      </c>
      <c r="K5782" s="422">
        <v>2023</v>
      </c>
      <c r="L5782" s="427">
        <v>12195.93</v>
      </c>
      <c r="M5782" s="427" t="s">
        <v>630</v>
      </c>
      <c r="N5782" s="434">
        <v>68404</v>
      </c>
      <c r="O5782" s="436">
        <f t="shared" si="243"/>
        <v>1641696</v>
      </c>
      <c r="Q5782" s="422" t="s">
        <v>47</v>
      </c>
      <c r="R5782" s="422" t="s">
        <v>1869</v>
      </c>
      <c r="S5782" s="422" t="s">
        <v>1861</v>
      </c>
      <c r="T5782" t="s">
        <v>4823</v>
      </c>
      <c r="U5782" s="422" t="s">
        <v>1953</v>
      </c>
      <c r="V5782" s="422" t="s">
        <v>2813</v>
      </c>
    </row>
    <row r="5783" spans="1:22" ht="15.75" thickBot="1" x14ac:dyDescent="0.3">
      <c r="A5783" t="s">
        <v>4598</v>
      </c>
      <c r="B5783" t="s">
        <v>4598</v>
      </c>
      <c r="C5783" s="424" t="str">
        <f t="shared" si="244"/>
        <v>Transol - Transportes e Turismo, S.A.</v>
      </c>
      <c r="D5783" t="s">
        <v>629</v>
      </c>
      <c r="F5783" t="s">
        <v>620</v>
      </c>
      <c r="G5783" s="435">
        <v>2019</v>
      </c>
      <c r="H5783" s="433" t="s">
        <v>733</v>
      </c>
      <c r="I5783" s="311" t="str">
        <f t="shared" si="242"/>
        <v>Pesado de Passageiros M3:  : Gasóleo : E6</v>
      </c>
      <c r="J5783" s="433">
        <v>24</v>
      </c>
      <c r="K5783" s="422">
        <v>2023</v>
      </c>
      <c r="L5783" s="427">
        <v>11150.170000000002</v>
      </c>
      <c r="M5783" s="427" t="s">
        <v>630</v>
      </c>
      <c r="N5783" s="434">
        <v>69896</v>
      </c>
      <c r="O5783" s="436">
        <f t="shared" si="243"/>
        <v>1677504</v>
      </c>
      <c r="Q5783" s="422" t="s">
        <v>47</v>
      </c>
      <c r="R5783" s="422" t="s">
        <v>1869</v>
      </c>
      <c r="S5783" s="422" t="s">
        <v>1861</v>
      </c>
      <c r="T5783" t="s">
        <v>4823</v>
      </c>
      <c r="U5783" s="422" t="s">
        <v>1953</v>
      </c>
      <c r="V5783" s="422" t="s">
        <v>2813</v>
      </c>
    </row>
    <row r="5784" spans="1:22" ht="15.75" thickBot="1" x14ac:dyDescent="0.3">
      <c r="A5784" t="s">
        <v>4598</v>
      </c>
      <c r="B5784" t="s">
        <v>4598</v>
      </c>
      <c r="C5784" s="424" t="str">
        <f t="shared" si="244"/>
        <v>Transol - Transportes e Turismo, S.A.</v>
      </c>
      <c r="D5784" t="s">
        <v>629</v>
      </c>
      <c r="F5784" t="s">
        <v>620</v>
      </c>
      <c r="G5784" s="435">
        <v>2008</v>
      </c>
      <c r="H5784" s="433" t="s">
        <v>731</v>
      </c>
      <c r="I5784" s="311" t="str">
        <f t="shared" si="242"/>
        <v>Pesado de Passageiros M3:  : Gasóleo : E4</v>
      </c>
      <c r="J5784" s="433">
        <v>59</v>
      </c>
      <c r="K5784" s="422">
        <v>2023</v>
      </c>
      <c r="L5784" s="427">
        <v>14446.720000000001</v>
      </c>
      <c r="M5784" s="427" t="s">
        <v>630</v>
      </c>
      <c r="N5784" s="434">
        <v>39142</v>
      </c>
      <c r="O5784" s="436">
        <f t="shared" si="243"/>
        <v>2309378</v>
      </c>
      <c r="Q5784" s="422" t="s">
        <v>47</v>
      </c>
      <c r="R5784" s="422" t="s">
        <v>1869</v>
      </c>
      <c r="S5784" s="422" t="s">
        <v>1861</v>
      </c>
      <c r="T5784" t="s">
        <v>4823</v>
      </c>
      <c r="U5784" s="422" t="s">
        <v>1953</v>
      </c>
      <c r="V5784" s="422" t="s">
        <v>2813</v>
      </c>
    </row>
    <row r="5785" spans="1:22" ht="15.75" thickBot="1" x14ac:dyDescent="0.3">
      <c r="A5785" t="s">
        <v>4598</v>
      </c>
      <c r="B5785" t="s">
        <v>4598</v>
      </c>
      <c r="C5785" s="424" t="str">
        <f t="shared" si="244"/>
        <v>Transol - Transportes e Turismo, S.A.</v>
      </c>
      <c r="D5785" t="s">
        <v>629</v>
      </c>
      <c r="F5785" t="s">
        <v>620</v>
      </c>
      <c r="G5785" s="435">
        <v>2008</v>
      </c>
      <c r="H5785" s="433" t="s">
        <v>731</v>
      </c>
      <c r="I5785" s="311" t="str">
        <f t="shared" si="242"/>
        <v>Pesado de Passageiros M3:  : Gasóleo : E4</v>
      </c>
      <c r="J5785" s="433">
        <v>55</v>
      </c>
      <c r="K5785" s="422">
        <v>2023</v>
      </c>
      <c r="L5785" s="427">
        <v>14025.660000000002</v>
      </c>
      <c r="M5785" s="427" t="s">
        <v>630</v>
      </c>
      <c r="N5785" s="434">
        <v>34339</v>
      </c>
      <c r="O5785" s="436">
        <f t="shared" si="243"/>
        <v>1888645</v>
      </c>
      <c r="Q5785" s="422" t="s">
        <v>47</v>
      </c>
      <c r="R5785" s="422" t="s">
        <v>1869</v>
      </c>
      <c r="S5785" s="422" t="s">
        <v>1861</v>
      </c>
      <c r="T5785" t="s">
        <v>4823</v>
      </c>
      <c r="U5785" s="422" t="s">
        <v>1953</v>
      </c>
      <c r="V5785" s="422" t="s">
        <v>2813</v>
      </c>
    </row>
    <row r="5786" spans="1:22" ht="15.75" thickBot="1" x14ac:dyDescent="0.3">
      <c r="A5786" t="s">
        <v>4598</v>
      </c>
      <c r="B5786" t="s">
        <v>4598</v>
      </c>
      <c r="C5786" s="424" t="str">
        <f t="shared" si="244"/>
        <v>Transol - Transportes e Turismo, S.A.</v>
      </c>
      <c r="D5786" t="s">
        <v>629</v>
      </c>
      <c r="F5786" t="s">
        <v>620</v>
      </c>
      <c r="G5786" s="435">
        <v>2008</v>
      </c>
      <c r="H5786" s="433" t="s">
        <v>731</v>
      </c>
      <c r="I5786" s="311" t="str">
        <f t="shared" si="242"/>
        <v>Pesado de Passageiros M3:  : Gasóleo : E4</v>
      </c>
      <c r="J5786" s="433">
        <v>59</v>
      </c>
      <c r="K5786" s="422">
        <v>2023</v>
      </c>
      <c r="L5786" s="427">
        <v>18552.93</v>
      </c>
      <c r="M5786" s="427" t="s">
        <v>630</v>
      </c>
      <c r="N5786" s="434">
        <v>54152</v>
      </c>
      <c r="O5786" s="436">
        <f t="shared" si="243"/>
        <v>3194968</v>
      </c>
      <c r="Q5786" s="422" t="s">
        <v>47</v>
      </c>
      <c r="R5786" s="422" t="s">
        <v>1869</v>
      </c>
      <c r="S5786" s="422" t="s">
        <v>1861</v>
      </c>
      <c r="T5786" t="s">
        <v>4823</v>
      </c>
      <c r="U5786" s="422" t="s">
        <v>1953</v>
      </c>
      <c r="V5786" s="422" t="s">
        <v>2813</v>
      </c>
    </row>
    <row r="5787" spans="1:22" ht="15.75" thickBot="1" x14ac:dyDescent="0.3">
      <c r="A5787" t="s">
        <v>4598</v>
      </c>
      <c r="B5787" t="s">
        <v>4598</v>
      </c>
      <c r="C5787" s="424" t="str">
        <f t="shared" si="244"/>
        <v>Transol - Transportes e Turismo, S.A.</v>
      </c>
      <c r="D5787" t="s">
        <v>629</v>
      </c>
      <c r="F5787" t="s">
        <v>620</v>
      </c>
      <c r="G5787" s="435">
        <v>2008</v>
      </c>
      <c r="H5787" s="433" t="s">
        <v>731</v>
      </c>
      <c r="I5787" s="311" t="str">
        <f t="shared" si="242"/>
        <v>Pesado de Passageiros M3:  : Gasóleo : E4</v>
      </c>
      <c r="J5787" s="433">
        <v>55</v>
      </c>
      <c r="K5787" s="422">
        <v>2023</v>
      </c>
      <c r="L5787" s="427">
        <v>14059.359999999999</v>
      </c>
      <c r="M5787" s="427" t="s">
        <v>630</v>
      </c>
      <c r="N5787" s="434">
        <v>41090</v>
      </c>
      <c r="O5787" s="436">
        <f t="shared" si="243"/>
        <v>2259950</v>
      </c>
      <c r="Q5787" s="422" t="s">
        <v>47</v>
      </c>
      <c r="R5787" s="422" t="s">
        <v>1869</v>
      </c>
      <c r="S5787" s="422" t="s">
        <v>1861</v>
      </c>
      <c r="T5787" t="s">
        <v>4823</v>
      </c>
      <c r="U5787" s="422" t="s">
        <v>1953</v>
      </c>
      <c r="V5787" s="422" t="s">
        <v>2813</v>
      </c>
    </row>
    <row r="5788" spans="1:22" ht="15.75" thickBot="1" x14ac:dyDescent="0.3">
      <c r="A5788" t="s">
        <v>4598</v>
      </c>
      <c r="B5788" t="s">
        <v>4598</v>
      </c>
      <c r="C5788" s="424" t="str">
        <f t="shared" si="244"/>
        <v>Transol - Transportes e Turismo, S.A.</v>
      </c>
      <c r="D5788" t="s">
        <v>629</v>
      </c>
      <c r="F5788" t="s">
        <v>620</v>
      </c>
      <c r="G5788" s="435">
        <v>2008</v>
      </c>
      <c r="H5788" s="433" t="s">
        <v>731</v>
      </c>
      <c r="I5788" s="311" t="str">
        <f t="shared" si="242"/>
        <v>Pesado de Passageiros M3:  : Gasóleo : E4</v>
      </c>
      <c r="J5788" s="433">
        <v>55</v>
      </c>
      <c r="K5788" s="422">
        <v>2023</v>
      </c>
      <c r="L5788" s="427">
        <v>21540.530000000002</v>
      </c>
      <c r="M5788" s="427" t="s">
        <v>630</v>
      </c>
      <c r="N5788" s="434">
        <v>60765</v>
      </c>
      <c r="O5788" s="436">
        <f t="shared" si="243"/>
        <v>3342075</v>
      </c>
      <c r="Q5788" s="422" t="s">
        <v>47</v>
      </c>
      <c r="R5788" s="422" t="s">
        <v>1869</v>
      </c>
      <c r="S5788" s="422" t="s">
        <v>1861</v>
      </c>
      <c r="T5788" t="s">
        <v>4823</v>
      </c>
      <c r="U5788" s="422" t="s">
        <v>1953</v>
      </c>
      <c r="V5788" s="422" t="s">
        <v>2813</v>
      </c>
    </row>
    <row r="5789" spans="1:22" ht="15.75" thickBot="1" x14ac:dyDescent="0.3">
      <c r="A5789" t="s">
        <v>4598</v>
      </c>
      <c r="B5789" t="s">
        <v>4598</v>
      </c>
      <c r="C5789" s="424" t="str">
        <f t="shared" si="244"/>
        <v>Transol - Transportes e Turismo, S.A.</v>
      </c>
      <c r="D5789" t="s">
        <v>629</v>
      </c>
      <c r="F5789" t="s">
        <v>620</v>
      </c>
      <c r="G5789" s="435">
        <v>2017</v>
      </c>
      <c r="H5789" s="433" t="s">
        <v>733</v>
      </c>
      <c r="I5789" s="311" t="str">
        <f t="shared" si="242"/>
        <v>Pesado de Passageiros M3:  : Gasóleo : E6</v>
      </c>
      <c r="J5789" s="433">
        <v>57</v>
      </c>
      <c r="K5789" s="422">
        <v>2023</v>
      </c>
      <c r="L5789" s="427">
        <v>19598.829999999998</v>
      </c>
      <c r="M5789" s="427" t="s">
        <v>630</v>
      </c>
      <c r="N5789" s="434">
        <v>67957</v>
      </c>
      <c r="O5789" s="436">
        <f t="shared" si="243"/>
        <v>3873549</v>
      </c>
      <c r="Q5789" s="422" t="s">
        <v>47</v>
      </c>
      <c r="R5789" s="422" t="s">
        <v>1869</v>
      </c>
      <c r="S5789" s="422" t="s">
        <v>1861</v>
      </c>
      <c r="T5789" t="s">
        <v>4823</v>
      </c>
      <c r="U5789" s="422" t="s">
        <v>1953</v>
      </c>
      <c r="V5789" s="422" t="s">
        <v>2813</v>
      </c>
    </row>
    <row r="5790" spans="1:22" ht="15.75" thickBot="1" x14ac:dyDescent="0.3">
      <c r="A5790" t="s">
        <v>4598</v>
      </c>
      <c r="B5790" t="s">
        <v>4598</v>
      </c>
      <c r="C5790" s="424" t="str">
        <f t="shared" si="244"/>
        <v>Transol - Transportes e Turismo, S.A.</v>
      </c>
      <c r="D5790" t="s">
        <v>629</v>
      </c>
      <c r="F5790" t="s">
        <v>620</v>
      </c>
      <c r="G5790" s="435">
        <v>2019</v>
      </c>
      <c r="H5790" s="433" t="s">
        <v>733</v>
      </c>
      <c r="I5790" s="311" t="str">
        <f t="shared" si="242"/>
        <v>Pesado de Passageiros M3:  : Gasóleo : E6</v>
      </c>
      <c r="J5790" s="433">
        <v>50</v>
      </c>
      <c r="K5790" s="422">
        <v>2023</v>
      </c>
      <c r="L5790" s="427">
        <v>10986.94</v>
      </c>
      <c r="M5790" s="427" t="s">
        <v>630</v>
      </c>
      <c r="N5790" s="434">
        <v>51934</v>
      </c>
      <c r="O5790" s="436">
        <f t="shared" si="243"/>
        <v>2596700</v>
      </c>
      <c r="Q5790" s="422" t="s">
        <v>47</v>
      </c>
      <c r="R5790" s="422" t="s">
        <v>1869</v>
      </c>
      <c r="S5790" s="422" t="s">
        <v>1861</v>
      </c>
      <c r="T5790" t="s">
        <v>4823</v>
      </c>
      <c r="U5790" s="422" t="s">
        <v>1953</v>
      </c>
      <c r="V5790" s="422" t="s">
        <v>2813</v>
      </c>
    </row>
    <row r="5791" spans="1:22" ht="15.75" thickBot="1" x14ac:dyDescent="0.3">
      <c r="A5791" t="s">
        <v>4598</v>
      </c>
      <c r="B5791" t="s">
        <v>4598</v>
      </c>
      <c r="C5791" s="424" t="str">
        <f t="shared" si="244"/>
        <v>Transol - Transportes e Turismo, S.A.</v>
      </c>
      <c r="D5791" t="s">
        <v>629</v>
      </c>
      <c r="F5791" t="s">
        <v>620</v>
      </c>
      <c r="G5791" s="435">
        <v>2004</v>
      </c>
      <c r="H5791" s="433" t="s">
        <v>732</v>
      </c>
      <c r="I5791" s="311" t="str">
        <f t="shared" si="242"/>
        <v>Pesado de Passageiros M3:  : Gasóleo : E3</v>
      </c>
      <c r="J5791" s="433">
        <v>16</v>
      </c>
      <c r="K5791" s="422">
        <v>2023</v>
      </c>
      <c r="L5791" s="427">
        <v>8677.36</v>
      </c>
      <c r="M5791" s="427" t="s">
        <v>630</v>
      </c>
      <c r="N5791" s="434">
        <v>25875</v>
      </c>
      <c r="O5791" s="436">
        <f t="shared" si="243"/>
        <v>414000</v>
      </c>
      <c r="Q5791" s="422" t="s">
        <v>47</v>
      </c>
      <c r="R5791" s="422" t="s">
        <v>1869</v>
      </c>
      <c r="S5791" s="422" t="s">
        <v>1861</v>
      </c>
      <c r="T5791" t="s">
        <v>4823</v>
      </c>
      <c r="U5791" s="422" t="s">
        <v>1953</v>
      </c>
      <c r="V5791" s="422" t="s">
        <v>2813</v>
      </c>
    </row>
    <row r="5792" spans="1:22" ht="15.75" thickBot="1" x14ac:dyDescent="0.3">
      <c r="A5792" t="s">
        <v>4598</v>
      </c>
      <c r="B5792" t="s">
        <v>4598</v>
      </c>
      <c r="C5792" s="424" t="str">
        <f t="shared" si="244"/>
        <v>Transol - Transportes e Turismo, S.A.</v>
      </c>
      <c r="D5792" t="s">
        <v>629</v>
      </c>
      <c r="F5792" t="s">
        <v>620</v>
      </c>
      <c r="G5792" s="435">
        <v>2004</v>
      </c>
      <c r="H5792" s="433" t="s">
        <v>732</v>
      </c>
      <c r="I5792" s="311" t="str">
        <f t="shared" si="242"/>
        <v>Pesado de Passageiros M3:  : Gasóleo : E3</v>
      </c>
      <c r="J5792" s="433">
        <v>24</v>
      </c>
      <c r="K5792" s="422">
        <v>2023</v>
      </c>
      <c r="L5792" s="427">
        <v>14716.150000000001</v>
      </c>
      <c r="M5792" s="427" t="s">
        <v>630</v>
      </c>
      <c r="N5792" s="434">
        <v>45199</v>
      </c>
      <c r="O5792" s="436">
        <f t="shared" si="243"/>
        <v>1084776</v>
      </c>
      <c r="Q5792" s="422" t="s">
        <v>47</v>
      </c>
      <c r="R5792" s="422" t="s">
        <v>1869</v>
      </c>
      <c r="S5792" s="422" t="s">
        <v>1861</v>
      </c>
      <c r="T5792" t="s">
        <v>4823</v>
      </c>
      <c r="U5792" s="422" t="s">
        <v>1953</v>
      </c>
      <c r="V5792" s="422" t="s">
        <v>2813</v>
      </c>
    </row>
    <row r="5793" spans="1:22" ht="15.75" thickBot="1" x14ac:dyDescent="0.3">
      <c r="A5793" t="s">
        <v>4598</v>
      </c>
      <c r="B5793" t="s">
        <v>4598</v>
      </c>
      <c r="C5793" s="424" t="str">
        <f t="shared" si="244"/>
        <v>Transol - Transportes e Turismo, S.A.</v>
      </c>
      <c r="D5793" t="s">
        <v>629</v>
      </c>
      <c r="F5793" t="s">
        <v>620</v>
      </c>
      <c r="G5793" s="435">
        <v>2010</v>
      </c>
      <c r="H5793" s="433" t="s">
        <v>734</v>
      </c>
      <c r="I5793" s="311" t="str">
        <f t="shared" si="242"/>
        <v>Pesado de Passageiros M3:  : Gasóleo : E5</v>
      </c>
      <c r="J5793" s="433">
        <v>16</v>
      </c>
      <c r="K5793" s="422">
        <v>2023</v>
      </c>
      <c r="L5793" s="427">
        <v>3729.8500000000004</v>
      </c>
      <c r="M5793" s="427" t="s">
        <v>630</v>
      </c>
      <c r="N5793" s="434">
        <v>21191</v>
      </c>
      <c r="O5793" s="436">
        <f t="shared" si="243"/>
        <v>339056</v>
      </c>
      <c r="Q5793" s="422" t="s">
        <v>47</v>
      </c>
      <c r="R5793" s="422" t="s">
        <v>1869</v>
      </c>
      <c r="S5793" s="422" t="s">
        <v>1861</v>
      </c>
      <c r="T5793" t="s">
        <v>4823</v>
      </c>
      <c r="U5793" s="422" t="s">
        <v>1953</v>
      </c>
      <c r="V5793" s="422" t="s">
        <v>2813</v>
      </c>
    </row>
    <row r="5794" spans="1:22" ht="15.75" thickBot="1" x14ac:dyDescent="0.3">
      <c r="A5794" t="s">
        <v>4598</v>
      </c>
      <c r="B5794" t="s">
        <v>4598</v>
      </c>
      <c r="C5794" s="424" t="str">
        <f t="shared" si="244"/>
        <v>Transol - Transportes e Turismo, S.A.</v>
      </c>
      <c r="D5794" t="s">
        <v>629</v>
      </c>
      <c r="F5794" t="s">
        <v>620</v>
      </c>
      <c r="G5794" s="435">
        <v>2019</v>
      </c>
      <c r="H5794" s="433" t="s">
        <v>733</v>
      </c>
      <c r="I5794" s="311" t="str">
        <f t="shared" ref="I5794:I5857" si="245">D5794&amp;": "&amp;E5794&amp;" : "&amp;F5794&amp;" : "&amp;H5794</f>
        <v>Pesado de Passageiros M3:  : Gasóleo : E6</v>
      </c>
      <c r="J5794" s="433">
        <v>55</v>
      </c>
      <c r="K5794" s="422">
        <v>2023</v>
      </c>
      <c r="L5794" s="427">
        <v>10792.93</v>
      </c>
      <c r="M5794" s="427" t="s">
        <v>630</v>
      </c>
      <c r="N5794" s="434">
        <v>61484</v>
      </c>
      <c r="O5794" s="436">
        <f t="shared" ref="O5794:O5857" si="246">N5794*J5794</f>
        <v>3381620</v>
      </c>
      <c r="Q5794" s="422" t="s">
        <v>47</v>
      </c>
      <c r="R5794" s="422" t="s">
        <v>1869</v>
      </c>
      <c r="S5794" s="422" t="s">
        <v>1861</v>
      </c>
      <c r="T5794" t="s">
        <v>4823</v>
      </c>
      <c r="U5794" s="422" t="s">
        <v>1953</v>
      </c>
      <c r="V5794" s="422" t="s">
        <v>2813</v>
      </c>
    </row>
    <row r="5795" spans="1:22" ht="15.75" thickBot="1" x14ac:dyDescent="0.3">
      <c r="A5795" t="s">
        <v>4598</v>
      </c>
      <c r="B5795" t="s">
        <v>4598</v>
      </c>
      <c r="C5795" s="424" t="str">
        <f t="shared" si="244"/>
        <v>Transol - Transportes e Turismo, S.A.</v>
      </c>
      <c r="D5795" t="s">
        <v>629</v>
      </c>
      <c r="F5795" t="s">
        <v>620</v>
      </c>
      <c r="G5795" s="435">
        <v>2008</v>
      </c>
      <c r="H5795" s="433" t="s">
        <v>731</v>
      </c>
      <c r="I5795" s="311" t="str">
        <f t="shared" si="245"/>
        <v>Pesado de Passageiros M3:  : Gasóleo : E4</v>
      </c>
      <c r="J5795" s="433">
        <v>55</v>
      </c>
      <c r="K5795" s="422">
        <v>2023</v>
      </c>
      <c r="L5795" s="427">
        <v>11547.529999999999</v>
      </c>
      <c r="M5795" s="427" t="s">
        <v>630</v>
      </c>
      <c r="N5795" s="434">
        <v>34130</v>
      </c>
      <c r="O5795" s="436">
        <f t="shared" si="246"/>
        <v>1877150</v>
      </c>
      <c r="Q5795" s="422" t="s">
        <v>47</v>
      </c>
      <c r="R5795" s="422" t="s">
        <v>1869</v>
      </c>
      <c r="S5795" s="422" t="s">
        <v>1861</v>
      </c>
      <c r="T5795" t="s">
        <v>4823</v>
      </c>
      <c r="U5795" s="422" t="s">
        <v>1953</v>
      </c>
      <c r="V5795" s="422" t="s">
        <v>2813</v>
      </c>
    </row>
    <row r="5796" spans="1:22" ht="15.75" thickBot="1" x14ac:dyDescent="0.3">
      <c r="A5796" t="s">
        <v>4598</v>
      </c>
      <c r="B5796" t="s">
        <v>4598</v>
      </c>
      <c r="C5796" s="424" t="str">
        <f t="shared" si="244"/>
        <v>Transol - Transportes e Turismo, S.A.</v>
      </c>
      <c r="D5796" t="s">
        <v>4828</v>
      </c>
      <c r="F5796" t="s">
        <v>620</v>
      </c>
      <c r="G5796" s="435">
        <v>2008</v>
      </c>
      <c r="H5796" s="433" t="s">
        <v>731</v>
      </c>
      <c r="I5796" s="311" t="str">
        <f t="shared" si="245"/>
        <v>Pesado de Passageiros M4:  : Gasóleo : E4</v>
      </c>
      <c r="J5796" s="433">
        <v>24</v>
      </c>
      <c r="K5796" s="422">
        <v>2023</v>
      </c>
      <c r="L5796" s="427">
        <v>30.49</v>
      </c>
      <c r="M5796" s="427" t="s">
        <v>630</v>
      </c>
      <c r="N5796" s="434">
        <v>53</v>
      </c>
      <c r="O5796" s="436">
        <f t="shared" si="246"/>
        <v>1272</v>
      </c>
      <c r="Q5796" s="422" t="s">
        <v>47</v>
      </c>
      <c r="R5796" s="422" t="s">
        <v>1869</v>
      </c>
      <c r="S5796" s="422" t="s">
        <v>1861</v>
      </c>
      <c r="T5796" t="s">
        <v>4823</v>
      </c>
      <c r="U5796" s="422" t="s">
        <v>1953</v>
      </c>
      <c r="V5796" s="422" t="s">
        <v>2813</v>
      </c>
    </row>
    <row r="5797" spans="1:22" ht="15.75" thickBot="1" x14ac:dyDescent="0.3">
      <c r="A5797" t="s">
        <v>4598</v>
      </c>
      <c r="B5797" t="s">
        <v>4598</v>
      </c>
      <c r="C5797" s="424" t="str">
        <f t="shared" si="244"/>
        <v>Transol - Transportes e Turismo, S.A.</v>
      </c>
      <c r="D5797" t="s">
        <v>629</v>
      </c>
      <c r="F5797" t="s">
        <v>620</v>
      </c>
      <c r="G5797" s="435">
        <v>2016</v>
      </c>
      <c r="H5797" s="433" t="s">
        <v>733</v>
      </c>
      <c r="I5797" s="311" t="str">
        <f t="shared" si="245"/>
        <v>Pesado de Passageiros M3:  : Gasóleo : E6</v>
      </c>
      <c r="J5797" s="433">
        <v>24</v>
      </c>
      <c r="K5797" s="422">
        <v>2023</v>
      </c>
      <c r="L5797" s="427">
        <v>22486.239999999998</v>
      </c>
      <c r="M5797" s="427" t="s">
        <v>630</v>
      </c>
      <c r="N5797" s="434">
        <v>68538</v>
      </c>
      <c r="O5797" s="436">
        <f t="shared" si="246"/>
        <v>1644912</v>
      </c>
      <c r="Q5797" s="422" t="s">
        <v>47</v>
      </c>
      <c r="R5797" s="422" t="s">
        <v>1869</v>
      </c>
      <c r="S5797" s="422" t="s">
        <v>1861</v>
      </c>
      <c r="T5797" t="s">
        <v>4823</v>
      </c>
      <c r="U5797" s="422" t="s">
        <v>1953</v>
      </c>
      <c r="V5797" s="422" t="s">
        <v>2813</v>
      </c>
    </row>
    <row r="5798" spans="1:22" ht="15.75" thickBot="1" x14ac:dyDescent="0.3">
      <c r="A5798" t="s">
        <v>4598</v>
      </c>
      <c r="B5798" t="s">
        <v>4598</v>
      </c>
      <c r="C5798" s="424" t="str">
        <f t="shared" si="244"/>
        <v>Transol - Transportes e Turismo, S.A.</v>
      </c>
      <c r="D5798" t="s">
        <v>629</v>
      </c>
      <c r="F5798" t="s">
        <v>620</v>
      </c>
      <c r="G5798" s="435">
        <v>2020</v>
      </c>
      <c r="H5798" s="433" t="s">
        <v>733</v>
      </c>
      <c r="I5798" s="311" t="str">
        <f t="shared" si="245"/>
        <v>Pesado de Passageiros M3:  : Gasóleo : E6</v>
      </c>
      <c r="J5798" s="433">
        <v>54</v>
      </c>
      <c r="K5798" s="422">
        <v>2023</v>
      </c>
      <c r="L5798" s="427">
        <v>9822.18</v>
      </c>
      <c r="M5798" s="427" t="s">
        <v>630</v>
      </c>
      <c r="N5798" s="434">
        <v>57905</v>
      </c>
      <c r="O5798" s="436">
        <f t="shared" si="246"/>
        <v>3126870</v>
      </c>
      <c r="Q5798" s="422" t="s">
        <v>47</v>
      </c>
      <c r="R5798" s="422" t="s">
        <v>1869</v>
      </c>
      <c r="S5798" s="422" t="s">
        <v>1861</v>
      </c>
      <c r="T5798" t="s">
        <v>4823</v>
      </c>
      <c r="U5798" s="422" t="s">
        <v>1953</v>
      </c>
      <c r="V5798" s="422" t="s">
        <v>2813</v>
      </c>
    </row>
    <row r="5799" spans="1:22" ht="15.75" thickBot="1" x14ac:dyDescent="0.3">
      <c r="A5799" t="s">
        <v>4598</v>
      </c>
      <c r="B5799" t="s">
        <v>4598</v>
      </c>
      <c r="C5799" s="424" t="str">
        <f t="shared" si="244"/>
        <v>Transol - Transportes e Turismo, S.A.</v>
      </c>
      <c r="D5799" t="s">
        <v>629</v>
      </c>
      <c r="F5799" t="s">
        <v>620</v>
      </c>
      <c r="G5799" s="435">
        <v>2020</v>
      </c>
      <c r="H5799" s="433" t="s">
        <v>733</v>
      </c>
      <c r="I5799" s="311" t="str">
        <f t="shared" si="245"/>
        <v>Pesado de Passageiros M3:  : Gasóleo : E6</v>
      </c>
      <c r="J5799" s="433">
        <v>18</v>
      </c>
      <c r="K5799" s="422">
        <v>2023</v>
      </c>
      <c r="L5799" s="427">
        <v>6007.2</v>
      </c>
      <c r="M5799" s="427" t="s">
        <v>630</v>
      </c>
      <c r="N5799" s="434">
        <v>36986</v>
      </c>
      <c r="O5799" s="436">
        <f t="shared" si="246"/>
        <v>665748</v>
      </c>
      <c r="Q5799" s="422" t="s">
        <v>47</v>
      </c>
      <c r="R5799" s="422" t="s">
        <v>1869</v>
      </c>
      <c r="S5799" s="422" t="s">
        <v>1861</v>
      </c>
      <c r="T5799" t="s">
        <v>4823</v>
      </c>
      <c r="U5799" s="422" t="s">
        <v>1953</v>
      </c>
      <c r="V5799" s="422" t="s">
        <v>2813</v>
      </c>
    </row>
    <row r="5800" spans="1:22" ht="15.75" thickBot="1" x14ac:dyDescent="0.3">
      <c r="A5800" t="s">
        <v>4598</v>
      </c>
      <c r="B5800" t="s">
        <v>4598</v>
      </c>
      <c r="C5800" s="424" t="str">
        <f t="shared" si="244"/>
        <v>Transol - Transportes e Turismo, S.A.</v>
      </c>
      <c r="D5800" t="s">
        <v>629</v>
      </c>
      <c r="F5800" t="s">
        <v>620</v>
      </c>
      <c r="G5800" s="435">
        <v>2008</v>
      </c>
      <c r="H5800" s="433" t="s">
        <v>731</v>
      </c>
      <c r="I5800" s="311" t="str">
        <f t="shared" si="245"/>
        <v>Pesado de Passageiros M3:  : Gasóleo : E4</v>
      </c>
      <c r="J5800" s="433">
        <v>55</v>
      </c>
      <c r="K5800" s="422">
        <v>2023</v>
      </c>
      <c r="L5800" s="427">
        <v>12671.129999999997</v>
      </c>
      <c r="M5800" s="427" t="s">
        <v>630</v>
      </c>
      <c r="N5800" s="434">
        <v>34350</v>
      </c>
      <c r="O5800" s="436">
        <f t="shared" si="246"/>
        <v>1889250</v>
      </c>
      <c r="Q5800" s="422" t="s">
        <v>47</v>
      </c>
      <c r="R5800" s="422" t="s">
        <v>1869</v>
      </c>
      <c r="S5800" s="422" t="s">
        <v>1861</v>
      </c>
      <c r="T5800" t="s">
        <v>4823</v>
      </c>
      <c r="U5800" s="422" t="s">
        <v>1953</v>
      </c>
      <c r="V5800" s="422" t="s">
        <v>2813</v>
      </c>
    </row>
    <row r="5801" spans="1:22" ht="15.75" thickBot="1" x14ac:dyDescent="0.3">
      <c r="A5801" t="s">
        <v>4598</v>
      </c>
      <c r="B5801" t="s">
        <v>4598</v>
      </c>
      <c r="C5801" s="424" t="str">
        <f t="shared" si="244"/>
        <v>Transol - Transportes e Turismo, S.A.</v>
      </c>
      <c r="D5801" t="s">
        <v>629</v>
      </c>
      <c r="F5801" t="s">
        <v>620</v>
      </c>
      <c r="G5801" s="435">
        <v>2019</v>
      </c>
      <c r="H5801" s="433" t="s">
        <v>733</v>
      </c>
      <c r="I5801" s="311" t="str">
        <f t="shared" si="245"/>
        <v>Pesado de Passageiros M3:  : Gasóleo : E6</v>
      </c>
      <c r="J5801" s="433">
        <v>24</v>
      </c>
      <c r="K5801" s="422">
        <v>2023</v>
      </c>
      <c r="L5801" s="427">
        <v>9304.43</v>
      </c>
      <c r="M5801" s="427" t="s">
        <v>630</v>
      </c>
      <c r="N5801" s="434">
        <v>55100</v>
      </c>
      <c r="O5801" s="436">
        <f t="shared" si="246"/>
        <v>1322400</v>
      </c>
      <c r="Q5801" s="422" t="s">
        <v>47</v>
      </c>
      <c r="R5801" s="422" t="s">
        <v>1869</v>
      </c>
      <c r="S5801" s="422" t="s">
        <v>1861</v>
      </c>
      <c r="T5801" t="s">
        <v>4823</v>
      </c>
      <c r="U5801" s="422" t="s">
        <v>1953</v>
      </c>
      <c r="V5801" s="422" t="s">
        <v>2813</v>
      </c>
    </row>
    <row r="5802" spans="1:22" ht="15.75" thickBot="1" x14ac:dyDescent="0.3">
      <c r="A5802" t="s">
        <v>4598</v>
      </c>
      <c r="B5802" t="s">
        <v>4598</v>
      </c>
      <c r="C5802" s="424" t="str">
        <f t="shared" si="244"/>
        <v>Transol - Transportes e Turismo, S.A.</v>
      </c>
      <c r="D5802" t="s">
        <v>629</v>
      </c>
      <c r="F5802" t="s">
        <v>620</v>
      </c>
      <c r="G5802" s="435">
        <v>2007</v>
      </c>
      <c r="H5802" s="433" t="s">
        <v>731</v>
      </c>
      <c r="I5802" s="311" t="str">
        <f t="shared" si="245"/>
        <v>Pesado de Passageiros M3:  : Gasóleo : E4</v>
      </c>
      <c r="J5802" s="433">
        <v>24</v>
      </c>
      <c r="K5802" s="422">
        <v>2023</v>
      </c>
      <c r="L5802" s="427">
        <v>14579.17</v>
      </c>
      <c r="M5802" s="427" t="s">
        <v>630</v>
      </c>
      <c r="N5802" s="434">
        <v>42752</v>
      </c>
      <c r="O5802" s="436">
        <f t="shared" si="246"/>
        <v>1026048</v>
      </c>
      <c r="Q5802" s="422" t="s">
        <v>47</v>
      </c>
      <c r="R5802" s="422" t="s">
        <v>1869</v>
      </c>
      <c r="S5802" s="422" t="s">
        <v>1861</v>
      </c>
      <c r="T5802" t="s">
        <v>4823</v>
      </c>
      <c r="U5802" s="422" t="s">
        <v>1953</v>
      </c>
      <c r="V5802" s="422" t="s">
        <v>2813</v>
      </c>
    </row>
    <row r="5803" spans="1:22" ht="15.75" thickBot="1" x14ac:dyDescent="0.3">
      <c r="A5803" t="s">
        <v>4598</v>
      </c>
      <c r="B5803" t="s">
        <v>4598</v>
      </c>
      <c r="C5803" s="424" t="str">
        <f t="shared" si="244"/>
        <v>Transol - Transportes e Turismo, S.A.</v>
      </c>
      <c r="D5803" t="s">
        <v>629</v>
      </c>
      <c r="F5803" t="s">
        <v>620</v>
      </c>
      <c r="G5803" s="435">
        <v>2008</v>
      </c>
      <c r="H5803" s="433" t="s">
        <v>731</v>
      </c>
      <c r="I5803" s="311" t="str">
        <f t="shared" si="245"/>
        <v>Pesado de Passageiros M3:  : Gasóleo : E4</v>
      </c>
      <c r="J5803" s="433">
        <v>49</v>
      </c>
      <c r="K5803" s="422">
        <v>2023</v>
      </c>
      <c r="L5803" s="427">
        <v>10062.51</v>
      </c>
      <c r="M5803" s="427" t="s">
        <v>630</v>
      </c>
      <c r="N5803" s="434">
        <v>28370</v>
      </c>
      <c r="O5803" s="436">
        <f t="shared" si="246"/>
        <v>1390130</v>
      </c>
      <c r="Q5803" s="422" t="s">
        <v>47</v>
      </c>
      <c r="R5803" s="422" t="s">
        <v>1869</v>
      </c>
      <c r="S5803" s="422" t="s">
        <v>1861</v>
      </c>
      <c r="T5803" t="s">
        <v>4823</v>
      </c>
      <c r="U5803" s="422" t="s">
        <v>1953</v>
      </c>
      <c r="V5803" s="422" t="s">
        <v>2813</v>
      </c>
    </row>
    <row r="5804" spans="1:22" ht="15.75" thickBot="1" x14ac:dyDescent="0.3">
      <c r="A5804" t="s">
        <v>4598</v>
      </c>
      <c r="B5804" t="s">
        <v>4598</v>
      </c>
      <c r="C5804" s="424" t="str">
        <f t="shared" si="244"/>
        <v>Transol - Transportes e Turismo, S.A.</v>
      </c>
      <c r="D5804" t="s">
        <v>629</v>
      </c>
      <c r="F5804" t="s">
        <v>620</v>
      </c>
      <c r="G5804" s="435">
        <v>2015</v>
      </c>
      <c r="H5804" s="433" t="s">
        <v>733</v>
      </c>
      <c r="I5804" s="311" t="str">
        <f t="shared" si="245"/>
        <v>Pesado de Passageiros M3:  : Gasóleo : E6</v>
      </c>
      <c r="J5804" s="433">
        <v>24</v>
      </c>
      <c r="K5804" s="422">
        <v>2023</v>
      </c>
      <c r="L5804" s="427">
        <v>10662.48</v>
      </c>
      <c r="M5804" s="427" t="s">
        <v>630</v>
      </c>
      <c r="N5804" s="434">
        <v>39165</v>
      </c>
      <c r="O5804" s="436">
        <f t="shared" si="246"/>
        <v>939960</v>
      </c>
      <c r="Q5804" s="422" t="s">
        <v>47</v>
      </c>
      <c r="R5804" s="422" t="s">
        <v>1869</v>
      </c>
      <c r="S5804" s="422" t="s">
        <v>1861</v>
      </c>
      <c r="T5804" t="s">
        <v>4823</v>
      </c>
      <c r="U5804" s="422" t="s">
        <v>1953</v>
      </c>
      <c r="V5804" s="422" t="s">
        <v>2813</v>
      </c>
    </row>
    <row r="5805" spans="1:22" ht="15.75" thickBot="1" x14ac:dyDescent="0.3">
      <c r="A5805" t="s">
        <v>4598</v>
      </c>
      <c r="B5805" t="s">
        <v>4598</v>
      </c>
      <c r="C5805" s="424" t="str">
        <f t="shared" si="244"/>
        <v>Transol - Transportes e Turismo, S.A.</v>
      </c>
      <c r="D5805" t="s">
        <v>629</v>
      </c>
      <c r="F5805" t="s">
        <v>620</v>
      </c>
      <c r="G5805" s="435">
        <v>2020</v>
      </c>
      <c r="H5805" s="433" t="s">
        <v>733</v>
      </c>
      <c r="I5805" s="311" t="str">
        <f t="shared" si="245"/>
        <v>Pesado de Passageiros M3:  : Gasóleo : E6</v>
      </c>
      <c r="J5805" s="433">
        <v>49</v>
      </c>
      <c r="K5805" s="422">
        <v>2023</v>
      </c>
      <c r="L5805" s="427">
        <v>24584.14</v>
      </c>
      <c r="M5805" s="427" t="s">
        <v>630</v>
      </c>
      <c r="N5805" s="434">
        <v>85498</v>
      </c>
      <c r="O5805" s="436">
        <f t="shared" si="246"/>
        <v>4189402</v>
      </c>
      <c r="Q5805" s="422" t="s">
        <v>47</v>
      </c>
      <c r="R5805" s="422" t="s">
        <v>1869</v>
      </c>
      <c r="S5805" s="422" t="s">
        <v>1861</v>
      </c>
      <c r="T5805" t="s">
        <v>4823</v>
      </c>
      <c r="U5805" s="422" t="s">
        <v>1953</v>
      </c>
      <c r="V5805" s="422" t="s">
        <v>2813</v>
      </c>
    </row>
    <row r="5806" spans="1:22" ht="15.75" thickBot="1" x14ac:dyDescent="0.3">
      <c r="A5806" t="s">
        <v>4598</v>
      </c>
      <c r="B5806" t="s">
        <v>4598</v>
      </c>
      <c r="C5806" s="424" t="str">
        <f t="shared" si="244"/>
        <v>Transol - Transportes e Turismo, S.A.</v>
      </c>
      <c r="D5806" t="s">
        <v>629</v>
      </c>
      <c r="F5806" t="s">
        <v>620</v>
      </c>
      <c r="G5806" s="435">
        <v>2020</v>
      </c>
      <c r="H5806" s="433" t="s">
        <v>733</v>
      </c>
      <c r="I5806" s="311" t="str">
        <f t="shared" si="245"/>
        <v>Pesado de Passageiros M3:  : Gasóleo : E6</v>
      </c>
      <c r="J5806" s="433">
        <v>54</v>
      </c>
      <c r="K5806" s="422">
        <v>2023</v>
      </c>
      <c r="L5806" s="427">
        <v>23287.930000000004</v>
      </c>
      <c r="M5806" s="427" t="s">
        <v>630</v>
      </c>
      <c r="N5806" s="434">
        <v>85947</v>
      </c>
      <c r="O5806" s="436">
        <f t="shared" si="246"/>
        <v>4641138</v>
      </c>
      <c r="Q5806" s="422" t="s">
        <v>47</v>
      </c>
      <c r="R5806" s="422" t="s">
        <v>1869</v>
      </c>
      <c r="S5806" s="422" t="s">
        <v>1861</v>
      </c>
      <c r="T5806" t="s">
        <v>4823</v>
      </c>
      <c r="U5806" s="422" t="s">
        <v>1953</v>
      </c>
      <c r="V5806" s="422" t="s">
        <v>2813</v>
      </c>
    </row>
    <row r="5807" spans="1:22" ht="15.75" thickBot="1" x14ac:dyDescent="0.3">
      <c r="A5807" t="s">
        <v>4598</v>
      </c>
      <c r="B5807" t="s">
        <v>4598</v>
      </c>
      <c r="C5807" s="424" t="str">
        <f t="shared" si="244"/>
        <v>Transol - Transportes e Turismo, S.A.</v>
      </c>
      <c r="D5807" t="s">
        <v>629</v>
      </c>
      <c r="F5807" t="s">
        <v>620</v>
      </c>
      <c r="G5807" s="435">
        <v>2017</v>
      </c>
      <c r="H5807" s="433" t="s">
        <v>733</v>
      </c>
      <c r="I5807" s="311" t="str">
        <f t="shared" si="245"/>
        <v>Pesado de Passageiros M3:  : Gasóleo : E6</v>
      </c>
      <c r="J5807" s="433">
        <v>53</v>
      </c>
      <c r="K5807" s="422">
        <v>2023</v>
      </c>
      <c r="L5807" s="427">
        <v>20512.46</v>
      </c>
      <c r="M5807" s="427" t="s">
        <v>630</v>
      </c>
      <c r="N5807" s="434">
        <v>72691</v>
      </c>
      <c r="O5807" s="436">
        <f t="shared" si="246"/>
        <v>3852623</v>
      </c>
      <c r="Q5807" s="422" t="s">
        <v>47</v>
      </c>
      <c r="R5807" s="422" t="s">
        <v>1869</v>
      </c>
      <c r="S5807" s="422" t="s">
        <v>1861</v>
      </c>
      <c r="T5807" t="s">
        <v>4823</v>
      </c>
      <c r="U5807" s="422" t="s">
        <v>1953</v>
      </c>
      <c r="V5807" s="422" t="s">
        <v>2813</v>
      </c>
    </row>
    <row r="5808" spans="1:22" ht="15.75" thickBot="1" x14ac:dyDescent="0.3">
      <c r="A5808" t="s">
        <v>4598</v>
      </c>
      <c r="B5808" t="s">
        <v>4598</v>
      </c>
      <c r="C5808" s="424" t="str">
        <f t="shared" si="244"/>
        <v>Transol - Transportes e Turismo, S.A.</v>
      </c>
      <c r="D5808" t="s">
        <v>629</v>
      </c>
      <c r="F5808" t="s">
        <v>620</v>
      </c>
      <c r="G5808" s="435">
        <v>2017</v>
      </c>
      <c r="H5808" s="433" t="s">
        <v>733</v>
      </c>
      <c r="I5808" s="311" t="str">
        <f t="shared" si="245"/>
        <v>Pesado de Passageiros M3:  : Gasóleo : E6</v>
      </c>
      <c r="J5808" s="433">
        <v>59</v>
      </c>
      <c r="K5808" s="422">
        <v>2023</v>
      </c>
      <c r="L5808" s="427">
        <v>22361.59</v>
      </c>
      <c r="M5808" s="427" t="s">
        <v>630</v>
      </c>
      <c r="N5808" s="434">
        <v>74690</v>
      </c>
      <c r="O5808" s="436">
        <f t="shared" si="246"/>
        <v>4406710</v>
      </c>
      <c r="Q5808" s="422" t="s">
        <v>47</v>
      </c>
      <c r="R5808" s="422" t="s">
        <v>1869</v>
      </c>
      <c r="S5808" s="422" t="s">
        <v>1861</v>
      </c>
      <c r="T5808" t="s">
        <v>4823</v>
      </c>
      <c r="U5808" s="422" t="s">
        <v>1953</v>
      </c>
      <c r="V5808" s="422" t="s">
        <v>2813</v>
      </c>
    </row>
    <row r="5809" spans="1:22" ht="15.75" thickBot="1" x14ac:dyDescent="0.3">
      <c r="A5809" t="s">
        <v>4598</v>
      </c>
      <c r="B5809" t="s">
        <v>4598</v>
      </c>
      <c r="C5809" s="424" t="str">
        <f t="shared" si="244"/>
        <v>Transol - Transportes e Turismo, S.A.</v>
      </c>
      <c r="D5809" t="s">
        <v>629</v>
      </c>
      <c r="F5809" t="s">
        <v>620</v>
      </c>
      <c r="G5809" s="435">
        <v>2016</v>
      </c>
      <c r="H5809" s="433" t="s">
        <v>733</v>
      </c>
      <c r="I5809" s="311" t="str">
        <f t="shared" si="245"/>
        <v>Pesado de Passageiros M3:  : Gasóleo : E6</v>
      </c>
      <c r="J5809" s="433">
        <v>59</v>
      </c>
      <c r="K5809" s="422">
        <v>2023</v>
      </c>
      <c r="L5809" s="427">
        <v>17602.760000000002</v>
      </c>
      <c r="M5809" s="427" t="s">
        <v>630</v>
      </c>
      <c r="N5809" s="434">
        <v>55824</v>
      </c>
      <c r="O5809" s="436">
        <f t="shared" si="246"/>
        <v>3293616</v>
      </c>
      <c r="Q5809" s="422" t="s">
        <v>47</v>
      </c>
      <c r="R5809" s="422" t="s">
        <v>1869</v>
      </c>
      <c r="S5809" s="422" t="s">
        <v>1861</v>
      </c>
      <c r="T5809" t="s">
        <v>4823</v>
      </c>
      <c r="U5809" s="422" t="s">
        <v>1953</v>
      </c>
      <c r="V5809" s="422" t="s">
        <v>2813</v>
      </c>
    </row>
    <row r="5810" spans="1:22" ht="15.75" thickBot="1" x14ac:dyDescent="0.3">
      <c r="A5810" t="s">
        <v>4598</v>
      </c>
      <c r="B5810" t="s">
        <v>4598</v>
      </c>
      <c r="C5810" s="424" t="str">
        <f t="shared" ref="C5810:C5873" si="247">IF(A5810=B5810,B5810,RIGHT(A5810,LEN(A5810)-LEN(B5810)-3))</f>
        <v>Transol - Transportes e Turismo, S.A.</v>
      </c>
      <c r="D5810" t="s">
        <v>629</v>
      </c>
      <c r="F5810" t="s">
        <v>620</v>
      </c>
      <c r="G5810" s="435">
        <v>2016</v>
      </c>
      <c r="H5810" s="433" t="s">
        <v>733</v>
      </c>
      <c r="I5810" s="311" t="str">
        <f t="shared" si="245"/>
        <v>Pesado de Passageiros M3:  : Gasóleo : E6</v>
      </c>
      <c r="J5810" s="433">
        <v>57</v>
      </c>
      <c r="K5810" s="422">
        <v>2023</v>
      </c>
      <c r="L5810" s="427">
        <v>20265.53</v>
      </c>
      <c r="M5810" s="427" t="s">
        <v>630</v>
      </c>
      <c r="N5810" s="434">
        <v>63613</v>
      </c>
      <c r="O5810" s="436">
        <f t="shared" si="246"/>
        <v>3625941</v>
      </c>
      <c r="Q5810" s="422" t="s">
        <v>47</v>
      </c>
      <c r="R5810" s="422" t="s">
        <v>1869</v>
      </c>
      <c r="S5810" s="422" t="s">
        <v>1861</v>
      </c>
      <c r="T5810" t="s">
        <v>4823</v>
      </c>
      <c r="U5810" s="422" t="s">
        <v>1953</v>
      </c>
      <c r="V5810" s="422" t="s">
        <v>2813</v>
      </c>
    </row>
    <row r="5811" spans="1:22" ht="15.75" thickBot="1" x14ac:dyDescent="0.3">
      <c r="A5811" t="s">
        <v>4598</v>
      </c>
      <c r="B5811" t="s">
        <v>4598</v>
      </c>
      <c r="C5811" s="424" t="str">
        <f t="shared" si="247"/>
        <v>Transol - Transportes e Turismo, S.A.</v>
      </c>
      <c r="D5811" t="s">
        <v>629</v>
      </c>
      <c r="F5811" t="s">
        <v>620</v>
      </c>
      <c r="G5811" s="435">
        <v>2016</v>
      </c>
      <c r="H5811" s="433" t="s">
        <v>733</v>
      </c>
      <c r="I5811" s="311" t="str">
        <f t="shared" si="245"/>
        <v>Pesado de Passageiros M3:  : Gasóleo : E6</v>
      </c>
      <c r="J5811" s="433">
        <v>57</v>
      </c>
      <c r="K5811" s="422">
        <v>2023</v>
      </c>
      <c r="L5811" s="427">
        <v>19347.62</v>
      </c>
      <c r="M5811" s="427" t="s">
        <v>630</v>
      </c>
      <c r="N5811" s="434">
        <v>59587</v>
      </c>
      <c r="O5811" s="436">
        <f t="shared" si="246"/>
        <v>3396459</v>
      </c>
      <c r="Q5811" s="422" t="s">
        <v>47</v>
      </c>
      <c r="R5811" s="422" t="s">
        <v>1869</v>
      </c>
      <c r="S5811" s="422" t="s">
        <v>1861</v>
      </c>
      <c r="T5811" t="s">
        <v>4823</v>
      </c>
      <c r="U5811" s="422" t="s">
        <v>1953</v>
      </c>
      <c r="V5811" s="422" t="s">
        <v>2813</v>
      </c>
    </row>
    <row r="5812" spans="1:22" ht="15.75" thickBot="1" x14ac:dyDescent="0.3">
      <c r="A5812" t="s">
        <v>4598</v>
      </c>
      <c r="B5812" t="s">
        <v>4598</v>
      </c>
      <c r="C5812" s="424" t="str">
        <f t="shared" si="247"/>
        <v>Transol - Transportes e Turismo, S.A.</v>
      </c>
      <c r="D5812" t="s">
        <v>629</v>
      </c>
      <c r="F5812" t="s">
        <v>620</v>
      </c>
      <c r="G5812" s="435">
        <v>2020</v>
      </c>
      <c r="H5812" s="433" t="s">
        <v>733</v>
      </c>
      <c r="I5812" s="311" t="str">
        <f t="shared" si="245"/>
        <v>Pesado de Passageiros M3:  : Gasóleo : E6</v>
      </c>
      <c r="J5812" s="433">
        <v>55</v>
      </c>
      <c r="K5812" s="422">
        <v>2023</v>
      </c>
      <c r="L5812" s="427">
        <v>7275.7000000000007</v>
      </c>
      <c r="M5812" s="427" t="s">
        <v>630</v>
      </c>
      <c r="N5812" s="434">
        <v>47572</v>
      </c>
      <c r="O5812" s="436">
        <f t="shared" si="246"/>
        <v>2616460</v>
      </c>
      <c r="Q5812" s="422" t="s">
        <v>47</v>
      </c>
      <c r="R5812" s="422" t="s">
        <v>1869</v>
      </c>
      <c r="S5812" s="422" t="s">
        <v>1861</v>
      </c>
      <c r="T5812" t="s">
        <v>4823</v>
      </c>
      <c r="U5812" s="422" t="s">
        <v>1953</v>
      </c>
      <c r="V5812" s="422" t="s">
        <v>2813</v>
      </c>
    </row>
    <row r="5813" spans="1:22" ht="15.75" thickBot="1" x14ac:dyDescent="0.3">
      <c r="A5813" t="s">
        <v>4598</v>
      </c>
      <c r="B5813" t="s">
        <v>4598</v>
      </c>
      <c r="C5813" s="424" t="str">
        <f t="shared" si="247"/>
        <v>Transol - Transportes e Turismo, S.A.</v>
      </c>
      <c r="D5813" t="s">
        <v>629</v>
      </c>
      <c r="F5813" t="s">
        <v>620</v>
      </c>
      <c r="G5813" s="435">
        <v>2020</v>
      </c>
      <c r="H5813" s="433" t="s">
        <v>733</v>
      </c>
      <c r="I5813" s="311" t="str">
        <f t="shared" si="245"/>
        <v>Pesado de Passageiros M3:  : Gasóleo : E6</v>
      </c>
      <c r="J5813" s="433">
        <v>55</v>
      </c>
      <c r="K5813" s="422">
        <v>2023</v>
      </c>
      <c r="L5813" s="427">
        <v>11310.619999999999</v>
      </c>
      <c r="M5813" s="427" t="s">
        <v>630</v>
      </c>
      <c r="N5813" s="434">
        <v>72389</v>
      </c>
      <c r="O5813" s="436">
        <f t="shared" si="246"/>
        <v>3981395</v>
      </c>
      <c r="Q5813" s="422" t="s">
        <v>47</v>
      </c>
      <c r="R5813" s="422" t="s">
        <v>1869</v>
      </c>
      <c r="S5813" s="422" t="s">
        <v>1861</v>
      </c>
      <c r="T5813" t="s">
        <v>4823</v>
      </c>
      <c r="U5813" s="422" t="s">
        <v>1953</v>
      </c>
      <c r="V5813" s="422" t="s">
        <v>2813</v>
      </c>
    </row>
    <row r="5814" spans="1:22" ht="15.75" thickBot="1" x14ac:dyDescent="0.3">
      <c r="A5814" t="s">
        <v>4598</v>
      </c>
      <c r="B5814" t="s">
        <v>4598</v>
      </c>
      <c r="C5814" s="424" t="str">
        <f t="shared" si="247"/>
        <v>Transol - Transportes e Turismo, S.A.</v>
      </c>
      <c r="D5814" t="s">
        <v>629</v>
      </c>
      <c r="F5814" t="s">
        <v>620</v>
      </c>
      <c r="G5814" s="435">
        <v>2019</v>
      </c>
      <c r="H5814" s="433" t="s">
        <v>733</v>
      </c>
      <c r="I5814" s="311" t="str">
        <f t="shared" si="245"/>
        <v>Pesado de Passageiros M3:  : Gasóleo : E6</v>
      </c>
      <c r="J5814" s="433">
        <v>55</v>
      </c>
      <c r="K5814" s="422">
        <v>2023</v>
      </c>
      <c r="L5814" s="427">
        <v>16453.310000000001</v>
      </c>
      <c r="M5814" s="427" t="s">
        <v>630</v>
      </c>
      <c r="N5814" s="434">
        <v>63148</v>
      </c>
      <c r="O5814" s="436">
        <f t="shared" si="246"/>
        <v>3473140</v>
      </c>
      <c r="Q5814" s="422" t="s">
        <v>47</v>
      </c>
      <c r="R5814" s="422" t="s">
        <v>1869</v>
      </c>
      <c r="S5814" s="422" t="s">
        <v>1861</v>
      </c>
      <c r="T5814" t="s">
        <v>4823</v>
      </c>
      <c r="U5814" s="422" t="s">
        <v>1953</v>
      </c>
      <c r="V5814" s="422" t="s">
        <v>2813</v>
      </c>
    </row>
    <row r="5815" spans="1:22" ht="15.75" thickBot="1" x14ac:dyDescent="0.3">
      <c r="A5815" t="s">
        <v>4598</v>
      </c>
      <c r="B5815" t="s">
        <v>4598</v>
      </c>
      <c r="C5815" s="424" t="str">
        <f t="shared" si="247"/>
        <v>Transol - Transportes e Turismo, S.A.</v>
      </c>
      <c r="D5815" t="s">
        <v>629</v>
      </c>
      <c r="F5815" t="s">
        <v>620</v>
      </c>
      <c r="G5815" s="435">
        <v>2016</v>
      </c>
      <c r="H5815" s="433" t="s">
        <v>733</v>
      </c>
      <c r="I5815" s="311" t="str">
        <f t="shared" si="245"/>
        <v>Pesado de Passageiros M3:  : Gasóleo : E6</v>
      </c>
      <c r="J5815" s="433">
        <v>24</v>
      </c>
      <c r="K5815" s="422">
        <v>2023</v>
      </c>
      <c r="L5815" s="427">
        <v>16013.33</v>
      </c>
      <c r="M5815" s="427" t="s">
        <v>630</v>
      </c>
      <c r="N5815" s="434">
        <v>49422</v>
      </c>
      <c r="O5815" s="436">
        <f t="shared" si="246"/>
        <v>1186128</v>
      </c>
      <c r="Q5815" s="422" t="s">
        <v>47</v>
      </c>
      <c r="R5815" s="422" t="s">
        <v>1869</v>
      </c>
      <c r="S5815" s="422" t="s">
        <v>1861</v>
      </c>
      <c r="T5815" t="s">
        <v>4823</v>
      </c>
      <c r="U5815" s="422" t="s">
        <v>1953</v>
      </c>
      <c r="V5815" s="422" t="s">
        <v>2813</v>
      </c>
    </row>
    <row r="5816" spans="1:22" ht="15.75" thickBot="1" x14ac:dyDescent="0.3">
      <c r="A5816" t="s">
        <v>4598</v>
      </c>
      <c r="B5816" t="s">
        <v>4598</v>
      </c>
      <c r="C5816" s="424" t="str">
        <f t="shared" si="247"/>
        <v>Transol - Transportes e Turismo, S.A.</v>
      </c>
      <c r="D5816" t="s">
        <v>629</v>
      </c>
      <c r="F5816" t="s">
        <v>620</v>
      </c>
      <c r="G5816" s="435">
        <v>2018</v>
      </c>
      <c r="H5816" s="433" t="s">
        <v>733</v>
      </c>
      <c r="I5816" s="311" t="str">
        <f t="shared" si="245"/>
        <v>Pesado de Passageiros M3:  : Gasóleo : E6</v>
      </c>
      <c r="J5816" s="433">
        <v>24</v>
      </c>
      <c r="K5816" s="422">
        <v>2023</v>
      </c>
      <c r="L5816" s="427">
        <v>14167.989999999998</v>
      </c>
      <c r="M5816" s="427" t="s">
        <v>630</v>
      </c>
      <c r="N5816" s="434">
        <v>55412</v>
      </c>
      <c r="O5816" s="436">
        <f t="shared" si="246"/>
        <v>1329888</v>
      </c>
      <c r="Q5816" s="422" t="s">
        <v>47</v>
      </c>
      <c r="R5816" s="422" t="s">
        <v>1869</v>
      </c>
      <c r="S5816" s="422" t="s">
        <v>1861</v>
      </c>
      <c r="T5816" t="s">
        <v>4823</v>
      </c>
      <c r="U5816" s="422" t="s">
        <v>1953</v>
      </c>
      <c r="V5816" s="422" t="s">
        <v>2813</v>
      </c>
    </row>
    <row r="5817" spans="1:22" ht="15.75" thickBot="1" x14ac:dyDescent="0.3">
      <c r="A5817" t="s">
        <v>4598</v>
      </c>
      <c r="B5817" t="s">
        <v>4598</v>
      </c>
      <c r="C5817" s="424" t="str">
        <f t="shared" si="247"/>
        <v>Transol - Transportes e Turismo, S.A.</v>
      </c>
      <c r="D5817" t="s">
        <v>629</v>
      </c>
      <c r="F5817" t="s">
        <v>620</v>
      </c>
      <c r="G5817" s="435">
        <v>2008</v>
      </c>
      <c r="H5817" s="433" t="s">
        <v>731</v>
      </c>
      <c r="I5817" s="311" t="str">
        <f t="shared" si="245"/>
        <v>Pesado de Passageiros M3:  : Gasóleo : E4</v>
      </c>
      <c r="J5817" s="433">
        <v>35</v>
      </c>
      <c r="K5817" s="422">
        <v>2023</v>
      </c>
      <c r="L5817" s="427">
        <v>20187.169999999998</v>
      </c>
      <c r="M5817" s="427" t="s">
        <v>630</v>
      </c>
      <c r="N5817" s="434">
        <v>65857</v>
      </c>
      <c r="O5817" s="436">
        <f t="shared" si="246"/>
        <v>2304995</v>
      </c>
      <c r="Q5817" s="422" t="s">
        <v>47</v>
      </c>
      <c r="R5817" s="422" t="s">
        <v>1869</v>
      </c>
      <c r="S5817" s="422" t="s">
        <v>1861</v>
      </c>
      <c r="T5817" t="s">
        <v>4823</v>
      </c>
      <c r="U5817" s="422" t="s">
        <v>1953</v>
      </c>
      <c r="V5817" s="422" t="s">
        <v>2813</v>
      </c>
    </row>
    <row r="5818" spans="1:22" ht="15.75" thickBot="1" x14ac:dyDescent="0.3">
      <c r="A5818" t="s">
        <v>4598</v>
      </c>
      <c r="B5818" t="s">
        <v>4598</v>
      </c>
      <c r="C5818" s="424" t="str">
        <f t="shared" si="247"/>
        <v>Transol - Transportes e Turismo, S.A.</v>
      </c>
      <c r="D5818" t="s">
        <v>629</v>
      </c>
      <c r="F5818" t="s">
        <v>620</v>
      </c>
      <c r="G5818" s="435">
        <v>2008</v>
      </c>
      <c r="H5818" s="433" t="s">
        <v>731</v>
      </c>
      <c r="I5818" s="311" t="str">
        <f t="shared" si="245"/>
        <v>Pesado de Passageiros M3:  : Gasóleo : E4</v>
      </c>
      <c r="J5818" s="433">
        <v>55</v>
      </c>
      <c r="K5818" s="422">
        <v>2023</v>
      </c>
      <c r="L5818" s="427">
        <v>14429.36</v>
      </c>
      <c r="M5818" s="427" t="s">
        <v>630</v>
      </c>
      <c r="N5818" s="434">
        <v>41500</v>
      </c>
      <c r="O5818" s="436">
        <f t="shared" si="246"/>
        <v>2282500</v>
      </c>
      <c r="Q5818" s="422" t="s">
        <v>47</v>
      </c>
      <c r="R5818" s="422" t="s">
        <v>1869</v>
      </c>
      <c r="S5818" s="422" t="s">
        <v>1861</v>
      </c>
      <c r="T5818" t="s">
        <v>4823</v>
      </c>
      <c r="U5818" s="422" t="s">
        <v>1953</v>
      </c>
      <c r="V5818" s="422" t="s">
        <v>2813</v>
      </c>
    </row>
    <row r="5819" spans="1:22" ht="15.75" thickBot="1" x14ac:dyDescent="0.3">
      <c r="A5819" t="s">
        <v>4598</v>
      </c>
      <c r="B5819" t="s">
        <v>4598</v>
      </c>
      <c r="C5819" s="424" t="str">
        <f t="shared" si="247"/>
        <v>Transol - Transportes e Turismo, S.A.</v>
      </c>
      <c r="D5819" t="s">
        <v>629</v>
      </c>
      <c r="F5819" t="s">
        <v>620</v>
      </c>
      <c r="G5819" s="435">
        <v>2008</v>
      </c>
      <c r="H5819" s="433" t="s">
        <v>731</v>
      </c>
      <c r="I5819" s="311" t="str">
        <f t="shared" si="245"/>
        <v>Pesado de Passageiros M3:  : Gasóleo : E4</v>
      </c>
      <c r="J5819" s="433">
        <v>39</v>
      </c>
      <c r="K5819" s="422">
        <v>2023</v>
      </c>
      <c r="L5819" s="427">
        <v>15279.56</v>
      </c>
      <c r="M5819" s="427" t="s">
        <v>630</v>
      </c>
      <c r="N5819" s="434">
        <v>40838</v>
      </c>
      <c r="O5819" s="436">
        <f t="shared" si="246"/>
        <v>1592682</v>
      </c>
      <c r="Q5819" s="422" t="s">
        <v>47</v>
      </c>
      <c r="R5819" s="422" t="s">
        <v>1869</v>
      </c>
      <c r="S5819" s="422" t="s">
        <v>1861</v>
      </c>
      <c r="T5819" t="s">
        <v>4823</v>
      </c>
      <c r="U5819" s="422" t="s">
        <v>1953</v>
      </c>
      <c r="V5819" s="422" t="s">
        <v>2813</v>
      </c>
    </row>
    <row r="5820" spans="1:22" ht="15.75" thickBot="1" x14ac:dyDescent="0.3">
      <c r="A5820" t="s">
        <v>4598</v>
      </c>
      <c r="B5820" t="s">
        <v>4598</v>
      </c>
      <c r="C5820" s="424" t="str">
        <f t="shared" si="247"/>
        <v>Transol - Transportes e Turismo, S.A.</v>
      </c>
      <c r="D5820" t="s">
        <v>629</v>
      </c>
      <c r="F5820" t="s">
        <v>620</v>
      </c>
      <c r="G5820" s="435">
        <v>2008</v>
      </c>
      <c r="H5820" s="433" t="s">
        <v>731</v>
      </c>
      <c r="I5820" s="311" t="str">
        <f t="shared" si="245"/>
        <v>Pesado de Passageiros M3:  : Gasóleo : E4</v>
      </c>
      <c r="J5820" s="433">
        <v>55</v>
      </c>
      <c r="K5820" s="422">
        <v>2023</v>
      </c>
      <c r="L5820" s="427">
        <v>8731.9000000000015</v>
      </c>
      <c r="M5820" s="427" t="s">
        <v>630</v>
      </c>
      <c r="N5820" s="434">
        <v>27230</v>
      </c>
      <c r="O5820" s="436">
        <f t="shared" si="246"/>
        <v>1497650</v>
      </c>
      <c r="Q5820" s="422" t="s">
        <v>47</v>
      </c>
      <c r="R5820" s="422" t="s">
        <v>1869</v>
      </c>
      <c r="S5820" s="422" t="s">
        <v>1861</v>
      </c>
      <c r="T5820" t="s">
        <v>4823</v>
      </c>
      <c r="U5820" s="422" t="s">
        <v>1953</v>
      </c>
      <c r="V5820" s="422" t="s">
        <v>2813</v>
      </c>
    </row>
    <row r="5821" spans="1:22" ht="15.75" thickBot="1" x14ac:dyDescent="0.3">
      <c r="A5821" t="s">
        <v>4598</v>
      </c>
      <c r="B5821" t="s">
        <v>4598</v>
      </c>
      <c r="C5821" s="424" t="str">
        <f t="shared" si="247"/>
        <v>Transol - Transportes e Turismo, S.A.</v>
      </c>
      <c r="D5821" t="s">
        <v>629</v>
      </c>
      <c r="F5821" t="s">
        <v>620</v>
      </c>
      <c r="G5821" s="435">
        <v>2008</v>
      </c>
      <c r="H5821" s="433" t="s">
        <v>731</v>
      </c>
      <c r="I5821" s="311" t="str">
        <f t="shared" si="245"/>
        <v>Pesado de Passageiros M3:  : Gasóleo : E4</v>
      </c>
      <c r="J5821" s="433">
        <v>55</v>
      </c>
      <c r="K5821" s="422">
        <v>2023</v>
      </c>
      <c r="L5821" s="427">
        <v>7078.21</v>
      </c>
      <c r="M5821" s="427" t="s">
        <v>630</v>
      </c>
      <c r="N5821" s="434">
        <v>25786</v>
      </c>
      <c r="O5821" s="436">
        <f t="shared" si="246"/>
        <v>1418230</v>
      </c>
      <c r="Q5821" s="422" t="s">
        <v>47</v>
      </c>
      <c r="R5821" s="422" t="s">
        <v>1869</v>
      </c>
      <c r="S5821" s="422" t="s">
        <v>1861</v>
      </c>
      <c r="T5821" t="s">
        <v>4823</v>
      </c>
      <c r="U5821" s="422" t="s">
        <v>1953</v>
      </c>
      <c r="V5821" s="422" t="s">
        <v>2813</v>
      </c>
    </row>
    <row r="5822" spans="1:22" ht="15.75" thickBot="1" x14ac:dyDescent="0.3">
      <c r="A5822" t="s">
        <v>4598</v>
      </c>
      <c r="B5822" t="s">
        <v>4598</v>
      </c>
      <c r="C5822" s="424" t="str">
        <f t="shared" si="247"/>
        <v>Transol - Transportes e Turismo, S.A.</v>
      </c>
      <c r="D5822" t="s">
        <v>629</v>
      </c>
      <c r="F5822" t="s">
        <v>620</v>
      </c>
      <c r="G5822" s="435">
        <v>2004</v>
      </c>
      <c r="H5822" s="433" t="s">
        <v>732</v>
      </c>
      <c r="I5822" s="311" t="str">
        <f t="shared" si="245"/>
        <v>Pesado de Passageiros M3:  : Gasóleo : E3</v>
      </c>
      <c r="J5822" s="433">
        <v>59</v>
      </c>
      <c r="K5822" s="422">
        <v>2023</v>
      </c>
      <c r="L5822" s="427">
        <v>15524.300000000001</v>
      </c>
      <c r="M5822" s="427" t="s">
        <v>630</v>
      </c>
      <c r="N5822" s="434">
        <v>43995</v>
      </c>
      <c r="O5822" s="436">
        <f t="shared" si="246"/>
        <v>2595705</v>
      </c>
      <c r="Q5822" s="422" t="s">
        <v>47</v>
      </c>
      <c r="R5822" s="422" t="s">
        <v>1869</v>
      </c>
      <c r="S5822" s="422" t="s">
        <v>1861</v>
      </c>
      <c r="T5822" t="s">
        <v>4823</v>
      </c>
      <c r="U5822" s="422" t="s">
        <v>1953</v>
      </c>
      <c r="V5822" s="422" t="s">
        <v>2813</v>
      </c>
    </row>
    <row r="5823" spans="1:22" ht="15.75" thickBot="1" x14ac:dyDescent="0.3">
      <c r="A5823" t="s">
        <v>4598</v>
      </c>
      <c r="B5823" t="s">
        <v>4598</v>
      </c>
      <c r="C5823" s="424" t="str">
        <f t="shared" si="247"/>
        <v>Transol - Transportes e Turismo, S.A.</v>
      </c>
      <c r="D5823" t="s">
        <v>629</v>
      </c>
      <c r="F5823" t="s">
        <v>620</v>
      </c>
      <c r="G5823" s="435">
        <v>2005</v>
      </c>
      <c r="H5823" s="433" t="s">
        <v>731</v>
      </c>
      <c r="I5823" s="311" t="str">
        <f t="shared" si="245"/>
        <v>Pesado de Passageiros M3:  : Gasóleo : E4</v>
      </c>
      <c r="J5823" s="433">
        <v>55</v>
      </c>
      <c r="K5823" s="422">
        <v>2023</v>
      </c>
      <c r="L5823" s="427">
        <v>10338.740000000002</v>
      </c>
      <c r="M5823" s="427" t="s">
        <v>630</v>
      </c>
      <c r="N5823" s="434">
        <v>27193</v>
      </c>
      <c r="O5823" s="436">
        <f t="shared" si="246"/>
        <v>1495615</v>
      </c>
      <c r="Q5823" s="422" t="s">
        <v>47</v>
      </c>
      <c r="R5823" s="422" t="s">
        <v>1869</v>
      </c>
      <c r="S5823" s="422" t="s">
        <v>1861</v>
      </c>
      <c r="T5823" t="s">
        <v>4823</v>
      </c>
      <c r="U5823" s="422" t="s">
        <v>1953</v>
      </c>
      <c r="V5823" s="422" t="s">
        <v>2813</v>
      </c>
    </row>
    <row r="5824" spans="1:22" ht="15.75" thickBot="1" x14ac:dyDescent="0.3">
      <c r="A5824" t="s">
        <v>4598</v>
      </c>
      <c r="B5824" t="s">
        <v>4598</v>
      </c>
      <c r="C5824" s="424" t="str">
        <f t="shared" si="247"/>
        <v>Transol - Transportes e Turismo, S.A.</v>
      </c>
      <c r="D5824" t="s">
        <v>629</v>
      </c>
      <c r="F5824" t="s">
        <v>620</v>
      </c>
      <c r="G5824" s="435">
        <v>2005</v>
      </c>
      <c r="H5824" s="433" t="s">
        <v>731</v>
      </c>
      <c r="I5824" s="311" t="str">
        <f t="shared" si="245"/>
        <v>Pesado de Passageiros M3:  : Gasóleo : E4</v>
      </c>
      <c r="J5824" s="433">
        <v>55</v>
      </c>
      <c r="K5824" s="422">
        <v>2023</v>
      </c>
      <c r="L5824" s="427">
        <v>12311.84</v>
      </c>
      <c r="M5824" s="427" t="s">
        <v>630</v>
      </c>
      <c r="N5824" s="434">
        <v>33790</v>
      </c>
      <c r="O5824" s="436">
        <f t="shared" si="246"/>
        <v>1858450</v>
      </c>
      <c r="Q5824" s="422" t="s">
        <v>47</v>
      </c>
      <c r="R5824" s="422" t="s">
        <v>1869</v>
      </c>
      <c r="S5824" s="422" t="s">
        <v>1861</v>
      </c>
      <c r="T5824" t="s">
        <v>4823</v>
      </c>
      <c r="U5824" s="422" t="s">
        <v>1953</v>
      </c>
      <c r="V5824" s="422" t="s">
        <v>2813</v>
      </c>
    </row>
    <row r="5825" spans="1:22" ht="15.75" thickBot="1" x14ac:dyDescent="0.3">
      <c r="A5825" t="s">
        <v>4598</v>
      </c>
      <c r="B5825" t="s">
        <v>4598</v>
      </c>
      <c r="C5825" s="424" t="str">
        <f t="shared" si="247"/>
        <v>Transol - Transportes e Turismo, S.A.</v>
      </c>
      <c r="D5825" t="s">
        <v>629</v>
      </c>
      <c r="F5825" t="s">
        <v>620</v>
      </c>
      <c r="G5825" s="435">
        <v>2007</v>
      </c>
      <c r="H5825" s="433" t="s">
        <v>731</v>
      </c>
      <c r="I5825" s="311" t="str">
        <f t="shared" si="245"/>
        <v>Pesado de Passageiros M3:  : Gasóleo : E4</v>
      </c>
      <c r="J5825" s="433">
        <v>49</v>
      </c>
      <c r="K5825" s="422">
        <v>2023</v>
      </c>
      <c r="L5825" s="427">
        <v>10654.83</v>
      </c>
      <c r="M5825" s="427" t="s">
        <v>630</v>
      </c>
      <c r="N5825" s="434">
        <v>36676</v>
      </c>
      <c r="O5825" s="436">
        <f t="shared" si="246"/>
        <v>1797124</v>
      </c>
      <c r="Q5825" s="422" t="s">
        <v>47</v>
      </c>
      <c r="R5825" s="422" t="s">
        <v>1869</v>
      </c>
      <c r="S5825" s="422" t="s">
        <v>1861</v>
      </c>
      <c r="T5825" t="s">
        <v>4823</v>
      </c>
      <c r="U5825" s="422" t="s">
        <v>1953</v>
      </c>
      <c r="V5825" s="422" t="s">
        <v>2813</v>
      </c>
    </row>
    <row r="5826" spans="1:22" ht="15.75" thickBot="1" x14ac:dyDescent="0.3">
      <c r="A5826" t="s">
        <v>4598</v>
      </c>
      <c r="B5826" t="s">
        <v>4598</v>
      </c>
      <c r="C5826" s="424" t="str">
        <f t="shared" si="247"/>
        <v>Transol - Transportes e Turismo, S.A.</v>
      </c>
      <c r="D5826" t="s">
        <v>629</v>
      </c>
      <c r="F5826" t="s">
        <v>620</v>
      </c>
      <c r="G5826" s="435">
        <v>2007</v>
      </c>
      <c r="H5826" s="433" t="s">
        <v>731</v>
      </c>
      <c r="I5826" s="311" t="str">
        <f t="shared" si="245"/>
        <v>Pesado de Passageiros M3:  : Gasóleo : E4</v>
      </c>
      <c r="J5826" s="433">
        <v>49</v>
      </c>
      <c r="K5826" s="422">
        <v>2023</v>
      </c>
      <c r="L5826" s="427">
        <v>12665.019999999999</v>
      </c>
      <c r="M5826" s="427" t="s">
        <v>630</v>
      </c>
      <c r="N5826" s="434">
        <v>39284</v>
      </c>
      <c r="O5826" s="436">
        <f t="shared" si="246"/>
        <v>1924916</v>
      </c>
      <c r="Q5826" s="422" t="s">
        <v>47</v>
      </c>
      <c r="R5826" s="422" t="s">
        <v>1869</v>
      </c>
      <c r="S5826" s="422" t="s">
        <v>1861</v>
      </c>
      <c r="T5826" t="s">
        <v>4823</v>
      </c>
      <c r="U5826" s="422" t="s">
        <v>1953</v>
      </c>
      <c r="V5826" s="422" t="s">
        <v>2813</v>
      </c>
    </row>
    <row r="5827" spans="1:22" ht="15.75" thickBot="1" x14ac:dyDescent="0.3">
      <c r="A5827" t="s">
        <v>4598</v>
      </c>
      <c r="B5827" t="s">
        <v>4598</v>
      </c>
      <c r="C5827" s="424" t="str">
        <f t="shared" si="247"/>
        <v>Transol - Transportes e Turismo, S.A.</v>
      </c>
      <c r="D5827" t="s">
        <v>629</v>
      </c>
      <c r="F5827" t="s">
        <v>620</v>
      </c>
      <c r="G5827" s="435">
        <v>2019</v>
      </c>
      <c r="H5827" s="433" t="s">
        <v>733</v>
      </c>
      <c r="I5827" s="311" t="str">
        <f t="shared" si="245"/>
        <v>Pesado de Passageiros M3:  : Gasóleo : E6</v>
      </c>
      <c r="J5827" s="433">
        <v>49</v>
      </c>
      <c r="K5827" s="422">
        <v>2023</v>
      </c>
      <c r="L5827" s="427">
        <v>15565.59</v>
      </c>
      <c r="M5827" s="427" t="s">
        <v>630</v>
      </c>
      <c r="N5827" s="434">
        <v>56567</v>
      </c>
      <c r="O5827" s="436">
        <f t="shared" si="246"/>
        <v>2771783</v>
      </c>
      <c r="Q5827" s="422" t="s">
        <v>47</v>
      </c>
      <c r="R5827" s="422" t="s">
        <v>1869</v>
      </c>
      <c r="S5827" s="422" t="s">
        <v>1861</v>
      </c>
      <c r="T5827" t="s">
        <v>4823</v>
      </c>
      <c r="U5827" s="422" t="s">
        <v>1953</v>
      </c>
      <c r="V5827" s="422" t="s">
        <v>2813</v>
      </c>
    </row>
    <row r="5828" spans="1:22" ht="15.75" thickBot="1" x14ac:dyDescent="0.3">
      <c r="A5828" t="s">
        <v>4598</v>
      </c>
      <c r="B5828" t="s">
        <v>4598</v>
      </c>
      <c r="C5828" s="424" t="str">
        <f t="shared" si="247"/>
        <v>Transol - Transportes e Turismo, S.A.</v>
      </c>
      <c r="D5828" t="s">
        <v>629</v>
      </c>
      <c r="F5828" t="s">
        <v>620</v>
      </c>
      <c r="G5828" s="435">
        <v>2008</v>
      </c>
      <c r="H5828" s="433" t="s">
        <v>731</v>
      </c>
      <c r="I5828" s="311" t="str">
        <f t="shared" si="245"/>
        <v>Pesado de Passageiros M3:  : Gasóleo : E4</v>
      </c>
      <c r="J5828" s="433">
        <v>54</v>
      </c>
      <c r="K5828" s="422">
        <v>2023</v>
      </c>
      <c r="L5828" s="427">
        <v>17255.640000000003</v>
      </c>
      <c r="M5828" s="427" t="s">
        <v>630</v>
      </c>
      <c r="N5828" s="434">
        <v>52298</v>
      </c>
      <c r="O5828" s="436">
        <f t="shared" si="246"/>
        <v>2824092</v>
      </c>
      <c r="Q5828" s="422" t="s">
        <v>47</v>
      </c>
      <c r="R5828" s="422" t="s">
        <v>1869</v>
      </c>
      <c r="S5828" s="422" t="s">
        <v>1861</v>
      </c>
      <c r="T5828" t="s">
        <v>4823</v>
      </c>
      <c r="U5828" s="422" t="s">
        <v>1953</v>
      </c>
      <c r="V5828" s="422" t="s">
        <v>2813</v>
      </c>
    </row>
    <row r="5829" spans="1:22" ht="15.75" thickBot="1" x14ac:dyDescent="0.3">
      <c r="A5829" t="s">
        <v>4598</v>
      </c>
      <c r="B5829" t="s">
        <v>4598</v>
      </c>
      <c r="C5829" s="424" t="str">
        <f t="shared" si="247"/>
        <v>Transol - Transportes e Turismo, S.A.</v>
      </c>
      <c r="D5829" t="s">
        <v>629</v>
      </c>
      <c r="F5829" t="s">
        <v>620</v>
      </c>
      <c r="G5829" s="435">
        <v>2008</v>
      </c>
      <c r="H5829" s="433" t="s">
        <v>731</v>
      </c>
      <c r="I5829" s="311" t="str">
        <f t="shared" si="245"/>
        <v>Pesado de Passageiros M3:  : Gasóleo : E4</v>
      </c>
      <c r="J5829" s="433">
        <v>53</v>
      </c>
      <c r="K5829" s="422">
        <v>2023</v>
      </c>
      <c r="L5829" s="427">
        <v>12294.679999999998</v>
      </c>
      <c r="M5829" s="427" t="s">
        <v>630</v>
      </c>
      <c r="N5829" s="434">
        <v>36358</v>
      </c>
      <c r="O5829" s="436">
        <f t="shared" si="246"/>
        <v>1926974</v>
      </c>
      <c r="Q5829" s="422" t="s">
        <v>47</v>
      </c>
      <c r="R5829" s="422" t="s">
        <v>1869</v>
      </c>
      <c r="S5829" s="422" t="s">
        <v>1861</v>
      </c>
      <c r="T5829" t="s">
        <v>4823</v>
      </c>
      <c r="U5829" s="422" t="s">
        <v>1953</v>
      </c>
      <c r="V5829" s="422" t="s">
        <v>2813</v>
      </c>
    </row>
    <row r="5830" spans="1:22" ht="15.75" thickBot="1" x14ac:dyDescent="0.3">
      <c r="A5830" t="s">
        <v>4598</v>
      </c>
      <c r="B5830" t="s">
        <v>4598</v>
      </c>
      <c r="C5830" s="424" t="str">
        <f t="shared" si="247"/>
        <v>Transol - Transportes e Turismo, S.A.</v>
      </c>
      <c r="D5830" t="s">
        <v>629</v>
      </c>
      <c r="F5830" t="s">
        <v>620</v>
      </c>
      <c r="G5830" s="435">
        <v>2008</v>
      </c>
      <c r="H5830" s="433" t="s">
        <v>731</v>
      </c>
      <c r="I5830" s="311" t="str">
        <f t="shared" si="245"/>
        <v>Pesado de Passageiros M3:  : Gasóleo : E4</v>
      </c>
      <c r="J5830" s="433">
        <v>35</v>
      </c>
      <c r="K5830" s="422">
        <v>2023</v>
      </c>
      <c r="L5830" s="427">
        <v>17036.95</v>
      </c>
      <c r="M5830" s="427" t="s">
        <v>630</v>
      </c>
      <c r="N5830" s="434">
        <v>46976</v>
      </c>
      <c r="O5830" s="436">
        <f t="shared" si="246"/>
        <v>1644160</v>
      </c>
      <c r="Q5830" s="422" t="s">
        <v>47</v>
      </c>
      <c r="R5830" s="422" t="s">
        <v>1869</v>
      </c>
      <c r="S5830" s="422" t="s">
        <v>1861</v>
      </c>
      <c r="T5830" t="s">
        <v>4823</v>
      </c>
      <c r="U5830" s="422" t="s">
        <v>1953</v>
      </c>
      <c r="V5830" s="422" t="s">
        <v>2813</v>
      </c>
    </row>
    <row r="5831" spans="1:22" ht="15.75" thickBot="1" x14ac:dyDescent="0.3">
      <c r="A5831" t="s">
        <v>4598</v>
      </c>
      <c r="B5831" t="s">
        <v>4598</v>
      </c>
      <c r="C5831" s="424" t="str">
        <f t="shared" si="247"/>
        <v>Transol - Transportes e Turismo, S.A.</v>
      </c>
      <c r="D5831" t="s">
        <v>629</v>
      </c>
      <c r="F5831" t="s">
        <v>620</v>
      </c>
      <c r="G5831" s="435">
        <v>2004</v>
      </c>
      <c r="H5831" s="433" t="s">
        <v>732</v>
      </c>
      <c r="I5831" s="311" t="str">
        <f t="shared" si="245"/>
        <v>Pesado de Passageiros M3:  : Gasóleo : E3</v>
      </c>
      <c r="J5831" s="433">
        <v>55</v>
      </c>
      <c r="K5831" s="422">
        <v>2023</v>
      </c>
      <c r="L5831" s="427">
        <v>4688.8999999999996</v>
      </c>
      <c r="M5831" s="427" t="s">
        <v>630</v>
      </c>
      <c r="N5831" s="434">
        <v>13289</v>
      </c>
      <c r="O5831" s="436">
        <f t="shared" si="246"/>
        <v>730895</v>
      </c>
      <c r="Q5831" s="422" t="s">
        <v>47</v>
      </c>
      <c r="R5831" s="422" t="s">
        <v>1869</v>
      </c>
      <c r="S5831" s="422" t="s">
        <v>1861</v>
      </c>
      <c r="T5831" t="s">
        <v>4823</v>
      </c>
      <c r="U5831" s="422" t="s">
        <v>1953</v>
      </c>
      <c r="V5831" s="422" t="s">
        <v>2813</v>
      </c>
    </row>
    <row r="5832" spans="1:22" ht="15.75" thickBot="1" x14ac:dyDescent="0.3">
      <c r="A5832" t="s">
        <v>4598</v>
      </c>
      <c r="B5832" t="s">
        <v>4598</v>
      </c>
      <c r="C5832" s="424" t="str">
        <f t="shared" si="247"/>
        <v>Transol - Transportes e Turismo, S.A.</v>
      </c>
      <c r="D5832" t="s">
        <v>629</v>
      </c>
      <c r="F5832" t="s">
        <v>620</v>
      </c>
      <c r="G5832" s="435">
        <v>2007</v>
      </c>
      <c r="H5832" s="433" t="s">
        <v>731</v>
      </c>
      <c r="I5832" s="311" t="str">
        <f t="shared" si="245"/>
        <v>Pesado de Passageiros M3:  : Gasóleo : E4</v>
      </c>
      <c r="J5832" s="433">
        <v>51</v>
      </c>
      <c r="K5832" s="422">
        <v>2023</v>
      </c>
      <c r="L5832" s="427">
        <v>16837.289999999997</v>
      </c>
      <c r="M5832" s="427" t="s">
        <v>630</v>
      </c>
      <c r="N5832" s="434">
        <v>54673</v>
      </c>
      <c r="O5832" s="436">
        <f t="shared" si="246"/>
        <v>2788323</v>
      </c>
      <c r="Q5832" s="422" t="s">
        <v>47</v>
      </c>
      <c r="R5832" s="422" t="s">
        <v>1869</v>
      </c>
      <c r="S5832" s="422" t="s">
        <v>1861</v>
      </c>
      <c r="T5832" t="s">
        <v>4823</v>
      </c>
      <c r="U5832" s="422" t="s">
        <v>1953</v>
      </c>
      <c r="V5832" s="422" t="s">
        <v>2813</v>
      </c>
    </row>
    <row r="5833" spans="1:22" ht="15.75" thickBot="1" x14ac:dyDescent="0.3">
      <c r="A5833" t="s">
        <v>4598</v>
      </c>
      <c r="B5833" t="s">
        <v>4598</v>
      </c>
      <c r="C5833" s="424" t="str">
        <f t="shared" si="247"/>
        <v>Transol - Transportes e Turismo, S.A.</v>
      </c>
      <c r="D5833" t="s">
        <v>629</v>
      </c>
      <c r="F5833" t="s">
        <v>620</v>
      </c>
      <c r="G5833" s="435">
        <v>2008</v>
      </c>
      <c r="H5833" s="433" t="s">
        <v>731</v>
      </c>
      <c r="I5833" s="311" t="str">
        <f t="shared" si="245"/>
        <v>Pesado de Passageiros M3:  : Gasóleo : E4</v>
      </c>
      <c r="J5833" s="433">
        <v>49</v>
      </c>
      <c r="K5833" s="422">
        <v>2023</v>
      </c>
      <c r="L5833" s="427">
        <v>9349.0399999999991</v>
      </c>
      <c r="M5833" s="427" t="s">
        <v>630</v>
      </c>
      <c r="N5833" s="434">
        <v>24408</v>
      </c>
      <c r="O5833" s="436">
        <f t="shared" si="246"/>
        <v>1195992</v>
      </c>
      <c r="Q5833" s="422" t="s">
        <v>47</v>
      </c>
      <c r="R5833" s="422" t="s">
        <v>1869</v>
      </c>
      <c r="S5833" s="422" t="s">
        <v>1861</v>
      </c>
      <c r="T5833" t="s">
        <v>4823</v>
      </c>
      <c r="U5833" s="422" t="s">
        <v>1953</v>
      </c>
      <c r="V5833" s="422" t="s">
        <v>2813</v>
      </c>
    </row>
    <row r="5834" spans="1:22" ht="15.75" thickBot="1" x14ac:dyDescent="0.3">
      <c r="A5834" t="s">
        <v>4598</v>
      </c>
      <c r="B5834" t="s">
        <v>4598</v>
      </c>
      <c r="C5834" s="424" t="str">
        <f t="shared" si="247"/>
        <v>Transol - Transportes e Turismo, S.A.</v>
      </c>
      <c r="D5834" t="s">
        <v>629</v>
      </c>
      <c r="F5834" t="s">
        <v>620</v>
      </c>
      <c r="G5834" s="435">
        <v>2008</v>
      </c>
      <c r="H5834" s="433" t="s">
        <v>731</v>
      </c>
      <c r="I5834" s="311" t="str">
        <f t="shared" si="245"/>
        <v>Pesado de Passageiros M3:  : Gasóleo : E4</v>
      </c>
      <c r="J5834" s="433">
        <v>51</v>
      </c>
      <c r="K5834" s="422">
        <v>2023</v>
      </c>
      <c r="L5834" s="427">
        <v>14982.009999999998</v>
      </c>
      <c r="M5834" s="427" t="s">
        <v>630</v>
      </c>
      <c r="N5834" s="434">
        <v>37156</v>
      </c>
      <c r="O5834" s="436">
        <f t="shared" si="246"/>
        <v>1894956</v>
      </c>
      <c r="Q5834" s="422" t="s">
        <v>47</v>
      </c>
      <c r="R5834" s="422" t="s">
        <v>1869</v>
      </c>
      <c r="S5834" s="422" t="s">
        <v>1861</v>
      </c>
      <c r="T5834" t="s">
        <v>4823</v>
      </c>
      <c r="U5834" s="422" t="s">
        <v>1953</v>
      </c>
      <c r="V5834" s="422" t="s">
        <v>2813</v>
      </c>
    </row>
    <row r="5835" spans="1:22" ht="15.75" thickBot="1" x14ac:dyDescent="0.3">
      <c r="A5835" t="s">
        <v>4598</v>
      </c>
      <c r="B5835" t="s">
        <v>4598</v>
      </c>
      <c r="C5835" s="424" t="str">
        <f t="shared" si="247"/>
        <v>Transol - Transportes e Turismo, S.A.</v>
      </c>
      <c r="D5835" t="s">
        <v>629</v>
      </c>
      <c r="F5835" t="s">
        <v>620</v>
      </c>
      <c r="G5835" s="435">
        <v>2007</v>
      </c>
      <c r="H5835" s="433" t="s">
        <v>731</v>
      </c>
      <c r="I5835" s="311" t="str">
        <f t="shared" si="245"/>
        <v>Pesado de Passageiros M3:  : Gasóleo : E4</v>
      </c>
      <c r="J5835" s="433">
        <v>49</v>
      </c>
      <c r="K5835" s="422">
        <v>2023</v>
      </c>
      <c r="L5835" s="427">
        <v>10239.640000000001</v>
      </c>
      <c r="M5835" s="427" t="s">
        <v>630</v>
      </c>
      <c r="N5835" s="434">
        <v>28234</v>
      </c>
      <c r="O5835" s="436">
        <f t="shared" si="246"/>
        <v>1383466</v>
      </c>
      <c r="Q5835" s="422" t="s">
        <v>47</v>
      </c>
      <c r="R5835" s="422" t="s">
        <v>1869</v>
      </c>
      <c r="S5835" s="422" t="s">
        <v>1861</v>
      </c>
      <c r="T5835" t="s">
        <v>4823</v>
      </c>
      <c r="U5835" s="422" t="s">
        <v>1953</v>
      </c>
      <c r="V5835" s="422" t="s">
        <v>2813</v>
      </c>
    </row>
    <row r="5836" spans="1:22" ht="15.75" thickBot="1" x14ac:dyDescent="0.3">
      <c r="A5836" t="s">
        <v>4598</v>
      </c>
      <c r="B5836" t="s">
        <v>4598</v>
      </c>
      <c r="C5836" s="424" t="str">
        <f t="shared" si="247"/>
        <v>Transol - Transportes e Turismo, S.A.</v>
      </c>
      <c r="D5836" t="s">
        <v>629</v>
      </c>
      <c r="F5836" t="s">
        <v>620</v>
      </c>
      <c r="G5836" s="435">
        <v>2019</v>
      </c>
      <c r="H5836" s="433" t="s">
        <v>733</v>
      </c>
      <c r="I5836" s="311" t="str">
        <f t="shared" si="245"/>
        <v>Pesado de Passageiros M3:  : Gasóleo : E6</v>
      </c>
      <c r="J5836" s="433">
        <v>49</v>
      </c>
      <c r="K5836" s="422">
        <v>2023</v>
      </c>
      <c r="L5836" s="427">
        <v>13007.229999999998</v>
      </c>
      <c r="M5836" s="427" t="s">
        <v>630</v>
      </c>
      <c r="N5836" s="434">
        <v>51078</v>
      </c>
      <c r="O5836" s="436">
        <f t="shared" si="246"/>
        <v>2502822</v>
      </c>
      <c r="Q5836" s="422" t="s">
        <v>47</v>
      </c>
      <c r="R5836" s="422" t="s">
        <v>1869</v>
      </c>
      <c r="S5836" s="422" t="s">
        <v>1861</v>
      </c>
      <c r="T5836" t="s">
        <v>4823</v>
      </c>
      <c r="U5836" s="422" t="s">
        <v>1953</v>
      </c>
      <c r="V5836" s="422" t="s">
        <v>2813</v>
      </c>
    </row>
    <row r="5837" spans="1:22" ht="15.75" thickBot="1" x14ac:dyDescent="0.3">
      <c r="A5837" t="s">
        <v>4598</v>
      </c>
      <c r="B5837" t="s">
        <v>4598</v>
      </c>
      <c r="C5837" s="424" t="str">
        <f t="shared" si="247"/>
        <v>Transol - Transportes e Turismo, S.A.</v>
      </c>
      <c r="D5837" t="s">
        <v>629</v>
      </c>
      <c r="F5837" t="s">
        <v>620</v>
      </c>
      <c r="G5837" s="435">
        <v>2018</v>
      </c>
      <c r="H5837" s="433" t="s">
        <v>733</v>
      </c>
      <c r="I5837" s="311" t="str">
        <f t="shared" si="245"/>
        <v>Pesado de Passageiros M3:  : Gasóleo : E6</v>
      </c>
      <c r="J5837" s="433">
        <v>49</v>
      </c>
      <c r="K5837" s="422">
        <v>2023</v>
      </c>
      <c r="L5837" s="427">
        <v>27005.460000000003</v>
      </c>
      <c r="M5837" s="427" t="s">
        <v>630</v>
      </c>
      <c r="N5837" s="434">
        <v>96672</v>
      </c>
      <c r="O5837" s="436">
        <f t="shared" si="246"/>
        <v>4736928</v>
      </c>
      <c r="Q5837" s="422" t="s">
        <v>47</v>
      </c>
      <c r="R5837" s="422" t="s">
        <v>1869</v>
      </c>
      <c r="S5837" s="422" t="s">
        <v>1861</v>
      </c>
      <c r="T5837" t="s">
        <v>4823</v>
      </c>
      <c r="U5837" s="422" t="s">
        <v>1953</v>
      </c>
      <c r="V5837" s="422" t="s">
        <v>2813</v>
      </c>
    </row>
    <row r="5838" spans="1:22" ht="15.75" thickBot="1" x14ac:dyDescent="0.3">
      <c r="A5838" t="s">
        <v>4598</v>
      </c>
      <c r="B5838" t="s">
        <v>4598</v>
      </c>
      <c r="C5838" s="424" t="str">
        <f t="shared" si="247"/>
        <v>Transol - Transportes e Turismo, S.A.</v>
      </c>
      <c r="D5838" t="s">
        <v>629</v>
      </c>
      <c r="F5838" t="s">
        <v>620</v>
      </c>
      <c r="G5838" s="435">
        <v>2023</v>
      </c>
      <c r="H5838" s="433" t="s">
        <v>733</v>
      </c>
      <c r="I5838" s="311" t="str">
        <f t="shared" si="245"/>
        <v>Pesado de Passageiros M3:  : Gasóleo : E6</v>
      </c>
      <c r="J5838" s="433">
        <v>49</v>
      </c>
      <c r="K5838" s="422">
        <v>2023</v>
      </c>
      <c r="L5838" s="427">
        <v>39290.58</v>
      </c>
      <c r="M5838" s="427" t="s">
        <v>630</v>
      </c>
      <c r="N5838" s="434">
        <v>142193</v>
      </c>
      <c r="O5838" s="436">
        <f t="shared" si="246"/>
        <v>6967457</v>
      </c>
      <c r="Q5838" s="422" t="s">
        <v>47</v>
      </c>
      <c r="R5838" s="422" t="s">
        <v>1869</v>
      </c>
      <c r="S5838" s="422" t="s">
        <v>1861</v>
      </c>
      <c r="T5838" t="s">
        <v>4823</v>
      </c>
      <c r="U5838" s="422" t="s">
        <v>1953</v>
      </c>
      <c r="V5838" s="422" t="s">
        <v>2813</v>
      </c>
    </row>
    <row r="5839" spans="1:22" ht="15.75" thickBot="1" x14ac:dyDescent="0.3">
      <c r="A5839" t="s">
        <v>4598</v>
      </c>
      <c r="B5839" t="s">
        <v>4598</v>
      </c>
      <c r="C5839" s="424" t="str">
        <f t="shared" si="247"/>
        <v>Transol - Transportes e Turismo, S.A.</v>
      </c>
      <c r="D5839" t="s">
        <v>629</v>
      </c>
      <c r="F5839" t="s">
        <v>620</v>
      </c>
      <c r="G5839" s="435">
        <v>2017</v>
      </c>
      <c r="H5839" s="433" t="s">
        <v>733</v>
      </c>
      <c r="I5839" s="311" t="str">
        <f t="shared" si="245"/>
        <v>Pesado de Passageiros M3:  : Gasóleo : E6</v>
      </c>
      <c r="J5839" s="433">
        <v>35</v>
      </c>
      <c r="K5839" s="422">
        <v>2023</v>
      </c>
      <c r="L5839" s="427">
        <v>25626.91</v>
      </c>
      <c r="M5839" s="427" t="s">
        <v>630</v>
      </c>
      <c r="N5839" s="434">
        <v>89564</v>
      </c>
      <c r="O5839" s="436">
        <f t="shared" si="246"/>
        <v>3134740</v>
      </c>
      <c r="Q5839" s="422" t="s">
        <v>47</v>
      </c>
      <c r="R5839" s="422" t="s">
        <v>1869</v>
      </c>
      <c r="S5839" s="422" t="s">
        <v>1861</v>
      </c>
      <c r="T5839" t="s">
        <v>4823</v>
      </c>
      <c r="U5839" s="422" t="s">
        <v>1953</v>
      </c>
      <c r="V5839" s="422" t="s">
        <v>2813</v>
      </c>
    </row>
    <row r="5840" spans="1:22" ht="15.75" thickBot="1" x14ac:dyDescent="0.3">
      <c r="A5840" t="s">
        <v>4598</v>
      </c>
      <c r="B5840" t="s">
        <v>4598</v>
      </c>
      <c r="C5840" s="424" t="str">
        <f t="shared" si="247"/>
        <v>Transol - Transportes e Turismo, S.A.</v>
      </c>
      <c r="D5840" t="s">
        <v>629</v>
      </c>
      <c r="F5840" t="s">
        <v>620</v>
      </c>
      <c r="G5840" s="435">
        <v>2017</v>
      </c>
      <c r="H5840" s="433" t="s">
        <v>733</v>
      </c>
      <c r="I5840" s="311" t="str">
        <f t="shared" si="245"/>
        <v>Pesado de Passageiros M3:  : Gasóleo : E6</v>
      </c>
      <c r="J5840" s="433">
        <v>53</v>
      </c>
      <c r="K5840" s="422">
        <v>2023</v>
      </c>
      <c r="L5840" s="427">
        <v>26187.15</v>
      </c>
      <c r="M5840" s="427" t="s">
        <v>630</v>
      </c>
      <c r="N5840" s="434">
        <v>97081</v>
      </c>
      <c r="O5840" s="436">
        <f t="shared" si="246"/>
        <v>5145293</v>
      </c>
      <c r="Q5840" s="422" t="s">
        <v>47</v>
      </c>
      <c r="R5840" s="422" t="s">
        <v>1869</v>
      </c>
      <c r="S5840" s="422" t="s">
        <v>1861</v>
      </c>
      <c r="T5840" t="s">
        <v>4823</v>
      </c>
      <c r="U5840" s="422" t="s">
        <v>1953</v>
      </c>
      <c r="V5840" s="422" t="s">
        <v>2813</v>
      </c>
    </row>
    <row r="5841" spans="1:22" ht="15.75" thickBot="1" x14ac:dyDescent="0.3">
      <c r="A5841" t="s">
        <v>4598</v>
      </c>
      <c r="B5841" t="s">
        <v>4598</v>
      </c>
      <c r="C5841" s="424" t="str">
        <f t="shared" si="247"/>
        <v>Transol - Transportes e Turismo, S.A.</v>
      </c>
      <c r="D5841" t="s">
        <v>629</v>
      </c>
      <c r="F5841" t="s">
        <v>620</v>
      </c>
      <c r="G5841" s="435">
        <v>2008</v>
      </c>
      <c r="H5841" s="433" t="s">
        <v>731</v>
      </c>
      <c r="I5841" s="311" t="str">
        <f t="shared" si="245"/>
        <v>Pesado de Passageiros M3:  : Gasóleo : E4</v>
      </c>
      <c r="J5841" s="433">
        <v>53</v>
      </c>
      <c r="K5841" s="422">
        <v>2023</v>
      </c>
      <c r="L5841" s="427">
        <v>12932.17</v>
      </c>
      <c r="M5841" s="427" t="s">
        <v>630</v>
      </c>
      <c r="N5841" s="434">
        <v>37008</v>
      </c>
      <c r="O5841" s="436">
        <f t="shared" si="246"/>
        <v>1961424</v>
      </c>
      <c r="Q5841" s="422" t="s">
        <v>47</v>
      </c>
      <c r="R5841" s="422" t="s">
        <v>1869</v>
      </c>
      <c r="S5841" s="422" t="s">
        <v>1861</v>
      </c>
      <c r="T5841" t="s">
        <v>4823</v>
      </c>
      <c r="U5841" s="422" t="s">
        <v>1953</v>
      </c>
      <c r="V5841" s="422" t="s">
        <v>2813</v>
      </c>
    </row>
    <row r="5842" spans="1:22" ht="15.75" thickBot="1" x14ac:dyDescent="0.3">
      <c r="A5842" t="s">
        <v>4598</v>
      </c>
      <c r="B5842" t="s">
        <v>4598</v>
      </c>
      <c r="C5842" s="424" t="str">
        <f t="shared" si="247"/>
        <v>Transol - Transportes e Turismo, S.A.</v>
      </c>
      <c r="D5842" t="s">
        <v>629</v>
      </c>
      <c r="F5842" t="s">
        <v>620</v>
      </c>
      <c r="G5842" s="435">
        <v>2008</v>
      </c>
      <c r="H5842" s="433" t="s">
        <v>731</v>
      </c>
      <c r="I5842" s="311" t="str">
        <f t="shared" si="245"/>
        <v>Pesado de Passageiros M3:  : Gasóleo : E4</v>
      </c>
      <c r="J5842" s="433">
        <v>57</v>
      </c>
      <c r="K5842" s="422">
        <v>2023</v>
      </c>
      <c r="L5842" s="427">
        <v>9381.89</v>
      </c>
      <c r="M5842" s="427" t="s">
        <v>630</v>
      </c>
      <c r="N5842" s="434">
        <v>22162</v>
      </c>
      <c r="O5842" s="436">
        <f t="shared" si="246"/>
        <v>1263234</v>
      </c>
      <c r="Q5842" s="422" t="s">
        <v>47</v>
      </c>
      <c r="R5842" s="422" t="s">
        <v>1869</v>
      </c>
      <c r="S5842" s="422" t="s">
        <v>1861</v>
      </c>
      <c r="T5842" t="s">
        <v>4823</v>
      </c>
      <c r="U5842" s="422" t="s">
        <v>1953</v>
      </c>
      <c r="V5842" s="422" t="s">
        <v>2813</v>
      </c>
    </row>
    <row r="5843" spans="1:22" ht="15.75" thickBot="1" x14ac:dyDescent="0.3">
      <c r="A5843" t="s">
        <v>4598</v>
      </c>
      <c r="B5843" t="s">
        <v>4598</v>
      </c>
      <c r="C5843" s="424" t="str">
        <f t="shared" si="247"/>
        <v>Transol - Transportes e Turismo, S.A.</v>
      </c>
      <c r="D5843" t="s">
        <v>629</v>
      </c>
      <c r="F5843" t="s">
        <v>620</v>
      </c>
      <c r="G5843" s="435">
        <v>2004</v>
      </c>
      <c r="H5843" s="433" t="s">
        <v>732</v>
      </c>
      <c r="I5843" s="311" t="str">
        <f t="shared" si="245"/>
        <v>Pesado de Passageiros M3:  : Gasóleo : E3</v>
      </c>
      <c r="J5843" s="433">
        <v>57</v>
      </c>
      <c r="K5843" s="422">
        <v>2023</v>
      </c>
      <c r="L5843" s="427">
        <v>7846.9500000000007</v>
      </c>
      <c r="M5843" s="427" t="s">
        <v>630</v>
      </c>
      <c r="N5843" s="434">
        <v>24124</v>
      </c>
      <c r="O5843" s="436">
        <f t="shared" si="246"/>
        <v>1375068</v>
      </c>
      <c r="Q5843" s="422" t="s">
        <v>47</v>
      </c>
      <c r="R5843" s="422" t="s">
        <v>1869</v>
      </c>
      <c r="S5843" s="422" t="s">
        <v>1861</v>
      </c>
      <c r="T5843" t="s">
        <v>4823</v>
      </c>
      <c r="U5843" s="422" t="s">
        <v>1953</v>
      </c>
      <c r="V5843" s="422" t="s">
        <v>2813</v>
      </c>
    </row>
    <row r="5844" spans="1:22" ht="15.75" thickBot="1" x14ac:dyDescent="0.3">
      <c r="A5844" t="s">
        <v>4598</v>
      </c>
      <c r="B5844" t="s">
        <v>4598</v>
      </c>
      <c r="C5844" s="424" t="str">
        <f t="shared" si="247"/>
        <v>Transol - Transportes e Turismo, S.A.</v>
      </c>
      <c r="D5844" t="s">
        <v>629</v>
      </c>
      <c r="F5844" t="s">
        <v>620</v>
      </c>
      <c r="G5844" s="435">
        <v>2008</v>
      </c>
      <c r="H5844" s="433" t="s">
        <v>731</v>
      </c>
      <c r="I5844" s="311" t="str">
        <f t="shared" si="245"/>
        <v>Pesado de Passageiros M3:  : Gasóleo : E4</v>
      </c>
      <c r="J5844" s="433">
        <v>53</v>
      </c>
      <c r="K5844" s="422">
        <v>2023</v>
      </c>
      <c r="L5844" s="427">
        <v>17155.88</v>
      </c>
      <c r="M5844" s="427" t="s">
        <v>630</v>
      </c>
      <c r="N5844" s="434">
        <v>49302</v>
      </c>
      <c r="O5844" s="436">
        <f t="shared" si="246"/>
        <v>2613006</v>
      </c>
      <c r="Q5844" s="422" t="s">
        <v>47</v>
      </c>
      <c r="R5844" s="422" t="s">
        <v>1869</v>
      </c>
      <c r="S5844" s="422" t="s">
        <v>1861</v>
      </c>
      <c r="T5844" t="s">
        <v>4823</v>
      </c>
      <c r="U5844" s="422" t="s">
        <v>1953</v>
      </c>
      <c r="V5844" s="422" t="s">
        <v>2813</v>
      </c>
    </row>
    <row r="5845" spans="1:22" ht="15.75" thickBot="1" x14ac:dyDescent="0.3">
      <c r="A5845" t="s">
        <v>4598</v>
      </c>
      <c r="B5845" t="s">
        <v>4598</v>
      </c>
      <c r="C5845" s="424" t="str">
        <f t="shared" si="247"/>
        <v>Transol - Transportes e Turismo, S.A.</v>
      </c>
      <c r="D5845" t="s">
        <v>629</v>
      </c>
      <c r="F5845" t="s">
        <v>620</v>
      </c>
      <c r="G5845" s="435">
        <v>2016</v>
      </c>
      <c r="H5845" s="433" t="s">
        <v>733</v>
      </c>
      <c r="I5845" s="311" t="str">
        <f t="shared" si="245"/>
        <v>Pesado de Passageiros M3:  : Gasóleo : E6</v>
      </c>
      <c r="J5845" s="433">
        <v>53</v>
      </c>
      <c r="K5845" s="422">
        <v>2023</v>
      </c>
      <c r="L5845" s="427">
        <v>18990.37</v>
      </c>
      <c r="M5845" s="427" t="s">
        <v>630</v>
      </c>
      <c r="N5845" s="434">
        <v>60900</v>
      </c>
      <c r="O5845" s="436">
        <f t="shared" si="246"/>
        <v>3227700</v>
      </c>
      <c r="Q5845" s="422" t="s">
        <v>47</v>
      </c>
      <c r="R5845" s="422" t="s">
        <v>1869</v>
      </c>
      <c r="S5845" s="422" t="s">
        <v>1861</v>
      </c>
      <c r="T5845" t="s">
        <v>4823</v>
      </c>
      <c r="U5845" s="422" t="s">
        <v>1953</v>
      </c>
      <c r="V5845" s="422" t="s">
        <v>2813</v>
      </c>
    </row>
    <row r="5846" spans="1:22" ht="15.75" thickBot="1" x14ac:dyDescent="0.3">
      <c r="A5846" t="s">
        <v>4598</v>
      </c>
      <c r="B5846" t="s">
        <v>4598</v>
      </c>
      <c r="C5846" s="424" t="str">
        <f t="shared" si="247"/>
        <v>Transol - Transportes e Turismo, S.A.</v>
      </c>
      <c r="D5846" t="s">
        <v>629</v>
      </c>
      <c r="F5846" t="s">
        <v>620</v>
      </c>
      <c r="G5846" s="435">
        <v>2016</v>
      </c>
      <c r="H5846" s="433" t="s">
        <v>733</v>
      </c>
      <c r="I5846" s="311" t="str">
        <f t="shared" si="245"/>
        <v>Pesado de Passageiros M3:  : Gasóleo : E6</v>
      </c>
      <c r="J5846" s="433">
        <v>51</v>
      </c>
      <c r="K5846" s="422">
        <v>2023</v>
      </c>
      <c r="L5846" s="427">
        <v>24125.190000000002</v>
      </c>
      <c r="M5846" s="427" t="s">
        <v>630</v>
      </c>
      <c r="N5846" s="434">
        <v>76487</v>
      </c>
      <c r="O5846" s="436">
        <f t="shared" si="246"/>
        <v>3900837</v>
      </c>
      <c r="Q5846" s="422" t="s">
        <v>47</v>
      </c>
      <c r="R5846" s="422" t="s">
        <v>1869</v>
      </c>
      <c r="S5846" s="422" t="s">
        <v>1861</v>
      </c>
      <c r="T5846" t="s">
        <v>4823</v>
      </c>
      <c r="U5846" s="422" t="s">
        <v>1953</v>
      </c>
      <c r="V5846" s="422" t="s">
        <v>2813</v>
      </c>
    </row>
    <row r="5847" spans="1:22" ht="15.75" thickBot="1" x14ac:dyDescent="0.3">
      <c r="A5847" t="s">
        <v>4598</v>
      </c>
      <c r="B5847" t="s">
        <v>4598</v>
      </c>
      <c r="C5847" s="424" t="str">
        <f t="shared" si="247"/>
        <v>Transol - Transportes e Turismo, S.A.</v>
      </c>
      <c r="D5847" t="s">
        <v>629</v>
      </c>
      <c r="F5847" t="s">
        <v>620</v>
      </c>
      <c r="G5847" s="435">
        <v>2016</v>
      </c>
      <c r="H5847" s="433" t="s">
        <v>733</v>
      </c>
      <c r="I5847" s="311" t="str">
        <f t="shared" si="245"/>
        <v>Pesado de Passageiros M3:  : Gasóleo : E6</v>
      </c>
      <c r="J5847" s="433">
        <v>49</v>
      </c>
      <c r="K5847" s="422">
        <v>2023</v>
      </c>
      <c r="L5847" s="427">
        <v>17195.169999999998</v>
      </c>
      <c r="M5847" s="427" t="s">
        <v>630</v>
      </c>
      <c r="N5847" s="434">
        <v>54447</v>
      </c>
      <c r="O5847" s="436">
        <f t="shared" si="246"/>
        <v>2667903</v>
      </c>
      <c r="Q5847" s="422" t="s">
        <v>47</v>
      </c>
      <c r="R5847" s="422" t="s">
        <v>1869</v>
      </c>
      <c r="S5847" s="422" t="s">
        <v>1861</v>
      </c>
      <c r="T5847" t="s">
        <v>4823</v>
      </c>
      <c r="U5847" s="422" t="s">
        <v>1953</v>
      </c>
      <c r="V5847" s="422" t="s">
        <v>2813</v>
      </c>
    </row>
    <row r="5848" spans="1:22" ht="15.75" thickBot="1" x14ac:dyDescent="0.3">
      <c r="A5848" t="s">
        <v>4598</v>
      </c>
      <c r="B5848" t="s">
        <v>4598</v>
      </c>
      <c r="C5848" s="424" t="str">
        <f t="shared" si="247"/>
        <v>Transol - Transportes e Turismo, S.A.</v>
      </c>
      <c r="D5848" t="s">
        <v>629</v>
      </c>
      <c r="F5848" t="s">
        <v>620</v>
      </c>
      <c r="G5848" s="435">
        <v>2008</v>
      </c>
      <c r="H5848" s="433" t="s">
        <v>731</v>
      </c>
      <c r="I5848" s="311" t="str">
        <f t="shared" si="245"/>
        <v>Pesado de Passageiros M3:  : Gasóleo : E4</v>
      </c>
      <c r="J5848" s="433">
        <v>53</v>
      </c>
      <c r="K5848" s="422">
        <v>2023</v>
      </c>
      <c r="L5848" s="427">
        <v>15898.68</v>
      </c>
      <c r="M5848" s="427" t="s">
        <v>630</v>
      </c>
      <c r="N5848" s="434">
        <v>50284</v>
      </c>
      <c r="O5848" s="436">
        <f t="shared" si="246"/>
        <v>2665052</v>
      </c>
      <c r="Q5848" s="422" t="s">
        <v>47</v>
      </c>
      <c r="R5848" s="422" t="s">
        <v>1869</v>
      </c>
      <c r="S5848" s="422" t="s">
        <v>1861</v>
      </c>
      <c r="T5848" t="s">
        <v>4823</v>
      </c>
      <c r="U5848" s="422" t="s">
        <v>1953</v>
      </c>
      <c r="V5848" s="422" t="s">
        <v>2813</v>
      </c>
    </row>
    <row r="5849" spans="1:22" ht="15.75" thickBot="1" x14ac:dyDescent="0.3">
      <c r="A5849" t="s">
        <v>4598</v>
      </c>
      <c r="B5849" t="s">
        <v>4598</v>
      </c>
      <c r="C5849" s="424" t="str">
        <f t="shared" si="247"/>
        <v>Transol - Transportes e Turismo, S.A.</v>
      </c>
      <c r="D5849" t="s">
        <v>629</v>
      </c>
      <c r="F5849" t="s">
        <v>620</v>
      </c>
      <c r="G5849" s="435">
        <v>2008</v>
      </c>
      <c r="H5849" s="433" t="s">
        <v>731</v>
      </c>
      <c r="I5849" s="311" t="str">
        <f t="shared" si="245"/>
        <v>Pesado de Passageiros M3:  : Gasóleo : E4</v>
      </c>
      <c r="J5849" s="433">
        <v>59</v>
      </c>
      <c r="K5849" s="422">
        <v>2023</v>
      </c>
      <c r="L5849" s="427">
        <v>16105.73</v>
      </c>
      <c r="M5849" s="427" t="s">
        <v>630</v>
      </c>
      <c r="N5849" s="434">
        <v>48400</v>
      </c>
      <c r="O5849" s="436">
        <f t="shared" si="246"/>
        <v>2855600</v>
      </c>
      <c r="Q5849" s="422" t="s">
        <v>47</v>
      </c>
      <c r="R5849" s="422" t="s">
        <v>1869</v>
      </c>
      <c r="S5849" s="422" t="s">
        <v>1861</v>
      </c>
      <c r="T5849" t="s">
        <v>4823</v>
      </c>
      <c r="U5849" s="422" t="s">
        <v>1953</v>
      </c>
      <c r="V5849" s="422" t="s">
        <v>2813</v>
      </c>
    </row>
    <row r="5850" spans="1:22" ht="15.75" thickBot="1" x14ac:dyDescent="0.3">
      <c r="A5850" t="s">
        <v>4598</v>
      </c>
      <c r="B5850" t="s">
        <v>4598</v>
      </c>
      <c r="C5850" s="424" t="str">
        <f t="shared" si="247"/>
        <v>Transol - Transportes e Turismo, S.A.</v>
      </c>
      <c r="D5850" t="s">
        <v>629</v>
      </c>
      <c r="F5850" t="s">
        <v>620</v>
      </c>
      <c r="G5850" s="435">
        <v>2008</v>
      </c>
      <c r="H5850" s="433" t="s">
        <v>731</v>
      </c>
      <c r="I5850" s="311" t="str">
        <f t="shared" si="245"/>
        <v>Pesado de Passageiros M3:  : Gasóleo : E4</v>
      </c>
      <c r="J5850" s="433">
        <v>57</v>
      </c>
      <c r="K5850" s="422">
        <v>2023</v>
      </c>
      <c r="L5850" s="427">
        <v>16584.7</v>
      </c>
      <c r="M5850" s="427" t="s">
        <v>630</v>
      </c>
      <c r="N5850" s="434">
        <v>44366</v>
      </c>
      <c r="O5850" s="436">
        <f t="shared" si="246"/>
        <v>2528862</v>
      </c>
      <c r="Q5850" s="422" t="s">
        <v>47</v>
      </c>
      <c r="R5850" s="422" t="s">
        <v>1869</v>
      </c>
      <c r="S5850" s="422" t="s">
        <v>1861</v>
      </c>
      <c r="T5850" t="s">
        <v>4823</v>
      </c>
      <c r="U5850" s="422" t="s">
        <v>1953</v>
      </c>
      <c r="V5850" s="422" t="s">
        <v>2813</v>
      </c>
    </row>
    <row r="5851" spans="1:22" ht="15.75" thickBot="1" x14ac:dyDescent="0.3">
      <c r="A5851" t="s">
        <v>4598</v>
      </c>
      <c r="B5851" t="s">
        <v>4598</v>
      </c>
      <c r="C5851" s="424" t="str">
        <f t="shared" si="247"/>
        <v>Transol - Transportes e Turismo, S.A.</v>
      </c>
      <c r="D5851" t="s">
        <v>629</v>
      </c>
      <c r="F5851" t="s">
        <v>620</v>
      </c>
      <c r="G5851" s="435">
        <v>2008</v>
      </c>
      <c r="H5851" s="433" t="s">
        <v>731</v>
      </c>
      <c r="I5851" s="311" t="str">
        <f t="shared" si="245"/>
        <v>Pesado de Passageiros M3:  : Gasóleo : E4</v>
      </c>
      <c r="J5851" s="433">
        <v>51</v>
      </c>
      <c r="K5851" s="422">
        <v>2023</v>
      </c>
      <c r="L5851" s="427">
        <v>19674.12</v>
      </c>
      <c r="M5851" s="427" t="s">
        <v>630</v>
      </c>
      <c r="N5851" s="434">
        <v>58566</v>
      </c>
      <c r="O5851" s="436">
        <f t="shared" si="246"/>
        <v>2986866</v>
      </c>
      <c r="Q5851" s="422" t="s">
        <v>47</v>
      </c>
      <c r="R5851" s="422" t="s">
        <v>1869</v>
      </c>
      <c r="S5851" s="422" t="s">
        <v>1861</v>
      </c>
      <c r="T5851" t="s">
        <v>4823</v>
      </c>
      <c r="U5851" s="422" t="s">
        <v>1953</v>
      </c>
      <c r="V5851" s="422" t="s">
        <v>2813</v>
      </c>
    </row>
    <row r="5852" spans="1:22" ht="15.75" thickBot="1" x14ac:dyDescent="0.3">
      <c r="A5852" t="s">
        <v>4598</v>
      </c>
      <c r="B5852" t="s">
        <v>4598</v>
      </c>
      <c r="C5852" s="424" t="str">
        <f t="shared" si="247"/>
        <v>Transol - Transportes e Turismo, S.A.</v>
      </c>
      <c r="D5852" t="s">
        <v>629</v>
      </c>
      <c r="F5852" t="s">
        <v>620</v>
      </c>
      <c r="G5852" s="435">
        <v>2017</v>
      </c>
      <c r="H5852" s="433" t="s">
        <v>733</v>
      </c>
      <c r="I5852" s="311" t="str">
        <f t="shared" si="245"/>
        <v>Pesado de Passageiros M3:  : Gasóleo : E6</v>
      </c>
      <c r="J5852" s="433">
        <v>49</v>
      </c>
      <c r="K5852" s="422">
        <v>2023</v>
      </c>
      <c r="L5852" s="427">
        <v>22155.200000000004</v>
      </c>
      <c r="M5852" s="427" t="s">
        <v>630</v>
      </c>
      <c r="N5852" s="434">
        <v>72527</v>
      </c>
      <c r="O5852" s="436">
        <f t="shared" si="246"/>
        <v>3553823</v>
      </c>
      <c r="Q5852" s="422" t="s">
        <v>47</v>
      </c>
      <c r="R5852" s="422" t="s">
        <v>1869</v>
      </c>
      <c r="S5852" s="422" t="s">
        <v>1861</v>
      </c>
      <c r="T5852" t="s">
        <v>4823</v>
      </c>
      <c r="U5852" s="422" t="s">
        <v>1953</v>
      </c>
      <c r="V5852" s="422" t="s">
        <v>2813</v>
      </c>
    </row>
    <row r="5853" spans="1:22" ht="15.75" thickBot="1" x14ac:dyDescent="0.3">
      <c r="A5853" t="s">
        <v>4598</v>
      </c>
      <c r="B5853" t="s">
        <v>4598</v>
      </c>
      <c r="C5853" s="424" t="str">
        <f t="shared" si="247"/>
        <v>Transol - Transportes e Turismo, S.A.</v>
      </c>
      <c r="D5853" t="s">
        <v>629</v>
      </c>
      <c r="F5853" t="s">
        <v>620</v>
      </c>
      <c r="G5853" s="435">
        <v>2017</v>
      </c>
      <c r="H5853" s="433" t="s">
        <v>733</v>
      </c>
      <c r="I5853" s="311" t="str">
        <f t="shared" si="245"/>
        <v>Pesado de Passageiros M3:  : Gasóleo : E6</v>
      </c>
      <c r="J5853" s="433">
        <v>51</v>
      </c>
      <c r="K5853" s="422">
        <v>2023</v>
      </c>
      <c r="L5853" s="427">
        <v>19185.5</v>
      </c>
      <c r="M5853" s="427" t="s">
        <v>630</v>
      </c>
      <c r="N5853" s="434">
        <v>55566</v>
      </c>
      <c r="O5853" s="436">
        <f t="shared" si="246"/>
        <v>2833866</v>
      </c>
      <c r="Q5853" s="422" t="s">
        <v>47</v>
      </c>
      <c r="R5853" s="422" t="s">
        <v>1869</v>
      </c>
      <c r="S5853" s="422" t="s">
        <v>1861</v>
      </c>
      <c r="T5853" t="s">
        <v>4823</v>
      </c>
      <c r="U5853" s="422" t="s">
        <v>1953</v>
      </c>
      <c r="V5853" s="422" t="s">
        <v>2813</v>
      </c>
    </row>
    <row r="5854" spans="1:22" ht="15.75" thickBot="1" x14ac:dyDescent="0.3">
      <c r="A5854" t="s">
        <v>4598</v>
      </c>
      <c r="B5854" t="s">
        <v>4598</v>
      </c>
      <c r="C5854" s="424" t="str">
        <f t="shared" si="247"/>
        <v>Transol - Transportes e Turismo, S.A.</v>
      </c>
      <c r="D5854" t="s">
        <v>629</v>
      </c>
      <c r="F5854" t="s">
        <v>620</v>
      </c>
      <c r="G5854" s="435">
        <v>2017</v>
      </c>
      <c r="H5854" s="433" t="s">
        <v>733</v>
      </c>
      <c r="I5854" s="311" t="str">
        <f t="shared" si="245"/>
        <v>Pesado de Passageiros M3:  : Gasóleo : E6</v>
      </c>
      <c r="J5854" s="433">
        <v>49</v>
      </c>
      <c r="K5854" s="422">
        <v>2023</v>
      </c>
      <c r="L5854" s="427">
        <v>19239.82</v>
      </c>
      <c r="M5854" s="427" t="s">
        <v>630</v>
      </c>
      <c r="N5854" s="434">
        <v>69970</v>
      </c>
      <c r="O5854" s="436">
        <f t="shared" si="246"/>
        <v>3428530</v>
      </c>
      <c r="Q5854" s="422" t="s">
        <v>47</v>
      </c>
      <c r="R5854" s="422" t="s">
        <v>1869</v>
      </c>
      <c r="S5854" s="422" t="s">
        <v>1861</v>
      </c>
      <c r="T5854" t="s">
        <v>4823</v>
      </c>
      <c r="U5854" s="422" t="s">
        <v>1953</v>
      </c>
      <c r="V5854" s="422" t="s">
        <v>2813</v>
      </c>
    </row>
    <row r="5855" spans="1:22" ht="15.75" thickBot="1" x14ac:dyDescent="0.3">
      <c r="A5855" t="s">
        <v>4598</v>
      </c>
      <c r="B5855" t="s">
        <v>4598</v>
      </c>
      <c r="C5855" s="424" t="str">
        <f t="shared" si="247"/>
        <v>Transol - Transportes e Turismo, S.A.</v>
      </c>
      <c r="D5855" t="s">
        <v>629</v>
      </c>
      <c r="F5855" t="s">
        <v>620</v>
      </c>
      <c r="G5855" s="435">
        <v>2006</v>
      </c>
      <c r="H5855" s="433" t="s">
        <v>731</v>
      </c>
      <c r="I5855" s="311" t="str">
        <f t="shared" si="245"/>
        <v>Pesado de Passageiros M3:  : Gasóleo : E4</v>
      </c>
      <c r="J5855" s="433">
        <v>55</v>
      </c>
      <c r="K5855" s="422">
        <v>2023</v>
      </c>
      <c r="L5855" s="427">
        <v>14245.59</v>
      </c>
      <c r="M5855" s="427" t="s">
        <v>630</v>
      </c>
      <c r="N5855" s="434">
        <v>38059</v>
      </c>
      <c r="O5855" s="436">
        <f t="shared" si="246"/>
        <v>2093245</v>
      </c>
      <c r="Q5855" s="422" t="s">
        <v>47</v>
      </c>
      <c r="R5855" s="422" t="s">
        <v>1869</v>
      </c>
      <c r="S5855" s="422" t="s">
        <v>1861</v>
      </c>
      <c r="T5855" t="s">
        <v>4823</v>
      </c>
      <c r="U5855" s="422" t="s">
        <v>1953</v>
      </c>
      <c r="V5855" s="422" t="s">
        <v>2813</v>
      </c>
    </row>
    <row r="5856" spans="1:22" ht="15.75" thickBot="1" x14ac:dyDescent="0.3">
      <c r="A5856" t="s">
        <v>4598</v>
      </c>
      <c r="B5856" t="s">
        <v>4598</v>
      </c>
      <c r="C5856" s="424" t="str">
        <f t="shared" si="247"/>
        <v>Transol - Transportes e Turismo, S.A.</v>
      </c>
      <c r="D5856" t="s">
        <v>629</v>
      </c>
      <c r="F5856" t="s">
        <v>620</v>
      </c>
      <c r="G5856" s="435">
        <v>2017</v>
      </c>
      <c r="H5856" s="433" t="s">
        <v>733</v>
      </c>
      <c r="I5856" s="311" t="str">
        <f t="shared" si="245"/>
        <v>Pesado de Passageiros M3:  : Gasóleo : E6</v>
      </c>
      <c r="J5856" s="433">
        <v>55</v>
      </c>
      <c r="K5856" s="422">
        <v>2023</v>
      </c>
      <c r="L5856" s="427">
        <v>15941.43</v>
      </c>
      <c r="M5856" s="427" t="s">
        <v>630</v>
      </c>
      <c r="N5856" s="434">
        <v>53767</v>
      </c>
      <c r="O5856" s="436">
        <f t="shared" si="246"/>
        <v>2957185</v>
      </c>
      <c r="Q5856" s="422" t="s">
        <v>47</v>
      </c>
      <c r="R5856" s="422" t="s">
        <v>1869</v>
      </c>
      <c r="S5856" s="422" t="s">
        <v>1861</v>
      </c>
      <c r="T5856" t="s">
        <v>4823</v>
      </c>
      <c r="U5856" s="422" t="s">
        <v>1953</v>
      </c>
      <c r="V5856" s="422" t="s">
        <v>2813</v>
      </c>
    </row>
    <row r="5857" spans="1:22" ht="15.75" thickBot="1" x14ac:dyDescent="0.3">
      <c r="A5857" t="s">
        <v>4598</v>
      </c>
      <c r="B5857" t="s">
        <v>4598</v>
      </c>
      <c r="C5857" s="424" t="str">
        <f t="shared" si="247"/>
        <v>Transol - Transportes e Turismo, S.A.</v>
      </c>
      <c r="D5857" t="s">
        <v>629</v>
      </c>
      <c r="F5857" t="s">
        <v>620</v>
      </c>
      <c r="G5857" s="435">
        <v>2008</v>
      </c>
      <c r="H5857" s="433" t="s">
        <v>731</v>
      </c>
      <c r="I5857" s="311" t="str">
        <f t="shared" si="245"/>
        <v>Pesado de Passageiros M3:  : Gasóleo : E4</v>
      </c>
      <c r="J5857" s="433">
        <v>55</v>
      </c>
      <c r="K5857" s="422">
        <v>2023</v>
      </c>
      <c r="L5857" s="427">
        <v>13273.130000000001</v>
      </c>
      <c r="M5857" s="427" t="s">
        <v>630</v>
      </c>
      <c r="N5857" s="434">
        <v>46857</v>
      </c>
      <c r="O5857" s="436">
        <f t="shared" si="246"/>
        <v>2577135</v>
      </c>
      <c r="Q5857" s="422" t="s">
        <v>47</v>
      </c>
      <c r="R5857" s="422" t="s">
        <v>1869</v>
      </c>
      <c r="S5857" s="422" t="s">
        <v>1861</v>
      </c>
      <c r="T5857" t="s">
        <v>4823</v>
      </c>
      <c r="U5857" s="422" t="s">
        <v>1953</v>
      </c>
      <c r="V5857" s="422" t="s">
        <v>2813</v>
      </c>
    </row>
    <row r="5858" spans="1:22" ht="15.75" thickBot="1" x14ac:dyDescent="0.3">
      <c r="A5858" t="s">
        <v>4598</v>
      </c>
      <c r="B5858" t="s">
        <v>4598</v>
      </c>
      <c r="C5858" s="424" t="str">
        <f t="shared" si="247"/>
        <v>Transol - Transportes e Turismo, S.A.</v>
      </c>
      <c r="D5858" t="s">
        <v>629</v>
      </c>
      <c r="F5858" t="s">
        <v>620</v>
      </c>
      <c r="G5858" s="435">
        <v>2017</v>
      </c>
      <c r="H5858" s="433" t="s">
        <v>733</v>
      </c>
      <c r="I5858" s="311" t="str">
        <f t="shared" ref="I5858:I5921" si="248">D5858&amp;": "&amp;E5858&amp;" : "&amp;F5858&amp;" : "&amp;H5858</f>
        <v>Pesado de Passageiros M3:  : Gasóleo : E6</v>
      </c>
      <c r="J5858" s="433">
        <v>51</v>
      </c>
      <c r="K5858" s="422">
        <v>2023</v>
      </c>
      <c r="L5858" s="427">
        <v>6938.95</v>
      </c>
      <c r="M5858" s="427" t="s">
        <v>630</v>
      </c>
      <c r="N5858" s="434">
        <v>40295</v>
      </c>
      <c r="O5858" s="436">
        <f t="shared" ref="O5858:O5921" si="249">N5858*J5858</f>
        <v>2055045</v>
      </c>
      <c r="Q5858" s="422" t="s">
        <v>47</v>
      </c>
      <c r="R5858" s="422" t="s">
        <v>1869</v>
      </c>
      <c r="S5858" s="422" t="s">
        <v>1861</v>
      </c>
      <c r="T5858" t="s">
        <v>4823</v>
      </c>
      <c r="U5858" s="422" t="s">
        <v>1953</v>
      </c>
      <c r="V5858" s="422" t="s">
        <v>2813</v>
      </c>
    </row>
    <row r="5859" spans="1:22" ht="15.75" thickBot="1" x14ac:dyDescent="0.3">
      <c r="A5859" t="s">
        <v>4598</v>
      </c>
      <c r="B5859" t="s">
        <v>4598</v>
      </c>
      <c r="C5859" s="424" t="str">
        <f t="shared" si="247"/>
        <v>Transol - Transportes e Turismo, S.A.</v>
      </c>
      <c r="D5859" t="s">
        <v>629</v>
      </c>
      <c r="F5859" t="s">
        <v>620</v>
      </c>
      <c r="G5859" s="435">
        <v>2018</v>
      </c>
      <c r="H5859" s="433" t="s">
        <v>733</v>
      </c>
      <c r="I5859" s="311" t="str">
        <f t="shared" si="248"/>
        <v>Pesado de Passageiros M3:  : Gasóleo : E6</v>
      </c>
      <c r="J5859" s="433">
        <v>39</v>
      </c>
      <c r="K5859" s="422">
        <v>2023</v>
      </c>
      <c r="L5859" s="427">
        <v>7438.2</v>
      </c>
      <c r="M5859" s="427" t="s">
        <v>630</v>
      </c>
      <c r="N5859" s="434">
        <v>40713</v>
      </c>
      <c r="O5859" s="436">
        <f t="shared" si="249"/>
        <v>1587807</v>
      </c>
      <c r="Q5859" s="422" t="s">
        <v>47</v>
      </c>
      <c r="R5859" s="422" t="s">
        <v>1869</v>
      </c>
      <c r="S5859" s="422" t="s">
        <v>1861</v>
      </c>
      <c r="T5859" t="s">
        <v>4823</v>
      </c>
      <c r="U5859" s="422" t="s">
        <v>1953</v>
      </c>
      <c r="V5859" s="422" t="s">
        <v>2813</v>
      </c>
    </row>
    <row r="5860" spans="1:22" ht="15.75" thickBot="1" x14ac:dyDescent="0.3">
      <c r="A5860" t="s">
        <v>4598</v>
      </c>
      <c r="B5860" t="s">
        <v>4598</v>
      </c>
      <c r="C5860" s="424" t="str">
        <f t="shared" si="247"/>
        <v>Transol - Transportes e Turismo, S.A.</v>
      </c>
      <c r="D5860" t="s">
        <v>629</v>
      </c>
      <c r="F5860" t="s">
        <v>620</v>
      </c>
      <c r="G5860" s="435">
        <v>2015</v>
      </c>
      <c r="H5860" s="433" t="s">
        <v>733</v>
      </c>
      <c r="I5860" s="311" t="str">
        <f t="shared" si="248"/>
        <v>Pesado de Passageiros M3:  : Gasóleo : E6</v>
      </c>
      <c r="J5860" s="433">
        <v>49</v>
      </c>
      <c r="K5860" s="422">
        <v>2023</v>
      </c>
      <c r="L5860" s="427">
        <v>3399.36</v>
      </c>
      <c r="M5860" s="427" t="s">
        <v>630</v>
      </c>
      <c r="N5860" s="434">
        <v>31397</v>
      </c>
      <c r="O5860" s="436">
        <f t="shared" si="249"/>
        <v>1538453</v>
      </c>
      <c r="Q5860" s="422" t="s">
        <v>47</v>
      </c>
      <c r="R5860" s="422" t="s">
        <v>1869</v>
      </c>
      <c r="S5860" s="422" t="s">
        <v>1861</v>
      </c>
      <c r="T5860" t="s">
        <v>4823</v>
      </c>
      <c r="U5860" s="422" t="s">
        <v>1953</v>
      </c>
      <c r="V5860" s="422" t="s">
        <v>2813</v>
      </c>
    </row>
    <row r="5861" spans="1:22" ht="15.75" thickBot="1" x14ac:dyDescent="0.3">
      <c r="A5861" t="s">
        <v>4598</v>
      </c>
      <c r="B5861" t="s">
        <v>4598</v>
      </c>
      <c r="C5861" s="424" t="str">
        <f t="shared" si="247"/>
        <v>Transol - Transportes e Turismo, S.A.</v>
      </c>
      <c r="D5861" t="s">
        <v>629</v>
      </c>
      <c r="F5861" t="s">
        <v>620</v>
      </c>
      <c r="G5861" s="435">
        <v>2015</v>
      </c>
      <c r="H5861" s="433" t="s">
        <v>733</v>
      </c>
      <c r="I5861" s="311" t="str">
        <f t="shared" si="248"/>
        <v>Pesado de Passageiros M3:  : Gasóleo : E6</v>
      </c>
      <c r="J5861" s="433">
        <v>24</v>
      </c>
      <c r="K5861" s="422">
        <v>2023</v>
      </c>
      <c r="L5861" s="427">
        <v>2782.85</v>
      </c>
      <c r="M5861" s="427" t="s">
        <v>630</v>
      </c>
      <c r="N5861" s="434">
        <v>33538</v>
      </c>
      <c r="O5861" s="436">
        <f t="shared" si="249"/>
        <v>804912</v>
      </c>
      <c r="Q5861" s="422" t="s">
        <v>47</v>
      </c>
      <c r="R5861" s="422" t="s">
        <v>1869</v>
      </c>
      <c r="S5861" s="422" t="s">
        <v>1861</v>
      </c>
      <c r="T5861" t="s">
        <v>4824</v>
      </c>
      <c r="U5861" s="422" t="s">
        <v>1953</v>
      </c>
      <c r="V5861" s="422" t="s">
        <v>2813</v>
      </c>
    </row>
    <row r="5862" spans="1:22" ht="15.75" thickBot="1" x14ac:dyDescent="0.3">
      <c r="A5862" t="s">
        <v>4598</v>
      </c>
      <c r="B5862" t="s">
        <v>4598</v>
      </c>
      <c r="C5862" s="424" t="str">
        <f t="shared" si="247"/>
        <v>Transol - Transportes e Turismo, S.A.</v>
      </c>
      <c r="D5862" t="s">
        <v>629</v>
      </c>
      <c r="F5862" t="s">
        <v>620</v>
      </c>
      <c r="G5862" s="435">
        <v>2017</v>
      </c>
      <c r="H5862" s="433" t="s">
        <v>733</v>
      </c>
      <c r="I5862" s="311" t="str">
        <f t="shared" si="248"/>
        <v>Pesado de Passageiros M3:  : Gasóleo : E6</v>
      </c>
      <c r="J5862" s="433">
        <v>24</v>
      </c>
      <c r="K5862" s="422">
        <v>2023</v>
      </c>
      <c r="L5862" s="427">
        <v>3290.9199999999996</v>
      </c>
      <c r="M5862" s="427" t="s">
        <v>630</v>
      </c>
      <c r="N5862" s="434">
        <v>36174</v>
      </c>
      <c r="O5862" s="436">
        <f t="shared" si="249"/>
        <v>868176</v>
      </c>
      <c r="Q5862" s="422" t="s">
        <v>47</v>
      </c>
      <c r="R5862" s="422" t="s">
        <v>1869</v>
      </c>
      <c r="S5862" s="422" t="s">
        <v>1861</v>
      </c>
      <c r="T5862" t="s">
        <v>4824</v>
      </c>
      <c r="U5862" s="422" t="s">
        <v>1953</v>
      </c>
      <c r="V5862" s="422" t="s">
        <v>2813</v>
      </c>
    </row>
    <row r="5863" spans="1:22" ht="15.75" thickBot="1" x14ac:dyDescent="0.3">
      <c r="A5863" t="s">
        <v>4598</v>
      </c>
      <c r="B5863" t="s">
        <v>4598</v>
      </c>
      <c r="C5863" s="424" t="str">
        <f t="shared" si="247"/>
        <v>Transol - Transportes e Turismo, S.A.</v>
      </c>
      <c r="D5863" t="s">
        <v>629</v>
      </c>
      <c r="F5863" t="s">
        <v>620</v>
      </c>
      <c r="G5863" s="435">
        <v>2017</v>
      </c>
      <c r="H5863" s="433" t="s">
        <v>733</v>
      </c>
      <c r="I5863" s="311" t="str">
        <f t="shared" si="248"/>
        <v>Pesado de Passageiros M3:  : Gasóleo : E6</v>
      </c>
      <c r="J5863" s="433">
        <v>8</v>
      </c>
      <c r="K5863" s="422">
        <v>2023</v>
      </c>
      <c r="L5863" s="427">
        <v>5885.44</v>
      </c>
      <c r="M5863" s="427" t="s">
        <v>630</v>
      </c>
      <c r="N5863" s="434">
        <v>74663</v>
      </c>
      <c r="O5863" s="436">
        <f t="shared" si="249"/>
        <v>597304</v>
      </c>
      <c r="Q5863" s="422" t="s">
        <v>47</v>
      </c>
      <c r="R5863" s="422" t="s">
        <v>1869</v>
      </c>
      <c r="S5863" s="422" t="s">
        <v>1861</v>
      </c>
      <c r="T5863" t="s">
        <v>4824</v>
      </c>
      <c r="U5863" s="422" t="s">
        <v>1953</v>
      </c>
      <c r="V5863" s="422" t="s">
        <v>2813</v>
      </c>
    </row>
    <row r="5864" spans="1:22" ht="15.75" thickBot="1" x14ac:dyDescent="0.3">
      <c r="A5864" t="s">
        <v>4598</v>
      </c>
      <c r="B5864" t="s">
        <v>4598</v>
      </c>
      <c r="C5864" s="424" t="str">
        <f t="shared" si="247"/>
        <v>Transol - Transportes e Turismo, S.A.</v>
      </c>
      <c r="D5864" t="s">
        <v>629</v>
      </c>
      <c r="F5864" t="s">
        <v>620</v>
      </c>
      <c r="G5864" s="435">
        <v>2017</v>
      </c>
      <c r="H5864" s="433" t="s">
        <v>733</v>
      </c>
      <c r="I5864" s="311" t="str">
        <f t="shared" si="248"/>
        <v>Pesado de Passageiros M3:  : Gasóleo : E6</v>
      </c>
      <c r="J5864" s="433">
        <v>4</v>
      </c>
      <c r="K5864" s="422">
        <v>2023</v>
      </c>
      <c r="L5864" s="427">
        <v>1886.3600000000001</v>
      </c>
      <c r="M5864" s="427" t="s">
        <v>630</v>
      </c>
      <c r="N5864" s="434">
        <v>19404</v>
      </c>
      <c r="O5864" s="436">
        <f t="shared" si="249"/>
        <v>77616</v>
      </c>
      <c r="Q5864" s="422" t="s">
        <v>47</v>
      </c>
      <c r="R5864" s="422" t="s">
        <v>1869</v>
      </c>
      <c r="S5864" s="422" t="s">
        <v>1861</v>
      </c>
      <c r="T5864" t="s">
        <v>4824</v>
      </c>
      <c r="U5864" s="422" t="s">
        <v>1953</v>
      </c>
      <c r="V5864" s="422" t="s">
        <v>2813</v>
      </c>
    </row>
    <row r="5865" spans="1:22" ht="15.75" thickBot="1" x14ac:dyDescent="0.3">
      <c r="A5865" t="s">
        <v>4598</v>
      </c>
      <c r="B5865" t="s">
        <v>4598</v>
      </c>
      <c r="C5865" s="424" t="str">
        <f t="shared" si="247"/>
        <v>Transol - Transportes e Turismo, S.A.</v>
      </c>
      <c r="D5865" t="s">
        <v>629</v>
      </c>
      <c r="F5865" t="s">
        <v>620</v>
      </c>
      <c r="G5865" s="435">
        <v>2018</v>
      </c>
      <c r="H5865" s="433" t="s">
        <v>733</v>
      </c>
      <c r="I5865" s="311" t="str">
        <f t="shared" si="248"/>
        <v>Pesado de Passageiros M3:  : Gasóleo : E6</v>
      </c>
      <c r="J5865" s="433">
        <v>4</v>
      </c>
      <c r="K5865" s="422">
        <v>2023</v>
      </c>
      <c r="L5865" s="427">
        <v>5065.0600000000013</v>
      </c>
      <c r="M5865" s="427" t="s">
        <v>630</v>
      </c>
      <c r="N5865" s="434">
        <v>76660</v>
      </c>
      <c r="O5865" s="436">
        <f t="shared" si="249"/>
        <v>306640</v>
      </c>
      <c r="Q5865" s="422" t="s">
        <v>47</v>
      </c>
      <c r="R5865" s="422" t="s">
        <v>1869</v>
      </c>
      <c r="S5865" s="422" t="s">
        <v>1861</v>
      </c>
      <c r="T5865" t="s">
        <v>4824</v>
      </c>
      <c r="U5865" s="422" t="s">
        <v>1953</v>
      </c>
      <c r="V5865" s="422" t="s">
        <v>2813</v>
      </c>
    </row>
    <row r="5866" spans="1:22" ht="15.75" thickBot="1" x14ac:dyDescent="0.3">
      <c r="A5866" t="s">
        <v>4598</v>
      </c>
      <c r="B5866" t="s">
        <v>4598</v>
      </c>
      <c r="C5866" s="424" t="str">
        <f t="shared" si="247"/>
        <v>Transol - Transportes e Turismo, S.A.</v>
      </c>
      <c r="D5866" t="s">
        <v>629</v>
      </c>
      <c r="F5866" t="s">
        <v>620</v>
      </c>
      <c r="G5866" s="435">
        <v>2020</v>
      </c>
      <c r="H5866" s="433" t="s">
        <v>733</v>
      </c>
      <c r="I5866" s="311" t="str">
        <f t="shared" si="248"/>
        <v>Pesado de Passageiros M3:  : Gasóleo : E6</v>
      </c>
      <c r="J5866" s="433">
        <v>8</v>
      </c>
      <c r="K5866" s="422">
        <v>2023</v>
      </c>
      <c r="L5866" s="427">
        <v>1117.5199999999998</v>
      </c>
      <c r="M5866" s="427" t="s">
        <v>630</v>
      </c>
      <c r="N5866" s="434">
        <v>14130</v>
      </c>
      <c r="O5866" s="436">
        <f t="shared" si="249"/>
        <v>113040</v>
      </c>
      <c r="Q5866" s="422" t="s">
        <v>47</v>
      </c>
      <c r="R5866" s="422" t="s">
        <v>1869</v>
      </c>
      <c r="S5866" s="422" t="s">
        <v>1861</v>
      </c>
      <c r="T5866" t="s">
        <v>4824</v>
      </c>
      <c r="U5866" s="422" t="s">
        <v>1953</v>
      </c>
      <c r="V5866" s="422" t="s">
        <v>2813</v>
      </c>
    </row>
    <row r="5867" spans="1:22" ht="15.75" thickBot="1" x14ac:dyDescent="0.3">
      <c r="A5867" t="s">
        <v>4598</v>
      </c>
      <c r="B5867" t="s">
        <v>4598</v>
      </c>
      <c r="C5867" s="424" t="str">
        <f t="shared" si="247"/>
        <v>Transol - Transportes e Turismo, S.A.</v>
      </c>
      <c r="D5867" t="s">
        <v>629</v>
      </c>
      <c r="F5867" t="s">
        <v>620</v>
      </c>
      <c r="G5867" s="435">
        <v>2020</v>
      </c>
      <c r="H5867" s="433" t="s">
        <v>733</v>
      </c>
      <c r="I5867" s="311" t="str">
        <f t="shared" si="248"/>
        <v>Pesado de Passageiros M3:  : Gasóleo : E6</v>
      </c>
      <c r="J5867" s="433">
        <v>8</v>
      </c>
      <c r="K5867" s="422">
        <v>2023</v>
      </c>
      <c r="L5867" s="427">
        <v>4578.5199999999995</v>
      </c>
      <c r="M5867" s="427" t="s">
        <v>630</v>
      </c>
      <c r="N5867" s="434">
        <v>51290</v>
      </c>
      <c r="O5867" s="436">
        <f t="shared" si="249"/>
        <v>410320</v>
      </c>
      <c r="Q5867" s="422" t="s">
        <v>47</v>
      </c>
      <c r="R5867" s="422" t="s">
        <v>1869</v>
      </c>
      <c r="S5867" s="422" t="s">
        <v>1861</v>
      </c>
      <c r="T5867" t="s">
        <v>4824</v>
      </c>
      <c r="U5867" s="422" t="s">
        <v>1953</v>
      </c>
      <c r="V5867" s="422" t="s">
        <v>2813</v>
      </c>
    </row>
    <row r="5868" spans="1:22" ht="15.75" thickBot="1" x14ac:dyDescent="0.3">
      <c r="A5868" t="s">
        <v>4598</v>
      </c>
      <c r="B5868" t="s">
        <v>4598</v>
      </c>
      <c r="C5868" s="424" t="str">
        <f t="shared" si="247"/>
        <v>Transol - Transportes e Turismo, S.A.</v>
      </c>
      <c r="D5868" t="s">
        <v>629</v>
      </c>
      <c r="F5868" t="s">
        <v>620</v>
      </c>
      <c r="G5868" s="435">
        <v>2020</v>
      </c>
      <c r="H5868" s="433" t="s">
        <v>733</v>
      </c>
      <c r="I5868" s="311" t="str">
        <f t="shared" si="248"/>
        <v>Pesado de Passageiros M3:  : Gasóleo : E6</v>
      </c>
      <c r="J5868" s="433">
        <v>8</v>
      </c>
      <c r="K5868" s="422">
        <v>2023</v>
      </c>
      <c r="L5868" s="427">
        <v>7299.8899999999994</v>
      </c>
      <c r="M5868" s="427" t="s">
        <v>630</v>
      </c>
      <c r="N5868" s="434">
        <v>95121</v>
      </c>
      <c r="O5868" s="436">
        <f t="shared" si="249"/>
        <v>760968</v>
      </c>
      <c r="Q5868" s="422" t="s">
        <v>47</v>
      </c>
      <c r="R5868" s="422" t="s">
        <v>1869</v>
      </c>
      <c r="S5868" s="422" t="s">
        <v>1861</v>
      </c>
      <c r="T5868" t="s">
        <v>4824</v>
      </c>
      <c r="U5868" s="422" t="s">
        <v>1953</v>
      </c>
      <c r="V5868" s="422" t="s">
        <v>2813</v>
      </c>
    </row>
    <row r="5869" spans="1:22" ht="15.75" thickBot="1" x14ac:dyDescent="0.3">
      <c r="A5869" t="s">
        <v>4598</v>
      </c>
      <c r="B5869" t="s">
        <v>4598</v>
      </c>
      <c r="C5869" s="424" t="str">
        <f t="shared" si="247"/>
        <v>Transol - Transportes e Turismo, S.A.</v>
      </c>
      <c r="D5869" t="s">
        <v>629</v>
      </c>
      <c r="F5869" t="s">
        <v>620</v>
      </c>
      <c r="G5869" s="435">
        <v>2020</v>
      </c>
      <c r="H5869" s="433" t="s">
        <v>733</v>
      </c>
      <c r="I5869" s="311" t="str">
        <f t="shared" si="248"/>
        <v>Pesado de Passageiros M3:  : Gasóleo : E6</v>
      </c>
      <c r="J5869" s="433">
        <v>8</v>
      </c>
      <c r="K5869" s="422">
        <v>2023</v>
      </c>
      <c r="L5869" s="427">
        <v>6333.380000000001</v>
      </c>
      <c r="M5869" s="427" t="s">
        <v>630</v>
      </c>
      <c r="N5869" s="434">
        <v>85360</v>
      </c>
      <c r="O5869" s="436">
        <f t="shared" si="249"/>
        <v>682880</v>
      </c>
      <c r="Q5869" s="422" t="s">
        <v>47</v>
      </c>
      <c r="R5869" s="422" t="s">
        <v>1869</v>
      </c>
      <c r="S5869" s="422" t="s">
        <v>1861</v>
      </c>
      <c r="T5869" t="s">
        <v>4824</v>
      </c>
      <c r="U5869" s="422" t="s">
        <v>1953</v>
      </c>
      <c r="V5869" s="422" t="s">
        <v>2813</v>
      </c>
    </row>
    <row r="5870" spans="1:22" ht="15.75" thickBot="1" x14ac:dyDescent="0.3">
      <c r="A5870" t="s">
        <v>4598</v>
      </c>
      <c r="B5870" t="s">
        <v>4598</v>
      </c>
      <c r="C5870" s="424" t="str">
        <f t="shared" si="247"/>
        <v>Transol - Transportes e Turismo, S.A.</v>
      </c>
      <c r="D5870" t="s">
        <v>629</v>
      </c>
      <c r="F5870" t="s">
        <v>620</v>
      </c>
      <c r="G5870" s="435">
        <v>2020</v>
      </c>
      <c r="H5870" s="433" t="s">
        <v>733</v>
      </c>
      <c r="I5870" s="311" t="str">
        <f t="shared" si="248"/>
        <v>Pesado de Passageiros M3:  : Gasóleo : E6</v>
      </c>
      <c r="J5870" s="433">
        <v>8</v>
      </c>
      <c r="K5870" s="422">
        <v>2023</v>
      </c>
      <c r="L5870" s="427">
        <v>4969.6499999999996</v>
      </c>
      <c r="M5870" s="427" t="s">
        <v>630</v>
      </c>
      <c r="N5870" s="434">
        <v>62874</v>
      </c>
      <c r="O5870" s="436">
        <f t="shared" si="249"/>
        <v>502992</v>
      </c>
      <c r="Q5870" s="422" t="s">
        <v>47</v>
      </c>
      <c r="R5870" s="422" t="s">
        <v>1869</v>
      </c>
      <c r="S5870" s="422" t="s">
        <v>1861</v>
      </c>
      <c r="T5870" t="s">
        <v>4824</v>
      </c>
      <c r="U5870" s="422" t="s">
        <v>1953</v>
      </c>
      <c r="V5870" s="422" t="s">
        <v>2813</v>
      </c>
    </row>
    <row r="5871" spans="1:22" ht="15.75" thickBot="1" x14ac:dyDescent="0.3">
      <c r="A5871" t="s">
        <v>4598</v>
      </c>
      <c r="B5871" t="s">
        <v>4598</v>
      </c>
      <c r="C5871" s="424" t="str">
        <f t="shared" si="247"/>
        <v>Transol - Transportes e Turismo, S.A.</v>
      </c>
      <c r="D5871" t="s">
        <v>629</v>
      </c>
      <c r="F5871" t="s">
        <v>620</v>
      </c>
      <c r="G5871" s="435">
        <v>2020</v>
      </c>
      <c r="H5871" s="433" t="s">
        <v>733</v>
      </c>
      <c r="I5871" s="311" t="str">
        <f t="shared" si="248"/>
        <v>Pesado de Passageiros M3:  : Gasóleo : E6</v>
      </c>
      <c r="J5871" s="433">
        <v>8</v>
      </c>
      <c r="K5871" s="422">
        <v>2023</v>
      </c>
      <c r="L5871" s="427">
        <v>8145.5600000000013</v>
      </c>
      <c r="M5871" s="427" t="s">
        <v>630</v>
      </c>
      <c r="N5871" s="434">
        <v>96050</v>
      </c>
      <c r="O5871" s="436">
        <f t="shared" si="249"/>
        <v>768400</v>
      </c>
      <c r="Q5871" s="422" t="s">
        <v>47</v>
      </c>
      <c r="R5871" s="422" t="s">
        <v>1869</v>
      </c>
      <c r="S5871" s="422" t="s">
        <v>1861</v>
      </c>
      <c r="T5871" t="s">
        <v>4824</v>
      </c>
      <c r="U5871" s="422" t="s">
        <v>1953</v>
      </c>
      <c r="V5871" s="422" t="s">
        <v>2813</v>
      </c>
    </row>
    <row r="5872" spans="1:22" ht="15.75" thickBot="1" x14ac:dyDescent="0.3">
      <c r="A5872" t="s">
        <v>4598</v>
      </c>
      <c r="B5872" t="s">
        <v>4598</v>
      </c>
      <c r="C5872" s="424" t="str">
        <f t="shared" si="247"/>
        <v>Transol - Transportes e Turismo, S.A.</v>
      </c>
      <c r="D5872" t="s">
        <v>629</v>
      </c>
      <c r="F5872" t="s">
        <v>620</v>
      </c>
      <c r="G5872" s="435">
        <v>2020</v>
      </c>
      <c r="H5872" s="433" t="s">
        <v>733</v>
      </c>
      <c r="I5872" s="311" t="str">
        <f t="shared" si="248"/>
        <v>Pesado de Passageiros M3:  : Gasóleo : E6</v>
      </c>
      <c r="J5872" s="433">
        <v>8</v>
      </c>
      <c r="K5872" s="422">
        <v>2023</v>
      </c>
      <c r="L5872" s="427">
        <v>7043.1100000000006</v>
      </c>
      <c r="M5872" s="427" t="s">
        <v>630</v>
      </c>
      <c r="N5872" s="434">
        <v>87266</v>
      </c>
      <c r="O5872" s="436">
        <f t="shared" si="249"/>
        <v>698128</v>
      </c>
      <c r="Q5872" s="422" t="s">
        <v>47</v>
      </c>
      <c r="R5872" s="422" t="s">
        <v>1869</v>
      </c>
      <c r="S5872" s="422" t="s">
        <v>1861</v>
      </c>
      <c r="T5872" t="s">
        <v>4824</v>
      </c>
      <c r="U5872" s="422" t="s">
        <v>1953</v>
      </c>
      <c r="V5872" s="422" t="s">
        <v>2813</v>
      </c>
    </row>
    <row r="5873" spans="1:22" ht="15.75" thickBot="1" x14ac:dyDescent="0.3">
      <c r="A5873" t="s">
        <v>4598</v>
      </c>
      <c r="B5873" t="s">
        <v>4598</v>
      </c>
      <c r="C5873" s="424" t="str">
        <f t="shared" si="247"/>
        <v>Transol - Transportes e Turismo, S.A.</v>
      </c>
      <c r="D5873" t="s">
        <v>629</v>
      </c>
      <c r="F5873" t="s">
        <v>620</v>
      </c>
      <c r="G5873" s="435">
        <v>2020</v>
      </c>
      <c r="H5873" s="433" t="s">
        <v>733</v>
      </c>
      <c r="I5873" s="311" t="str">
        <f t="shared" si="248"/>
        <v>Pesado de Passageiros M3:  : Gasóleo : E6</v>
      </c>
      <c r="J5873" s="433">
        <v>8</v>
      </c>
      <c r="K5873" s="422">
        <v>2023</v>
      </c>
      <c r="L5873" s="427">
        <v>6019.64</v>
      </c>
      <c r="M5873" s="427" t="s">
        <v>630</v>
      </c>
      <c r="N5873" s="434">
        <v>79186</v>
      </c>
      <c r="O5873" s="436">
        <f t="shared" si="249"/>
        <v>633488</v>
      </c>
      <c r="Q5873" s="422" t="s">
        <v>47</v>
      </c>
      <c r="R5873" s="422" t="s">
        <v>1869</v>
      </c>
      <c r="S5873" s="422" t="s">
        <v>1861</v>
      </c>
      <c r="T5873" t="s">
        <v>4824</v>
      </c>
      <c r="U5873" s="422" t="s">
        <v>1953</v>
      </c>
      <c r="V5873" s="422" t="s">
        <v>2813</v>
      </c>
    </row>
    <row r="5874" spans="1:22" ht="15.75" thickBot="1" x14ac:dyDescent="0.3">
      <c r="A5874" t="s">
        <v>4598</v>
      </c>
      <c r="B5874" t="s">
        <v>4598</v>
      </c>
      <c r="C5874" s="424" t="str">
        <f t="shared" ref="C5874:C5937" si="250">IF(A5874=B5874,B5874,RIGHT(A5874,LEN(A5874)-LEN(B5874)-3))</f>
        <v>Transol - Transportes e Turismo, S.A.</v>
      </c>
      <c r="D5874" t="s">
        <v>629</v>
      </c>
      <c r="F5874" t="s">
        <v>620</v>
      </c>
      <c r="G5874" s="435">
        <v>2023</v>
      </c>
      <c r="H5874" s="433" t="s">
        <v>733</v>
      </c>
      <c r="I5874" s="311" t="str">
        <f t="shared" si="248"/>
        <v>Pesado de Passageiros M3:  : Gasóleo : E6</v>
      </c>
      <c r="J5874" s="433">
        <v>8</v>
      </c>
      <c r="K5874" s="422">
        <v>2023</v>
      </c>
      <c r="L5874" s="427">
        <v>6395.46</v>
      </c>
      <c r="M5874" s="427" t="s">
        <v>630</v>
      </c>
      <c r="N5874" s="434">
        <v>82700</v>
      </c>
      <c r="O5874" s="436">
        <f t="shared" si="249"/>
        <v>661600</v>
      </c>
      <c r="Q5874" s="422" t="s">
        <v>47</v>
      </c>
      <c r="R5874" s="422" t="s">
        <v>1869</v>
      </c>
      <c r="S5874" s="422" t="s">
        <v>1861</v>
      </c>
      <c r="T5874" t="s">
        <v>4824</v>
      </c>
      <c r="U5874" s="422" t="s">
        <v>1953</v>
      </c>
      <c r="V5874" s="422" t="s">
        <v>2813</v>
      </c>
    </row>
    <row r="5875" spans="1:22" ht="15.75" thickBot="1" x14ac:dyDescent="0.3">
      <c r="A5875" t="s">
        <v>4598</v>
      </c>
      <c r="B5875" t="s">
        <v>4598</v>
      </c>
      <c r="C5875" s="424" t="str">
        <f t="shared" si="250"/>
        <v>Transol - Transportes e Turismo, S.A.</v>
      </c>
      <c r="D5875" t="s">
        <v>629</v>
      </c>
      <c r="F5875" t="s">
        <v>620</v>
      </c>
      <c r="G5875" s="435">
        <v>2023</v>
      </c>
      <c r="H5875" s="433" t="s">
        <v>733</v>
      </c>
      <c r="I5875" s="311" t="str">
        <f t="shared" si="248"/>
        <v>Pesado de Passageiros M3:  : Gasóleo : E6</v>
      </c>
      <c r="J5875" s="433">
        <v>8</v>
      </c>
      <c r="K5875" s="422">
        <v>2023</v>
      </c>
      <c r="L5875" s="427">
        <v>6835.26</v>
      </c>
      <c r="M5875" s="427" t="s">
        <v>630</v>
      </c>
      <c r="N5875" s="434">
        <v>81982</v>
      </c>
      <c r="O5875" s="436">
        <f t="shared" si="249"/>
        <v>655856</v>
      </c>
      <c r="Q5875" s="422" t="s">
        <v>47</v>
      </c>
      <c r="R5875" s="422" t="s">
        <v>1869</v>
      </c>
      <c r="S5875" s="422" t="s">
        <v>1861</v>
      </c>
      <c r="T5875" t="s">
        <v>4824</v>
      </c>
      <c r="U5875" s="422" t="s">
        <v>1953</v>
      </c>
      <c r="V5875" s="422" t="s">
        <v>2813</v>
      </c>
    </row>
    <row r="5876" spans="1:22" ht="15.75" thickBot="1" x14ac:dyDescent="0.3">
      <c r="A5876" t="s">
        <v>4598</v>
      </c>
      <c r="B5876" t="s">
        <v>4598</v>
      </c>
      <c r="C5876" s="424" t="str">
        <f t="shared" si="250"/>
        <v>Transol - Transportes e Turismo, S.A.</v>
      </c>
      <c r="D5876" t="s">
        <v>629</v>
      </c>
      <c r="F5876" t="s">
        <v>620</v>
      </c>
      <c r="G5876" s="435">
        <v>2023</v>
      </c>
      <c r="H5876" s="433" t="s">
        <v>733</v>
      </c>
      <c r="I5876" s="311" t="str">
        <f t="shared" si="248"/>
        <v>Pesado de Passageiros M3:  : Gasóleo : E6</v>
      </c>
      <c r="J5876" s="433">
        <v>8</v>
      </c>
      <c r="K5876" s="422">
        <v>2023</v>
      </c>
      <c r="L5876" s="427">
        <v>5969.47</v>
      </c>
      <c r="M5876" s="427" t="s">
        <v>630</v>
      </c>
      <c r="N5876" s="434">
        <v>68613</v>
      </c>
      <c r="O5876" s="436">
        <f t="shared" si="249"/>
        <v>548904</v>
      </c>
      <c r="Q5876" s="422" t="s">
        <v>47</v>
      </c>
      <c r="R5876" s="422" t="s">
        <v>1869</v>
      </c>
      <c r="S5876" s="422" t="s">
        <v>1861</v>
      </c>
      <c r="T5876" t="s">
        <v>4824</v>
      </c>
      <c r="U5876" s="422" t="s">
        <v>1953</v>
      </c>
      <c r="V5876" s="422" t="s">
        <v>2813</v>
      </c>
    </row>
    <row r="5877" spans="1:22" ht="15.75" thickBot="1" x14ac:dyDescent="0.3">
      <c r="A5877" t="s">
        <v>4598</v>
      </c>
      <c r="B5877" t="s">
        <v>4598</v>
      </c>
      <c r="C5877" s="424" t="str">
        <f t="shared" si="250"/>
        <v>Transol - Transportes e Turismo, S.A.</v>
      </c>
      <c r="D5877" t="s">
        <v>629</v>
      </c>
      <c r="F5877" t="s">
        <v>620</v>
      </c>
      <c r="G5877" s="435">
        <v>2020</v>
      </c>
      <c r="H5877" s="433" t="s">
        <v>733</v>
      </c>
      <c r="I5877" s="311" t="str">
        <f t="shared" si="248"/>
        <v>Pesado de Passageiros M3:  : Gasóleo : E6</v>
      </c>
      <c r="J5877" s="433">
        <v>8</v>
      </c>
      <c r="K5877" s="422">
        <v>2023</v>
      </c>
      <c r="L5877" s="427">
        <v>6152.34</v>
      </c>
      <c r="M5877" s="427" t="s">
        <v>630</v>
      </c>
      <c r="N5877" s="434">
        <v>87196</v>
      </c>
      <c r="O5877" s="436">
        <f t="shared" si="249"/>
        <v>697568</v>
      </c>
      <c r="Q5877" s="422" t="s">
        <v>47</v>
      </c>
      <c r="R5877" s="422" t="s">
        <v>1869</v>
      </c>
      <c r="S5877" s="422" t="s">
        <v>1861</v>
      </c>
      <c r="T5877" t="s">
        <v>4824</v>
      </c>
      <c r="U5877" s="422" t="s">
        <v>1953</v>
      </c>
      <c r="V5877" s="422" t="s">
        <v>2813</v>
      </c>
    </row>
    <row r="5878" spans="1:22" ht="15.75" thickBot="1" x14ac:dyDescent="0.3">
      <c r="A5878" t="s">
        <v>4598</v>
      </c>
      <c r="B5878" t="s">
        <v>4598</v>
      </c>
      <c r="C5878" s="424" t="str">
        <f t="shared" si="250"/>
        <v>Transol - Transportes e Turismo, S.A.</v>
      </c>
      <c r="D5878" t="s">
        <v>629</v>
      </c>
      <c r="F5878" t="s">
        <v>620</v>
      </c>
      <c r="G5878" s="435">
        <v>2020</v>
      </c>
      <c r="H5878" s="433" t="s">
        <v>733</v>
      </c>
      <c r="I5878" s="311" t="str">
        <f t="shared" si="248"/>
        <v>Pesado de Passageiros M3:  : Gasóleo : E6</v>
      </c>
      <c r="J5878" s="433">
        <v>8</v>
      </c>
      <c r="K5878" s="422">
        <v>2023</v>
      </c>
      <c r="L5878" s="427">
        <v>6953.8200000000006</v>
      </c>
      <c r="M5878" s="427" t="s">
        <v>630</v>
      </c>
      <c r="N5878" s="434">
        <v>94956</v>
      </c>
      <c r="O5878" s="436">
        <f t="shared" si="249"/>
        <v>759648</v>
      </c>
      <c r="Q5878" s="422" t="s">
        <v>47</v>
      </c>
      <c r="R5878" s="422" t="s">
        <v>1869</v>
      </c>
      <c r="S5878" s="422" t="s">
        <v>1861</v>
      </c>
      <c r="T5878" t="s">
        <v>4824</v>
      </c>
      <c r="U5878" s="422" t="s">
        <v>1953</v>
      </c>
      <c r="V5878" s="422" t="s">
        <v>2813</v>
      </c>
    </row>
    <row r="5879" spans="1:22" ht="15.75" thickBot="1" x14ac:dyDescent="0.3">
      <c r="A5879" t="s">
        <v>4598</v>
      </c>
      <c r="B5879" t="s">
        <v>4598</v>
      </c>
      <c r="C5879" s="424" t="str">
        <f t="shared" si="250"/>
        <v>Transol - Transportes e Turismo, S.A.</v>
      </c>
      <c r="D5879" t="s">
        <v>629</v>
      </c>
      <c r="F5879" t="s">
        <v>620</v>
      </c>
      <c r="G5879" s="435">
        <v>2023</v>
      </c>
      <c r="H5879" s="433" t="s">
        <v>733</v>
      </c>
      <c r="I5879" s="311" t="str">
        <f t="shared" si="248"/>
        <v>Pesado de Passageiros M3:  : Gasóleo : E6</v>
      </c>
      <c r="J5879" s="433">
        <v>8</v>
      </c>
      <c r="K5879" s="422">
        <v>2023</v>
      </c>
      <c r="L5879" s="427">
        <v>5863.06</v>
      </c>
      <c r="M5879" s="427" t="s">
        <v>630</v>
      </c>
      <c r="N5879" s="434">
        <v>74448</v>
      </c>
      <c r="O5879" s="436">
        <f t="shared" si="249"/>
        <v>595584</v>
      </c>
      <c r="Q5879" s="422" t="s">
        <v>47</v>
      </c>
      <c r="R5879" s="422" t="s">
        <v>1869</v>
      </c>
      <c r="S5879" s="422" t="s">
        <v>1861</v>
      </c>
      <c r="T5879" t="s">
        <v>4824</v>
      </c>
      <c r="U5879" s="422" t="s">
        <v>1953</v>
      </c>
      <c r="V5879" s="422" t="s">
        <v>2813</v>
      </c>
    </row>
    <row r="5880" spans="1:22" ht="15.75" thickBot="1" x14ac:dyDescent="0.3">
      <c r="A5880" t="s">
        <v>4598</v>
      </c>
      <c r="B5880" t="s">
        <v>4598</v>
      </c>
      <c r="C5880" s="424" t="str">
        <f t="shared" si="250"/>
        <v>Transol - Transportes e Turismo, S.A.</v>
      </c>
      <c r="D5880" t="s">
        <v>629</v>
      </c>
      <c r="F5880" t="s">
        <v>620</v>
      </c>
      <c r="G5880" s="435">
        <v>2023</v>
      </c>
      <c r="H5880" s="433" t="s">
        <v>733</v>
      </c>
      <c r="I5880" s="311" t="str">
        <f t="shared" si="248"/>
        <v>Pesado de Passageiros M3:  : Gasóleo : E6</v>
      </c>
      <c r="J5880" s="433">
        <v>8</v>
      </c>
      <c r="K5880" s="422">
        <v>2023</v>
      </c>
      <c r="L5880" s="427">
        <v>4590.2099999999991</v>
      </c>
      <c r="M5880" s="427" t="s">
        <v>630</v>
      </c>
      <c r="N5880" s="434">
        <v>72597</v>
      </c>
      <c r="O5880" s="436">
        <f t="shared" si="249"/>
        <v>580776</v>
      </c>
      <c r="Q5880" s="422" t="s">
        <v>47</v>
      </c>
      <c r="R5880" s="422" t="s">
        <v>1869</v>
      </c>
      <c r="S5880" s="422" t="s">
        <v>1861</v>
      </c>
      <c r="T5880" t="s">
        <v>4824</v>
      </c>
      <c r="U5880" s="422" t="s">
        <v>1953</v>
      </c>
      <c r="V5880" s="422" t="s">
        <v>2813</v>
      </c>
    </row>
    <row r="5881" spans="1:22" ht="15.75" thickBot="1" x14ac:dyDescent="0.3">
      <c r="A5881" t="s">
        <v>4643</v>
      </c>
      <c r="B5881" t="s">
        <v>4643</v>
      </c>
      <c r="C5881" s="424" t="str">
        <f t="shared" si="250"/>
        <v>BEST TRANSFERS 4 U - VIAGENS E TURISMO, S.A.</v>
      </c>
      <c r="D5881" t="s">
        <v>629</v>
      </c>
      <c r="F5881" t="s">
        <v>620</v>
      </c>
      <c r="G5881" s="435">
        <v>2015</v>
      </c>
      <c r="H5881" s="433" t="s">
        <v>733</v>
      </c>
      <c r="I5881" s="311" t="str">
        <f t="shared" si="248"/>
        <v>Pesado de Passageiros M3:  : Gasóleo : E6</v>
      </c>
      <c r="J5881" s="433">
        <v>4</v>
      </c>
      <c r="K5881" s="422">
        <v>2023</v>
      </c>
      <c r="L5881" s="427">
        <v>3834.54</v>
      </c>
      <c r="M5881" s="427" t="s">
        <v>630</v>
      </c>
      <c r="N5881" s="434">
        <v>67772</v>
      </c>
      <c r="O5881" s="436">
        <f t="shared" si="249"/>
        <v>271088</v>
      </c>
      <c r="Q5881" s="422" t="s">
        <v>47</v>
      </c>
      <c r="R5881" s="422" t="s">
        <v>1869</v>
      </c>
      <c r="S5881" s="422" t="s">
        <v>1861</v>
      </c>
      <c r="T5881" t="s">
        <v>4824</v>
      </c>
      <c r="U5881" s="422" t="s">
        <v>1953</v>
      </c>
      <c r="V5881" s="422" t="s">
        <v>2813</v>
      </c>
    </row>
    <row r="5882" spans="1:22" ht="15.75" thickBot="1" x14ac:dyDescent="0.3">
      <c r="A5882" t="s">
        <v>4643</v>
      </c>
      <c r="B5882" t="s">
        <v>4643</v>
      </c>
      <c r="C5882" s="424" t="str">
        <f t="shared" si="250"/>
        <v>BEST TRANSFERS 4 U - VIAGENS E TURISMO, S.A.</v>
      </c>
      <c r="D5882" t="s">
        <v>629</v>
      </c>
      <c r="F5882" t="s">
        <v>620</v>
      </c>
      <c r="G5882" s="435">
        <v>2015</v>
      </c>
      <c r="H5882" s="433" t="s">
        <v>733</v>
      </c>
      <c r="I5882" s="311" t="str">
        <f t="shared" si="248"/>
        <v>Pesado de Passageiros M3:  : Gasóleo : E6</v>
      </c>
      <c r="J5882" s="433">
        <v>4</v>
      </c>
      <c r="K5882" s="422">
        <v>2023</v>
      </c>
      <c r="L5882" s="427">
        <v>3041.7099999999996</v>
      </c>
      <c r="M5882" s="427" t="s">
        <v>630</v>
      </c>
      <c r="N5882" s="434">
        <v>54918</v>
      </c>
      <c r="O5882" s="436">
        <f t="shared" si="249"/>
        <v>219672</v>
      </c>
      <c r="Q5882" s="422" t="s">
        <v>47</v>
      </c>
      <c r="R5882" s="422" t="s">
        <v>1869</v>
      </c>
      <c r="S5882" s="422" t="s">
        <v>1861</v>
      </c>
      <c r="T5882" t="s">
        <v>4824</v>
      </c>
      <c r="U5882" s="422" t="s">
        <v>1953</v>
      </c>
      <c r="V5882" s="422" t="s">
        <v>2813</v>
      </c>
    </row>
    <row r="5883" spans="1:22" ht="15.75" thickBot="1" x14ac:dyDescent="0.3">
      <c r="A5883" t="s">
        <v>4643</v>
      </c>
      <c r="B5883" t="s">
        <v>4643</v>
      </c>
      <c r="C5883" s="424" t="str">
        <f t="shared" si="250"/>
        <v>BEST TRANSFERS 4 U - VIAGENS E TURISMO, S.A.</v>
      </c>
      <c r="D5883" t="s">
        <v>629</v>
      </c>
      <c r="F5883" t="s">
        <v>620</v>
      </c>
      <c r="G5883" s="435">
        <v>2019</v>
      </c>
      <c r="H5883" s="433" t="s">
        <v>733</v>
      </c>
      <c r="I5883" s="311" t="str">
        <f t="shared" si="248"/>
        <v>Pesado de Passageiros M3:  : Gasóleo : E6</v>
      </c>
      <c r="J5883" s="433">
        <v>8</v>
      </c>
      <c r="K5883" s="422">
        <v>2023</v>
      </c>
      <c r="L5883" s="427">
        <v>6003.409999999998</v>
      </c>
      <c r="M5883" s="427" t="s">
        <v>630</v>
      </c>
      <c r="N5883" s="434">
        <v>76126</v>
      </c>
      <c r="O5883" s="436">
        <f t="shared" si="249"/>
        <v>609008</v>
      </c>
      <c r="Q5883" s="422" t="s">
        <v>47</v>
      </c>
      <c r="R5883" s="422" t="s">
        <v>1869</v>
      </c>
      <c r="S5883" s="422" t="s">
        <v>1861</v>
      </c>
      <c r="T5883" t="s">
        <v>4824</v>
      </c>
      <c r="U5883" s="422" t="s">
        <v>1953</v>
      </c>
      <c r="V5883" s="422" t="s">
        <v>2813</v>
      </c>
    </row>
    <row r="5884" spans="1:22" ht="15.75" thickBot="1" x14ac:dyDescent="0.3">
      <c r="A5884" t="s">
        <v>4643</v>
      </c>
      <c r="B5884" t="s">
        <v>4643</v>
      </c>
      <c r="C5884" s="424" t="str">
        <f t="shared" si="250"/>
        <v>BEST TRANSFERS 4 U - VIAGENS E TURISMO, S.A.</v>
      </c>
      <c r="D5884" t="s">
        <v>629</v>
      </c>
      <c r="F5884" t="s">
        <v>620</v>
      </c>
      <c r="G5884" s="435">
        <v>2018</v>
      </c>
      <c r="H5884" s="433" t="s">
        <v>733</v>
      </c>
      <c r="I5884" s="311" t="str">
        <f t="shared" si="248"/>
        <v>Pesado de Passageiros M3:  : Gasóleo : E6</v>
      </c>
      <c r="J5884" s="433">
        <v>8</v>
      </c>
      <c r="K5884" s="422">
        <v>2023</v>
      </c>
      <c r="L5884" s="427">
        <v>3563.8599999999988</v>
      </c>
      <c r="M5884" s="427" t="s">
        <v>630</v>
      </c>
      <c r="N5884" s="434">
        <v>39703</v>
      </c>
      <c r="O5884" s="436">
        <f t="shared" si="249"/>
        <v>317624</v>
      </c>
      <c r="Q5884" s="422" t="s">
        <v>47</v>
      </c>
      <c r="R5884" s="422" t="s">
        <v>1869</v>
      </c>
      <c r="S5884" s="422" t="s">
        <v>1861</v>
      </c>
      <c r="T5884" t="s">
        <v>4824</v>
      </c>
      <c r="U5884" s="422" t="s">
        <v>1953</v>
      </c>
      <c r="V5884" s="422" t="s">
        <v>2813</v>
      </c>
    </row>
    <row r="5885" spans="1:22" ht="15.75" thickBot="1" x14ac:dyDescent="0.3">
      <c r="A5885" t="s">
        <v>4643</v>
      </c>
      <c r="B5885" t="s">
        <v>4643</v>
      </c>
      <c r="C5885" s="424" t="str">
        <f t="shared" si="250"/>
        <v>BEST TRANSFERS 4 U - VIAGENS E TURISMO, S.A.</v>
      </c>
      <c r="D5885" t="s">
        <v>629</v>
      </c>
      <c r="F5885" t="s">
        <v>620</v>
      </c>
      <c r="G5885" s="435">
        <v>2019</v>
      </c>
      <c r="H5885" s="433" t="s">
        <v>733</v>
      </c>
      <c r="I5885" s="311" t="str">
        <f t="shared" si="248"/>
        <v>Pesado de Passageiros M3:  : Gasóleo : E6</v>
      </c>
      <c r="J5885" s="433">
        <v>8</v>
      </c>
      <c r="K5885" s="422">
        <v>2023</v>
      </c>
      <c r="L5885" s="427">
        <v>6639.2300000000023</v>
      </c>
      <c r="M5885" s="427" t="s">
        <v>630</v>
      </c>
      <c r="N5885" s="434">
        <v>80078</v>
      </c>
      <c r="O5885" s="436">
        <f t="shared" si="249"/>
        <v>640624</v>
      </c>
      <c r="Q5885" s="422" t="s">
        <v>47</v>
      </c>
      <c r="R5885" s="422" t="s">
        <v>1869</v>
      </c>
      <c r="S5885" s="422" t="s">
        <v>1861</v>
      </c>
      <c r="T5885" t="s">
        <v>4824</v>
      </c>
      <c r="U5885" s="422" t="s">
        <v>1953</v>
      </c>
      <c r="V5885" s="422" t="s">
        <v>2813</v>
      </c>
    </row>
    <row r="5886" spans="1:22" ht="15.75" thickBot="1" x14ac:dyDescent="0.3">
      <c r="A5886" t="s">
        <v>4643</v>
      </c>
      <c r="B5886" t="s">
        <v>4643</v>
      </c>
      <c r="C5886" s="424" t="str">
        <f t="shared" si="250"/>
        <v>BEST TRANSFERS 4 U - VIAGENS E TURISMO, S.A.</v>
      </c>
      <c r="D5886" t="s">
        <v>629</v>
      </c>
      <c r="F5886" t="s">
        <v>620</v>
      </c>
      <c r="G5886" s="435">
        <v>2019</v>
      </c>
      <c r="H5886" s="433" t="s">
        <v>733</v>
      </c>
      <c r="I5886" s="311" t="str">
        <f t="shared" si="248"/>
        <v>Pesado de Passageiros M3:  : Gasóleo : E6</v>
      </c>
      <c r="J5886" s="433">
        <v>8</v>
      </c>
      <c r="K5886" s="422">
        <v>2023</v>
      </c>
      <c r="L5886" s="427">
        <v>5724.2500000000109</v>
      </c>
      <c r="M5886" s="427" t="s">
        <v>630</v>
      </c>
      <c r="N5886" s="434">
        <v>74471</v>
      </c>
      <c r="O5886" s="436">
        <f t="shared" si="249"/>
        <v>595768</v>
      </c>
      <c r="Q5886" s="422" t="s">
        <v>47</v>
      </c>
      <c r="R5886" s="422" t="s">
        <v>1869</v>
      </c>
      <c r="S5886" s="422" t="s">
        <v>1861</v>
      </c>
      <c r="T5886" t="s">
        <v>4824</v>
      </c>
      <c r="U5886" s="422" t="s">
        <v>1953</v>
      </c>
      <c r="V5886" s="422" t="s">
        <v>2813</v>
      </c>
    </row>
    <row r="5887" spans="1:22" ht="15.75" thickBot="1" x14ac:dyDescent="0.3">
      <c r="A5887" t="s">
        <v>4643</v>
      </c>
      <c r="B5887" t="s">
        <v>4643</v>
      </c>
      <c r="C5887" s="424" t="str">
        <f t="shared" si="250"/>
        <v>BEST TRANSFERS 4 U - VIAGENS E TURISMO, S.A.</v>
      </c>
      <c r="D5887" t="s">
        <v>629</v>
      </c>
      <c r="F5887" t="s">
        <v>620</v>
      </c>
      <c r="G5887" s="435">
        <v>2019</v>
      </c>
      <c r="H5887" s="433" t="s">
        <v>733</v>
      </c>
      <c r="I5887" s="311" t="str">
        <f t="shared" si="248"/>
        <v>Pesado de Passageiros M3:  : Gasóleo : E6</v>
      </c>
      <c r="J5887" s="433">
        <v>8</v>
      </c>
      <c r="K5887" s="422">
        <v>2023</v>
      </c>
      <c r="L5887" s="427">
        <v>7051.760000000002</v>
      </c>
      <c r="M5887" s="427" t="s">
        <v>630</v>
      </c>
      <c r="N5887" s="434">
        <v>83219</v>
      </c>
      <c r="O5887" s="436">
        <f t="shared" si="249"/>
        <v>665752</v>
      </c>
      <c r="Q5887" s="422" t="s">
        <v>47</v>
      </c>
      <c r="R5887" s="422" t="s">
        <v>1869</v>
      </c>
      <c r="S5887" s="422" t="s">
        <v>1861</v>
      </c>
      <c r="T5887" t="s">
        <v>4824</v>
      </c>
      <c r="U5887" s="422" t="s">
        <v>1953</v>
      </c>
      <c r="V5887" s="422" t="s">
        <v>2813</v>
      </c>
    </row>
    <row r="5888" spans="1:22" ht="15.75" thickBot="1" x14ac:dyDescent="0.3">
      <c r="A5888" t="s">
        <v>4643</v>
      </c>
      <c r="B5888" t="s">
        <v>4643</v>
      </c>
      <c r="C5888" s="424" t="str">
        <f t="shared" si="250"/>
        <v>BEST TRANSFERS 4 U - VIAGENS E TURISMO, S.A.</v>
      </c>
      <c r="D5888" t="s">
        <v>629</v>
      </c>
      <c r="F5888" t="s">
        <v>620</v>
      </c>
      <c r="G5888" s="435">
        <v>2019</v>
      </c>
      <c r="H5888" s="433" t="s">
        <v>733</v>
      </c>
      <c r="I5888" s="311" t="str">
        <f t="shared" si="248"/>
        <v>Pesado de Passageiros M3:  : Gasóleo : E6</v>
      </c>
      <c r="J5888" s="433">
        <v>8</v>
      </c>
      <c r="K5888" s="422">
        <v>2023</v>
      </c>
      <c r="L5888" s="427">
        <v>5419.93</v>
      </c>
      <c r="M5888" s="427" t="s">
        <v>630</v>
      </c>
      <c r="N5888" s="434">
        <v>71843</v>
      </c>
      <c r="O5888" s="436">
        <f t="shared" si="249"/>
        <v>574744</v>
      </c>
      <c r="Q5888" s="422" t="s">
        <v>47</v>
      </c>
      <c r="R5888" s="422" t="s">
        <v>1869</v>
      </c>
      <c r="S5888" s="422" t="s">
        <v>1861</v>
      </c>
      <c r="T5888" t="s">
        <v>4824</v>
      </c>
      <c r="U5888" s="422" t="s">
        <v>1953</v>
      </c>
      <c r="V5888" s="422" t="s">
        <v>2813</v>
      </c>
    </row>
    <row r="5889" spans="1:22" ht="15.75" thickBot="1" x14ac:dyDescent="0.3">
      <c r="A5889" t="s">
        <v>4643</v>
      </c>
      <c r="B5889" t="s">
        <v>4643</v>
      </c>
      <c r="C5889" s="424" t="str">
        <f t="shared" si="250"/>
        <v>BEST TRANSFERS 4 U - VIAGENS E TURISMO, S.A.</v>
      </c>
      <c r="D5889" t="s">
        <v>629</v>
      </c>
      <c r="F5889" t="s">
        <v>620</v>
      </c>
      <c r="G5889" s="435">
        <v>2019</v>
      </c>
      <c r="H5889" s="433" t="s">
        <v>733</v>
      </c>
      <c r="I5889" s="311" t="str">
        <f t="shared" si="248"/>
        <v>Pesado de Passageiros M3:  : Gasóleo : E6</v>
      </c>
      <c r="J5889" s="433">
        <v>8</v>
      </c>
      <c r="K5889" s="422">
        <v>2023</v>
      </c>
      <c r="L5889" s="427">
        <v>7338.0699999999988</v>
      </c>
      <c r="M5889" s="427" t="s">
        <v>630</v>
      </c>
      <c r="N5889" s="434">
        <v>86020</v>
      </c>
      <c r="O5889" s="436">
        <f t="shared" si="249"/>
        <v>688160</v>
      </c>
      <c r="Q5889" s="422" t="s">
        <v>47</v>
      </c>
      <c r="R5889" s="422" t="s">
        <v>1869</v>
      </c>
      <c r="S5889" s="422" t="s">
        <v>1861</v>
      </c>
      <c r="T5889" t="s">
        <v>4824</v>
      </c>
      <c r="U5889" s="422" t="s">
        <v>1953</v>
      </c>
      <c r="V5889" s="422" t="s">
        <v>2813</v>
      </c>
    </row>
    <row r="5890" spans="1:22" ht="15.75" thickBot="1" x14ac:dyDescent="0.3">
      <c r="A5890" t="s">
        <v>4643</v>
      </c>
      <c r="B5890" t="s">
        <v>4643</v>
      </c>
      <c r="C5890" s="424" t="str">
        <f t="shared" si="250"/>
        <v>BEST TRANSFERS 4 U - VIAGENS E TURISMO, S.A.</v>
      </c>
      <c r="D5890" t="s">
        <v>629</v>
      </c>
      <c r="F5890" t="s">
        <v>620</v>
      </c>
      <c r="G5890" s="435">
        <v>2019</v>
      </c>
      <c r="H5890" s="433" t="s">
        <v>733</v>
      </c>
      <c r="I5890" s="311" t="str">
        <f t="shared" si="248"/>
        <v>Pesado de Passageiros M3:  : Gasóleo : E6</v>
      </c>
      <c r="J5890" s="433">
        <v>8</v>
      </c>
      <c r="K5890" s="422">
        <v>2023</v>
      </c>
      <c r="L5890" s="427">
        <v>7045.1800000000012</v>
      </c>
      <c r="M5890" s="427" t="s">
        <v>630</v>
      </c>
      <c r="N5890" s="434">
        <v>90124</v>
      </c>
      <c r="O5890" s="436">
        <f t="shared" si="249"/>
        <v>720992</v>
      </c>
      <c r="Q5890" s="422" t="s">
        <v>47</v>
      </c>
      <c r="R5890" s="422" t="s">
        <v>1869</v>
      </c>
      <c r="S5890" s="422" t="s">
        <v>1861</v>
      </c>
      <c r="T5890" t="s">
        <v>4824</v>
      </c>
      <c r="U5890" s="422" t="s">
        <v>1953</v>
      </c>
      <c r="V5890" s="422" t="s">
        <v>2813</v>
      </c>
    </row>
    <row r="5891" spans="1:22" ht="15.75" thickBot="1" x14ac:dyDescent="0.3">
      <c r="A5891" t="s">
        <v>4643</v>
      </c>
      <c r="B5891" t="s">
        <v>4643</v>
      </c>
      <c r="C5891" s="424" t="str">
        <f t="shared" si="250"/>
        <v>BEST TRANSFERS 4 U - VIAGENS E TURISMO, S.A.</v>
      </c>
      <c r="D5891" t="s">
        <v>629</v>
      </c>
      <c r="F5891" t="s">
        <v>620</v>
      </c>
      <c r="G5891" s="435">
        <v>2019</v>
      </c>
      <c r="H5891" s="433" t="s">
        <v>733</v>
      </c>
      <c r="I5891" s="311" t="str">
        <f t="shared" si="248"/>
        <v>Pesado de Passageiros M3:  : Gasóleo : E6</v>
      </c>
      <c r="J5891" s="433">
        <v>8</v>
      </c>
      <c r="K5891" s="422">
        <v>2023</v>
      </c>
      <c r="L5891" s="427">
        <v>5485.6200000000008</v>
      </c>
      <c r="M5891" s="427" t="s">
        <v>630</v>
      </c>
      <c r="N5891" s="434">
        <v>65886</v>
      </c>
      <c r="O5891" s="436">
        <f t="shared" si="249"/>
        <v>527088</v>
      </c>
      <c r="Q5891" s="422" t="s">
        <v>47</v>
      </c>
      <c r="R5891" s="422" t="s">
        <v>1869</v>
      </c>
      <c r="S5891" s="422" t="s">
        <v>1861</v>
      </c>
      <c r="T5891" t="s">
        <v>4824</v>
      </c>
      <c r="U5891" s="422" t="s">
        <v>1953</v>
      </c>
      <c r="V5891" s="422" t="s">
        <v>2813</v>
      </c>
    </row>
    <row r="5892" spans="1:22" ht="15.75" thickBot="1" x14ac:dyDescent="0.3">
      <c r="A5892" t="s">
        <v>4643</v>
      </c>
      <c r="B5892" t="s">
        <v>4643</v>
      </c>
      <c r="C5892" s="424" t="str">
        <f t="shared" si="250"/>
        <v>BEST TRANSFERS 4 U - VIAGENS E TURISMO, S.A.</v>
      </c>
      <c r="D5892" t="s">
        <v>629</v>
      </c>
      <c r="F5892" t="s">
        <v>620</v>
      </c>
      <c r="G5892" s="435">
        <v>2019</v>
      </c>
      <c r="H5892" s="433" t="s">
        <v>733</v>
      </c>
      <c r="I5892" s="311" t="str">
        <f t="shared" si="248"/>
        <v>Pesado de Passageiros M3:  : Gasóleo : E6</v>
      </c>
      <c r="J5892" s="433">
        <v>8</v>
      </c>
      <c r="K5892" s="422">
        <v>2023</v>
      </c>
      <c r="L5892" s="427">
        <v>7145.42</v>
      </c>
      <c r="M5892" s="427" t="s">
        <v>630</v>
      </c>
      <c r="N5892" s="434">
        <v>80823</v>
      </c>
      <c r="O5892" s="436">
        <f t="shared" si="249"/>
        <v>646584</v>
      </c>
      <c r="Q5892" s="422" t="s">
        <v>47</v>
      </c>
      <c r="R5892" s="422" t="s">
        <v>1869</v>
      </c>
      <c r="S5892" s="422" t="s">
        <v>1861</v>
      </c>
      <c r="T5892" t="s">
        <v>4824</v>
      </c>
      <c r="U5892" s="422" t="s">
        <v>1953</v>
      </c>
      <c r="V5892" s="422" t="s">
        <v>2813</v>
      </c>
    </row>
    <row r="5893" spans="1:22" ht="15.75" thickBot="1" x14ac:dyDescent="0.3">
      <c r="A5893" t="s">
        <v>4643</v>
      </c>
      <c r="B5893" t="s">
        <v>4643</v>
      </c>
      <c r="C5893" s="424" t="str">
        <f t="shared" si="250"/>
        <v>BEST TRANSFERS 4 U - VIAGENS E TURISMO, S.A.</v>
      </c>
      <c r="D5893" t="s">
        <v>629</v>
      </c>
      <c r="F5893" t="s">
        <v>620</v>
      </c>
      <c r="G5893" s="435">
        <v>2019</v>
      </c>
      <c r="H5893" s="433" t="s">
        <v>733</v>
      </c>
      <c r="I5893" s="311" t="str">
        <f t="shared" si="248"/>
        <v>Pesado de Passageiros M3:  : Gasóleo : E6</v>
      </c>
      <c r="J5893" s="433">
        <v>8</v>
      </c>
      <c r="K5893" s="422">
        <v>2023</v>
      </c>
      <c r="L5893" s="427">
        <v>5700.4299999999994</v>
      </c>
      <c r="M5893" s="427" t="s">
        <v>630</v>
      </c>
      <c r="N5893" s="434">
        <v>76091</v>
      </c>
      <c r="O5893" s="436">
        <f t="shared" si="249"/>
        <v>608728</v>
      </c>
      <c r="Q5893" s="422" t="s">
        <v>47</v>
      </c>
      <c r="R5893" s="422" t="s">
        <v>1869</v>
      </c>
      <c r="S5893" s="422" t="s">
        <v>1861</v>
      </c>
      <c r="T5893" t="s">
        <v>4824</v>
      </c>
      <c r="U5893" s="422" t="s">
        <v>1953</v>
      </c>
      <c r="V5893" s="422" t="s">
        <v>2813</v>
      </c>
    </row>
    <row r="5894" spans="1:22" ht="15.75" thickBot="1" x14ac:dyDescent="0.3">
      <c r="A5894" t="s">
        <v>4643</v>
      </c>
      <c r="B5894" t="s">
        <v>4643</v>
      </c>
      <c r="C5894" s="424" t="str">
        <f t="shared" si="250"/>
        <v>BEST TRANSFERS 4 U - VIAGENS E TURISMO, S.A.</v>
      </c>
      <c r="D5894" t="s">
        <v>629</v>
      </c>
      <c r="F5894" t="s">
        <v>620</v>
      </c>
      <c r="G5894" s="435">
        <v>2019</v>
      </c>
      <c r="H5894" s="433" t="s">
        <v>733</v>
      </c>
      <c r="I5894" s="311" t="str">
        <f t="shared" si="248"/>
        <v>Pesado de Passageiros M3:  : Gasóleo : E6</v>
      </c>
      <c r="J5894" s="433">
        <v>8</v>
      </c>
      <c r="K5894" s="422">
        <v>2023</v>
      </c>
      <c r="L5894" s="427">
        <v>7949.7400000000034</v>
      </c>
      <c r="M5894" s="427" t="s">
        <v>630</v>
      </c>
      <c r="N5894" s="434">
        <v>93161</v>
      </c>
      <c r="O5894" s="436">
        <f t="shared" si="249"/>
        <v>745288</v>
      </c>
      <c r="Q5894" s="422" t="s">
        <v>47</v>
      </c>
      <c r="R5894" s="422" t="s">
        <v>1869</v>
      </c>
      <c r="S5894" s="422" t="s">
        <v>1861</v>
      </c>
      <c r="T5894" t="s">
        <v>4824</v>
      </c>
      <c r="U5894" s="422" t="s">
        <v>1953</v>
      </c>
      <c r="V5894" s="422" t="s">
        <v>2813</v>
      </c>
    </row>
    <row r="5895" spans="1:22" ht="15.75" thickBot="1" x14ac:dyDescent="0.3">
      <c r="A5895" t="s">
        <v>4643</v>
      </c>
      <c r="B5895" t="s">
        <v>4643</v>
      </c>
      <c r="C5895" s="424" t="str">
        <f t="shared" si="250"/>
        <v>BEST TRANSFERS 4 U - VIAGENS E TURISMO, S.A.</v>
      </c>
      <c r="D5895" t="s">
        <v>629</v>
      </c>
      <c r="F5895" t="s">
        <v>620</v>
      </c>
      <c r="G5895" s="435">
        <v>2019</v>
      </c>
      <c r="H5895" s="433" t="s">
        <v>733</v>
      </c>
      <c r="I5895" s="311" t="str">
        <f t="shared" si="248"/>
        <v>Pesado de Passageiros M3:  : Gasóleo : E6</v>
      </c>
      <c r="J5895" s="433">
        <v>8</v>
      </c>
      <c r="K5895" s="422">
        <v>2023</v>
      </c>
      <c r="L5895" s="427">
        <v>6146.6900000000041</v>
      </c>
      <c r="M5895" s="427" t="s">
        <v>630</v>
      </c>
      <c r="N5895" s="434">
        <v>80367</v>
      </c>
      <c r="O5895" s="436">
        <f t="shared" si="249"/>
        <v>642936</v>
      </c>
      <c r="Q5895" s="422" t="s">
        <v>47</v>
      </c>
      <c r="R5895" s="422" t="s">
        <v>1869</v>
      </c>
      <c r="S5895" s="422" t="s">
        <v>1861</v>
      </c>
      <c r="T5895" t="s">
        <v>4824</v>
      </c>
      <c r="U5895" s="422" t="s">
        <v>1953</v>
      </c>
      <c r="V5895" s="422" t="s">
        <v>2813</v>
      </c>
    </row>
    <row r="5896" spans="1:22" ht="15.75" thickBot="1" x14ac:dyDescent="0.3">
      <c r="A5896" t="s">
        <v>4643</v>
      </c>
      <c r="B5896" t="s">
        <v>4643</v>
      </c>
      <c r="C5896" s="424" t="str">
        <f t="shared" si="250"/>
        <v>BEST TRANSFERS 4 U - VIAGENS E TURISMO, S.A.</v>
      </c>
      <c r="D5896" t="s">
        <v>629</v>
      </c>
      <c r="F5896" t="s">
        <v>620</v>
      </c>
      <c r="G5896" s="435">
        <v>2019</v>
      </c>
      <c r="H5896" s="433" t="s">
        <v>733</v>
      </c>
      <c r="I5896" s="311" t="str">
        <f t="shared" si="248"/>
        <v>Pesado de Passageiros M3:  : Gasóleo : E6</v>
      </c>
      <c r="J5896" s="433">
        <v>8</v>
      </c>
      <c r="K5896" s="422">
        <v>2023</v>
      </c>
      <c r="L5896" s="427">
        <v>7183.9299999999957</v>
      </c>
      <c r="M5896" s="427" t="s">
        <v>630</v>
      </c>
      <c r="N5896" s="434">
        <v>84065</v>
      </c>
      <c r="O5896" s="436">
        <f t="shared" si="249"/>
        <v>672520</v>
      </c>
      <c r="Q5896" s="422" t="s">
        <v>47</v>
      </c>
      <c r="R5896" s="422" t="s">
        <v>1869</v>
      </c>
      <c r="S5896" s="422" t="s">
        <v>1861</v>
      </c>
      <c r="T5896" t="s">
        <v>4824</v>
      </c>
      <c r="U5896" s="422" t="s">
        <v>1953</v>
      </c>
      <c r="V5896" s="422" t="s">
        <v>2813</v>
      </c>
    </row>
    <row r="5897" spans="1:22" ht="15.75" thickBot="1" x14ac:dyDescent="0.3">
      <c r="A5897" t="s">
        <v>4643</v>
      </c>
      <c r="B5897" t="s">
        <v>4643</v>
      </c>
      <c r="C5897" s="424" t="str">
        <f t="shared" si="250"/>
        <v>BEST TRANSFERS 4 U - VIAGENS E TURISMO, S.A.</v>
      </c>
      <c r="D5897" t="s">
        <v>629</v>
      </c>
      <c r="F5897" t="s">
        <v>620</v>
      </c>
      <c r="G5897" s="435">
        <v>2019</v>
      </c>
      <c r="H5897" s="433" t="s">
        <v>733</v>
      </c>
      <c r="I5897" s="311" t="str">
        <f t="shared" si="248"/>
        <v>Pesado de Passageiros M3:  : Gasóleo : E6</v>
      </c>
      <c r="J5897" s="433">
        <v>8</v>
      </c>
      <c r="K5897" s="422">
        <v>2023</v>
      </c>
      <c r="L5897" s="427">
        <v>6422.5199999999968</v>
      </c>
      <c r="M5897" s="427" t="s">
        <v>630</v>
      </c>
      <c r="N5897" s="434">
        <v>77934</v>
      </c>
      <c r="O5897" s="436">
        <f t="shared" si="249"/>
        <v>623472</v>
      </c>
      <c r="Q5897" s="422" t="s">
        <v>47</v>
      </c>
      <c r="R5897" s="422" t="s">
        <v>1869</v>
      </c>
      <c r="S5897" s="422" t="s">
        <v>1861</v>
      </c>
      <c r="T5897" t="s">
        <v>4824</v>
      </c>
      <c r="U5897" s="422" t="s">
        <v>1953</v>
      </c>
      <c r="V5897" s="422" t="s">
        <v>2813</v>
      </c>
    </row>
    <row r="5898" spans="1:22" ht="15.75" thickBot="1" x14ac:dyDescent="0.3">
      <c r="A5898" t="s">
        <v>4643</v>
      </c>
      <c r="B5898" t="s">
        <v>4643</v>
      </c>
      <c r="C5898" s="424" t="str">
        <f t="shared" si="250"/>
        <v>BEST TRANSFERS 4 U - VIAGENS E TURISMO, S.A.</v>
      </c>
      <c r="D5898" t="s">
        <v>629</v>
      </c>
      <c r="F5898" t="s">
        <v>620</v>
      </c>
      <c r="G5898" s="435">
        <v>2019</v>
      </c>
      <c r="H5898" s="433" t="s">
        <v>733</v>
      </c>
      <c r="I5898" s="311" t="str">
        <f t="shared" si="248"/>
        <v>Pesado de Passageiros M3:  : Gasóleo : E6</v>
      </c>
      <c r="J5898" s="433">
        <v>8</v>
      </c>
      <c r="K5898" s="422">
        <v>2023</v>
      </c>
      <c r="L5898" s="427">
        <v>6502.2600000000011</v>
      </c>
      <c r="M5898" s="427" t="s">
        <v>630</v>
      </c>
      <c r="N5898" s="434">
        <v>77903</v>
      </c>
      <c r="O5898" s="436">
        <f t="shared" si="249"/>
        <v>623224</v>
      </c>
      <c r="Q5898" s="422" t="s">
        <v>47</v>
      </c>
      <c r="R5898" s="422" t="s">
        <v>1869</v>
      </c>
      <c r="S5898" s="422" t="s">
        <v>1861</v>
      </c>
      <c r="T5898" t="s">
        <v>4824</v>
      </c>
      <c r="U5898" s="422" t="s">
        <v>1953</v>
      </c>
      <c r="V5898" s="422" t="s">
        <v>2813</v>
      </c>
    </row>
    <row r="5899" spans="1:22" ht="15.75" thickBot="1" x14ac:dyDescent="0.3">
      <c r="A5899" t="s">
        <v>4643</v>
      </c>
      <c r="B5899" t="s">
        <v>4643</v>
      </c>
      <c r="C5899" s="424" t="str">
        <f t="shared" si="250"/>
        <v>BEST TRANSFERS 4 U - VIAGENS E TURISMO, S.A.</v>
      </c>
      <c r="D5899" t="s">
        <v>629</v>
      </c>
      <c r="F5899" t="s">
        <v>620</v>
      </c>
      <c r="G5899" s="435">
        <v>2019</v>
      </c>
      <c r="H5899" s="433" t="s">
        <v>733</v>
      </c>
      <c r="I5899" s="311" t="str">
        <f t="shared" si="248"/>
        <v>Pesado de Passageiros M3:  : Gasóleo : E6</v>
      </c>
      <c r="J5899" s="433">
        <v>8</v>
      </c>
      <c r="K5899" s="422">
        <v>2023</v>
      </c>
      <c r="L5899" s="427">
        <v>5925.9699999999993</v>
      </c>
      <c r="M5899" s="427" t="s">
        <v>630</v>
      </c>
      <c r="N5899" s="434">
        <v>69281</v>
      </c>
      <c r="O5899" s="436">
        <f t="shared" si="249"/>
        <v>554248</v>
      </c>
      <c r="Q5899" s="422" t="s">
        <v>47</v>
      </c>
      <c r="R5899" s="422" t="s">
        <v>1869</v>
      </c>
      <c r="S5899" s="422" t="s">
        <v>1861</v>
      </c>
      <c r="T5899" t="s">
        <v>4824</v>
      </c>
      <c r="U5899" s="422" t="s">
        <v>1953</v>
      </c>
      <c r="V5899" s="422" t="s">
        <v>2813</v>
      </c>
    </row>
    <row r="5900" spans="1:22" ht="15.75" thickBot="1" x14ac:dyDescent="0.3">
      <c r="A5900" t="s">
        <v>4643</v>
      </c>
      <c r="B5900" t="s">
        <v>4643</v>
      </c>
      <c r="C5900" s="424" t="str">
        <f t="shared" si="250"/>
        <v>BEST TRANSFERS 4 U - VIAGENS E TURISMO, S.A.</v>
      </c>
      <c r="D5900" t="s">
        <v>629</v>
      </c>
      <c r="F5900" t="s">
        <v>620</v>
      </c>
      <c r="G5900" s="435">
        <v>2019</v>
      </c>
      <c r="H5900" s="433" t="s">
        <v>733</v>
      </c>
      <c r="I5900" s="311" t="str">
        <f t="shared" si="248"/>
        <v>Pesado de Passageiros M3:  : Gasóleo : E6</v>
      </c>
      <c r="J5900" s="433">
        <v>8</v>
      </c>
      <c r="K5900" s="422">
        <v>2023</v>
      </c>
      <c r="L5900" s="427">
        <v>5209.930000000003</v>
      </c>
      <c r="M5900" s="427" t="s">
        <v>630</v>
      </c>
      <c r="N5900" s="434">
        <v>70865</v>
      </c>
      <c r="O5900" s="436">
        <f t="shared" si="249"/>
        <v>566920</v>
      </c>
      <c r="Q5900" s="422" t="s">
        <v>47</v>
      </c>
      <c r="R5900" s="422" t="s">
        <v>1869</v>
      </c>
      <c r="S5900" s="422" t="s">
        <v>1861</v>
      </c>
      <c r="T5900" t="s">
        <v>4824</v>
      </c>
      <c r="U5900" s="422" t="s">
        <v>1953</v>
      </c>
      <c r="V5900" s="422" t="s">
        <v>2813</v>
      </c>
    </row>
    <row r="5901" spans="1:22" ht="15.75" thickBot="1" x14ac:dyDescent="0.3">
      <c r="A5901" t="s">
        <v>4643</v>
      </c>
      <c r="B5901" t="s">
        <v>4643</v>
      </c>
      <c r="C5901" s="424" t="str">
        <f t="shared" si="250"/>
        <v>BEST TRANSFERS 4 U - VIAGENS E TURISMO, S.A.</v>
      </c>
      <c r="D5901" t="s">
        <v>629</v>
      </c>
      <c r="F5901" t="s">
        <v>620</v>
      </c>
      <c r="G5901" s="435">
        <v>2019</v>
      </c>
      <c r="H5901" s="433" t="s">
        <v>733</v>
      </c>
      <c r="I5901" s="311" t="str">
        <f t="shared" si="248"/>
        <v>Pesado de Passageiros M3:  : Gasóleo : E6</v>
      </c>
      <c r="J5901" s="433">
        <v>8</v>
      </c>
      <c r="K5901" s="422">
        <v>2023</v>
      </c>
      <c r="L5901" s="427">
        <v>6660.8299999999981</v>
      </c>
      <c r="M5901" s="427" t="s">
        <v>630</v>
      </c>
      <c r="N5901" s="434">
        <v>80382</v>
      </c>
      <c r="O5901" s="436">
        <f t="shared" si="249"/>
        <v>643056</v>
      </c>
      <c r="Q5901" s="422" t="s">
        <v>47</v>
      </c>
      <c r="R5901" s="422" t="s">
        <v>1869</v>
      </c>
      <c r="S5901" s="422" t="s">
        <v>1861</v>
      </c>
      <c r="T5901" t="s">
        <v>4824</v>
      </c>
      <c r="U5901" s="422" t="s">
        <v>1953</v>
      </c>
      <c r="V5901" s="422" t="s">
        <v>2813</v>
      </c>
    </row>
    <row r="5902" spans="1:22" ht="15.75" thickBot="1" x14ac:dyDescent="0.3">
      <c r="A5902" t="s">
        <v>4643</v>
      </c>
      <c r="B5902" t="s">
        <v>4643</v>
      </c>
      <c r="C5902" s="424" t="str">
        <f t="shared" si="250"/>
        <v>BEST TRANSFERS 4 U - VIAGENS E TURISMO, S.A.</v>
      </c>
      <c r="D5902" t="s">
        <v>629</v>
      </c>
      <c r="F5902" t="s">
        <v>620</v>
      </c>
      <c r="G5902" s="435">
        <v>2019</v>
      </c>
      <c r="H5902" s="433" t="s">
        <v>733</v>
      </c>
      <c r="I5902" s="311" t="str">
        <f t="shared" si="248"/>
        <v>Pesado de Passageiros M3:  : Gasóleo : E6</v>
      </c>
      <c r="J5902" s="433">
        <v>8</v>
      </c>
      <c r="K5902" s="422">
        <v>2023</v>
      </c>
      <c r="L5902" s="427">
        <v>4794.4599999999973</v>
      </c>
      <c r="M5902" s="427" t="s">
        <v>630</v>
      </c>
      <c r="N5902" s="434">
        <v>66502</v>
      </c>
      <c r="O5902" s="436">
        <f t="shared" si="249"/>
        <v>532016</v>
      </c>
      <c r="Q5902" s="422" t="s">
        <v>47</v>
      </c>
      <c r="R5902" s="422" t="s">
        <v>1869</v>
      </c>
      <c r="S5902" s="422" t="s">
        <v>1861</v>
      </c>
      <c r="T5902" t="s">
        <v>4824</v>
      </c>
      <c r="U5902" s="422" t="s">
        <v>1953</v>
      </c>
      <c r="V5902" s="422" t="s">
        <v>2813</v>
      </c>
    </row>
    <row r="5903" spans="1:22" ht="15.75" thickBot="1" x14ac:dyDescent="0.3">
      <c r="A5903" t="s">
        <v>4643</v>
      </c>
      <c r="B5903" t="s">
        <v>4643</v>
      </c>
      <c r="C5903" s="424" t="str">
        <f t="shared" si="250"/>
        <v>BEST TRANSFERS 4 U - VIAGENS E TURISMO, S.A.</v>
      </c>
      <c r="D5903" t="s">
        <v>629</v>
      </c>
      <c r="F5903" t="s">
        <v>620</v>
      </c>
      <c r="G5903" s="435">
        <v>2019</v>
      </c>
      <c r="H5903" s="433" t="s">
        <v>733</v>
      </c>
      <c r="I5903" s="311" t="str">
        <f t="shared" si="248"/>
        <v>Pesado de Passageiros M3:  : Gasóleo : E6</v>
      </c>
      <c r="J5903" s="433">
        <v>8</v>
      </c>
      <c r="K5903" s="422">
        <v>2023</v>
      </c>
      <c r="L5903" s="427">
        <v>6309.0000000000027</v>
      </c>
      <c r="M5903" s="427" t="s">
        <v>630</v>
      </c>
      <c r="N5903" s="434">
        <v>79750</v>
      </c>
      <c r="O5903" s="436">
        <f t="shared" si="249"/>
        <v>638000</v>
      </c>
      <c r="Q5903" s="422" t="s">
        <v>47</v>
      </c>
      <c r="R5903" s="422" t="s">
        <v>1869</v>
      </c>
      <c r="S5903" s="422" t="s">
        <v>1861</v>
      </c>
      <c r="T5903" t="s">
        <v>4824</v>
      </c>
      <c r="U5903" s="422" t="s">
        <v>1953</v>
      </c>
      <c r="V5903" s="422" t="s">
        <v>2813</v>
      </c>
    </row>
    <row r="5904" spans="1:22" ht="15.75" thickBot="1" x14ac:dyDescent="0.3">
      <c r="A5904" t="s">
        <v>4643</v>
      </c>
      <c r="B5904" t="s">
        <v>4643</v>
      </c>
      <c r="C5904" s="424" t="str">
        <f t="shared" si="250"/>
        <v>BEST TRANSFERS 4 U - VIAGENS E TURISMO, S.A.</v>
      </c>
      <c r="D5904" t="s">
        <v>629</v>
      </c>
      <c r="F5904" t="s">
        <v>620</v>
      </c>
      <c r="G5904" s="435">
        <v>2019</v>
      </c>
      <c r="H5904" s="433" t="s">
        <v>733</v>
      </c>
      <c r="I5904" s="311" t="str">
        <f t="shared" si="248"/>
        <v>Pesado de Passageiros M3:  : Gasóleo : E6</v>
      </c>
      <c r="J5904" s="433">
        <v>8</v>
      </c>
      <c r="K5904" s="422">
        <v>2023</v>
      </c>
      <c r="L5904" s="427">
        <v>6855.3499999999995</v>
      </c>
      <c r="M5904" s="427" t="s">
        <v>630</v>
      </c>
      <c r="N5904" s="434">
        <v>83257</v>
      </c>
      <c r="O5904" s="436">
        <f t="shared" si="249"/>
        <v>666056</v>
      </c>
      <c r="Q5904" s="422" t="s">
        <v>47</v>
      </c>
      <c r="R5904" s="422" t="s">
        <v>1869</v>
      </c>
      <c r="S5904" s="422" t="s">
        <v>1861</v>
      </c>
      <c r="T5904" t="s">
        <v>4824</v>
      </c>
      <c r="U5904" s="422" t="s">
        <v>1953</v>
      </c>
      <c r="V5904" s="422" t="s">
        <v>2813</v>
      </c>
    </row>
    <row r="5905" spans="1:22" ht="15.75" thickBot="1" x14ac:dyDescent="0.3">
      <c r="A5905" t="s">
        <v>4643</v>
      </c>
      <c r="B5905" t="s">
        <v>4643</v>
      </c>
      <c r="C5905" s="424" t="str">
        <f t="shared" si="250"/>
        <v>BEST TRANSFERS 4 U - VIAGENS E TURISMO, S.A.</v>
      </c>
      <c r="D5905" t="s">
        <v>629</v>
      </c>
      <c r="F5905" t="s">
        <v>620</v>
      </c>
      <c r="G5905" s="435">
        <v>2019</v>
      </c>
      <c r="H5905" s="433" t="s">
        <v>733</v>
      </c>
      <c r="I5905" s="311" t="str">
        <f t="shared" si="248"/>
        <v>Pesado de Passageiros M3:  : Gasóleo : E6</v>
      </c>
      <c r="J5905" s="433">
        <v>8</v>
      </c>
      <c r="K5905" s="422">
        <v>2023</v>
      </c>
      <c r="L5905" s="427">
        <v>7374.4100000000053</v>
      </c>
      <c r="M5905" s="427" t="s">
        <v>630</v>
      </c>
      <c r="N5905" s="434">
        <v>77320</v>
      </c>
      <c r="O5905" s="436">
        <f t="shared" si="249"/>
        <v>618560</v>
      </c>
      <c r="Q5905" s="422" t="s">
        <v>47</v>
      </c>
      <c r="R5905" s="422" t="s">
        <v>1869</v>
      </c>
      <c r="S5905" s="422" t="s">
        <v>1861</v>
      </c>
      <c r="T5905" t="s">
        <v>4824</v>
      </c>
      <c r="U5905" s="422" t="s">
        <v>1953</v>
      </c>
      <c r="V5905" s="422" t="s">
        <v>2813</v>
      </c>
    </row>
    <row r="5906" spans="1:22" ht="15.75" thickBot="1" x14ac:dyDescent="0.3">
      <c r="A5906" t="s">
        <v>4643</v>
      </c>
      <c r="B5906" t="s">
        <v>4643</v>
      </c>
      <c r="C5906" s="424" t="str">
        <f t="shared" si="250"/>
        <v>BEST TRANSFERS 4 U - VIAGENS E TURISMO, S.A.</v>
      </c>
      <c r="D5906" t="s">
        <v>629</v>
      </c>
      <c r="F5906" t="s">
        <v>620</v>
      </c>
      <c r="G5906" s="435">
        <v>2019</v>
      </c>
      <c r="H5906" s="433" t="s">
        <v>733</v>
      </c>
      <c r="I5906" s="311" t="str">
        <f t="shared" si="248"/>
        <v>Pesado de Passageiros M3:  : Gasóleo : E6</v>
      </c>
      <c r="J5906" s="433">
        <v>8</v>
      </c>
      <c r="K5906" s="422">
        <v>2023</v>
      </c>
      <c r="L5906" s="427">
        <v>6783.2400000000007</v>
      </c>
      <c r="M5906" s="427" t="s">
        <v>630</v>
      </c>
      <c r="N5906" s="434">
        <v>82393</v>
      </c>
      <c r="O5906" s="436">
        <f t="shared" si="249"/>
        <v>659144</v>
      </c>
      <c r="Q5906" s="422" t="s">
        <v>47</v>
      </c>
      <c r="R5906" s="422" t="s">
        <v>1869</v>
      </c>
      <c r="S5906" s="422" t="s">
        <v>1861</v>
      </c>
      <c r="T5906" t="s">
        <v>4824</v>
      </c>
      <c r="U5906" s="422" t="s">
        <v>1953</v>
      </c>
      <c r="V5906" s="422" t="s">
        <v>2813</v>
      </c>
    </row>
    <row r="5907" spans="1:22" ht="15.75" thickBot="1" x14ac:dyDescent="0.3">
      <c r="A5907" t="s">
        <v>4643</v>
      </c>
      <c r="B5907" t="s">
        <v>4643</v>
      </c>
      <c r="C5907" s="424" t="str">
        <f t="shared" si="250"/>
        <v>BEST TRANSFERS 4 U - VIAGENS E TURISMO, S.A.</v>
      </c>
      <c r="D5907" t="s">
        <v>629</v>
      </c>
      <c r="F5907" t="s">
        <v>620</v>
      </c>
      <c r="G5907" s="435">
        <v>2019</v>
      </c>
      <c r="H5907" s="433" t="s">
        <v>733</v>
      </c>
      <c r="I5907" s="311" t="str">
        <f t="shared" si="248"/>
        <v>Pesado de Passageiros M3:  : Gasóleo : E6</v>
      </c>
      <c r="J5907" s="433">
        <v>8</v>
      </c>
      <c r="K5907" s="422">
        <v>2023</v>
      </c>
      <c r="L5907" s="427">
        <v>5941.0800000000008</v>
      </c>
      <c r="M5907" s="427" t="s">
        <v>630</v>
      </c>
      <c r="N5907" s="434">
        <v>77237</v>
      </c>
      <c r="O5907" s="436">
        <f t="shared" si="249"/>
        <v>617896</v>
      </c>
      <c r="Q5907" s="422" t="s">
        <v>47</v>
      </c>
      <c r="R5907" s="422" t="s">
        <v>1869</v>
      </c>
      <c r="S5907" s="422" t="s">
        <v>1861</v>
      </c>
      <c r="T5907" t="s">
        <v>4824</v>
      </c>
      <c r="U5907" s="422" t="s">
        <v>1953</v>
      </c>
      <c r="V5907" s="422" t="s">
        <v>2813</v>
      </c>
    </row>
    <row r="5908" spans="1:22" ht="15.75" thickBot="1" x14ac:dyDescent="0.3">
      <c r="A5908" t="s">
        <v>4643</v>
      </c>
      <c r="B5908" t="s">
        <v>4643</v>
      </c>
      <c r="C5908" s="424" t="str">
        <f t="shared" si="250"/>
        <v>BEST TRANSFERS 4 U - VIAGENS E TURISMO, S.A.</v>
      </c>
      <c r="D5908" t="s">
        <v>629</v>
      </c>
      <c r="F5908" t="s">
        <v>620</v>
      </c>
      <c r="G5908" s="435">
        <v>2019</v>
      </c>
      <c r="H5908" s="433" t="s">
        <v>733</v>
      </c>
      <c r="I5908" s="311" t="str">
        <f t="shared" si="248"/>
        <v>Pesado de Passageiros M3:  : Gasóleo : E6</v>
      </c>
      <c r="J5908" s="433">
        <v>8</v>
      </c>
      <c r="K5908" s="422">
        <v>2023</v>
      </c>
      <c r="L5908" s="427">
        <v>7084.7500000000018</v>
      </c>
      <c r="M5908" s="427" t="s">
        <v>630</v>
      </c>
      <c r="N5908" s="434">
        <v>86935</v>
      </c>
      <c r="O5908" s="436">
        <f t="shared" si="249"/>
        <v>695480</v>
      </c>
      <c r="Q5908" s="422" t="s">
        <v>47</v>
      </c>
      <c r="R5908" s="422" t="s">
        <v>1869</v>
      </c>
      <c r="S5908" s="422" t="s">
        <v>1861</v>
      </c>
      <c r="T5908" t="s">
        <v>4824</v>
      </c>
      <c r="U5908" s="422" t="s">
        <v>1953</v>
      </c>
      <c r="V5908" s="422" t="s">
        <v>2813</v>
      </c>
    </row>
    <row r="5909" spans="1:22" ht="15.75" thickBot="1" x14ac:dyDescent="0.3">
      <c r="A5909" t="s">
        <v>4643</v>
      </c>
      <c r="B5909" t="s">
        <v>4643</v>
      </c>
      <c r="C5909" s="424" t="str">
        <f t="shared" si="250"/>
        <v>BEST TRANSFERS 4 U - VIAGENS E TURISMO, S.A.</v>
      </c>
      <c r="D5909" t="s">
        <v>629</v>
      </c>
      <c r="F5909" t="s">
        <v>620</v>
      </c>
      <c r="G5909" s="435">
        <v>2019</v>
      </c>
      <c r="H5909" s="433" t="s">
        <v>733</v>
      </c>
      <c r="I5909" s="311" t="str">
        <f t="shared" si="248"/>
        <v>Pesado de Passageiros M3:  : Gasóleo : E6</v>
      </c>
      <c r="J5909" s="433">
        <v>8</v>
      </c>
      <c r="K5909" s="422">
        <v>2023</v>
      </c>
      <c r="L5909" s="427">
        <v>6371.5299999999979</v>
      </c>
      <c r="M5909" s="427" t="s">
        <v>630</v>
      </c>
      <c r="N5909" s="434">
        <v>71578</v>
      </c>
      <c r="O5909" s="436">
        <f t="shared" si="249"/>
        <v>572624</v>
      </c>
      <c r="Q5909" s="422" t="s">
        <v>47</v>
      </c>
      <c r="R5909" s="422" t="s">
        <v>1869</v>
      </c>
      <c r="S5909" s="422" t="s">
        <v>1861</v>
      </c>
      <c r="T5909" t="s">
        <v>4824</v>
      </c>
      <c r="U5909" s="422" t="s">
        <v>1953</v>
      </c>
      <c r="V5909" s="422" t="s">
        <v>2813</v>
      </c>
    </row>
    <row r="5910" spans="1:22" ht="15.75" thickBot="1" x14ac:dyDescent="0.3">
      <c r="A5910" t="s">
        <v>4643</v>
      </c>
      <c r="B5910" t="s">
        <v>4643</v>
      </c>
      <c r="C5910" s="424" t="str">
        <f t="shared" si="250"/>
        <v>BEST TRANSFERS 4 U - VIAGENS E TURISMO, S.A.</v>
      </c>
      <c r="D5910" t="s">
        <v>629</v>
      </c>
      <c r="F5910" t="s">
        <v>620</v>
      </c>
      <c r="G5910" s="435">
        <v>2019</v>
      </c>
      <c r="H5910" s="433" t="s">
        <v>733</v>
      </c>
      <c r="I5910" s="311" t="str">
        <f t="shared" si="248"/>
        <v>Pesado de Passageiros M3:  : Gasóleo : E6</v>
      </c>
      <c r="J5910" s="433">
        <v>8</v>
      </c>
      <c r="K5910" s="422">
        <v>2023</v>
      </c>
      <c r="L5910" s="427">
        <v>7640.8300000000017</v>
      </c>
      <c r="M5910" s="427" t="s">
        <v>630</v>
      </c>
      <c r="N5910" s="434">
        <v>98322</v>
      </c>
      <c r="O5910" s="436">
        <f t="shared" si="249"/>
        <v>786576</v>
      </c>
      <c r="Q5910" s="422" t="s">
        <v>47</v>
      </c>
      <c r="R5910" s="422" t="s">
        <v>1869</v>
      </c>
      <c r="S5910" s="422" t="s">
        <v>1861</v>
      </c>
      <c r="T5910" t="s">
        <v>4824</v>
      </c>
      <c r="U5910" s="422" t="s">
        <v>1953</v>
      </c>
      <c r="V5910" s="422" t="s">
        <v>2813</v>
      </c>
    </row>
    <row r="5911" spans="1:22" ht="15.75" thickBot="1" x14ac:dyDescent="0.3">
      <c r="A5911" t="s">
        <v>4643</v>
      </c>
      <c r="B5911" t="s">
        <v>4643</v>
      </c>
      <c r="C5911" s="424" t="str">
        <f t="shared" si="250"/>
        <v>BEST TRANSFERS 4 U - VIAGENS E TURISMO, S.A.</v>
      </c>
      <c r="D5911" t="s">
        <v>629</v>
      </c>
      <c r="F5911" t="s">
        <v>620</v>
      </c>
      <c r="G5911" s="435">
        <v>2019</v>
      </c>
      <c r="H5911" s="433" t="s">
        <v>733</v>
      </c>
      <c r="I5911" s="311" t="str">
        <f t="shared" si="248"/>
        <v>Pesado de Passageiros M3:  : Gasóleo : E6</v>
      </c>
      <c r="J5911" s="433">
        <v>8</v>
      </c>
      <c r="K5911" s="422">
        <v>2023</v>
      </c>
      <c r="L5911" s="427">
        <v>4937.32</v>
      </c>
      <c r="M5911" s="427" t="s">
        <v>630</v>
      </c>
      <c r="N5911" s="434">
        <v>69890</v>
      </c>
      <c r="O5911" s="436">
        <f t="shared" si="249"/>
        <v>559120</v>
      </c>
      <c r="Q5911" s="422" t="s">
        <v>47</v>
      </c>
      <c r="R5911" s="422" t="s">
        <v>1869</v>
      </c>
      <c r="S5911" s="422" t="s">
        <v>1861</v>
      </c>
      <c r="T5911" t="s">
        <v>4824</v>
      </c>
      <c r="U5911" s="422" t="s">
        <v>1953</v>
      </c>
      <c r="V5911" s="422" t="s">
        <v>2813</v>
      </c>
    </row>
    <row r="5912" spans="1:22" ht="15.75" thickBot="1" x14ac:dyDescent="0.3">
      <c r="A5912" t="s">
        <v>4643</v>
      </c>
      <c r="B5912" t="s">
        <v>4643</v>
      </c>
      <c r="C5912" s="424" t="str">
        <f t="shared" si="250"/>
        <v>BEST TRANSFERS 4 U - VIAGENS E TURISMO, S.A.</v>
      </c>
      <c r="D5912" t="s">
        <v>629</v>
      </c>
      <c r="F5912" t="s">
        <v>620</v>
      </c>
      <c r="G5912" s="435">
        <v>2019</v>
      </c>
      <c r="H5912" s="433" t="s">
        <v>733</v>
      </c>
      <c r="I5912" s="311" t="str">
        <f t="shared" si="248"/>
        <v>Pesado de Passageiros M3:  : Gasóleo : E6</v>
      </c>
      <c r="J5912" s="433">
        <v>8</v>
      </c>
      <c r="K5912" s="422">
        <v>2023</v>
      </c>
      <c r="L5912" s="427">
        <v>7377.85</v>
      </c>
      <c r="M5912" s="427" t="s">
        <v>630</v>
      </c>
      <c r="N5912" s="434">
        <v>93028</v>
      </c>
      <c r="O5912" s="436">
        <f t="shared" si="249"/>
        <v>744224</v>
      </c>
      <c r="Q5912" s="422" t="s">
        <v>47</v>
      </c>
      <c r="R5912" s="422" t="s">
        <v>1869</v>
      </c>
      <c r="S5912" s="422" t="s">
        <v>1861</v>
      </c>
      <c r="T5912" t="s">
        <v>4824</v>
      </c>
      <c r="U5912" s="422" t="s">
        <v>1953</v>
      </c>
      <c r="V5912" s="422" t="s">
        <v>2813</v>
      </c>
    </row>
    <row r="5913" spans="1:22" ht="15.75" thickBot="1" x14ac:dyDescent="0.3">
      <c r="A5913" t="s">
        <v>4643</v>
      </c>
      <c r="B5913" t="s">
        <v>4643</v>
      </c>
      <c r="C5913" s="424" t="str">
        <f t="shared" si="250"/>
        <v>BEST TRANSFERS 4 U - VIAGENS E TURISMO, S.A.</v>
      </c>
      <c r="D5913" t="s">
        <v>629</v>
      </c>
      <c r="F5913" t="s">
        <v>620</v>
      </c>
      <c r="G5913" s="435">
        <v>2019</v>
      </c>
      <c r="H5913" s="433" t="s">
        <v>733</v>
      </c>
      <c r="I5913" s="311" t="str">
        <f t="shared" si="248"/>
        <v>Pesado de Passageiros M3:  : Gasóleo : E6</v>
      </c>
      <c r="J5913" s="433">
        <v>8</v>
      </c>
      <c r="K5913" s="422">
        <v>2023</v>
      </c>
      <c r="L5913" s="427">
        <v>7680.6299999999983</v>
      </c>
      <c r="M5913" s="427" t="s">
        <v>630</v>
      </c>
      <c r="N5913" s="434">
        <v>88286</v>
      </c>
      <c r="O5913" s="436">
        <f t="shared" si="249"/>
        <v>706288</v>
      </c>
      <c r="Q5913" s="422" t="s">
        <v>47</v>
      </c>
      <c r="R5913" s="422" t="s">
        <v>1869</v>
      </c>
      <c r="S5913" s="422" t="s">
        <v>1861</v>
      </c>
      <c r="T5913" t="s">
        <v>4824</v>
      </c>
      <c r="U5913" s="422" t="s">
        <v>1953</v>
      </c>
      <c r="V5913" s="422" t="s">
        <v>2813</v>
      </c>
    </row>
    <row r="5914" spans="1:22" ht="15.75" thickBot="1" x14ac:dyDescent="0.3">
      <c r="A5914" t="s">
        <v>4643</v>
      </c>
      <c r="B5914" t="s">
        <v>4643</v>
      </c>
      <c r="C5914" s="424" t="str">
        <f t="shared" si="250"/>
        <v>BEST TRANSFERS 4 U - VIAGENS E TURISMO, S.A.</v>
      </c>
      <c r="D5914" t="s">
        <v>629</v>
      </c>
      <c r="F5914" t="s">
        <v>620</v>
      </c>
      <c r="G5914" s="435">
        <v>2019</v>
      </c>
      <c r="H5914" s="433" t="s">
        <v>733</v>
      </c>
      <c r="I5914" s="311" t="str">
        <f t="shared" si="248"/>
        <v>Pesado de Passageiros M3:  : Gasóleo : E6</v>
      </c>
      <c r="J5914" s="433">
        <v>8</v>
      </c>
      <c r="K5914" s="422">
        <v>2023</v>
      </c>
      <c r="L5914" s="427">
        <v>7506.0500000000065</v>
      </c>
      <c r="M5914" s="427" t="s">
        <v>630</v>
      </c>
      <c r="N5914" s="434">
        <v>89909</v>
      </c>
      <c r="O5914" s="436">
        <f t="shared" si="249"/>
        <v>719272</v>
      </c>
      <c r="Q5914" s="422" t="s">
        <v>47</v>
      </c>
      <c r="R5914" s="422" t="s">
        <v>1869</v>
      </c>
      <c r="S5914" s="422" t="s">
        <v>1861</v>
      </c>
      <c r="T5914" t="s">
        <v>4824</v>
      </c>
      <c r="U5914" s="422" t="s">
        <v>1953</v>
      </c>
      <c r="V5914" s="422" t="s">
        <v>2813</v>
      </c>
    </row>
    <row r="5915" spans="1:22" ht="15.75" thickBot="1" x14ac:dyDescent="0.3">
      <c r="A5915" t="s">
        <v>4643</v>
      </c>
      <c r="B5915" t="s">
        <v>4643</v>
      </c>
      <c r="C5915" s="424" t="str">
        <f t="shared" si="250"/>
        <v>BEST TRANSFERS 4 U - VIAGENS E TURISMO, S.A.</v>
      </c>
      <c r="D5915" t="s">
        <v>629</v>
      </c>
      <c r="F5915" t="s">
        <v>620</v>
      </c>
      <c r="G5915" s="435">
        <v>2019</v>
      </c>
      <c r="H5915" s="433" t="s">
        <v>733</v>
      </c>
      <c r="I5915" s="311" t="str">
        <f t="shared" si="248"/>
        <v>Pesado de Passageiros M3:  : Gasóleo : E6</v>
      </c>
      <c r="J5915" s="433">
        <v>8</v>
      </c>
      <c r="K5915" s="422">
        <v>2023</v>
      </c>
      <c r="L5915" s="427">
        <v>6412.37</v>
      </c>
      <c r="M5915" s="427" t="s">
        <v>630</v>
      </c>
      <c r="N5915" s="434">
        <v>86019</v>
      </c>
      <c r="O5915" s="436">
        <f t="shared" si="249"/>
        <v>688152</v>
      </c>
      <c r="Q5915" s="422" t="s">
        <v>47</v>
      </c>
      <c r="R5915" s="422" t="s">
        <v>1869</v>
      </c>
      <c r="S5915" s="422" t="s">
        <v>1861</v>
      </c>
      <c r="T5915" t="s">
        <v>4824</v>
      </c>
      <c r="U5915" s="422" t="s">
        <v>1953</v>
      </c>
      <c r="V5915" s="422" t="s">
        <v>2813</v>
      </c>
    </row>
    <row r="5916" spans="1:22" ht="15.75" thickBot="1" x14ac:dyDescent="0.3">
      <c r="A5916" t="s">
        <v>4643</v>
      </c>
      <c r="B5916" t="s">
        <v>4643</v>
      </c>
      <c r="C5916" s="424" t="str">
        <f t="shared" si="250"/>
        <v>BEST TRANSFERS 4 U - VIAGENS E TURISMO, S.A.</v>
      </c>
      <c r="D5916" t="s">
        <v>629</v>
      </c>
      <c r="F5916" t="s">
        <v>620</v>
      </c>
      <c r="G5916" s="435">
        <v>2022</v>
      </c>
      <c r="H5916" s="433" t="s">
        <v>733</v>
      </c>
      <c r="I5916" s="311" t="str">
        <f t="shared" si="248"/>
        <v>Pesado de Passageiros M3:  : Gasóleo : E6</v>
      </c>
      <c r="J5916" s="433">
        <v>4</v>
      </c>
      <c r="K5916" s="422">
        <v>2023</v>
      </c>
      <c r="L5916" s="427">
        <v>958.19</v>
      </c>
      <c r="M5916" s="427" t="s">
        <v>630</v>
      </c>
      <c r="N5916" s="434">
        <v>9822</v>
      </c>
      <c r="O5916" s="436">
        <f t="shared" si="249"/>
        <v>39288</v>
      </c>
      <c r="Q5916" s="422" t="s">
        <v>47</v>
      </c>
      <c r="R5916" s="422" t="s">
        <v>1869</v>
      </c>
      <c r="S5916" s="422" t="s">
        <v>1861</v>
      </c>
      <c r="T5916" t="s">
        <v>4824</v>
      </c>
      <c r="U5916" s="422" t="s">
        <v>1953</v>
      </c>
      <c r="V5916" s="422" t="s">
        <v>2813</v>
      </c>
    </row>
    <row r="5917" spans="1:22" ht="15.75" thickBot="1" x14ac:dyDescent="0.3">
      <c r="A5917" t="s">
        <v>4643</v>
      </c>
      <c r="B5917" t="s">
        <v>4643</v>
      </c>
      <c r="C5917" s="424" t="str">
        <f t="shared" si="250"/>
        <v>BEST TRANSFERS 4 U - VIAGENS E TURISMO, S.A.</v>
      </c>
      <c r="D5917" t="s">
        <v>629</v>
      </c>
      <c r="F5917" t="s">
        <v>620</v>
      </c>
      <c r="G5917" s="435">
        <v>2017</v>
      </c>
      <c r="H5917" s="433" t="s">
        <v>734</v>
      </c>
      <c r="I5917" s="311" t="str">
        <f t="shared" si="248"/>
        <v>Pesado de Passageiros M3:  : Gasóleo : E5</v>
      </c>
      <c r="J5917" s="433">
        <v>8</v>
      </c>
      <c r="K5917" s="422">
        <v>2023</v>
      </c>
      <c r="L5917" s="427">
        <v>6202.670000000001</v>
      </c>
      <c r="M5917" s="427" t="s">
        <v>630</v>
      </c>
      <c r="N5917" s="434">
        <v>65529</v>
      </c>
      <c r="O5917" s="436">
        <f t="shared" si="249"/>
        <v>524232</v>
      </c>
      <c r="Q5917" s="422" t="s">
        <v>47</v>
      </c>
      <c r="R5917" s="422" t="s">
        <v>1869</v>
      </c>
      <c r="S5917" s="422" t="s">
        <v>1861</v>
      </c>
      <c r="T5917" t="s">
        <v>4824</v>
      </c>
      <c r="U5917" s="422" t="s">
        <v>1953</v>
      </c>
      <c r="V5917" s="422" t="s">
        <v>2813</v>
      </c>
    </row>
    <row r="5918" spans="1:22" ht="15.75" thickBot="1" x14ac:dyDescent="0.3">
      <c r="A5918" t="s">
        <v>4643</v>
      </c>
      <c r="B5918" t="s">
        <v>4643</v>
      </c>
      <c r="C5918" s="424" t="str">
        <f t="shared" si="250"/>
        <v>BEST TRANSFERS 4 U - VIAGENS E TURISMO, S.A.</v>
      </c>
      <c r="D5918" t="s">
        <v>629</v>
      </c>
      <c r="F5918" t="s">
        <v>620</v>
      </c>
      <c r="G5918" s="435">
        <v>2018</v>
      </c>
      <c r="H5918" s="433" t="s">
        <v>733</v>
      </c>
      <c r="I5918" s="311" t="str">
        <f t="shared" si="248"/>
        <v>Pesado de Passageiros M3:  : Gasóleo : E6</v>
      </c>
      <c r="J5918" s="433">
        <v>8</v>
      </c>
      <c r="K5918" s="422">
        <v>2023</v>
      </c>
      <c r="L5918" s="427">
        <v>5801.04</v>
      </c>
      <c r="M5918" s="427" t="s">
        <v>630</v>
      </c>
      <c r="N5918" s="434">
        <v>70779</v>
      </c>
      <c r="O5918" s="436">
        <f t="shared" si="249"/>
        <v>566232</v>
      </c>
      <c r="Q5918" s="422" t="s">
        <v>47</v>
      </c>
      <c r="R5918" s="422" t="s">
        <v>1869</v>
      </c>
      <c r="S5918" s="422" t="s">
        <v>1861</v>
      </c>
      <c r="T5918" t="s">
        <v>4824</v>
      </c>
      <c r="U5918" s="422" t="s">
        <v>1953</v>
      </c>
      <c r="V5918" s="422" t="s">
        <v>2813</v>
      </c>
    </row>
    <row r="5919" spans="1:22" ht="15.75" thickBot="1" x14ac:dyDescent="0.3">
      <c r="A5919" t="s">
        <v>4643</v>
      </c>
      <c r="B5919" t="s">
        <v>4643</v>
      </c>
      <c r="C5919" s="424" t="str">
        <f t="shared" si="250"/>
        <v>BEST TRANSFERS 4 U - VIAGENS E TURISMO, S.A.</v>
      </c>
      <c r="D5919" t="s">
        <v>629</v>
      </c>
      <c r="F5919" t="s">
        <v>620</v>
      </c>
      <c r="G5919" s="435">
        <v>2017</v>
      </c>
      <c r="H5919" s="433" t="s">
        <v>733</v>
      </c>
      <c r="I5919" s="311" t="str">
        <f t="shared" si="248"/>
        <v>Pesado de Passageiros M3:  : Gasóleo : E6</v>
      </c>
      <c r="J5919" s="433">
        <v>8</v>
      </c>
      <c r="K5919" s="422">
        <v>2023</v>
      </c>
      <c r="L5919" s="427">
        <v>2280.79</v>
      </c>
      <c r="M5919" s="427" t="s">
        <v>630</v>
      </c>
      <c r="N5919" s="434">
        <v>29703</v>
      </c>
      <c r="O5919" s="436">
        <f t="shared" si="249"/>
        <v>237624</v>
      </c>
      <c r="Q5919" s="422" t="s">
        <v>47</v>
      </c>
      <c r="R5919" s="422" t="s">
        <v>1869</v>
      </c>
      <c r="S5919" s="422" t="s">
        <v>1861</v>
      </c>
      <c r="T5919" t="s">
        <v>4824</v>
      </c>
      <c r="U5919" s="422" t="s">
        <v>1953</v>
      </c>
      <c r="V5919" s="422" t="s">
        <v>2813</v>
      </c>
    </row>
    <row r="5920" spans="1:22" ht="15.75" thickBot="1" x14ac:dyDescent="0.3">
      <c r="A5920" t="s">
        <v>4643</v>
      </c>
      <c r="B5920" t="s">
        <v>4643</v>
      </c>
      <c r="C5920" s="424" t="str">
        <f t="shared" si="250"/>
        <v>BEST TRANSFERS 4 U - VIAGENS E TURISMO, S.A.</v>
      </c>
      <c r="D5920" t="s">
        <v>629</v>
      </c>
      <c r="F5920" t="s">
        <v>620</v>
      </c>
      <c r="G5920" s="435">
        <v>2017</v>
      </c>
      <c r="H5920" s="433" t="s">
        <v>733</v>
      </c>
      <c r="I5920" s="311" t="str">
        <f t="shared" si="248"/>
        <v>Pesado de Passageiros M3:  : Gasóleo : E6</v>
      </c>
      <c r="J5920" s="433">
        <v>8</v>
      </c>
      <c r="K5920" s="422">
        <v>2023</v>
      </c>
      <c r="L5920" s="427">
        <v>5528.6</v>
      </c>
      <c r="M5920" s="427" t="s">
        <v>630</v>
      </c>
      <c r="N5920" s="434">
        <v>64630</v>
      </c>
      <c r="O5920" s="436">
        <f t="shared" si="249"/>
        <v>517040</v>
      </c>
      <c r="Q5920" s="422" t="s">
        <v>47</v>
      </c>
      <c r="R5920" s="422" t="s">
        <v>1869</v>
      </c>
      <c r="S5920" s="422" t="s">
        <v>1861</v>
      </c>
      <c r="T5920" t="s">
        <v>4824</v>
      </c>
      <c r="U5920" s="422" t="s">
        <v>1953</v>
      </c>
      <c r="V5920" s="422" t="s">
        <v>2813</v>
      </c>
    </row>
    <row r="5921" spans="1:22" ht="15.75" thickBot="1" x14ac:dyDescent="0.3">
      <c r="A5921" t="s">
        <v>4643</v>
      </c>
      <c r="B5921" t="s">
        <v>4643</v>
      </c>
      <c r="C5921" s="424" t="str">
        <f t="shared" si="250"/>
        <v>BEST TRANSFERS 4 U - VIAGENS E TURISMO, S.A.</v>
      </c>
      <c r="D5921" t="s">
        <v>629</v>
      </c>
      <c r="F5921" t="s">
        <v>620</v>
      </c>
      <c r="G5921" s="435">
        <v>2023</v>
      </c>
      <c r="H5921" s="433" t="s">
        <v>733</v>
      </c>
      <c r="I5921" s="311" t="str">
        <f t="shared" si="248"/>
        <v>Pesado de Passageiros M3:  : Gasóleo : E6</v>
      </c>
      <c r="J5921" s="433">
        <v>8</v>
      </c>
      <c r="K5921" s="422">
        <v>2023</v>
      </c>
      <c r="L5921" s="427">
        <v>6470.3500000000031</v>
      </c>
      <c r="M5921" s="427" t="s">
        <v>630</v>
      </c>
      <c r="N5921" s="434">
        <v>74760</v>
      </c>
      <c r="O5921" s="436">
        <f t="shared" si="249"/>
        <v>598080</v>
      </c>
      <c r="Q5921" s="422" t="s">
        <v>47</v>
      </c>
      <c r="R5921" s="422" t="s">
        <v>1869</v>
      </c>
      <c r="S5921" s="422" t="s">
        <v>1861</v>
      </c>
      <c r="T5921" t="s">
        <v>4824</v>
      </c>
      <c r="U5921" s="422" t="s">
        <v>1953</v>
      </c>
      <c r="V5921" s="422" t="s">
        <v>2813</v>
      </c>
    </row>
    <row r="5922" spans="1:22" ht="15.75" thickBot="1" x14ac:dyDescent="0.3">
      <c r="A5922" t="s">
        <v>4643</v>
      </c>
      <c r="B5922" t="s">
        <v>4643</v>
      </c>
      <c r="C5922" s="424" t="str">
        <f t="shared" si="250"/>
        <v>BEST TRANSFERS 4 U - VIAGENS E TURISMO, S.A.</v>
      </c>
      <c r="D5922" t="s">
        <v>629</v>
      </c>
      <c r="F5922" t="s">
        <v>620</v>
      </c>
      <c r="G5922" s="435">
        <v>2023</v>
      </c>
      <c r="H5922" s="433" t="s">
        <v>733</v>
      </c>
      <c r="I5922" s="311" t="str">
        <f t="shared" ref="I5922:I5985" si="251">D5922&amp;": "&amp;E5922&amp;" : "&amp;F5922&amp;" : "&amp;H5922</f>
        <v>Pesado de Passageiros M3:  : Gasóleo : E6</v>
      </c>
      <c r="J5922" s="433">
        <v>8</v>
      </c>
      <c r="K5922" s="422">
        <v>2023</v>
      </c>
      <c r="L5922" s="427">
        <v>7110.9700000000021</v>
      </c>
      <c r="M5922" s="427" t="s">
        <v>630</v>
      </c>
      <c r="N5922" s="434">
        <v>88675</v>
      </c>
      <c r="O5922" s="436">
        <f t="shared" ref="O5922:O5942" si="252">N5922*J5922</f>
        <v>709400</v>
      </c>
      <c r="Q5922" s="422" t="s">
        <v>47</v>
      </c>
      <c r="R5922" s="422" t="s">
        <v>1869</v>
      </c>
      <c r="S5922" s="422" t="s">
        <v>1861</v>
      </c>
      <c r="T5922" t="s">
        <v>4824</v>
      </c>
      <c r="U5922" s="422" t="s">
        <v>1953</v>
      </c>
      <c r="V5922" s="422" t="s">
        <v>2813</v>
      </c>
    </row>
    <row r="5923" spans="1:22" ht="15.75" thickBot="1" x14ac:dyDescent="0.3">
      <c r="A5923" t="s">
        <v>4643</v>
      </c>
      <c r="B5923" t="s">
        <v>4643</v>
      </c>
      <c r="C5923" s="424" t="str">
        <f t="shared" si="250"/>
        <v>BEST TRANSFERS 4 U - VIAGENS E TURISMO, S.A.</v>
      </c>
      <c r="D5923" t="s">
        <v>629</v>
      </c>
      <c r="F5923" t="s">
        <v>620</v>
      </c>
      <c r="G5923" s="435">
        <v>2023</v>
      </c>
      <c r="H5923" s="433" t="s">
        <v>733</v>
      </c>
      <c r="I5923" s="311" t="str">
        <f t="shared" si="251"/>
        <v>Pesado de Passageiros M3:  : Gasóleo : E6</v>
      </c>
      <c r="J5923" s="433">
        <v>8</v>
      </c>
      <c r="K5923" s="422">
        <v>2023</v>
      </c>
      <c r="L5923" s="427">
        <v>7864.6799999999985</v>
      </c>
      <c r="M5923" s="427" t="s">
        <v>630</v>
      </c>
      <c r="N5923" s="434">
        <v>95845</v>
      </c>
      <c r="O5923" s="436">
        <f t="shared" si="252"/>
        <v>766760</v>
      </c>
      <c r="Q5923" s="422" t="s">
        <v>47</v>
      </c>
      <c r="R5923" s="422" t="s">
        <v>1869</v>
      </c>
      <c r="S5923" s="422" t="s">
        <v>1861</v>
      </c>
      <c r="T5923" t="s">
        <v>4824</v>
      </c>
      <c r="U5923" s="422" t="s">
        <v>1953</v>
      </c>
      <c r="V5923" s="422" t="s">
        <v>2813</v>
      </c>
    </row>
    <row r="5924" spans="1:22" ht="15.75" thickBot="1" x14ac:dyDescent="0.3">
      <c r="A5924" t="s">
        <v>4643</v>
      </c>
      <c r="B5924" t="s">
        <v>4643</v>
      </c>
      <c r="C5924" s="424" t="str">
        <f t="shared" si="250"/>
        <v>BEST TRANSFERS 4 U - VIAGENS E TURISMO, S.A.</v>
      </c>
      <c r="D5924" t="s">
        <v>629</v>
      </c>
      <c r="F5924" t="s">
        <v>620</v>
      </c>
      <c r="G5924" s="435">
        <v>2023</v>
      </c>
      <c r="H5924" s="433" t="s">
        <v>733</v>
      </c>
      <c r="I5924" s="311" t="str">
        <f t="shared" si="251"/>
        <v>Pesado de Passageiros M3:  : Gasóleo : E6</v>
      </c>
      <c r="J5924" s="433">
        <v>8</v>
      </c>
      <c r="K5924" s="422">
        <v>2023</v>
      </c>
      <c r="L5924" s="427">
        <v>6978.8599999999969</v>
      </c>
      <c r="M5924" s="427" t="s">
        <v>630</v>
      </c>
      <c r="N5924" s="434">
        <v>95034</v>
      </c>
      <c r="O5924" s="436">
        <f t="shared" si="252"/>
        <v>760272</v>
      </c>
      <c r="Q5924" s="422" t="s">
        <v>47</v>
      </c>
      <c r="R5924" s="422" t="s">
        <v>1869</v>
      </c>
      <c r="S5924" s="422" t="s">
        <v>1861</v>
      </c>
      <c r="T5924" t="s">
        <v>4824</v>
      </c>
      <c r="U5924" s="422" t="s">
        <v>1953</v>
      </c>
      <c r="V5924" s="422" t="s">
        <v>2813</v>
      </c>
    </row>
    <row r="5925" spans="1:22" ht="15.75" thickBot="1" x14ac:dyDescent="0.3">
      <c r="A5925" t="s">
        <v>4643</v>
      </c>
      <c r="B5925" t="s">
        <v>4643</v>
      </c>
      <c r="C5925" s="424" t="str">
        <f t="shared" si="250"/>
        <v>BEST TRANSFERS 4 U - VIAGENS E TURISMO, S.A.</v>
      </c>
      <c r="D5925" t="s">
        <v>629</v>
      </c>
      <c r="F5925" t="s">
        <v>620</v>
      </c>
      <c r="G5925" s="435">
        <v>2023</v>
      </c>
      <c r="H5925" s="433" t="s">
        <v>733</v>
      </c>
      <c r="I5925" s="311" t="str">
        <f t="shared" si="251"/>
        <v>Pesado de Passageiros M3:  : Gasóleo : E6</v>
      </c>
      <c r="J5925" s="433">
        <v>8</v>
      </c>
      <c r="K5925" s="422">
        <v>2023</v>
      </c>
      <c r="L5925" s="427">
        <v>7698.350000000004</v>
      </c>
      <c r="M5925" s="427" t="s">
        <v>630</v>
      </c>
      <c r="N5925" s="434">
        <v>95848</v>
      </c>
      <c r="O5925" s="436">
        <f t="shared" si="252"/>
        <v>766784</v>
      </c>
      <c r="Q5925" s="422" t="s">
        <v>47</v>
      </c>
      <c r="R5925" s="422" t="s">
        <v>1869</v>
      </c>
      <c r="S5925" s="422" t="s">
        <v>1861</v>
      </c>
      <c r="T5925" t="s">
        <v>4824</v>
      </c>
      <c r="U5925" s="422" t="s">
        <v>1953</v>
      </c>
      <c r="V5925" s="422" t="s">
        <v>2813</v>
      </c>
    </row>
    <row r="5926" spans="1:22" ht="15.75" thickBot="1" x14ac:dyDescent="0.3">
      <c r="A5926" t="s">
        <v>4643</v>
      </c>
      <c r="B5926" t="s">
        <v>4643</v>
      </c>
      <c r="C5926" s="424" t="str">
        <f t="shared" si="250"/>
        <v>BEST TRANSFERS 4 U - VIAGENS E TURISMO, S.A.</v>
      </c>
      <c r="D5926" t="s">
        <v>629</v>
      </c>
      <c r="F5926" t="s">
        <v>620</v>
      </c>
      <c r="G5926" s="435">
        <v>2023</v>
      </c>
      <c r="H5926" s="433" t="s">
        <v>733</v>
      </c>
      <c r="I5926" s="311" t="str">
        <f t="shared" si="251"/>
        <v>Pesado de Passageiros M3:  : Gasóleo : E6</v>
      </c>
      <c r="J5926" s="433">
        <v>8</v>
      </c>
      <c r="K5926" s="422">
        <v>2023</v>
      </c>
      <c r="L5926" s="427">
        <v>7959.0999999999985</v>
      </c>
      <c r="M5926" s="427" t="s">
        <v>630</v>
      </c>
      <c r="N5926" s="434">
        <v>99412</v>
      </c>
      <c r="O5926" s="436">
        <f t="shared" si="252"/>
        <v>795296</v>
      </c>
      <c r="Q5926" s="422" t="s">
        <v>47</v>
      </c>
      <c r="R5926" s="422" t="s">
        <v>1869</v>
      </c>
      <c r="S5926" s="422" t="s">
        <v>1861</v>
      </c>
      <c r="T5926" t="s">
        <v>4824</v>
      </c>
      <c r="U5926" s="422" t="s">
        <v>1953</v>
      </c>
      <c r="V5926" s="422" t="s">
        <v>2813</v>
      </c>
    </row>
    <row r="5927" spans="1:22" ht="15.75" thickBot="1" x14ac:dyDescent="0.3">
      <c r="A5927" t="s">
        <v>4642</v>
      </c>
      <c r="B5927" t="s">
        <v>4642</v>
      </c>
      <c r="C5927" s="424" t="str">
        <f t="shared" si="250"/>
        <v>FOLLOW ME TOURS, UNIPESSOAL, LDA.</v>
      </c>
      <c r="D5927" t="s">
        <v>629</v>
      </c>
      <c r="F5927" t="s">
        <v>620</v>
      </c>
      <c r="G5927" s="435">
        <v>2020</v>
      </c>
      <c r="H5927" s="433" t="s">
        <v>733</v>
      </c>
      <c r="I5927" s="311" t="str">
        <f t="shared" si="251"/>
        <v>Pesado de Passageiros M3:  : Gasóleo : E6</v>
      </c>
      <c r="J5927" s="433">
        <v>59</v>
      </c>
      <c r="K5927" s="422">
        <v>2023</v>
      </c>
      <c r="L5927" s="427">
        <v>17400.88</v>
      </c>
      <c r="M5927" s="427" t="s">
        <v>630</v>
      </c>
      <c r="N5927" s="434">
        <v>64197</v>
      </c>
      <c r="O5927" s="436">
        <f t="shared" si="252"/>
        <v>3787623</v>
      </c>
      <c r="Q5927" s="422" t="s">
        <v>47</v>
      </c>
      <c r="R5927" s="422" t="s">
        <v>1869</v>
      </c>
      <c r="S5927" s="422" t="s">
        <v>1861</v>
      </c>
      <c r="T5927" t="s">
        <v>4824</v>
      </c>
      <c r="U5927" s="422" t="s">
        <v>1953</v>
      </c>
      <c r="V5927" s="422" t="s">
        <v>2813</v>
      </c>
    </row>
    <row r="5928" spans="1:22" ht="15.75" thickBot="1" x14ac:dyDescent="0.3">
      <c r="A5928" t="s">
        <v>4642</v>
      </c>
      <c r="B5928" t="s">
        <v>4642</v>
      </c>
      <c r="C5928" s="424" t="str">
        <f t="shared" si="250"/>
        <v>FOLLOW ME TOURS, UNIPESSOAL, LDA.</v>
      </c>
      <c r="D5928" t="s">
        <v>629</v>
      </c>
      <c r="F5928" t="s">
        <v>620</v>
      </c>
      <c r="G5928" s="435">
        <v>2013</v>
      </c>
      <c r="H5928" s="433" t="s">
        <v>734</v>
      </c>
      <c r="I5928" s="311" t="str">
        <f t="shared" si="251"/>
        <v>Pesado de Passageiros M3:  : Gasóleo : E5</v>
      </c>
      <c r="J5928" s="433">
        <v>27</v>
      </c>
      <c r="K5928" s="422">
        <v>2023</v>
      </c>
      <c r="L5928" s="427">
        <v>393.54</v>
      </c>
      <c r="M5928" s="427" t="s">
        <v>630</v>
      </c>
      <c r="N5928" s="434">
        <v>2176</v>
      </c>
      <c r="O5928" s="436">
        <f t="shared" si="252"/>
        <v>58752</v>
      </c>
      <c r="Q5928" s="422" t="s">
        <v>47</v>
      </c>
      <c r="R5928" s="422" t="s">
        <v>1869</v>
      </c>
      <c r="S5928" s="422" t="s">
        <v>1861</v>
      </c>
      <c r="T5928" t="s">
        <v>4824</v>
      </c>
      <c r="U5928" s="422" t="s">
        <v>1953</v>
      </c>
      <c r="V5928" s="422" t="s">
        <v>2813</v>
      </c>
    </row>
    <row r="5929" spans="1:22" ht="15.75" thickBot="1" x14ac:dyDescent="0.3">
      <c r="A5929" t="s">
        <v>4642</v>
      </c>
      <c r="B5929" t="s">
        <v>4642</v>
      </c>
      <c r="C5929" s="424" t="str">
        <f t="shared" si="250"/>
        <v>FOLLOW ME TOURS, UNIPESSOAL, LDA.</v>
      </c>
      <c r="D5929" t="s">
        <v>629</v>
      </c>
      <c r="F5929" t="s">
        <v>620</v>
      </c>
      <c r="G5929" s="435">
        <v>2015</v>
      </c>
      <c r="H5929" s="433" t="s">
        <v>733</v>
      </c>
      <c r="I5929" s="311" t="str">
        <f t="shared" si="251"/>
        <v>Pesado de Passageiros M3:  : Gasóleo : E6</v>
      </c>
      <c r="J5929" s="433">
        <v>71</v>
      </c>
      <c r="K5929" s="422">
        <v>2023</v>
      </c>
      <c r="L5929" s="427">
        <v>12221.81</v>
      </c>
      <c r="M5929" s="427" t="s">
        <v>630</v>
      </c>
      <c r="N5929" s="434">
        <v>30133</v>
      </c>
      <c r="O5929" s="436">
        <f t="shared" si="252"/>
        <v>2139443</v>
      </c>
      <c r="Q5929" s="422" t="s">
        <v>47</v>
      </c>
      <c r="R5929" s="422" t="s">
        <v>1869</v>
      </c>
      <c r="S5929" s="422" t="s">
        <v>1861</v>
      </c>
      <c r="T5929" t="s">
        <v>4824</v>
      </c>
      <c r="U5929" s="422" t="s">
        <v>1953</v>
      </c>
      <c r="V5929" s="422" t="s">
        <v>2813</v>
      </c>
    </row>
    <row r="5930" spans="1:22" ht="15.75" thickBot="1" x14ac:dyDescent="0.3">
      <c r="A5930" t="s">
        <v>4642</v>
      </c>
      <c r="B5930" t="s">
        <v>4642</v>
      </c>
      <c r="C5930" s="424" t="str">
        <f t="shared" si="250"/>
        <v>FOLLOW ME TOURS, UNIPESSOAL, LDA.</v>
      </c>
      <c r="D5930" t="s">
        <v>629</v>
      </c>
      <c r="F5930" t="s">
        <v>620</v>
      </c>
      <c r="G5930" s="435">
        <v>2016</v>
      </c>
      <c r="H5930" s="433" t="s">
        <v>733</v>
      </c>
      <c r="I5930" s="311" t="str">
        <f t="shared" si="251"/>
        <v>Pesado de Passageiros M3:  : Gasóleo : E6</v>
      </c>
      <c r="J5930" s="433">
        <v>59</v>
      </c>
      <c r="K5930" s="422">
        <v>2023</v>
      </c>
      <c r="L5930" s="427">
        <v>10377.219999999999</v>
      </c>
      <c r="M5930" s="427" t="s">
        <v>630</v>
      </c>
      <c r="N5930" s="434">
        <v>31971</v>
      </c>
      <c r="O5930" s="436">
        <f t="shared" si="252"/>
        <v>1886289</v>
      </c>
      <c r="Q5930" s="422" t="s">
        <v>47</v>
      </c>
      <c r="R5930" s="422" t="s">
        <v>1869</v>
      </c>
      <c r="S5930" s="422" t="s">
        <v>1861</v>
      </c>
      <c r="T5930" t="s">
        <v>4824</v>
      </c>
      <c r="U5930" s="422" t="s">
        <v>1953</v>
      </c>
      <c r="V5930" s="422" t="s">
        <v>2813</v>
      </c>
    </row>
    <row r="5931" spans="1:22" ht="15.75" thickBot="1" x14ac:dyDescent="0.3">
      <c r="A5931" t="s">
        <v>4642</v>
      </c>
      <c r="B5931" t="s">
        <v>4642</v>
      </c>
      <c r="C5931" s="424" t="str">
        <f t="shared" si="250"/>
        <v>FOLLOW ME TOURS, UNIPESSOAL, LDA.</v>
      </c>
      <c r="D5931" t="s">
        <v>629</v>
      </c>
      <c r="F5931" t="s">
        <v>620</v>
      </c>
      <c r="G5931" s="435">
        <v>2016</v>
      </c>
      <c r="H5931" s="433" t="s">
        <v>733</v>
      </c>
      <c r="I5931" s="311" t="str">
        <f t="shared" si="251"/>
        <v>Pesado de Passageiros M3:  : Gasóleo : E6</v>
      </c>
      <c r="J5931" s="433">
        <v>59</v>
      </c>
      <c r="K5931" s="422">
        <v>2023</v>
      </c>
      <c r="L5931" s="427">
        <v>13730.42</v>
      </c>
      <c r="M5931" s="427" t="s">
        <v>630</v>
      </c>
      <c r="N5931" s="434">
        <v>41431</v>
      </c>
      <c r="O5931" s="436">
        <f t="shared" si="252"/>
        <v>2444429</v>
      </c>
      <c r="Q5931" s="422" t="s">
        <v>47</v>
      </c>
      <c r="R5931" s="422" t="s">
        <v>1869</v>
      </c>
      <c r="S5931" s="422" t="s">
        <v>1861</v>
      </c>
      <c r="T5931" t="s">
        <v>4824</v>
      </c>
      <c r="U5931" s="422" t="s">
        <v>1953</v>
      </c>
      <c r="V5931" s="422" t="s">
        <v>2813</v>
      </c>
    </row>
    <row r="5932" spans="1:22" ht="15.75" thickBot="1" x14ac:dyDescent="0.3">
      <c r="A5932" t="s">
        <v>4642</v>
      </c>
      <c r="B5932" t="s">
        <v>4642</v>
      </c>
      <c r="C5932" s="424" t="str">
        <f t="shared" si="250"/>
        <v>FOLLOW ME TOURS, UNIPESSOAL, LDA.</v>
      </c>
      <c r="D5932" t="s">
        <v>629</v>
      </c>
      <c r="F5932" t="s">
        <v>620</v>
      </c>
      <c r="G5932" s="435">
        <v>2016</v>
      </c>
      <c r="H5932" s="433" t="s">
        <v>733</v>
      </c>
      <c r="I5932" s="311" t="str">
        <f t="shared" si="251"/>
        <v>Pesado de Passageiros M3:  : Gasóleo : E6</v>
      </c>
      <c r="J5932" s="433">
        <v>59</v>
      </c>
      <c r="K5932" s="422">
        <v>2023</v>
      </c>
      <c r="L5932" s="427">
        <v>19375.86</v>
      </c>
      <c r="M5932" s="427" t="s">
        <v>630</v>
      </c>
      <c r="N5932" s="434">
        <v>59371</v>
      </c>
      <c r="O5932" s="436">
        <f t="shared" si="252"/>
        <v>3502889</v>
      </c>
      <c r="Q5932" s="422" t="s">
        <v>47</v>
      </c>
      <c r="R5932" s="422" t="s">
        <v>1869</v>
      </c>
      <c r="S5932" s="422" t="s">
        <v>1861</v>
      </c>
      <c r="T5932" t="s">
        <v>4824</v>
      </c>
      <c r="U5932" s="422" t="s">
        <v>1953</v>
      </c>
      <c r="V5932" s="422" t="s">
        <v>2813</v>
      </c>
    </row>
    <row r="5933" spans="1:22" ht="15.75" thickBot="1" x14ac:dyDescent="0.3">
      <c r="A5933" t="s">
        <v>4642</v>
      </c>
      <c r="B5933" t="s">
        <v>4642</v>
      </c>
      <c r="C5933" s="424" t="str">
        <f t="shared" si="250"/>
        <v>FOLLOW ME TOURS, UNIPESSOAL, LDA.</v>
      </c>
      <c r="D5933" t="s">
        <v>629</v>
      </c>
      <c r="F5933" t="s">
        <v>620</v>
      </c>
      <c r="G5933" s="435">
        <v>2017</v>
      </c>
      <c r="H5933" s="433" t="s">
        <v>733</v>
      </c>
      <c r="I5933" s="311" t="str">
        <f t="shared" si="251"/>
        <v>Pesado de Passageiros M3:  : Gasóleo : E6</v>
      </c>
      <c r="J5933" s="433">
        <v>67</v>
      </c>
      <c r="K5933" s="422">
        <v>2023</v>
      </c>
      <c r="L5933" s="427">
        <v>16163.09</v>
      </c>
      <c r="M5933" s="427" t="s">
        <v>630</v>
      </c>
      <c r="N5933" s="434">
        <v>46160</v>
      </c>
      <c r="O5933" s="436">
        <f t="shared" si="252"/>
        <v>3092720</v>
      </c>
      <c r="Q5933" s="422" t="s">
        <v>47</v>
      </c>
      <c r="R5933" s="422" t="s">
        <v>1869</v>
      </c>
      <c r="S5933" s="422" t="s">
        <v>1861</v>
      </c>
      <c r="T5933" t="s">
        <v>4824</v>
      </c>
      <c r="U5933" s="422" t="s">
        <v>1953</v>
      </c>
      <c r="V5933" s="422" t="s">
        <v>2813</v>
      </c>
    </row>
    <row r="5934" spans="1:22" ht="15.75" thickBot="1" x14ac:dyDescent="0.3">
      <c r="A5934" t="s">
        <v>4642</v>
      </c>
      <c r="B5934" t="s">
        <v>4642</v>
      </c>
      <c r="C5934" s="424" t="str">
        <f t="shared" si="250"/>
        <v>FOLLOW ME TOURS, UNIPESSOAL, LDA.</v>
      </c>
      <c r="D5934" t="s">
        <v>629</v>
      </c>
      <c r="F5934" t="s">
        <v>620</v>
      </c>
      <c r="G5934" s="435">
        <v>2017</v>
      </c>
      <c r="H5934" s="433" t="s">
        <v>733</v>
      </c>
      <c r="I5934" s="311" t="str">
        <f t="shared" si="251"/>
        <v>Pesado de Passageiros M3:  : Gasóleo : E6</v>
      </c>
      <c r="J5934" s="433">
        <v>59</v>
      </c>
      <c r="K5934" s="422">
        <v>2023</v>
      </c>
      <c r="L5934" s="427">
        <v>8256.7900000000009</v>
      </c>
      <c r="M5934" s="427" t="s">
        <v>630</v>
      </c>
      <c r="N5934" s="434">
        <v>26158</v>
      </c>
      <c r="O5934" s="436">
        <f t="shared" si="252"/>
        <v>1543322</v>
      </c>
      <c r="Q5934" s="422" t="s">
        <v>47</v>
      </c>
      <c r="R5934" s="422" t="s">
        <v>1869</v>
      </c>
      <c r="S5934" s="422" t="s">
        <v>1861</v>
      </c>
      <c r="T5934" t="s">
        <v>4824</v>
      </c>
      <c r="U5934" s="422" t="s">
        <v>1953</v>
      </c>
      <c r="V5934" s="422" t="s">
        <v>2813</v>
      </c>
    </row>
    <row r="5935" spans="1:22" ht="15.75" thickBot="1" x14ac:dyDescent="0.3">
      <c r="A5935" t="s">
        <v>4642</v>
      </c>
      <c r="B5935" t="s">
        <v>4642</v>
      </c>
      <c r="C5935" s="424" t="str">
        <f t="shared" si="250"/>
        <v>FOLLOW ME TOURS, UNIPESSOAL, LDA.</v>
      </c>
      <c r="D5935" t="s">
        <v>629</v>
      </c>
      <c r="F5935" t="s">
        <v>620</v>
      </c>
      <c r="G5935" s="435">
        <v>2018</v>
      </c>
      <c r="H5935" s="433" t="s">
        <v>733</v>
      </c>
      <c r="I5935" s="311" t="str">
        <f t="shared" si="251"/>
        <v>Pesado de Passageiros M3:  : Gasóleo : E6</v>
      </c>
      <c r="J5935" s="433">
        <v>59</v>
      </c>
      <c r="K5935" s="422">
        <v>2023</v>
      </c>
      <c r="L5935" s="427">
        <v>13115.72</v>
      </c>
      <c r="M5935" s="427" t="s">
        <v>630</v>
      </c>
      <c r="N5935" s="434">
        <v>36236</v>
      </c>
      <c r="O5935" s="436">
        <f t="shared" si="252"/>
        <v>2137924</v>
      </c>
      <c r="Q5935" s="422" t="s">
        <v>47</v>
      </c>
      <c r="R5935" s="422" t="s">
        <v>1869</v>
      </c>
      <c r="S5935" s="422" t="s">
        <v>1861</v>
      </c>
      <c r="T5935" t="s">
        <v>4824</v>
      </c>
      <c r="U5935" s="422" t="s">
        <v>1953</v>
      </c>
      <c r="V5935" s="422" t="s">
        <v>2813</v>
      </c>
    </row>
    <row r="5936" spans="1:22" ht="15.75" thickBot="1" x14ac:dyDescent="0.3">
      <c r="A5936" t="s">
        <v>4642</v>
      </c>
      <c r="B5936" t="s">
        <v>4642</v>
      </c>
      <c r="C5936" s="424" t="str">
        <f t="shared" si="250"/>
        <v>FOLLOW ME TOURS, UNIPESSOAL, LDA.</v>
      </c>
      <c r="D5936" t="s">
        <v>629</v>
      </c>
      <c r="F5936" t="s">
        <v>620</v>
      </c>
      <c r="G5936" s="435">
        <v>2018</v>
      </c>
      <c r="H5936" s="433" t="s">
        <v>733</v>
      </c>
      <c r="I5936" s="311" t="str">
        <f t="shared" si="251"/>
        <v>Pesado de Passageiros M3:  : Gasóleo : E6</v>
      </c>
      <c r="J5936" s="433">
        <v>19</v>
      </c>
      <c r="K5936" s="422">
        <v>2023</v>
      </c>
      <c r="L5936" s="427">
        <v>3380.01</v>
      </c>
      <c r="M5936" s="427" t="s">
        <v>630</v>
      </c>
      <c r="N5936" s="434">
        <v>22751</v>
      </c>
      <c r="O5936" s="436">
        <f t="shared" si="252"/>
        <v>432269</v>
      </c>
      <c r="Q5936" s="422" t="s">
        <v>47</v>
      </c>
      <c r="R5936" s="422" t="s">
        <v>1869</v>
      </c>
      <c r="S5936" s="422" t="s">
        <v>1861</v>
      </c>
      <c r="T5936" t="s">
        <v>4824</v>
      </c>
      <c r="U5936" s="422" t="s">
        <v>1953</v>
      </c>
      <c r="V5936" s="422" t="s">
        <v>2813</v>
      </c>
    </row>
    <row r="5937" spans="1:22" ht="15.75" thickBot="1" x14ac:dyDescent="0.3">
      <c r="A5937" t="s">
        <v>4642</v>
      </c>
      <c r="B5937" t="s">
        <v>4642</v>
      </c>
      <c r="C5937" s="424" t="str">
        <f t="shared" si="250"/>
        <v>FOLLOW ME TOURS, UNIPESSOAL, LDA.</v>
      </c>
      <c r="D5937" t="s">
        <v>629</v>
      </c>
      <c r="F5937" t="s">
        <v>620</v>
      </c>
      <c r="G5937" s="435">
        <v>2016</v>
      </c>
      <c r="H5937" s="433" t="s">
        <v>733</v>
      </c>
      <c r="I5937" s="311" t="str">
        <f t="shared" si="251"/>
        <v>Pesado de Passageiros M3:  : Gasóleo : E6</v>
      </c>
      <c r="J5937" s="433">
        <v>8</v>
      </c>
      <c r="K5937" s="422">
        <v>2023</v>
      </c>
      <c r="L5937" s="427">
        <v>1751.94</v>
      </c>
      <c r="M5937" s="427" t="s">
        <v>630</v>
      </c>
      <c r="N5937" s="434">
        <v>20046</v>
      </c>
      <c r="O5937" s="436">
        <f t="shared" si="252"/>
        <v>160368</v>
      </c>
      <c r="Q5937" s="422" t="s">
        <v>47</v>
      </c>
      <c r="R5937" s="422" t="s">
        <v>1869</v>
      </c>
      <c r="S5937" s="422" t="s">
        <v>1861</v>
      </c>
      <c r="T5937" t="s">
        <v>4824</v>
      </c>
      <c r="U5937" s="422" t="s">
        <v>1953</v>
      </c>
      <c r="V5937" s="422" t="s">
        <v>2813</v>
      </c>
    </row>
    <row r="5938" spans="1:22" ht="15.75" thickBot="1" x14ac:dyDescent="0.3">
      <c r="A5938" t="s">
        <v>4642</v>
      </c>
      <c r="B5938" t="s">
        <v>4642</v>
      </c>
      <c r="C5938" s="424" t="str">
        <f t="shared" ref="C5938:C6001" si="253">IF(A5938=B5938,B5938,RIGHT(A5938,LEN(A5938)-LEN(B5938)-3))</f>
        <v>FOLLOW ME TOURS, UNIPESSOAL, LDA.</v>
      </c>
      <c r="D5938" t="s">
        <v>629</v>
      </c>
      <c r="F5938" t="s">
        <v>620</v>
      </c>
      <c r="G5938" s="435">
        <v>2019</v>
      </c>
      <c r="H5938" s="433" t="s">
        <v>733</v>
      </c>
      <c r="I5938" s="311" t="str">
        <f t="shared" si="251"/>
        <v>Pesado de Passageiros M3:  : Gasóleo : E6</v>
      </c>
      <c r="J5938" s="433">
        <v>8</v>
      </c>
      <c r="K5938" s="422">
        <v>2023</v>
      </c>
      <c r="L5938" s="427">
        <v>5016.82</v>
      </c>
      <c r="M5938" s="427" t="s">
        <v>630</v>
      </c>
      <c r="N5938" s="434">
        <v>64890</v>
      </c>
      <c r="O5938" s="436">
        <f t="shared" si="252"/>
        <v>519120</v>
      </c>
      <c r="Q5938" s="422" t="s">
        <v>47</v>
      </c>
      <c r="R5938" s="422" t="s">
        <v>1869</v>
      </c>
      <c r="S5938" s="422" t="s">
        <v>1861</v>
      </c>
      <c r="T5938" t="s">
        <v>4824</v>
      </c>
      <c r="U5938" s="422" t="s">
        <v>1953</v>
      </c>
      <c r="V5938" s="422" t="s">
        <v>2813</v>
      </c>
    </row>
    <row r="5939" spans="1:22" ht="15.75" thickBot="1" x14ac:dyDescent="0.3">
      <c r="A5939" t="s">
        <v>4642</v>
      </c>
      <c r="B5939" t="s">
        <v>4642</v>
      </c>
      <c r="C5939" s="424" t="str">
        <f t="shared" si="253"/>
        <v>FOLLOW ME TOURS, UNIPESSOAL, LDA.</v>
      </c>
      <c r="D5939" t="s">
        <v>629</v>
      </c>
      <c r="F5939" t="s">
        <v>620</v>
      </c>
      <c r="G5939" s="435">
        <v>2019</v>
      </c>
      <c r="H5939" s="433" t="s">
        <v>733</v>
      </c>
      <c r="I5939" s="311" t="str">
        <f t="shared" si="251"/>
        <v>Pesado de Passageiros M3:  : Gasóleo : E6</v>
      </c>
      <c r="J5939" s="433">
        <v>8</v>
      </c>
      <c r="K5939" s="422">
        <v>2023</v>
      </c>
      <c r="L5939" s="427">
        <v>5593.06</v>
      </c>
      <c r="M5939" s="427" t="s">
        <v>630</v>
      </c>
      <c r="N5939" s="434">
        <v>67582</v>
      </c>
      <c r="O5939" s="436">
        <f t="shared" si="252"/>
        <v>540656</v>
      </c>
      <c r="Q5939" s="422" t="s">
        <v>47</v>
      </c>
      <c r="R5939" s="422" t="s">
        <v>1869</v>
      </c>
      <c r="S5939" s="422" t="s">
        <v>1861</v>
      </c>
      <c r="T5939" t="s">
        <v>4824</v>
      </c>
      <c r="U5939" s="422" t="s">
        <v>1953</v>
      </c>
      <c r="V5939" s="422" t="s">
        <v>2813</v>
      </c>
    </row>
    <row r="5940" spans="1:22" ht="15.75" thickBot="1" x14ac:dyDescent="0.3">
      <c r="A5940" t="s">
        <v>4642</v>
      </c>
      <c r="B5940" t="s">
        <v>4642</v>
      </c>
      <c r="C5940" s="424" t="str">
        <f t="shared" si="253"/>
        <v>FOLLOW ME TOURS, UNIPESSOAL, LDA.</v>
      </c>
      <c r="D5940" t="s">
        <v>629</v>
      </c>
      <c r="F5940" t="s">
        <v>620</v>
      </c>
      <c r="G5940" s="435">
        <v>2019</v>
      </c>
      <c r="H5940" s="433" t="s">
        <v>733</v>
      </c>
      <c r="I5940" s="311" t="str">
        <f t="shared" si="251"/>
        <v>Pesado de Passageiros M3:  : Gasóleo : E6</v>
      </c>
      <c r="J5940" s="433">
        <v>8</v>
      </c>
      <c r="K5940" s="422">
        <v>2023</v>
      </c>
      <c r="L5940" s="427">
        <v>4916.92</v>
      </c>
      <c r="M5940" s="427" t="s">
        <v>630</v>
      </c>
      <c r="N5940" s="434">
        <v>59339</v>
      </c>
      <c r="O5940" s="436">
        <f t="shared" si="252"/>
        <v>474712</v>
      </c>
      <c r="Q5940" s="422" t="s">
        <v>47</v>
      </c>
      <c r="R5940" s="422" t="s">
        <v>1869</v>
      </c>
      <c r="S5940" s="422" t="s">
        <v>1861</v>
      </c>
      <c r="T5940" t="s">
        <v>4824</v>
      </c>
      <c r="U5940" s="422" t="s">
        <v>1953</v>
      </c>
      <c r="V5940" s="422" t="s">
        <v>2813</v>
      </c>
    </row>
    <row r="5941" spans="1:22" ht="15.75" thickBot="1" x14ac:dyDescent="0.3">
      <c r="A5941" t="s">
        <v>4642</v>
      </c>
      <c r="B5941" t="s">
        <v>4642</v>
      </c>
      <c r="C5941" s="424" t="str">
        <f t="shared" si="253"/>
        <v>FOLLOW ME TOURS, UNIPESSOAL, LDA.</v>
      </c>
      <c r="D5941" t="s">
        <v>629</v>
      </c>
      <c r="F5941" t="s">
        <v>620</v>
      </c>
      <c r="G5941" s="435">
        <v>2015</v>
      </c>
      <c r="H5941" s="433" t="s">
        <v>733</v>
      </c>
      <c r="I5941" s="311" t="str">
        <f t="shared" si="251"/>
        <v>Pesado de Passageiros M3:  : Gasóleo : E6</v>
      </c>
      <c r="J5941" s="433">
        <v>8</v>
      </c>
      <c r="K5941" s="422">
        <v>2023</v>
      </c>
      <c r="L5941" s="427">
        <v>920.11</v>
      </c>
      <c r="M5941" s="427" t="s">
        <v>630</v>
      </c>
      <c r="N5941" s="434">
        <v>14193</v>
      </c>
      <c r="O5941" s="436">
        <f t="shared" si="252"/>
        <v>113544</v>
      </c>
      <c r="Q5941" s="422" t="s">
        <v>47</v>
      </c>
      <c r="R5941" s="422" t="s">
        <v>1869</v>
      </c>
      <c r="S5941" s="422" t="s">
        <v>1861</v>
      </c>
      <c r="T5941" t="s">
        <v>4824</v>
      </c>
      <c r="U5941" s="422" t="s">
        <v>1953</v>
      </c>
      <c r="V5941" s="422" t="s">
        <v>2813</v>
      </c>
    </row>
    <row r="5942" spans="1:22" ht="15.75" thickBot="1" x14ac:dyDescent="0.3">
      <c r="A5942" t="s">
        <v>4642</v>
      </c>
      <c r="B5942" t="s">
        <v>4642</v>
      </c>
      <c r="C5942" s="424" t="str">
        <f t="shared" si="253"/>
        <v>FOLLOW ME TOURS, UNIPESSOAL, LDA.</v>
      </c>
      <c r="D5942" t="s">
        <v>629</v>
      </c>
      <c r="F5942" t="s">
        <v>620</v>
      </c>
      <c r="G5942" s="435">
        <v>2016</v>
      </c>
      <c r="H5942" s="433" t="s">
        <v>733</v>
      </c>
      <c r="I5942" s="311" t="str">
        <f t="shared" si="251"/>
        <v>Pesado de Passageiros M3:  : Gasóleo : E6</v>
      </c>
      <c r="J5942" s="433">
        <v>8</v>
      </c>
      <c r="K5942" s="422">
        <v>2023</v>
      </c>
      <c r="L5942" s="427">
        <v>1487.92</v>
      </c>
      <c r="M5942" s="427" t="s">
        <v>630</v>
      </c>
      <c r="N5942" s="434">
        <v>22132</v>
      </c>
      <c r="O5942" s="436">
        <f t="shared" si="252"/>
        <v>177056</v>
      </c>
      <c r="Q5942" s="422" t="s">
        <v>47</v>
      </c>
      <c r="R5942" s="422" t="s">
        <v>1869</v>
      </c>
      <c r="S5942" s="422" t="s">
        <v>1861</v>
      </c>
      <c r="T5942" t="s">
        <v>4824</v>
      </c>
      <c r="U5942" s="422" t="s">
        <v>1953</v>
      </c>
      <c r="V5942" s="422" t="s">
        <v>2813</v>
      </c>
    </row>
    <row r="5943" spans="1:22" ht="15.75" thickBot="1" x14ac:dyDescent="0.3">
      <c r="A5943" t="s">
        <v>4596</v>
      </c>
      <c r="B5943" t="s">
        <v>4596</v>
      </c>
      <c r="C5943" s="424" t="str">
        <f t="shared" si="253"/>
        <v>Transportes Central de Santa Apolónia, LDA.</v>
      </c>
      <c r="D5943" s="422" t="s">
        <v>1920</v>
      </c>
      <c r="F5943" t="s">
        <v>620</v>
      </c>
      <c r="G5943" s="89">
        <v>2005</v>
      </c>
      <c r="H5943" s="313" t="s">
        <v>2231</v>
      </c>
      <c r="I5943" s="311" t="str">
        <f t="shared" si="251"/>
        <v>Pesado de Mercadorias N3:  : Gasóleo : Geral</v>
      </c>
      <c r="K5943" s="422">
        <v>2023</v>
      </c>
      <c r="Q5943" s="422" t="s">
        <v>47</v>
      </c>
      <c r="R5943" s="422" t="s">
        <v>1869</v>
      </c>
      <c r="S5943" s="422" t="s">
        <v>1861</v>
      </c>
      <c r="T5943" t="s">
        <v>5817</v>
      </c>
      <c r="U5943" s="422" t="s">
        <v>1953</v>
      </c>
      <c r="V5943" s="422" t="s">
        <v>2813</v>
      </c>
    </row>
    <row r="5944" spans="1:22" ht="15.75" thickBot="1" x14ac:dyDescent="0.3">
      <c r="A5944" t="s">
        <v>4596</v>
      </c>
      <c r="B5944" t="s">
        <v>4596</v>
      </c>
      <c r="C5944" s="424" t="str">
        <f t="shared" si="253"/>
        <v>Transportes Central de Santa Apolónia, LDA.</v>
      </c>
      <c r="D5944" s="422" t="s">
        <v>1920</v>
      </c>
      <c r="F5944" t="s">
        <v>620</v>
      </c>
      <c r="G5944" s="89">
        <v>2005</v>
      </c>
      <c r="H5944" s="313" t="s">
        <v>2231</v>
      </c>
      <c r="I5944" s="311" t="str">
        <f t="shared" si="251"/>
        <v>Pesado de Mercadorias N3:  : Gasóleo : Geral</v>
      </c>
      <c r="K5944" s="422">
        <v>2023</v>
      </c>
      <c r="Q5944" s="422" t="s">
        <v>1927</v>
      </c>
      <c r="R5944" s="422" t="s">
        <v>1869</v>
      </c>
      <c r="S5944" s="422" t="s">
        <v>1861</v>
      </c>
      <c r="T5944" t="s">
        <v>5818</v>
      </c>
      <c r="U5944" s="422" t="s">
        <v>1953</v>
      </c>
      <c r="V5944" s="422" t="s">
        <v>2813</v>
      </c>
    </row>
    <row r="5945" spans="1:22" ht="15.75" thickBot="1" x14ac:dyDescent="0.3">
      <c r="A5945" t="s">
        <v>4596</v>
      </c>
      <c r="B5945" t="s">
        <v>4596</v>
      </c>
      <c r="C5945" s="424" t="str">
        <f t="shared" si="253"/>
        <v>Transportes Central de Santa Apolónia, LDA.</v>
      </c>
      <c r="D5945" s="422" t="s">
        <v>1920</v>
      </c>
      <c r="F5945" t="s">
        <v>620</v>
      </c>
      <c r="G5945" s="89">
        <v>2005</v>
      </c>
      <c r="H5945" s="313" t="s">
        <v>2231</v>
      </c>
      <c r="I5945" s="311" t="str">
        <f t="shared" si="251"/>
        <v>Pesado de Mercadorias N3:  : Gasóleo : Geral</v>
      </c>
      <c r="K5945" s="422">
        <v>2023</v>
      </c>
      <c r="Q5945" s="422" t="s">
        <v>1927</v>
      </c>
      <c r="R5945" s="422" t="s">
        <v>1869</v>
      </c>
      <c r="S5945" s="422" t="s">
        <v>1861</v>
      </c>
      <c r="T5945" t="s">
        <v>5819</v>
      </c>
      <c r="U5945" s="422" t="s">
        <v>1953</v>
      </c>
      <c r="V5945" s="422" t="s">
        <v>2813</v>
      </c>
    </row>
    <row r="5946" spans="1:22" ht="15.75" thickBot="1" x14ac:dyDescent="0.3">
      <c r="A5946" t="s">
        <v>4597</v>
      </c>
      <c r="B5946" t="s">
        <v>4597</v>
      </c>
      <c r="C5946" s="424" t="str">
        <f t="shared" si="253"/>
        <v>SOTAC - Sociedade de Turismo e Agricultura S.A.</v>
      </c>
      <c r="D5946" s="422" t="s">
        <v>1920</v>
      </c>
      <c r="F5946" t="s">
        <v>620</v>
      </c>
      <c r="G5946" s="89">
        <v>2008</v>
      </c>
      <c r="H5946" s="313" t="s">
        <v>2231</v>
      </c>
      <c r="I5946" s="311" t="str">
        <f t="shared" si="251"/>
        <v>Pesado de Mercadorias N3:  : Gasóleo : Geral</v>
      </c>
      <c r="K5946" s="422">
        <v>2023</v>
      </c>
      <c r="Q5946" s="422" t="s">
        <v>1927</v>
      </c>
      <c r="R5946" s="422" t="s">
        <v>1869</v>
      </c>
      <c r="S5946" s="422" t="s">
        <v>1861</v>
      </c>
      <c r="T5946" t="s">
        <v>2807</v>
      </c>
      <c r="U5946" s="422" t="s">
        <v>1953</v>
      </c>
      <c r="V5946" s="422" t="s">
        <v>2813</v>
      </c>
    </row>
    <row r="5947" spans="1:22" ht="15.75" thickBot="1" x14ac:dyDescent="0.3">
      <c r="A5947" t="s">
        <v>4597</v>
      </c>
      <c r="B5947" t="s">
        <v>4597</v>
      </c>
      <c r="C5947" s="424" t="str">
        <f t="shared" si="253"/>
        <v>SOTAC - Sociedade de Turismo e Agricultura S.A.</v>
      </c>
      <c r="D5947" s="422" t="s">
        <v>1920</v>
      </c>
      <c r="F5947" t="s">
        <v>620</v>
      </c>
      <c r="G5947" s="89">
        <v>2012</v>
      </c>
      <c r="H5947" s="313" t="s">
        <v>2231</v>
      </c>
      <c r="I5947" s="311" t="str">
        <f t="shared" si="251"/>
        <v>Pesado de Mercadorias N3:  : Gasóleo : Geral</v>
      </c>
      <c r="K5947" s="422">
        <v>2023</v>
      </c>
      <c r="Q5947" s="422" t="s">
        <v>1927</v>
      </c>
      <c r="R5947" s="422" t="s">
        <v>1869</v>
      </c>
      <c r="S5947" s="422" t="s">
        <v>1861</v>
      </c>
      <c r="T5947" t="s">
        <v>2808</v>
      </c>
      <c r="U5947" s="422" t="s">
        <v>1953</v>
      </c>
      <c r="V5947" s="422" t="s">
        <v>2813</v>
      </c>
    </row>
    <row r="5948" spans="1:22" ht="15.75" thickBot="1" x14ac:dyDescent="0.3">
      <c r="A5948" t="s">
        <v>4597</v>
      </c>
      <c r="B5948" t="s">
        <v>4597</v>
      </c>
      <c r="C5948" s="424" t="str">
        <f t="shared" si="253"/>
        <v>SOTAC - Sociedade de Turismo e Agricultura S.A.</v>
      </c>
      <c r="D5948" s="422" t="s">
        <v>1920</v>
      </c>
      <c r="F5948" t="s">
        <v>620</v>
      </c>
      <c r="G5948" s="89">
        <v>1996</v>
      </c>
      <c r="H5948" s="313" t="s">
        <v>2231</v>
      </c>
      <c r="I5948" s="311" t="str">
        <f t="shared" si="251"/>
        <v>Pesado de Mercadorias N3:  : Gasóleo : Geral</v>
      </c>
      <c r="K5948" s="422">
        <v>2023</v>
      </c>
      <c r="Q5948" s="422" t="s">
        <v>1927</v>
      </c>
      <c r="R5948" s="422" t="s">
        <v>1869</v>
      </c>
      <c r="S5948" s="422" t="s">
        <v>1861</v>
      </c>
      <c r="T5948" t="s">
        <v>2809</v>
      </c>
      <c r="U5948" s="422" t="s">
        <v>1953</v>
      </c>
      <c r="V5948" s="422" t="s">
        <v>2813</v>
      </c>
    </row>
    <row r="5949" spans="1:22" ht="15.75" thickBot="1" x14ac:dyDescent="0.3">
      <c r="A5949" t="s">
        <v>4597</v>
      </c>
      <c r="B5949" t="s">
        <v>4597</v>
      </c>
      <c r="C5949" s="424" t="str">
        <f t="shared" si="253"/>
        <v>SOTAC - Sociedade de Turismo e Agricultura S.A.</v>
      </c>
      <c r="D5949" s="422" t="s">
        <v>1920</v>
      </c>
      <c r="F5949" t="s">
        <v>620</v>
      </c>
      <c r="H5949" s="313" t="s">
        <v>2231</v>
      </c>
      <c r="I5949" s="311" t="str">
        <f t="shared" si="251"/>
        <v>Pesado de Mercadorias N3:  : Gasóleo : Geral</v>
      </c>
      <c r="K5949" s="422">
        <v>2023</v>
      </c>
      <c r="Q5949" s="422" t="s">
        <v>1927</v>
      </c>
      <c r="R5949" s="422" t="s">
        <v>1869</v>
      </c>
      <c r="S5949" s="422" t="s">
        <v>1861</v>
      </c>
      <c r="T5949">
        <v>1</v>
      </c>
      <c r="U5949" s="422" t="s">
        <v>1953</v>
      </c>
      <c r="V5949" s="422" t="s">
        <v>2813</v>
      </c>
    </row>
    <row r="5950" spans="1:22" ht="15.75" thickBot="1" x14ac:dyDescent="0.3">
      <c r="A5950" t="s">
        <v>4597</v>
      </c>
      <c r="B5950" t="s">
        <v>4597</v>
      </c>
      <c r="C5950" s="424" t="str">
        <f t="shared" si="253"/>
        <v>SOTAC - Sociedade de Turismo e Agricultura S.A.</v>
      </c>
      <c r="D5950" s="422" t="s">
        <v>1920</v>
      </c>
      <c r="F5950" t="s">
        <v>620</v>
      </c>
      <c r="H5950" s="313" t="s">
        <v>2231</v>
      </c>
      <c r="I5950" s="311" t="str">
        <f t="shared" si="251"/>
        <v>Pesado de Mercadorias N3:  : Gasóleo : Geral</v>
      </c>
      <c r="K5950" s="422">
        <v>2023</v>
      </c>
      <c r="Q5950" s="422" t="s">
        <v>1927</v>
      </c>
      <c r="R5950" s="422" t="s">
        <v>1869</v>
      </c>
      <c r="S5950" s="422" t="s">
        <v>1861</v>
      </c>
      <c r="T5950">
        <v>2</v>
      </c>
      <c r="U5950" s="422" t="s">
        <v>1953</v>
      </c>
      <c r="V5950" s="422" t="s">
        <v>2813</v>
      </c>
    </row>
    <row r="5951" spans="1:22" ht="15.75" thickBot="1" x14ac:dyDescent="0.3">
      <c r="A5951" t="s">
        <v>4597</v>
      </c>
      <c r="B5951" t="s">
        <v>4597</v>
      </c>
      <c r="C5951" s="424" t="str">
        <f t="shared" si="253"/>
        <v>SOTAC - Sociedade de Turismo e Agricultura S.A.</v>
      </c>
      <c r="D5951" s="422" t="s">
        <v>1920</v>
      </c>
      <c r="F5951" t="s">
        <v>620</v>
      </c>
      <c r="H5951" s="313" t="s">
        <v>2231</v>
      </c>
      <c r="I5951" s="311" t="str">
        <f t="shared" si="251"/>
        <v>Pesado de Mercadorias N3:  : Gasóleo : Geral</v>
      </c>
      <c r="K5951" s="422">
        <v>2023</v>
      </c>
      <c r="Q5951" s="422" t="s">
        <v>1927</v>
      </c>
      <c r="R5951" s="422" t="s">
        <v>1869</v>
      </c>
      <c r="S5951" s="422" t="s">
        <v>1861</v>
      </c>
      <c r="T5951">
        <v>800042</v>
      </c>
      <c r="U5951" s="422" t="s">
        <v>1953</v>
      </c>
      <c r="V5951" s="422" t="s">
        <v>2813</v>
      </c>
    </row>
    <row r="5952" spans="1:22" ht="15.75" thickBot="1" x14ac:dyDescent="0.3">
      <c r="A5952" t="s">
        <v>4597</v>
      </c>
      <c r="B5952" t="s">
        <v>4597</v>
      </c>
      <c r="C5952" s="424" t="str">
        <f t="shared" si="253"/>
        <v>SOTAC - Sociedade de Turismo e Agricultura S.A.</v>
      </c>
      <c r="D5952" s="422" t="s">
        <v>1920</v>
      </c>
      <c r="F5952" t="s">
        <v>620</v>
      </c>
      <c r="H5952" s="313" t="s">
        <v>2231</v>
      </c>
      <c r="I5952" s="311" t="str">
        <f t="shared" si="251"/>
        <v>Pesado de Mercadorias N3:  : Gasóleo : Geral</v>
      </c>
      <c r="K5952" s="422">
        <v>2023</v>
      </c>
      <c r="Q5952" s="422" t="s">
        <v>1927</v>
      </c>
      <c r="R5952" s="422" t="s">
        <v>1869</v>
      </c>
      <c r="S5952" s="422" t="s">
        <v>1861</v>
      </c>
      <c r="T5952">
        <v>800096</v>
      </c>
      <c r="U5952" s="422" t="s">
        <v>1953</v>
      </c>
      <c r="V5952" s="422" t="s">
        <v>2813</v>
      </c>
    </row>
    <row r="5953" spans="1:22" ht="15.75" thickBot="1" x14ac:dyDescent="0.3">
      <c r="A5953" t="s">
        <v>4597</v>
      </c>
      <c r="B5953" t="s">
        <v>4597</v>
      </c>
      <c r="C5953" s="424" t="str">
        <f t="shared" si="253"/>
        <v>SOTAC - Sociedade de Turismo e Agricultura S.A.</v>
      </c>
      <c r="D5953" s="422" t="s">
        <v>1920</v>
      </c>
      <c r="F5953" t="s">
        <v>620</v>
      </c>
      <c r="H5953" s="313" t="s">
        <v>2231</v>
      </c>
      <c r="I5953" s="311" t="str">
        <f t="shared" si="251"/>
        <v>Pesado de Mercadorias N3:  : Gasóleo : Geral</v>
      </c>
      <c r="K5953" s="422">
        <v>2023</v>
      </c>
      <c r="Q5953" s="422" t="s">
        <v>1927</v>
      </c>
      <c r="R5953" s="422" t="s">
        <v>1869</v>
      </c>
      <c r="S5953" s="422" t="s">
        <v>1861</v>
      </c>
      <c r="T5953" t="s">
        <v>2810</v>
      </c>
      <c r="U5953" s="422" t="s">
        <v>1953</v>
      </c>
      <c r="V5953" s="422" t="s">
        <v>2813</v>
      </c>
    </row>
    <row r="5954" spans="1:22" ht="15.75" thickBot="1" x14ac:dyDescent="0.3">
      <c r="A5954" t="s">
        <v>4597</v>
      </c>
      <c r="B5954" t="s">
        <v>4597</v>
      </c>
      <c r="C5954" s="424" t="str">
        <f t="shared" si="253"/>
        <v>SOTAC - Sociedade de Turismo e Agricultura S.A.</v>
      </c>
      <c r="D5954" s="422" t="s">
        <v>1920</v>
      </c>
      <c r="F5954" t="s">
        <v>620</v>
      </c>
      <c r="H5954" s="313" t="s">
        <v>2231</v>
      </c>
      <c r="I5954" s="311" t="str">
        <f t="shared" si="251"/>
        <v>Pesado de Mercadorias N3:  : Gasóleo : Geral</v>
      </c>
      <c r="K5954" s="422">
        <v>2023</v>
      </c>
      <c r="Q5954" s="422" t="s">
        <v>1927</v>
      </c>
      <c r="R5954" s="422" t="s">
        <v>1869</v>
      </c>
      <c r="S5954" s="422" t="s">
        <v>1861</v>
      </c>
      <c r="T5954" t="s">
        <v>2811</v>
      </c>
      <c r="U5954" s="422" t="s">
        <v>1953</v>
      </c>
      <c r="V5954" s="422" t="s">
        <v>2813</v>
      </c>
    </row>
    <row r="5955" spans="1:22" ht="15.75" thickBot="1" x14ac:dyDescent="0.3">
      <c r="A5955" t="s">
        <v>4668</v>
      </c>
      <c r="B5955" t="s">
        <v>4668</v>
      </c>
      <c r="C5955" s="424" t="str">
        <f t="shared" si="253"/>
        <v>Viação Alvorada, Lda</v>
      </c>
      <c r="D5955" t="s">
        <v>629</v>
      </c>
      <c r="F5955" t="s">
        <v>620</v>
      </c>
      <c r="G5955" s="89">
        <v>2022</v>
      </c>
      <c r="H5955" s="313" t="s">
        <v>5816</v>
      </c>
      <c r="I5955" s="311" t="str">
        <f t="shared" si="251"/>
        <v>Pesado de Passageiros M3:  : Gasóleo : E6 D/E E7</v>
      </c>
      <c r="J5955">
        <v>108</v>
      </c>
      <c r="K5955" s="422">
        <v>2023</v>
      </c>
      <c r="L5955">
        <v>31794</v>
      </c>
      <c r="M5955" t="s">
        <v>630</v>
      </c>
      <c r="N5955" s="131">
        <v>31794</v>
      </c>
      <c r="O5955" s="436">
        <f t="shared" ref="O5955:O6018" si="254">N5955*J5955</f>
        <v>3433752</v>
      </c>
      <c r="P5955" s="89">
        <v>1160</v>
      </c>
      <c r="Q5955" s="422" t="s">
        <v>47</v>
      </c>
      <c r="R5955" s="422" t="s">
        <v>1869</v>
      </c>
      <c r="S5955" s="422" t="s">
        <v>1861</v>
      </c>
      <c r="T5955" s="422" t="s">
        <v>5820</v>
      </c>
      <c r="U5955" s="422" t="s">
        <v>1953</v>
      </c>
      <c r="V5955" s="422" t="s">
        <v>2813</v>
      </c>
    </row>
    <row r="5956" spans="1:22" ht="15.75" thickBot="1" x14ac:dyDescent="0.3">
      <c r="A5956" t="s">
        <v>4668</v>
      </c>
      <c r="B5956" t="s">
        <v>4668</v>
      </c>
      <c r="C5956" s="424" t="str">
        <f t="shared" si="253"/>
        <v>Viação Alvorada, Lda</v>
      </c>
      <c r="D5956" t="s">
        <v>629</v>
      </c>
      <c r="F5956" t="s">
        <v>620</v>
      </c>
      <c r="G5956" s="89">
        <v>2014</v>
      </c>
      <c r="H5956" s="313" t="s">
        <v>733</v>
      </c>
      <c r="I5956" s="311" t="str">
        <f t="shared" si="251"/>
        <v>Pesado de Passageiros M3:  : Gasóleo : E6</v>
      </c>
      <c r="J5956">
        <v>90</v>
      </c>
      <c r="K5956" s="422">
        <v>2023</v>
      </c>
      <c r="L5956">
        <v>12023</v>
      </c>
      <c r="M5956" t="s">
        <v>630</v>
      </c>
      <c r="N5956" s="131">
        <v>12023</v>
      </c>
      <c r="O5956" s="436">
        <f t="shared" si="254"/>
        <v>1082070</v>
      </c>
      <c r="P5956" s="89">
        <v>307</v>
      </c>
      <c r="Q5956" t="s">
        <v>47</v>
      </c>
      <c r="R5956" s="422" t="s">
        <v>1869</v>
      </c>
      <c r="S5956" s="422" t="s">
        <v>1861</v>
      </c>
      <c r="T5956" t="s">
        <v>5820</v>
      </c>
      <c r="U5956" s="422" t="s">
        <v>1953</v>
      </c>
      <c r="V5956" s="422" t="s">
        <v>2813</v>
      </c>
    </row>
    <row r="5957" spans="1:22" ht="15.75" thickBot="1" x14ac:dyDescent="0.3">
      <c r="A5957" t="s">
        <v>4668</v>
      </c>
      <c r="B5957" t="s">
        <v>4668</v>
      </c>
      <c r="C5957" s="424" t="str">
        <f t="shared" si="253"/>
        <v>Viação Alvorada, Lda</v>
      </c>
      <c r="D5957" t="s">
        <v>629</v>
      </c>
      <c r="F5957" t="s">
        <v>620</v>
      </c>
      <c r="G5957" s="89">
        <v>2015</v>
      </c>
      <c r="H5957" s="313" t="s">
        <v>733</v>
      </c>
      <c r="I5957" s="311" t="str">
        <f t="shared" si="251"/>
        <v>Pesado de Passageiros M3:  : Gasóleo : E6</v>
      </c>
      <c r="J5957">
        <v>90</v>
      </c>
      <c r="K5957" s="422">
        <v>2023</v>
      </c>
      <c r="L5957">
        <v>10770</v>
      </c>
      <c r="M5957" t="s">
        <v>630</v>
      </c>
      <c r="N5957" s="131">
        <v>10770</v>
      </c>
      <c r="O5957" s="436">
        <f t="shared" si="254"/>
        <v>969300</v>
      </c>
      <c r="P5957" s="89">
        <v>312</v>
      </c>
      <c r="Q5957" t="s">
        <v>47</v>
      </c>
      <c r="R5957" s="422" t="s">
        <v>1869</v>
      </c>
      <c r="S5957" s="422" t="s">
        <v>1861</v>
      </c>
      <c r="T5957" s="422" t="s">
        <v>5820</v>
      </c>
      <c r="U5957" s="422" t="s">
        <v>1953</v>
      </c>
      <c r="V5957" s="422" t="s">
        <v>2813</v>
      </c>
    </row>
    <row r="5958" spans="1:22" ht="15.75" thickBot="1" x14ac:dyDescent="0.3">
      <c r="A5958" t="s">
        <v>4668</v>
      </c>
      <c r="B5958" t="s">
        <v>4668</v>
      </c>
      <c r="C5958" s="424" t="str">
        <f t="shared" si="253"/>
        <v>Viação Alvorada, Lda</v>
      </c>
      <c r="D5958" t="s">
        <v>629</v>
      </c>
      <c r="F5958" t="s">
        <v>620</v>
      </c>
      <c r="G5958" s="89">
        <v>2014</v>
      </c>
      <c r="H5958" s="313" t="s">
        <v>733</v>
      </c>
      <c r="I5958" s="311" t="str">
        <f t="shared" si="251"/>
        <v>Pesado de Passageiros M3:  : Gasóleo : E6</v>
      </c>
      <c r="J5958">
        <v>90</v>
      </c>
      <c r="K5958" s="422">
        <v>2023</v>
      </c>
      <c r="L5958">
        <v>12410</v>
      </c>
      <c r="M5958" t="s">
        <v>630</v>
      </c>
      <c r="N5958" s="131">
        <v>12410</v>
      </c>
      <c r="O5958" s="436">
        <f t="shared" si="254"/>
        <v>1116900</v>
      </c>
      <c r="P5958" s="89">
        <v>309</v>
      </c>
      <c r="Q5958" t="s">
        <v>47</v>
      </c>
      <c r="R5958" s="422" t="s">
        <v>1869</v>
      </c>
      <c r="S5958" s="422" t="s">
        <v>1861</v>
      </c>
      <c r="T5958" s="422" t="s">
        <v>5820</v>
      </c>
      <c r="U5958" s="422" t="s">
        <v>1953</v>
      </c>
      <c r="V5958" s="422" t="s">
        <v>2813</v>
      </c>
    </row>
    <row r="5959" spans="1:22" ht="15.75" thickBot="1" x14ac:dyDescent="0.3">
      <c r="A5959" t="s">
        <v>4668</v>
      </c>
      <c r="B5959" t="s">
        <v>4668</v>
      </c>
      <c r="C5959" s="424" t="str">
        <f t="shared" si="253"/>
        <v>Viação Alvorada, Lda</v>
      </c>
      <c r="D5959" t="s">
        <v>629</v>
      </c>
      <c r="F5959" t="s">
        <v>620</v>
      </c>
      <c r="G5959" s="89">
        <v>2014</v>
      </c>
      <c r="H5959" s="313" t="s">
        <v>733</v>
      </c>
      <c r="I5959" s="311" t="str">
        <f t="shared" si="251"/>
        <v>Pesado de Passageiros M3:  : Gasóleo : E6</v>
      </c>
      <c r="J5959">
        <v>90</v>
      </c>
      <c r="K5959" s="422">
        <v>2023</v>
      </c>
      <c r="L5959">
        <v>12956</v>
      </c>
      <c r="M5959" t="s">
        <v>630</v>
      </c>
      <c r="N5959" s="131">
        <v>12956</v>
      </c>
      <c r="O5959" s="436">
        <f t="shared" si="254"/>
        <v>1166040</v>
      </c>
      <c r="P5959" s="89">
        <v>310</v>
      </c>
      <c r="Q5959" t="s">
        <v>47</v>
      </c>
      <c r="R5959" s="422" t="s">
        <v>1869</v>
      </c>
      <c r="S5959" s="422" t="s">
        <v>1861</v>
      </c>
      <c r="T5959" s="422" t="s">
        <v>5820</v>
      </c>
      <c r="U5959" s="422" t="s">
        <v>1953</v>
      </c>
      <c r="V5959" s="422" t="s">
        <v>2813</v>
      </c>
    </row>
    <row r="5960" spans="1:22" ht="15.75" thickBot="1" x14ac:dyDescent="0.3">
      <c r="A5960" t="s">
        <v>4668</v>
      </c>
      <c r="B5960" t="s">
        <v>4668</v>
      </c>
      <c r="C5960" s="424" t="str">
        <f t="shared" si="253"/>
        <v>Viação Alvorada, Lda</v>
      </c>
      <c r="D5960" t="s">
        <v>629</v>
      </c>
      <c r="F5960" t="s">
        <v>620</v>
      </c>
      <c r="G5960" s="89">
        <v>2015</v>
      </c>
      <c r="H5960" s="313" t="s">
        <v>733</v>
      </c>
      <c r="I5960" s="311" t="str">
        <f t="shared" si="251"/>
        <v>Pesado de Passageiros M3:  : Gasóleo : E6</v>
      </c>
      <c r="J5960">
        <v>90</v>
      </c>
      <c r="K5960" s="422">
        <v>2023</v>
      </c>
      <c r="L5960">
        <v>8720</v>
      </c>
      <c r="M5960" t="s">
        <v>630</v>
      </c>
      <c r="N5960" s="131">
        <v>8720</v>
      </c>
      <c r="O5960" s="436">
        <f t="shared" si="254"/>
        <v>784800</v>
      </c>
      <c r="P5960" s="89">
        <v>313</v>
      </c>
      <c r="Q5960" t="s">
        <v>47</v>
      </c>
      <c r="R5960" s="422" t="s">
        <v>1869</v>
      </c>
      <c r="S5960" s="422" t="s">
        <v>1861</v>
      </c>
      <c r="T5960" s="422" t="s">
        <v>5820</v>
      </c>
      <c r="U5960" s="422" t="s">
        <v>1953</v>
      </c>
      <c r="V5960" s="422" t="s">
        <v>2813</v>
      </c>
    </row>
    <row r="5961" spans="1:22" ht="15.75" thickBot="1" x14ac:dyDescent="0.3">
      <c r="A5961" t="s">
        <v>4668</v>
      </c>
      <c r="B5961" t="s">
        <v>4668</v>
      </c>
      <c r="C5961" s="424" t="str">
        <f t="shared" si="253"/>
        <v>Viação Alvorada, Lda</v>
      </c>
      <c r="D5961" t="s">
        <v>629</v>
      </c>
      <c r="F5961" t="s">
        <v>620</v>
      </c>
      <c r="G5961" s="89">
        <v>2015</v>
      </c>
      <c r="H5961" s="313" t="s">
        <v>733</v>
      </c>
      <c r="I5961" s="311" t="str">
        <f t="shared" si="251"/>
        <v>Pesado de Passageiros M3:  : Gasóleo : E6</v>
      </c>
      <c r="J5961">
        <v>90</v>
      </c>
      <c r="K5961" s="422">
        <v>2023</v>
      </c>
      <c r="L5961">
        <v>11344</v>
      </c>
      <c r="M5961" t="s">
        <v>630</v>
      </c>
      <c r="N5961" s="131">
        <v>11344</v>
      </c>
      <c r="O5961" s="436">
        <f t="shared" si="254"/>
        <v>1020960</v>
      </c>
      <c r="P5961" s="89">
        <v>314</v>
      </c>
      <c r="Q5961" t="s">
        <v>47</v>
      </c>
      <c r="R5961" s="422" t="s">
        <v>1869</v>
      </c>
      <c r="S5961" s="422" t="s">
        <v>1861</v>
      </c>
      <c r="T5961" s="422" t="s">
        <v>5820</v>
      </c>
      <c r="U5961" s="422" t="s">
        <v>1953</v>
      </c>
      <c r="V5961" s="422" t="s">
        <v>2813</v>
      </c>
    </row>
    <row r="5962" spans="1:22" ht="15.75" thickBot="1" x14ac:dyDescent="0.3">
      <c r="A5962" t="s">
        <v>4668</v>
      </c>
      <c r="B5962" t="s">
        <v>4668</v>
      </c>
      <c r="C5962" s="424" t="str">
        <f t="shared" si="253"/>
        <v>Viação Alvorada, Lda</v>
      </c>
      <c r="D5962" t="s">
        <v>629</v>
      </c>
      <c r="F5962" t="s">
        <v>620</v>
      </c>
      <c r="G5962" s="89">
        <v>2015</v>
      </c>
      <c r="H5962" s="313" t="s">
        <v>733</v>
      </c>
      <c r="I5962" s="311" t="str">
        <f t="shared" si="251"/>
        <v>Pesado de Passageiros M3:  : Gasóleo : E6</v>
      </c>
      <c r="J5962">
        <v>90</v>
      </c>
      <c r="K5962" s="422">
        <v>2023</v>
      </c>
      <c r="L5962">
        <v>8072</v>
      </c>
      <c r="M5962" t="s">
        <v>630</v>
      </c>
      <c r="N5962" s="131">
        <v>8072</v>
      </c>
      <c r="O5962" s="436">
        <f t="shared" si="254"/>
        <v>726480</v>
      </c>
      <c r="P5962" s="89">
        <v>315</v>
      </c>
      <c r="Q5962" t="s">
        <v>47</v>
      </c>
      <c r="R5962" s="422" t="s">
        <v>1869</v>
      </c>
      <c r="S5962" s="422" t="s">
        <v>1861</v>
      </c>
      <c r="T5962" s="422" t="s">
        <v>5820</v>
      </c>
      <c r="U5962" s="422" t="s">
        <v>1953</v>
      </c>
      <c r="V5962" s="422" t="s">
        <v>2813</v>
      </c>
    </row>
    <row r="5963" spans="1:22" ht="15.75" thickBot="1" x14ac:dyDescent="0.3">
      <c r="A5963" t="s">
        <v>4668</v>
      </c>
      <c r="B5963" t="s">
        <v>4668</v>
      </c>
      <c r="C5963" s="424" t="str">
        <f t="shared" si="253"/>
        <v>Viação Alvorada, Lda</v>
      </c>
      <c r="D5963" t="s">
        <v>629</v>
      </c>
      <c r="F5963" t="s">
        <v>620</v>
      </c>
      <c r="G5963" s="89">
        <v>2015</v>
      </c>
      <c r="H5963" s="313" t="s">
        <v>733</v>
      </c>
      <c r="I5963" s="311" t="str">
        <f t="shared" si="251"/>
        <v>Pesado de Passageiros M3:  : Gasóleo : E6</v>
      </c>
      <c r="J5963">
        <v>90</v>
      </c>
      <c r="K5963" s="422">
        <v>2023</v>
      </c>
      <c r="L5963">
        <v>7588</v>
      </c>
      <c r="M5963" t="s">
        <v>630</v>
      </c>
      <c r="N5963" s="131">
        <v>7588</v>
      </c>
      <c r="O5963" s="436">
        <f t="shared" si="254"/>
        <v>682920</v>
      </c>
      <c r="P5963" s="89">
        <v>316</v>
      </c>
      <c r="Q5963" t="s">
        <v>47</v>
      </c>
      <c r="R5963" s="422" t="s">
        <v>1869</v>
      </c>
      <c r="S5963" s="422" t="s">
        <v>1861</v>
      </c>
      <c r="T5963" s="422" t="s">
        <v>5820</v>
      </c>
      <c r="U5963" s="422" t="s">
        <v>1953</v>
      </c>
      <c r="V5963" s="422" t="s">
        <v>2813</v>
      </c>
    </row>
    <row r="5964" spans="1:22" ht="15.75" thickBot="1" x14ac:dyDescent="0.3">
      <c r="A5964" t="s">
        <v>4668</v>
      </c>
      <c r="B5964" t="s">
        <v>4668</v>
      </c>
      <c r="C5964" s="424" t="str">
        <f t="shared" si="253"/>
        <v>Viação Alvorada, Lda</v>
      </c>
      <c r="D5964" t="s">
        <v>629</v>
      </c>
      <c r="F5964" t="s">
        <v>620</v>
      </c>
      <c r="G5964" s="89">
        <v>2015</v>
      </c>
      <c r="H5964" s="313" t="s">
        <v>733</v>
      </c>
      <c r="I5964" s="311" t="str">
        <f t="shared" si="251"/>
        <v>Pesado de Passageiros M3:  : Gasóleo : E6</v>
      </c>
      <c r="J5964">
        <v>90</v>
      </c>
      <c r="K5964" s="422">
        <v>2023</v>
      </c>
      <c r="L5964">
        <v>16459</v>
      </c>
      <c r="M5964" t="s">
        <v>630</v>
      </c>
      <c r="N5964" s="131">
        <v>16459</v>
      </c>
      <c r="O5964" s="436">
        <f t="shared" si="254"/>
        <v>1481310</v>
      </c>
      <c r="P5964" s="89">
        <v>317</v>
      </c>
      <c r="Q5964" t="s">
        <v>47</v>
      </c>
      <c r="R5964" s="422" t="s">
        <v>1869</v>
      </c>
      <c r="S5964" s="422" t="s">
        <v>1861</v>
      </c>
      <c r="T5964" s="422" t="s">
        <v>5820</v>
      </c>
      <c r="U5964" s="422" t="s">
        <v>1953</v>
      </c>
      <c r="V5964" s="422" t="s">
        <v>2813</v>
      </c>
    </row>
    <row r="5965" spans="1:22" ht="15.75" thickBot="1" x14ac:dyDescent="0.3">
      <c r="A5965" t="s">
        <v>4668</v>
      </c>
      <c r="B5965" t="s">
        <v>4668</v>
      </c>
      <c r="C5965" s="424" t="str">
        <f t="shared" si="253"/>
        <v>Viação Alvorada, Lda</v>
      </c>
      <c r="D5965" t="s">
        <v>629</v>
      </c>
      <c r="F5965" t="s">
        <v>620</v>
      </c>
      <c r="G5965" s="89">
        <v>2015</v>
      </c>
      <c r="H5965" s="313" t="s">
        <v>733</v>
      </c>
      <c r="I5965" s="311" t="str">
        <f t="shared" si="251"/>
        <v>Pesado de Passageiros M3:  : Gasóleo : E6</v>
      </c>
      <c r="J5965">
        <v>90</v>
      </c>
      <c r="K5965" s="422">
        <v>2023</v>
      </c>
      <c r="L5965">
        <v>20562</v>
      </c>
      <c r="M5965" t="s">
        <v>630</v>
      </c>
      <c r="N5965" s="131">
        <v>20562</v>
      </c>
      <c r="O5965" s="436">
        <f t="shared" si="254"/>
        <v>1850580</v>
      </c>
      <c r="P5965" s="89">
        <v>318</v>
      </c>
      <c r="Q5965" t="s">
        <v>47</v>
      </c>
      <c r="R5965" s="422" t="s">
        <v>1869</v>
      </c>
      <c r="S5965" s="422" t="s">
        <v>1861</v>
      </c>
      <c r="T5965" s="422" t="s">
        <v>5820</v>
      </c>
      <c r="U5965" s="422" t="s">
        <v>1953</v>
      </c>
      <c r="V5965" s="422" t="s">
        <v>2813</v>
      </c>
    </row>
    <row r="5966" spans="1:22" ht="15.75" thickBot="1" x14ac:dyDescent="0.3">
      <c r="A5966" t="s">
        <v>4668</v>
      </c>
      <c r="B5966" t="s">
        <v>4668</v>
      </c>
      <c r="C5966" s="424" t="str">
        <f t="shared" si="253"/>
        <v>Viação Alvorada, Lda</v>
      </c>
      <c r="D5966" t="s">
        <v>629</v>
      </c>
      <c r="F5966" t="s">
        <v>620</v>
      </c>
      <c r="G5966" s="89">
        <v>2015</v>
      </c>
      <c r="H5966" s="313" t="s">
        <v>733</v>
      </c>
      <c r="I5966" s="311" t="str">
        <f t="shared" si="251"/>
        <v>Pesado de Passageiros M3:  : Gasóleo : E6</v>
      </c>
      <c r="J5966">
        <v>90</v>
      </c>
      <c r="K5966" s="422">
        <v>2023</v>
      </c>
      <c r="L5966">
        <v>17058</v>
      </c>
      <c r="M5966" t="s">
        <v>630</v>
      </c>
      <c r="N5966" s="131">
        <v>17058</v>
      </c>
      <c r="O5966" s="436">
        <f t="shared" si="254"/>
        <v>1535220</v>
      </c>
      <c r="P5966" s="89">
        <v>319</v>
      </c>
      <c r="Q5966" t="s">
        <v>47</v>
      </c>
      <c r="R5966" s="422" t="s">
        <v>1869</v>
      </c>
      <c r="S5966" s="422" t="s">
        <v>1861</v>
      </c>
      <c r="T5966" s="422" t="s">
        <v>5820</v>
      </c>
      <c r="U5966" s="422" t="s">
        <v>1953</v>
      </c>
      <c r="V5966" s="422" t="s">
        <v>2813</v>
      </c>
    </row>
    <row r="5967" spans="1:22" ht="15.75" thickBot="1" x14ac:dyDescent="0.3">
      <c r="A5967" t="s">
        <v>4668</v>
      </c>
      <c r="B5967" t="s">
        <v>4668</v>
      </c>
      <c r="C5967" s="424" t="str">
        <f t="shared" si="253"/>
        <v>Viação Alvorada, Lda</v>
      </c>
      <c r="D5967" t="s">
        <v>629</v>
      </c>
      <c r="F5967" t="s">
        <v>620</v>
      </c>
      <c r="G5967" s="89">
        <v>2015</v>
      </c>
      <c r="H5967" s="313" t="s">
        <v>733</v>
      </c>
      <c r="I5967" s="311" t="str">
        <f t="shared" si="251"/>
        <v>Pesado de Passageiros M3:  : Gasóleo : E6</v>
      </c>
      <c r="J5967">
        <v>90</v>
      </c>
      <c r="K5967" s="422">
        <v>2023</v>
      </c>
      <c r="L5967">
        <v>13831</v>
      </c>
      <c r="M5967" t="s">
        <v>630</v>
      </c>
      <c r="N5967" s="131">
        <v>13831</v>
      </c>
      <c r="O5967" s="436">
        <f t="shared" si="254"/>
        <v>1244790</v>
      </c>
      <c r="P5967" s="89">
        <v>320</v>
      </c>
      <c r="Q5967" t="s">
        <v>47</v>
      </c>
      <c r="R5967" s="422" t="s">
        <v>1869</v>
      </c>
      <c r="S5967" s="422" t="s">
        <v>1861</v>
      </c>
      <c r="T5967" s="422" t="s">
        <v>5820</v>
      </c>
      <c r="U5967" s="422" t="s">
        <v>1953</v>
      </c>
      <c r="V5967" s="422" t="s">
        <v>2813</v>
      </c>
    </row>
    <row r="5968" spans="1:22" ht="15.75" thickBot="1" x14ac:dyDescent="0.3">
      <c r="A5968" t="s">
        <v>4668</v>
      </c>
      <c r="B5968" t="s">
        <v>4668</v>
      </c>
      <c r="C5968" s="424" t="str">
        <f t="shared" si="253"/>
        <v>Viação Alvorada, Lda</v>
      </c>
      <c r="D5968" t="s">
        <v>629</v>
      </c>
      <c r="F5968" t="s">
        <v>620</v>
      </c>
      <c r="G5968" s="89">
        <v>2015</v>
      </c>
      <c r="H5968" s="313" t="s">
        <v>733</v>
      </c>
      <c r="I5968" s="311" t="str">
        <f t="shared" si="251"/>
        <v>Pesado de Passageiros M3:  : Gasóleo : E6</v>
      </c>
      <c r="J5968">
        <v>90</v>
      </c>
      <c r="K5968" s="422">
        <v>2023</v>
      </c>
      <c r="L5968">
        <v>14297</v>
      </c>
      <c r="M5968" t="s">
        <v>630</v>
      </c>
      <c r="N5968" s="131">
        <v>14297</v>
      </c>
      <c r="O5968" s="436">
        <f t="shared" si="254"/>
        <v>1286730</v>
      </c>
      <c r="P5968" s="89">
        <v>321</v>
      </c>
      <c r="Q5968" t="s">
        <v>47</v>
      </c>
      <c r="R5968" s="422" t="s">
        <v>1869</v>
      </c>
      <c r="S5968" s="422" t="s">
        <v>1861</v>
      </c>
      <c r="T5968" s="422" t="s">
        <v>5820</v>
      </c>
      <c r="U5968" s="422" t="s">
        <v>1953</v>
      </c>
      <c r="V5968" s="422" t="s">
        <v>2813</v>
      </c>
    </row>
    <row r="5969" spans="1:22" ht="15.75" thickBot="1" x14ac:dyDescent="0.3">
      <c r="A5969" t="s">
        <v>4668</v>
      </c>
      <c r="B5969" t="s">
        <v>4668</v>
      </c>
      <c r="C5969" s="424" t="str">
        <f t="shared" si="253"/>
        <v>Viação Alvorada, Lda</v>
      </c>
      <c r="D5969" t="s">
        <v>629</v>
      </c>
      <c r="F5969" t="s">
        <v>620</v>
      </c>
      <c r="G5969" s="89">
        <v>2015</v>
      </c>
      <c r="H5969" s="313" t="s">
        <v>733</v>
      </c>
      <c r="I5969" s="311" t="str">
        <f t="shared" si="251"/>
        <v>Pesado de Passageiros M3:  : Gasóleo : E6</v>
      </c>
      <c r="J5969">
        <v>90</v>
      </c>
      <c r="K5969" s="422">
        <v>2023</v>
      </c>
      <c r="L5969">
        <v>10826</v>
      </c>
      <c r="M5969" t="s">
        <v>630</v>
      </c>
      <c r="N5969" s="131">
        <v>10826</v>
      </c>
      <c r="O5969" s="436">
        <f t="shared" si="254"/>
        <v>974340</v>
      </c>
      <c r="P5969" s="89">
        <v>322</v>
      </c>
      <c r="Q5969" t="s">
        <v>47</v>
      </c>
      <c r="R5969" s="422" t="s">
        <v>1869</v>
      </c>
      <c r="S5969" s="422" t="s">
        <v>1861</v>
      </c>
      <c r="T5969" s="422" t="s">
        <v>5820</v>
      </c>
      <c r="U5969" s="422" t="s">
        <v>1953</v>
      </c>
      <c r="V5969" s="422" t="s">
        <v>2813</v>
      </c>
    </row>
    <row r="5970" spans="1:22" ht="15.75" thickBot="1" x14ac:dyDescent="0.3">
      <c r="A5970" t="s">
        <v>4668</v>
      </c>
      <c r="B5970" t="s">
        <v>4668</v>
      </c>
      <c r="C5970" s="424" t="str">
        <f t="shared" si="253"/>
        <v>Viação Alvorada, Lda</v>
      </c>
      <c r="D5970" t="s">
        <v>629</v>
      </c>
      <c r="F5970" t="s">
        <v>620</v>
      </c>
      <c r="G5970" s="89">
        <v>2015</v>
      </c>
      <c r="H5970" s="313" t="s">
        <v>733</v>
      </c>
      <c r="I5970" s="311" t="str">
        <f t="shared" si="251"/>
        <v>Pesado de Passageiros M3:  : Gasóleo : E6</v>
      </c>
      <c r="J5970">
        <v>90</v>
      </c>
      <c r="K5970" s="422">
        <v>2023</v>
      </c>
      <c r="L5970">
        <v>12043</v>
      </c>
      <c r="M5970" t="s">
        <v>630</v>
      </c>
      <c r="N5970" s="131">
        <v>12043</v>
      </c>
      <c r="O5970" s="436">
        <f t="shared" si="254"/>
        <v>1083870</v>
      </c>
      <c r="P5970" s="89">
        <v>323</v>
      </c>
      <c r="Q5970" t="s">
        <v>47</v>
      </c>
      <c r="R5970" s="422" t="s">
        <v>1869</v>
      </c>
      <c r="S5970" s="422" t="s">
        <v>1861</v>
      </c>
      <c r="T5970" s="422" t="s">
        <v>5820</v>
      </c>
      <c r="U5970" s="422" t="s">
        <v>1953</v>
      </c>
      <c r="V5970" s="422" t="s">
        <v>2813</v>
      </c>
    </row>
    <row r="5971" spans="1:22" ht="15.75" thickBot="1" x14ac:dyDescent="0.3">
      <c r="A5971" t="s">
        <v>4668</v>
      </c>
      <c r="B5971" t="s">
        <v>4668</v>
      </c>
      <c r="C5971" s="424" t="str">
        <f t="shared" si="253"/>
        <v>Viação Alvorada, Lda</v>
      </c>
      <c r="D5971" t="s">
        <v>629</v>
      </c>
      <c r="F5971" t="s">
        <v>620</v>
      </c>
      <c r="G5971" s="89">
        <v>2015</v>
      </c>
      <c r="H5971" s="313" t="s">
        <v>733</v>
      </c>
      <c r="I5971" s="311" t="str">
        <f t="shared" si="251"/>
        <v>Pesado de Passageiros M3:  : Gasóleo : E6</v>
      </c>
      <c r="J5971">
        <v>90</v>
      </c>
      <c r="K5971" s="422">
        <v>2023</v>
      </c>
      <c r="L5971">
        <v>9944</v>
      </c>
      <c r="M5971" t="s">
        <v>630</v>
      </c>
      <c r="N5971" s="131">
        <v>9944</v>
      </c>
      <c r="O5971" s="436">
        <f t="shared" si="254"/>
        <v>894960</v>
      </c>
      <c r="P5971" s="89">
        <v>324</v>
      </c>
      <c r="Q5971" t="s">
        <v>47</v>
      </c>
      <c r="R5971" s="422" t="s">
        <v>1869</v>
      </c>
      <c r="S5971" s="422" t="s">
        <v>1861</v>
      </c>
      <c r="T5971" s="422" t="s">
        <v>5820</v>
      </c>
      <c r="U5971" s="422" t="s">
        <v>1953</v>
      </c>
      <c r="V5971" s="422" t="s">
        <v>2813</v>
      </c>
    </row>
    <row r="5972" spans="1:22" ht="15.75" thickBot="1" x14ac:dyDescent="0.3">
      <c r="A5972" t="s">
        <v>4668</v>
      </c>
      <c r="B5972" t="s">
        <v>4668</v>
      </c>
      <c r="C5972" s="424" t="str">
        <f t="shared" si="253"/>
        <v>Viação Alvorada, Lda</v>
      </c>
      <c r="D5972" t="s">
        <v>629</v>
      </c>
      <c r="F5972" t="s">
        <v>620</v>
      </c>
      <c r="G5972" s="89">
        <v>2015</v>
      </c>
      <c r="H5972" s="313" t="s">
        <v>733</v>
      </c>
      <c r="I5972" s="311" t="str">
        <f t="shared" si="251"/>
        <v>Pesado de Passageiros M3:  : Gasóleo : E6</v>
      </c>
      <c r="J5972">
        <v>90</v>
      </c>
      <c r="K5972" s="422">
        <v>2023</v>
      </c>
      <c r="L5972">
        <v>10945</v>
      </c>
      <c r="M5972" t="s">
        <v>630</v>
      </c>
      <c r="N5972" s="131">
        <v>10945</v>
      </c>
      <c r="O5972" s="436">
        <f t="shared" si="254"/>
        <v>985050</v>
      </c>
      <c r="P5972" s="89">
        <v>325</v>
      </c>
      <c r="Q5972" t="s">
        <v>47</v>
      </c>
      <c r="R5972" s="422" t="s">
        <v>1869</v>
      </c>
      <c r="S5972" s="422" t="s">
        <v>1861</v>
      </c>
      <c r="T5972" s="422" t="s">
        <v>5820</v>
      </c>
      <c r="U5972" s="422" t="s">
        <v>1953</v>
      </c>
      <c r="V5972" s="422" t="s">
        <v>2813</v>
      </c>
    </row>
    <row r="5973" spans="1:22" ht="15.75" thickBot="1" x14ac:dyDescent="0.3">
      <c r="A5973" t="s">
        <v>4668</v>
      </c>
      <c r="B5973" t="s">
        <v>4668</v>
      </c>
      <c r="C5973" s="424" t="str">
        <f t="shared" si="253"/>
        <v>Viação Alvorada, Lda</v>
      </c>
      <c r="D5973" t="s">
        <v>629</v>
      </c>
      <c r="F5973" t="s">
        <v>620</v>
      </c>
      <c r="G5973" s="89">
        <v>2015</v>
      </c>
      <c r="H5973" s="313" t="s">
        <v>733</v>
      </c>
      <c r="I5973" s="311" t="str">
        <f t="shared" si="251"/>
        <v>Pesado de Passageiros M3:  : Gasóleo : E6</v>
      </c>
      <c r="J5973">
        <v>90</v>
      </c>
      <c r="K5973" s="422">
        <v>2023</v>
      </c>
      <c r="L5973">
        <v>12244</v>
      </c>
      <c r="M5973" t="s">
        <v>630</v>
      </c>
      <c r="N5973" s="131">
        <v>12244</v>
      </c>
      <c r="O5973" s="436">
        <f t="shared" si="254"/>
        <v>1101960</v>
      </c>
      <c r="P5973" s="89">
        <v>326</v>
      </c>
      <c r="Q5973" t="s">
        <v>47</v>
      </c>
      <c r="R5973" s="422" t="s">
        <v>1869</v>
      </c>
      <c r="S5973" s="422" t="s">
        <v>1861</v>
      </c>
      <c r="T5973" s="422" t="s">
        <v>5820</v>
      </c>
      <c r="U5973" s="422" t="s">
        <v>1953</v>
      </c>
      <c r="V5973" s="422" t="s">
        <v>2813</v>
      </c>
    </row>
    <row r="5974" spans="1:22" ht="15.75" thickBot="1" x14ac:dyDescent="0.3">
      <c r="A5974" t="s">
        <v>4668</v>
      </c>
      <c r="B5974" t="s">
        <v>4668</v>
      </c>
      <c r="C5974" s="424" t="str">
        <f t="shared" si="253"/>
        <v>Viação Alvorada, Lda</v>
      </c>
      <c r="D5974" t="s">
        <v>629</v>
      </c>
      <c r="F5974" t="s">
        <v>620</v>
      </c>
      <c r="G5974" s="89">
        <v>2015</v>
      </c>
      <c r="H5974" s="313" t="s">
        <v>733</v>
      </c>
      <c r="I5974" s="311" t="str">
        <f t="shared" si="251"/>
        <v>Pesado de Passageiros M3:  : Gasóleo : E6</v>
      </c>
      <c r="J5974">
        <v>90</v>
      </c>
      <c r="K5974" s="422">
        <v>2023</v>
      </c>
      <c r="L5974">
        <v>11958</v>
      </c>
      <c r="M5974" t="s">
        <v>630</v>
      </c>
      <c r="N5974" s="131">
        <v>11958</v>
      </c>
      <c r="O5974" s="436">
        <f t="shared" si="254"/>
        <v>1076220</v>
      </c>
      <c r="P5974" s="89">
        <v>327</v>
      </c>
      <c r="Q5974" t="s">
        <v>47</v>
      </c>
      <c r="R5974" s="422" t="s">
        <v>1869</v>
      </c>
      <c r="S5974" s="422" t="s">
        <v>1861</v>
      </c>
      <c r="T5974" s="422" t="s">
        <v>5820</v>
      </c>
      <c r="U5974" s="422" t="s">
        <v>1953</v>
      </c>
      <c r="V5974" s="422" t="s">
        <v>2813</v>
      </c>
    </row>
    <row r="5975" spans="1:22" ht="15.75" thickBot="1" x14ac:dyDescent="0.3">
      <c r="A5975" t="s">
        <v>4668</v>
      </c>
      <c r="B5975" t="s">
        <v>4668</v>
      </c>
      <c r="C5975" s="424" t="str">
        <f t="shared" si="253"/>
        <v>Viação Alvorada, Lda</v>
      </c>
      <c r="D5975" t="s">
        <v>629</v>
      </c>
      <c r="F5975" t="s">
        <v>620</v>
      </c>
      <c r="G5975" s="89">
        <v>2015</v>
      </c>
      <c r="H5975" s="313" t="s">
        <v>733</v>
      </c>
      <c r="I5975" s="311" t="str">
        <f t="shared" si="251"/>
        <v>Pesado de Passageiros M3:  : Gasóleo : E6</v>
      </c>
      <c r="J5975">
        <v>90</v>
      </c>
      <c r="K5975" s="422">
        <v>2023</v>
      </c>
      <c r="L5975">
        <v>14636</v>
      </c>
      <c r="M5975" t="s">
        <v>630</v>
      </c>
      <c r="N5975" s="131">
        <v>14636</v>
      </c>
      <c r="O5975" s="436">
        <f t="shared" si="254"/>
        <v>1317240</v>
      </c>
      <c r="P5975" s="89">
        <v>328</v>
      </c>
      <c r="Q5975" t="s">
        <v>47</v>
      </c>
      <c r="R5975" s="422" t="s">
        <v>1869</v>
      </c>
      <c r="S5975" s="422" t="s">
        <v>1861</v>
      </c>
      <c r="T5975" s="422" t="s">
        <v>5820</v>
      </c>
      <c r="U5975" s="422" t="s">
        <v>1953</v>
      </c>
      <c r="V5975" s="422" t="s">
        <v>2813</v>
      </c>
    </row>
    <row r="5976" spans="1:22" ht="15.75" thickBot="1" x14ac:dyDescent="0.3">
      <c r="A5976" t="s">
        <v>4668</v>
      </c>
      <c r="B5976" t="s">
        <v>4668</v>
      </c>
      <c r="C5976" s="424" t="str">
        <f t="shared" si="253"/>
        <v>Viação Alvorada, Lda</v>
      </c>
      <c r="D5976" t="s">
        <v>629</v>
      </c>
      <c r="F5976" t="s">
        <v>620</v>
      </c>
      <c r="G5976" s="89">
        <v>2015</v>
      </c>
      <c r="H5976" s="313" t="s">
        <v>733</v>
      </c>
      <c r="I5976" s="311" t="str">
        <f t="shared" si="251"/>
        <v>Pesado de Passageiros M3:  : Gasóleo : E6</v>
      </c>
      <c r="J5976">
        <v>90</v>
      </c>
      <c r="K5976" s="422">
        <v>2023</v>
      </c>
      <c r="L5976">
        <v>14051</v>
      </c>
      <c r="M5976" t="s">
        <v>630</v>
      </c>
      <c r="N5976" s="131">
        <v>14051</v>
      </c>
      <c r="O5976" s="436">
        <f t="shared" si="254"/>
        <v>1264590</v>
      </c>
      <c r="P5976" s="89">
        <v>330</v>
      </c>
      <c r="Q5976" t="s">
        <v>47</v>
      </c>
      <c r="R5976" s="422" t="s">
        <v>1869</v>
      </c>
      <c r="S5976" s="422" t="s">
        <v>1861</v>
      </c>
      <c r="T5976" s="422" t="s">
        <v>5820</v>
      </c>
      <c r="U5976" s="422" t="s">
        <v>1953</v>
      </c>
      <c r="V5976" s="422" t="s">
        <v>2813</v>
      </c>
    </row>
    <row r="5977" spans="1:22" ht="15.75" thickBot="1" x14ac:dyDescent="0.3">
      <c r="A5977" t="s">
        <v>4668</v>
      </c>
      <c r="B5977" t="s">
        <v>4668</v>
      </c>
      <c r="C5977" s="424" t="str">
        <f t="shared" si="253"/>
        <v>Viação Alvorada, Lda</v>
      </c>
      <c r="D5977" t="s">
        <v>629</v>
      </c>
      <c r="F5977" t="s">
        <v>620</v>
      </c>
      <c r="G5977" s="89">
        <v>2015</v>
      </c>
      <c r="H5977" s="313" t="s">
        <v>733</v>
      </c>
      <c r="I5977" s="311" t="str">
        <f t="shared" si="251"/>
        <v>Pesado de Passageiros M3:  : Gasóleo : E6</v>
      </c>
      <c r="J5977">
        <v>90</v>
      </c>
      <c r="K5977" s="422">
        <v>2023</v>
      </c>
      <c r="L5977">
        <v>13995</v>
      </c>
      <c r="M5977" t="s">
        <v>630</v>
      </c>
      <c r="N5977" s="131">
        <v>13995</v>
      </c>
      <c r="O5977" s="436">
        <f t="shared" si="254"/>
        <v>1259550</v>
      </c>
      <c r="P5977" s="89">
        <v>331</v>
      </c>
      <c r="Q5977" t="s">
        <v>47</v>
      </c>
      <c r="R5977" s="422" t="s">
        <v>1869</v>
      </c>
      <c r="S5977" s="422" t="s">
        <v>1861</v>
      </c>
      <c r="T5977" s="422" t="s">
        <v>5820</v>
      </c>
      <c r="U5977" s="422" t="s">
        <v>1953</v>
      </c>
      <c r="V5977" s="422" t="s">
        <v>2813</v>
      </c>
    </row>
    <row r="5978" spans="1:22" ht="15.75" thickBot="1" x14ac:dyDescent="0.3">
      <c r="A5978" t="s">
        <v>4668</v>
      </c>
      <c r="B5978" t="s">
        <v>4668</v>
      </c>
      <c r="C5978" s="424" t="str">
        <f t="shared" si="253"/>
        <v>Viação Alvorada, Lda</v>
      </c>
      <c r="D5978" t="s">
        <v>629</v>
      </c>
      <c r="F5978" t="s">
        <v>620</v>
      </c>
      <c r="G5978" s="89">
        <v>2015</v>
      </c>
      <c r="H5978" s="313" t="s">
        <v>733</v>
      </c>
      <c r="I5978" s="311" t="str">
        <f t="shared" si="251"/>
        <v>Pesado de Passageiros M3:  : Gasóleo : E6</v>
      </c>
      <c r="J5978">
        <v>90</v>
      </c>
      <c r="K5978" s="422">
        <v>2023</v>
      </c>
      <c r="L5978">
        <v>10921</v>
      </c>
      <c r="M5978" t="s">
        <v>630</v>
      </c>
      <c r="N5978" s="131">
        <v>10921</v>
      </c>
      <c r="O5978" s="436">
        <f t="shared" si="254"/>
        <v>982890</v>
      </c>
      <c r="P5978" s="89">
        <v>329</v>
      </c>
      <c r="Q5978" t="s">
        <v>47</v>
      </c>
      <c r="R5978" s="422" t="s">
        <v>1869</v>
      </c>
      <c r="S5978" s="422" t="s">
        <v>1861</v>
      </c>
      <c r="T5978" s="422" t="s">
        <v>5820</v>
      </c>
      <c r="U5978" s="422" t="s">
        <v>1953</v>
      </c>
      <c r="V5978" s="422" t="s">
        <v>2813</v>
      </c>
    </row>
    <row r="5979" spans="1:22" ht="15.75" thickBot="1" x14ac:dyDescent="0.3">
      <c r="A5979" t="s">
        <v>4668</v>
      </c>
      <c r="B5979" t="s">
        <v>4668</v>
      </c>
      <c r="C5979" s="424" t="str">
        <f t="shared" si="253"/>
        <v>Viação Alvorada, Lda</v>
      </c>
      <c r="D5979" t="s">
        <v>629</v>
      </c>
      <c r="F5979" t="s">
        <v>620</v>
      </c>
      <c r="G5979" s="89">
        <v>2015</v>
      </c>
      <c r="H5979" s="313" t="s">
        <v>733</v>
      </c>
      <c r="I5979" s="311" t="str">
        <f t="shared" si="251"/>
        <v>Pesado de Passageiros M3:  : Gasóleo : E6</v>
      </c>
      <c r="J5979">
        <v>90</v>
      </c>
      <c r="K5979" s="422">
        <v>2023</v>
      </c>
      <c r="L5979">
        <v>10364</v>
      </c>
      <c r="M5979" t="s">
        <v>630</v>
      </c>
      <c r="N5979" s="131">
        <v>10364</v>
      </c>
      <c r="O5979" s="436">
        <f t="shared" si="254"/>
        <v>932760</v>
      </c>
      <c r="P5979" s="89">
        <v>332</v>
      </c>
      <c r="Q5979" t="s">
        <v>47</v>
      </c>
      <c r="R5979" s="422" t="s">
        <v>1869</v>
      </c>
      <c r="S5979" s="422" t="s">
        <v>1861</v>
      </c>
      <c r="T5979" s="422" t="s">
        <v>5820</v>
      </c>
      <c r="U5979" s="422" t="s">
        <v>1953</v>
      </c>
      <c r="V5979" s="422" t="s">
        <v>2813</v>
      </c>
    </row>
    <row r="5980" spans="1:22" ht="15.75" thickBot="1" x14ac:dyDescent="0.3">
      <c r="A5980" t="s">
        <v>4668</v>
      </c>
      <c r="B5980" t="s">
        <v>4668</v>
      </c>
      <c r="C5980" s="424" t="str">
        <f t="shared" si="253"/>
        <v>Viação Alvorada, Lda</v>
      </c>
      <c r="D5980" t="s">
        <v>629</v>
      </c>
      <c r="F5980" t="s">
        <v>620</v>
      </c>
      <c r="G5980" s="89">
        <v>2015</v>
      </c>
      <c r="H5980" s="313" t="s">
        <v>733</v>
      </c>
      <c r="I5980" s="311" t="str">
        <f t="shared" si="251"/>
        <v>Pesado de Passageiros M3:  : Gasóleo : E6</v>
      </c>
      <c r="J5980">
        <v>90</v>
      </c>
      <c r="K5980" s="422">
        <v>2023</v>
      </c>
      <c r="L5980">
        <v>10699</v>
      </c>
      <c r="M5980" t="s">
        <v>630</v>
      </c>
      <c r="N5980" s="131">
        <v>10699</v>
      </c>
      <c r="O5980" s="436">
        <f t="shared" si="254"/>
        <v>962910</v>
      </c>
      <c r="P5980" s="89">
        <v>333</v>
      </c>
      <c r="Q5980" t="s">
        <v>47</v>
      </c>
      <c r="R5980" s="422" t="s">
        <v>1869</v>
      </c>
      <c r="S5980" s="422" t="s">
        <v>1861</v>
      </c>
      <c r="T5980" s="422" t="s">
        <v>5820</v>
      </c>
      <c r="U5980" s="422" t="s">
        <v>1953</v>
      </c>
      <c r="V5980" s="422" t="s">
        <v>2813</v>
      </c>
    </row>
    <row r="5981" spans="1:22" ht="15.75" thickBot="1" x14ac:dyDescent="0.3">
      <c r="A5981" t="s">
        <v>4668</v>
      </c>
      <c r="B5981" t="s">
        <v>4668</v>
      </c>
      <c r="C5981" s="424" t="str">
        <f t="shared" si="253"/>
        <v>Viação Alvorada, Lda</v>
      </c>
      <c r="D5981" t="s">
        <v>629</v>
      </c>
      <c r="F5981" t="s">
        <v>620</v>
      </c>
      <c r="G5981" s="89">
        <v>2015</v>
      </c>
      <c r="H5981" s="313" t="s">
        <v>733</v>
      </c>
      <c r="I5981" s="311" t="str">
        <f t="shared" si="251"/>
        <v>Pesado de Passageiros M3:  : Gasóleo : E6</v>
      </c>
      <c r="J5981">
        <v>90</v>
      </c>
      <c r="K5981" s="422">
        <v>2023</v>
      </c>
      <c r="L5981">
        <v>10621</v>
      </c>
      <c r="M5981" t="s">
        <v>630</v>
      </c>
      <c r="N5981" s="131">
        <v>10621</v>
      </c>
      <c r="O5981" s="436">
        <f t="shared" si="254"/>
        <v>955890</v>
      </c>
      <c r="P5981" s="89">
        <v>334</v>
      </c>
      <c r="Q5981" t="s">
        <v>47</v>
      </c>
      <c r="R5981" s="422" t="s">
        <v>1869</v>
      </c>
      <c r="S5981" s="422" t="s">
        <v>1861</v>
      </c>
      <c r="T5981" s="422" t="s">
        <v>5820</v>
      </c>
      <c r="U5981" s="422" t="s">
        <v>1953</v>
      </c>
      <c r="V5981" s="422" t="s">
        <v>2813</v>
      </c>
    </row>
    <row r="5982" spans="1:22" ht="15.75" thickBot="1" x14ac:dyDescent="0.3">
      <c r="A5982" t="s">
        <v>4668</v>
      </c>
      <c r="B5982" t="s">
        <v>4668</v>
      </c>
      <c r="C5982" s="424" t="str">
        <f t="shared" si="253"/>
        <v>Viação Alvorada, Lda</v>
      </c>
      <c r="D5982" t="s">
        <v>629</v>
      </c>
      <c r="F5982" t="s">
        <v>620</v>
      </c>
      <c r="G5982" s="89">
        <v>2015</v>
      </c>
      <c r="H5982" s="313" t="s">
        <v>733</v>
      </c>
      <c r="I5982" s="311" t="str">
        <f t="shared" si="251"/>
        <v>Pesado de Passageiros M3:  : Gasóleo : E6</v>
      </c>
      <c r="J5982">
        <v>90</v>
      </c>
      <c r="K5982" s="422">
        <v>2023</v>
      </c>
      <c r="L5982">
        <v>10722</v>
      </c>
      <c r="M5982" t="s">
        <v>630</v>
      </c>
      <c r="N5982" s="131">
        <v>10722</v>
      </c>
      <c r="O5982" s="436">
        <f t="shared" si="254"/>
        <v>964980</v>
      </c>
      <c r="P5982" s="89">
        <v>335</v>
      </c>
      <c r="Q5982" t="s">
        <v>47</v>
      </c>
      <c r="R5982" s="422" t="s">
        <v>1869</v>
      </c>
      <c r="S5982" s="422" t="s">
        <v>1861</v>
      </c>
      <c r="T5982" s="422" t="s">
        <v>5820</v>
      </c>
      <c r="U5982" s="422" t="s">
        <v>1953</v>
      </c>
      <c r="V5982" s="422" t="s">
        <v>2813</v>
      </c>
    </row>
    <row r="5983" spans="1:22" ht="15.75" thickBot="1" x14ac:dyDescent="0.3">
      <c r="A5983" t="s">
        <v>4668</v>
      </c>
      <c r="B5983" t="s">
        <v>4668</v>
      </c>
      <c r="C5983" s="424" t="str">
        <f t="shared" si="253"/>
        <v>Viação Alvorada, Lda</v>
      </c>
      <c r="D5983" t="s">
        <v>629</v>
      </c>
      <c r="F5983" t="s">
        <v>620</v>
      </c>
      <c r="G5983" s="89">
        <v>2015</v>
      </c>
      <c r="H5983" s="313" t="s">
        <v>733</v>
      </c>
      <c r="I5983" s="311" t="str">
        <f t="shared" si="251"/>
        <v>Pesado de Passageiros M3:  : Gasóleo : E6</v>
      </c>
      <c r="J5983">
        <v>52</v>
      </c>
      <c r="K5983" s="422">
        <v>2023</v>
      </c>
      <c r="L5983">
        <v>29883</v>
      </c>
      <c r="M5983" t="s">
        <v>630</v>
      </c>
      <c r="N5983" s="131">
        <v>29883</v>
      </c>
      <c r="O5983" s="436">
        <f t="shared" si="254"/>
        <v>1553916</v>
      </c>
      <c r="P5983" s="89">
        <v>540</v>
      </c>
      <c r="Q5983" t="s">
        <v>47</v>
      </c>
      <c r="R5983" s="422" t="s">
        <v>1869</v>
      </c>
      <c r="S5983" s="422" t="s">
        <v>1861</v>
      </c>
      <c r="T5983" s="422" t="s">
        <v>5821</v>
      </c>
      <c r="U5983" s="422" t="s">
        <v>1953</v>
      </c>
      <c r="V5983" s="422" t="s">
        <v>2813</v>
      </c>
    </row>
    <row r="5984" spans="1:22" ht="15.75" thickBot="1" x14ac:dyDescent="0.3">
      <c r="A5984" t="s">
        <v>4668</v>
      </c>
      <c r="B5984" t="s">
        <v>4668</v>
      </c>
      <c r="C5984" s="424" t="str">
        <f t="shared" si="253"/>
        <v>Viação Alvorada, Lda</v>
      </c>
      <c r="D5984" t="s">
        <v>629</v>
      </c>
      <c r="F5984" t="s">
        <v>620</v>
      </c>
      <c r="G5984" s="89">
        <v>2015</v>
      </c>
      <c r="H5984" s="313" t="s">
        <v>733</v>
      </c>
      <c r="I5984" s="311" t="str">
        <f t="shared" si="251"/>
        <v>Pesado de Passageiros M3:  : Gasóleo : E6</v>
      </c>
      <c r="J5984">
        <v>52</v>
      </c>
      <c r="K5984" s="422">
        <v>2023</v>
      </c>
      <c r="L5984">
        <v>17471</v>
      </c>
      <c r="M5984" t="s">
        <v>630</v>
      </c>
      <c r="N5984" s="131">
        <v>17471</v>
      </c>
      <c r="O5984" s="436">
        <f t="shared" si="254"/>
        <v>908492</v>
      </c>
      <c r="P5984" s="89">
        <v>541</v>
      </c>
      <c r="Q5984" t="s">
        <v>47</v>
      </c>
      <c r="R5984" s="422" t="s">
        <v>1869</v>
      </c>
      <c r="S5984" s="422" t="s">
        <v>1861</v>
      </c>
      <c r="T5984" s="422" t="s">
        <v>5821</v>
      </c>
      <c r="U5984" s="422" t="s">
        <v>1953</v>
      </c>
      <c r="V5984" s="422" t="s">
        <v>2813</v>
      </c>
    </row>
    <row r="5985" spans="1:22" ht="15.75" thickBot="1" x14ac:dyDescent="0.3">
      <c r="A5985" t="s">
        <v>4668</v>
      </c>
      <c r="B5985" t="s">
        <v>4668</v>
      </c>
      <c r="C5985" s="424" t="str">
        <f t="shared" si="253"/>
        <v>Viação Alvorada, Lda</v>
      </c>
      <c r="D5985" t="s">
        <v>629</v>
      </c>
      <c r="F5985" t="s">
        <v>620</v>
      </c>
      <c r="G5985" s="89">
        <v>2011</v>
      </c>
      <c r="H5985" s="313" t="s">
        <v>734</v>
      </c>
      <c r="I5985" s="311" t="str">
        <f t="shared" si="251"/>
        <v>Pesado de Passageiros M3:  : Gasóleo : E5</v>
      </c>
      <c r="J5985">
        <v>87</v>
      </c>
      <c r="K5985" s="422">
        <v>2023</v>
      </c>
      <c r="L5985">
        <v>10120</v>
      </c>
      <c r="M5985" t="s">
        <v>630</v>
      </c>
      <c r="N5985" s="131">
        <v>10120</v>
      </c>
      <c r="O5985" s="436">
        <f t="shared" si="254"/>
        <v>880440</v>
      </c>
      <c r="P5985" s="89">
        <v>432</v>
      </c>
      <c r="Q5985" t="s">
        <v>47</v>
      </c>
      <c r="R5985" s="422" t="s">
        <v>1869</v>
      </c>
      <c r="S5985" s="422" t="s">
        <v>1861</v>
      </c>
      <c r="T5985" s="422" t="s">
        <v>5821</v>
      </c>
      <c r="U5985" s="422" t="s">
        <v>1953</v>
      </c>
      <c r="V5985" s="422" t="s">
        <v>2813</v>
      </c>
    </row>
    <row r="5986" spans="1:22" ht="15.75" thickBot="1" x14ac:dyDescent="0.3">
      <c r="A5986" t="s">
        <v>4668</v>
      </c>
      <c r="B5986" t="s">
        <v>4668</v>
      </c>
      <c r="C5986" s="424" t="str">
        <f t="shared" si="253"/>
        <v>Viação Alvorada, Lda</v>
      </c>
      <c r="D5986" t="s">
        <v>629</v>
      </c>
      <c r="F5986" t="s">
        <v>620</v>
      </c>
      <c r="G5986" s="89">
        <v>2011</v>
      </c>
      <c r="H5986" s="313" t="s">
        <v>734</v>
      </c>
      <c r="I5986" s="311" t="str">
        <f t="shared" ref="I5986:I6049" si="255">D5986&amp;": "&amp;E5986&amp;" : "&amp;F5986&amp;" : "&amp;H5986</f>
        <v>Pesado de Passageiros M3:  : Gasóleo : E5</v>
      </c>
      <c r="J5986">
        <v>87</v>
      </c>
      <c r="K5986" s="422">
        <v>2023</v>
      </c>
      <c r="L5986">
        <v>13346</v>
      </c>
      <c r="M5986" t="s">
        <v>630</v>
      </c>
      <c r="N5986" s="131">
        <v>13346</v>
      </c>
      <c r="O5986" s="436">
        <f t="shared" si="254"/>
        <v>1161102</v>
      </c>
      <c r="P5986" s="89">
        <v>433</v>
      </c>
      <c r="Q5986" t="s">
        <v>47</v>
      </c>
      <c r="R5986" s="422" t="s">
        <v>1869</v>
      </c>
      <c r="S5986" s="422" t="s">
        <v>1861</v>
      </c>
      <c r="T5986" s="422" t="s">
        <v>5821</v>
      </c>
      <c r="U5986" s="422" t="s">
        <v>1953</v>
      </c>
      <c r="V5986" s="422" t="s">
        <v>2813</v>
      </c>
    </row>
    <row r="5987" spans="1:22" ht="15.75" thickBot="1" x14ac:dyDescent="0.3">
      <c r="A5987" t="s">
        <v>4668</v>
      </c>
      <c r="B5987" t="s">
        <v>4668</v>
      </c>
      <c r="C5987" s="424" t="str">
        <f t="shared" si="253"/>
        <v>Viação Alvorada, Lda</v>
      </c>
      <c r="D5987" t="s">
        <v>629</v>
      </c>
      <c r="F5987" t="s">
        <v>620</v>
      </c>
      <c r="G5987" s="89">
        <v>2011</v>
      </c>
      <c r="H5987" s="313" t="s">
        <v>734</v>
      </c>
      <c r="I5987" s="311" t="str">
        <f t="shared" si="255"/>
        <v>Pesado de Passageiros M3:  : Gasóleo : E5</v>
      </c>
      <c r="J5987">
        <v>87</v>
      </c>
      <c r="K5987" s="422">
        <v>2023</v>
      </c>
      <c r="L5987">
        <v>18869</v>
      </c>
      <c r="M5987" t="s">
        <v>630</v>
      </c>
      <c r="N5987" s="131">
        <v>18869</v>
      </c>
      <c r="O5987" s="436">
        <f t="shared" si="254"/>
        <v>1641603</v>
      </c>
      <c r="P5987" s="89">
        <v>434</v>
      </c>
      <c r="Q5987" t="s">
        <v>47</v>
      </c>
      <c r="R5987" s="422" t="s">
        <v>1869</v>
      </c>
      <c r="S5987" s="422" t="s">
        <v>1861</v>
      </c>
      <c r="T5987" s="422" t="s">
        <v>5821</v>
      </c>
      <c r="U5987" s="422" t="s">
        <v>1953</v>
      </c>
      <c r="V5987" s="422" t="s">
        <v>2813</v>
      </c>
    </row>
    <row r="5988" spans="1:22" ht="15.75" thickBot="1" x14ac:dyDescent="0.3">
      <c r="A5988" t="s">
        <v>4668</v>
      </c>
      <c r="B5988" t="s">
        <v>4668</v>
      </c>
      <c r="C5988" s="424" t="str">
        <f t="shared" si="253"/>
        <v>Viação Alvorada, Lda</v>
      </c>
      <c r="D5988" t="s">
        <v>629</v>
      </c>
      <c r="F5988" t="s">
        <v>620</v>
      </c>
      <c r="G5988" s="89">
        <v>2011</v>
      </c>
      <c r="H5988" s="313" t="s">
        <v>734</v>
      </c>
      <c r="I5988" s="311" t="str">
        <f t="shared" si="255"/>
        <v>Pesado de Passageiros M3:  : Gasóleo : E5</v>
      </c>
      <c r="J5988">
        <v>87</v>
      </c>
      <c r="K5988" s="422">
        <v>2023</v>
      </c>
      <c r="L5988">
        <v>14867</v>
      </c>
      <c r="M5988" t="s">
        <v>630</v>
      </c>
      <c r="N5988" s="131">
        <v>14867</v>
      </c>
      <c r="O5988" s="436">
        <f t="shared" si="254"/>
        <v>1293429</v>
      </c>
      <c r="P5988" s="89">
        <v>435</v>
      </c>
      <c r="Q5988" t="s">
        <v>47</v>
      </c>
      <c r="R5988" s="422" t="s">
        <v>1869</v>
      </c>
      <c r="S5988" s="422" t="s">
        <v>1861</v>
      </c>
      <c r="T5988" s="422" t="s">
        <v>5821</v>
      </c>
      <c r="U5988" s="422" t="s">
        <v>1953</v>
      </c>
      <c r="V5988" s="422" t="s">
        <v>2813</v>
      </c>
    </row>
    <row r="5989" spans="1:22" ht="15.75" thickBot="1" x14ac:dyDescent="0.3">
      <c r="A5989" t="s">
        <v>4668</v>
      </c>
      <c r="B5989" t="s">
        <v>4668</v>
      </c>
      <c r="C5989" s="424" t="str">
        <f t="shared" si="253"/>
        <v>Viação Alvorada, Lda</v>
      </c>
      <c r="D5989" t="s">
        <v>629</v>
      </c>
      <c r="F5989" t="s">
        <v>620</v>
      </c>
      <c r="G5989" s="89">
        <v>2011</v>
      </c>
      <c r="H5989" s="313" t="s">
        <v>734</v>
      </c>
      <c r="I5989" s="311" t="str">
        <f t="shared" si="255"/>
        <v>Pesado de Passageiros M3:  : Gasóleo : E5</v>
      </c>
      <c r="J5989">
        <v>87</v>
      </c>
      <c r="K5989" s="422">
        <v>2023</v>
      </c>
      <c r="L5989">
        <v>15427</v>
      </c>
      <c r="M5989" t="s">
        <v>630</v>
      </c>
      <c r="N5989" s="131">
        <v>15427</v>
      </c>
      <c r="O5989" s="436">
        <f t="shared" si="254"/>
        <v>1342149</v>
      </c>
      <c r="P5989" s="89">
        <v>437</v>
      </c>
      <c r="Q5989" t="s">
        <v>47</v>
      </c>
      <c r="R5989" s="422" t="s">
        <v>1869</v>
      </c>
      <c r="S5989" s="422" t="s">
        <v>1861</v>
      </c>
      <c r="T5989" s="422" t="s">
        <v>5821</v>
      </c>
      <c r="U5989" s="422" t="s">
        <v>1953</v>
      </c>
      <c r="V5989" s="422" t="s">
        <v>2813</v>
      </c>
    </row>
    <row r="5990" spans="1:22" ht="15.75" thickBot="1" x14ac:dyDescent="0.3">
      <c r="A5990" t="s">
        <v>4668</v>
      </c>
      <c r="B5990" t="s">
        <v>4668</v>
      </c>
      <c r="C5990" s="424" t="str">
        <f t="shared" si="253"/>
        <v>Viação Alvorada, Lda</v>
      </c>
      <c r="D5990" t="s">
        <v>629</v>
      </c>
      <c r="F5990" t="s">
        <v>620</v>
      </c>
      <c r="G5990" s="89">
        <v>2011</v>
      </c>
      <c r="H5990" s="313" t="s">
        <v>734</v>
      </c>
      <c r="I5990" s="311" t="str">
        <f t="shared" si="255"/>
        <v>Pesado de Passageiros M3:  : Gasóleo : E5</v>
      </c>
      <c r="J5990">
        <v>87</v>
      </c>
      <c r="K5990" s="422">
        <v>2023</v>
      </c>
      <c r="L5990">
        <v>20354</v>
      </c>
      <c r="M5990" t="s">
        <v>630</v>
      </c>
      <c r="N5990" s="131">
        <v>20354</v>
      </c>
      <c r="O5990" s="436">
        <f t="shared" si="254"/>
        <v>1770798</v>
      </c>
      <c r="P5990" s="89">
        <v>439</v>
      </c>
      <c r="Q5990" t="s">
        <v>47</v>
      </c>
      <c r="R5990" s="422" t="s">
        <v>1869</v>
      </c>
      <c r="S5990" s="422" t="s">
        <v>1861</v>
      </c>
      <c r="T5990" s="422" t="s">
        <v>5821</v>
      </c>
      <c r="U5990" s="422" t="s">
        <v>1953</v>
      </c>
      <c r="V5990" s="422" t="s">
        <v>2813</v>
      </c>
    </row>
    <row r="5991" spans="1:22" ht="15.75" thickBot="1" x14ac:dyDescent="0.3">
      <c r="A5991" t="s">
        <v>4668</v>
      </c>
      <c r="B5991" t="s">
        <v>4668</v>
      </c>
      <c r="C5991" s="424" t="str">
        <f t="shared" si="253"/>
        <v>Viação Alvorada, Lda</v>
      </c>
      <c r="D5991" t="s">
        <v>629</v>
      </c>
      <c r="F5991" t="s">
        <v>620</v>
      </c>
      <c r="G5991" s="89">
        <v>2015</v>
      </c>
      <c r="H5991" s="313" t="s">
        <v>733</v>
      </c>
      <c r="I5991" s="311" t="str">
        <f t="shared" si="255"/>
        <v>Pesado de Passageiros M3:  : Gasóleo : E6</v>
      </c>
      <c r="J5991">
        <v>52</v>
      </c>
      <c r="K5991" s="422">
        <v>2023</v>
      </c>
      <c r="L5991">
        <v>26003</v>
      </c>
      <c r="M5991" t="s">
        <v>630</v>
      </c>
      <c r="N5991" s="131">
        <v>26003</v>
      </c>
      <c r="O5991" s="436">
        <f t="shared" si="254"/>
        <v>1352156</v>
      </c>
      <c r="P5991" s="89">
        <v>542</v>
      </c>
      <c r="Q5991" t="s">
        <v>47</v>
      </c>
      <c r="R5991" s="422" t="s">
        <v>1869</v>
      </c>
      <c r="S5991" s="422" t="s">
        <v>1861</v>
      </c>
      <c r="T5991" s="422" t="s">
        <v>5821</v>
      </c>
      <c r="U5991" s="422" t="s">
        <v>1953</v>
      </c>
      <c r="V5991" s="422" t="s">
        <v>2813</v>
      </c>
    </row>
    <row r="5992" spans="1:22" ht="15.75" thickBot="1" x14ac:dyDescent="0.3">
      <c r="A5992" t="s">
        <v>4668</v>
      </c>
      <c r="B5992" t="s">
        <v>4668</v>
      </c>
      <c r="C5992" s="424" t="str">
        <f t="shared" si="253"/>
        <v>Viação Alvorada, Lda</v>
      </c>
      <c r="D5992" t="s">
        <v>629</v>
      </c>
      <c r="F5992" t="s">
        <v>620</v>
      </c>
      <c r="G5992" s="89">
        <v>2019</v>
      </c>
      <c r="H5992" s="313" t="s">
        <v>733</v>
      </c>
      <c r="I5992" s="311" t="str">
        <f t="shared" si="255"/>
        <v>Pesado de Passageiros M3:  : Gasóleo : E6</v>
      </c>
      <c r="J5992">
        <v>66</v>
      </c>
      <c r="K5992" s="422">
        <v>2023</v>
      </c>
      <c r="L5992">
        <v>24083</v>
      </c>
      <c r="M5992" t="s">
        <v>630</v>
      </c>
      <c r="N5992" s="131">
        <v>24083</v>
      </c>
      <c r="O5992" s="436">
        <f t="shared" si="254"/>
        <v>1589478</v>
      </c>
      <c r="P5992" s="89">
        <v>543</v>
      </c>
      <c r="Q5992" t="s">
        <v>47</v>
      </c>
      <c r="R5992" s="422" t="s">
        <v>1869</v>
      </c>
      <c r="S5992" s="422" t="s">
        <v>1861</v>
      </c>
      <c r="T5992" s="422" t="s">
        <v>5821</v>
      </c>
      <c r="U5992" s="422" t="s">
        <v>1953</v>
      </c>
      <c r="V5992" s="422" t="s">
        <v>2813</v>
      </c>
    </row>
    <row r="5993" spans="1:22" ht="15.75" thickBot="1" x14ac:dyDescent="0.3">
      <c r="A5993" t="s">
        <v>4668</v>
      </c>
      <c r="B5993" t="s">
        <v>4668</v>
      </c>
      <c r="C5993" s="424" t="str">
        <f t="shared" si="253"/>
        <v>Viação Alvorada, Lda</v>
      </c>
      <c r="D5993" t="s">
        <v>629</v>
      </c>
      <c r="F5993" t="s">
        <v>620</v>
      </c>
      <c r="G5993" s="89">
        <v>2019</v>
      </c>
      <c r="H5993" s="313" t="s">
        <v>733</v>
      </c>
      <c r="I5993" s="311" t="str">
        <f t="shared" si="255"/>
        <v>Pesado de Passageiros M3:  : Gasóleo : E6</v>
      </c>
      <c r="J5993">
        <v>66</v>
      </c>
      <c r="K5993" s="422">
        <v>2023</v>
      </c>
      <c r="L5993">
        <v>26368</v>
      </c>
      <c r="M5993" t="s">
        <v>630</v>
      </c>
      <c r="N5993" s="131">
        <v>26368</v>
      </c>
      <c r="O5993" s="436">
        <f t="shared" si="254"/>
        <v>1740288</v>
      </c>
      <c r="P5993" s="89">
        <v>544</v>
      </c>
      <c r="Q5993" t="s">
        <v>47</v>
      </c>
      <c r="R5993" s="422" t="s">
        <v>1869</v>
      </c>
      <c r="S5993" s="422" t="s">
        <v>1861</v>
      </c>
      <c r="T5993" s="422" t="s">
        <v>5821</v>
      </c>
      <c r="U5993" s="422" t="s">
        <v>1953</v>
      </c>
      <c r="V5993" s="422" t="s">
        <v>2813</v>
      </c>
    </row>
    <row r="5994" spans="1:22" ht="15.75" thickBot="1" x14ac:dyDescent="0.3">
      <c r="A5994" t="s">
        <v>4668</v>
      </c>
      <c r="B5994" t="s">
        <v>4668</v>
      </c>
      <c r="C5994" s="424" t="str">
        <f t="shared" si="253"/>
        <v>Viação Alvorada, Lda</v>
      </c>
      <c r="D5994" t="s">
        <v>629</v>
      </c>
      <c r="F5994" t="s">
        <v>620</v>
      </c>
      <c r="G5994" s="89">
        <v>2019</v>
      </c>
      <c r="H5994" s="313" t="s">
        <v>733</v>
      </c>
      <c r="I5994" s="311" t="str">
        <f t="shared" si="255"/>
        <v>Pesado de Passageiros M3:  : Gasóleo : E6</v>
      </c>
      <c r="J5994">
        <v>66</v>
      </c>
      <c r="K5994" s="422">
        <v>2023</v>
      </c>
      <c r="L5994">
        <v>24051</v>
      </c>
      <c r="M5994" t="s">
        <v>630</v>
      </c>
      <c r="N5994" s="131">
        <v>24051</v>
      </c>
      <c r="O5994" s="436">
        <f t="shared" si="254"/>
        <v>1587366</v>
      </c>
      <c r="P5994" s="89">
        <v>545</v>
      </c>
      <c r="Q5994" t="s">
        <v>47</v>
      </c>
      <c r="R5994" s="422" t="s">
        <v>1869</v>
      </c>
      <c r="S5994" s="422" t="s">
        <v>1861</v>
      </c>
      <c r="T5994" s="422" t="s">
        <v>5821</v>
      </c>
      <c r="U5994" s="422" t="s">
        <v>1953</v>
      </c>
      <c r="V5994" s="422" t="s">
        <v>2813</v>
      </c>
    </row>
    <row r="5995" spans="1:22" ht="15.75" thickBot="1" x14ac:dyDescent="0.3">
      <c r="A5995" t="s">
        <v>4668</v>
      </c>
      <c r="B5995" t="s">
        <v>4668</v>
      </c>
      <c r="C5995" s="424" t="str">
        <f t="shared" si="253"/>
        <v>Viação Alvorada, Lda</v>
      </c>
      <c r="D5995" t="s">
        <v>629</v>
      </c>
      <c r="F5995" t="s">
        <v>620</v>
      </c>
      <c r="G5995" s="89">
        <v>2017</v>
      </c>
      <c r="H5995" s="313" t="s">
        <v>733</v>
      </c>
      <c r="I5995" s="311" t="str">
        <f t="shared" si="255"/>
        <v>Pesado de Passageiros M3:  : Gasóleo : E6</v>
      </c>
      <c r="J5995">
        <v>90</v>
      </c>
      <c r="K5995" s="422">
        <v>2023</v>
      </c>
      <c r="L5995">
        <v>23144</v>
      </c>
      <c r="M5995" t="s">
        <v>630</v>
      </c>
      <c r="N5995" s="131">
        <v>23144</v>
      </c>
      <c r="O5995" s="436">
        <f t="shared" si="254"/>
        <v>2082960</v>
      </c>
      <c r="P5995" s="89">
        <v>722</v>
      </c>
      <c r="Q5995" t="s">
        <v>47</v>
      </c>
      <c r="R5995" s="422" t="s">
        <v>1869</v>
      </c>
      <c r="S5995" s="422" t="s">
        <v>1861</v>
      </c>
      <c r="T5995" s="422" t="s">
        <v>5821</v>
      </c>
      <c r="U5995" s="422" t="s">
        <v>1953</v>
      </c>
      <c r="V5995" s="422" t="s">
        <v>2813</v>
      </c>
    </row>
    <row r="5996" spans="1:22" ht="15.75" thickBot="1" x14ac:dyDescent="0.3">
      <c r="A5996" t="s">
        <v>4668</v>
      </c>
      <c r="B5996" t="s">
        <v>4668</v>
      </c>
      <c r="C5996" s="424" t="str">
        <f t="shared" si="253"/>
        <v>Viação Alvorada, Lda</v>
      </c>
      <c r="D5996" t="s">
        <v>629</v>
      </c>
      <c r="F5996" t="s">
        <v>620</v>
      </c>
      <c r="G5996" s="89">
        <v>2017</v>
      </c>
      <c r="H5996" s="313" t="s">
        <v>733</v>
      </c>
      <c r="I5996" s="311" t="str">
        <f t="shared" si="255"/>
        <v>Pesado de Passageiros M3:  : Gasóleo : E6</v>
      </c>
      <c r="J5996">
        <v>90</v>
      </c>
      <c r="K5996" s="422">
        <v>2023</v>
      </c>
      <c r="L5996">
        <v>21723</v>
      </c>
      <c r="M5996" t="s">
        <v>630</v>
      </c>
      <c r="N5996" s="131">
        <v>21723</v>
      </c>
      <c r="O5996" s="436">
        <f t="shared" si="254"/>
        <v>1955070</v>
      </c>
      <c r="P5996" s="89">
        <v>723</v>
      </c>
      <c r="Q5996" t="s">
        <v>47</v>
      </c>
      <c r="R5996" s="422" t="s">
        <v>1869</v>
      </c>
      <c r="S5996" s="422" t="s">
        <v>1861</v>
      </c>
      <c r="T5996" s="422" t="s">
        <v>5820</v>
      </c>
      <c r="U5996" s="422" t="s">
        <v>1953</v>
      </c>
      <c r="V5996" s="422" t="s">
        <v>2813</v>
      </c>
    </row>
    <row r="5997" spans="1:22" ht="15.75" thickBot="1" x14ac:dyDescent="0.3">
      <c r="A5997" t="s">
        <v>4668</v>
      </c>
      <c r="B5997" t="s">
        <v>4668</v>
      </c>
      <c r="C5997" s="424" t="str">
        <f t="shared" si="253"/>
        <v>Viação Alvorada, Lda</v>
      </c>
      <c r="D5997" t="s">
        <v>629</v>
      </c>
      <c r="F5997" t="s">
        <v>620</v>
      </c>
      <c r="G5997" s="89">
        <v>2017</v>
      </c>
      <c r="H5997" s="313" t="s">
        <v>733</v>
      </c>
      <c r="I5997" s="311" t="str">
        <f t="shared" si="255"/>
        <v>Pesado de Passageiros M3:  : Gasóleo : E6</v>
      </c>
      <c r="J5997">
        <v>90</v>
      </c>
      <c r="K5997" s="422">
        <v>2023</v>
      </c>
      <c r="L5997">
        <v>23881</v>
      </c>
      <c r="M5997" t="s">
        <v>630</v>
      </c>
      <c r="N5997" s="131">
        <v>23881</v>
      </c>
      <c r="O5997" s="436">
        <f t="shared" si="254"/>
        <v>2149290</v>
      </c>
      <c r="P5997" s="89">
        <v>724</v>
      </c>
      <c r="Q5997" t="s">
        <v>47</v>
      </c>
      <c r="R5997" s="422" t="s">
        <v>1869</v>
      </c>
      <c r="S5997" s="422" t="s">
        <v>1861</v>
      </c>
      <c r="T5997" s="422" t="s">
        <v>5821</v>
      </c>
      <c r="U5997" s="422" t="s">
        <v>1953</v>
      </c>
      <c r="V5997" s="422" t="s">
        <v>2813</v>
      </c>
    </row>
    <row r="5998" spans="1:22" ht="15.75" thickBot="1" x14ac:dyDescent="0.3">
      <c r="A5998" t="s">
        <v>4668</v>
      </c>
      <c r="B5998" t="s">
        <v>4668</v>
      </c>
      <c r="C5998" s="424" t="str">
        <f t="shared" si="253"/>
        <v>Viação Alvorada, Lda</v>
      </c>
      <c r="D5998" t="s">
        <v>629</v>
      </c>
      <c r="F5998" t="s">
        <v>620</v>
      </c>
      <c r="G5998" s="89">
        <v>2017</v>
      </c>
      <c r="H5998" s="313" t="s">
        <v>733</v>
      </c>
      <c r="I5998" s="311" t="str">
        <f t="shared" si="255"/>
        <v>Pesado de Passageiros M3:  : Gasóleo : E6</v>
      </c>
      <c r="J5998">
        <v>90</v>
      </c>
      <c r="K5998" s="422">
        <v>2023</v>
      </c>
      <c r="L5998">
        <v>21061</v>
      </c>
      <c r="M5998" t="s">
        <v>630</v>
      </c>
      <c r="N5998" s="131">
        <v>21061</v>
      </c>
      <c r="O5998" s="436">
        <f t="shared" si="254"/>
        <v>1895490</v>
      </c>
      <c r="P5998" s="89">
        <v>725</v>
      </c>
      <c r="Q5998" t="s">
        <v>47</v>
      </c>
      <c r="R5998" s="422" t="s">
        <v>1869</v>
      </c>
      <c r="S5998" s="422" t="s">
        <v>1861</v>
      </c>
      <c r="T5998" s="422" t="s">
        <v>5821</v>
      </c>
      <c r="U5998" s="422" t="s">
        <v>1953</v>
      </c>
      <c r="V5998" s="422" t="s">
        <v>2813</v>
      </c>
    </row>
    <row r="5999" spans="1:22" ht="15.75" thickBot="1" x14ac:dyDescent="0.3">
      <c r="A5999" t="s">
        <v>4668</v>
      </c>
      <c r="B5999" t="s">
        <v>4668</v>
      </c>
      <c r="C5999" s="424" t="str">
        <f t="shared" si="253"/>
        <v>Viação Alvorada, Lda</v>
      </c>
      <c r="D5999" t="s">
        <v>629</v>
      </c>
      <c r="F5999" t="s">
        <v>620</v>
      </c>
      <c r="G5999" s="89">
        <v>2017</v>
      </c>
      <c r="H5999" s="313" t="s">
        <v>733</v>
      </c>
      <c r="I5999" s="311" t="str">
        <f t="shared" si="255"/>
        <v>Pesado de Passageiros M3:  : Gasóleo : E6</v>
      </c>
      <c r="J5999">
        <v>90</v>
      </c>
      <c r="K5999" s="422">
        <v>2023</v>
      </c>
      <c r="L5999">
        <v>18105</v>
      </c>
      <c r="M5999" t="s">
        <v>630</v>
      </c>
      <c r="N5999" s="131">
        <v>18105</v>
      </c>
      <c r="O5999" s="436">
        <f t="shared" si="254"/>
        <v>1629450</v>
      </c>
      <c r="P5999" s="89">
        <v>726</v>
      </c>
      <c r="Q5999" t="s">
        <v>47</v>
      </c>
      <c r="R5999" s="422" t="s">
        <v>1869</v>
      </c>
      <c r="S5999" s="422" t="s">
        <v>1861</v>
      </c>
      <c r="T5999" s="422" t="s">
        <v>5821</v>
      </c>
      <c r="U5999" s="422" t="s">
        <v>1953</v>
      </c>
      <c r="V5999" s="422" t="s">
        <v>2813</v>
      </c>
    </row>
    <row r="6000" spans="1:22" ht="15.75" thickBot="1" x14ac:dyDescent="0.3">
      <c r="A6000" t="s">
        <v>4668</v>
      </c>
      <c r="B6000" t="s">
        <v>4668</v>
      </c>
      <c r="C6000" s="424" t="str">
        <f t="shared" si="253"/>
        <v>Viação Alvorada, Lda</v>
      </c>
      <c r="D6000" t="s">
        <v>629</v>
      </c>
      <c r="F6000" t="s">
        <v>620</v>
      </c>
      <c r="G6000" s="89">
        <v>2017</v>
      </c>
      <c r="H6000" s="313" t="s">
        <v>733</v>
      </c>
      <c r="I6000" s="311" t="str">
        <f t="shared" si="255"/>
        <v>Pesado de Passageiros M3:  : Gasóleo : E6</v>
      </c>
      <c r="J6000">
        <v>90</v>
      </c>
      <c r="K6000" s="422">
        <v>2023</v>
      </c>
      <c r="L6000">
        <v>19100</v>
      </c>
      <c r="M6000" t="s">
        <v>630</v>
      </c>
      <c r="N6000" s="131">
        <v>19100</v>
      </c>
      <c r="O6000" s="436">
        <f t="shared" si="254"/>
        <v>1719000</v>
      </c>
      <c r="P6000" s="89">
        <v>727</v>
      </c>
      <c r="Q6000" t="s">
        <v>47</v>
      </c>
      <c r="R6000" s="422" t="s">
        <v>1869</v>
      </c>
      <c r="S6000" s="422" t="s">
        <v>1861</v>
      </c>
      <c r="T6000" s="422" t="s">
        <v>5821</v>
      </c>
      <c r="U6000" s="422" t="s">
        <v>1953</v>
      </c>
      <c r="V6000" s="422" t="s">
        <v>2813</v>
      </c>
    </row>
    <row r="6001" spans="1:22" ht="15.75" thickBot="1" x14ac:dyDescent="0.3">
      <c r="A6001" t="s">
        <v>4668</v>
      </c>
      <c r="B6001" t="s">
        <v>4668</v>
      </c>
      <c r="C6001" s="424" t="str">
        <f t="shared" si="253"/>
        <v>Viação Alvorada, Lda</v>
      </c>
      <c r="D6001" t="s">
        <v>629</v>
      </c>
      <c r="F6001" t="s">
        <v>620</v>
      </c>
      <c r="G6001" s="89">
        <v>2017</v>
      </c>
      <c r="H6001" s="313" t="s">
        <v>733</v>
      </c>
      <c r="I6001" s="311" t="str">
        <f t="shared" si="255"/>
        <v>Pesado de Passageiros M3:  : Gasóleo : E6</v>
      </c>
      <c r="J6001">
        <v>90</v>
      </c>
      <c r="K6001" s="422">
        <v>2023</v>
      </c>
      <c r="L6001">
        <v>23205</v>
      </c>
      <c r="M6001" t="s">
        <v>630</v>
      </c>
      <c r="N6001" s="131">
        <v>23205</v>
      </c>
      <c r="O6001" s="436">
        <f t="shared" si="254"/>
        <v>2088450</v>
      </c>
      <c r="P6001" s="89">
        <v>728</v>
      </c>
      <c r="Q6001" t="s">
        <v>47</v>
      </c>
      <c r="R6001" s="422" t="s">
        <v>1869</v>
      </c>
      <c r="S6001" s="422" t="s">
        <v>1861</v>
      </c>
      <c r="T6001" s="422" t="s">
        <v>5821</v>
      </c>
      <c r="U6001" s="422" t="s">
        <v>1953</v>
      </c>
      <c r="V6001" s="422" t="s">
        <v>2813</v>
      </c>
    </row>
    <row r="6002" spans="1:22" ht="15.75" thickBot="1" x14ac:dyDescent="0.3">
      <c r="A6002" t="s">
        <v>4668</v>
      </c>
      <c r="B6002" t="s">
        <v>4668</v>
      </c>
      <c r="C6002" s="424" t="str">
        <f t="shared" ref="C6002:C6065" si="256">IF(A6002=B6002,B6002,RIGHT(A6002,LEN(A6002)-LEN(B6002)-3))</f>
        <v>Viação Alvorada, Lda</v>
      </c>
      <c r="D6002" t="s">
        <v>629</v>
      </c>
      <c r="F6002" t="s">
        <v>620</v>
      </c>
      <c r="G6002" s="89">
        <v>2017</v>
      </c>
      <c r="H6002" s="313" t="s">
        <v>733</v>
      </c>
      <c r="I6002" s="311" t="str">
        <f t="shared" si="255"/>
        <v>Pesado de Passageiros M3:  : Gasóleo : E6</v>
      </c>
      <c r="J6002">
        <v>90</v>
      </c>
      <c r="K6002" s="422">
        <v>2023</v>
      </c>
      <c r="L6002">
        <v>19051</v>
      </c>
      <c r="M6002" t="s">
        <v>630</v>
      </c>
      <c r="N6002" s="131">
        <v>19051</v>
      </c>
      <c r="O6002" s="436">
        <f t="shared" si="254"/>
        <v>1714590</v>
      </c>
      <c r="P6002" s="89">
        <v>729</v>
      </c>
      <c r="Q6002" t="s">
        <v>47</v>
      </c>
      <c r="R6002" s="422" t="s">
        <v>1869</v>
      </c>
      <c r="S6002" s="422" t="s">
        <v>1861</v>
      </c>
      <c r="T6002" s="422" t="s">
        <v>5821</v>
      </c>
      <c r="U6002" s="422" t="s">
        <v>1953</v>
      </c>
      <c r="V6002" s="422" t="s">
        <v>2813</v>
      </c>
    </row>
    <row r="6003" spans="1:22" ht="15.75" thickBot="1" x14ac:dyDescent="0.3">
      <c r="A6003" t="s">
        <v>4668</v>
      </c>
      <c r="B6003" t="s">
        <v>4668</v>
      </c>
      <c r="C6003" s="424" t="str">
        <f t="shared" si="256"/>
        <v>Viação Alvorada, Lda</v>
      </c>
      <c r="D6003" t="s">
        <v>629</v>
      </c>
      <c r="F6003" t="s">
        <v>620</v>
      </c>
      <c r="G6003" s="89">
        <v>2018</v>
      </c>
      <c r="H6003" s="313" t="s">
        <v>733</v>
      </c>
      <c r="I6003" s="311" t="str">
        <f t="shared" si="255"/>
        <v>Pesado de Passageiros M3:  : Gasóleo : E6</v>
      </c>
      <c r="J6003">
        <v>23</v>
      </c>
      <c r="K6003" s="422">
        <v>2023</v>
      </c>
      <c r="L6003">
        <v>12310</v>
      </c>
      <c r="M6003" t="s">
        <v>630</v>
      </c>
      <c r="N6003" s="131">
        <v>12310</v>
      </c>
      <c r="O6003" s="436">
        <f t="shared" si="254"/>
        <v>283130</v>
      </c>
      <c r="P6003" s="89">
        <v>733</v>
      </c>
      <c r="Q6003" t="s">
        <v>47</v>
      </c>
      <c r="R6003" s="422" t="s">
        <v>1869</v>
      </c>
      <c r="S6003" s="422" t="s">
        <v>1861</v>
      </c>
      <c r="T6003" s="422" t="s">
        <v>5821</v>
      </c>
      <c r="U6003" s="422" t="s">
        <v>1953</v>
      </c>
      <c r="V6003" s="422" t="s">
        <v>2813</v>
      </c>
    </row>
    <row r="6004" spans="1:22" ht="15.75" thickBot="1" x14ac:dyDescent="0.3">
      <c r="A6004" t="s">
        <v>4668</v>
      </c>
      <c r="B6004" t="s">
        <v>4668</v>
      </c>
      <c r="C6004" s="424" t="str">
        <f t="shared" si="256"/>
        <v>Viação Alvorada, Lda</v>
      </c>
      <c r="D6004" t="s">
        <v>629</v>
      </c>
      <c r="F6004" t="s">
        <v>620</v>
      </c>
      <c r="G6004" s="89">
        <v>2018</v>
      </c>
      <c r="H6004" s="313" t="s">
        <v>733</v>
      </c>
      <c r="I6004" s="311" t="str">
        <f t="shared" si="255"/>
        <v>Pesado de Passageiros M3:  : Gasóleo : E6</v>
      </c>
      <c r="J6004">
        <v>23</v>
      </c>
      <c r="K6004" s="422">
        <v>2023</v>
      </c>
      <c r="L6004">
        <v>13525</v>
      </c>
      <c r="M6004" t="s">
        <v>630</v>
      </c>
      <c r="N6004" s="131">
        <v>13525</v>
      </c>
      <c r="O6004" s="436">
        <f t="shared" si="254"/>
        <v>311075</v>
      </c>
      <c r="P6004" s="89">
        <v>735</v>
      </c>
      <c r="Q6004" t="s">
        <v>47</v>
      </c>
      <c r="R6004" s="422" t="s">
        <v>1869</v>
      </c>
      <c r="S6004" s="422" t="s">
        <v>1861</v>
      </c>
      <c r="T6004" s="422" t="s">
        <v>5821</v>
      </c>
      <c r="U6004" s="422" t="s">
        <v>1953</v>
      </c>
      <c r="V6004" s="422" t="s">
        <v>2813</v>
      </c>
    </row>
    <row r="6005" spans="1:22" ht="15.75" thickBot="1" x14ac:dyDescent="0.3">
      <c r="A6005" t="s">
        <v>4668</v>
      </c>
      <c r="B6005" t="s">
        <v>4668</v>
      </c>
      <c r="C6005" s="424" t="str">
        <f t="shared" si="256"/>
        <v>Viação Alvorada, Lda</v>
      </c>
      <c r="D6005" t="s">
        <v>629</v>
      </c>
      <c r="F6005" t="s">
        <v>620</v>
      </c>
      <c r="G6005" s="89">
        <v>2018</v>
      </c>
      <c r="H6005" s="313" t="s">
        <v>733</v>
      </c>
      <c r="I6005" s="311" t="str">
        <f t="shared" si="255"/>
        <v>Pesado de Passageiros M3:  : Gasóleo : E6</v>
      </c>
      <c r="J6005">
        <v>23</v>
      </c>
      <c r="K6005" s="422">
        <v>2023</v>
      </c>
      <c r="L6005">
        <v>11684</v>
      </c>
      <c r="M6005" t="s">
        <v>630</v>
      </c>
      <c r="N6005" s="131">
        <v>11684</v>
      </c>
      <c r="O6005" s="436">
        <f t="shared" si="254"/>
        <v>268732</v>
      </c>
      <c r="P6005" s="89">
        <v>736</v>
      </c>
      <c r="Q6005" t="s">
        <v>47</v>
      </c>
      <c r="R6005" s="422" t="s">
        <v>1869</v>
      </c>
      <c r="S6005" s="422" t="s">
        <v>1861</v>
      </c>
      <c r="T6005" s="422" t="s">
        <v>5821</v>
      </c>
      <c r="U6005" s="422" t="s">
        <v>1953</v>
      </c>
      <c r="V6005" s="422" t="s">
        <v>2813</v>
      </c>
    </row>
    <row r="6006" spans="1:22" ht="15.75" thickBot="1" x14ac:dyDescent="0.3">
      <c r="A6006" t="s">
        <v>4668</v>
      </c>
      <c r="B6006" t="s">
        <v>4668</v>
      </c>
      <c r="C6006" s="424" t="str">
        <f t="shared" si="256"/>
        <v>Viação Alvorada, Lda</v>
      </c>
      <c r="D6006" t="s">
        <v>629</v>
      </c>
      <c r="F6006" t="s">
        <v>620</v>
      </c>
      <c r="G6006" s="89">
        <v>2018</v>
      </c>
      <c r="H6006" s="313" t="s">
        <v>733</v>
      </c>
      <c r="I6006" s="311" t="str">
        <f t="shared" si="255"/>
        <v>Pesado de Passageiros M3:  : Gasóleo : E6</v>
      </c>
      <c r="J6006">
        <v>23</v>
      </c>
      <c r="K6006" s="422">
        <v>2023</v>
      </c>
      <c r="L6006">
        <v>12635</v>
      </c>
      <c r="M6006" t="s">
        <v>630</v>
      </c>
      <c r="N6006" s="131">
        <v>12635</v>
      </c>
      <c r="O6006" s="436">
        <f t="shared" si="254"/>
        <v>290605</v>
      </c>
      <c r="P6006" s="89">
        <v>737</v>
      </c>
      <c r="Q6006" t="s">
        <v>47</v>
      </c>
      <c r="R6006" s="422" t="s">
        <v>1869</v>
      </c>
      <c r="S6006" s="422" t="s">
        <v>1861</v>
      </c>
      <c r="T6006" s="422" t="s">
        <v>5821</v>
      </c>
      <c r="U6006" s="422" t="s">
        <v>1953</v>
      </c>
      <c r="V6006" s="422" t="s">
        <v>2813</v>
      </c>
    </row>
    <row r="6007" spans="1:22" ht="15.75" thickBot="1" x14ac:dyDescent="0.3">
      <c r="A6007" t="s">
        <v>4668</v>
      </c>
      <c r="B6007" t="s">
        <v>4668</v>
      </c>
      <c r="C6007" s="424" t="str">
        <f t="shared" si="256"/>
        <v>Viação Alvorada, Lda</v>
      </c>
      <c r="D6007" t="s">
        <v>629</v>
      </c>
      <c r="F6007" t="s">
        <v>620</v>
      </c>
      <c r="G6007" s="89">
        <v>2018</v>
      </c>
      <c r="H6007" s="313" t="s">
        <v>733</v>
      </c>
      <c r="I6007" s="311" t="str">
        <f t="shared" si="255"/>
        <v>Pesado de Passageiros M3:  : Gasóleo : E6</v>
      </c>
      <c r="J6007">
        <v>23</v>
      </c>
      <c r="K6007" s="422">
        <v>2023</v>
      </c>
      <c r="L6007">
        <v>12488</v>
      </c>
      <c r="M6007" t="s">
        <v>630</v>
      </c>
      <c r="N6007" s="131">
        <v>12488</v>
      </c>
      <c r="O6007" s="436">
        <f t="shared" si="254"/>
        <v>287224</v>
      </c>
      <c r="P6007" s="89">
        <v>738</v>
      </c>
      <c r="Q6007" t="s">
        <v>47</v>
      </c>
      <c r="R6007" s="422" t="s">
        <v>1869</v>
      </c>
      <c r="S6007" s="422" t="s">
        <v>1861</v>
      </c>
      <c r="T6007" s="422" t="s">
        <v>5821</v>
      </c>
      <c r="U6007" s="422" t="s">
        <v>1953</v>
      </c>
      <c r="V6007" s="422" t="s">
        <v>2813</v>
      </c>
    </row>
    <row r="6008" spans="1:22" ht="15.75" thickBot="1" x14ac:dyDescent="0.3">
      <c r="A6008" t="s">
        <v>4668</v>
      </c>
      <c r="B6008" t="s">
        <v>4668</v>
      </c>
      <c r="C6008" s="424" t="str">
        <f t="shared" si="256"/>
        <v>Viação Alvorada, Lda</v>
      </c>
      <c r="D6008" t="s">
        <v>629</v>
      </c>
      <c r="F6008" t="s">
        <v>620</v>
      </c>
      <c r="G6008" s="89">
        <v>2018</v>
      </c>
      <c r="H6008" s="313" t="s">
        <v>733</v>
      </c>
      <c r="I6008" s="311" t="str">
        <f t="shared" si="255"/>
        <v>Pesado de Passageiros M3:  : Gasóleo : E6</v>
      </c>
      <c r="J6008">
        <v>25</v>
      </c>
      <c r="K6008" s="422">
        <v>2023</v>
      </c>
      <c r="L6008">
        <v>11589</v>
      </c>
      <c r="M6008" t="s">
        <v>630</v>
      </c>
      <c r="N6008" s="131">
        <v>11589</v>
      </c>
      <c r="O6008" s="436">
        <f t="shared" si="254"/>
        <v>289725</v>
      </c>
      <c r="P6008" s="89">
        <v>739</v>
      </c>
      <c r="Q6008" t="s">
        <v>47</v>
      </c>
      <c r="R6008" s="422" t="s">
        <v>1869</v>
      </c>
      <c r="S6008" s="422" t="s">
        <v>1861</v>
      </c>
      <c r="T6008" s="422" t="s">
        <v>5821</v>
      </c>
      <c r="U6008" s="422" t="s">
        <v>1953</v>
      </c>
      <c r="V6008" s="422" t="s">
        <v>2813</v>
      </c>
    </row>
    <row r="6009" spans="1:22" ht="15.75" thickBot="1" x14ac:dyDescent="0.3">
      <c r="A6009" t="s">
        <v>4668</v>
      </c>
      <c r="B6009" t="s">
        <v>4668</v>
      </c>
      <c r="C6009" s="424" t="str">
        <f t="shared" si="256"/>
        <v>Viação Alvorada, Lda</v>
      </c>
      <c r="D6009" t="s">
        <v>629</v>
      </c>
      <c r="F6009" t="s">
        <v>620</v>
      </c>
      <c r="G6009" s="89">
        <v>2020</v>
      </c>
      <c r="H6009" s="313" t="s">
        <v>733</v>
      </c>
      <c r="I6009" s="311" t="str">
        <f t="shared" si="255"/>
        <v>Pesado de Passageiros M3:  : Gasóleo : E6</v>
      </c>
      <c r="J6009">
        <v>25</v>
      </c>
      <c r="K6009" s="422">
        <v>2023</v>
      </c>
      <c r="L6009">
        <v>14456</v>
      </c>
      <c r="M6009" t="s">
        <v>630</v>
      </c>
      <c r="N6009" s="131">
        <v>14456</v>
      </c>
      <c r="O6009" s="436">
        <f t="shared" si="254"/>
        <v>361400</v>
      </c>
      <c r="P6009" s="89">
        <v>745</v>
      </c>
      <c r="Q6009" t="s">
        <v>47</v>
      </c>
      <c r="R6009" s="422" t="s">
        <v>1869</v>
      </c>
      <c r="S6009" s="422" t="s">
        <v>1861</v>
      </c>
      <c r="T6009" s="422" t="s">
        <v>5821</v>
      </c>
      <c r="U6009" s="422" t="s">
        <v>1953</v>
      </c>
      <c r="V6009" s="422" t="s">
        <v>2813</v>
      </c>
    </row>
    <row r="6010" spans="1:22" ht="15.75" thickBot="1" x14ac:dyDescent="0.3">
      <c r="A6010" t="s">
        <v>4668</v>
      </c>
      <c r="B6010" t="s">
        <v>4668</v>
      </c>
      <c r="C6010" s="424" t="str">
        <f t="shared" si="256"/>
        <v>Viação Alvorada, Lda</v>
      </c>
      <c r="D6010" t="s">
        <v>629</v>
      </c>
      <c r="F6010" t="s">
        <v>620</v>
      </c>
      <c r="G6010" s="89">
        <v>2020</v>
      </c>
      <c r="H6010" s="313" t="s">
        <v>733</v>
      </c>
      <c r="I6010" s="311" t="str">
        <f t="shared" si="255"/>
        <v>Pesado de Passageiros M3:  : Gasóleo : E6</v>
      </c>
      <c r="J6010">
        <v>25</v>
      </c>
      <c r="K6010" s="422">
        <v>2023</v>
      </c>
      <c r="L6010">
        <v>16858</v>
      </c>
      <c r="M6010" t="s">
        <v>630</v>
      </c>
      <c r="N6010" s="131">
        <v>16858</v>
      </c>
      <c r="O6010" s="436">
        <f t="shared" si="254"/>
        <v>421450</v>
      </c>
      <c r="P6010" s="89">
        <v>746</v>
      </c>
      <c r="Q6010" t="s">
        <v>47</v>
      </c>
      <c r="R6010" s="422" t="s">
        <v>1869</v>
      </c>
      <c r="S6010" s="422" t="s">
        <v>1861</v>
      </c>
      <c r="T6010" s="422" t="s">
        <v>5821</v>
      </c>
      <c r="U6010" s="422" t="s">
        <v>1953</v>
      </c>
      <c r="V6010" s="422" t="s">
        <v>2813</v>
      </c>
    </row>
    <row r="6011" spans="1:22" ht="15.75" thickBot="1" x14ac:dyDescent="0.3">
      <c r="A6011" t="s">
        <v>4668</v>
      </c>
      <c r="B6011" t="s">
        <v>4668</v>
      </c>
      <c r="C6011" s="424" t="str">
        <f t="shared" si="256"/>
        <v>Viação Alvorada, Lda</v>
      </c>
      <c r="D6011" t="s">
        <v>629</v>
      </c>
      <c r="F6011" t="s">
        <v>620</v>
      </c>
      <c r="G6011" s="89">
        <v>2020</v>
      </c>
      <c r="H6011" s="313" t="s">
        <v>733</v>
      </c>
      <c r="I6011" s="311" t="str">
        <f t="shared" si="255"/>
        <v>Pesado de Passageiros M3:  : Gasóleo : E6</v>
      </c>
      <c r="J6011">
        <v>25</v>
      </c>
      <c r="K6011" s="422">
        <v>2023</v>
      </c>
      <c r="L6011">
        <v>10118</v>
      </c>
      <c r="M6011" t="s">
        <v>630</v>
      </c>
      <c r="N6011" s="131">
        <v>10118</v>
      </c>
      <c r="O6011" s="436">
        <f t="shared" si="254"/>
        <v>252950</v>
      </c>
      <c r="P6011" s="89">
        <v>747</v>
      </c>
      <c r="Q6011" t="s">
        <v>47</v>
      </c>
      <c r="R6011" s="422" t="s">
        <v>1869</v>
      </c>
      <c r="S6011" s="422" t="s">
        <v>1861</v>
      </c>
      <c r="T6011" s="422" t="s">
        <v>5821</v>
      </c>
      <c r="U6011" s="422" t="s">
        <v>1953</v>
      </c>
      <c r="V6011" s="422" t="s">
        <v>2813</v>
      </c>
    </row>
    <row r="6012" spans="1:22" ht="15.75" thickBot="1" x14ac:dyDescent="0.3">
      <c r="A6012" t="s">
        <v>4668</v>
      </c>
      <c r="B6012" t="s">
        <v>4668</v>
      </c>
      <c r="C6012" s="424" t="str">
        <f t="shared" si="256"/>
        <v>Viação Alvorada, Lda</v>
      </c>
      <c r="D6012" t="s">
        <v>629</v>
      </c>
      <c r="F6012" t="s">
        <v>620</v>
      </c>
      <c r="G6012" s="89">
        <v>2020</v>
      </c>
      <c r="H6012" s="313" t="s">
        <v>733</v>
      </c>
      <c r="I6012" s="311" t="str">
        <f t="shared" si="255"/>
        <v>Pesado de Passageiros M3:  : Gasóleo : E6</v>
      </c>
      <c r="J6012">
        <v>25</v>
      </c>
      <c r="K6012" s="422">
        <v>2023</v>
      </c>
      <c r="L6012">
        <v>15348</v>
      </c>
      <c r="M6012" t="s">
        <v>630</v>
      </c>
      <c r="N6012" s="131">
        <v>15348</v>
      </c>
      <c r="O6012" s="436">
        <f t="shared" si="254"/>
        <v>383700</v>
      </c>
      <c r="P6012" s="89">
        <v>749</v>
      </c>
      <c r="Q6012" t="s">
        <v>47</v>
      </c>
      <c r="R6012" s="422" t="s">
        <v>1869</v>
      </c>
      <c r="S6012" s="422" t="s">
        <v>1861</v>
      </c>
      <c r="T6012" s="422" t="s">
        <v>5821</v>
      </c>
      <c r="U6012" s="422" t="s">
        <v>1953</v>
      </c>
      <c r="V6012" s="422" t="s">
        <v>2813</v>
      </c>
    </row>
    <row r="6013" spans="1:22" ht="15.75" thickBot="1" x14ac:dyDescent="0.3">
      <c r="A6013" t="s">
        <v>4668</v>
      </c>
      <c r="B6013" t="s">
        <v>4668</v>
      </c>
      <c r="C6013" s="424" t="str">
        <f t="shared" si="256"/>
        <v>Viação Alvorada, Lda</v>
      </c>
      <c r="D6013" t="s">
        <v>629</v>
      </c>
      <c r="F6013" t="s">
        <v>620</v>
      </c>
      <c r="G6013" s="89">
        <v>2018</v>
      </c>
      <c r="H6013" s="313" t="s">
        <v>733</v>
      </c>
      <c r="I6013" s="311" t="str">
        <f t="shared" si="255"/>
        <v>Pesado de Passageiros M3:  : Gasóleo : E6</v>
      </c>
      <c r="J6013">
        <v>109</v>
      </c>
      <c r="K6013" s="422">
        <v>2023</v>
      </c>
      <c r="L6013">
        <v>10249</v>
      </c>
      <c r="M6013" t="s">
        <v>630</v>
      </c>
      <c r="N6013" s="131">
        <v>10249</v>
      </c>
      <c r="O6013" s="436">
        <f t="shared" si="254"/>
        <v>1117141</v>
      </c>
      <c r="P6013" s="89">
        <v>765</v>
      </c>
      <c r="Q6013" t="s">
        <v>47</v>
      </c>
      <c r="R6013" s="422" t="s">
        <v>1869</v>
      </c>
      <c r="S6013" s="422" t="s">
        <v>1861</v>
      </c>
      <c r="T6013" s="422" t="s">
        <v>5821</v>
      </c>
      <c r="U6013" s="422" t="s">
        <v>1953</v>
      </c>
      <c r="V6013" s="422" t="s">
        <v>2813</v>
      </c>
    </row>
    <row r="6014" spans="1:22" ht="15.75" thickBot="1" x14ac:dyDescent="0.3">
      <c r="A6014" t="s">
        <v>4668</v>
      </c>
      <c r="B6014" t="s">
        <v>4668</v>
      </c>
      <c r="C6014" s="424" t="str">
        <f t="shared" si="256"/>
        <v>Viação Alvorada, Lda</v>
      </c>
      <c r="D6014" t="s">
        <v>629</v>
      </c>
      <c r="F6014" t="s">
        <v>620</v>
      </c>
      <c r="G6014" s="89">
        <v>2018</v>
      </c>
      <c r="H6014" s="313" t="s">
        <v>733</v>
      </c>
      <c r="I6014" s="311" t="str">
        <f t="shared" si="255"/>
        <v>Pesado de Passageiros M3:  : Gasóleo : E6</v>
      </c>
      <c r="J6014">
        <v>109</v>
      </c>
      <c r="K6014" s="422">
        <v>2023</v>
      </c>
      <c r="L6014">
        <v>4855</v>
      </c>
      <c r="M6014" t="s">
        <v>630</v>
      </c>
      <c r="N6014" s="131">
        <v>4855</v>
      </c>
      <c r="O6014" s="436">
        <f t="shared" si="254"/>
        <v>529195</v>
      </c>
      <c r="P6014" s="89">
        <v>766</v>
      </c>
      <c r="Q6014" t="s">
        <v>47</v>
      </c>
      <c r="R6014" s="422" t="s">
        <v>1869</v>
      </c>
      <c r="S6014" s="422" t="s">
        <v>1861</v>
      </c>
      <c r="T6014" s="422" t="s">
        <v>5820</v>
      </c>
      <c r="U6014" s="422" t="s">
        <v>1953</v>
      </c>
      <c r="V6014" s="422" t="s">
        <v>2813</v>
      </c>
    </row>
    <row r="6015" spans="1:22" ht="15.75" thickBot="1" x14ac:dyDescent="0.3">
      <c r="A6015" t="s">
        <v>4668</v>
      </c>
      <c r="B6015" t="s">
        <v>4668</v>
      </c>
      <c r="C6015" s="424" t="str">
        <f t="shared" si="256"/>
        <v>Viação Alvorada, Lda</v>
      </c>
      <c r="D6015" t="s">
        <v>629</v>
      </c>
      <c r="F6015" t="s">
        <v>620</v>
      </c>
      <c r="G6015" s="89">
        <v>2018</v>
      </c>
      <c r="H6015" s="313" t="s">
        <v>733</v>
      </c>
      <c r="I6015" s="311" t="str">
        <f t="shared" si="255"/>
        <v>Pesado de Passageiros M3:  : Gasóleo : E6</v>
      </c>
      <c r="J6015">
        <v>109</v>
      </c>
      <c r="K6015" s="422">
        <v>2023</v>
      </c>
      <c r="L6015">
        <v>18246</v>
      </c>
      <c r="M6015" t="s">
        <v>630</v>
      </c>
      <c r="N6015" s="131">
        <v>18246</v>
      </c>
      <c r="O6015" s="436">
        <f t="shared" si="254"/>
        <v>1988814</v>
      </c>
      <c r="P6015" s="89">
        <v>767</v>
      </c>
      <c r="Q6015" t="s">
        <v>47</v>
      </c>
      <c r="R6015" s="422" t="s">
        <v>1869</v>
      </c>
      <c r="S6015" s="422" t="s">
        <v>1861</v>
      </c>
      <c r="T6015" s="422" t="s">
        <v>5821</v>
      </c>
      <c r="U6015" s="422" t="s">
        <v>1953</v>
      </c>
      <c r="V6015" s="422" t="s">
        <v>2813</v>
      </c>
    </row>
    <row r="6016" spans="1:22" ht="15.75" thickBot="1" x14ac:dyDescent="0.3">
      <c r="A6016" t="s">
        <v>4668</v>
      </c>
      <c r="B6016" t="s">
        <v>4668</v>
      </c>
      <c r="C6016" s="424" t="str">
        <f t="shared" si="256"/>
        <v>Viação Alvorada, Lda</v>
      </c>
      <c r="D6016" t="s">
        <v>629</v>
      </c>
      <c r="F6016" t="s">
        <v>620</v>
      </c>
      <c r="G6016" s="89">
        <v>2019</v>
      </c>
      <c r="H6016" s="313" t="s">
        <v>733</v>
      </c>
      <c r="I6016" s="311" t="str">
        <f t="shared" si="255"/>
        <v>Pesado de Passageiros M3:  : Gasóleo : E6</v>
      </c>
      <c r="J6016">
        <v>85</v>
      </c>
      <c r="K6016" s="422">
        <v>2023</v>
      </c>
      <c r="L6016">
        <v>28649</v>
      </c>
      <c r="M6016" t="s">
        <v>630</v>
      </c>
      <c r="N6016" s="131">
        <v>28649</v>
      </c>
      <c r="O6016" s="436">
        <f t="shared" si="254"/>
        <v>2435165</v>
      </c>
      <c r="P6016" s="89">
        <v>814</v>
      </c>
      <c r="Q6016" t="s">
        <v>47</v>
      </c>
      <c r="R6016" s="422" t="s">
        <v>1869</v>
      </c>
      <c r="S6016" s="422" t="s">
        <v>1861</v>
      </c>
      <c r="T6016" s="422" t="s">
        <v>5821</v>
      </c>
      <c r="U6016" s="422" t="s">
        <v>1953</v>
      </c>
      <c r="V6016" s="422" t="s">
        <v>2813</v>
      </c>
    </row>
    <row r="6017" spans="1:22" ht="15.75" thickBot="1" x14ac:dyDescent="0.3">
      <c r="A6017" t="s">
        <v>4668</v>
      </c>
      <c r="B6017" t="s">
        <v>4668</v>
      </c>
      <c r="C6017" s="424" t="str">
        <f t="shared" si="256"/>
        <v>Viação Alvorada, Lda</v>
      </c>
      <c r="D6017" t="s">
        <v>629</v>
      </c>
      <c r="F6017" t="s">
        <v>620</v>
      </c>
      <c r="G6017" s="89">
        <v>2019</v>
      </c>
      <c r="H6017" s="313" t="s">
        <v>733</v>
      </c>
      <c r="I6017" s="311" t="str">
        <f t="shared" si="255"/>
        <v>Pesado de Passageiros M3:  : Gasóleo : E6</v>
      </c>
      <c r="J6017">
        <v>85</v>
      </c>
      <c r="K6017" s="422">
        <v>2023</v>
      </c>
      <c r="L6017">
        <v>29434</v>
      </c>
      <c r="M6017" t="s">
        <v>630</v>
      </c>
      <c r="N6017" s="131">
        <v>29434</v>
      </c>
      <c r="O6017" s="436">
        <f t="shared" si="254"/>
        <v>2501890</v>
      </c>
      <c r="P6017" s="89">
        <v>815</v>
      </c>
      <c r="Q6017" t="s">
        <v>47</v>
      </c>
      <c r="R6017" s="422" t="s">
        <v>1869</v>
      </c>
      <c r="S6017" s="422" t="s">
        <v>1861</v>
      </c>
      <c r="T6017" s="422" t="s">
        <v>5821</v>
      </c>
      <c r="U6017" s="422" t="s">
        <v>1953</v>
      </c>
      <c r="V6017" s="422" t="s">
        <v>2813</v>
      </c>
    </row>
    <row r="6018" spans="1:22" ht="15.75" thickBot="1" x14ac:dyDescent="0.3">
      <c r="A6018" t="s">
        <v>4668</v>
      </c>
      <c r="B6018" t="s">
        <v>4668</v>
      </c>
      <c r="C6018" s="424" t="str">
        <f t="shared" si="256"/>
        <v>Viação Alvorada, Lda</v>
      </c>
      <c r="D6018" t="s">
        <v>629</v>
      </c>
      <c r="F6018" t="s">
        <v>620</v>
      </c>
      <c r="G6018" s="89">
        <v>2019</v>
      </c>
      <c r="H6018" s="313" t="s">
        <v>733</v>
      </c>
      <c r="I6018" s="311" t="str">
        <f t="shared" si="255"/>
        <v>Pesado de Passageiros M3:  : Gasóleo : E6</v>
      </c>
      <c r="J6018">
        <v>85</v>
      </c>
      <c r="K6018" s="422">
        <v>2023</v>
      </c>
      <c r="L6018">
        <v>20749</v>
      </c>
      <c r="M6018" t="s">
        <v>630</v>
      </c>
      <c r="N6018" s="131">
        <v>20749</v>
      </c>
      <c r="O6018" s="436">
        <f t="shared" si="254"/>
        <v>1763665</v>
      </c>
      <c r="P6018" s="89">
        <v>816</v>
      </c>
      <c r="Q6018" t="s">
        <v>47</v>
      </c>
      <c r="R6018" s="422" t="s">
        <v>1869</v>
      </c>
      <c r="S6018" s="422" t="s">
        <v>1861</v>
      </c>
      <c r="T6018" s="422" t="s">
        <v>5820</v>
      </c>
      <c r="U6018" s="422" t="s">
        <v>1953</v>
      </c>
      <c r="V6018" s="422" t="s">
        <v>2813</v>
      </c>
    </row>
    <row r="6019" spans="1:22" ht="15.75" thickBot="1" x14ac:dyDescent="0.3">
      <c r="A6019" t="s">
        <v>4668</v>
      </c>
      <c r="B6019" t="s">
        <v>4668</v>
      </c>
      <c r="C6019" s="424" t="str">
        <f t="shared" si="256"/>
        <v>Viação Alvorada, Lda</v>
      </c>
      <c r="D6019" t="s">
        <v>629</v>
      </c>
      <c r="F6019" t="s">
        <v>620</v>
      </c>
      <c r="G6019" s="89">
        <v>2019</v>
      </c>
      <c r="H6019" s="313" t="s">
        <v>733</v>
      </c>
      <c r="I6019" s="311" t="str">
        <f t="shared" si="255"/>
        <v>Pesado de Passageiros M3:  : Gasóleo : E6</v>
      </c>
      <c r="J6019">
        <v>85</v>
      </c>
      <c r="K6019" s="422">
        <v>2023</v>
      </c>
      <c r="L6019">
        <v>16264</v>
      </c>
      <c r="M6019" t="s">
        <v>630</v>
      </c>
      <c r="N6019" s="131">
        <v>16264</v>
      </c>
      <c r="O6019" s="436">
        <f t="shared" ref="O6019:O6082" si="257">N6019*J6019</f>
        <v>1382440</v>
      </c>
      <c r="P6019" s="89">
        <v>817</v>
      </c>
      <c r="Q6019" t="s">
        <v>47</v>
      </c>
      <c r="R6019" s="422" t="s">
        <v>1869</v>
      </c>
      <c r="S6019" s="422" t="s">
        <v>1861</v>
      </c>
      <c r="T6019" s="422" t="s">
        <v>5820</v>
      </c>
      <c r="U6019" s="422" t="s">
        <v>1953</v>
      </c>
      <c r="V6019" s="422" t="s">
        <v>2813</v>
      </c>
    </row>
    <row r="6020" spans="1:22" ht="15.75" thickBot="1" x14ac:dyDescent="0.3">
      <c r="A6020" t="s">
        <v>4668</v>
      </c>
      <c r="B6020" t="s">
        <v>4668</v>
      </c>
      <c r="C6020" s="424" t="str">
        <f t="shared" si="256"/>
        <v>Viação Alvorada, Lda</v>
      </c>
      <c r="D6020" t="s">
        <v>629</v>
      </c>
      <c r="F6020" t="s">
        <v>620</v>
      </c>
      <c r="G6020" s="89">
        <v>2019</v>
      </c>
      <c r="H6020" s="313" t="s">
        <v>733</v>
      </c>
      <c r="I6020" s="311" t="str">
        <f t="shared" si="255"/>
        <v>Pesado de Passageiros M3:  : Gasóleo : E6</v>
      </c>
      <c r="J6020">
        <v>85</v>
      </c>
      <c r="K6020" s="422">
        <v>2023</v>
      </c>
      <c r="L6020">
        <v>17045</v>
      </c>
      <c r="M6020" t="s">
        <v>630</v>
      </c>
      <c r="N6020" s="131">
        <v>17045</v>
      </c>
      <c r="O6020" s="436">
        <f t="shared" si="257"/>
        <v>1448825</v>
      </c>
      <c r="P6020" s="89">
        <v>818</v>
      </c>
      <c r="Q6020" t="s">
        <v>47</v>
      </c>
      <c r="R6020" s="422" t="s">
        <v>1869</v>
      </c>
      <c r="S6020" s="422" t="s">
        <v>1861</v>
      </c>
      <c r="T6020" s="422" t="s">
        <v>5820</v>
      </c>
      <c r="U6020" s="422" t="s">
        <v>1953</v>
      </c>
      <c r="V6020" s="422" t="s">
        <v>2813</v>
      </c>
    </row>
    <row r="6021" spans="1:22" ht="15.75" thickBot="1" x14ac:dyDescent="0.3">
      <c r="A6021" t="s">
        <v>4668</v>
      </c>
      <c r="B6021" t="s">
        <v>4668</v>
      </c>
      <c r="C6021" s="424" t="str">
        <f t="shared" si="256"/>
        <v>Viação Alvorada, Lda</v>
      </c>
      <c r="D6021" t="s">
        <v>629</v>
      </c>
      <c r="F6021" t="s">
        <v>620</v>
      </c>
      <c r="G6021" s="89">
        <v>2019</v>
      </c>
      <c r="H6021" s="313" t="s">
        <v>733</v>
      </c>
      <c r="I6021" s="311" t="str">
        <f t="shared" si="255"/>
        <v>Pesado de Passageiros M3:  : Gasóleo : E6</v>
      </c>
      <c r="J6021">
        <v>85</v>
      </c>
      <c r="K6021" s="422">
        <v>2023</v>
      </c>
      <c r="L6021">
        <v>21697</v>
      </c>
      <c r="M6021" t="s">
        <v>630</v>
      </c>
      <c r="N6021" s="131">
        <v>21697</v>
      </c>
      <c r="O6021" s="436">
        <f t="shared" si="257"/>
        <v>1844245</v>
      </c>
      <c r="P6021" s="89">
        <v>819</v>
      </c>
      <c r="Q6021" t="s">
        <v>47</v>
      </c>
      <c r="R6021" s="422" t="s">
        <v>1869</v>
      </c>
      <c r="S6021" s="422" t="s">
        <v>1861</v>
      </c>
      <c r="T6021" s="422" t="s">
        <v>5820</v>
      </c>
      <c r="U6021" s="422" t="s">
        <v>1953</v>
      </c>
      <c r="V6021" s="422" t="s">
        <v>2813</v>
      </c>
    </row>
    <row r="6022" spans="1:22" ht="15.75" thickBot="1" x14ac:dyDescent="0.3">
      <c r="A6022" t="s">
        <v>4668</v>
      </c>
      <c r="B6022" t="s">
        <v>4668</v>
      </c>
      <c r="C6022" s="424" t="str">
        <f t="shared" si="256"/>
        <v>Viação Alvorada, Lda</v>
      </c>
      <c r="D6022" t="s">
        <v>629</v>
      </c>
      <c r="F6022" t="s">
        <v>620</v>
      </c>
      <c r="G6022" s="89">
        <v>2021</v>
      </c>
      <c r="H6022" s="313" t="s">
        <v>733</v>
      </c>
      <c r="I6022" s="311" t="str">
        <f t="shared" si="255"/>
        <v>Pesado de Passageiros M3:  : Gasóleo : E6</v>
      </c>
      <c r="J6022">
        <v>108</v>
      </c>
      <c r="K6022" s="422">
        <v>2023</v>
      </c>
      <c r="L6022">
        <v>20635</v>
      </c>
      <c r="M6022" t="s">
        <v>630</v>
      </c>
      <c r="N6022" s="131">
        <v>20635</v>
      </c>
      <c r="O6022" s="436">
        <f t="shared" si="257"/>
        <v>2228580</v>
      </c>
      <c r="P6022" s="89">
        <v>1100</v>
      </c>
      <c r="Q6022" t="s">
        <v>47</v>
      </c>
      <c r="R6022" s="422" t="s">
        <v>1869</v>
      </c>
      <c r="S6022" s="422" t="s">
        <v>1861</v>
      </c>
      <c r="T6022" s="422" t="s">
        <v>5822</v>
      </c>
      <c r="U6022" s="422" t="s">
        <v>1953</v>
      </c>
      <c r="V6022" s="422" t="s">
        <v>2813</v>
      </c>
    </row>
    <row r="6023" spans="1:22" ht="15.75" thickBot="1" x14ac:dyDescent="0.3">
      <c r="A6023" t="s">
        <v>4668</v>
      </c>
      <c r="B6023" t="s">
        <v>4668</v>
      </c>
      <c r="C6023" s="424" t="str">
        <f t="shared" si="256"/>
        <v>Viação Alvorada, Lda</v>
      </c>
      <c r="D6023" t="s">
        <v>629</v>
      </c>
      <c r="F6023" t="s">
        <v>620</v>
      </c>
      <c r="G6023" s="89">
        <v>2021</v>
      </c>
      <c r="H6023" s="313" t="s">
        <v>733</v>
      </c>
      <c r="I6023" s="311" t="str">
        <f t="shared" si="255"/>
        <v>Pesado de Passageiros M3:  : Gasóleo : E6</v>
      </c>
      <c r="J6023">
        <v>108</v>
      </c>
      <c r="K6023" s="422">
        <v>2023</v>
      </c>
      <c r="L6023">
        <v>20052</v>
      </c>
      <c r="M6023" t="s">
        <v>630</v>
      </c>
      <c r="N6023" s="131">
        <v>20052</v>
      </c>
      <c r="O6023" s="436">
        <f t="shared" si="257"/>
        <v>2165616</v>
      </c>
      <c r="P6023" s="89">
        <v>1101</v>
      </c>
      <c r="Q6023" t="s">
        <v>47</v>
      </c>
      <c r="R6023" s="422" t="s">
        <v>1869</v>
      </c>
      <c r="S6023" s="422" t="s">
        <v>1861</v>
      </c>
      <c r="T6023" s="422" t="s">
        <v>5822</v>
      </c>
      <c r="U6023" s="422" t="s">
        <v>1953</v>
      </c>
      <c r="V6023" s="422" t="s">
        <v>2813</v>
      </c>
    </row>
    <row r="6024" spans="1:22" ht="15.75" thickBot="1" x14ac:dyDescent="0.3">
      <c r="A6024" t="s">
        <v>4668</v>
      </c>
      <c r="B6024" t="s">
        <v>4668</v>
      </c>
      <c r="C6024" s="424" t="str">
        <f t="shared" si="256"/>
        <v>Viação Alvorada, Lda</v>
      </c>
      <c r="D6024" t="s">
        <v>629</v>
      </c>
      <c r="F6024" t="s">
        <v>620</v>
      </c>
      <c r="G6024" s="89">
        <v>2021</v>
      </c>
      <c r="H6024" s="313" t="s">
        <v>733</v>
      </c>
      <c r="I6024" s="311" t="str">
        <f t="shared" si="255"/>
        <v>Pesado de Passageiros M3:  : Gasóleo : E6</v>
      </c>
      <c r="J6024">
        <v>108</v>
      </c>
      <c r="K6024" s="422">
        <v>2023</v>
      </c>
      <c r="L6024">
        <v>23777</v>
      </c>
      <c r="M6024" t="s">
        <v>630</v>
      </c>
      <c r="N6024" s="131">
        <v>23777</v>
      </c>
      <c r="O6024" s="436">
        <f t="shared" si="257"/>
        <v>2567916</v>
      </c>
      <c r="P6024" s="89">
        <v>1102</v>
      </c>
      <c r="Q6024" t="s">
        <v>47</v>
      </c>
      <c r="R6024" s="422" t="s">
        <v>1869</v>
      </c>
      <c r="S6024" s="422" t="s">
        <v>1861</v>
      </c>
      <c r="T6024" s="422" t="s">
        <v>5822</v>
      </c>
      <c r="U6024" s="422" t="s">
        <v>1953</v>
      </c>
      <c r="V6024" s="422" t="s">
        <v>2813</v>
      </c>
    </row>
    <row r="6025" spans="1:22" ht="15.75" thickBot="1" x14ac:dyDescent="0.3">
      <c r="A6025" t="s">
        <v>4668</v>
      </c>
      <c r="B6025" t="s">
        <v>4668</v>
      </c>
      <c r="C6025" s="424" t="str">
        <f t="shared" si="256"/>
        <v>Viação Alvorada, Lda</v>
      </c>
      <c r="D6025" t="s">
        <v>629</v>
      </c>
      <c r="F6025" t="s">
        <v>620</v>
      </c>
      <c r="G6025" s="89">
        <v>2021</v>
      </c>
      <c r="H6025" s="313" t="s">
        <v>733</v>
      </c>
      <c r="I6025" s="311" t="str">
        <f t="shared" si="255"/>
        <v>Pesado de Passageiros M3:  : Gasóleo : E6</v>
      </c>
      <c r="J6025">
        <v>108</v>
      </c>
      <c r="K6025" s="422">
        <v>2023</v>
      </c>
      <c r="L6025">
        <v>20628</v>
      </c>
      <c r="M6025" t="s">
        <v>630</v>
      </c>
      <c r="N6025" s="131">
        <v>20628</v>
      </c>
      <c r="O6025" s="436">
        <f t="shared" si="257"/>
        <v>2227824</v>
      </c>
      <c r="P6025" s="89">
        <v>1103</v>
      </c>
      <c r="Q6025" t="s">
        <v>47</v>
      </c>
      <c r="R6025" s="422" t="s">
        <v>1869</v>
      </c>
      <c r="S6025" s="422" t="s">
        <v>1861</v>
      </c>
      <c r="T6025" s="422" t="s">
        <v>5822</v>
      </c>
      <c r="U6025" s="422" t="s">
        <v>1953</v>
      </c>
      <c r="V6025" s="422" t="s">
        <v>2813</v>
      </c>
    </row>
    <row r="6026" spans="1:22" ht="15.75" thickBot="1" x14ac:dyDescent="0.3">
      <c r="A6026" t="s">
        <v>4668</v>
      </c>
      <c r="B6026" t="s">
        <v>4668</v>
      </c>
      <c r="C6026" s="424" t="str">
        <f t="shared" si="256"/>
        <v>Viação Alvorada, Lda</v>
      </c>
      <c r="D6026" t="s">
        <v>629</v>
      </c>
      <c r="F6026" t="s">
        <v>620</v>
      </c>
      <c r="G6026" s="89">
        <v>2021</v>
      </c>
      <c r="H6026" s="313" t="s">
        <v>733</v>
      </c>
      <c r="I6026" s="311" t="str">
        <f t="shared" si="255"/>
        <v>Pesado de Passageiros M3:  : Gasóleo : E6</v>
      </c>
      <c r="J6026">
        <v>108</v>
      </c>
      <c r="K6026" s="422">
        <v>2023</v>
      </c>
      <c r="L6026">
        <v>19692</v>
      </c>
      <c r="M6026" t="s">
        <v>630</v>
      </c>
      <c r="N6026" s="131">
        <v>19692</v>
      </c>
      <c r="O6026" s="436">
        <f t="shared" si="257"/>
        <v>2126736</v>
      </c>
      <c r="P6026" s="89">
        <v>1104</v>
      </c>
      <c r="Q6026" t="s">
        <v>47</v>
      </c>
      <c r="R6026" s="422" t="s">
        <v>1869</v>
      </c>
      <c r="S6026" s="422" t="s">
        <v>1861</v>
      </c>
      <c r="T6026" s="422" t="s">
        <v>5822</v>
      </c>
      <c r="U6026" s="422" t="s">
        <v>1953</v>
      </c>
      <c r="V6026" s="422" t="s">
        <v>2813</v>
      </c>
    </row>
    <row r="6027" spans="1:22" ht="15.75" thickBot="1" x14ac:dyDescent="0.3">
      <c r="A6027" t="s">
        <v>4668</v>
      </c>
      <c r="B6027" t="s">
        <v>4668</v>
      </c>
      <c r="C6027" s="424" t="str">
        <f t="shared" si="256"/>
        <v>Viação Alvorada, Lda</v>
      </c>
      <c r="D6027" t="s">
        <v>629</v>
      </c>
      <c r="F6027" t="s">
        <v>620</v>
      </c>
      <c r="G6027" s="89">
        <v>2021</v>
      </c>
      <c r="H6027" s="313" t="s">
        <v>733</v>
      </c>
      <c r="I6027" s="311" t="str">
        <f t="shared" si="255"/>
        <v>Pesado de Passageiros M3:  : Gasóleo : E6</v>
      </c>
      <c r="J6027">
        <v>108</v>
      </c>
      <c r="K6027" s="422">
        <v>2023</v>
      </c>
      <c r="L6027">
        <v>18370</v>
      </c>
      <c r="M6027" t="s">
        <v>630</v>
      </c>
      <c r="N6027" s="131">
        <v>18370</v>
      </c>
      <c r="O6027" s="436">
        <f t="shared" si="257"/>
        <v>1983960</v>
      </c>
      <c r="P6027" s="89">
        <v>1105</v>
      </c>
      <c r="Q6027" t="s">
        <v>47</v>
      </c>
      <c r="R6027" s="422" t="s">
        <v>1869</v>
      </c>
      <c r="S6027" s="422" t="s">
        <v>1861</v>
      </c>
      <c r="T6027" s="422" t="s">
        <v>5822</v>
      </c>
      <c r="U6027" s="422" t="s">
        <v>1953</v>
      </c>
      <c r="V6027" s="422" t="s">
        <v>2813</v>
      </c>
    </row>
    <row r="6028" spans="1:22" ht="15.75" thickBot="1" x14ac:dyDescent="0.3">
      <c r="A6028" t="s">
        <v>4668</v>
      </c>
      <c r="B6028" t="s">
        <v>4668</v>
      </c>
      <c r="C6028" s="424" t="str">
        <f t="shared" si="256"/>
        <v>Viação Alvorada, Lda</v>
      </c>
      <c r="D6028" t="s">
        <v>629</v>
      </c>
      <c r="F6028" t="s">
        <v>620</v>
      </c>
      <c r="G6028" s="89">
        <v>2021</v>
      </c>
      <c r="H6028" s="313" t="s">
        <v>733</v>
      </c>
      <c r="I6028" s="311" t="str">
        <f t="shared" si="255"/>
        <v>Pesado de Passageiros M3:  : Gasóleo : E6</v>
      </c>
      <c r="J6028">
        <v>108</v>
      </c>
      <c r="K6028" s="422">
        <v>2023</v>
      </c>
      <c r="L6028">
        <v>24282</v>
      </c>
      <c r="M6028" t="s">
        <v>630</v>
      </c>
      <c r="N6028" s="131">
        <v>24282</v>
      </c>
      <c r="O6028" s="436">
        <f t="shared" si="257"/>
        <v>2622456</v>
      </c>
      <c r="P6028" s="89">
        <v>1106</v>
      </c>
      <c r="Q6028" t="s">
        <v>47</v>
      </c>
      <c r="R6028" s="422" t="s">
        <v>1869</v>
      </c>
      <c r="S6028" s="422" t="s">
        <v>1861</v>
      </c>
      <c r="T6028" s="422" t="s">
        <v>5822</v>
      </c>
      <c r="U6028" s="422" t="s">
        <v>1953</v>
      </c>
      <c r="V6028" s="422" t="s">
        <v>2813</v>
      </c>
    </row>
    <row r="6029" spans="1:22" ht="15.75" thickBot="1" x14ac:dyDescent="0.3">
      <c r="A6029" t="s">
        <v>4668</v>
      </c>
      <c r="B6029" t="s">
        <v>4668</v>
      </c>
      <c r="C6029" s="424" t="str">
        <f t="shared" si="256"/>
        <v>Viação Alvorada, Lda</v>
      </c>
      <c r="D6029" t="s">
        <v>629</v>
      </c>
      <c r="F6029" t="s">
        <v>620</v>
      </c>
      <c r="G6029" s="89">
        <v>2021</v>
      </c>
      <c r="H6029" s="313" t="s">
        <v>733</v>
      </c>
      <c r="I6029" s="311" t="str">
        <f t="shared" si="255"/>
        <v>Pesado de Passageiros M3:  : Gasóleo : E6</v>
      </c>
      <c r="J6029">
        <v>108</v>
      </c>
      <c r="K6029" s="422">
        <v>2023</v>
      </c>
      <c r="L6029">
        <v>18599</v>
      </c>
      <c r="M6029" t="s">
        <v>630</v>
      </c>
      <c r="N6029" s="131">
        <v>18599</v>
      </c>
      <c r="O6029" s="436">
        <f t="shared" si="257"/>
        <v>2008692</v>
      </c>
      <c r="P6029" s="89">
        <v>1107</v>
      </c>
      <c r="Q6029" t="s">
        <v>47</v>
      </c>
      <c r="R6029" s="422" t="s">
        <v>1869</v>
      </c>
      <c r="S6029" s="422" t="s">
        <v>1861</v>
      </c>
      <c r="T6029" s="422" t="s">
        <v>5822</v>
      </c>
      <c r="U6029" s="422" t="s">
        <v>1953</v>
      </c>
      <c r="V6029" s="422" t="s">
        <v>2813</v>
      </c>
    </row>
    <row r="6030" spans="1:22" ht="15.75" thickBot="1" x14ac:dyDescent="0.3">
      <c r="A6030" t="s">
        <v>4668</v>
      </c>
      <c r="B6030" t="s">
        <v>4668</v>
      </c>
      <c r="C6030" s="424" t="str">
        <f t="shared" si="256"/>
        <v>Viação Alvorada, Lda</v>
      </c>
      <c r="D6030" t="s">
        <v>629</v>
      </c>
      <c r="F6030" t="s">
        <v>620</v>
      </c>
      <c r="G6030" s="89">
        <v>2021</v>
      </c>
      <c r="H6030" s="313" t="s">
        <v>733</v>
      </c>
      <c r="I6030" s="311" t="str">
        <f t="shared" si="255"/>
        <v>Pesado de Passageiros M3:  : Gasóleo : E6</v>
      </c>
      <c r="J6030">
        <v>108</v>
      </c>
      <c r="K6030" s="422">
        <v>2023</v>
      </c>
      <c r="L6030">
        <v>20724</v>
      </c>
      <c r="M6030" t="s">
        <v>630</v>
      </c>
      <c r="N6030" s="131">
        <v>20724</v>
      </c>
      <c r="O6030" s="436">
        <f t="shared" si="257"/>
        <v>2238192</v>
      </c>
      <c r="P6030" s="89">
        <v>1108</v>
      </c>
      <c r="Q6030" t="s">
        <v>47</v>
      </c>
      <c r="R6030" s="422" t="s">
        <v>1869</v>
      </c>
      <c r="S6030" s="422" t="s">
        <v>1861</v>
      </c>
      <c r="T6030" s="422" t="s">
        <v>5822</v>
      </c>
      <c r="U6030" s="422" t="s">
        <v>1953</v>
      </c>
      <c r="V6030" s="422" t="s">
        <v>2813</v>
      </c>
    </row>
    <row r="6031" spans="1:22" ht="15.75" thickBot="1" x14ac:dyDescent="0.3">
      <c r="A6031" t="s">
        <v>4668</v>
      </c>
      <c r="B6031" t="s">
        <v>4668</v>
      </c>
      <c r="C6031" s="424" t="str">
        <f t="shared" si="256"/>
        <v>Viação Alvorada, Lda</v>
      </c>
      <c r="D6031" t="s">
        <v>629</v>
      </c>
      <c r="F6031" t="s">
        <v>620</v>
      </c>
      <c r="G6031" s="89">
        <v>2021</v>
      </c>
      <c r="H6031" s="313" t="s">
        <v>733</v>
      </c>
      <c r="I6031" s="311" t="str">
        <f t="shared" si="255"/>
        <v>Pesado de Passageiros M3:  : Gasóleo : E6</v>
      </c>
      <c r="J6031">
        <v>108</v>
      </c>
      <c r="K6031" s="422">
        <v>2023</v>
      </c>
      <c r="L6031">
        <v>21485</v>
      </c>
      <c r="M6031" t="s">
        <v>630</v>
      </c>
      <c r="N6031" s="131">
        <v>21485</v>
      </c>
      <c r="O6031" s="436">
        <f t="shared" si="257"/>
        <v>2320380</v>
      </c>
      <c r="P6031" s="89">
        <v>1109</v>
      </c>
      <c r="Q6031" t="s">
        <v>47</v>
      </c>
      <c r="R6031" s="422" t="s">
        <v>1869</v>
      </c>
      <c r="S6031" s="422" t="s">
        <v>1861</v>
      </c>
      <c r="T6031" s="422" t="s">
        <v>5822</v>
      </c>
      <c r="U6031" s="422" t="s">
        <v>1953</v>
      </c>
      <c r="V6031" s="422" t="s">
        <v>2813</v>
      </c>
    </row>
    <row r="6032" spans="1:22" ht="15.75" thickBot="1" x14ac:dyDescent="0.3">
      <c r="A6032" t="s">
        <v>4668</v>
      </c>
      <c r="B6032" t="s">
        <v>4668</v>
      </c>
      <c r="C6032" s="424" t="str">
        <f t="shared" si="256"/>
        <v>Viação Alvorada, Lda</v>
      </c>
      <c r="D6032" t="s">
        <v>629</v>
      </c>
      <c r="F6032" t="s">
        <v>620</v>
      </c>
      <c r="G6032" s="89">
        <v>2021</v>
      </c>
      <c r="H6032" s="313" t="s">
        <v>733</v>
      </c>
      <c r="I6032" s="311" t="str">
        <f t="shared" si="255"/>
        <v>Pesado de Passageiros M3:  : Gasóleo : E6</v>
      </c>
      <c r="J6032">
        <v>108</v>
      </c>
      <c r="K6032" s="422">
        <v>2023</v>
      </c>
      <c r="L6032">
        <v>20727</v>
      </c>
      <c r="M6032" t="s">
        <v>630</v>
      </c>
      <c r="N6032" s="131">
        <v>20727</v>
      </c>
      <c r="O6032" s="436">
        <f t="shared" si="257"/>
        <v>2238516</v>
      </c>
      <c r="P6032" s="89">
        <v>1110</v>
      </c>
      <c r="Q6032" t="s">
        <v>47</v>
      </c>
      <c r="R6032" s="422" t="s">
        <v>1869</v>
      </c>
      <c r="S6032" s="422" t="s">
        <v>1861</v>
      </c>
      <c r="T6032" s="422" t="s">
        <v>5822</v>
      </c>
      <c r="U6032" s="422" t="s">
        <v>1953</v>
      </c>
      <c r="V6032" s="422" t="s">
        <v>2813</v>
      </c>
    </row>
    <row r="6033" spans="1:22" ht="15.75" thickBot="1" x14ac:dyDescent="0.3">
      <c r="A6033" t="s">
        <v>4668</v>
      </c>
      <c r="B6033" t="s">
        <v>4668</v>
      </c>
      <c r="C6033" s="424" t="str">
        <f t="shared" si="256"/>
        <v>Viação Alvorada, Lda</v>
      </c>
      <c r="D6033" t="s">
        <v>629</v>
      </c>
      <c r="F6033" t="s">
        <v>620</v>
      </c>
      <c r="G6033" s="89">
        <v>2021</v>
      </c>
      <c r="H6033" s="313" t="s">
        <v>733</v>
      </c>
      <c r="I6033" s="311" t="str">
        <f t="shared" si="255"/>
        <v>Pesado de Passageiros M3:  : Gasóleo : E6</v>
      </c>
      <c r="J6033">
        <v>108</v>
      </c>
      <c r="K6033" s="422">
        <v>2023</v>
      </c>
      <c r="L6033">
        <v>17964</v>
      </c>
      <c r="M6033" t="s">
        <v>630</v>
      </c>
      <c r="N6033" s="131">
        <v>17964</v>
      </c>
      <c r="O6033" s="436">
        <f t="shared" si="257"/>
        <v>1940112</v>
      </c>
      <c r="P6033" s="89">
        <v>1111</v>
      </c>
      <c r="Q6033" t="s">
        <v>47</v>
      </c>
      <c r="R6033" s="422" t="s">
        <v>1869</v>
      </c>
      <c r="S6033" s="422" t="s">
        <v>1861</v>
      </c>
      <c r="T6033" s="422" t="s">
        <v>5822</v>
      </c>
      <c r="U6033" s="422" t="s">
        <v>1953</v>
      </c>
      <c r="V6033" s="422" t="s">
        <v>2813</v>
      </c>
    </row>
    <row r="6034" spans="1:22" ht="15.75" thickBot="1" x14ac:dyDescent="0.3">
      <c r="A6034" t="s">
        <v>4668</v>
      </c>
      <c r="B6034" t="s">
        <v>4668</v>
      </c>
      <c r="C6034" s="424" t="str">
        <f t="shared" si="256"/>
        <v>Viação Alvorada, Lda</v>
      </c>
      <c r="D6034" t="s">
        <v>629</v>
      </c>
      <c r="F6034" t="s">
        <v>620</v>
      </c>
      <c r="G6034" s="89">
        <v>2021</v>
      </c>
      <c r="H6034" s="313" t="s">
        <v>733</v>
      </c>
      <c r="I6034" s="311" t="str">
        <f t="shared" si="255"/>
        <v>Pesado de Passageiros M3:  : Gasóleo : E6</v>
      </c>
      <c r="J6034">
        <v>108</v>
      </c>
      <c r="K6034" s="422">
        <v>2023</v>
      </c>
      <c r="L6034">
        <v>18197</v>
      </c>
      <c r="M6034" t="s">
        <v>630</v>
      </c>
      <c r="N6034" s="131">
        <v>18197</v>
      </c>
      <c r="O6034" s="436">
        <f t="shared" si="257"/>
        <v>1965276</v>
      </c>
      <c r="P6034" s="89">
        <v>1112</v>
      </c>
      <c r="Q6034" t="s">
        <v>47</v>
      </c>
      <c r="R6034" s="422" t="s">
        <v>1869</v>
      </c>
      <c r="S6034" s="422" t="s">
        <v>1861</v>
      </c>
      <c r="T6034" s="422" t="s">
        <v>5822</v>
      </c>
      <c r="U6034" s="422" t="s">
        <v>1953</v>
      </c>
      <c r="V6034" s="422" t="s">
        <v>2813</v>
      </c>
    </row>
    <row r="6035" spans="1:22" ht="15.75" thickBot="1" x14ac:dyDescent="0.3">
      <c r="A6035" t="s">
        <v>4668</v>
      </c>
      <c r="B6035" t="s">
        <v>4668</v>
      </c>
      <c r="C6035" s="424" t="str">
        <f t="shared" si="256"/>
        <v>Viação Alvorada, Lda</v>
      </c>
      <c r="D6035" t="s">
        <v>629</v>
      </c>
      <c r="F6035" t="s">
        <v>620</v>
      </c>
      <c r="G6035" s="89">
        <v>2021</v>
      </c>
      <c r="H6035" s="313" t="s">
        <v>733</v>
      </c>
      <c r="I6035" s="311" t="str">
        <f t="shared" si="255"/>
        <v>Pesado de Passageiros M3:  : Gasóleo : E6</v>
      </c>
      <c r="J6035">
        <v>108</v>
      </c>
      <c r="K6035" s="422">
        <v>2023</v>
      </c>
      <c r="L6035">
        <v>19000</v>
      </c>
      <c r="M6035" t="s">
        <v>630</v>
      </c>
      <c r="N6035" s="131">
        <v>19000</v>
      </c>
      <c r="O6035" s="436">
        <f t="shared" si="257"/>
        <v>2052000</v>
      </c>
      <c r="P6035" s="89">
        <v>1113</v>
      </c>
      <c r="Q6035" t="s">
        <v>47</v>
      </c>
      <c r="R6035" s="422" t="s">
        <v>1869</v>
      </c>
      <c r="S6035" s="422" t="s">
        <v>1861</v>
      </c>
      <c r="T6035" s="422" t="s">
        <v>5822</v>
      </c>
      <c r="U6035" s="422" t="s">
        <v>1953</v>
      </c>
      <c r="V6035" s="422" t="s">
        <v>2813</v>
      </c>
    </row>
    <row r="6036" spans="1:22" ht="15.75" thickBot="1" x14ac:dyDescent="0.3">
      <c r="A6036" t="s">
        <v>4668</v>
      </c>
      <c r="B6036" t="s">
        <v>4668</v>
      </c>
      <c r="C6036" s="424" t="str">
        <f t="shared" si="256"/>
        <v>Viação Alvorada, Lda</v>
      </c>
      <c r="D6036" t="s">
        <v>629</v>
      </c>
      <c r="F6036" t="s">
        <v>620</v>
      </c>
      <c r="G6036" s="89">
        <v>2021</v>
      </c>
      <c r="H6036" s="313" t="s">
        <v>733</v>
      </c>
      <c r="I6036" s="311" t="str">
        <f t="shared" si="255"/>
        <v>Pesado de Passageiros M3:  : Gasóleo : E6</v>
      </c>
      <c r="J6036">
        <v>108</v>
      </c>
      <c r="K6036" s="422">
        <v>2023</v>
      </c>
      <c r="L6036">
        <v>19094</v>
      </c>
      <c r="M6036" t="s">
        <v>630</v>
      </c>
      <c r="N6036" s="131">
        <v>19094</v>
      </c>
      <c r="O6036" s="436">
        <f t="shared" si="257"/>
        <v>2062152</v>
      </c>
      <c r="P6036" s="89">
        <v>1114</v>
      </c>
      <c r="Q6036" t="s">
        <v>47</v>
      </c>
      <c r="R6036" s="422" t="s">
        <v>1869</v>
      </c>
      <c r="S6036" s="422" t="s">
        <v>1861</v>
      </c>
      <c r="T6036" s="422" t="s">
        <v>5822</v>
      </c>
      <c r="U6036" s="422" t="s">
        <v>1953</v>
      </c>
      <c r="V6036" s="422" t="s">
        <v>2813</v>
      </c>
    </row>
    <row r="6037" spans="1:22" ht="15.75" thickBot="1" x14ac:dyDescent="0.3">
      <c r="A6037" t="s">
        <v>4668</v>
      </c>
      <c r="B6037" t="s">
        <v>4668</v>
      </c>
      <c r="C6037" s="424" t="str">
        <f t="shared" si="256"/>
        <v>Viação Alvorada, Lda</v>
      </c>
      <c r="D6037" t="s">
        <v>629</v>
      </c>
      <c r="F6037" t="s">
        <v>620</v>
      </c>
      <c r="G6037" s="89">
        <v>2021</v>
      </c>
      <c r="H6037" s="313" t="s">
        <v>733</v>
      </c>
      <c r="I6037" s="311" t="str">
        <f t="shared" si="255"/>
        <v>Pesado de Passageiros M3:  : Gasóleo : E6</v>
      </c>
      <c r="J6037">
        <v>108</v>
      </c>
      <c r="K6037" s="422">
        <v>2023</v>
      </c>
      <c r="L6037">
        <v>18530</v>
      </c>
      <c r="M6037" t="s">
        <v>630</v>
      </c>
      <c r="N6037" s="131">
        <v>18530</v>
      </c>
      <c r="O6037" s="436">
        <f t="shared" si="257"/>
        <v>2001240</v>
      </c>
      <c r="P6037" s="89">
        <v>1115</v>
      </c>
      <c r="Q6037" t="s">
        <v>47</v>
      </c>
      <c r="R6037" s="422" t="s">
        <v>1869</v>
      </c>
      <c r="S6037" s="422" t="s">
        <v>1861</v>
      </c>
      <c r="T6037" s="422" t="s">
        <v>5822</v>
      </c>
      <c r="U6037" s="422" t="s">
        <v>1953</v>
      </c>
      <c r="V6037" s="422" t="s">
        <v>2813</v>
      </c>
    </row>
    <row r="6038" spans="1:22" ht="15.75" thickBot="1" x14ac:dyDescent="0.3">
      <c r="A6038" t="s">
        <v>4668</v>
      </c>
      <c r="B6038" t="s">
        <v>4668</v>
      </c>
      <c r="C6038" s="424" t="str">
        <f t="shared" si="256"/>
        <v>Viação Alvorada, Lda</v>
      </c>
      <c r="D6038" t="s">
        <v>629</v>
      </c>
      <c r="F6038" t="s">
        <v>620</v>
      </c>
      <c r="G6038" s="89">
        <v>2021</v>
      </c>
      <c r="H6038" s="313" t="s">
        <v>733</v>
      </c>
      <c r="I6038" s="311" t="str">
        <f t="shared" si="255"/>
        <v>Pesado de Passageiros M3:  : Gasóleo : E6</v>
      </c>
      <c r="J6038">
        <v>108</v>
      </c>
      <c r="K6038" s="422">
        <v>2023</v>
      </c>
      <c r="L6038">
        <v>18149</v>
      </c>
      <c r="M6038" t="s">
        <v>630</v>
      </c>
      <c r="N6038" s="131">
        <v>18149</v>
      </c>
      <c r="O6038" s="436">
        <f t="shared" si="257"/>
        <v>1960092</v>
      </c>
      <c r="P6038" s="89">
        <v>1116</v>
      </c>
      <c r="Q6038" t="s">
        <v>47</v>
      </c>
      <c r="R6038" s="422" t="s">
        <v>1869</v>
      </c>
      <c r="S6038" s="422" t="s">
        <v>1861</v>
      </c>
      <c r="T6038" s="422" t="s">
        <v>5822</v>
      </c>
      <c r="U6038" s="422" t="s">
        <v>1953</v>
      </c>
      <c r="V6038" s="422" t="s">
        <v>2813</v>
      </c>
    </row>
    <row r="6039" spans="1:22" ht="15.75" thickBot="1" x14ac:dyDescent="0.3">
      <c r="A6039" t="s">
        <v>4668</v>
      </c>
      <c r="B6039" t="s">
        <v>4668</v>
      </c>
      <c r="C6039" s="424" t="str">
        <f t="shared" si="256"/>
        <v>Viação Alvorada, Lda</v>
      </c>
      <c r="D6039" t="s">
        <v>629</v>
      </c>
      <c r="F6039" t="s">
        <v>620</v>
      </c>
      <c r="G6039" s="89">
        <v>2021</v>
      </c>
      <c r="H6039" s="313" t="s">
        <v>733</v>
      </c>
      <c r="I6039" s="311" t="str">
        <f t="shared" si="255"/>
        <v>Pesado de Passageiros M3:  : Gasóleo : E6</v>
      </c>
      <c r="J6039">
        <v>108</v>
      </c>
      <c r="K6039" s="422">
        <v>2023</v>
      </c>
      <c r="L6039">
        <v>21840</v>
      </c>
      <c r="M6039" t="s">
        <v>630</v>
      </c>
      <c r="N6039" s="131">
        <v>21840</v>
      </c>
      <c r="O6039" s="436">
        <f t="shared" si="257"/>
        <v>2358720</v>
      </c>
      <c r="P6039" s="89">
        <v>1117</v>
      </c>
      <c r="Q6039" t="s">
        <v>47</v>
      </c>
      <c r="R6039" s="422" t="s">
        <v>1869</v>
      </c>
      <c r="S6039" s="422" t="s">
        <v>1861</v>
      </c>
      <c r="T6039" s="422" t="s">
        <v>5822</v>
      </c>
      <c r="U6039" s="422" t="s">
        <v>1953</v>
      </c>
      <c r="V6039" s="422" t="s">
        <v>2813</v>
      </c>
    </row>
    <row r="6040" spans="1:22" ht="15.75" thickBot="1" x14ac:dyDescent="0.3">
      <c r="A6040" t="s">
        <v>4668</v>
      </c>
      <c r="B6040" t="s">
        <v>4668</v>
      </c>
      <c r="C6040" s="424" t="str">
        <f t="shared" si="256"/>
        <v>Viação Alvorada, Lda</v>
      </c>
      <c r="D6040" t="s">
        <v>629</v>
      </c>
      <c r="F6040" t="s">
        <v>620</v>
      </c>
      <c r="G6040" s="89">
        <v>2021</v>
      </c>
      <c r="H6040" s="313" t="s">
        <v>733</v>
      </c>
      <c r="I6040" s="311" t="str">
        <f t="shared" si="255"/>
        <v>Pesado de Passageiros M3:  : Gasóleo : E6</v>
      </c>
      <c r="J6040">
        <v>108</v>
      </c>
      <c r="K6040" s="422">
        <v>2023</v>
      </c>
      <c r="L6040">
        <v>24102</v>
      </c>
      <c r="M6040" t="s">
        <v>630</v>
      </c>
      <c r="N6040" s="131">
        <v>24102</v>
      </c>
      <c r="O6040" s="436">
        <f t="shared" si="257"/>
        <v>2603016</v>
      </c>
      <c r="P6040" s="89">
        <v>1118</v>
      </c>
      <c r="Q6040" t="s">
        <v>47</v>
      </c>
      <c r="R6040" s="422" t="s">
        <v>1869</v>
      </c>
      <c r="S6040" s="422" t="s">
        <v>1861</v>
      </c>
      <c r="T6040" s="422" t="s">
        <v>5822</v>
      </c>
      <c r="U6040" s="422" t="s">
        <v>1953</v>
      </c>
      <c r="V6040" s="422" t="s">
        <v>2813</v>
      </c>
    </row>
    <row r="6041" spans="1:22" ht="15.75" thickBot="1" x14ac:dyDescent="0.3">
      <c r="A6041" t="s">
        <v>4668</v>
      </c>
      <c r="B6041" t="s">
        <v>4668</v>
      </c>
      <c r="C6041" s="424" t="str">
        <f t="shared" si="256"/>
        <v>Viação Alvorada, Lda</v>
      </c>
      <c r="D6041" t="s">
        <v>629</v>
      </c>
      <c r="F6041" t="s">
        <v>620</v>
      </c>
      <c r="G6041" s="89">
        <v>2021</v>
      </c>
      <c r="H6041" s="313" t="s">
        <v>733</v>
      </c>
      <c r="I6041" s="311" t="str">
        <f t="shared" si="255"/>
        <v>Pesado de Passageiros M3:  : Gasóleo : E6</v>
      </c>
      <c r="J6041">
        <v>108</v>
      </c>
      <c r="K6041" s="422">
        <v>2023</v>
      </c>
      <c r="L6041">
        <v>23888</v>
      </c>
      <c r="M6041" t="s">
        <v>630</v>
      </c>
      <c r="N6041" s="131">
        <v>23888</v>
      </c>
      <c r="O6041" s="436">
        <f t="shared" si="257"/>
        <v>2579904</v>
      </c>
      <c r="P6041" s="89">
        <v>1119</v>
      </c>
      <c r="Q6041" t="s">
        <v>47</v>
      </c>
      <c r="R6041" s="422" t="s">
        <v>1869</v>
      </c>
      <c r="S6041" s="422" t="s">
        <v>1861</v>
      </c>
      <c r="T6041" s="422" t="s">
        <v>5822</v>
      </c>
      <c r="U6041" s="422" t="s">
        <v>1953</v>
      </c>
      <c r="V6041" s="422" t="s">
        <v>2813</v>
      </c>
    </row>
    <row r="6042" spans="1:22" ht="15.75" thickBot="1" x14ac:dyDescent="0.3">
      <c r="A6042" t="s">
        <v>4668</v>
      </c>
      <c r="B6042" t="s">
        <v>4668</v>
      </c>
      <c r="C6042" s="424" t="str">
        <f t="shared" si="256"/>
        <v>Viação Alvorada, Lda</v>
      </c>
      <c r="D6042" t="s">
        <v>629</v>
      </c>
      <c r="F6042" t="s">
        <v>620</v>
      </c>
      <c r="G6042" s="89">
        <v>2021</v>
      </c>
      <c r="H6042" s="313" t="s">
        <v>733</v>
      </c>
      <c r="I6042" s="311" t="str">
        <f t="shared" si="255"/>
        <v>Pesado de Passageiros M3:  : Gasóleo : E6</v>
      </c>
      <c r="J6042">
        <v>108</v>
      </c>
      <c r="K6042" s="422">
        <v>2023</v>
      </c>
      <c r="L6042">
        <v>19933</v>
      </c>
      <c r="M6042" t="s">
        <v>630</v>
      </c>
      <c r="N6042" s="131">
        <v>19933</v>
      </c>
      <c r="O6042" s="436">
        <f t="shared" si="257"/>
        <v>2152764</v>
      </c>
      <c r="P6042" s="89">
        <v>1120</v>
      </c>
      <c r="Q6042" t="s">
        <v>47</v>
      </c>
      <c r="R6042" s="422" t="s">
        <v>1869</v>
      </c>
      <c r="S6042" s="422" t="s">
        <v>1861</v>
      </c>
      <c r="T6042" s="422" t="s">
        <v>5822</v>
      </c>
      <c r="U6042" s="422" t="s">
        <v>1953</v>
      </c>
      <c r="V6042" s="422" t="s">
        <v>2813</v>
      </c>
    </row>
    <row r="6043" spans="1:22" ht="15.75" thickBot="1" x14ac:dyDescent="0.3">
      <c r="A6043" t="s">
        <v>4668</v>
      </c>
      <c r="B6043" t="s">
        <v>4668</v>
      </c>
      <c r="C6043" s="424" t="str">
        <f t="shared" si="256"/>
        <v>Viação Alvorada, Lda</v>
      </c>
      <c r="D6043" t="s">
        <v>629</v>
      </c>
      <c r="F6043" t="s">
        <v>620</v>
      </c>
      <c r="G6043" s="89">
        <v>2021</v>
      </c>
      <c r="H6043" s="313" t="s">
        <v>733</v>
      </c>
      <c r="I6043" s="311" t="str">
        <f t="shared" si="255"/>
        <v>Pesado de Passageiros M3:  : Gasóleo : E6</v>
      </c>
      <c r="J6043">
        <v>108</v>
      </c>
      <c r="K6043" s="422">
        <v>2023</v>
      </c>
      <c r="L6043">
        <v>22001</v>
      </c>
      <c r="M6043" t="s">
        <v>630</v>
      </c>
      <c r="N6043" s="131">
        <v>22001</v>
      </c>
      <c r="O6043" s="436">
        <f t="shared" si="257"/>
        <v>2376108</v>
      </c>
      <c r="P6043" s="89">
        <v>1121</v>
      </c>
      <c r="Q6043" t="s">
        <v>47</v>
      </c>
      <c r="R6043" s="422" t="s">
        <v>1869</v>
      </c>
      <c r="S6043" s="422" t="s">
        <v>1861</v>
      </c>
      <c r="T6043" s="422" t="s">
        <v>5822</v>
      </c>
      <c r="U6043" s="422" t="s">
        <v>1953</v>
      </c>
      <c r="V6043" s="422" t="s">
        <v>2813</v>
      </c>
    </row>
    <row r="6044" spans="1:22" ht="15.75" thickBot="1" x14ac:dyDescent="0.3">
      <c r="A6044" t="s">
        <v>4668</v>
      </c>
      <c r="B6044" t="s">
        <v>4668</v>
      </c>
      <c r="C6044" s="424" t="str">
        <f t="shared" si="256"/>
        <v>Viação Alvorada, Lda</v>
      </c>
      <c r="D6044" t="s">
        <v>629</v>
      </c>
      <c r="F6044" t="s">
        <v>620</v>
      </c>
      <c r="G6044" s="89">
        <v>2021</v>
      </c>
      <c r="H6044" s="313" t="s">
        <v>733</v>
      </c>
      <c r="I6044" s="311" t="str">
        <f t="shared" si="255"/>
        <v>Pesado de Passageiros M3:  : Gasóleo : E6</v>
      </c>
      <c r="J6044">
        <v>108</v>
      </c>
      <c r="K6044" s="422">
        <v>2023</v>
      </c>
      <c r="L6044">
        <v>19078</v>
      </c>
      <c r="M6044" t="s">
        <v>630</v>
      </c>
      <c r="N6044" s="131">
        <v>19078</v>
      </c>
      <c r="O6044" s="436">
        <f t="shared" si="257"/>
        <v>2060424</v>
      </c>
      <c r="P6044" s="89">
        <v>1122</v>
      </c>
      <c r="Q6044" t="s">
        <v>47</v>
      </c>
      <c r="R6044" s="422" t="s">
        <v>1869</v>
      </c>
      <c r="S6044" s="422" t="s">
        <v>1861</v>
      </c>
      <c r="T6044" s="422" t="s">
        <v>5822</v>
      </c>
      <c r="U6044" s="422" t="s">
        <v>1953</v>
      </c>
      <c r="V6044" s="422" t="s">
        <v>2813</v>
      </c>
    </row>
    <row r="6045" spans="1:22" ht="15.75" thickBot="1" x14ac:dyDescent="0.3">
      <c r="A6045" t="s">
        <v>4668</v>
      </c>
      <c r="B6045" t="s">
        <v>4668</v>
      </c>
      <c r="C6045" s="424" t="str">
        <f t="shared" si="256"/>
        <v>Viação Alvorada, Lda</v>
      </c>
      <c r="D6045" t="s">
        <v>629</v>
      </c>
      <c r="F6045" t="s">
        <v>620</v>
      </c>
      <c r="G6045" s="89">
        <v>2021</v>
      </c>
      <c r="H6045" s="313" t="s">
        <v>733</v>
      </c>
      <c r="I6045" s="311" t="str">
        <f t="shared" si="255"/>
        <v>Pesado de Passageiros M3:  : Gasóleo : E6</v>
      </c>
      <c r="J6045">
        <v>108</v>
      </c>
      <c r="K6045" s="422">
        <v>2023</v>
      </c>
      <c r="L6045">
        <v>23486</v>
      </c>
      <c r="M6045" t="s">
        <v>630</v>
      </c>
      <c r="N6045" s="131">
        <v>23486</v>
      </c>
      <c r="O6045" s="436">
        <f t="shared" si="257"/>
        <v>2536488</v>
      </c>
      <c r="P6045" s="89">
        <v>1123</v>
      </c>
      <c r="Q6045" t="s">
        <v>47</v>
      </c>
      <c r="R6045" s="422" t="s">
        <v>1869</v>
      </c>
      <c r="S6045" s="422" t="s">
        <v>1861</v>
      </c>
      <c r="T6045" s="422" t="s">
        <v>5822</v>
      </c>
      <c r="U6045" s="422" t="s">
        <v>1953</v>
      </c>
      <c r="V6045" s="422" t="s">
        <v>2813</v>
      </c>
    </row>
    <row r="6046" spans="1:22" ht="15.75" thickBot="1" x14ac:dyDescent="0.3">
      <c r="A6046" t="s">
        <v>4668</v>
      </c>
      <c r="B6046" t="s">
        <v>4668</v>
      </c>
      <c r="C6046" s="424" t="str">
        <f t="shared" si="256"/>
        <v>Viação Alvorada, Lda</v>
      </c>
      <c r="D6046" t="s">
        <v>629</v>
      </c>
      <c r="F6046" t="s">
        <v>620</v>
      </c>
      <c r="G6046" s="89">
        <v>2021</v>
      </c>
      <c r="H6046" s="313" t="s">
        <v>733</v>
      </c>
      <c r="I6046" s="311" t="str">
        <f t="shared" si="255"/>
        <v>Pesado de Passageiros M3:  : Gasóleo : E6</v>
      </c>
      <c r="J6046">
        <v>108</v>
      </c>
      <c r="K6046" s="422">
        <v>2023</v>
      </c>
      <c r="L6046">
        <v>21527</v>
      </c>
      <c r="M6046" t="s">
        <v>630</v>
      </c>
      <c r="N6046" s="131">
        <v>21527</v>
      </c>
      <c r="O6046" s="436">
        <f t="shared" si="257"/>
        <v>2324916</v>
      </c>
      <c r="P6046" s="89">
        <v>1124</v>
      </c>
      <c r="Q6046" t="s">
        <v>47</v>
      </c>
      <c r="R6046" s="422" t="s">
        <v>1869</v>
      </c>
      <c r="S6046" s="422" t="s">
        <v>1861</v>
      </c>
      <c r="T6046" s="422" t="s">
        <v>5822</v>
      </c>
      <c r="U6046" s="422" t="s">
        <v>1953</v>
      </c>
      <c r="V6046" s="422" t="s">
        <v>2813</v>
      </c>
    </row>
    <row r="6047" spans="1:22" ht="15.75" thickBot="1" x14ac:dyDescent="0.3">
      <c r="A6047" t="s">
        <v>4668</v>
      </c>
      <c r="B6047" t="s">
        <v>4668</v>
      </c>
      <c r="C6047" s="424" t="str">
        <f t="shared" si="256"/>
        <v>Viação Alvorada, Lda</v>
      </c>
      <c r="D6047" t="s">
        <v>629</v>
      </c>
      <c r="F6047" t="s">
        <v>620</v>
      </c>
      <c r="G6047" s="89">
        <v>2021</v>
      </c>
      <c r="H6047" s="313" t="s">
        <v>733</v>
      </c>
      <c r="I6047" s="311" t="str">
        <f t="shared" si="255"/>
        <v>Pesado de Passageiros M3:  : Gasóleo : E6</v>
      </c>
      <c r="J6047">
        <v>108</v>
      </c>
      <c r="K6047" s="422">
        <v>2023</v>
      </c>
      <c r="L6047">
        <v>19768</v>
      </c>
      <c r="M6047" t="s">
        <v>630</v>
      </c>
      <c r="N6047" s="131">
        <v>19768</v>
      </c>
      <c r="O6047" s="436">
        <f t="shared" si="257"/>
        <v>2134944</v>
      </c>
      <c r="P6047" s="89">
        <v>1125</v>
      </c>
      <c r="Q6047" t="s">
        <v>47</v>
      </c>
      <c r="R6047" s="422" t="s">
        <v>1869</v>
      </c>
      <c r="S6047" s="422" t="s">
        <v>1861</v>
      </c>
      <c r="T6047" s="422" t="s">
        <v>5822</v>
      </c>
      <c r="U6047" s="422" t="s">
        <v>1953</v>
      </c>
      <c r="V6047" s="422" t="s">
        <v>2813</v>
      </c>
    </row>
    <row r="6048" spans="1:22" ht="15.75" thickBot="1" x14ac:dyDescent="0.3">
      <c r="A6048" t="s">
        <v>4668</v>
      </c>
      <c r="B6048" t="s">
        <v>4668</v>
      </c>
      <c r="C6048" s="424" t="str">
        <f t="shared" si="256"/>
        <v>Viação Alvorada, Lda</v>
      </c>
      <c r="D6048" t="s">
        <v>629</v>
      </c>
      <c r="F6048" t="s">
        <v>620</v>
      </c>
      <c r="G6048" s="89">
        <v>2021</v>
      </c>
      <c r="H6048" s="313" t="s">
        <v>733</v>
      </c>
      <c r="I6048" s="311" t="str">
        <f t="shared" si="255"/>
        <v>Pesado de Passageiros M3:  : Gasóleo : E6</v>
      </c>
      <c r="J6048">
        <v>108</v>
      </c>
      <c r="K6048" s="422">
        <v>2023</v>
      </c>
      <c r="L6048">
        <v>19787</v>
      </c>
      <c r="M6048" t="s">
        <v>630</v>
      </c>
      <c r="N6048" s="131">
        <v>19787</v>
      </c>
      <c r="O6048" s="436">
        <f t="shared" si="257"/>
        <v>2136996</v>
      </c>
      <c r="P6048" s="89">
        <v>1126</v>
      </c>
      <c r="Q6048" t="s">
        <v>47</v>
      </c>
      <c r="R6048" s="422" t="s">
        <v>1869</v>
      </c>
      <c r="S6048" s="422" t="s">
        <v>1861</v>
      </c>
      <c r="T6048" s="422" t="s">
        <v>5822</v>
      </c>
      <c r="U6048" s="422" t="s">
        <v>1953</v>
      </c>
      <c r="V6048" s="422" t="s">
        <v>2813</v>
      </c>
    </row>
    <row r="6049" spans="1:22" ht="15.75" thickBot="1" x14ac:dyDescent="0.3">
      <c r="A6049" t="s">
        <v>4668</v>
      </c>
      <c r="B6049" t="s">
        <v>4668</v>
      </c>
      <c r="C6049" s="424" t="str">
        <f t="shared" si="256"/>
        <v>Viação Alvorada, Lda</v>
      </c>
      <c r="D6049" t="s">
        <v>629</v>
      </c>
      <c r="F6049" t="s">
        <v>620</v>
      </c>
      <c r="G6049" s="89">
        <v>2021</v>
      </c>
      <c r="H6049" s="313" t="s">
        <v>733</v>
      </c>
      <c r="I6049" s="311" t="str">
        <f t="shared" si="255"/>
        <v>Pesado de Passageiros M3:  : Gasóleo : E6</v>
      </c>
      <c r="J6049">
        <v>108</v>
      </c>
      <c r="K6049" s="422">
        <v>2023</v>
      </c>
      <c r="L6049">
        <v>16697</v>
      </c>
      <c r="M6049" t="s">
        <v>630</v>
      </c>
      <c r="N6049" s="131">
        <v>16697</v>
      </c>
      <c r="O6049" s="436">
        <f t="shared" si="257"/>
        <v>1803276</v>
      </c>
      <c r="P6049" s="89">
        <v>1127</v>
      </c>
      <c r="Q6049" t="s">
        <v>47</v>
      </c>
      <c r="R6049" s="422" t="s">
        <v>1869</v>
      </c>
      <c r="S6049" s="422" t="s">
        <v>1861</v>
      </c>
      <c r="T6049" s="422" t="s">
        <v>5822</v>
      </c>
      <c r="U6049" s="422" t="s">
        <v>1953</v>
      </c>
      <c r="V6049" s="422" t="s">
        <v>2813</v>
      </c>
    </row>
    <row r="6050" spans="1:22" ht="15.75" thickBot="1" x14ac:dyDescent="0.3">
      <c r="A6050" t="s">
        <v>4668</v>
      </c>
      <c r="B6050" t="s">
        <v>4668</v>
      </c>
      <c r="C6050" s="424" t="str">
        <f t="shared" si="256"/>
        <v>Viação Alvorada, Lda</v>
      </c>
      <c r="D6050" t="s">
        <v>629</v>
      </c>
      <c r="F6050" t="s">
        <v>620</v>
      </c>
      <c r="G6050" s="89">
        <v>2021</v>
      </c>
      <c r="H6050" s="313" t="s">
        <v>733</v>
      </c>
      <c r="I6050" s="311" t="str">
        <f t="shared" ref="I6050:I6113" si="258">D6050&amp;": "&amp;E6050&amp;" : "&amp;F6050&amp;" : "&amp;H6050</f>
        <v>Pesado de Passageiros M3:  : Gasóleo : E6</v>
      </c>
      <c r="J6050">
        <v>108</v>
      </c>
      <c r="K6050" s="422">
        <v>2023</v>
      </c>
      <c r="L6050">
        <v>17654</v>
      </c>
      <c r="M6050" t="s">
        <v>630</v>
      </c>
      <c r="N6050" s="131">
        <v>17654</v>
      </c>
      <c r="O6050" s="436">
        <f t="shared" si="257"/>
        <v>1906632</v>
      </c>
      <c r="P6050" s="89">
        <v>1128</v>
      </c>
      <c r="Q6050" t="s">
        <v>47</v>
      </c>
      <c r="R6050" s="422" t="s">
        <v>1869</v>
      </c>
      <c r="S6050" s="422" t="s">
        <v>1861</v>
      </c>
      <c r="T6050" s="422" t="s">
        <v>5822</v>
      </c>
      <c r="U6050" s="422" t="s">
        <v>1953</v>
      </c>
      <c r="V6050" s="422" t="s">
        <v>2813</v>
      </c>
    </row>
    <row r="6051" spans="1:22" ht="15.75" thickBot="1" x14ac:dyDescent="0.3">
      <c r="A6051" t="s">
        <v>4668</v>
      </c>
      <c r="B6051" t="s">
        <v>4668</v>
      </c>
      <c r="C6051" s="424" t="str">
        <f t="shared" si="256"/>
        <v>Viação Alvorada, Lda</v>
      </c>
      <c r="D6051" t="s">
        <v>629</v>
      </c>
      <c r="F6051" t="s">
        <v>620</v>
      </c>
      <c r="G6051" s="89">
        <v>2021</v>
      </c>
      <c r="H6051" s="313" t="s">
        <v>733</v>
      </c>
      <c r="I6051" s="311" t="str">
        <f t="shared" si="258"/>
        <v>Pesado de Passageiros M3:  : Gasóleo : E6</v>
      </c>
      <c r="J6051">
        <v>108</v>
      </c>
      <c r="K6051" s="422">
        <v>2023</v>
      </c>
      <c r="L6051">
        <v>20260</v>
      </c>
      <c r="M6051" t="s">
        <v>630</v>
      </c>
      <c r="N6051" s="131">
        <v>20260</v>
      </c>
      <c r="O6051" s="436">
        <f t="shared" si="257"/>
        <v>2188080</v>
      </c>
      <c r="P6051" s="89">
        <v>1129</v>
      </c>
      <c r="Q6051" t="s">
        <v>47</v>
      </c>
      <c r="R6051" s="422" t="s">
        <v>1869</v>
      </c>
      <c r="S6051" s="422" t="s">
        <v>1861</v>
      </c>
      <c r="T6051" s="422" t="s">
        <v>5822</v>
      </c>
      <c r="U6051" s="422" t="s">
        <v>1953</v>
      </c>
      <c r="V6051" s="422" t="s">
        <v>2813</v>
      </c>
    </row>
    <row r="6052" spans="1:22" ht="15.75" thickBot="1" x14ac:dyDescent="0.3">
      <c r="A6052" t="s">
        <v>4668</v>
      </c>
      <c r="B6052" t="s">
        <v>4668</v>
      </c>
      <c r="C6052" s="424" t="str">
        <f t="shared" si="256"/>
        <v>Viação Alvorada, Lda</v>
      </c>
      <c r="D6052" t="s">
        <v>629</v>
      </c>
      <c r="F6052" t="s">
        <v>620</v>
      </c>
      <c r="G6052" s="89">
        <v>2021</v>
      </c>
      <c r="H6052" s="313" t="s">
        <v>733</v>
      </c>
      <c r="I6052" s="311" t="str">
        <f t="shared" si="258"/>
        <v>Pesado de Passageiros M3:  : Gasóleo : E6</v>
      </c>
      <c r="J6052">
        <v>108</v>
      </c>
      <c r="K6052" s="422">
        <v>2023</v>
      </c>
      <c r="L6052">
        <v>19480</v>
      </c>
      <c r="M6052" t="s">
        <v>630</v>
      </c>
      <c r="N6052" s="131">
        <v>19480</v>
      </c>
      <c r="O6052" s="436">
        <f t="shared" si="257"/>
        <v>2103840</v>
      </c>
      <c r="P6052" s="89">
        <v>1130</v>
      </c>
      <c r="Q6052" t="s">
        <v>47</v>
      </c>
      <c r="R6052" s="422" t="s">
        <v>1869</v>
      </c>
      <c r="S6052" s="422" t="s">
        <v>1861</v>
      </c>
      <c r="T6052" s="422" t="s">
        <v>5822</v>
      </c>
      <c r="U6052" s="422" t="s">
        <v>1953</v>
      </c>
      <c r="V6052" s="422" t="s">
        <v>2813</v>
      </c>
    </row>
    <row r="6053" spans="1:22" ht="15.75" thickBot="1" x14ac:dyDescent="0.3">
      <c r="A6053" t="s">
        <v>4668</v>
      </c>
      <c r="B6053" t="s">
        <v>4668</v>
      </c>
      <c r="C6053" s="424" t="str">
        <f t="shared" si="256"/>
        <v>Viação Alvorada, Lda</v>
      </c>
      <c r="D6053" t="s">
        <v>629</v>
      </c>
      <c r="F6053" t="s">
        <v>620</v>
      </c>
      <c r="G6053" s="89">
        <v>2021</v>
      </c>
      <c r="H6053" s="313" t="s">
        <v>733</v>
      </c>
      <c r="I6053" s="311" t="str">
        <f t="shared" si="258"/>
        <v>Pesado de Passageiros M3:  : Gasóleo : E6</v>
      </c>
      <c r="J6053">
        <v>108</v>
      </c>
      <c r="K6053" s="422">
        <v>2023</v>
      </c>
      <c r="L6053">
        <v>18990</v>
      </c>
      <c r="M6053" t="s">
        <v>630</v>
      </c>
      <c r="N6053" s="131">
        <v>18990</v>
      </c>
      <c r="O6053" s="436">
        <f t="shared" si="257"/>
        <v>2050920</v>
      </c>
      <c r="P6053" s="89">
        <v>1131</v>
      </c>
      <c r="Q6053" t="s">
        <v>47</v>
      </c>
      <c r="R6053" s="422" t="s">
        <v>1869</v>
      </c>
      <c r="S6053" s="422" t="s">
        <v>1861</v>
      </c>
      <c r="T6053" s="422" t="s">
        <v>5822</v>
      </c>
      <c r="U6053" s="422" t="s">
        <v>1953</v>
      </c>
      <c r="V6053" s="422" t="s">
        <v>2813</v>
      </c>
    </row>
    <row r="6054" spans="1:22" ht="15.75" thickBot="1" x14ac:dyDescent="0.3">
      <c r="A6054" t="s">
        <v>4668</v>
      </c>
      <c r="B6054" t="s">
        <v>4668</v>
      </c>
      <c r="C6054" s="424" t="str">
        <f t="shared" si="256"/>
        <v>Viação Alvorada, Lda</v>
      </c>
      <c r="D6054" t="s">
        <v>629</v>
      </c>
      <c r="F6054" t="s">
        <v>620</v>
      </c>
      <c r="G6054" s="89">
        <v>2021</v>
      </c>
      <c r="H6054" s="313" t="s">
        <v>733</v>
      </c>
      <c r="I6054" s="311" t="str">
        <f t="shared" si="258"/>
        <v>Pesado de Passageiros M3:  : Gasóleo : E6</v>
      </c>
      <c r="J6054">
        <v>108</v>
      </c>
      <c r="K6054" s="422">
        <v>2023</v>
      </c>
      <c r="L6054">
        <v>18840</v>
      </c>
      <c r="M6054" t="s">
        <v>630</v>
      </c>
      <c r="N6054" s="131">
        <v>18840</v>
      </c>
      <c r="O6054" s="436">
        <f t="shared" si="257"/>
        <v>2034720</v>
      </c>
      <c r="P6054" s="89">
        <v>1132</v>
      </c>
      <c r="Q6054" t="s">
        <v>47</v>
      </c>
      <c r="R6054" s="422" t="s">
        <v>1869</v>
      </c>
      <c r="S6054" s="422" t="s">
        <v>1861</v>
      </c>
      <c r="T6054" s="422" t="s">
        <v>5822</v>
      </c>
      <c r="U6054" s="422" t="s">
        <v>1953</v>
      </c>
      <c r="V6054" s="422" t="s">
        <v>2813</v>
      </c>
    </row>
    <row r="6055" spans="1:22" ht="15.75" thickBot="1" x14ac:dyDescent="0.3">
      <c r="A6055" t="s">
        <v>4668</v>
      </c>
      <c r="B6055" t="s">
        <v>4668</v>
      </c>
      <c r="C6055" s="424" t="str">
        <f t="shared" si="256"/>
        <v>Viação Alvorada, Lda</v>
      </c>
      <c r="D6055" t="s">
        <v>629</v>
      </c>
      <c r="F6055" t="s">
        <v>620</v>
      </c>
      <c r="G6055" s="89">
        <v>2021</v>
      </c>
      <c r="H6055" s="313" t="s">
        <v>733</v>
      </c>
      <c r="I6055" s="311" t="str">
        <f t="shared" si="258"/>
        <v>Pesado de Passageiros M3:  : Gasóleo : E6</v>
      </c>
      <c r="J6055">
        <v>108</v>
      </c>
      <c r="K6055" s="422">
        <v>2023</v>
      </c>
      <c r="L6055">
        <v>21992</v>
      </c>
      <c r="M6055" t="s">
        <v>630</v>
      </c>
      <c r="N6055" s="131">
        <v>21992</v>
      </c>
      <c r="O6055" s="436">
        <f t="shared" si="257"/>
        <v>2375136</v>
      </c>
      <c r="P6055" s="89">
        <v>1133</v>
      </c>
      <c r="Q6055" t="s">
        <v>47</v>
      </c>
      <c r="R6055" s="422" t="s">
        <v>1869</v>
      </c>
      <c r="S6055" s="422" t="s">
        <v>1861</v>
      </c>
      <c r="T6055" s="422" t="s">
        <v>5822</v>
      </c>
      <c r="U6055" s="422" t="s">
        <v>1953</v>
      </c>
      <c r="V6055" s="422" t="s">
        <v>2813</v>
      </c>
    </row>
    <row r="6056" spans="1:22" ht="15.75" thickBot="1" x14ac:dyDescent="0.3">
      <c r="A6056" t="s">
        <v>4668</v>
      </c>
      <c r="B6056" t="s">
        <v>4668</v>
      </c>
      <c r="C6056" s="424" t="str">
        <f t="shared" si="256"/>
        <v>Viação Alvorada, Lda</v>
      </c>
      <c r="D6056" t="s">
        <v>629</v>
      </c>
      <c r="F6056" t="s">
        <v>620</v>
      </c>
      <c r="G6056" s="89">
        <v>2021</v>
      </c>
      <c r="H6056" s="313" t="s">
        <v>733</v>
      </c>
      <c r="I6056" s="311" t="str">
        <f t="shared" si="258"/>
        <v>Pesado de Passageiros M3:  : Gasóleo : E6</v>
      </c>
      <c r="J6056">
        <v>108</v>
      </c>
      <c r="K6056" s="422">
        <v>2023</v>
      </c>
      <c r="L6056">
        <v>18078</v>
      </c>
      <c r="M6056" t="s">
        <v>630</v>
      </c>
      <c r="N6056" s="131">
        <v>18078</v>
      </c>
      <c r="O6056" s="436">
        <f t="shared" si="257"/>
        <v>1952424</v>
      </c>
      <c r="P6056" s="89">
        <v>1134</v>
      </c>
      <c r="Q6056" t="s">
        <v>47</v>
      </c>
      <c r="R6056" s="422" t="s">
        <v>1869</v>
      </c>
      <c r="S6056" s="422" t="s">
        <v>1861</v>
      </c>
      <c r="T6056" s="422" t="s">
        <v>5822</v>
      </c>
      <c r="U6056" s="422" t="s">
        <v>1953</v>
      </c>
      <c r="V6056" s="422" t="s">
        <v>2813</v>
      </c>
    </row>
    <row r="6057" spans="1:22" ht="15.75" thickBot="1" x14ac:dyDescent="0.3">
      <c r="A6057" t="s">
        <v>4668</v>
      </c>
      <c r="B6057" t="s">
        <v>4668</v>
      </c>
      <c r="C6057" s="424" t="str">
        <f t="shared" si="256"/>
        <v>Viação Alvorada, Lda</v>
      </c>
      <c r="D6057" t="s">
        <v>629</v>
      </c>
      <c r="F6057" t="s">
        <v>620</v>
      </c>
      <c r="G6057" s="89">
        <v>2022</v>
      </c>
      <c r="H6057" s="313" t="s">
        <v>5816</v>
      </c>
      <c r="I6057" s="311" t="str">
        <f t="shared" si="258"/>
        <v>Pesado de Passageiros M3:  : Gasóleo : E6 D/E E7</v>
      </c>
      <c r="J6057">
        <v>108</v>
      </c>
      <c r="K6057" s="422">
        <v>2023</v>
      </c>
      <c r="L6057">
        <v>19904</v>
      </c>
      <c r="M6057" t="s">
        <v>630</v>
      </c>
      <c r="N6057" s="131">
        <v>19904</v>
      </c>
      <c r="O6057" s="436">
        <f t="shared" si="257"/>
        <v>2149632</v>
      </c>
      <c r="P6057" s="89">
        <v>1135</v>
      </c>
      <c r="Q6057" t="s">
        <v>47</v>
      </c>
      <c r="R6057" s="422" t="s">
        <v>1869</v>
      </c>
      <c r="S6057" s="422" t="s">
        <v>1861</v>
      </c>
      <c r="T6057" s="422" t="s">
        <v>5822</v>
      </c>
      <c r="U6057" s="422" t="s">
        <v>1953</v>
      </c>
      <c r="V6057" s="422" t="s">
        <v>2813</v>
      </c>
    </row>
    <row r="6058" spans="1:22" ht="15.75" thickBot="1" x14ac:dyDescent="0.3">
      <c r="A6058" t="s">
        <v>4668</v>
      </c>
      <c r="B6058" t="s">
        <v>4668</v>
      </c>
      <c r="C6058" s="424" t="str">
        <f t="shared" si="256"/>
        <v>Viação Alvorada, Lda</v>
      </c>
      <c r="D6058" t="s">
        <v>629</v>
      </c>
      <c r="F6058" t="s">
        <v>620</v>
      </c>
      <c r="G6058" s="89">
        <v>2022</v>
      </c>
      <c r="H6058" s="313" t="s">
        <v>5816</v>
      </c>
      <c r="I6058" s="311" t="str">
        <f t="shared" si="258"/>
        <v>Pesado de Passageiros M3:  : Gasóleo : E6 D/E E7</v>
      </c>
      <c r="J6058">
        <v>108</v>
      </c>
      <c r="K6058" s="422">
        <v>2023</v>
      </c>
      <c r="L6058">
        <v>21648</v>
      </c>
      <c r="M6058" t="s">
        <v>630</v>
      </c>
      <c r="N6058" s="131">
        <v>21648</v>
      </c>
      <c r="O6058" s="436">
        <f t="shared" si="257"/>
        <v>2337984</v>
      </c>
      <c r="P6058" s="89">
        <v>1136</v>
      </c>
      <c r="Q6058" t="s">
        <v>47</v>
      </c>
      <c r="R6058" s="422" t="s">
        <v>1869</v>
      </c>
      <c r="S6058" s="422" t="s">
        <v>1861</v>
      </c>
      <c r="T6058" s="422" t="s">
        <v>5822</v>
      </c>
      <c r="U6058" s="422" t="s">
        <v>1953</v>
      </c>
      <c r="V6058" s="422" t="s">
        <v>2813</v>
      </c>
    </row>
    <row r="6059" spans="1:22" ht="15.75" thickBot="1" x14ac:dyDescent="0.3">
      <c r="A6059" t="s">
        <v>4668</v>
      </c>
      <c r="B6059" t="s">
        <v>4668</v>
      </c>
      <c r="C6059" s="424" t="str">
        <f t="shared" si="256"/>
        <v>Viação Alvorada, Lda</v>
      </c>
      <c r="D6059" t="s">
        <v>629</v>
      </c>
      <c r="F6059" t="s">
        <v>620</v>
      </c>
      <c r="G6059" s="89">
        <v>2022</v>
      </c>
      <c r="H6059" s="313" t="s">
        <v>5816</v>
      </c>
      <c r="I6059" s="311" t="str">
        <f t="shared" si="258"/>
        <v>Pesado de Passageiros M3:  : Gasóleo : E6 D/E E7</v>
      </c>
      <c r="J6059">
        <v>108</v>
      </c>
      <c r="K6059" s="422">
        <v>2023</v>
      </c>
      <c r="L6059">
        <v>16294</v>
      </c>
      <c r="M6059" t="s">
        <v>630</v>
      </c>
      <c r="N6059" s="131">
        <v>16294</v>
      </c>
      <c r="O6059" s="436">
        <f t="shared" si="257"/>
        <v>1759752</v>
      </c>
      <c r="P6059" s="89">
        <v>1137</v>
      </c>
      <c r="Q6059" t="s">
        <v>47</v>
      </c>
      <c r="R6059" s="422" t="s">
        <v>1869</v>
      </c>
      <c r="S6059" s="422" t="s">
        <v>1861</v>
      </c>
      <c r="T6059" s="422" t="s">
        <v>5822</v>
      </c>
      <c r="U6059" s="422" t="s">
        <v>1953</v>
      </c>
      <c r="V6059" s="422" t="s">
        <v>2813</v>
      </c>
    </row>
    <row r="6060" spans="1:22" ht="15.75" thickBot="1" x14ac:dyDescent="0.3">
      <c r="A6060" t="s">
        <v>4668</v>
      </c>
      <c r="B6060" t="s">
        <v>4668</v>
      </c>
      <c r="C6060" s="424" t="str">
        <f t="shared" si="256"/>
        <v>Viação Alvorada, Lda</v>
      </c>
      <c r="D6060" t="s">
        <v>629</v>
      </c>
      <c r="F6060" t="s">
        <v>620</v>
      </c>
      <c r="G6060" s="89">
        <v>2022</v>
      </c>
      <c r="H6060" s="313" t="s">
        <v>5816</v>
      </c>
      <c r="I6060" s="311" t="str">
        <f t="shared" si="258"/>
        <v>Pesado de Passageiros M3:  : Gasóleo : E6 D/E E7</v>
      </c>
      <c r="J6060">
        <v>108</v>
      </c>
      <c r="K6060" s="422">
        <v>2023</v>
      </c>
      <c r="L6060">
        <v>21587</v>
      </c>
      <c r="M6060" t="s">
        <v>630</v>
      </c>
      <c r="N6060" s="131">
        <v>21587</v>
      </c>
      <c r="O6060" s="436">
        <f t="shared" si="257"/>
        <v>2331396</v>
      </c>
      <c r="P6060" s="89">
        <v>1138</v>
      </c>
      <c r="Q6060" t="s">
        <v>47</v>
      </c>
      <c r="R6060" s="422" t="s">
        <v>1869</v>
      </c>
      <c r="S6060" s="422" t="s">
        <v>1861</v>
      </c>
      <c r="T6060" s="422" t="s">
        <v>5822</v>
      </c>
      <c r="U6060" s="422" t="s">
        <v>1953</v>
      </c>
      <c r="V6060" s="422" t="s">
        <v>2813</v>
      </c>
    </row>
    <row r="6061" spans="1:22" ht="15.75" thickBot="1" x14ac:dyDescent="0.3">
      <c r="A6061" t="s">
        <v>4668</v>
      </c>
      <c r="B6061" t="s">
        <v>4668</v>
      </c>
      <c r="C6061" s="424" t="str">
        <f t="shared" si="256"/>
        <v>Viação Alvorada, Lda</v>
      </c>
      <c r="D6061" t="s">
        <v>629</v>
      </c>
      <c r="F6061" t="s">
        <v>620</v>
      </c>
      <c r="G6061" s="89">
        <v>2022</v>
      </c>
      <c r="H6061" s="313" t="s">
        <v>5816</v>
      </c>
      <c r="I6061" s="311" t="str">
        <f t="shared" si="258"/>
        <v>Pesado de Passageiros M3:  : Gasóleo : E6 D/E E7</v>
      </c>
      <c r="J6061">
        <v>108</v>
      </c>
      <c r="K6061" s="422">
        <v>2023</v>
      </c>
      <c r="L6061">
        <v>18324</v>
      </c>
      <c r="M6061" t="s">
        <v>630</v>
      </c>
      <c r="N6061" s="131">
        <v>18324</v>
      </c>
      <c r="O6061" s="436">
        <f t="shared" si="257"/>
        <v>1978992</v>
      </c>
      <c r="P6061" s="89">
        <v>1139</v>
      </c>
      <c r="Q6061" t="s">
        <v>47</v>
      </c>
      <c r="R6061" s="422" t="s">
        <v>1869</v>
      </c>
      <c r="S6061" s="422" t="s">
        <v>1861</v>
      </c>
      <c r="T6061" s="422" t="s">
        <v>5822</v>
      </c>
      <c r="U6061" s="422" t="s">
        <v>1953</v>
      </c>
      <c r="V6061" s="422" t="s">
        <v>2813</v>
      </c>
    </row>
    <row r="6062" spans="1:22" ht="15.75" thickBot="1" x14ac:dyDescent="0.3">
      <c r="A6062" t="s">
        <v>4668</v>
      </c>
      <c r="B6062" t="s">
        <v>4668</v>
      </c>
      <c r="C6062" s="424" t="str">
        <f t="shared" si="256"/>
        <v>Viação Alvorada, Lda</v>
      </c>
      <c r="D6062" t="s">
        <v>629</v>
      </c>
      <c r="F6062" t="s">
        <v>620</v>
      </c>
      <c r="G6062" s="89">
        <v>2022</v>
      </c>
      <c r="H6062" s="313" t="s">
        <v>5816</v>
      </c>
      <c r="I6062" s="311" t="str">
        <f t="shared" si="258"/>
        <v>Pesado de Passageiros M3:  : Gasóleo : E6 D/E E7</v>
      </c>
      <c r="J6062">
        <v>108</v>
      </c>
      <c r="K6062" s="422">
        <v>2023</v>
      </c>
      <c r="L6062">
        <v>20688</v>
      </c>
      <c r="M6062" t="s">
        <v>630</v>
      </c>
      <c r="N6062" s="131">
        <v>20688</v>
      </c>
      <c r="O6062" s="436">
        <f t="shared" si="257"/>
        <v>2234304</v>
      </c>
      <c r="P6062" s="89">
        <v>1140</v>
      </c>
      <c r="Q6062" t="s">
        <v>47</v>
      </c>
      <c r="R6062" s="422" t="s">
        <v>1869</v>
      </c>
      <c r="S6062" s="422" t="s">
        <v>1861</v>
      </c>
      <c r="T6062" s="422" t="s">
        <v>5822</v>
      </c>
      <c r="U6062" s="422" t="s">
        <v>1953</v>
      </c>
      <c r="V6062" s="422" t="s">
        <v>2813</v>
      </c>
    </row>
    <row r="6063" spans="1:22" ht="15.75" thickBot="1" x14ac:dyDescent="0.3">
      <c r="A6063" t="s">
        <v>4668</v>
      </c>
      <c r="B6063" t="s">
        <v>4668</v>
      </c>
      <c r="C6063" s="424" t="str">
        <f t="shared" si="256"/>
        <v>Viação Alvorada, Lda</v>
      </c>
      <c r="D6063" t="s">
        <v>629</v>
      </c>
      <c r="F6063" t="s">
        <v>620</v>
      </c>
      <c r="G6063" s="89">
        <v>2022</v>
      </c>
      <c r="H6063" s="313" t="s">
        <v>5816</v>
      </c>
      <c r="I6063" s="311" t="str">
        <f t="shared" si="258"/>
        <v>Pesado de Passageiros M3:  : Gasóleo : E6 D/E E7</v>
      </c>
      <c r="J6063">
        <v>108</v>
      </c>
      <c r="K6063" s="422">
        <v>2023</v>
      </c>
      <c r="L6063">
        <v>17802</v>
      </c>
      <c r="M6063" t="s">
        <v>630</v>
      </c>
      <c r="N6063" s="131">
        <v>17802</v>
      </c>
      <c r="O6063" s="436">
        <f t="shared" si="257"/>
        <v>1922616</v>
      </c>
      <c r="P6063" s="89">
        <v>1141</v>
      </c>
      <c r="Q6063" t="s">
        <v>47</v>
      </c>
      <c r="R6063" s="422" t="s">
        <v>1869</v>
      </c>
      <c r="S6063" s="422" t="s">
        <v>1861</v>
      </c>
      <c r="T6063" s="422" t="s">
        <v>5822</v>
      </c>
      <c r="U6063" s="422" t="s">
        <v>1953</v>
      </c>
      <c r="V6063" s="422" t="s">
        <v>2813</v>
      </c>
    </row>
    <row r="6064" spans="1:22" ht="15.75" thickBot="1" x14ac:dyDescent="0.3">
      <c r="A6064" t="s">
        <v>4668</v>
      </c>
      <c r="B6064" t="s">
        <v>4668</v>
      </c>
      <c r="C6064" s="424" t="str">
        <f t="shared" si="256"/>
        <v>Viação Alvorada, Lda</v>
      </c>
      <c r="D6064" t="s">
        <v>629</v>
      </c>
      <c r="F6064" t="s">
        <v>620</v>
      </c>
      <c r="G6064" s="89">
        <v>2022</v>
      </c>
      <c r="H6064" s="313" t="s">
        <v>5816</v>
      </c>
      <c r="I6064" s="311" t="str">
        <f t="shared" si="258"/>
        <v>Pesado de Passageiros M3:  : Gasóleo : E6 D/E E7</v>
      </c>
      <c r="J6064">
        <v>108</v>
      </c>
      <c r="K6064" s="422">
        <v>2023</v>
      </c>
      <c r="L6064">
        <v>21937</v>
      </c>
      <c r="M6064" t="s">
        <v>630</v>
      </c>
      <c r="N6064" s="131">
        <v>21937</v>
      </c>
      <c r="O6064" s="436">
        <f t="shared" si="257"/>
        <v>2369196</v>
      </c>
      <c r="P6064" s="89">
        <v>1142</v>
      </c>
      <c r="Q6064" t="s">
        <v>47</v>
      </c>
      <c r="R6064" s="422" t="s">
        <v>1869</v>
      </c>
      <c r="S6064" s="422" t="s">
        <v>1861</v>
      </c>
      <c r="T6064" s="422" t="s">
        <v>5822</v>
      </c>
      <c r="U6064" s="422" t="s">
        <v>1953</v>
      </c>
      <c r="V6064" s="422" t="s">
        <v>2813</v>
      </c>
    </row>
    <row r="6065" spans="1:22" ht="15.75" thickBot="1" x14ac:dyDescent="0.3">
      <c r="A6065" t="s">
        <v>4668</v>
      </c>
      <c r="B6065" t="s">
        <v>4668</v>
      </c>
      <c r="C6065" s="424" t="str">
        <f t="shared" si="256"/>
        <v>Viação Alvorada, Lda</v>
      </c>
      <c r="D6065" t="s">
        <v>629</v>
      </c>
      <c r="F6065" t="s">
        <v>620</v>
      </c>
      <c r="G6065" s="89">
        <v>2022</v>
      </c>
      <c r="H6065" s="313" t="s">
        <v>5816</v>
      </c>
      <c r="I6065" s="311" t="str">
        <f t="shared" si="258"/>
        <v>Pesado de Passageiros M3:  : Gasóleo : E6 D/E E7</v>
      </c>
      <c r="J6065">
        <v>108</v>
      </c>
      <c r="K6065" s="422">
        <v>2023</v>
      </c>
      <c r="L6065">
        <v>15897</v>
      </c>
      <c r="M6065" t="s">
        <v>630</v>
      </c>
      <c r="N6065" s="131">
        <v>15897</v>
      </c>
      <c r="O6065" s="436">
        <f t="shared" si="257"/>
        <v>1716876</v>
      </c>
      <c r="P6065" s="89">
        <v>1143</v>
      </c>
      <c r="Q6065" t="s">
        <v>47</v>
      </c>
      <c r="R6065" s="422" t="s">
        <v>1869</v>
      </c>
      <c r="S6065" s="422" t="s">
        <v>1861</v>
      </c>
      <c r="T6065" s="422" t="s">
        <v>5822</v>
      </c>
      <c r="U6065" s="422" t="s">
        <v>1953</v>
      </c>
      <c r="V6065" s="422" t="s">
        <v>2813</v>
      </c>
    </row>
    <row r="6066" spans="1:22" ht="15.75" thickBot="1" x14ac:dyDescent="0.3">
      <c r="A6066" t="s">
        <v>4668</v>
      </c>
      <c r="B6066" t="s">
        <v>4668</v>
      </c>
      <c r="C6066" s="424" t="str">
        <f t="shared" ref="C6066:C6129" si="259">IF(A6066=B6066,B6066,RIGHT(A6066,LEN(A6066)-LEN(B6066)-3))</f>
        <v>Viação Alvorada, Lda</v>
      </c>
      <c r="D6066" t="s">
        <v>629</v>
      </c>
      <c r="F6066" t="s">
        <v>620</v>
      </c>
      <c r="G6066" s="89">
        <v>2022</v>
      </c>
      <c r="H6066" s="313" t="s">
        <v>5816</v>
      </c>
      <c r="I6066" s="311" t="str">
        <f t="shared" si="258"/>
        <v>Pesado de Passageiros M3:  : Gasóleo : E6 D/E E7</v>
      </c>
      <c r="J6066">
        <v>108</v>
      </c>
      <c r="K6066" s="422">
        <v>2023</v>
      </c>
      <c r="L6066">
        <v>16853</v>
      </c>
      <c r="M6066" t="s">
        <v>630</v>
      </c>
      <c r="N6066" s="131">
        <v>16853</v>
      </c>
      <c r="O6066" s="436">
        <f t="shared" si="257"/>
        <v>1820124</v>
      </c>
      <c r="P6066" s="89">
        <v>1144</v>
      </c>
      <c r="Q6066" t="s">
        <v>47</v>
      </c>
      <c r="R6066" s="422" t="s">
        <v>1869</v>
      </c>
      <c r="S6066" s="422" t="s">
        <v>1861</v>
      </c>
      <c r="T6066" s="422" t="s">
        <v>5822</v>
      </c>
      <c r="U6066" s="422" t="s">
        <v>1953</v>
      </c>
      <c r="V6066" s="422" t="s">
        <v>2813</v>
      </c>
    </row>
    <row r="6067" spans="1:22" ht="15.75" thickBot="1" x14ac:dyDescent="0.3">
      <c r="A6067" t="s">
        <v>4668</v>
      </c>
      <c r="B6067" t="s">
        <v>4668</v>
      </c>
      <c r="C6067" s="424" t="str">
        <f t="shared" si="259"/>
        <v>Viação Alvorada, Lda</v>
      </c>
      <c r="D6067" t="s">
        <v>629</v>
      </c>
      <c r="F6067" t="s">
        <v>620</v>
      </c>
      <c r="G6067" s="89">
        <v>2022</v>
      </c>
      <c r="H6067" s="313" t="s">
        <v>5816</v>
      </c>
      <c r="I6067" s="311" t="str">
        <f t="shared" si="258"/>
        <v>Pesado de Passageiros M3:  : Gasóleo : E6 D/E E7</v>
      </c>
      <c r="J6067">
        <v>108</v>
      </c>
      <c r="K6067" s="422">
        <v>2023</v>
      </c>
      <c r="L6067">
        <v>16244</v>
      </c>
      <c r="M6067" t="s">
        <v>630</v>
      </c>
      <c r="N6067" s="131">
        <v>16244</v>
      </c>
      <c r="O6067" s="436">
        <f t="shared" si="257"/>
        <v>1754352</v>
      </c>
      <c r="P6067" s="89">
        <v>1145</v>
      </c>
      <c r="Q6067" t="s">
        <v>47</v>
      </c>
      <c r="R6067" s="422" t="s">
        <v>1869</v>
      </c>
      <c r="S6067" s="422" t="s">
        <v>1861</v>
      </c>
      <c r="T6067" s="422" t="s">
        <v>5822</v>
      </c>
      <c r="U6067" s="422" t="s">
        <v>1953</v>
      </c>
      <c r="V6067" s="422" t="s">
        <v>2813</v>
      </c>
    </row>
    <row r="6068" spans="1:22" ht="15.75" thickBot="1" x14ac:dyDescent="0.3">
      <c r="A6068" t="s">
        <v>4668</v>
      </c>
      <c r="B6068" t="s">
        <v>4668</v>
      </c>
      <c r="C6068" s="424" t="str">
        <f t="shared" si="259"/>
        <v>Viação Alvorada, Lda</v>
      </c>
      <c r="D6068" t="s">
        <v>629</v>
      </c>
      <c r="F6068" t="s">
        <v>620</v>
      </c>
      <c r="G6068" s="89">
        <v>2022</v>
      </c>
      <c r="H6068" s="313" t="s">
        <v>5816</v>
      </c>
      <c r="I6068" s="311" t="str">
        <f t="shared" si="258"/>
        <v>Pesado de Passageiros M3:  : Gasóleo : E6 D/E E7</v>
      </c>
      <c r="J6068">
        <v>108</v>
      </c>
      <c r="K6068" s="422">
        <v>2023</v>
      </c>
      <c r="L6068">
        <v>17875</v>
      </c>
      <c r="M6068" t="s">
        <v>630</v>
      </c>
      <c r="N6068" s="131">
        <v>17875</v>
      </c>
      <c r="O6068" s="436">
        <f t="shared" si="257"/>
        <v>1930500</v>
      </c>
      <c r="P6068" s="89">
        <v>1146</v>
      </c>
      <c r="Q6068" t="s">
        <v>47</v>
      </c>
      <c r="R6068" s="422" t="s">
        <v>1869</v>
      </c>
      <c r="S6068" s="422" t="s">
        <v>1861</v>
      </c>
      <c r="T6068" s="422" t="s">
        <v>5822</v>
      </c>
      <c r="U6068" s="422" t="s">
        <v>1953</v>
      </c>
      <c r="V6068" s="422" t="s">
        <v>2813</v>
      </c>
    </row>
    <row r="6069" spans="1:22" ht="15.75" thickBot="1" x14ac:dyDescent="0.3">
      <c r="A6069" t="s">
        <v>4668</v>
      </c>
      <c r="B6069" t="s">
        <v>4668</v>
      </c>
      <c r="C6069" s="424" t="str">
        <f t="shared" si="259"/>
        <v>Viação Alvorada, Lda</v>
      </c>
      <c r="D6069" t="s">
        <v>629</v>
      </c>
      <c r="F6069" t="s">
        <v>620</v>
      </c>
      <c r="G6069" s="89">
        <v>2022</v>
      </c>
      <c r="H6069" s="313" t="s">
        <v>5816</v>
      </c>
      <c r="I6069" s="311" t="str">
        <f t="shared" si="258"/>
        <v>Pesado de Passageiros M3:  : Gasóleo : E6 D/E E7</v>
      </c>
      <c r="J6069">
        <v>108</v>
      </c>
      <c r="K6069" s="422">
        <v>2023</v>
      </c>
      <c r="L6069">
        <v>14738</v>
      </c>
      <c r="M6069" t="s">
        <v>630</v>
      </c>
      <c r="N6069" s="131">
        <v>14738</v>
      </c>
      <c r="O6069" s="436">
        <f t="shared" si="257"/>
        <v>1591704</v>
      </c>
      <c r="P6069" s="89">
        <v>1147</v>
      </c>
      <c r="Q6069" t="s">
        <v>47</v>
      </c>
      <c r="R6069" s="422" t="s">
        <v>1869</v>
      </c>
      <c r="S6069" s="422" t="s">
        <v>1861</v>
      </c>
      <c r="T6069" s="422" t="s">
        <v>5822</v>
      </c>
      <c r="U6069" s="422" t="s">
        <v>1953</v>
      </c>
      <c r="V6069" s="422" t="s">
        <v>2813</v>
      </c>
    </row>
    <row r="6070" spans="1:22" ht="15.75" thickBot="1" x14ac:dyDescent="0.3">
      <c r="A6070" t="s">
        <v>4668</v>
      </c>
      <c r="B6070" t="s">
        <v>4668</v>
      </c>
      <c r="C6070" s="424" t="str">
        <f t="shared" si="259"/>
        <v>Viação Alvorada, Lda</v>
      </c>
      <c r="D6070" t="s">
        <v>629</v>
      </c>
      <c r="F6070" t="s">
        <v>620</v>
      </c>
      <c r="G6070" s="89">
        <v>2022</v>
      </c>
      <c r="H6070" s="313" t="s">
        <v>5816</v>
      </c>
      <c r="I6070" s="311" t="str">
        <f t="shared" si="258"/>
        <v>Pesado de Passageiros M3:  : Gasóleo : E6 D/E E7</v>
      </c>
      <c r="J6070">
        <v>108</v>
      </c>
      <c r="K6070" s="422">
        <v>2023</v>
      </c>
      <c r="L6070">
        <v>18069</v>
      </c>
      <c r="M6070" t="s">
        <v>630</v>
      </c>
      <c r="N6070" s="131">
        <v>18069</v>
      </c>
      <c r="O6070" s="436">
        <f t="shared" si="257"/>
        <v>1951452</v>
      </c>
      <c r="P6070" s="89">
        <v>1148</v>
      </c>
      <c r="Q6070" t="s">
        <v>47</v>
      </c>
      <c r="R6070" s="422" t="s">
        <v>1869</v>
      </c>
      <c r="S6070" s="422" t="s">
        <v>1861</v>
      </c>
      <c r="T6070" s="422" t="s">
        <v>5822</v>
      </c>
      <c r="U6070" s="422" t="s">
        <v>1953</v>
      </c>
      <c r="V6070" s="422" t="s">
        <v>2813</v>
      </c>
    </row>
    <row r="6071" spans="1:22" ht="15.75" thickBot="1" x14ac:dyDescent="0.3">
      <c r="A6071" t="s">
        <v>4668</v>
      </c>
      <c r="B6071" t="s">
        <v>4668</v>
      </c>
      <c r="C6071" s="424" t="str">
        <f t="shared" si="259"/>
        <v>Viação Alvorada, Lda</v>
      </c>
      <c r="D6071" t="s">
        <v>629</v>
      </c>
      <c r="F6071" t="s">
        <v>620</v>
      </c>
      <c r="G6071" s="89">
        <v>2022</v>
      </c>
      <c r="H6071" s="313" t="s">
        <v>5816</v>
      </c>
      <c r="I6071" s="311" t="str">
        <f t="shared" si="258"/>
        <v>Pesado de Passageiros M3:  : Gasóleo : E6 D/E E7</v>
      </c>
      <c r="J6071">
        <v>108</v>
      </c>
      <c r="K6071" s="422">
        <v>2023</v>
      </c>
      <c r="L6071">
        <v>18882</v>
      </c>
      <c r="M6071" t="s">
        <v>630</v>
      </c>
      <c r="N6071" s="131">
        <v>18882</v>
      </c>
      <c r="O6071" s="436">
        <f t="shared" si="257"/>
        <v>2039256</v>
      </c>
      <c r="P6071" s="89">
        <v>1149</v>
      </c>
      <c r="Q6071" t="s">
        <v>47</v>
      </c>
      <c r="R6071" s="422" t="s">
        <v>1869</v>
      </c>
      <c r="S6071" s="422" t="s">
        <v>1861</v>
      </c>
      <c r="T6071" s="422" t="s">
        <v>5822</v>
      </c>
      <c r="U6071" s="422" t="s">
        <v>1953</v>
      </c>
      <c r="V6071" s="422" t="s">
        <v>2813</v>
      </c>
    </row>
    <row r="6072" spans="1:22" ht="15.75" thickBot="1" x14ac:dyDescent="0.3">
      <c r="A6072" t="s">
        <v>4668</v>
      </c>
      <c r="B6072" t="s">
        <v>4668</v>
      </c>
      <c r="C6072" s="424" t="str">
        <f t="shared" si="259"/>
        <v>Viação Alvorada, Lda</v>
      </c>
      <c r="D6072" t="s">
        <v>629</v>
      </c>
      <c r="F6072" t="s">
        <v>620</v>
      </c>
      <c r="G6072" s="89">
        <v>2022</v>
      </c>
      <c r="H6072" s="313" t="s">
        <v>5816</v>
      </c>
      <c r="I6072" s="311" t="str">
        <f t="shared" si="258"/>
        <v>Pesado de Passageiros M3:  : Gasóleo : E6 D/E E7</v>
      </c>
      <c r="J6072">
        <v>108</v>
      </c>
      <c r="K6072" s="422">
        <v>2023</v>
      </c>
      <c r="L6072">
        <v>18561</v>
      </c>
      <c r="M6072" t="s">
        <v>630</v>
      </c>
      <c r="N6072" s="131">
        <v>18561</v>
      </c>
      <c r="O6072" s="436">
        <f t="shared" si="257"/>
        <v>2004588</v>
      </c>
      <c r="P6072" s="89">
        <v>1150</v>
      </c>
      <c r="Q6072" t="s">
        <v>47</v>
      </c>
      <c r="R6072" s="422" t="s">
        <v>1869</v>
      </c>
      <c r="S6072" s="422" t="s">
        <v>1861</v>
      </c>
      <c r="T6072" s="422" t="s">
        <v>5822</v>
      </c>
      <c r="U6072" s="422" t="s">
        <v>1953</v>
      </c>
      <c r="V6072" s="422" t="s">
        <v>2813</v>
      </c>
    </row>
    <row r="6073" spans="1:22" ht="15.75" thickBot="1" x14ac:dyDescent="0.3">
      <c r="A6073" t="s">
        <v>4668</v>
      </c>
      <c r="B6073" t="s">
        <v>4668</v>
      </c>
      <c r="C6073" s="424" t="str">
        <f t="shared" si="259"/>
        <v>Viação Alvorada, Lda</v>
      </c>
      <c r="D6073" t="s">
        <v>629</v>
      </c>
      <c r="F6073" t="s">
        <v>620</v>
      </c>
      <c r="G6073" s="89">
        <v>2022</v>
      </c>
      <c r="H6073" s="313" t="s">
        <v>5816</v>
      </c>
      <c r="I6073" s="311" t="str">
        <f t="shared" si="258"/>
        <v>Pesado de Passageiros M3:  : Gasóleo : E6 D/E E7</v>
      </c>
      <c r="J6073">
        <v>108</v>
      </c>
      <c r="K6073" s="422">
        <v>2023</v>
      </c>
      <c r="L6073">
        <v>21000</v>
      </c>
      <c r="M6073" t="s">
        <v>630</v>
      </c>
      <c r="N6073" s="131">
        <v>21000</v>
      </c>
      <c r="O6073" s="436">
        <f t="shared" si="257"/>
        <v>2268000</v>
      </c>
      <c r="P6073" s="89">
        <v>1151</v>
      </c>
      <c r="Q6073" t="s">
        <v>47</v>
      </c>
      <c r="R6073" s="422" t="s">
        <v>1869</v>
      </c>
      <c r="S6073" s="422" t="s">
        <v>1861</v>
      </c>
      <c r="T6073" s="422" t="s">
        <v>5822</v>
      </c>
      <c r="U6073" s="422" t="s">
        <v>1953</v>
      </c>
      <c r="V6073" s="422" t="s">
        <v>2813</v>
      </c>
    </row>
    <row r="6074" spans="1:22" ht="15.75" thickBot="1" x14ac:dyDescent="0.3">
      <c r="A6074" t="s">
        <v>4668</v>
      </c>
      <c r="B6074" t="s">
        <v>4668</v>
      </c>
      <c r="C6074" s="424" t="str">
        <f t="shared" si="259"/>
        <v>Viação Alvorada, Lda</v>
      </c>
      <c r="D6074" t="s">
        <v>629</v>
      </c>
      <c r="F6074" t="s">
        <v>620</v>
      </c>
      <c r="G6074" s="89">
        <v>2022</v>
      </c>
      <c r="H6074" s="313" t="s">
        <v>5816</v>
      </c>
      <c r="I6074" s="311" t="str">
        <f t="shared" si="258"/>
        <v>Pesado de Passageiros M3:  : Gasóleo : E6 D/E E7</v>
      </c>
      <c r="J6074">
        <v>108</v>
      </c>
      <c r="K6074" s="422">
        <v>2023</v>
      </c>
      <c r="L6074">
        <v>18794</v>
      </c>
      <c r="M6074" t="s">
        <v>630</v>
      </c>
      <c r="N6074" s="131">
        <v>18794</v>
      </c>
      <c r="O6074" s="436">
        <f t="shared" si="257"/>
        <v>2029752</v>
      </c>
      <c r="P6074" s="89">
        <v>1152</v>
      </c>
      <c r="Q6074" t="s">
        <v>47</v>
      </c>
      <c r="R6074" s="422" t="s">
        <v>1869</v>
      </c>
      <c r="S6074" s="422" t="s">
        <v>1861</v>
      </c>
      <c r="T6074" s="422" t="s">
        <v>5822</v>
      </c>
      <c r="U6074" s="422" t="s">
        <v>1953</v>
      </c>
      <c r="V6074" s="422" t="s">
        <v>2813</v>
      </c>
    </row>
    <row r="6075" spans="1:22" ht="15.75" thickBot="1" x14ac:dyDescent="0.3">
      <c r="A6075" t="s">
        <v>4668</v>
      </c>
      <c r="B6075" t="s">
        <v>4668</v>
      </c>
      <c r="C6075" s="424" t="str">
        <f t="shared" si="259"/>
        <v>Viação Alvorada, Lda</v>
      </c>
      <c r="D6075" t="s">
        <v>629</v>
      </c>
      <c r="F6075" t="s">
        <v>620</v>
      </c>
      <c r="G6075" s="89">
        <v>2022</v>
      </c>
      <c r="H6075" s="313" t="s">
        <v>5816</v>
      </c>
      <c r="I6075" s="311" t="str">
        <f t="shared" si="258"/>
        <v>Pesado de Passageiros M3:  : Gasóleo : E6 D/E E7</v>
      </c>
      <c r="J6075">
        <v>108</v>
      </c>
      <c r="K6075" s="422">
        <v>2023</v>
      </c>
      <c r="L6075">
        <v>20558</v>
      </c>
      <c r="M6075" t="s">
        <v>630</v>
      </c>
      <c r="N6075" s="131">
        <v>20558</v>
      </c>
      <c r="O6075" s="436">
        <f t="shared" si="257"/>
        <v>2220264</v>
      </c>
      <c r="P6075" s="89">
        <v>1153</v>
      </c>
      <c r="Q6075" t="s">
        <v>47</v>
      </c>
      <c r="R6075" s="422" t="s">
        <v>1869</v>
      </c>
      <c r="S6075" s="422" t="s">
        <v>1861</v>
      </c>
      <c r="T6075" s="422" t="s">
        <v>5822</v>
      </c>
      <c r="U6075" s="422" t="s">
        <v>1953</v>
      </c>
      <c r="V6075" s="422" t="s">
        <v>2813</v>
      </c>
    </row>
    <row r="6076" spans="1:22" ht="15.75" thickBot="1" x14ac:dyDescent="0.3">
      <c r="A6076" t="s">
        <v>4668</v>
      </c>
      <c r="B6076" t="s">
        <v>4668</v>
      </c>
      <c r="C6076" s="424" t="str">
        <f t="shared" si="259"/>
        <v>Viação Alvorada, Lda</v>
      </c>
      <c r="D6076" t="s">
        <v>629</v>
      </c>
      <c r="F6076" t="s">
        <v>620</v>
      </c>
      <c r="G6076" s="89">
        <v>2022</v>
      </c>
      <c r="H6076" s="313" t="s">
        <v>5816</v>
      </c>
      <c r="I6076" s="311" t="str">
        <f t="shared" si="258"/>
        <v>Pesado de Passageiros M3:  : Gasóleo : E6 D/E E7</v>
      </c>
      <c r="J6076">
        <v>108</v>
      </c>
      <c r="K6076" s="422">
        <v>2023</v>
      </c>
      <c r="L6076">
        <v>16482</v>
      </c>
      <c r="M6076" t="s">
        <v>630</v>
      </c>
      <c r="N6076" s="131">
        <v>16482</v>
      </c>
      <c r="O6076" s="436">
        <f t="shared" si="257"/>
        <v>1780056</v>
      </c>
      <c r="P6076" s="89">
        <v>1154</v>
      </c>
      <c r="Q6076" t="s">
        <v>47</v>
      </c>
      <c r="R6076" s="422" t="s">
        <v>1869</v>
      </c>
      <c r="S6076" s="422" t="s">
        <v>1861</v>
      </c>
      <c r="T6076" s="422" t="s">
        <v>5822</v>
      </c>
      <c r="U6076" s="422" t="s">
        <v>1953</v>
      </c>
      <c r="V6076" s="422" t="s">
        <v>2813</v>
      </c>
    </row>
    <row r="6077" spans="1:22" ht="15.75" thickBot="1" x14ac:dyDescent="0.3">
      <c r="A6077" t="s">
        <v>4668</v>
      </c>
      <c r="B6077" t="s">
        <v>4668</v>
      </c>
      <c r="C6077" s="424" t="str">
        <f t="shared" si="259"/>
        <v>Viação Alvorada, Lda</v>
      </c>
      <c r="D6077" t="s">
        <v>629</v>
      </c>
      <c r="F6077" t="s">
        <v>620</v>
      </c>
      <c r="G6077" s="89">
        <v>2022</v>
      </c>
      <c r="H6077" s="313" t="s">
        <v>5816</v>
      </c>
      <c r="I6077" s="311" t="str">
        <f t="shared" si="258"/>
        <v>Pesado de Passageiros M3:  : Gasóleo : E6 D/E E7</v>
      </c>
      <c r="J6077">
        <v>108</v>
      </c>
      <c r="K6077" s="422">
        <v>2023</v>
      </c>
      <c r="L6077">
        <v>35018</v>
      </c>
      <c r="M6077" t="s">
        <v>630</v>
      </c>
      <c r="N6077" s="131">
        <v>35018</v>
      </c>
      <c r="O6077" s="436">
        <f t="shared" si="257"/>
        <v>3781944</v>
      </c>
      <c r="P6077" s="89">
        <v>1155</v>
      </c>
      <c r="Q6077" t="s">
        <v>47</v>
      </c>
      <c r="R6077" s="422" t="s">
        <v>1869</v>
      </c>
      <c r="S6077" s="422" t="s">
        <v>1861</v>
      </c>
      <c r="T6077" s="422" t="s">
        <v>5820</v>
      </c>
      <c r="U6077" s="422" t="s">
        <v>1953</v>
      </c>
      <c r="V6077" s="422" t="s">
        <v>2813</v>
      </c>
    </row>
    <row r="6078" spans="1:22" ht="15.75" thickBot="1" x14ac:dyDescent="0.3">
      <c r="A6078" t="s">
        <v>4668</v>
      </c>
      <c r="B6078" t="s">
        <v>4668</v>
      </c>
      <c r="C6078" s="424" t="str">
        <f t="shared" si="259"/>
        <v>Viação Alvorada, Lda</v>
      </c>
      <c r="D6078" t="s">
        <v>629</v>
      </c>
      <c r="F6078" t="s">
        <v>620</v>
      </c>
      <c r="G6078" s="89">
        <v>2022</v>
      </c>
      <c r="H6078" s="313" t="s">
        <v>5816</v>
      </c>
      <c r="I6078" s="311" t="str">
        <f t="shared" si="258"/>
        <v>Pesado de Passageiros M3:  : Gasóleo : E6 D/E E7</v>
      </c>
      <c r="J6078">
        <v>108</v>
      </c>
      <c r="K6078" s="422">
        <v>2023</v>
      </c>
      <c r="L6078">
        <v>39901</v>
      </c>
      <c r="M6078" t="s">
        <v>630</v>
      </c>
      <c r="N6078" s="131">
        <v>39901</v>
      </c>
      <c r="O6078" s="436">
        <f t="shared" si="257"/>
        <v>4309308</v>
      </c>
      <c r="P6078" s="89">
        <v>1156</v>
      </c>
      <c r="Q6078" t="s">
        <v>47</v>
      </c>
      <c r="R6078" s="422" t="s">
        <v>1869</v>
      </c>
      <c r="S6078" s="422" t="s">
        <v>1861</v>
      </c>
      <c r="T6078" s="422" t="s">
        <v>5820</v>
      </c>
      <c r="U6078" s="422" t="s">
        <v>1953</v>
      </c>
      <c r="V6078" s="422" t="s">
        <v>2813</v>
      </c>
    </row>
    <row r="6079" spans="1:22" ht="15.75" thickBot="1" x14ac:dyDescent="0.3">
      <c r="A6079" t="s">
        <v>4668</v>
      </c>
      <c r="B6079" t="s">
        <v>4668</v>
      </c>
      <c r="C6079" s="424" t="str">
        <f t="shared" si="259"/>
        <v>Viação Alvorada, Lda</v>
      </c>
      <c r="D6079" t="s">
        <v>629</v>
      </c>
      <c r="F6079" t="s">
        <v>620</v>
      </c>
      <c r="G6079" s="89">
        <v>2022</v>
      </c>
      <c r="H6079" s="313" t="s">
        <v>5816</v>
      </c>
      <c r="I6079" s="311" t="str">
        <f t="shared" si="258"/>
        <v>Pesado de Passageiros M3:  : Gasóleo : E6 D/E E7</v>
      </c>
      <c r="J6079">
        <v>108</v>
      </c>
      <c r="K6079" s="422">
        <v>2023</v>
      </c>
      <c r="L6079">
        <v>36564</v>
      </c>
      <c r="M6079" t="s">
        <v>630</v>
      </c>
      <c r="N6079" s="131">
        <v>36564</v>
      </c>
      <c r="O6079" s="436">
        <f t="shared" si="257"/>
        <v>3948912</v>
      </c>
      <c r="P6079" s="89">
        <v>1157</v>
      </c>
      <c r="Q6079" t="s">
        <v>47</v>
      </c>
      <c r="R6079" s="422" t="s">
        <v>1869</v>
      </c>
      <c r="S6079" s="422" t="s">
        <v>1861</v>
      </c>
      <c r="T6079" s="422" t="s">
        <v>5820</v>
      </c>
      <c r="U6079" s="422" t="s">
        <v>1953</v>
      </c>
      <c r="V6079" s="422" t="s">
        <v>2813</v>
      </c>
    </row>
    <row r="6080" spans="1:22" ht="15.75" thickBot="1" x14ac:dyDescent="0.3">
      <c r="A6080" t="s">
        <v>4668</v>
      </c>
      <c r="B6080" t="s">
        <v>4668</v>
      </c>
      <c r="C6080" s="424" t="str">
        <f t="shared" si="259"/>
        <v>Viação Alvorada, Lda</v>
      </c>
      <c r="D6080" t="s">
        <v>629</v>
      </c>
      <c r="F6080" t="s">
        <v>620</v>
      </c>
      <c r="G6080" s="89">
        <v>2022</v>
      </c>
      <c r="H6080" s="313" t="s">
        <v>5816</v>
      </c>
      <c r="I6080" s="311" t="str">
        <f t="shared" si="258"/>
        <v>Pesado de Passageiros M3:  : Gasóleo : E6 D/E E7</v>
      </c>
      <c r="J6080">
        <v>108</v>
      </c>
      <c r="K6080" s="422">
        <v>2023</v>
      </c>
      <c r="L6080">
        <v>34563</v>
      </c>
      <c r="M6080" t="s">
        <v>630</v>
      </c>
      <c r="N6080" s="131">
        <v>34563</v>
      </c>
      <c r="O6080" s="436">
        <f t="shared" si="257"/>
        <v>3732804</v>
      </c>
      <c r="P6080" s="89">
        <v>1158</v>
      </c>
      <c r="Q6080" t="s">
        <v>47</v>
      </c>
      <c r="R6080" s="422" t="s">
        <v>1869</v>
      </c>
      <c r="S6080" s="422" t="s">
        <v>1861</v>
      </c>
      <c r="T6080" s="422" t="s">
        <v>5820</v>
      </c>
      <c r="U6080" s="422" t="s">
        <v>1953</v>
      </c>
      <c r="V6080" s="422" t="s">
        <v>2813</v>
      </c>
    </row>
    <row r="6081" spans="1:22" ht="15.75" thickBot="1" x14ac:dyDescent="0.3">
      <c r="A6081" t="s">
        <v>4668</v>
      </c>
      <c r="B6081" t="s">
        <v>4668</v>
      </c>
      <c r="C6081" s="424" t="str">
        <f t="shared" si="259"/>
        <v>Viação Alvorada, Lda</v>
      </c>
      <c r="D6081" t="s">
        <v>629</v>
      </c>
      <c r="F6081" t="s">
        <v>620</v>
      </c>
      <c r="G6081" s="89">
        <v>2022</v>
      </c>
      <c r="H6081" s="313" t="s">
        <v>5816</v>
      </c>
      <c r="I6081" s="311" t="str">
        <f t="shared" si="258"/>
        <v>Pesado de Passageiros M3:  : Gasóleo : E6 D/E E7</v>
      </c>
      <c r="J6081">
        <v>108</v>
      </c>
      <c r="K6081" s="422">
        <v>2023</v>
      </c>
      <c r="L6081">
        <v>36074</v>
      </c>
      <c r="M6081" t="s">
        <v>630</v>
      </c>
      <c r="N6081" s="131">
        <v>36074</v>
      </c>
      <c r="O6081" s="436">
        <f t="shared" si="257"/>
        <v>3895992</v>
      </c>
      <c r="P6081" s="89">
        <v>1159</v>
      </c>
      <c r="Q6081" t="s">
        <v>47</v>
      </c>
      <c r="R6081" s="422" t="s">
        <v>1869</v>
      </c>
      <c r="S6081" s="422" t="s">
        <v>1861</v>
      </c>
      <c r="T6081" s="422" t="s">
        <v>5820</v>
      </c>
      <c r="U6081" s="422" t="s">
        <v>1953</v>
      </c>
      <c r="V6081" s="422" t="s">
        <v>2813</v>
      </c>
    </row>
    <row r="6082" spans="1:22" ht="15.75" thickBot="1" x14ac:dyDescent="0.3">
      <c r="A6082" t="s">
        <v>4668</v>
      </c>
      <c r="B6082" t="s">
        <v>4668</v>
      </c>
      <c r="C6082" s="424" t="str">
        <f t="shared" si="259"/>
        <v>Viação Alvorada, Lda</v>
      </c>
      <c r="D6082" t="s">
        <v>629</v>
      </c>
      <c r="F6082" t="s">
        <v>620</v>
      </c>
      <c r="G6082" s="89">
        <v>2022</v>
      </c>
      <c r="H6082" s="313" t="s">
        <v>5816</v>
      </c>
      <c r="I6082" s="311" t="str">
        <f t="shared" si="258"/>
        <v>Pesado de Passageiros M3:  : Gasóleo : E6 D/E E7</v>
      </c>
      <c r="J6082">
        <v>108</v>
      </c>
      <c r="K6082" s="422">
        <v>2023</v>
      </c>
      <c r="L6082">
        <v>35089</v>
      </c>
      <c r="M6082" t="s">
        <v>630</v>
      </c>
      <c r="N6082" s="131">
        <v>35089</v>
      </c>
      <c r="O6082" s="436">
        <f t="shared" si="257"/>
        <v>3789612</v>
      </c>
      <c r="P6082" s="89">
        <v>1161</v>
      </c>
      <c r="Q6082" t="s">
        <v>47</v>
      </c>
      <c r="R6082" s="422" t="s">
        <v>1869</v>
      </c>
      <c r="S6082" s="422" t="s">
        <v>1861</v>
      </c>
      <c r="T6082" s="422" t="s">
        <v>5820</v>
      </c>
      <c r="U6082" s="422" t="s">
        <v>1953</v>
      </c>
      <c r="V6082" s="422" t="s">
        <v>2813</v>
      </c>
    </row>
    <row r="6083" spans="1:22" ht="15.75" thickBot="1" x14ac:dyDescent="0.3">
      <c r="A6083" t="s">
        <v>4668</v>
      </c>
      <c r="B6083" t="s">
        <v>4668</v>
      </c>
      <c r="C6083" s="424" t="str">
        <f t="shared" si="259"/>
        <v>Viação Alvorada, Lda</v>
      </c>
      <c r="D6083" t="s">
        <v>629</v>
      </c>
      <c r="F6083" t="s">
        <v>620</v>
      </c>
      <c r="G6083" s="89">
        <v>2022</v>
      </c>
      <c r="H6083" s="313" t="s">
        <v>5816</v>
      </c>
      <c r="I6083" s="311" t="str">
        <f t="shared" si="258"/>
        <v>Pesado de Passageiros M3:  : Gasóleo : E6 D/E E7</v>
      </c>
      <c r="J6083">
        <v>108</v>
      </c>
      <c r="K6083" s="422">
        <v>2023</v>
      </c>
      <c r="L6083">
        <v>31057</v>
      </c>
      <c r="M6083" t="s">
        <v>630</v>
      </c>
      <c r="N6083" s="131">
        <v>31057</v>
      </c>
      <c r="O6083" s="436">
        <f t="shared" ref="O6083:O6146" si="260">N6083*J6083</f>
        <v>3354156</v>
      </c>
      <c r="P6083" s="89">
        <v>1162</v>
      </c>
      <c r="Q6083" t="s">
        <v>47</v>
      </c>
      <c r="R6083" s="422" t="s">
        <v>1869</v>
      </c>
      <c r="S6083" s="422" t="s">
        <v>1861</v>
      </c>
      <c r="T6083" s="422" t="s">
        <v>5820</v>
      </c>
      <c r="U6083" s="422" t="s">
        <v>1953</v>
      </c>
      <c r="V6083" s="422" t="s">
        <v>2813</v>
      </c>
    </row>
    <row r="6084" spans="1:22" ht="15.75" thickBot="1" x14ac:dyDescent="0.3">
      <c r="A6084" t="s">
        <v>4668</v>
      </c>
      <c r="B6084" t="s">
        <v>4668</v>
      </c>
      <c r="C6084" s="424" t="str">
        <f t="shared" si="259"/>
        <v>Viação Alvorada, Lda</v>
      </c>
      <c r="D6084" t="s">
        <v>629</v>
      </c>
      <c r="F6084" t="s">
        <v>620</v>
      </c>
      <c r="G6084" s="89">
        <v>2022</v>
      </c>
      <c r="H6084" s="313" t="s">
        <v>5816</v>
      </c>
      <c r="I6084" s="311" t="str">
        <f t="shared" si="258"/>
        <v>Pesado de Passageiros M3:  : Gasóleo : E6 D/E E7</v>
      </c>
      <c r="J6084">
        <v>108</v>
      </c>
      <c r="K6084" s="422">
        <v>2023</v>
      </c>
      <c r="L6084">
        <v>35938</v>
      </c>
      <c r="M6084" t="s">
        <v>630</v>
      </c>
      <c r="N6084" s="131">
        <v>35938</v>
      </c>
      <c r="O6084" s="436">
        <f t="shared" si="260"/>
        <v>3881304</v>
      </c>
      <c r="P6084" s="89">
        <v>1163</v>
      </c>
      <c r="Q6084" t="s">
        <v>47</v>
      </c>
      <c r="R6084" s="422" t="s">
        <v>1869</v>
      </c>
      <c r="S6084" s="422" t="s">
        <v>1861</v>
      </c>
      <c r="T6084" s="422" t="s">
        <v>5820</v>
      </c>
      <c r="U6084" s="422" t="s">
        <v>1953</v>
      </c>
      <c r="V6084" s="422" t="s">
        <v>2813</v>
      </c>
    </row>
    <row r="6085" spans="1:22" ht="15.75" thickBot="1" x14ac:dyDescent="0.3">
      <c r="A6085" t="s">
        <v>4668</v>
      </c>
      <c r="B6085" t="s">
        <v>4668</v>
      </c>
      <c r="C6085" s="424" t="str">
        <f t="shared" si="259"/>
        <v>Viação Alvorada, Lda</v>
      </c>
      <c r="D6085" t="s">
        <v>629</v>
      </c>
      <c r="F6085" t="s">
        <v>620</v>
      </c>
      <c r="G6085" s="89">
        <v>2022</v>
      </c>
      <c r="H6085" s="313" t="s">
        <v>5816</v>
      </c>
      <c r="I6085" s="311" t="str">
        <f t="shared" si="258"/>
        <v>Pesado de Passageiros M3:  : Gasóleo : E6 D/E E7</v>
      </c>
      <c r="J6085">
        <v>108</v>
      </c>
      <c r="K6085" s="422">
        <v>2023</v>
      </c>
      <c r="L6085">
        <v>34300</v>
      </c>
      <c r="M6085" t="s">
        <v>630</v>
      </c>
      <c r="N6085" s="131">
        <v>34300</v>
      </c>
      <c r="O6085" s="436">
        <f t="shared" si="260"/>
        <v>3704400</v>
      </c>
      <c r="P6085" s="89">
        <v>1164</v>
      </c>
      <c r="Q6085" t="s">
        <v>47</v>
      </c>
      <c r="R6085" s="422" t="s">
        <v>1869</v>
      </c>
      <c r="S6085" s="422" t="s">
        <v>1861</v>
      </c>
      <c r="T6085" s="422" t="s">
        <v>5820</v>
      </c>
      <c r="U6085" s="422" t="s">
        <v>1953</v>
      </c>
      <c r="V6085" s="422" t="s">
        <v>2813</v>
      </c>
    </row>
    <row r="6086" spans="1:22" ht="15.75" thickBot="1" x14ac:dyDescent="0.3">
      <c r="A6086" t="s">
        <v>4668</v>
      </c>
      <c r="B6086" t="s">
        <v>4668</v>
      </c>
      <c r="C6086" s="424" t="str">
        <f t="shared" si="259"/>
        <v>Viação Alvorada, Lda</v>
      </c>
      <c r="D6086" t="s">
        <v>629</v>
      </c>
      <c r="F6086" t="s">
        <v>620</v>
      </c>
      <c r="G6086" s="89">
        <v>2022</v>
      </c>
      <c r="H6086" s="313" t="s">
        <v>5816</v>
      </c>
      <c r="I6086" s="311" t="str">
        <f t="shared" si="258"/>
        <v>Pesado de Passageiros M3:  : Gasóleo : E6 D/E E7</v>
      </c>
      <c r="J6086">
        <v>108</v>
      </c>
      <c r="K6086" s="422">
        <v>2023</v>
      </c>
      <c r="L6086">
        <v>35645</v>
      </c>
      <c r="M6086" t="s">
        <v>630</v>
      </c>
      <c r="N6086" s="131">
        <v>35645</v>
      </c>
      <c r="O6086" s="436">
        <f t="shared" si="260"/>
        <v>3849660</v>
      </c>
      <c r="P6086" s="89">
        <v>1165</v>
      </c>
      <c r="Q6086" t="s">
        <v>47</v>
      </c>
      <c r="R6086" s="422" t="s">
        <v>1869</v>
      </c>
      <c r="S6086" s="422" t="s">
        <v>1861</v>
      </c>
      <c r="T6086" s="422" t="s">
        <v>5820</v>
      </c>
      <c r="U6086" s="422" t="s">
        <v>1953</v>
      </c>
      <c r="V6086" s="422" t="s">
        <v>2813</v>
      </c>
    </row>
    <row r="6087" spans="1:22" ht="15.75" thickBot="1" x14ac:dyDescent="0.3">
      <c r="A6087" t="s">
        <v>4668</v>
      </c>
      <c r="B6087" t="s">
        <v>4668</v>
      </c>
      <c r="C6087" s="424" t="str">
        <f t="shared" si="259"/>
        <v>Viação Alvorada, Lda</v>
      </c>
      <c r="D6087" t="s">
        <v>629</v>
      </c>
      <c r="F6087" t="s">
        <v>620</v>
      </c>
      <c r="G6087" s="89">
        <v>2022</v>
      </c>
      <c r="H6087" s="313" t="s">
        <v>5816</v>
      </c>
      <c r="I6087" s="311" t="str">
        <f t="shared" si="258"/>
        <v>Pesado de Passageiros M3:  : Gasóleo : E6 D/E E7</v>
      </c>
      <c r="J6087">
        <v>108</v>
      </c>
      <c r="K6087" s="422">
        <v>2023</v>
      </c>
      <c r="L6087">
        <v>36433</v>
      </c>
      <c r="M6087" t="s">
        <v>630</v>
      </c>
      <c r="N6087" s="131">
        <v>36433</v>
      </c>
      <c r="O6087" s="436">
        <f t="shared" si="260"/>
        <v>3934764</v>
      </c>
      <c r="P6087" s="89">
        <v>1166</v>
      </c>
      <c r="Q6087" t="s">
        <v>47</v>
      </c>
      <c r="R6087" s="422" t="s">
        <v>1869</v>
      </c>
      <c r="S6087" s="422" t="s">
        <v>1861</v>
      </c>
      <c r="T6087" s="422" t="s">
        <v>5820</v>
      </c>
      <c r="U6087" s="422" t="s">
        <v>1953</v>
      </c>
      <c r="V6087" s="422" t="s">
        <v>2813</v>
      </c>
    </row>
    <row r="6088" spans="1:22" ht="15.75" thickBot="1" x14ac:dyDescent="0.3">
      <c r="A6088" t="s">
        <v>4668</v>
      </c>
      <c r="B6088" t="s">
        <v>4668</v>
      </c>
      <c r="C6088" s="424" t="str">
        <f t="shared" si="259"/>
        <v>Viação Alvorada, Lda</v>
      </c>
      <c r="D6088" t="s">
        <v>629</v>
      </c>
      <c r="F6088" t="s">
        <v>620</v>
      </c>
      <c r="G6088" s="89">
        <v>2022</v>
      </c>
      <c r="H6088" s="313" t="s">
        <v>5816</v>
      </c>
      <c r="I6088" s="311" t="str">
        <f t="shared" si="258"/>
        <v>Pesado de Passageiros M3:  : Gasóleo : E6 D/E E7</v>
      </c>
      <c r="J6088">
        <v>108</v>
      </c>
      <c r="K6088" s="422">
        <v>2023</v>
      </c>
      <c r="L6088">
        <v>32979</v>
      </c>
      <c r="M6088" t="s">
        <v>630</v>
      </c>
      <c r="N6088" s="131">
        <v>32979</v>
      </c>
      <c r="O6088" s="436">
        <f t="shared" si="260"/>
        <v>3561732</v>
      </c>
      <c r="P6088" s="89">
        <v>1167</v>
      </c>
      <c r="Q6088" t="s">
        <v>47</v>
      </c>
      <c r="R6088" s="422" t="s">
        <v>1869</v>
      </c>
      <c r="S6088" s="422" t="s">
        <v>1861</v>
      </c>
      <c r="T6088" s="422" t="s">
        <v>5820</v>
      </c>
      <c r="U6088" s="422" t="s">
        <v>1953</v>
      </c>
      <c r="V6088" s="422" t="s">
        <v>2813</v>
      </c>
    </row>
    <row r="6089" spans="1:22" ht="15.75" thickBot="1" x14ac:dyDescent="0.3">
      <c r="A6089" t="s">
        <v>4668</v>
      </c>
      <c r="B6089" t="s">
        <v>4668</v>
      </c>
      <c r="C6089" s="424" t="str">
        <f t="shared" si="259"/>
        <v>Viação Alvorada, Lda</v>
      </c>
      <c r="D6089" t="s">
        <v>629</v>
      </c>
      <c r="F6089" t="s">
        <v>620</v>
      </c>
      <c r="G6089" s="89">
        <v>2022</v>
      </c>
      <c r="H6089" s="313" t="s">
        <v>5816</v>
      </c>
      <c r="I6089" s="311" t="str">
        <f t="shared" si="258"/>
        <v>Pesado de Passageiros M3:  : Gasóleo : E6 D/E E7</v>
      </c>
      <c r="J6089">
        <v>108</v>
      </c>
      <c r="K6089" s="422">
        <v>2023</v>
      </c>
      <c r="L6089">
        <v>33962</v>
      </c>
      <c r="M6089" t="s">
        <v>630</v>
      </c>
      <c r="N6089" s="131">
        <v>33962</v>
      </c>
      <c r="O6089" s="436">
        <f t="shared" si="260"/>
        <v>3667896</v>
      </c>
      <c r="P6089" s="89">
        <v>1168</v>
      </c>
      <c r="Q6089" t="s">
        <v>47</v>
      </c>
      <c r="R6089" s="422" t="s">
        <v>1869</v>
      </c>
      <c r="S6089" s="422" t="s">
        <v>1861</v>
      </c>
      <c r="T6089" s="422" t="s">
        <v>5820</v>
      </c>
      <c r="U6089" s="422" t="s">
        <v>1953</v>
      </c>
      <c r="V6089" s="422" t="s">
        <v>2813</v>
      </c>
    </row>
    <row r="6090" spans="1:22" ht="15.75" thickBot="1" x14ac:dyDescent="0.3">
      <c r="A6090" t="s">
        <v>4668</v>
      </c>
      <c r="B6090" t="s">
        <v>4668</v>
      </c>
      <c r="C6090" s="424" t="str">
        <f t="shared" si="259"/>
        <v>Viação Alvorada, Lda</v>
      </c>
      <c r="D6090" t="s">
        <v>629</v>
      </c>
      <c r="F6090" t="s">
        <v>620</v>
      </c>
      <c r="G6090" s="89">
        <v>2022</v>
      </c>
      <c r="H6090" s="313" t="s">
        <v>5816</v>
      </c>
      <c r="I6090" s="311" t="str">
        <f t="shared" si="258"/>
        <v>Pesado de Passageiros M3:  : Gasóleo : E6 D/E E7</v>
      </c>
      <c r="J6090">
        <v>108</v>
      </c>
      <c r="K6090" s="422">
        <v>2023</v>
      </c>
      <c r="L6090">
        <v>30662</v>
      </c>
      <c r="M6090" t="s">
        <v>630</v>
      </c>
      <c r="N6090" s="131">
        <v>30662</v>
      </c>
      <c r="O6090" s="436">
        <f t="shared" si="260"/>
        <v>3311496</v>
      </c>
      <c r="P6090" s="89">
        <v>1169</v>
      </c>
      <c r="Q6090" t="s">
        <v>47</v>
      </c>
      <c r="R6090" s="422" t="s">
        <v>1869</v>
      </c>
      <c r="S6090" s="422" t="s">
        <v>1861</v>
      </c>
      <c r="T6090" s="422" t="s">
        <v>5820</v>
      </c>
      <c r="U6090" s="422" t="s">
        <v>1953</v>
      </c>
      <c r="V6090" s="422" t="s">
        <v>2813</v>
      </c>
    </row>
    <row r="6091" spans="1:22" ht="15.75" thickBot="1" x14ac:dyDescent="0.3">
      <c r="A6091" t="s">
        <v>4668</v>
      </c>
      <c r="B6091" t="s">
        <v>4668</v>
      </c>
      <c r="C6091" s="424" t="str">
        <f t="shared" si="259"/>
        <v>Viação Alvorada, Lda</v>
      </c>
      <c r="D6091" t="s">
        <v>629</v>
      </c>
      <c r="F6091" t="s">
        <v>620</v>
      </c>
      <c r="G6091" s="89">
        <v>2022</v>
      </c>
      <c r="H6091" s="313" t="s">
        <v>5816</v>
      </c>
      <c r="I6091" s="311" t="str">
        <f t="shared" si="258"/>
        <v>Pesado de Passageiros M3:  : Gasóleo : E6 D/E E7</v>
      </c>
      <c r="J6091">
        <v>108</v>
      </c>
      <c r="K6091" s="422">
        <v>2023</v>
      </c>
      <c r="L6091">
        <v>31224</v>
      </c>
      <c r="M6091" t="s">
        <v>630</v>
      </c>
      <c r="N6091" s="131">
        <v>31224</v>
      </c>
      <c r="O6091" s="436">
        <f t="shared" si="260"/>
        <v>3372192</v>
      </c>
      <c r="P6091" s="89">
        <v>1170</v>
      </c>
      <c r="Q6091" t="s">
        <v>47</v>
      </c>
      <c r="R6091" s="422" t="s">
        <v>1869</v>
      </c>
      <c r="S6091" s="422" t="s">
        <v>1861</v>
      </c>
      <c r="T6091" s="422" t="s">
        <v>5820</v>
      </c>
      <c r="U6091" s="422" t="s">
        <v>1953</v>
      </c>
      <c r="V6091" s="422" t="s">
        <v>2813</v>
      </c>
    </row>
    <row r="6092" spans="1:22" ht="15.75" thickBot="1" x14ac:dyDescent="0.3">
      <c r="A6092" t="s">
        <v>4668</v>
      </c>
      <c r="B6092" t="s">
        <v>4668</v>
      </c>
      <c r="C6092" s="424" t="str">
        <f t="shared" si="259"/>
        <v>Viação Alvorada, Lda</v>
      </c>
      <c r="D6092" t="s">
        <v>629</v>
      </c>
      <c r="F6092" t="s">
        <v>620</v>
      </c>
      <c r="G6092" s="89">
        <v>2022</v>
      </c>
      <c r="H6092" s="313" t="s">
        <v>5816</v>
      </c>
      <c r="I6092" s="311" t="str">
        <f t="shared" si="258"/>
        <v>Pesado de Passageiros M3:  : Gasóleo : E6 D/E E7</v>
      </c>
      <c r="J6092">
        <v>108</v>
      </c>
      <c r="K6092" s="422">
        <v>2023</v>
      </c>
      <c r="L6092">
        <v>32522</v>
      </c>
      <c r="M6092" t="s">
        <v>630</v>
      </c>
      <c r="N6092" s="131">
        <v>32522</v>
      </c>
      <c r="O6092" s="436">
        <f t="shared" si="260"/>
        <v>3512376</v>
      </c>
      <c r="P6092" s="89">
        <v>1171</v>
      </c>
      <c r="Q6092" t="s">
        <v>47</v>
      </c>
      <c r="R6092" s="422" t="s">
        <v>1869</v>
      </c>
      <c r="S6092" s="422" t="s">
        <v>1861</v>
      </c>
      <c r="T6092" s="422" t="s">
        <v>5820</v>
      </c>
      <c r="U6092" s="422" t="s">
        <v>1953</v>
      </c>
      <c r="V6092" s="422" t="s">
        <v>2813</v>
      </c>
    </row>
    <row r="6093" spans="1:22" ht="15.75" thickBot="1" x14ac:dyDescent="0.3">
      <c r="A6093" t="s">
        <v>4668</v>
      </c>
      <c r="B6093" t="s">
        <v>4668</v>
      </c>
      <c r="C6093" s="424" t="str">
        <f t="shared" si="259"/>
        <v>Viação Alvorada, Lda</v>
      </c>
      <c r="D6093" t="s">
        <v>629</v>
      </c>
      <c r="F6093" t="s">
        <v>620</v>
      </c>
      <c r="G6093" s="89">
        <v>2022</v>
      </c>
      <c r="H6093" s="313" t="s">
        <v>5816</v>
      </c>
      <c r="I6093" s="311" t="str">
        <f t="shared" si="258"/>
        <v>Pesado de Passageiros M3:  : Gasóleo : E6 D/E E7</v>
      </c>
      <c r="J6093">
        <v>108</v>
      </c>
      <c r="K6093" s="422">
        <v>2023</v>
      </c>
      <c r="L6093">
        <v>34727</v>
      </c>
      <c r="M6093" t="s">
        <v>630</v>
      </c>
      <c r="N6093" s="131">
        <v>34727</v>
      </c>
      <c r="O6093" s="436">
        <f t="shared" si="260"/>
        <v>3750516</v>
      </c>
      <c r="P6093" s="89">
        <v>1172</v>
      </c>
      <c r="Q6093" t="s">
        <v>47</v>
      </c>
      <c r="R6093" s="422" t="s">
        <v>1869</v>
      </c>
      <c r="S6093" s="422" t="s">
        <v>1861</v>
      </c>
      <c r="T6093" s="422" t="s">
        <v>5820</v>
      </c>
      <c r="U6093" s="422" t="s">
        <v>1953</v>
      </c>
      <c r="V6093" s="422" t="s">
        <v>2813</v>
      </c>
    </row>
    <row r="6094" spans="1:22" ht="15.75" thickBot="1" x14ac:dyDescent="0.3">
      <c r="A6094" t="s">
        <v>4668</v>
      </c>
      <c r="B6094" t="s">
        <v>4668</v>
      </c>
      <c r="C6094" s="424" t="str">
        <f t="shared" si="259"/>
        <v>Viação Alvorada, Lda</v>
      </c>
      <c r="D6094" t="s">
        <v>629</v>
      </c>
      <c r="F6094" t="s">
        <v>620</v>
      </c>
      <c r="G6094" s="89">
        <v>2022</v>
      </c>
      <c r="H6094" s="313" t="s">
        <v>5816</v>
      </c>
      <c r="I6094" s="311" t="str">
        <f t="shared" si="258"/>
        <v>Pesado de Passageiros M3:  : Gasóleo : E6 D/E E7</v>
      </c>
      <c r="J6094">
        <v>108</v>
      </c>
      <c r="K6094" s="422">
        <v>2023</v>
      </c>
      <c r="L6094">
        <v>34542</v>
      </c>
      <c r="M6094" t="s">
        <v>630</v>
      </c>
      <c r="N6094" s="131">
        <v>34542</v>
      </c>
      <c r="O6094" s="436">
        <f t="shared" si="260"/>
        <v>3730536</v>
      </c>
      <c r="P6094" s="89">
        <v>1173</v>
      </c>
      <c r="Q6094" t="s">
        <v>47</v>
      </c>
      <c r="R6094" s="422" t="s">
        <v>1869</v>
      </c>
      <c r="S6094" s="422" t="s">
        <v>1861</v>
      </c>
      <c r="T6094" s="422" t="s">
        <v>5820</v>
      </c>
      <c r="U6094" s="422" t="s">
        <v>1953</v>
      </c>
      <c r="V6094" s="422" t="s">
        <v>2813</v>
      </c>
    </row>
    <row r="6095" spans="1:22" ht="15.75" thickBot="1" x14ac:dyDescent="0.3">
      <c r="A6095" t="s">
        <v>4668</v>
      </c>
      <c r="B6095" t="s">
        <v>4668</v>
      </c>
      <c r="C6095" s="424" t="str">
        <f t="shared" si="259"/>
        <v>Viação Alvorada, Lda</v>
      </c>
      <c r="D6095" t="s">
        <v>629</v>
      </c>
      <c r="F6095" t="s">
        <v>620</v>
      </c>
      <c r="G6095" s="89">
        <v>2022</v>
      </c>
      <c r="H6095" s="313" t="s">
        <v>5816</v>
      </c>
      <c r="I6095" s="311" t="str">
        <f t="shared" si="258"/>
        <v>Pesado de Passageiros M3:  : Gasóleo : E6 D/E E7</v>
      </c>
      <c r="J6095">
        <v>108</v>
      </c>
      <c r="K6095" s="422">
        <v>2023</v>
      </c>
      <c r="L6095">
        <v>32771</v>
      </c>
      <c r="M6095" t="s">
        <v>630</v>
      </c>
      <c r="N6095" s="131">
        <v>32771</v>
      </c>
      <c r="O6095" s="436">
        <f t="shared" si="260"/>
        <v>3539268</v>
      </c>
      <c r="P6095" s="89">
        <v>1174</v>
      </c>
      <c r="Q6095" t="s">
        <v>47</v>
      </c>
      <c r="R6095" s="422" t="s">
        <v>1869</v>
      </c>
      <c r="S6095" s="422" t="s">
        <v>1861</v>
      </c>
      <c r="T6095" s="422" t="s">
        <v>5820</v>
      </c>
      <c r="U6095" s="422" t="s">
        <v>1953</v>
      </c>
      <c r="V6095" s="422" t="s">
        <v>2813</v>
      </c>
    </row>
    <row r="6096" spans="1:22" ht="15.75" thickBot="1" x14ac:dyDescent="0.3">
      <c r="A6096" t="s">
        <v>4668</v>
      </c>
      <c r="B6096" t="s">
        <v>4668</v>
      </c>
      <c r="C6096" s="424" t="str">
        <f t="shared" si="259"/>
        <v>Viação Alvorada, Lda</v>
      </c>
      <c r="D6096" t="s">
        <v>629</v>
      </c>
      <c r="F6096" t="s">
        <v>620</v>
      </c>
      <c r="G6096" s="89">
        <v>2022</v>
      </c>
      <c r="H6096" s="313" t="s">
        <v>5816</v>
      </c>
      <c r="I6096" s="311" t="str">
        <f t="shared" si="258"/>
        <v>Pesado de Passageiros M3:  : Gasóleo : E6 D/E E7</v>
      </c>
      <c r="J6096">
        <v>108</v>
      </c>
      <c r="K6096" s="422">
        <v>2023</v>
      </c>
      <c r="L6096">
        <v>29692</v>
      </c>
      <c r="M6096" t="s">
        <v>630</v>
      </c>
      <c r="N6096" s="131">
        <v>29692</v>
      </c>
      <c r="O6096" s="436">
        <f t="shared" si="260"/>
        <v>3206736</v>
      </c>
      <c r="P6096" s="89">
        <v>1175</v>
      </c>
      <c r="Q6096" t="s">
        <v>47</v>
      </c>
      <c r="R6096" s="422" t="s">
        <v>1869</v>
      </c>
      <c r="S6096" s="422" t="s">
        <v>1861</v>
      </c>
      <c r="T6096" s="422" t="s">
        <v>5820</v>
      </c>
      <c r="U6096" s="422" t="s">
        <v>1953</v>
      </c>
      <c r="V6096" s="422" t="s">
        <v>2813</v>
      </c>
    </row>
    <row r="6097" spans="1:22" ht="15.75" thickBot="1" x14ac:dyDescent="0.3">
      <c r="A6097" t="s">
        <v>4668</v>
      </c>
      <c r="B6097" t="s">
        <v>4668</v>
      </c>
      <c r="C6097" s="424" t="str">
        <f t="shared" si="259"/>
        <v>Viação Alvorada, Lda</v>
      </c>
      <c r="D6097" t="s">
        <v>629</v>
      </c>
      <c r="F6097" t="s">
        <v>620</v>
      </c>
      <c r="G6097" s="89">
        <v>2022</v>
      </c>
      <c r="H6097" s="313" t="s">
        <v>5816</v>
      </c>
      <c r="I6097" s="311" t="str">
        <f t="shared" si="258"/>
        <v>Pesado de Passageiros M3:  : Gasóleo : E6 D/E E7</v>
      </c>
      <c r="J6097">
        <v>108</v>
      </c>
      <c r="K6097" s="422">
        <v>2023</v>
      </c>
      <c r="L6097">
        <v>33849</v>
      </c>
      <c r="M6097" t="s">
        <v>630</v>
      </c>
      <c r="N6097" s="131">
        <v>33849</v>
      </c>
      <c r="O6097" s="436">
        <f t="shared" si="260"/>
        <v>3655692</v>
      </c>
      <c r="P6097" s="89">
        <v>1176</v>
      </c>
      <c r="Q6097" t="s">
        <v>47</v>
      </c>
      <c r="R6097" s="422" t="s">
        <v>1869</v>
      </c>
      <c r="S6097" s="422" t="s">
        <v>1861</v>
      </c>
      <c r="T6097" s="422" t="s">
        <v>5820</v>
      </c>
      <c r="U6097" s="422" t="s">
        <v>1953</v>
      </c>
      <c r="V6097" s="422" t="s">
        <v>2813</v>
      </c>
    </row>
    <row r="6098" spans="1:22" ht="15.75" thickBot="1" x14ac:dyDescent="0.3">
      <c r="A6098" t="s">
        <v>4668</v>
      </c>
      <c r="B6098" t="s">
        <v>4668</v>
      </c>
      <c r="C6098" s="424" t="str">
        <f t="shared" si="259"/>
        <v>Viação Alvorada, Lda</v>
      </c>
      <c r="D6098" t="s">
        <v>629</v>
      </c>
      <c r="F6098" t="s">
        <v>620</v>
      </c>
      <c r="G6098" s="89">
        <v>2022</v>
      </c>
      <c r="H6098" s="313" t="s">
        <v>5816</v>
      </c>
      <c r="I6098" s="311" t="str">
        <f t="shared" si="258"/>
        <v>Pesado de Passageiros M3:  : Gasóleo : E6 D/E E7</v>
      </c>
      <c r="J6098">
        <v>108</v>
      </c>
      <c r="K6098" s="422">
        <v>2023</v>
      </c>
      <c r="L6098">
        <v>36054</v>
      </c>
      <c r="M6098" t="s">
        <v>630</v>
      </c>
      <c r="N6098" s="131">
        <v>36054</v>
      </c>
      <c r="O6098" s="436">
        <f t="shared" si="260"/>
        <v>3893832</v>
      </c>
      <c r="P6098" s="89">
        <v>1177</v>
      </c>
      <c r="Q6098" t="s">
        <v>47</v>
      </c>
      <c r="R6098" s="422" t="s">
        <v>1869</v>
      </c>
      <c r="S6098" s="422" t="s">
        <v>1861</v>
      </c>
      <c r="T6098" s="422" t="s">
        <v>5820</v>
      </c>
      <c r="U6098" s="422" t="s">
        <v>1953</v>
      </c>
      <c r="V6098" s="422" t="s">
        <v>2813</v>
      </c>
    </row>
    <row r="6099" spans="1:22" ht="15.75" thickBot="1" x14ac:dyDescent="0.3">
      <c r="A6099" t="s">
        <v>4668</v>
      </c>
      <c r="B6099" t="s">
        <v>4668</v>
      </c>
      <c r="C6099" s="424" t="str">
        <f t="shared" si="259"/>
        <v>Viação Alvorada, Lda</v>
      </c>
      <c r="D6099" t="s">
        <v>629</v>
      </c>
      <c r="F6099" t="s">
        <v>620</v>
      </c>
      <c r="G6099" s="89">
        <v>2022</v>
      </c>
      <c r="H6099" s="313" t="s">
        <v>5816</v>
      </c>
      <c r="I6099" s="311" t="str">
        <f t="shared" si="258"/>
        <v>Pesado de Passageiros M3:  : Gasóleo : E6 D/E E7</v>
      </c>
      <c r="J6099">
        <v>108</v>
      </c>
      <c r="K6099" s="422">
        <v>2023</v>
      </c>
      <c r="L6099">
        <v>27101</v>
      </c>
      <c r="M6099" t="s">
        <v>630</v>
      </c>
      <c r="N6099" s="131">
        <v>27101</v>
      </c>
      <c r="O6099" s="436">
        <f t="shared" si="260"/>
        <v>2926908</v>
      </c>
      <c r="P6099" s="89">
        <v>1178</v>
      </c>
      <c r="Q6099" t="s">
        <v>47</v>
      </c>
      <c r="R6099" s="422" t="s">
        <v>1869</v>
      </c>
      <c r="S6099" s="422" t="s">
        <v>1861</v>
      </c>
      <c r="T6099" s="422" t="s">
        <v>5820</v>
      </c>
      <c r="U6099" s="422" t="s">
        <v>1953</v>
      </c>
      <c r="V6099" s="422" t="s">
        <v>2813</v>
      </c>
    </row>
    <row r="6100" spans="1:22" ht="15.75" thickBot="1" x14ac:dyDescent="0.3">
      <c r="A6100" t="s">
        <v>4668</v>
      </c>
      <c r="B6100" t="s">
        <v>4668</v>
      </c>
      <c r="C6100" s="424" t="str">
        <f t="shared" si="259"/>
        <v>Viação Alvorada, Lda</v>
      </c>
      <c r="D6100" t="s">
        <v>629</v>
      </c>
      <c r="F6100" t="s">
        <v>620</v>
      </c>
      <c r="G6100" s="89">
        <v>2022</v>
      </c>
      <c r="H6100" s="313" t="s">
        <v>5816</v>
      </c>
      <c r="I6100" s="311" t="str">
        <f t="shared" si="258"/>
        <v>Pesado de Passageiros M3:  : Gasóleo : E6 D/E E7</v>
      </c>
      <c r="J6100">
        <v>108</v>
      </c>
      <c r="K6100" s="422">
        <v>2023</v>
      </c>
      <c r="L6100">
        <v>35002</v>
      </c>
      <c r="M6100" t="s">
        <v>630</v>
      </c>
      <c r="N6100" s="131">
        <v>35002</v>
      </c>
      <c r="O6100" s="436">
        <f t="shared" si="260"/>
        <v>3780216</v>
      </c>
      <c r="P6100" s="89">
        <v>1179</v>
      </c>
      <c r="Q6100" t="s">
        <v>47</v>
      </c>
      <c r="R6100" s="422" t="s">
        <v>1869</v>
      </c>
      <c r="S6100" s="422" t="s">
        <v>1861</v>
      </c>
      <c r="T6100" s="422" t="s">
        <v>5820</v>
      </c>
      <c r="U6100" s="422" t="s">
        <v>1953</v>
      </c>
      <c r="V6100" s="422" t="s">
        <v>2813</v>
      </c>
    </row>
    <row r="6101" spans="1:22" ht="15.75" thickBot="1" x14ac:dyDescent="0.3">
      <c r="A6101" t="s">
        <v>4668</v>
      </c>
      <c r="B6101" t="s">
        <v>4668</v>
      </c>
      <c r="C6101" s="424" t="str">
        <f t="shared" si="259"/>
        <v>Viação Alvorada, Lda</v>
      </c>
      <c r="D6101" t="s">
        <v>629</v>
      </c>
      <c r="F6101" t="s">
        <v>620</v>
      </c>
      <c r="G6101" s="89">
        <v>2022</v>
      </c>
      <c r="H6101" s="313" t="s">
        <v>5816</v>
      </c>
      <c r="I6101" s="311" t="str">
        <f t="shared" si="258"/>
        <v>Pesado de Passageiros M3:  : Gasóleo : E6 D/E E7</v>
      </c>
      <c r="J6101">
        <v>108</v>
      </c>
      <c r="K6101" s="422">
        <v>2023</v>
      </c>
      <c r="L6101">
        <v>33989</v>
      </c>
      <c r="M6101" t="s">
        <v>630</v>
      </c>
      <c r="N6101" s="131">
        <v>33989</v>
      </c>
      <c r="O6101" s="436">
        <f t="shared" si="260"/>
        <v>3670812</v>
      </c>
      <c r="P6101" s="89">
        <v>1180</v>
      </c>
      <c r="Q6101" t="s">
        <v>47</v>
      </c>
      <c r="R6101" s="422" t="s">
        <v>1869</v>
      </c>
      <c r="S6101" s="422" t="s">
        <v>1861</v>
      </c>
      <c r="T6101" s="422" t="s">
        <v>5820</v>
      </c>
      <c r="U6101" s="422" t="s">
        <v>1953</v>
      </c>
      <c r="V6101" s="422" t="s">
        <v>2813</v>
      </c>
    </row>
    <row r="6102" spans="1:22" ht="15.75" thickBot="1" x14ac:dyDescent="0.3">
      <c r="A6102" t="s">
        <v>4668</v>
      </c>
      <c r="B6102" t="s">
        <v>4668</v>
      </c>
      <c r="C6102" s="424" t="str">
        <f t="shared" si="259"/>
        <v>Viação Alvorada, Lda</v>
      </c>
      <c r="D6102" t="s">
        <v>629</v>
      </c>
      <c r="F6102" t="s">
        <v>620</v>
      </c>
      <c r="G6102" s="89">
        <v>2022</v>
      </c>
      <c r="H6102" s="313" t="s">
        <v>5816</v>
      </c>
      <c r="I6102" s="311" t="str">
        <f t="shared" si="258"/>
        <v>Pesado de Passageiros M3:  : Gasóleo : E6 D/E E7</v>
      </c>
      <c r="J6102">
        <v>108</v>
      </c>
      <c r="K6102" s="422">
        <v>2023</v>
      </c>
      <c r="L6102">
        <v>35080</v>
      </c>
      <c r="M6102" t="s">
        <v>630</v>
      </c>
      <c r="N6102" s="131">
        <v>35080</v>
      </c>
      <c r="O6102" s="436">
        <f t="shared" si="260"/>
        <v>3788640</v>
      </c>
      <c r="P6102" s="89">
        <v>1181</v>
      </c>
      <c r="Q6102" t="s">
        <v>47</v>
      </c>
      <c r="R6102" s="422" t="s">
        <v>1869</v>
      </c>
      <c r="S6102" s="422" t="s">
        <v>1861</v>
      </c>
      <c r="T6102" s="422" t="s">
        <v>5820</v>
      </c>
      <c r="U6102" s="422" t="s">
        <v>1953</v>
      </c>
      <c r="V6102" s="422" t="s">
        <v>2813</v>
      </c>
    </row>
    <row r="6103" spans="1:22" ht="15.75" thickBot="1" x14ac:dyDescent="0.3">
      <c r="A6103" t="s">
        <v>4668</v>
      </c>
      <c r="B6103" t="s">
        <v>4668</v>
      </c>
      <c r="C6103" s="424" t="str">
        <f t="shared" si="259"/>
        <v>Viação Alvorada, Lda</v>
      </c>
      <c r="D6103" t="s">
        <v>629</v>
      </c>
      <c r="F6103" t="s">
        <v>620</v>
      </c>
      <c r="G6103" s="89">
        <v>2022</v>
      </c>
      <c r="H6103" s="313" t="s">
        <v>5816</v>
      </c>
      <c r="I6103" s="311" t="str">
        <f t="shared" si="258"/>
        <v>Pesado de Passageiros M3:  : Gasóleo : E6 D/E E7</v>
      </c>
      <c r="J6103">
        <v>108</v>
      </c>
      <c r="K6103" s="422">
        <v>2023</v>
      </c>
      <c r="L6103">
        <v>34329</v>
      </c>
      <c r="M6103" t="s">
        <v>630</v>
      </c>
      <c r="N6103" s="131">
        <v>34329</v>
      </c>
      <c r="O6103" s="436">
        <f t="shared" si="260"/>
        <v>3707532</v>
      </c>
      <c r="P6103" s="89">
        <v>1182</v>
      </c>
      <c r="Q6103" t="s">
        <v>47</v>
      </c>
      <c r="R6103" s="422" t="s">
        <v>1869</v>
      </c>
      <c r="S6103" s="422" t="s">
        <v>1861</v>
      </c>
      <c r="T6103" s="422" t="s">
        <v>5820</v>
      </c>
      <c r="U6103" s="422" t="s">
        <v>1953</v>
      </c>
      <c r="V6103" s="422" t="s">
        <v>2813</v>
      </c>
    </row>
    <row r="6104" spans="1:22" ht="15.75" thickBot="1" x14ac:dyDescent="0.3">
      <c r="A6104" t="s">
        <v>4668</v>
      </c>
      <c r="B6104" t="s">
        <v>4668</v>
      </c>
      <c r="C6104" s="424" t="str">
        <f t="shared" si="259"/>
        <v>Viação Alvorada, Lda</v>
      </c>
      <c r="D6104" t="s">
        <v>629</v>
      </c>
      <c r="F6104" t="s">
        <v>620</v>
      </c>
      <c r="G6104" s="89">
        <v>2022</v>
      </c>
      <c r="H6104" s="313" t="s">
        <v>5816</v>
      </c>
      <c r="I6104" s="311" t="str">
        <f t="shared" si="258"/>
        <v>Pesado de Passageiros M3:  : Gasóleo : E6 D/E E7</v>
      </c>
      <c r="J6104">
        <v>108</v>
      </c>
      <c r="K6104" s="422">
        <v>2023</v>
      </c>
      <c r="L6104">
        <v>32706</v>
      </c>
      <c r="M6104" t="s">
        <v>630</v>
      </c>
      <c r="N6104" s="131">
        <v>32706</v>
      </c>
      <c r="O6104" s="436">
        <f t="shared" si="260"/>
        <v>3532248</v>
      </c>
      <c r="P6104" s="89">
        <v>1183</v>
      </c>
      <c r="Q6104" t="s">
        <v>47</v>
      </c>
      <c r="R6104" s="422" t="s">
        <v>1869</v>
      </c>
      <c r="S6104" s="422" t="s">
        <v>1861</v>
      </c>
      <c r="T6104" s="422" t="s">
        <v>5821</v>
      </c>
      <c r="U6104" s="422" t="s">
        <v>1953</v>
      </c>
      <c r="V6104" s="422" t="s">
        <v>2813</v>
      </c>
    </row>
    <row r="6105" spans="1:22" ht="15.75" thickBot="1" x14ac:dyDescent="0.3">
      <c r="A6105" t="s">
        <v>4668</v>
      </c>
      <c r="B6105" t="s">
        <v>4668</v>
      </c>
      <c r="C6105" s="424" t="str">
        <f t="shared" si="259"/>
        <v>Viação Alvorada, Lda</v>
      </c>
      <c r="D6105" t="s">
        <v>629</v>
      </c>
      <c r="F6105" t="s">
        <v>620</v>
      </c>
      <c r="G6105" s="89">
        <v>2022</v>
      </c>
      <c r="H6105" s="313" t="s">
        <v>5816</v>
      </c>
      <c r="I6105" s="311" t="str">
        <f t="shared" si="258"/>
        <v>Pesado de Passageiros M3:  : Gasóleo : E6 D/E E7</v>
      </c>
      <c r="J6105">
        <v>108</v>
      </c>
      <c r="K6105" s="422">
        <v>2023</v>
      </c>
      <c r="L6105">
        <v>30212</v>
      </c>
      <c r="M6105" t="s">
        <v>630</v>
      </c>
      <c r="N6105" s="131">
        <v>30212</v>
      </c>
      <c r="O6105" s="436">
        <f t="shared" si="260"/>
        <v>3262896</v>
      </c>
      <c r="P6105" s="89">
        <v>1184</v>
      </c>
      <c r="Q6105" t="s">
        <v>47</v>
      </c>
      <c r="R6105" s="422" t="s">
        <v>1869</v>
      </c>
      <c r="S6105" s="422" t="s">
        <v>1861</v>
      </c>
      <c r="T6105" s="422" t="s">
        <v>5821</v>
      </c>
      <c r="U6105" s="422" t="s">
        <v>1953</v>
      </c>
      <c r="V6105" s="422" t="s">
        <v>2813</v>
      </c>
    </row>
    <row r="6106" spans="1:22" ht="15.75" thickBot="1" x14ac:dyDescent="0.3">
      <c r="A6106" t="s">
        <v>4668</v>
      </c>
      <c r="B6106" t="s">
        <v>4668</v>
      </c>
      <c r="C6106" s="424" t="str">
        <f t="shared" si="259"/>
        <v>Viação Alvorada, Lda</v>
      </c>
      <c r="D6106" t="s">
        <v>629</v>
      </c>
      <c r="F6106" t="s">
        <v>620</v>
      </c>
      <c r="G6106" s="89">
        <v>2022</v>
      </c>
      <c r="H6106" s="313" t="s">
        <v>5816</v>
      </c>
      <c r="I6106" s="311" t="str">
        <f t="shared" si="258"/>
        <v>Pesado de Passageiros M3:  : Gasóleo : E6 D/E E7</v>
      </c>
      <c r="J6106">
        <v>108</v>
      </c>
      <c r="K6106" s="422">
        <v>2023</v>
      </c>
      <c r="L6106">
        <v>35036</v>
      </c>
      <c r="M6106" t="s">
        <v>630</v>
      </c>
      <c r="N6106" s="131">
        <v>35036</v>
      </c>
      <c r="O6106" s="436">
        <f t="shared" si="260"/>
        <v>3783888</v>
      </c>
      <c r="P6106" s="89">
        <v>1185</v>
      </c>
      <c r="Q6106" t="s">
        <v>47</v>
      </c>
      <c r="R6106" s="422" t="s">
        <v>1869</v>
      </c>
      <c r="S6106" s="422" t="s">
        <v>1861</v>
      </c>
      <c r="T6106" s="422" t="s">
        <v>5821</v>
      </c>
      <c r="U6106" s="422" t="s">
        <v>1953</v>
      </c>
      <c r="V6106" s="422" t="s">
        <v>2813</v>
      </c>
    </row>
    <row r="6107" spans="1:22" ht="15.75" thickBot="1" x14ac:dyDescent="0.3">
      <c r="A6107" t="s">
        <v>4668</v>
      </c>
      <c r="B6107" t="s">
        <v>4668</v>
      </c>
      <c r="C6107" s="424" t="str">
        <f t="shared" si="259"/>
        <v>Viação Alvorada, Lda</v>
      </c>
      <c r="D6107" t="s">
        <v>629</v>
      </c>
      <c r="F6107" t="s">
        <v>620</v>
      </c>
      <c r="G6107" s="89">
        <v>2022</v>
      </c>
      <c r="H6107" s="313" t="s">
        <v>5816</v>
      </c>
      <c r="I6107" s="311" t="str">
        <f t="shared" si="258"/>
        <v>Pesado de Passageiros M3:  : Gasóleo : E6 D/E E7</v>
      </c>
      <c r="J6107">
        <v>108</v>
      </c>
      <c r="K6107" s="422">
        <v>2023</v>
      </c>
      <c r="L6107">
        <v>25457</v>
      </c>
      <c r="M6107" t="s">
        <v>630</v>
      </c>
      <c r="N6107" s="131">
        <v>25457</v>
      </c>
      <c r="O6107" s="436">
        <f t="shared" si="260"/>
        <v>2749356</v>
      </c>
      <c r="P6107" s="89">
        <v>1186</v>
      </c>
      <c r="Q6107" t="s">
        <v>47</v>
      </c>
      <c r="R6107" s="422" t="s">
        <v>1869</v>
      </c>
      <c r="S6107" s="422" t="s">
        <v>1861</v>
      </c>
      <c r="T6107" s="422" t="s">
        <v>5821</v>
      </c>
      <c r="U6107" s="422" t="s">
        <v>1953</v>
      </c>
      <c r="V6107" s="422" t="s">
        <v>2813</v>
      </c>
    </row>
    <row r="6108" spans="1:22" ht="15.75" thickBot="1" x14ac:dyDescent="0.3">
      <c r="A6108" t="s">
        <v>4668</v>
      </c>
      <c r="B6108" t="s">
        <v>4668</v>
      </c>
      <c r="C6108" s="424" t="str">
        <f t="shared" si="259"/>
        <v>Viação Alvorada, Lda</v>
      </c>
      <c r="D6108" t="s">
        <v>629</v>
      </c>
      <c r="F6108" t="s">
        <v>620</v>
      </c>
      <c r="G6108" s="89">
        <v>2022</v>
      </c>
      <c r="H6108" s="313" t="s">
        <v>5816</v>
      </c>
      <c r="I6108" s="311" t="str">
        <f t="shared" si="258"/>
        <v>Pesado de Passageiros M3:  : Gasóleo : E6 D/E E7</v>
      </c>
      <c r="J6108">
        <v>108</v>
      </c>
      <c r="K6108" s="422">
        <v>2023</v>
      </c>
      <c r="L6108">
        <v>32190</v>
      </c>
      <c r="M6108" t="s">
        <v>630</v>
      </c>
      <c r="N6108" s="131">
        <v>32190</v>
      </c>
      <c r="O6108" s="436">
        <f t="shared" si="260"/>
        <v>3476520</v>
      </c>
      <c r="P6108" s="89">
        <v>1187</v>
      </c>
      <c r="Q6108" t="s">
        <v>47</v>
      </c>
      <c r="R6108" s="422" t="s">
        <v>1869</v>
      </c>
      <c r="S6108" s="422" t="s">
        <v>1861</v>
      </c>
      <c r="T6108" s="422" t="s">
        <v>5821</v>
      </c>
      <c r="U6108" s="422" t="s">
        <v>1953</v>
      </c>
      <c r="V6108" s="422" t="s">
        <v>2813</v>
      </c>
    </row>
    <row r="6109" spans="1:22" ht="15.75" thickBot="1" x14ac:dyDescent="0.3">
      <c r="A6109" t="s">
        <v>4668</v>
      </c>
      <c r="B6109" t="s">
        <v>4668</v>
      </c>
      <c r="C6109" s="424" t="str">
        <f t="shared" si="259"/>
        <v>Viação Alvorada, Lda</v>
      </c>
      <c r="D6109" t="s">
        <v>629</v>
      </c>
      <c r="F6109" t="s">
        <v>620</v>
      </c>
      <c r="G6109" s="89">
        <v>2022</v>
      </c>
      <c r="H6109" s="313" t="s">
        <v>5816</v>
      </c>
      <c r="I6109" s="311" t="str">
        <f t="shared" si="258"/>
        <v>Pesado de Passageiros M3:  : Gasóleo : E6 D/E E7</v>
      </c>
      <c r="J6109">
        <v>108</v>
      </c>
      <c r="K6109" s="422">
        <v>2023</v>
      </c>
      <c r="L6109">
        <v>33071</v>
      </c>
      <c r="M6109" t="s">
        <v>630</v>
      </c>
      <c r="N6109" s="131">
        <v>33071</v>
      </c>
      <c r="O6109" s="436">
        <f t="shared" si="260"/>
        <v>3571668</v>
      </c>
      <c r="P6109" s="89">
        <v>1188</v>
      </c>
      <c r="Q6109" t="s">
        <v>47</v>
      </c>
      <c r="R6109" s="422" t="s">
        <v>1869</v>
      </c>
      <c r="S6109" s="422" t="s">
        <v>1861</v>
      </c>
      <c r="T6109" s="422" t="s">
        <v>5821</v>
      </c>
      <c r="U6109" s="422" t="s">
        <v>1953</v>
      </c>
      <c r="V6109" s="422" t="s">
        <v>2813</v>
      </c>
    </row>
    <row r="6110" spans="1:22" ht="15.75" thickBot="1" x14ac:dyDescent="0.3">
      <c r="A6110" t="s">
        <v>4668</v>
      </c>
      <c r="B6110" t="s">
        <v>4668</v>
      </c>
      <c r="C6110" s="424" t="str">
        <f t="shared" si="259"/>
        <v>Viação Alvorada, Lda</v>
      </c>
      <c r="D6110" t="s">
        <v>629</v>
      </c>
      <c r="F6110" t="s">
        <v>620</v>
      </c>
      <c r="G6110" s="89">
        <v>2022</v>
      </c>
      <c r="H6110" s="313" t="s">
        <v>5816</v>
      </c>
      <c r="I6110" s="311" t="str">
        <f t="shared" si="258"/>
        <v>Pesado de Passageiros M3:  : Gasóleo : E6 D/E E7</v>
      </c>
      <c r="J6110">
        <v>108</v>
      </c>
      <c r="K6110" s="422">
        <v>2023</v>
      </c>
      <c r="L6110">
        <v>28115</v>
      </c>
      <c r="M6110" t="s">
        <v>630</v>
      </c>
      <c r="N6110" s="131">
        <v>28115</v>
      </c>
      <c r="O6110" s="436">
        <f t="shared" si="260"/>
        <v>3036420</v>
      </c>
      <c r="P6110" s="89">
        <v>1189</v>
      </c>
      <c r="Q6110" t="s">
        <v>47</v>
      </c>
      <c r="R6110" s="422" t="s">
        <v>1869</v>
      </c>
      <c r="S6110" s="422" t="s">
        <v>1861</v>
      </c>
      <c r="T6110" s="422" t="s">
        <v>5821</v>
      </c>
      <c r="U6110" s="422" t="s">
        <v>1953</v>
      </c>
      <c r="V6110" s="422" t="s">
        <v>2813</v>
      </c>
    </row>
    <row r="6111" spans="1:22" ht="15.75" thickBot="1" x14ac:dyDescent="0.3">
      <c r="A6111" t="s">
        <v>4668</v>
      </c>
      <c r="B6111" t="s">
        <v>4668</v>
      </c>
      <c r="C6111" s="424" t="str">
        <f t="shared" si="259"/>
        <v>Viação Alvorada, Lda</v>
      </c>
      <c r="D6111" t="s">
        <v>629</v>
      </c>
      <c r="F6111" t="s">
        <v>620</v>
      </c>
      <c r="G6111" s="89">
        <v>2022</v>
      </c>
      <c r="H6111" s="313" t="s">
        <v>5816</v>
      </c>
      <c r="I6111" s="311" t="str">
        <f t="shared" si="258"/>
        <v>Pesado de Passageiros M3:  : Gasóleo : E6 D/E E7</v>
      </c>
      <c r="J6111">
        <v>108</v>
      </c>
      <c r="K6111" s="422">
        <v>2023</v>
      </c>
      <c r="L6111">
        <v>28607</v>
      </c>
      <c r="M6111" t="s">
        <v>630</v>
      </c>
      <c r="N6111" s="131">
        <v>28607</v>
      </c>
      <c r="O6111" s="436">
        <f t="shared" si="260"/>
        <v>3089556</v>
      </c>
      <c r="P6111" s="89">
        <v>1190</v>
      </c>
      <c r="Q6111" t="s">
        <v>47</v>
      </c>
      <c r="R6111" s="422" t="s">
        <v>1869</v>
      </c>
      <c r="S6111" s="422" t="s">
        <v>1861</v>
      </c>
      <c r="T6111" s="422" t="s">
        <v>5821</v>
      </c>
      <c r="U6111" s="422" t="s">
        <v>1953</v>
      </c>
      <c r="V6111" s="422" t="s">
        <v>2813</v>
      </c>
    </row>
    <row r="6112" spans="1:22" ht="15.75" thickBot="1" x14ac:dyDescent="0.3">
      <c r="A6112" t="s">
        <v>4668</v>
      </c>
      <c r="B6112" t="s">
        <v>4668</v>
      </c>
      <c r="C6112" s="424" t="str">
        <f t="shared" si="259"/>
        <v>Viação Alvorada, Lda</v>
      </c>
      <c r="D6112" t="s">
        <v>629</v>
      </c>
      <c r="F6112" t="s">
        <v>620</v>
      </c>
      <c r="G6112" s="89">
        <v>2022</v>
      </c>
      <c r="H6112" s="313" t="s">
        <v>5816</v>
      </c>
      <c r="I6112" s="311" t="str">
        <f t="shared" si="258"/>
        <v>Pesado de Passageiros M3:  : Gasóleo : E6 D/E E7</v>
      </c>
      <c r="J6112">
        <v>108</v>
      </c>
      <c r="K6112" s="422">
        <v>2023</v>
      </c>
      <c r="L6112">
        <v>32689</v>
      </c>
      <c r="M6112" t="s">
        <v>630</v>
      </c>
      <c r="N6112" s="131">
        <v>32689</v>
      </c>
      <c r="O6112" s="436">
        <f t="shared" si="260"/>
        <v>3530412</v>
      </c>
      <c r="P6112" s="89">
        <v>1191</v>
      </c>
      <c r="Q6112" t="s">
        <v>47</v>
      </c>
      <c r="R6112" s="422" t="s">
        <v>1869</v>
      </c>
      <c r="S6112" s="422" t="s">
        <v>1861</v>
      </c>
      <c r="T6112" s="422" t="s">
        <v>5821</v>
      </c>
      <c r="U6112" s="422" t="s">
        <v>1953</v>
      </c>
      <c r="V6112" s="422" t="s">
        <v>2813</v>
      </c>
    </row>
    <row r="6113" spans="1:22" ht="15.75" thickBot="1" x14ac:dyDescent="0.3">
      <c r="A6113" t="s">
        <v>4668</v>
      </c>
      <c r="B6113" t="s">
        <v>4668</v>
      </c>
      <c r="C6113" s="424" t="str">
        <f t="shared" si="259"/>
        <v>Viação Alvorada, Lda</v>
      </c>
      <c r="D6113" t="s">
        <v>629</v>
      </c>
      <c r="F6113" t="s">
        <v>620</v>
      </c>
      <c r="G6113" s="89">
        <v>2022</v>
      </c>
      <c r="H6113" s="313" t="s">
        <v>5816</v>
      </c>
      <c r="I6113" s="311" t="str">
        <f t="shared" si="258"/>
        <v>Pesado de Passageiros M3:  : Gasóleo : E6 D/E E7</v>
      </c>
      <c r="J6113">
        <v>108</v>
      </c>
      <c r="K6113" s="422">
        <v>2023</v>
      </c>
      <c r="L6113">
        <v>32942</v>
      </c>
      <c r="M6113" t="s">
        <v>630</v>
      </c>
      <c r="N6113" s="131">
        <v>32942</v>
      </c>
      <c r="O6113" s="436">
        <f t="shared" si="260"/>
        <v>3557736</v>
      </c>
      <c r="P6113" s="89">
        <v>1192</v>
      </c>
      <c r="Q6113" t="s">
        <v>47</v>
      </c>
      <c r="R6113" s="422" t="s">
        <v>1869</v>
      </c>
      <c r="S6113" s="422" t="s">
        <v>1861</v>
      </c>
      <c r="T6113" s="422" t="s">
        <v>5821</v>
      </c>
      <c r="U6113" s="422" t="s">
        <v>1953</v>
      </c>
      <c r="V6113" s="422" t="s">
        <v>2813</v>
      </c>
    </row>
    <row r="6114" spans="1:22" ht="15.75" thickBot="1" x14ac:dyDescent="0.3">
      <c r="A6114" t="s">
        <v>4668</v>
      </c>
      <c r="B6114" t="s">
        <v>4668</v>
      </c>
      <c r="C6114" s="424" t="str">
        <f t="shared" si="259"/>
        <v>Viação Alvorada, Lda</v>
      </c>
      <c r="D6114" t="s">
        <v>629</v>
      </c>
      <c r="F6114" t="s">
        <v>620</v>
      </c>
      <c r="G6114" s="89">
        <v>2022</v>
      </c>
      <c r="H6114" s="313" t="s">
        <v>5816</v>
      </c>
      <c r="I6114" s="311" t="str">
        <f t="shared" ref="I6114:I6177" si="261">D6114&amp;": "&amp;E6114&amp;" : "&amp;F6114&amp;" : "&amp;H6114</f>
        <v>Pesado de Passageiros M3:  : Gasóleo : E6 D/E E7</v>
      </c>
      <c r="J6114">
        <v>108</v>
      </c>
      <c r="K6114" s="422">
        <v>2023</v>
      </c>
      <c r="L6114">
        <v>32375</v>
      </c>
      <c r="M6114" t="s">
        <v>630</v>
      </c>
      <c r="N6114" s="131">
        <v>32375</v>
      </c>
      <c r="O6114" s="436">
        <f t="shared" si="260"/>
        <v>3496500</v>
      </c>
      <c r="P6114" s="89">
        <v>1193</v>
      </c>
      <c r="Q6114" t="s">
        <v>47</v>
      </c>
      <c r="R6114" s="422" t="s">
        <v>1869</v>
      </c>
      <c r="S6114" s="422" t="s">
        <v>1861</v>
      </c>
      <c r="T6114" s="422" t="s">
        <v>5821</v>
      </c>
      <c r="U6114" s="422" t="s">
        <v>1953</v>
      </c>
      <c r="V6114" s="422" t="s">
        <v>2813</v>
      </c>
    </row>
    <row r="6115" spans="1:22" ht="15.75" thickBot="1" x14ac:dyDescent="0.3">
      <c r="A6115" t="s">
        <v>4668</v>
      </c>
      <c r="B6115" t="s">
        <v>4668</v>
      </c>
      <c r="C6115" s="424" t="str">
        <f t="shared" si="259"/>
        <v>Viação Alvorada, Lda</v>
      </c>
      <c r="D6115" t="s">
        <v>629</v>
      </c>
      <c r="F6115" t="s">
        <v>620</v>
      </c>
      <c r="G6115" s="89">
        <v>2022</v>
      </c>
      <c r="H6115" s="313" t="s">
        <v>5816</v>
      </c>
      <c r="I6115" s="311" t="str">
        <f t="shared" si="261"/>
        <v>Pesado de Passageiros M3:  : Gasóleo : E6 D/E E7</v>
      </c>
      <c r="J6115">
        <v>108</v>
      </c>
      <c r="K6115" s="422">
        <v>2023</v>
      </c>
      <c r="L6115">
        <v>34957</v>
      </c>
      <c r="M6115" t="s">
        <v>630</v>
      </c>
      <c r="N6115" s="131">
        <v>34957</v>
      </c>
      <c r="O6115" s="436">
        <f t="shared" si="260"/>
        <v>3775356</v>
      </c>
      <c r="P6115" s="89">
        <v>1194</v>
      </c>
      <c r="Q6115" t="s">
        <v>47</v>
      </c>
      <c r="R6115" s="422" t="s">
        <v>1869</v>
      </c>
      <c r="S6115" s="422" t="s">
        <v>1861</v>
      </c>
      <c r="T6115" s="422" t="s">
        <v>5821</v>
      </c>
      <c r="U6115" s="422" t="s">
        <v>1953</v>
      </c>
      <c r="V6115" s="422" t="s">
        <v>2813</v>
      </c>
    </row>
    <row r="6116" spans="1:22" ht="15.75" thickBot="1" x14ac:dyDescent="0.3">
      <c r="A6116" t="s">
        <v>4668</v>
      </c>
      <c r="B6116" t="s">
        <v>4668</v>
      </c>
      <c r="C6116" s="424" t="str">
        <f t="shared" si="259"/>
        <v>Viação Alvorada, Lda</v>
      </c>
      <c r="D6116" t="s">
        <v>629</v>
      </c>
      <c r="F6116" t="s">
        <v>620</v>
      </c>
      <c r="G6116" s="89">
        <v>2022</v>
      </c>
      <c r="H6116" s="313" t="s">
        <v>5816</v>
      </c>
      <c r="I6116" s="311" t="str">
        <f t="shared" si="261"/>
        <v>Pesado de Passageiros M3:  : Gasóleo : E6 D/E E7</v>
      </c>
      <c r="J6116">
        <v>108</v>
      </c>
      <c r="K6116" s="422">
        <v>2023</v>
      </c>
      <c r="L6116">
        <v>33066</v>
      </c>
      <c r="M6116" t="s">
        <v>630</v>
      </c>
      <c r="N6116" s="131">
        <v>33066</v>
      </c>
      <c r="O6116" s="436">
        <f t="shared" si="260"/>
        <v>3571128</v>
      </c>
      <c r="P6116" s="89">
        <v>1195</v>
      </c>
      <c r="Q6116" t="s">
        <v>47</v>
      </c>
      <c r="R6116" s="422" t="s">
        <v>1869</v>
      </c>
      <c r="S6116" s="422" t="s">
        <v>1861</v>
      </c>
      <c r="T6116" s="422" t="s">
        <v>5821</v>
      </c>
      <c r="U6116" s="422" t="s">
        <v>1953</v>
      </c>
      <c r="V6116" s="422" t="s">
        <v>2813</v>
      </c>
    </row>
    <row r="6117" spans="1:22" ht="15.75" thickBot="1" x14ac:dyDescent="0.3">
      <c r="A6117" t="s">
        <v>4668</v>
      </c>
      <c r="B6117" t="s">
        <v>4668</v>
      </c>
      <c r="C6117" s="424" t="str">
        <f t="shared" si="259"/>
        <v>Viação Alvorada, Lda</v>
      </c>
      <c r="D6117" t="s">
        <v>629</v>
      </c>
      <c r="F6117" t="s">
        <v>620</v>
      </c>
      <c r="G6117" s="89">
        <v>2022</v>
      </c>
      <c r="H6117" s="313" t="s">
        <v>5816</v>
      </c>
      <c r="I6117" s="311" t="str">
        <f t="shared" si="261"/>
        <v>Pesado de Passageiros M3:  : Gasóleo : E6 D/E E7</v>
      </c>
      <c r="J6117">
        <v>108</v>
      </c>
      <c r="K6117" s="422">
        <v>2023</v>
      </c>
      <c r="L6117">
        <v>31712</v>
      </c>
      <c r="M6117" t="s">
        <v>630</v>
      </c>
      <c r="N6117" s="131">
        <v>31712</v>
      </c>
      <c r="O6117" s="436">
        <f t="shared" si="260"/>
        <v>3424896</v>
      </c>
      <c r="P6117" s="89">
        <v>1196</v>
      </c>
      <c r="Q6117" t="s">
        <v>47</v>
      </c>
      <c r="R6117" s="422" t="s">
        <v>1869</v>
      </c>
      <c r="S6117" s="422" t="s">
        <v>1861</v>
      </c>
      <c r="T6117" s="422" t="s">
        <v>5821</v>
      </c>
      <c r="U6117" s="422" t="s">
        <v>1953</v>
      </c>
      <c r="V6117" s="422" t="s">
        <v>2813</v>
      </c>
    </row>
    <row r="6118" spans="1:22" ht="15.75" thickBot="1" x14ac:dyDescent="0.3">
      <c r="A6118" t="s">
        <v>4668</v>
      </c>
      <c r="B6118" t="s">
        <v>4668</v>
      </c>
      <c r="C6118" s="424" t="str">
        <f t="shared" si="259"/>
        <v>Viação Alvorada, Lda</v>
      </c>
      <c r="D6118" t="s">
        <v>629</v>
      </c>
      <c r="F6118" t="s">
        <v>620</v>
      </c>
      <c r="G6118" s="89">
        <v>2022</v>
      </c>
      <c r="H6118" s="313" t="s">
        <v>5816</v>
      </c>
      <c r="I6118" s="311" t="str">
        <f t="shared" si="261"/>
        <v>Pesado de Passageiros M3:  : Gasóleo : E6 D/E E7</v>
      </c>
      <c r="J6118">
        <v>108</v>
      </c>
      <c r="K6118" s="422">
        <v>2023</v>
      </c>
      <c r="L6118">
        <v>29618</v>
      </c>
      <c r="M6118" t="s">
        <v>630</v>
      </c>
      <c r="N6118" s="131">
        <v>29618</v>
      </c>
      <c r="O6118" s="436">
        <f t="shared" si="260"/>
        <v>3198744</v>
      </c>
      <c r="P6118" s="89">
        <v>1197</v>
      </c>
      <c r="Q6118" t="s">
        <v>47</v>
      </c>
      <c r="R6118" s="422" t="s">
        <v>1869</v>
      </c>
      <c r="S6118" s="422" t="s">
        <v>1861</v>
      </c>
      <c r="T6118" s="422" t="s">
        <v>5821</v>
      </c>
      <c r="U6118" s="422" t="s">
        <v>1953</v>
      </c>
      <c r="V6118" s="422" t="s">
        <v>2813</v>
      </c>
    </row>
    <row r="6119" spans="1:22" ht="15.75" thickBot="1" x14ac:dyDescent="0.3">
      <c r="A6119" t="s">
        <v>4668</v>
      </c>
      <c r="B6119" t="s">
        <v>4668</v>
      </c>
      <c r="C6119" s="424" t="str">
        <f t="shared" si="259"/>
        <v>Viação Alvorada, Lda</v>
      </c>
      <c r="D6119" t="s">
        <v>629</v>
      </c>
      <c r="F6119" t="s">
        <v>620</v>
      </c>
      <c r="G6119" s="89">
        <v>2022</v>
      </c>
      <c r="H6119" s="313" t="s">
        <v>5816</v>
      </c>
      <c r="I6119" s="311" t="str">
        <f t="shared" si="261"/>
        <v>Pesado de Passageiros M3:  : Gasóleo : E6 D/E E7</v>
      </c>
      <c r="J6119">
        <v>108</v>
      </c>
      <c r="K6119" s="422">
        <v>2023</v>
      </c>
      <c r="L6119">
        <v>32643</v>
      </c>
      <c r="M6119" t="s">
        <v>630</v>
      </c>
      <c r="N6119" s="131">
        <v>32643</v>
      </c>
      <c r="O6119" s="436">
        <f t="shared" si="260"/>
        <v>3525444</v>
      </c>
      <c r="P6119" s="89">
        <v>1198</v>
      </c>
      <c r="Q6119" t="s">
        <v>47</v>
      </c>
      <c r="R6119" s="422" t="s">
        <v>1869</v>
      </c>
      <c r="S6119" s="422" t="s">
        <v>1861</v>
      </c>
      <c r="T6119" s="422" t="s">
        <v>5821</v>
      </c>
      <c r="U6119" s="422" t="s">
        <v>1953</v>
      </c>
      <c r="V6119" s="422" t="s">
        <v>2813</v>
      </c>
    </row>
    <row r="6120" spans="1:22" ht="15.75" thickBot="1" x14ac:dyDescent="0.3">
      <c r="A6120" t="s">
        <v>4668</v>
      </c>
      <c r="B6120" t="s">
        <v>4668</v>
      </c>
      <c r="C6120" s="424" t="str">
        <f t="shared" si="259"/>
        <v>Viação Alvorada, Lda</v>
      </c>
      <c r="D6120" t="s">
        <v>629</v>
      </c>
      <c r="F6120" t="s">
        <v>620</v>
      </c>
      <c r="G6120" s="89">
        <v>2022</v>
      </c>
      <c r="H6120" s="313" t="s">
        <v>5816</v>
      </c>
      <c r="I6120" s="311" t="str">
        <f t="shared" si="261"/>
        <v>Pesado de Passageiros M3:  : Gasóleo : E6 D/E E7</v>
      </c>
      <c r="J6120">
        <v>108</v>
      </c>
      <c r="K6120" s="422">
        <v>2023</v>
      </c>
      <c r="L6120">
        <v>30611</v>
      </c>
      <c r="M6120" t="s">
        <v>630</v>
      </c>
      <c r="N6120" s="131">
        <v>30611</v>
      </c>
      <c r="O6120" s="436">
        <f t="shared" si="260"/>
        <v>3305988</v>
      </c>
      <c r="P6120" s="89">
        <v>1199</v>
      </c>
      <c r="Q6120" t="s">
        <v>47</v>
      </c>
      <c r="R6120" s="422" t="s">
        <v>1869</v>
      </c>
      <c r="S6120" s="422" t="s">
        <v>1861</v>
      </c>
      <c r="T6120" s="422" t="s">
        <v>5821</v>
      </c>
      <c r="U6120" s="422" t="s">
        <v>1953</v>
      </c>
      <c r="V6120" s="422" t="s">
        <v>2813</v>
      </c>
    </row>
    <row r="6121" spans="1:22" ht="15.75" thickBot="1" x14ac:dyDescent="0.3">
      <c r="A6121" t="s">
        <v>4668</v>
      </c>
      <c r="B6121" t="s">
        <v>4668</v>
      </c>
      <c r="C6121" s="424" t="str">
        <f t="shared" si="259"/>
        <v>Viação Alvorada, Lda</v>
      </c>
      <c r="D6121" t="s">
        <v>629</v>
      </c>
      <c r="F6121" t="s">
        <v>620</v>
      </c>
      <c r="G6121" s="89">
        <v>2022</v>
      </c>
      <c r="H6121" s="313" t="s">
        <v>5816</v>
      </c>
      <c r="I6121" s="311" t="str">
        <f t="shared" si="261"/>
        <v>Pesado de Passageiros M3:  : Gasóleo : E6 D/E E7</v>
      </c>
      <c r="J6121">
        <v>108</v>
      </c>
      <c r="K6121" s="422">
        <v>2023</v>
      </c>
      <c r="L6121">
        <v>29666</v>
      </c>
      <c r="M6121" t="s">
        <v>630</v>
      </c>
      <c r="N6121" s="131">
        <v>29666</v>
      </c>
      <c r="O6121" s="436">
        <f t="shared" si="260"/>
        <v>3203928</v>
      </c>
      <c r="P6121" s="89">
        <v>1200</v>
      </c>
      <c r="Q6121" t="s">
        <v>47</v>
      </c>
      <c r="R6121" s="422" t="s">
        <v>1869</v>
      </c>
      <c r="S6121" s="422" t="s">
        <v>1861</v>
      </c>
      <c r="T6121" s="422" t="s">
        <v>5821</v>
      </c>
      <c r="U6121" s="422" t="s">
        <v>1953</v>
      </c>
      <c r="V6121" s="422" t="s">
        <v>2813</v>
      </c>
    </row>
    <row r="6122" spans="1:22" ht="15.75" thickBot="1" x14ac:dyDescent="0.3">
      <c r="A6122" t="s">
        <v>4668</v>
      </c>
      <c r="B6122" t="s">
        <v>4668</v>
      </c>
      <c r="C6122" s="424" t="str">
        <f t="shared" si="259"/>
        <v>Viação Alvorada, Lda</v>
      </c>
      <c r="D6122" t="s">
        <v>629</v>
      </c>
      <c r="F6122" t="s">
        <v>620</v>
      </c>
      <c r="G6122" s="89">
        <v>2022</v>
      </c>
      <c r="H6122" s="313" t="s">
        <v>5816</v>
      </c>
      <c r="I6122" s="311" t="str">
        <f t="shared" si="261"/>
        <v>Pesado de Passageiros M3:  : Gasóleo : E6 D/E E7</v>
      </c>
      <c r="J6122">
        <v>108</v>
      </c>
      <c r="K6122" s="422">
        <v>2023</v>
      </c>
      <c r="L6122">
        <v>32755</v>
      </c>
      <c r="M6122" t="s">
        <v>630</v>
      </c>
      <c r="N6122" s="131">
        <v>32755</v>
      </c>
      <c r="O6122" s="436">
        <f t="shared" si="260"/>
        <v>3537540</v>
      </c>
      <c r="P6122" s="89">
        <v>1201</v>
      </c>
      <c r="Q6122" t="s">
        <v>47</v>
      </c>
      <c r="R6122" s="422" t="s">
        <v>1869</v>
      </c>
      <c r="S6122" s="422" t="s">
        <v>1861</v>
      </c>
      <c r="T6122" s="422" t="s">
        <v>5821</v>
      </c>
      <c r="U6122" s="422" t="s">
        <v>1953</v>
      </c>
      <c r="V6122" s="422" t="s">
        <v>2813</v>
      </c>
    </row>
    <row r="6123" spans="1:22" ht="15.75" thickBot="1" x14ac:dyDescent="0.3">
      <c r="A6123" t="s">
        <v>4668</v>
      </c>
      <c r="B6123" t="s">
        <v>4668</v>
      </c>
      <c r="C6123" s="424" t="str">
        <f t="shared" si="259"/>
        <v>Viação Alvorada, Lda</v>
      </c>
      <c r="D6123" t="s">
        <v>629</v>
      </c>
      <c r="F6123" t="s">
        <v>620</v>
      </c>
      <c r="G6123" s="89">
        <v>2022</v>
      </c>
      <c r="H6123" s="313" t="s">
        <v>5816</v>
      </c>
      <c r="I6123" s="311" t="str">
        <f t="shared" si="261"/>
        <v>Pesado de Passageiros M3:  : Gasóleo : E6 D/E E7</v>
      </c>
      <c r="J6123">
        <v>108</v>
      </c>
      <c r="K6123" s="422">
        <v>2023</v>
      </c>
      <c r="L6123">
        <v>30756</v>
      </c>
      <c r="M6123" t="s">
        <v>630</v>
      </c>
      <c r="N6123" s="131">
        <v>30756</v>
      </c>
      <c r="O6123" s="436">
        <f t="shared" si="260"/>
        <v>3321648</v>
      </c>
      <c r="P6123" s="89">
        <v>1202</v>
      </c>
      <c r="Q6123" t="s">
        <v>47</v>
      </c>
      <c r="R6123" s="422" t="s">
        <v>1869</v>
      </c>
      <c r="S6123" s="422" t="s">
        <v>1861</v>
      </c>
      <c r="T6123" s="422" t="s">
        <v>5821</v>
      </c>
      <c r="U6123" s="422" t="s">
        <v>1953</v>
      </c>
      <c r="V6123" s="422" t="s">
        <v>2813</v>
      </c>
    </row>
    <row r="6124" spans="1:22" ht="15.75" thickBot="1" x14ac:dyDescent="0.3">
      <c r="A6124" t="s">
        <v>4668</v>
      </c>
      <c r="B6124" t="s">
        <v>4668</v>
      </c>
      <c r="C6124" s="424" t="str">
        <f t="shared" si="259"/>
        <v>Viação Alvorada, Lda</v>
      </c>
      <c r="D6124" t="s">
        <v>629</v>
      </c>
      <c r="F6124" t="s">
        <v>620</v>
      </c>
      <c r="G6124" s="89">
        <v>2022</v>
      </c>
      <c r="H6124" s="313" t="s">
        <v>5816</v>
      </c>
      <c r="I6124" s="311" t="str">
        <f t="shared" si="261"/>
        <v>Pesado de Passageiros M3:  : Gasóleo : E6 D/E E7</v>
      </c>
      <c r="J6124">
        <v>108</v>
      </c>
      <c r="K6124" s="422">
        <v>2023</v>
      </c>
      <c r="L6124">
        <v>31404</v>
      </c>
      <c r="M6124" t="s">
        <v>630</v>
      </c>
      <c r="N6124" s="131">
        <v>31404</v>
      </c>
      <c r="O6124" s="436">
        <f t="shared" si="260"/>
        <v>3391632</v>
      </c>
      <c r="P6124" s="89">
        <v>1203</v>
      </c>
      <c r="Q6124" t="s">
        <v>47</v>
      </c>
      <c r="R6124" s="422" t="s">
        <v>1869</v>
      </c>
      <c r="S6124" s="422" t="s">
        <v>1861</v>
      </c>
      <c r="T6124" s="422" t="s">
        <v>5821</v>
      </c>
      <c r="U6124" s="422" t="s">
        <v>1953</v>
      </c>
      <c r="V6124" s="422" t="s">
        <v>2813</v>
      </c>
    </row>
    <row r="6125" spans="1:22" ht="15.75" thickBot="1" x14ac:dyDescent="0.3">
      <c r="A6125" t="s">
        <v>4668</v>
      </c>
      <c r="B6125" t="s">
        <v>4668</v>
      </c>
      <c r="C6125" s="424" t="str">
        <f t="shared" si="259"/>
        <v>Viação Alvorada, Lda</v>
      </c>
      <c r="D6125" t="s">
        <v>629</v>
      </c>
      <c r="F6125" t="s">
        <v>620</v>
      </c>
      <c r="G6125" s="89">
        <v>2022</v>
      </c>
      <c r="H6125" s="313" t="s">
        <v>5816</v>
      </c>
      <c r="I6125" s="311" t="str">
        <f t="shared" si="261"/>
        <v>Pesado de Passageiros M3:  : Gasóleo : E6 D/E E7</v>
      </c>
      <c r="J6125">
        <v>108</v>
      </c>
      <c r="K6125" s="422">
        <v>2023</v>
      </c>
      <c r="L6125">
        <v>33863</v>
      </c>
      <c r="M6125" t="s">
        <v>630</v>
      </c>
      <c r="N6125" s="131">
        <v>33863</v>
      </c>
      <c r="O6125" s="436">
        <f t="shared" si="260"/>
        <v>3657204</v>
      </c>
      <c r="P6125" s="89">
        <v>1204</v>
      </c>
      <c r="Q6125" t="s">
        <v>47</v>
      </c>
      <c r="R6125" s="422" t="s">
        <v>1869</v>
      </c>
      <c r="S6125" s="422" t="s">
        <v>1861</v>
      </c>
      <c r="T6125" s="422" t="s">
        <v>5821</v>
      </c>
      <c r="U6125" s="422" t="s">
        <v>1953</v>
      </c>
      <c r="V6125" s="422" t="s">
        <v>2813</v>
      </c>
    </row>
    <row r="6126" spans="1:22" ht="15.75" thickBot="1" x14ac:dyDescent="0.3">
      <c r="A6126" t="s">
        <v>4668</v>
      </c>
      <c r="B6126" t="s">
        <v>4668</v>
      </c>
      <c r="C6126" s="424" t="str">
        <f t="shared" si="259"/>
        <v>Viação Alvorada, Lda</v>
      </c>
      <c r="D6126" t="s">
        <v>629</v>
      </c>
      <c r="F6126" t="s">
        <v>620</v>
      </c>
      <c r="G6126" s="89">
        <v>2022</v>
      </c>
      <c r="H6126" s="313" t="s">
        <v>5816</v>
      </c>
      <c r="I6126" s="311" t="str">
        <f t="shared" si="261"/>
        <v>Pesado de Passageiros M3:  : Gasóleo : E6 D/E E7</v>
      </c>
      <c r="J6126">
        <v>108</v>
      </c>
      <c r="K6126" s="422">
        <v>2023</v>
      </c>
      <c r="L6126">
        <v>31772</v>
      </c>
      <c r="M6126" t="s">
        <v>630</v>
      </c>
      <c r="N6126" s="131">
        <v>31772</v>
      </c>
      <c r="O6126" s="436">
        <f t="shared" si="260"/>
        <v>3431376</v>
      </c>
      <c r="P6126" s="89">
        <v>1205</v>
      </c>
      <c r="Q6126" t="s">
        <v>47</v>
      </c>
      <c r="R6126" s="422" t="s">
        <v>1869</v>
      </c>
      <c r="S6126" s="422" t="s">
        <v>1861</v>
      </c>
      <c r="T6126" s="422" t="s">
        <v>5821</v>
      </c>
      <c r="U6126" s="422" t="s">
        <v>1953</v>
      </c>
      <c r="V6126" s="422" t="s">
        <v>2813</v>
      </c>
    </row>
    <row r="6127" spans="1:22" ht="15.75" thickBot="1" x14ac:dyDescent="0.3">
      <c r="A6127" t="s">
        <v>4668</v>
      </c>
      <c r="B6127" t="s">
        <v>4668</v>
      </c>
      <c r="C6127" s="424" t="str">
        <f t="shared" si="259"/>
        <v>Viação Alvorada, Lda</v>
      </c>
      <c r="D6127" t="s">
        <v>629</v>
      </c>
      <c r="F6127" t="s">
        <v>620</v>
      </c>
      <c r="G6127" s="89">
        <v>2022</v>
      </c>
      <c r="H6127" s="313" t="s">
        <v>5816</v>
      </c>
      <c r="I6127" s="311" t="str">
        <f t="shared" si="261"/>
        <v>Pesado de Passageiros M3:  : Gasóleo : E6 D/E E7</v>
      </c>
      <c r="J6127">
        <v>108</v>
      </c>
      <c r="K6127" s="422">
        <v>2023</v>
      </c>
      <c r="L6127">
        <v>30390</v>
      </c>
      <c r="M6127" t="s">
        <v>630</v>
      </c>
      <c r="N6127" s="131">
        <v>30390</v>
      </c>
      <c r="O6127" s="436">
        <f t="shared" si="260"/>
        <v>3282120</v>
      </c>
      <c r="P6127" s="89">
        <v>1206</v>
      </c>
      <c r="Q6127" t="s">
        <v>47</v>
      </c>
      <c r="R6127" s="422" t="s">
        <v>1869</v>
      </c>
      <c r="S6127" s="422" t="s">
        <v>1861</v>
      </c>
      <c r="T6127" s="422" t="s">
        <v>5821</v>
      </c>
      <c r="U6127" s="422" t="s">
        <v>1953</v>
      </c>
      <c r="V6127" s="422" t="s">
        <v>2813</v>
      </c>
    </row>
    <row r="6128" spans="1:22" ht="15.75" thickBot="1" x14ac:dyDescent="0.3">
      <c r="A6128" t="s">
        <v>4668</v>
      </c>
      <c r="B6128" t="s">
        <v>4668</v>
      </c>
      <c r="C6128" s="424" t="str">
        <f t="shared" si="259"/>
        <v>Viação Alvorada, Lda</v>
      </c>
      <c r="D6128" t="s">
        <v>629</v>
      </c>
      <c r="F6128" t="s">
        <v>620</v>
      </c>
      <c r="G6128" s="89">
        <v>2022</v>
      </c>
      <c r="H6128" s="313" t="s">
        <v>5816</v>
      </c>
      <c r="I6128" s="311" t="str">
        <f t="shared" si="261"/>
        <v>Pesado de Passageiros M3:  : Gasóleo : E6 D/E E7</v>
      </c>
      <c r="J6128">
        <v>108</v>
      </c>
      <c r="K6128" s="422">
        <v>2023</v>
      </c>
      <c r="L6128">
        <v>31783</v>
      </c>
      <c r="M6128" t="s">
        <v>630</v>
      </c>
      <c r="N6128" s="131">
        <v>31783</v>
      </c>
      <c r="O6128" s="436">
        <f t="shared" si="260"/>
        <v>3432564</v>
      </c>
      <c r="P6128" s="89">
        <v>1207</v>
      </c>
      <c r="Q6128" t="s">
        <v>47</v>
      </c>
      <c r="R6128" s="422" t="s">
        <v>1869</v>
      </c>
      <c r="S6128" s="422" t="s">
        <v>1861</v>
      </c>
      <c r="T6128" s="422" t="s">
        <v>5821</v>
      </c>
      <c r="U6128" s="422" t="s">
        <v>1953</v>
      </c>
      <c r="V6128" s="422" t="s">
        <v>2813</v>
      </c>
    </row>
    <row r="6129" spans="1:22" ht="15.75" thickBot="1" x14ac:dyDescent="0.3">
      <c r="A6129" t="s">
        <v>4668</v>
      </c>
      <c r="B6129" t="s">
        <v>4668</v>
      </c>
      <c r="C6129" s="424" t="str">
        <f t="shared" si="259"/>
        <v>Viação Alvorada, Lda</v>
      </c>
      <c r="D6129" t="s">
        <v>629</v>
      </c>
      <c r="F6129" t="s">
        <v>620</v>
      </c>
      <c r="G6129" s="89">
        <v>2022</v>
      </c>
      <c r="H6129" s="313" t="s">
        <v>5816</v>
      </c>
      <c r="I6129" s="311" t="str">
        <f t="shared" si="261"/>
        <v>Pesado de Passageiros M3:  : Gasóleo : E6 D/E E7</v>
      </c>
      <c r="J6129">
        <v>108</v>
      </c>
      <c r="K6129" s="422">
        <v>2023</v>
      </c>
      <c r="L6129">
        <v>29175</v>
      </c>
      <c r="M6129" t="s">
        <v>630</v>
      </c>
      <c r="N6129" s="131">
        <v>29175</v>
      </c>
      <c r="O6129" s="436">
        <f t="shared" si="260"/>
        <v>3150900</v>
      </c>
      <c r="P6129" s="89">
        <v>1208</v>
      </c>
      <c r="Q6129" t="s">
        <v>47</v>
      </c>
      <c r="R6129" s="422" t="s">
        <v>1869</v>
      </c>
      <c r="S6129" s="422" t="s">
        <v>1861</v>
      </c>
      <c r="T6129" s="422" t="s">
        <v>5821</v>
      </c>
      <c r="U6129" s="422" t="s">
        <v>1953</v>
      </c>
      <c r="V6129" s="422" t="s">
        <v>2813</v>
      </c>
    </row>
    <row r="6130" spans="1:22" ht="15.75" thickBot="1" x14ac:dyDescent="0.3">
      <c r="A6130" t="s">
        <v>4668</v>
      </c>
      <c r="B6130" t="s">
        <v>4668</v>
      </c>
      <c r="C6130" s="424" t="str">
        <f t="shared" ref="C6130:C6193" si="262">IF(A6130=B6130,B6130,RIGHT(A6130,LEN(A6130)-LEN(B6130)-3))</f>
        <v>Viação Alvorada, Lda</v>
      </c>
      <c r="D6130" t="s">
        <v>629</v>
      </c>
      <c r="F6130" t="s">
        <v>620</v>
      </c>
      <c r="G6130" s="89">
        <v>2022</v>
      </c>
      <c r="H6130" s="313" t="s">
        <v>5816</v>
      </c>
      <c r="I6130" s="311" t="str">
        <f t="shared" si="261"/>
        <v>Pesado de Passageiros M3:  : Gasóleo : E6 D/E E7</v>
      </c>
      <c r="J6130">
        <v>108</v>
      </c>
      <c r="K6130" s="422">
        <v>2023</v>
      </c>
      <c r="L6130">
        <v>27568</v>
      </c>
      <c r="M6130" t="s">
        <v>630</v>
      </c>
      <c r="N6130" s="131">
        <v>27568</v>
      </c>
      <c r="O6130" s="436">
        <f t="shared" si="260"/>
        <v>2977344</v>
      </c>
      <c r="P6130" s="89">
        <v>1209</v>
      </c>
      <c r="Q6130" t="s">
        <v>47</v>
      </c>
      <c r="R6130" s="422" t="s">
        <v>1869</v>
      </c>
      <c r="S6130" s="422" t="s">
        <v>1861</v>
      </c>
      <c r="T6130" s="422" t="s">
        <v>5821</v>
      </c>
      <c r="U6130" s="422" t="s">
        <v>1953</v>
      </c>
      <c r="V6130" s="422" t="s">
        <v>2813</v>
      </c>
    </row>
    <row r="6131" spans="1:22" ht="15.75" thickBot="1" x14ac:dyDescent="0.3">
      <c r="A6131" t="s">
        <v>4668</v>
      </c>
      <c r="B6131" t="s">
        <v>4668</v>
      </c>
      <c r="C6131" s="424" t="str">
        <f t="shared" si="262"/>
        <v>Viação Alvorada, Lda</v>
      </c>
      <c r="D6131" t="s">
        <v>629</v>
      </c>
      <c r="F6131" t="s">
        <v>620</v>
      </c>
      <c r="G6131" s="89">
        <v>2022</v>
      </c>
      <c r="H6131" s="313" t="s">
        <v>5816</v>
      </c>
      <c r="I6131" s="311" t="str">
        <f t="shared" si="261"/>
        <v>Pesado de Passageiros M3:  : Gasóleo : E6 D/E E7</v>
      </c>
      <c r="J6131">
        <v>108</v>
      </c>
      <c r="K6131" s="422">
        <v>2023</v>
      </c>
      <c r="L6131">
        <v>18876</v>
      </c>
      <c r="M6131" t="s">
        <v>630</v>
      </c>
      <c r="N6131" s="131">
        <v>18876</v>
      </c>
      <c r="O6131" s="436">
        <f t="shared" si="260"/>
        <v>2038608</v>
      </c>
      <c r="P6131" s="89">
        <v>1210</v>
      </c>
      <c r="Q6131" t="s">
        <v>47</v>
      </c>
      <c r="R6131" s="422" t="s">
        <v>1869</v>
      </c>
      <c r="S6131" s="422" t="s">
        <v>1861</v>
      </c>
      <c r="T6131" s="422" t="s">
        <v>5821</v>
      </c>
      <c r="U6131" s="422" t="s">
        <v>1953</v>
      </c>
      <c r="V6131" s="422" t="s">
        <v>2813</v>
      </c>
    </row>
    <row r="6132" spans="1:22" ht="15.75" thickBot="1" x14ac:dyDescent="0.3">
      <c r="A6132" t="s">
        <v>4668</v>
      </c>
      <c r="B6132" t="s">
        <v>4668</v>
      </c>
      <c r="C6132" s="424" t="str">
        <f t="shared" si="262"/>
        <v>Viação Alvorada, Lda</v>
      </c>
      <c r="D6132" t="s">
        <v>629</v>
      </c>
      <c r="F6132" t="s">
        <v>620</v>
      </c>
      <c r="G6132" s="89">
        <v>2022</v>
      </c>
      <c r="H6132" s="313" t="s">
        <v>5816</v>
      </c>
      <c r="I6132" s="311" t="str">
        <f t="shared" si="261"/>
        <v>Pesado de Passageiros M3:  : Gasóleo : E6 D/E E7</v>
      </c>
      <c r="J6132">
        <v>108</v>
      </c>
      <c r="K6132" s="422">
        <v>2023</v>
      </c>
      <c r="L6132">
        <v>31482</v>
      </c>
      <c r="M6132" t="s">
        <v>630</v>
      </c>
      <c r="N6132" s="131">
        <v>31482</v>
      </c>
      <c r="O6132" s="436">
        <f t="shared" si="260"/>
        <v>3400056</v>
      </c>
      <c r="P6132" s="89">
        <v>1211</v>
      </c>
      <c r="Q6132" t="s">
        <v>47</v>
      </c>
      <c r="R6132" s="422" t="s">
        <v>1869</v>
      </c>
      <c r="S6132" s="422" t="s">
        <v>1861</v>
      </c>
      <c r="T6132" s="422" t="s">
        <v>5821</v>
      </c>
      <c r="U6132" s="422" t="s">
        <v>1953</v>
      </c>
      <c r="V6132" s="422" t="s">
        <v>2813</v>
      </c>
    </row>
    <row r="6133" spans="1:22" ht="15.75" thickBot="1" x14ac:dyDescent="0.3">
      <c r="A6133" t="s">
        <v>4668</v>
      </c>
      <c r="B6133" t="s">
        <v>4668</v>
      </c>
      <c r="C6133" s="424" t="str">
        <f t="shared" si="262"/>
        <v>Viação Alvorada, Lda</v>
      </c>
      <c r="D6133" t="s">
        <v>629</v>
      </c>
      <c r="F6133" t="s">
        <v>620</v>
      </c>
      <c r="G6133" s="89">
        <v>2022</v>
      </c>
      <c r="H6133" s="313" t="s">
        <v>5816</v>
      </c>
      <c r="I6133" s="311" t="str">
        <f t="shared" si="261"/>
        <v>Pesado de Passageiros M3:  : Gasóleo : E6 D/E E7</v>
      </c>
      <c r="J6133">
        <v>108</v>
      </c>
      <c r="K6133" s="422">
        <v>2023</v>
      </c>
      <c r="L6133">
        <v>25548</v>
      </c>
      <c r="M6133" t="s">
        <v>630</v>
      </c>
      <c r="N6133" s="131">
        <v>25548</v>
      </c>
      <c r="O6133" s="436">
        <f t="shared" si="260"/>
        <v>2759184</v>
      </c>
      <c r="P6133" s="89">
        <v>1212</v>
      </c>
      <c r="Q6133" t="s">
        <v>47</v>
      </c>
      <c r="R6133" s="422" t="s">
        <v>1869</v>
      </c>
      <c r="S6133" s="422" t="s">
        <v>1861</v>
      </c>
      <c r="T6133" s="422" t="s">
        <v>5821</v>
      </c>
      <c r="U6133" s="422" t="s">
        <v>1953</v>
      </c>
      <c r="V6133" s="422" t="s">
        <v>2813</v>
      </c>
    </row>
    <row r="6134" spans="1:22" ht="15.75" thickBot="1" x14ac:dyDescent="0.3">
      <c r="A6134" t="s">
        <v>4668</v>
      </c>
      <c r="B6134" t="s">
        <v>4668</v>
      </c>
      <c r="C6134" s="424" t="str">
        <f t="shared" si="262"/>
        <v>Viação Alvorada, Lda</v>
      </c>
      <c r="D6134" t="s">
        <v>629</v>
      </c>
      <c r="F6134" t="s">
        <v>620</v>
      </c>
      <c r="G6134" s="89">
        <v>2022</v>
      </c>
      <c r="H6134" s="313" t="s">
        <v>5816</v>
      </c>
      <c r="I6134" s="311" t="str">
        <f t="shared" si="261"/>
        <v>Pesado de Passageiros M3:  : Gasóleo : E6 D/E E7</v>
      </c>
      <c r="J6134">
        <v>108</v>
      </c>
      <c r="K6134" s="422">
        <v>2023</v>
      </c>
      <c r="L6134">
        <v>27777</v>
      </c>
      <c r="M6134" t="s">
        <v>630</v>
      </c>
      <c r="N6134" s="131">
        <v>27777</v>
      </c>
      <c r="O6134" s="436">
        <f t="shared" si="260"/>
        <v>2999916</v>
      </c>
      <c r="P6134" s="89">
        <v>1213</v>
      </c>
      <c r="Q6134" t="s">
        <v>47</v>
      </c>
      <c r="R6134" s="422" t="s">
        <v>1869</v>
      </c>
      <c r="S6134" s="422" t="s">
        <v>1861</v>
      </c>
      <c r="T6134" s="422" t="s">
        <v>5821</v>
      </c>
      <c r="U6134" s="422" t="s">
        <v>1953</v>
      </c>
      <c r="V6134" s="422" t="s">
        <v>2813</v>
      </c>
    </row>
    <row r="6135" spans="1:22" ht="15.75" thickBot="1" x14ac:dyDescent="0.3">
      <c r="A6135" t="s">
        <v>4668</v>
      </c>
      <c r="B6135" t="s">
        <v>4668</v>
      </c>
      <c r="C6135" s="424" t="str">
        <f t="shared" si="262"/>
        <v>Viação Alvorada, Lda</v>
      </c>
      <c r="D6135" t="s">
        <v>629</v>
      </c>
      <c r="F6135" t="s">
        <v>620</v>
      </c>
      <c r="G6135" s="89">
        <v>2022</v>
      </c>
      <c r="H6135" s="313" t="s">
        <v>5816</v>
      </c>
      <c r="I6135" s="311" t="str">
        <f t="shared" si="261"/>
        <v>Pesado de Passageiros M3:  : Gasóleo : E6 D/E E7</v>
      </c>
      <c r="J6135">
        <v>108</v>
      </c>
      <c r="K6135" s="422">
        <v>2023</v>
      </c>
      <c r="L6135">
        <v>25782</v>
      </c>
      <c r="M6135" t="s">
        <v>630</v>
      </c>
      <c r="N6135" s="131">
        <v>25782</v>
      </c>
      <c r="O6135" s="436">
        <f t="shared" si="260"/>
        <v>2784456</v>
      </c>
      <c r="P6135" s="89">
        <v>1214</v>
      </c>
      <c r="Q6135" t="s">
        <v>47</v>
      </c>
      <c r="R6135" s="422" t="s">
        <v>1869</v>
      </c>
      <c r="S6135" s="422" t="s">
        <v>1861</v>
      </c>
      <c r="T6135" s="422" t="s">
        <v>5821</v>
      </c>
      <c r="U6135" s="422" t="s">
        <v>1953</v>
      </c>
      <c r="V6135" s="422" t="s">
        <v>2813</v>
      </c>
    </row>
    <row r="6136" spans="1:22" ht="15.75" thickBot="1" x14ac:dyDescent="0.3">
      <c r="A6136" t="s">
        <v>4668</v>
      </c>
      <c r="B6136" t="s">
        <v>4668</v>
      </c>
      <c r="C6136" s="424" t="str">
        <f t="shared" si="262"/>
        <v>Viação Alvorada, Lda</v>
      </c>
      <c r="D6136" t="s">
        <v>629</v>
      </c>
      <c r="F6136" t="s">
        <v>620</v>
      </c>
      <c r="G6136" s="89">
        <v>2022</v>
      </c>
      <c r="H6136" s="313" t="s">
        <v>5816</v>
      </c>
      <c r="I6136" s="311" t="str">
        <f t="shared" si="261"/>
        <v>Pesado de Passageiros M3:  : Gasóleo : E6 D/E E7</v>
      </c>
      <c r="J6136">
        <v>108</v>
      </c>
      <c r="K6136" s="422">
        <v>2023</v>
      </c>
      <c r="L6136">
        <v>22641</v>
      </c>
      <c r="M6136" t="s">
        <v>630</v>
      </c>
      <c r="N6136" s="131">
        <v>22641</v>
      </c>
      <c r="O6136" s="436">
        <f t="shared" si="260"/>
        <v>2445228</v>
      </c>
      <c r="P6136" s="89">
        <v>1215</v>
      </c>
      <c r="Q6136" t="s">
        <v>47</v>
      </c>
      <c r="R6136" s="422" t="s">
        <v>1869</v>
      </c>
      <c r="S6136" s="422" t="s">
        <v>1861</v>
      </c>
      <c r="T6136" s="422" t="s">
        <v>5821</v>
      </c>
      <c r="U6136" s="422" t="s">
        <v>1953</v>
      </c>
      <c r="V6136" s="422" t="s">
        <v>2813</v>
      </c>
    </row>
    <row r="6137" spans="1:22" ht="15.75" thickBot="1" x14ac:dyDescent="0.3">
      <c r="A6137" t="s">
        <v>4668</v>
      </c>
      <c r="B6137" t="s">
        <v>4668</v>
      </c>
      <c r="C6137" s="424" t="str">
        <f t="shared" si="262"/>
        <v>Viação Alvorada, Lda</v>
      </c>
      <c r="D6137" t="s">
        <v>629</v>
      </c>
      <c r="F6137" t="s">
        <v>620</v>
      </c>
      <c r="G6137" s="89">
        <v>2022</v>
      </c>
      <c r="H6137" s="313" t="s">
        <v>5816</v>
      </c>
      <c r="I6137" s="311" t="str">
        <f t="shared" si="261"/>
        <v>Pesado de Passageiros M3:  : Gasóleo : E6 D/E E7</v>
      </c>
      <c r="J6137">
        <v>108</v>
      </c>
      <c r="K6137" s="422">
        <v>2023</v>
      </c>
      <c r="L6137">
        <v>23249</v>
      </c>
      <c r="M6137" t="s">
        <v>630</v>
      </c>
      <c r="N6137" s="131">
        <v>23249</v>
      </c>
      <c r="O6137" s="436">
        <f t="shared" si="260"/>
        <v>2510892</v>
      </c>
      <c r="P6137" s="89">
        <v>1216</v>
      </c>
      <c r="Q6137" t="s">
        <v>47</v>
      </c>
      <c r="R6137" s="422" t="s">
        <v>1869</v>
      </c>
      <c r="S6137" s="422" t="s">
        <v>1861</v>
      </c>
      <c r="T6137" s="422" t="s">
        <v>5821</v>
      </c>
      <c r="U6137" s="422" t="s">
        <v>1953</v>
      </c>
      <c r="V6137" s="422" t="s">
        <v>2813</v>
      </c>
    </row>
    <row r="6138" spans="1:22" ht="15.75" thickBot="1" x14ac:dyDescent="0.3">
      <c r="A6138" t="s">
        <v>4668</v>
      </c>
      <c r="B6138" t="s">
        <v>4668</v>
      </c>
      <c r="C6138" s="424" t="str">
        <f t="shared" si="262"/>
        <v>Viação Alvorada, Lda</v>
      </c>
      <c r="D6138" t="s">
        <v>629</v>
      </c>
      <c r="F6138" t="s">
        <v>620</v>
      </c>
      <c r="G6138" s="89">
        <v>2022</v>
      </c>
      <c r="H6138" s="313" t="s">
        <v>5816</v>
      </c>
      <c r="I6138" s="311" t="str">
        <f t="shared" si="261"/>
        <v>Pesado de Passageiros M3:  : Gasóleo : E6 D/E E7</v>
      </c>
      <c r="J6138">
        <v>108</v>
      </c>
      <c r="K6138" s="422">
        <v>2023</v>
      </c>
      <c r="L6138">
        <v>21077</v>
      </c>
      <c r="M6138" t="s">
        <v>630</v>
      </c>
      <c r="N6138" s="131">
        <v>21077</v>
      </c>
      <c r="O6138" s="436">
        <f t="shared" si="260"/>
        <v>2276316</v>
      </c>
      <c r="P6138" s="89">
        <v>1217</v>
      </c>
      <c r="Q6138" t="s">
        <v>47</v>
      </c>
      <c r="R6138" s="422" t="s">
        <v>1869</v>
      </c>
      <c r="S6138" s="422" t="s">
        <v>1861</v>
      </c>
      <c r="T6138" s="422" t="s">
        <v>5821</v>
      </c>
      <c r="U6138" s="422" t="s">
        <v>1953</v>
      </c>
      <c r="V6138" s="422" t="s">
        <v>2813</v>
      </c>
    </row>
    <row r="6139" spans="1:22" ht="15.75" thickBot="1" x14ac:dyDescent="0.3">
      <c r="A6139" t="s">
        <v>4668</v>
      </c>
      <c r="B6139" t="s">
        <v>4668</v>
      </c>
      <c r="C6139" s="424" t="str">
        <f t="shared" si="262"/>
        <v>Viação Alvorada, Lda</v>
      </c>
      <c r="D6139" t="s">
        <v>629</v>
      </c>
      <c r="F6139" t="s">
        <v>620</v>
      </c>
      <c r="G6139" s="89">
        <v>2022</v>
      </c>
      <c r="H6139" s="313" t="s">
        <v>5816</v>
      </c>
      <c r="I6139" s="311" t="str">
        <f t="shared" si="261"/>
        <v>Pesado de Passageiros M3:  : Gasóleo : E6 D/E E7</v>
      </c>
      <c r="J6139">
        <v>108</v>
      </c>
      <c r="K6139" s="422">
        <v>2023</v>
      </c>
      <c r="L6139">
        <v>22176</v>
      </c>
      <c r="M6139" t="s">
        <v>630</v>
      </c>
      <c r="N6139" s="131">
        <v>22176</v>
      </c>
      <c r="O6139" s="436">
        <f t="shared" si="260"/>
        <v>2395008</v>
      </c>
      <c r="P6139" s="89">
        <v>1218</v>
      </c>
      <c r="Q6139" t="s">
        <v>47</v>
      </c>
      <c r="R6139" s="422" t="s">
        <v>1869</v>
      </c>
      <c r="S6139" s="422" t="s">
        <v>1861</v>
      </c>
      <c r="T6139" s="422" t="s">
        <v>5821</v>
      </c>
      <c r="U6139" s="422" t="s">
        <v>1953</v>
      </c>
      <c r="V6139" s="422" t="s">
        <v>2813</v>
      </c>
    </row>
    <row r="6140" spans="1:22" ht="15.75" thickBot="1" x14ac:dyDescent="0.3">
      <c r="A6140" t="s">
        <v>4668</v>
      </c>
      <c r="B6140" t="s">
        <v>4668</v>
      </c>
      <c r="C6140" s="424" t="str">
        <f t="shared" si="262"/>
        <v>Viação Alvorada, Lda</v>
      </c>
      <c r="D6140" t="s">
        <v>629</v>
      </c>
      <c r="F6140" t="s">
        <v>620</v>
      </c>
      <c r="G6140" s="89">
        <v>2022</v>
      </c>
      <c r="H6140" s="313" t="s">
        <v>5816</v>
      </c>
      <c r="I6140" s="311" t="str">
        <f t="shared" si="261"/>
        <v>Pesado de Passageiros M3:  : Gasóleo : E6 D/E E7</v>
      </c>
      <c r="J6140">
        <v>108</v>
      </c>
      <c r="K6140" s="422">
        <v>2023</v>
      </c>
      <c r="L6140">
        <v>23897</v>
      </c>
      <c r="M6140" t="s">
        <v>630</v>
      </c>
      <c r="N6140" s="131">
        <v>23897</v>
      </c>
      <c r="O6140" s="436">
        <f t="shared" si="260"/>
        <v>2580876</v>
      </c>
      <c r="P6140" s="89">
        <v>1219</v>
      </c>
      <c r="Q6140" t="s">
        <v>47</v>
      </c>
      <c r="R6140" s="422" t="s">
        <v>1869</v>
      </c>
      <c r="S6140" s="422" t="s">
        <v>1861</v>
      </c>
      <c r="T6140" s="422" t="s">
        <v>5821</v>
      </c>
      <c r="U6140" s="422" t="s">
        <v>1953</v>
      </c>
      <c r="V6140" s="422" t="s">
        <v>2813</v>
      </c>
    </row>
    <row r="6141" spans="1:22" ht="15.75" thickBot="1" x14ac:dyDescent="0.3">
      <c r="A6141" t="s">
        <v>4668</v>
      </c>
      <c r="B6141" t="s">
        <v>4668</v>
      </c>
      <c r="C6141" s="424" t="str">
        <f t="shared" si="262"/>
        <v>Viação Alvorada, Lda</v>
      </c>
      <c r="D6141" t="s">
        <v>629</v>
      </c>
      <c r="F6141" t="s">
        <v>620</v>
      </c>
      <c r="G6141" s="89">
        <v>2022</v>
      </c>
      <c r="H6141" s="313" t="s">
        <v>5816</v>
      </c>
      <c r="I6141" s="311" t="str">
        <f t="shared" si="261"/>
        <v>Pesado de Passageiros M3:  : Gasóleo : E6 D/E E7</v>
      </c>
      <c r="J6141">
        <v>108</v>
      </c>
      <c r="K6141" s="422">
        <v>2023</v>
      </c>
      <c r="L6141">
        <v>24788</v>
      </c>
      <c r="M6141" t="s">
        <v>630</v>
      </c>
      <c r="N6141" s="131">
        <v>24788</v>
      </c>
      <c r="O6141" s="436">
        <f t="shared" si="260"/>
        <v>2677104</v>
      </c>
      <c r="P6141" s="89">
        <v>1220</v>
      </c>
      <c r="Q6141" t="s">
        <v>47</v>
      </c>
      <c r="R6141" s="422" t="s">
        <v>1869</v>
      </c>
      <c r="S6141" s="422" t="s">
        <v>1861</v>
      </c>
      <c r="T6141" s="422" t="s">
        <v>5821</v>
      </c>
      <c r="U6141" s="422" t="s">
        <v>1953</v>
      </c>
      <c r="V6141" s="422" t="s">
        <v>2813</v>
      </c>
    </row>
    <row r="6142" spans="1:22" ht="15.75" thickBot="1" x14ac:dyDescent="0.3">
      <c r="A6142" t="s">
        <v>4668</v>
      </c>
      <c r="B6142" t="s">
        <v>4668</v>
      </c>
      <c r="C6142" s="424" t="str">
        <f t="shared" si="262"/>
        <v>Viação Alvorada, Lda</v>
      </c>
      <c r="D6142" t="s">
        <v>629</v>
      </c>
      <c r="F6142" t="s">
        <v>620</v>
      </c>
      <c r="G6142" s="89">
        <v>2022</v>
      </c>
      <c r="H6142" s="313" t="s">
        <v>5816</v>
      </c>
      <c r="I6142" s="311" t="str">
        <f t="shared" si="261"/>
        <v>Pesado de Passageiros M3:  : Gasóleo : E6 D/E E7</v>
      </c>
      <c r="J6142">
        <v>108</v>
      </c>
      <c r="K6142" s="422">
        <v>2023</v>
      </c>
      <c r="L6142">
        <v>24362</v>
      </c>
      <c r="M6142" t="s">
        <v>630</v>
      </c>
      <c r="N6142" s="131">
        <v>24362</v>
      </c>
      <c r="O6142" s="436">
        <f t="shared" si="260"/>
        <v>2631096</v>
      </c>
      <c r="P6142" s="89">
        <v>1221</v>
      </c>
      <c r="Q6142" t="s">
        <v>47</v>
      </c>
      <c r="R6142" s="422" t="s">
        <v>1869</v>
      </c>
      <c r="S6142" s="422" t="s">
        <v>1861</v>
      </c>
      <c r="T6142" s="422" t="s">
        <v>5821</v>
      </c>
      <c r="U6142" s="422" t="s">
        <v>1953</v>
      </c>
      <c r="V6142" s="422" t="s">
        <v>2813</v>
      </c>
    </row>
    <row r="6143" spans="1:22" ht="15.75" thickBot="1" x14ac:dyDescent="0.3">
      <c r="A6143" t="s">
        <v>4668</v>
      </c>
      <c r="B6143" t="s">
        <v>4668</v>
      </c>
      <c r="C6143" s="424" t="str">
        <f t="shared" si="262"/>
        <v>Viação Alvorada, Lda</v>
      </c>
      <c r="D6143" t="s">
        <v>629</v>
      </c>
      <c r="F6143" t="s">
        <v>620</v>
      </c>
      <c r="G6143" s="89">
        <v>2022</v>
      </c>
      <c r="H6143" s="313" t="s">
        <v>5816</v>
      </c>
      <c r="I6143" s="311" t="str">
        <f t="shared" si="261"/>
        <v>Pesado de Passageiros M3:  : Gasóleo : E6 D/E E7</v>
      </c>
      <c r="J6143">
        <v>108</v>
      </c>
      <c r="K6143" s="422">
        <v>2023</v>
      </c>
      <c r="L6143">
        <v>23875</v>
      </c>
      <c r="M6143" t="s">
        <v>630</v>
      </c>
      <c r="N6143" s="131">
        <v>23875</v>
      </c>
      <c r="O6143" s="436">
        <f t="shared" si="260"/>
        <v>2578500</v>
      </c>
      <c r="P6143" s="89">
        <v>1222</v>
      </c>
      <c r="Q6143" t="s">
        <v>47</v>
      </c>
      <c r="R6143" s="422" t="s">
        <v>1869</v>
      </c>
      <c r="S6143" s="422" t="s">
        <v>1861</v>
      </c>
      <c r="T6143" s="422" t="s">
        <v>5821</v>
      </c>
      <c r="U6143" s="422" t="s">
        <v>1953</v>
      </c>
      <c r="V6143" s="422" t="s">
        <v>2813</v>
      </c>
    </row>
    <row r="6144" spans="1:22" ht="15.75" thickBot="1" x14ac:dyDescent="0.3">
      <c r="A6144" t="s">
        <v>4668</v>
      </c>
      <c r="B6144" t="s">
        <v>4668</v>
      </c>
      <c r="C6144" s="424" t="str">
        <f t="shared" si="262"/>
        <v>Viação Alvorada, Lda</v>
      </c>
      <c r="D6144" t="s">
        <v>629</v>
      </c>
      <c r="F6144" t="s">
        <v>620</v>
      </c>
      <c r="G6144" s="89">
        <v>2022</v>
      </c>
      <c r="H6144" s="313" t="s">
        <v>5816</v>
      </c>
      <c r="I6144" s="311" t="str">
        <f t="shared" si="261"/>
        <v>Pesado de Passageiros M3:  : Gasóleo : E6 D/E E7</v>
      </c>
      <c r="J6144">
        <v>108</v>
      </c>
      <c r="K6144" s="422">
        <v>2023</v>
      </c>
      <c r="L6144">
        <v>20386</v>
      </c>
      <c r="M6144" t="s">
        <v>630</v>
      </c>
      <c r="N6144" s="131">
        <v>20386</v>
      </c>
      <c r="O6144" s="436">
        <f t="shared" si="260"/>
        <v>2201688</v>
      </c>
      <c r="P6144" s="89">
        <v>1223</v>
      </c>
      <c r="Q6144" t="s">
        <v>47</v>
      </c>
      <c r="R6144" s="422" t="s">
        <v>1869</v>
      </c>
      <c r="S6144" s="422" t="s">
        <v>1861</v>
      </c>
      <c r="T6144" s="422" t="s">
        <v>5821</v>
      </c>
      <c r="U6144" s="422" t="s">
        <v>1953</v>
      </c>
      <c r="V6144" s="422" t="s">
        <v>2813</v>
      </c>
    </row>
    <row r="6145" spans="1:22" ht="15.75" thickBot="1" x14ac:dyDescent="0.3">
      <c r="A6145" t="s">
        <v>4668</v>
      </c>
      <c r="B6145" t="s">
        <v>4668</v>
      </c>
      <c r="C6145" s="424" t="str">
        <f t="shared" si="262"/>
        <v>Viação Alvorada, Lda</v>
      </c>
      <c r="D6145" t="s">
        <v>629</v>
      </c>
      <c r="F6145" t="s">
        <v>620</v>
      </c>
      <c r="G6145" s="89">
        <v>2022</v>
      </c>
      <c r="H6145" s="313" t="s">
        <v>5816</v>
      </c>
      <c r="I6145" s="311" t="str">
        <f t="shared" si="261"/>
        <v>Pesado de Passageiros M3:  : Gasóleo : E6 D/E E7</v>
      </c>
      <c r="J6145">
        <v>108</v>
      </c>
      <c r="K6145" s="422">
        <v>2023</v>
      </c>
      <c r="L6145">
        <v>24884</v>
      </c>
      <c r="M6145" t="s">
        <v>630</v>
      </c>
      <c r="N6145" s="131">
        <v>24884</v>
      </c>
      <c r="O6145" s="436">
        <f t="shared" si="260"/>
        <v>2687472</v>
      </c>
      <c r="P6145" s="89">
        <v>1224</v>
      </c>
      <c r="Q6145" t="s">
        <v>47</v>
      </c>
      <c r="R6145" s="422" t="s">
        <v>1869</v>
      </c>
      <c r="S6145" s="422" t="s">
        <v>1861</v>
      </c>
      <c r="T6145" s="422" t="s">
        <v>5821</v>
      </c>
      <c r="U6145" s="422" t="s">
        <v>1953</v>
      </c>
      <c r="V6145" s="422" t="s">
        <v>2813</v>
      </c>
    </row>
    <row r="6146" spans="1:22" ht="15.75" thickBot="1" x14ac:dyDescent="0.3">
      <c r="A6146" t="s">
        <v>4668</v>
      </c>
      <c r="B6146" t="s">
        <v>4668</v>
      </c>
      <c r="C6146" s="424" t="str">
        <f t="shared" si="262"/>
        <v>Viação Alvorada, Lda</v>
      </c>
      <c r="D6146" t="s">
        <v>629</v>
      </c>
      <c r="F6146" t="s">
        <v>620</v>
      </c>
      <c r="G6146" s="89">
        <v>2022</v>
      </c>
      <c r="H6146" s="313" t="s">
        <v>5816</v>
      </c>
      <c r="I6146" s="311" t="str">
        <f t="shared" si="261"/>
        <v>Pesado de Passageiros M3:  : Gasóleo : E6 D/E E7</v>
      </c>
      <c r="J6146">
        <v>108</v>
      </c>
      <c r="K6146" s="422">
        <v>2023</v>
      </c>
      <c r="L6146">
        <v>26148</v>
      </c>
      <c r="M6146" t="s">
        <v>630</v>
      </c>
      <c r="N6146" s="131">
        <v>26148</v>
      </c>
      <c r="O6146" s="436">
        <f t="shared" si="260"/>
        <v>2823984</v>
      </c>
      <c r="P6146" s="89">
        <v>1225</v>
      </c>
      <c r="Q6146" t="s">
        <v>47</v>
      </c>
      <c r="R6146" s="422" t="s">
        <v>1869</v>
      </c>
      <c r="S6146" s="422" t="s">
        <v>1861</v>
      </c>
      <c r="T6146" s="422" t="s">
        <v>5821</v>
      </c>
      <c r="U6146" s="422" t="s">
        <v>1953</v>
      </c>
      <c r="V6146" s="422" t="s">
        <v>2813</v>
      </c>
    </row>
    <row r="6147" spans="1:22" ht="15.75" thickBot="1" x14ac:dyDescent="0.3">
      <c r="A6147" t="s">
        <v>4668</v>
      </c>
      <c r="B6147" t="s">
        <v>4668</v>
      </c>
      <c r="C6147" s="424" t="str">
        <f t="shared" si="262"/>
        <v>Viação Alvorada, Lda</v>
      </c>
      <c r="D6147" t="s">
        <v>629</v>
      </c>
      <c r="F6147" t="s">
        <v>620</v>
      </c>
      <c r="G6147" s="89">
        <v>2022</v>
      </c>
      <c r="H6147" s="313" t="s">
        <v>5816</v>
      </c>
      <c r="I6147" s="311" t="str">
        <f t="shared" si="261"/>
        <v>Pesado de Passageiros M3:  : Gasóleo : E6 D/E E7</v>
      </c>
      <c r="J6147">
        <v>108</v>
      </c>
      <c r="K6147" s="422">
        <v>2023</v>
      </c>
      <c r="L6147">
        <v>21960</v>
      </c>
      <c r="M6147" t="s">
        <v>630</v>
      </c>
      <c r="N6147" s="131">
        <v>21960</v>
      </c>
      <c r="O6147" s="436">
        <f t="shared" ref="O6147:O6210" si="263">N6147*J6147</f>
        <v>2371680</v>
      </c>
      <c r="P6147" s="89">
        <v>1226</v>
      </c>
      <c r="Q6147" t="s">
        <v>47</v>
      </c>
      <c r="R6147" s="422" t="s">
        <v>1869</v>
      </c>
      <c r="S6147" s="422" t="s">
        <v>1861</v>
      </c>
      <c r="T6147" s="422" t="s">
        <v>5821</v>
      </c>
      <c r="U6147" s="422" t="s">
        <v>1953</v>
      </c>
      <c r="V6147" s="422" t="s">
        <v>2813</v>
      </c>
    </row>
    <row r="6148" spans="1:22" ht="15.75" thickBot="1" x14ac:dyDescent="0.3">
      <c r="A6148" t="s">
        <v>4668</v>
      </c>
      <c r="B6148" t="s">
        <v>4668</v>
      </c>
      <c r="C6148" s="424" t="str">
        <f t="shared" si="262"/>
        <v>Viação Alvorada, Lda</v>
      </c>
      <c r="D6148" t="s">
        <v>629</v>
      </c>
      <c r="F6148" t="s">
        <v>620</v>
      </c>
      <c r="G6148" s="89">
        <v>2022</v>
      </c>
      <c r="H6148" s="313" t="s">
        <v>5816</v>
      </c>
      <c r="I6148" s="311" t="str">
        <f t="shared" si="261"/>
        <v>Pesado de Passageiros M3:  : Gasóleo : E6 D/E E7</v>
      </c>
      <c r="J6148">
        <v>108</v>
      </c>
      <c r="K6148" s="422">
        <v>2023</v>
      </c>
      <c r="L6148">
        <v>26621</v>
      </c>
      <c r="M6148" t="s">
        <v>630</v>
      </c>
      <c r="N6148" s="131">
        <v>26621</v>
      </c>
      <c r="O6148" s="436">
        <f t="shared" si="263"/>
        <v>2875068</v>
      </c>
      <c r="P6148" s="89">
        <v>1227</v>
      </c>
      <c r="Q6148" t="s">
        <v>47</v>
      </c>
      <c r="R6148" s="422" t="s">
        <v>1869</v>
      </c>
      <c r="S6148" s="422" t="s">
        <v>1861</v>
      </c>
      <c r="T6148" s="422" t="s">
        <v>5821</v>
      </c>
      <c r="U6148" s="422" t="s">
        <v>1953</v>
      </c>
      <c r="V6148" s="422" t="s">
        <v>2813</v>
      </c>
    </row>
    <row r="6149" spans="1:22" ht="15.75" thickBot="1" x14ac:dyDescent="0.3">
      <c r="A6149" t="s">
        <v>4668</v>
      </c>
      <c r="B6149" t="s">
        <v>4668</v>
      </c>
      <c r="C6149" s="424" t="str">
        <f t="shared" si="262"/>
        <v>Viação Alvorada, Lda</v>
      </c>
      <c r="D6149" t="s">
        <v>629</v>
      </c>
      <c r="F6149" t="s">
        <v>620</v>
      </c>
      <c r="G6149" s="89">
        <v>2022</v>
      </c>
      <c r="H6149" s="313" t="s">
        <v>5816</v>
      </c>
      <c r="I6149" s="311" t="str">
        <f t="shared" si="261"/>
        <v>Pesado de Passageiros M3:  : Gasóleo : E6 D/E E7</v>
      </c>
      <c r="J6149">
        <v>108</v>
      </c>
      <c r="K6149" s="422">
        <v>2023</v>
      </c>
      <c r="L6149">
        <v>23798</v>
      </c>
      <c r="M6149" t="s">
        <v>630</v>
      </c>
      <c r="N6149" s="131">
        <v>23798</v>
      </c>
      <c r="O6149" s="436">
        <f t="shared" si="263"/>
        <v>2570184</v>
      </c>
      <c r="P6149" s="89">
        <v>1228</v>
      </c>
      <c r="Q6149" t="s">
        <v>47</v>
      </c>
      <c r="R6149" s="422" t="s">
        <v>1869</v>
      </c>
      <c r="S6149" s="422" t="s">
        <v>1861</v>
      </c>
      <c r="T6149" s="422" t="s">
        <v>5821</v>
      </c>
      <c r="U6149" s="422" t="s">
        <v>1953</v>
      </c>
      <c r="V6149" s="422" t="s">
        <v>2813</v>
      </c>
    </row>
    <row r="6150" spans="1:22" ht="15.75" thickBot="1" x14ac:dyDescent="0.3">
      <c r="A6150" t="s">
        <v>4668</v>
      </c>
      <c r="B6150" t="s">
        <v>4668</v>
      </c>
      <c r="C6150" s="424" t="str">
        <f t="shared" si="262"/>
        <v>Viação Alvorada, Lda</v>
      </c>
      <c r="D6150" t="s">
        <v>629</v>
      </c>
      <c r="F6150" t="s">
        <v>620</v>
      </c>
      <c r="G6150" s="89">
        <v>2022</v>
      </c>
      <c r="H6150" s="313" t="s">
        <v>5816</v>
      </c>
      <c r="I6150" s="311" t="str">
        <f t="shared" si="261"/>
        <v>Pesado de Passageiros M3:  : Gasóleo : E6 D/E E7</v>
      </c>
      <c r="J6150">
        <v>108</v>
      </c>
      <c r="K6150" s="422">
        <v>2023</v>
      </c>
      <c r="L6150">
        <v>25319</v>
      </c>
      <c r="M6150" t="s">
        <v>630</v>
      </c>
      <c r="N6150" s="131">
        <v>25319</v>
      </c>
      <c r="O6150" s="436">
        <f t="shared" si="263"/>
        <v>2734452</v>
      </c>
      <c r="P6150" s="89">
        <v>1229</v>
      </c>
      <c r="Q6150" t="s">
        <v>47</v>
      </c>
      <c r="R6150" s="422" t="s">
        <v>1869</v>
      </c>
      <c r="S6150" s="422" t="s">
        <v>1861</v>
      </c>
      <c r="T6150" s="422" t="s">
        <v>5821</v>
      </c>
      <c r="U6150" s="422" t="s">
        <v>1953</v>
      </c>
      <c r="V6150" s="422" t="s">
        <v>2813</v>
      </c>
    </row>
    <row r="6151" spans="1:22" ht="15.75" thickBot="1" x14ac:dyDescent="0.3">
      <c r="A6151" t="s">
        <v>4668</v>
      </c>
      <c r="B6151" t="s">
        <v>4668</v>
      </c>
      <c r="C6151" s="424" t="str">
        <f t="shared" si="262"/>
        <v>Viação Alvorada, Lda</v>
      </c>
      <c r="D6151" t="s">
        <v>629</v>
      </c>
      <c r="F6151" t="s">
        <v>620</v>
      </c>
      <c r="G6151" s="89">
        <v>2022</v>
      </c>
      <c r="H6151" s="313" t="s">
        <v>5816</v>
      </c>
      <c r="I6151" s="311" t="str">
        <f t="shared" si="261"/>
        <v>Pesado de Passageiros M3:  : Gasóleo : E6 D/E E7</v>
      </c>
      <c r="J6151">
        <v>108</v>
      </c>
      <c r="K6151" s="422">
        <v>2023</v>
      </c>
      <c r="L6151">
        <v>24850</v>
      </c>
      <c r="M6151" t="s">
        <v>630</v>
      </c>
      <c r="N6151" s="131">
        <v>24850</v>
      </c>
      <c r="O6151" s="436">
        <f t="shared" si="263"/>
        <v>2683800</v>
      </c>
      <c r="P6151" s="89">
        <v>1230</v>
      </c>
      <c r="Q6151" t="s">
        <v>47</v>
      </c>
      <c r="R6151" s="422" t="s">
        <v>1869</v>
      </c>
      <c r="S6151" s="422" t="s">
        <v>1861</v>
      </c>
      <c r="T6151" s="422" t="s">
        <v>5821</v>
      </c>
      <c r="U6151" s="422" t="s">
        <v>1953</v>
      </c>
      <c r="V6151" s="422" t="s">
        <v>2813</v>
      </c>
    </row>
    <row r="6152" spans="1:22" ht="15.75" thickBot="1" x14ac:dyDescent="0.3">
      <c r="A6152" t="s">
        <v>4668</v>
      </c>
      <c r="B6152" t="s">
        <v>4668</v>
      </c>
      <c r="C6152" s="424" t="str">
        <f t="shared" si="262"/>
        <v>Viação Alvorada, Lda</v>
      </c>
      <c r="D6152" t="s">
        <v>629</v>
      </c>
      <c r="F6152" t="s">
        <v>620</v>
      </c>
      <c r="G6152" s="89">
        <v>2022</v>
      </c>
      <c r="H6152" s="313" t="s">
        <v>5816</v>
      </c>
      <c r="I6152" s="311" t="str">
        <f t="shared" si="261"/>
        <v>Pesado de Passageiros M3:  : Gasóleo : E6 D/E E7</v>
      </c>
      <c r="J6152">
        <v>108</v>
      </c>
      <c r="K6152" s="422">
        <v>2023</v>
      </c>
      <c r="L6152">
        <v>22077</v>
      </c>
      <c r="M6152" t="s">
        <v>630</v>
      </c>
      <c r="N6152" s="131">
        <v>22077</v>
      </c>
      <c r="O6152" s="436">
        <f t="shared" si="263"/>
        <v>2384316</v>
      </c>
      <c r="P6152" s="89">
        <v>1231</v>
      </c>
      <c r="Q6152" t="s">
        <v>47</v>
      </c>
      <c r="R6152" s="422" t="s">
        <v>1869</v>
      </c>
      <c r="S6152" s="422" t="s">
        <v>1861</v>
      </c>
      <c r="T6152" s="422" t="s">
        <v>5821</v>
      </c>
      <c r="U6152" s="422" t="s">
        <v>1953</v>
      </c>
      <c r="V6152" s="422" t="s">
        <v>2813</v>
      </c>
    </row>
    <row r="6153" spans="1:22" ht="15.75" thickBot="1" x14ac:dyDescent="0.3">
      <c r="A6153" t="s">
        <v>4668</v>
      </c>
      <c r="B6153" t="s">
        <v>4668</v>
      </c>
      <c r="C6153" s="424" t="str">
        <f t="shared" si="262"/>
        <v>Viação Alvorada, Lda</v>
      </c>
      <c r="D6153" t="s">
        <v>629</v>
      </c>
      <c r="F6153" t="s">
        <v>620</v>
      </c>
      <c r="G6153" s="89">
        <v>2022</v>
      </c>
      <c r="H6153" s="313" t="s">
        <v>5816</v>
      </c>
      <c r="I6153" s="311" t="str">
        <f t="shared" si="261"/>
        <v>Pesado de Passageiros M3:  : Gasóleo : E6 D/E E7</v>
      </c>
      <c r="J6153">
        <v>108</v>
      </c>
      <c r="K6153" s="422">
        <v>2023</v>
      </c>
      <c r="L6153">
        <v>22398</v>
      </c>
      <c r="M6153" t="s">
        <v>630</v>
      </c>
      <c r="N6153" s="131">
        <v>22398</v>
      </c>
      <c r="O6153" s="436">
        <f t="shared" si="263"/>
        <v>2418984</v>
      </c>
      <c r="P6153" s="89">
        <v>1232</v>
      </c>
      <c r="Q6153" t="s">
        <v>47</v>
      </c>
      <c r="R6153" s="422" t="s">
        <v>1869</v>
      </c>
      <c r="S6153" s="422" t="s">
        <v>1861</v>
      </c>
      <c r="T6153" s="422" t="s">
        <v>5821</v>
      </c>
      <c r="U6153" s="422" t="s">
        <v>1953</v>
      </c>
      <c r="V6153" s="422" t="s">
        <v>2813</v>
      </c>
    </row>
    <row r="6154" spans="1:22" ht="15.75" thickBot="1" x14ac:dyDescent="0.3">
      <c r="A6154" t="s">
        <v>4668</v>
      </c>
      <c r="B6154" t="s">
        <v>4668</v>
      </c>
      <c r="C6154" s="424" t="str">
        <f t="shared" si="262"/>
        <v>Viação Alvorada, Lda</v>
      </c>
      <c r="D6154" t="s">
        <v>629</v>
      </c>
      <c r="F6154" t="s">
        <v>620</v>
      </c>
      <c r="G6154" s="89">
        <v>2022</v>
      </c>
      <c r="H6154" s="313" t="s">
        <v>5816</v>
      </c>
      <c r="I6154" s="311" t="str">
        <f t="shared" si="261"/>
        <v>Pesado de Passageiros M3:  : Gasóleo : E6 D/E E7</v>
      </c>
      <c r="J6154">
        <v>108</v>
      </c>
      <c r="K6154" s="422">
        <v>2023</v>
      </c>
      <c r="L6154">
        <v>21789</v>
      </c>
      <c r="M6154" t="s">
        <v>630</v>
      </c>
      <c r="N6154" s="131">
        <v>21789</v>
      </c>
      <c r="O6154" s="436">
        <f t="shared" si="263"/>
        <v>2353212</v>
      </c>
      <c r="P6154" s="89">
        <v>1233</v>
      </c>
      <c r="Q6154" t="s">
        <v>47</v>
      </c>
      <c r="R6154" s="422" t="s">
        <v>1869</v>
      </c>
      <c r="S6154" s="422" t="s">
        <v>1861</v>
      </c>
      <c r="T6154" s="422" t="s">
        <v>5821</v>
      </c>
      <c r="U6154" s="422" t="s">
        <v>1953</v>
      </c>
      <c r="V6154" s="422" t="s">
        <v>2813</v>
      </c>
    </row>
    <row r="6155" spans="1:22" ht="15.75" thickBot="1" x14ac:dyDescent="0.3">
      <c r="A6155" t="s">
        <v>4668</v>
      </c>
      <c r="B6155" t="s">
        <v>4668</v>
      </c>
      <c r="C6155" s="424" t="str">
        <f t="shared" si="262"/>
        <v>Viação Alvorada, Lda</v>
      </c>
      <c r="D6155" t="s">
        <v>629</v>
      </c>
      <c r="F6155" t="s">
        <v>620</v>
      </c>
      <c r="G6155" s="89">
        <v>2022</v>
      </c>
      <c r="H6155" s="313" t="s">
        <v>5816</v>
      </c>
      <c r="I6155" s="311" t="str">
        <f t="shared" si="261"/>
        <v>Pesado de Passageiros M3:  : Gasóleo : E6 D/E E7</v>
      </c>
      <c r="J6155">
        <v>108</v>
      </c>
      <c r="K6155" s="422">
        <v>2023</v>
      </c>
      <c r="L6155">
        <v>25135</v>
      </c>
      <c r="M6155" t="s">
        <v>630</v>
      </c>
      <c r="N6155" s="131">
        <v>25135</v>
      </c>
      <c r="O6155" s="436">
        <f t="shared" si="263"/>
        <v>2714580</v>
      </c>
      <c r="P6155" s="89">
        <v>1234</v>
      </c>
      <c r="Q6155" t="s">
        <v>47</v>
      </c>
      <c r="R6155" s="422" t="s">
        <v>1869</v>
      </c>
      <c r="S6155" s="422" t="s">
        <v>1861</v>
      </c>
      <c r="T6155" s="422" t="s">
        <v>5821</v>
      </c>
      <c r="U6155" s="422" t="s">
        <v>1953</v>
      </c>
      <c r="V6155" s="422" t="s">
        <v>2813</v>
      </c>
    </row>
    <row r="6156" spans="1:22" ht="15.75" thickBot="1" x14ac:dyDescent="0.3">
      <c r="A6156" t="s">
        <v>4668</v>
      </c>
      <c r="B6156" t="s">
        <v>4668</v>
      </c>
      <c r="C6156" s="424" t="str">
        <f t="shared" si="262"/>
        <v>Viação Alvorada, Lda</v>
      </c>
      <c r="D6156" t="s">
        <v>629</v>
      </c>
      <c r="F6156" t="s">
        <v>620</v>
      </c>
      <c r="G6156" s="89">
        <v>2022</v>
      </c>
      <c r="H6156" s="313" t="s">
        <v>5816</v>
      </c>
      <c r="I6156" s="311" t="str">
        <f t="shared" si="261"/>
        <v>Pesado de Passageiros M3:  : Gasóleo : E6 D/E E7</v>
      </c>
      <c r="J6156">
        <v>108</v>
      </c>
      <c r="K6156" s="422">
        <v>2023</v>
      </c>
      <c r="L6156">
        <v>25890</v>
      </c>
      <c r="M6156" t="s">
        <v>630</v>
      </c>
      <c r="N6156" s="131">
        <v>25890</v>
      </c>
      <c r="O6156" s="436">
        <f t="shared" si="263"/>
        <v>2796120</v>
      </c>
      <c r="P6156" s="89">
        <v>1235</v>
      </c>
      <c r="Q6156" t="s">
        <v>47</v>
      </c>
      <c r="R6156" s="422" t="s">
        <v>1869</v>
      </c>
      <c r="S6156" s="422" t="s">
        <v>1861</v>
      </c>
      <c r="T6156" s="422" t="s">
        <v>5821</v>
      </c>
      <c r="U6156" s="422" t="s">
        <v>1953</v>
      </c>
      <c r="V6156" s="422" t="s">
        <v>2813</v>
      </c>
    </row>
    <row r="6157" spans="1:22" ht="15.75" thickBot="1" x14ac:dyDescent="0.3">
      <c r="A6157" t="s">
        <v>4668</v>
      </c>
      <c r="B6157" t="s">
        <v>4668</v>
      </c>
      <c r="C6157" s="424" t="str">
        <f t="shared" si="262"/>
        <v>Viação Alvorada, Lda</v>
      </c>
      <c r="D6157" t="s">
        <v>629</v>
      </c>
      <c r="F6157" t="s">
        <v>620</v>
      </c>
      <c r="G6157" s="89">
        <v>2022</v>
      </c>
      <c r="H6157" s="313" t="s">
        <v>5816</v>
      </c>
      <c r="I6157" s="311" t="str">
        <f t="shared" si="261"/>
        <v>Pesado de Passageiros M3:  : Gasóleo : E6 D/E E7</v>
      </c>
      <c r="J6157">
        <v>108</v>
      </c>
      <c r="K6157" s="422">
        <v>2023</v>
      </c>
      <c r="L6157">
        <v>21818</v>
      </c>
      <c r="M6157" t="s">
        <v>630</v>
      </c>
      <c r="N6157" s="131">
        <v>21818</v>
      </c>
      <c r="O6157" s="436">
        <f t="shared" si="263"/>
        <v>2356344</v>
      </c>
      <c r="P6157" s="89">
        <v>1236</v>
      </c>
      <c r="Q6157" t="s">
        <v>47</v>
      </c>
      <c r="R6157" s="422" t="s">
        <v>1869</v>
      </c>
      <c r="S6157" s="422" t="s">
        <v>1861</v>
      </c>
      <c r="T6157" s="422" t="s">
        <v>5821</v>
      </c>
      <c r="U6157" s="422" t="s">
        <v>1953</v>
      </c>
      <c r="V6157" s="422" t="s">
        <v>2813</v>
      </c>
    </row>
    <row r="6158" spans="1:22" ht="15.75" thickBot="1" x14ac:dyDescent="0.3">
      <c r="A6158" t="s">
        <v>4668</v>
      </c>
      <c r="B6158" t="s">
        <v>4668</v>
      </c>
      <c r="C6158" s="424" t="str">
        <f t="shared" si="262"/>
        <v>Viação Alvorada, Lda</v>
      </c>
      <c r="D6158" t="s">
        <v>629</v>
      </c>
      <c r="F6158" t="s">
        <v>620</v>
      </c>
      <c r="G6158" s="89">
        <v>2022</v>
      </c>
      <c r="H6158" s="313" t="s">
        <v>5816</v>
      </c>
      <c r="I6158" s="311" t="str">
        <f t="shared" si="261"/>
        <v>Pesado de Passageiros M3:  : Gasóleo : E6 D/E E7</v>
      </c>
      <c r="J6158">
        <v>108</v>
      </c>
      <c r="K6158" s="422">
        <v>2023</v>
      </c>
      <c r="L6158">
        <v>24724</v>
      </c>
      <c r="M6158" t="s">
        <v>630</v>
      </c>
      <c r="N6158" s="131">
        <v>24724</v>
      </c>
      <c r="O6158" s="436">
        <f t="shared" si="263"/>
        <v>2670192</v>
      </c>
      <c r="P6158" s="89">
        <v>1237</v>
      </c>
      <c r="Q6158" t="s">
        <v>47</v>
      </c>
      <c r="R6158" s="422" t="s">
        <v>1869</v>
      </c>
      <c r="S6158" s="422" t="s">
        <v>1861</v>
      </c>
      <c r="T6158" s="422" t="s">
        <v>5821</v>
      </c>
      <c r="U6158" s="422" t="s">
        <v>1953</v>
      </c>
      <c r="V6158" s="422" t="s">
        <v>2813</v>
      </c>
    </row>
    <row r="6159" spans="1:22" ht="15.75" thickBot="1" x14ac:dyDescent="0.3">
      <c r="A6159" t="s">
        <v>4668</v>
      </c>
      <c r="B6159" t="s">
        <v>4668</v>
      </c>
      <c r="C6159" s="424" t="str">
        <f t="shared" si="262"/>
        <v>Viação Alvorada, Lda</v>
      </c>
      <c r="D6159" t="s">
        <v>629</v>
      </c>
      <c r="F6159" t="s">
        <v>620</v>
      </c>
      <c r="G6159" s="89">
        <v>2022</v>
      </c>
      <c r="H6159" s="313" t="s">
        <v>5816</v>
      </c>
      <c r="I6159" s="311" t="str">
        <f t="shared" si="261"/>
        <v>Pesado de Passageiros M3:  : Gasóleo : E6 D/E E7</v>
      </c>
      <c r="J6159">
        <v>108</v>
      </c>
      <c r="K6159" s="422">
        <v>2023</v>
      </c>
      <c r="L6159">
        <v>23504</v>
      </c>
      <c r="M6159" t="s">
        <v>630</v>
      </c>
      <c r="N6159" s="131">
        <v>23504</v>
      </c>
      <c r="O6159" s="436">
        <f t="shared" si="263"/>
        <v>2538432</v>
      </c>
      <c r="P6159" s="89">
        <v>1238</v>
      </c>
      <c r="Q6159" t="s">
        <v>47</v>
      </c>
      <c r="R6159" s="422" t="s">
        <v>1869</v>
      </c>
      <c r="S6159" s="422" t="s">
        <v>1861</v>
      </c>
      <c r="T6159" s="422" t="s">
        <v>5821</v>
      </c>
      <c r="U6159" s="422" t="s">
        <v>1953</v>
      </c>
      <c r="V6159" s="422" t="s">
        <v>2813</v>
      </c>
    </row>
    <row r="6160" spans="1:22" ht="15.75" thickBot="1" x14ac:dyDescent="0.3">
      <c r="A6160" t="s">
        <v>4668</v>
      </c>
      <c r="B6160" t="s">
        <v>4668</v>
      </c>
      <c r="C6160" s="424" t="str">
        <f t="shared" si="262"/>
        <v>Viação Alvorada, Lda</v>
      </c>
      <c r="D6160" t="s">
        <v>629</v>
      </c>
      <c r="F6160" t="s">
        <v>620</v>
      </c>
      <c r="G6160" s="89">
        <v>2022</v>
      </c>
      <c r="H6160" s="313" t="s">
        <v>5816</v>
      </c>
      <c r="I6160" s="311" t="str">
        <f t="shared" si="261"/>
        <v>Pesado de Passageiros M3:  : Gasóleo : E6 D/E E7</v>
      </c>
      <c r="J6160">
        <v>108</v>
      </c>
      <c r="K6160" s="422">
        <v>2023</v>
      </c>
      <c r="L6160">
        <v>31567</v>
      </c>
      <c r="M6160" t="s">
        <v>630</v>
      </c>
      <c r="N6160" s="131">
        <v>31567</v>
      </c>
      <c r="O6160" s="436">
        <f t="shared" si="263"/>
        <v>3409236</v>
      </c>
      <c r="P6160" s="89">
        <v>1239</v>
      </c>
      <c r="Q6160" t="s">
        <v>47</v>
      </c>
      <c r="R6160" s="422" t="s">
        <v>1869</v>
      </c>
      <c r="S6160" s="422" t="s">
        <v>1861</v>
      </c>
      <c r="T6160" s="422" t="s">
        <v>5821</v>
      </c>
      <c r="U6160" s="422" t="s">
        <v>1953</v>
      </c>
      <c r="V6160" s="422" t="s">
        <v>2813</v>
      </c>
    </row>
    <row r="6161" spans="1:22" ht="15.75" thickBot="1" x14ac:dyDescent="0.3">
      <c r="A6161" t="s">
        <v>4668</v>
      </c>
      <c r="B6161" t="s">
        <v>4668</v>
      </c>
      <c r="C6161" s="424" t="str">
        <f t="shared" si="262"/>
        <v>Viação Alvorada, Lda</v>
      </c>
      <c r="D6161" t="s">
        <v>629</v>
      </c>
      <c r="F6161" t="s">
        <v>620</v>
      </c>
      <c r="G6161" s="89">
        <v>2022</v>
      </c>
      <c r="H6161" s="313" t="s">
        <v>5816</v>
      </c>
      <c r="I6161" s="311" t="str">
        <f t="shared" si="261"/>
        <v>Pesado de Passageiros M3:  : Gasóleo : E6 D/E E7</v>
      </c>
      <c r="J6161">
        <v>108</v>
      </c>
      <c r="K6161" s="422">
        <v>2023</v>
      </c>
      <c r="L6161">
        <v>33918</v>
      </c>
      <c r="M6161" t="s">
        <v>630</v>
      </c>
      <c r="N6161" s="131">
        <v>33918</v>
      </c>
      <c r="O6161" s="436">
        <f t="shared" si="263"/>
        <v>3663144</v>
      </c>
      <c r="P6161" s="89">
        <v>1240</v>
      </c>
      <c r="Q6161" t="s">
        <v>47</v>
      </c>
      <c r="R6161" s="422" t="s">
        <v>1869</v>
      </c>
      <c r="S6161" s="422" t="s">
        <v>1861</v>
      </c>
      <c r="T6161" s="422" t="s">
        <v>5821</v>
      </c>
      <c r="U6161" s="422" t="s">
        <v>1953</v>
      </c>
      <c r="V6161" s="422" t="s">
        <v>2813</v>
      </c>
    </row>
    <row r="6162" spans="1:22" ht="15.75" thickBot="1" x14ac:dyDescent="0.3">
      <c r="A6162" t="s">
        <v>4668</v>
      </c>
      <c r="B6162" t="s">
        <v>4668</v>
      </c>
      <c r="C6162" s="424" t="str">
        <f t="shared" si="262"/>
        <v>Viação Alvorada, Lda</v>
      </c>
      <c r="D6162" t="s">
        <v>629</v>
      </c>
      <c r="F6162" t="s">
        <v>620</v>
      </c>
      <c r="G6162" s="89">
        <v>2022</v>
      </c>
      <c r="H6162" s="313" t="s">
        <v>5816</v>
      </c>
      <c r="I6162" s="311" t="str">
        <f t="shared" si="261"/>
        <v>Pesado de Passageiros M3:  : Gasóleo : E6 D/E E7</v>
      </c>
      <c r="J6162">
        <v>108</v>
      </c>
      <c r="K6162" s="422">
        <v>2023</v>
      </c>
      <c r="L6162">
        <v>33146</v>
      </c>
      <c r="M6162" t="s">
        <v>630</v>
      </c>
      <c r="N6162" s="131">
        <v>33146</v>
      </c>
      <c r="O6162" s="436">
        <f t="shared" si="263"/>
        <v>3579768</v>
      </c>
      <c r="P6162" s="89">
        <v>1241</v>
      </c>
      <c r="Q6162" t="s">
        <v>47</v>
      </c>
      <c r="R6162" s="422" t="s">
        <v>1869</v>
      </c>
      <c r="S6162" s="422" t="s">
        <v>1861</v>
      </c>
      <c r="T6162" s="422" t="s">
        <v>5821</v>
      </c>
      <c r="U6162" s="422" t="s">
        <v>1953</v>
      </c>
      <c r="V6162" s="422" t="s">
        <v>2813</v>
      </c>
    </row>
    <row r="6163" spans="1:22" ht="15.75" thickBot="1" x14ac:dyDescent="0.3">
      <c r="A6163" t="s">
        <v>4668</v>
      </c>
      <c r="B6163" t="s">
        <v>4668</v>
      </c>
      <c r="C6163" s="424" t="str">
        <f t="shared" si="262"/>
        <v>Viação Alvorada, Lda</v>
      </c>
      <c r="D6163" t="s">
        <v>629</v>
      </c>
      <c r="F6163" t="s">
        <v>620</v>
      </c>
      <c r="G6163" s="89">
        <v>2022</v>
      </c>
      <c r="H6163" s="313" t="s">
        <v>5816</v>
      </c>
      <c r="I6163" s="311" t="str">
        <f t="shared" si="261"/>
        <v>Pesado de Passageiros M3:  : Gasóleo : E6 D/E E7</v>
      </c>
      <c r="J6163">
        <v>108</v>
      </c>
      <c r="K6163" s="422">
        <v>2023</v>
      </c>
      <c r="L6163">
        <v>31903</v>
      </c>
      <c r="M6163" t="s">
        <v>630</v>
      </c>
      <c r="N6163" s="131">
        <v>31903</v>
      </c>
      <c r="O6163" s="436">
        <f t="shared" si="263"/>
        <v>3445524</v>
      </c>
      <c r="P6163" s="89">
        <v>1242</v>
      </c>
      <c r="Q6163" t="s">
        <v>47</v>
      </c>
      <c r="R6163" s="422" t="s">
        <v>1869</v>
      </c>
      <c r="S6163" s="422" t="s">
        <v>1861</v>
      </c>
      <c r="T6163" s="422" t="s">
        <v>5821</v>
      </c>
      <c r="U6163" s="422" t="s">
        <v>1953</v>
      </c>
      <c r="V6163" s="422" t="s">
        <v>2813</v>
      </c>
    </row>
    <row r="6164" spans="1:22" ht="15.75" thickBot="1" x14ac:dyDescent="0.3">
      <c r="A6164" t="s">
        <v>4668</v>
      </c>
      <c r="B6164" t="s">
        <v>4668</v>
      </c>
      <c r="C6164" s="424" t="str">
        <f t="shared" si="262"/>
        <v>Viação Alvorada, Lda</v>
      </c>
      <c r="D6164" t="s">
        <v>629</v>
      </c>
      <c r="F6164" t="s">
        <v>620</v>
      </c>
      <c r="G6164" s="89">
        <v>2022</v>
      </c>
      <c r="H6164" s="313" t="s">
        <v>5816</v>
      </c>
      <c r="I6164" s="311" t="str">
        <f t="shared" si="261"/>
        <v>Pesado de Passageiros M3:  : Gasóleo : E6 D/E E7</v>
      </c>
      <c r="J6164">
        <v>108</v>
      </c>
      <c r="K6164" s="422">
        <v>2023</v>
      </c>
      <c r="L6164">
        <v>27482</v>
      </c>
      <c r="M6164" t="s">
        <v>630</v>
      </c>
      <c r="N6164" s="131">
        <v>27482</v>
      </c>
      <c r="O6164" s="436">
        <f t="shared" si="263"/>
        <v>2968056</v>
      </c>
      <c r="P6164" s="89">
        <v>1243</v>
      </c>
      <c r="Q6164" t="s">
        <v>47</v>
      </c>
      <c r="R6164" s="422" t="s">
        <v>1869</v>
      </c>
      <c r="S6164" s="422" t="s">
        <v>1861</v>
      </c>
      <c r="T6164" s="422" t="s">
        <v>5821</v>
      </c>
      <c r="U6164" s="422" t="s">
        <v>1953</v>
      </c>
      <c r="V6164" s="422" t="s">
        <v>2813</v>
      </c>
    </row>
    <row r="6165" spans="1:22" ht="15.75" thickBot="1" x14ac:dyDescent="0.3">
      <c r="A6165" t="s">
        <v>4668</v>
      </c>
      <c r="B6165" t="s">
        <v>4668</v>
      </c>
      <c r="C6165" s="424" t="str">
        <f t="shared" si="262"/>
        <v>Viação Alvorada, Lda</v>
      </c>
      <c r="D6165" t="s">
        <v>629</v>
      </c>
      <c r="F6165" t="s">
        <v>620</v>
      </c>
      <c r="G6165" s="89">
        <v>2022</v>
      </c>
      <c r="H6165" s="313" t="s">
        <v>5816</v>
      </c>
      <c r="I6165" s="311" t="str">
        <f t="shared" si="261"/>
        <v>Pesado de Passageiros M3:  : Gasóleo : E6 D/E E7</v>
      </c>
      <c r="J6165">
        <v>108</v>
      </c>
      <c r="K6165" s="422">
        <v>2023</v>
      </c>
      <c r="L6165">
        <v>30822</v>
      </c>
      <c r="M6165" t="s">
        <v>630</v>
      </c>
      <c r="N6165" s="131">
        <v>30822</v>
      </c>
      <c r="O6165" s="436">
        <f t="shared" si="263"/>
        <v>3328776</v>
      </c>
      <c r="P6165" s="89">
        <v>1244</v>
      </c>
      <c r="Q6165" t="s">
        <v>47</v>
      </c>
      <c r="R6165" s="422" t="s">
        <v>1869</v>
      </c>
      <c r="S6165" s="422" t="s">
        <v>1861</v>
      </c>
      <c r="T6165" s="422" t="s">
        <v>5821</v>
      </c>
      <c r="U6165" s="422" t="s">
        <v>1953</v>
      </c>
      <c r="V6165" s="422" t="s">
        <v>2813</v>
      </c>
    </row>
    <row r="6166" spans="1:22" ht="15.75" thickBot="1" x14ac:dyDescent="0.3">
      <c r="A6166" t="s">
        <v>4668</v>
      </c>
      <c r="B6166" t="s">
        <v>4668</v>
      </c>
      <c r="C6166" s="424" t="str">
        <f t="shared" si="262"/>
        <v>Viação Alvorada, Lda</v>
      </c>
      <c r="D6166" t="s">
        <v>629</v>
      </c>
      <c r="F6166" t="s">
        <v>620</v>
      </c>
      <c r="G6166" s="89">
        <v>2022</v>
      </c>
      <c r="H6166" s="313" t="s">
        <v>5816</v>
      </c>
      <c r="I6166" s="311" t="str">
        <f t="shared" si="261"/>
        <v>Pesado de Passageiros M3:  : Gasóleo : E6 D/E E7</v>
      </c>
      <c r="J6166">
        <v>108</v>
      </c>
      <c r="K6166" s="422">
        <v>2023</v>
      </c>
      <c r="L6166">
        <v>33626</v>
      </c>
      <c r="M6166" t="s">
        <v>630</v>
      </c>
      <c r="N6166" s="131">
        <v>33626</v>
      </c>
      <c r="O6166" s="436">
        <f t="shared" si="263"/>
        <v>3631608</v>
      </c>
      <c r="P6166" s="89">
        <v>1245</v>
      </c>
      <c r="Q6166" t="s">
        <v>47</v>
      </c>
      <c r="R6166" s="422" t="s">
        <v>1869</v>
      </c>
      <c r="S6166" s="422" t="s">
        <v>1861</v>
      </c>
      <c r="T6166" s="422" t="s">
        <v>5820</v>
      </c>
      <c r="U6166" s="422" t="s">
        <v>1953</v>
      </c>
      <c r="V6166" s="422" t="s">
        <v>2813</v>
      </c>
    </row>
    <row r="6167" spans="1:22" ht="15.75" thickBot="1" x14ac:dyDescent="0.3">
      <c r="A6167" t="s">
        <v>4668</v>
      </c>
      <c r="B6167" t="s">
        <v>4668</v>
      </c>
      <c r="C6167" s="424" t="str">
        <f t="shared" si="262"/>
        <v>Viação Alvorada, Lda</v>
      </c>
      <c r="D6167" t="s">
        <v>629</v>
      </c>
      <c r="F6167" t="s">
        <v>620</v>
      </c>
      <c r="G6167" s="89">
        <v>2022</v>
      </c>
      <c r="H6167" s="313" t="s">
        <v>5816</v>
      </c>
      <c r="I6167" s="311" t="str">
        <f t="shared" si="261"/>
        <v>Pesado de Passageiros M3:  : Gasóleo : E6 D/E E7</v>
      </c>
      <c r="J6167">
        <v>108</v>
      </c>
      <c r="K6167" s="422">
        <v>2023</v>
      </c>
      <c r="L6167">
        <v>34755</v>
      </c>
      <c r="M6167" t="s">
        <v>630</v>
      </c>
      <c r="N6167" s="131">
        <v>34755</v>
      </c>
      <c r="O6167" s="436">
        <f t="shared" si="263"/>
        <v>3753540</v>
      </c>
      <c r="P6167" s="89">
        <v>1246</v>
      </c>
      <c r="Q6167" t="s">
        <v>47</v>
      </c>
      <c r="R6167" s="422" t="s">
        <v>1869</v>
      </c>
      <c r="S6167" s="422" t="s">
        <v>1861</v>
      </c>
      <c r="T6167" s="422" t="s">
        <v>5820</v>
      </c>
      <c r="U6167" s="422" t="s">
        <v>1953</v>
      </c>
      <c r="V6167" s="422" t="s">
        <v>2813</v>
      </c>
    </row>
    <row r="6168" spans="1:22" ht="15.75" thickBot="1" x14ac:dyDescent="0.3">
      <c r="A6168" t="s">
        <v>4668</v>
      </c>
      <c r="B6168" t="s">
        <v>4668</v>
      </c>
      <c r="C6168" s="424" t="str">
        <f t="shared" si="262"/>
        <v>Viação Alvorada, Lda</v>
      </c>
      <c r="D6168" t="s">
        <v>629</v>
      </c>
      <c r="F6168" t="s">
        <v>620</v>
      </c>
      <c r="G6168" s="89">
        <v>2022</v>
      </c>
      <c r="H6168" s="313" t="s">
        <v>5816</v>
      </c>
      <c r="I6168" s="311" t="str">
        <f t="shared" si="261"/>
        <v>Pesado de Passageiros M3:  : Gasóleo : E6 D/E E7</v>
      </c>
      <c r="J6168">
        <v>108</v>
      </c>
      <c r="K6168" s="422">
        <v>2023</v>
      </c>
      <c r="L6168">
        <v>29405</v>
      </c>
      <c r="M6168" t="s">
        <v>630</v>
      </c>
      <c r="N6168" s="131">
        <v>29405</v>
      </c>
      <c r="O6168" s="436">
        <f t="shared" si="263"/>
        <v>3175740</v>
      </c>
      <c r="P6168" s="89">
        <v>1247</v>
      </c>
      <c r="Q6168" t="s">
        <v>47</v>
      </c>
      <c r="R6168" s="422" t="s">
        <v>1869</v>
      </c>
      <c r="S6168" s="422" t="s">
        <v>1861</v>
      </c>
      <c r="T6168" s="422" t="s">
        <v>5820</v>
      </c>
      <c r="U6168" s="422" t="s">
        <v>1953</v>
      </c>
      <c r="V6168" s="422" t="s">
        <v>2813</v>
      </c>
    </row>
    <row r="6169" spans="1:22" ht="15.75" thickBot="1" x14ac:dyDescent="0.3">
      <c r="A6169" t="s">
        <v>4668</v>
      </c>
      <c r="B6169" t="s">
        <v>4668</v>
      </c>
      <c r="C6169" s="424" t="str">
        <f t="shared" si="262"/>
        <v>Viação Alvorada, Lda</v>
      </c>
      <c r="D6169" t="s">
        <v>629</v>
      </c>
      <c r="F6169" t="s">
        <v>620</v>
      </c>
      <c r="G6169" s="89">
        <v>2022</v>
      </c>
      <c r="H6169" s="313" t="s">
        <v>5816</v>
      </c>
      <c r="I6169" s="311" t="str">
        <f t="shared" si="261"/>
        <v>Pesado de Passageiros M3:  : Gasóleo : E6 D/E E7</v>
      </c>
      <c r="J6169">
        <v>108</v>
      </c>
      <c r="K6169" s="422">
        <v>2023</v>
      </c>
      <c r="L6169">
        <v>33365</v>
      </c>
      <c r="M6169" t="s">
        <v>630</v>
      </c>
      <c r="N6169" s="131">
        <v>33365</v>
      </c>
      <c r="O6169" s="436">
        <f t="shared" si="263"/>
        <v>3603420</v>
      </c>
      <c r="P6169" s="89">
        <v>1248</v>
      </c>
      <c r="Q6169" t="s">
        <v>47</v>
      </c>
      <c r="R6169" s="422" t="s">
        <v>1869</v>
      </c>
      <c r="S6169" s="422" t="s">
        <v>1861</v>
      </c>
      <c r="T6169" s="422" t="s">
        <v>5820</v>
      </c>
      <c r="U6169" s="422" t="s">
        <v>1953</v>
      </c>
      <c r="V6169" s="422" t="s">
        <v>2813</v>
      </c>
    </row>
    <row r="6170" spans="1:22" ht="15.75" thickBot="1" x14ac:dyDescent="0.3">
      <c r="A6170" t="s">
        <v>4668</v>
      </c>
      <c r="B6170" t="s">
        <v>4668</v>
      </c>
      <c r="C6170" s="424" t="str">
        <f t="shared" si="262"/>
        <v>Viação Alvorada, Lda</v>
      </c>
      <c r="D6170" t="s">
        <v>629</v>
      </c>
      <c r="F6170" t="s">
        <v>620</v>
      </c>
      <c r="G6170" s="89">
        <v>2022</v>
      </c>
      <c r="H6170" s="313" t="s">
        <v>5816</v>
      </c>
      <c r="I6170" s="311" t="str">
        <f t="shared" si="261"/>
        <v>Pesado de Passageiros M3:  : Gasóleo : E6 D/E E7</v>
      </c>
      <c r="J6170">
        <v>108</v>
      </c>
      <c r="K6170" s="422">
        <v>2023</v>
      </c>
      <c r="L6170">
        <v>29739</v>
      </c>
      <c r="M6170" t="s">
        <v>630</v>
      </c>
      <c r="N6170" s="131">
        <v>29739</v>
      </c>
      <c r="O6170" s="436">
        <f t="shared" si="263"/>
        <v>3211812</v>
      </c>
      <c r="P6170" s="89">
        <v>1249</v>
      </c>
      <c r="Q6170" t="s">
        <v>47</v>
      </c>
      <c r="R6170" s="422" t="s">
        <v>1869</v>
      </c>
      <c r="S6170" s="422" t="s">
        <v>1861</v>
      </c>
      <c r="T6170" s="422" t="s">
        <v>5820</v>
      </c>
      <c r="U6170" s="422" t="s">
        <v>1953</v>
      </c>
      <c r="V6170" s="422" t="s">
        <v>2813</v>
      </c>
    </row>
    <row r="6171" spans="1:22" ht="15.75" thickBot="1" x14ac:dyDescent="0.3">
      <c r="A6171" t="s">
        <v>4668</v>
      </c>
      <c r="B6171" t="s">
        <v>4668</v>
      </c>
      <c r="C6171" s="424" t="str">
        <f t="shared" si="262"/>
        <v>Viação Alvorada, Lda</v>
      </c>
      <c r="D6171" t="s">
        <v>629</v>
      </c>
      <c r="F6171" t="s">
        <v>620</v>
      </c>
      <c r="G6171" s="89">
        <v>2022</v>
      </c>
      <c r="H6171" s="313" t="s">
        <v>5816</v>
      </c>
      <c r="I6171" s="311" t="str">
        <f t="shared" si="261"/>
        <v>Pesado de Passageiros M3:  : Gasóleo : E6 D/E E7</v>
      </c>
      <c r="J6171">
        <v>108</v>
      </c>
      <c r="K6171" s="422">
        <v>2023</v>
      </c>
      <c r="L6171">
        <v>25959</v>
      </c>
      <c r="M6171" t="s">
        <v>630</v>
      </c>
      <c r="N6171" s="131">
        <v>25959</v>
      </c>
      <c r="O6171" s="436">
        <f t="shared" si="263"/>
        <v>2803572</v>
      </c>
      <c r="P6171" s="89">
        <v>1250</v>
      </c>
      <c r="Q6171" t="s">
        <v>47</v>
      </c>
      <c r="R6171" s="422" t="s">
        <v>1869</v>
      </c>
      <c r="S6171" s="422" t="s">
        <v>1861</v>
      </c>
      <c r="T6171" s="422" t="s">
        <v>5820</v>
      </c>
      <c r="U6171" s="422" t="s">
        <v>1953</v>
      </c>
      <c r="V6171" s="422" t="s">
        <v>2813</v>
      </c>
    </row>
    <row r="6172" spans="1:22" ht="15.75" thickBot="1" x14ac:dyDescent="0.3">
      <c r="A6172" t="s">
        <v>4668</v>
      </c>
      <c r="B6172" t="s">
        <v>4668</v>
      </c>
      <c r="C6172" s="424" t="str">
        <f t="shared" si="262"/>
        <v>Viação Alvorada, Lda</v>
      </c>
      <c r="D6172" t="s">
        <v>629</v>
      </c>
      <c r="F6172" t="s">
        <v>620</v>
      </c>
      <c r="G6172" s="89">
        <v>2022</v>
      </c>
      <c r="H6172" s="313" t="s">
        <v>5816</v>
      </c>
      <c r="I6172" s="311" t="str">
        <f t="shared" si="261"/>
        <v>Pesado de Passageiros M3:  : Gasóleo : E6 D/E E7</v>
      </c>
      <c r="J6172">
        <v>108</v>
      </c>
      <c r="K6172" s="422">
        <v>2023</v>
      </c>
      <c r="L6172">
        <v>36337</v>
      </c>
      <c r="M6172" t="s">
        <v>630</v>
      </c>
      <c r="N6172" s="131">
        <v>36337</v>
      </c>
      <c r="O6172" s="436">
        <f t="shared" si="263"/>
        <v>3924396</v>
      </c>
      <c r="P6172" s="89">
        <v>1251</v>
      </c>
      <c r="Q6172" t="s">
        <v>47</v>
      </c>
      <c r="R6172" s="422" t="s">
        <v>1869</v>
      </c>
      <c r="S6172" s="422" t="s">
        <v>1861</v>
      </c>
      <c r="T6172" s="422" t="s">
        <v>5820</v>
      </c>
      <c r="U6172" s="422" t="s">
        <v>1953</v>
      </c>
      <c r="V6172" s="422" t="s">
        <v>2813</v>
      </c>
    </row>
    <row r="6173" spans="1:22" ht="15.75" thickBot="1" x14ac:dyDescent="0.3">
      <c r="A6173" t="s">
        <v>4668</v>
      </c>
      <c r="B6173" t="s">
        <v>4668</v>
      </c>
      <c r="C6173" s="424" t="str">
        <f t="shared" si="262"/>
        <v>Viação Alvorada, Lda</v>
      </c>
      <c r="D6173" t="s">
        <v>629</v>
      </c>
      <c r="F6173" t="s">
        <v>620</v>
      </c>
      <c r="G6173" s="89">
        <v>2022</v>
      </c>
      <c r="H6173" s="313" t="s">
        <v>5816</v>
      </c>
      <c r="I6173" s="311" t="str">
        <f t="shared" si="261"/>
        <v>Pesado de Passageiros M3:  : Gasóleo : E6 D/E E7</v>
      </c>
      <c r="J6173">
        <v>108</v>
      </c>
      <c r="K6173" s="422">
        <v>2023</v>
      </c>
      <c r="L6173">
        <v>32003</v>
      </c>
      <c r="M6173" t="s">
        <v>630</v>
      </c>
      <c r="N6173" s="131">
        <v>32003</v>
      </c>
      <c r="O6173" s="436">
        <f t="shared" si="263"/>
        <v>3456324</v>
      </c>
      <c r="P6173" s="89">
        <v>1252</v>
      </c>
      <c r="Q6173" t="s">
        <v>47</v>
      </c>
      <c r="R6173" s="422" t="s">
        <v>1869</v>
      </c>
      <c r="S6173" s="422" t="s">
        <v>1861</v>
      </c>
      <c r="T6173" s="422" t="s">
        <v>5820</v>
      </c>
      <c r="U6173" s="422" t="s">
        <v>1953</v>
      </c>
      <c r="V6173" s="422" t="s">
        <v>2813</v>
      </c>
    </row>
    <row r="6174" spans="1:22" ht="15.75" thickBot="1" x14ac:dyDescent="0.3">
      <c r="A6174" t="s">
        <v>4668</v>
      </c>
      <c r="B6174" t="s">
        <v>4668</v>
      </c>
      <c r="C6174" s="424" t="str">
        <f t="shared" si="262"/>
        <v>Viação Alvorada, Lda</v>
      </c>
      <c r="D6174" t="s">
        <v>629</v>
      </c>
      <c r="F6174" t="s">
        <v>620</v>
      </c>
      <c r="G6174" s="89">
        <v>2022</v>
      </c>
      <c r="H6174" s="313" t="s">
        <v>5816</v>
      </c>
      <c r="I6174" s="311" t="str">
        <f t="shared" si="261"/>
        <v>Pesado de Passageiros M3:  : Gasóleo : E6 D/E E7</v>
      </c>
      <c r="J6174">
        <v>108</v>
      </c>
      <c r="K6174" s="422">
        <v>2023</v>
      </c>
      <c r="L6174">
        <v>33952</v>
      </c>
      <c r="M6174" t="s">
        <v>630</v>
      </c>
      <c r="N6174" s="131">
        <v>33952</v>
      </c>
      <c r="O6174" s="436">
        <f t="shared" si="263"/>
        <v>3666816</v>
      </c>
      <c r="P6174" s="89">
        <v>1253</v>
      </c>
      <c r="Q6174" t="s">
        <v>47</v>
      </c>
      <c r="R6174" s="422" t="s">
        <v>1869</v>
      </c>
      <c r="S6174" s="422" t="s">
        <v>1861</v>
      </c>
      <c r="T6174" s="422" t="s">
        <v>5820</v>
      </c>
      <c r="U6174" s="422" t="s">
        <v>1953</v>
      </c>
      <c r="V6174" s="422" t="s">
        <v>2813</v>
      </c>
    </row>
    <row r="6175" spans="1:22" ht="15.75" thickBot="1" x14ac:dyDescent="0.3">
      <c r="A6175" t="s">
        <v>4668</v>
      </c>
      <c r="B6175" t="s">
        <v>4668</v>
      </c>
      <c r="C6175" s="424" t="str">
        <f t="shared" si="262"/>
        <v>Viação Alvorada, Lda</v>
      </c>
      <c r="D6175" t="s">
        <v>629</v>
      </c>
      <c r="F6175" t="s">
        <v>620</v>
      </c>
      <c r="G6175" s="89">
        <v>2022</v>
      </c>
      <c r="H6175" s="313" t="s">
        <v>5816</v>
      </c>
      <c r="I6175" s="311" t="str">
        <f t="shared" si="261"/>
        <v>Pesado de Passageiros M3:  : Gasóleo : E6 D/E E7</v>
      </c>
      <c r="J6175">
        <v>108</v>
      </c>
      <c r="K6175" s="422">
        <v>2023</v>
      </c>
      <c r="L6175">
        <v>33199</v>
      </c>
      <c r="M6175" t="s">
        <v>630</v>
      </c>
      <c r="N6175" s="131">
        <v>33199</v>
      </c>
      <c r="O6175" s="436">
        <f t="shared" si="263"/>
        <v>3585492</v>
      </c>
      <c r="P6175" s="89">
        <v>1254</v>
      </c>
      <c r="Q6175" t="s">
        <v>47</v>
      </c>
      <c r="R6175" s="422" t="s">
        <v>1869</v>
      </c>
      <c r="S6175" s="422" t="s">
        <v>1861</v>
      </c>
      <c r="T6175" s="422" t="s">
        <v>5820</v>
      </c>
      <c r="U6175" s="422" t="s">
        <v>1953</v>
      </c>
      <c r="V6175" s="422" t="s">
        <v>2813</v>
      </c>
    </row>
    <row r="6176" spans="1:22" ht="15.75" thickBot="1" x14ac:dyDescent="0.3">
      <c r="A6176" t="s">
        <v>4668</v>
      </c>
      <c r="B6176" t="s">
        <v>4668</v>
      </c>
      <c r="C6176" s="424" t="str">
        <f t="shared" si="262"/>
        <v>Viação Alvorada, Lda</v>
      </c>
      <c r="D6176" t="s">
        <v>629</v>
      </c>
      <c r="F6176" t="s">
        <v>620</v>
      </c>
      <c r="G6176" s="89">
        <v>2022</v>
      </c>
      <c r="H6176" s="313" t="s">
        <v>5816</v>
      </c>
      <c r="I6176" s="311" t="str">
        <f t="shared" si="261"/>
        <v>Pesado de Passageiros M3:  : Gasóleo : E6 D/E E7</v>
      </c>
      <c r="J6176">
        <v>108</v>
      </c>
      <c r="K6176" s="422">
        <v>2023</v>
      </c>
      <c r="L6176">
        <v>29091</v>
      </c>
      <c r="M6176" t="s">
        <v>630</v>
      </c>
      <c r="N6176" s="131">
        <v>29091</v>
      </c>
      <c r="O6176" s="436">
        <f t="shared" si="263"/>
        <v>3141828</v>
      </c>
      <c r="P6176" s="89">
        <v>1255</v>
      </c>
      <c r="Q6176" t="s">
        <v>47</v>
      </c>
      <c r="R6176" s="422" t="s">
        <v>1869</v>
      </c>
      <c r="S6176" s="422" t="s">
        <v>1861</v>
      </c>
      <c r="T6176" s="422" t="s">
        <v>5820</v>
      </c>
      <c r="U6176" s="422" t="s">
        <v>1953</v>
      </c>
      <c r="V6176" s="422" t="s">
        <v>2813</v>
      </c>
    </row>
    <row r="6177" spans="1:22" ht="15.75" thickBot="1" x14ac:dyDescent="0.3">
      <c r="A6177" t="s">
        <v>4668</v>
      </c>
      <c r="B6177" t="s">
        <v>4668</v>
      </c>
      <c r="C6177" s="424" t="str">
        <f t="shared" si="262"/>
        <v>Viação Alvorada, Lda</v>
      </c>
      <c r="D6177" t="s">
        <v>629</v>
      </c>
      <c r="F6177" t="s">
        <v>620</v>
      </c>
      <c r="G6177" s="89">
        <v>2022</v>
      </c>
      <c r="H6177" s="313" t="s">
        <v>5816</v>
      </c>
      <c r="I6177" s="311" t="str">
        <f t="shared" si="261"/>
        <v>Pesado de Passageiros M3:  : Gasóleo : E6 D/E E7</v>
      </c>
      <c r="J6177">
        <v>108</v>
      </c>
      <c r="K6177" s="422">
        <v>2023</v>
      </c>
      <c r="L6177">
        <v>28186</v>
      </c>
      <c r="M6177" t="s">
        <v>630</v>
      </c>
      <c r="N6177" s="131">
        <v>28186</v>
      </c>
      <c r="O6177" s="436">
        <f t="shared" si="263"/>
        <v>3044088</v>
      </c>
      <c r="P6177" s="89">
        <v>1256</v>
      </c>
      <c r="Q6177" t="s">
        <v>47</v>
      </c>
      <c r="R6177" s="422" t="s">
        <v>1869</v>
      </c>
      <c r="S6177" s="422" t="s">
        <v>1861</v>
      </c>
      <c r="T6177" s="422" t="s">
        <v>5820</v>
      </c>
      <c r="U6177" s="422" t="s">
        <v>1953</v>
      </c>
      <c r="V6177" s="422" t="s">
        <v>2813</v>
      </c>
    </row>
    <row r="6178" spans="1:22" ht="15.75" thickBot="1" x14ac:dyDescent="0.3">
      <c r="A6178" t="s">
        <v>4668</v>
      </c>
      <c r="B6178" t="s">
        <v>4668</v>
      </c>
      <c r="C6178" s="424" t="str">
        <f t="shared" si="262"/>
        <v>Viação Alvorada, Lda</v>
      </c>
      <c r="D6178" t="s">
        <v>629</v>
      </c>
      <c r="F6178" t="s">
        <v>620</v>
      </c>
      <c r="G6178" s="89">
        <v>2022</v>
      </c>
      <c r="H6178" s="313" t="s">
        <v>5816</v>
      </c>
      <c r="I6178" s="311" t="str">
        <f t="shared" ref="I6178:I6241" si="264">D6178&amp;": "&amp;E6178&amp;" : "&amp;F6178&amp;" : "&amp;H6178</f>
        <v>Pesado de Passageiros M3:  : Gasóleo : E6 D/E E7</v>
      </c>
      <c r="J6178">
        <v>108</v>
      </c>
      <c r="K6178" s="422">
        <v>2023</v>
      </c>
      <c r="L6178">
        <v>30538</v>
      </c>
      <c r="M6178" t="s">
        <v>630</v>
      </c>
      <c r="N6178" s="131">
        <v>30538</v>
      </c>
      <c r="O6178" s="436">
        <f t="shared" si="263"/>
        <v>3298104</v>
      </c>
      <c r="P6178" s="89">
        <v>1257</v>
      </c>
      <c r="Q6178" t="s">
        <v>47</v>
      </c>
      <c r="R6178" s="422" t="s">
        <v>1869</v>
      </c>
      <c r="S6178" s="422" t="s">
        <v>1861</v>
      </c>
      <c r="T6178" s="422" t="s">
        <v>5820</v>
      </c>
      <c r="U6178" s="422" t="s">
        <v>1953</v>
      </c>
      <c r="V6178" s="422" t="s">
        <v>2813</v>
      </c>
    </row>
    <row r="6179" spans="1:22" ht="15.75" thickBot="1" x14ac:dyDescent="0.3">
      <c r="A6179" t="s">
        <v>4668</v>
      </c>
      <c r="B6179" t="s">
        <v>4668</v>
      </c>
      <c r="C6179" s="424" t="str">
        <f t="shared" si="262"/>
        <v>Viação Alvorada, Lda</v>
      </c>
      <c r="D6179" t="s">
        <v>629</v>
      </c>
      <c r="F6179" t="s">
        <v>620</v>
      </c>
      <c r="G6179" s="89">
        <v>2022</v>
      </c>
      <c r="H6179" s="313" t="s">
        <v>5816</v>
      </c>
      <c r="I6179" s="311" t="str">
        <f t="shared" si="264"/>
        <v>Pesado de Passageiros M3:  : Gasóleo : E6 D/E E7</v>
      </c>
      <c r="J6179">
        <v>108</v>
      </c>
      <c r="K6179" s="422">
        <v>2023</v>
      </c>
      <c r="L6179">
        <v>29374</v>
      </c>
      <c r="M6179" t="s">
        <v>630</v>
      </c>
      <c r="N6179" s="131">
        <v>29374</v>
      </c>
      <c r="O6179" s="436">
        <f t="shared" si="263"/>
        <v>3172392</v>
      </c>
      <c r="P6179" s="89">
        <v>1258</v>
      </c>
      <c r="Q6179" t="s">
        <v>47</v>
      </c>
      <c r="R6179" s="422" t="s">
        <v>1869</v>
      </c>
      <c r="S6179" s="422" t="s">
        <v>1861</v>
      </c>
      <c r="T6179" s="422" t="s">
        <v>5820</v>
      </c>
      <c r="U6179" s="422" t="s">
        <v>1953</v>
      </c>
      <c r="V6179" s="422" t="s">
        <v>2813</v>
      </c>
    </row>
    <row r="6180" spans="1:22" ht="15.75" thickBot="1" x14ac:dyDescent="0.3">
      <c r="A6180" t="s">
        <v>4668</v>
      </c>
      <c r="B6180" t="s">
        <v>4668</v>
      </c>
      <c r="C6180" s="424" t="str">
        <f t="shared" si="262"/>
        <v>Viação Alvorada, Lda</v>
      </c>
      <c r="D6180" t="s">
        <v>629</v>
      </c>
      <c r="F6180" t="s">
        <v>620</v>
      </c>
      <c r="G6180" s="89">
        <v>2022</v>
      </c>
      <c r="H6180" s="313" t="s">
        <v>5816</v>
      </c>
      <c r="I6180" s="311" t="str">
        <f t="shared" si="264"/>
        <v>Pesado de Passageiros M3:  : Gasóleo : E6 D/E E7</v>
      </c>
      <c r="J6180">
        <v>108</v>
      </c>
      <c r="K6180" s="422">
        <v>2023</v>
      </c>
      <c r="L6180">
        <v>17107</v>
      </c>
      <c r="M6180" t="s">
        <v>630</v>
      </c>
      <c r="N6180" s="131">
        <v>17107</v>
      </c>
      <c r="O6180" s="436">
        <f t="shared" si="263"/>
        <v>1847556</v>
      </c>
      <c r="P6180" s="89">
        <v>1259</v>
      </c>
      <c r="Q6180" t="s">
        <v>47</v>
      </c>
      <c r="R6180" s="422" t="s">
        <v>1869</v>
      </c>
      <c r="S6180" s="422" t="s">
        <v>1861</v>
      </c>
      <c r="T6180" s="422" t="s">
        <v>5820</v>
      </c>
      <c r="U6180" s="422" t="s">
        <v>1953</v>
      </c>
      <c r="V6180" s="422" t="s">
        <v>2813</v>
      </c>
    </row>
    <row r="6181" spans="1:22" ht="15.75" thickBot="1" x14ac:dyDescent="0.3">
      <c r="A6181" t="s">
        <v>4668</v>
      </c>
      <c r="B6181" t="s">
        <v>4668</v>
      </c>
      <c r="C6181" s="424" t="str">
        <f t="shared" si="262"/>
        <v>Viação Alvorada, Lda</v>
      </c>
      <c r="D6181" t="s">
        <v>629</v>
      </c>
      <c r="F6181" t="s">
        <v>620</v>
      </c>
      <c r="G6181" s="89">
        <v>2022</v>
      </c>
      <c r="H6181" s="313" t="s">
        <v>5816</v>
      </c>
      <c r="I6181" s="311" t="str">
        <f t="shared" si="264"/>
        <v>Pesado de Passageiros M3:  : Gasóleo : E6 D/E E7</v>
      </c>
      <c r="J6181">
        <v>108</v>
      </c>
      <c r="K6181" s="422">
        <v>2023</v>
      </c>
      <c r="L6181">
        <v>29915</v>
      </c>
      <c r="M6181" t="s">
        <v>630</v>
      </c>
      <c r="N6181" s="131">
        <v>29915</v>
      </c>
      <c r="O6181" s="436">
        <f t="shared" si="263"/>
        <v>3230820</v>
      </c>
      <c r="P6181" s="89">
        <v>1260</v>
      </c>
      <c r="Q6181" t="s">
        <v>47</v>
      </c>
      <c r="R6181" s="422" t="s">
        <v>1869</v>
      </c>
      <c r="S6181" s="422" t="s">
        <v>1861</v>
      </c>
      <c r="T6181" s="422" t="s">
        <v>5820</v>
      </c>
      <c r="U6181" s="422" t="s">
        <v>1953</v>
      </c>
      <c r="V6181" s="422" t="s">
        <v>2813</v>
      </c>
    </row>
    <row r="6182" spans="1:22" ht="15.75" thickBot="1" x14ac:dyDescent="0.3">
      <c r="A6182" t="s">
        <v>4668</v>
      </c>
      <c r="B6182" t="s">
        <v>4668</v>
      </c>
      <c r="C6182" s="424" t="str">
        <f t="shared" si="262"/>
        <v>Viação Alvorada, Lda</v>
      </c>
      <c r="D6182" t="s">
        <v>629</v>
      </c>
      <c r="F6182" t="s">
        <v>620</v>
      </c>
      <c r="G6182" s="89">
        <v>2022</v>
      </c>
      <c r="H6182" s="313" t="s">
        <v>5816</v>
      </c>
      <c r="I6182" s="311" t="str">
        <f t="shared" si="264"/>
        <v>Pesado de Passageiros M3:  : Gasóleo : E6 D/E E7</v>
      </c>
      <c r="J6182">
        <v>108</v>
      </c>
      <c r="K6182" s="422">
        <v>2023</v>
      </c>
      <c r="L6182">
        <v>29429</v>
      </c>
      <c r="M6182" t="s">
        <v>630</v>
      </c>
      <c r="N6182" s="131">
        <v>29429</v>
      </c>
      <c r="O6182" s="436">
        <f t="shared" si="263"/>
        <v>3178332</v>
      </c>
      <c r="P6182" s="89">
        <v>1261</v>
      </c>
      <c r="Q6182" t="s">
        <v>47</v>
      </c>
      <c r="R6182" s="422" t="s">
        <v>1869</v>
      </c>
      <c r="S6182" s="422" t="s">
        <v>1861</v>
      </c>
      <c r="T6182" s="422" t="s">
        <v>5820</v>
      </c>
      <c r="U6182" s="422" t="s">
        <v>1953</v>
      </c>
      <c r="V6182" s="422" t="s">
        <v>2813</v>
      </c>
    </row>
    <row r="6183" spans="1:22" ht="15.75" thickBot="1" x14ac:dyDescent="0.3">
      <c r="A6183" t="s">
        <v>4668</v>
      </c>
      <c r="B6183" t="s">
        <v>4668</v>
      </c>
      <c r="C6183" s="424" t="str">
        <f t="shared" si="262"/>
        <v>Viação Alvorada, Lda</v>
      </c>
      <c r="D6183" t="s">
        <v>629</v>
      </c>
      <c r="F6183" t="s">
        <v>620</v>
      </c>
      <c r="G6183" s="89">
        <v>2022</v>
      </c>
      <c r="H6183" s="313" t="s">
        <v>5816</v>
      </c>
      <c r="I6183" s="311" t="str">
        <f t="shared" si="264"/>
        <v>Pesado de Passageiros M3:  : Gasóleo : E6 D/E E7</v>
      </c>
      <c r="J6183">
        <v>108</v>
      </c>
      <c r="K6183" s="422">
        <v>2023</v>
      </c>
      <c r="L6183">
        <v>30625</v>
      </c>
      <c r="M6183" t="s">
        <v>630</v>
      </c>
      <c r="N6183" s="131">
        <v>30625</v>
      </c>
      <c r="O6183" s="436">
        <f t="shared" si="263"/>
        <v>3307500</v>
      </c>
      <c r="P6183" s="89">
        <v>1262</v>
      </c>
      <c r="Q6183" t="s">
        <v>47</v>
      </c>
      <c r="R6183" s="422" t="s">
        <v>1869</v>
      </c>
      <c r="S6183" s="422" t="s">
        <v>1861</v>
      </c>
      <c r="T6183" s="422" t="s">
        <v>5820</v>
      </c>
      <c r="U6183" s="422" t="s">
        <v>1953</v>
      </c>
      <c r="V6183" s="422" t="s">
        <v>2813</v>
      </c>
    </row>
    <row r="6184" spans="1:22" ht="15.75" thickBot="1" x14ac:dyDescent="0.3">
      <c r="A6184" t="s">
        <v>4668</v>
      </c>
      <c r="B6184" t="s">
        <v>4668</v>
      </c>
      <c r="C6184" s="424" t="str">
        <f t="shared" si="262"/>
        <v>Viação Alvorada, Lda</v>
      </c>
      <c r="D6184" t="s">
        <v>629</v>
      </c>
      <c r="F6184" t="s">
        <v>620</v>
      </c>
      <c r="G6184" s="89">
        <v>2022</v>
      </c>
      <c r="H6184" s="313" t="s">
        <v>5816</v>
      </c>
      <c r="I6184" s="311" t="str">
        <f t="shared" si="264"/>
        <v>Pesado de Passageiros M3:  : Gasóleo : E6 D/E E7</v>
      </c>
      <c r="J6184">
        <v>108</v>
      </c>
      <c r="K6184" s="422">
        <v>2023</v>
      </c>
      <c r="L6184">
        <v>28478</v>
      </c>
      <c r="M6184" t="s">
        <v>630</v>
      </c>
      <c r="N6184" s="131">
        <v>28478</v>
      </c>
      <c r="O6184" s="436">
        <f t="shared" si="263"/>
        <v>3075624</v>
      </c>
      <c r="P6184" s="89">
        <v>1263</v>
      </c>
      <c r="Q6184" t="s">
        <v>47</v>
      </c>
      <c r="R6184" s="422" t="s">
        <v>1869</v>
      </c>
      <c r="S6184" s="422" t="s">
        <v>1861</v>
      </c>
      <c r="T6184" s="422" t="s">
        <v>5820</v>
      </c>
      <c r="U6184" s="422" t="s">
        <v>1953</v>
      </c>
      <c r="V6184" s="422" t="s">
        <v>2813</v>
      </c>
    </row>
    <row r="6185" spans="1:22" ht="15.75" thickBot="1" x14ac:dyDescent="0.3">
      <c r="A6185" t="s">
        <v>4668</v>
      </c>
      <c r="B6185" t="s">
        <v>4668</v>
      </c>
      <c r="C6185" s="424" t="str">
        <f t="shared" si="262"/>
        <v>Viação Alvorada, Lda</v>
      </c>
      <c r="D6185" t="s">
        <v>629</v>
      </c>
      <c r="F6185" t="s">
        <v>620</v>
      </c>
      <c r="G6185" s="89">
        <v>2022</v>
      </c>
      <c r="H6185" s="313" t="s">
        <v>5816</v>
      </c>
      <c r="I6185" s="311" t="str">
        <f t="shared" si="264"/>
        <v>Pesado de Passageiros M3:  : Gasóleo : E6 D/E E7</v>
      </c>
      <c r="J6185">
        <v>108</v>
      </c>
      <c r="K6185" s="422">
        <v>2023</v>
      </c>
      <c r="L6185">
        <v>22790</v>
      </c>
      <c r="M6185" t="s">
        <v>630</v>
      </c>
      <c r="N6185" s="131">
        <v>22790</v>
      </c>
      <c r="O6185" s="436">
        <f t="shared" si="263"/>
        <v>2461320</v>
      </c>
      <c r="P6185" s="89">
        <v>1264</v>
      </c>
      <c r="Q6185" t="s">
        <v>47</v>
      </c>
      <c r="R6185" s="422" t="s">
        <v>1869</v>
      </c>
      <c r="S6185" s="422" t="s">
        <v>1861</v>
      </c>
      <c r="T6185" s="422" t="s">
        <v>5820</v>
      </c>
      <c r="U6185" s="422" t="s">
        <v>1953</v>
      </c>
      <c r="V6185" s="422" t="s">
        <v>2813</v>
      </c>
    </row>
    <row r="6186" spans="1:22" ht="15.75" thickBot="1" x14ac:dyDescent="0.3">
      <c r="A6186" t="s">
        <v>4668</v>
      </c>
      <c r="B6186" t="s">
        <v>4668</v>
      </c>
      <c r="C6186" s="424" t="str">
        <f t="shared" si="262"/>
        <v>Viação Alvorada, Lda</v>
      </c>
      <c r="D6186" t="s">
        <v>629</v>
      </c>
      <c r="F6186" t="s">
        <v>620</v>
      </c>
      <c r="G6186" s="89">
        <v>2022</v>
      </c>
      <c r="H6186" s="313" t="s">
        <v>5816</v>
      </c>
      <c r="I6186" s="311" t="str">
        <f t="shared" si="264"/>
        <v>Pesado de Passageiros M3:  : Gasóleo : E6 D/E E7</v>
      </c>
      <c r="J6186">
        <v>108</v>
      </c>
      <c r="K6186" s="422">
        <v>2023</v>
      </c>
      <c r="L6186">
        <v>28379</v>
      </c>
      <c r="M6186" t="s">
        <v>630</v>
      </c>
      <c r="N6186" s="131">
        <v>28379</v>
      </c>
      <c r="O6186" s="436">
        <f t="shared" si="263"/>
        <v>3064932</v>
      </c>
      <c r="P6186" s="89">
        <v>1265</v>
      </c>
      <c r="Q6186" t="s">
        <v>47</v>
      </c>
      <c r="R6186" s="422" t="s">
        <v>1869</v>
      </c>
      <c r="S6186" s="422" t="s">
        <v>1861</v>
      </c>
      <c r="T6186" s="422" t="s">
        <v>5820</v>
      </c>
      <c r="U6186" s="422" t="s">
        <v>1953</v>
      </c>
      <c r="V6186" s="422" t="s">
        <v>2813</v>
      </c>
    </row>
    <row r="6187" spans="1:22" ht="15.75" thickBot="1" x14ac:dyDescent="0.3">
      <c r="A6187" t="s">
        <v>4668</v>
      </c>
      <c r="B6187" t="s">
        <v>4668</v>
      </c>
      <c r="C6187" s="424" t="str">
        <f t="shared" si="262"/>
        <v>Viação Alvorada, Lda</v>
      </c>
      <c r="D6187" t="s">
        <v>629</v>
      </c>
      <c r="F6187" t="s">
        <v>620</v>
      </c>
      <c r="G6187" s="89">
        <v>2022</v>
      </c>
      <c r="H6187" s="313" t="s">
        <v>5816</v>
      </c>
      <c r="I6187" s="311" t="str">
        <f t="shared" si="264"/>
        <v>Pesado de Passageiros M3:  : Gasóleo : E6 D/E E7</v>
      </c>
      <c r="J6187">
        <v>108</v>
      </c>
      <c r="K6187" s="422">
        <v>2023</v>
      </c>
      <c r="L6187">
        <v>2844</v>
      </c>
      <c r="M6187" t="s">
        <v>630</v>
      </c>
      <c r="N6187" s="131">
        <v>2844</v>
      </c>
      <c r="O6187" s="436">
        <f t="shared" si="263"/>
        <v>307152</v>
      </c>
      <c r="P6187" s="89">
        <v>1266</v>
      </c>
      <c r="Q6187" t="s">
        <v>47</v>
      </c>
      <c r="R6187" s="422" t="s">
        <v>1869</v>
      </c>
      <c r="S6187" s="422" t="s">
        <v>1861</v>
      </c>
      <c r="T6187" s="422" t="s">
        <v>5820</v>
      </c>
      <c r="U6187" s="422" t="s">
        <v>1953</v>
      </c>
      <c r="V6187" s="422" t="s">
        <v>2813</v>
      </c>
    </row>
    <row r="6188" spans="1:22" ht="15.75" thickBot="1" x14ac:dyDescent="0.3">
      <c r="A6188" t="s">
        <v>4668</v>
      </c>
      <c r="B6188" t="s">
        <v>4668</v>
      </c>
      <c r="C6188" s="424" t="str">
        <f t="shared" si="262"/>
        <v>Viação Alvorada, Lda</v>
      </c>
      <c r="D6188" t="s">
        <v>629</v>
      </c>
      <c r="F6188" t="s">
        <v>620</v>
      </c>
      <c r="G6188" s="89">
        <v>2022</v>
      </c>
      <c r="H6188" s="313" t="s">
        <v>5816</v>
      </c>
      <c r="I6188" s="311" t="str">
        <f t="shared" si="264"/>
        <v>Pesado de Passageiros M3:  : Gasóleo : E6 D/E E7</v>
      </c>
      <c r="J6188">
        <v>108</v>
      </c>
      <c r="K6188" s="422">
        <v>2023</v>
      </c>
      <c r="L6188">
        <v>29685</v>
      </c>
      <c r="M6188" t="s">
        <v>630</v>
      </c>
      <c r="N6188" s="131">
        <v>29685</v>
      </c>
      <c r="O6188" s="436">
        <f t="shared" si="263"/>
        <v>3205980</v>
      </c>
      <c r="P6188" s="89">
        <v>1267</v>
      </c>
      <c r="Q6188" t="s">
        <v>47</v>
      </c>
      <c r="R6188" s="422" t="s">
        <v>1869</v>
      </c>
      <c r="S6188" s="422" t="s">
        <v>1861</v>
      </c>
      <c r="T6188" s="422" t="s">
        <v>5820</v>
      </c>
      <c r="U6188" s="422" t="s">
        <v>1953</v>
      </c>
      <c r="V6188" s="422" t="s">
        <v>2813</v>
      </c>
    </row>
    <row r="6189" spans="1:22" ht="15.75" thickBot="1" x14ac:dyDescent="0.3">
      <c r="A6189" t="s">
        <v>4668</v>
      </c>
      <c r="B6189" t="s">
        <v>4668</v>
      </c>
      <c r="C6189" s="424" t="str">
        <f t="shared" si="262"/>
        <v>Viação Alvorada, Lda</v>
      </c>
      <c r="D6189" t="s">
        <v>629</v>
      </c>
      <c r="F6189" t="s">
        <v>620</v>
      </c>
      <c r="G6189" s="89">
        <v>2022</v>
      </c>
      <c r="H6189" s="313" t="s">
        <v>5816</v>
      </c>
      <c r="I6189" s="311" t="str">
        <f t="shared" si="264"/>
        <v>Pesado de Passageiros M3:  : Gasóleo : E6 D/E E7</v>
      </c>
      <c r="J6189">
        <v>108</v>
      </c>
      <c r="K6189" s="422">
        <v>2023</v>
      </c>
      <c r="L6189">
        <v>28653</v>
      </c>
      <c r="M6189" t="s">
        <v>630</v>
      </c>
      <c r="N6189" s="131">
        <v>28653</v>
      </c>
      <c r="O6189" s="436">
        <f t="shared" si="263"/>
        <v>3094524</v>
      </c>
      <c r="P6189" s="89">
        <v>1268</v>
      </c>
      <c r="Q6189" t="s">
        <v>47</v>
      </c>
      <c r="R6189" s="422" t="s">
        <v>1869</v>
      </c>
      <c r="S6189" s="422" t="s">
        <v>1861</v>
      </c>
      <c r="T6189" s="422" t="s">
        <v>5820</v>
      </c>
      <c r="U6189" s="422" t="s">
        <v>1953</v>
      </c>
      <c r="V6189" s="422" t="s">
        <v>2813</v>
      </c>
    </row>
    <row r="6190" spans="1:22" ht="15.75" thickBot="1" x14ac:dyDescent="0.3">
      <c r="A6190" t="s">
        <v>4668</v>
      </c>
      <c r="B6190" t="s">
        <v>4668</v>
      </c>
      <c r="C6190" s="424" t="str">
        <f t="shared" si="262"/>
        <v>Viação Alvorada, Lda</v>
      </c>
      <c r="D6190" t="s">
        <v>629</v>
      </c>
      <c r="F6190" t="s">
        <v>620</v>
      </c>
      <c r="G6190" s="89">
        <v>2022</v>
      </c>
      <c r="H6190" s="313" t="s">
        <v>5816</v>
      </c>
      <c r="I6190" s="311" t="str">
        <f t="shared" si="264"/>
        <v>Pesado de Passageiros M3:  : Gasóleo : E6 D/E E7</v>
      </c>
      <c r="J6190">
        <v>108</v>
      </c>
      <c r="K6190" s="422">
        <v>2023</v>
      </c>
      <c r="L6190">
        <v>29317</v>
      </c>
      <c r="M6190" t="s">
        <v>630</v>
      </c>
      <c r="N6190" s="131">
        <v>29317</v>
      </c>
      <c r="O6190" s="436">
        <f t="shared" si="263"/>
        <v>3166236</v>
      </c>
      <c r="P6190" s="89">
        <v>1269</v>
      </c>
      <c r="Q6190" t="s">
        <v>47</v>
      </c>
      <c r="R6190" s="422" t="s">
        <v>1869</v>
      </c>
      <c r="S6190" s="422" t="s">
        <v>1861</v>
      </c>
      <c r="T6190" s="422" t="s">
        <v>5820</v>
      </c>
      <c r="U6190" s="422" t="s">
        <v>1953</v>
      </c>
      <c r="V6190" s="422" t="s">
        <v>2813</v>
      </c>
    </row>
    <row r="6191" spans="1:22" ht="15.75" thickBot="1" x14ac:dyDescent="0.3">
      <c r="A6191" t="s">
        <v>4668</v>
      </c>
      <c r="B6191" t="s">
        <v>4668</v>
      </c>
      <c r="C6191" s="424" t="str">
        <f t="shared" si="262"/>
        <v>Viação Alvorada, Lda</v>
      </c>
      <c r="D6191" t="s">
        <v>629</v>
      </c>
      <c r="F6191" t="s">
        <v>620</v>
      </c>
      <c r="G6191" s="89">
        <v>2022</v>
      </c>
      <c r="H6191" s="313" t="s">
        <v>5816</v>
      </c>
      <c r="I6191" s="311" t="str">
        <f t="shared" si="264"/>
        <v>Pesado de Passageiros M3:  : Gasóleo : E6 D/E E7</v>
      </c>
      <c r="J6191">
        <v>108</v>
      </c>
      <c r="K6191" s="422">
        <v>2023</v>
      </c>
      <c r="L6191">
        <v>31420</v>
      </c>
      <c r="M6191" t="s">
        <v>630</v>
      </c>
      <c r="N6191" s="131">
        <v>31420</v>
      </c>
      <c r="O6191" s="436">
        <f t="shared" si="263"/>
        <v>3393360</v>
      </c>
      <c r="P6191" s="89">
        <v>1270</v>
      </c>
      <c r="Q6191" t="s">
        <v>47</v>
      </c>
      <c r="R6191" s="422" t="s">
        <v>1869</v>
      </c>
      <c r="S6191" s="422" t="s">
        <v>1861</v>
      </c>
      <c r="T6191" s="422" t="s">
        <v>5820</v>
      </c>
      <c r="U6191" s="422" t="s">
        <v>1953</v>
      </c>
      <c r="V6191" s="422" t="s">
        <v>2813</v>
      </c>
    </row>
    <row r="6192" spans="1:22" ht="15.75" thickBot="1" x14ac:dyDescent="0.3">
      <c r="A6192" t="s">
        <v>4668</v>
      </c>
      <c r="B6192" t="s">
        <v>4668</v>
      </c>
      <c r="C6192" s="424" t="str">
        <f t="shared" si="262"/>
        <v>Viação Alvorada, Lda</v>
      </c>
      <c r="D6192" t="s">
        <v>629</v>
      </c>
      <c r="F6192" t="s">
        <v>620</v>
      </c>
      <c r="G6192" s="89">
        <v>2022</v>
      </c>
      <c r="H6192" s="313" t="s">
        <v>5816</v>
      </c>
      <c r="I6192" s="311" t="str">
        <f t="shared" si="264"/>
        <v>Pesado de Passageiros M3:  : Gasóleo : E6 D/E E7</v>
      </c>
      <c r="J6192">
        <v>108</v>
      </c>
      <c r="K6192" s="422">
        <v>2023</v>
      </c>
      <c r="L6192">
        <v>29445</v>
      </c>
      <c r="M6192" t="s">
        <v>630</v>
      </c>
      <c r="N6192" s="131">
        <v>29445</v>
      </c>
      <c r="O6192" s="436">
        <f t="shared" si="263"/>
        <v>3180060</v>
      </c>
      <c r="P6192" s="89">
        <v>1271</v>
      </c>
      <c r="Q6192" t="s">
        <v>47</v>
      </c>
      <c r="R6192" s="422" t="s">
        <v>1869</v>
      </c>
      <c r="S6192" s="422" t="s">
        <v>1861</v>
      </c>
      <c r="T6192" s="422" t="s">
        <v>5820</v>
      </c>
      <c r="U6192" s="422" t="s">
        <v>1953</v>
      </c>
      <c r="V6192" s="422" t="s">
        <v>2813</v>
      </c>
    </row>
    <row r="6193" spans="1:22" ht="15.75" thickBot="1" x14ac:dyDescent="0.3">
      <c r="A6193" t="s">
        <v>4668</v>
      </c>
      <c r="B6193" t="s">
        <v>4668</v>
      </c>
      <c r="C6193" s="424" t="str">
        <f t="shared" si="262"/>
        <v>Viação Alvorada, Lda</v>
      </c>
      <c r="D6193" t="s">
        <v>629</v>
      </c>
      <c r="F6193" t="s">
        <v>620</v>
      </c>
      <c r="G6193" s="89">
        <v>2022</v>
      </c>
      <c r="H6193" s="313" t="s">
        <v>5816</v>
      </c>
      <c r="I6193" s="311" t="str">
        <f t="shared" si="264"/>
        <v>Pesado de Passageiros M3:  : Gasóleo : E6 D/E E7</v>
      </c>
      <c r="J6193">
        <v>108</v>
      </c>
      <c r="K6193" s="422">
        <v>2023</v>
      </c>
      <c r="L6193">
        <v>29240</v>
      </c>
      <c r="M6193" t="s">
        <v>630</v>
      </c>
      <c r="N6193" s="131">
        <v>29240</v>
      </c>
      <c r="O6193" s="436">
        <f t="shared" si="263"/>
        <v>3157920</v>
      </c>
      <c r="P6193" s="89">
        <v>1272</v>
      </c>
      <c r="Q6193" t="s">
        <v>47</v>
      </c>
      <c r="R6193" s="422" t="s">
        <v>1869</v>
      </c>
      <c r="S6193" s="422" t="s">
        <v>1861</v>
      </c>
      <c r="T6193" s="422" t="s">
        <v>5820</v>
      </c>
      <c r="U6193" s="422" t="s">
        <v>1953</v>
      </c>
      <c r="V6193" s="422" t="s">
        <v>2813</v>
      </c>
    </row>
    <row r="6194" spans="1:22" ht="15.75" thickBot="1" x14ac:dyDescent="0.3">
      <c r="A6194" t="s">
        <v>4668</v>
      </c>
      <c r="B6194" t="s">
        <v>4668</v>
      </c>
      <c r="C6194" s="424" t="str">
        <f t="shared" ref="C6194:C6257" si="265">IF(A6194=B6194,B6194,RIGHT(A6194,LEN(A6194)-LEN(B6194)-3))</f>
        <v>Viação Alvorada, Lda</v>
      </c>
      <c r="D6194" t="s">
        <v>629</v>
      </c>
      <c r="F6194" t="s">
        <v>620</v>
      </c>
      <c r="G6194" s="89">
        <v>2022</v>
      </c>
      <c r="H6194" s="313" t="s">
        <v>5816</v>
      </c>
      <c r="I6194" s="311" t="str">
        <f t="shared" si="264"/>
        <v>Pesado de Passageiros M3:  : Gasóleo : E6 D/E E7</v>
      </c>
      <c r="J6194">
        <v>108</v>
      </c>
      <c r="K6194" s="422">
        <v>2023</v>
      </c>
      <c r="L6194">
        <v>22286</v>
      </c>
      <c r="M6194" t="s">
        <v>630</v>
      </c>
      <c r="N6194" s="131">
        <v>22286</v>
      </c>
      <c r="O6194" s="436">
        <f t="shared" si="263"/>
        <v>2406888</v>
      </c>
      <c r="P6194" s="89">
        <v>1273</v>
      </c>
      <c r="Q6194" t="s">
        <v>47</v>
      </c>
      <c r="R6194" s="422" t="s">
        <v>1869</v>
      </c>
      <c r="S6194" s="422" t="s">
        <v>1861</v>
      </c>
      <c r="T6194" s="422" t="s">
        <v>5820</v>
      </c>
      <c r="U6194" s="422" t="s">
        <v>1953</v>
      </c>
      <c r="V6194" s="422" t="s">
        <v>2813</v>
      </c>
    </row>
    <row r="6195" spans="1:22" ht="15.75" thickBot="1" x14ac:dyDescent="0.3">
      <c r="A6195" t="s">
        <v>4668</v>
      </c>
      <c r="B6195" t="s">
        <v>4668</v>
      </c>
      <c r="C6195" s="424" t="str">
        <f t="shared" si="265"/>
        <v>Viação Alvorada, Lda</v>
      </c>
      <c r="D6195" t="s">
        <v>629</v>
      </c>
      <c r="F6195" t="s">
        <v>620</v>
      </c>
      <c r="G6195" s="89">
        <v>2022</v>
      </c>
      <c r="H6195" s="313" t="s">
        <v>5816</v>
      </c>
      <c r="I6195" s="311" t="str">
        <f t="shared" si="264"/>
        <v>Pesado de Passageiros M3:  : Gasóleo : E6 D/E E7</v>
      </c>
      <c r="J6195">
        <v>108</v>
      </c>
      <c r="K6195" s="422">
        <v>2023</v>
      </c>
      <c r="L6195">
        <v>26796</v>
      </c>
      <c r="M6195" t="s">
        <v>630</v>
      </c>
      <c r="N6195" s="131">
        <v>26796</v>
      </c>
      <c r="O6195" s="436">
        <f t="shared" si="263"/>
        <v>2893968</v>
      </c>
      <c r="P6195" s="89">
        <v>1274</v>
      </c>
      <c r="Q6195" t="s">
        <v>47</v>
      </c>
      <c r="R6195" s="422" t="s">
        <v>1869</v>
      </c>
      <c r="S6195" s="422" t="s">
        <v>1861</v>
      </c>
      <c r="T6195" s="422" t="s">
        <v>5820</v>
      </c>
      <c r="U6195" s="422" t="s">
        <v>1953</v>
      </c>
      <c r="V6195" s="422" t="s">
        <v>2813</v>
      </c>
    </row>
    <row r="6196" spans="1:22" ht="15.75" thickBot="1" x14ac:dyDescent="0.3">
      <c r="A6196" t="s">
        <v>4668</v>
      </c>
      <c r="B6196" t="s">
        <v>4668</v>
      </c>
      <c r="C6196" s="424" t="str">
        <f t="shared" si="265"/>
        <v>Viação Alvorada, Lda</v>
      </c>
      <c r="D6196" t="s">
        <v>629</v>
      </c>
      <c r="F6196" t="s">
        <v>620</v>
      </c>
      <c r="G6196" s="89">
        <v>2022</v>
      </c>
      <c r="H6196" s="313" t="s">
        <v>5816</v>
      </c>
      <c r="I6196" s="311" t="str">
        <f t="shared" si="264"/>
        <v>Pesado de Passageiros M3:  : Gasóleo : E6 D/E E7</v>
      </c>
      <c r="J6196">
        <v>108</v>
      </c>
      <c r="K6196" s="422">
        <v>2023</v>
      </c>
      <c r="L6196">
        <v>34001</v>
      </c>
      <c r="M6196" t="s">
        <v>630</v>
      </c>
      <c r="N6196" s="131">
        <v>34001</v>
      </c>
      <c r="O6196" s="436">
        <f t="shared" si="263"/>
        <v>3672108</v>
      </c>
      <c r="P6196" s="89">
        <v>1275</v>
      </c>
      <c r="Q6196" t="s">
        <v>47</v>
      </c>
      <c r="R6196" s="422" t="s">
        <v>1869</v>
      </c>
      <c r="S6196" s="422" t="s">
        <v>1861</v>
      </c>
      <c r="T6196" s="422" t="s">
        <v>5820</v>
      </c>
      <c r="U6196" s="422" t="s">
        <v>1953</v>
      </c>
      <c r="V6196" s="422" t="s">
        <v>2813</v>
      </c>
    </row>
    <row r="6197" spans="1:22" ht="15.75" thickBot="1" x14ac:dyDescent="0.3">
      <c r="A6197" t="s">
        <v>4668</v>
      </c>
      <c r="B6197" t="s">
        <v>4668</v>
      </c>
      <c r="C6197" s="424" t="str">
        <f t="shared" si="265"/>
        <v>Viação Alvorada, Lda</v>
      </c>
      <c r="D6197" t="s">
        <v>629</v>
      </c>
      <c r="F6197" t="s">
        <v>620</v>
      </c>
      <c r="G6197" s="89">
        <v>2022</v>
      </c>
      <c r="H6197" s="313" t="s">
        <v>5816</v>
      </c>
      <c r="I6197" s="311" t="str">
        <f t="shared" si="264"/>
        <v>Pesado de Passageiros M3:  : Gasóleo : E6 D/E E7</v>
      </c>
      <c r="J6197">
        <v>108</v>
      </c>
      <c r="K6197" s="422">
        <v>2023</v>
      </c>
      <c r="L6197">
        <v>31940</v>
      </c>
      <c r="M6197" t="s">
        <v>630</v>
      </c>
      <c r="N6197" s="131">
        <v>31940</v>
      </c>
      <c r="O6197" s="436">
        <f t="shared" si="263"/>
        <v>3449520</v>
      </c>
      <c r="P6197" s="89">
        <v>1276</v>
      </c>
      <c r="Q6197" t="s">
        <v>47</v>
      </c>
      <c r="R6197" s="422" t="s">
        <v>1869</v>
      </c>
      <c r="S6197" s="422" t="s">
        <v>1861</v>
      </c>
      <c r="T6197" s="422" t="s">
        <v>5820</v>
      </c>
      <c r="U6197" s="422" t="s">
        <v>1953</v>
      </c>
      <c r="V6197" s="422" t="s">
        <v>2813</v>
      </c>
    </row>
    <row r="6198" spans="1:22" ht="15.75" thickBot="1" x14ac:dyDescent="0.3">
      <c r="A6198" t="s">
        <v>4668</v>
      </c>
      <c r="B6198" t="s">
        <v>4668</v>
      </c>
      <c r="C6198" s="424" t="str">
        <f t="shared" si="265"/>
        <v>Viação Alvorada, Lda</v>
      </c>
      <c r="D6198" t="s">
        <v>629</v>
      </c>
      <c r="F6198" t="s">
        <v>620</v>
      </c>
      <c r="G6198" s="89">
        <v>2022</v>
      </c>
      <c r="H6198" s="313" t="s">
        <v>5816</v>
      </c>
      <c r="I6198" s="311" t="str">
        <f t="shared" si="264"/>
        <v>Pesado de Passageiros M3:  : Gasóleo : E6 D/E E7</v>
      </c>
      <c r="J6198">
        <v>108</v>
      </c>
      <c r="K6198" s="422">
        <v>2023</v>
      </c>
      <c r="L6198">
        <v>24450</v>
      </c>
      <c r="M6198" t="s">
        <v>630</v>
      </c>
      <c r="N6198" s="131">
        <v>24450</v>
      </c>
      <c r="O6198" s="436">
        <f t="shared" si="263"/>
        <v>2640600</v>
      </c>
      <c r="P6198" s="89">
        <v>1277</v>
      </c>
      <c r="Q6198" t="s">
        <v>47</v>
      </c>
      <c r="R6198" s="422" t="s">
        <v>1869</v>
      </c>
      <c r="S6198" s="422" t="s">
        <v>1861</v>
      </c>
      <c r="T6198" s="422" t="s">
        <v>5820</v>
      </c>
      <c r="U6198" s="422" t="s">
        <v>1953</v>
      </c>
      <c r="V6198" s="422" t="s">
        <v>2813</v>
      </c>
    </row>
    <row r="6199" spans="1:22" ht="15.75" thickBot="1" x14ac:dyDescent="0.3">
      <c r="A6199" t="s">
        <v>4668</v>
      </c>
      <c r="B6199" t="s">
        <v>4668</v>
      </c>
      <c r="C6199" s="424" t="str">
        <f t="shared" si="265"/>
        <v>Viação Alvorada, Lda</v>
      </c>
      <c r="D6199" t="s">
        <v>629</v>
      </c>
      <c r="F6199" t="s">
        <v>620</v>
      </c>
      <c r="G6199" s="89">
        <v>2022</v>
      </c>
      <c r="H6199" s="313" t="s">
        <v>5816</v>
      </c>
      <c r="I6199" s="311" t="str">
        <f t="shared" si="264"/>
        <v>Pesado de Passageiros M3:  : Gasóleo : E6 D/E E7</v>
      </c>
      <c r="J6199">
        <v>108</v>
      </c>
      <c r="K6199" s="422">
        <v>2023</v>
      </c>
      <c r="L6199">
        <v>25085</v>
      </c>
      <c r="M6199" t="s">
        <v>630</v>
      </c>
      <c r="N6199" s="131">
        <v>25085</v>
      </c>
      <c r="O6199" s="436">
        <f t="shared" si="263"/>
        <v>2709180</v>
      </c>
      <c r="P6199" s="89">
        <v>1278</v>
      </c>
      <c r="Q6199" t="s">
        <v>47</v>
      </c>
      <c r="R6199" s="422" t="s">
        <v>1869</v>
      </c>
      <c r="S6199" s="422" t="s">
        <v>1861</v>
      </c>
      <c r="T6199" s="422" t="s">
        <v>5820</v>
      </c>
      <c r="U6199" s="422" t="s">
        <v>1953</v>
      </c>
      <c r="V6199" s="422" t="s">
        <v>2813</v>
      </c>
    </row>
    <row r="6200" spans="1:22" ht="15.75" thickBot="1" x14ac:dyDescent="0.3">
      <c r="A6200" t="s">
        <v>4668</v>
      </c>
      <c r="B6200" t="s">
        <v>4668</v>
      </c>
      <c r="C6200" s="424" t="str">
        <f t="shared" si="265"/>
        <v>Viação Alvorada, Lda</v>
      </c>
      <c r="D6200" t="s">
        <v>629</v>
      </c>
      <c r="F6200" t="s">
        <v>620</v>
      </c>
      <c r="G6200" s="89">
        <v>2022</v>
      </c>
      <c r="H6200" s="313" t="s">
        <v>5816</v>
      </c>
      <c r="I6200" s="311" t="str">
        <f t="shared" si="264"/>
        <v>Pesado de Passageiros M3:  : Gasóleo : E6 D/E E7</v>
      </c>
      <c r="J6200">
        <v>108</v>
      </c>
      <c r="K6200" s="422">
        <v>2023</v>
      </c>
      <c r="L6200">
        <v>30284</v>
      </c>
      <c r="M6200" t="s">
        <v>630</v>
      </c>
      <c r="N6200" s="131">
        <v>30284</v>
      </c>
      <c r="O6200" s="436">
        <f t="shared" si="263"/>
        <v>3270672</v>
      </c>
      <c r="P6200" s="89">
        <v>1279</v>
      </c>
      <c r="Q6200" t="s">
        <v>47</v>
      </c>
      <c r="R6200" s="422" t="s">
        <v>1869</v>
      </c>
      <c r="S6200" s="422" t="s">
        <v>1861</v>
      </c>
      <c r="T6200" s="422" t="s">
        <v>5820</v>
      </c>
      <c r="U6200" s="422" t="s">
        <v>1953</v>
      </c>
      <c r="V6200" s="422" t="s">
        <v>2813</v>
      </c>
    </row>
    <row r="6201" spans="1:22" ht="15.75" thickBot="1" x14ac:dyDescent="0.3">
      <c r="A6201" t="s">
        <v>4668</v>
      </c>
      <c r="B6201" t="s">
        <v>4668</v>
      </c>
      <c r="C6201" s="424" t="str">
        <f t="shared" si="265"/>
        <v>Viação Alvorada, Lda</v>
      </c>
      <c r="D6201" t="s">
        <v>629</v>
      </c>
      <c r="F6201" t="s">
        <v>620</v>
      </c>
      <c r="G6201" s="89">
        <v>2022</v>
      </c>
      <c r="H6201" s="313" t="s">
        <v>5816</v>
      </c>
      <c r="I6201" s="311" t="str">
        <f t="shared" si="264"/>
        <v>Pesado de Passageiros M3:  : Gasóleo : E6 D/E E7</v>
      </c>
      <c r="J6201">
        <v>108</v>
      </c>
      <c r="K6201" s="422">
        <v>2023</v>
      </c>
      <c r="L6201">
        <v>30429</v>
      </c>
      <c r="M6201" t="s">
        <v>630</v>
      </c>
      <c r="N6201" s="131">
        <v>30429</v>
      </c>
      <c r="O6201" s="436">
        <f t="shared" si="263"/>
        <v>3286332</v>
      </c>
      <c r="P6201" s="89">
        <v>1280</v>
      </c>
      <c r="Q6201" t="s">
        <v>47</v>
      </c>
      <c r="R6201" s="422" t="s">
        <v>1869</v>
      </c>
      <c r="S6201" s="422" t="s">
        <v>1861</v>
      </c>
      <c r="T6201" s="422" t="s">
        <v>5820</v>
      </c>
      <c r="U6201" s="422" t="s">
        <v>1953</v>
      </c>
      <c r="V6201" s="422" t="s">
        <v>2813</v>
      </c>
    </row>
    <row r="6202" spans="1:22" ht="15.75" thickBot="1" x14ac:dyDescent="0.3">
      <c r="A6202" t="s">
        <v>4668</v>
      </c>
      <c r="B6202" t="s">
        <v>4668</v>
      </c>
      <c r="C6202" s="424" t="str">
        <f t="shared" si="265"/>
        <v>Viação Alvorada, Lda</v>
      </c>
      <c r="D6202" t="s">
        <v>629</v>
      </c>
      <c r="F6202" t="s">
        <v>620</v>
      </c>
      <c r="G6202" s="89">
        <v>2022</v>
      </c>
      <c r="H6202" s="313" t="s">
        <v>5816</v>
      </c>
      <c r="I6202" s="311" t="str">
        <f t="shared" si="264"/>
        <v>Pesado de Passageiros M3:  : Gasóleo : E6 D/E E7</v>
      </c>
      <c r="J6202">
        <v>108</v>
      </c>
      <c r="K6202" s="422">
        <v>2023</v>
      </c>
      <c r="L6202">
        <v>29770</v>
      </c>
      <c r="M6202" t="s">
        <v>630</v>
      </c>
      <c r="N6202" s="131">
        <v>29770</v>
      </c>
      <c r="O6202" s="436">
        <f t="shared" si="263"/>
        <v>3215160</v>
      </c>
      <c r="P6202" s="89">
        <v>1281</v>
      </c>
      <c r="Q6202" t="s">
        <v>47</v>
      </c>
      <c r="R6202" s="422" t="s">
        <v>1869</v>
      </c>
      <c r="S6202" s="422" t="s">
        <v>1861</v>
      </c>
      <c r="T6202" s="422" t="s">
        <v>5820</v>
      </c>
      <c r="U6202" s="422" t="s">
        <v>1953</v>
      </c>
      <c r="V6202" s="422" t="s">
        <v>2813</v>
      </c>
    </row>
    <row r="6203" spans="1:22" ht="15.75" thickBot="1" x14ac:dyDescent="0.3">
      <c r="A6203" t="s">
        <v>4668</v>
      </c>
      <c r="B6203" t="s">
        <v>4668</v>
      </c>
      <c r="C6203" s="424" t="str">
        <f t="shared" si="265"/>
        <v>Viação Alvorada, Lda</v>
      </c>
      <c r="D6203" t="s">
        <v>629</v>
      </c>
      <c r="F6203" t="s">
        <v>620</v>
      </c>
      <c r="G6203" s="89">
        <v>2022</v>
      </c>
      <c r="H6203" s="313" t="s">
        <v>5816</v>
      </c>
      <c r="I6203" s="311" t="str">
        <f t="shared" si="264"/>
        <v>Pesado de Passageiros M3:  : Gasóleo : E6 D/E E7</v>
      </c>
      <c r="J6203">
        <v>108</v>
      </c>
      <c r="K6203" s="422">
        <v>2023</v>
      </c>
      <c r="L6203">
        <v>27156</v>
      </c>
      <c r="M6203" t="s">
        <v>630</v>
      </c>
      <c r="N6203" s="131">
        <v>27156</v>
      </c>
      <c r="O6203" s="436">
        <f t="shared" si="263"/>
        <v>2932848</v>
      </c>
      <c r="P6203" s="89">
        <v>1282</v>
      </c>
      <c r="Q6203" t="s">
        <v>47</v>
      </c>
      <c r="R6203" s="422" t="s">
        <v>1869</v>
      </c>
      <c r="S6203" s="422" t="s">
        <v>1861</v>
      </c>
      <c r="T6203" s="422" t="s">
        <v>5820</v>
      </c>
      <c r="U6203" s="422" t="s">
        <v>1953</v>
      </c>
      <c r="V6203" s="422" t="s">
        <v>2813</v>
      </c>
    </row>
    <row r="6204" spans="1:22" ht="15.75" thickBot="1" x14ac:dyDescent="0.3">
      <c r="A6204" t="s">
        <v>4668</v>
      </c>
      <c r="B6204" t="s">
        <v>4668</v>
      </c>
      <c r="C6204" s="424" t="str">
        <f t="shared" si="265"/>
        <v>Viação Alvorada, Lda</v>
      </c>
      <c r="D6204" t="s">
        <v>629</v>
      </c>
      <c r="F6204" t="s">
        <v>620</v>
      </c>
      <c r="G6204" s="89">
        <v>2022</v>
      </c>
      <c r="H6204" s="313" t="s">
        <v>5816</v>
      </c>
      <c r="I6204" s="311" t="str">
        <f t="shared" si="264"/>
        <v>Pesado de Passageiros M3:  : Gasóleo : E6 D/E E7</v>
      </c>
      <c r="J6204">
        <v>108</v>
      </c>
      <c r="K6204" s="422">
        <v>2023</v>
      </c>
      <c r="L6204">
        <v>31428</v>
      </c>
      <c r="M6204" t="s">
        <v>630</v>
      </c>
      <c r="N6204" s="131">
        <v>31428</v>
      </c>
      <c r="O6204" s="436">
        <f t="shared" si="263"/>
        <v>3394224</v>
      </c>
      <c r="P6204" s="89">
        <v>1283</v>
      </c>
      <c r="Q6204" t="s">
        <v>47</v>
      </c>
      <c r="R6204" s="422" t="s">
        <v>1869</v>
      </c>
      <c r="S6204" s="422" t="s">
        <v>1861</v>
      </c>
      <c r="T6204" s="422" t="s">
        <v>5820</v>
      </c>
      <c r="U6204" s="422" t="s">
        <v>1953</v>
      </c>
      <c r="V6204" s="422" t="s">
        <v>2813</v>
      </c>
    </row>
    <row r="6205" spans="1:22" ht="15.75" thickBot="1" x14ac:dyDescent="0.3">
      <c r="A6205" t="s">
        <v>4668</v>
      </c>
      <c r="B6205" t="s">
        <v>4668</v>
      </c>
      <c r="C6205" s="424" t="str">
        <f t="shared" si="265"/>
        <v>Viação Alvorada, Lda</v>
      </c>
      <c r="D6205" t="s">
        <v>629</v>
      </c>
      <c r="F6205" t="s">
        <v>620</v>
      </c>
      <c r="G6205" s="89">
        <v>2022</v>
      </c>
      <c r="H6205" s="313" t="s">
        <v>5816</v>
      </c>
      <c r="I6205" s="311" t="str">
        <f t="shared" si="264"/>
        <v>Pesado de Passageiros M3:  : Gasóleo : E6 D/E E7</v>
      </c>
      <c r="J6205">
        <v>108</v>
      </c>
      <c r="K6205" s="422">
        <v>2023</v>
      </c>
      <c r="L6205">
        <v>28864</v>
      </c>
      <c r="M6205" t="s">
        <v>630</v>
      </c>
      <c r="N6205" s="131">
        <v>28864</v>
      </c>
      <c r="O6205" s="436">
        <f t="shared" si="263"/>
        <v>3117312</v>
      </c>
      <c r="P6205" s="89">
        <v>1284</v>
      </c>
      <c r="Q6205" t="s">
        <v>47</v>
      </c>
      <c r="R6205" s="422" t="s">
        <v>1869</v>
      </c>
      <c r="S6205" s="422" t="s">
        <v>1861</v>
      </c>
      <c r="T6205" s="422" t="s">
        <v>5820</v>
      </c>
      <c r="U6205" s="422" t="s">
        <v>1953</v>
      </c>
      <c r="V6205" s="422" t="s">
        <v>2813</v>
      </c>
    </row>
    <row r="6206" spans="1:22" ht="15.75" thickBot="1" x14ac:dyDescent="0.3">
      <c r="A6206" t="s">
        <v>4668</v>
      </c>
      <c r="B6206" t="s">
        <v>4668</v>
      </c>
      <c r="C6206" s="424" t="str">
        <f t="shared" si="265"/>
        <v>Viação Alvorada, Lda</v>
      </c>
      <c r="D6206" t="s">
        <v>629</v>
      </c>
      <c r="F6206" t="s">
        <v>620</v>
      </c>
      <c r="G6206" s="89">
        <v>2022</v>
      </c>
      <c r="H6206" s="313" t="s">
        <v>5816</v>
      </c>
      <c r="I6206" s="311" t="str">
        <f t="shared" si="264"/>
        <v>Pesado de Passageiros M3:  : Gasóleo : E6 D/E E7</v>
      </c>
      <c r="J6206">
        <v>108</v>
      </c>
      <c r="K6206" s="422">
        <v>2023</v>
      </c>
      <c r="L6206">
        <v>33869</v>
      </c>
      <c r="M6206" t="s">
        <v>630</v>
      </c>
      <c r="N6206" s="131">
        <v>33869</v>
      </c>
      <c r="O6206" s="436">
        <f t="shared" si="263"/>
        <v>3657852</v>
      </c>
      <c r="P6206" s="89">
        <v>1285</v>
      </c>
      <c r="Q6206" t="s">
        <v>47</v>
      </c>
      <c r="R6206" s="422" t="s">
        <v>1869</v>
      </c>
      <c r="S6206" s="422" t="s">
        <v>1861</v>
      </c>
      <c r="T6206" s="422" t="s">
        <v>5820</v>
      </c>
      <c r="U6206" s="422" t="s">
        <v>1953</v>
      </c>
      <c r="V6206" s="422" t="s">
        <v>2813</v>
      </c>
    </row>
    <row r="6207" spans="1:22" ht="15.75" thickBot="1" x14ac:dyDescent="0.3">
      <c r="A6207" t="s">
        <v>4668</v>
      </c>
      <c r="B6207" t="s">
        <v>4668</v>
      </c>
      <c r="C6207" s="424" t="str">
        <f t="shared" si="265"/>
        <v>Viação Alvorada, Lda</v>
      </c>
      <c r="D6207" t="s">
        <v>629</v>
      </c>
      <c r="F6207" t="s">
        <v>620</v>
      </c>
      <c r="G6207" s="89">
        <v>2022</v>
      </c>
      <c r="H6207" s="313" t="s">
        <v>5816</v>
      </c>
      <c r="I6207" s="311" t="str">
        <f t="shared" si="264"/>
        <v>Pesado de Passageiros M3:  : Gasóleo : E6 D/E E7</v>
      </c>
      <c r="J6207">
        <v>108</v>
      </c>
      <c r="K6207" s="422">
        <v>2023</v>
      </c>
      <c r="L6207">
        <v>31787</v>
      </c>
      <c r="M6207" t="s">
        <v>630</v>
      </c>
      <c r="N6207" s="131">
        <v>31787</v>
      </c>
      <c r="O6207" s="436">
        <f t="shared" si="263"/>
        <v>3432996</v>
      </c>
      <c r="P6207" s="89">
        <v>1286</v>
      </c>
      <c r="Q6207" t="s">
        <v>47</v>
      </c>
      <c r="R6207" s="422" t="s">
        <v>1869</v>
      </c>
      <c r="S6207" s="422" t="s">
        <v>1861</v>
      </c>
      <c r="T6207" s="422" t="s">
        <v>5820</v>
      </c>
      <c r="U6207" s="422" t="s">
        <v>1953</v>
      </c>
      <c r="V6207" s="422" t="s">
        <v>2813</v>
      </c>
    </row>
    <row r="6208" spans="1:22" ht="15.75" thickBot="1" x14ac:dyDescent="0.3">
      <c r="A6208" t="s">
        <v>4668</v>
      </c>
      <c r="B6208" t="s">
        <v>4668</v>
      </c>
      <c r="C6208" s="424" t="str">
        <f t="shared" si="265"/>
        <v>Viação Alvorada, Lda</v>
      </c>
      <c r="D6208" t="s">
        <v>629</v>
      </c>
      <c r="F6208" t="s">
        <v>620</v>
      </c>
      <c r="G6208" s="89">
        <v>2022</v>
      </c>
      <c r="H6208" s="313" t="s">
        <v>5816</v>
      </c>
      <c r="I6208" s="311" t="str">
        <f t="shared" si="264"/>
        <v>Pesado de Passageiros M3:  : Gasóleo : E6 D/E E7</v>
      </c>
      <c r="J6208">
        <v>108</v>
      </c>
      <c r="K6208" s="422">
        <v>2023</v>
      </c>
      <c r="L6208">
        <v>29275</v>
      </c>
      <c r="M6208" t="s">
        <v>630</v>
      </c>
      <c r="N6208" s="131">
        <v>29275</v>
      </c>
      <c r="O6208" s="436">
        <f t="shared" si="263"/>
        <v>3161700</v>
      </c>
      <c r="P6208" s="89">
        <v>1287</v>
      </c>
      <c r="Q6208" t="s">
        <v>47</v>
      </c>
      <c r="R6208" s="422" t="s">
        <v>1869</v>
      </c>
      <c r="S6208" s="422" t="s">
        <v>1861</v>
      </c>
      <c r="T6208" s="422" t="s">
        <v>5820</v>
      </c>
      <c r="U6208" s="422" t="s">
        <v>1953</v>
      </c>
      <c r="V6208" s="422" t="s">
        <v>2813</v>
      </c>
    </row>
    <row r="6209" spans="1:22" ht="15.75" thickBot="1" x14ac:dyDescent="0.3">
      <c r="A6209" t="s">
        <v>4668</v>
      </c>
      <c r="B6209" t="s">
        <v>4668</v>
      </c>
      <c r="C6209" s="424" t="str">
        <f t="shared" si="265"/>
        <v>Viação Alvorada, Lda</v>
      </c>
      <c r="D6209" t="s">
        <v>629</v>
      </c>
      <c r="F6209" t="s">
        <v>620</v>
      </c>
      <c r="G6209" s="89">
        <v>2022</v>
      </c>
      <c r="H6209" s="313" t="s">
        <v>5816</v>
      </c>
      <c r="I6209" s="311" t="str">
        <f t="shared" si="264"/>
        <v>Pesado de Passageiros M3:  : Gasóleo : E6 D/E E7</v>
      </c>
      <c r="J6209">
        <v>108</v>
      </c>
      <c r="K6209" s="422">
        <v>2023</v>
      </c>
      <c r="L6209">
        <v>27431</v>
      </c>
      <c r="M6209" t="s">
        <v>630</v>
      </c>
      <c r="N6209" s="131">
        <v>27431</v>
      </c>
      <c r="O6209" s="436">
        <f t="shared" si="263"/>
        <v>2962548</v>
      </c>
      <c r="P6209" s="89">
        <v>1288</v>
      </c>
      <c r="Q6209" t="s">
        <v>47</v>
      </c>
      <c r="R6209" s="422" t="s">
        <v>1869</v>
      </c>
      <c r="S6209" s="422" t="s">
        <v>1861</v>
      </c>
      <c r="T6209" s="422" t="s">
        <v>5820</v>
      </c>
      <c r="U6209" s="422" t="s">
        <v>1953</v>
      </c>
      <c r="V6209" s="422" t="s">
        <v>2813</v>
      </c>
    </row>
    <row r="6210" spans="1:22" ht="15.75" thickBot="1" x14ac:dyDescent="0.3">
      <c r="A6210" t="s">
        <v>4668</v>
      </c>
      <c r="B6210" t="s">
        <v>4668</v>
      </c>
      <c r="C6210" s="424" t="str">
        <f t="shared" si="265"/>
        <v>Viação Alvorada, Lda</v>
      </c>
      <c r="D6210" t="s">
        <v>629</v>
      </c>
      <c r="F6210" t="s">
        <v>620</v>
      </c>
      <c r="G6210" s="89">
        <v>2022</v>
      </c>
      <c r="H6210" s="313" t="s">
        <v>5816</v>
      </c>
      <c r="I6210" s="311" t="str">
        <f t="shared" si="264"/>
        <v>Pesado de Passageiros M3:  : Gasóleo : E6 D/E E7</v>
      </c>
      <c r="J6210">
        <v>108</v>
      </c>
      <c r="K6210" s="422">
        <v>2023</v>
      </c>
      <c r="L6210">
        <v>31193</v>
      </c>
      <c r="M6210" t="s">
        <v>630</v>
      </c>
      <c r="N6210" s="131">
        <v>31193</v>
      </c>
      <c r="O6210" s="436">
        <f t="shared" si="263"/>
        <v>3368844</v>
      </c>
      <c r="P6210" s="89">
        <v>1289</v>
      </c>
      <c r="Q6210" t="s">
        <v>47</v>
      </c>
      <c r="R6210" s="422" t="s">
        <v>1869</v>
      </c>
      <c r="S6210" s="422" t="s">
        <v>1861</v>
      </c>
      <c r="T6210" s="422" t="s">
        <v>5820</v>
      </c>
      <c r="U6210" s="422" t="s">
        <v>1953</v>
      </c>
      <c r="V6210" s="422" t="s">
        <v>2813</v>
      </c>
    </row>
    <row r="6211" spans="1:22" ht="15.75" thickBot="1" x14ac:dyDescent="0.3">
      <c r="A6211" t="s">
        <v>4668</v>
      </c>
      <c r="B6211" t="s">
        <v>4668</v>
      </c>
      <c r="C6211" s="424" t="str">
        <f t="shared" si="265"/>
        <v>Viação Alvorada, Lda</v>
      </c>
      <c r="D6211" t="s">
        <v>629</v>
      </c>
      <c r="F6211" t="s">
        <v>620</v>
      </c>
      <c r="G6211" s="89">
        <v>2022</v>
      </c>
      <c r="H6211" s="313" t="s">
        <v>5816</v>
      </c>
      <c r="I6211" s="311" t="str">
        <f t="shared" si="264"/>
        <v>Pesado de Passageiros M3:  : Gasóleo : E6 D/E E7</v>
      </c>
      <c r="J6211">
        <v>108</v>
      </c>
      <c r="K6211" s="422">
        <v>2023</v>
      </c>
      <c r="L6211">
        <v>25285</v>
      </c>
      <c r="M6211" t="s">
        <v>630</v>
      </c>
      <c r="N6211" s="131">
        <v>25285</v>
      </c>
      <c r="O6211" s="436">
        <f t="shared" ref="O6211:O6274" si="266">N6211*J6211</f>
        <v>2730780</v>
      </c>
      <c r="P6211" s="89">
        <v>1290</v>
      </c>
      <c r="Q6211" t="s">
        <v>47</v>
      </c>
      <c r="R6211" s="422" t="s">
        <v>1869</v>
      </c>
      <c r="S6211" s="422" t="s">
        <v>1861</v>
      </c>
      <c r="T6211" s="422" t="s">
        <v>5820</v>
      </c>
      <c r="U6211" s="422" t="s">
        <v>1953</v>
      </c>
      <c r="V6211" s="422" t="s">
        <v>2813</v>
      </c>
    </row>
    <row r="6212" spans="1:22" ht="15.75" thickBot="1" x14ac:dyDescent="0.3">
      <c r="A6212" t="s">
        <v>4668</v>
      </c>
      <c r="B6212" t="s">
        <v>4668</v>
      </c>
      <c r="C6212" s="424" t="str">
        <f t="shared" si="265"/>
        <v>Viação Alvorada, Lda</v>
      </c>
      <c r="D6212" t="s">
        <v>629</v>
      </c>
      <c r="F6212" t="s">
        <v>620</v>
      </c>
      <c r="G6212" s="89">
        <v>2022</v>
      </c>
      <c r="H6212" s="313" t="s">
        <v>5816</v>
      </c>
      <c r="I6212" s="311" t="str">
        <f t="shared" si="264"/>
        <v>Pesado de Passageiros M3:  : Gasóleo : E6 D/E E7</v>
      </c>
      <c r="J6212">
        <v>108</v>
      </c>
      <c r="K6212" s="422">
        <v>2023</v>
      </c>
      <c r="L6212">
        <v>29268</v>
      </c>
      <c r="M6212" t="s">
        <v>630</v>
      </c>
      <c r="N6212" s="131">
        <v>29268</v>
      </c>
      <c r="O6212" s="436">
        <f t="shared" si="266"/>
        <v>3160944</v>
      </c>
      <c r="P6212" s="89">
        <v>1291</v>
      </c>
      <c r="Q6212" t="s">
        <v>47</v>
      </c>
      <c r="R6212" s="422" t="s">
        <v>1869</v>
      </c>
      <c r="S6212" s="422" t="s">
        <v>1861</v>
      </c>
      <c r="T6212" s="422" t="s">
        <v>5820</v>
      </c>
      <c r="U6212" s="422" t="s">
        <v>1953</v>
      </c>
      <c r="V6212" s="422" t="s">
        <v>2813</v>
      </c>
    </row>
    <row r="6213" spans="1:22" ht="15.75" thickBot="1" x14ac:dyDescent="0.3">
      <c r="A6213" t="s">
        <v>4668</v>
      </c>
      <c r="B6213" t="s">
        <v>4668</v>
      </c>
      <c r="C6213" s="424" t="str">
        <f t="shared" si="265"/>
        <v>Viação Alvorada, Lda</v>
      </c>
      <c r="D6213" t="s">
        <v>629</v>
      </c>
      <c r="F6213" t="s">
        <v>620</v>
      </c>
      <c r="G6213" s="89">
        <v>2022</v>
      </c>
      <c r="H6213" s="313" t="s">
        <v>5816</v>
      </c>
      <c r="I6213" s="311" t="str">
        <f t="shared" si="264"/>
        <v>Pesado de Passageiros M3:  : Gasóleo : E6 D/E E7</v>
      </c>
      <c r="J6213">
        <v>108</v>
      </c>
      <c r="K6213" s="422">
        <v>2023</v>
      </c>
      <c r="L6213">
        <v>17110</v>
      </c>
      <c r="M6213" t="s">
        <v>630</v>
      </c>
      <c r="N6213" s="131">
        <v>17110</v>
      </c>
      <c r="O6213" s="436">
        <f t="shared" si="266"/>
        <v>1847880</v>
      </c>
      <c r="P6213" s="89">
        <v>1292</v>
      </c>
      <c r="Q6213" t="s">
        <v>47</v>
      </c>
      <c r="R6213" s="422" t="s">
        <v>1869</v>
      </c>
      <c r="S6213" s="422" t="s">
        <v>1861</v>
      </c>
      <c r="T6213" s="422" t="s">
        <v>5820</v>
      </c>
      <c r="U6213" s="422" t="s">
        <v>1953</v>
      </c>
      <c r="V6213" s="422" t="s">
        <v>2813</v>
      </c>
    </row>
    <row r="6214" spans="1:22" ht="15.75" thickBot="1" x14ac:dyDescent="0.3">
      <c r="A6214" t="s">
        <v>4668</v>
      </c>
      <c r="B6214" t="s">
        <v>4668</v>
      </c>
      <c r="C6214" s="424" t="str">
        <f t="shared" si="265"/>
        <v>Viação Alvorada, Lda</v>
      </c>
      <c r="D6214" t="s">
        <v>629</v>
      </c>
      <c r="F6214" t="s">
        <v>620</v>
      </c>
      <c r="G6214" s="89">
        <v>2022</v>
      </c>
      <c r="H6214" s="313" t="s">
        <v>5816</v>
      </c>
      <c r="I6214" s="311" t="str">
        <f t="shared" si="264"/>
        <v>Pesado de Passageiros M3:  : Gasóleo : E6 D/E E7</v>
      </c>
      <c r="J6214">
        <v>108</v>
      </c>
      <c r="K6214" s="422">
        <v>2023</v>
      </c>
      <c r="L6214">
        <v>30097</v>
      </c>
      <c r="M6214" t="s">
        <v>630</v>
      </c>
      <c r="N6214" s="131">
        <v>30097</v>
      </c>
      <c r="O6214" s="436">
        <f t="shared" si="266"/>
        <v>3250476</v>
      </c>
      <c r="P6214" s="89">
        <v>1293</v>
      </c>
      <c r="Q6214" t="s">
        <v>47</v>
      </c>
      <c r="R6214" s="422" t="s">
        <v>1869</v>
      </c>
      <c r="S6214" s="422" t="s">
        <v>1861</v>
      </c>
      <c r="T6214" s="422" t="s">
        <v>5820</v>
      </c>
      <c r="U6214" s="422" t="s">
        <v>1953</v>
      </c>
      <c r="V6214" s="422" t="s">
        <v>2813</v>
      </c>
    </row>
    <row r="6215" spans="1:22" ht="15.75" thickBot="1" x14ac:dyDescent="0.3">
      <c r="A6215" t="s">
        <v>4668</v>
      </c>
      <c r="B6215" t="s">
        <v>4668</v>
      </c>
      <c r="C6215" s="424" t="str">
        <f t="shared" si="265"/>
        <v>Viação Alvorada, Lda</v>
      </c>
      <c r="D6215" t="s">
        <v>629</v>
      </c>
      <c r="F6215" t="s">
        <v>620</v>
      </c>
      <c r="G6215" s="89">
        <v>2022</v>
      </c>
      <c r="H6215" s="313" t="s">
        <v>5816</v>
      </c>
      <c r="I6215" s="311" t="str">
        <f t="shared" si="264"/>
        <v>Pesado de Passageiros M3:  : Gasóleo : E6 D/E E7</v>
      </c>
      <c r="J6215">
        <v>108</v>
      </c>
      <c r="K6215" s="422">
        <v>2023</v>
      </c>
      <c r="L6215">
        <v>27782</v>
      </c>
      <c r="M6215" t="s">
        <v>630</v>
      </c>
      <c r="N6215" s="131">
        <v>27782</v>
      </c>
      <c r="O6215" s="436">
        <f t="shared" si="266"/>
        <v>3000456</v>
      </c>
      <c r="P6215" s="89">
        <v>1294</v>
      </c>
      <c r="Q6215" t="s">
        <v>47</v>
      </c>
      <c r="R6215" s="422" t="s">
        <v>1869</v>
      </c>
      <c r="S6215" s="422" t="s">
        <v>1861</v>
      </c>
      <c r="T6215" s="422" t="s">
        <v>5820</v>
      </c>
      <c r="U6215" s="422" t="s">
        <v>1953</v>
      </c>
      <c r="V6215" s="422" t="s">
        <v>2813</v>
      </c>
    </row>
    <row r="6216" spans="1:22" ht="15.75" thickBot="1" x14ac:dyDescent="0.3">
      <c r="A6216" t="s">
        <v>4668</v>
      </c>
      <c r="B6216" t="s">
        <v>4668</v>
      </c>
      <c r="C6216" s="424" t="str">
        <f t="shared" si="265"/>
        <v>Viação Alvorada, Lda</v>
      </c>
      <c r="D6216" t="s">
        <v>629</v>
      </c>
      <c r="F6216" t="s">
        <v>620</v>
      </c>
      <c r="G6216" s="89">
        <v>2022</v>
      </c>
      <c r="H6216" s="313" t="s">
        <v>5816</v>
      </c>
      <c r="I6216" s="311" t="str">
        <f t="shared" si="264"/>
        <v>Pesado de Passageiros M3:  : Gasóleo : E6 D/E E7</v>
      </c>
      <c r="J6216">
        <v>108</v>
      </c>
      <c r="K6216" s="422">
        <v>2023</v>
      </c>
      <c r="L6216">
        <v>29969</v>
      </c>
      <c r="M6216" t="s">
        <v>630</v>
      </c>
      <c r="N6216" s="131">
        <v>29969</v>
      </c>
      <c r="O6216" s="436">
        <f t="shared" si="266"/>
        <v>3236652</v>
      </c>
      <c r="P6216" s="89">
        <v>1295</v>
      </c>
      <c r="Q6216" t="s">
        <v>47</v>
      </c>
      <c r="R6216" s="422" t="s">
        <v>1869</v>
      </c>
      <c r="S6216" s="422" t="s">
        <v>1861</v>
      </c>
      <c r="T6216" s="422" t="s">
        <v>5820</v>
      </c>
      <c r="U6216" s="422" t="s">
        <v>1953</v>
      </c>
      <c r="V6216" s="422" t="s">
        <v>2813</v>
      </c>
    </row>
    <row r="6217" spans="1:22" ht="15.75" thickBot="1" x14ac:dyDescent="0.3">
      <c r="A6217" t="s">
        <v>4668</v>
      </c>
      <c r="B6217" t="s">
        <v>4668</v>
      </c>
      <c r="C6217" s="424" t="str">
        <f t="shared" si="265"/>
        <v>Viação Alvorada, Lda</v>
      </c>
      <c r="D6217" t="s">
        <v>629</v>
      </c>
      <c r="F6217" t="s">
        <v>620</v>
      </c>
      <c r="G6217" s="89">
        <v>2022</v>
      </c>
      <c r="H6217" s="313" t="s">
        <v>5816</v>
      </c>
      <c r="I6217" s="311" t="str">
        <f t="shared" si="264"/>
        <v>Pesado de Passageiros M3:  : Gasóleo : E6 D/E E7</v>
      </c>
      <c r="J6217">
        <v>108</v>
      </c>
      <c r="K6217" s="422">
        <v>2023</v>
      </c>
      <c r="L6217">
        <v>31720</v>
      </c>
      <c r="M6217" t="s">
        <v>630</v>
      </c>
      <c r="N6217" s="131">
        <v>31720</v>
      </c>
      <c r="O6217" s="436">
        <f t="shared" si="266"/>
        <v>3425760</v>
      </c>
      <c r="P6217" s="89">
        <v>1296</v>
      </c>
      <c r="Q6217" t="s">
        <v>47</v>
      </c>
      <c r="R6217" s="422" t="s">
        <v>1869</v>
      </c>
      <c r="S6217" s="422" t="s">
        <v>1861</v>
      </c>
      <c r="T6217" s="422" t="s">
        <v>5820</v>
      </c>
      <c r="U6217" s="422" t="s">
        <v>1953</v>
      </c>
      <c r="V6217" s="422" t="s">
        <v>2813</v>
      </c>
    </row>
    <row r="6218" spans="1:22" ht="15.75" thickBot="1" x14ac:dyDescent="0.3">
      <c r="A6218" t="s">
        <v>4668</v>
      </c>
      <c r="B6218" t="s">
        <v>4668</v>
      </c>
      <c r="C6218" s="424" t="str">
        <f t="shared" si="265"/>
        <v>Viação Alvorada, Lda</v>
      </c>
      <c r="D6218" t="s">
        <v>629</v>
      </c>
      <c r="F6218" t="s">
        <v>620</v>
      </c>
      <c r="G6218" s="89">
        <v>2022</v>
      </c>
      <c r="H6218" s="313" t="s">
        <v>5816</v>
      </c>
      <c r="I6218" s="311" t="str">
        <f t="shared" si="264"/>
        <v>Pesado de Passageiros M3:  : Gasóleo : E6 D/E E7</v>
      </c>
      <c r="J6218">
        <v>108</v>
      </c>
      <c r="K6218" s="422">
        <v>2023</v>
      </c>
      <c r="L6218">
        <v>29915</v>
      </c>
      <c r="M6218" t="s">
        <v>630</v>
      </c>
      <c r="N6218" s="131">
        <v>29915</v>
      </c>
      <c r="O6218" s="436">
        <f t="shared" si="266"/>
        <v>3230820</v>
      </c>
      <c r="P6218" s="89">
        <v>1297</v>
      </c>
      <c r="Q6218" t="s">
        <v>47</v>
      </c>
      <c r="R6218" s="422" t="s">
        <v>1869</v>
      </c>
      <c r="S6218" s="422" t="s">
        <v>1861</v>
      </c>
      <c r="T6218" s="422" t="s">
        <v>5820</v>
      </c>
      <c r="U6218" s="422" t="s">
        <v>1953</v>
      </c>
      <c r="V6218" s="422" t="s">
        <v>2813</v>
      </c>
    </row>
    <row r="6219" spans="1:22" ht="15.75" thickBot="1" x14ac:dyDescent="0.3">
      <c r="A6219" t="s">
        <v>4668</v>
      </c>
      <c r="B6219" t="s">
        <v>4668</v>
      </c>
      <c r="C6219" s="424" t="str">
        <f t="shared" si="265"/>
        <v>Viação Alvorada, Lda</v>
      </c>
      <c r="D6219" t="s">
        <v>629</v>
      </c>
      <c r="F6219" t="s">
        <v>620</v>
      </c>
      <c r="G6219" s="89">
        <v>2022</v>
      </c>
      <c r="H6219" s="313" t="s">
        <v>5816</v>
      </c>
      <c r="I6219" s="311" t="str">
        <f t="shared" si="264"/>
        <v>Pesado de Passageiros M3:  : Gasóleo : E6 D/E E7</v>
      </c>
      <c r="J6219">
        <v>108</v>
      </c>
      <c r="K6219" s="422">
        <v>2023</v>
      </c>
      <c r="L6219">
        <v>25377</v>
      </c>
      <c r="M6219" t="s">
        <v>630</v>
      </c>
      <c r="N6219" s="131">
        <v>25377</v>
      </c>
      <c r="O6219" s="436">
        <f t="shared" si="266"/>
        <v>2740716</v>
      </c>
      <c r="P6219" s="89">
        <v>1298</v>
      </c>
      <c r="Q6219" t="s">
        <v>47</v>
      </c>
      <c r="R6219" s="422" t="s">
        <v>1869</v>
      </c>
      <c r="S6219" s="422" t="s">
        <v>1861</v>
      </c>
      <c r="T6219" s="422" t="s">
        <v>5820</v>
      </c>
      <c r="U6219" s="422" t="s">
        <v>1953</v>
      </c>
      <c r="V6219" s="422" t="s">
        <v>2813</v>
      </c>
    </row>
    <row r="6220" spans="1:22" ht="15.75" thickBot="1" x14ac:dyDescent="0.3">
      <c r="A6220" t="s">
        <v>4668</v>
      </c>
      <c r="B6220" t="s">
        <v>4668</v>
      </c>
      <c r="C6220" s="424" t="str">
        <f t="shared" si="265"/>
        <v>Viação Alvorada, Lda</v>
      </c>
      <c r="D6220" t="s">
        <v>629</v>
      </c>
      <c r="F6220" t="s">
        <v>620</v>
      </c>
      <c r="G6220" s="89">
        <v>2022</v>
      </c>
      <c r="H6220" s="313" t="s">
        <v>5816</v>
      </c>
      <c r="I6220" s="311" t="str">
        <f t="shared" si="264"/>
        <v>Pesado de Passageiros M3:  : Gasóleo : E6 D/E E7</v>
      </c>
      <c r="J6220">
        <v>108</v>
      </c>
      <c r="K6220" s="422">
        <v>2023</v>
      </c>
      <c r="L6220">
        <v>32276</v>
      </c>
      <c r="M6220" t="s">
        <v>630</v>
      </c>
      <c r="N6220" s="131">
        <v>32276</v>
      </c>
      <c r="O6220" s="436">
        <f t="shared" si="266"/>
        <v>3485808</v>
      </c>
      <c r="P6220" s="89">
        <v>1299</v>
      </c>
      <c r="Q6220" t="s">
        <v>47</v>
      </c>
      <c r="R6220" s="422" t="s">
        <v>1869</v>
      </c>
      <c r="S6220" s="422" t="s">
        <v>1861</v>
      </c>
      <c r="T6220" s="422" t="s">
        <v>5820</v>
      </c>
      <c r="U6220" s="422" t="s">
        <v>1953</v>
      </c>
      <c r="V6220" s="422" t="s">
        <v>2813</v>
      </c>
    </row>
    <row r="6221" spans="1:22" ht="15.75" thickBot="1" x14ac:dyDescent="0.3">
      <c r="A6221" t="s">
        <v>4668</v>
      </c>
      <c r="B6221" t="s">
        <v>4668</v>
      </c>
      <c r="C6221" s="424" t="str">
        <f t="shared" si="265"/>
        <v>Viação Alvorada, Lda</v>
      </c>
      <c r="D6221" t="s">
        <v>629</v>
      </c>
      <c r="F6221" t="s">
        <v>620</v>
      </c>
      <c r="G6221" s="89">
        <v>2022</v>
      </c>
      <c r="H6221" s="313" t="s">
        <v>5816</v>
      </c>
      <c r="I6221" s="311" t="str">
        <f t="shared" si="264"/>
        <v>Pesado de Passageiros M3:  : Gasóleo : E6 D/E E7</v>
      </c>
      <c r="J6221">
        <v>108</v>
      </c>
      <c r="K6221" s="422">
        <v>2023</v>
      </c>
      <c r="L6221">
        <v>32154</v>
      </c>
      <c r="M6221" t="s">
        <v>630</v>
      </c>
      <c r="N6221" s="131">
        <v>32154</v>
      </c>
      <c r="O6221" s="436">
        <f t="shared" si="266"/>
        <v>3472632</v>
      </c>
      <c r="P6221" s="89">
        <v>1300</v>
      </c>
      <c r="Q6221" t="s">
        <v>47</v>
      </c>
      <c r="R6221" s="422" t="s">
        <v>1869</v>
      </c>
      <c r="S6221" s="422" t="s">
        <v>1861</v>
      </c>
      <c r="T6221" s="422" t="s">
        <v>5820</v>
      </c>
      <c r="U6221" s="422" t="s">
        <v>1953</v>
      </c>
      <c r="V6221" s="422" t="s">
        <v>2813</v>
      </c>
    </row>
    <row r="6222" spans="1:22" ht="15.75" thickBot="1" x14ac:dyDescent="0.3">
      <c r="A6222" t="s">
        <v>4668</v>
      </c>
      <c r="B6222" t="s">
        <v>4668</v>
      </c>
      <c r="C6222" s="424" t="str">
        <f t="shared" si="265"/>
        <v>Viação Alvorada, Lda</v>
      </c>
      <c r="D6222" t="s">
        <v>629</v>
      </c>
      <c r="F6222" t="s">
        <v>620</v>
      </c>
      <c r="G6222" s="89">
        <v>2022</v>
      </c>
      <c r="H6222" s="313" t="s">
        <v>5816</v>
      </c>
      <c r="I6222" s="311" t="str">
        <f t="shared" si="264"/>
        <v>Pesado de Passageiros M3:  : Gasóleo : E6 D/E E7</v>
      </c>
      <c r="J6222">
        <v>108</v>
      </c>
      <c r="K6222" s="422">
        <v>2023</v>
      </c>
      <c r="L6222">
        <v>33427</v>
      </c>
      <c r="M6222" t="s">
        <v>630</v>
      </c>
      <c r="N6222" s="131">
        <v>33427</v>
      </c>
      <c r="O6222" s="436">
        <f t="shared" si="266"/>
        <v>3610116</v>
      </c>
      <c r="P6222" s="89">
        <v>1301</v>
      </c>
      <c r="Q6222" t="s">
        <v>47</v>
      </c>
      <c r="R6222" s="422" t="s">
        <v>1869</v>
      </c>
      <c r="S6222" s="422" t="s">
        <v>1861</v>
      </c>
      <c r="T6222" s="422" t="s">
        <v>5820</v>
      </c>
      <c r="U6222" s="422" t="s">
        <v>1953</v>
      </c>
      <c r="V6222" s="422" t="s">
        <v>2813</v>
      </c>
    </row>
    <row r="6223" spans="1:22" ht="15.75" thickBot="1" x14ac:dyDescent="0.3">
      <c r="A6223" t="s">
        <v>4668</v>
      </c>
      <c r="B6223" t="s">
        <v>4668</v>
      </c>
      <c r="C6223" s="424" t="str">
        <f t="shared" si="265"/>
        <v>Viação Alvorada, Lda</v>
      </c>
      <c r="D6223" t="s">
        <v>629</v>
      </c>
      <c r="F6223" t="s">
        <v>620</v>
      </c>
      <c r="G6223" s="89">
        <v>2022</v>
      </c>
      <c r="H6223" s="313" t="s">
        <v>5816</v>
      </c>
      <c r="I6223" s="311" t="str">
        <f t="shared" si="264"/>
        <v>Pesado de Passageiros M3:  : Gasóleo : E6 D/E E7</v>
      </c>
      <c r="J6223">
        <v>108</v>
      </c>
      <c r="K6223" s="422">
        <v>2023</v>
      </c>
      <c r="L6223">
        <v>31098</v>
      </c>
      <c r="M6223" t="s">
        <v>630</v>
      </c>
      <c r="N6223" s="131">
        <v>31098</v>
      </c>
      <c r="O6223" s="436">
        <f t="shared" si="266"/>
        <v>3358584</v>
      </c>
      <c r="P6223" s="89">
        <v>1302</v>
      </c>
      <c r="Q6223" t="s">
        <v>47</v>
      </c>
      <c r="R6223" s="422" t="s">
        <v>1869</v>
      </c>
      <c r="S6223" s="422" t="s">
        <v>1861</v>
      </c>
      <c r="T6223" s="422" t="s">
        <v>5820</v>
      </c>
      <c r="U6223" s="422" t="s">
        <v>1953</v>
      </c>
      <c r="V6223" s="422" t="s">
        <v>2813</v>
      </c>
    </row>
    <row r="6224" spans="1:22" ht="15.75" thickBot="1" x14ac:dyDescent="0.3">
      <c r="A6224" t="s">
        <v>4668</v>
      </c>
      <c r="B6224" t="s">
        <v>4668</v>
      </c>
      <c r="C6224" s="424" t="str">
        <f t="shared" si="265"/>
        <v>Viação Alvorada, Lda</v>
      </c>
      <c r="D6224" t="s">
        <v>629</v>
      </c>
      <c r="F6224" t="s">
        <v>620</v>
      </c>
      <c r="G6224" s="89">
        <v>2022</v>
      </c>
      <c r="H6224" s="313" t="s">
        <v>5816</v>
      </c>
      <c r="I6224" s="311" t="str">
        <f t="shared" si="264"/>
        <v>Pesado de Passageiros M3:  : Gasóleo : E6 D/E E7</v>
      </c>
      <c r="J6224">
        <v>108</v>
      </c>
      <c r="K6224" s="422">
        <v>2023</v>
      </c>
      <c r="L6224">
        <v>24427</v>
      </c>
      <c r="M6224" t="s">
        <v>630</v>
      </c>
      <c r="N6224" s="131">
        <v>24427</v>
      </c>
      <c r="O6224" s="436">
        <f t="shared" si="266"/>
        <v>2638116</v>
      </c>
      <c r="P6224" s="89">
        <v>1303</v>
      </c>
      <c r="Q6224" t="s">
        <v>47</v>
      </c>
      <c r="R6224" s="422" t="s">
        <v>1869</v>
      </c>
      <c r="S6224" s="422" t="s">
        <v>1861</v>
      </c>
      <c r="T6224" s="422" t="s">
        <v>5820</v>
      </c>
      <c r="U6224" s="422" t="s">
        <v>1953</v>
      </c>
      <c r="V6224" s="422" t="s">
        <v>2813</v>
      </c>
    </row>
    <row r="6225" spans="1:22" ht="15.75" thickBot="1" x14ac:dyDescent="0.3">
      <c r="A6225" t="s">
        <v>4668</v>
      </c>
      <c r="B6225" t="s">
        <v>4668</v>
      </c>
      <c r="C6225" s="424" t="str">
        <f t="shared" si="265"/>
        <v>Viação Alvorada, Lda</v>
      </c>
      <c r="D6225" t="s">
        <v>629</v>
      </c>
      <c r="F6225" t="s">
        <v>620</v>
      </c>
      <c r="G6225" s="89">
        <v>2022</v>
      </c>
      <c r="H6225" s="313" t="s">
        <v>5816</v>
      </c>
      <c r="I6225" s="311" t="str">
        <f t="shared" si="264"/>
        <v>Pesado de Passageiros M3:  : Gasóleo : E6 D/E E7</v>
      </c>
      <c r="J6225">
        <v>108</v>
      </c>
      <c r="K6225" s="422">
        <v>2023</v>
      </c>
      <c r="L6225">
        <v>33078</v>
      </c>
      <c r="M6225" t="s">
        <v>630</v>
      </c>
      <c r="N6225" s="131">
        <v>33078</v>
      </c>
      <c r="O6225" s="436">
        <f t="shared" si="266"/>
        <v>3572424</v>
      </c>
      <c r="P6225" s="89">
        <v>1304</v>
      </c>
      <c r="Q6225" t="s">
        <v>47</v>
      </c>
      <c r="R6225" s="422" t="s">
        <v>1869</v>
      </c>
      <c r="S6225" s="422" t="s">
        <v>1861</v>
      </c>
      <c r="T6225" s="422" t="s">
        <v>5820</v>
      </c>
      <c r="U6225" s="422" t="s">
        <v>1953</v>
      </c>
      <c r="V6225" s="422" t="s">
        <v>2813</v>
      </c>
    </row>
    <row r="6226" spans="1:22" ht="15.75" thickBot="1" x14ac:dyDescent="0.3">
      <c r="A6226" t="s">
        <v>4668</v>
      </c>
      <c r="B6226" t="s">
        <v>4668</v>
      </c>
      <c r="C6226" s="424" t="str">
        <f t="shared" si="265"/>
        <v>Viação Alvorada, Lda</v>
      </c>
      <c r="D6226" t="s">
        <v>629</v>
      </c>
      <c r="F6226" t="s">
        <v>620</v>
      </c>
      <c r="G6226" s="89">
        <v>2022</v>
      </c>
      <c r="H6226" s="313" t="s">
        <v>5816</v>
      </c>
      <c r="I6226" s="311" t="str">
        <f t="shared" si="264"/>
        <v>Pesado de Passageiros M3:  : Gasóleo : E6 D/E E7</v>
      </c>
      <c r="J6226">
        <v>108</v>
      </c>
      <c r="K6226" s="422">
        <v>2023</v>
      </c>
      <c r="L6226">
        <v>34236</v>
      </c>
      <c r="M6226" t="s">
        <v>630</v>
      </c>
      <c r="N6226" s="131">
        <v>34236</v>
      </c>
      <c r="O6226" s="436">
        <f t="shared" si="266"/>
        <v>3697488</v>
      </c>
      <c r="P6226" s="89">
        <v>1305</v>
      </c>
      <c r="Q6226" t="s">
        <v>47</v>
      </c>
      <c r="R6226" s="422" t="s">
        <v>1869</v>
      </c>
      <c r="S6226" s="422" t="s">
        <v>1861</v>
      </c>
      <c r="T6226" s="422" t="s">
        <v>5820</v>
      </c>
      <c r="U6226" s="422" t="s">
        <v>1953</v>
      </c>
      <c r="V6226" s="422" t="s">
        <v>2813</v>
      </c>
    </row>
    <row r="6227" spans="1:22" ht="15.75" thickBot="1" x14ac:dyDescent="0.3">
      <c r="A6227" t="s">
        <v>4668</v>
      </c>
      <c r="B6227" t="s">
        <v>4668</v>
      </c>
      <c r="C6227" s="424" t="str">
        <f t="shared" si="265"/>
        <v>Viação Alvorada, Lda</v>
      </c>
      <c r="D6227" t="s">
        <v>629</v>
      </c>
      <c r="F6227" t="s">
        <v>620</v>
      </c>
      <c r="G6227" s="89">
        <v>2022</v>
      </c>
      <c r="H6227" s="313" t="s">
        <v>5816</v>
      </c>
      <c r="I6227" s="311" t="str">
        <f t="shared" si="264"/>
        <v>Pesado de Passageiros M3:  : Gasóleo : E6 D/E E7</v>
      </c>
      <c r="J6227">
        <v>108</v>
      </c>
      <c r="K6227" s="422">
        <v>2023</v>
      </c>
      <c r="L6227">
        <v>30370</v>
      </c>
      <c r="M6227" t="s">
        <v>630</v>
      </c>
      <c r="N6227" s="131">
        <v>30370</v>
      </c>
      <c r="O6227" s="436">
        <f t="shared" si="266"/>
        <v>3279960</v>
      </c>
      <c r="P6227" s="89">
        <v>1306</v>
      </c>
      <c r="Q6227" t="s">
        <v>47</v>
      </c>
      <c r="R6227" s="422" t="s">
        <v>1869</v>
      </c>
      <c r="S6227" s="422" t="s">
        <v>1861</v>
      </c>
      <c r="T6227" s="422" t="s">
        <v>5820</v>
      </c>
      <c r="U6227" s="422" t="s">
        <v>1953</v>
      </c>
      <c r="V6227" s="422" t="s">
        <v>2813</v>
      </c>
    </row>
    <row r="6228" spans="1:22" ht="15.75" thickBot="1" x14ac:dyDescent="0.3">
      <c r="A6228" t="s">
        <v>4668</v>
      </c>
      <c r="B6228" t="s">
        <v>4668</v>
      </c>
      <c r="C6228" s="424" t="str">
        <f t="shared" si="265"/>
        <v>Viação Alvorada, Lda</v>
      </c>
      <c r="D6228" t="s">
        <v>629</v>
      </c>
      <c r="F6228" t="s">
        <v>620</v>
      </c>
      <c r="G6228" s="89">
        <v>2022</v>
      </c>
      <c r="H6228" s="313" t="s">
        <v>5816</v>
      </c>
      <c r="I6228" s="311" t="str">
        <f t="shared" si="264"/>
        <v>Pesado de Passageiros M3:  : Gasóleo : E6 D/E E7</v>
      </c>
      <c r="J6228">
        <v>108</v>
      </c>
      <c r="K6228" s="422">
        <v>2023</v>
      </c>
      <c r="L6228">
        <v>32238</v>
      </c>
      <c r="M6228" t="s">
        <v>630</v>
      </c>
      <c r="N6228" s="131">
        <v>32238</v>
      </c>
      <c r="O6228" s="436">
        <f t="shared" si="266"/>
        <v>3481704</v>
      </c>
      <c r="P6228" s="89">
        <v>1307</v>
      </c>
      <c r="Q6228" t="s">
        <v>47</v>
      </c>
      <c r="R6228" s="422" t="s">
        <v>1869</v>
      </c>
      <c r="S6228" s="422" t="s">
        <v>1861</v>
      </c>
      <c r="T6228" s="422" t="s">
        <v>5820</v>
      </c>
      <c r="U6228" s="422" t="s">
        <v>1953</v>
      </c>
      <c r="V6228" s="422" t="s">
        <v>2813</v>
      </c>
    </row>
    <row r="6229" spans="1:22" ht="15.75" thickBot="1" x14ac:dyDescent="0.3">
      <c r="A6229" t="s">
        <v>4668</v>
      </c>
      <c r="B6229" t="s">
        <v>4668</v>
      </c>
      <c r="C6229" s="424" t="str">
        <f t="shared" si="265"/>
        <v>Viação Alvorada, Lda</v>
      </c>
      <c r="D6229" t="s">
        <v>629</v>
      </c>
      <c r="F6229" t="s">
        <v>620</v>
      </c>
      <c r="G6229" s="89">
        <v>2022</v>
      </c>
      <c r="H6229" s="313" t="s">
        <v>5816</v>
      </c>
      <c r="I6229" s="311" t="str">
        <f t="shared" si="264"/>
        <v>Pesado de Passageiros M3:  : Gasóleo : E6 D/E E7</v>
      </c>
      <c r="J6229">
        <v>108</v>
      </c>
      <c r="K6229" s="422">
        <v>2023</v>
      </c>
      <c r="L6229">
        <v>29336</v>
      </c>
      <c r="M6229" t="s">
        <v>630</v>
      </c>
      <c r="N6229" s="131">
        <v>29336</v>
      </c>
      <c r="O6229" s="436">
        <f t="shared" si="266"/>
        <v>3168288</v>
      </c>
      <c r="P6229" s="89">
        <v>1308</v>
      </c>
      <c r="Q6229" t="s">
        <v>47</v>
      </c>
      <c r="R6229" s="422" t="s">
        <v>1869</v>
      </c>
      <c r="S6229" s="422" t="s">
        <v>1861</v>
      </c>
      <c r="T6229" s="422" t="s">
        <v>5820</v>
      </c>
      <c r="U6229" s="422" t="s">
        <v>1953</v>
      </c>
      <c r="V6229" s="422" t="s">
        <v>2813</v>
      </c>
    </row>
    <row r="6230" spans="1:22" ht="15.75" thickBot="1" x14ac:dyDescent="0.3">
      <c r="A6230" t="s">
        <v>4668</v>
      </c>
      <c r="B6230" t="s">
        <v>4668</v>
      </c>
      <c r="C6230" s="424" t="str">
        <f t="shared" si="265"/>
        <v>Viação Alvorada, Lda</v>
      </c>
      <c r="D6230" t="s">
        <v>629</v>
      </c>
      <c r="F6230" t="s">
        <v>620</v>
      </c>
      <c r="G6230" s="89">
        <v>2022</v>
      </c>
      <c r="H6230" s="313" t="s">
        <v>5816</v>
      </c>
      <c r="I6230" s="311" t="str">
        <f t="shared" si="264"/>
        <v>Pesado de Passageiros M3:  : Gasóleo : E6 D/E E7</v>
      </c>
      <c r="J6230">
        <v>108</v>
      </c>
      <c r="K6230" s="422">
        <v>2023</v>
      </c>
      <c r="L6230">
        <v>25001</v>
      </c>
      <c r="M6230" t="s">
        <v>630</v>
      </c>
      <c r="N6230" s="131">
        <v>25001</v>
      </c>
      <c r="O6230" s="436">
        <f t="shared" si="266"/>
        <v>2700108</v>
      </c>
      <c r="P6230" s="89">
        <v>1309</v>
      </c>
      <c r="Q6230" t="s">
        <v>47</v>
      </c>
      <c r="R6230" s="422" t="s">
        <v>1869</v>
      </c>
      <c r="S6230" s="422" t="s">
        <v>1861</v>
      </c>
      <c r="T6230" s="422" t="s">
        <v>5822</v>
      </c>
      <c r="U6230" s="422" t="s">
        <v>1953</v>
      </c>
      <c r="V6230" s="422" t="s">
        <v>2813</v>
      </c>
    </row>
    <row r="6231" spans="1:22" ht="15.75" thickBot="1" x14ac:dyDescent="0.3">
      <c r="A6231" t="s">
        <v>4668</v>
      </c>
      <c r="B6231" t="s">
        <v>4668</v>
      </c>
      <c r="C6231" s="424" t="str">
        <f t="shared" si="265"/>
        <v>Viação Alvorada, Lda</v>
      </c>
      <c r="D6231" t="s">
        <v>629</v>
      </c>
      <c r="F6231" t="s">
        <v>620</v>
      </c>
      <c r="G6231" s="89">
        <v>2022</v>
      </c>
      <c r="H6231" s="313" t="s">
        <v>5816</v>
      </c>
      <c r="I6231" s="311" t="str">
        <f t="shared" si="264"/>
        <v>Pesado de Passageiros M3:  : Gasóleo : E6 D/E E7</v>
      </c>
      <c r="J6231">
        <v>108</v>
      </c>
      <c r="K6231" s="422">
        <v>2023</v>
      </c>
      <c r="L6231">
        <v>36295</v>
      </c>
      <c r="M6231" t="s">
        <v>630</v>
      </c>
      <c r="N6231" s="131">
        <v>36295</v>
      </c>
      <c r="O6231" s="436">
        <f t="shared" si="266"/>
        <v>3919860</v>
      </c>
      <c r="P6231" s="89">
        <v>1310</v>
      </c>
      <c r="Q6231" t="s">
        <v>47</v>
      </c>
      <c r="R6231" s="422" t="s">
        <v>1869</v>
      </c>
      <c r="S6231" s="422" t="s">
        <v>1861</v>
      </c>
      <c r="T6231" s="422" t="s">
        <v>5820</v>
      </c>
      <c r="U6231" s="422" t="s">
        <v>1953</v>
      </c>
      <c r="V6231" s="422" t="s">
        <v>2813</v>
      </c>
    </row>
    <row r="6232" spans="1:22" ht="15.75" thickBot="1" x14ac:dyDescent="0.3">
      <c r="A6232" t="s">
        <v>4668</v>
      </c>
      <c r="B6232" t="s">
        <v>4668</v>
      </c>
      <c r="C6232" s="424" t="str">
        <f t="shared" si="265"/>
        <v>Viação Alvorada, Lda</v>
      </c>
      <c r="D6232" t="s">
        <v>629</v>
      </c>
      <c r="F6232" t="s">
        <v>620</v>
      </c>
      <c r="G6232" s="89">
        <v>2022</v>
      </c>
      <c r="H6232" s="313" t="s">
        <v>5816</v>
      </c>
      <c r="I6232" s="311" t="str">
        <f t="shared" si="264"/>
        <v>Pesado de Passageiros M3:  : Gasóleo : E6 D/E E7</v>
      </c>
      <c r="J6232">
        <v>108</v>
      </c>
      <c r="K6232" s="422">
        <v>2023</v>
      </c>
      <c r="L6232">
        <v>31868</v>
      </c>
      <c r="M6232" t="s">
        <v>630</v>
      </c>
      <c r="N6232" s="131">
        <v>31868</v>
      </c>
      <c r="O6232" s="436">
        <f t="shared" si="266"/>
        <v>3441744</v>
      </c>
      <c r="P6232" s="89">
        <v>1311</v>
      </c>
      <c r="Q6232" t="s">
        <v>47</v>
      </c>
      <c r="R6232" s="422" t="s">
        <v>1869</v>
      </c>
      <c r="S6232" s="422" t="s">
        <v>1861</v>
      </c>
      <c r="T6232" s="422" t="s">
        <v>5820</v>
      </c>
      <c r="U6232" s="422" t="s">
        <v>1953</v>
      </c>
      <c r="V6232" s="422" t="s">
        <v>2813</v>
      </c>
    </row>
    <row r="6233" spans="1:22" ht="15.75" thickBot="1" x14ac:dyDescent="0.3">
      <c r="A6233" t="s">
        <v>4668</v>
      </c>
      <c r="B6233" t="s">
        <v>4668</v>
      </c>
      <c r="C6233" s="424" t="str">
        <f t="shared" si="265"/>
        <v>Viação Alvorada, Lda</v>
      </c>
      <c r="D6233" t="s">
        <v>629</v>
      </c>
      <c r="F6233" t="s">
        <v>620</v>
      </c>
      <c r="G6233" s="89">
        <v>2022</v>
      </c>
      <c r="H6233" s="313" t="s">
        <v>5816</v>
      </c>
      <c r="I6233" s="311" t="str">
        <f t="shared" si="264"/>
        <v>Pesado de Passageiros M3:  : Gasóleo : E6 D/E E7</v>
      </c>
      <c r="J6233">
        <v>108</v>
      </c>
      <c r="K6233" s="422">
        <v>2023</v>
      </c>
      <c r="L6233">
        <v>31434</v>
      </c>
      <c r="M6233" t="s">
        <v>630</v>
      </c>
      <c r="N6233" s="131">
        <v>31434</v>
      </c>
      <c r="O6233" s="436">
        <f t="shared" si="266"/>
        <v>3394872</v>
      </c>
      <c r="P6233" s="89">
        <v>1312</v>
      </c>
      <c r="Q6233" t="s">
        <v>47</v>
      </c>
      <c r="R6233" s="422" t="s">
        <v>1869</v>
      </c>
      <c r="S6233" s="422" t="s">
        <v>1861</v>
      </c>
      <c r="T6233" s="422" t="s">
        <v>5820</v>
      </c>
      <c r="U6233" s="422" t="s">
        <v>1953</v>
      </c>
      <c r="V6233" s="422" t="s">
        <v>2813</v>
      </c>
    </row>
    <row r="6234" spans="1:22" ht="15.75" thickBot="1" x14ac:dyDescent="0.3">
      <c r="A6234" t="s">
        <v>4668</v>
      </c>
      <c r="B6234" t="s">
        <v>4668</v>
      </c>
      <c r="C6234" s="424" t="str">
        <f t="shared" si="265"/>
        <v>Viação Alvorada, Lda</v>
      </c>
      <c r="D6234" t="s">
        <v>629</v>
      </c>
      <c r="F6234" t="s">
        <v>620</v>
      </c>
      <c r="G6234" s="89">
        <v>2022</v>
      </c>
      <c r="H6234" s="313" t="s">
        <v>5816</v>
      </c>
      <c r="I6234" s="311" t="str">
        <f t="shared" si="264"/>
        <v>Pesado de Passageiros M3:  : Gasóleo : E6 D/E E7</v>
      </c>
      <c r="J6234">
        <v>108</v>
      </c>
      <c r="K6234" s="422">
        <v>2023</v>
      </c>
      <c r="L6234">
        <v>32793</v>
      </c>
      <c r="M6234" t="s">
        <v>630</v>
      </c>
      <c r="N6234" s="131">
        <v>32793</v>
      </c>
      <c r="O6234" s="436">
        <f t="shared" si="266"/>
        <v>3541644</v>
      </c>
      <c r="P6234" s="89">
        <v>1313</v>
      </c>
      <c r="Q6234" t="s">
        <v>47</v>
      </c>
      <c r="R6234" s="422" t="s">
        <v>1869</v>
      </c>
      <c r="S6234" s="422" t="s">
        <v>1861</v>
      </c>
      <c r="T6234" s="422" t="s">
        <v>5820</v>
      </c>
      <c r="U6234" s="422" t="s">
        <v>1953</v>
      </c>
      <c r="V6234" s="422" t="s">
        <v>2813</v>
      </c>
    </row>
    <row r="6235" spans="1:22" ht="15.75" thickBot="1" x14ac:dyDescent="0.3">
      <c r="A6235" t="s">
        <v>4668</v>
      </c>
      <c r="B6235" t="s">
        <v>4668</v>
      </c>
      <c r="C6235" s="424" t="str">
        <f t="shared" si="265"/>
        <v>Viação Alvorada, Lda</v>
      </c>
      <c r="D6235" t="s">
        <v>629</v>
      </c>
      <c r="F6235" t="s">
        <v>620</v>
      </c>
      <c r="G6235" s="89">
        <v>2022</v>
      </c>
      <c r="H6235" s="313" t="s">
        <v>5816</v>
      </c>
      <c r="I6235" s="311" t="str">
        <f t="shared" si="264"/>
        <v>Pesado de Passageiros M3:  : Gasóleo : E6 D/E E7</v>
      </c>
      <c r="J6235">
        <v>108</v>
      </c>
      <c r="K6235" s="422">
        <v>2023</v>
      </c>
      <c r="L6235">
        <v>30983</v>
      </c>
      <c r="M6235" t="s">
        <v>630</v>
      </c>
      <c r="N6235" s="131">
        <v>30983</v>
      </c>
      <c r="O6235" s="436">
        <f t="shared" si="266"/>
        <v>3346164</v>
      </c>
      <c r="P6235" s="89">
        <v>1314</v>
      </c>
      <c r="Q6235" t="s">
        <v>47</v>
      </c>
      <c r="R6235" s="422" t="s">
        <v>1869</v>
      </c>
      <c r="S6235" s="422" t="s">
        <v>1861</v>
      </c>
      <c r="T6235" s="422" t="s">
        <v>5820</v>
      </c>
      <c r="U6235" s="422" t="s">
        <v>1953</v>
      </c>
      <c r="V6235" s="422" t="s">
        <v>2813</v>
      </c>
    </row>
    <row r="6236" spans="1:22" ht="15.75" thickBot="1" x14ac:dyDescent="0.3">
      <c r="A6236" t="s">
        <v>4668</v>
      </c>
      <c r="B6236" t="s">
        <v>4668</v>
      </c>
      <c r="C6236" s="424" t="str">
        <f t="shared" si="265"/>
        <v>Viação Alvorada, Lda</v>
      </c>
      <c r="D6236" t="s">
        <v>629</v>
      </c>
      <c r="F6236" t="s">
        <v>620</v>
      </c>
      <c r="G6236" s="89">
        <v>2022</v>
      </c>
      <c r="H6236" s="313" t="s">
        <v>5816</v>
      </c>
      <c r="I6236" s="311" t="str">
        <f t="shared" si="264"/>
        <v>Pesado de Passageiros M3:  : Gasóleo : E6 D/E E7</v>
      </c>
      <c r="J6236">
        <v>108</v>
      </c>
      <c r="K6236" s="422">
        <v>2023</v>
      </c>
      <c r="L6236">
        <v>29915</v>
      </c>
      <c r="M6236" t="s">
        <v>630</v>
      </c>
      <c r="N6236" s="131">
        <v>29915</v>
      </c>
      <c r="O6236" s="436">
        <f t="shared" si="266"/>
        <v>3230820</v>
      </c>
      <c r="P6236" s="89">
        <v>1315</v>
      </c>
      <c r="Q6236" t="s">
        <v>47</v>
      </c>
      <c r="R6236" s="422" t="s">
        <v>1869</v>
      </c>
      <c r="S6236" s="422" t="s">
        <v>1861</v>
      </c>
      <c r="T6236" s="422" t="s">
        <v>5820</v>
      </c>
      <c r="U6236" s="422" t="s">
        <v>1953</v>
      </c>
      <c r="V6236" s="422" t="s">
        <v>2813</v>
      </c>
    </row>
    <row r="6237" spans="1:22" ht="15.75" thickBot="1" x14ac:dyDescent="0.3">
      <c r="A6237" t="s">
        <v>4668</v>
      </c>
      <c r="B6237" t="s">
        <v>4668</v>
      </c>
      <c r="C6237" s="424" t="str">
        <f t="shared" si="265"/>
        <v>Viação Alvorada, Lda</v>
      </c>
      <c r="D6237" t="s">
        <v>629</v>
      </c>
      <c r="F6237" t="s">
        <v>620</v>
      </c>
      <c r="G6237" s="89">
        <v>2022</v>
      </c>
      <c r="H6237" s="313" t="s">
        <v>5816</v>
      </c>
      <c r="I6237" s="311" t="str">
        <f t="shared" si="264"/>
        <v>Pesado de Passageiros M3:  : Gasóleo : E6 D/E E7</v>
      </c>
      <c r="J6237">
        <v>108</v>
      </c>
      <c r="K6237" s="422">
        <v>2023</v>
      </c>
      <c r="L6237">
        <v>32073</v>
      </c>
      <c r="M6237" t="s">
        <v>630</v>
      </c>
      <c r="N6237" s="131">
        <v>32073</v>
      </c>
      <c r="O6237" s="436">
        <f t="shared" si="266"/>
        <v>3463884</v>
      </c>
      <c r="P6237" s="89">
        <v>1316</v>
      </c>
      <c r="Q6237" t="s">
        <v>47</v>
      </c>
      <c r="R6237" s="422" t="s">
        <v>1869</v>
      </c>
      <c r="S6237" s="422" t="s">
        <v>1861</v>
      </c>
      <c r="T6237" s="422" t="s">
        <v>5820</v>
      </c>
      <c r="U6237" s="422" t="s">
        <v>1953</v>
      </c>
      <c r="V6237" s="422" t="s">
        <v>2813</v>
      </c>
    </row>
    <row r="6238" spans="1:22" ht="15.75" thickBot="1" x14ac:dyDescent="0.3">
      <c r="A6238" t="s">
        <v>4668</v>
      </c>
      <c r="B6238" t="s">
        <v>4668</v>
      </c>
      <c r="C6238" s="424" t="str">
        <f t="shared" si="265"/>
        <v>Viação Alvorada, Lda</v>
      </c>
      <c r="D6238" t="s">
        <v>629</v>
      </c>
      <c r="F6238" t="s">
        <v>620</v>
      </c>
      <c r="G6238" s="89">
        <v>2022</v>
      </c>
      <c r="H6238" s="313" t="s">
        <v>5816</v>
      </c>
      <c r="I6238" s="311" t="str">
        <f t="shared" si="264"/>
        <v>Pesado de Passageiros M3:  : Gasóleo : E6 D/E E7</v>
      </c>
      <c r="J6238">
        <v>108</v>
      </c>
      <c r="K6238" s="422">
        <v>2023</v>
      </c>
      <c r="L6238">
        <v>35504</v>
      </c>
      <c r="M6238" t="s">
        <v>630</v>
      </c>
      <c r="N6238" s="131">
        <v>35504</v>
      </c>
      <c r="O6238" s="436">
        <f t="shared" si="266"/>
        <v>3834432</v>
      </c>
      <c r="P6238" s="89">
        <v>1317</v>
      </c>
      <c r="Q6238" t="s">
        <v>47</v>
      </c>
      <c r="R6238" s="422" t="s">
        <v>1869</v>
      </c>
      <c r="S6238" s="422" t="s">
        <v>1861</v>
      </c>
      <c r="T6238" s="422" t="s">
        <v>5820</v>
      </c>
      <c r="U6238" s="422" t="s">
        <v>1953</v>
      </c>
      <c r="V6238" s="422" t="s">
        <v>2813</v>
      </c>
    </row>
    <row r="6239" spans="1:22" ht="15.75" thickBot="1" x14ac:dyDescent="0.3">
      <c r="A6239" t="s">
        <v>4668</v>
      </c>
      <c r="B6239" t="s">
        <v>4668</v>
      </c>
      <c r="C6239" s="424" t="str">
        <f t="shared" si="265"/>
        <v>Viação Alvorada, Lda</v>
      </c>
      <c r="D6239" t="s">
        <v>629</v>
      </c>
      <c r="F6239" t="s">
        <v>620</v>
      </c>
      <c r="G6239" s="89">
        <v>2022</v>
      </c>
      <c r="H6239" s="313" t="s">
        <v>5816</v>
      </c>
      <c r="I6239" s="311" t="str">
        <f t="shared" si="264"/>
        <v>Pesado de Passageiros M3:  : Gasóleo : E6 D/E E7</v>
      </c>
      <c r="J6239">
        <v>108</v>
      </c>
      <c r="K6239" s="422">
        <v>2023</v>
      </c>
      <c r="L6239">
        <v>31705</v>
      </c>
      <c r="M6239" t="s">
        <v>630</v>
      </c>
      <c r="N6239" s="131">
        <v>31705</v>
      </c>
      <c r="O6239" s="436">
        <f t="shared" si="266"/>
        <v>3424140</v>
      </c>
      <c r="P6239" s="89">
        <v>1318</v>
      </c>
      <c r="Q6239" t="s">
        <v>47</v>
      </c>
      <c r="R6239" s="422" t="s">
        <v>1869</v>
      </c>
      <c r="S6239" s="422" t="s">
        <v>1861</v>
      </c>
      <c r="T6239" s="422" t="s">
        <v>5820</v>
      </c>
      <c r="U6239" s="422" t="s">
        <v>1953</v>
      </c>
      <c r="V6239" s="422" t="s">
        <v>2813</v>
      </c>
    </row>
    <row r="6240" spans="1:22" ht="15.75" thickBot="1" x14ac:dyDescent="0.3">
      <c r="A6240" t="s">
        <v>4668</v>
      </c>
      <c r="B6240" t="s">
        <v>4668</v>
      </c>
      <c r="C6240" s="424" t="str">
        <f t="shared" si="265"/>
        <v>Viação Alvorada, Lda</v>
      </c>
      <c r="D6240" t="s">
        <v>629</v>
      </c>
      <c r="F6240" t="s">
        <v>620</v>
      </c>
      <c r="G6240" s="89">
        <v>2022</v>
      </c>
      <c r="H6240" s="313" t="s">
        <v>5816</v>
      </c>
      <c r="I6240" s="311" t="str">
        <f t="shared" si="264"/>
        <v>Pesado de Passageiros M3:  : Gasóleo : E6 D/E E7</v>
      </c>
      <c r="J6240">
        <v>108</v>
      </c>
      <c r="K6240" s="422">
        <v>2023</v>
      </c>
      <c r="L6240">
        <v>31437</v>
      </c>
      <c r="M6240" t="s">
        <v>630</v>
      </c>
      <c r="N6240" s="131">
        <v>31437</v>
      </c>
      <c r="O6240" s="436">
        <f t="shared" si="266"/>
        <v>3395196</v>
      </c>
      <c r="P6240" s="89">
        <v>1319</v>
      </c>
      <c r="Q6240" t="s">
        <v>47</v>
      </c>
      <c r="R6240" s="422" t="s">
        <v>1869</v>
      </c>
      <c r="S6240" s="422" t="s">
        <v>1861</v>
      </c>
      <c r="T6240" s="422" t="s">
        <v>5820</v>
      </c>
      <c r="U6240" s="422" t="s">
        <v>1953</v>
      </c>
      <c r="V6240" s="422" t="s">
        <v>2813</v>
      </c>
    </row>
    <row r="6241" spans="1:22" ht="15.75" thickBot="1" x14ac:dyDescent="0.3">
      <c r="A6241" t="s">
        <v>4668</v>
      </c>
      <c r="B6241" t="s">
        <v>4668</v>
      </c>
      <c r="C6241" s="424" t="str">
        <f t="shared" si="265"/>
        <v>Viação Alvorada, Lda</v>
      </c>
      <c r="D6241" t="s">
        <v>629</v>
      </c>
      <c r="F6241" t="s">
        <v>620</v>
      </c>
      <c r="G6241" s="89">
        <v>2022</v>
      </c>
      <c r="H6241" s="313" t="s">
        <v>5816</v>
      </c>
      <c r="I6241" s="311" t="str">
        <f t="shared" si="264"/>
        <v>Pesado de Passageiros M3:  : Gasóleo : E6 D/E E7</v>
      </c>
      <c r="J6241">
        <v>108</v>
      </c>
      <c r="K6241" s="422">
        <v>2023</v>
      </c>
      <c r="L6241">
        <v>30253</v>
      </c>
      <c r="M6241" t="s">
        <v>630</v>
      </c>
      <c r="N6241" s="131">
        <v>30253</v>
      </c>
      <c r="O6241" s="436">
        <f t="shared" si="266"/>
        <v>3267324</v>
      </c>
      <c r="P6241" s="89">
        <v>1320</v>
      </c>
      <c r="Q6241" t="s">
        <v>47</v>
      </c>
      <c r="R6241" s="422" t="s">
        <v>1869</v>
      </c>
      <c r="S6241" s="422" t="s">
        <v>1861</v>
      </c>
      <c r="T6241" s="422" t="s">
        <v>5820</v>
      </c>
      <c r="U6241" s="422" t="s">
        <v>1953</v>
      </c>
      <c r="V6241" s="422" t="s">
        <v>2813</v>
      </c>
    </row>
    <row r="6242" spans="1:22" ht="15.75" thickBot="1" x14ac:dyDescent="0.3">
      <c r="A6242" t="s">
        <v>4668</v>
      </c>
      <c r="B6242" t="s">
        <v>4668</v>
      </c>
      <c r="C6242" s="424" t="str">
        <f t="shared" si="265"/>
        <v>Viação Alvorada, Lda</v>
      </c>
      <c r="D6242" t="s">
        <v>629</v>
      </c>
      <c r="F6242" t="s">
        <v>620</v>
      </c>
      <c r="G6242" s="89">
        <v>2022</v>
      </c>
      <c r="H6242" s="313" t="s">
        <v>5816</v>
      </c>
      <c r="I6242" s="311" t="str">
        <f t="shared" ref="I6242:I6305" si="267">D6242&amp;": "&amp;E6242&amp;" : "&amp;F6242&amp;" : "&amp;H6242</f>
        <v>Pesado de Passageiros M3:  : Gasóleo : E6 D/E E7</v>
      </c>
      <c r="J6242">
        <v>108</v>
      </c>
      <c r="K6242" s="422">
        <v>2023</v>
      </c>
      <c r="L6242">
        <v>27734</v>
      </c>
      <c r="M6242" t="s">
        <v>630</v>
      </c>
      <c r="N6242" s="131">
        <v>27734</v>
      </c>
      <c r="O6242" s="436">
        <f t="shared" si="266"/>
        <v>2995272</v>
      </c>
      <c r="P6242" s="89">
        <v>1321</v>
      </c>
      <c r="Q6242" t="s">
        <v>47</v>
      </c>
      <c r="R6242" s="422" t="s">
        <v>1869</v>
      </c>
      <c r="S6242" s="422" t="s">
        <v>1861</v>
      </c>
      <c r="T6242" s="422" t="s">
        <v>5820</v>
      </c>
      <c r="U6242" s="422" t="s">
        <v>1953</v>
      </c>
      <c r="V6242" s="422" t="s">
        <v>2813</v>
      </c>
    </row>
    <row r="6243" spans="1:22" ht="15.75" thickBot="1" x14ac:dyDescent="0.3">
      <c r="A6243" t="s">
        <v>4668</v>
      </c>
      <c r="B6243" t="s">
        <v>4668</v>
      </c>
      <c r="C6243" s="424" t="str">
        <f t="shared" si="265"/>
        <v>Viação Alvorada, Lda</v>
      </c>
      <c r="D6243" t="s">
        <v>629</v>
      </c>
      <c r="F6243" t="s">
        <v>620</v>
      </c>
      <c r="G6243" s="89">
        <v>2022</v>
      </c>
      <c r="H6243" s="313" t="s">
        <v>5816</v>
      </c>
      <c r="I6243" s="311" t="str">
        <f t="shared" si="267"/>
        <v>Pesado de Passageiros M3:  : Gasóleo : E6 D/E E7</v>
      </c>
      <c r="J6243">
        <v>108</v>
      </c>
      <c r="K6243" s="422">
        <v>2023</v>
      </c>
      <c r="L6243">
        <v>30239</v>
      </c>
      <c r="M6243" t="s">
        <v>630</v>
      </c>
      <c r="N6243" s="131">
        <v>30239</v>
      </c>
      <c r="O6243" s="436">
        <f t="shared" si="266"/>
        <v>3265812</v>
      </c>
      <c r="P6243" s="89">
        <v>1322</v>
      </c>
      <c r="Q6243" t="s">
        <v>47</v>
      </c>
      <c r="R6243" s="422" t="s">
        <v>1869</v>
      </c>
      <c r="S6243" s="422" t="s">
        <v>1861</v>
      </c>
      <c r="T6243" s="422" t="s">
        <v>5820</v>
      </c>
      <c r="U6243" s="422" t="s">
        <v>1953</v>
      </c>
      <c r="V6243" s="422" t="s">
        <v>2813</v>
      </c>
    </row>
    <row r="6244" spans="1:22" ht="15.75" thickBot="1" x14ac:dyDescent="0.3">
      <c r="A6244" t="s">
        <v>4668</v>
      </c>
      <c r="B6244" t="s">
        <v>4668</v>
      </c>
      <c r="C6244" s="424" t="str">
        <f t="shared" si="265"/>
        <v>Viação Alvorada, Lda</v>
      </c>
      <c r="D6244" t="s">
        <v>629</v>
      </c>
      <c r="F6244" t="s">
        <v>620</v>
      </c>
      <c r="G6244" s="89">
        <v>2022</v>
      </c>
      <c r="H6244" s="313" t="s">
        <v>5816</v>
      </c>
      <c r="I6244" s="311" t="str">
        <f t="shared" si="267"/>
        <v>Pesado de Passageiros M3:  : Gasóleo : E6 D/E E7</v>
      </c>
      <c r="J6244">
        <v>108</v>
      </c>
      <c r="K6244" s="422">
        <v>2023</v>
      </c>
      <c r="L6244">
        <v>30134</v>
      </c>
      <c r="M6244" t="s">
        <v>630</v>
      </c>
      <c r="N6244" s="131">
        <v>30134</v>
      </c>
      <c r="O6244" s="436">
        <f t="shared" si="266"/>
        <v>3254472</v>
      </c>
      <c r="P6244" s="89">
        <v>1323</v>
      </c>
      <c r="Q6244" t="s">
        <v>47</v>
      </c>
      <c r="R6244" s="422" t="s">
        <v>1869</v>
      </c>
      <c r="S6244" s="422" t="s">
        <v>1861</v>
      </c>
      <c r="T6244" s="422" t="s">
        <v>5820</v>
      </c>
      <c r="U6244" s="422" t="s">
        <v>1953</v>
      </c>
      <c r="V6244" s="422" t="s">
        <v>2813</v>
      </c>
    </row>
    <row r="6245" spans="1:22" ht="15.75" thickBot="1" x14ac:dyDescent="0.3">
      <c r="A6245" t="s">
        <v>4668</v>
      </c>
      <c r="B6245" t="s">
        <v>4668</v>
      </c>
      <c r="C6245" s="424" t="str">
        <f t="shared" si="265"/>
        <v>Viação Alvorada, Lda</v>
      </c>
      <c r="D6245" t="s">
        <v>629</v>
      </c>
      <c r="F6245" t="s">
        <v>620</v>
      </c>
      <c r="G6245" s="89">
        <v>2022</v>
      </c>
      <c r="H6245" s="313" t="s">
        <v>5816</v>
      </c>
      <c r="I6245" s="311" t="str">
        <f t="shared" si="267"/>
        <v>Pesado de Passageiros M3:  : Gasóleo : E6 D/E E7</v>
      </c>
      <c r="J6245">
        <v>108</v>
      </c>
      <c r="K6245" s="422">
        <v>2023</v>
      </c>
      <c r="L6245">
        <v>26359</v>
      </c>
      <c r="M6245" t="s">
        <v>630</v>
      </c>
      <c r="N6245" s="131">
        <v>26359</v>
      </c>
      <c r="O6245" s="436">
        <f t="shared" si="266"/>
        <v>2846772</v>
      </c>
      <c r="P6245" s="89">
        <v>1324</v>
      </c>
      <c r="Q6245" t="s">
        <v>47</v>
      </c>
      <c r="R6245" s="422" t="s">
        <v>1869</v>
      </c>
      <c r="S6245" s="422" t="s">
        <v>1861</v>
      </c>
      <c r="T6245" s="422" t="s">
        <v>5820</v>
      </c>
      <c r="U6245" s="422" t="s">
        <v>1953</v>
      </c>
      <c r="V6245" s="422" t="s">
        <v>2813</v>
      </c>
    </row>
    <row r="6246" spans="1:22" ht="15.75" thickBot="1" x14ac:dyDescent="0.3">
      <c r="A6246" t="s">
        <v>4668</v>
      </c>
      <c r="B6246" t="s">
        <v>4668</v>
      </c>
      <c r="C6246" s="424" t="str">
        <f t="shared" si="265"/>
        <v>Viação Alvorada, Lda</v>
      </c>
      <c r="D6246" t="s">
        <v>629</v>
      </c>
      <c r="F6246" t="s">
        <v>620</v>
      </c>
      <c r="G6246" s="89">
        <v>2022</v>
      </c>
      <c r="H6246" s="313" t="s">
        <v>5816</v>
      </c>
      <c r="I6246" s="311" t="str">
        <f t="shared" si="267"/>
        <v>Pesado de Passageiros M3:  : Gasóleo : E6 D/E E7</v>
      </c>
      <c r="J6246">
        <v>108</v>
      </c>
      <c r="K6246" s="422">
        <v>2023</v>
      </c>
      <c r="L6246">
        <v>34464</v>
      </c>
      <c r="M6246" t="s">
        <v>630</v>
      </c>
      <c r="N6246" s="131">
        <v>34464</v>
      </c>
      <c r="O6246" s="436">
        <f t="shared" si="266"/>
        <v>3722112</v>
      </c>
      <c r="P6246" s="89">
        <v>1325</v>
      </c>
      <c r="Q6246" t="s">
        <v>47</v>
      </c>
      <c r="R6246" s="422" t="s">
        <v>1869</v>
      </c>
      <c r="S6246" s="422" t="s">
        <v>1861</v>
      </c>
      <c r="T6246" s="422" t="s">
        <v>5820</v>
      </c>
      <c r="U6246" s="422" t="s">
        <v>1953</v>
      </c>
      <c r="V6246" s="422" t="s">
        <v>2813</v>
      </c>
    </row>
    <row r="6247" spans="1:22" ht="15.75" thickBot="1" x14ac:dyDescent="0.3">
      <c r="A6247" t="s">
        <v>4668</v>
      </c>
      <c r="B6247" t="s">
        <v>4668</v>
      </c>
      <c r="C6247" s="424" t="str">
        <f t="shared" si="265"/>
        <v>Viação Alvorada, Lda</v>
      </c>
      <c r="D6247" t="s">
        <v>629</v>
      </c>
      <c r="F6247" t="s">
        <v>620</v>
      </c>
      <c r="G6247" s="89">
        <v>2022</v>
      </c>
      <c r="H6247" s="313" t="s">
        <v>5816</v>
      </c>
      <c r="I6247" s="311" t="str">
        <f t="shared" si="267"/>
        <v>Pesado de Passageiros M3:  : Gasóleo : E6 D/E E7</v>
      </c>
      <c r="J6247">
        <v>108</v>
      </c>
      <c r="K6247" s="422">
        <v>2023</v>
      </c>
      <c r="L6247">
        <v>25524</v>
      </c>
      <c r="M6247" t="s">
        <v>630</v>
      </c>
      <c r="N6247" s="131">
        <v>25524</v>
      </c>
      <c r="O6247" s="436">
        <f t="shared" si="266"/>
        <v>2756592</v>
      </c>
      <c r="P6247" s="89">
        <v>1326</v>
      </c>
      <c r="Q6247" t="s">
        <v>47</v>
      </c>
      <c r="R6247" s="422" t="s">
        <v>1869</v>
      </c>
      <c r="S6247" s="422" t="s">
        <v>1861</v>
      </c>
      <c r="T6247" s="422" t="s">
        <v>5820</v>
      </c>
      <c r="U6247" s="422" t="s">
        <v>1953</v>
      </c>
      <c r="V6247" s="422" t="s">
        <v>2813</v>
      </c>
    </row>
    <row r="6248" spans="1:22" ht="15.75" thickBot="1" x14ac:dyDescent="0.3">
      <c r="A6248" t="s">
        <v>4668</v>
      </c>
      <c r="B6248" t="s">
        <v>4668</v>
      </c>
      <c r="C6248" s="424" t="str">
        <f t="shared" si="265"/>
        <v>Viação Alvorada, Lda</v>
      </c>
      <c r="D6248" t="s">
        <v>629</v>
      </c>
      <c r="F6248" t="s">
        <v>620</v>
      </c>
      <c r="G6248" s="89">
        <v>2022</v>
      </c>
      <c r="H6248" s="313" t="s">
        <v>5816</v>
      </c>
      <c r="I6248" s="311" t="str">
        <f t="shared" si="267"/>
        <v>Pesado de Passageiros M3:  : Gasóleo : E6 D/E E7</v>
      </c>
      <c r="J6248">
        <v>108</v>
      </c>
      <c r="K6248" s="422">
        <v>2023</v>
      </c>
      <c r="L6248">
        <v>24968</v>
      </c>
      <c r="M6248" t="s">
        <v>630</v>
      </c>
      <c r="N6248" s="131">
        <v>24968</v>
      </c>
      <c r="O6248" s="436">
        <f t="shared" si="266"/>
        <v>2696544</v>
      </c>
      <c r="P6248" s="89">
        <v>1327</v>
      </c>
      <c r="Q6248" t="s">
        <v>47</v>
      </c>
      <c r="R6248" s="422" t="s">
        <v>1869</v>
      </c>
      <c r="S6248" s="422" t="s">
        <v>1861</v>
      </c>
      <c r="T6248" s="422" t="s">
        <v>5820</v>
      </c>
      <c r="U6248" s="422" t="s">
        <v>1953</v>
      </c>
      <c r="V6248" s="422" t="s">
        <v>2813</v>
      </c>
    </row>
    <row r="6249" spans="1:22" ht="15.75" thickBot="1" x14ac:dyDescent="0.3">
      <c r="A6249" t="s">
        <v>4668</v>
      </c>
      <c r="B6249" t="s">
        <v>4668</v>
      </c>
      <c r="C6249" s="424" t="str">
        <f t="shared" si="265"/>
        <v>Viação Alvorada, Lda</v>
      </c>
      <c r="D6249" t="s">
        <v>629</v>
      </c>
      <c r="F6249" t="s">
        <v>620</v>
      </c>
      <c r="G6249" s="89">
        <v>2022</v>
      </c>
      <c r="H6249" s="313" t="s">
        <v>5816</v>
      </c>
      <c r="I6249" s="311" t="str">
        <f t="shared" si="267"/>
        <v>Pesado de Passageiros M3:  : Gasóleo : E6 D/E E7</v>
      </c>
      <c r="J6249">
        <v>108</v>
      </c>
      <c r="K6249" s="422">
        <v>2023</v>
      </c>
      <c r="L6249">
        <v>32629</v>
      </c>
      <c r="M6249" t="s">
        <v>630</v>
      </c>
      <c r="N6249" s="131">
        <v>32629</v>
      </c>
      <c r="O6249" s="436">
        <f t="shared" si="266"/>
        <v>3523932</v>
      </c>
      <c r="P6249" s="89">
        <v>1328</v>
      </c>
      <c r="Q6249" t="s">
        <v>47</v>
      </c>
      <c r="R6249" s="422" t="s">
        <v>1869</v>
      </c>
      <c r="S6249" s="422" t="s">
        <v>1861</v>
      </c>
      <c r="T6249" s="422" t="s">
        <v>5820</v>
      </c>
      <c r="U6249" s="422" t="s">
        <v>1953</v>
      </c>
      <c r="V6249" s="422" t="s">
        <v>2813</v>
      </c>
    </row>
    <row r="6250" spans="1:22" ht="15.75" thickBot="1" x14ac:dyDescent="0.3">
      <c r="A6250" t="s">
        <v>4668</v>
      </c>
      <c r="B6250" t="s">
        <v>4668</v>
      </c>
      <c r="C6250" s="424" t="str">
        <f t="shared" si="265"/>
        <v>Viação Alvorada, Lda</v>
      </c>
      <c r="D6250" t="s">
        <v>629</v>
      </c>
      <c r="F6250" t="s">
        <v>620</v>
      </c>
      <c r="G6250" s="89">
        <v>2022</v>
      </c>
      <c r="H6250" s="313" t="s">
        <v>5816</v>
      </c>
      <c r="I6250" s="311" t="str">
        <f t="shared" si="267"/>
        <v>Pesado de Passageiros M3:  : Gasóleo : E6 D/E E7</v>
      </c>
      <c r="J6250">
        <v>108</v>
      </c>
      <c r="K6250" s="422">
        <v>2023</v>
      </c>
      <c r="L6250">
        <v>28744</v>
      </c>
      <c r="M6250" t="s">
        <v>630</v>
      </c>
      <c r="N6250" s="131">
        <v>28744</v>
      </c>
      <c r="O6250" s="436">
        <f t="shared" si="266"/>
        <v>3104352</v>
      </c>
      <c r="P6250" s="89">
        <v>1329</v>
      </c>
      <c r="Q6250" t="s">
        <v>47</v>
      </c>
      <c r="R6250" s="422" t="s">
        <v>1869</v>
      </c>
      <c r="S6250" s="422" t="s">
        <v>1861</v>
      </c>
      <c r="T6250" s="422" t="s">
        <v>5820</v>
      </c>
      <c r="U6250" s="422" t="s">
        <v>1953</v>
      </c>
      <c r="V6250" s="422" t="s">
        <v>2813</v>
      </c>
    </row>
    <row r="6251" spans="1:22" ht="15.75" thickBot="1" x14ac:dyDescent="0.3">
      <c r="A6251" t="s">
        <v>4668</v>
      </c>
      <c r="B6251" t="s">
        <v>4668</v>
      </c>
      <c r="C6251" s="424" t="str">
        <f t="shared" si="265"/>
        <v>Viação Alvorada, Lda</v>
      </c>
      <c r="D6251" t="s">
        <v>629</v>
      </c>
      <c r="F6251" t="s">
        <v>620</v>
      </c>
      <c r="G6251" s="89">
        <v>2022</v>
      </c>
      <c r="H6251" s="313" t="s">
        <v>5816</v>
      </c>
      <c r="I6251" s="311" t="str">
        <f t="shared" si="267"/>
        <v>Pesado de Passageiros M3:  : Gasóleo : E6 D/E E7</v>
      </c>
      <c r="J6251">
        <v>108</v>
      </c>
      <c r="K6251" s="422">
        <v>2023</v>
      </c>
      <c r="L6251">
        <v>15847</v>
      </c>
      <c r="M6251" t="s">
        <v>630</v>
      </c>
      <c r="N6251" s="131">
        <v>15847</v>
      </c>
      <c r="O6251" s="436">
        <f t="shared" si="266"/>
        <v>1711476</v>
      </c>
      <c r="P6251" s="89">
        <v>1330</v>
      </c>
      <c r="Q6251" t="s">
        <v>47</v>
      </c>
      <c r="R6251" s="422" t="s">
        <v>1869</v>
      </c>
      <c r="S6251" s="422" t="s">
        <v>1861</v>
      </c>
      <c r="T6251" s="422" t="s">
        <v>5820</v>
      </c>
      <c r="U6251" s="422" t="s">
        <v>1953</v>
      </c>
      <c r="V6251" s="422" t="s">
        <v>2813</v>
      </c>
    </row>
    <row r="6252" spans="1:22" ht="15.75" thickBot="1" x14ac:dyDescent="0.3">
      <c r="A6252" t="s">
        <v>4668</v>
      </c>
      <c r="B6252" t="s">
        <v>4668</v>
      </c>
      <c r="C6252" s="424" t="str">
        <f t="shared" si="265"/>
        <v>Viação Alvorada, Lda</v>
      </c>
      <c r="D6252" t="s">
        <v>629</v>
      </c>
      <c r="F6252" t="s">
        <v>620</v>
      </c>
      <c r="G6252" s="89">
        <v>2022</v>
      </c>
      <c r="H6252" s="313" t="s">
        <v>5816</v>
      </c>
      <c r="I6252" s="311" t="str">
        <f t="shared" si="267"/>
        <v>Pesado de Passageiros M3:  : Gasóleo : E6 D/E E7</v>
      </c>
      <c r="J6252">
        <v>108</v>
      </c>
      <c r="K6252" s="422">
        <v>2023</v>
      </c>
      <c r="L6252">
        <v>28122</v>
      </c>
      <c r="M6252" t="s">
        <v>630</v>
      </c>
      <c r="N6252" s="131">
        <v>28122</v>
      </c>
      <c r="O6252" s="436">
        <f t="shared" si="266"/>
        <v>3037176</v>
      </c>
      <c r="P6252" s="89">
        <v>1331</v>
      </c>
      <c r="Q6252" t="s">
        <v>47</v>
      </c>
      <c r="R6252" s="422" t="s">
        <v>1869</v>
      </c>
      <c r="S6252" s="422" t="s">
        <v>1861</v>
      </c>
      <c r="T6252" s="422" t="s">
        <v>5820</v>
      </c>
      <c r="U6252" s="422" t="s">
        <v>1953</v>
      </c>
      <c r="V6252" s="422" t="s">
        <v>2813</v>
      </c>
    </row>
    <row r="6253" spans="1:22" ht="15.75" thickBot="1" x14ac:dyDescent="0.3">
      <c r="A6253" t="s">
        <v>4668</v>
      </c>
      <c r="B6253" t="s">
        <v>4668</v>
      </c>
      <c r="C6253" s="424" t="str">
        <f t="shared" si="265"/>
        <v>Viação Alvorada, Lda</v>
      </c>
      <c r="D6253" t="s">
        <v>629</v>
      </c>
      <c r="F6253" t="s">
        <v>620</v>
      </c>
      <c r="G6253" s="89">
        <v>2022</v>
      </c>
      <c r="H6253" s="313" t="s">
        <v>5816</v>
      </c>
      <c r="I6253" s="311" t="str">
        <f t="shared" si="267"/>
        <v>Pesado de Passageiros M3:  : Gasóleo : E6 D/E E7</v>
      </c>
      <c r="J6253">
        <v>108</v>
      </c>
      <c r="K6253" s="422">
        <v>2023</v>
      </c>
      <c r="L6253">
        <v>30173</v>
      </c>
      <c r="M6253" t="s">
        <v>630</v>
      </c>
      <c r="N6253" s="131">
        <v>30173</v>
      </c>
      <c r="O6253" s="436">
        <f t="shared" si="266"/>
        <v>3258684</v>
      </c>
      <c r="P6253" s="89">
        <v>1332</v>
      </c>
      <c r="Q6253" t="s">
        <v>47</v>
      </c>
      <c r="R6253" s="422" t="s">
        <v>1869</v>
      </c>
      <c r="S6253" s="422" t="s">
        <v>1861</v>
      </c>
      <c r="T6253" s="422" t="s">
        <v>5820</v>
      </c>
      <c r="U6253" s="422" t="s">
        <v>1953</v>
      </c>
      <c r="V6253" s="422" t="s">
        <v>2813</v>
      </c>
    </row>
    <row r="6254" spans="1:22" ht="15.75" thickBot="1" x14ac:dyDescent="0.3">
      <c r="A6254" t="s">
        <v>4668</v>
      </c>
      <c r="B6254" t="s">
        <v>4668</v>
      </c>
      <c r="C6254" s="424" t="str">
        <f t="shared" si="265"/>
        <v>Viação Alvorada, Lda</v>
      </c>
      <c r="D6254" t="s">
        <v>629</v>
      </c>
      <c r="F6254" t="s">
        <v>620</v>
      </c>
      <c r="G6254" s="89">
        <v>2022</v>
      </c>
      <c r="H6254" s="313" t="s">
        <v>5816</v>
      </c>
      <c r="I6254" s="311" t="str">
        <f t="shared" si="267"/>
        <v>Pesado de Passageiros M3:  : Gasóleo : E6 D/E E7</v>
      </c>
      <c r="J6254">
        <v>108</v>
      </c>
      <c r="K6254" s="422">
        <v>2023</v>
      </c>
      <c r="L6254">
        <v>28620</v>
      </c>
      <c r="M6254" t="s">
        <v>630</v>
      </c>
      <c r="N6254" s="131">
        <v>28620</v>
      </c>
      <c r="O6254" s="436">
        <f t="shared" si="266"/>
        <v>3090960</v>
      </c>
      <c r="P6254" s="89">
        <v>1333</v>
      </c>
      <c r="Q6254" t="s">
        <v>47</v>
      </c>
      <c r="R6254" s="422" t="s">
        <v>1869</v>
      </c>
      <c r="S6254" s="422" t="s">
        <v>1861</v>
      </c>
      <c r="T6254" s="422" t="s">
        <v>5820</v>
      </c>
      <c r="U6254" s="422" t="s">
        <v>1953</v>
      </c>
      <c r="V6254" s="422" t="s">
        <v>2813</v>
      </c>
    </row>
    <row r="6255" spans="1:22" ht="15.75" thickBot="1" x14ac:dyDescent="0.3">
      <c r="A6255" t="s">
        <v>4668</v>
      </c>
      <c r="B6255" t="s">
        <v>4668</v>
      </c>
      <c r="C6255" s="424" t="str">
        <f t="shared" si="265"/>
        <v>Viação Alvorada, Lda</v>
      </c>
      <c r="D6255" t="s">
        <v>629</v>
      </c>
      <c r="F6255" t="s">
        <v>620</v>
      </c>
      <c r="G6255" s="89">
        <v>2022</v>
      </c>
      <c r="H6255" s="313" t="s">
        <v>5816</v>
      </c>
      <c r="I6255" s="311" t="str">
        <f t="shared" si="267"/>
        <v>Pesado de Passageiros M3:  : Gasóleo : E6 D/E E7</v>
      </c>
      <c r="J6255">
        <v>108</v>
      </c>
      <c r="K6255" s="422">
        <v>2023</v>
      </c>
      <c r="L6255">
        <v>32176</v>
      </c>
      <c r="M6255" t="s">
        <v>630</v>
      </c>
      <c r="N6255" s="131">
        <v>32176</v>
      </c>
      <c r="O6255" s="436">
        <f t="shared" si="266"/>
        <v>3475008</v>
      </c>
      <c r="P6255" s="89">
        <v>1334</v>
      </c>
      <c r="Q6255" t="s">
        <v>47</v>
      </c>
      <c r="R6255" s="422" t="s">
        <v>1869</v>
      </c>
      <c r="S6255" s="422" t="s">
        <v>1861</v>
      </c>
      <c r="T6255" s="422" t="s">
        <v>5820</v>
      </c>
      <c r="U6255" s="422" t="s">
        <v>1953</v>
      </c>
      <c r="V6255" s="422" t="s">
        <v>2813</v>
      </c>
    </row>
    <row r="6256" spans="1:22" ht="15.75" thickBot="1" x14ac:dyDescent="0.3">
      <c r="A6256" t="s">
        <v>4668</v>
      </c>
      <c r="B6256" t="s">
        <v>4668</v>
      </c>
      <c r="C6256" s="424" t="str">
        <f t="shared" si="265"/>
        <v>Viação Alvorada, Lda</v>
      </c>
      <c r="D6256" t="s">
        <v>629</v>
      </c>
      <c r="F6256" t="s">
        <v>620</v>
      </c>
      <c r="G6256" s="89">
        <v>2022</v>
      </c>
      <c r="H6256" s="313" t="s">
        <v>5816</v>
      </c>
      <c r="I6256" s="311" t="str">
        <f t="shared" si="267"/>
        <v>Pesado de Passageiros M3:  : Gasóleo : E6 D/E E7</v>
      </c>
      <c r="J6256">
        <v>108</v>
      </c>
      <c r="K6256" s="422">
        <v>2023</v>
      </c>
      <c r="L6256">
        <v>26024</v>
      </c>
      <c r="M6256" t="s">
        <v>630</v>
      </c>
      <c r="N6256" s="131">
        <v>26024</v>
      </c>
      <c r="O6256" s="436">
        <f t="shared" si="266"/>
        <v>2810592</v>
      </c>
      <c r="P6256" s="89">
        <v>1335</v>
      </c>
      <c r="Q6256" t="s">
        <v>47</v>
      </c>
      <c r="R6256" s="422" t="s">
        <v>1869</v>
      </c>
      <c r="S6256" s="422" t="s">
        <v>1861</v>
      </c>
      <c r="T6256" s="422" t="s">
        <v>5820</v>
      </c>
      <c r="U6256" s="422" t="s">
        <v>1953</v>
      </c>
      <c r="V6256" s="422" t="s">
        <v>2813</v>
      </c>
    </row>
    <row r="6257" spans="1:22" ht="15.75" thickBot="1" x14ac:dyDescent="0.3">
      <c r="A6257" t="s">
        <v>4668</v>
      </c>
      <c r="B6257" t="s">
        <v>4668</v>
      </c>
      <c r="C6257" s="424" t="str">
        <f t="shared" si="265"/>
        <v>Viação Alvorada, Lda</v>
      </c>
      <c r="D6257" t="s">
        <v>629</v>
      </c>
      <c r="F6257" t="s">
        <v>620</v>
      </c>
      <c r="G6257" s="89">
        <v>2022</v>
      </c>
      <c r="H6257" s="313" t="s">
        <v>5816</v>
      </c>
      <c r="I6257" s="311" t="str">
        <f t="shared" si="267"/>
        <v>Pesado de Passageiros M3:  : Gasóleo : E6 D/E E7</v>
      </c>
      <c r="J6257">
        <v>108</v>
      </c>
      <c r="K6257" s="422">
        <v>2023</v>
      </c>
      <c r="L6257">
        <v>29825</v>
      </c>
      <c r="M6257" t="s">
        <v>630</v>
      </c>
      <c r="N6257" s="131">
        <v>29825</v>
      </c>
      <c r="O6257" s="436">
        <f t="shared" si="266"/>
        <v>3221100</v>
      </c>
      <c r="P6257" s="89">
        <v>1336</v>
      </c>
      <c r="Q6257" t="s">
        <v>47</v>
      </c>
      <c r="R6257" s="422" t="s">
        <v>1869</v>
      </c>
      <c r="S6257" s="422" t="s">
        <v>1861</v>
      </c>
      <c r="T6257" s="422" t="s">
        <v>5820</v>
      </c>
      <c r="U6257" s="422" t="s">
        <v>1953</v>
      </c>
      <c r="V6257" s="422" t="s">
        <v>2813</v>
      </c>
    </row>
    <row r="6258" spans="1:22" ht="15.75" thickBot="1" x14ac:dyDescent="0.3">
      <c r="A6258" t="s">
        <v>4668</v>
      </c>
      <c r="B6258" t="s">
        <v>4668</v>
      </c>
      <c r="C6258" s="424" t="str">
        <f t="shared" ref="C6258:C6321" si="268">IF(A6258=B6258,B6258,RIGHT(A6258,LEN(A6258)-LEN(B6258)-3))</f>
        <v>Viação Alvorada, Lda</v>
      </c>
      <c r="D6258" t="s">
        <v>629</v>
      </c>
      <c r="F6258" t="s">
        <v>620</v>
      </c>
      <c r="G6258" s="89">
        <v>2022</v>
      </c>
      <c r="H6258" s="313" t="s">
        <v>5816</v>
      </c>
      <c r="I6258" s="311" t="str">
        <f t="shared" si="267"/>
        <v>Pesado de Passageiros M3:  : Gasóleo : E6 D/E E7</v>
      </c>
      <c r="J6258">
        <v>108</v>
      </c>
      <c r="K6258" s="422">
        <v>2023</v>
      </c>
      <c r="L6258">
        <v>28327</v>
      </c>
      <c r="M6258" t="s">
        <v>630</v>
      </c>
      <c r="N6258" s="131">
        <v>28327</v>
      </c>
      <c r="O6258" s="436">
        <f t="shared" si="266"/>
        <v>3059316</v>
      </c>
      <c r="P6258" s="89">
        <v>1337</v>
      </c>
      <c r="Q6258" t="s">
        <v>47</v>
      </c>
      <c r="R6258" s="422" t="s">
        <v>1869</v>
      </c>
      <c r="S6258" s="422" t="s">
        <v>1861</v>
      </c>
      <c r="T6258" s="422" t="s">
        <v>5820</v>
      </c>
      <c r="U6258" s="422" t="s">
        <v>1953</v>
      </c>
      <c r="V6258" s="422" t="s">
        <v>2813</v>
      </c>
    </row>
    <row r="6259" spans="1:22" ht="15.75" thickBot="1" x14ac:dyDescent="0.3">
      <c r="A6259" t="s">
        <v>4668</v>
      </c>
      <c r="B6259" t="s">
        <v>4668</v>
      </c>
      <c r="C6259" s="424" t="str">
        <f t="shared" si="268"/>
        <v>Viação Alvorada, Lda</v>
      </c>
      <c r="D6259" t="s">
        <v>629</v>
      </c>
      <c r="F6259" t="s">
        <v>620</v>
      </c>
      <c r="G6259" s="89">
        <v>2022</v>
      </c>
      <c r="H6259" s="313" t="s">
        <v>5816</v>
      </c>
      <c r="I6259" s="311" t="str">
        <f t="shared" si="267"/>
        <v>Pesado de Passageiros M3:  : Gasóleo : E6 D/E E7</v>
      </c>
      <c r="J6259">
        <v>108</v>
      </c>
      <c r="K6259" s="422">
        <v>2023</v>
      </c>
      <c r="L6259">
        <v>21270</v>
      </c>
      <c r="M6259" t="s">
        <v>630</v>
      </c>
      <c r="N6259" s="131">
        <v>21270</v>
      </c>
      <c r="O6259" s="436">
        <f t="shared" si="266"/>
        <v>2297160</v>
      </c>
      <c r="P6259" s="89">
        <v>1338</v>
      </c>
      <c r="Q6259" t="s">
        <v>47</v>
      </c>
      <c r="R6259" s="422" t="s">
        <v>1869</v>
      </c>
      <c r="S6259" s="422" t="s">
        <v>1861</v>
      </c>
      <c r="T6259" s="422" t="s">
        <v>5820</v>
      </c>
      <c r="U6259" s="422" t="s">
        <v>1953</v>
      </c>
      <c r="V6259" s="422" t="s">
        <v>2813</v>
      </c>
    </row>
    <row r="6260" spans="1:22" ht="15.75" thickBot="1" x14ac:dyDescent="0.3">
      <c r="A6260" t="s">
        <v>4668</v>
      </c>
      <c r="B6260" t="s">
        <v>4668</v>
      </c>
      <c r="C6260" s="424" t="str">
        <f t="shared" si="268"/>
        <v>Viação Alvorada, Lda</v>
      </c>
      <c r="D6260" t="s">
        <v>629</v>
      </c>
      <c r="F6260" t="s">
        <v>620</v>
      </c>
      <c r="G6260" s="89">
        <v>2022</v>
      </c>
      <c r="H6260" s="313" t="s">
        <v>5816</v>
      </c>
      <c r="I6260" s="311" t="str">
        <f t="shared" si="267"/>
        <v>Pesado de Passageiros M3:  : Gasóleo : E6 D/E E7</v>
      </c>
      <c r="J6260">
        <v>108</v>
      </c>
      <c r="K6260" s="422">
        <v>2023</v>
      </c>
      <c r="L6260">
        <v>28086</v>
      </c>
      <c r="M6260" t="s">
        <v>630</v>
      </c>
      <c r="N6260" s="131">
        <v>28086</v>
      </c>
      <c r="O6260" s="436">
        <f t="shared" si="266"/>
        <v>3033288</v>
      </c>
      <c r="P6260" s="89">
        <v>1339</v>
      </c>
      <c r="Q6260" t="s">
        <v>47</v>
      </c>
      <c r="R6260" s="422" t="s">
        <v>1869</v>
      </c>
      <c r="S6260" s="422" t="s">
        <v>1861</v>
      </c>
      <c r="T6260" s="422" t="s">
        <v>5820</v>
      </c>
      <c r="U6260" s="422" t="s">
        <v>1953</v>
      </c>
      <c r="V6260" s="422" t="s">
        <v>2813</v>
      </c>
    </row>
    <row r="6261" spans="1:22" ht="15.75" thickBot="1" x14ac:dyDescent="0.3">
      <c r="A6261" t="s">
        <v>4668</v>
      </c>
      <c r="B6261" t="s">
        <v>4668</v>
      </c>
      <c r="C6261" s="424" t="str">
        <f t="shared" si="268"/>
        <v>Viação Alvorada, Lda</v>
      </c>
      <c r="D6261" t="s">
        <v>629</v>
      </c>
      <c r="F6261" t="s">
        <v>620</v>
      </c>
      <c r="G6261" s="89">
        <v>2022</v>
      </c>
      <c r="H6261" s="313" t="s">
        <v>5816</v>
      </c>
      <c r="I6261" s="311" t="str">
        <f t="shared" si="267"/>
        <v>Pesado de Passageiros M3:  : Gasóleo : E6 D/E E7</v>
      </c>
      <c r="J6261">
        <v>108</v>
      </c>
      <c r="K6261" s="422">
        <v>2023</v>
      </c>
      <c r="L6261">
        <v>21816</v>
      </c>
      <c r="M6261" t="s">
        <v>630</v>
      </c>
      <c r="N6261" s="131">
        <v>21816</v>
      </c>
      <c r="O6261" s="436">
        <f t="shared" si="266"/>
        <v>2356128</v>
      </c>
      <c r="P6261" s="89">
        <v>1340</v>
      </c>
      <c r="Q6261" t="s">
        <v>47</v>
      </c>
      <c r="R6261" s="422" t="s">
        <v>1869</v>
      </c>
      <c r="S6261" s="422" t="s">
        <v>1861</v>
      </c>
      <c r="T6261" s="422" t="s">
        <v>5820</v>
      </c>
      <c r="U6261" s="422" t="s">
        <v>1953</v>
      </c>
      <c r="V6261" s="422" t="s">
        <v>2813</v>
      </c>
    </row>
    <row r="6262" spans="1:22" ht="15.75" thickBot="1" x14ac:dyDescent="0.3">
      <c r="A6262" t="s">
        <v>4668</v>
      </c>
      <c r="B6262" t="s">
        <v>4668</v>
      </c>
      <c r="C6262" s="424" t="str">
        <f t="shared" si="268"/>
        <v>Viação Alvorada, Lda</v>
      </c>
      <c r="D6262" t="s">
        <v>629</v>
      </c>
      <c r="F6262" t="s">
        <v>620</v>
      </c>
      <c r="G6262" s="89">
        <v>2022</v>
      </c>
      <c r="H6262" s="313" t="s">
        <v>5816</v>
      </c>
      <c r="I6262" s="311" t="str">
        <f t="shared" si="267"/>
        <v>Pesado de Passageiros M3:  : Gasóleo : E6 D/E E7</v>
      </c>
      <c r="J6262">
        <v>108</v>
      </c>
      <c r="K6262" s="422">
        <v>2023</v>
      </c>
      <c r="L6262">
        <v>28135</v>
      </c>
      <c r="M6262" t="s">
        <v>630</v>
      </c>
      <c r="N6262" s="131">
        <v>28135</v>
      </c>
      <c r="O6262" s="436">
        <f t="shared" si="266"/>
        <v>3038580</v>
      </c>
      <c r="P6262" s="89">
        <v>1341</v>
      </c>
      <c r="Q6262" t="s">
        <v>47</v>
      </c>
      <c r="R6262" s="422" t="s">
        <v>1869</v>
      </c>
      <c r="S6262" s="422" t="s">
        <v>1861</v>
      </c>
      <c r="T6262" s="422" t="s">
        <v>5820</v>
      </c>
      <c r="U6262" s="422" t="s">
        <v>1953</v>
      </c>
      <c r="V6262" s="422" t="s">
        <v>2813</v>
      </c>
    </row>
    <row r="6263" spans="1:22" ht="15.75" thickBot="1" x14ac:dyDescent="0.3">
      <c r="A6263" t="s">
        <v>4668</v>
      </c>
      <c r="B6263" t="s">
        <v>4668</v>
      </c>
      <c r="C6263" s="424" t="str">
        <f t="shared" si="268"/>
        <v>Viação Alvorada, Lda</v>
      </c>
      <c r="D6263" t="s">
        <v>629</v>
      </c>
      <c r="F6263" t="s">
        <v>620</v>
      </c>
      <c r="G6263" s="89">
        <v>2022</v>
      </c>
      <c r="H6263" s="313" t="s">
        <v>5816</v>
      </c>
      <c r="I6263" s="311" t="str">
        <f t="shared" si="267"/>
        <v>Pesado de Passageiros M3:  : Gasóleo : E6 D/E E7</v>
      </c>
      <c r="J6263">
        <v>108</v>
      </c>
      <c r="K6263" s="422">
        <v>2023</v>
      </c>
      <c r="L6263">
        <v>31391</v>
      </c>
      <c r="M6263" t="s">
        <v>630</v>
      </c>
      <c r="N6263" s="131">
        <v>31391</v>
      </c>
      <c r="O6263" s="436">
        <f t="shared" si="266"/>
        <v>3390228</v>
      </c>
      <c r="P6263" s="89">
        <v>1342</v>
      </c>
      <c r="Q6263" t="s">
        <v>47</v>
      </c>
      <c r="R6263" s="422" t="s">
        <v>1869</v>
      </c>
      <c r="S6263" s="422" t="s">
        <v>1861</v>
      </c>
      <c r="T6263" s="422" t="s">
        <v>5820</v>
      </c>
      <c r="U6263" s="422" t="s">
        <v>1953</v>
      </c>
      <c r="V6263" s="422" t="s">
        <v>2813</v>
      </c>
    </row>
    <row r="6264" spans="1:22" ht="15.75" thickBot="1" x14ac:dyDescent="0.3">
      <c r="A6264" t="s">
        <v>4668</v>
      </c>
      <c r="B6264" t="s">
        <v>4668</v>
      </c>
      <c r="C6264" s="424" t="str">
        <f t="shared" si="268"/>
        <v>Viação Alvorada, Lda</v>
      </c>
      <c r="D6264" t="s">
        <v>629</v>
      </c>
      <c r="F6264" t="s">
        <v>620</v>
      </c>
      <c r="G6264" s="89">
        <v>2022</v>
      </c>
      <c r="H6264" s="313" t="s">
        <v>5816</v>
      </c>
      <c r="I6264" s="311" t="str">
        <f t="shared" si="267"/>
        <v>Pesado de Passageiros M3:  : Gasóleo : E6 D/E E7</v>
      </c>
      <c r="J6264">
        <v>108</v>
      </c>
      <c r="K6264" s="422">
        <v>2023</v>
      </c>
      <c r="L6264">
        <v>25952</v>
      </c>
      <c r="M6264" t="s">
        <v>630</v>
      </c>
      <c r="N6264" s="131">
        <v>25952</v>
      </c>
      <c r="O6264" s="436">
        <f t="shared" si="266"/>
        <v>2802816</v>
      </c>
      <c r="P6264" s="89">
        <v>1343</v>
      </c>
      <c r="Q6264" t="s">
        <v>47</v>
      </c>
      <c r="R6264" s="422" t="s">
        <v>1869</v>
      </c>
      <c r="S6264" s="422" t="s">
        <v>1861</v>
      </c>
      <c r="T6264" s="422" t="s">
        <v>5820</v>
      </c>
      <c r="U6264" s="422" t="s">
        <v>1953</v>
      </c>
      <c r="V6264" s="422" t="s">
        <v>2813</v>
      </c>
    </row>
    <row r="6265" spans="1:22" ht="15.75" thickBot="1" x14ac:dyDescent="0.3">
      <c r="A6265" t="s">
        <v>4668</v>
      </c>
      <c r="B6265" t="s">
        <v>4668</v>
      </c>
      <c r="C6265" s="424" t="str">
        <f t="shared" si="268"/>
        <v>Viação Alvorada, Lda</v>
      </c>
      <c r="D6265" t="s">
        <v>629</v>
      </c>
      <c r="F6265" t="s">
        <v>620</v>
      </c>
      <c r="G6265" s="89">
        <v>2022</v>
      </c>
      <c r="H6265" s="313" t="s">
        <v>5816</v>
      </c>
      <c r="I6265" s="311" t="str">
        <f t="shared" si="267"/>
        <v>Pesado de Passageiros M3:  : Gasóleo : E6 D/E E7</v>
      </c>
      <c r="J6265">
        <v>108</v>
      </c>
      <c r="K6265" s="422">
        <v>2023</v>
      </c>
      <c r="L6265">
        <v>25181</v>
      </c>
      <c r="M6265" t="s">
        <v>630</v>
      </c>
      <c r="N6265" s="131">
        <v>25181</v>
      </c>
      <c r="O6265" s="436">
        <f t="shared" si="266"/>
        <v>2719548</v>
      </c>
      <c r="P6265" s="89">
        <v>1344</v>
      </c>
      <c r="Q6265" t="s">
        <v>47</v>
      </c>
      <c r="R6265" s="422" t="s">
        <v>1869</v>
      </c>
      <c r="S6265" s="422" t="s">
        <v>1861</v>
      </c>
      <c r="T6265" s="422" t="s">
        <v>5820</v>
      </c>
      <c r="U6265" s="422" t="s">
        <v>1953</v>
      </c>
      <c r="V6265" s="422" t="s">
        <v>2813</v>
      </c>
    </row>
    <row r="6266" spans="1:22" ht="15.75" thickBot="1" x14ac:dyDescent="0.3">
      <c r="A6266" t="s">
        <v>4668</v>
      </c>
      <c r="B6266" t="s">
        <v>4668</v>
      </c>
      <c r="C6266" s="424" t="str">
        <f t="shared" si="268"/>
        <v>Viação Alvorada, Lda</v>
      </c>
      <c r="D6266" t="s">
        <v>629</v>
      </c>
      <c r="F6266" t="s">
        <v>620</v>
      </c>
      <c r="G6266" s="89">
        <v>2022</v>
      </c>
      <c r="H6266" s="313" t="s">
        <v>5816</v>
      </c>
      <c r="I6266" s="311" t="str">
        <f t="shared" si="267"/>
        <v>Pesado de Passageiros M3:  : Gasóleo : E6 D/E E7</v>
      </c>
      <c r="J6266">
        <v>108</v>
      </c>
      <c r="K6266" s="422">
        <v>2023</v>
      </c>
      <c r="L6266">
        <v>28212</v>
      </c>
      <c r="M6266" t="s">
        <v>630</v>
      </c>
      <c r="N6266" s="131">
        <v>28212</v>
      </c>
      <c r="O6266" s="436">
        <f t="shared" si="266"/>
        <v>3046896</v>
      </c>
      <c r="P6266" s="89">
        <v>1345</v>
      </c>
      <c r="Q6266" t="s">
        <v>47</v>
      </c>
      <c r="R6266" s="422" t="s">
        <v>1869</v>
      </c>
      <c r="S6266" s="422" t="s">
        <v>1861</v>
      </c>
      <c r="T6266" s="422" t="s">
        <v>5820</v>
      </c>
      <c r="U6266" s="422" t="s">
        <v>1953</v>
      </c>
      <c r="V6266" s="422" t="s">
        <v>2813</v>
      </c>
    </row>
    <row r="6267" spans="1:22" ht="15.75" thickBot="1" x14ac:dyDescent="0.3">
      <c r="A6267" t="s">
        <v>4668</v>
      </c>
      <c r="B6267" t="s">
        <v>4668</v>
      </c>
      <c r="C6267" s="424" t="str">
        <f t="shared" si="268"/>
        <v>Viação Alvorada, Lda</v>
      </c>
      <c r="D6267" t="s">
        <v>629</v>
      </c>
      <c r="F6267" t="s">
        <v>620</v>
      </c>
      <c r="G6267" s="89">
        <v>2022</v>
      </c>
      <c r="H6267" s="313" t="s">
        <v>5816</v>
      </c>
      <c r="I6267" s="311" t="str">
        <f t="shared" si="267"/>
        <v>Pesado de Passageiros M3:  : Gasóleo : E6 D/E E7</v>
      </c>
      <c r="J6267">
        <v>108</v>
      </c>
      <c r="K6267" s="422">
        <v>2023</v>
      </c>
      <c r="L6267">
        <v>25850</v>
      </c>
      <c r="M6267" t="s">
        <v>630</v>
      </c>
      <c r="N6267" s="131">
        <v>25850</v>
      </c>
      <c r="O6267" s="436">
        <f t="shared" si="266"/>
        <v>2791800</v>
      </c>
      <c r="P6267" s="89">
        <v>1346</v>
      </c>
      <c r="Q6267" t="s">
        <v>47</v>
      </c>
      <c r="R6267" s="422" t="s">
        <v>1869</v>
      </c>
      <c r="S6267" s="422" t="s">
        <v>1861</v>
      </c>
      <c r="T6267" s="422" t="s">
        <v>5820</v>
      </c>
      <c r="U6267" s="422" t="s">
        <v>1953</v>
      </c>
      <c r="V6267" s="422" t="s">
        <v>2813</v>
      </c>
    </row>
    <row r="6268" spans="1:22" ht="15.75" thickBot="1" x14ac:dyDescent="0.3">
      <c r="A6268" t="s">
        <v>4668</v>
      </c>
      <c r="B6268" t="s">
        <v>4668</v>
      </c>
      <c r="C6268" s="424" t="str">
        <f t="shared" si="268"/>
        <v>Viação Alvorada, Lda</v>
      </c>
      <c r="D6268" t="s">
        <v>629</v>
      </c>
      <c r="F6268" t="s">
        <v>620</v>
      </c>
      <c r="G6268" s="89">
        <v>2022</v>
      </c>
      <c r="H6268" s="313" t="s">
        <v>5816</v>
      </c>
      <c r="I6268" s="311" t="str">
        <f t="shared" si="267"/>
        <v>Pesado de Passageiros M3:  : Gasóleo : E6 D/E E7</v>
      </c>
      <c r="J6268">
        <v>108</v>
      </c>
      <c r="K6268" s="422">
        <v>2023</v>
      </c>
      <c r="L6268">
        <v>27382</v>
      </c>
      <c r="M6268" t="s">
        <v>630</v>
      </c>
      <c r="N6268" s="131">
        <v>27382</v>
      </c>
      <c r="O6268" s="436">
        <f t="shared" si="266"/>
        <v>2957256</v>
      </c>
      <c r="P6268" s="89">
        <v>1347</v>
      </c>
      <c r="Q6268" t="s">
        <v>47</v>
      </c>
      <c r="R6268" s="422" t="s">
        <v>1869</v>
      </c>
      <c r="S6268" s="422" t="s">
        <v>1861</v>
      </c>
      <c r="T6268" s="422" t="s">
        <v>5820</v>
      </c>
      <c r="U6268" s="422" t="s">
        <v>1953</v>
      </c>
      <c r="V6268" s="422" t="s">
        <v>2813</v>
      </c>
    </row>
    <row r="6269" spans="1:22" ht="15.75" thickBot="1" x14ac:dyDescent="0.3">
      <c r="A6269" t="s">
        <v>4668</v>
      </c>
      <c r="B6269" t="s">
        <v>4668</v>
      </c>
      <c r="C6269" s="424" t="str">
        <f t="shared" si="268"/>
        <v>Viação Alvorada, Lda</v>
      </c>
      <c r="D6269" t="s">
        <v>629</v>
      </c>
      <c r="F6269" t="s">
        <v>620</v>
      </c>
      <c r="G6269" s="89">
        <v>2022</v>
      </c>
      <c r="H6269" s="313" t="s">
        <v>5816</v>
      </c>
      <c r="I6269" s="311" t="str">
        <f t="shared" si="267"/>
        <v>Pesado de Passageiros M3:  : Gasóleo : E6 D/E E7</v>
      </c>
      <c r="J6269">
        <v>108</v>
      </c>
      <c r="K6269" s="422">
        <v>2023</v>
      </c>
      <c r="L6269">
        <v>23547</v>
      </c>
      <c r="M6269" t="s">
        <v>630</v>
      </c>
      <c r="N6269" s="131">
        <v>23547</v>
      </c>
      <c r="O6269" s="436">
        <f t="shared" si="266"/>
        <v>2543076</v>
      </c>
      <c r="P6269" s="89">
        <v>1348</v>
      </c>
      <c r="Q6269" t="s">
        <v>47</v>
      </c>
      <c r="R6269" s="422" t="s">
        <v>1869</v>
      </c>
      <c r="S6269" s="422" t="s">
        <v>1861</v>
      </c>
      <c r="T6269" s="422" t="s">
        <v>5820</v>
      </c>
      <c r="U6269" s="422" t="s">
        <v>1953</v>
      </c>
      <c r="V6269" s="422" t="s">
        <v>2813</v>
      </c>
    </row>
    <row r="6270" spans="1:22" ht="15.75" thickBot="1" x14ac:dyDescent="0.3">
      <c r="A6270" t="s">
        <v>4668</v>
      </c>
      <c r="B6270" t="s">
        <v>4668</v>
      </c>
      <c r="C6270" s="424" t="str">
        <f t="shared" si="268"/>
        <v>Viação Alvorada, Lda</v>
      </c>
      <c r="D6270" t="s">
        <v>629</v>
      </c>
      <c r="F6270" t="s">
        <v>620</v>
      </c>
      <c r="G6270" s="89">
        <v>2022</v>
      </c>
      <c r="H6270" s="313" t="s">
        <v>5816</v>
      </c>
      <c r="I6270" s="311" t="str">
        <f t="shared" si="267"/>
        <v>Pesado de Passageiros M3:  : Gasóleo : E6 D/E E7</v>
      </c>
      <c r="J6270">
        <v>108</v>
      </c>
      <c r="K6270" s="422">
        <v>2023</v>
      </c>
      <c r="L6270">
        <v>29568</v>
      </c>
      <c r="M6270" t="s">
        <v>630</v>
      </c>
      <c r="N6270" s="131">
        <v>29568</v>
      </c>
      <c r="O6270" s="436">
        <f t="shared" si="266"/>
        <v>3193344</v>
      </c>
      <c r="P6270" s="89">
        <v>1349</v>
      </c>
      <c r="Q6270" t="s">
        <v>47</v>
      </c>
      <c r="R6270" s="422" t="s">
        <v>1869</v>
      </c>
      <c r="S6270" s="422" t="s">
        <v>1861</v>
      </c>
      <c r="T6270" s="422" t="s">
        <v>5820</v>
      </c>
      <c r="U6270" s="422" t="s">
        <v>1953</v>
      </c>
      <c r="V6270" s="422" t="s">
        <v>2813</v>
      </c>
    </row>
    <row r="6271" spans="1:22" ht="15.75" thickBot="1" x14ac:dyDescent="0.3">
      <c r="A6271" t="s">
        <v>4668</v>
      </c>
      <c r="B6271" t="s">
        <v>4668</v>
      </c>
      <c r="C6271" s="424" t="str">
        <f t="shared" si="268"/>
        <v>Viação Alvorada, Lda</v>
      </c>
      <c r="D6271" t="s">
        <v>629</v>
      </c>
      <c r="F6271" t="s">
        <v>620</v>
      </c>
      <c r="G6271" s="89">
        <v>2022</v>
      </c>
      <c r="H6271" s="313" t="s">
        <v>5816</v>
      </c>
      <c r="I6271" s="311" t="str">
        <f t="shared" si="267"/>
        <v>Pesado de Passageiros M3:  : Gasóleo : E6 D/E E7</v>
      </c>
      <c r="J6271">
        <v>108</v>
      </c>
      <c r="K6271" s="422">
        <v>2023</v>
      </c>
      <c r="L6271">
        <v>27225</v>
      </c>
      <c r="M6271" t="s">
        <v>630</v>
      </c>
      <c r="N6271" s="131">
        <v>27225</v>
      </c>
      <c r="O6271" s="436">
        <f t="shared" si="266"/>
        <v>2940300</v>
      </c>
      <c r="P6271" s="89">
        <v>1350</v>
      </c>
      <c r="Q6271" t="s">
        <v>47</v>
      </c>
      <c r="R6271" s="422" t="s">
        <v>1869</v>
      </c>
      <c r="S6271" s="422" t="s">
        <v>1861</v>
      </c>
      <c r="T6271" s="422" t="s">
        <v>5820</v>
      </c>
      <c r="U6271" s="422" t="s">
        <v>1953</v>
      </c>
      <c r="V6271" s="422" t="s">
        <v>2813</v>
      </c>
    </row>
    <row r="6272" spans="1:22" ht="15.75" thickBot="1" x14ac:dyDescent="0.3">
      <c r="A6272" t="s">
        <v>4668</v>
      </c>
      <c r="B6272" t="s">
        <v>4668</v>
      </c>
      <c r="C6272" s="424" t="str">
        <f t="shared" si="268"/>
        <v>Viação Alvorada, Lda</v>
      </c>
      <c r="D6272" t="s">
        <v>629</v>
      </c>
      <c r="F6272" t="s">
        <v>620</v>
      </c>
      <c r="G6272" s="89">
        <v>2022</v>
      </c>
      <c r="H6272" s="313" t="s">
        <v>5816</v>
      </c>
      <c r="I6272" s="311" t="str">
        <f t="shared" si="267"/>
        <v>Pesado de Passageiros M3:  : Gasóleo : E6 D/E E7</v>
      </c>
      <c r="J6272">
        <v>108</v>
      </c>
      <c r="K6272" s="422">
        <v>2023</v>
      </c>
      <c r="L6272">
        <v>27072</v>
      </c>
      <c r="M6272" t="s">
        <v>630</v>
      </c>
      <c r="N6272" s="131">
        <v>27072</v>
      </c>
      <c r="O6272" s="436">
        <f t="shared" si="266"/>
        <v>2923776</v>
      </c>
      <c r="P6272" s="89">
        <v>1351</v>
      </c>
      <c r="Q6272" t="s">
        <v>47</v>
      </c>
      <c r="R6272" s="422" t="s">
        <v>1869</v>
      </c>
      <c r="S6272" s="422" t="s">
        <v>1861</v>
      </c>
      <c r="T6272" s="422" t="s">
        <v>5820</v>
      </c>
      <c r="U6272" s="422" t="s">
        <v>1953</v>
      </c>
      <c r="V6272" s="422" t="s">
        <v>2813</v>
      </c>
    </row>
    <row r="6273" spans="1:22" ht="15.75" thickBot="1" x14ac:dyDescent="0.3">
      <c r="A6273" t="s">
        <v>4668</v>
      </c>
      <c r="B6273" t="s">
        <v>4668</v>
      </c>
      <c r="C6273" s="424" t="str">
        <f t="shared" si="268"/>
        <v>Viação Alvorada, Lda</v>
      </c>
      <c r="D6273" t="s">
        <v>629</v>
      </c>
      <c r="F6273" t="s">
        <v>620</v>
      </c>
      <c r="G6273" s="89">
        <v>2022</v>
      </c>
      <c r="H6273" s="313" t="s">
        <v>5816</v>
      </c>
      <c r="I6273" s="311" t="str">
        <f t="shared" si="267"/>
        <v>Pesado de Passageiros M3:  : Gasóleo : E6 D/E E7</v>
      </c>
      <c r="J6273">
        <v>108</v>
      </c>
      <c r="K6273" s="422">
        <v>2023</v>
      </c>
      <c r="L6273">
        <v>25699</v>
      </c>
      <c r="M6273" t="s">
        <v>630</v>
      </c>
      <c r="N6273" s="131">
        <v>25699</v>
      </c>
      <c r="O6273" s="436">
        <f t="shared" si="266"/>
        <v>2775492</v>
      </c>
      <c r="P6273" s="89">
        <v>1352</v>
      </c>
      <c r="Q6273" t="s">
        <v>47</v>
      </c>
      <c r="R6273" s="422" t="s">
        <v>1869</v>
      </c>
      <c r="S6273" s="422" t="s">
        <v>1861</v>
      </c>
      <c r="T6273" s="422" t="s">
        <v>5820</v>
      </c>
      <c r="U6273" s="422" t="s">
        <v>1953</v>
      </c>
      <c r="V6273" s="422" t="s">
        <v>2813</v>
      </c>
    </row>
    <row r="6274" spans="1:22" ht="15.75" thickBot="1" x14ac:dyDescent="0.3">
      <c r="A6274" t="s">
        <v>4668</v>
      </c>
      <c r="B6274" t="s">
        <v>4668</v>
      </c>
      <c r="C6274" s="424" t="str">
        <f t="shared" si="268"/>
        <v>Viação Alvorada, Lda</v>
      </c>
      <c r="D6274" t="s">
        <v>629</v>
      </c>
      <c r="F6274" t="s">
        <v>620</v>
      </c>
      <c r="G6274" s="89">
        <v>2022</v>
      </c>
      <c r="H6274" s="313" t="s">
        <v>5816</v>
      </c>
      <c r="I6274" s="311" t="str">
        <f t="shared" si="267"/>
        <v>Pesado de Passageiros M3:  : Gasóleo : E6 D/E E7</v>
      </c>
      <c r="J6274">
        <v>108</v>
      </c>
      <c r="K6274" s="422">
        <v>2023</v>
      </c>
      <c r="L6274">
        <v>26016</v>
      </c>
      <c r="M6274" t="s">
        <v>630</v>
      </c>
      <c r="N6274" s="131">
        <v>26016</v>
      </c>
      <c r="O6274" s="436">
        <f t="shared" si="266"/>
        <v>2809728</v>
      </c>
      <c r="P6274" s="89">
        <v>1353</v>
      </c>
      <c r="Q6274" t="s">
        <v>47</v>
      </c>
      <c r="R6274" s="422" t="s">
        <v>1869</v>
      </c>
      <c r="S6274" s="422" t="s">
        <v>1861</v>
      </c>
      <c r="T6274" s="422" t="s">
        <v>5820</v>
      </c>
      <c r="U6274" s="422" t="s">
        <v>1953</v>
      </c>
      <c r="V6274" s="422" t="s">
        <v>2813</v>
      </c>
    </row>
    <row r="6275" spans="1:22" ht="15.75" thickBot="1" x14ac:dyDescent="0.3">
      <c r="A6275" t="s">
        <v>4668</v>
      </c>
      <c r="B6275" t="s">
        <v>4668</v>
      </c>
      <c r="C6275" s="424" t="str">
        <f t="shared" si="268"/>
        <v>Viação Alvorada, Lda</v>
      </c>
      <c r="D6275" t="s">
        <v>629</v>
      </c>
      <c r="F6275" t="s">
        <v>620</v>
      </c>
      <c r="G6275" s="89">
        <v>2022</v>
      </c>
      <c r="H6275" s="313" t="s">
        <v>5816</v>
      </c>
      <c r="I6275" s="311" t="str">
        <f t="shared" si="267"/>
        <v>Pesado de Passageiros M3:  : Gasóleo : E6 D/E E7</v>
      </c>
      <c r="J6275">
        <v>108</v>
      </c>
      <c r="K6275" s="422">
        <v>2023</v>
      </c>
      <c r="L6275">
        <v>22841</v>
      </c>
      <c r="M6275" t="s">
        <v>630</v>
      </c>
      <c r="N6275" s="131">
        <v>22841</v>
      </c>
      <c r="O6275" s="436">
        <f t="shared" ref="O6275:O6338" si="269">N6275*J6275</f>
        <v>2466828</v>
      </c>
      <c r="P6275" s="89">
        <v>1354</v>
      </c>
      <c r="Q6275" t="s">
        <v>47</v>
      </c>
      <c r="R6275" s="422" t="s">
        <v>1869</v>
      </c>
      <c r="S6275" s="422" t="s">
        <v>1861</v>
      </c>
      <c r="T6275" s="422" t="s">
        <v>5820</v>
      </c>
      <c r="U6275" s="422" t="s">
        <v>1953</v>
      </c>
      <c r="V6275" s="422" t="s">
        <v>2813</v>
      </c>
    </row>
    <row r="6276" spans="1:22" ht="15.75" thickBot="1" x14ac:dyDescent="0.3">
      <c r="A6276" t="s">
        <v>4668</v>
      </c>
      <c r="B6276" t="s">
        <v>4668</v>
      </c>
      <c r="C6276" s="424" t="str">
        <f t="shared" si="268"/>
        <v>Viação Alvorada, Lda</v>
      </c>
      <c r="D6276" t="s">
        <v>629</v>
      </c>
      <c r="F6276" t="s">
        <v>620</v>
      </c>
      <c r="G6276" s="89">
        <v>2022</v>
      </c>
      <c r="H6276" s="313" t="s">
        <v>5816</v>
      </c>
      <c r="I6276" s="311" t="str">
        <f t="shared" si="267"/>
        <v>Pesado de Passageiros M3:  : Gasóleo : E6 D/E E7</v>
      </c>
      <c r="J6276">
        <v>108</v>
      </c>
      <c r="K6276" s="422">
        <v>2023</v>
      </c>
      <c r="L6276">
        <v>27095</v>
      </c>
      <c r="M6276" t="s">
        <v>630</v>
      </c>
      <c r="N6276" s="131">
        <v>27095</v>
      </c>
      <c r="O6276" s="436">
        <f t="shared" si="269"/>
        <v>2926260</v>
      </c>
      <c r="P6276" s="89">
        <v>1355</v>
      </c>
      <c r="Q6276" t="s">
        <v>47</v>
      </c>
      <c r="R6276" s="422" t="s">
        <v>1869</v>
      </c>
      <c r="S6276" s="422" t="s">
        <v>1861</v>
      </c>
      <c r="T6276" s="422" t="s">
        <v>5820</v>
      </c>
      <c r="U6276" s="422" t="s">
        <v>1953</v>
      </c>
      <c r="V6276" s="422" t="s">
        <v>2813</v>
      </c>
    </row>
    <row r="6277" spans="1:22" ht="15.75" thickBot="1" x14ac:dyDescent="0.3">
      <c r="A6277" t="s">
        <v>4668</v>
      </c>
      <c r="B6277" t="s">
        <v>4668</v>
      </c>
      <c r="C6277" s="424" t="str">
        <f t="shared" si="268"/>
        <v>Viação Alvorada, Lda</v>
      </c>
      <c r="D6277" t="s">
        <v>629</v>
      </c>
      <c r="F6277" t="s">
        <v>620</v>
      </c>
      <c r="G6277" s="89">
        <v>2022</v>
      </c>
      <c r="H6277" s="313" t="s">
        <v>5816</v>
      </c>
      <c r="I6277" s="311" t="str">
        <f t="shared" si="267"/>
        <v>Pesado de Passageiros M3:  : Gasóleo : E6 D/E E7</v>
      </c>
      <c r="J6277">
        <v>108</v>
      </c>
      <c r="K6277" s="422">
        <v>2023</v>
      </c>
      <c r="L6277">
        <v>29190</v>
      </c>
      <c r="M6277" t="s">
        <v>630</v>
      </c>
      <c r="N6277" s="131">
        <v>29190</v>
      </c>
      <c r="O6277" s="436">
        <f t="shared" si="269"/>
        <v>3152520</v>
      </c>
      <c r="P6277" s="89">
        <v>1356</v>
      </c>
      <c r="Q6277" t="s">
        <v>47</v>
      </c>
      <c r="R6277" s="422" t="s">
        <v>1869</v>
      </c>
      <c r="S6277" s="422" t="s">
        <v>1861</v>
      </c>
      <c r="T6277" s="422" t="s">
        <v>5820</v>
      </c>
      <c r="U6277" s="422" t="s">
        <v>1953</v>
      </c>
      <c r="V6277" s="422" t="s">
        <v>2813</v>
      </c>
    </row>
    <row r="6278" spans="1:22" ht="15.75" thickBot="1" x14ac:dyDescent="0.3">
      <c r="A6278" t="s">
        <v>4668</v>
      </c>
      <c r="B6278" t="s">
        <v>4668</v>
      </c>
      <c r="C6278" s="424" t="str">
        <f t="shared" si="268"/>
        <v>Viação Alvorada, Lda</v>
      </c>
      <c r="D6278" t="s">
        <v>629</v>
      </c>
      <c r="F6278" t="s">
        <v>620</v>
      </c>
      <c r="G6278" s="89">
        <v>2022</v>
      </c>
      <c r="H6278" s="313" t="s">
        <v>5816</v>
      </c>
      <c r="I6278" s="311" t="str">
        <f t="shared" si="267"/>
        <v>Pesado de Passageiros M3:  : Gasóleo : E6 D/E E7</v>
      </c>
      <c r="J6278">
        <v>108</v>
      </c>
      <c r="K6278" s="422">
        <v>2023</v>
      </c>
      <c r="L6278">
        <v>23703</v>
      </c>
      <c r="M6278" t="s">
        <v>630</v>
      </c>
      <c r="N6278" s="131">
        <v>23703</v>
      </c>
      <c r="O6278" s="436">
        <f t="shared" si="269"/>
        <v>2559924</v>
      </c>
      <c r="P6278" s="89">
        <v>1357</v>
      </c>
      <c r="Q6278" t="s">
        <v>47</v>
      </c>
      <c r="R6278" s="422" t="s">
        <v>1869</v>
      </c>
      <c r="S6278" s="422" t="s">
        <v>1861</v>
      </c>
      <c r="T6278" s="422" t="s">
        <v>5820</v>
      </c>
      <c r="U6278" s="422" t="s">
        <v>1953</v>
      </c>
      <c r="V6278" s="422" t="s">
        <v>2813</v>
      </c>
    </row>
    <row r="6279" spans="1:22" ht="15.75" thickBot="1" x14ac:dyDescent="0.3">
      <c r="A6279" t="s">
        <v>4668</v>
      </c>
      <c r="B6279" t="s">
        <v>4668</v>
      </c>
      <c r="C6279" s="424" t="str">
        <f t="shared" si="268"/>
        <v>Viação Alvorada, Lda</v>
      </c>
      <c r="D6279" t="s">
        <v>629</v>
      </c>
      <c r="F6279" t="s">
        <v>620</v>
      </c>
      <c r="G6279" s="89">
        <v>2022</v>
      </c>
      <c r="H6279" s="313" t="s">
        <v>5816</v>
      </c>
      <c r="I6279" s="311" t="str">
        <f t="shared" si="267"/>
        <v>Pesado de Passageiros M3:  : Gasóleo : E6 D/E E7</v>
      </c>
      <c r="J6279">
        <v>108</v>
      </c>
      <c r="K6279" s="422">
        <v>2023</v>
      </c>
      <c r="L6279">
        <v>20590</v>
      </c>
      <c r="M6279" t="s">
        <v>630</v>
      </c>
      <c r="N6279" s="131">
        <v>20590</v>
      </c>
      <c r="O6279" s="436">
        <f t="shared" si="269"/>
        <v>2223720</v>
      </c>
      <c r="P6279" s="89">
        <v>1358</v>
      </c>
      <c r="Q6279" t="s">
        <v>47</v>
      </c>
      <c r="R6279" s="422" t="s">
        <v>1869</v>
      </c>
      <c r="S6279" s="422" t="s">
        <v>1861</v>
      </c>
      <c r="T6279" s="422" t="s">
        <v>5820</v>
      </c>
      <c r="U6279" s="422" t="s">
        <v>1953</v>
      </c>
      <c r="V6279" s="422" t="s">
        <v>2813</v>
      </c>
    </row>
    <row r="6280" spans="1:22" ht="15.75" thickBot="1" x14ac:dyDescent="0.3">
      <c r="A6280" t="s">
        <v>4668</v>
      </c>
      <c r="B6280" t="s">
        <v>4668</v>
      </c>
      <c r="C6280" s="424" t="str">
        <f t="shared" si="268"/>
        <v>Viação Alvorada, Lda</v>
      </c>
      <c r="D6280" t="s">
        <v>629</v>
      </c>
      <c r="F6280" t="s">
        <v>620</v>
      </c>
      <c r="G6280" s="89">
        <v>2022</v>
      </c>
      <c r="H6280" s="313" t="s">
        <v>5816</v>
      </c>
      <c r="I6280" s="311" t="str">
        <f t="shared" si="267"/>
        <v>Pesado de Passageiros M3:  : Gasóleo : E6 D/E E7</v>
      </c>
      <c r="J6280">
        <v>108</v>
      </c>
      <c r="K6280" s="422">
        <v>2023</v>
      </c>
      <c r="L6280">
        <v>25907</v>
      </c>
      <c r="M6280" t="s">
        <v>630</v>
      </c>
      <c r="N6280" s="131">
        <v>25907</v>
      </c>
      <c r="O6280" s="436">
        <f t="shared" si="269"/>
        <v>2797956</v>
      </c>
      <c r="P6280" s="89">
        <v>1359</v>
      </c>
      <c r="Q6280" t="s">
        <v>47</v>
      </c>
      <c r="R6280" s="422" t="s">
        <v>1869</v>
      </c>
      <c r="S6280" s="422" t="s">
        <v>1861</v>
      </c>
      <c r="T6280" s="422" t="s">
        <v>5820</v>
      </c>
      <c r="U6280" s="422" t="s">
        <v>1953</v>
      </c>
      <c r="V6280" s="422" t="s">
        <v>2813</v>
      </c>
    </row>
    <row r="6281" spans="1:22" ht="15.75" thickBot="1" x14ac:dyDescent="0.3">
      <c r="A6281" t="s">
        <v>4668</v>
      </c>
      <c r="B6281" t="s">
        <v>4668</v>
      </c>
      <c r="C6281" s="424" t="str">
        <f t="shared" si="268"/>
        <v>Viação Alvorada, Lda</v>
      </c>
      <c r="D6281" t="s">
        <v>629</v>
      </c>
      <c r="F6281" t="s">
        <v>620</v>
      </c>
      <c r="G6281" s="89">
        <v>2022</v>
      </c>
      <c r="H6281" s="313" t="s">
        <v>5816</v>
      </c>
      <c r="I6281" s="311" t="str">
        <f t="shared" si="267"/>
        <v>Pesado de Passageiros M3:  : Gasóleo : E6 D/E E7</v>
      </c>
      <c r="J6281">
        <v>108</v>
      </c>
      <c r="K6281" s="422">
        <v>2023</v>
      </c>
      <c r="L6281">
        <v>30595</v>
      </c>
      <c r="M6281" t="s">
        <v>630</v>
      </c>
      <c r="N6281" s="131">
        <v>30595</v>
      </c>
      <c r="O6281" s="436">
        <f t="shared" si="269"/>
        <v>3304260</v>
      </c>
      <c r="P6281" s="89">
        <v>1360</v>
      </c>
      <c r="Q6281" t="s">
        <v>47</v>
      </c>
      <c r="R6281" s="422" t="s">
        <v>1869</v>
      </c>
      <c r="S6281" s="422" t="s">
        <v>1861</v>
      </c>
      <c r="T6281" s="422" t="s">
        <v>5820</v>
      </c>
      <c r="U6281" s="422" t="s">
        <v>1953</v>
      </c>
      <c r="V6281" s="422" t="s">
        <v>2813</v>
      </c>
    </row>
    <row r="6282" spans="1:22" ht="15.75" thickBot="1" x14ac:dyDescent="0.3">
      <c r="A6282" t="s">
        <v>4668</v>
      </c>
      <c r="B6282" t="s">
        <v>4668</v>
      </c>
      <c r="C6282" s="424" t="str">
        <f t="shared" si="268"/>
        <v>Viação Alvorada, Lda</v>
      </c>
      <c r="D6282" t="s">
        <v>629</v>
      </c>
      <c r="F6282" t="s">
        <v>620</v>
      </c>
      <c r="G6282" s="89">
        <v>2022</v>
      </c>
      <c r="H6282" s="313" t="s">
        <v>5816</v>
      </c>
      <c r="I6282" s="311" t="str">
        <f t="shared" si="267"/>
        <v>Pesado de Passageiros M3:  : Gasóleo : E6 D/E E7</v>
      </c>
      <c r="J6282">
        <v>108</v>
      </c>
      <c r="K6282" s="422">
        <v>2023</v>
      </c>
      <c r="L6282">
        <v>25548</v>
      </c>
      <c r="M6282" t="s">
        <v>630</v>
      </c>
      <c r="N6282" s="131">
        <v>25548</v>
      </c>
      <c r="O6282" s="436">
        <f t="shared" si="269"/>
        <v>2759184</v>
      </c>
      <c r="P6282" s="89">
        <v>1361</v>
      </c>
      <c r="Q6282" t="s">
        <v>47</v>
      </c>
      <c r="R6282" s="422" t="s">
        <v>1869</v>
      </c>
      <c r="S6282" s="422" t="s">
        <v>1861</v>
      </c>
      <c r="T6282" s="422" t="s">
        <v>5820</v>
      </c>
      <c r="U6282" s="422" t="s">
        <v>1953</v>
      </c>
      <c r="V6282" s="422" t="s">
        <v>2813</v>
      </c>
    </row>
    <row r="6283" spans="1:22" ht="15.75" thickBot="1" x14ac:dyDescent="0.3">
      <c r="A6283" t="s">
        <v>4668</v>
      </c>
      <c r="B6283" t="s">
        <v>4668</v>
      </c>
      <c r="C6283" s="424" t="str">
        <f t="shared" si="268"/>
        <v>Viação Alvorada, Lda</v>
      </c>
      <c r="D6283" t="s">
        <v>629</v>
      </c>
      <c r="F6283" t="s">
        <v>620</v>
      </c>
      <c r="G6283" s="89">
        <v>2022</v>
      </c>
      <c r="H6283" s="313" t="s">
        <v>5816</v>
      </c>
      <c r="I6283" s="311" t="str">
        <f t="shared" si="267"/>
        <v>Pesado de Passageiros M3:  : Gasóleo : E6 D/E E7</v>
      </c>
      <c r="J6283">
        <v>108</v>
      </c>
      <c r="K6283" s="422">
        <v>2023</v>
      </c>
      <c r="L6283">
        <v>25050</v>
      </c>
      <c r="M6283" t="s">
        <v>630</v>
      </c>
      <c r="N6283" s="131">
        <v>25050</v>
      </c>
      <c r="O6283" s="436">
        <f t="shared" si="269"/>
        <v>2705400</v>
      </c>
      <c r="P6283" s="89">
        <v>1362</v>
      </c>
      <c r="Q6283" t="s">
        <v>47</v>
      </c>
      <c r="R6283" s="422" t="s">
        <v>1869</v>
      </c>
      <c r="S6283" s="422" t="s">
        <v>1861</v>
      </c>
      <c r="T6283" s="422" t="s">
        <v>5820</v>
      </c>
      <c r="U6283" s="422" t="s">
        <v>1953</v>
      </c>
      <c r="V6283" s="422" t="s">
        <v>2813</v>
      </c>
    </row>
    <row r="6284" spans="1:22" ht="15.75" thickBot="1" x14ac:dyDescent="0.3">
      <c r="A6284" t="s">
        <v>4668</v>
      </c>
      <c r="B6284" t="s">
        <v>4668</v>
      </c>
      <c r="C6284" s="424" t="str">
        <f t="shared" si="268"/>
        <v>Viação Alvorada, Lda</v>
      </c>
      <c r="D6284" t="s">
        <v>629</v>
      </c>
      <c r="F6284" t="s">
        <v>620</v>
      </c>
      <c r="G6284" s="89">
        <v>2022</v>
      </c>
      <c r="H6284" s="313" t="s">
        <v>5816</v>
      </c>
      <c r="I6284" s="311" t="str">
        <f t="shared" si="267"/>
        <v>Pesado de Passageiros M3:  : Gasóleo : E6 D/E E7</v>
      </c>
      <c r="J6284">
        <v>108</v>
      </c>
      <c r="K6284" s="422">
        <v>2023</v>
      </c>
      <c r="L6284">
        <v>26052</v>
      </c>
      <c r="M6284" t="s">
        <v>630</v>
      </c>
      <c r="N6284" s="131">
        <v>26052</v>
      </c>
      <c r="O6284" s="436">
        <f t="shared" si="269"/>
        <v>2813616</v>
      </c>
      <c r="P6284" s="89">
        <v>1363</v>
      </c>
      <c r="Q6284" t="s">
        <v>47</v>
      </c>
      <c r="R6284" s="422" t="s">
        <v>1869</v>
      </c>
      <c r="S6284" s="422" t="s">
        <v>1861</v>
      </c>
      <c r="T6284" s="422" t="s">
        <v>5820</v>
      </c>
      <c r="U6284" s="422" t="s">
        <v>1953</v>
      </c>
      <c r="V6284" s="422" t="s">
        <v>2813</v>
      </c>
    </row>
    <row r="6285" spans="1:22" ht="15.75" thickBot="1" x14ac:dyDescent="0.3">
      <c r="A6285" t="s">
        <v>4668</v>
      </c>
      <c r="B6285" t="s">
        <v>4668</v>
      </c>
      <c r="C6285" s="424" t="str">
        <f t="shared" si="268"/>
        <v>Viação Alvorada, Lda</v>
      </c>
      <c r="D6285" t="s">
        <v>629</v>
      </c>
      <c r="F6285" t="s">
        <v>620</v>
      </c>
      <c r="G6285" s="89">
        <v>2022</v>
      </c>
      <c r="H6285" s="313" t="s">
        <v>5816</v>
      </c>
      <c r="I6285" s="311" t="str">
        <f t="shared" si="267"/>
        <v>Pesado de Passageiros M3:  : Gasóleo : E6 D/E E7</v>
      </c>
      <c r="J6285">
        <v>108</v>
      </c>
      <c r="K6285" s="422">
        <v>2023</v>
      </c>
      <c r="L6285">
        <v>25155</v>
      </c>
      <c r="M6285" t="s">
        <v>630</v>
      </c>
      <c r="N6285" s="131">
        <v>25155</v>
      </c>
      <c r="O6285" s="436">
        <f t="shared" si="269"/>
        <v>2716740</v>
      </c>
      <c r="P6285" s="89">
        <v>1364</v>
      </c>
      <c r="Q6285" t="s">
        <v>47</v>
      </c>
      <c r="R6285" s="422" t="s">
        <v>1869</v>
      </c>
      <c r="S6285" s="422" t="s">
        <v>1861</v>
      </c>
      <c r="T6285" s="422" t="s">
        <v>5820</v>
      </c>
      <c r="U6285" s="422" t="s">
        <v>1953</v>
      </c>
      <c r="V6285" s="422" t="s">
        <v>2813</v>
      </c>
    </row>
    <row r="6286" spans="1:22" ht="15.75" thickBot="1" x14ac:dyDescent="0.3">
      <c r="A6286" t="s">
        <v>4668</v>
      </c>
      <c r="B6286" t="s">
        <v>4668</v>
      </c>
      <c r="C6286" s="424" t="str">
        <f t="shared" si="268"/>
        <v>Viação Alvorada, Lda</v>
      </c>
      <c r="D6286" t="s">
        <v>629</v>
      </c>
      <c r="F6286" t="s">
        <v>620</v>
      </c>
      <c r="G6286" s="89">
        <v>2022</v>
      </c>
      <c r="H6286" s="313" t="s">
        <v>5816</v>
      </c>
      <c r="I6286" s="311" t="str">
        <f t="shared" si="267"/>
        <v>Pesado de Passageiros M3:  : Gasóleo : E6 D/E E7</v>
      </c>
      <c r="J6286">
        <v>108</v>
      </c>
      <c r="K6286" s="422">
        <v>2023</v>
      </c>
      <c r="L6286">
        <v>20613</v>
      </c>
      <c r="M6286" t="s">
        <v>630</v>
      </c>
      <c r="N6286" s="131">
        <v>20613</v>
      </c>
      <c r="O6286" s="436">
        <f t="shared" si="269"/>
        <v>2226204</v>
      </c>
      <c r="P6286" s="89">
        <v>1365</v>
      </c>
      <c r="Q6286" t="s">
        <v>47</v>
      </c>
      <c r="R6286" s="422" t="s">
        <v>1869</v>
      </c>
      <c r="S6286" s="422" t="s">
        <v>1861</v>
      </c>
      <c r="T6286" s="422" t="s">
        <v>5820</v>
      </c>
      <c r="U6286" s="422" t="s">
        <v>1953</v>
      </c>
      <c r="V6286" s="422" t="s">
        <v>2813</v>
      </c>
    </row>
    <row r="6287" spans="1:22" ht="15.75" thickBot="1" x14ac:dyDescent="0.3">
      <c r="A6287" t="s">
        <v>4668</v>
      </c>
      <c r="B6287" t="s">
        <v>4668</v>
      </c>
      <c r="C6287" s="424" t="str">
        <f t="shared" si="268"/>
        <v>Viação Alvorada, Lda</v>
      </c>
      <c r="D6287" t="s">
        <v>629</v>
      </c>
      <c r="F6287" t="s">
        <v>620</v>
      </c>
      <c r="G6287" s="89">
        <v>2022</v>
      </c>
      <c r="H6287" s="313" t="s">
        <v>5816</v>
      </c>
      <c r="I6287" s="311" t="str">
        <f t="shared" si="267"/>
        <v>Pesado de Passageiros M3:  : Gasóleo : E6 D/E E7</v>
      </c>
      <c r="J6287">
        <v>108</v>
      </c>
      <c r="K6287" s="422">
        <v>2023</v>
      </c>
      <c r="L6287">
        <v>19320</v>
      </c>
      <c r="M6287" t="s">
        <v>630</v>
      </c>
      <c r="N6287" s="131">
        <v>19320</v>
      </c>
      <c r="O6287" s="436">
        <f t="shared" si="269"/>
        <v>2086560</v>
      </c>
      <c r="P6287" s="89">
        <v>1366</v>
      </c>
      <c r="Q6287" t="s">
        <v>47</v>
      </c>
      <c r="R6287" s="422" t="s">
        <v>1869</v>
      </c>
      <c r="S6287" s="422" t="s">
        <v>1861</v>
      </c>
      <c r="T6287" s="422" t="s">
        <v>5820</v>
      </c>
      <c r="U6287" s="422" t="s">
        <v>1953</v>
      </c>
      <c r="V6287" s="422" t="s">
        <v>2813</v>
      </c>
    </row>
    <row r="6288" spans="1:22" ht="15.75" thickBot="1" x14ac:dyDescent="0.3">
      <c r="A6288" t="s">
        <v>4668</v>
      </c>
      <c r="B6288" t="s">
        <v>4668</v>
      </c>
      <c r="C6288" s="424" t="str">
        <f t="shared" si="268"/>
        <v>Viação Alvorada, Lda</v>
      </c>
      <c r="D6288" t="s">
        <v>629</v>
      </c>
      <c r="F6288" t="s">
        <v>620</v>
      </c>
      <c r="G6288" s="89">
        <v>2022</v>
      </c>
      <c r="H6288" s="313" t="s">
        <v>5816</v>
      </c>
      <c r="I6288" s="311" t="str">
        <f t="shared" si="267"/>
        <v>Pesado de Passageiros M3:  : Gasóleo : E6 D/E E7</v>
      </c>
      <c r="J6288">
        <v>108</v>
      </c>
      <c r="K6288" s="422">
        <v>2023</v>
      </c>
      <c r="L6288">
        <v>25560</v>
      </c>
      <c r="M6288" t="s">
        <v>630</v>
      </c>
      <c r="N6288" s="131">
        <v>25560</v>
      </c>
      <c r="O6288" s="436">
        <f t="shared" si="269"/>
        <v>2760480</v>
      </c>
      <c r="P6288" s="89">
        <v>1367</v>
      </c>
      <c r="Q6288" t="s">
        <v>47</v>
      </c>
      <c r="R6288" s="422" t="s">
        <v>1869</v>
      </c>
      <c r="S6288" s="422" t="s">
        <v>1861</v>
      </c>
      <c r="T6288" s="422" t="s">
        <v>5820</v>
      </c>
      <c r="U6288" s="422" t="s">
        <v>1953</v>
      </c>
      <c r="V6288" s="422" t="s">
        <v>2813</v>
      </c>
    </row>
    <row r="6289" spans="1:22" ht="15.75" thickBot="1" x14ac:dyDescent="0.3">
      <c r="A6289" t="s">
        <v>4668</v>
      </c>
      <c r="B6289" t="s">
        <v>4668</v>
      </c>
      <c r="C6289" s="424" t="str">
        <f t="shared" si="268"/>
        <v>Viação Alvorada, Lda</v>
      </c>
      <c r="D6289" t="s">
        <v>629</v>
      </c>
      <c r="F6289" t="s">
        <v>620</v>
      </c>
      <c r="G6289" s="89">
        <v>2022</v>
      </c>
      <c r="H6289" s="313" t="s">
        <v>5816</v>
      </c>
      <c r="I6289" s="311" t="str">
        <f t="shared" si="267"/>
        <v>Pesado de Passageiros M3:  : Gasóleo : E6 D/E E7</v>
      </c>
      <c r="J6289">
        <v>108</v>
      </c>
      <c r="K6289" s="422">
        <v>2023</v>
      </c>
      <c r="L6289">
        <v>26189</v>
      </c>
      <c r="M6289" t="s">
        <v>630</v>
      </c>
      <c r="N6289" s="131">
        <v>26189</v>
      </c>
      <c r="O6289" s="436">
        <f t="shared" si="269"/>
        <v>2828412</v>
      </c>
      <c r="P6289" s="89">
        <v>1368</v>
      </c>
      <c r="Q6289" t="s">
        <v>47</v>
      </c>
      <c r="R6289" s="422" t="s">
        <v>1869</v>
      </c>
      <c r="S6289" s="422" t="s">
        <v>1861</v>
      </c>
      <c r="T6289" s="422" t="s">
        <v>5820</v>
      </c>
      <c r="U6289" s="422" t="s">
        <v>1953</v>
      </c>
      <c r="V6289" s="422" t="s">
        <v>2813</v>
      </c>
    </row>
    <row r="6290" spans="1:22" ht="15.75" thickBot="1" x14ac:dyDescent="0.3">
      <c r="A6290" t="s">
        <v>4668</v>
      </c>
      <c r="B6290" t="s">
        <v>4668</v>
      </c>
      <c r="C6290" s="424" t="str">
        <f t="shared" si="268"/>
        <v>Viação Alvorada, Lda</v>
      </c>
      <c r="D6290" t="s">
        <v>629</v>
      </c>
      <c r="F6290" t="s">
        <v>620</v>
      </c>
      <c r="G6290" s="89">
        <v>2022</v>
      </c>
      <c r="H6290" s="313" t="s">
        <v>5816</v>
      </c>
      <c r="I6290" s="311" t="str">
        <f t="shared" si="267"/>
        <v>Pesado de Passageiros M3:  : Gasóleo : E6 D/E E7</v>
      </c>
      <c r="J6290">
        <v>108</v>
      </c>
      <c r="K6290" s="422">
        <v>2023</v>
      </c>
      <c r="L6290">
        <v>27433</v>
      </c>
      <c r="M6290" t="s">
        <v>630</v>
      </c>
      <c r="N6290" s="131">
        <v>27433</v>
      </c>
      <c r="O6290" s="436">
        <f t="shared" si="269"/>
        <v>2962764</v>
      </c>
      <c r="P6290" s="89">
        <v>1369</v>
      </c>
      <c r="Q6290" t="s">
        <v>47</v>
      </c>
      <c r="R6290" s="422" t="s">
        <v>1869</v>
      </c>
      <c r="S6290" s="422" t="s">
        <v>1861</v>
      </c>
      <c r="T6290" s="422" t="s">
        <v>5820</v>
      </c>
      <c r="U6290" s="422" t="s">
        <v>1953</v>
      </c>
      <c r="V6290" s="422" t="s">
        <v>2813</v>
      </c>
    </row>
    <row r="6291" spans="1:22" ht="15.75" thickBot="1" x14ac:dyDescent="0.3">
      <c r="A6291" t="s">
        <v>4668</v>
      </c>
      <c r="B6291" t="s">
        <v>4668</v>
      </c>
      <c r="C6291" s="424" t="str">
        <f t="shared" si="268"/>
        <v>Viação Alvorada, Lda</v>
      </c>
      <c r="D6291" t="s">
        <v>629</v>
      </c>
      <c r="F6291" t="s">
        <v>620</v>
      </c>
      <c r="G6291" s="89">
        <v>2022</v>
      </c>
      <c r="H6291" s="313" t="s">
        <v>5816</v>
      </c>
      <c r="I6291" s="311" t="str">
        <f t="shared" si="267"/>
        <v>Pesado de Passageiros M3:  : Gasóleo : E6 D/E E7</v>
      </c>
      <c r="J6291">
        <v>108</v>
      </c>
      <c r="K6291" s="422">
        <v>2023</v>
      </c>
      <c r="L6291">
        <v>28914</v>
      </c>
      <c r="M6291" t="s">
        <v>630</v>
      </c>
      <c r="N6291" s="131">
        <v>28914</v>
      </c>
      <c r="O6291" s="436">
        <f t="shared" si="269"/>
        <v>3122712</v>
      </c>
      <c r="P6291" s="89">
        <v>1370</v>
      </c>
      <c r="Q6291" t="s">
        <v>47</v>
      </c>
      <c r="R6291" s="422" t="s">
        <v>1869</v>
      </c>
      <c r="S6291" s="422" t="s">
        <v>1861</v>
      </c>
      <c r="T6291" s="422" t="s">
        <v>5820</v>
      </c>
      <c r="U6291" s="422" t="s">
        <v>1953</v>
      </c>
      <c r="V6291" s="422" t="s">
        <v>2813</v>
      </c>
    </row>
    <row r="6292" spans="1:22" ht="15.75" thickBot="1" x14ac:dyDescent="0.3">
      <c r="A6292" t="s">
        <v>4668</v>
      </c>
      <c r="B6292" t="s">
        <v>4668</v>
      </c>
      <c r="C6292" s="424" t="str">
        <f t="shared" si="268"/>
        <v>Viação Alvorada, Lda</v>
      </c>
      <c r="D6292" t="s">
        <v>629</v>
      </c>
      <c r="F6292" t="s">
        <v>620</v>
      </c>
      <c r="G6292" s="89">
        <v>2022</v>
      </c>
      <c r="H6292" s="313" t="s">
        <v>5816</v>
      </c>
      <c r="I6292" s="311" t="str">
        <f t="shared" si="267"/>
        <v>Pesado de Passageiros M3:  : Gasóleo : E6 D/E E7</v>
      </c>
      <c r="J6292">
        <v>108</v>
      </c>
      <c r="K6292" s="422">
        <v>2023</v>
      </c>
      <c r="L6292">
        <v>23886</v>
      </c>
      <c r="M6292" t="s">
        <v>630</v>
      </c>
      <c r="N6292" s="131">
        <v>23886</v>
      </c>
      <c r="O6292" s="436">
        <f t="shared" si="269"/>
        <v>2579688</v>
      </c>
      <c r="P6292" s="89">
        <v>1371</v>
      </c>
      <c r="Q6292" t="s">
        <v>47</v>
      </c>
      <c r="R6292" s="422" t="s">
        <v>1869</v>
      </c>
      <c r="S6292" s="422" t="s">
        <v>1861</v>
      </c>
      <c r="T6292" s="422" t="s">
        <v>5820</v>
      </c>
      <c r="U6292" s="422" t="s">
        <v>1953</v>
      </c>
      <c r="V6292" s="422" t="s">
        <v>2813</v>
      </c>
    </row>
    <row r="6293" spans="1:22" ht="15.75" thickBot="1" x14ac:dyDescent="0.3">
      <c r="A6293" t="s">
        <v>4668</v>
      </c>
      <c r="B6293" t="s">
        <v>4668</v>
      </c>
      <c r="C6293" s="424" t="str">
        <f t="shared" si="268"/>
        <v>Viação Alvorada, Lda</v>
      </c>
      <c r="D6293" t="s">
        <v>629</v>
      </c>
      <c r="F6293" t="s">
        <v>620</v>
      </c>
      <c r="G6293" s="89">
        <v>2022</v>
      </c>
      <c r="H6293" s="313" t="s">
        <v>5816</v>
      </c>
      <c r="I6293" s="311" t="str">
        <f t="shared" si="267"/>
        <v>Pesado de Passageiros M3:  : Gasóleo : E6 D/E E7</v>
      </c>
      <c r="J6293">
        <v>108</v>
      </c>
      <c r="K6293" s="422">
        <v>2023</v>
      </c>
      <c r="L6293">
        <v>23413</v>
      </c>
      <c r="M6293" t="s">
        <v>630</v>
      </c>
      <c r="N6293" s="131">
        <v>23413</v>
      </c>
      <c r="O6293" s="436">
        <f t="shared" si="269"/>
        <v>2528604</v>
      </c>
      <c r="P6293" s="89">
        <v>1372</v>
      </c>
      <c r="Q6293" t="s">
        <v>47</v>
      </c>
      <c r="R6293" s="422" t="s">
        <v>1869</v>
      </c>
      <c r="S6293" s="422" t="s">
        <v>1861</v>
      </c>
      <c r="T6293" s="422" t="s">
        <v>5820</v>
      </c>
      <c r="U6293" s="422" t="s">
        <v>1953</v>
      </c>
      <c r="V6293" s="422" t="s">
        <v>2813</v>
      </c>
    </row>
    <row r="6294" spans="1:22" ht="15.75" thickBot="1" x14ac:dyDescent="0.3">
      <c r="A6294" t="s">
        <v>4668</v>
      </c>
      <c r="B6294" t="s">
        <v>4668</v>
      </c>
      <c r="C6294" s="424" t="str">
        <f t="shared" si="268"/>
        <v>Viação Alvorada, Lda</v>
      </c>
      <c r="D6294" t="s">
        <v>629</v>
      </c>
      <c r="F6294" t="s">
        <v>620</v>
      </c>
      <c r="G6294" s="89">
        <v>2022</v>
      </c>
      <c r="H6294" s="313" t="s">
        <v>5816</v>
      </c>
      <c r="I6294" s="311" t="str">
        <f t="shared" si="267"/>
        <v>Pesado de Passageiros M3:  : Gasóleo : E6 D/E E7</v>
      </c>
      <c r="J6294">
        <v>108</v>
      </c>
      <c r="K6294" s="422">
        <v>2023</v>
      </c>
      <c r="L6294">
        <v>22018</v>
      </c>
      <c r="M6294" t="s">
        <v>630</v>
      </c>
      <c r="N6294" s="131">
        <v>22018</v>
      </c>
      <c r="O6294" s="436">
        <f t="shared" si="269"/>
        <v>2377944</v>
      </c>
      <c r="P6294" s="89">
        <v>1373</v>
      </c>
      <c r="Q6294" t="s">
        <v>47</v>
      </c>
      <c r="R6294" s="422" t="s">
        <v>1869</v>
      </c>
      <c r="S6294" s="422" t="s">
        <v>1861</v>
      </c>
      <c r="T6294" s="422" t="s">
        <v>5820</v>
      </c>
      <c r="U6294" s="422" t="s">
        <v>1953</v>
      </c>
      <c r="V6294" s="422" t="s">
        <v>2813</v>
      </c>
    </row>
    <row r="6295" spans="1:22" ht="15.75" thickBot="1" x14ac:dyDescent="0.3">
      <c r="A6295" t="s">
        <v>4668</v>
      </c>
      <c r="B6295" t="s">
        <v>4668</v>
      </c>
      <c r="C6295" s="424" t="str">
        <f t="shared" si="268"/>
        <v>Viação Alvorada, Lda</v>
      </c>
      <c r="D6295" t="s">
        <v>629</v>
      </c>
      <c r="F6295" t="s">
        <v>620</v>
      </c>
      <c r="G6295" s="89">
        <v>2022</v>
      </c>
      <c r="H6295" s="313" t="s">
        <v>5816</v>
      </c>
      <c r="I6295" s="311" t="str">
        <f t="shared" si="267"/>
        <v>Pesado de Passageiros M3:  : Gasóleo : E6 D/E E7</v>
      </c>
      <c r="J6295">
        <v>108</v>
      </c>
      <c r="K6295" s="422">
        <v>2023</v>
      </c>
      <c r="L6295">
        <v>20705</v>
      </c>
      <c r="M6295" t="s">
        <v>630</v>
      </c>
      <c r="N6295" s="131">
        <v>20705</v>
      </c>
      <c r="O6295" s="436">
        <f t="shared" si="269"/>
        <v>2236140</v>
      </c>
      <c r="P6295" s="89">
        <v>1374</v>
      </c>
      <c r="Q6295" t="s">
        <v>47</v>
      </c>
      <c r="R6295" s="422" t="s">
        <v>1869</v>
      </c>
      <c r="S6295" s="422" t="s">
        <v>1861</v>
      </c>
      <c r="T6295" s="422" t="s">
        <v>5820</v>
      </c>
      <c r="U6295" s="422" t="s">
        <v>1953</v>
      </c>
      <c r="V6295" s="422" t="s">
        <v>2813</v>
      </c>
    </row>
    <row r="6296" spans="1:22" ht="15.75" thickBot="1" x14ac:dyDescent="0.3">
      <c r="A6296" t="s">
        <v>4668</v>
      </c>
      <c r="B6296" t="s">
        <v>4668</v>
      </c>
      <c r="C6296" s="424" t="str">
        <f t="shared" si="268"/>
        <v>Viação Alvorada, Lda</v>
      </c>
      <c r="D6296" t="s">
        <v>629</v>
      </c>
      <c r="F6296" t="s">
        <v>620</v>
      </c>
      <c r="G6296" s="89">
        <v>2022</v>
      </c>
      <c r="H6296" s="313" t="s">
        <v>5816</v>
      </c>
      <c r="I6296" s="311" t="str">
        <f t="shared" si="267"/>
        <v>Pesado de Passageiros M3:  : Gasóleo : E6 D/E E7</v>
      </c>
      <c r="J6296">
        <v>108</v>
      </c>
      <c r="K6296" s="422">
        <v>2023</v>
      </c>
      <c r="L6296">
        <v>20287</v>
      </c>
      <c r="M6296" t="s">
        <v>630</v>
      </c>
      <c r="N6296" s="131">
        <v>20287</v>
      </c>
      <c r="O6296" s="436">
        <f t="shared" si="269"/>
        <v>2190996</v>
      </c>
      <c r="P6296" s="89">
        <v>1375</v>
      </c>
      <c r="Q6296" t="s">
        <v>47</v>
      </c>
      <c r="R6296" s="422" t="s">
        <v>1869</v>
      </c>
      <c r="S6296" s="422" t="s">
        <v>1861</v>
      </c>
      <c r="T6296" s="422" t="s">
        <v>5820</v>
      </c>
      <c r="U6296" s="422" t="s">
        <v>1953</v>
      </c>
      <c r="V6296" s="422" t="s">
        <v>2813</v>
      </c>
    </row>
    <row r="6297" spans="1:22" ht="15.75" thickBot="1" x14ac:dyDescent="0.3">
      <c r="A6297" t="s">
        <v>4668</v>
      </c>
      <c r="B6297" t="s">
        <v>4668</v>
      </c>
      <c r="C6297" s="424" t="str">
        <f t="shared" si="268"/>
        <v>Viação Alvorada, Lda</v>
      </c>
      <c r="D6297" t="s">
        <v>629</v>
      </c>
      <c r="F6297" t="s">
        <v>620</v>
      </c>
      <c r="G6297" s="89">
        <v>2022</v>
      </c>
      <c r="H6297" s="313" t="s">
        <v>5816</v>
      </c>
      <c r="I6297" s="311" t="str">
        <f t="shared" si="267"/>
        <v>Pesado de Passageiros M3:  : Gasóleo : E6 D/E E7</v>
      </c>
      <c r="J6297">
        <v>108</v>
      </c>
      <c r="K6297" s="422">
        <v>2023</v>
      </c>
      <c r="L6297">
        <v>21955</v>
      </c>
      <c r="M6297" t="s">
        <v>630</v>
      </c>
      <c r="N6297" s="131">
        <v>21955</v>
      </c>
      <c r="O6297" s="436">
        <f t="shared" si="269"/>
        <v>2371140</v>
      </c>
      <c r="P6297" s="89">
        <v>1376</v>
      </c>
      <c r="Q6297" t="s">
        <v>47</v>
      </c>
      <c r="R6297" s="422" t="s">
        <v>1869</v>
      </c>
      <c r="S6297" s="422" t="s">
        <v>1861</v>
      </c>
      <c r="T6297" s="422" t="s">
        <v>5820</v>
      </c>
      <c r="U6297" s="422" t="s">
        <v>1953</v>
      </c>
      <c r="V6297" s="422" t="s">
        <v>2813</v>
      </c>
    </row>
    <row r="6298" spans="1:22" ht="15.75" thickBot="1" x14ac:dyDescent="0.3">
      <c r="A6298" t="s">
        <v>4668</v>
      </c>
      <c r="B6298" t="s">
        <v>4668</v>
      </c>
      <c r="C6298" s="424" t="str">
        <f t="shared" si="268"/>
        <v>Viação Alvorada, Lda</v>
      </c>
      <c r="D6298" t="s">
        <v>629</v>
      </c>
      <c r="F6298" t="s">
        <v>620</v>
      </c>
      <c r="G6298" s="89">
        <v>2022</v>
      </c>
      <c r="H6298" s="313" t="s">
        <v>5816</v>
      </c>
      <c r="I6298" s="311" t="str">
        <f t="shared" si="267"/>
        <v>Pesado de Passageiros M3:  : Gasóleo : E6 D/E E7</v>
      </c>
      <c r="J6298">
        <v>108</v>
      </c>
      <c r="K6298" s="422">
        <v>2023</v>
      </c>
      <c r="L6298">
        <v>26009</v>
      </c>
      <c r="M6298" t="s">
        <v>630</v>
      </c>
      <c r="N6298" s="131">
        <v>26009</v>
      </c>
      <c r="O6298" s="436">
        <f t="shared" si="269"/>
        <v>2808972</v>
      </c>
      <c r="P6298" s="89">
        <v>1377</v>
      </c>
      <c r="Q6298" t="s">
        <v>47</v>
      </c>
      <c r="R6298" s="422" t="s">
        <v>1869</v>
      </c>
      <c r="S6298" s="422" t="s">
        <v>1861</v>
      </c>
      <c r="T6298" s="422" t="s">
        <v>5820</v>
      </c>
      <c r="U6298" s="422" t="s">
        <v>1953</v>
      </c>
      <c r="V6298" s="422" t="s">
        <v>2813</v>
      </c>
    </row>
    <row r="6299" spans="1:22" ht="15.75" thickBot="1" x14ac:dyDescent="0.3">
      <c r="A6299" t="s">
        <v>4668</v>
      </c>
      <c r="B6299" t="s">
        <v>4668</v>
      </c>
      <c r="C6299" s="424" t="str">
        <f t="shared" si="268"/>
        <v>Viação Alvorada, Lda</v>
      </c>
      <c r="D6299" t="s">
        <v>629</v>
      </c>
      <c r="F6299" t="s">
        <v>620</v>
      </c>
      <c r="G6299" s="89">
        <v>2022</v>
      </c>
      <c r="H6299" s="313" t="s">
        <v>5816</v>
      </c>
      <c r="I6299" s="311" t="str">
        <f t="shared" si="267"/>
        <v>Pesado de Passageiros M3:  : Gasóleo : E6 D/E E7</v>
      </c>
      <c r="J6299">
        <v>108</v>
      </c>
      <c r="K6299" s="422">
        <v>2023</v>
      </c>
      <c r="L6299">
        <v>24900</v>
      </c>
      <c r="M6299" t="s">
        <v>630</v>
      </c>
      <c r="N6299" s="131">
        <v>24900</v>
      </c>
      <c r="O6299" s="436">
        <f t="shared" si="269"/>
        <v>2689200</v>
      </c>
      <c r="P6299" s="89">
        <v>1378</v>
      </c>
      <c r="Q6299" t="s">
        <v>47</v>
      </c>
      <c r="R6299" s="422" t="s">
        <v>1869</v>
      </c>
      <c r="S6299" s="422" t="s">
        <v>1861</v>
      </c>
      <c r="T6299" s="422" t="s">
        <v>5820</v>
      </c>
      <c r="U6299" s="422" t="s">
        <v>1953</v>
      </c>
      <c r="V6299" s="422" t="s">
        <v>2813</v>
      </c>
    </row>
    <row r="6300" spans="1:22" ht="15.75" thickBot="1" x14ac:dyDescent="0.3">
      <c r="A6300" t="s">
        <v>4668</v>
      </c>
      <c r="B6300" t="s">
        <v>4668</v>
      </c>
      <c r="C6300" s="424" t="str">
        <f t="shared" si="268"/>
        <v>Viação Alvorada, Lda</v>
      </c>
      <c r="D6300" t="s">
        <v>629</v>
      </c>
      <c r="F6300" t="s">
        <v>620</v>
      </c>
      <c r="G6300" s="89">
        <v>2022</v>
      </c>
      <c r="H6300" s="313" t="s">
        <v>5816</v>
      </c>
      <c r="I6300" s="311" t="str">
        <f t="shared" si="267"/>
        <v>Pesado de Passageiros M3:  : Gasóleo : E6 D/E E7</v>
      </c>
      <c r="J6300">
        <v>108</v>
      </c>
      <c r="K6300" s="422">
        <v>2023</v>
      </c>
      <c r="L6300">
        <v>24601</v>
      </c>
      <c r="M6300" t="s">
        <v>630</v>
      </c>
      <c r="N6300" s="131">
        <v>24601</v>
      </c>
      <c r="O6300" s="436">
        <f t="shared" si="269"/>
        <v>2656908</v>
      </c>
      <c r="P6300" s="89">
        <v>1379</v>
      </c>
      <c r="Q6300" t="s">
        <v>47</v>
      </c>
      <c r="R6300" s="422" t="s">
        <v>1869</v>
      </c>
      <c r="S6300" s="422" t="s">
        <v>1861</v>
      </c>
      <c r="T6300" s="422" t="s">
        <v>5820</v>
      </c>
      <c r="U6300" s="422" t="s">
        <v>1953</v>
      </c>
      <c r="V6300" s="422" t="s">
        <v>2813</v>
      </c>
    </row>
    <row r="6301" spans="1:22" ht="15.75" thickBot="1" x14ac:dyDescent="0.3">
      <c r="A6301" t="s">
        <v>4668</v>
      </c>
      <c r="B6301" t="s">
        <v>4668</v>
      </c>
      <c r="C6301" s="424" t="str">
        <f t="shared" si="268"/>
        <v>Viação Alvorada, Lda</v>
      </c>
      <c r="D6301" t="s">
        <v>629</v>
      </c>
      <c r="F6301" t="s">
        <v>620</v>
      </c>
      <c r="G6301" s="89">
        <v>2022</v>
      </c>
      <c r="H6301" s="313" t="s">
        <v>5816</v>
      </c>
      <c r="I6301" s="311" t="str">
        <f t="shared" si="267"/>
        <v>Pesado de Passageiros M3:  : Gasóleo : E6 D/E E7</v>
      </c>
      <c r="J6301">
        <v>108</v>
      </c>
      <c r="K6301" s="422">
        <v>2023</v>
      </c>
      <c r="L6301">
        <v>18032</v>
      </c>
      <c r="M6301" t="s">
        <v>630</v>
      </c>
      <c r="N6301" s="131">
        <v>18032</v>
      </c>
      <c r="O6301" s="436">
        <f t="shared" si="269"/>
        <v>1947456</v>
      </c>
      <c r="P6301" s="89">
        <v>1380</v>
      </c>
      <c r="Q6301" t="s">
        <v>47</v>
      </c>
      <c r="R6301" s="422" t="s">
        <v>1869</v>
      </c>
      <c r="S6301" s="422" t="s">
        <v>1861</v>
      </c>
      <c r="T6301" s="422" t="s">
        <v>5820</v>
      </c>
      <c r="U6301" s="422" t="s">
        <v>1953</v>
      </c>
      <c r="V6301" s="422" t="s">
        <v>2813</v>
      </c>
    </row>
    <row r="6302" spans="1:22" ht="15.75" thickBot="1" x14ac:dyDescent="0.3">
      <c r="A6302" t="s">
        <v>4668</v>
      </c>
      <c r="B6302" t="s">
        <v>4668</v>
      </c>
      <c r="C6302" s="424" t="str">
        <f t="shared" si="268"/>
        <v>Viação Alvorada, Lda</v>
      </c>
      <c r="D6302" t="s">
        <v>629</v>
      </c>
      <c r="F6302" t="s">
        <v>620</v>
      </c>
      <c r="G6302" s="89">
        <v>2022</v>
      </c>
      <c r="H6302" s="313" t="s">
        <v>5816</v>
      </c>
      <c r="I6302" s="311" t="str">
        <f t="shared" si="267"/>
        <v>Pesado de Passageiros M3:  : Gasóleo : E6 D/E E7</v>
      </c>
      <c r="J6302">
        <v>108</v>
      </c>
      <c r="K6302" s="422">
        <v>2023</v>
      </c>
      <c r="L6302">
        <v>23688</v>
      </c>
      <c r="M6302" t="s">
        <v>630</v>
      </c>
      <c r="N6302" s="131">
        <v>23688</v>
      </c>
      <c r="O6302" s="436">
        <f t="shared" si="269"/>
        <v>2558304</v>
      </c>
      <c r="P6302" s="89">
        <v>1381</v>
      </c>
      <c r="Q6302" t="s">
        <v>47</v>
      </c>
      <c r="R6302" s="422" t="s">
        <v>1869</v>
      </c>
      <c r="S6302" s="422" t="s">
        <v>1861</v>
      </c>
      <c r="T6302" s="422" t="s">
        <v>5820</v>
      </c>
      <c r="U6302" s="422" t="s">
        <v>1953</v>
      </c>
      <c r="V6302" s="422" t="s">
        <v>2813</v>
      </c>
    </row>
    <row r="6303" spans="1:22" ht="15.75" thickBot="1" x14ac:dyDescent="0.3">
      <c r="A6303" t="s">
        <v>4668</v>
      </c>
      <c r="B6303" t="s">
        <v>4668</v>
      </c>
      <c r="C6303" s="424" t="str">
        <f t="shared" si="268"/>
        <v>Viação Alvorada, Lda</v>
      </c>
      <c r="D6303" t="s">
        <v>629</v>
      </c>
      <c r="F6303" t="s">
        <v>620</v>
      </c>
      <c r="G6303" s="89">
        <v>2022</v>
      </c>
      <c r="H6303" s="313" t="s">
        <v>5816</v>
      </c>
      <c r="I6303" s="311" t="str">
        <f t="shared" si="267"/>
        <v>Pesado de Passageiros M3:  : Gasóleo : E6 D/E E7</v>
      </c>
      <c r="J6303">
        <v>108</v>
      </c>
      <c r="K6303" s="422">
        <v>2023</v>
      </c>
      <c r="L6303">
        <v>24782</v>
      </c>
      <c r="M6303" t="s">
        <v>630</v>
      </c>
      <c r="N6303" s="131">
        <v>24782</v>
      </c>
      <c r="O6303" s="436">
        <f t="shared" si="269"/>
        <v>2676456</v>
      </c>
      <c r="P6303" s="89">
        <v>1382</v>
      </c>
      <c r="Q6303" t="s">
        <v>47</v>
      </c>
      <c r="R6303" s="422" t="s">
        <v>1869</v>
      </c>
      <c r="S6303" s="422" t="s">
        <v>1861</v>
      </c>
      <c r="T6303" s="422" t="s">
        <v>5820</v>
      </c>
      <c r="U6303" s="422" t="s">
        <v>1953</v>
      </c>
      <c r="V6303" s="422" t="s">
        <v>2813</v>
      </c>
    </row>
    <row r="6304" spans="1:22" ht="15.75" thickBot="1" x14ac:dyDescent="0.3">
      <c r="A6304" t="s">
        <v>4668</v>
      </c>
      <c r="B6304" t="s">
        <v>4668</v>
      </c>
      <c r="C6304" s="424" t="str">
        <f t="shared" si="268"/>
        <v>Viação Alvorada, Lda</v>
      </c>
      <c r="D6304" t="s">
        <v>629</v>
      </c>
      <c r="F6304" t="s">
        <v>620</v>
      </c>
      <c r="G6304" s="89">
        <v>2022</v>
      </c>
      <c r="H6304" s="313" t="s">
        <v>5816</v>
      </c>
      <c r="I6304" s="311" t="str">
        <f t="shared" si="267"/>
        <v>Pesado de Passageiros M3:  : Gasóleo : E6 D/E E7</v>
      </c>
      <c r="J6304">
        <v>108</v>
      </c>
      <c r="K6304" s="422">
        <v>2023</v>
      </c>
      <c r="L6304">
        <v>25055</v>
      </c>
      <c r="M6304" t="s">
        <v>630</v>
      </c>
      <c r="N6304" s="131">
        <v>25055</v>
      </c>
      <c r="O6304" s="436">
        <f t="shared" si="269"/>
        <v>2705940</v>
      </c>
      <c r="P6304" s="89">
        <v>1383</v>
      </c>
      <c r="Q6304" t="s">
        <v>47</v>
      </c>
      <c r="R6304" s="422" t="s">
        <v>1869</v>
      </c>
      <c r="S6304" s="422" t="s">
        <v>1861</v>
      </c>
      <c r="T6304" s="422" t="s">
        <v>5820</v>
      </c>
      <c r="U6304" s="422" t="s">
        <v>1953</v>
      </c>
      <c r="V6304" s="422" t="s">
        <v>2813</v>
      </c>
    </row>
    <row r="6305" spans="1:22" ht="15.75" thickBot="1" x14ac:dyDescent="0.3">
      <c r="A6305" t="s">
        <v>4668</v>
      </c>
      <c r="B6305" t="s">
        <v>4668</v>
      </c>
      <c r="C6305" s="424" t="str">
        <f t="shared" si="268"/>
        <v>Viação Alvorada, Lda</v>
      </c>
      <c r="D6305" t="s">
        <v>629</v>
      </c>
      <c r="F6305" t="s">
        <v>620</v>
      </c>
      <c r="G6305" s="89">
        <v>2022</v>
      </c>
      <c r="H6305" s="313" t="s">
        <v>5816</v>
      </c>
      <c r="I6305" s="311" t="str">
        <f t="shared" si="267"/>
        <v>Pesado de Passageiros M3:  : Gasóleo : E6 D/E E7</v>
      </c>
      <c r="J6305">
        <v>108</v>
      </c>
      <c r="K6305" s="422">
        <v>2023</v>
      </c>
      <c r="L6305">
        <v>22765</v>
      </c>
      <c r="M6305" t="s">
        <v>630</v>
      </c>
      <c r="N6305" s="131">
        <v>22765</v>
      </c>
      <c r="O6305" s="436">
        <f t="shared" si="269"/>
        <v>2458620</v>
      </c>
      <c r="P6305" s="89">
        <v>1384</v>
      </c>
      <c r="Q6305" t="s">
        <v>47</v>
      </c>
      <c r="R6305" s="422" t="s">
        <v>1869</v>
      </c>
      <c r="S6305" s="422" t="s">
        <v>1861</v>
      </c>
      <c r="T6305" s="422" t="s">
        <v>5820</v>
      </c>
      <c r="U6305" s="422" t="s">
        <v>1953</v>
      </c>
      <c r="V6305" s="422" t="s">
        <v>2813</v>
      </c>
    </row>
    <row r="6306" spans="1:22" ht="15.75" thickBot="1" x14ac:dyDescent="0.3">
      <c r="A6306" t="s">
        <v>4668</v>
      </c>
      <c r="B6306" t="s">
        <v>4668</v>
      </c>
      <c r="C6306" s="424" t="str">
        <f t="shared" si="268"/>
        <v>Viação Alvorada, Lda</v>
      </c>
      <c r="D6306" t="s">
        <v>629</v>
      </c>
      <c r="F6306" t="s">
        <v>620</v>
      </c>
      <c r="G6306" s="89">
        <v>2022</v>
      </c>
      <c r="H6306" s="313" t="s">
        <v>5816</v>
      </c>
      <c r="I6306" s="311" t="str">
        <f t="shared" ref="I6306:I6369" si="270">D6306&amp;": "&amp;E6306&amp;" : "&amp;F6306&amp;" : "&amp;H6306</f>
        <v>Pesado de Passageiros M3:  : Gasóleo : E6 D/E E7</v>
      </c>
      <c r="J6306">
        <v>108</v>
      </c>
      <c r="K6306" s="422">
        <v>2023</v>
      </c>
      <c r="L6306">
        <v>24790</v>
      </c>
      <c r="M6306" t="s">
        <v>630</v>
      </c>
      <c r="N6306" s="131">
        <v>24790</v>
      </c>
      <c r="O6306" s="436">
        <f t="shared" si="269"/>
        <v>2677320</v>
      </c>
      <c r="P6306" s="89">
        <v>1385</v>
      </c>
      <c r="Q6306" t="s">
        <v>47</v>
      </c>
      <c r="R6306" s="422" t="s">
        <v>1869</v>
      </c>
      <c r="S6306" s="422" t="s">
        <v>1861</v>
      </c>
      <c r="T6306" s="422" t="s">
        <v>5820</v>
      </c>
      <c r="U6306" s="422" t="s">
        <v>1953</v>
      </c>
      <c r="V6306" s="422" t="s">
        <v>2813</v>
      </c>
    </row>
    <row r="6307" spans="1:22" ht="15.75" thickBot="1" x14ac:dyDescent="0.3">
      <c r="A6307" t="s">
        <v>4668</v>
      </c>
      <c r="B6307" t="s">
        <v>4668</v>
      </c>
      <c r="C6307" s="424" t="str">
        <f t="shared" si="268"/>
        <v>Viação Alvorada, Lda</v>
      </c>
      <c r="D6307" t="s">
        <v>629</v>
      </c>
      <c r="F6307" t="s">
        <v>620</v>
      </c>
      <c r="G6307" s="89">
        <v>2022</v>
      </c>
      <c r="H6307" s="313" t="s">
        <v>5816</v>
      </c>
      <c r="I6307" s="311" t="str">
        <f t="shared" si="270"/>
        <v>Pesado de Passageiros M3:  : Gasóleo : E6 D/E E7</v>
      </c>
      <c r="J6307">
        <v>108</v>
      </c>
      <c r="K6307" s="422">
        <v>2023</v>
      </c>
      <c r="L6307">
        <v>22791</v>
      </c>
      <c r="M6307" t="s">
        <v>630</v>
      </c>
      <c r="N6307" s="131">
        <v>22791</v>
      </c>
      <c r="O6307" s="436">
        <f t="shared" si="269"/>
        <v>2461428</v>
      </c>
      <c r="P6307" s="89">
        <v>1386</v>
      </c>
      <c r="Q6307" t="s">
        <v>47</v>
      </c>
      <c r="R6307" s="422" t="s">
        <v>1869</v>
      </c>
      <c r="S6307" s="422" t="s">
        <v>1861</v>
      </c>
      <c r="T6307" s="422" t="s">
        <v>5820</v>
      </c>
      <c r="U6307" s="422" t="s">
        <v>1953</v>
      </c>
      <c r="V6307" s="422" t="s">
        <v>2813</v>
      </c>
    </row>
    <row r="6308" spans="1:22" ht="15.75" thickBot="1" x14ac:dyDescent="0.3">
      <c r="A6308" t="s">
        <v>4668</v>
      </c>
      <c r="B6308" t="s">
        <v>4668</v>
      </c>
      <c r="C6308" s="424" t="str">
        <f t="shared" si="268"/>
        <v>Viação Alvorada, Lda</v>
      </c>
      <c r="D6308" t="s">
        <v>629</v>
      </c>
      <c r="F6308" t="s">
        <v>620</v>
      </c>
      <c r="G6308" s="89">
        <v>2022</v>
      </c>
      <c r="H6308" s="313" t="s">
        <v>5816</v>
      </c>
      <c r="I6308" s="311" t="str">
        <f t="shared" si="270"/>
        <v>Pesado de Passageiros M3:  : Gasóleo : E6 D/E E7</v>
      </c>
      <c r="J6308">
        <v>108</v>
      </c>
      <c r="K6308" s="422">
        <v>2023</v>
      </c>
      <c r="L6308">
        <v>19957</v>
      </c>
      <c r="M6308" t="s">
        <v>630</v>
      </c>
      <c r="N6308" s="131">
        <v>19957</v>
      </c>
      <c r="O6308" s="436">
        <f t="shared" si="269"/>
        <v>2155356</v>
      </c>
      <c r="P6308" s="89">
        <v>1387</v>
      </c>
      <c r="Q6308" t="s">
        <v>47</v>
      </c>
      <c r="R6308" s="422" t="s">
        <v>1869</v>
      </c>
      <c r="S6308" s="422" t="s">
        <v>1861</v>
      </c>
      <c r="T6308" s="422" t="s">
        <v>5820</v>
      </c>
      <c r="U6308" s="422" t="s">
        <v>1953</v>
      </c>
      <c r="V6308" s="422" t="s">
        <v>2813</v>
      </c>
    </row>
    <row r="6309" spans="1:22" ht="15.75" thickBot="1" x14ac:dyDescent="0.3">
      <c r="A6309" t="s">
        <v>4668</v>
      </c>
      <c r="B6309" t="s">
        <v>4668</v>
      </c>
      <c r="C6309" s="424" t="str">
        <f t="shared" si="268"/>
        <v>Viação Alvorada, Lda</v>
      </c>
      <c r="D6309" t="s">
        <v>629</v>
      </c>
      <c r="F6309" t="s">
        <v>620</v>
      </c>
      <c r="G6309" s="89">
        <v>2022</v>
      </c>
      <c r="H6309" s="313" t="s">
        <v>5816</v>
      </c>
      <c r="I6309" s="311" t="str">
        <f t="shared" si="270"/>
        <v>Pesado de Passageiros M3:  : Gasóleo : E6 D/E E7</v>
      </c>
      <c r="J6309">
        <v>108</v>
      </c>
      <c r="K6309" s="422">
        <v>2023</v>
      </c>
      <c r="L6309">
        <v>17446</v>
      </c>
      <c r="M6309" t="s">
        <v>630</v>
      </c>
      <c r="N6309" s="131">
        <v>17446</v>
      </c>
      <c r="O6309" s="436">
        <f t="shared" si="269"/>
        <v>1884168</v>
      </c>
      <c r="P6309" s="89">
        <v>1388</v>
      </c>
      <c r="Q6309" t="s">
        <v>47</v>
      </c>
      <c r="R6309" s="422" t="s">
        <v>1869</v>
      </c>
      <c r="S6309" s="422" t="s">
        <v>1861</v>
      </c>
      <c r="T6309" s="422" t="s">
        <v>5820</v>
      </c>
      <c r="U6309" s="422" t="s">
        <v>1953</v>
      </c>
      <c r="V6309" s="422" t="s">
        <v>2813</v>
      </c>
    </row>
    <row r="6310" spans="1:22" ht="15.75" thickBot="1" x14ac:dyDescent="0.3">
      <c r="A6310" t="s">
        <v>4668</v>
      </c>
      <c r="B6310" t="s">
        <v>4668</v>
      </c>
      <c r="C6310" s="424" t="str">
        <f t="shared" si="268"/>
        <v>Viação Alvorada, Lda</v>
      </c>
      <c r="D6310" t="s">
        <v>629</v>
      </c>
      <c r="F6310" t="s">
        <v>620</v>
      </c>
      <c r="G6310" s="89">
        <v>2022</v>
      </c>
      <c r="H6310" s="313" t="s">
        <v>5816</v>
      </c>
      <c r="I6310" s="311" t="str">
        <f t="shared" si="270"/>
        <v>Pesado de Passageiros M3:  : Gasóleo : E6 D/E E7</v>
      </c>
      <c r="J6310">
        <v>108</v>
      </c>
      <c r="K6310" s="422">
        <v>2023</v>
      </c>
      <c r="L6310">
        <v>24132</v>
      </c>
      <c r="M6310" t="s">
        <v>630</v>
      </c>
      <c r="N6310" s="131">
        <v>24132</v>
      </c>
      <c r="O6310" s="436">
        <f t="shared" si="269"/>
        <v>2606256</v>
      </c>
      <c r="P6310" s="89">
        <v>1389</v>
      </c>
      <c r="Q6310" t="s">
        <v>47</v>
      </c>
      <c r="R6310" s="422" t="s">
        <v>1869</v>
      </c>
      <c r="S6310" s="422" t="s">
        <v>1861</v>
      </c>
      <c r="T6310" s="422" t="s">
        <v>5820</v>
      </c>
      <c r="U6310" s="422" t="s">
        <v>1953</v>
      </c>
      <c r="V6310" s="422" t="s">
        <v>2813</v>
      </c>
    </row>
    <row r="6311" spans="1:22" ht="15.75" thickBot="1" x14ac:dyDescent="0.3">
      <c r="A6311" t="s">
        <v>4668</v>
      </c>
      <c r="B6311" t="s">
        <v>4668</v>
      </c>
      <c r="C6311" s="424" t="str">
        <f t="shared" si="268"/>
        <v>Viação Alvorada, Lda</v>
      </c>
      <c r="D6311" t="s">
        <v>629</v>
      </c>
      <c r="F6311" t="s">
        <v>620</v>
      </c>
      <c r="G6311" s="89">
        <v>2022</v>
      </c>
      <c r="H6311" s="313" t="s">
        <v>5816</v>
      </c>
      <c r="I6311" s="311" t="str">
        <f t="shared" si="270"/>
        <v>Pesado de Passageiros M3:  : Gasóleo : E6 D/E E7</v>
      </c>
      <c r="J6311">
        <v>108</v>
      </c>
      <c r="K6311" s="422">
        <v>2023</v>
      </c>
      <c r="L6311">
        <v>22064</v>
      </c>
      <c r="M6311" t="s">
        <v>630</v>
      </c>
      <c r="N6311" s="131">
        <v>22064</v>
      </c>
      <c r="O6311" s="436">
        <f t="shared" si="269"/>
        <v>2382912</v>
      </c>
      <c r="P6311" s="89">
        <v>1390</v>
      </c>
      <c r="Q6311" t="s">
        <v>47</v>
      </c>
      <c r="R6311" s="422" t="s">
        <v>1869</v>
      </c>
      <c r="S6311" s="422" t="s">
        <v>1861</v>
      </c>
      <c r="T6311" s="422" t="s">
        <v>5821</v>
      </c>
      <c r="U6311" s="422" t="s">
        <v>1953</v>
      </c>
      <c r="V6311" s="422" t="s">
        <v>2813</v>
      </c>
    </row>
    <row r="6312" spans="1:22" ht="15.75" thickBot="1" x14ac:dyDescent="0.3">
      <c r="A6312" t="s">
        <v>4668</v>
      </c>
      <c r="B6312" t="s">
        <v>4668</v>
      </c>
      <c r="C6312" s="424" t="str">
        <f t="shared" si="268"/>
        <v>Viação Alvorada, Lda</v>
      </c>
      <c r="D6312" t="s">
        <v>629</v>
      </c>
      <c r="F6312" t="s">
        <v>620</v>
      </c>
      <c r="G6312" s="89">
        <v>2022</v>
      </c>
      <c r="H6312" s="313" t="s">
        <v>5816</v>
      </c>
      <c r="I6312" s="311" t="str">
        <f t="shared" si="270"/>
        <v>Pesado de Passageiros M3:  : Gasóleo : E6 D/E E7</v>
      </c>
      <c r="J6312">
        <v>108</v>
      </c>
      <c r="K6312" s="422">
        <v>2023</v>
      </c>
      <c r="L6312">
        <v>25265</v>
      </c>
      <c r="M6312" t="s">
        <v>630</v>
      </c>
      <c r="N6312" s="131">
        <v>25265</v>
      </c>
      <c r="O6312" s="436">
        <f t="shared" si="269"/>
        <v>2728620</v>
      </c>
      <c r="P6312" s="89">
        <v>1391</v>
      </c>
      <c r="Q6312" t="s">
        <v>47</v>
      </c>
      <c r="R6312" s="422" t="s">
        <v>1869</v>
      </c>
      <c r="S6312" s="422" t="s">
        <v>1861</v>
      </c>
      <c r="T6312" s="422" t="s">
        <v>5821</v>
      </c>
      <c r="U6312" s="422" t="s">
        <v>1953</v>
      </c>
      <c r="V6312" s="422" t="s">
        <v>2813</v>
      </c>
    </row>
    <row r="6313" spans="1:22" ht="15.75" thickBot="1" x14ac:dyDescent="0.3">
      <c r="A6313" t="s">
        <v>4668</v>
      </c>
      <c r="B6313" t="s">
        <v>4668</v>
      </c>
      <c r="C6313" s="424" t="str">
        <f t="shared" si="268"/>
        <v>Viação Alvorada, Lda</v>
      </c>
      <c r="D6313" t="s">
        <v>629</v>
      </c>
      <c r="F6313" t="s">
        <v>620</v>
      </c>
      <c r="G6313" s="89">
        <v>2022</v>
      </c>
      <c r="H6313" s="313" t="s">
        <v>5816</v>
      </c>
      <c r="I6313" s="311" t="str">
        <f t="shared" si="270"/>
        <v>Pesado de Passageiros M3:  : Gasóleo : E6 D/E E7</v>
      </c>
      <c r="J6313">
        <v>108</v>
      </c>
      <c r="K6313" s="422">
        <v>2023</v>
      </c>
      <c r="L6313">
        <v>18845</v>
      </c>
      <c r="M6313" t="s">
        <v>630</v>
      </c>
      <c r="N6313" s="131">
        <v>18845</v>
      </c>
      <c r="O6313" s="436">
        <f t="shared" si="269"/>
        <v>2035260</v>
      </c>
      <c r="P6313" s="89">
        <v>1392</v>
      </c>
      <c r="Q6313" t="s">
        <v>47</v>
      </c>
      <c r="R6313" s="422" t="s">
        <v>1869</v>
      </c>
      <c r="S6313" s="422" t="s">
        <v>1861</v>
      </c>
      <c r="T6313" s="422" t="s">
        <v>5821</v>
      </c>
      <c r="U6313" s="422" t="s">
        <v>1953</v>
      </c>
      <c r="V6313" s="422" t="s">
        <v>2813</v>
      </c>
    </row>
    <row r="6314" spans="1:22" ht="15.75" thickBot="1" x14ac:dyDescent="0.3">
      <c r="A6314" t="s">
        <v>4668</v>
      </c>
      <c r="B6314" t="s">
        <v>4668</v>
      </c>
      <c r="C6314" s="424" t="str">
        <f t="shared" si="268"/>
        <v>Viação Alvorada, Lda</v>
      </c>
      <c r="D6314" t="s">
        <v>629</v>
      </c>
      <c r="F6314" t="s">
        <v>620</v>
      </c>
      <c r="G6314" s="89">
        <v>2022</v>
      </c>
      <c r="H6314" s="313" t="s">
        <v>5816</v>
      </c>
      <c r="I6314" s="311" t="str">
        <f t="shared" si="270"/>
        <v>Pesado de Passageiros M3:  : Gasóleo : E6 D/E E7</v>
      </c>
      <c r="J6314">
        <v>108</v>
      </c>
      <c r="K6314" s="422">
        <v>2023</v>
      </c>
      <c r="L6314">
        <v>22597</v>
      </c>
      <c r="M6314" t="s">
        <v>630</v>
      </c>
      <c r="N6314" s="131">
        <v>22597</v>
      </c>
      <c r="O6314" s="436">
        <f t="shared" si="269"/>
        <v>2440476</v>
      </c>
      <c r="P6314" s="89">
        <v>1393</v>
      </c>
      <c r="Q6314" t="s">
        <v>47</v>
      </c>
      <c r="R6314" s="422" t="s">
        <v>1869</v>
      </c>
      <c r="S6314" s="422" t="s">
        <v>1861</v>
      </c>
      <c r="T6314" s="422" t="s">
        <v>5821</v>
      </c>
      <c r="U6314" s="422" t="s">
        <v>1953</v>
      </c>
      <c r="V6314" s="422" t="s">
        <v>2813</v>
      </c>
    </row>
    <row r="6315" spans="1:22" ht="15.75" thickBot="1" x14ac:dyDescent="0.3">
      <c r="A6315" t="s">
        <v>4668</v>
      </c>
      <c r="B6315" t="s">
        <v>4668</v>
      </c>
      <c r="C6315" s="424" t="str">
        <f t="shared" si="268"/>
        <v>Viação Alvorada, Lda</v>
      </c>
      <c r="D6315" t="s">
        <v>629</v>
      </c>
      <c r="F6315" t="s">
        <v>620</v>
      </c>
      <c r="G6315" s="89">
        <v>2022</v>
      </c>
      <c r="H6315" s="313" t="s">
        <v>5816</v>
      </c>
      <c r="I6315" s="311" t="str">
        <f t="shared" si="270"/>
        <v>Pesado de Passageiros M3:  : Gasóleo : E6 D/E E7</v>
      </c>
      <c r="J6315">
        <v>108</v>
      </c>
      <c r="K6315" s="422">
        <v>2023</v>
      </c>
      <c r="L6315">
        <v>24175</v>
      </c>
      <c r="M6315" t="s">
        <v>630</v>
      </c>
      <c r="N6315" s="131">
        <v>24175</v>
      </c>
      <c r="O6315" s="436">
        <f t="shared" si="269"/>
        <v>2610900</v>
      </c>
      <c r="P6315" s="89">
        <v>1394</v>
      </c>
      <c r="Q6315" t="s">
        <v>47</v>
      </c>
      <c r="R6315" s="422" t="s">
        <v>1869</v>
      </c>
      <c r="S6315" s="422" t="s">
        <v>1861</v>
      </c>
      <c r="T6315" s="422" t="s">
        <v>5821</v>
      </c>
      <c r="U6315" s="422" t="s">
        <v>1953</v>
      </c>
      <c r="V6315" s="422" t="s">
        <v>2813</v>
      </c>
    </row>
    <row r="6316" spans="1:22" ht="15.75" thickBot="1" x14ac:dyDescent="0.3">
      <c r="A6316" t="s">
        <v>4668</v>
      </c>
      <c r="B6316" t="s">
        <v>4668</v>
      </c>
      <c r="C6316" s="424" t="str">
        <f t="shared" si="268"/>
        <v>Viação Alvorada, Lda</v>
      </c>
      <c r="D6316" t="s">
        <v>629</v>
      </c>
      <c r="F6316" t="s">
        <v>620</v>
      </c>
      <c r="G6316" s="89">
        <v>2022</v>
      </c>
      <c r="H6316" s="313" t="s">
        <v>5816</v>
      </c>
      <c r="I6316" s="311" t="str">
        <f t="shared" si="270"/>
        <v>Pesado de Passageiros M3:  : Gasóleo : E6 D/E E7</v>
      </c>
      <c r="J6316">
        <v>108</v>
      </c>
      <c r="K6316" s="422">
        <v>2023</v>
      </c>
      <c r="L6316">
        <v>20141</v>
      </c>
      <c r="M6316" t="s">
        <v>630</v>
      </c>
      <c r="N6316" s="131">
        <v>20141</v>
      </c>
      <c r="O6316" s="436">
        <f t="shared" si="269"/>
        <v>2175228</v>
      </c>
      <c r="P6316" s="89">
        <v>1395</v>
      </c>
      <c r="Q6316" t="s">
        <v>47</v>
      </c>
      <c r="R6316" s="422" t="s">
        <v>1869</v>
      </c>
      <c r="S6316" s="422" t="s">
        <v>1861</v>
      </c>
      <c r="T6316" s="422" t="s">
        <v>5821</v>
      </c>
      <c r="U6316" s="422" t="s">
        <v>1953</v>
      </c>
      <c r="V6316" s="422" t="s">
        <v>2813</v>
      </c>
    </row>
    <row r="6317" spans="1:22" ht="15.75" thickBot="1" x14ac:dyDescent="0.3">
      <c r="A6317" t="s">
        <v>4668</v>
      </c>
      <c r="B6317" t="s">
        <v>4668</v>
      </c>
      <c r="C6317" s="424" t="str">
        <f t="shared" si="268"/>
        <v>Viação Alvorada, Lda</v>
      </c>
      <c r="D6317" t="s">
        <v>629</v>
      </c>
      <c r="F6317" t="s">
        <v>620</v>
      </c>
      <c r="G6317" s="89">
        <v>2022</v>
      </c>
      <c r="H6317" s="313" t="s">
        <v>5816</v>
      </c>
      <c r="I6317" s="311" t="str">
        <f t="shared" si="270"/>
        <v>Pesado de Passageiros M3:  : Gasóleo : E6 D/E E7</v>
      </c>
      <c r="J6317">
        <v>108</v>
      </c>
      <c r="K6317" s="422">
        <v>2023</v>
      </c>
      <c r="L6317">
        <v>20460</v>
      </c>
      <c r="M6317" t="s">
        <v>630</v>
      </c>
      <c r="N6317" s="131">
        <v>20460</v>
      </c>
      <c r="O6317" s="436">
        <f t="shared" si="269"/>
        <v>2209680</v>
      </c>
      <c r="P6317" s="89">
        <v>1396</v>
      </c>
      <c r="Q6317" t="s">
        <v>47</v>
      </c>
      <c r="R6317" s="422" t="s">
        <v>1869</v>
      </c>
      <c r="S6317" s="422" t="s">
        <v>1861</v>
      </c>
      <c r="T6317" s="422" t="s">
        <v>5821</v>
      </c>
      <c r="U6317" s="422" t="s">
        <v>1953</v>
      </c>
      <c r="V6317" s="422" t="s">
        <v>2813</v>
      </c>
    </row>
    <row r="6318" spans="1:22" ht="15.75" thickBot="1" x14ac:dyDescent="0.3">
      <c r="A6318" t="s">
        <v>4668</v>
      </c>
      <c r="B6318" t="s">
        <v>4668</v>
      </c>
      <c r="C6318" s="424" t="str">
        <f t="shared" si="268"/>
        <v>Viação Alvorada, Lda</v>
      </c>
      <c r="D6318" t="s">
        <v>629</v>
      </c>
      <c r="F6318" t="s">
        <v>620</v>
      </c>
      <c r="G6318" s="89">
        <v>2022</v>
      </c>
      <c r="H6318" s="313" t="s">
        <v>5816</v>
      </c>
      <c r="I6318" s="311" t="str">
        <f t="shared" si="270"/>
        <v>Pesado de Passageiros M3:  : Gasóleo : E6 D/E E7</v>
      </c>
      <c r="J6318">
        <v>108</v>
      </c>
      <c r="K6318" s="422">
        <v>2023</v>
      </c>
      <c r="L6318">
        <v>26445</v>
      </c>
      <c r="M6318" t="s">
        <v>630</v>
      </c>
      <c r="N6318" s="131">
        <v>26445</v>
      </c>
      <c r="O6318" s="436">
        <f t="shared" si="269"/>
        <v>2856060</v>
      </c>
      <c r="P6318" s="89">
        <v>1397</v>
      </c>
      <c r="Q6318" t="s">
        <v>47</v>
      </c>
      <c r="R6318" s="422" t="s">
        <v>1869</v>
      </c>
      <c r="S6318" s="422" t="s">
        <v>1861</v>
      </c>
      <c r="T6318" s="422" t="s">
        <v>5821</v>
      </c>
      <c r="U6318" s="422" t="s">
        <v>1953</v>
      </c>
      <c r="V6318" s="422" t="s">
        <v>2813</v>
      </c>
    </row>
    <row r="6319" spans="1:22" ht="15.75" thickBot="1" x14ac:dyDescent="0.3">
      <c r="A6319" t="s">
        <v>4668</v>
      </c>
      <c r="B6319" t="s">
        <v>4668</v>
      </c>
      <c r="C6319" s="424" t="str">
        <f t="shared" si="268"/>
        <v>Viação Alvorada, Lda</v>
      </c>
      <c r="D6319" t="s">
        <v>629</v>
      </c>
      <c r="F6319" t="s">
        <v>620</v>
      </c>
      <c r="G6319" s="89">
        <v>2022</v>
      </c>
      <c r="H6319" s="313" t="s">
        <v>5816</v>
      </c>
      <c r="I6319" s="311" t="str">
        <f t="shared" si="270"/>
        <v>Pesado de Passageiros M3:  : Gasóleo : E6 D/E E7</v>
      </c>
      <c r="J6319">
        <v>108</v>
      </c>
      <c r="K6319" s="422">
        <v>2023</v>
      </c>
      <c r="L6319">
        <v>18880</v>
      </c>
      <c r="M6319" t="s">
        <v>630</v>
      </c>
      <c r="N6319" s="131">
        <v>18880</v>
      </c>
      <c r="O6319" s="436">
        <f t="shared" si="269"/>
        <v>2039040</v>
      </c>
      <c r="P6319" s="89">
        <v>1398</v>
      </c>
      <c r="Q6319" t="s">
        <v>47</v>
      </c>
      <c r="R6319" s="422" t="s">
        <v>1869</v>
      </c>
      <c r="S6319" s="422" t="s">
        <v>1861</v>
      </c>
      <c r="T6319" s="422" t="s">
        <v>5821</v>
      </c>
      <c r="U6319" s="422" t="s">
        <v>1953</v>
      </c>
      <c r="V6319" s="422" t="s">
        <v>2813</v>
      </c>
    </row>
    <row r="6320" spans="1:22" ht="15.75" thickBot="1" x14ac:dyDescent="0.3">
      <c r="A6320" t="s">
        <v>4668</v>
      </c>
      <c r="B6320" t="s">
        <v>4668</v>
      </c>
      <c r="C6320" s="424" t="str">
        <f t="shared" si="268"/>
        <v>Viação Alvorada, Lda</v>
      </c>
      <c r="D6320" t="s">
        <v>629</v>
      </c>
      <c r="F6320" t="s">
        <v>620</v>
      </c>
      <c r="G6320" s="89">
        <v>2022</v>
      </c>
      <c r="H6320" s="313" t="s">
        <v>5816</v>
      </c>
      <c r="I6320" s="311" t="str">
        <f t="shared" si="270"/>
        <v>Pesado de Passageiros M3:  : Gasóleo : E6 D/E E7</v>
      </c>
      <c r="J6320">
        <v>108</v>
      </c>
      <c r="K6320" s="422">
        <v>2023</v>
      </c>
      <c r="L6320">
        <v>29062</v>
      </c>
      <c r="M6320" t="s">
        <v>630</v>
      </c>
      <c r="N6320" s="131">
        <v>29062</v>
      </c>
      <c r="O6320" s="436">
        <f t="shared" si="269"/>
        <v>3138696</v>
      </c>
      <c r="P6320" s="89">
        <v>1399</v>
      </c>
      <c r="Q6320" t="s">
        <v>47</v>
      </c>
      <c r="R6320" s="422" t="s">
        <v>1869</v>
      </c>
      <c r="S6320" s="422" t="s">
        <v>1861</v>
      </c>
      <c r="T6320" s="422" t="s">
        <v>5821</v>
      </c>
      <c r="U6320" s="422" t="s">
        <v>1953</v>
      </c>
      <c r="V6320" s="422" t="s">
        <v>2813</v>
      </c>
    </row>
    <row r="6321" spans="1:22" ht="15.75" thickBot="1" x14ac:dyDescent="0.3">
      <c r="A6321" t="s">
        <v>4668</v>
      </c>
      <c r="B6321" t="s">
        <v>4668</v>
      </c>
      <c r="C6321" s="424" t="str">
        <f t="shared" si="268"/>
        <v>Viação Alvorada, Lda</v>
      </c>
      <c r="D6321" t="s">
        <v>629</v>
      </c>
      <c r="F6321" t="s">
        <v>620</v>
      </c>
      <c r="G6321" s="89">
        <v>2022</v>
      </c>
      <c r="H6321" s="313" t="s">
        <v>5816</v>
      </c>
      <c r="I6321" s="311" t="str">
        <f t="shared" si="270"/>
        <v>Pesado de Passageiros M3:  : Gasóleo : E6 D/E E7</v>
      </c>
      <c r="J6321">
        <v>108</v>
      </c>
      <c r="K6321" s="422">
        <v>2023</v>
      </c>
      <c r="L6321">
        <v>20729</v>
      </c>
      <c r="M6321" t="s">
        <v>630</v>
      </c>
      <c r="N6321" s="131">
        <v>20729</v>
      </c>
      <c r="O6321" s="436">
        <f t="shared" si="269"/>
        <v>2238732</v>
      </c>
      <c r="P6321" s="89">
        <v>1400</v>
      </c>
      <c r="Q6321" t="s">
        <v>47</v>
      </c>
      <c r="R6321" s="422" t="s">
        <v>1869</v>
      </c>
      <c r="S6321" s="422" t="s">
        <v>1861</v>
      </c>
      <c r="T6321" s="422" t="s">
        <v>5821</v>
      </c>
      <c r="U6321" s="422" t="s">
        <v>1953</v>
      </c>
      <c r="V6321" s="422" t="s">
        <v>2813</v>
      </c>
    </row>
    <row r="6322" spans="1:22" ht="15.75" thickBot="1" x14ac:dyDescent="0.3">
      <c r="A6322" t="s">
        <v>4668</v>
      </c>
      <c r="B6322" t="s">
        <v>4668</v>
      </c>
      <c r="C6322" s="424" t="str">
        <f t="shared" ref="C6322:C6385" si="271">IF(A6322=B6322,B6322,RIGHT(A6322,LEN(A6322)-LEN(B6322)-3))</f>
        <v>Viação Alvorada, Lda</v>
      </c>
      <c r="D6322" t="s">
        <v>629</v>
      </c>
      <c r="F6322" t="s">
        <v>620</v>
      </c>
      <c r="G6322" s="89">
        <v>2022</v>
      </c>
      <c r="H6322" s="313" t="s">
        <v>5816</v>
      </c>
      <c r="I6322" s="311" t="str">
        <f t="shared" si="270"/>
        <v>Pesado de Passageiros M3:  : Gasóleo : E6 D/E E7</v>
      </c>
      <c r="J6322">
        <v>108</v>
      </c>
      <c r="K6322" s="422">
        <v>2023</v>
      </c>
      <c r="L6322">
        <v>26026</v>
      </c>
      <c r="M6322" t="s">
        <v>630</v>
      </c>
      <c r="N6322" s="131">
        <v>26026</v>
      </c>
      <c r="O6322" s="436">
        <f t="shared" si="269"/>
        <v>2810808</v>
      </c>
      <c r="P6322" s="89">
        <v>1401</v>
      </c>
      <c r="Q6322" t="s">
        <v>47</v>
      </c>
      <c r="R6322" s="422" t="s">
        <v>1869</v>
      </c>
      <c r="S6322" s="422" t="s">
        <v>1861</v>
      </c>
      <c r="T6322" s="422" t="s">
        <v>5821</v>
      </c>
      <c r="U6322" s="422" t="s">
        <v>1953</v>
      </c>
      <c r="V6322" s="422" t="s">
        <v>2813</v>
      </c>
    </row>
    <row r="6323" spans="1:22" ht="15.75" thickBot="1" x14ac:dyDescent="0.3">
      <c r="A6323" t="s">
        <v>4668</v>
      </c>
      <c r="B6323" t="s">
        <v>4668</v>
      </c>
      <c r="C6323" s="424" t="str">
        <f t="shared" si="271"/>
        <v>Viação Alvorada, Lda</v>
      </c>
      <c r="D6323" t="s">
        <v>629</v>
      </c>
      <c r="F6323" t="s">
        <v>620</v>
      </c>
      <c r="G6323" s="89">
        <v>2022</v>
      </c>
      <c r="H6323" s="313" t="s">
        <v>5816</v>
      </c>
      <c r="I6323" s="311" t="str">
        <f t="shared" si="270"/>
        <v>Pesado de Passageiros M3:  : Gasóleo : E6 D/E E7</v>
      </c>
      <c r="J6323">
        <v>108</v>
      </c>
      <c r="K6323" s="422">
        <v>2023</v>
      </c>
      <c r="L6323">
        <v>27439</v>
      </c>
      <c r="M6323" t="s">
        <v>630</v>
      </c>
      <c r="N6323" s="131">
        <v>27439</v>
      </c>
      <c r="O6323" s="436">
        <f t="shared" si="269"/>
        <v>2963412</v>
      </c>
      <c r="P6323" s="89">
        <v>1402</v>
      </c>
      <c r="Q6323" t="s">
        <v>47</v>
      </c>
      <c r="R6323" s="422" t="s">
        <v>1869</v>
      </c>
      <c r="S6323" s="422" t="s">
        <v>1861</v>
      </c>
      <c r="T6323" s="422" t="s">
        <v>5821</v>
      </c>
      <c r="U6323" s="422" t="s">
        <v>1953</v>
      </c>
      <c r="V6323" s="422" t="s">
        <v>2813</v>
      </c>
    </row>
    <row r="6324" spans="1:22" ht="15.75" thickBot="1" x14ac:dyDescent="0.3">
      <c r="A6324" t="s">
        <v>4668</v>
      </c>
      <c r="B6324" t="s">
        <v>4668</v>
      </c>
      <c r="C6324" s="424" t="str">
        <f t="shared" si="271"/>
        <v>Viação Alvorada, Lda</v>
      </c>
      <c r="D6324" t="s">
        <v>629</v>
      </c>
      <c r="F6324" t="s">
        <v>620</v>
      </c>
      <c r="G6324" s="89">
        <v>2022</v>
      </c>
      <c r="H6324" s="313" t="s">
        <v>5816</v>
      </c>
      <c r="I6324" s="311" t="str">
        <f t="shared" si="270"/>
        <v>Pesado de Passageiros M3:  : Gasóleo : E6 D/E E7</v>
      </c>
      <c r="J6324">
        <v>108</v>
      </c>
      <c r="K6324" s="422">
        <v>2023</v>
      </c>
      <c r="L6324">
        <v>26658</v>
      </c>
      <c r="M6324" t="s">
        <v>630</v>
      </c>
      <c r="N6324" s="131">
        <v>26658</v>
      </c>
      <c r="O6324" s="436">
        <f t="shared" si="269"/>
        <v>2879064</v>
      </c>
      <c r="P6324" s="89">
        <v>1403</v>
      </c>
      <c r="Q6324" t="s">
        <v>47</v>
      </c>
      <c r="R6324" s="422" t="s">
        <v>1869</v>
      </c>
      <c r="S6324" s="422" t="s">
        <v>1861</v>
      </c>
      <c r="T6324" s="422" t="s">
        <v>5821</v>
      </c>
      <c r="U6324" s="422" t="s">
        <v>1953</v>
      </c>
      <c r="V6324" s="422" t="s">
        <v>2813</v>
      </c>
    </row>
    <row r="6325" spans="1:22" ht="15.75" thickBot="1" x14ac:dyDescent="0.3">
      <c r="A6325" t="s">
        <v>4668</v>
      </c>
      <c r="B6325" t="s">
        <v>4668</v>
      </c>
      <c r="C6325" s="424" t="str">
        <f t="shared" si="271"/>
        <v>Viação Alvorada, Lda</v>
      </c>
      <c r="D6325" t="s">
        <v>629</v>
      </c>
      <c r="F6325" t="s">
        <v>620</v>
      </c>
      <c r="G6325" s="89">
        <v>2022</v>
      </c>
      <c r="H6325" s="313" t="s">
        <v>5816</v>
      </c>
      <c r="I6325" s="311" t="str">
        <f t="shared" si="270"/>
        <v>Pesado de Passageiros M3:  : Gasóleo : E6 D/E E7</v>
      </c>
      <c r="J6325">
        <v>108</v>
      </c>
      <c r="K6325" s="422">
        <v>2023</v>
      </c>
      <c r="L6325">
        <v>26008</v>
      </c>
      <c r="M6325" t="s">
        <v>630</v>
      </c>
      <c r="N6325" s="131">
        <v>26008</v>
      </c>
      <c r="O6325" s="436">
        <f t="shared" si="269"/>
        <v>2808864</v>
      </c>
      <c r="P6325" s="89">
        <v>1404</v>
      </c>
      <c r="Q6325" t="s">
        <v>47</v>
      </c>
      <c r="R6325" s="422" t="s">
        <v>1869</v>
      </c>
      <c r="S6325" s="422" t="s">
        <v>1861</v>
      </c>
      <c r="T6325" s="422" t="s">
        <v>5821</v>
      </c>
      <c r="U6325" s="422" t="s">
        <v>1953</v>
      </c>
      <c r="V6325" s="422" t="s">
        <v>2813</v>
      </c>
    </row>
    <row r="6326" spans="1:22" ht="15.75" thickBot="1" x14ac:dyDescent="0.3">
      <c r="A6326" t="s">
        <v>4668</v>
      </c>
      <c r="B6326" t="s">
        <v>4668</v>
      </c>
      <c r="C6326" s="424" t="str">
        <f t="shared" si="271"/>
        <v>Viação Alvorada, Lda</v>
      </c>
      <c r="D6326" t="s">
        <v>629</v>
      </c>
      <c r="F6326" t="s">
        <v>620</v>
      </c>
      <c r="G6326" s="89">
        <v>2022</v>
      </c>
      <c r="H6326" s="313" t="s">
        <v>5816</v>
      </c>
      <c r="I6326" s="311" t="str">
        <f t="shared" si="270"/>
        <v>Pesado de Passageiros M3:  : Gasóleo : E6 D/E E7</v>
      </c>
      <c r="J6326">
        <v>108</v>
      </c>
      <c r="K6326" s="422">
        <v>2023</v>
      </c>
      <c r="L6326">
        <v>30201</v>
      </c>
      <c r="M6326" t="s">
        <v>630</v>
      </c>
      <c r="N6326" s="131">
        <v>30201</v>
      </c>
      <c r="O6326" s="436">
        <f t="shared" si="269"/>
        <v>3261708</v>
      </c>
      <c r="P6326" s="89">
        <v>1405</v>
      </c>
      <c r="Q6326" t="s">
        <v>47</v>
      </c>
      <c r="R6326" s="422" t="s">
        <v>1869</v>
      </c>
      <c r="S6326" s="422" t="s">
        <v>1861</v>
      </c>
      <c r="T6326" s="422" t="s">
        <v>5821</v>
      </c>
      <c r="U6326" s="422" t="s">
        <v>1953</v>
      </c>
      <c r="V6326" s="422" t="s">
        <v>2813</v>
      </c>
    </row>
    <row r="6327" spans="1:22" ht="15.75" thickBot="1" x14ac:dyDescent="0.3">
      <c r="A6327" t="s">
        <v>4668</v>
      </c>
      <c r="B6327" t="s">
        <v>4668</v>
      </c>
      <c r="C6327" s="424" t="str">
        <f t="shared" si="271"/>
        <v>Viação Alvorada, Lda</v>
      </c>
      <c r="D6327" t="s">
        <v>629</v>
      </c>
      <c r="F6327" t="s">
        <v>620</v>
      </c>
      <c r="G6327" s="89">
        <v>2022</v>
      </c>
      <c r="H6327" s="313" t="s">
        <v>5816</v>
      </c>
      <c r="I6327" s="311" t="str">
        <f t="shared" si="270"/>
        <v>Pesado de Passageiros M3:  : Gasóleo : E6 D/E E7</v>
      </c>
      <c r="J6327">
        <v>108</v>
      </c>
      <c r="K6327" s="422">
        <v>2023</v>
      </c>
      <c r="L6327">
        <v>21590</v>
      </c>
      <c r="M6327" t="s">
        <v>630</v>
      </c>
      <c r="N6327" s="131">
        <v>21590</v>
      </c>
      <c r="O6327" s="436">
        <f t="shared" si="269"/>
        <v>2331720</v>
      </c>
      <c r="P6327" s="89">
        <v>1406</v>
      </c>
      <c r="Q6327" t="s">
        <v>47</v>
      </c>
      <c r="R6327" s="422" t="s">
        <v>1869</v>
      </c>
      <c r="S6327" s="422" t="s">
        <v>1861</v>
      </c>
      <c r="T6327" s="422" t="s">
        <v>5821</v>
      </c>
      <c r="U6327" s="422" t="s">
        <v>1953</v>
      </c>
      <c r="V6327" s="422" t="s">
        <v>2813</v>
      </c>
    </row>
    <row r="6328" spans="1:22" ht="15.75" thickBot="1" x14ac:dyDescent="0.3">
      <c r="A6328" t="s">
        <v>4668</v>
      </c>
      <c r="B6328" t="s">
        <v>4668</v>
      </c>
      <c r="C6328" s="424" t="str">
        <f t="shared" si="271"/>
        <v>Viação Alvorada, Lda</v>
      </c>
      <c r="D6328" t="s">
        <v>629</v>
      </c>
      <c r="F6328" t="s">
        <v>620</v>
      </c>
      <c r="G6328" s="89">
        <v>2022</v>
      </c>
      <c r="H6328" s="313" t="s">
        <v>5816</v>
      </c>
      <c r="I6328" s="311" t="str">
        <f t="shared" si="270"/>
        <v>Pesado de Passageiros M3:  : Gasóleo : E6 D/E E7</v>
      </c>
      <c r="J6328">
        <v>108</v>
      </c>
      <c r="K6328" s="422">
        <v>2023</v>
      </c>
      <c r="L6328">
        <v>27011</v>
      </c>
      <c r="M6328" t="s">
        <v>630</v>
      </c>
      <c r="N6328" s="131">
        <v>27011</v>
      </c>
      <c r="O6328" s="436">
        <f t="shared" si="269"/>
        <v>2917188</v>
      </c>
      <c r="P6328" s="89">
        <v>1407</v>
      </c>
      <c r="Q6328" t="s">
        <v>47</v>
      </c>
      <c r="R6328" s="422" t="s">
        <v>1869</v>
      </c>
      <c r="S6328" s="422" t="s">
        <v>1861</v>
      </c>
      <c r="T6328" s="422" t="s">
        <v>5821</v>
      </c>
      <c r="U6328" s="422" t="s">
        <v>1953</v>
      </c>
      <c r="V6328" s="422" t="s">
        <v>2813</v>
      </c>
    </row>
    <row r="6329" spans="1:22" ht="15.75" thickBot="1" x14ac:dyDescent="0.3">
      <c r="A6329" t="s">
        <v>4668</v>
      </c>
      <c r="B6329" t="s">
        <v>4668</v>
      </c>
      <c r="C6329" s="424" t="str">
        <f t="shared" si="271"/>
        <v>Viação Alvorada, Lda</v>
      </c>
      <c r="D6329" t="s">
        <v>629</v>
      </c>
      <c r="F6329" t="s">
        <v>620</v>
      </c>
      <c r="G6329" s="89">
        <v>2022</v>
      </c>
      <c r="H6329" s="313" t="s">
        <v>5816</v>
      </c>
      <c r="I6329" s="311" t="str">
        <f t="shared" si="270"/>
        <v>Pesado de Passageiros M3:  : Gasóleo : E6 D/E E7</v>
      </c>
      <c r="J6329">
        <v>108</v>
      </c>
      <c r="K6329" s="422">
        <v>2023</v>
      </c>
      <c r="L6329">
        <v>31180</v>
      </c>
      <c r="M6329" t="s">
        <v>630</v>
      </c>
      <c r="N6329" s="131">
        <v>31180</v>
      </c>
      <c r="O6329" s="436">
        <f t="shared" si="269"/>
        <v>3367440</v>
      </c>
      <c r="P6329" s="89">
        <v>1408</v>
      </c>
      <c r="Q6329" t="s">
        <v>47</v>
      </c>
      <c r="R6329" s="422" t="s">
        <v>1869</v>
      </c>
      <c r="S6329" s="422" t="s">
        <v>1861</v>
      </c>
      <c r="T6329" s="422" t="s">
        <v>5821</v>
      </c>
      <c r="U6329" s="422" t="s">
        <v>1953</v>
      </c>
      <c r="V6329" s="422" t="s">
        <v>2813</v>
      </c>
    </row>
    <row r="6330" spans="1:22" ht="15.75" thickBot="1" x14ac:dyDescent="0.3">
      <c r="A6330" t="s">
        <v>4668</v>
      </c>
      <c r="B6330" t="s">
        <v>4668</v>
      </c>
      <c r="C6330" s="424" t="str">
        <f t="shared" si="271"/>
        <v>Viação Alvorada, Lda</v>
      </c>
      <c r="D6330" t="s">
        <v>629</v>
      </c>
      <c r="F6330" t="s">
        <v>620</v>
      </c>
      <c r="G6330" s="89">
        <v>2022</v>
      </c>
      <c r="H6330" s="313" t="s">
        <v>5816</v>
      </c>
      <c r="I6330" s="311" t="str">
        <f t="shared" si="270"/>
        <v>Pesado de Passageiros M3:  : Gasóleo : E6 D/E E7</v>
      </c>
      <c r="J6330">
        <v>108</v>
      </c>
      <c r="K6330" s="422">
        <v>2023</v>
      </c>
      <c r="L6330">
        <v>22770</v>
      </c>
      <c r="M6330" t="s">
        <v>630</v>
      </c>
      <c r="N6330" s="131">
        <v>22770</v>
      </c>
      <c r="O6330" s="436">
        <f t="shared" si="269"/>
        <v>2459160</v>
      </c>
      <c r="P6330" s="89">
        <v>1409</v>
      </c>
      <c r="Q6330" t="s">
        <v>47</v>
      </c>
      <c r="R6330" s="422" t="s">
        <v>1869</v>
      </c>
      <c r="S6330" s="422" t="s">
        <v>1861</v>
      </c>
      <c r="T6330" s="422" t="s">
        <v>5821</v>
      </c>
      <c r="U6330" s="422" t="s">
        <v>1953</v>
      </c>
      <c r="V6330" s="422" t="s">
        <v>2813</v>
      </c>
    </row>
    <row r="6331" spans="1:22" ht="15.75" thickBot="1" x14ac:dyDescent="0.3">
      <c r="A6331" t="s">
        <v>4668</v>
      </c>
      <c r="B6331" t="s">
        <v>4668</v>
      </c>
      <c r="C6331" s="424" t="str">
        <f t="shared" si="271"/>
        <v>Viação Alvorada, Lda</v>
      </c>
      <c r="D6331" t="s">
        <v>629</v>
      </c>
      <c r="F6331" t="s">
        <v>620</v>
      </c>
      <c r="G6331" s="89">
        <v>2022</v>
      </c>
      <c r="H6331" s="313" t="s">
        <v>5816</v>
      </c>
      <c r="I6331" s="311" t="str">
        <f t="shared" si="270"/>
        <v>Pesado de Passageiros M3:  : Gasóleo : E6 D/E E7</v>
      </c>
      <c r="J6331">
        <v>108</v>
      </c>
      <c r="K6331" s="422">
        <v>2023</v>
      </c>
      <c r="L6331">
        <v>25299</v>
      </c>
      <c r="M6331" t="s">
        <v>630</v>
      </c>
      <c r="N6331" s="131">
        <v>25299</v>
      </c>
      <c r="O6331" s="436">
        <f t="shared" si="269"/>
        <v>2732292</v>
      </c>
      <c r="P6331" s="89">
        <v>1410</v>
      </c>
      <c r="Q6331" t="s">
        <v>47</v>
      </c>
      <c r="R6331" s="422" t="s">
        <v>1869</v>
      </c>
      <c r="S6331" s="422" t="s">
        <v>1861</v>
      </c>
      <c r="T6331" s="422" t="s">
        <v>5821</v>
      </c>
      <c r="U6331" s="422" t="s">
        <v>1953</v>
      </c>
      <c r="V6331" s="422" t="s">
        <v>2813</v>
      </c>
    </row>
    <row r="6332" spans="1:22" ht="15.75" thickBot="1" x14ac:dyDescent="0.3">
      <c r="A6332" t="s">
        <v>4668</v>
      </c>
      <c r="B6332" t="s">
        <v>4668</v>
      </c>
      <c r="C6332" s="424" t="str">
        <f t="shared" si="271"/>
        <v>Viação Alvorada, Lda</v>
      </c>
      <c r="D6332" t="s">
        <v>629</v>
      </c>
      <c r="F6332" t="s">
        <v>620</v>
      </c>
      <c r="G6332" s="89">
        <v>2022</v>
      </c>
      <c r="H6332" s="313" t="s">
        <v>5816</v>
      </c>
      <c r="I6332" s="311" t="str">
        <f t="shared" si="270"/>
        <v>Pesado de Passageiros M3:  : Gasóleo : E6 D/E E7</v>
      </c>
      <c r="J6332">
        <v>108</v>
      </c>
      <c r="K6332" s="422">
        <v>2023</v>
      </c>
      <c r="L6332">
        <v>26253</v>
      </c>
      <c r="M6332" t="s">
        <v>630</v>
      </c>
      <c r="N6332" s="131">
        <v>26253</v>
      </c>
      <c r="O6332" s="436">
        <f t="shared" si="269"/>
        <v>2835324</v>
      </c>
      <c r="P6332" s="89">
        <v>1411</v>
      </c>
      <c r="Q6332" t="s">
        <v>47</v>
      </c>
      <c r="R6332" s="422" t="s">
        <v>1869</v>
      </c>
      <c r="S6332" s="422" t="s">
        <v>1861</v>
      </c>
      <c r="T6332" s="422" t="s">
        <v>5821</v>
      </c>
      <c r="U6332" s="422" t="s">
        <v>1953</v>
      </c>
      <c r="V6332" s="422" t="s">
        <v>2813</v>
      </c>
    </row>
    <row r="6333" spans="1:22" ht="15.75" thickBot="1" x14ac:dyDescent="0.3">
      <c r="A6333" t="s">
        <v>4668</v>
      </c>
      <c r="B6333" t="s">
        <v>4668</v>
      </c>
      <c r="C6333" s="424" t="str">
        <f t="shared" si="271"/>
        <v>Viação Alvorada, Lda</v>
      </c>
      <c r="D6333" t="s">
        <v>629</v>
      </c>
      <c r="F6333" t="s">
        <v>620</v>
      </c>
      <c r="G6333" s="89">
        <v>2022</v>
      </c>
      <c r="H6333" s="313" t="s">
        <v>5816</v>
      </c>
      <c r="I6333" s="311" t="str">
        <f t="shared" si="270"/>
        <v>Pesado de Passageiros M3:  : Gasóleo : E6 D/E E7</v>
      </c>
      <c r="J6333">
        <v>108</v>
      </c>
      <c r="K6333" s="422">
        <v>2023</v>
      </c>
      <c r="L6333">
        <v>24491</v>
      </c>
      <c r="M6333" t="s">
        <v>630</v>
      </c>
      <c r="N6333" s="131">
        <v>24491</v>
      </c>
      <c r="O6333" s="436">
        <f t="shared" si="269"/>
        <v>2645028</v>
      </c>
      <c r="P6333" s="89">
        <v>1412</v>
      </c>
      <c r="Q6333" t="s">
        <v>47</v>
      </c>
      <c r="R6333" s="422" t="s">
        <v>1869</v>
      </c>
      <c r="S6333" s="422" t="s">
        <v>1861</v>
      </c>
      <c r="T6333" s="422" t="s">
        <v>5821</v>
      </c>
      <c r="U6333" s="422" t="s">
        <v>1953</v>
      </c>
      <c r="V6333" s="422" t="s">
        <v>2813</v>
      </c>
    </row>
    <row r="6334" spans="1:22" ht="15.75" thickBot="1" x14ac:dyDescent="0.3">
      <c r="A6334" t="s">
        <v>4668</v>
      </c>
      <c r="B6334" t="s">
        <v>4668</v>
      </c>
      <c r="C6334" s="424" t="str">
        <f t="shared" si="271"/>
        <v>Viação Alvorada, Lda</v>
      </c>
      <c r="D6334" t="s">
        <v>629</v>
      </c>
      <c r="F6334" t="s">
        <v>620</v>
      </c>
      <c r="G6334" s="89">
        <v>2022</v>
      </c>
      <c r="H6334" s="313" t="s">
        <v>5816</v>
      </c>
      <c r="I6334" s="311" t="str">
        <f t="shared" si="270"/>
        <v>Pesado de Passageiros M3:  : Gasóleo : E6 D/E E7</v>
      </c>
      <c r="J6334">
        <v>108</v>
      </c>
      <c r="K6334" s="422">
        <v>2023</v>
      </c>
      <c r="L6334">
        <v>25622</v>
      </c>
      <c r="M6334" t="s">
        <v>630</v>
      </c>
      <c r="N6334" s="131">
        <v>25622</v>
      </c>
      <c r="O6334" s="436">
        <f t="shared" si="269"/>
        <v>2767176</v>
      </c>
      <c r="P6334" s="89">
        <v>1413</v>
      </c>
      <c r="Q6334" t="s">
        <v>47</v>
      </c>
      <c r="R6334" s="422" t="s">
        <v>1869</v>
      </c>
      <c r="S6334" s="422" t="s">
        <v>1861</v>
      </c>
      <c r="T6334" s="422" t="s">
        <v>5821</v>
      </c>
      <c r="U6334" s="422" t="s">
        <v>1953</v>
      </c>
      <c r="V6334" s="422" t="s">
        <v>2813</v>
      </c>
    </row>
    <row r="6335" spans="1:22" ht="15.75" thickBot="1" x14ac:dyDescent="0.3">
      <c r="A6335" t="s">
        <v>4668</v>
      </c>
      <c r="B6335" t="s">
        <v>4668</v>
      </c>
      <c r="C6335" s="424" t="str">
        <f t="shared" si="271"/>
        <v>Viação Alvorada, Lda</v>
      </c>
      <c r="D6335" t="s">
        <v>629</v>
      </c>
      <c r="F6335" t="s">
        <v>620</v>
      </c>
      <c r="G6335" s="89">
        <v>2022</v>
      </c>
      <c r="H6335" s="313" t="s">
        <v>5816</v>
      </c>
      <c r="I6335" s="311" t="str">
        <f t="shared" si="270"/>
        <v>Pesado de Passageiros M3:  : Gasóleo : E6 D/E E7</v>
      </c>
      <c r="J6335">
        <v>108</v>
      </c>
      <c r="K6335" s="422">
        <v>2023</v>
      </c>
      <c r="L6335">
        <v>23823</v>
      </c>
      <c r="M6335" t="s">
        <v>630</v>
      </c>
      <c r="N6335" s="131">
        <v>23823</v>
      </c>
      <c r="O6335" s="436">
        <f t="shared" si="269"/>
        <v>2572884</v>
      </c>
      <c r="P6335" s="89">
        <v>1414</v>
      </c>
      <c r="Q6335" t="s">
        <v>47</v>
      </c>
      <c r="R6335" s="422" t="s">
        <v>1869</v>
      </c>
      <c r="S6335" s="422" t="s">
        <v>1861</v>
      </c>
      <c r="T6335" s="422" t="s">
        <v>5821</v>
      </c>
      <c r="U6335" s="422" t="s">
        <v>1953</v>
      </c>
      <c r="V6335" s="422" t="s">
        <v>2813</v>
      </c>
    </row>
    <row r="6336" spans="1:22" ht="15.75" thickBot="1" x14ac:dyDescent="0.3">
      <c r="A6336" t="s">
        <v>4668</v>
      </c>
      <c r="B6336" t="s">
        <v>4668</v>
      </c>
      <c r="C6336" s="424" t="str">
        <f t="shared" si="271"/>
        <v>Viação Alvorada, Lda</v>
      </c>
      <c r="D6336" t="s">
        <v>629</v>
      </c>
      <c r="F6336" t="s">
        <v>620</v>
      </c>
      <c r="G6336" s="89">
        <v>2022</v>
      </c>
      <c r="H6336" s="313" t="s">
        <v>5816</v>
      </c>
      <c r="I6336" s="311" t="str">
        <f t="shared" si="270"/>
        <v>Pesado de Passageiros M3:  : Gasóleo : E6 D/E E7</v>
      </c>
      <c r="J6336">
        <v>108</v>
      </c>
      <c r="K6336" s="422">
        <v>2023</v>
      </c>
      <c r="L6336">
        <v>25197</v>
      </c>
      <c r="M6336" t="s">
        <v>630</v>
      </c>
      <c r="N6336" s="131">
        <v>25197</v>
      </c>
      <c r="O6336" s="436">
        <f t="shared" si="269"/>
        <v>2721276</v>
      </c>
      <c r="P6336" s="89">
        <v>1415</v>
      </c>
      <c r="Q6336" t="s">
        <v>47</v>
      </c>
      <c r="R6336" s="422" t="s">
        <v>1869</v>
      </c>
      <c r="S6336" s="422" t="s">
        <v>1861</v>
      </c>
      <c r="T6336" s="422" t="s">
        <v>5821</v>
      </c>
      <c r="U6336" s="422" t="s">
        <v>1953</v>
      </c>
      <c r="V6336" s="422" t="s">
        <v>2813</v>
      </c>
    </row>
    <row r="6337" spans="1:22" ht="15.75" thickBot="1" x14ac:dyDescent="0.3">
      <c r="A6337" t="s">
        <v>4668</v>
      </c>
      <c r="B6337" t="s">
        <v>4668</v>
      </c>
      <c r="C6337" s="424" t="str">
        <f t="shared" si="271"/>
        <v>Viação Alvorada, Lda</v>
      </c>
      <c r="D6337" t="s">
        <v>629</v>
      </c>
      <c r="F6337" t="s">
        <v>620</v>
      </c>
      <c r="G6337" s="89">
        <v>2022</v>
      </c>
      <c r="H6337" s="313" t="s">
        <v>5816</v>
      </c>
      <c r="I6337" s="311" t="str">
        <f t="shared" si="270"/>
        <v>Pesado de Passageiros M3:  : Gasóleo : E6 D/E E7</v>
      </c>
      <c r="J6337">
        <v>108</v>
      </c>
      <c r="K6337" s="422">
        <v>2023</v>
      </c>
      <c r="L6337">
        <v>25472</v>
      </c>
      <c r="M6337" t="s">
        <v>630</v>
      </c>
      <c r="N6337" s="131">
        <v>25472</v>
      </c>
      <c r="O6337" s="436">
        <f t="shared" si="269"/>
        <v>2750976</v>
      </c>
      <c r="P6337" s="89">
        <v>1416</v>
      </c>
      <c r="Q6337" t="s">
        <v>47</v>
      </c>
      <c r="R6337" s="422" t="s">
        <v>1869</v>
      </c>
      <c r="S6337" s="422" t="s">
        <v>1861</v>
      </c>
      <c r="T6337" s="422" t="s">
        <v>5821</v>
      </c>
      <c r="U6337" s="422" t="s">
        <v>1953</v>
      </c>
      <c r="V6337" s="422" t="s">
        <v>2813</v>
      </c>
    </row>
    <row r="6338" spans="1:22" ht="15.75" thickBot="1" x14ac:dyDescent="0.3">
      <c r="A6338" t="s">
        <v>4668</v>
      </c>
      <c r="B6338" t="s">
        <v>4668</v>
      </c>
      <c r="C6338" s="424" t="str">
        <f t="shared" si="271"/>
        <v>Viação Alvorada, Lda</v>
      </c>
      <c r="D6338" t="s">
        <v>629</v>
      </c>
      <c r="F6338" t="s">
        <v>620</v>
      </c>
      <c r="G6338" s="89">
        <v>2022</v>
      </c>
      <c r="H6338" s="313" t="s">
        <v>5816</v>
      </c>
      <c r="I6338" s="311" t="str">
        <f t="shared" si="270"/>
        <v>Pesado de Passageiros M3:  : Gasóleo : E6 D/E E7</v>
      </c>
      <c r="J6338">
        <v>108</v>
      </c>
      <c r="K6338" s="422">
        <v>2023</v>
      </c>
      <c r="L6338">
        <v>19023</v>
      </c>
      <c r="M6338" t="s">
        <v>630</v>
      </c>
      <c r="N6338" s="131">
        <v>19023</v>
      </c>
      <c r="O6338" s="436">
        <f t="shared" si="269"/>
        <v>2054484</v>
      </c>
      <c r="P6338" s="89">
        <v>1417</v>
      </c>
      <c r="Q6338" t="s">
        <v>47</v>
      </c>
      <c r="R6338" s="422" t="s">
        <v>1869</v>
      </c>
      <c r="S6338" s="422" t="s">
        <v>1861</v>
      </c>
      <c r="T6338" s="422" t="s">
        <v>5821</v>
      </c>
      <c r="U6338" s="422" t="s">
        <v>1953</v>
      </c>
      <c r="V6338" s="422" t="s">
        <v>2813</v>
      </c>
    </row>
    <row r="6339" spans="1:22" ht="15.75" thickBot="1" x14ac:dyDescent="0.3">
      <c r="A6339" t="s">
        <v>4668</v>
      </c>
      <c r="B6339" t="s">
        <v>4668</v>
      </c>
      <c r="C6339" s="424" t="str">
        <f t="shared" si="271"/>
        <v>Viação Alvorada, Lda</v>
      </c>
      <c r="D6339" t="s">
        <v>629</v>
      </c>
      <c r="F6339" t="s">
        <v>620</v>
      </c>
      <c r="G6339" s="89">
        <v>2022</v>
      </c>
      <c r="H6339" s="313" t="s">
        <v>5816</v>
      </c>
      <c r="I6339" s="311" t="str">
        <f t="shared" si="270"/>
        <v>Pesado de Passageiros M3:  : Gasóleo : E6 D/E E7</v>
      </c>
      <c r="J6339">
        <v>108</v>
      </c>
      <c r="K6339" s="422">
        <v>2023</v>
      </c>
      <c r="L6339">
        <v>25312</v>
      </c>
      <c r="M6339" t="s">
        <v>630</v>
      </c>
      <c r="N6339" s="131">
        <v>25312</v>
      </c>
      <c r="O6339" s="436">
        <f t="shared" ref="O6339:O6402" si="272">N6339*J6339</f>
        <v>2733696</v>
      </c>
      <c r="P6339" s="89">
        <v>1418</v>
      </c>
      <c r="Q6339" t="s">
        <v>47</v>
      </c>
      <c r="R6339" s="422" t="s">
        <v>1869</v>
      </c>
      <c r="S6339" s="422" t="s">
        <v>1861</v>
      </c>
      <c r="T6339" s="422" t="s">
        <v>5821</v>
      </c>
      <c r="U6339" s="422" t="s">
        <v>1953</v>
      </c>
      <c r="V6339" s="422" t="s">
        <v>2813</v>
      </c>
    </row>
    <row r="6340" spans="1:22" ht="15.75" thickBot="1" x14ac:dyDescent="0.3">
      <c r="A6340" t="s">
        <v>4668</v>
      </c>
      <c r="B6340" t="s">
        <v>4668</v>
      </c>
      <c r="C6340" s="424" t="str">
        <f t="shared" si="271"/>
        <v>Viação Alvorada, Lda</v>
      </c>
      <c r="D6340" t="s">
        <v>629</v>
      </c>
      <c r="F6340" t="s">
        <v>620</v>
      </c>
      <c r="G6340" s="89">
        <v>2022</v>
      </c>
      <c r="H6340" s="313" t="s">
        <v>5816</v>
      </c>
      <c r="I6340" s="311" t="str">
        <f t="shared" si="270"/>
        <v>Pesado de Passageiros M3:  : Gasóleo : E6 D/E E7</v>
      </c>
      <c r="J6340">
        <v>108</v>
      </c>
      <c r="K6340" s="422">
        <v>2023</v>
      </c>
      <c r="L6340">
        <v>24436</v>
      </c>
      <c r="M6340" t="s">
        <v>630</v>
      </c>
      <c r="N6340" s="131">
        <v>24436</v>
      </c>
      <c r="O6340" s="436">
        <f t="shared" si="272"/>
        <v>2639088</v>
      </c>
      <c r="P6340" s="89">
        <v>1419</v>
      </c>
      <c r="Q6340" t="s">
        <v>47</v>
      </c>
      <c r="R6340" s="422" t="s">
        <v>1869</v>
      </c>
      <c r="S6340" s="422" t="s">
        <v>1861</v>
      </c>
      <c r="T6340" s="422" t="s">
        <v>5821</v>
      </c>
      <c r="U6340" s="422" t="s">
        <v>1953</v>
      </c>
      <c r="V6340" s="422" t="s">
        <v>2813</v>
      </c>
    </row>
    <row r="6341" spans="1:22" ht="15.75" thickBot="1" x14ac:dyDescent="0.3">
      <c r="A6341" t="s">
        <v>4668</v>
      </c>
      <c r="B6341" t="s">
        <v>4668</v>
      </c>
      <c r="C6341" s="424" t="str">
        <f t="shared" si="271"/>
        <v>Viação Alvorada, Lda</v>
      </c>
      <c r="D6341" t="s">
        <v>629</v>
      </c>
      <c r="F6341" t="s">
        <v>620</v>
      </c>
      <c r="G6341" s="89">
        <v>2022</v>
      </c>
      <c r="H6341" s="313" t="s">
        <v>5816</v>
      </c>
      <c r="I6341" s="311" t="str">
        <f t="shared" si="270"/>
        <v>Pesado de Passageiros M3:  : Gasóleo : E6 D/E E7</v>
      </c>
      <c r="J6341">
        <v>108</v>
      </c>
      <c r="K6341" s="422">
        <v>2023</v>
      </c>
      <c r="L6341">
        <v>23676</v>
      </c>
      <c r="M6341" t="s">
        <v>630</v>
      </c>
      <c r="N6341" s="131">
        <v>23676</v>
      </c>
      <c r="O6341" s="436">
        <f t="shared" si="272"/>
        <v>2557008</v>
      </c>
      <c r="P6341" s="89">
        <v>1420</v>
      </c>
      <c r="Q6341" t="s">
        <v>47</v>
      </c>
      <c r="R6341" s="422" t="s">
        <v>1869</v>
      </c>
      <c r="S6341" s="422" t="s">
        <v>1861</v>
      </c>
      <c r="T6341" s="422" t="s">
        <v>5821</v>
      </c>
      <c r="U6341" s="422" t="s">
        <v>1953</v>
      </c>
      <c r="V6341" s="422" t="s">
        <v>2813</v>
      </c>
    </row>
    <row r="6342" spans="1:22" ht="15.75" thickBot="1" x14ac:dyDescent="0.3">
      <c r="A6342" t="s">
        <v>4668</v>
      </c>
      <c r="B6342" t="s">
        <v>4668</v>
      </c>
      <c r="C6342" s="424" t="str">
        <f t="shared" si="271"/>
        <v>Viação Alvorada, Lda</v>
      </c>
      <c r="D6342" t="s">
        <v>629</v>
      </c>
      <c r="F6342" t="s">
        <v>620</v>
      </c>
      <c r="G6342" s="89">
        <v>2022</v>
      </c>
      <c r="H6342" s="313" t="s">
        <v>5816</v>
      </c>
      <c r="I6342" s="311" t="str">
        <f t="shared" si="270"/>
        <v>Pesado de Passageiros M3:  : Gasóleo : E6 D/E E7</v>
      </c>
      <c r="J6342">
        <v>108</v>
      </c>
      <c r="K6342" s="422">
        <v>2023</v>
      </c>
      <c r="L6342">
        <v>27068</v>
      </c>
      <c r="M6342" t="s">
        <v>630</v>
      </c>
      <c r="N6342" s="131">
        <v>27068</v>
      </c>
      <c r="O6342" s="436">
        <f t="shared" si="272"/>
        <v>2923344</v>
      </c>
      <c r="P6342" s="89">
        <v>1421</v>
      </c>
      <c r="Q6342" t="s">
        <v>47</v>
      </c>
      <c r="R6342" s="422" t="s">
        <v>1869</v>
      </c>
      <c r="S6342" s="422" t="s">
        <v>1861</v>
      </c>
      <c r="T6342" s="422" t="s">
        <v>5821</v>
      </c>
      <c r="U6342" s="422" t="s">
        <v>1953</v>
      </c>
      <c r="V6342" s="422" t="s">
        <v>2813</v>
      </c>
    </row>
    <row r="6343" spans="1:22" ht="15.75" thickBot="1" x14ac:dyDescent="0.3">
      <c r="A6343" t="s">
        <v>4668</v>
      </c>
      <c r="B6343" t="s">
        <v>4668</v>
      </c>
      <c r="C6343" s="424" t="str">
        <f t="shared" si="271"/>
        <v>Viação Alvorada, Lda</v>
      </c>
      <c r="D6343" t="s">
        <v>629</v>
      </c>
      <c r="F6343" t="s">
        <v>620</v>
      </c>
      <c r="G6343" s="89">
        <v>2022</v>
      </c>
      <c r="H6343" s="313" t="s">
        <v>5816</v>
      </c>
      <c r="I6343" s="311" t="str">
        <f t="shared" si="270"/>
        <v>Pesado de Passageiros M3:  : Gasóleo : E6 D/E E7</v>
      </c>
      <c r="J6343">
        <v>108</v>
      </c>
      <c r="K6343" s="422">
        <v>2023</v>
      </c>
      <c r="L6343">
        <v>22666</v>
      </c>
      <c r="M6343" t="s">
        <v>630</v>
      </c>
      <c r="N6343" s="131">
        <v>22666</v>
      </c>
      <c r="O6343" s="436">
        <f t="shared" si="272"/>
        <v>2447928</v>
      </c>
      <c r="P6343" s="89">
        <v>1422</v>
      </c>
      <c r="Q6343" t="s">
        <v>47</v>
      </c>
      <c r="R6343" s="422" t="s">
        <v>1869</v>
      </c>
      <c r="S6343" s="422" t="s">
        <v>1861</v>
      </c>
      <c r="T6343" s="422" t="s">
        <v>5821</v>
      </c>
      <c r="U6343" s="422" t="s">
        <v>1953</v>
      </c>
      <c r="V6343" s="422" t="s">
        <v>2813</v>
      </c>
    </row>
    <row r="6344" spans="1:22" ht="15.75" thickBot="1" x14ac:dyDescent="0.3">
      <c r="A6344" t="s">
        <v>4668</v>
      </c>
      <c r="B6344" t="s">
        <v>4668</v>
      </c>
      <c r="C6344" s="424" t="str">
        <f t="shared" si="271"/>
        <v>Viação Alvorada, Lda</v>
      </c>
      <c r="D6344" t="s">
        <v>629</v>
      </c>
      <c r="F6344" t="s">
        <v>620</v>
      </c>
      <c r="G6344" s="89">
        <v>2022</v>
      </c>
      <c r="H6344" s="313" t="s">
        <v>5816</v>
      </c>
      <c r="I6344" s="311" t="str">
        <f t="shared" si="270"/>
        <v>Pesado de Passageiros M3:  : Gasóleo : E6 D/E E7</v>
      </c>
      <c r="J6344">
        <v>108</v>
      </c>
      <c r="K6344" s="422">
        <v>2023</v>
      </c>
      <c r="L6344">
        <v>21311</v>
      </c>
      <c r="M6344" t="s">
        <v>630</v>
      </c>
      <c r="N6344" s="131">
        <v>21311</v>
      </c>
      <c r="O6344" s="436">
        <f t="shared" si="272"/>
        <v>2301588</v>
      </c>
      <c r="P6344" s="89">
        <v>1423</v>
      </c>
      <c r="Q6344" t="s">
        <v>47</v>
      </c>
      <c r="R6344" s="422" t="s">
        <v>1869</v>
      </c>
      <c r="S6344" s="422" t="s">
        <v>1861</v>
      </c>
      <c r="T6344" s="422" t="s">
        <v>5821</v>
      </c>
      <c r="U6344" s="422" t="s">
        <v>1953</v>
      </c>
      <c r="V6344" s="422" t="s">
        <v>2813</v>
      </c>
    </row>
    <row r="6345" spans="1:22" ht="15.75" thickBot="1" x14ac:dyDescent="0.3">
      <c r="A6345" t="s">
        <v>4668</v>
      </c>
      <c r="B6345" t="s">
        <v>4668</v>
      </c>
      <c r="C6345" s="424" t="str">
        <f t="shared" si="271"/>
        <v>Viação Alvorada, Lda</v>
      </c>
      <c r="D6345" t="s">
        <v>629</v>
      </c>
      <c r="F6345" t="s">
        <v>620</v>
      </c>
      <c r="G6345" s="89">
        <v>2022</v>
      </c>
      <c r="H6345" s="313" t="s">
        <v>5816</v>
      </c>
      <c r="I6345" s="311" t="str">
        <f t="shared" si="270"/>
        <v>Pesado de Passageiros M3:  : Gasóleo : E6 D/E E7</v>
      </c>
      <c r="J6345">
        <v>25</v>
      </c>
      <c r="K6345" s="422">
        <v>2023</v>
      </c>
      <c r="L6345">
        <v>12254</v>
      </c>
      <c r="M6345" t="s">
        <v>630</v>
      </c>
      <c r="N6345" s="131">
        <v>12254</v>
      </c>
      <c r="O6345" s="436">
        <f t="shared" si="272"/>
        <v>306350</v>
      </c>
      <c r="P6345" s="89">
        <v>1700</v>
      </c>
      <c r="Q6345" t="s">
        <v>47</v>
      </c>
      <c r="R6345" s="422" t="s">
        <v>1869</v>
      </c>
      <c r="S6345" s="422" t="s">
        <v>1861</v>
      </c>
      <c r="T6345" s="422" t="s">
        <v>5820</v>
      </c>
      <c r="U6345" s="422" t="s">
        <v>1953</v>
      </c>
      <c r="V6345" s="422" t="s">
        <v>2813</v>
      </c>
    </row>
    <row r="6346" spans="1:22" ht="15.75" thickBot="1" x14ac:dyDescent="0.3">
      <c r="A6346" t="s">
        <v>4668</v>
      </c>
      <c r="B6346" t="s">
        <v>4668</v>
      </c>
      <c r="C6346" s="424" t="str">
        <f t="shared" si="271"/>
        <v>Viação Alvorada, Lda</v>
      </c>
      <c r="D6346" t="s">
        <v>629</v>
      </c>
      <c r="F6346" t="s">
        <v>620</v>
      </c>
      <c r="G6346" s="89">
        <v>2022</v>
      </c>
      <c r="H6346" s="313" t="s">
        <v>5816</v>
      </c>
      <c r="I6346" s="311" t="str">
        <f t="shared" si="270"/>
        <v>Pesado de Passageiros M3:  : Gasóleo : E6 D/E E7</v>
      </c>
      <c r="J6346">
        <v>25</v>
      </c>
      <c r="K6346" s="422">
        <v>2023</v>
      </c>
      <c r="L6346">
        <v>10484</v>
      </c>
      <c r="M6346" t="s">
        <v>630</v>
      </c>
      <c r="N6346" s="131">
        <v>10484</v>
      </c>
      <c r="O6346" s="436">
        <f t="shared" si="272"/>
        <v>262100</v>
      </c>
      <c r="P6346" s="89">
        <v>1701</v>
      </c>
      <c r="Q6346" t="s">
        <v>47</v>
      </c>
      <c r="R6346" s="422" t="s">
        <v>1869</v>
      </c>
      <c r="S6346" s="422" t="s">
        <v>1861</v>
      </c>
      <c r="T6346" s="422" t="s">
        <v>5820</v>
      </c>
      <c r="U6346" s="422" t="s">
        <v>1953</v>
      </c>
      <c r="V6346" s="422" t="s">
        <v>2813</v>
      </c>
    </row>
    <row r="6347" spans="1:22" ht="15.75" thickBot="1" x14ac:dyDescent="0.3">
      <c r="A6347" t="s">
        <v>4668</v>
      </c>
      <c r="B6347" t="s">
        <v>4668</v>
      </c>
      <c r="C6347" s="424" t="str">
        <f t="shared" si="271"/>
        <v>Viação Alvorada, Lda</v>
      </c>
      <c r="D6347" t="s">
        <v>629</v>
      </c>
      <c r="F6347" t="s">
        <v>620</v>
      </c>
      <c r="G6347" s="89">
        <v>2022</v>
      </c>
      <c r="H6347" s="313" t="s">
        <v>5816</v>
      </c>
      <c r="I6347" s="311" t="str">
        <f t="shared" si="270"/>
        <v>Pesado de Passageiros M3:  : Gasóleo : E6 D/E E7</v>
      </c>
      <c r="J6347">
        <v>25</v>
      </c>
      <c r="K6347" s="422">
        <v>2023</v>
      </c>
      <c r="L6347">
        <v>7526</v>
      </c>
      <c r="M6347" t="s">
        <v>630</v>
      </c>
      <c r="N6347" s="131">
        <v>7526</v>
      </c>
      <c r="O6347" s="436">
        <f t="shared" si="272"/>
        <v>188150</v>
      </c>
      <c r="P6347" s="89">
        <v>1702</v>
      </c>
      <c r="Q6347" t="s">
        <v>47</v>
      </c>
      <c r="R6347" s="422" t="s">
        <v>1869</v>
      </c>
      <c r="S6347" s="422" t="s">
        <v>1861</v>
      </c>
      <c r="T6347" s="422" t="s">
        <v>5820</v>
      </c>
      <c r="U6347" s="422" t="s">
        <v>1953</v>
      </c>
      <c r="V6347" s="422" t="s">
        <v>2813</v>
      </c>
    </row>
    <row r="6348" spans="1:22" ht="15.75" thickBot="1" x14ac:dyDescent="0.3">
      <c r="A6348" t="s">
        <v>4668</v>
      </c>
      <c r="B6348" t="s">
        <v>4668</v>
      </c>
      <c r="C6348" s="424" t="str">
        <f t="shared" si="271"/>
        <v>Viação Alvorada, Lda</v>
      </c>
      <c r="D6348" t="s">
        <v>629</v>
      </c>
      <c r="F6348" t="s">
        <v>620</v>
      </c>
      <c r="G6348" s="89">
        <v>2022</v>
      </c>
      <c r="H6348" s="313" t="s">
        <v>5816</v>
      </c>
      <c r="I6348" s="311" t="str">
        <f t="shared" si="270"/>
        <v>Pesado de Passageiros M3:  : Gasóleo : E6 D/E E7</v>
      </c>
      <c r="J6348">
        <v>25</v>
      </c>
      <c r="K6348" s="422">
        <v>2023</v>
      </c>
      <c r="L6348">
        <v>9552</v>
      </c>
      <c r="M6348" t="s">
        <v>630</v>
      </c>
      <c r="N6348" s="131">
        <v>9552</v>
      </c>
      <c r="O6348" s="436">
        <f t="shared" si="272"/>
        <v>238800</v>
      </c>
      <c r="P6348" s="89">
        <v>1703</v>
      </c>
      <c r="Q6348" t="s">
        <v>47</v>
      </c>
      <c r="R6348" s="422" t="s">
        <v>1869</v>
      </c>
      <c r="S6348" s="422" t="s">
        <v>1861</v>
      </c>
      <c r="T6348" s="422" t="s">
        <v>5820</v>
      </c>
      <c r="U6348" s="422" t="s">
        <v>1953</v>
      </c>
      <c r="V6348" s="422" t="s">
        <v>2813</v>
      </c>
    </row>
    <row r="6349" spans="1:22" ht="15.75" thickBot="1" x14ac:dyDescent="0.3">
      <c r="A6349" t="s">
        <v>4668</v>
      </c>
      <c r="B6349" t="s">
        <v>4668</v>
      </c>
      <c r="C6349" s="424" t="str">
        <f t="shared" si="271"/>
        <v>Viação Alvorada, Lda</v>
      </c>
      <c r="D6349" t="s">
        <v>629</v>
      </c>
      <c r="F6349" t="s">
        <v>620</v>
      </c>
      <c r="G6349" s="89">
        <v>2022</v>
      </c>
      <c r="H6349" s="313" t="s">
        <v>5816</v>
      </c>
      <c r="I6349" s="311" t="str">
        <f t="shared" si="270"/>
        <v>Pesado de Passageiros M3:  : Gasóleo : E6 D/E E7</v>
      </c>
      <c r="J6349">
        <v>25</v>
      </c>
      <c r="K6349" s="422">
        <v>2023</v>
      </c>
      <c r="L6349">
        <v>9378</v>
      </c>
      <c r="M6349" t="s">
        <v>630</v>
      </c>
      <c r="N6349" s="131">
        <v>9378</v>
      </c>
      <c r="O6349" s="436">
        <f t="shared" si="272"/>
        <v>234450</v>
      </c>
      <c r="P6349" s="89">
        <v>1704</v>
      </c>
      <c r="Q6349" t="s">
        <v>47</v>
      </c>
      <c r="R6349" s="422" t="s">
        <v>1869</v>
      </c>
      <c r="S6349" s="422" t="s">
        <v>1861</v>
      </c>
      <c r="T6349" s="422" t="s">
        <v>5820</v>
      </c>
      <c r="U6349" s="422" t="s">
        <v>1953</v>
      </c>
      <c r="V6349" s="422" t="s">
        <v>2813</v>
      </c>
    </row>
    <row r="6350" spans="1:22" ht="15.75" thickBot="1" x14ac:dyDescent="0.3">
      <c r="A6350" t="s">
        <v>4668</v>
      </c>
      <c r="B6350" t="s">
        <v>4668</v>
      </c>
      <c r="C6350" s="424" t="str">
        <f t="shared" si="271"/>
        <v>Viação Alvorada, Lda</v>
      </c>
      <c r="D6350" t="s">
        <v>629</v>
      </c>
      <c r="F6350" t="s">
        <v>620</v>
      </c>
      <c r="G6350" s="89">
        <v>2022</v>
      </c>
      <c r="H6350" s="313" t="s">
        <v>5816</v>
      </c>
      <c r="I6350" s="311" t="str">
        <f t="shared" si="270"/>
        <v>Pesado de Passageiros M3:  : Gasóleo : E6 D/E E7</v>
      </c>
      <c r="J6350">
        <v>25</v>
      </c>
      <c r="K6350" s="422">
        <v>2023</v>
      </c>
      <c r="L6350">
        <v>9535</v>
      </c>
      <c r="M6350" t="s">
        <v>630</v>
      </c>
      <c r="N6350" s="131">
        <v>9535</v>
      </c>
      <c r="O6350" s="436">
        <f t="shared" si="272"/>
        <v>238375</v>
      </c>
      <c r="P6350" s="89">
        <v>1705</v>
      </c>
      <c r="Q6350" t="s">
        <v>47</v>
      </c>
      <c r="R6350" s="422" t="s">
        <v>1869</v>
      </c>
      <c r="S6350" s="422" t="s">
        <v>1861</v>
      </c>
      <c r="T6350" s="422" t="s">
        <v>5820</v>
      </c>
      <c r="U6350" s="422" t="s">
        <v>1953</v>
      </c>
      <c r="V6350" s="422" t="s">
        <v>2813</v>
      </c>
    </row>
    <row r="6351" spans="1:22" ht="15.75" thickBot="1" x14ac:dyDescent="0.3">
      <c r="A6351" t="s">
        <v>4668</v>
      </c>
      <c r="B6351" t="s">
        <v>4668</v>
      </c>
      <c r="C6351" s="424" t="str">
        <f t="shared" si="271"/>
        <v>Viação Alvorada, Lda</v>
      </c>
      <c r="D6351" t="s">
        <v>629</v>
      </c>
      <c r="F6351" t="s">
        <v>620</v>
      </c>
      <c r="G6351" s="89">
        <v>2022</v>
      </c>
      <c r="H6351" s="313" t="s">
        <v>5816</v>
      </c>
      <c r="I6351" s="311" t="str">
        <f t="shared" si="270"/>
        <v>Pesado de Passageiros M3:  : Gasóleo : E6 D/E E7</v>
      </c>
      <c r="J6351">
        <v>25</v>
      </c>
      <c r="K6351" s="422">
        <v>2023</v>
      </c>
      <c r="L6351">
        <v>5594</v>
      </c>
      <c r="M6351" t="s">
        <v>630</v>
      </c>
      <c r="N6351" s="131">
        <v>5594</v>
      </c>
      <c r="O6351" s="436">
        <f t="shared" si="272"/>
        <v>139850</v>
      </c>
      <c r="P6351" s="89">
        <v>1706</v>
      </c>
      <c r="Q6351" t="s">
        <v>47</v>
      </c>
      <c r="R6351" s="422" t="s">
        <v>1869</v>
      </c>
      <c r="S6351" s="422" t="s">
        <v>1861</v>
      </c>
      <c r="T6351" s="422" t="s">
        <v>5820</v>
      </c>
      <c r="U6351" s="422" t="s">
        <v>1953</v>
      </c>
      <c r="V6351" s="422" t="s">
        <v>2813</v>
      </c>
    </row>
    <row r="6352" spans="1:22" ht="15.75" thickBot="1" x14ac:dyDescent="0.3">
      <c r="A6352" t="s">
        <v>4668</v>
      </c>
      <c r="B6352" t="s">
        <v>4668</v>
      </c>
      <c r="C6352" s="424" t="str">
        <f t="shared" si="271"/>
        <v>Viação Alvorada, Lda</v>
      </c>
      <c r="D6352" t="s">
        <v>629</v>
      </c>
      <c r="F6352" t="s">
        <v>620</v>
      </c>
      <c r="G6352" s="89">
        <v>2022</v>
      </c>
      <c r="H6352" s="313" t="s">
        <v>5816</v>
      </c>
      <c r="I6352" s="311" t="str">
        <f t="shared" si="270"/>
        <v>Pesado de Passageiros M3:  : Gasóleo : E6 D/E E7</v>
      </c>
      <c r="J6352">
        <v>25</v>
      </c>
      <c r="K6352" s="422">
        <v>2023</v>
      </c>
      <c r="L6352">
        <v>7549</v>
      </c>
      <c r="M6352" t="s">
        <v>630</v>
      </c>
      <c r="N6352" s="131">
        <v>7549</v>
      </c>
      <c r="O6352" s="436">
        <f t="shared" si="272"/>
        <v>188725</v>
      </c>
      <c r="P6352" s="89">
        <v>1707</v>
      </c>
      <c r="Q6352" t="s">
        <v>47</v>
      </c>
      <c r="R6352" s="422" t="s">
        <v>1869</v>
      </c>
      <c r="S6352" s="422" t="s">
        <v>1861</v>
      </c>
      <c r="T6352" s="422" t="s">
        <v>5820</v>
      </c>
      <c r="U6352" s="422" t="s">
        <v>1953</v>
      </c>
      <c r="V6352" s="422" t="s">
        <v>2813</v>
      </c>
    </row>
    <row r="6353" spans="1:22" ht="15.75" thickBot="1" x14ac:dyDescent="0.3">
      <c r="A6353" t="s">
        <v>4668</v>
      </c>
      <c r="B6353" t="s">
        <v>4668</v>
      </c>
      <c r="C6353" s="424" t="str">
        <f t="shared" si="271"/>
        <v>Viação Alvorada, Lda</v>
      </c>
      <c r="D6353" t="s">
        <v>629</v>
      </c>
      <c r="F6353" t="s">
        <v>620</v>
      </c>
      <c r="G6353" s="89">
        <v>2022</v>
      </c>
      <c r="H6353" s="313" t="s">
        <v>5816</v>
      </c>
      <c r="I6353" s="311" t="str">
        <f t="shared" si="270"/>
        <v>Pesado de Passageiros M3:  : Gasóleo : E6 D/E E7</v>
      </c>
      <c r="J6353">
        <v>25</v>
      </c>
      <c r="K6353" s="422">
        <v>2023</v>
      </c>
      <c r="L6353">
        <v>7693</v>
      </c>
      <c r="M6353" t="s">
        <v>630</v>
      </c>
      <c r="N6353" s="131">
        <v>7693</v>
      </c>
      <c r="O6353" s="436">
        <f t="shared" si="272"/>
        <v>192325</v>
      </c>
      <c r="P6353" s="89">
        <v>1708</v>
      </c>
      <c r="Q6353" t="s">
        <v>47</v>
      </c>
      <c r="R6353" s="422" t="s">
        <v>1869</v>
      </c>
      <c r="S6353" s="422" t="s">
        <v>1861</v>
      </c>
      <c r="T6353" s="422" t="s">
        <v>5820</v>
      </c>
      <c r="U6353" s="422" t="s">
        <v>1953</v>
      </c>
      <c r="V6353" s="422" t="s">
        <v>2813</v>
      </c>
    </row>
    <row r="6354" spans="1:22" ht="15.75" thickBot="1" x14ac:dyDescent="0.3">
      <c r="A6354" t="s">
        <v>4668</v>
      </c>
      <c r="B6354" t="s">
        <v>4668</v>
      </c>
      <c r="C6354" s="424" t="str">
        <f t="shared" si="271"/>
        <v>Viação Alvorada, Lda</v>
      </c>
      <c r="D6354" t="s">
        <v>629</v>
      </c>
      <c r="F6354" t="s">
        <v>620</v>
      </c>
      <c r="G6354" s="89">
        <v>2022</v>
      </c>
      <c r="H6354" s="313" t="s">
        <v>5816</v>
      </c>
      <c r="I6354" s="311" t="str">
        <f t="shared" si="270"/>
        <v>Pesado de Passageiros M3:  : Gasóleo : E6 D/E E7</v>
      </c>
      <c r="J6354">
        <v>25</v>
      </c>
      <c r="K6354" s="422">
        <v>2023</v>
      </c>
      <c r="L6354">
        <v>5952</v>
      </c>
      <c r="M6354" t="s">
        <v>630</v>
      </c>
      <c r="N6354" s="131">
        <v>5952</v>
      </c>
      <c r="O6354" s="436">
        <f t="shared" si="272"/>
        <v>148800</v>
      </c>
      <c r="P6354" s="89">
        <v>1709</v>
      </c>
      <c r="Q6354" t="s">
        <v>47</v>
      </c>
      <c r="R6354" s="422" t="s">
        <v>1869</v>
      </c>
      <c r="S6354" s="422" t="s">
        <v>1861</v>
      </c>
      <c r="T6354" s="422" t="s">
        <v>5820</v>
      </c>
      <c r="U6354" s="422" t="s">
        <v>1953</v>
      </c>
      <c r="V6354" s="422" t="s">
        <v>2813</v>
      </c>
    </row>
    <row r="6355" spans="1:22" ht="15.75" thickBot="1" x14ac:dyDescent="0.3">
      <c r="A6355" t="s">
        <v>4668</v>
      </c>
      <c r="B6355" t="s">
        <v>4668</v>
      </c>
      <c r="C6355" s="424" t="str">
        <f t="shared" si="271"/>
        <v>Viação Alvorada, Lda</v>
      </c>
      <c r="D6355" t="s">
        <v>629</v>
      </c>
      <c r="F6355" t="s">
        <v>620</v>
      </c>
      <c r="G6355" s="89">
        <v>2022</v>
      </c>
      <c r="H6355" s="313" t="s">
        <v>5816</v>
      </c>
      <c r="I6355" s="311" t="str">
        <f t="shared" si="270"/>
        <v>Pesado de Passageiros M3:  : Gasóleo : E6 D/E E7</v>
      </c>
      <c r="J6355">
        <v>25</v>
      </c>
      <c r="K6355" s="422">
        <v>2023</v>
      </c>
      <c r="L6355">
        <v>8092</v>
      </c>
      <c r="M6355" t="s">
        <v>630</v>
      </c>
      <c r="N6355" s="131">
        <v>8092</v>
      </c>
      <c r="O6355" s="436">
        <f t="shared" si="272"/>
        <v>202300</v>
      </c>
      <c r="P6355" s="89">
        <v>1710</v>
      </c>
      <c r="Q6355" t="s">
        <v>47</v>
      </c>
      <c r="R6355" s="422" t="s">
        <v>1869</v>
      </c>
      <c r="S6355" s="422" t="s">
        <v>1861</v>
      </c>
      <c r="T6355" s="422" t="s">
        <v>5820</v>
      </c>
      <c r="U6355" s="422" t="s">
        <v>1953</v>
      </c>
      <c r="V6355" s="422" t="s">
        <v>2813</v>
      </c>
    </row>
    <row r="6356" spans="1:22" ht="15.75" thickBot="1" x14ac:dyDescent="0.3">
      <c r="A6356" t="s">
        <v>4668</v>
      </c>
      <c r="B6356" t="s">
        <v>4668</v>
      </c>
      <c r="C6356" s="424" t="str">
        <f t="shared" si="271"/>
        <v>Viação Alvorada, Lda</v>
      </c>
      <c r="D6356" t="s">
        <v>629</v>
      </c>
      <c r="F6356" t="s">
        <v>620</v>
      </c>
      <c r="G6356" s="89">
        <v>2022</v>
      </c>
      <c r="H6356" s="313" t="s">
        <v>5816</v>
      </c>
      <c r="I6356" s="311" t="str">
        <f t="shared" si="270"/>
        <v>Pesado de Passageiros M3:  : Gasóleo : E6 D/E E7</v>
      </c>
      <c r="J6356">
        <v>25</v>
      </c>
      <c r="K6356" s="422">
        <v>2023</v>
      </c>
      <c r="L6356">
        <v>6491</v>
      </c>
      <c r="M6356" t="s">
        <v>630</v>
      </c>
      <c r="N6356" s="131">
        <v>6491</v>
      </c>
      <c r="O6356" s="436">
        <f t="shared" si="272"/>
        <v>162275</v>
      </c>
      <c r="P6356" s="89">
        <v>1711</v>
      </c>
      <c r="Q6356" t="s">
        <v>47</v>
      </c>
      <c r="R6356" s="422" t="s">
        <v>1869</v>
      </c>
      <c r="S6356" s="422" t="s">
        <v>1861</v>
      </c>
      <c r="T6356" s="422" t="s">
        <v>5820</v>
      </c>
      <c r="U6356" s="422" t="s">
        <v>1953</v>
      </c>
      <c r="V6356" s="422" t="s">
        <v>2813</v>
      </c>
    </row>
    <row r="6357" spans="1:22" ht="15.75" thickBot="1" x14ac:dyDescent="0.3">
      <c r="A6357" t="s">
        <v>4668</v>
      </c>
      <c r="B6357" t="s">
        <v>4668</v>
      </c>
      <c r="C6357" s="424" t="str">
        <f t="shared" si="271"/>
        <v>Viação Alvorada, Lda</v>
      </c>
      <c r="D6357" t="s">
        <v>629</v>
      </c>
      <c r="F6357" t="s">
        <v>620</v>
      </c>
      <c r="G6357" s="89">
        <v>2022</v>
      </c>
      <c r="H6357" s="313" t="s">
        <v>5816</v>
      </c>
      <c r="I6357" s="311" t="str">
        <f t="shared" si="270"/>
        <v>Pesado de Passageiros M3:  : Gasóleo : E6 D/E E7</v>
      </c>
      <c r="J6357">
        <v>25</v>
      </c>
      <c r="K6357" s="422">
        <v>2023</v>
      </c>
      <c r="L6357">
        <v>8370</v>
      </c>
      <c r="M6357" t="s">
        <v>630</v>
      </c>
      <c r="N6357" s="131">
        <v>8370</v>
      </c>
      <c r="O6357" s="436">
        <f t="shared" si="272"/>
        <v>209250</v>
      </c>
      <c r="P6357" s="89">
        <v>1712</v>
      </c>
      <c r="Q6357" t="s">
        <v>47</v>
      </c>
      <c r="R6357" s="422" t="s">
        <v>1869</v>
      </c>
      <c r="S6357" s="422" t="s">
        <v>1861</v>
      </c>
      <c r="T6357" s="422" t="s">
        <v>5820</v>
      </c>
      <c r="U6357" s="422" t="s">
        <v>1953</v>
      </c>
      <c r="V6357" s="422" t="s">
        <v>2813</v>
      </c>
    </row>
    <row r="6358" spans="1:22" ht="15.75" thickBot="1" x14ac:dyDescent="0.3">
      <c r="A6358" t="s">
        <v>4668</v>
      </c>
      <c r="B6358" t="s">
        <v>4668</v>
      </c>
      <c r="C6358" s="424" t="str">
        <f t="shared" si="271"/>
        <v>Viação Alvorada, Lda</v>
      </c>
      <c r="D6358" t="s">
        <v>629</v>
      </c>
      <c r="F6358" t="s">
        <v>620</v>
      </c>
      <c r="G6358" s="89">
        <v>2022</v>
      </c>
      <c r="H6358" s="313" t="s">
        <v>5816</v>
      </c>
      <c r="I6358" s="311" t="str">
        <f t="shared" si="270"/>
        <v>Pesado de Passageiros M3:  : Gasóleo : E6 D/E E7</v>
      </c>
      <c r="J6358">
        <v>25</v>
      </c>
      <c r="K6358" s="422">
        <v>2023</v>
      </c>
      <c r="L6358">
        <v>5901</v>
      </c>
      <c r="M6358" t="s">
        <v>630</v>
      </c>
      <c r="N6358" s="131">
        <v>5901</v>
      </c>
      <c r="O6358" s="436">
        <f t="shared" si="272"/>
        <v>147525</v>
      </c>
      <c r="P6358" s="89">
        <v>1713</v>
      </c>
      <c r="Q6358" t="s">
        <v>47</v>
      </c>
      <c r="R6358" s="422" t="s">
        <v>1869</v>
      </c>
      <c r="S6358" s="422" t="s">
        <v>1861</v>
      </c>
      <c r="T6358" s="422" t="s">
        <v>5820</v>
      </c>
      <c r="U6358" s="422" t="s">
        <v>1953</v>
      </c>
      <c r="V6358" s="422" t="s">
        <v>2813</v>
      </c>
    </row>
    <row r="6359" spans="1:22" ht="15.75" thickBot="1" x14ac:dyDescent="0.3">
      <c r="A6359" t="s">
        <v>4668</v>
      </c>
      <c r="B6359" t="s">
        <v>4668</v>
      </c>
      <c r="C6359" s="424" t="str">
        <f t="shared" si="271"/>
        <v>Viação Alvorada, Lda</v>
      </c>
      <c r="D6359" t="s">
        <v>629</v>
      </c>
      <c r="F6359" t="s">
        <v>620</v>
      </c>
      <c r="G6359" s="89">
        <v>2022</v>
      </c>
      <c r="H6359" s="313" t="s">
        <v>5816</v>
      </c>
      <c r="I6359" s="311" t="str">
        <f t="shared" si="270"/>
        <v>Pesado de Passageiros M3:  : Gasóleo : E6 D/E E7</v>
      </c>
      <c r="J6359">
        <v>25</v>
      </c>
      <c r="K6359" s="422">
        <v>2023</v>
      </c>
      <c r="L6359">
        <v>9984</v>
      </c>
      <c r="M6359" t="s">
        <v>630</v>
      </c>
      <c r="N6359" s="131">
        <v>9984</v>
      </c>
      <c r="O6359" s="436">
        <f t="shared" si="272"/>
        <v>249600</v>
      </c>
      <c r="P6359" s="89">
        <v>1714</v>
      </c>
      <c r="Q6359" t="s">
        <v>47</v>
      </c>
      <c r="R6359" s="422" t="s">
        <v>1869</v>
      </c>
      <c r="S6359" s="422" t="s">
        <v>1861</v>
      </c>
      <c r="T6359" s="422" t="s">
        <v>5820</v>
      </c>
      <c r="U6359" s="422" t="s">
        <v>1953</v>
      </c>
      <c r="V6359" s="422" t="s">
        <v>2813</v>
      </c>
    </row>
    <row r="6360" spans="1:22" ht="15.75" thickBot="1" x14ac:dyDescent="0.3">
      <c r="A6360" t="s">
        <v>4668</v>
      </c>
      <c r="B6360" t="s">
        <v>4668</v>
      </c>
      <c r="C6360" s="424" t="str">
        <f t="shared" si="271"/>
        <v>Viação Alvorada, Lda</v>
      </c>
      <c r="D6360" t="s">
        <v>629</v>
      </c>
      <c r="F6360" t="s">
        <v>620</v>
      </c>
      <c r="G6360" s="89">
        <v>2022</v>
      </c>
      <c r="H6360" s="313" t="s">
        <v>5816</v>
      </c>
      <c r="I6360" s="311" t="str">
        <f t="shared" si="270"/>
        <v>Pesado de Passageiros M3:  : Gasóleo : E6 D/E E7</v>
      </c>
      <c r="J6360">
        <v>25</v>
      </c>
      <c r="K6360" s="422">
        <v>2023</v>
      </c>
      <c r="L6360">
        <v>8414</v>
      </c>
      <c r="M6360" t="s">
        <v>630</v>
      </c>
      <c r="N6360" s="131">
        <v>8414</v>
      </c>
      <c r="O6360" s="436">
        <f t="shared" si="272"/>
        <v>210350</v>
      </c>
      <c r="P6360" s="89">
        <v>1715</v>
      </c>
      <c r="Q6360" t="s">
        <v>47</v>
      </c>
      <c r="R6360" s="422" t="s">
        <v>1869</v>
      </c>
      <c r="S6360" s="422" t="s">
        <v>1861</v>
      </c>
      <c r="T6360" s="422" t="s">
        <v>5820</v>
      </c>
      <c r="U6360" s="422" t="s">
        <v>1953</v>
      </c>
      <c r="V6360" s="422" t="s">
        <v>2813</v>
      </c>
    </row>
    <row r="6361" spans="1:22" ht="15.75" thickBot="1" x14ac:dyDescent="0.3">
      <c r="A6361" t="s">
        <v>4668</v>
      </c>
      <c r="B6361" t="s">
        <v>4668</v>
      </c>
      <c r="C6361" s="424" t="str">
        <f t="shared" si="271"/>
        <v>Viação Alvorada, Lda</v>
      </c>
      <c r="D6361" t="s">
        <v>629</v>
      </c>
      <c r="F6361" t="s">
        <v>620</v>
      </c>
      <c r="G6361" s="89">
        <v>2022</v>
      </c>
      <c r="H6361" s="313" t="s">
        <v>5816</v>
      </c>
      <c r="I6361" s="311" t="str">
        <f t="shared" si="270"/>
        <v>Pesado de Passageiros M3:  : Gasóleo : E6 D/E E7</v>
      </c>
      <c r="J6361">
        <v>25</v>
      </c>
      <c r="K6361" s="422">
        <v>2023</v>
      </c>
      <c r="L6361">
        <v>8070</v>
      </c>
      <c r="M6361" t="s">
        <v>630</v>
      </c>
      <c r="N6361" s="131">
        <v>8070</v>
      </c>
      <c r="O6361" s="436">
        <f t="shared" si="272"/>
        <v>201750</v>
      </c>
      <c r="P6361" s="89">
        <v>1716</v>
      </c>
      <c r="Q6361" t="s">
        <v>47</v>
      </c>
      <c r="R6361" s="422" t="s">
        <v>1869</v>
      </c>
      <c r="S6361" s="422" t="s">
        <v>1861</v>
      </c>
      <c r="T6361" s="422" t="s">
        <v>5820</v>
      </c>
      <c r="U6361" s="422" t="s">
        <v>1953</v>
      </c>
      <c r="V6361" s="422" t="s">
        <v>2813</v>
      </c>
    </row>
    <row r="6362" spans="1:22" ht="15.75" thickBot="1" x14ac:dyDescent="0.3">
      <c r="A6362" t="s">
        <v>4668</v>
      </c>
      <c r="B6362" t="s">
        <v>4668</v>
      </c>
      <c r="C6362" s="424" t="str">
        <f t="shared" si="271"/>
        <v>Viação Alvorada, Lda</v>
      </c>
      <c r="D6362" t="s">
        <v>629</v>
      </c>
      <c r="F6362" t="s">
        <v>620</v>
      </c>
      <c r="G6362" s="89">
        <v>2022</v>
      </c>
      <c r="H6362" s="313" t="s">
        <v>5816</v>
      </c>
      <c r="I6362" s="311" t="str">
        <f t="shared" si="270"/>
        <v>Pesado de Passageiros M3:  : Gasóleo : E6 D/E E7</v>
      </c>
      <c r="J6362">
        <v>25</v>
      </c>
      <c r="K6362" s="422">
        <v>2023</v>
      </c>
      <c r="L6362">
        <v>7519</v>
      </c>
      <c r="M6362" t="s">
        <v>630</v>
      </c>
      <c r="N6362" s="131">
        <v>7519</v>
      </c>
      <c r="O6362" s="436">
        <f t="shared" si="272"/>
        <v>187975</v>
      </c>
      <c r="P6362" s="89">
        <v>1717</v>
      </c>
      <c r="Q6362" t="s">
        <v>47</v>
      </c>
      <c r="R6362" s="422" t="s">
        <v>1869</v>
      </c>
      <c r="S6362" s="422" t="s">
        <v>1861</v>
      </c>
      <c r="T6362" s="422" t="s">
        <v>5820</v>
      </c>
      <c r="U6362" s="422" t="s">
        <v>1953</v>
      </c>
      <c r="V6362" s="422" t="s">
        <v>2813</v>
      </c>
    </row>
    <row r="6363" spans="1:22" ht="15.75" thickBot="1" x14ac:dyDescent="0.3">
      <c r="A6363" t="s">
        <v>4668</v>
      </c>
      <c r="B6363" t="s">
        <v>4668</v>
      </c>
      <c r="C6363" s="424" t="str">
        <f t="shared" si="271"/>
        <v>Viação Alvorada, Lda</v>
      </c>
      <c r="D6363" t="s">
        <v>629</v>
      </c>
      <c r="F6363" t="s">
        <v>620</v>
      </c>
      <c r="G6363" s="89">
        <v>2022</v>
      </c>
      <c r="H6363" s="313" t="s">
        <v>5816</v>
      </c>
      <c r="I6363" s="311" t="str">
        <f t="shared" si="270"/>
        <v>Pesado de Passageiros M3:  : Gasóleo : E6 D/E E7</v>
      </c>
      <c r="J6363">
        <v>25</v>
      </c>
      <c r="K6363" s="422">
        <v>2023</v>
      </c>
      <c r="L6363">
        <v>7810</v>
      </c>
      <c r="M6363" t="s">
        <v>630</v>
      </c>
      <c r="N6363" s="131">
        <v>7810</v>
      </c>
      <c r="O6363" s="436">
        <f t="shared" si="272"/>
        <v>195250</v>
      </c>
      <c r="P6363" s="89">
        <v>1718</v>
      </c>
      <c r="Q6363" t="s">
        <v>47</v>
      </c>
      <c r="R6363" s="422" t="s">
        <v>1869</v>
      </c>
      <c r="S6363" s="422" t="s">
        <v>1861</v>
      </c>
      <c r="T6363" s="422" t="s">
        <v>5820</v>
      </c>
      <c r="U6363" s="422" t="s">
        <v>1953</v>
      </c>
      <c r="V6363" s="422" t="s">
        <v>2813</v>
      </c>
    </row>
    <row r="6364" spans="1:22" ht="15.75" thickBot="1" x14ac:dyDescent="0.3">
      <c r="A6364" t="s">
        <v>4668</v>
      </c>
      <c r="B6364" t="s">
        <v>4668</v>
      </c>
      <c r="C6364" s="424" t="str">
        <f t="shared" si="271"/>
        <v>Viação Alvorada, Lda</v>
      </c>
      <c r="D6364" t="s">
        <v>629</v>
      </c>
      <c r="F6364" t="s">
        <v>620</v>
      </c>
      <c r="G6364" s="89">
        <v>2022</v>
      </c>
      <c r="H6364" s="313" t="s">
        <v>5816</v>
      </c>
      <c r="I6364" s="311" t="str">
        <f t="shared" si="270"/>
        <v>Pesado de Passageiros M3:  : Gasóleo : E6 D/E E7</v>
      </c>
      <c r="J6364">
        <v>25</v>
      </c>
      <c r="K6364" s="422">
        <v>2023</v>
      </c>
      <c r="L6364">
        <v>5376</v>
      </c>
      <c r="M6364" t="s">
        <v>630</v>
      </c>
      <c r="N6364" s="131">
        <v>5376</v>
      </c>
      <c r="O6364" s="436">
        <f t="shared" si="272"/>
        <v>134400</v>
      </c>
      <c r="P6364" s="89">
        <v>1719</v>
      </c>
      <c r="Q6364" t="s">
        <v>47</v>
      </c>
      <c r="R6364" s="422" t="s">
        <v>1869</v>
      </c>
      <c r="S6364" s="422" t="s">
        <v>1861</v>
      </c>
      <c r="T6364" s="422" t="s">
        <v>5820</v>
      </c>
      <c r="U6364" s="422" t="s">
        <v>1953</v>
      </c>
      <c r="V6364" s="422" t="s">
        <v>2813</v>
      </c>
    </row>
    <row r="6365" spans="1:22" ht="15.75" thickBot="1" x14ac:dyDescent="0.3">
      <c r="A6365" t="s">
        <v>4668</v>
      </c>
      <c r="B6365" t="s">
        <v>4668</v>
      </c>
      <c r="C6365" s="424" t="str">
        <f t="shared" si="271"/>
        <v>Viação Alvorada, Lda</v>
      </c>
      <c r="D6365" t="s">
        <v>629</v>
      </c>
      <c r="F6365" t="s">
        <v>620</v>
      </c>
      <c r="G6365" s="89">
        <v>2022</v>
      </c>
      <c r="H6365" s="313" t="s">
        <v>5816</v>
      </c>
      <c r="I6365" s="311" t="str">
        <f t="shared" si="270"/>
        <v>Pesado de Passageiros M3:  : Gasóleo : E6 D/E E7</v>
      </c>
      <c r="J6365">
        <v>25</v>
      </c>
      <c r="K6365" s="422">
        <v>2023</v>
      </c>
      <c r="L6365">
        <v>8235</v>
      </c>
      <c r="M6365" t="s">
        <v>630</v>
      </c>
      <c r="N6365" s="131">
        <v>8235</v>
      </c>
      <c r="O6365" s="436">
        <f t="shared" si="272"/>
        <v>205875</v>
      </c>
      <c r="P6365" s="89">
        <v>1720</v>
      </c>
      <c r="Q6365" t="s">
        <v>47</v>
      </c>
      <c r="R6365" s="422" t="s">
        <v>1869</v>
      </c>
      <c r="S6365" s="422" t="s">
        <v>1861</v>
      </c>
      <c r="T6365" s="422" t="s">
        <v>5820</v>
      </c>
      <c r="U6365" s="422" t="s">
        <v>1953</v>
      </c>
      <c r="V6365" s="422" t="s">
        <v>2813</v>
      </c>
    </row>
    <row r="6366" spans="1:22" ht="15.75" thickBot="1" x14ac:dyDescent="0.3">
      <c r="A6366" t="s">
        <v>4668</v>
      </c>
      <c r="B6366" t="s">
        <v>4668</v>
      </c>
      <c r="C6366" s="424" t="str">
        <f t="shared" si="271"/>
        <v>Viação Alvorada, Lda</v>
      </c>
      <c r="D6366" t="s">
        <v>629</v>
      </c>
      <c r="F6366" t="s">
        <v>620</v>
      </c>
      <c r="G6366" s="89">
        <v>2022</v>
      </c>
      <c r="H6366" s="313" t="s">
        <v>5816</v>
      </c>
      <c r="I6366" s="311" t="str">
        <f t="shared" si="270"/>
        <v>Pesado de Passageiros M3:  : Gasóleo : E6 D/E E7</v>
      </c>
      <c r="J6366">
        <v>25</v>
      </c>
      <c r="K6366" s="422">
        <v>2023</v>
      </c>
      <c r="L6366">
        <v>8297</v>
      </c>
      <c r="M6366" t="s">
        <v>630</v>
      </c>
      <c r="N6366" s="131">
        <v>8297</v>
      </c>
      <c r="O6366" s="436">
        <f t="shared" si="272"/>
        <v>207425</v>
      </c>
      <c r="P6366" s="89">
        <v>1721</v>
      </c>
      <c r="Q6366" t="s">
        <v>47</v>
      </c>
      <c r="R6366" s="422" t="s">
        <v>1869</v>
      </c>
      <c r="S6366" s="422" t="s">
        <v>1861</v>
      </c>
      <c r="T6366" s="422" t="s">
        <v>5821</v>
      </c>
      <c r="U6366" s="422" t="s">
        <v>1953</v>
      </c>
      <c r="V6366" s="422" t="s">
        <v>2813</v>
      </c>
    </row>
    <row r="6367" spans="1:22" ht="15.75" thickBot="1" x14ac:dyDescent="0.3">
      <c r="A6367" t="s">
        <v>4668</v>
      </c>
      <c r="B6367" t="s">
        <v>4668</v>
      </c>
      <c r="C6367" s="424" t="str">
        <f t="shared" si="271"/>
        <v>Viação Alvorada, Lda</v>
      </c>
      <c r="D6367" t="s">
        <v>629</v>
      </c>
      <c r="F6367" t="s">
        <v>620</v>
      </c>
      <c r="G6367" s="89">
        <v>2022</v>
      </c>
      <c r="H6367" s="313" t="s">
        <v>5816</v>
      </c>
      <c r="I6367" s="311" t="str">
        <f t="shared" si="270"/>
        <v>Pesado de Passageiros M3:  : Gasóleo : E6 D/E E7</v>
      </c>
      <c r="J6367">
        <v>25</v>
      </c>
      <c r="K6367" s="422">
        <v>2023</v>
      </c>
      <c r="L6367">
        <v>7392</v>
      </c>
      <c r="M6367" t="s">
        <v>630</v>
      </c>
      <c r="N6367" s="131">
        <v>7392</v>
      </c>
      <c r="O6367" s="436">
        <f t="shared" si="272"/>
        <v>184800</v>
      </c>
      <c r="P6367" s="89">
        <v>1722</v>
      </c>
      <c r="Q6367" t="s">
        <v>47</v>
      </c>
      <c r="R6367" s="422" t="s">
        <v>1869</v>
      </c>
      <c r="S6367" s="422" t="s">
        <v>1861</v>
      </c>
      <c r="T6367" s="422" t="s">
        <v>5821</v>
      </c>
      <c r="U6367" s="422" t="s">
        <v>1953</v>
      </c>
      <c r="V6367" s="422" t="s">
        <v>2813</v>
      </c>
    </row>
    <row r="6368" spans="1:22" ht="15.75" thickBot="1" x14ac:dyDescent="0.3">
      <c r="A6368" t="s">
        <v>4668</v>
      </c>
      <c r="B6368" t="s">
        <v>4668</v>
      </c>
      <c r="C6368" s="424" t="str">
        <f t="shared" si="271"/>
        <v>Viação Alvorada, Lda</v>
      </c>
      <c r="D6368" t="s">
        <v>629</v>
      </c>
      <c r="F6368" t="s">
        <v>620</v>
      </c>
      <c r="G6368" s="89">
        <v>2022</v>
      </c>
      <c r="H6368" s="313" t="s">
        <v>5816</v>
      </c>
      <c r="I6368" s="311" t="str">
        <f t="shared" si="270"/>
        <v>Pesado de Passageiros M3:  : Gasóleo : E6 D/E E7</v>
      </c>
      <c r="J6368">
        <v>25</v>
      </c>
      <c r="K6368" s="422">
        <v>2023</v>
      </c>
      <c r="L6368">
        <v>15040</v>
      </c>
      <c r="M6368" t="s">
        <v>630</v>
      </c>
      <c r="N6368" s="131">
        <v>15040</v>
      </c>
      <c r="O6368" s="436">
        <f t="shared" si="272"/>
        <v>376000</v>
      </c>
      <c r="P6368" s="89">
        <v>1723</v>
      </c>
      <c r="Q6368" t="s">
        <v>47</v>
      </c>
      <c r="R6368" s="422" t="s">
        <v>1869</v>
      </c>
      <c r="S6368" s="422" t="s">
        <v>1861</v>
      </c>
      <c r="T6368" s="422" t="s">
        <v>5821</v>
      </c>
      <c r="U6368" s="422" t="s">
        <v>1953</v>
      </c>
      <c r="V6368" s="422" t="s">
        <v>2813</v>
      </c>
    </row>
    <row r="6369" spans="1:22" ht="15.75" thickBot="1" x14ac:dyDescent="0.3">
      <c r="A6369" t="s">
        <v>4668</v>
      </c>
      <c r="B6369" t="s">
        <v>4668</v>
      </c>
      <c r="C6369" s="424" t="str">
        <f t="shared" si="271"/>
        <v>Viação Alvorada, Lda</v>
      </c>
      <c r="D6369" t="s">
        <v>629</v>
      </c>
      <c r="F6369" t="s">
        <v>620</v>
      </c>
      <c r="G6369" s="89">
        <v>2022</v>
      </c>
      <c r="H6369" s="313" t="s">
        <v>5816</v>
      </c>
      <c r="I6369" s="311" t="str">
        <f t="shared" si="270"/>
        <v>Pesado de Passageiros M3:  : Gasóleo : E6 D/E E7</v>
      </c>
      <c r="J6369">
        <v>25</v>
      </c>
      <c r="K6369" s="422">
        <v>2023</v>
      </c>
      <c r="L6369">
        <v>9436</v>
      </c>
      <c r="M6369" t="s">
        <v>630</v>
      </c>
      <c r="N6369" s="131">
        <v>9436</v>
      </c>
      <c r="O6369" s="436">
        <f t="shared" si="272"/>
        <v>235900</v>
      </c>
      <c r="P6369" s="89">
        <v>1724</v>
      </c>
      <c r="Q6369" t="s">
        <v>47</v>
      </c>
      <c r="R6369" s="422" t="s">
        <v>1869</v>
      </c>
      <c r="S6369" s="422" t="s">
        <v>1861</v>
      </c>
      <c r="T6369" s="422" t="s">
        <v>5821</v>
      </c>
      <c r="U6369" s="422" t="s">
        <v>1953</v>
      </c>
      <c r="V6369" s="422" t="s">
        <v>2813</v>
      </c>
    </row>
    <row r="6370" spans="1:22" ht="15.75" thickBot="1" x14ac:dyDescent="0.3">
      <c r="A6370" t="s">
        <v>4668</v>
      </c>
      <c r="B6370" t="s">
        <v>4668</v>
      </c>
      <c r="C6370" s="424" t="str">
        <f t="shared" si="271"/>
        <v>Viação Alvorada, Lda</v>
      </c>
      <c r="D6370" t="s">
        <v>629</v>
      </c>
      <c r="F6370" t="s">
        <v>620</v>
      </c>
      <c r="G6370" s="89">
        <v>2022</v>
      </c>
      <c r="H6370" s="313" t="s">
        <v>5816</v>
      </c>
      <c r="I6370" s="311" t="str">
        <f t="shared" ref="I6370:I6433" si="273">D6370&amp;": "&amp;E6370&amp;" : "&amp;F6370&amp;" : "&amp;H6370</f>
        <v>Pesado de Passageiros M3:  : Gasóleo : E6 D/E E7</v>
      </c>
      <c r="J6370">
        <v>25</v>
      </c>
      <c r="K6370" s="422">
        <v>2023</v>
      </c>
      <c r="L6370">
        <v>9456</v>
      </c>
      <c r="M6370" t="s">
        <v>630</v>
      </c>
      <c r="N6370" s="131">
        <v>9456</v>
      </c>
      <c r="O6370" s="436">
        <f t="shared" si="272"/>
        <v>236400</v>
      </c>
      <c r="P6370" s="89">
        <v>1725</v>
      </c>
      <c r="Q6370" t="s">
        <v>47</v>
      </c>
      <c r="R6370" s="422" t="s">
        <v>1869</v>
      </c>
      <c r="S6370" s="422" t="s">
        <v>1861</v>
      </c>
      <c r="T6370" s="422" t="s">
        <v>5821</v>
      </c>
      <c r="U6370" s="422" t="s">
        <v>1953</v>
      </c>
      <c r="V6370" s="422" t="s">
        <v>2813</v>
      </c>
    </row>
    <row r="6371" spans="1:22" ht="15.75" thickBot="1" x14ac:dyDescent="0.3">
      <c r="A6371" t="s">
        <v>4668</v>
      </c>
      <c r="B6371" t="s">
        <v>4668</v>
      </c>
      <c r="C6371" s="424" t="str">
        <f t="shared" si="271"/>
        <v>Viação Alvorada, Lda</v>
      </c>
      <c r="D6371" t="s">
        <v>629</v>
      </c>
      <c r="F6371" t="s">
        <v>620</v>
      </c>
      <c r="G6371" s="89">
        <v>2022</v>
      </c>
      <c r="H6371" s="313" t="s">
        <v>5816</v>
      </c>
      <c r="I6371" s="311" t="str">
        <f t="shared" si="273"/>
        <v>Pesado de Passageiros M3:  : Gasóleo : E6 D/E E7</v>
      </c>
      <c r="J6371">
        <v>25</v>
      </c>
      <c r="K6371" s="422">
        <v>2023</v>
      </c>
      <c r="L6371">
        <v>9612</v>
      </c>
      <c r="M6371" t="s">
        <v>630</v>
      </c>
      <c r="N6371" s="131">
        <v>9612</v>
      </c>
      <c r="O6371" s="436">
        <f t="shared" si="272"/>
        <v>240300</v>
      </c>
      <c r="P6371" s="89">
        <v>1726</v>
      </c>
      <c r="Q6371" t="s">
        <v>47</v>
      </c>
      <c r="R6371" s="422" t="s">
        <v>1869</v>
      </c>
      <c r="S6371" s="422" t="s">
        <v>1861</v>
      </c>
      <c r="T6371" s="422" t="s">
        <v>5821</v>
      </c>
      <c r="U6371" s="422" t="s">
        <v>1953</v>
      </c>
      <c r="V6371" s="422" t="s">
        <v>2813</v>
      </c>
    </row>
    <row r="6372" spans="1:22" ht="15.75" thickBot="1" x14ac:dyDescent="0.3">
      <c r="A6372" t="s">
        <v>4668</v>
      </c>
      <c r="B6372" t="s">
        <v>4668</v>
      </c>
      <c r="C6372" s="424" t="str">
        <f t="shared" si="271"/>
        <v>Viação Alvorada, Lda</v>
      </c>
      <c r="D6372" t="s">
        <v>629</v>
      </c>
      <c r="F6372" t="s">
        <v>620</v>
      </c>
      <c r="G6372" s="89">
        <v>2022</v>
      </c>
      <c r="H6372" s="313" t="s">
        <v>5816</v>
      </c>
      <c r="I6372" s="311" t="str">
        <f t="shared" si="273"/>
        <v>Pesado de Passageiros M3:  : Gasóleo : E6 D/E E7</v>
      </c>
      <c r="J6372">
        <v>25</v>
      </c>
      <c r="K6372" s="422">
        <v>2023</v>
      </c>
      <c r="L6372">
        <v>5637</v>
      </c>
      <c r="M6372" t="s">
        <v>630</v>
      </c>
      <c r="N6372" s="131">
        <v>5637</v>
      </c>
      <c r="O6372" s="436">
        <f t="shared" si="272"/>
        <v>140925</v>
      </c>
      <c r="P6372" s="89">
        <v>1727</v>
      </c>
      <c r="Q6372" t="s">
        <v>47</v>
      </c>
      <c r="R6372" s="422" t="s">
        <v>1869</v>
      </c>
      <c r="S6372" s="422" t="s">
        <v>1861</v>
      </c>
      <c r="T6372" s="422" t="s">
        <v>5821</v>
      </c>
      <c r="U6372" s="422" t="s">
        <v>1953</v>
      </c>
      <c r="V6372" s="422" t="s">
        <v>2813</v>
      </c>
    </row>
    <row r="6373" spans="1:22" ht="15.75" thickBot="1" x14ac:dyDescent="0.3">
      <c r="A6373" t="s">
        <v>4668</v>
      </c>
      <c r="B6373" t="s">
        <v>4668</v>
      </c>
      <c r="C6373" s="424" t="str">
        <f t="shared" si="271"/>
        <v>Viação Alvorada, Lda</v>
      </c>
      <c r="D6373" t="s">
        <v>629</v>
      </c>
      <c r="F6373" t="s">
        <v>620</v>
      </c>
      <c r="G6373" s="89">
        <v>2022</v>
      </c>
      <c r="H6373" s="313" t="s">
        <v>5816</v>
      </c>
      <c r="I6373" s="311" t="str">
        <f t="shared" si="273"/>
        <v>Pesado de Passageiros M3:  : Gasóleo : E6 D/E E7</v>
      </c>
      <c r="J6373">
        <v>25</v>
      </c>
      <c r="K6373" s="422">
        <v>2023</v>
      </c>
      <c r="L6373">
        <v>14553</v>
      </c>
      <c r="M6373" t="s">
        <v>630</v>
      </c>
      <c r="N6373" s="131">
        <v>14553</v>
      </c>
      <c r="O6373" s="436">
        <f t="shared" si="272"/>
        <v>363825</v>
      </c>
      <c r="P6373" s="89">
        <v>1728</v>
      </c>
      <c r="Q6373" t="s">
        <v>47</v>
      </c>
      <c r="R6373" s="422" t="s">
        <v>1869</v>
      </c>
      <c r="S6373" s="422" t="s">
        <v>1861</v>
      </c>
      <c r="T6373" s="422" t="s">
        <v>5821</v>
      </c>
      <c r="U6373" s="422" t="s">
        <v>1953</v>
      </c>
      <c r="V6373" s="422" t="s">
        <v>2813</v>
      </c>
    </row>
    <row r="6374" spans="1:22" ht="15.75" thickBot="1" x14ac:dyDescent="0.3">
      <c r="A6374" t="s">
        <v>4668</v>
      </c>
      <c r="B6374" t="s">
        <v>4668</v>
      </c>
      <c r="C6374" s="424" t="str">
        <f t="shared" si="271"/>
        <v>Viação Alvorada, Lda</v>
      </c>
      <c r="D6374" t="s">
        <v>629</v>
      </c>
      <c r="F6374" t="s">
        <v>620</v>
      </c>
      <c r="G6374" s="89">
        <v>2022</v>
      </c>
      <c r="H6374" s="313" t="s">
        <v>5816</v>
      </c>
      <c r="I6374" s="311" t="str">
        <f t="shared" si="273"/>
        <v>Pesado de Passageiros M3:  : Gasóleo : E6 D/E E7</v>
      </c>
      <c r="J6374">
        <v>25</v>
      </c>
      <c r="K6374" s="422">
        <v>2023</v>
      </c>
      <c r="L6374">
        <v>13884</v>
      </c>
      <c r="M6374" t="s">
        <v>630</v>
      </c>
      <c r="N6374" s="131">
        <v>13884</v>
      </c>
      <c r="O6374" s="436">
        <f t="shared" si="272"/>
        <v>347100</v>
      </c>
      <c r="P6374" s="89">
        <v>1729</v>
      </c>
      <c r="Q6374" t="s">
        <v>47</v>
      </c>
      <c r="R6374" s="422" t="s">
        <v>1869</v>
      </c>
      <c r="S6374" s="422" t="s">
        <v>1861</v>
      </c>
      <c r="T6374" s="422" t="s">
        <v>5821</v>
      </c>
      <c r="U6374" s="422" t="s">
        <v>1953</v>
      </c>
      <c r="V6374" s="422" t="s">
        <v>2813</v>
      </c>
    </row>
    <row r="6375" spans="1:22" ht="15.75" thickBot="1" x14ac:dyDescent="0.3">
      <c r="A6375" t="s">
        <v>4668</v>
      </c>
      <c r="B6375" t="s">
        <v>4668</v>
      </c>
      <c r="C6375" s="424" t="str">
        <f t="shared" si="271"/>
        <v>Viação Alvorada, Lda</v>
      </c>
      <c r="D6375" t="s">
        <v>629</v>
      </c>
      <c r="F6375" t="s">
        <v>620</v>
      </c>
      <c r="G6375" s="89">
        <v>2022</v>
      </c>
      <c r="H6375" s="313" t="s">
        <v>5816</v>
      </c>
      <c r="I6375" s="311" t="str">
        <f t="shared" si="273"/>
        <v>Pesado de Passageiros M3:  : Gasóleo : E6 D/E E7</v>
      </c>
      <c r="J6375">
        <v>25</v>
      </c>
      <c r="K6375" s="422">
        <v>2023</v>
      </c>
      <c r="L6375">
        <v>13028</v>
      </c>
      <c r="M6375" t="s">
        <v>630</v>
      </c>
      <c r="N6375" s="131">
        <v>13028</v>
      </c>
      <c r="O6375" s="436">
        <f t="shared" si="272"/>
        <v>325700</v>
      </c>
      <c r="P6375" s="89">
        <v>1730</v>
      </c>
      <c r="Q6375" t="s">
        <v>47</v>
      </c>
      <c r="R6375" s="422" t="s">
        <v>1869</v>
      </c>
      <c r="S6375" s="422" t="s">
        <v>1861</v>
      </c>
      <c r="T6375" s="422" t="s">
        <v>5821</v>
      </c>
      <c r="U6375" s="422" t="s">
        <v>1953</v>
      </c>
      <c r="V6375" s="422" t="s">
        <v>2813</v>
      </c>
    </row>
    <row r="6376" spans="1:22" ht="15.75" thickBot="1" x14ac:dyDescent="0.3">
      <c r="A6376" t="s">
        <v>4668</v>
      </c>
      <c r="B6376" t="s">
        <v>4668</v>
      </c>
      <c r="C6376" s="424" t="str">
        <f t="shared" si="271"/>
        <v>Viação Alvorada, Lda</v>
      </c>
      <c r="D6376" t="s">
        <v>629</v>
      </c>
      <c r="F6376" t="s">
        <v>620</v>
      </c>
      <c r="G6376" s="89">
        <v>2022</v>
      </c>
      <c r="H6376" s="313" t="s">
        <v>5816</v>
      </c>
      <c r="I6376" s="311" t="str">
        <f t="shared" si="273"/>
        <v>Pesado de Passageiros M3:  : Gasóleo : E6 D/E E7</v>
      </c>
      <c r="J6376">
        <v>25</v>
      </c>
      <c r="K6376" s="422">
        <v>2023</v>
      </c>
      <c r="L6376">
        <v>4443</v>
      </c>
      <c r="M6376" t="s">
        <v>630</v>
      </c>
      <c r="N6376" s="131">
        <v>4443</v>
      </c>
      <c r="O6376" s="436">
        <f t="shared" si="272"/>
        <v>111075</v>
      </c>
      <c r="P6376" s="89">
        <v>1731</v>
      </c>
      <c r="Q6376" t="s">
        <v>47</v>
      </c>
      <c r="R6376" s="422" t="s">
        <v>1869</v>
      </c>
      <c r="S6376" s="422" t="s">
        <v>1861</v>
      </c>
      <c r="T6376" s="422" t="s">
        <v>5821</v>
      </c>
      <c r="U6376" s="422" t="s">
        <v>1953</v>
      </c>
      <c r="V6376" s="422" t="s">
        <v>2813</v>
      </c>
    </row>
    <row r="6377" spans="1:22" ht="15.75" thickBot="1" x14ac:dyDescent="0.3">
      <c r="A6377" t="s">
        <v>4668</v>
      </c>
      <c r="B6377" t="s">
        <v>4668</v>
      </c>
      <c r="C6377" s="424" t="str">
        <f t="shared" si="271"/>
        <v>Viação Alvorada, Lda</v>
      </c>
      <c r="D6377" t="s">
        <v>629</v>
      </c>
      <c r="F6377" t="s">
        <v>620</v>
      </c>
      <c r="G6377" s="89">
        <v>2022</v>
      </c>
      <c r="H6377" s="313" t="s">
        <v>5816</v>
      </c>
      <c r="I6377" s="311" t="str">
        <f t="shared" si="273"/>
        <v>Pesado de Passageiros M3:  : Gasóleo : E6 D/E E7</v>
      </c>
      <c r="J6377">
        <v>33</v>
      </c>
      <c r="K6377" s="422">
        <v>2023</v>
      </c>
      <c r="L6377">
        <v>15374</v>
      </c>
      <c r="M6377" t="s">
        <v>630</v>
      </c>
      <c r="N6377" s="131">
        <v>15374</v>
      </c>
      <c r="O6377" s="436">
        <f t="shared" si="272"/>
        <v>507342</v>
      </c>
      <c r="P6377" s="89">
        <v>1732</v>
      </c>
      <c r="Q6377" t="s">
        <v>47</v>
      </c>
      <c r="R6377" s="422" t="s">
        <v>1869</v>
      </c>
      <c r="S6377" s="422" t="s">
        <v>1861</v>
      </c>
      <c r="T6377" s="422" t="s">
        <v>5820</v>
      </c>
      <c r="U6377" s="422" t="s">
        <v>1953</v>
      </c>
      <c r="V6377" s="422" t="s">
        <v>2813</v>
      </c>
    </row>
    <row r="6378" spans="1:22" ht="15.75" thickBot="1" x14ac:dyDescent="0.3">
      <c r="A6378" t="s">
        <v>4668</v>
      </c>
      <c r="B6378" t="s">
        <v>4668</v>
      </c>
      <c r="C6378" s="424" t="str">
        <f t="shared" si="271"/>
        <v>Viação Alvorada, Lda</v>
      </c>
      <c r="D6378" t="s">
        <v>629</v>
      </c>
      <c r="F6378" t="s">
        <v>620</v>
      </c>
      <c r="G6378" s="89">
        <v>2022</v>
      </c>
      <c r="H6378" s="313" t="s">
        <v>5816</v>
      </c>
      <c r="I6378" s="311" t="str">
        <f t="shared" si="273"/>
        <v>Pesado de Passageiros M3:  : Gasóleo : E6 D/E E7</v>
      </c>
      <c r="J6378">
        <v>33</v>
      </c>
      <c r="K6378" s="422">
        <v>2023</v>
      </c>
      <c r="L6378">
        <v>17192</v>
      </c>
      <c r="M6378" t="s">
        <v>630</v>
      </c>
      <c r="N6378" s="131">
        <v>17192</v>
      </c>
      <c r="O6378" s="436">
        <f t="shared" si="272"/>
        <v>567336</v>
      </c>
      <c r="P6378" s="89">
        <v>1733</v>
      </c>
      <c r="Q6378" t="s">
        <v>47</v>
      </c>
      <c r="R6378" s="422" t="s">
        <v>1869</v>
      </c>
      <c r="S6378" s="422" t="s">
        <v>1861</v>
      </c>
      <c r="T6378" s="422" t="s">
        <v>5820</v>
      </c>
      <c r="U6378" s="422" t="s">
        <v>1953</v>
      </c>
      <c r="V6378" s="422" t="s">
        <v>2813</v>
      </c>
    </row>
    <row r="6379" spans="1:22" ht="15.75" thickBot="1" x14ac:dyDescent="0.3">
      <c r="A6379" t="s">
        <v>4668</v>
      </c>
      <c r="B6379" t="s">
        <v>4668</v>
      </c>
      <c r="C6379" s="424" t="str">
        <f t="shared" si="271"/>
        <v>Viação Alvorada, Lda</v>
      </c>
      <c r="D6379" t="s">
        <v>629</v>
      </c>
      <c r="F6379" t="s">
        <v>620</v>
      </c>
      <c r="G6379" s="89">
        <v>2022</v>
      </c>
      <c r="H6379" s="313" t="s">
        <v>5816</v>
      </c>
      <c r="I6379" s="311" t="str">
        <f t="shared" si="273"/>
        <v>Pesado de Passageiros M3:  : Gasóleo : E6 D/E E7</v>
      </c>
      <c r="J6379">
        <v>33</v>
      </c>
      <c r="K6379" s="422">
        <v>2023</v>
      </c>
      <c r="L6379">
        <v>15060</v>
      </c>
      <c r="M6379" t="s">
        <v>630</v>
      </c>
      <c r="N6379" s="131">
        <v>15060</v>
      </c>
      <c r="O6379" s="436">
        <f t="shared" si="272"/>
        <v>496980</v>
      </c>
      <c r="P6379" s="89">
        <v>1734</v>
      </c>
      <c r="Q6379" t="s">
        <v>47</v>
      </c>
      <c r="R6379" s="422" t="s">
        <v>1869</v>
      </c>
      <c r="S6379" s="422" t="s">
        <v>1861</v>
      </c>
      <c r="T6379" s="422" t="s">
        <v>5820</v>
      </c>
      <c r="U6379" s="422" t="s">
        <v>1953</v>
      </c>
      <c r="V6379" s="422" t="s">
        <v>2813</v>
      </c>
    </row>
    <row r="6380" spans="1:22" ht="15.75" thickBot="1" x14ac:dyDescent="0.3">
      <c r="A6380" t="s">
        <v>4668</v>
      </c>
      <c r="B6380" t="s">
        <v>4668</v>
      </c>
      <c r="C6380" s="424" t="str">
        <f t="shared" si="271"/>
        <v>Viação Alvorada, Lda</v>
      </c>
      <c r="D6380" t="s">
        <v>629</v>
      </c>
      <c r="F6380" t="s">
        <v>620</v>
      </c>
      <c r="G6380" s="89">
        <v>2023</v>
      </c>
      <c r="H6380" s="313" t="s">
        <v>5816</v>
      </c>
      <c r="I6380" s="311" t="str">
        <f t="shared" si="273"/>
        <v>Pesado de Passageiros M3:  : Gasóleo : E6 D/E E7</v>
      </c>
      <c r="J6380">
        <v>25</v>
      </c>
      <c r="K6380" s="422">
        <v>2023</v>
      </c>
      <c r="L6380">
        <v>2230</v>
      </c>
      <c r="M6380" t="s">
        <v>630</v>
      </c>
      <c r="N6380" s="131">
        <v>2230</v>
      </c>
      <c r="O6380" s="436">
        <f t="shared" si="272"/>
        <v>55750</v>
      </c>
      <c r="P6380" s="89">
        <v>1736</v>
      </c>
      <c r="Q6380" t="s">
        <v>47</v>
      </c>
      <c r="R6380" s="422" t="s">
        <v>1869</v>
      </c>
      <c r="S6380" s="422" t="s">
        <v>1861</v>
      </c>
      <c r="T6380" s="422" t="s">
        <v>5820</v>
      </c>
      <c r="U6380" s="422" t="s">
        <v>1953</v>
      </c>
      <c r="V6380" s="422" t="s">
        <v>2813</v>
      </c>
    </row>
    <row r="6381" spans="1:22" ht="15.75" thickBot="1" x14ac:dyDescent="0.3">
      <c r="A6381" t="s">
        <v>4668</v>
      </c>
      <c r="B6381" t="s">
        <v>4668</v>
      </c>
      <c r="C6381" s="424" t="str">
        <f t="shared" si="271"/>
        <v>Viação Alvorada, Lda</v>
      </c>
      <c r="D6381" t="s">
        <v>629</v>
      </c>
      <c r="F6381" t="s">
        <v>620</v>
      </c>
      <c r="G6381" s="89">
        <v>2023</v>
      </c>
      <c r="H6381" s="313" t="s">
        <v>5816</v>
      </c>
      <c r="I6381" s="311" t="str">
        <f t="shared" si="273"/>
        <v>Pesado de Passageiros M3:  : Gasóleo : E6 D/E E7</v>
      </c>
      <c r="J6381">
        <v>25</v>
      </c>
      <c r="K6381" s="422">
        <v>2023</v>
      </c>
      <c r="L6381">
        <v>1992</v>
      </c>
      <c r="M6381" t="s">
        <v>630</v>
      </c>
      <c r="N6381" s="131">
        <v>1992</v>
      </c>
      <c r="O6381" s="436">
        <f t="shared" si="272"/>
        <v>49800</v>
      </c>
      <c r="P6381" s="89">
        <v>1737</v>
      </c>
      <c r="Q6381" t="s">
        <v>47</v>
      </c>
      <c r="R6381" s="422" t="s">
        <v>1869</v>
      </c>
      <c r="S6381" s="422" t="s">
        <v>1861</v>
      </c>
      <c r="T6381" s="422" t="s">
        <v>5820</v>
      </c>
      <c r="U6381" s="422" t="s">
        <v>1953</v>
      </c>
      <c r="V6381" s="422" t="s">
        <v>2813</v>
      </c>
    </row>
    <row r="6382" spans="1:22" ht="15.75" thickBot="1" x14ac:dyDescent="0.3">
      <c r="A6382" t="s">
        <v>4668</v>
      </c>
      <c r="B6382" t="s">
        <v>4668</v>
      </c>
      <c r="C6382" s="424" t="str">
        <f t="shared" si="271"/>
        <v>Viação Alvorada, Lda</v>
      </c>
      <c r="D6382" t="s">
        <v>629</v>
      </c>
      <c r="F6382" t="s">
        <v>620</v>
      </c>
      <c r="G6382" s="89">
        <v>2022</v>
      </c>
      <c r="H6382" s="313" t="s">
        <v>5816</v>
      </c>
      <c r="I6382" s="311" t="str">
        <f t="shared" si="273"/>
        <v>Pesado de Passageiros M3:  : Gasóleo : E6 D/E E7</v>
      </c>
      <c r="J6382">
        <v>85</v>
      </c>
      <c r="K6382" s="422">
        <v>2023</v>
      </c>
      <c r="L6382">
        <v>24002</v>
      </c>
      <c r="M6382" t="s">
        <v>630</v>
      </c>
      <c r="N6382" s="131">
        <v>24002</v>
      </c>
      <c r="O6382" s="436">
        <f t="shared" si="272"/>
        <v>2040170</v>
      </c>
      <c r="P6382" s="89">
        <v>1800</v>
      </c>
      <c r="Q6382" t="s">
        <v>47</v>
      </c>
      <c r="R6382" s="422" t="s">
        <v>1869</v>
      </c>
      <c r="S6382" s="422" t="s">
        <v>1861</v>
      </c>
      <c r="T6382" s="422" t="s">
        <v>5820</v>
      </c>
      <c r="U6382" s="422" t="s">
        <v>1953</v>
      </c>
      <c r="V6382" s="422" t="s">
        <v>2813</v>
      </c>
    </row>
    <row r="6383" spans="1:22" ht="15.75" thickBot="1" x14ac:dyDescent="0.3">
      <c r="A6383" t="s">
        <v>4668</v>
      </c>
      <c r="B6383" t="s">
        <v>4668</v>
      </c>
      <c r="C6383" s="424" t="str">
        <f t="shared" si="271"/>
        <v>Viação Alvorada, Lda</v>
      </c>
      <c r="D6383" t="s">
        <v>629</v>
      </c>
      <c r="F6383" t="s">
        <v>620</v>
      </c>
      <c r="G6383" s="89">
        <v>2022</v>
      </c>
      <c r="H6383" s="313" t="s">
        <v>5816</v>
      </c>
      <c r="I6383" s="311" t="str">
        <f t="shared" si="273"/>
        <v>Pesado de Passageiros M3:  : Gasóleo : E6 D/E E7</v>
      </c>
      <c r="J6383">
        <v>85</v>
      </c>
      <c r="K6383" s="422">
        <v>2023</v>
      </c>
      <c r="L6383">
        <v>26700</v>
      </c>
      <c r="M6383" t="s">
        <v>630</v>
      </c>
      <c r="N6383" s="131">
        <v>26700</v>
      </c>
      <c r="O6383" s="436">
        <f t="shared" si="272"/>
        <v>2269500</v>
      </c>
      <c r="P6383" s="89">
        <v>1801</v>
      </c>
      <c r="Q6383" t="s">
        <v>47</v>
      </c>
      <c r="R6383" s="422" t="s">
        <v>1869</v>
      </c>
      <c r="S6383" s="422" t="s">
        <v>1861</v>
      </c>
      <c r="T6383" s="422" t="s">
        <v>5820</v>
      </c>
      <c r="U6383" s="422" t="s">
        <v>1953</v>
      </c>
      <c r="V6383" s="422" t="s">
        <v>2813</v>
      </c>
    </row>
    <row r="6384" spans="1:22" ht="15.75" thickBot="1" x14ac:dyDescent="0.3">
      <c r="A6384" t="s">
        <v>4668</v>
      </c>
      <c r="B6384" t="s">
        <v>4668</v>
      </c>
      <c r="C6384" s="424" t="str">
        <f t="shared" si="271"/>
        <v>Viação Alvorada, Lda</v>
      </c>
      <c r="D6384" t="s">
        <v>629</v>
      </c>
      <c r="F6384" t="s">
        <v>620</v>
      </c>
      <c r="G6384" s="89">
        <v>2022</v>
      </c>
      <c r="H6384" s="313" t="s">
        <v>5816</v>
      </c>
      <c r="I6384" s="311" t="str">
        <f t="shared" si="273"/>
        <v>Pesado de Passageiros M3:  : Gasóleo : E6 D/E E7</v>
      </c>
      <c r="J6384">
        <v>85</v>
      </c>
      <c r="K6384" s="422">
        <v>2023</v>
      </c>
      <c r="L6384">
        <v>21470</v>
      </c>
      <c r="M6384" t="s">
        <v>630</v>
      </c>
      <c r="N6384" s="131">
        <v>21470</v>
      </c>
      <c r="O6384" s="436">
        <f t="shared" si="272"/>
        <v>1824950</v>
      </c>
      <c r="P6384" s="89">
        <v>1802</v>
      </c>
      <c r="Q6384" t="s">
        <v>47</v>
      </c>
      <c r="R6384" s="422" t="s">
        <v>1869</v>
      </c>
      <c r="S6384" s="422" t="s">
        <v>1861</v>
      </c>
      <c r="T6384" s="422" t="s">
        <v>5820</v>
      </c>
      <c r="U6384" s="422" t="s">
        <v>1953</v>
      </c>
      <c r="V6384" s="422" t="s">
        <v>2813</v>
      </c>
    </row>
    <row r="6385" spans="1:22" ht="15.75" thickBot="1" x14ac:dyDescent="0.3">
      <c r="A6385" t="s">
        <v>4668</v>
      </c>
      <c r="B6385" t="s">
        <v>4668</v>
      </c>
      <c r="C6385" s="424" t="str">
        <f t="shared" si="271"/>
        <v>Viação Alvorada, Lda</v>
      </c>
      <c r="D6385" t="s">
        <v>629</v>
      </c>
      <c r="F6385" t="s">
        <v>620</v>
      </c>
      <c r="G6385" s="89">
        <v>2022</v>
      </c>
      <c r="H6385" s="313" t="s">
        <v>5816</v>
      </c>
      <c r="I6385" s="311" t="str">
        <f t="shared" si="273"/>
        <v>Pesado de Passageiros M3:  : Gasóleo : E6 D/E E7</v>
      </c>
      <c r="J6385">
        <v>85</v>
      </c>
      <c r="K6385" s="422">
        <v>2023</v>
      </c>
      <c r="L6385">
        <v>22870</v>
      </c>
      <c r="M6385" t="s">
        <v>630</v>
      </c>
      <c r="N6385" s="131">
        <v>22870</v>
      </c>
      <c r="O6385" s="436">
        <f t="shared" si="272"/>
        <v>1943950</v>
      </c>
      <c r="P6385" s="89">
        <v>1803</v>
      </c>
      <c r="Q6385" t="s">
        <v>47</v>
      </c>
      <c r="R6385" s="422" t="s">
        <v>1869</v>
      </c>
      <c r="S6385" s="422" t="s">
        <v>1861</v>
      </c>
      <c r="T6385" s="422" t="s">
        <v>5820</v>
      </c>
      <c r="U6385" s="422" t="s">
        <v>1953</v>
      </c>
      <c r="V6385" s="422" t="s">
        <v>2813</v>
      </c>
    </row>
    <row r="6386" spans="1:22" ht="15.75" thickBot="1" x14ac:dyDescent="0.3">
      <c r="A6386" t="s">
        <v>4668</v>
      </c>
      <c r="B6386" t="s">
        <v>4668</v>
      </c>
      <c r="C6386" s="424" t="str">
        <f t="shared" ref="C6386:C6449" si="274">IF(A6386=B6386,B6386,RIGHT(A6386,LEN(A6386)-LEN(B6386)-3))</f>
        <v>Viação Alvorada, Lda</v>
      </c>
      <c r="D6386" t="s">
        <v>629</v>
      </c>
      <c r="F6386" t="s">
        <v>620</v>
      </c>
      <c r="G6386" s="89">
        <v>2022</v>
      </c>
      <c r="H6386" s="313" t="s">
        <v>5816</v>
      </c>
      <c r="I6386" s="311" t="str">
        <f t="shared" si="273"/>
        <v>Pesado de Passageiros M3:  : Gasóleo : E6 D/E E7</v>
      </c>
      <c r="J6386">
        <v>85</v>
      </c>
      <c r="K6386" s="422">
        <v>2023</v>
      </c>
      <c r="L6386">
        <v>22795</v>
      </c>
      <c r="M6386" t="s">
        <v>630</v>
      </c>
      <c r="N6386" s="131">
        <v>22795</v>
      </c>
      <c r="O6386" s="436">
        <f t="shared" si="272"/>
        <v>1937575</v>
      </c>
      <c r="P6386" s="89">
        <v>1804</v>
      </c>
      <c r="Q6386" t="s">
        <v>47</v>
      </c>
      <c r="R6386" s="422" t="s">
        <v>1869</v>
      </c>
      <c r="S6386" s="422" t="s">
        <v>1861</v>
      </c>
      <c r="T6386" s="422" t="s">
        <v>5820</v>
      </c>
      <c r="U6386" s="422" t="s">
        <v>1953</v>
      </c>
      <c r="V6386" s="422" t="s">
        <v>2813</v>
      </c>
    </row>
    <row r="6387" spans="1:22" ht="15.75" thickBot="1" x14ac:dyDescent="0.3">
      <c r="A6387" t="s">
        <v>4668</v>
      </c>
      <c r="B6387" t="s">
        <v>4668</v>
      </c>
      <c r="C6387" s="424" t="str">
        <f t="shared" si="274"/>
        <v>Viação Alvorada, Lda</v>
      </c>
      <c r="D6387" t="s">
        <v>629</v>
      </c>
      <c r="F6387" t="s">
        <v>620</v>
      </c>
      <c r="G6387" s="89">
        <v>2022</v>
      </c>
      <c r="H6387" s="313" t="s">
        <v>5816</v>
      </c>
      <c r="I6387" s="311" t="str">
        <f t="shared" si="273"/>
        <v>Pesado de Passageiros M3:  : Gasóleo : E6 D/E E7</v>
      </c>
      <c r="J6387">
        <v>85</v>
      </c>
      <c r="K6387" s="422">
        <v>2023</v>
      </c>
      <c r="L6387">
        <v>23563</v>
      </c>
      <c r="M6387" t="s">
        <v>630</v>
      </c>
      <c r="N6387" s="131">
        <v>23563</v>
      </c>
      <c r="O6387" s="436">
        <f t="shared" si="272"/>
        <v>2002855</v>
      </c>
      <c r="P6387" s="89">
        <v>1805</v>
      </c>
      <c r="Q6387" t="s">
        <v>47</v>
      </c>
      <c r="R6387" s="422" t="s">
        <v>1869</v>
      </c>
      <c r="S6387" s="422" t="s">
        <v>1861</v>
      </c>
      <c r="T6387" s="422" t="s">
        <v>5820</v>
      </c>
      <c r="U6387" s="422" t="s">
        <v>1953</v>
      </c>
      <c r="V6387" s="422" t="s">
        <v>2813</v>
      </c>
    </row>
    <row r="6388" spans="1:22" ht="15.75" thickBot="1" x14ac:dyDescent="0.3">
      <c r="A6388" t="s">
        <v>4668</v>
      </c>
      <c r="B6388" t="s">
        <v>4668</v>
      </c>
      <c r="C6388" s="424" t="str">
        <f t="shared" si="274"/>
        <v>Viação Alvorada, Lda</v>
      </c>
      <c r="D6388" t="s">
        <v>629</v>
      </c>
      <c r="F6388" t="s">
        <v>620</v>
      </c>
      <c r="G6388" s="89">
        <v>2022</v>
      </c>
      <c r="H6388" s="313" t="s">
        <v>5816</v>
      </c>
      <c r="I6388" s="311" t="str">
        <f t="shared" si="273"/>
        <v>Pesado de Passageiros M3:  : Gasóleo : E6 D/E E7</v>
      </c>
      <c r="J6388">
        <v>85</v>
      </c>
      <c r="K6388" s="422">
        <v>2023</v>
      </c>
      <c r="L6388">
        <v>26235</v>
      </c>
      <c r="M6388" t="s">
        <v>630</v>
      </c>
      <c r="N6388" s="131">
        <v>26235</v>
      </c>
      <c r="O6388" s="436">
        <f t="shared" si="272"/>
        <v>2229975</v>
      </c>
      <c r="P6388" s="89">
        <v>1806</v>
      </c>
      <c r="Q6388" t="s">
        <v>47</v>
      </c>
      <c r="R6388" s="422" t="s">
        <v>1869</v>
      </c>
      <c r="S6388" s="422" t="s">
        <v>1861</v>
      </c>
      <c r="T6388" s="422" t="s">
        <v>5820</v>
      </c>
      <c r="U6388" s="422" t="s">
        <v>1953</v>
      </c>
      <c r="V6388" s="422" t="s">
        <v>2813</v>
      </c>
    </row>
    <row r="6389" spans="1:22" ht="15.75" thickBot="1" x14ac:dyDescent="0.3">
      <c r="A6389" t="s">
        <v>4668</v>
      </c>
      <c r="B6389" t="s">
        <v>4668</v>
      </c>
      <c r="C6389" s="424" t="str">
        <f t="shared" si="274"/>
        <v>Viação Alvorada, Lda</v>
      </c>
      <c r="D6389" t="s">
        <v>629</v>
      </c>
      <c r="F6389" t="s">
        <v>620</v>
      </c>
      <c r="G6389" s="89">
        <v>2022</v>
      </c>
      <c r="H6389" s="313" t="s">
        <v>5816</v>
      </c>
      <c r="I6389" s="311" t="str">
        <f t="shared" si="273"/>
        <v>Pesado de Passageiros M3:  : Gasóleo : E6 D/E E7</v>
      </c>
      <c r="J6389">
        <v>85</v>
      </c>
      <c r="K6389" s="422">
        <v>2023</v>
      </c>
      <c r="L6389">
        <v>23431</v>
      </c>
      <c r="M6389" t="s">
        <v>630</v>
      </c>
      <c r="N6389" s="131">
        <v>23431</v>
      </c>
      <c r="O6389" s="436">
        <f t="shared" si="272"/>
        <v>1991635</v>
      </c>
      <c r="P6389" s="89">
        <v>1807</v>
      </c>
      <c r="Q6389" t="s">
        <v>47</v>
      </c>
      <c r="R6389" s="422" t="s">
        <v>1869</v>
      </c>
      <c r="S6389" s="422" t="s">
        <v>1861</v>
      </c>
      <c r="T6389" s="422" t="s">
        <v>5820</v>
      </c>
      <c r="U6389" s="422" t="s">
        <v>1953</v>
      </c>
      <c r="V6389" s="422" t="s">
        <v>2813</v>
      </c>
    </row>
    <row r="6390" spans="1:22" ht="15.75" thickBot="1" x14ac:dyDescent="0.3">
      <c r="A6390" t="s">
        <v>4668</v>
      </c>
      <c r="B6390" t="s">
        <v>4668</v>
      </c>
      <c r="C6390" s="424" t="str">
        <f t="shared" si="274"/>
        <v>Viação Alvorada, Lda</v>
      </c>
      <c r="D6390" t="s">
        <v>629</v>
      </c>
      <c r="F6390" t="s">
        <v>620</v>
      </c>
      <c r="G6390" s="89">
        <v>2022</v>
      </c>
      <c r="H6390" s="313" t="s">
        <v>5816</v>
      </c>
      <c r="I6390" s="311" t="str">
        <f t="shared" si="273"/>
        <v>Pesado de Passageiros M3:  : Gasóleo : E6 D/E E7</v>
      </c>
      <c r="J6390">
        <v>85</v>
      </c>
      <c r="K6390" s="422">
        <v>2023</v>
      </c>
      <c r="L6390">
        <v>27304</v>
      </c>
      <c r="M6390" t="s">
        <v>630</v>
      </c>
      <c r="N6390" s="131">
        <v>27304</v>
      </c>
      <c r="O6390" s="436">
        <f t="shared" si="272"/>
        <v>2320840</v>
      </c>
      <c r="P6390" s="89">
        <v>1808</v>
      </c>
      <c r="Q6390" t="s">
        <v>47</v>
      </c>
      <c r="R6390" s="422" t="s">
        <v>1869</v>
      </c>
      <c r="S6390" s="422" t="s">
        <v>1861</v>
      </c>
      <c r="T6390" s="422" t="s">
        <v>5820</v>
      </c>
      <c r="U6390" s="422" t="s">
        <v>1953</v>
      </c>
      <c r="V6390" s="422" t="s">
        <v>2813</v>
      </c>
    </row>
    <row r="6391" spans="1:22" ht="15.75" thickBot="1" x14ac:dyDescent="0.3">
      <c r="A6391" t="s">
        <v>4668</v>
      </c>
      <c r="B6391" t="s">
        <v>4668</v>
      </c>
      <c r="C6391" s="424" t="str">
        <f t="shared" si="274"/>
        <v>Viação Alvorada, Lda</v>
      </c>
      <c r="D6391" t="s">
        <v>629</v>
      </c>
      <c r="F6391" t="s">
        <v>620</v>
      </c>
      <c r="G6391" s="89">
        <v>2022</v>
      </c>
      <c r="H6391" s="313" t="s">
        <v>5816</v>
      </c>
      <c r="I6391" s="311" t="str">
        <f t="shared" si="273"/>
        <v>Pesado de Passageiros M3:  : Gasóleo : E6 D/E E7</v>
      </c>
      <c r="J6391">
        <v>85</v>
      </c>
      <c r="K6391" s="422">
        <v>2023</v>
      </c>
      <c r="L6391">
        <v>23790</v>
      </c>
      <c r="M6391" t="s">
        <v>630</v>
      </c>
      <c r="N6391" s="131">
        <v>23790</v>
      </c>
      <c r="O6391" s="436">
        <f t="shared" si="272"/>
        <v>2022150</v>
      </c>
      <c r="P6391" s="89">
        <v>1809</v>
      </c>
      <c r="Q6391" t="s">
        <v>47</v>
      </c>
      <c r="R6391" s="422" t="s">
        <v>1869</v>
      </c>
      <c r="S6391" s="422" t="s">
        <v>1861</v>
      </c>
      <c r="T6391" s="422" t="s">
        <v>5820</v>
      </c>
      <c r="U6391" s="422" t="s">
        <v>1953</v>
      </c>
      <c r="V6391" s="422" t="s">
        <v>2813</v>
      </c>
    </row>
    <row r="6392" spans="1:22" ht="15.75" thickBot="1" x14ac:dyDescent="0.3">
      <c r="A6392" t="s">
        <v>4668</v>
      </c>
      <c r="B6392" t="s">
        <v>4668</v>
      </c>
      <c r="C6392" s="424" t="str">
        <f t="shared" si="274"/>
        <v>Viação Alvorada, Lda</v>
      </c>
      <c r="D6392" t="s">
        <v>629</v>
      </c>
      <c r="F6392" t="s">
        <v>620</v>
      </c>
      <c r="G6392" s="89">
        <v>2022</v>
      </c>
      <c r="H6392" s="313" t="s">
        <v>5816</v>
      </c>
      <c r="I6392" s="311" t="str">
        <f t="shared" si="273"/>
        <v>Pesado de Passageiros M3:  : Gasóleo : E6 D/E E7</v>
      </c>
      <c r="J6392">
        <v>85</v>
      </c>
      <c r="K6392" s="422">
        <v>2023</v>
      </c>
      <c r="L6392">
        <v>24609</v>
      </c>
      <c r="M6392" t="s">
        <v>630</v>
      </c>
      <c r="N6392" s="131">
        <v>24609</v>
      </c>
      <c r="O6392" s="436">
        <f t="shared" si="272"/>
        <v>2091765</v>
      </c>
      <c r="P6392" s="89">
        <v>1810</v>
      </c>
      <c r="Q6392" t="s">
        <v>47</v>
      </c>
      <c r="R6392" s="422" t="s">
        <v>1869</v>
      </c>
      <c r="S6392" s="422" t="s">
        <v>1861</v>
      </c>
      <c r="T6392" s="422" t="s">
        <v>5820</v>
      </c>
      <c r="U6392" s="422" t="s">
        <v>1953</v>
      </c>
      <c r="V6392" s="422" t="s">
        <v>2813</v>
      </c>
    </row>
    <row r="6393" spans="1:22" ht="15.75" thickBot="1" x14ac:dyDescent="0.3">
      <c r="A6393" t="s">
        <v>4668</v>
      </c>
      <c r="B6393" t="s">
        <v>4668</v>
      </c>
      <c r="C6393" s="424" t="str">
        <f t="shared" si="274"/>
        <v>Viação Alvorada, Lda</v>
      </c>
      <c r="D6393" t="s">
        <v>629</v>
      </c>
      <c r="F6393" t="s">
        <v>620</v>
      </c>
      <c r="G6393" s="89">
        <v>2022</v>
      </c>
      <c r="H6393" s="313" t="s">
        <v>5816</v>
      </c>
      <c r="I6393" s="311" t="str">
        <f t="shared" si="273"/>
        <v>Pesado de Passageiros M3:  : Gasóleo : E6 D/E E7</v>
      </c>
      <c r="J6393">
        <v>85</v>
      </c>
      <c r="K6393" s="422">
        <v>2023</v>
      </c>
      <c r="L6393">
        <v>22669</v>
      </c>
      <c r="M6393" t="s">
        <v>630</v>
      </c>
      <c r="N6393" s="131">
        <v>22669</v>
      </c>
      <c r="O6393" s="436">
        <f t="shared" si="272"/>
        <v>1926865</v>
      </c>
      <c r="P6393" s="89">
        <v>1811</v>
      </c>
      <c r="Q6393" t="s">
        <v>47</v>
      </c>
      <c r="R6393" s="422" t="s">
        <v>1869</v>
      </c>
      <c r="S6393" s="422" t="s">
        <v>1861</v>
      </c>
      <c r="T6393" s="422" t="s">
        <v>5820</v>
      </c>
      <c r="U6393" s="422" t="s">
        <v>1953</v>
      </c>
      <c r="V6393" s="422" t="s">
        <v>2813</v>
      </c>
    </row>
    <row r="6394" spans="1:22" ht="15.75" thickBot="1" x14ac:dyDescent="0.3">
      <c r="A6394" t="s">
        <v>4668</v>
      </c>
      <c r="B6394" t="s">
        <v>4668</v>
      </c>
      <c r="C6394" s="424" t="str">
        <f t="shared" si="274"/>
        <v>Viação Alvorada, Lda</v>
      </c>
      <c r="D6394" t="s">
        <v>629</v>
      </c>
      <c r="F6394" t="s">
        <v>620</v>
      </c>
      <c r="G6394" s="89">
        <v>2017</v>
      </c>
      <c r="H6394" s="313" t="s">
        <v>733</v>
      </c>
      <c r="I6394" s="311" t="str">
        <f t="shared" si="273"/>
        <v>Pesado de Passageiros M3:  : Gasóleo : E6</v>
      </c>
      <c r="J6394">
        <v>85</v>
      </c>
      <c r="K6394" s="422">
        <v>2023</v>
      </c>
      <c r="L6394">
        <v>23264</v>
      </c>
      <c r="M6394" t="s">
        <v>630</v>
      </c>
      <c r="N6394" s="131">
        <v>23264</v>
      </c>
      <c r="O6394" s="436">
        <f t="shared" si="272"/>
        <v>1977440</v>
      </c>
      <c r="P6394" s="89">
        <v>1900</v>
      </c>
      <c r="Q6394" t="s">
        <v>47</v>
      </c>
      <c r="R6394" s="422" t="s">
        <v>1869</v>
      </c>
      <c r="S6394" s="422" t="s">
        <v>1861</v>
      </c>
      <c r="T6394" s="422" t="s">
        <v>5821</v>
      </c>
      <c r="U6394" s="422" t="s">
        <v>1953</v>
      </c>
      <c r="V6394" s="422" t="s">
        <v>2813</v>
      </c>
    </row>
    <row r="6395" spans="1:22" ht="15.75" thickBot="1" x14ac:dyDescent="0.3">
      <c r="A6395" t="s">
        <v>4668</v>
      </c>
      <c r="B6395" t="s">
        <v>4668</v>
      </c>
      <c r="C6395" s="424" t="str">
        <f t="shared" si="274"/>
        <v>Viação Alvorada, Lda</v>
      </c>
      <c r="D6395" t="s">
        <v>629</v>
      </c>
      <c r="F6395" t="s">
        <v>620</v>
      </c>
      <c r="G6395" s="89">
        <v>2017</v>
      </c>
      <c r="H6395" s="313" t="s">
        <v>733</v>
      </c>
      <c r="I6395" s="311" t="str">
        <f t="shared" si="273"/>
        <v>Pesado de Passageiros M3:  : Gasóleo : E6</v>
      </c>
      <c r="J6395">
        <v>66</v>
      </c>
      <c r="K6395" s="422">
        <v>2023</v>
      </c>
      <c r="L6395">
        <v>7106</v>
      </c>
      <c r="M6395" t="s">
        <v>630</v>
      </c>
      <c r="N6395" s="131">
        <v>7106</v>
      </c>
      <c r="O6395" s="436">
        <f t="shared" si="272"/>
        <v>468996</v>
      </c>
      <c r="P6395" s="89">
        <v>1901</v>
      </c>
      <c r="Q6395" t="s">
        <v>47</v>
      </c>
      <c r="R6395" s="422" t="s">
        <v>1869</v>
      </c>
      <c r="S6395" s="422" t="s">
        <v>1861</v>
      </c>
      <c r="T6395" s="422" t="s">
        <v>5821</v>
      </c>
      <c r="U6395" s="422" t="s">
        <v>1953</v>
      </c>
      <c r="V6395" s="422" t="s">
        <v>2813</v>
      </c>
    </row>
    <row r="6396" spans="1:22" ht="15.75" thickBot="1" x14ac:dyDescent="0.3">
      <c r="A6396" t="s">
        <v>4668</v>
      </c>
      <c r="B6396" t="s">
        <v>4668</v>
      </c>
      <c r="C6396" s="424" t="str">
        <f t="shared" si="274"/>
        <v>Viação Alvorada, Lda</v>
      </c>
      <c r="D6396" t="s">
        <v>629</v>
      </c>
      <c r="F6396" t="s">
        <v>620</v>
      </c>
      <c r="G6396" s="89">
        <v>2014</v>
      </c>
      <c r="H6396" s="313" t="s">
        <v>733</v>
      </c>
      <c r="I6396" s="311" t="str">
        <f t="shared" si="273"/>
        <v>Pesado de Passageiros M3:  : Gasóleo : E6</v>
      </c>
      <c r="J6396">
        <v>89</v>
      </c>
      <c r="K6396" s="422">
        <v>2023</v>
      </c>
      <c r="L6396">
        <v>18567</v>
      </c>
      <c r="M6396" t="s">
        <v>630</v>
      </c>
      <c r="N6396" s="131">
        <v>18567</v>
      </c>
      <c r="O6396" s="436">
        <f t="shared" si="272"/>
        <v>1652463</v>
      </c>
      <c r="P6396" s="89">
        <v>1908</v>
      </c>
      <c r="Q6396" t="s">
        <v>47</v>
      </c>
      <c r="R6396" s="422" t="s">
        <v>1869</v>
      </c>
      <c r="S6396" s="422" t="s">
        <v>1861</v>
      </c>
      <c r="T6396" s="422" t="s">
        <v>5821</v>
      </c>
      <c r="U6396" s="422" t="s">
        <v>1953</v>
      </c>
      <c r="V6396" s="422" t="s">
        <v>2813</v>
      </c>
    </row>
    <row r="6397" spans="1:22" ht="15.75" thickBot="1" x14ac:dyDescent="0.3">
      <c r="A6397" t="s">
        <v>4668</v>
      </c>
      <c r="B6397" t="s">
        <v>4668</v>
      </c>
      <c r="C6397" s="424" t="str">
        <f t="shared" si="274"/>
        <v>Viação Alvorada, Lda</v>
      </c>
      <c r="D6397" t="s">
        <v>629</v>
      </c>
      <c r="F6397" t="s">
        <v>620</v>
      </c>
      <c r="G6397" s="89">
        <v>2014</v>
      </c>
      <c r="H6397" s="313" t="s">
        <v>733</v>
      </c>
      <c r="I6397" s="311" t="str">
        <f t="shared" si="273"/>
        <v>Pesado de Passageiros M3:  : Gasóleo : E6</v>
      </c>
      <c r="J6397">
        <v>89</v>
      </c>
      <c r="K6397" s="422">
        <v>2023</v>
      </c>
      <c r="L6397">
        <v>20822</v>
      </c>
      <c r="M6397" t="s">
        <v>630</v>
      </c>
      <c r="N6397" s="131">
        <v>20822</v>
      </c>
      <c r="O6397" s="436">
        <f t="shared" si="272"/>
        <v>1853158</v>
      </c>
      <c r="P6397" s="89">
        <v>1909</v>
      </c>
      <c r="Q6397" t="s">
        <v>47</v>
      </c>
      <c r="R6397" s="422" t="s">
        <v>1869</v>
      </c>
      <c r="S6397" s="422" t="s">
        <v>1861</v>
      </c>
      <c r="T6397" s="422" t="s">
        <v>5820</v>
      </c>
      <c r="U6397" s="422" t="s">
        <v>1953</v>
      </c>
      <c r="V6397" s="422" t="s">
        <v>2813</v>
      </c>
    </row>
    <row r="6398" spans="1:22" ht="15.75" thickBot="1" x14ac:dyDescent="0.3">
      <c r="A6398" t="s">
        <v>4668</v>
      </c>
      <c r="B6398" t="s">
        <v>4668</v>
      </c>
      <c r="C6398" s="424" t="str">
        <f t="shared" si="274"/>
        <v>Viação Alvorada, Lda</v>
      </c>
      <c r="D6398" t="s">
        <v>629</v>
      </c>
      <c r="F6398" t="s">
        <v>620</v>
      </c>
      <c r="G6398" s="89">
        <v>2014</v>
      </c>
      <c r="H6398" s="313" t="s">
        <v>733</v>
      </c>
      <c r="I6398" s="311" t="str">
        <f t="shared" si="273"/>
        <v>Pesado de Passageiros M3:  : Gasóleo : E6</v>
      </c>
      <c r="J6398">
        <v>89</v>
      </c>
      <c r="K6398" s="422">
        <v>2023</v>
      </c>
      <c r="L6398">
        <v>18014</v>
      </c>
      <c r="M6398" t="s">
        <v>630</v>
      </c>
      <c r="N6398" s="131">
        <v>18014</v>
      </c>
      <c r="O6398" s="436">
        <f t="shared" si="272"/>
        <v>1603246</v>
      </c>
      <c r="P6398" s="89">
        <v>1910</v>
      </c>
      <c r="Q6398" t="s">
        <v>47</v>
      </c>
      <c r="R6398" s="422" t="s">
        <v>1869</v>
      </c>
      <c r="S6398" s="422" t="s">
        <v>1861</v>
      </c>
      <c r="T6398" s="422" t="s">
        <v>5820</v>
      </c>
      <c r="U6398" s="422" t="s">
        <v>1953</v>
      </c>
      <c r="V6398" s="422" t="s">
        <v>2813</v>
      </c>
    </row>
    <row r="6399" spans="1:22" ht="15.75" thickBot="1" x14ac:dyDescent="0.3">
      <c r="A6399" t="s">
        <v>4668</v>
      </c>
      <c r="B6399" t="s">
        <v>4668</v>
      </c>
      <c r="C6399" s="424" t="str">
        <f t="shared" si="274"/>
        <v>Viação Alvorada, Lda</v>
      </c>
      <c r="D6399" t="s">
        <v>629</v>
      </c>
      <c r="F6399" t="s">
        <v>620</v>
      </c>
      <c r="G6399" s="89">
        <v>2014</v>
      </c>
      <c r="H6399" s="313" t="s">
        <v>733</v>
      </c>
      <c r="I6399" s="311" t="str">
        <f t="shared" si="273"/>
        <v>Pesado de Passageiros M3:  : Gasóleo : E6</v>
      </c>
      <c r="J6399">
        <v>89</v>
      </c>
      <c r="K6399" s="422">
        <v>2023</v>
      </c>
      <c r="L6399">
        <v>17992</v>
      </c>
      <c r="M6399" t="s">
        <v>630</v>
      </c>
      <c r="N6399" s="131">
        <v>17992</v>
      </c>
      <c r="O6399" s="436">
        <f t="shared" si="272"/>
        <v>1601288</v>
      </c>
      <c r="P6399" s="89">
        <v>1911</v>
      </c>
      <c r="Q6399" t="s">
        <v>47</v>
      </c>
      <c r="R6399" s="422" t="s">
        <v>1869</v>
      </c>
      <c r="S6399" s="422" t="s">
        <v>1861</v>
      </c>
      <c r="T6399" s="422" t="s">
        <v>5820</v>
      </c>
      <c r="U6399" s="422" t="s">
        <v>1953</v>
      </c>
      <c r="V6399" s="422" t="s">
        <v>2813</v>
      </c>
    </row>
    <row r="6400" spans="1:22" ht="15.75" thickBot="1" x14ac:dyDescent="0.3">
      <c r="A6400" t="s">
        <v>4668</v>
      </c>
      <c r="B6400" t="s">
        <v>4668</v>
      </c>
      <c r="C6400" s="424" t="str">
        <f t="shared" si="274"/>
        <v>Viação Alvorada, Lda</v>
      </c>
      <c r="D6400" t="s">
        <v>629</v>
      </c>
      <c r="F6400" t="s">
        <v>620</v>
      </c>
      <c r="G6400" s="89">
        <v>2014</v>
      </c>
      <c r="H6400" s="313" t="s">
        <v>733</v>
      </c>
      <c r="I6400" s="311" t="str">
        <f t="shared" si="273"/>
        <v>Pesado de Passageiros M3:  : Gasóleo : E6</v>
      </c>
      <c r="J6400">
        <v>89</v>
      </c>
      <c r="K6400" s="422">
        <v>2023</v>
      </c>
      <c r="L6400">
        <v>25015</v>
      </c>
      <c r="M6400" t="s">
        <v>630</v>
      </c>
      <c r="N6400" s="131">
        <v>25015</v>
      </c>
      <c r="O6400" s="436">
        <f t="shared" si="272"/>
        <v>2226335</v>
      </c>
      <c r="P6400" s="89">
        <v>1902</v>
      </c>
      <c r="Q6400" t="s">
        <v>47</v>
      </c>
      <c r="R6400" s="422" t="s">
        <v>1869</v>
      </c>
      <c r="S6400" s="422" t="s">
        <v>1861</v>
      </c>
      <c r="T6400" s="422" t="s">
        <v>5821</v>
      </c>
      <c r="U6400" s="422" t="s">
        <v>1953</v>
      </c>
      <c r="V6400" s="422" t="s">
        <v>2813</v>
      </c>
    </row>
    <row r="6401" spans="1:22" ht="15.75" thickBot="1" x14ac:dyDescent="0.3">
      <c r="A6401" t="s">
        <v>4668</v>
      </c>
      <c r="B6401" t="s">
        <v>4668</v>
      </c>
      <c r="C6401" s="424" t="str">
        <f t="shared" si="274"/>
        <v>Viação Alvorada, Lda</v>
      </c>
      <c r="D6401" t="s">
        <v>629</v>
      </c>
      <c r="F6401" t="s">
        <v>620</v>
      </c>
      <c r="G6401" s="89">
        <v>2014</v>
      </c>
      <c r="H6401" s="313" t="s">
        <v>733</v>
      </c>
      <c r="I6401" s="311" t="str">
        <f t="shared" si="273"/>
        <v>Pesado de Passageiros M3:  : Gasóleo : E6</v>
      </c>
      <c r="J6401">
        <v>89</v>
      </c>
      <c r="K6401" s="422">
        <v>2023</v>
      </c>
      <c r="L6401">
        <v>15279</v>
      </c>
      <c r="M6401" t="s">
        <v>630</v>
      </c>
      <c r="N6401" s="131">
        <v>15279</v>
      </c>
      <c r="O6401" s="436">
        <f t="shared" si="272"/>
        <v>1359831</v>
      </c>
      <c r="P6401" s="89">
        <v>1903</v>
      </c>
      <c r="Q6401" t="s">
        <v>47</v>
      </c>
      <c r="R6401" s="422" t="s">
        <v>1869</v>
      </c>
      <c r="S6401" s="422" t="s">
        <v>1861</v>
      </c>
      <c r="T6401" s="422" t="s">
        <v>5821</v>
      </c>
      <c r="U6401" s="422" t="s">
        <v>1953</v>
      </c>
      <c r="V6401" s="422" t="s">
        <v>2813</v>
      </c>
    </row>
    <row r="6402" spans="1:22" ht="15.75" thickBot="1" x14ac:dyDescent="0.3">
      <c r="A6402" t="s">
        <v>4668</v>
      </c>
      <c r="B6402" t="s">
        <v>4668</v>
      </c>
      <c r="C6402" s="424" t="str">
        <f t="shared" si="274"/>
        <v>Viação Alvorada, Lda</v>
      </c>
      <c r="D6402" t="s">
        <v>629</v>
      </c>
      <c r="F6402" t="s">
        <v>620</v>
      </c>
      <c r="G6402" s="89">
        <v>2014</v>
      </c>
      <c r="H6402" s="313" t="s">
        <v>733</v>
      </c>
      <c r="I6402" s="311" t="str">
        <f t="shared" si="273"/>
        <v>Pesado de Passageiros M3:  : Gasóleo : E6</v>
      </c>
      <c r="J6402">
        <v>89</v>
      </c>
      <c r="K6402" s="422">
        <v>2023</v>
      </c>
      <c r="L6402">
        <v>15912</v>
      </c>
      <c r="M6402" t="s">
        <v>630</v>
      </c>
      <c r="N6402" s="131">
        <v>15912</v>
      </c>
      <c r="O6402" s="436">
        <f t="shared" si="272"/>
        <v>1416168</v>
      </c>
      <c r="P6402" s="89">
        <v>1904</v>
      </c>
      <c r="Q6402" t="s">
        <v>47</v>
      </c>
      <c r="R6402" s="422" t="s">
        <v>1869</v>
      </c>
      <c r="S6402" s="422" t="s">
        <v>1861</v>
      </c>
      <c r="T6402" s="422" t="s">
        <v>5821</v>
      </c>
      <c r="U6402" s="422" t="s">
        <v>1953</v>
      </c>
      <c r="V6402" s="422" t="s">
        <v>2813</v>
      </c>
    </row>
    <row r="6403" spans="1:22" ht="15.75" thickBot="1" x14ac:dyDescent="0.3">
      <c r="A6403" t="s">
        <v>4668</v>
      </c>
      <c r="B6403" t="s">
        <v>4668</v>
      </c>
      <c r="C6403" s="424" t="str">
        <f t="shared" si="274"/>
        <v>Viação Alvorada, Lda</v>
      </c>
      <c r="D6403" t="s">
        <v>629</v>
      </c>
      <c r="F6403" t="s">
        <v>620</v>
      </c>
      <c r="G6403" s="89">
        <v>2014</v>
      </c>
      <c r="H6403" s="313" t="s">
        <v>733</v>
      </c>
      <c r="I6403" s="311" t="str">
        <f t="shared" si="273"/>
        <v>Pesado de Passageiros M3:  : Gasóleo : E6</v>
      </c>
      <c r="J6403">
        <v>89</v>
      </c>
      <c r="K6403" s="422">
        <v>2023</v>
      </c>
      <c r="L6403">
        <v>13941</v>
      </c>
      <c r="M6403" t="s">
        <v>630</v>
      </c>
      <c r="N6403" s="131">
        <v>13941</v>
      </c>
      <c r="O6403" s="436">
        <f t="shared" ref="O6403:O6411" si="275">N6403*J6403</f>
        <v>1240749</v>
      </c>
      <c r="P6403" s="89">
        <v>1905</v>
      </c>
      <c r="Q6403" t="s">
        <v>47</v>
      </c>
      <c r="R6403" s="422" t="s">
        <v>1869</v>
      </c>
      <c r="S6403" s="422" t="s">
        <v>1861</v>
      </c>
      <c r="T6403" s="422" t="s">
        <v>5821</v>
      </c>
      <c r="U6403" s="422" t="s">
        <v>1953</v>
      </c>
      <c r="V6403" s="422" t="s">
        <v>2813</v>
      </c>
    </row>
    <row r="6404" spans="1:22" ht="15.75" thickBot="1" x14ac:dyDescent="0.3">
      <c r="A6404" t="s">
        <v>4668</v>
      </c>
      <c r="B6404" t="s">
        <v>4668</v>
      </c>
      <c r="C6404" s="424" t="str">
        <f t="shared" si="274"/>
        <v>Viação Alvorada, Lda</v>
      </c>
      <c r="D6404" t="s">
        <v>629</v>
      </c>
      <c r="F6404" t="s">
        <v>620</v>
      </c>
      <c r="G6404" s="89">
        <v>2017</v>
      </c>
      <c r="H6404" s="313" t="s">
        <v>733</v>
      </c>
      <c r="I6404" s="311" t="str">
        <f t="shared" si="273"/>
        <v>Pesado de Passageiros M3:  : Gasóleo : E6</v>
      </c>
      <c r="J6404">
        <v>89</v>
      </c>
      <c r="K6404" s="422">
        <v>2023</v>
      </c>
      <c r="L6404">
        <v>17220</v>
      </c>
      <c r="M6404" t="s">
        <v>630</v>
      </c>
      <c r="N6404" s="131">
        <v>17220</v>
      </c>
      <c r="O6404" s="436">
        <f t="shared" si="275"/>
        <v>1532580</v>
      </c>
      <c r="P6404" s="89">
        <v>1912</v>
      </c>
      <c r="Q6404" t="s">
        <v>47</v>
      </c>
      <c r="R6404" s="422" t="s">
        <v>1869</v>
      </c>
      <c r="S6404" s="422" t="s">
        <v>1861</v>
      </c>
      <c r="T6404" s="422" t="s">
        <v>5820</v>
      </c>
      <c r="U6404" s="422" t="s">
        <v>1953</v>
      </c>
      <c r="V6404" s="422" t="s">
        <v>2813</v>
      </c>
    </row>
    <row r="6405" spans="1:22" ht="15.75" thickBot="1" x14ac:dyDescent="0.3">
      <c r="A6405" t="s">
        <v>4668</v>
      </c>
      <c r="B6405" t="s">
        <v>4668</v>
      </c>
      <c r="C6405" s="424" t="str">
        <f t="shared" si="274"/>
        <v>Viação Alvorada, Lda</v>
      </c>
      <c r="D6405" t="s">
        <v>629</v>
      </c>
      <c r="F6405" t="s">
        <v>620</v>
      </c>
      <c r="G6405" s="89">
        <v>2017</v>
      </c>
      <c r="H6405" s="313" t="s">
        <v>733</v>
      </c>
      <c r="I6405" s="311" t="str">
        <f t="shared" si="273"/>
        <v>Pesado de Passageiros M3:  : Gasóleo : E6</v>
      </c>
      <c r="J6405">
        <v>89</v>
      </c>
      <c r="K6405" s="422">
        <v>2023</v>
      </c>
      <c r="L6405">
        <v>21871</v>
      </c>
      <c r="M6405" t="s">
        <v>630</v>
      </c>
      <c r="N6405" s="131">
        <v>21871</v>
      </c>
      <c r="O6405" s="436">
        <f t="shared" si="275"/>
        <v>1946519</v>
      </c>
      <c r="P6405" s="89">
        <v>1913</v>
      </c>
      <c r="Q6405" t="s">
        <v>47</v>
      </c>
      <c r="R6405" s="422" t="s">
        <v>1869</v>
      </c>
      <c r="S6405" s="422" t="s">
        <v>1861</v>
      </c>
      <c r="T6405" s="422" t="s">
        <v>5820</v>
      </c>
      <c r="U6405" s="422" t="s">
        <v>1953</v>
      </c>
      <c r="V6405" s="422" t="s">
        <v>2813</v>
      </c>
    </row>
    <row r="6406" spans="1:22" ht="15.75" thickBot="1" x14ac:dyDescent="0.3">
      <c r="A6406" t="s">
        <v>4668</v>
      </c>
      <c r="B6406" t="s">
        <v>4668</v>
      </c>
      <c r="C6406" s="424" t="str">
        <f t="shared" si="274"/>
        <v>Viação Alvorada, Lda</v>
      </c>
      <c r="D6406" t="s">
        <v>629</v>
      </c>
      <c r="F6406" t="s">
        <v>620</v>
      </c>
      <c r="G6406" s="89">
        <v>2022</v>
      </c>
      <c r="H6406" s="313" t="s">
        <v>5816</v>
      </c>
      <c r="I6406" s="311" t="str">
        <f t="shared" si="273"/>
        <v>Pesado de Passageiros M3:  : Gasóleo : E6 D/E E7</v>
      </c>
      <c r="J6406">
        <v>33</v>
      </c>
      <c r="K6406" s="422">
        <v>2023</v>
      </c>
      <c r="L6406">
        <v>12650</v>
      </c>
      <c r="M6406" t="s">
        <v>630</v>
      </c>
      <c r="N6406" s="131">
        <v>12650</v>
      </c>
      <c r="O6406" s="436">
        <f t="shared" si="275"/>
        <v>417450</v>
      </c>
      <c r="P6406" s="89">
        <v>1735</v>
      </c>
      <c r="Q6406" t="s">
        <v>47</v>
      </c>
      <c r="R6406" s="422" t="s">
        <v>1869</v>
      </c>
      <c r="S6406" s="422" t="s">
        <v>1861</v>
      </c>
      <c r="T6406" s="422" t="s">
        <v>5820</v>
      </c>
      <c r="U6406" s="422" t="s">
        <v>1953</v>
      </c>
      <c r="V6406" s="422" t="s">
        <v>2813</v>
      </c>
    </row>
    <row r="6407" spans="1:22" ht="15.75" thickBot="1" x14ac:dyDescent="0.3">
      <c r="A6407" t="s">
        <v>4668</v>
      </c>
      <c r="B6407" t="s">
        <v>4668</v>
      </c>
      <c r="C6407" s="424" t="str">
        <f t="shared" si="274"/>
        <v>Viação Alvorada, Lda</v>
      </c>
      <c r="D6407" t="s">
        <v>629</v>
      </c>
      <c r="F6407" t="s">
        <v>620</v>
      </c>
      <c r="G6407" s="89">
        <v>2014</v>
      </c>
      <c r="H6407" s="313" t="s">
        <v>733</v>
      </c>
      <c r="I6407" s="311" t="str">
        <f t="shared" si="273"/>
        <v>Pesado de Passageiros M3:  : Gasóleo : E6</v>
      </c>
      <c r="J6407">
        <v>90</v>
      </c>
      <c r="K6407" s="422">
        <v>2023</v>
      </c>
      <c r="L6407">
        <v>6269</v>
      </c>
      <c r="M6407" t="s">
        <v>630</v>
      </c>
      <c r="N6407" s="131">
        <v>6269</v>
      </c>
      <c r="O6407" s="436">
        <f t="shared" si="275"/>
        <v>564210</v>
      </c>
      <c r="P6407" s="89">
        <v>306</v>
      </c>
      <c r="Q6407" t="s">
        <v>47</v>
      </c>
      <c r="R6407" s="422" t="s">
        <v>1869</v>
      </c>
      <c r="S6407" s="422" t="s">
        <v>1861</v>
      </c>
      <c r="T6407" s="422" t="s">
        <v>5820</v>
      </c>
      <c r="U6407" s="422" t="s">
        <v>1953</v>
      </c>
      <c r="V6407" s="422" t="s">
        <v>2813</v>
      </c>
    </row>
    <row r="6408" spans="1:22" ht="15.75" thickBot="1" x14ac:dyDescent="0.3">
      <c r="A6408" t="s">
        <v>4668</v>
      </c>
      <c r="B6408" t="s">
        <v>4668</v>
      </c>
      <c r="C6408" s="424" t="str">
        <f t="shared" si="274"/>
        <v>Viação Alvorada, Lda</v>
      </c>
      <c r="D6408" t="s">
        <v>629</v>
      </c>
      <c r="F6408" t="s">
        <v>620</v>
      </c>
      <c r="G6408" s="89">
        <v>2014</v>
      </c>
      <c r="H6408" s="313" t="s">
        <v>733</v>
      </c>
      <c r="I6408" s="311" t="str">
        <f t="shared" si="273"/>
        <v>Pesado de Passageiros M3:  : Gasóleo : E6</v>
      </c>
      <c r="J6408">
        <v>90</v>
      </c>
      <c r="K6408" s="422">
        <v>2023</v>
      </c>
      <c r="L6408">
        <v>11690</v>
      </c>
      <c r="M6408" t="s">
        <v>630</v>
      </c>
      <c r="N6408" s="131">
        <v>11690</v>
      </c>
      <c r="O6408" s="436">
        <f t="shared" si="275"/>
        <v>1052100</v>
      </c>
      <c r="P6408" s="89">
        <v>308</v>
      </c>
      <c r="Q6408" t="s">
        <v>47</v>
      </c>
      <c r="R6408" s="422" t="s">
        <v>1869</v>
      </c>
      <c r="S6408" s="422" t="s">
        <v>1861</v>
      </c>
      <c r="T6408" s="422" t="s">
        <v>5820</v>
      </c>
      <c r="U6408" s="422" t="s">
        <v>1953</v>
      </c>
      <c r="V6408" s="422" t="s">
        <v>2813</v>
      </c>
    </row>
    <row r="6409" spans="1:22" ht="15.75" thickBot="1" x14ac:dyDescent="0.3">
      <c r="A6409" t="s">
        <v>4668</v>
      </c>
      <c r="B6409" t="s">
        <v>4668</v>
      </c>
      <c r="C6409" s="424" t="str">
        <f t="shared" si="274"/>
        <v>Viação Alvorada, Lda</v>
      </c>
      <c r="D6409" t="s">
        <v>629</v>
      </c>
      <c r="F6409" t="s">
        <v>620</v>
      </c>
      <c r="G6409" s="89">
        <v>2014</v>
      </c>
      <c r="H6409" s="313" t="s">
        <v>733</v>
      </c>
      <c r="I6409" s="311" t="str">
        <f t="shared" si="273"/>
        <v>Pesado de Passageiros M3:  : Gasóleo : E6</v>
      </c>
      <c r="J6409">
        <v>90</v>
      </c>
      <c r="K6409" s="422">
        <v>2023</v>
      </c>
      <c r="L6409">
        <v>6537</v>
      </c>
      <c r="M6409" t="s">
        <v>630</v>
      </c>
      <c r="N6409" s="131">
        <v>6537</v>
      </c>
      <c r="O6409" s="436">
        <f t="shared" si="275"/>
        <v>588330</v>
      </c>
      <c r="P6409" s="89">
        <v>311</v>
      </c>
      <c r="Q6409" t="s">
        <v>47</v>
      </c>
      <c r="R6409" s="422" t="s">
        <v>1869</v>
      </c>
      <c r="S6409" s="422" t="s">
        <v>1861</v>
      </c>
      <c r="T6409" s="422" t="s">
        <v>5820</v>
      </c>
      <c r="U6409" s="422" t="s">
        <v>1953</v>
      </c>
      <c r="V6409" s="422" t="s">
        <v>2813</v>
      </c>
    </row>
    <row r="6410" spans="1:22" ht="15.75" thickBot="1" x14ac:dyDescent="0.3">
      <c r="A6410" t="s">
        <v>4668</v>
      </c>
      <c r="B6410" t="s">
        <v>4668</v>
      </c>
      <c r="C6410" s="424" t="str">
        <f t="shared" si="274"/>
        <v>Viação Alvorada, Lda</v>
      </c>
      <c r="D6410" t="s">
        <v>629</v>
      </c>
      <c r="F6410" t="s">
        <v>620</v>
      </c>
      <c r="G6410" s="89">
        <v>2014</v>
      </c>
      <c r="H6410" s="313" t="s">
        <v>733</v>
      </c>
      <c r="I6410" s="311" t="str">
        <f t="shared" si="273"/>
        <v>Pesado de Passageiros M3:  : Gasóleo : E6</v>
      </c>
      <c r="J6410">
        <v>89</v>
      </c>
      <c r="K6410" s="422">
        <v>2023</v>
      </c>
      <c r="L6410">
        <v>8420</v>
      </c>
      <c r="M6410" t="s">
        <v>630</v>
      </c>
      <c r="N6410" s="131">
        <v>8420</v>
      </c>
      <c r="O6410" s="436">
        <f t="shared" si="275"/>
        <v>749380</v>
      </c>
      <c r="P6410" s="89">
        <v>1906</v>
      </c>
      <c r="Q6410" t="s">
        <v>47</v>
      </c>
      <c r="R6410" s="422" t="s">
        <v>1869</v>
      </c>
      <c r="S6410" s="422" t="s">
        <v>1861</v>
      </c>
      <c r="T6410" s="422" t="s">
        <v>5821</v>
      </c>
      <c r="U6410" s="422" t="s">
        <v>1953</v>
      </c>
      <c r="V6410" s="422" t="s">
        <v>2813</v>
      </c>
    </row>
    <row r="6411" spans="1:22" ht="15.75" thickBot="1" x14ac:dyDescent="0.3">
      <c r="A6411" t="s">
        <v>4668</v>
      </c>
      <c r="B6411" t="s">
        <v>4668</v>
      </c>
      <c r="C6411" s="424" t="str">
        <f t="shared" si="274"/>
        <v>Viação Alvorada, Lda</v>
      </c>
      <c r="D6411" t="s">
        <v>629</v>
      </c>
      <c r="F6411" t="s">
        <v>620</v>
      </c>
      <c r="G6411" s="89">
        <v>2014</v>
      </c>
      <c r="H6411" s="313" t="s">
        <v>733</v>
      </c>
      <c r="I6411" s="311" t="str">
        <f t="shared" si="273"/>
        <v>Pesado de Passageiros M3:  : Gasóleo : E6</v>
      </c>
      <c r="J6411">
        <v>89</v>
      </c>
      <c r="K6411" s="422">
        <v>2023</v>
      </c>
      <c r="L6411">
        <v>20554</v>
      </c>
      <c r="M6411" t="s">
        <v>630</v>
      </c>
      <c r="N6411" s="131">
        <v>20554</v>
      </c>
      <c r="O6411" s="436">
        <f t="shared" si="275"/>
        <v>1829306</v>
      </c>
      <c r="P6411" s="89">
        <v>1907</v>
      </c>
      <c r="Q6411" t="s">
        <v>47</v>
      </c>
      <c r="R6411" s="422" t="s">
        <v>1869</v>
      </c>
      <c r="S6411" s="422" t="s">
        <v>1861</v>
      </c>
      <c r="T6411" s="422" t="s">
        <v>5821</v>
      </c>
      <c r="U6411" s="422" t="s">
        <v>1953</v>
      </c>
      <c r="V6411" s="422" t="s">
        <v>2813</v>
      </c>
    </row>
    <row r="6412" spans="1:22" ht="15.75" thickBot="1" x14ac:dyDescent="0.3">
      <c r="A6412" t="s">
        <v>4669</v>
      </c>
      <c r="B6412" t="s">
        <v>4669</v>
      </c>
      <c r="C6412" s="424" t="str">
        <f t="shared" si="274"/>
        <v>Auto Viação São José, Lda</v>
      </c>
      <c r="D6412" s="422" t="s">
        <v>629</v>
      </c>
      <c r="F6412" s="422" t="s">
        <v>620</v>
      </c>
      <c r="H6412" s="313" t="s">
        <v>2231</v>
      </c>
      <c r="I6412" s="311" t="str">
        <f t="shared" si="273"/>
        <v>Pesado de Passageiros M3:  : Gasóleo : Geral</v>
      </c>
      <c r="K6412">
        <v>2023</v>
      </c>
      <c r="L6412">
        <v>4400925</v>
      </c>
      <c r="M6412" s="422" t="s">
        <v>630</v>
      </c>
      <c r="N6412" s="131">
        <v>12864661</v>
      </c>
      <c r="Q6412" s="422" t="s">
        <v>47</v>
      </c>
      <c r="R6412" s="422" t="s">
        <v>1869</v>
      </c>
      <c r="S6412" s="422" t="s">
        <v>1861</v>
      </c>
      <c r="U6412" s="422" t="s">
        <v>1953</v>
      </c>
      <c r="V6412" s="422" t="s">
        <v>2813</v>
      </c>
    </row>
    <row r="6413" spans="1:22" ht="15.75" thickBot="1" x14ac:dyDescent="0.3">
      <c r="A6413" t="s">
        <v>4672</v>
      </c>
      <c r="B6413" t="s">
        <v>4672</v>
      </c>
      <c r="C6413" s="424" t="str">
        <f t="shared" si="274"/>
        <v>Vega Manaus, Lda</v>
      </c>
      <c r="D6413" s="422" t="s">
        <v>629</v>
      </c>
      <c r="E6413" s="422"/>
      <c r="F6413" s="422" t="s">
        <v>620</v>
      </c>
      <c r="H6413" s="313" t="s">
        <v>2231</v>
      </c>
      <c r="I6413" s="311" t="str">
        <f t="shared" si="273"/>
        <v>Pesado de Passageiros M3:  : Gasóleo : Geral</v>
      </c>
      <c r="K6413" s="422">
        <v>2023</v>
      </c>
      <c r="L6413" s="441">
        <v>4989316.2</v>
      </c>
      <c r="M6413" t="s">
        <v>630</v>
      </c>
      <c r="N6413" s="131">
        <v>13461796.099999998</v>
      </c>
      <c r="Q6413" s="422" t="s">
        <v>47</v>
      </c>
      <c r="R6413" s="422" t="s">
        <v>1869</v>
      </c>
      <c r="S6413" s="422" t="s">
        <v>1861</v>
      </c>
      <c r="U6413" s="422" t="s">
        <v>1953</v>
      </c>
      <c r="V6413" s="422" t="s">
        <v>2813</v>
      </c>
    </row>
    <row r="6414" spans="1:22" ht="15.75" thickBot="1" x14ac:dyDescent="0.3">
      <c r="A6414" t="s">
        <v>4581</v>
      </c>
      <c r="B6414" t="s">
        <v>4581</v>
      </c>
      <c r="C6414" s="424" t="str">
        <f t="shared" si="274"/>
        <v>CITIRAMA - Viagens e Turismo,  S.A.</v>
      </c>
      <c r="D6414" s="422" t="s">
        <v>629</v>
      </c>
      <c r="F6414" s="422" t="s">
        <v>620</v>
      </c>
      <c r="G6414" s="89">
        <v>2008</v>
      </c>
      <c r="H6414" s="313" t="s">
        <v>731</v>
      </c>
      <c r="I6414" s="311" t="str">
        <f t="shared" si="273"/>
        <v>Pesado de Passageiros M3:  : Gasóleo : E4</v>
      </c>
      <c r="J6414" s="422">
        <v>34</v>
      </c>
      <c r="K6414" s="422">
        <v>2023</v>
      </c>
      <c r="L6414">
        <v>15402.609999999999</v>
      </c>
      <c r="M6414" t="s">
        <v>630</v>
      </c>
      <c r="N6414" s="131">
        <v>13055.400000000001</v>
      </c>
      <c r="O6414" s="436">
        <f t="shared" ref="O6414:O6477" si="276">N6414*J6414</f>
        <v>443883.60000000003</v>
      </c>
      <c r="P6414" s="89">
        <v>281</v>
      </c>
      <c r="Q6414" s="422" t="s">
        <v>47</v>
      </c>
      <c r="R6414" s="422" t="s">
        <v>1869</v>
      </c>
      <c r="S6414" s="422" t="s">
        <v>1861</v>
      </c>
      <c r="T6414" t="s">
        <v>5823</v>
      </c>
      <c r="U6414" s="422" t="s">
        <v>1953</v>
      </c>
      <c r="V6414" s="422" t="s">
        <v>2813</v>
      </c>
    </row>
    <row r="6415" spans="1:22" ht="15.75" thickBot="1" x14ac:dyDescent="0.3">
      <c r="A6415" t="s">
        <v>4581</v>
      </c>
      <c r="B6415" t="s">
        <v>4581</v>
      </c>
      <c r="C6415" s="424" t="str">
        <f t="shared" si="274"/>
        <v>CITIRAMA - Viagens e Turismo,  S.A.</v>
      </c>
      <c r="D6415" s="422" t="s">
        <v>629</v>
      </c>
      <c r="F6415" s="422" t="s">
        <v>620</v>
      </c>
      <c r="G6415" s="89">
        <v>2008</v>
      </c>
      <c r="H6415" s="313" t="s">
        <v>731</v>
      </c>
      <c r="I6415" s="311" t="str">
        <f t="shared" si="273"/>
        <v>Pesado de Passageiros M3:  : Gasóleo : E4</v>
      </c>
      <c r="J6415" s="422">
        <v>34</v>
      </c>
      <c r="K6415" s="422">
        <v>2023</v>
      </c>
      <c r="L6415">
        <v>14518.86</v>
      </c>
      <c r="M6415" t="s">
        <v>630</v>
      </c>
      <c r="N6415" s="131">
        <v>12345.240000000002</v>
      </c>
      <c r="O6415" s="436">
        <f t="shared" si="276"/>
        <v>419738.16000000003</v>
      </c>
      <c r="P6415" s="89">
        <v>282</v>
      </c>
      <c r="Q6415" s="422" t="s">
        <v>47</v>
      </c>
      <c r="R6415" s="422" t="s">
        <v>1869</v>
      </c>
      <c r="S6415" s="422" t="s">
        <v>1861</v>
      </c>
      <c r="T6415" t="s">
        <v>5823</v>
      </c>
      <c r="U6415" s="422" t="s">
        <v>1953</v>
      </c>
      <c r="V6415" s="422" t="s">
        <v>2813</v>
      </c>
    </row>
    <row r="6416" spans="1:22" ht="15.75" thickBot="1" x14ac:dyDescent="0.3">
      <c r="A6416" t="s">
        <v>4581</v>
      </c>
      <c r="B6416" t="s">
        <v>4581</v>
      </c>
      <c r="C6416" s="424" t="str">
        <f t="shared" si="274"/>
        <v>CITIRAMA - Viagens e Turismo,  S.A.</v>
      </c>
      <c r="D6416" s="422" t="s">
        <v>629</v>
      </c>
      <c r="F6416" s="422" t="s">
        <v>620</v>
      </c>
      <c r="G6416" s="89">
        <v>2009</v>
      </c>
      <c r="H6416" s="313" t="s">
        <v>731</v>
      </c>
      <c r="I6416" s="311" t="str">
        <f t="shared" si="273"/>
        <v>Pesado de Passageiros M3:  : Gasóleo : E4</v>
      </c>
      <c r="J6416" s="422">
        <v>34</v>
      </c>
      <c r="K6416" s="422">
        <v>2023</v>
      </c>
      <c r="L6416">
        <v>13748.470000000001</v>
      </c>
      <c r="M6416" t="s">
        <v>630</v>
      </c>
      <c r="N6416" s="131">
        <v>11703.79</v>
      </c>
      <c r="O6416" s="436">
        <f t="shared" si="276"/>
        <v>397928.86000000004</v>
      </c>
      <c r="P6416" s="89">
        <v>408</v>
      </c>
      <c r="Q6416" s="422" t="s">
        <v>47</v>
      </c>
      <c r="R6416" s="422" t="s">
        <v>1869</v>
      </c>
      <c r="S6416" s="422" t="s">
        <v>1861</v>
      </c>
      <c r="T6416" t="s">
        <v>5823</v>
      </c>
      <c r="U6416" s="422" t="s">
        <v>1953</v>
      </c>
      <c r="V6416" s="422" t="s">
        <v>2813</v>
      </c>
    </row>
    <row r="6417" spans="1:22" ht="15.75" thickBot="1" x14ac:dyDescent="0.3">
      <c r="A6417" s="451" t="s">
        <v>4581</v>
      </c>
      <c r="B6417" s="451" t="s">
        <v>4581</v>
      </c>
      <c r="C6417" s="424" t="str">
        <f t="shared" si="274"/>
        <v>CITIRAMA - Viagens e Turismo,  S.A.</v>
      </c>
      <c r="D6417" s="451" t="s">
        <v>629</v>
      </c>
      <c r="E6417" s="451"/>
      <c r="F6417" s="451" t="s">
        <v>620</v>
      </c>
      <c r="G6417" s="452">
        <v>2010</v>
      </c>
      <c r="H6417" s="453" t="s">
        <v>734</v>
      </c>
      <c r="I6417" s="311" t="str">
        <f t="shared" si="273"/>
        <v>Pesado de Passageiros M3:  : Gasóleo : E5</v>
      </c>
      <c r="J6417" s="451">
        <v>5</v>
      </c>
      <c r="K6417" s="422">
        <v>2023</v>
      </c>
      <c r="L6417">
        <v>68.16</v>
      </c>
      <c r="M6417" t="s">
        <v>630</v>
      </c>
      <c r="N6417" s="131">
        <v>56.13</v>
      </c>
      <c r="O6417" s="436">
        <f t="shared" si="276"/>
        <v>280.65000000000003</v>
      </c>
      <c r="P6417" s="89">
        <v>3005</v>
      </c>
      <c r="Q6417" s="422" t="s">
        <v>47</v>
      </c>
      <c r="R6417" s="422" t="s">
        <v>1869</v>
      </c>
      <c r="S6417" s="422" t="s">
        <v>1861</v>
      </c>
      <c r="T6417" t="s">
        <v>5824</v>
      </c>
      <c r="U6417" s="422" t="s">
        <v>1953</v>
      </c>
      <c r="V6417" s="422" t="s">
        <v>2813</v>
      </c>
    </row>
    <row r="6418" spans="1:22" ht="15.75" thickBot="1" x14ac:dyDescent="0.3">
      <c r="A6418" s="451" t="s">
        <v>4581</v>
      </c>
      <c r="B6418" s="451" t="s">
        <v>4581</v>
      </c>
      <c r="C6418" s="424" t="str">
        <f t="shared" si="274"/>
        <v>CITIRAMA - Viagens e Turismo,  S.A.</v>
      </c>
      <c r="D6418" s="451" t="s">
        <v>629</v>
      </c>
      <c r="E6418" s="451"/>
      <c r="F6418" s="451" t="s">
        <v>620</v>
      </c>
      <c r="G6418" s="452">
        <v>2006</v>
      </c>
      <c r="H6418" s="453" t="s">
        <v>734</v>
      </c>
      <c r="I6418" s="311" t="str">
        <f t="shared" si="273"/>
        <v>Pesado de Passageiros M3:  : Gasóleo : E5</v>
      </c>
      <c r="J6418" s="451">
        <v>5</v>
      </c>
      <c r="K6418" s="422">
        <v>2023</v>
      </c>
      <c r="L6418">
        <v>1094.74</v>
      </c>
      <c r="M6418" t="s">
        <v>630</v>
      </c>
      <c r="N6418" s="131">
        <v>957.37</v>
      </c>
      <c r="O6418" s="436">
        <f t="shared" si="276"/>
        <v>4786.8500000000004</v>
      </c>
      <c r="P6418" s="89">
        <v>3006</v>
      </c>
      <c r="Q6418" s="422" t="s">
        <v>47</v>
      </c>
      <c r="R6418" s="422" t="s">
        <v>1869</v>
      </c>
      <c r="S6418" s="422" t="s">
        <v>1861</v>
      </c>
      <c r="T6418" t="s">
        <v>5825</v>
      </c>
      <c r="U6418" s="422" t="s">
        <v>1953</v>
      </c>
      <c r="V6418" s="422" t="s">
        <v>2813</v>
      </c>
    </row>
    <row r="6419" spans="1:22" ht="15.75" thickBot="1" x14ac:dyDescent="0.3">
      <c r="A6419" s="451" t="s">
        <v>4581</v>
      </c>
      <c r="B6419" s="451" t="s">
        <v>4581</v>
      </c>
      <c r="C6419" s="424" t="str">
        <f t="shared" si="274"/>
        <v>CITIRAMA - Viagens e Turismo,  S.A.</v>
      </c>
      <c r="D6419" s="451" t="s">
        <v>629</v>
      </c>
      <c r="E6419" s="451"/>
      <c r="F6419" s="451" t="s">
        <v>620</v>
      </c>
      <c r="G6419" s="452">
        <v>2007</v>
      </c>
      <c r="H6419" s="453" t="s">
        <v>733</v>
      </c>
      <c r="I6419" s="311" t="str">
        <f t="shared" si="273"/>
        <v>Pesado de Passageiros M3:  : Gasóleo : E6</v>
      </c>
      <c r="J6419" s="451">
        <v>5</v>
      </c>
      <c r="K6419" s="422">
        <v>2023</v>
      </c>
      <c r="L6419">
        <v>1857.1200000000001</v>
      </c>
      <c r="M6419" t="s">
        <v>630</v>
      </c>
      <c r="N6419" s="131">
        <v>1574.1399999999999</v>
      </c>
      <c r="O6419" s="436">
        <f t="shared" si="276"/>
        <v>7870.6999999999989</v>
      </c>
      <c r="P6419" s="89">
        <v>3007</v>
      </c>
      <c r="Q6419" s="422" t="s">
        <v>47</v>
      </c>
      <c r="R6419" s="422" t="s">
        <v>1869</v>
      </c>
      <c r="S6419" s="422" t="s">
        <v>1861</v>
      </c>
      <c r="T6419" t="s">
        <v>5825</v>
      </c>
      <c r="U6419" s="422" t="s">
        <v>1953</v>
      </c>
      <c r="V6419" s="422" t="s">
        <v>2813</v>
      </c>
    </row>
    <row r="6420" spans="1:22" ht="15.75" thickBot="1" x14ac:dyDescent="0.3">
      <c r="A6420" s="451" t="s">
        <v>4581</v>
      </c>
      <c r="B6420" s="451" t="s">
        <v>4581</v>
      </c>
      <c r="C6420" s="424" t="str">
        <f t="shared" si="274"/>
        <v>CITIRAMA - Viagens e Turismo,  S.A.</v>
      </c>
      <c r="D6420" s="451" t="s">
        <v>629</v>
      </c>
      <c r="E6420" s="451"/>
      <c r="F6420" s="451" t="s">
        <v>620</v>
      </c>
      <c r="G6420" s="452">
        <v>2017</v>
      </c>
      <c r="H6420" s="453" t="s">
        <v>733</v>
      </c>
      <c r="I6420" s="311" t="str">
        <f t="shared" si="273"/>
        <v>Pesado de Passageiros M3:  : Gasóleo : E6</v>
      </c>
      <c r="J6420" s="451">
        <v>8</v>
      </c>
      <c r="K6420" s="422">
        <v>2023</v>
      </c>
      <c r="L6420">
        <v>4397.2</v>
      </c>
      <c r="M6420" t="s">
        <v>630</v>
      </c>
      <c r="N6420" s="131">
        <v>3711.92</v>
      </c>
      <c r="O6420" s="436">
        <f t="shared" si="276"/>
        <v>29695.360000000001</v>
      </c>
      <c r="P6420" s="89">
        <v>3008</v>
      </c>
      <c r="Q6420" s="422" t="s">
        <v>47</v>
      </c>
      <c r="R6420" s="422" t="s">
        <v>1869</v>
      </c>
      <c r="S6420" s="422" t="s">
        <v>1861</v>
      </c>
      <c r="T6420" t="s">
        <v>5823</v>
      </c>
      <c r="U6420" s="422" t="s">
        <v>1953</v>
      </c>
      <c r="V6420" s="422" t="s">
        <v>2813</v>
      </c>
    </row>
    <row r="6421" spans="1:22" ht="15.75" thickBot="1" x14ac:dyDescent="0.3">
      <c r="A6421" s="451" t="s">
        <v>4581</v>
      </c>
      <c r="B6421" s="451" t="s">
        <v>4581</v>
      </c>
      <c r="C6421" s="424" t="str">
        <f t="shared" si="274"/>
        <v>CITIRAMA - Viagens e Turismo,  S.A.</v>
      </c>
      <c r="D6421" s="451" t="s">
        <v>629</v>
      </c>
      <c r="E6421" s="451"/>
      <c r="F6421" s="451" t="s">
        <v>620</v>
      </c>
      <c r="G6421" s="452">
        <v>2019</v>
      </c>
      <c r="H6421" s="453" t="s">
        <v>733</v>
      </c>
      <c r="I6421" s="311" t="str">
        <f t="shared" si="273"/>
        <v>Pesado de Passageiros M3:  : Gasóleo : E6</v>
      </c>
      <c r="J6421" s="451">
        <v>5</v>
      </c>
      <c r="K6421" s="422">
        <v>2023</v>
      </c>
      <c r="L6421">
        <v>3502.8899999999994</v>
      </c>
      <c r="M6421" t="s">
        <v>630</v>
      </c>
      <c r="N6421" s="131">
        <v>2850.31</v>
      </c>
      <c r="O6421" s="436">
        <f t="shared" si="276"/>
        <v>14251.55</v>
      </c>
      <c r="P6421" s="89">
        <v>3009</v>
      </c>
      <c r="Q6421" s="422" t="s">
        <v>47</v>
      </c>
      <c r="R6421" s="422" t="s">
        <v>1869</v>
      </c>
      <c r="S6421" s="422" t="s">
        <v>1861</v>
      </c>
      <c r="T6421" t="s">
        <v>5826</v>
      </c>
      <c r="U6421" s="422" t="s">
        <v>1953</v>
      </c>
      <c r="V6421" s="422" t="s">
        <v>2813</v>
      </c>
    </row>
    <row r="6422" spans="1:22" ht="15.75" thickBot="1" x14ac:dyDescent="0.3">
      <c r="A6422" s="451" t="s">
        <v>4581</v>
      </c>
      <c r="B6422" s="451" t="s">
        <v>4581</v>
      </c>
      <c r="C6422" s="424" t="str">
        <f t="shared" si="274"/>
        <v>CITIRAMA - Viagens e Turismo,  S.A.</v>
      </c>
      <c r="D6422" s="451" t="s">
        <v>629</v>
      </c>
      <c r="E6422" s="451"/>
      <c r="F6422" s="451" t="s">
        <v>620</v>
      </c>
      <c r="G6422" s="452">
        <v>2019</v>
      </c>
      <c r="H6422" s="453" t="s">
        <v>733</v>
      </c>
      <c r="I6422" s="311" t="str">
        <f t="shared" si="273"/>
        <v>Pesado de Passageiros M3:  : Gasóleo : E6</v>
      </c>
      <c r="J6422" s="451">
        <v>5</v>
      </c>
      <c r="K6422" s="422">
        <v>2023</v>
      </c>
      <c r="L6422">
        <v>933.43000000000006</v>
      </c>
      <c r="M6422" t="s">
        <v>630</v>
      </c>
      <c r="N6422" s="131">
        <v>758</v>
      </c>
      <c r="O6422" s="436">
        <f t="shared" si="276"/>
        <v>3790</v>
      </c>
      <c r="P6422" s="89">
        <v>3010</v>
      </c>
      <c r="Q6422" s="422" t="s">
        <v>47</v>
      </c>
      <c r="R6422" s="422" t="s">
        <v>1869</v>
      </c>
      <c r="S6422" s="422" t="s">
        <v>1861</v>
      </c>
      <c r="T6422" t="s">
        <v>5824</v>
      </c>
      <c r="U6422" s="422" t="s">
        <v>1953</v>
      </c>
      <c r="V6422" s="422" t="s">
        <v>2813</v>
      </c>
    </row>
    <row r="6423" spans="1:22" ht="15.75" thickBot="1" x14ac:dyDescent="0.3">
      <c r="A6423" s="451" t="s">
        <v>4581</v>
      </c>
      <c r="B6423" s="451" t="s">
        <v>4581</v>
      </c>
      <c r="C6423" s="424" t="str">
        <f t="shared" si="274"/>
        <v>CITIRAMA - Viagens e Turismo,  S.A.</v>
      </c>
      <c r="D6423" s="451" t="s">
        <v>629</v>
      </c>
      <c r="E6423" s="451"/>
      <c r="F6423" s="451" t="s">
        <v>620</v>
      </c>
      <c r="G6423" s="452">
        <v>2015</v>
      </c>
      <c r="H6423" s="453" t="s">
        <v>734</v>
      </c>
      <c r="I6423" s="311" t="str">
        <f t="shared" si="273"/>
        <v>Pesado de Passageiros M3:  : Gasóleo : E5</v>
      </c>
      <c r="J6423" s="451">
        <v>2</v>
      </c>
      <c r="K6423" s="422">
        <v>2023</v>
      </c>
      <c r="L6423">
        <v>957.38000000000011</v>
      </c>
      <c r="M6423" t="s">
        <v>630</v>
      </c>
      <c r="N6423" s="131">
        <v>792.83</v>
      </c>
      <c r="O6423" s="436">
        <f t="shared" si="276"/>
        <v>1585.66</v>
      </c>
      <c r="P6423" s="89">
        <v>3016</v>
      </c>
      <c r="Q6423" s="422" t="s">
        <v>47</v>
      </c>
      <c r="R6423" s="422" t="s">
        <v>1869</v>
      </c>
      <c r="S6423" s="422" t="s">
        <v>1861</v>
      </c>
      <c r="T6423" t="s">
        <v>5824</v>
      </c>
      <c r="U6423" s="422" t="s">
        <v>1953</v>
      </c>
      <c r="V6423" s="422" t="s">
        <v>2813</v>
      </c>
    </row>
    <row r="6424" spans="1:22" ht="15.75" thickBot="1" x14ac:dyDescent="0.3">
      <c r="A6424" s="451" t="s">
        <v>4581</v>
      </c>
      <c r="B6424" s="451" t="s">
        <v>4581</v>
      </c>
      <c r="C6424" s="424" t="str">
        <f t="shared" si="274"/>
        <v>CITIRAMA - Viagens e Turismo,  S.A.</v>
      </c>
      <c r="D6424" s="451" t="s">
        <v>629</v>
      </c>
      <c r="E6424" s="451"/>
      <c r="F6424" s="451" t="s">
        <v>620</v>
      </c>
      <c r="G6424" s="452">
        <v>2015</v>
      </c>
      <c r="H6424" s="453" t="s">
        <v>734</v>
      </c>
      <c r="I6424" s="311" t="str">
        <f t="shared" si="273"/>
        <v>Pesado de Passageiros M3:  : Gasóleo : E5</v>
      </c>
      <c r="J6424" s="451">
        <v>2</v>
      </c>
      <c r="K6424" s="422">
        <v>2023</v>
      </c>
      <c r="L6424">
        <v>894.09</v>
      </c>
      <c r="M6424" t="s">
        <v>630</v>
      </c>
      <c r="N6424" s="131">
        <v>760.23</v>
      </c>
      <c r="O6424" s="436">
        <f t="shared" si="276"/>
        <v>1520.46</v>
      </c>
      <c r="P6424" s="89">
        <v>3017</v>
      </c>
      <c r="Q6424" s="422" t="s">
        <v>47</v>
      </c>
      <c r="R6424" s="422" t="s">
        <v>1869</v>
      </c>
      <c r="S6424" s="422" t="s">
        <v>1861</v>
      </c>
      <c r="T6424" t="s">
        <v>5824</v>
      </c>
      <c r="U6424" s="422" t="s">
        <v>1953</v>
      </c>
      <c r="V6424" s="422" t="s">
        <v>2813</v>
      </c>
    </row>
    <row r="6425" spans="1:22" ht="15.75" thickBot="1" x14ac:dyDescent="0.3">
      <c r="A6425" s="451" t="s">
        <v>4581</v>
      </c>
      <c r="B6425" s="451" t="s">
        <v>4581</v>
      </c>
      <c r="C6425" s="424" t="str">
        <f t="shared" si="274"/>
        <v>CITIRAMA - Viagens e Turismo,  S.A.</v>
      </c>
      <c r="D6425" s="451" t="s">
        <v>629</v>
      </c>
      <c r="E6425" s="451"/>
      <c r="F6425" s="451" t="s">
        <v>620</v>
      </c>
      <c r="G6425" s="452">
        <v>2018</v>
      </c>
      <c r="H6425" s="453" t="s">
        <v>734</v>
      </c>
      <c r="I6425" s="311" t="str">
        <f t="shared" si="273"/>
        <v>Pesado de Passageiros M3:  : Gasóleo : E5</v>
      </c>
      <c r="J6425" s="451">
        <v>2</v>
      </c>
      <c r="K6425" s="422">
        <v>2023</v>
      </c>
      <c r="L6425">
        <v>611.63</v>
      </c>
      <c r="M6425" t="s">
        <v>630</v>
      </c>
      <c r="N6425" s="131">
        <v>518.81999999999994</v>
      </c>
      <c r="O6425" s="436">
        <f t="shared" si="276"/>
        <v>1037.6399999999999</v>
      </c>
      <c r="P6425" s="89">
        <v>3018</v>
      </c>
      <c r="Q6425" s="422" t="s">
        <v>47</v>
      </c>
      <c r="R6425" s="422" t="s">
        <v>1869</v>
      </c>
      <c r="S6425" s="422" t="s">
        <v>1861</v>
      </c>
      <c r="T6425" t="s">
        <v>5827</v>
      </c>
      <c r="U6425" s="422" t="s">
        <v>1953</v>
      </c>
      <c r="V6425" s="422" t="s">
        <v>2813</v>
      </c>
    </row>
    <row r="6426" spans="1:22" ht="15.75" thickBot="1" x14ac:dyDescent="0.3">
      <c r="A6426" t="s">
        <v>4581</v>
      </c>
      <c r="B6426" t="s">
        <v>4581</v>
      </c>
      <c r="C6426" s="424" t="str">
        <f t="shared" si="274"/>
        <v>CITIRAMA - Viagens e Turismo,  S.A.</v>
      </c>
      <c r="D6426" t="s">
        <v>629</v>
      </c>
      <c r="F6426" t="s">
        <v>620</v>
      </c>
      <c r="G6426" s="89">
        <v>1995</v>
      </c>
      <c r="H6426" s="313" t="s">
        <v>735</v>
      </c>
      <c r="I6426" s="311" t="str">
        <f t="shared" si="273"/>
        <v>Pesado de Passageiros M3:  : Gasóleo : E2</v>
      </c>
      <c r="J6426" s="422">
        <v>72</v>
      </c>
      <c r="K6426" s="422">
        <v>2023</v>
      </c>
      <c r="M6426" t="s">
        <v>630</v>
      </c>
      <c r="O6426" s="436">
        <f t="shared" si="276"/>
        <v>0</v>
      </c>
      <c r="P6426" s="89">
        <v>3025</v>
      </c>
      <c r="Q6426" s="422" t="s">
        <v>47</v>
      </c>
      <c r="R6426" s="422" t="s">
        <v>1869</v>
      </c>
      <c r="S6426" s="422" t="s">
        <v>1861</v>
      </c>
      <c r="T6426" t="s">
        <v>5828</v>
      </c>
      <c r="U6426" s="422" t="s">
        <v>1953</v>
      </c>
      <c r="V6426" s="422" t="s">
        <v>2813</v>
      </c>
    </row>
    <row r="6427" spans="1:22" ht="15.75" thickBot="1" x14ac:dyDescent="0.3">
      <c r="A6427" s="451" t="s">
        <v>4581</v>
      </c>
      <c r="B6427" s="451" t="s">
        <v>4581</v>
      </c>
      <c r="C6427" s="424" t="str">
        <f t="shared" si="274"/>
        <v>CITIRAMA - Viagens e Turismo,  S.A.</v>
      </c>
      <c r="D6427" s="451" t="s">
        <v>629</v>
      </c>
      <c r="E6427" s="451"/>
      <c r="F6427" s="451" t="s">
        <v>620</v>
      </c>
      <c r="G6427" s="452">
        <v>2019</v>
      </c>
      <c r="H6427" s="453" t="s">
        <v>733</v>
      </c>
      <c r="I6427" s="311" t="str">
        <f t="shared" si="273"/>
        <v>Pesado de Passageiros M3:  : Gasóleo : E6</v>
      </c>
      <c r="J6427" s="451">
        <v>8</v>
      </c>
      <c r="K6427" s="422">
        <v>2023</v>
      </c>
      <c r="L6427">
        <v>3305.21</v>
      </c>
      <c r="M6427" t="s">
        <v>630</v>
      </c>
      <c r="N6427" s="131">
        <v>2739.19</v>
      </c>
      <c r="O6427" s="436">
        <f t="shared" si="276"/>
        <v>21913.52</v>
      </c>
      <c r="P6427" s="89">
        <v>3030</v>
      </c>
      <c r="Q6427" s="422" t="s">
        <v>47</v>
      </c>
      <c r="R6427" s="422" t="s">
        <v>1869</v>
      </c>
      <c r="S6427" s="422" t="s">
        <v>1861</v>
      </c>
      <c r="T6427" t="s">
        <v>5823</v>
      </c>
      <c r="U6427" s="422" t="s">
        <v>1953</v>
      </c>
      <c r="V6427" s="422" t="s">
        <v>2813</v>
      </c>
    </row>
    <row r="6428" spans="1:22" ht="15.75" thickBot="1" x14ac:dyDescent="0.3">
      <c r="A6428" s="451" t="s">
        <v>4581</v>
      </c>
      <c r="B6428" s="451" t="s">
        <v>4581</v>
      </c>
      <c r="C6428" s="424" t="str">
        <f t="shared" si="274"/>
        <v>CITIRAMA - Viagens e Turismo,  S.A.</v>
      </c>
      <c r="D6428" s="451" t="s">
        <v>629</v>
      </c>
      <c r="E6428" s="451"/>
      <c r="F6428" s="451" t="s">
        <v>620</v>
      </c>
      <c r="G6428" s="452">
        <v>2019</v>
      </c>
      <c r="H6428" s="453" t="s">
        <v>733</v>
      </c>
      <c r="I6428" s="311" t="str">
        <f t="shared" si="273"/>
        <v>Pesado de Passageiros M3:  : Gasóleo : E6</v>
      </c>
      <c r="J6428" s="451">
        <v>8</v>
      </c>
      <c r="K6428" s="422">
        <v>2023</v>
      </c>
      <c r="L6428">
        <v>4204.0599999999995</v>
      </c>
      <c r="M6428" t="s">
        <v>630</v>
      </c>
      <c r="N6428" s="131">
        <v>3551.38</v>
      </c>
      <c r="O6428" s="436">
        <f t="shared" si="276"/>
        <v>28411.040000000001</v>
      </c>
      <c r="P6428" s="89">
        <v>3031</v>
      </c>
      <c r="Q6428" s="422" t="s">
        <v>47</v>
      </c>
      <c r="R6428" s="422" t="s">
        <v>1869</v>
      </c>
      <c r="S6428" s="422" t="s">
        <v>1861</v>
      </c>
      <c r="T6428" t="s">
        <v>5823</v>
      </c>
      <c r="U6428" s="422" t="s">
        <v>1953</v>
      </c>
      <c r="V6428" s="422" t="s">
        <v>2813</v>
      </c>
    </row>
    <row r="6429" spans="1:22" ht="15.75" thickBot="1" x14ac:dyDescent="0.3">
      <c r="A6429" s="451" t="s">
        <v>4581</v>
      </c>
      <c r="B6429" s="451" t="s">
        <v>4581</v>
      </c>
      <c r="C6429" s="424" t="str">
        <f t="shared" si="274"/>
        <v>CITIRAMA - Viagens e Turismo,  S.A.</v>
      </c>
      <c r="D6429" s="451" t="s">
        <v>629</v>
      </c>
      <c r="E6429" s="451"/>
      <c r="F6429" s="451" t="s">
        <v>620</v>
      </c>
      <c r="G6429" s="452">
        <v>2019</v>
      </c>
      <c r="H6429" s="453" t="s">
        <v>733</v>
      </c>
      <c r="I6429" s="311" t="str">
        <f t="shared" si="273"/>
        <v>Pesado de Passageiros M3:  : Gasóleo : E6</v>
      </c>
      <c r="J6429" s="451">
        <v>8</v>
      </c>
      <c r="K6429" s="422">
        <v>2023</v>
      </c>
      <c r="L6429">
        <v>4147.5600000000004</v>
      </c>
      <c r="M6429" t="s">
        <v>630</v>
      </c>
      <c r="N6429" s="131">
        <v>3514.6400000000008</v>
      </c>
      <c r="O6429" s="436">
        <f t="shared" si="276"/>
        <v>28117.120000000006</v>
      </c>
      <c r="P6429" s="89">
        <v>3032</v>
      </c>
      <c r="Q6429" s="422" t="s">
        <v>47</v>
      </c>
      <c r="R6429" s="422" t="s">
        <v>1869</v>
      </c>
      <c r="S6429" s="422" t="s">
        <v>1861</v>
      </c>
      <c r="T6429" t="s">
        <v>5823</v>
      </c>
      <c r="U6429" s="422" t="s">
        <v>1953</v>
      </c>
      <c r="V6429" s="422" t="s">
        <v>2813</v>
      </c>
    </row>
    <row r="6430" spans="1:22" ht="15.75" thickBot="1" x14ac:dyDescent="0.3">
      <c r="A6430" s="451" t="s">
        <v>4581</v>
      </c>
      <c r="B6430" s="451" t="s">
        <v>4581</v>
      </c>
      <c r="C6430" s="424" t="str">
        <f t="shared" si="274"/>
        <v>CITIRAMA - Viagens e Turismo,  S.A.</v>
      </c>
      <c r="D6430" s="451" t="s">
        <v>629</v>
      </c>
      <c r="E6430" s="451"/>
      <c r="F6430" s="451" t="s">
        <v>620</v>
      </c>
      <c r="G6430" s="452">
        <v>2019</v>
      </c>
      <c r="H6430" s="453" t="s">
        <v>733</v>
      </c>
      <c r="I6430" s="311" t="str">
        <f t="shared" si="273"/>
        <v>Pesado de Passageiros M3:  : Gasóleo : E6</v>
      </c>
      <c r="J6430" s="451">
        <v>8</v>
      </c>
      <c r="K6430" s="422">
        <v>2023</v>
      </c>
      <c r="L6430">
        <v>3970.4900000000007</v>
      </c>
      <c r="M6430" t="s">
        <v>630</v>
      </c>
      <c r="N6430" s="131">
        <v>3380.01</v>
      </c>
      <c r="O6430" s="436">
        <f t="shared" si="276"/>
        <v>27040.080000000002</v>
      </c>
      <c r="P6430" s="89">
        <v>3033</v>
      </c>
      <c r="Q6430" s="422" t="s">
        <v>47</v>
      </c>
      <c r="R6430" s="422" t="s">
        <v>1869</v>
      </c>
      <c r="S6430" s="422" t="s">
        <v>1861</v>
      </c>
      <c r="T6430" t="s">
        <v>5823</v>
      </c>
      <c r="U6430" s="422" t="s">
        <v>1953</v>
      </c>
      <c r="V6430" s="422" t="s">
        <v>2813</v>
      </c>
    </row>
    <row r="6431" spans="1:22" ht="15.75" thickBot="1" x14ac:dyDescent="0.3">
      <c r="A6431" s="451" t="s">
        <v>4581</v>
      </c>
      <c r="B6431" s="451" t="s">
        <v>4581</v>
      </c>
      <c r="C6431" s="424" t="str">
        <f t="shared" si="274"/>
        <v>CITIRAMA - Viagens e Turismo,  S.A.</v>
      </c>
      <c r="D6431" s="451" t="s">
        <v>629</v>
      </c>
      <c r="E6431" s="451"/>
      <c r="F6431" s="451" t="s">
        <v>620</v>
      </c>
      <c r="G6431" s="452">
        <v>2019</v>
      </c>
      <c r="H6431" s="453" t="s">
        <v>733</v>
      </c>
      <c r="I6431" s="311" t="str">
        <f t="shared" si="273"/>
        <v>Pesado de Passageiros M3:  : Gasóleo : E6</v>
      </c>
      <c r="J6431" s="451">
        <v>8</v>
      </c>
      <c r="K6431" s="422">
        <v>2023</v>
      </c>
      <c r="L6431">
        <v>3212</v>
      </c>
      <c r="M6431" t="s">
        <v>630</v>
      </c>
      <c r="N6431" s="131">
        <v>2744.16</v>
      </c>
      <c r="O6431" s="436">
        <f t="shared" si="276"/>
        <v>21953.279999999999</v>
      </c>
      <c r="P6431" s="89">
        <v>3034</v>
      </c>
      <c r="Q6431" s="422" t="s">
        <v>47</v>
      </c>
      <c r="R6431" s="422" t="s">
        <v>1869</v>
      </c>
      <c r="S6431" s="422" t="s">
        <v>1861</v>
      </c>
      <c r="T6431" t="s">
        <v>5823</v>
      </c>
      <c r="U6431" s="422" t="s">
        <v>1953</v>
      </c>
      <c r="V6431" s="422" t="s">
        <v>2813</v>
      </c>
    </row>
    <row r="6432" spans="1:22" ht="15.75" thickBot="1" x14ac:dyDescent="0.3">
      <c r="A6432" t="s">
        <v>4581</v>
      </c>
      <c r="B6432" t="s">
        <v>4581</v>
      </c>
      <c r="C6432" s="424" t="str">
        <f t="shared" si="274"/>
        <v>CITIRAMA - Viagens e Turismo,  S.A.</v>
      </c>
      <c r="D6432" t="s">
        <v>629</v>
      </c>
      <c r="F6432" t="s">
        <v>620</v>
      </c>
      <c r="G6432" s="89">
        <v>2019</v>
      </c>
      <c r="H6432" s="313" t="s">
        <v>733</v>
      </c>
      <c r="I6432" s="311" t="str">
        <f t="shared" si="273"/>
        <v>Pesado de Passageiros M3:  : Gasóleo : E6</v>
      </c>
      <c r="J6432" s="422">
        <v>15</v>
      </c>
      <c r="K6432" s="422">
        <v>2023</v>
      </c>
      <c r="L6432">
        <v>853.34</v>
      </c>
      <c r="M6432" t="s">
        <v>630</v>
      </c>
      <c r="N6432" s="131">
        <v>671.46999999999991</v>
      </c>
      <c r="O6432" s="436">
        <f t="shared" si="276"/>
        <v>10072.049999999999</v>
      </c>
      <c r="P6432" s="89">
        <v>3035</v>
      </c>
      <c r="Q6432" s="422" t="s">
        <v>47</v>
      </c>
      <c r="R6432" s="422" t="s">
        <v>1869</v>
      </c>
      <c r="S6432" s="422" t="s">
        <v>1861</v>
      </c>
      <c r="T6432" t="s">
        <v>5823</v>
      </c>
      <c r="U6432" s="422" t="s">
        <v>1953</v>
      </c>
      <c r="V6432" s="422" t="s">
        <v>2813</v>
      </c>
    </row>
    <row r="6433" spans="1:22" ht="15.75" thickBot="1" x14ac:dyDescent="0.3">
      <c r="A6433" t="s">
        <v>4581</v>
      </c>
      <c r="B6433" t="s">
        <v>4581</v>
      </c>
      <c r="C6433" s="424" t="str">
        <f t="shared" si="274"/>
        <v>CITIRAMA - Viagens e Turismo,  S.A.</v>
      </c>
      <c r="D6433" t="s">
        <v>629</v>
      </c>
      <c r="F6433" t="s">
        <v>620</v>
      </c>
      <c r="G6433" s="89">
        <v>2008</v>
      </c>
      <c r="H6433" s="313" t="s">
        <v>731</v>
      </c>
      <c r="I6433" s="311" t="str">
        <f t="shared" si="273"/>
        <v>Pesado de Passageiros M3:  : Gasóleo : E4</v>
      </c>
      <c r="J6433" s="422">
        <v>63</v>
      </c>
      <c r="K6433" s="422">
        <v>2023</v>
      </c>
      <c r="L6433">
        <v>3171.3499999999995</v>
      </c>
      <c r="M6433" t="s">
        <v>630</v>
      </c>
      <c r="N6433" s="131">
        <v>2750.94</v>
      </c>
      <c r="O6433" s="436">
        <f t="shared" si="276"/>
        <v>173309.22</v>
      </c>
      <c r="P6433" s="89">
        <v>3041</v>
      </c>
      <c r="Q6433" s="422" t="s">
        <v>47</v>
      </c>
      <c r="R6433" s="422" t="s">
        <v>1869</v>
      </c>
      <c r="S6433" s="422" t="s">
        <v>1861</v>
      </c>
      <c r="T6433" t="s">
        <v>5823</v>
      </c>
      <c r="U6433" s="422" t="s">
        <v>1953</v>
      </c>
      <c r="V6433" s="422" t="s">
        <v>2813</v>
      </c>
    </row>
    <row r="6434" spans="1:22" ht="15.75" thickBot="1" x14ac:dyDescent="0.3">
      <c r="A6434" t="s">
        <v>4581</v>
      </c>
      <c r="B6434" t="s">
        <v>4581</v>
      </c>
      <c r="C6434" s="424" t="str">
        <f t="shared" si="274"/>
        <v>CITIRAMA - Viagens e Turismo,  S.A.</v>
      </c>
      <c r="D6434" t="s">
        <v>629</v>
      </c>
      <c r="F6434" t="s">
        <v>620</v>
      </c>
      <c r="G6434" s="89">
        <v>2010</v>
      </c>
      <c r="H6434" s="313" t="s">
        <v>731</v>
      </c>
      <c r="I6434" s="311" t="str">
        <f t="shared" ref="I6434:I6497" si="277">D6434&amp;": "&amp;E6434&amp;" : "&amp;F6434&amp;" : "&amp;H6434</f>
        <v>Pesado de Passageiros M3:  : Gasóleo : E4</v>
      </c>
      <c r="J6434" s="422">
        <v>63</v>
      </c>
      <c r="K6434" s="422">
        <v>2023</v>
      </c>
      <c r="L6434">
        <v>9611.07</v>
      </c>
      <c r="M6434" t="s">
        <v>630</v>
      </c>
      <c r="N6434" s="131">
        <v>8166.5699999999988</v>
      </c>
      <c r="O6434" s="436">
        <f t="shared" si="276"/>
        <v>514493.90999999992</v>
      </c>
      <c r="P6434" s="89">
        <v>3042</v>
      </c>
      <c r="Q6434" s="422" t="s">
        <v>47</v>
      </c>
      <c r="R6434" s="422" t="s">
        <v>1869</v>
      </c>
      <c r="S6434" s="422" t="s">
        <v>1861</v>
      </c>
      <c r="T6434" t="s">
        <v>5823</v>
      </c>
      <c r="U6434" s="422" t="s">
        <v>1953</v>
      </c>
      <c r="V6434" s="422" t="s">
        <v>2813</v>
      </c>
    </row>
    <row r="6435" spans="1:22" ht="15.75" thickBot="1" x14ac:dyDescent="0.3">
      <c r="A6435" t="s">
        <v>4581</v>
      </c>
      <c r="B6435" t="s">
        <v>4581</v>
      </c>
      <c r="C6435" s="424" t="str">
        <f t="shared" si="274"/>
        <v>CITIRAMA - Viagens e Turismo,  S.A.</v>
      </c>
      <c r="D6435" t="s">
        <v>629</v>
      </c>
      <c r="F6435" t="s">
        <v>620</v>
      </c>
      <c r="G6435" s="89">
        <v>2010</v>
      </c>
      <c r="H6435" s="313" t="s">
        <v>731</v>
      </c>
      <c r="I6435" s="311" t="str">
        <f t="shared" si="277"/>
        <v>Pesado de Passageiros M3:  : Gasóleo : E4</v>
      </c>
      <c r="J6435" s="422">
        <v>63</v>
      </c>
      <c r="K6435" s="422">
        <v>2023</v>
      </c>
      <c r="L6435">
        <v>6859.4000000000005</v>
      </c>
      <c r="M6435" t="s">
        <v>630</v>
      </c>
      <c r="N6435" s="131">
        <v>5551.0500000000011</v>
      </c>
      <c r="O6435" s="436">
        <f t="shared" si="276"/>
        <v>349716.15000000008</v>
      </c>
      <c r="P6435" s="89">
        <v>3043</v>
      </c>
      <c r="Q6435" s="422" t="s">
        <v>47</v>
      </c>
      <c r="R6435" s="422" t="s">
        <v>1869</v>
      </c>
      <c r="S6435" s="422" t="s">
        <v>1861</v>
      </c>
      <c r="T6435" t="s">
        <v>5828</v>
      </c>
      <c r="U6435" s="422" t="s">
        <v>1953</v>
      </c>
      <c r="V6435" s="422" t="s">
        <v>2813</v>
      </c>
    </row>
    <row r="6436" spans="1:22" ht="15.75" thickBot="1" x14ac:dyDescent="0.3">
      <c r="A6436" t="s">
        <v>4581</v>
      </c>
      <c r="B6436" t="s">
        <v>4581</v>
      </c>
      <c r="C6436" s="424" t="str">
        <f t="shared" si="274"/>
        <v>CITIRAMA - Viagens e Turismo,  S.A.</v>
      </c>
      <c r="D6436" t="s">
        <v>629</v>
      </c>
      <c r="F6436" t="s">
        <v>620</v>
      </c>
      <c r="G6436" s="89">
        <v>2010</v>
      </c>
      <c r="H6436" s="313" t="s">
        <v>731</v>
      </c>
      <c r="I6436" s="311" t="str">
        <f t="shared" si="277"/>
        <v>Pesado de Passageiros M3:  : Gasóleo : E4</v>
      </c>
      <c r="J6436" s="422">
        <v>63</v>
      </c>
      <c r="K6436" s="422">
        <v>2023</v>
      </c>
      <c r="L6436">
        <v>9625.0300000000007</v>
      </c>
      <c r="M6436" t="s">
        <v>630</v>
      </c>
      <c r="N6436" s="131">
        <v>7879.3700000000008</v>
      </c>
      <c r="O6436" s="436">
        <f t="shared" si="276"/>
        <v>496400.31000000006</v>
      </c>
      <c r="P6436" s="89">
        <v>3044</v>
      </c>
      <c r="Q6436" s="422" t="s">
        <v>47</v>
      </c>
      <c r="R6436" s="422" t="s">
        <v>1869</v>
      </c>
      <c r="S6436" s="422" t="s">
        <v>1861</v>
      </c>
      <c r="T6436" t="s">
        <v>5828</v>
      </c>
      <c r="U6436" s="422" t="s">
        <v>1953</v>
      </c>
      <c r="V6436" s="422" t="s">
        <v>2813</v>
      </c>
    </row>
    <row r="6437" spans="1:22" ht="15.75" thickBot="1" x14ac:dyDescent="0.3">
      <c r="A6437" t="s">
        <v>4581</v>
      </c>
      <c r="B6437" t="s">
        <v>4581</v>
      </c>
      <c r="C6437" s="424" t="str">
        <f t="shared" si="274"/>
        <v>CITIRAMA - Viagens e Turismo,  S.A.</v>
      </c>
      <c r="D6437" t="s">
        <v>629</v>
      </c>
      <c r="F6437" t="s">
        <v>620</v>
      </c>
      <c r="G6437" s="89">
        <v>2010</v>
      </c>
      <c r="H6437" s="313" t="s">
        <v>731</v>
      </c>
      <c r="I6437" s="311" t="str">
        <f t="shared" si="277"/>
        <v>Pesado de Passageiros M3:  : Gasóleo : E4</v>
      </c>
      <c r="J6437" s="422">
        <v>63</v>
      </c>
      <c r="K6437" s="422">
        <v>2023</v>
      </c>
      <c r="L6437">
        <v>10430.960000000001</v>
      </c>
      <c r="M6437" t="s">
        <v>630</v>
      </c>
      <c r="N6437" s="131">
        <v>8877.3000000000011</v>
      </c>
      <c r="O6437" s="436">
        <f t="shared" si="276"/>
        <v>559269.9</v>
      </c>
      <c r="P6437" s="89">
        <v>3045</v>
      </c>
      <c r="Q6437" s="422" t="s">
        <v>47</v>
      </c>
      <c r="R6437" s="422" t="s">
        <v>1869</v>
      </c>
      <c r="S6437" s="422" t="s">
        <v>1861</v>
      </c>
      <c r="T6437" t="s">
        <v>5828</v>
      </c>
      <c r="U6437" s="422" t="s">
        <v>1953</v>
      </c>
      <c r="V6437" s="422" t="s">
        <v>2813</v>
      </c>
    </row>
    <row r="6438" spans="1:22" ht="15.75" thickBot="1" x14ac:dyDescent="0.3">
      <c r="A6438" t="s">
        <v>4581</v>
      </c>
      <c r="B6438" t="s">
        <v>4581</v>
      </c>
      <c r="C6438" s="424" t="str">
        <f t="shared" si="274"/>
        <v>CITIRAMA - Viagens e Turismo,  S.A.</v>
      </c>
      <c r="D6438" t="s">
        <v>629</v>
      </c>
      <c r="F6438" t="s">
        <v>620</v>
      </c>
      <c r="G6438" s="89">
        <v>2012</v>
      </c>
      <c r="H6438" s="313" t="s">
        <v>734</v>
      </c>
      <c r="I6438" s="311" t="str">
        <f t="shared" si="277"/>
        <v>Pesado de Passageiros M3:  : Gasóleo : E5</v>
      </c>
      <c r="J6438" s="422">
        <v>63</v>
      </c>
      <c r="K6438" s="422">
        <v>2023</v>
      </c>
      <c r="L6438">
        <v>12088.759999999998</v>
      </c>
      <c r="M6438" t="s">
        <v>630</v>
      </c>
      <c r="N6438" s="131">
        <v>10149.5</v>
      </c>
      <c r="O6438" s="436">
        <f t="shared" si="276"/>
        <v>639418.5</v>
      </c>
      <c r="P6438" s="89">
        <v>3046</v>
      </c>
      <c r="Q6438" s="422" t="s">
        <v>47</v>
      </c>
      <c r="R6438" s="422" t="s">
        <v>1869</v>
      </c>
      <c r="S6438" s="422" t="s">
        <v>1861</v>
      </c>
      <c r="T6438" t="s">
        <v>5828</v>
      </c>
      <c r="U6438" s="422" t="s">
        <v>1953</v>
      </c>
      <c r="V6438" s="422" t="s">
        <v>2813</v>
      </c>
    </row>
    <row r="6439" spans="1:22" ht="15.75" thickBot="1" x14ac:dyDescent="0.3">
      <c r="A6439" t="s">
        <v>4581</v>
      </c>
      <c r="B6439" t="s">
        <v>4581</v>
      </c>
      <c r="C6439" s="424" t="str">
        <f t="shared" si="274"/>
        <v>CITIRAMA - Viagens e Turismo,  S.A.</v>
      </c>
      <c r="D6439" t="s">
        <v>629</v>
      </c>
      <c r="F6439" t="s">
        <v>620</v>
      </c>
      <c r="G6439" s="89">
        <v>2012</v>
      </c>
      <c r="H6439" s="313" t="s">
        <v>731</v>
      </c>
      <c r="I6439" s="311" t="str">
        <f t="shared" si="277"/>
        <v>Pesado de Passageiros M3:  : Gasóleo : E4</v>
      </c>
      <c r="J6439" s="422">
        <v>63</v>
      </c>
      <c r="K6439" s="422">
        <v>2023</v>
      </c>
      <c r="L6439">
        <v>8654.5299999999988</v>
      </c>
      <c r="M6439" t="s">
        <v>630</v>
      </c>
      <c r="N6439" s="131">
        <v>7259.9500000000007</v>
      </c>
      <c r="O6439" s="436">
        <f t="shared" si="276"/>
        <v>457376.85000000003</v>
      </c>
      <c r="P6439" s="89">
        <v>3047</v>
      </c>
      <c r="Q6439" s="422" t="s">
        <v>47</v>
      </c>
      <c r="R6439" s="422" t="s">
        <v>1869</v>
      </c>
      <c r="S6439" s="422" t="s">
        <v>1861</v>
      </c>
      <c r="T6439" t="s">
        <v>5828</v>
      </c>
      <c r="U6439" s="422" t="s">
        <v>1953</v>
      </c>
      <c r="V6439" s="422" t="s">
        <v>2813</v>
      </c>
    </row>
    <row r="6440" spans="1:22" ht="15.75" thickBot="1" x14ac:dyDescent="0.3">
      <c r="A6440" t="s">
        <v>4581</v>
      </c>
      <c r="B6440" t="s">
        <v>4581</v>
      </c>
      <c r="C6440" s="424" t="str">
        <f t="shared" si="274"/>
        <v>CITIRAMA - Viagens e Turismo,  S.A.</v>
      </c>
      <c r="D6440" t="s">
        <v>629</v>
      </c>
      <c r="F6440" t="s">
        <v>620</v>
      </c>
      <c r="G6440" s="89">
        <v>2014</v>
      </c>
      <c r="H6440" s="313" t="s">
        <v>734</v>
      </c>
      <c r="I6440" s="311" t="str">
        <f t="shared" si="277"/>
        <v>Pesado de Passageiros M3:  : Gasóleo : E5</v>
      </c>
      <c r="J6440" s="422">
        <v>63</v>
      </c>
      <c r="K6440" s="422">
        <v>2023</v>
      </c>
      <c r="L6440">
        <v>10140.73</v>
      </c>
      <c r="M6440" t="s">
        <v>630</v>
      </c>
      <c r="N6440" s="131">
        <v>9018.9600000000009</v>
      </c>
      <c r="O6440" s="436">
        <f t="shared" si="276"/>
        <v>568194.4800000001</v>
      </c>
      <c r="P6440" s="89">
        <v>3048</v>
      </c>
      <c r="Q6440" s="422" t="s">
        <v>47</v>
      </c>
      <c r="R6440" s="422" t="s">
        <v>1869</v>
      </c>
      <c r="S6440" s="422" t="s">
        <v>1861</v>
      </c>
      <c r="T6440" t="s">
        <v>5828</v>
      </c>
      <c r="U6440" s="422" t="s">
        <v>1953</v>
      </c>
      <c r="V6440" s="422" t="s">
        <v>2813</v>
      </c>
    </row>
    <row r="6441" spans="1:22" ht="15.75" thickBot="1" x14ac:dyDescent="0.3">
      <c r="A6441" t="s">
        <v>4581</v>
      </c>
      <c r="B6441" t="s">
        <v>4581</v>
      </c>
      <c r="C6441" s="424" t="str">
        <f t="shared" si="274"/>
        <v>CITIRAMA - Viagens e Turismo,  S.A.</v>
      </c>
      <c r="D6441" t="s">
        <v>629</v>
      </c>
      <c r="F6441" t="s">
        <v>620</v>
      </c>
      <c r="G6441" s="89">
        <v>2017</v>
      </c>
      <c r="H6441" s="313" t="s">
        <v>733</v>
      </c>
      <c r="I6441" s="311" t="str">
        <f t="shared" si="277"/>
        <v>Pesado de Passageiros M3:  : Gasóleo : E6</v>
      </c>
      <c r="J6441" s="422">
        <v>63</v>
      </c>
      <c r="K6441" s="422">
        <v>2023</v>
      </c>
      <c r="L6441">
        <v>22790.92</v>
      </c>
      <c r="M6441" t="s">
        <v>630</v>
      </c>
      <c r="N6441" s="131">
        <v>19491.730000000003</v>
      </c>
      <c r="O6441" s="436">
        <f t="shared" si="276"/>
        <v>1227978.9900000002</v>
      </c>
      <c r="P6441" s="89">
        <v>3051</v>
      </c>
      <c r="Q6441" s="422" t="s">
        <v>47</v>
      </c>
      <c r="R6441" s="422" t="s">
        <v>1869</v>
      </c>
      <c r="S6441" s="422" t="s">
        <v>1861</v>
      </c>
      <c r="T6441" t="s">
        <v>5828</v>
      </c>
      <c r="U6441" s="422" t="s">
        <v>1953</v>
      </c>
      <c r="V6441" s="422" t="s">
        <v>2813</v>
      </c>
    </row>
    <row r="6442" spans="1:22" ht="15.75" thickBot="1" x14ac:dyDescent="0.3">
      <c r="A6442" t="s">
        <v>4581</v>
      </c>
      <c r="B6442" t="s">
        <v>4581</v>
      </c>
      <c r="C6442" s="424" t="str">
        <f t="shared" si="274"/>
        <v>CITIRAMA - Viagens e Turismo,  S.A.</v>
      </c>
      <c r="D6442" t="s">
        <v>629</v>
      </c>
      <c r="F6442" t="s">
        <v>620</v>
      </c>
      <c r="G6442" s="89">
        <v>2017</v>
      </c>
      <c r="H6442" s="313" t="s">
        <v>733</v>
      </c>
      <c r="I6442" s="311" t="str">
        <f t="shared" si="277"/>
        <v>Pesado de Passageiros M3:  : Gasóleo : E6</v>
      </c>
      <c r="J6442" s="422">
        <v>63</v>
      </c>
      <c r="K6442" s="422">
        <v>2023</v>
      </c>
      <c r="L6442">
        <v>21489.87</v>
      </c>
      <c r="M6442" t="s">
        <v>630</v>
      </c>
      <c r="N6442" s="131">
        <v>18382.420000000002</v>
      </c>
      <c r="O6442" s="436">
        <f t="shared" si="276"/>
        <v>1158092.4600000002</v>
      </c>
      <c r="P6442" s="89">
        <v>3052</v>
      </c>
      <c r="Q6442" s="422" t="s">
        <v>47</v>
      </c>
      <c r="R6442" s="422" t="s">
        <v>1869</v>
      </c>
      <c r="S6442" s="422" t="s">
        <v>1861</v>
      </c>
      <c r="T6442" t="s">
        <v>5828</v>
      </c>
      <c r="U6442" s="422" t="s">
        <v>1953</v>
      </c>
      <c r="V6442" s="422" t="s">
        <v>2813</v>
      </c>
    </row>
    <row r="6443" spans="1:22" ht="15.75" thickBot="1" x14ac:dyDescent="0.3">
      <c r="A6443" t="s">
        <v>4581</v>
      </c>
      <c r="B6443" t="s">
        <v>4581</v>
      </c>
      <c r="C6443" s="424" t="str">
        <f t="shared" si="274"/>
        <v>CITIRAMA - Viagens e Turismo,  S.A.</v>
      </c>
      <c r="D6443" t="s">
        <v>629</v>
      </c>
      <c r="F6443" t="s">
        <v>620</v>
      </c>
      <c r="G6443" s="89">
        <v>2017</v>
      </c>
      <c r="H6443" s="313" t="s">
        <v>733</v>
      </c>
      <c r="I6443" s="311" t="str">
        <f t="shared" si="277"/>
        <v>Pesado de Passageiros M3:  : Gasóleo : E6</v>
      </c>
      <c r="J6443" s="422">
        <v>21</v>
      </c>
      <c r="K6443" s="422">
        <v>2023</v>
      </c>
      <c r="L6443">
        <v>5874.9700000000012</v>
      </c>
      <c r="M6443" t="s">
        <v>630</v>
      </c>
      <c r="N6443" s="131">
        <v>4817.8200000000006</v>
      </c>
      <c r="O6443" s="436">
        <f t="shared" si="276"/>
        <v>101174.22000000002</v>
      </c>
      <c r="P6443" s="89">
        <v>3053</v>
      </c>
      <c r="Q6443" s="422" t="s">
        <v>47</v>
      </c>
      <c r="R6443" s="422" t="s">
        <v>1869</v>
      </c>
      <c r="S6443" s="422" t="s">
        <v>1861</v>
      </c>
      <c r="T6443" t="s">
        <v>5828</v>
      </c>
      <c r="U6443" s="422" t="s">
        <v>1953</v>
      </c>
      <c r="V6443" s="422" t="s">
        <v>2813</v>
      </c>
    </row>
    <row r="6444" spans="1:22" ht="15.75" thickBot="1" x14ac:dyDescent="0.3">
      <c r="A6444" t="s">
        <v>4581</v>
      </c>
      <c r="B6444" t="s">
        <v>4581</v>
      </c>
      <c r="C6444" s="424" t="str">
        <f t="shared" si="274"/>
        <v>CITIRAMA - Viagens e Turismo,  S.A.</v>
      </c>
      <c r="D6444" t="s">
        <v>629</v>
      </c>
      <c r="F6444" t="s">
        <v>620</v>
      </c>
      <c r="G6444" s="89">
        <v>2017</v>
      </c>
      <c r="H6444" s="313" t="s">
        <v>733</v>
      </c>
      <c r="I6444" s="311" t="str">
        <f t="shared" si="277"/>
        <v>Pesado de Passageiros M3:  : Gasóleo : E6</v>
      </c>
      <c r="J6444" s="422">
        <v>21</v>
      </c>
      <c r="K6444" s="422">
        <v>2023</v>
      </c>
      <c r="L6444">
        <v>6142.61</v>
      </c>
      <c r="M6444" t="s">
        <v>630</v>
      </c>
      <c r="N6444" s="131">
        <v>5286.37</v>
      </c>
      <c r="O6444" s="436">
        <f t="shared" si="276"/>
        <v>111013.77</v>
      </c>
      <c r="P6444" s="89">
        <v>3054</v>
      </c>
      <c r="Q6444" s="422" t="s">
        <v>47</v>
      </c>
      <c r="R6444" s="422" t="s">
        <v>1869</v>
      </c>
      <c r="S6444" s="422" t="s">
        <v>1861</v>
      </c>
      <c r="T6444" t="s">
        <v>5828</v>
      </c>
      <c r="U6444" s="422" t="s">
        <v>1953</v>
      </c>
      <c r="V6444" s="422" t="s">
        <v>2813</v>
      </c>
    </row>
    <row r="6445" spans="1:22" ht="15.75" thickBot="1" x14ac:dyDescent="0.3">
      <c r="A6445" t="s">
        <v>4581</v>
      </c>
      <c r="B6445" t="s">
        <v>4581</v>
      </c>
      <c r="C6445" s="424" t="str">
        <f t="shared" si="274"/>
        <v>CITIRAMA - Viagens e Turismo,  S.A.</v>
      </c>
      <c r="D6445" t="s">
        <v>629</v>
      </c>
      <c r="F6445" t="s">
        <v>620</v>
      </c>
      <c r="G6445" s="89">
        <v>2019</v>
      </c>
      <c r="H6445" s="313" t="s">
        <v>733</v>
      </c>
      <c r="I6445" s="311" t="str">
        <f t="shared" si="277"/>
        <v>Pesado de Passageiros M3:  : Gasóleo : E6</v>
      </c>
      <c r="J6445" s="422">
        <v>21</v>
      </c>
      <c r="K6445" s="422">
        <v>2023</v>
      </c>
      <c r="L6445">
        <v>8200.659999999998</v>
      </c>
      <c r="M6445" t="s">
        <v>630</v>
      </c>
      <c r="N6445" s="131">
        <v>6979.94</v>
      </c>
      <c r="O6445" s="436">
        <f t="shared" si="276"/>
        <v>146578.74</v>
      </c>
      <c r="P6445" s="89">
        <v>3055</v>
      </c>
      <c r="Q6445" s="422" t="s">
        <v>47</v>
      </c>
      <c r="R6445" s="422" t="s">
        <v>1869</v>
      </c>
      <c r="S6445" s="422" t="s">
        <v>1861</v>
      </c>
      <c r="T6445" t="s">
        <v>5829</v>
      </c>
      <c r="U6445" s="422" t="s">
        <v>1953</v>
      </c>
      <c r="V6445" s="422" t="s">
        <v>2813</v>
      </c>
    </row>
    <row r="6446" spans="1:22" ht="15.75" thickBot="1" x14ac:dyDescent="0.3">
      <c r="A6446" t="s">
        <v>4581</v>
      </c>
      <c r="B6446" t="s">
        <v>4581</v>
      </c>
      <c r="C6446" s="424" t="str">
        <f t="shared" si="274"/>
        <v>CITIRAMA - Viagens e Turismo,  S.A.</v>
      </c>
      <c r="D6446" t="s">
        <v>629</v>
      </c>
      <c r="F6446" t="s">
        <v>620</v>
      </c>
      <c r="G6446" s="89">
        <v>2019</v>
      </c>
      <c r="H6446" s="313" t="s">
        <v>733</v>
      </c>
      <c r="I6446" s="311" t="str">
        <f t="shared" si="277"/>
        <v>Pesado de Passageiros M3:  : Gasóleo : E6</v>
      </c>
      <c r="J6446" s="422">
        <v>21</v>
      </c>
      <c r="K6446" s="422">
        <v>2023</v>
      </c>
      <c r="L6446">
        <v>8680.9699999999993</v>
      </c>
      <c r="M6446" t="s">
        <v>630</v>
      </c>
      <c r="N6446" s="131">
        <v>7378.5999999999985</v>
      </c>
      <c r="O6446" s="436">
        <f t="shared" si="276"/>
        <v>154950.59999999998</v>
      </c>
      <c r="P6446" s="89">
        <v>3056</v>
      </c>
      <c r="Q6446" s="422" t="s">
        <v>47</v>
      </c>
      <c r="R6446" s="422" t="s">
        <v>1869</v>
      </c>
      <c r="S6446" s="422" t="s">
        <v>1861</v>
      </c>
      <c r="T6446" t="s">
        <v>5829</v>
      </c>
      <c r="U6446" s="422" t="s">
        <v>1953</v>
      </c>
      <c r="V6446" s="422" t="s">
        <v>2813</v>
      </c>
    </row>
    <row r="6447" spans="1:22" ht="15.75" thickBot="1" x14ac:dyDescent="0.3">
      <c r="A6447" t="s">
        <v>4581</v>
      </c>
      <c r="B6447" t="s">
        <v>4581</v>
      </c>
      <c r="C6447" s="424" t="str">
        <f t="shared" si="274"/>
        <v>CITIRAMA - Viagens e Turismo,  S.A.</v>
      </c>
      <c r="D6447" t="s">
        <v>629</v>
      </c>
      <c r="F6447" t="s">
        <v>620</v>
      </c>
      <c r="G6447" s="89">
        <v>2015</v>
      </c>
      <c r="H6447" s="313" t="s">
        <v>734</v>
      </c>
      <c r="I6447" s="311" t="str">
        <f t="shared" si="277"/>
        <v>Pesado de Passageiros M3:  : Gasóleo : E5</v>
      </c>
      <c r="J6447" s="422">
        <v>21</v>
      </c>
      <c r="K6447" s="422">
        <v>2023</v>
      </c>
      <c r="L6447">
        <v>152.79000000000002</v>
      </c>
      <c r="M6447" t="s">
        <v>630</v>
      </c>
      <c r="N6447" s="131">
        <v>125.3</v>
      </c>
      <c r="O6447" s="436">
        <f t="shared" si="276"/>
        <v>2631.2999999999997</v>
      </c>
      <c r="P6447" s="89">
        <v>3057</v>
      </c>
      <c r="Q6447" s="422" t="s">
        <v>47</v>
      </c>
      <c r="R6447" s="422" t="s">
        <v>1869</v>
      </c>
      <c r="S6447" s="422" t="s">
        <v>1861</v>
      </c>
      <c r="T6447" t="s">
        <v>5829</v>
      </c>
      <c r="U6447" s="422" t="s">
        <v>1953</v>
      </c>
      <c r="V6447" s="422" t="s">
        <v>2813</v>
      </c>
    </row>
    <row r="6448" spans="1:22" ht="15.75" thickBot="1" x14ac:dyDescent="0.3">
      <c r="A6448" t="s">
        <v>4581</v>
      </c>
      <c r="B6448" t="s">
        <v>4581</v>
      </c>
      <c r="C6448" s="424" t="str">
        <f t="shared" si="274"/>
        <v>CITIRAMA - Viagens e Turismo,  S.A.</v>
      </c>
      <c r="D6448" t="s">
        <v>629</v>
      </c>
      <c r="F6448" t="s">
        <v>620</v>
      </c>
      <c r="G6448" s="89">
        <v>2007</v>
      </c>
      <c r="H6448" s="313" t="s">
        <v>731</v>
      </c>
      <c r="I6448" s="311" t="str">
        <f t="shared" si="277"/>
        <v>Pesado de Passageiros M3:  : Gasóleo : E4</v>
      </c>
      <c r="J6448" s="422">
        <v>55</v>
      </c>
      <c r="K6448" s="422">
        <v>2023</v>
      </c>
      <c r="L6448">
        <v>21614.91</v>
      </c>
      <c r="M6448" t="s">
        <v>630</v>
      </c>
      <c r="N6448" s="131">
        <v>18427.71</v>
      </c>
      <c r="O6448" s="436">
        <f t="shared" si="276"/>
        <v>1013524.0499999999</v>
      </c>
      <c r="P6448" s="89">
        <v>3080</v>
      </c>
      <c r="Q6448" s="422" t="s">
        <v>47</v>
      </c>
      <c r="R6448" s="422" t="s">
        <v>1869</v>
      </c>
      <c r="S6448" s="422" t="s">
        <v>1861</v>
      </c>
      <c r="T6448" t="s">
        <v>5829</v>
      </c>
      <c r="U6448" s="422" t="s">
        <v>1953</v>
      </c>
      <c r="V6448" s="422" t="s">
        <v>2813</v>
      </c>
    </row>
    <row r="6449" spans="1:22" ht="15.75" thickBot="1" x14ac:dyDescent="0.3">
      <c r="A6449" t="s">
        <v>4581</v>
      </c>
      <c r="B6449" t="s">
        <v>4581</v>
      </c>
      <c r="C6449" s="424" t="str">
        <f t="shared" si="274"/>
        <v>CITIRAMA - Viagens e Turismo,  S.A.</v>
      </c>
      <c r="D6449" t="s">
        <v>629</v>
      </c>
      <c r="F6449" t="s">
        <v>620</v>
      </c>
      <c r="G6449" s="89">
        <v>2001</v>
      </c>
      <c r="H6449" s="313" t="s">
        <v>732</v>
      </c>
      <c r="I6449" s="311" t="str">
        <f t="shared" si="277"/>
        <v>Pesado de Passageiros M3:  : Gasóleo : E3</v>
      </c>
      <c r="J6449" s="422">
        <v>21</v>
      </c>
      <c r="K6449" s="422">
        <v>2023</v>
      </c>
      <c r="L6449">
        <v>627.42999999999995</v>
      </c>
      <c r="M6449" t="s">
        <v>630</v>
      </c>
      <c r="N6449" s="131">
        <v>535.67999999999995</v>
      </c>
      <c r="O6449" s="436">
        <f t="shared" si="276"/>
        <v>11249.279999999999</v>
      </c>
      <c r="P6449" s="89">
        <v>3085</v>
      </c>
      <c r="Q6449" s="422" t="s">
        <v>47</v>
      </c>
      <c r="R6449" s="422" t="s">
        <v>1869</v>
      </c>
      <c r="S6449" s="422" t="s">
        <v>1861</v>
      </c>
      <c r="T6449" t="s">
        <v>5829</v>
      </c>
      <c r="U6449" s="422" t="s">
        <v>1953</v>
      </c>
      <c r="V6449" s="422" t="s">
        <v>2813</v>
      </c>
    </row>
    <row r="6450" spans="1:22" ht="15.75" thickBot="1" x14ac:dyDescent="0.3">
      <c r="A6450" t="s">
        <v>4581</v>
      </c>
      <c r="B6450" t="s">
        <v>4581</v>
      </c>
      <c r="C6450" s="424" t="str">
        <f t="shared" ref="C6450:C6513" si="278">IF(A6450=B6450,B6450,RIGHT(A6450,LEN(A6450)-LEN(B6450)-3))</f>
        <v>CITIRAMA - Viagens e Turismo,  S.A.</v>
      </c>
      <c r="D6450" t="s">
        <v>629</v>
      </c>
      <c r="F6450" t="s">
        <v>620</v>
      </c>
      <c r="G6450" s="89">
        <v>2016</v>
      </c>
      <c r="H6450" s="313" t="s">
        <v>733</v>
      </c>
      <c r="I6450" s="311" t="str">
        <f t="shared" si="277"/>
        <v>Pesado de Passageiros M3:  : Gasóleo : E6</v>
      </c>
      <c r="J6450" s="422">
        <v>21</v>
      </c>
      <c r="K6450" s="422">
        <v>2023</v>
      </c>
      <c r="L6450">
        <v>5682.8099999999995</v>
      </c>
      <c r="M6450" t="s">
        <v>630</v>
      </c>
      <c r="N6450" s="131">
        <v>4851.8100000000004</v>
      </c>
      <c r="O6450" s="436">
        <f t="shared" si="276"/>
        <v>101888.01000000001</v>
      </c>
      <c r="P6450" s="89">
        <v>3086</v>
      </c>
      <c r="Q6450" s="422" t="s">
        <v>47</v>
      </c>
      <c r="R6450" s="422" t="s">
        <v>1869</v>
      </c>
      <c r="S6450" s="422" t="s">
        <v>1861</v>
      </c>
      <c r="T6450" t="s">
        <v>5823</v>
      </c>
      <c r="U6450" s="422" t="s">
        <v>1953</v>
      </c>
      <c r="V6450" s="422" t="s">
        <v>2813</v>
      </c>
    </row>
    <row r="6451" spans="1:22" ht="15.75" thickBot="1" x14ac:dyDescent="0.3">
      <c r="A6451" t="s">
        <v>4581</v>
      </c>
      <c r="B6451" t="s">
        <v>4581</v>
      </c>
      <c r="C6451" s="424" t="str">
        <f t="shared" si="278"/>
        <v>CITIRAMA - Viagens e Turismo,  S.A.</v>
      </c>
      <c r="D6451" t="s">
        <v>629</v>
      </c>
      <c r="F6451" t="s">
        <v>620</v>
      </c>
      <c r="G6451" s="89">
        <v>2016</v>
      </c>
      <c r="H6451" s="313" t="s">
        <v>733</v>
      </c>
      <c r="I6451" s="311" t="str">
        <f t="shared" si="277"/>
        <v>Pesado de Passageiros M3:  : Gasóleo : E6</v>
      </c>
      <c r="J6451" s="422">
        <v>21</v>
      </c>
      <c r="K6451" s="422">
        <v>2023</v>
      </c>
      <c r="L6451">
        <v>5673.2100000000009</v>
      </c>
      <c r="M6451" t="s">
        <v>630</v>
      </c>
      <c r="N6451" s="131">
        <v>4784.42</v>
      </c>
      <c r="O6451" s="436">
        <f t="shared" si="276"/>
        <v>100472.82</v>
      </c>
      <c r="P6451" s="89">
        <v>3087</v>
      </c>
      <c r="Q6451" s="422" t="s">
        <v>47</v>
      </c>
      <c r="R6451" s="422" t="s">
        <v>1869</v>
      </c>
      <c r="S6451" s="422" t="s">
        <v>1861</v>
      </c>
      <c r="T6451" t="s">
        <v>5829</v>
      </c>
      <c r="U6451" s="422" t="s">
        <v>1953</v>
      </c>
      <c r="V6451" s="422" t="s">
        <v>2813</v>
      </c>
    </row>
    <row r="6452" spans="1:22" ht="15.75" thickBot="1" x14ac:dyDescent="0.3">
      <c r="A6452" t="s">
        <v>4581</v>
      </c>
      <c r="B6452" t="s">
        <v>4581</v>
      </c>
      <c r="C6452" s="424" t="str">
        <f t="shared" si="278"/>
        <v>CITIRAMA - Viagens e Turismo,  S.A.</v>
      </c>
      <c r="D6452" t="s">
        <v>629</v>
      </c>
      <c r="F6452" t="s">
        <v>620</v>
      </c>
      <c r="G6452" s="89">
        <v>2011</v>
      </c>
      <c r="H6452" s="313" t="s">
        <v>731</v>
      </c>
      <c r="I6452" s="311" t="str">
        <f t="shared" si="277"/>
        <v>Pesado de Passageiros M3:  : Gasóleo : E4</v>
      </c>
      <c r="J6452" s="422">
        <v>21</v>
      </c>
      <c r="K6452" s="422">
        <v>2023</v>
      </c>
      <c r="L6452">
        <v>1027.8899999999999</v>
      </c>
      <c r="M6452" t="s">
        <v>630</v>
      </c>
      <c r="N6452" s="131">
        <v>879.61000000000013</v>
      </c>
      <c r="O6452" s="436">
        <f t="shared" si="276"/>
        <v>18471.810000000001</v>
      </c>
      <c r="P6452" s="89">
        <v>3089</v>
      </c>
      <c r="Q6452" s="422" t="s">
        <v>47</v>
      </c>
      <c r="R6452" s="422" t="s">
        <v>1869</v>
      </c>
      <c r="S6452" s="422" t="s">
        <v>1861</v>
      </c>
      <c r="T6452" t="s">
        <v>5829</v>
      </c>
      <c r="U6452" s="422" t="s">
        <v>1953</v>
      </c>
      <c r="V6452" s="422" t="s">
        <v>2813</v>
      </c>
    </row>
    <row r="6453" spans="1:22" ht="15.75" thickBot="1" x14ac:dyDescent="0.3">
      <c r="A6453" t="s">
        <v>4581</v>
      </c>
      <c r="B6453" t="s">
        <v>4581</v>
      </c>
      <c r="C6453" s="424" t="str">
        <f t="shared" si="278"/>
        <v>CITIRAMA - Viagens e Turismo,  S.A.</v>
      </c>
      <c r="D6453" t="s">
        <v>629</v>
      </c>
      <c r="F6453" t="s">
        <v>620</v>
      </c>
      <c r="G6453" s="89">
        <v>2014</v>
      </c>
      <c r="H6453" s="313" t="s">
        <v>734</v>
      </c>
      <c r="I6453" s="311" t="str">
        <f t="shared" si="277"/>
        <v>Pesado de Passageiros M3:  : Gasóleo : E5</v>
      </c>
      <c r="J6453" s="422">
        <v>19</v>
      </c>
      <c r="K6453" s="422">
        <v>2023</v>
      </c>
      <c r="L6453">
        <v>4704.7200000000012</v>
      </c>
      <c r="M6453" t="s">
        <v>630</v>
      </c>
      <c r="N6453" s="131">
        <v>3925.42</v>
      </c>
      <c r="O6453" s="436">
        <f t="shared" si="276"/>
        <v>74582.98</v>
      </c>
      <c r="P6453" s="89">
        <v>3092</v>
      </c>
      <c r="Q6453" s="422" t="s">
        <v>47</v>
      </c>
      <c r="R6453" s="422" t="s">
        <v>1869</v>
      </c>
      <c r="S6453" s="422" t="s">
        <v>1861</v>
      </c>
      <c r="T6453" t="s">
        <v>5829</v>
      </c>
      <c r="U6453" s="422" t="s">
        <v>1953</v>
      </c>
      <c r="V6453" s="422" t="s">
        <v>2813</v>
      </c>
    </row>
    <row r="6454" spans="1:22" ht="15.75" thickBot="1" x14ac:dyDescent="0.3">
      <c r="A6454" t="s">
        <v>4581</v>
      </c>
      <c r="B6454" t="s">
        <v>4581</v>
      </c>
      <c r="C6454" s="424" t="str">
        <f t="shared" si="278"/>
        <v>CITIRAMA - Viagens e Turismo,  S.A.</v>
      </c>
      <c r="D6454" t="s">
        <v>629</v>
      </c>
      <c r="F6454" t="s">
        <v>620</v>
      </c>
      <c r="G6454" s="89">
        <v>2014</v>
      </c>
      <c r="H6454" s="313" t="s">
        <v>734</v>
      </c>
      <c r="I6454" s="311" t="str">
        <f t="shared" si="277"/>
        <v>Pesado de Passageiros M3:  : Gasóleo : E5</v>
      </c>
      <c r="J6454" s="422">
        <v>16</v>
      </c>
      <c r="K6454" s="422">
        <v>2023</v>
      </c>
      <c r="L6454">
        <v>1398.01</v>
      </c>
      <c r="M6454" t="s">
        <v>630</v>
      </c>
      <c r="N6454" s="131">
        <v>1216.6599999999999</v>
      </c>
      <c r="O6454" s="436">
        <f t="shared" si="276"/>
        <v>19466.559999999998</v>
      </c>
      <c r="P6454" s="89">
        <v>3093</v>
      </c>
      <c r="Q6454" s="422" t="s">
        <v>47</v>
      </c>
      <c r="R6454" s="422" t="s">
        <v>1869</v>
      </c>
      <c r="S6454" s="422" t="s">
        <v>1861</v>
      </c>
      <c r="T6454" t="s">
        <v>5829</v>
      </c>
      <c r="U6454" s="422" t="s">
        <v>1953</v>
      </c>
      <c r="V6454" s="422" t="s">
        <v>2813</v>
      </c>
    </row>
    <row r="6455" spans="1:22" ht="15.75" thickBot="1" x14ac:dyDescent="0.3">
      <c r="A6455" t="s">
        <v>4581</v>
      </c>
      <c r="B6455" t="s">
        <v>4581</v>
      </c>
      <c r="C6455" s="424" t="str">
        <f t="shared" si="278"/>
        <v>CITIRAMA - Viagens e Turismo,  S.A.</v>
      </c>
      <c r="D6455" t="s">
        <v>629</v>
      </c>
      <c r="F6455" t="s">
        <v>620</v>
      </c>
      <c r="G6455" s="89">
        <v>2015</v>
      </c>
      <c r="H6455" s="313" t="s">
        <v>734</v>
      </c>
      <c r="I6455" s="311" t="str">
        <f t="shared" si="277"/>
        <v>Pesado de Passageiros M3:  : Gasóleo : E5</v>
      </c>
      <c r="J6455" s="422">
        <v>21</v>
      </c>
      <c r="K6455" s="422">
        <v>2023</v>
      </c>
      <c r="L6455">
        <v>4659.8099999999995</v>
      </c>
      <c r="M6455" t="s">
        <v>630</v>
      </c>
      <c r="N6455" s="131">
        <v>4024.07</v>
      </c>
      <c r="O6455" s="436">
        <f t="shared" si="276"/>
        <v>84505.47</v>
      </c>
      <c r="P6455" s="89">
        <v>3094</v>
      </c>
      <c r="Q6455" s="422" t="s">
        <v>47</v>
      </c>
      <c r="R6455" s="422" t="s">
        <v>1869</v>
      </c>
      <c r="S6455" s="422" t="s">
        <v>1861</v>
      </c>
      <c r="T6455" t="s">
        <v>5823</v>
      </c>
      <c r="U6455" s="422" t="s">
        <v>1953</v>
      </c>
      <c r="V6455" s="422" t="s">
        <v>2813</v>
      </c>
    </row>
    <row r="6456" spans="1:22" ht="15.75" thickBot="1" x14ac:dyDescent="0.3">
      <c r="A6456" t="s">
        <v>4581</v>
      </c>
      <c r="B6456" t="s">
        <v>4581</v>
      </c>
      <c r="C6456" s="424" t="str">
        <f t="shared" si="278"/>
        <v>CITIRAMA - Viagens e Turismo,  S.A.</v>
      </c>
      <c r="D6456" t="s">
        <v>629</v>
      </c>
      <c r="F6456" t="s">
        <v>620</v>
      </c>
      <c r="G6456" s="89">
        <v>2015</v>
      </c>
      <c r="H6456" s="313" t="s">
        <v>734</v>
      </c>
      <c r="I6456" s="311" t="str">
        <f t="shared" si="277"/>
        <v>Pesado de Passageiros M3:  : Gasóleo : E5</v>
      </c>
      <c r="J6456" s="422">
        <v>63</v>
      </c>
      <c r="K6456" s="422">
        <v>2023</v>
      </c>
      <c r="L6456">
        <v>19698.600000000002</v>
      </c>
      <c r="M6456" t="s">
        <v>630</v>
      </c>
      <c r="N6456" s="131">
        <v>16835.960000000003</v>
      </c>
      <c r="O6456" s="436">
        <f t="shared" si="276"/>
        <v>1060665.4800000002</v>
      </c>
      <c r="P6456" s="89">
        <v>3095</v>
      </c>
      <c r="Q6456" s="422" t="s">
        <v>47</v>
      </c>
      <c r="R6456" s="422" t="s">
        <v>1869</v>
      </c>
      <c r="S6456" s="422" t="s">
        <v>1861</v>
      </c>
      <c r="T6456" t="s">
        <v>5823</v>
      </c>
      <c r="U6456" s="422" t="s">
        <v>1953</v>
      </c>
      <c r="V6456" s="422" t="s">
        <v>2813</v>
      </c>
    </row>
    <row r="6457" spans="1:22" ht="15.75" thickBot="1" x14ac:dyDescent="0.3">
      <c r="A6457" t="s">
        <v>4581</v>
      </c>
      <c r="B6457" t="s">
        <v>4581</v>
      </c>
      <c r="C6457" s="424" t="str">
        <f t="shared" si="278"/>
        <v>CITIRAMA - Viagens e Turismo,  S.A.</v>
      </c>
      <c r="D6457" t="s">
        <v>629</v>
      </c>
      <c r="F6457" t="s">
        <v>620</v>
      </c>
      <c r="G6457" s="89">
        <v>2015</v>
      </c>
      <c r="H6457" s="313" t="s">
        <v>734</v>
      </c>
      <c r="I6457" s="311" t="str">
        <f t="shared" si="277"/>
        <v>Pesado de Passageiros M3:  : Gasóleo : E5</v>
      </c>
      <c r="J6457" s="422">
        <v>63</v>
      </c>
      <c r="K6457" s="422">
        <v>2023</v>
      </c>
      <c r="L6457">
        <v>19761.100000000002</v>
      </c>
      <c r="M6457" t="s">
        <v>630</v>
      </c>
      <c r="N6457" s="131">
        <v>17068.349999999999</v>
      </c>
      <c r="O6457" s="436">
        <f t="shared" si="276"/>
        <v>1075306.0499999998</v>
      </c>
      <c r="P6457" s="89">
        <v>3096</v>
      </c>
      <c r="Q6457" s="422" t="s">
        <v>47</v>
      </c>
      <c r="R6457" s="422" t="s">
        <v>1869</v>
      </c>
      <c r="S6457" s="422" t="s">
        <v>1861</v>
      </c>
      <c r="T6457" t="s">
        <v>5829</v>
      </c>
      <c r="U6457" s="422" t="s">
        <v>1953</v>
      </c>
      <c r="V6457" s="422" t="s">
        <v>2813</v>
      </c>
    </row>
    <row r="6458" spans="1:22" ht="15.75" thickBot="1" x14ac:dyDescent="0.3">
      <c r="A6458" t="s">
        <v>4581</v>
      </c>
      <c r="B6458" t="s">
        <v>4581</v>
      </c>
      <c r="C6458" s="424" t="str">
        <f t="shared" si="278"/>
        <v>CITIRAMA - Viagens e Turismo,  S.A.</v>
      </c>
      <c r="D6458" t="s">
        <v>629</v>
      </c>
      <c r="F6458" t="s">
        <v>620</v>
      </c>
      <c r="G6458" s="89">
        <v>2016</v>
      </c>
      <c r="H6458" s="313" t="s">
        <v>733</v>
      </c>
      <c r="I6458" s="311" t="str">
        <f t="shared" si="277"/>
        <v>Pesado de Passageiros M3:  : Gasóleo : E6</v>
      </c>
      <c r="J6458" s="422">
        <v>63</v>
      </c>
      <c r="K6458" s="422">
        <v>2023</v>
      </c>
      <c r="L6458">
        <v>14775.71</v>
      </c>
      <c r="M6458" t="s">
        <v>630</v>
      </c>
      <c r="N6458" s="131">
        <v>12481.7</v>
      </c>
      <c r="O6458" s="436">
        <f t="shared" si="276"/>
        <v>786347.10000000009</v>
      </c>
      <c r="P6458" s="89">
        <v>3097</v>
      </c>
      <c r="Q6458" s="422" t="s">
        <v>47</v>
      </c>
      <c r="R6458" s="422" t="s">
        <v>1869</v>
      </c>
      <c r="S6458" s="422" t="s">
        <v>1861</v>
      </c>
      <c r="T6458" t="s">
        <v>5828</v>
      </c>
      <c r="U6458" s="422" t="s">
        <v>1953</v>
      </c>
      <c r="V6458" s="422" t="s">
        <v>2813</v>
      </c>
    </row>
    <row r="6459" spans="1:22" ht="15.75" thickBot="1" x14ac:dyDescent="0.3">
      <c r="A6459" t="s">
        <v>4581</v>
      </c>
      <c r="B6459" t="s">
        <v>4581</v>
      </c>
      <c r="C6459" s="424" t="str">
        <f t="shared" si="278"/>
        <v>CITIRAMA - Viagens e Turismo,  S.A.</v>
      </c>
      <c r="D6459" t="s">
        <v>629</v>
      </c>
      <c r="F6459" t="s">
        <v>620</v>
      </c>
      <c r="G6459" s="89">
        <v>2016</v>
      </c>
      <c r="H6459" s="313" t="s">
        <v>733</v>
      </c>
      <c r="I6459" s="311" t="str">
        <f t="shared" si="277"/>
        <v>Pesado de Passageiros M3:  : Gasóleo : E6</v>
      </c>
      <c r="J6459" s="422">
        <v>63</v>
      </c>
      <c r="K6459" s="422">
        <v>2023</v>
      </c>
      <c r="L6459">
        <v>17222.550000000003</v>
      </c>
      <c r="M6459" t="s">
        <v>630</v>
      </c>
      <c r="N6459" s="131">
        <v>14527.040000000003</v>
      </c>
      <c r="O6459" s="436">
        <f t="shared" si="276"/>
        <v>915203.52000000014</v>
      </c>
      <c r="P6459" s="89">
        <v>3098</v>
      </c>
      <c r="Q6459" s="422" t="s">
        <v>47</v>
      </c>
      <c r="R6459" s="422" t="s">
        <v>1869</v>
      </c>
      <c r="S6459" s="422" t="s">
        <v>1861</v>
      </c>
      <c r="T6459" t="s">
        <v>5828</v>
      </c>
      <c r="U6459" s="422" t="s">
        <v>1953</v>
      </c>
      <c r="V6459" s="422" t="s">
        <v>2813</v>
      </c>
    </row>
    <row r="6460" spans="1:22" ht="15.75" thickBot="1" x14ac:dyDescent="0.3">
      <c r="A6460" t="s">
        <v>4581</v>
      </c>
      <c r="B6460" t="s">
        <v>4581</v>
      </c>
      <c r="C6460" s="424" t="str">
        <f t="shared" si="278"/>
        <v>CITIRAMA - Viagens e Turismo,  S.A.</v>
      </c>
      <c r="D6460" t="s">
        <v>629</v>
      </c>
      <c r="F6460" t="s">
        <v>620</v>
      </c>
      <c r="G6460" s="89">
        <v>2017</v>
      </c>
      <c r="H6460" s="313" t="s">
        <v>733</v>
      </c>
      <c r="I6460" s="311" t="str">
        <f t="shared" si="277"/>
        <v>Pesado de Passageiros M3:  : Gasóleo : E6</v>
      </c>
      <c r="J6460" s="422">
        <v>19</v>
      </c>
      <c r="K6460" s="422">
        <v>2023</v>
      </c>
      <c r="L6460">
        <v>7468.25</v>
      </c>
      <c r="M6460" t="s">
        <v>630</v>
      </c>
      <c r="N6460" s="131">
        <v>6275.1299999999992</v>
      </c>
      <c r="O6460" s="436">
        <f t="shared" si="276"/>
        <v>119227.46999999999</v>
      </c>
      <c r="P6460" s="89">
        <v>3099</v>
      </c>
      <c r="Q6460" s="422" t="s">
        <v>47</v>
      </c>
      <c r="R6460" s="422" t="s">
        <v>1869</v>
      </c>
      <c r="S6460" s="422" t="s">
        <v>1861</v>
      </c>
      <c r="T6460" t="s">
        <v>5828</v>
      </c>
      <c r="U6460" s="422" t="s">
        <v>1953</v>
      </c>
      <c r="V6460" s="422" t="s">
        <v>2813</v>
      </c>
    </row>
    <row r="6461" spans="1:22" ht="15.75" thickBot="1" x14ac:dyDescent="0.3">
      <c r="A6461" t="s">
        <v>4581</v>
      </c>
      <c r="B6461" t="s">
        <v>4581</v>
      </c>
      <c r="C6461" s="424" t="str">
        <f t="shared" si="278"/>
        <v>CITIRAMA - Viagens e Turismo,  S.A.</v>
      </c>
      <c r="D6461" t="s">
        <v>629</v>
      </c>
      <c r="F6461" t="s">
        <v>620</v>
      </c>
      <c r="G6461" s="89">
        <v>2018</v>
      </c>
      <c r="H6461" s="313" t="s">
        <v>733</v>
      </c>
      <c r="I6461" s="311" t="str">
        <f t="shared" si="277"/>
        <v>Pesado de Passageiros M3:  : Gasóleo : E6</v>
      </c>
      <c r="J6461" s="422">
        <v>19</v>
      </c>
      <c r="K6461" s="422">
        <v>2023</v>
      </c>
      <c r="L6461">
        <v>8726.82</v>
      </c>
      <c r="M6461" t="s">
        <v>630</v>
      </c>
      <c r="N6461" s="131">
        <v>7291.8</v>
      </c>
      <c r="O6461" s="436">
        <f t="shared" si="276"/>
        <v>138544.20000000001</v>
      </c>
      <c r="P6461" s="89">
        <v>3100</v>
      </c>
      <c r="Q6461" s="422" t="s">
        <v>47</v>
      </c>
      <c r="R6461" s="422" t="s">
        <v>1869</v>
      </c>
      <c r="S6461" s="422" t="s">
        <v>1861</v>
      </c>
      <c r="T6461" t="s">
        <v>5828</v>
      </c>
      <c r="U6461" s="422" t="s">
        <v>1953</v>
      </c>
      <c r="V6461" s="422" t="s">
        <v>2813</v>
      </c>
    </row>
    <row r="6462" spans="1:22" ht="15.75" thickBot="1" x14ac:dyDescent="0.3">
      <c r="A6462" t="s">
        <v>4581</v>
      </c>
      <c r="B6462" t="s">
        <v>4581</v>
      </c>
      <c r="C6462" s="424" t="str">
        <f t="shared" si="278"/>
        <v>CITIRAMA - Viagens e Turismo,  S.A.</v>
      </c>
      <c r="D6462" t="s">
        <v>629</v>
      </c>
      <c r="F6462" t="s">
        <v>620</v>
      </c>
      <c r="G6462" s="89">
        <v>2018</v>
      </c>
      <c r="H6462" s="313" t="s">
        <v>733</v>
      </c>
      <c r="I6462" s="311" t="str">
        <f t="shared" si="277"/>
        <v>Pesado de Passageiros M3:  : Gasóleo : E6</v>
      </c>
      <c r="J6462" s="422">
        <v>63</v>
      </c>
      <c r="K6462" s="422">
        <v>2023</v>
      </c>
      <c r="L6462">
        <v>20475.21</v>
      </c>
      <c r="M6462" t="s">
        <v>630</v>
      </c>
      <c r="N6462" s="131">
        <v>17436.489999999998</v>
      </c>
      <c r="O6462" s="436">
        <f t="shared" si="276"/>
        <v>1098498.8699999999</v>
      </c>
      <c r="P6462" s="89">
        <v>3101</v>
      </c>
      <c r="Q6462" s="422" t="s">
        <v>47</v>
      </c>
      <c r="R6462" s="422" t="s">
        <v>1869</v>
      </c>
      <c r="S6462" s="422" t="s">
        <v>1861</v>
      </c>
      <c r="T6462" t="s">
        <v>5823</v>
      </c>
      <c r="U6462" s="422" t="s">
        <v>1953</v>
      </c>
      <c r="V6462" s="422" t="s">
        <v>2813</v>
      </c>
    </row>
    <row r="6463" spans="1:22" ht="15.75" thickBot="1" x14ac:dyDescent="0.3">
      <c r="A6463" t="s">
        <v>4581</v>
      </c>
      <c r="B6463" t="s">
        <v>4581</v>
      </c>
      <c r="C6463" s="424" t="str">
        <f t="shared" si="278"/>
        <v>CITIRAMA - Viagens e Turismo,  S.A.</v>
      </c>
      <c r="D6463" t="s">
        <v>629</v>
      </c>
      <c r="F6463" t="s">
        <v>620</v>
      </c>
      <c r="G6463" s="89">
        <v>2018</v>
      </c>
      <c r="H6463" s="313" t="s">
        <v>733</v>
      </c>
      <c r="I6463" s="311" t="str">
        <f t="shared" si="277"/>
        <v>Pesado de Passageiros M3:  : Gasóleo : E6</v>
      </c>
      <c r="J6463" s="422">
        <v>63</v>
      </c>
      <c r="K6463" s="422">
        <v>2023</v>
      </c>
      <c r="L6463">
        <v>19226.309999999998</v>
      </c>
      <c r="M6463" t="s">
        <v>630</v>
      </c>
      <c r="N6463" s="131">
        <v>16149.689999999999</v>
      </c>
      <c r="O6463" s="436">
        <f t="shared" si="276"/>
        <v>1017430.47</v>
      </c>
      <c r="P6463" s="89">
        <v>3102</v>
      </c>
      <c r="Q6463" s="422" t="s">
        <v>47</v>
      </c>
      <c r="R6463" s="422" t="s">
        <v>1869</v>
      </c>
      <c r="S6463" s="422" t="s">
        <v>1861</v>
      </c>
      <c r="T6463" t="s">
        <v>5823</v>
      </c>
      <c r="U6463" s="422" t="s">
        <v>1953</v>
      </c>
      <c r="V6463" s="422" t="s">
        <v>2813</v>
      </c>
    </row>
    <row r="6464" spans="1:22" ht="15.75" thickBot="1" x14ac:dyDescent="0.3">
      <c r="A6464" t="s">
        <v>4581</v>
      </c>
      <c r="B6464" t="s">
        <v>4581</v>
      </c>
      <c r="C6464" s="424" t="str">
        <f t="shared" si="278"/>
        <v>CITIRAMA - Viagens e Turismo,  S.A.</v>
      </c>
      <c r="D6464" t="s">
        <v>629</v>
      </c>
      <c r="F6464" t="s">
        <v>620</v>
      </c>
      <c r="G6464" s="89">
        <v>2018</v>
      </c>
      <c r="H6464" s="313" t="s">
        <v>733</v>
      </c>
      <c r="I6464" s="311" t="str">
        <f t="shared" si="277"/>
        <v>Pesado de Passageiros M3:  : Gasóleo : E6</v>
      </c>
      <c r="J6464" s="422">
        <v>21</v>
      </c>
      <c r="K6464" s="422">
        <v>2023</v>
      </c>
      <c r="L6464">
        <v>7744.1400000000021</v>
      </c>
      <c r="M6464" t="s">
        <v>630</v>
      </c>
      <c r="N6464" s="131">
        <v>6610.17</v>
      </c>
      <c r="O6464" s="436">
        <f t="shared" si="276"/>
        <v>138813.57</v>
      </c>
      <c r="P6464" s="89">
        <v>3103</v>
      </c>
      <c r="Q6464" s="422" t="s">
        <v>47</v>
      </c>
      <c r="R6464" s="422" t="s">
        <v>1869</v>
      </c>
      <c r="S6464" s="422" t="s">
        <v>1861</v>
      </c>
      <c r="T6464" t="s">
        <v>5828</v>
      </c>
      <c r="U6464" s="422" t="s">
        <v>1953</v>
      </c>
      <c r="V6464" s="422" t="s">
        <v>2813</v>
      </c>
    </row>
    <row r="6465" spans="1:22" ht="15.75" thickBot="1" x14ac:dyDescent="0.3">
      <c r="A6465" t="s">
        <v>4581</v>
      </c>
      <c r="B6465" t="s">
        <v>4581</v>
      </c>
      <c r="C6465" s="424" t="str">
        <f t="shared" si="278"/>
        <v>CITIRAMA - Viagens e Turismo,  S.A.</v>
      </c>
      <c r="D6465" t="s">
        <v>629</v>
      </c>
      <c r="F6465" t="s">
        <v>620</v>
      </c>
      <c r="G6465" s="89">
        <v>2018</v>
      </c>
      <c r="H6465" s="313" t="s">
        <v>733</v>
      </c>
      <c r="I6465" s="311" t="str">
        <f t="shared" si="277"/>
        <v>Pesado de Passageiros M3:  : Gasóleo : E6</v>
      </c>
      <c r="J6465" s="422">
        <v>35</v>
      </c>
      <c r="K6465" s="422">
        <v>2023</v>
      </c>
      <c r="L6465">
        <v>20450.7</v>
      </c>
      <c r="M6465" t="s">
        <v>630</v>
      </c>
      <c r="N6465" s="131">
        <v>17404.459999999995</v>
      </c>
      <c r="O6465" s="436">
        <f t="shared" si="276"/>
        <v>609156.09999999986</v>
      </c>
      <c r="P6465" s="89">
        <v>3104</v>
      </c>
      <c r="Q6465" s="422" t="s">
        <v>47</v>
      </c>
      <c r="R6465" s="422" t="s">
        <v>1869</v>
      </c>
      <c r="S6465" s="422" t="s">
        <v>1861</v>
      </c>
      <c r="T6465" t="s">
        <v>5828</v>
      </c>
      <c r="U6465" s="422" t="s">
        <v>1953</v>
      </c>
      <c r="V6465" s="422" t="s">
        <v>2813</v>
      </c>
    </row>
    <row r="6466" spans="1:22" ht="15.75" thickBot="1" x14ac:dyDescent="0.3">
      <c r="A6466" t="s">
        <v>4581</v>
      </c>
      <c r="B6466" t="s">
        <v>4581</v>
      </c>
      <c r="C6466" s="424" t="str">
        <f t="shared" si="278"/>
        <v>CITIRAMA - Viagens e Turismo,  S.A.</v>
      </c>
      <c r="D6466" t="s">
        <v>629</v>
      </c>
      <c r="F6466" t="s">
        <v>620</v>
      </c>
      <c r="G6466" s="89">
        <v>2019</v>
      </c>
      <c r="H6466" s="313" t="s">
        <v>733</v>
      </c>
      <c r="I6466" s="311" t="str">
        <f t="shared" si="277"/>
        <v>Pesado de Passageiros M3:  : Gasóleo : E6</v>
      </c>
      <c r="J6466" s="422">
        <v>63</v>
      </c>
      <c r="K6466" s="422">
        <v>2023</v>
      </c>
      <c r="L6466">
        <v>19390.39</v>
      </c>
      <c r="M6466" t="s">
        <v>630</v>
      </c>
      <c r="N6466" s="131">
        <v>16772.34</v>
      </c>
      <c r="O6466" s="436">
        <f t="shared" si="276"/>
        <v>1056657.42</v>
      </c>
      <c r="P6466" s="89">
        <v>3105</v>
      </c>
      <c r="Q6466" s="422" t="s">
        <v>47</v>
      </c>
      <c r="R6466" s="422" t="s">
        <v>1869</v>
      </c>
      <c r="S6466" s="422" t="s">
        <v>1861</v>
      </c>
      <c r="T6466" t="s">
        <v>5829</v>
      </c>
      <c r="U6466" s="422" t="s">
        <v>1953</v>
      </c>
      <c r="V6466" s="422" t="s">
        <v>2813</v>
      </c>
    </row>
    <row r="6467" spans="1:22" ht="15.75" thickBot="1" x14ac:dyDescent="0.3">
      <c r="A6467" t="s">
        <v>4581</v>
      </c>
      <c r="B6467" t="s">
        <v>4581</v>
      </c>
      <c r="C6467" s="424" t="str">
        <f t="shared" si="278"/>
        <v>CITIRAMA - Viagens e Turismo,  S.A.</v>
      </c>
      <c r="D6467" t="s">
        <v>629</v>
      </c>
      <c r="F6467" t="s">
        <v>620</v>
      </c>
      <c r="G6467" s="89">
        <v>2019</v>
      </c>
      <c r="H6467" s="313" t="s">
        <v>733</v>
      </c>
      <c r="I6467" s="311" t="str">
        <f t="shared" si="277"/>
        <v>Pesado de Passageiros M3:  : Gasóleo : E6</v>
      </c>
      <c r="J6467" s="422">
        <v>63</v>
      </c>
      <c r="K6467" s="422">
        <v>2023</v>
      </c>
      <c r="L6467">
        <v>20701.22</v>
      </c>
      <c r="M6467" t="s">
        <v>630</v>
      </c>
      <c r="N6467" s="131">
        <v>17509.28</v>
      </c>
      <c r="O6467" s="436">
        <f t="shared" si="276"/>
        <v>1103084.6399999999</v>
      </c>
      <c r="P6467" s="89">
        <v>3106</v>
      </c>
      <c r="Q6467" s="422" t="s">
        <v>47</v>
      </c>
      <c r="R6467" s="422" t="s">
        <v>1869</v>
      </c>
      <c r="S6467" s="422" t="s">
        <v>1861</v>
      </c>
      <c r="T6467" t="s">
        <v>5823</v>
      </c>
      <c r="U6467" s="422" t="s">
        <v>1953</v>
      </c>
      <c r="V6467" s="422" t="s">
        <v>2813</v>
      </c>
    </row>
    <row r="6468" spans="1:22" ht="15.75" thickBot="1" x14ac:dyDescent="0.3">
      <c r="A6468" t="s">
        <v>4581</v>
      </c>
      <c r="B6468" t="s">
        <v>4581</v>
      </c>
      <c r="C6468" s="424" t="str">
        <f t="shared" si="278"/>
        <v>CITIRAMA - Viagens e Turismo,  S.A.</v>
      </c>
      <c r="D6468" t="s">
        <v>629</v>
      </c>
      <c r="F6468" t="s">
        <v>620</v>
      </c>
      <c r="G6468" s="89">
        <v>1996</v>
      </c>
      <c r="H6468" s="313" t="s">
        <v>735</v>
      </c>
      <c r="I6468" s="311" t="str">
        <f t="shared" si="277"/>
        <v>Pesado de Passageiros M3:  : Gasóleo : E2</v>
      </c>
      <c r="J6468" s="422">
        <v>59</v>
      </c>
      <c r="K6468" s="422">
        <v>2023</v>
      </c>
      <c r="O6468" s="436">
        <f t="shared" si="276"/>
        <v>0</v>
      </c>
      <c r="P6468" s="89">
        <v>5958</v>
      </c>
      <c r="Q6468" s="422" t="s">
        <v>47</v>
      </c>
      <c r="R6468" s="422" t="s">
        <v>1869</v>
      </c>
      <c r="S6468" s="422" t="s">
        <v>1861</v>
      </c>
      <c r="T6468" t="s">
        <v>5828</v>
      </c>
      <c r="U6468" s="422" t="s">
        <v>1953</v>
      </c>
      <c r="V6468" s="422" t="s">
        <v>2813</v>
      </c>
    </row>
    <row r="6469" spans="1:22" ht="15.75" thickBot="1" x14ac:dyDescent="0.3">
      <c r="A6469" t="s">
        <v>4581</v>
      </c>
      <c r="B6469" t="s">
        <v>4581</v>
      </c>
      <c r="C6469" s="424" t="str">
        <f t="shared" si="278"/>
        <v>CITIRAMA - Viagens e Turismo,  S.A.</v>
      </c>
      <c r="D6469" t="s">
        <v>629</v>
      </c>
      <c r="F6469" t="s">
        <v>620</v>
      </c>
      <c r="G6469" s="89">
        <v>2006</v>
      </c>
      <c r="H6469" s="313" t="s">
        <v>732</v>
      </c>
      <c r="I6469" s="311" t="str">
        <f t="shared" si="277"/>
        <v>Pesado de Passageiros M3:  : Gasóleo : E3</v>
      </c>
      <c r="J6469" s="422">
        <v>16</v>
      </c>
      <c r="K6469" s="422">
        <v>2023</v>
      </c>
      <c r="L6469">
        <v>2240.3599999999997</v>
      </c>
      <c r="M6469" t="s">
        <v>630</v>
      </c>
      <c r="N6469" s="131">
        <v>1940.3700000000001</v>
      </c>
      <c r="O6469" s="436">
        <f t="shared" si="276"/>
        <v>31045.920000000002</v>
      </c>
      <c r="P6469" s="89">
        <v>6087</v>
      </c>
      <c r="Q6469" s="422" t="s">
        <v>47</v>
      </c>
      <c r="R6469" s="422" t="s">
        <v>1869</v>
      </c>
      <c r="S6469" s="422" t="s">
        <v>1861</v>
      </c>
      <c r="T6469" t="s">
        <v>5828</v>
      </c>
      <c r="U6469" s="422" t="s">
        <v>1953</v>
      </c>
      <c r="V6469" s="422" t="s">
        <v>2813</v>
      </c>
    </row>
    <row r="6470" spans="1:22" ht="15.75" thickBot="1" x14ac:dyDescent="0.3">
      <c r="A6470" t="s">
        <v>4581</v>
      </c>
      <c r="B6470" t="s">
        <v>4581</v>
      </c>
      <c r="C6470" s="424" t="str">
        <f t="shared" si="278"/>
        <v>CITIRAMA - Viagens e Turismo,  S.A.</v>
      </c>
      <c r="D6470" t="s">
        <v>629</v>
      </c>
      <c r="F6470" t="s">
        <v>620</v>
      </c>
      <c r="G6470" s="89">
        <v>2004</v>
      </c>
      <c r="H6470" s="313" t="s">
        <v>731</v>
      </c>
      <c r="I6470" s="311" t="str">
        <f t="shared" si="277"/>
        <v>Pesado de Passageiros M3:  : Gasóleo : E4</v>
      </c>
      <c r="J6470" s="422">
        <v>55</v>
      </c>
      <c r="K6470" s="422">
        <v>2023</v>
      </c>
      <c r="L6470">
        <v>10904.339999999998</v>
      </c>
      <c r="M6470" t="s">
        <v>630</v>
      </c>
      <c r="N6470" s="131">
        <v>9849.130000000001</v>
      </c>
      <c r="O6470" s="436">
        <f t="shared" si="276"/>
        <v>541702.15</v>
      </c>
      <c r="P6470" s="89">
        <v>6620</v>
      </c>
      <c r="Q6470" s="422" t="s">
        <v>47</v>
      </c>
      <c r="R6470" s="422" t="s">
        <v>1869</v>
      </c>
      <c r="S6470" s="422" t="s">
        <v>1861</v>
      </c>
      <c r="T6470" t="s">
        <v>5823</v>
      </c>
      <c r="U6470" s="422" t="s">
        <v>1953</v>
      </c>
      <c r="V6470" s="422" t="s">
        <v>2813</v>
      </c>
    </row>
    <row r="6471" spans="1:22" ht="15.75" thickBot="1" x14ac:dyDescent="0.3">
      <c r="A6471" t="s">
        <v>4581</v>
      </c>
      <c r="B6471" t="s">
        <v>4581</v>
      </c>
      <c r="C6471" s="424" t="str">
        <f t="shared" si="278"/>
        <v>CITIRAMA - Viagens e Turismo,  S.A.</v>
      </c>
      <c r="D6471" t="s">
        <v>629</v>
      </c>
      <c r="F6471" t="s">
        <v>620</v>
      </c>
      <c r="G6471" s="89">
        <v>2015</v>
      </c>
      <c r="H6471" s="313" t="s">
        <v>734</v>
      </c>
      <c r="I6471" s="311" t="str">
        <f t="shared" si="277"/>
        <v>Pesado de Passageiros M3:  : Gasóleo : E5</v>
      </c>
      <c r="J6471" s="422">
        <v>53</v>
      </c>
      <c r="K6471" s="422">
        <v>2023</v>
      </c>
      <c r="L6471">
        <v>14223.97</v>
      </c>
      <c r="M6471" t="s">
        <v>630</v>
      </c>
      <c r="N6471" s="131">
        <v>11470.41</v>
      </c>
      <c r="O6471" s="436">
        <f t="shared" si="276"/>
        <v>607931.73</v>
      </c>
      <c r="P6471" s="89">
        <v>6784</v>
      </c>
      <c r="Q6471" s="422" t="s">
        <v>47</v>
      </c>
      <c r="R6471" s="422" t="s">
        <v>1869</v>
      </c>
      <c r="S6471" s="422" t="s">
        <v>1861</v>
      </c>
      <c r="T6471" t="s">
        <v>5823</v>
      </c>
      <c r="U6471" s="422" t="s">
        <v>1953</v>
      </c>
      <c r="V6471" s="422" t="s">
        <v>2813</v>
      </c>
    </row>
    <row r="6472" spans="1:22" ht="15.75" thickBot="1" x14ac:dyDescent="0.3">
      <c r="A6472" t="s">
        <v>4581</v>
      </c>
      <c r="B6472" t="s">
        <v>4581</v>
      </c>
      <c r="C6472" s="424" t="str">
        <f t="shared" si="278"/>
        <v>CITIRAMA - Viagens e Turismo,  S.A.</v>
      </c>
      <c r="D6472" t="s">
        <v>629</v>
      </c>
      <c r="F6472" s="422" t="s">
        <v>620</v>
      </c>
      <c r="G6472" s="89">
        <v>2017</v>
      </c>
      <c r="H6472" s="313" t="s">
        <v>733</v>
      </c>
      <c r="I6472" s="311" t="str">
        <f t="shared" si="277"/>
        <v>Pesado de Passageiros M3:  : Gasóleo : E6</v>
      </c>
      <c r="J6472" s="422">
        <v>55</v>
      </c>
      <c r="K6472" s="422">
        <v>2023</v>
      </c>
      <c r="L6472">
        <v>32331.680000000004</v>
      </c>
      <c r="M6472" t="s">
        <v>630</v>
      </c>
      <c r="N6472" s="131">
        <v>27474.180000000004</v>
      </c>
      <c r="O6472" s="436">
        <f t="shared" si="276"/>
        <v>1511079.9000000001</v>
      </c>
      <c r="P6472" s="89">
        <v>6835</v>
      </c>
      <c r="Q6472" s="422" t="s">
        <v>47</v>
      </c>
      <c r="R6472" s="422" t="s">
        <v>1869</v>
      </c>
      <c r="S6472" s="422" t="s">
        <v>1861</v>
      </c>
      <c r="T6472" t="s">
        <v>5823</v>
      </c>
      <c r="U6472" s="422" t="s">
        <v>1953</v>
      </c>
      <c r="V6472" s="422" t="s">
        <v>2813</v>
      </c>
    </row>
    <row r="6473" spans="1:22" ht="15.75" thickBot="1" x14ac:dyDescent="0.3">
      <c r="A6473" t="s">
        <v>4673</v>
      </c>
      <c r="B6473" s="451" t="s">
        <v>4673</v>
      </c>
      <c r="C6473" s="424" t="str">
        <f t="shared" si="278"/>
        <v>Roller Town - Transportes Turísticos Citadinos, S.A.</v>
      </c>
      <c r="D6473" s="451" t="s">
        <v>629</v>
      </c>
      <c r="E6473" s="451"/>
      <c r="F6473" s="422" t="s">
        <v>620</v>
      </c>
      <c r="G6473" s="452">
        <v>2012</v>
      </c>
      <c r="H6473" s="453" t="s">
        <v>734</v>
      </c>
      <c r="I6473" s="311" t="str">
        <f t="shared" si="277"/>
        <v>Pesado de Passageiros M3:  : Gasóleo : E5</v>
      </c>
      <c r="J6473" s="451">
        <v>2</v>
      </c>
      <c r="K6473" s="422">
        <v>2023</v>
      </c>
      <c r="L6473">
        <v>743.67</v>
      </c>
      <c r="M6473" t="s">
        <v>630</v>
      </c>
      <c r="N6473" s="131">
        <v>11481</v>
      </c>
      <c r="O6473" s="436">
        <f t="shared" si="276"/>
        <v>22962</v>
      </c>
      <c r="Q6473" s="422" t="s">
        <v>47</v>
      </c>
      <c r="R6473" s="422" t="s">
        <v>1869</v>
      </c>
      <c r="S6473" s="422" t="s">
        <v>1861</v>
      </c>
      <c r="T6473" t="s">
        <v>5830</v>
      </c>
      <c r="U6473" s="422" t="s">
        <v>1953</v>
      </c>
      <c r="V6473" s="422" t="s">
        <v>2813</v>
      </c>
    </row>
    <row r="6474" spans="1:22" ht="15.75" thickBot="1" x14ac:dyDescent="0.3">
      <c r="A6474" t="s">
        <v>4673</v>
      </c>
      <c r="B6474" s="451" t="s">
        <v>4673</v>
      </c>
      <c r="C6474" s="424" t="str">
        <f t="shared" si="278"/>
        <v>Roller Town - Transportes Turísticos Citadinos, S.A.</v>
      </c>
      <c r="D6474" s="451" t="s">
        <v>629</v>
      </c>
      <c r="E6474" s="451"/>
      <c r="F6474" s="422" t="s">
        <v>620</v>
      </c>
      <c r="G6474" s="452">
        <v>2015</v>
      </c>
      <c r="H6474" s="453" t="s">
        <v>733</v>
      </c>
      <c r="I6474" s="311" t="str">
        <f t="shared" si="277"/>
        <v>Pesado de Passageiros M3:  : Gasóleo : E6</v>
      </c>
      <c r="J6474" s="451">
        <v>5</v>
      </c>
      <c r="K6474" s="422">
        <v>2023</v>
      </c>
      <c r="L6474">
        <v>713.33</v>
      </c>
      <c r="M6474" t="s">
        <v>630</v>
      </c>
      <c r="O6474" s="436">
        <f t="shared" si="276"/>
        <v>0</v>
      </c>
      <c r="Q6474" s="422" t="s">
        <v>47</v>
      </c>
      <c r="R6474" s="422" t="s">
        <v>1869</v>
      </c>
      <c r="S6474" s="422" t="s">
        <v>1861</v>
      </c>
      <c r="T6474" t="s">
        <v>4824</v>
      </c>
      <c r="U6474" s="422" t="s">
        <v>1953</v>
      </c>
      <c r="V6474" s="422" t="s">
        <v>2813</v>
      </c>
    </row>
    <row r="6475" spans="1:22" ht="15.75" thickBot="1" x14ac:dyDescent="0.3">
      <c r="A6475" t="s">
        <v>4673</v>
      </c>
      <c r="B6475" s="451" t="s">
        <v>4673</v>
      </c>
      <c r="C6475" s="424" t="str">
        <f t="shared" si="278"/>
        <v>Roller Town - Transportes Turísticos Citadinos, S.A.</v>
      </c>
      <c r="D6475" s="451" t="s">
        <v>629</v>
      </c>
      <c r="E6475" s="451"/>
      <c r="F6475" s="422" t="s">
        <v>620</v>
      </c>
      <c r="G6475" s="452">
        <v>2016</v>
      </c>
      <c r="H6475" s="453" t="s">
        <v>733</v>
      </c>
      <c r="I6475" s="311" t="str">
        <f t="shared" si="277"/>
        <v>Pesado de Passageiros M3:  : Gasóleo : E6</v>
      </c>
      <c r="J6475" s="451">
        <v>5</v>
      </c>
      <c r="K6475" s="422">
        <v>2023</v>
      </c>
      <c r="L6475">
        <v>873</v>
      </c>
      <c r="M6475" t="s">
        <v>630</v>
      </c>
      <c r="N6475" s="131">
        <v>10820</v>
      </c>
      <c r="O6475" s="436">
        <f t="shared" si="276"/>
        <v>54100</v>
      </c>
      <c r="Q6475" s="422" t="s">
        <v>47</v>
      </c>
      <c r="R6475" s="422" t="s">
        <v>1869</v>
      </c>
      <c r="S6475" s="422" t="s">
        <v>1861</v>
      </c>
      <c r="T6475" t="s">
        <v>4824</v>
      </c>
      <c r="U6475" s="422" t="s">
        <v>1953</v>
      </c>
      <c r="V6475" s="422" t="s">
        <v>2813</v>
      </c>
    </row>
    <row r="6476" spans="1:22" ht="15.75" thickBot="1" x14ac:dyDescent="0.3">
      <c r="A6476" t="s">
        <v>4673</v>
      </c>
      <c r="B6476" s="451" t="s">
        <v>4673</v>
      </c>
      <c r="C6476" s="424" t="str">
        <f t="shared" si="278"/>
        <v>Roller Town - Transportes Turísticos Citadinos, S.A.</v>
      </c>
      <c r="D6476" s="451" t="s">
        <v>629</v>
      </c>
      <c r="E6476" s="451"/>
      <c r="F6476" s="422" t="s">
        <v>620</v>
      </c>
      <c r="G6476" s="452">
        <v>2016</v>
      </c>
      <c r="H6476" s="453" t="s">
        <v>733</v>
      </c>
      <c r="I6476" s="311" t="str">
        <f t="shared" si="277"/>
        <v>Pesado de Passageiros M3:  : Gasóleo : E6</v>
      </c>
      <c r="J6476" s="451">
        <v>5</v>
      </c>
      <c r="K6476" s="422">
        <v>2023</v>
      </c>
      <c r="L6476">
        <v>1067.7</v>
      </c>
      <c r="M6476" t="s">
        <v>630</v>
      </c>
      <c r="N6476" s="131">
        <v>14895</v>
      </c>
      <c r="O6476" s="436">
        <f t="shared" si="276"/>
        <v>74475</v>
      </c>
      <c r="Q6476" s="422" t="s">
        <v>47</v>
      </c>
      <c r="R6476" s="422" t="s">
        <v>1869</v>
      </c>
      <c r="S6476" s="422" t="s">
        <v>1861</v>
      </c>
      <c r="T6476" t="s">
        <v>4824</v>
      </c>
      <c r="U6476" s="422" t="s">
        <v>1953</v>
      </c>
      <c r="V6476" s="422" t="s">
        <v>2813</v>
      </c>
    </row>
    <row r="6477" spans="1:22" ht="15.75" thickBot="1" x14ac:dyDescent="0.3">
      <c r="A6477" t="s">
        <v>4673</v>
      </c>
      <c r="B6477" s="451" t="s">
        <v>4673</v>
      </c>
      <c r="C6477" s="424" t="str">
        <f t="shared" si="278"/>
        <v>Roller Town - Transportes Turísticos Citadinos, S.A.</v>
      </c>
      <c r="D6477" s="451" t="s">
        <v>629</v>
      </c>
      <c r="E6477" s="451"/>
      <c r="F6477" s="422" t="s">
        <v>620</v>
      </c>
      <c r="G6477" s="452">
        <v>2017</v>
      </c>
      <c r="H6477" s="453" t="s">
        <v>733</v>
      </c>
      <c r="I6477" s="311" t="str">
        <f t="shared" si="277"/>
        <v>Pesado de Passageiros M3:  : Gasóleo : E6</v>
      </c>
      <c r="J6477" s="451">
        <v>8</v>
      </c>
      <c r="K6477" s="422">
        <v>2023</v>
      </c>
      <c r="L6477">
        <v>800.86</v>
      </c>
      <c r="M6477" t="s">
        <v>630</v>
      </c>
      <c r="N6477" s="131">
        <v>15670</v>
      </c>
      <c r="O6477" s="436">
        <f t="shared" si="276"/>
        <v>125360</v>
      </c>
      <c r="Q6477" s="422" t="s">
        <v>47</v>
      </c>
      <c r="R6477" s="422" t="s">
        <v>1869</v>
      </c>
      <c r="S6477" s="422" t="s">
        <v>1861</v>
      </c>
      <c r="U6477" s="422" t="s">
        <v>1953</v>
      </c>
      <c r="V6477" s="422" t="s">
        <v>2813</v>
      </c>
    </row>
    <row r="6478" spans="1:22" ht="15.75" thickBot="1" x14ac:dyDescent="0.3">
      <c r="A6478" t="s">
        <v>4673</v>
      </c>
      <c r="B6478" t="s">
        <v>4673</v>
      </c>
      <c r="C6478" s="424" t="str">
        <f t="shared" si="278"/>
        <v>Roller Town - Transportes Turísticos Citadinos, S.A.</v>
      </c>
      <c r="D6478" t="s">
        <v>629</v>
      </c>
      <c r="F6478" s="422" t="s">
        <v>620</v>
      </c>
      <c r="G6478" s="89">
        <v>2015</v>
      </c>
      <c r="H6478" s="453" t="s">
        <v>733</v>
      </c>
      <c r="I6478" s="311" t="str">
        <f t="shared" si="277"/>
        <v>Pesado de Passageiros M3:  : Gasóleo : E6</v>
      </c>
      <c r="J6478">
        <v>76</v>
      </c>
      <c r="K6478" s="422">
        <v>2023</v>
      </c>
      <c r="L6478">
        <v>10361.74</v>
      </c>
      <c r="M6478" t="s">
        <v>630</v>
      </c>
      <c r="N6478" s="131">
        <v>22826</v>
      </c>
      <c r="O6478" s="436">
        <f t="shared" ref="O6478:O6489" si="279">N6478*J6478</f>
        <v>1734776</v>
      </c>
      <c r="Q6478" s="422" t="s">
        <v>47</v>
      </c>
      <c r="R6478" s="422" t="s">
        <v>1869</v>
      </c>
      <c r="S6478" s="422" t="s">
        <v>1861</v>
      </c>
      <c r="U6478" s="422" t="s">
        <v>1953</v>
      </c>
      <c r="V6478" s="422" t="s">
        <v>2813</v>
      </c>
    </row>
    <row r="6479" spans="1:22" ht="15.75" thickBot="1" x14ac:dyDescent="0.3">
      <c r="A6479" t="s">
        <v>4673</v>
      </c>
      <c r="B6479" t="s">
        <v>4673</v>
      </c>
      <c r="C6479" s="424" t="str">
        <f t="shared" si="278"/>
        <v>Roller Town - Transportes Turísticos Citadinos, S.A.</v>
      </c>
      <c r="D6479" t="s">
        <v>629</v>
      </c>
      <c r="F6479" s="422" t="s">
        <v>620</v>
      </c>
      <c r="G6479" s="89">
        <v>2015</v>
      </c>
      <c r="H6479" s="453" t="s">
        <v>733</v>
      </c>
      <c r="I6479" s="311" t="str">
        <f t="shared" si="277"/>
        <v>Pesado de Passageiros M3:  : Gasóleo : E6</v>
      </c>
      <c r="J6479">
        <v>76</v>
      </c>
      <c r="K6479" s="422">
        <v>2023</v>
      </c>
      <c r="L6479">
        <v>12365.94</v>
      </c>
      <c r="M6479" t="s">
        <v>630</v>
      </c>
      <c r="N6479" s="131">
        <v>25104</v>
      </c>
      <c r="O6479" s="436">
        <f t="shared" si="279"/>
        <v>1907904</v>
      </c>
      <c r="Q6479" s="422" t="s">
        <v>47</v>
      </c>
      <c r="R6479" s="422" t="s">
        <v>1869</v>
      </c>
      <c r="S6479" s="422" t="s">
        <v>1861</v>
      </c>
      <c r="U6479" s="422" t="s">
        <v>1953</v>
      </c>
      <c r="V6479" s="422" t="s">
        <v>2813</v>
      </c>
    </row>
    <row r="6480" spans="1:22" ht="15.75" thickBot="1" x14ac:dyDescent="0.3">
      <c r="A6480" t="s">
        <v>4673</v>
      </c>
      <c r="B6480" t="s">
        <v>4673</v>
      </c>
      <c r="C6480" s="424" t="str">
        <f t="shared" si="278"/>
        <v>Roller Town - Transportes Turísticos Citadinos, S.A.</v>
      </c>
      <c r="D6480" t="s">
        <v>629</v>
      </c>
      <c r="F6480" s="422" t="s">
        <v>620</v>
      </c>
      <c r="G6480" s="89">
        <v>2017</v>
      </c>
      <c r="H6480" s="453" t="s">
        <v>733</v>
      </c>
      <c r="I6480" s="311" t="str">
        <f t="shared" si="277"/>
        <v>Pesado de Passageiros M3:  : Gasóleo : E6</v>
      </c>
      <c r="J6480">
        <v>76</v>
      </c>
      <c r="K6480" s="422">
        <v>2023</v>
      </c>
      <c r="L6480">
        <v>12660.41</v>
      </c>
      <c r="M6480" t="s">
        <v>630</v>
      </c>
      <c r="N6480" s="131">
        <v>26525</v>
      </c>
      <c r="O6480" s="436">
        <f t="shared" si="279"/>
        <v>2015900</v>
      </c>
      <c r="Q6480" s="422" t="s">
        <v>47</v>
      </c>
      <c r="R6480" s="422" t="s">
        <v>1869</v>
      </c>
      <c r="S6480" s="422" t="s">
        <v>1861</v>
      </c>
      <c r="U6480" s="422" t="s">
        <v>1953</v>
      </c>
      <c r="V6480" s="422" t="s">
        <v>2813</v>
      </c>
    </row>
    <row r="6481" spans="1:22" ht="15.75" thickBot="1" x14ac:dyDescent="0.3">
      <c r="A6481" t="s">
        <v>4673</v>
      </c>
      <c r="B6481" t="s">
        <v>4673</v>
      </c>
      <c r="C6481" s="424" t="str">
        <f t="shared" si="278"/>
        <v>Roller Town - Transportes Turísticos Citadinos, S.A.</v>
      </c>
      <c r="D6481" t="s">
        <v>629</v>
      </c>
      <c r="F6481" s="422" t="s">
        <v>620</v>
      </c>
      <c r="G6481" s="89">
        <v>2017</v>
      </c>
      <c r="H6481" s="453" t="s">
        <v>733</v>
      </c>
      <c r="I6481" s="311" t="str">
        <f t="shared" si="277"/>
        <v>Pesado de Passageiros M3:  : Gasóleo : E6</v>
      </c>
      <c r="J6481">
        <v>76</v>
      </c>
      <c r="K6481" s="422">
        <v>2023</v>
      </c>
      <c r="L6481">
        <v>12772.18</v>
      </c>
      <c r="M6481" t="s">
        <v>630</v>
      </c>
      <c r="N6481" s="131">
        <v>25197</v>
      </c>
      <c r="O6481" s="436">
        <f t="shared" si="279"/>
        <v>1914972</v>
      </c>
      <c r="Q6481" s="422" t="s">
        <v>47</v>
      </c>
      <c r="R6481" s="422" t="s">
        <v>1869</v>
      </c>
      <c r="S6481" s="422" t="s">
        <v>1861</v>
      </c>
      <c r="U6481" s="422" t="s">
        <v>1953</v>
      </c>
      <c r="V6481" s="422" t="s">
        <v>2813</v>
      </c>
    </row>
    <row r="6482" spans="1:22" ht="15.75" thickBot="1" x14ac:dyDescent="0.3">
      <c r="A6482" t="s">
        <v>4673</v>
      </c>
      <c r="B6482" t="s">
        <v>4673</v>
      </c>
      <c r="C6482" s="424" t="str">
        <f t="shared" si="278"/>
        <v>Roller Town - Transportes Turísticos Citadinos, S.A.</v>
      </c>
      <c r="D6482" t="s">
        <v>629</v>
      </c>
      <c r="F6482" s="422" t="s">
        <v>620</v>
      </c>
      <c r="G6482" s="89">
        <v>2017</v>
      </c>
      <c r="H6482" s="453" t="s">
        <v>733</v>
      </c>
      <c r="I6482" s="311" t="str">
        <f t="shared" si="277"/>
        <v>Pesado de Passageiros M3:  : Gasóleo : E6</v>
      </c>
      <c r="J6482">
        <v>76</v>
      </c>
      <c r="K6482" s="422">
        <v>2023</v>
      </c>
      <c r="L6482">
        <v>7945.57</v>
      </c>
      <c r="M6482" t="s">
        <v>630</v>
      </c>
      <c r="N6482" s="131">
        <v>16083</v>
      </c>
      <c r="O6482" s="436">
        <f t="shared" si="279"/>
        <v>1222308</v>
      </c>
      <c r="Q6482" s="422" t="s">
        <v>47</v>
      </c>
      <c r="R6482" s="422" t="s">
        <v>1869</v>
      </c>
      <c r="S6482" s="422" t="s">
        <v>1861</v>
      </c>
      <c r="U6482" s="422" t="s">
        <v>1953</v>
      </c>
      <c r="V6482" s="422" t="s">
        <v>2813</v>
      </c>
    </row>
    <row r="6483" spans="1:22" ht="15.75" thickBot="1" x14ac:dyDescent="0.3">
      <c r="A6483" t="s">
        <v>4673</v>
      </c>
      <c r="B6483" t="s">
        <v>4673</v>
      </c>
      <c r="C6483" s="424" t="str">
        <f t="shared" si="278"/>
        <v>Roller Town - Transportes Turísticos Citadinos, S.A.</v>
      </c>
      <c r="D6483" t="s">
        <v>629</v>
      </c>
      <c r="F6483" s="422" t="s">
        <v>620</v>
      </c>
      <c r="G6483" s="89">
        <v>2017</v>
      </c>
      <c r="H6483" s="453" t="s">
        <v>733</v>
      </c>
      <c r="I6483" s="311" t="str">
        <f t="shared" si="277"/>
        <v>Pesado de Passageiros M3:  : Gasóleo : E6</v>
      </c>
      <c r="J6483">
        <v>76</v>
      </c>
      <c r="K6483" s="422">
        <v>2023</v>
      </c>
      <c r="L6483">
        <v>9859.51</v>
      </c>
      <c r="M6483" t="s">
        <v>630</v>
      </c>
      <c r="N6483" s="131">
        <v>20789</v>
      </c>
      <c r="O6483" s="436">
        <f t="shared" si="279"/>
        <v>1579964</v>
      </c>
      <c r="Q6483" s="422" t="s">
        <v>47</v>
      </c>
      <c r="R6483" s="422" t="s">
        <v>1869</v>
      </c>
      <c r="S6483" s="422" t="s">
        <v>1861</v>
      </c>
      <c r="U6483" s="422" t="s">
        <v>1953</v>
      </c>
      <c r="V6483" s="422" t="s">
        <v>2813</v>
      </c>
    </row>
    <row r="6484" spans="1:22" ht="15.75" thickBot="1" x14ac:dyDescent="0.3">
      <c r="A6484" t="s">
        <v>4673</v>
      </c>
      <c r="B6484" t="s">
        <v>4673</v>
      </c>
      <c r="C6484" s="424" t="str">
        <f t="shared" si="278"/>
        <v>Roller Town - Transportes Turísticos Citadinos, S.A.</v>
      </c>
      <c r="D6484" t="s">
        <v>629</v>
      </c>
      <c r="F6484" s="422" t="s">
        <v>620</v>
      </c>
      <c r="G6484" s="89">
        <v>2017</v>
      </c>
      <c r="H6484" s="453" t="s">
        <v>733</v>
      </c>
      <c r="I6484" s="311" t="str">
        <f t="shared" si="277"/>
        <v>Pesado de Passageiros M3:  : Gasóleo : E6</v>
      </c>
      <c r="J6484">
        <v>76</v>
      </c>
      <c r="K6484" s="422">
        <v>2023</v>
      </c>
      <c r="L6484">
        <v>15090.72</v>
      </c>
      <c r="M6484" t="s">
        <v>630</v>
      </c>
      <c r="N6484" s="131">
        <v>29966</v>
      </c>
      <c r="O6484" s="436">
        <f t="shared" si="279"/>
        <v>2277416</v>
      </c>
      <c r="Q6484" s="422" t="s">
        <v>47</v>
      </c>
      <c r="R6484" s="422" t="s">
        <v>1869</v>
      </c>
      <c r="S6484" s="422" t="s">
        <v>1861</v>
      </c>
      <c r="U6484" s="422" t="s">
        <v>1953</v>
      </c>
      <c r="V6484" s="422" t="s">
        <v>2813</v>
      </c>
    </row>
    <row r="6485" spans="1:22" ht="15.75" thickBot="1" x14ac:dyDescent="0.3">
      <c r="A6485" t="s">
        <v>4673</v>
      </c>
      <c r="B6485" t="s">
        <v>4673</v>
      </c>
      <c r="C6485" s="424" t="str">
        <f t="shared" si="278"/>
        <v>Roller Town - Transportes Turísticos Citadinos, S.A.</v>
      </c>
      <c r="D6485" t="s">
        <v>629</v>
      </c>
      <c r="F6485" s="422" t="s">
        <v>620</v>
      </c>
      <c r="G6485" s="89">
        <v>2017</v>
      </c>
      <c r="H6485" s="453" t="s">
        <v>733</v>
      </c>
      <c r="I6485" s="311" t="str">
        <f t="shared" si="277"/>
        <v>Pesado de Passageiros M3:  : Gasóleo : E6</v>
      </c>
      <c r="J6485">
        <v>76</v>
      </c>
      <c r="K6485" s="422">
        <v>2023</v>
      </c>
      <c r="L6485">
        <v>15959.76</v>
      </c>
      <c r="M6485" t="s">
        <v>630</v>
      </c>
      <c r="N6485" s="131">
        <v>31868</v>
      </c>
      <c r="O6485" s="436">
        <f t="shared" si="279"/>
        <v>2421968</v>
      </c>
      <c r="Q6485" s="422" t="s">
        <v>47</v>
      </c>
      <c r="R6485" s="422" t="s">
        <v>1869</v>
      </c>
      <c r="S6485" s="422" t="s">
        <v>1861</v>
      </c>
      <c r="U6485" s="422" t="s">
        <v>1953</v>
      </c>
      <c r="V6485" s="422" t="s">
        <v>2813</v>
      </c>
    </row>
    <row r="6486" spans="1:22" ht="15.75" thickBot="1" x14ac:dyDescent="0.3">
      <c r="A6486" t="s">
        <v>4673</v>
      </c>
      <c r="B6486" t="s">
        <v>4673</v>
      </c>
      <c r="C6486" s="424" t="str">
        <f t="shared" si="278"/>
        <v>Roller Town - Transportes Turísticos Citadinos, S.A.</v>
      </c>
      <c r="D6486" t="s">
        <v>629</v>
      </c>
      <c r="F6486" s="422" t="s">
        <v>620</v>
      </c>
      <c r="G6486" s="89">
        <v>2017</v>
      </c>
      <c r="H6486" s="453" t="s">
        <v>733</v>
      </c>
      <c r="I6486" s="311" t="str">
        <f t="shared" si="277"/>
        <v>Pesado de Passageiros M3:  : Gasóleo : E6</v>
      </c>
      <c r="J6486">
        <v>76</v>
      </c>
      <c r="K6486" s="422">
        <v>2023</v>
      </c>
      <c r="L6486">
        <v>7578.59</v>
      </c>
      <c r="M6486" t="s">
        <v>630</v>
      </c>
      <c r="N6486" s="131">
        <v>16052</v>
      </c>
      <c r="O6486" s="436">
        <f t="shared" si="279"/>
        <v>1219952</v>
      </c>
      <c r="Q6486" s="422" t="s">
        <v>47</v>
      </c>
      <c r="R6486" s="422" t="s">
        <v>1869</v>
      </c>
      <c r="S6486" s="422" t="s">
        <v>1861</v>
      </c>
      <c r="U6486" s="422" t="s">
        <v>1953</v>
      </c>
      <c r="V6486" s="422" t="s">
        <v>2813</v>
      </c>
    </row>
    <row r="6487" spans="1:22" ht="15.75" thickBot="1" x14ac:dyDescent="0.3">
      <c r="A6487" t="s">
        <v>4673</v>
      </c>
      <c r="B6487" t="s">
        <v>4673</v>
      </c>
      <c r="C6487" s="424" t="str">
        <f t="shared" si="278"/>
        <v>Roller Town - Transportes Turísticos Citadinos, S.A.</v>
      </c>
      <c r="D6487" t="s">
        <v>629</v>
      </c>
      <c r="F6487" s="422" t="s">
        <v>620</v>
      </c>
      <c r="G6487" s="89">
        <v>2017</v>
      </c>
      <c r="H6487" s="453" t="s">
        <v>733</v>
      </c>
      <c r="I6487" s="311" t="str">
        <f t="shared" si="277"/>
        <v>Pesado de Passageiros M3:  : Gasóleo : E6</v>
      </c>
      <c r="J6487">
        <v>76</v>
      </c>
      <c r="K6487" s="422">
        <v>2023</v>
      </c>
      <c r="L6487">
        <v>16500.8</v>
      </c>
      <c r="M6487" t="s">
        <v>630</v>
      </c>
      <c r="N6487" s="131">
        <v>32718</v>
      </c>
      <c r="O6487" s="436">
        <f t="shared" si="279"/>
        <v>2486568</v>
      </c>
      <c r="Q6487" s="422" t="s">
        <v>47</v>
      </c>
      <c r="R6487" s="422" t="s">
        <v>1869</v>
      </c>
      <c r="S6487" s="422" t="s">
        <v>1861</v>
      </c>
      <c r="U6487" s="422" t="s">
        <v>1953</v>
      </c>
      <c r="V6487" s="422" t="s">
        <v>2813</v>
      </c>
    </row>
    <row r="6488" spans="1:22" ht="15.75" thickBot="1" x14ac:dyDescent="0.3">
      <c r="A6488" t="s">
        <v>4673</v>
      </c>
      <c r="B6488" t="s">
        <v>4673</v>
      </c>
      <c r="C6488" s="424" t="str">
        <f t="shared" si="278"/>
        <v>Roller Town - Transportes Turísticos Citadinos, S.A.</v>
      </c>
      <c r="D6488" t="s">
        <v>629</v>
      </c>
      <c r="F6488" s="422" t="s">
        <v>620</v>
      </c>
      <c r="G6488" s="89">
        <v>2008</v>
      </c>
      <c r="H6488" s="313" t="s">
        <v>731</v>
      </c>
      <c r="I6488" s="311" t="str">
        <f t="shared" si="277"/>
        <v>Pesado de Passageiros M3:  : Gasóleo : E4</v>
      </c>
      <c r="J6488">
        <v>23</v>
      </c>
      <c r="K6488" s="422">
        <v>2023</v>
      </c>
      <c r="L6488" s="313">
        <v>0</v>
      </c>
      <c r="M6488" s="422" t="s">
        <v>630</v>
      </c>
      <c r="O6488" s="436">
        <f t="shared" si="279"/>
        <v>0</v>
      </c>
      <c r="P6488" s="89" t="s">
        <v>5831</v>
      </c>
      <c r="Q6488" s="422" t="s">
        <v>47</v>
      </c>
      <c r="R6488" s="422" t="s">
        <v>1869</v>
      </c>
      <c r="S6488" s="422" t="s">
        <v>1861</v>
      </c>
      <c r="U6488" s="422" t="s">
        <v>1953</v>
      </c>
      <c r="V6488" s="422" t="s">
        <v>2813</v>
      </c>
    </row>
    <row r="6489" spans="1:22" ht="15.75" thickBot="1" x14ac:dyDescent="0.3">
      <c r="A6489" t="s">
        <v>4673</v>
      </c>
      <c r="B6489" t="s">
        <v>4673</v>
      </c>
      <c r="C6489" s="424" t="str">
        <f t="shared" si="278"/>
        <v>Roller Town - Transportes Turísticos Citadinos, S.A.</v>
      </c>
      <c r="D6489" t="s">
        <v>629</v>
      </c>
      <c r="F6489" s="422" t="s">
        <v>620</v>
      </c>
      <c r="G6489" s="89">
        <v>2008</v>
      </c>
      <c r="H6489" s="313" t="s">
        <v>731</v>
      </c>
      <c r="I6489" s="311" t="str">
        <f t="shared" si="277"/>
        <v>Pesado de Passageiros M3:  : Gasóleo : E4</v>
      </c>
      <c r="J6489">
        <v>23</v>
      </c>
      <c r="K6489" s="422">
        <v>2023</v>
      </c>
      <c r="L6489" s="313">
        <v>0</v>
      </c>
      <c r="M6489" s="422" t="s">
        <v>630</v>
      </c>
      <c r="O6489" s="436">
        <f t="shared" si="279"/>
        <v>0</v>
      </c>
      <c r="P6489" s="89" t="s">
        <v>5831</v>
      </c>
      <c r="Q6489" s="422" t="s">
        <v>47</v>
      </c>
      <c r="R6489" s="422" t="s">
        <v>1869</v>
      </c>
      <c r="S6489" s="422" t="s">
        <v>1861</v>
      </c>
      <c r="U6489" s="422" t="s">
        <v>1953</v>
      </c>
      <c r="V6489" s="422" t="s">
        <v>2813</v>
      </c>
    </row>
    <row r="6490" spans="1:22" ht="15.75" thickBot="1" x14ac:dyDescent="0.3">
      <c r="A6490" t="s">
        <v>1915</v>
      </c>
      <c r="B6490" t="s">
        <v>1915</v>
      </c>
      <c r="C6490" s="424" t="str">
        <f t="shared" si="278"/>
        <v>Rodo Cargo, S.A.</v>
      </c>
      <c r="D6490" s="422" t="s">
        <v>1920</v>
      </c>
      <c r="E6490" s="422"/>
      <c r="F6490" s="422" t="s">
        <v>620</v>
      </c>
      <c r="G6490" s="89">
        <v>2006</v>
      </c>
      <c r="H6490" s="313" t="s">
        <v>734</v>
      </c>
      <c r="I6490" s="311" t="str">
        <f t="shared" si="277"/>
        <v>Pesado de Mercadorias N3:  : Gasóleo : E5</v>
      </c>
      <c r="K6490" s="422">
        <v>2023</v>
      </c>
      <c r="L6490">
        <v>23556.31</v>
      </c>
      <c r="M6490" t="s">
        <v>630</v>
      </c>
      <c r="N6490" s="131">
        <v>58690</v>
      </c>
      <c r="Q6490" t="s">
        <v>2201</v>
      </c>
      <c r="R6490" s="422" t="s">
        <v>1869</v>
      </c>
      <c r="S6490" s="422" t="s">
        <v>1861</v>
      </c>
      <c r="T6490" s="427" t="s">
        <v>1926</v>
      </c>
      <c r="U6490" s="422" t="s">
        <v>1953</v>
      </c>
      <c r="V6490" s="422" t="s">
        <v>2813</v>
      </c>
    </row>
    <row r="6491" spans="1:22" ht="15.75" thickBot="1" x14ac:dyDescent="0.3">
      <c r="A6491" t="s">
        <v>1915</v>
      </c>
      <c r="B6491" t="s">
        <v>1915</v>
      </c>
      <c r="C6491" s="424" t="str">
        <f t="shared" si="278"/>
        <v>Rodo Cargo, S.A.</v>
      </c>
      <c r="D6491" s="422" t="s">
        <v>1920</v>
      </c>
      <c r="E6491" s="422"/>
      <c r="F6491" s="422" t="s">
        <v>620</v>
      </c>
      <c r="G6491" s="89">
        <v>2006</v>
      </c>
      <c r="H6491" s="313" t="s">
        <v>734</v>
      </c>
      <c r="I6491" s="311" t="str">
        <f t="shared" si="277"/>
        <v>Pesado de Mercadorias N3:  : Gasóleo : E5</v>
      </c>
      <c r="K6491" s="422">
        <v>2023</v>
      </c>
      <c r="L6491">
        <v>32616.01</v>
      </c>
      <c r="M6491" t="s">
        <v>630</v>
      </c>
      <c r="N6491" s="131">
        <v>85378</v>
      </c>
      <c r="Q6491" t="s">
        <v>2201</v>
      </c>
      <c r="R6491" s="422" t="s">
        <v>1869</v>
      </c>
      <c r="S6491" s="422" t="s">
        <v>1861</v>
      </c>
      <c r="T6491" s="427" t="s">
        <v>1926</v>
      </c>
      <c r="U6491" s="422" t="s">
        <v>1953</v>
      </c>
      <c r="V6491" s="422" t="s">
        <v>2813</v>
      </c>
    </row>
    <row r="6492" spans="1:22" ht="15.75" thickBot="1" x14ac:dyDescent="0.3">
      <c r="A6492" t="s">
        <v>1915</v>
      </c>
      <c r="B6492" t="s">
        <v>1915</v>
      </c>
      <c r="C6492" s="424" t="str">
        <f t="shared" si="278"/>
        <v>Rodo Cargo, S.A.</v>
      </c>
      <c r="D6492" s="422" t="s">
        <v>1920</v>
      </c>
      <c r="E6492" s="422"/>
      <c r="F6492" s="422" t="s">
        <v>620</v>
      </c>
      <c r="G6492" s="89">
        <v>2006</v>
      </c>
      <c r="H6492" s="313" t="s">
        <v>734</v>
      </c>
      <c r="I6492" s="311" t="str">
        <f t="shared" si="277"/>
        <v>Pesado de Mercadorias N3:  : Gasóleo : E5</v>
      </c>
      <c r="K6492" s="422">
        <v>2023</v>
      </c>
      <c r="L6492">
        <v>30134.25</v>
      </c>
      <c r="M6492" t="s">
        <v>630</v>
      </c>
      <c r="N6492" s="131">
        <v>88844</v>
      </c>
      <c r="Q6492" t="s">
        <v>2201</v>
      </c>
      <c r="R6492" s="422" t="s">
        <v>1869</v>
      </c>
      <c r="S6492" s="422" t="s">
        <v>1861</v>
      </c>
      <c r="T6492" s="427" t="s">
        <v>1926</v>
      </c>
      <c r="U6492" s="422" t="s">
        <v>1953</v>
      </c>
      <c r="V6492" s="422" t="s">
        <v>2813</v>
      </c>
    </row>
    <row r="6493" spans="1:22" ht="15.75" thickBot="1" x14ac:dyDescent="0.3">
      <c r="A6493" t="s">
        <v>1915</v>
      </c>
      <c r="B6493" t="s">
        <v>1915</v>
      </c>
      <c r="C6493" s="424" t="str">
        <f t="shared" si="278"/>
        <v>Rodo Cargo, S.A.</v>
      </c>
      <c r="D6493" s="422" t="s">
        <v>1920</v>
      </c>
      <c r="E6493" s="422"/>
      <c r="F6493" s="422" t="s">
        <v>620</v>
      </c>
      <c r="G6493" s="89">
        <v>2006</v>
      </c>
      <c r="H6493" s="313" t="s">
        <v>734</v>
      </c>
      <c r="I6493" s="311" t="str">
        <f t="shared" si="277"/>
        <v>Pesado de Mercadorias N3:  : Gasóleo : E5</v>
      </c>
      <c r="K6493" s="422">
        <v>2023</v>
      </c>
      <c r="L6493">
        <v>27937.86</v>
      </c>
      <c r="M6493" t="s">
        <v>630</v>
      </c>
      <c r="N6493" s="131">
        <v>73553</v>
      </c>
      <c r="Q6493" t="s">
        <v>2201</v>
      </c>
      <c r="R6493" s="422" t="s">
        <v>1869</v>
      </c>
      <c r="S6493" s="422" t="s">
        <v>1861</v>
      </c>
      <c r="T6493" s="427" t="s">
        <v>1926</v>
      </c>
      <c r="U6493" s="422" t="s">
        <v>1953</v>
      </c>
      <c r="V6493" s="422" t="s">
        <v>2813</v>
      </c>
    </row>
    <row r="6494" spans="1:22" ht="15.75" thickBot="1" x14ac:dyDescent="0.3">
      <c r="A6494" t="s">
        <v>1915</v>
      </c>
      <c r="B6494" t="s">
        <v>1915</v>
      </c>
      <c r="C6494" s="424" t="str">
        <f t="shared" si="278"/>
        <v>Rodo Cargo, S.A.</v>
      </c>
      <c r="D6494" s="422" t="s">
        <v>1920</v>
      </c>
      <c r="E6494" s="422"/>
      <c r="F6494" s="422" t="s">
        <v>620</v>
      </c>
      <c r="G6494" s="89">
        <v>2006</v>
      </c>
      <c r="H6494" s="313" t="s">
        <v>734</v>
      </c>
      <c r="I6494" s="311" t="str">
        <f t="shared" si="277"/>
        <v>Pesado de Mercadorias N3:  : Gasóleo : E5</v>
      </c>
      <c r="K6494" s="422">
        <v>2023</v>
      </c>
      <c r="L6494">
        <v>26916.9</v>
      </c>
      <c r="M6494" t="s">
        <v>630</v>
      </c>
      <c r="N6494" s="131">
        <v>70820</v>
      </c>
      <c r="Q6494" t="s">
        <v>2201</v>
      </c>
      <c r="R6494" s="422" t="s">
        <v>1869</v>
      </c>
      <c r="S6494" s="422" t="s">
        <v>1861</v>
      </c>
      <c r="T6494" s="427" t="s">
        <v>1926</v>
      </c>
      <c r="U6494" s="422" t="s">
        <v>1953</v>
      </c>
      <c r="V6494" s="422" t="s">
        <v>2813</v>
      </c>
    </row>
    <row r="6495" spans="1:22" ht="15.75" thickBot="1" x14ac:dyDescent="0.3">
      <c r="A6495" t="s">
        <v>1915</v>
      </c>
      <c r="B6495" t="s">
        <v>1915</v>
      </c>
      <c r="C6495" s="424" t="str">
        <f t="shared" si="278"/>
        <v>Rodo Cargo, S.A.</v>
      </c>
      <c r="D6495" s="422" t="s">
        <v>1920</v>
      </c>
      <c r="E6495" s="422"/>
      <c r="F6495" s="422" t="s">
        <v>620</v>
      </c>
      <c r="G6495" s="89">
        <v>2006</v>
      </c>
      <c r="H6495" s="313" t="s">
        <v>734</v>
      </c>
      <c r="I6495" s="311" t="str">
        <f t="shared" si="277"/>
        <v>Pesado de Mercadorias N3:  : Gasóleo : E5</v>
      </c>
      <c r="K6495" s="422">
        <v>2023</v>
      </c>
      <c r="L6495">
        <v>45062.02</v>
      </c>
      <c r="M6495" t="s">
        <v>630</v>
      </c>
      <c r="N6495" s="131">
        <v>119576</v>
      </c>
      <c r="Q6495" t="s">
        <v>2201</v>
      </c>
      <c r="R6495" s="422" t="s">
        <v>1869</v>
      </c>
      <c r="S6495" s="422" t="s">
        <v>1861</v>
      </c>
      <c r="T6495" s="427" t="s">
        <v>1926</v>
      </c>
      <c r="U6495" s="422" t="s">
        <v>1953</v>
      </c>
      <c r="V6495" s="422" t="s">
        <v>2813</v>
      </c>
    </row>
    <row r="6496" spans="1:22" ht="15.75" thickBot="1" x14ac:dyDescent="0.3">
      <c r="A6496" t="s">
        <v>1915</v>
      </c>
      <c r="B6496" t="s">
        <v>1915</v>
      </c>
      <c r="C6496" s="424" t="str">
        <f t="shared" si="278"/>
        <v>Rodo Cargo, S.A.</v>
      </c>
      <c r="D6496" s="422" t="s">
        <v>1920</v>
      </c>
      <c r="E6496" s="422"/>
      <c r="F6496" s="422" t="s">
        <v>620</v>
      </c>
      <c r="G6496" s="89">
        <v>2006</v>
      </c>
      <c r="H6496" s="313" t="s">
        <v>734</v>
      </c>
      <c r="I6496" s="311" t="str">
        <f t="shared" si="277"/>
        <v>Pesado de Mercadorias N3:  : Gasóleo : E5</v>
      </c>
      <c r="K6496" s="422">
        <v>2023</v>
      </c>
      <c r="L6496">
        <v>25490.65</v>
      </c>
      <c r="M6496" t="s">
        <v>630</v>
      </c>
      <c r="N6496" s="131">
        <v>64281</v>
      </c>
      <c r="Q6496" t="s">
        <v>2201</v>
      </c>
      <c r="R6496" s="422" t="s">
        <v>1869</v>
      </c>
      <c r="S6496" s="422" t="s">
        <v>1861</v>
      </c>
      <c r="T6496" s="427" t="s">
        <v>1926</v>
      </c>
      <c r="U6496" s="422" t="s">
        <v>1953</v>
      </c>
      <c r="V6496" s="422" t="s">
        <v>2813</v>
      </c>
    </row>
    <row r="6497" spans="1:22" ht="15.75" thickBot="1" x14ac:dyDescent="0.3">
      <c r="A6497" t="s">
        <v>1915</v>
      </c>
      <c r="B6497" t="s">
        <v>1915</v>
      </c>
      <c r="C6497" s="424" t="str">
        <f t="shared" si="278"/>
        <v>Rodo Cargo, S.A.</v>
      </c>
      <c r="D6497" s="422" t="s">
        <v>1920</v>
      </c>
      <c r="E6497" s="422"/>
      <c r="F6497" s="422" t="s">
        <v>620</v>
      </c>
      <c r="G6497" s="89">
        <v>2006</v>
      </c>
      <c r="H6497" s="313" t="s">
        <v>732</v>
      </c>
      <c r="I6497" s="311" t="str">
        <f t="shared" si="277"/>
        <v>Pesado de Mercadorias N3:  : Gasóleo : E3</v>
      </c>
      <c r="K6497" s="422">
        <v>2023</v>
      </c>
      <c r="L6497">
        <v>2272.38</v>
      </c>
      <c r="M6497" t="s">
        <v>630</v>
      </c>
      <c r="N6497" s="131">
        <v>8821</v>
      </c>
      <c r="Q6497" t="s">
        <v>2201</v>
      </c>
      <c r="R6497" s="422" t="s">
        <v>1869</v>
      </c>
      <c r="S6497" s="422" t="s">
        <v>1861</v>
      </c>
      <c r="T6497" s="427" t="s">
        <v>1926</v>
      </c>
      <c r="U6497" s="422" t="s">
        <v>1953</v>
      </c>
      <c r="V6497" s="422" t="s">
        <v>2813</v>
      </c>
    </row>
    <row r="6498" spans="1:22" ht="15.75" thickBot="1" x14ac:dyDescent="0.3">
      <c r="A6498" t="s">
        <v>1915</v>
      </c>
      <c r="B6498" t="s">
        <v>1915</v>
      </c>
      <c r="C6498" s="424" t="str">
        <f t="shared" si="278"/>
        <v>Rodo Cargo, S.A.</v>
      </c>
      <c r="D6498" s="422" t="s">
        <v>1920</v>
      </c>
      <c r="E6498" s="422"/>
      <c r="F6498" s="422" t="s">
        <v>620</v>
      </c>
      <c r="G6498" s="89">
        <v>2006</v>
      </c>
      <c r="H6498" s="313" t="s">
        <v>732</v>
      </c>
      <c r="I6498" s="311" t="str">
        <f t="shared" ref="I6498:I6561" si="280">D6498&amp;": "&amp;E6498&amp;" : "&amp;F6498&amp;" : "&amp;H6498</f>
        <v>Pesado de Mercadorias N3:  : Gasóleo : E3</v>
      </c>
      <c r="K6498" s="422">
        <v>2023</v>
      </c>
      <c r="L6498">
        <v>18027.53</v>
      </c>
      <c r="M6498" t="s">
        <v>630</v>
      </c>
      <c r="N6498" s="131">
        <v>72450</v>
      </c>
      <c r="Q6498" t="s">
        <v>2201</v>
      </c>
      <c r="R6498" s="422" t="s">
        <v>1869</v>
      </c>
      <c r="S6498" s="422" t="s">
        <v>1861</v>
      </c>
      <c r="T6498" s="427" t="s">
        <v>1926</v>
      </c>
      <c r="U6498" s="422" t="s">
        <v>1953</v>
      </c>
      <c r="V6498" s="422" t="s">
        <v>2813</v>
      </c>
    </row>
    <row r="6499" spans="1:22" ht="15.75" thickBot="1" x14ac:dyDescent="0.3">
      <c r="A6499" t="s">
        <v>1915</v>
      </c>
      <c r="B6499" t="s">
        <v>1915</v>
      </c>
      <c r="C6499" s="424" t="str">
        <f t="shared" si="278"/>
        <v>Rodo Cargo, S.A.</v>
      </c>
      <c r="D6499" s="422" t="s">
        <v>1920</v>
      </c>
      <c r="E6499" s="422"/>
      <c r="F6499" s="422" t="s">
        <v>620</v>
      </c>
      <c r="G6499" s="89">
        <v>2006</v>
      </c>
      <c r="H6499" s="313" t="s">
        <v>732</v>
      </c>
      <c r="I6499" s="311" t="str">
        <f t="shared" si="280"/>
        <v>Pesado de Mercadorias N3:  : Gasóleo : E3</v>
      </c>
      <c r="K6499" s="422">
        <v>2023</v>
      </c>
      <c r="L6499">
        <v>10457.629999999999</v>
      </c>
      <c r="M6499" t="s">
        <v>630</v>
      </c>
      <c r="N6499" s="131">
        <v>36136</v>
      </c>
      <c r="Q6499" t="s">
        <v>2201</v>
      </c>
      <c r="R6499" s="422" t="s">
        <v>1869</v>
      </c>
      <c r="S6499" s="422" t="s">
        <v>1861</v>
      </c>
      <c r="T6499" s="427" t="s">
        <v>1926</v>
      </c>
      <c r="U6499" s="422" t="s">
        <v>1953</v>
      </c>
      <c r="V6499" s="422" t="s">
        <v>2813</v>
      </c>
    </row>
    <row r="6500" spans="1:22" ht="15.75" thickBot="1" x14ac:dyDescent="0.3">
      <c r="A6500" t="s">
        <v>1915</v>
      </c>
      <c r="B6500" t="s">
        <v>1915</v>
      </c>
      <c r="C6500" s="424" t="str">
        <f t="shared" si="278"/>
        <v>Rodo Cargo, S.A.</v>
      </c>
      <c r="D6500" s="422" t="s">
        <v>1920</v>
      </c>
      <c r="E6500" s="422"/>
      <c r="F6500" s="422" t="s">
        <v>620</v>
      </c>
      <c r="G6500" s="89">
        <v>2006</v>
      </c>
      <c r="H6500" s="313" t="s">
        <v>732</v>
      </c>
      <c r="I6500" s="311" t="str">
        <f t="shared" si="280"/>
        <v>Pesado de Mercadorias N3:  : Gasóleo : E3</v>
      </c>
      <c r="K6500" s="422">
        <v>2023</v>
      </c>
      <c r="L6500">
        <v>39225.339999999997</v>
      </c>
      <c r="M6500" t="s">
        <v>630</v>
      </c>
      <c r="N6500" s="131">
        <v>101829</v>
      </c>
      <c r="Q6500" t="s">
        <v>2201</v>
      </c>
      <c r="R6500" s="422" t="s">
        <v>1869</v>
      </c>
      <c r="S6500" s="422" t="s">
        <v>1861</v>
      </c>
      <c r="T6500" s="427" t="s">
        <v>1926</v>
      </c>
      <c r="U6500" s="422" t="s">
        <v>1953</v>
      </c>
      <c r="V6500" s="422" t="s">
        <v>2813</v>
      </c>
    </row>
    <row r="6501" spans="1:22" ht="15.75" thickBot="1" x14ac:dyDescent="0.3">
      <c r="A6501" t="s">
        <v>1915</v>
      </c>
      <c r="B6501" t="s">
        <v>1915</v>
      </c>
      <c r="C6501" s="424" t="str">
        <f t="shared" si="278"/>
        <v>Rodo Cargo, S.A.</v>
      </c>
      <c r="D6501" s="422" t="s">
        <v>1920</v>
      </c>
      <c r="E6501" s="422"/>
      <c r="F6501" s="422" t="s">
        <v>620</v>
      </c>
      <c r="G6501" s="89">
        <v>2006</v>
      </c>
      <c r="H6501" s="313" t="s">
        <v>732</v>
      </c>
      <c r="I6501" s="311" t="str">
        <f t="shared" si="280"/>
        <v>Pesado de Mercadorias N3:  : Gasóleo : E3</v>
      </c>
      <c r="K6501" s="422">
        <v>2023</v>
      </c>
      <c r="L6501">
        <v>29949.53</v>
      </c>
      <c r="M6501" t="s">
        <v>630</v>
      </c>
      <c r="N6501" s="131">
        <v>71817</v>
      </c>
      <c r="Q6501" t="s">
        <v>2201</v>
      </c>
      <c r="R6501" s="422" t="s">
        <v>1869</v>
      </c>
      <c r="S6501" s="422" t="s">
        <v>1861</v>
      </c>
      <c r="T6501" s="427" t="s">
        <v>1926</v>
      </c>
      <c r="U6501" s="422" t="s">
        <v>1953</v>
      </c>
      <c r="V6501" s="422" t="s">
        <v>2813</v>
      </c>
    </row>
    <row r="6502" spans="1:22" ht="15.75" thickBot="1" x14ac:dyDescent="0.3">
      <c r="A6502" t="s">
        <v>1915</v>
      </c>
      <c r="B6502" t="s">
        <v>1915</v>
      </c>
      <c r="C6502" s="424" t="str">
        <f t="shared" si="278"/>
        <v>Rodo Cargo, S.A.</v>
      </c>
      <c r="D6502" s="422" t="s">
        <v>1920</v>
      </c>
      <c r="E6502" s="422"/>
      <c r="F6502" s="422" t="s">
        <v>620</v>
      </c>
      <c r="G6502" s="89">
        <v>2006</v>
      </c>
      <c r="H6502" s="313" t="s">
        <v>732</v>
      </c>
      <c r="I6502" s="311" t="str">
        <f t="shared" si="280"/>
        <v>Pesado de Mercadorias N3:  : Gasóleo : E3</v>
      </c>
      <c r="K6502" s="422">
        <v>2023</v>
      </c>
      <c r="L6502">
        <v>40815.43</v>
      </c>
      <c r="M6502" t="s">
        <v>630</v>
      </c>
      <c r="N6502" s="131">
        <v>109312</v>
      </c>
      <c r="Q6502" t="s">
        <v>2201</v>
      </c>
      <c r="R6502" s="422" t="s">
        <v>1869</v>
      </c>
      <c r="S6502" s="422" t="s">
        <v>1861</v>
      </c>
      <c r="T6502" s="427" t="s">
        <v>1926</v>
      </c>
      <c r="U6502" s="422" t="s">
        <v>1953</v>
      </c>
      <c r="V6502" s="422" t="s">
        <v>2813</v>
      </c>
    </row>
    <row r="6503" spans="1:22" ht="15.75" thickBot="1" x14ac:dyDescent="0.3">
      <c r="A6503" t="s">
        <v>1915</v>
      </c>
      <c r="B6503" t="s">
        <v>1915</v>
      </c>
      <c r="C6503" s="424" t="str">
        <f t="shared" si="278"/>
        <v>Rodo Cargo, S.A.</v>
      </c>
      <c r="D6503" s="422" t="s">
        <v>1920</v>
      </c>
      <c r="E6503" s="422"/>
      <c r="F6503" s="422" t="s">
        <v>620</v>
      </c>
      <c r="G6503" s="89">
        <v>2006</v>
      </c>
      <c r="H6503" s="313" t="s">
        <v>732</v>
      </c>
      <c r="I6503" s="311" t="str">
        <f t="shared" si="280"/>
        <v>Pesado de Mercadorias N3:  : Gasóleo : E3</v>
      </c>
      <c r="K6503" s="422">
        <v>2023</v>
      </c>
      <c r="L6503">
        <v>28912.15</v>
      </c>
      <c r="M6503" t="s">
        <v>630</v>
      </c>
      <c r="N6503" s="131">
        <v>72503</v>
      </c>
      <c r="Q6503" t="s">
        <v>2201</v>
      </c>
      <c r="R6503" s="422" t="s">
        <v>1869</v>
      </c>
      <c r="S6503" s="422" t="s">
        <v>1861</v>
      </c>
      <c r="T6503" s="427" t="s">
        <v>1926</v>
      </c>
      <c r="U6503" s="422" t="s">
        <v>1953</v>
      </c>
      <c r="V6503" s="422" t="s">
        <v>2813</v>
      </c>
    </row>
    <row r="6504" spans="1:22" ht="15.75" thickBot="1" x14ac:dyDescent="0.3">
      <c r="A6504" t="s">
        <v>1915</v>
      </c>
      <c r="B6504" t="s">
        <v>1915</v>
      </c>
      <c r="C6504" s="424" t="str">
        <f t="shared" si="278"/>
        <v>Rodo Cargo, S.A.</v>
      </c>
      <c r="D6504" s="422" t="s">
        <v>1920</v>
      </c>
      <c r="E6504" s="422"/>
      <c r="F6504" s="422" t="s">
        <v>620</v>
      </c>
      <c r="G6504" s="89">
        <v>2006</v>
      </c>
      <c r="H6504" s="313" t="s">
        <v>732</v>
      </c>
      <c r="I6504" s="311" t="str">
        <f t="shared" si="280"/>
        <v>Pesado de Mercadorias N3:  : Gasóleo : E3</v>
      </c>
      <c r="K6504" s="422">
        <v>2023</v>
      </c>
      <c r="L6504">
        <v>36269.879999999997</v>
      </c>
      <c r="M6504" t="s">
        <v>630</v>
      </c>
      <c r="N6504" s="131">
        <v>94574</v>
      </c>
      <c r="Q6504" t="s">
        <v>2201</v>
      </c>
      <c r="R6504" s="422" t="s">
        <v>1869</v>
      </c>
      <c r="S6504" s="422" t="s">
        <v>1861</v>
      </c>
      <c r="T6504" s="427" t="s">
        <v>1926</v>
      </c>
      <c r="U6504" s="422" t="s">
        <v>1953</v>
      </c>
      <c r="V6504" s="422" t="s">
        <v>2813</v>
      </c>
    </row>
    <row r="6505" spans="1:22" ht="15.75" thickBot="1" x14ac:dyDescent="0.3">
      <c r="A6505" t="s">
        <v>1915</v>
      </c>
      <c r="B6505" t="s">
        <v>1915</v>
      </c>
      <c r="C6505" s="424" t="str">
        <f t="shared" si="278"/>
        <v>Rodo Cargo, S.A.</v>
      </c>
      <c r="D6505" s="422" t="s">
        <v>1920</v>
      </c>
      <c r="E6505" s="422"/>
      <c r="F6505" s="422" t="s">
        <v>620</v>
      </c>
      <c r="G6505" s="89">
        <v>2006</v>
      </c>
      <c r="H6505" s="313" t="s">
        <v>732</v>
      </c>
      <c r="I6505" s="311" t="str">
        <f t="shared" si="280"/>
        <v>Pesado de Mercadorias N3:  : Gasóleo : E3</v>
      </c>
      <c r="K6505" s="422">
        <v>2023</v>
      </c>
      <c r="L6505">
        <v>12974.44</v>
      </c>
      <c r="M6505" t="s">
        <v>630</v>
      </c>
      <c r="N6505" s="131">
        <v>33338</v>
      </c>
      <c r="Q6505" t="s">
        <v>2201</v>
      </c>
      <c r="R6505" s="422" t="s">
        <v>1869</v>
      </c>
      <c r="S6505" s="422" t="s">
        <v>1861</v>
      </c>
      <c r="T6505" s="427" t="s">
        <v>1926</v>
      </c>
      <c r="U6505" s="422" t="s">
        <v>1953</v>
      </c>
      <c r="V6505" s="422" t="s">
        <v>2813</v>
      </c>
    </row>
    <row r="6506" spans="1:22" ht="15.75" thickBot="1" x14ac:dyDescent="0.3">
      <c r="A6506" t="s">
        <v>1915</v>
      </c>
      <c r="B6506" t="s">
        <v>1915</v>
      </c>
      <c r="C6506" s="424" t="str">
        <f t="shared" si="278"/>
        <v>Rodo Cargo, S.A.</v>
      </c>
      <c r="D6506" s="422" t="s">
        <v>1920</v>
      </c>
      <c r="E6506" s="422"/>
      <c r="F6506" s="422" t="s">
        <v>620</v>
      </c>
      <c r="G6506" s="89">
        <v>2006</v>
      </c>
      <c r="H6506" s="313" t="s">
        <v>732</v>
      </c>
      <c r="I6506" s="311" t="str">
        <f t="shared" si="280"/>
        <v>Pesado de Mercadorias N3:  : Gasóleo : E3</v>
      </c>
      <c r="K6506" s="422">
        <v>2023</v>
      </c>
      <c r="L6506">
        <v>32258.03</v>
      </c>
      <c r="M6506" t="s">
        <v>630</v>
      </c>
      <c r="N6506" s="131">
        <v>78764</v>
      </c>
      <c r="Q6506" t="s">
        <v>2201</v>
      </c>
      <c r="R6506" s="422" t="s">
        <v>1869</v>
      </c>
      <c r="S6506" s="422" t="s">
        <v>1861</v>
      </c>
      <c r="T6506" s="427" t="s">
        <v>1926</v>
      </c>
      <c r="U6506" s="422" t="s">
        <v>1953</v>
      </c>
      <c r="V6506" s="422" t="s">
        <v>2813</v>
      </c>
    </row>
    <row r="6507" spans="1:22" ht="15.75" thickBot="1" x14ac:dyDescent="0.3">
      <c r="A6507" t="s">
        <v>1915</v>
      </c>
      <c r="B6507" t="s">
        <v>1915</v>
      </c>
      <c r="C6507" s="424" t="str">
        <f t="shared" si="278"/>
        <v>Rodo Cargo, S.A.</v>
      </c>
      <c r="D6507" s="422" t="s">
        <v>1920</v>
      </c>
      <c r="E6507" s="422"/>
      <c r="F6507" s="422" t="s">
        <v>620</v>
      </c>
      <c r="G6507" s="89">
        <v>2006</v>
      </c>
      <c r="H6507" s="313" t="s">
        <v>732</v>
      </c>
      <c r="I6507" s="311" t="str">
        <f t="shared" si="280"/>
        <v>Pesado de Mercadorias N3:  : Gasóleo : E3</v>
      </c>
      <c r="K6507" s="422">
        <v>2023</v>
      </c>
      <c r="L6507">
        <v>25062.13</v>
      </c>
      <c r="M6507" t="s">
        <v>630</v>
      </c>
      <c r="N6507" s="131">
        <v>65194</v>
      </c>
      <c r="Q6507" t="s">
        <v>2201</v>
      </c>
      <c r="R6507" s="422" t="s">
        <v>1869</v>
      </c>
      <c r="S6507" s="422" t="s">
        <v>1861</v>
      </c>
      <c r="T6507" s="427" t="s">
        <v>1926</v>
      </c>
      <c r="U6507" s="422" t="s">
        <v>1953</v>
      </c>
      <c r="V6507" s="422" t="s">
        <v>2813</v>
      </c>
    </row>
    <row r="6508" spans="1:22" ht="15.75" thickBot="1" x14ac:dyDescent="0.3">
      <c r="A6508" t="s">
        <v>1915</v>
      </c>
      <c r="B6508" t="s">
        <v>1915</v>
      </c>
      <c r="C6508" s="424" t="str">
        <f t="shared" si="278"/>
        <v>Rodo Cargo, S.A.</v>
      </c>
      <c r="D6508" s="422" t="s">
        <v>1920</v>
      </c>
      <c r="E6508" s="422"/>
      <c r="F6508" s="422" t="s">
        <v>620</v>
      </c>
      <c r="G6508" s="89">
        <v>2007</v>
      </c>
      <c r="H6508" s="313" t="s">
        <v>734</v>
      </c>
      <c r="I6508" s="311" t="str">
        <f t="shared" si="280"/>
        <v>Pesado de Mercadorias N3:  : Gasóleo : E5</v>
      </c>
      <c r="K6508" s="422">
        <v>2023</v>
      </c>
      <c r="L6508">
        <v>26558.63</v>
      </c>
      <c r="M6508" t="s">
        <v>630</v>
      </c>
      <c r="N6508" s="131">
        <v>66794</v>
      </c>
      <c r="Q6508" t="s">
        <v>2201</v>
      </c>
      <c r="R6508" s="422" t="s">
        <v>1869</v>
      </c>
      <c r="S6508" s="422" t="s">
        <v>1861</v>
      </c>
      <c r="T6508" s="427" t="s">
        <v>1926</v>
      </c>
      <c r="U6508" s="422" t="s">
        <v>1953</v>
      </c>
      <c r="V6508" s="422" t="s">
        <v>2813</v>
      </c>
    </row>
    <row r="6509" spans="1:22" ht="15.75" thickBot="1" x14ac:dyDescent="0.3">
      <c r="A6509" t="s">
        <v>1915</v>
      </c>
      <c r="B6509" t="s">
        <v>1915</v>
      </c>
      <c r="C6509" s="424" t="str">
        <f t="shared" si="278"/>
        <v>Rodo Cargo, S.A.</v>
      </c>
      <c r="D6509" s="422" t="s">
        <v>1920</v>
      </c>
      <c r="E6509" s="422"/>
      <c r="F6509" s="422" t="s">
        <v>620</v>
      </c>
      <c r="G6509" s="89">
        <v>2007</v>
      </c>
      <c r="H6509" s="313" t="s">
        <v>734</v>
      </c>
      <c r="I6509" s="311" t="str">
        <f t="shared" si="280"/>
        <v>Pesado de Mercadorias N3:  : Gasóleo : E5</v>
      </c>
      <c r="K6509" s="422">
        <v>2023</v>
      </c>
      <c r="L6509">
        <v>37720.53</v>
      </c>
      <c r="M6509" t="s">
        <v>630</v>
      </c>
      <c r="N6509" s="131">
        <v>97627</v>
      </c>
      <c r="Q6509" t="s">
        <v>2201</v>
      </c>
      <c r="R6509" s="422" t="s">
        <v>1869</v>
      </c>
      <c r="S6509" s="422" t="s">
        <v>1861</v>
      </c>
      <c r="T6509" s="427" t="s">
        <v>1926</v>
      </c>
      <c r="U6509" s="422" t="s">
        <v>1953</v>
      </c>
      <c r="V6509" s="422" t="s">
        <v>2813</v>
      </c>
    </row>
    <row r="6510" spans="1:22" ht="15.75" thickBot="1" x14ac:dyDescent="0.3">
      <c r="A6510" t="s">
        <v>1915</v>
      </c>
      <c r="B6510" t="s">
        <v>1915</v>
      </c>
      <c r="C6510" s="424" t="str">
        <f t="shared" si="278"/>
        <v>Rodo Cargo, S.A.</v>
      </c>
      <c r="D6510" s="422" t="s">
        <v>1920</v>
      </c>
      <c r="E6510" s="422"/>
      <c r="F6510" s="422" t="s">
        <v>620</v>
      </c>
      <c r="G6510" s="89">
        <v>2007</v>
      </c>
      <c r="H6510" s="313" t="s">
        <v>734</v>
      </c>
      <c r="I6510" s="311" t="str">
        <f t="shared" si="280"/>
        <v>Pesado de Mercadorias N3:  : Gasóleo : E5</v>
      </c>
      <c r="K6510" s="422">
        <v>2023</v>
      </c>
      <c r="L6510">
        <v>5893.35</v>
      </c>
      <c r="M6510" t="s">
        <v>630</v>
      </c>
      <c r="N6510" s="131">
        <v>14671</v>
      </c>
      <c r="Q6510" t="s">
        <v>2201</v>
      </c>
      <c r="R6510" s="422" t="s">
        <v>1869</v>
      </c>
      <c r="S6510" s="422" t="s">
        <v>1861</v>
      </c>
      <c r="T6510" s="427" t="s">
        <v>1926</v>
      </c>
      <c r="U6510" s="422" t="s">
        <v>1953</v>
      </c>
      <c r="V6510" s="422" t="s">
        <v>2813</v>
      </c>
    </row>
    <row r="6511" spans="1:22" ht="15.75" thickBot="1" x14ac:dyDescent="0.3">
      <c r="A6511" t="s">
        <v>1915</v>
      </c>
      <c r="B6511" t="s">
        <v>1915</v>
      </c>
      <c r="C6511" s="424" t="str">
        <f t="shared" si="278"/>
        <v>Rodo Cargo, S.A.</v>
      </c>
      <c r="D6511" s="422" t="s">
        <v>1920</v>
      </c>
      <c r="E6511" s="422"/>
      <c r="F6511" s="422" t="s">
        <v>620</v>
      </c>
      <c r="G6511" s="89">
        <v>2007</v>
      </c>
      <c r="H6511" s="313" t="s">
        <v>734</v>
      </c>
      <c r="I6511" s="311" t="str">
        <f t="shared" si="280"/>
        <v>Pesado de Mercadorias N3:  : Gasóleo : E5</v>
      </c>
      <c r="K6511" s="422">
        <v>2023</v>
      </c>
      <c r="L6511">
        <v>17733.89</v>
      </c>
      <c r="M6511" t="s">
        <v>630</v>
      </c>
      <c r="N6511" s="131">
        <v>38392</v>
      </c>
      <c r="Q6511" t="s">
        <v>2201</v>
      </c>
      <c r="R6511" s="422" t="s">
        <v>1869</v>
      </c>
      <c r="S6511" s="422" t="s">
        <v>1861</v>
      </c>
      <c r="T6511" s="427" t="s">
        <v>1926</v>
      </c>
      <c r="U6511" s="422" t="s">
        <v>1953</v>
      </c>
      <c r="V6511" s="422" t="s">
        <v>2813</v>
      </c>
    </row>
    <row r="6512" spans="1:22" ht="15.75" thickBot="1" x14ac:dyDescent="0.3">
      <c r="A6512" t="s">
        <v>1915</v>
      </c>
      <c r="B6512" t="s">
        <v>1915</v>
      </c>
      <c r="C6512" s="424" t="str">
        <f t="shared" si="278"/>
        <v>Rodo Cargo, S.A.</v>
      </c>
      <c r="D6512" s="422" t="s">
        <v>1920</v>
      </c>
      <c r="E6512" s="422"/>
      <c r="F6512" s="422" t="s">
        <v>620</v>
      </c>
      <c r="G6512" s="89">
        <v>2007</v>
      </c>
      <c r="H6512" s="313" t="s">
        <v>734</v>
      </c>
      <c r="I6512" s="311" t="str">
        <f t="shared" si="280"/>
        <v>Pesado de Mercadorias N3:  : Gasóleo : E5</v>
      </c>
      <c r="K6512" s="422">
        <v>2023</v>
      </c>
      <c r="L6512">
        <v>31097.119999999999</v>
      </c>
      <c r="M6512" t="s">
        <v>630</v>
      </c>
      <c r="N6512" s="131">
        <v>74509</v>
      </c>
      <c r="Q6512" t="s">
        <v>2201</v>
      </c>
      <c r="R6512" s="422" t="s">
        <v>1869</v>
      </c>
      <c r="S6512" s="422" t="s">
        <v>1861</v>
      </c>
      <c r="T6512" s="427" t="s">
        <v>1926</v>
      </c>
      <c r="U6512" s="422" t="s">
        <v>1953</v>
      </c>
      <c r="V6512" s="422" t="s">
        <v>2813</v>
      </c>
    </row>
    <row r="6513" spans="1:22" ht="15.75" thickBot="1" x14ac:dyDescent="0.3">
      <c r="A6513" t="s">
        <v>1915</v>
      </c>
      <c r="B6513" t="s">
        <v>1915</v>
      </c>
      <c r="C6513" s="424" t="str">
        <f t="shared" si="278"/>
        <v>Rodo Cargo, S.A.</v>
      </c>
      <c r="D6513" s="422" t="s">
        <v>1920</v>
      </c>
      <c r="E6513" s="422"/>
      <c r="F6513" s="422" t="s">
        <v>620</v>
      </c>
      <c r="G6513" s="89">
        <v>2007</v>
      </c>
      <c r="H6513" s="313" t="s">
        <v>734</v>
      </c>
      <c r="I6513" s="311" t="str">
        <f t="shared" si="280"/>
        <v>Pesado de Mercadorias N3:  : Gasóleo : E5</v>
      </c>
      <c r="K6513" s="422">
        <v>2023</v>
      </c>
      <c r="L6513">
        <v>21416.54</v>
      </c>
      <c r="M6513" t="s">
        <v>630</v>
      </c>
      <c r="N6513" s="131">
        <v>53136</v>
      </c>
      <c r="Q6513" t="s">
        <v>2201</v>
      </c>
      <c r="R6513" s="422" t="s">
        <v>1869</v>
      </c>
      <c r="S6513" s="422" t="s">
        <v>1861</v>
      </c>
      <c r="T6513" s="427" t="s">
        <v>1926</v>
      </c>
      <c r="U6513" s="422" t="s">
        <v>1953</v>
      </c>
      <c r="V6513" s="422" t="s">
        <v>2813</v>
      </c>
    </row>
    <row r="6514" spans="1:22" ht="15.75" thickBot="1" x14ac:dyDescent="0.3">
      <c r="A6514" t="s">
        <v>1915</v>
      </c>
      <c r="B6514" t="s">
        <v>1915</v>
      </c>
      <c r="C6514" s="424" t="str">
        <f t="shared" ref="C6514:C6577" si="281">IF(A6514=B6514,B6514,RIGHT(A6514,LEN(A6514)-LEN(B6514)-3))</f>
        <v>Rodo Cargo, S.A.</v>
      </c>
      <c r="D6514" s="422" t="s">
        <v>1920</v>
      </c>
      <c r="E6514" s="422"/>
      <c r="F6514" s="422" t="s">
        <v>620</v>
      </c>
      <c r="G6514" s="89">
        <v>2007</v>
      </c>
      <c r="H6514" s="313" t="s">
        <v>734</v>
      </c>
      <c r="I6514" s="311" t="str">
        <f t="shared" si="280"/>
        <v>Pesado de Mercadorias N3:  : Gasóleo : E5</v>
      </c>
      <c r="K6514" s="422">
        <v>2023</v>
      </c>
      <c r="L6514">
        <v>24576.14</v>
      </c>
      <c r="M6514" t="s">
        <v>630</v>
      </c>
      <c r="N6514" s="131">
        <v>60793</v>
      </c>
      <c r="Q6514" t="s">
        <v>2201</v>
      </c>
      <c r="R6514" s="422" t="s">
        <v>1869</v>
      </c>
      <c r="S6514" s="422" t="s">
        <v>1861</v>
      </c>
      <c r="T6514" s="427" t="s">
        <v>1926</v>
      </c>
      <c r="U6514" s="422" t="s">
        <v>1953</v>
      </c>
      <c r="V6514" s="422" t="s">
        <v>2813</v>
      </c>
    </row>
    <row r="6515" spans="1:22" ht="15.75" thickBot="1" x14ac:dyDescent="0.3">
      <c r="A6515" t="s">
        <v>1915</v>
      </c>
      <c r="B6515" t="s">
        <v>1915</v>
      </c>
      <c r="C6515" s="424" t="str">
        <f t="shared" si="281"/>
        <v>Rodo Cargo, S.A.</v>
      </c>
      <c r="D6515" s="422" t="s">
        <v>1920</v>
      </c>
      <c r="E6515" s="422"/>
      <c r="F6515" s="422" t="s">
        <v>620</v>
      </c>
      <c r="G6515" s="89">
        <v>2007</v>
      </c>
      <c r="H6515" s="313" t="s">
        <v>734</v>
      </c>
      <c r="I6515" s="311" t="str">
        <f t="shared" si="280"/>
        <v>Pesado de Mercadorias N3:  : Gasóleo : E5</v>
      </c>
      <c r="K6515" s="422">
        <v>2023</v>
      </c>
      <c r="L6515">
        <v>34934.839999999997</v>
      </c>
      <c r="M6515" t="s">
        <v>630</v>
      </c>
      <c r="N6515" s="131">
        <v>85410</v>
      </c>
      <c r="Q6515" t="s">
        <v>2201</v>
      </c>
      <c r="R6515" s="422" t="s">
        <v>1869</v>
      </c>
      <c r="S6515" s="422" t="s">
        <v>1861</v>
      </c>
      <c r="T6515" s="427" t="s">
        <v>1926</v>
      </c>
      <c r="U6515" s="422" t="s">
        <v>1953</v>
      </c>
      <c r="V6515" s="422" t="s">
        <v>2813</v>
      </c>
    </row>
    <row r="6516" spans="1:22" ht="15.75" thickBot="1" x14ac:dyDescent="0.3">
      <c r="A6516" t="s">
        <v>1915</v>
      </c>
      <c r="B6516" t="s">
        <v>1915</v>
      </c>
      <c r="C6516" s="424" t="str">
        <f t="shared" si="281"/>
        <v>Rodo Cargo, S.A.</v>
      </c>
      <c r="D6516" s="422" t="s">
        <v>1920</v>
      </c>
      <c r="E6516" s="422"/>
      <c r="F6516" s="422" t="s">
        <v>620</v>
      </c>
      <c r="G6516" s="89">
        <v>2007</v>
      </c>
      <c r="H6516" s="313" t="s">
        <v>734</v>
      </c>
      <c r="I6516" s="311" t="str">
        <f t="shared" si="280"/>
        <v>Pesado de Mercadorias N3:  : Gasóleo : E5</v>
      </c>
      <c r="K6516" s="422">
        <v>2023</v>
      </c>
      <c r="L6516">
        <v>28830.63</v>
      </c>
      <c r="M6516" t="s">
        <v>630</v>
      </c>
      <c r="N6516" s="131">
        <v>65714</v>
      </c>
      <c r="Q6516" t="s">
        <v>2201</v>
      </c>
      <c r="R6516" s="422" t="s">
        <v>1869</v>
      </c>
      <c r="S6516" s="422" t="s">
        <v>1861</v>
      </c>
      <c r="T6516" s="427" t="s">
        <v>1926</v>
      </c>
      <c r="U6516" s="422" t="s">
        <v>1953</v>
      </c>
      <c r="V6516" s="422" t="s">
        <v>2813</v>
      </c>
    </row>
    <row r="6517" spans="1:22" ht="15.75" thickBot="1" x14ac:dyDescent="0.3">
      <c r="A6517" t="s">
        <v>1915</v>
      </c>
      <c r="B6517" t="s">
        <v>1915</v>
      </c>
      <c r="C6517" s="424" t="str">
        <f t="shared" si="281"/>
        <v>Rodo Cargo, S.A.</v>
      </c>
      <c r="D6517" s="422" t="s">
        <v>1920</v>
      </c>
      <c r="E6517" s="422"/>
      <c r="F6517" s="422" t="s">
        <v>620</v>
      </c>
      <c r="G6517" s="89">
        <v>2007</v>
      </c>
      <c r="H6517" s="313" t="s">
        <v>734</v>
      </c>
      <c r="I6517" s="311" t="str">
        <f t="shared" si="280"/>
        <v>Pesado de Mercadorias N3:  : Gasóleo : E5</v>
      </c>
      <c r="K6517" s="422">
        <v>2023</v>
      </c>
      <c r="L6517">
        <v>27707.63</v>
      </c>
      <c r="M6517" t="s">
        <v>630</v>
      </c>
      <c r="N6517" s="131">
        <v>70613</v>
      </c>
      <c r="Q6517" t="s">
        <v>2201</v>
      </c>
      <c r="R6517" s="422" t="s">
        <v>1869</v>
      </c>
      <c r="S6517" s="422" t="s">
        <v>1861</v>
      </c>
      <c r="T6517" s="427" t="s">
        <v>1926</v>
      </c>
      <c r="U6517" s="422" t="s">
        <v>1953</v>
      </c>
      <c r="V6517" s="422" t="s">
        <v>2813</v>
      </c>
    </row>
    <row r="6518" spans="1:22" ht="15.75" thickBot="1" x14ac:dyDescent="0.3">
      <c r="A6518" t="s">
        <v>1915</v>
      </c>
      <c r="B6518" t="s">
        <v>1915</v>
      </c>
      <c r="C6518" s="424" t="str">
        <f t="shared" si="281"/>
        <v>Rodo Cargo, S.A.</v>
      </c>
      <c r="D6518" s="422" t="s">
        <v>1920</v>
      </c>
      <c r="E6518" s="422"/>
      <c r="F6518" s="422" t="s">
        <v>620</v>
      </c>
      <c r="G6518" s="89">
        <v>2009</v>
      </c>
      <c r="H6518" s="313" t="s">
        <v>734</v>
      </c>
      <c r="I6518" s="311" t="str">
        <f t="shared" si="280"/>
        <v>Pesado de Mercadorias N3:  : Gasóleo : E5</v>
      </c>
      <c r="K6518" s="422">
        <v>2023</v>
      </c>
      <c r="L6518">
        <v>20307.29</v>
      </c>
      <c r="M6518" t="s">
        <v>630</v>
      </c>
      <c r="N6518" s="131">
        <v>50469</v>
      </c>
      <c r="Q6518" t="s">
        <v>2201</v>
      </c>
      <c r="R6518" s="422" t="s">
        <v>1869</v>
      </c>
      <c r="S6518" s="422" t="s">
        <v>1861</v>
      </c>
      <c r="T6518" s="427" t="s">
        <v>1926</v>
      </c>
      <c r="U6518" s="422" t="s">
        <v>1953</v>
      </c>
      <c r="V6518" s="422" t="s">
        <v>2813</v>
      </c>
    </row>
    <row r="6519" spans="1:22" ht="15.75" thickBot="1" x14ac:dyDescent="0.3">
      <c r="A6519" t="s">
        <v>1915</v>
      </c>
      <c r="B6519" t="s">
        <v>1915</v>
      </c>
      <c r="C6519" s="424" t="str">
        <f t="shared" si="281"/>
        <v>Rodo Cargo, S.A.</v>
      </c>
      <c r="D6519" s="422" t="s">
        <v>1920</v>
      </c>
      <c r="E6519" s="422"/>
      <c r="F6519" s="422" t="s">
        <v>620</v>
      </c>
      <c r="G6519" s="89">
        <v>2013</v>
      </c>
      <c r="H6519" s="313" t="s">
        <v>734</v>
      </c>
      <c r="I6519" s="311" t="str">
        <f t="shared" si="280"/>
        <v>Pesado de Mercadorias N3:  : Gasóleo : E5</v>
      </c>
      <c r="K6519" s="422">
        <v>2023</v>
      </c>
      <c r="L6519">
        <v>18901.63</v>
      </c>
      <c r="M6519" t="s">
        <v>630</v>
      </c>
      <c r="N6519" s="131">
        <v>54042</v>
      </c>
      <c r="Q6519" t="s">
        <v>2201</v>
      </c>
      <c r="R6519" s="422" t="s">
        <v>1869</v>
      </c>
      <c r="S6519" s="422" t="s">
        <v>1861</v>
      </c>
      <c r="T6519" s="427" t="s">
        <v>1926</v>
      </c>
      <c r="U6519" s="422" t="s">
        <v>1953</v>
      </c>
      <c r="V6519" s="422" t="s">
        <v>2813</v>
      </c>
    </row>
    <row r="6520" spans="1:22" ht="15.75" thickBot="1" x14ac:dyDescent="0.3">
      <c r="A6520" t="s">
        <v>1915</v>
      </c>
      <c r="B6520" t="s">
        <v>1915</v>
      </c>
      <c r="C6520" s="424" t="str">
        <f t="shared" si="281"/>
        <v>Rodo Cargo, S.A.</v>
      </c>
      <c r="D6520" s="422" t="s">
        <v>1920</v>
      </c>
      <c r="E6520" s="422"/>
      <c r="F6520" s="422" t="s">
        <v>620</v>
      </c>
      <c r="G6520" s="89">
        <v>2013</v>
      </c>
      <c r="H6520" s="313" t="s">
        <v>734</v>
      </c>
      <c r="I6520" s="311" t="str">
        <f t="shared" si="280"/>
        <v>Pesado de Mercadorias N3:  : Gasóleo : E5</v>
      </c>
      <c r="K6520" s="422">
        <v>2023</v>
      </c>
      <c r="L6520">
        <v>24196.68</v>
      </c>
      <c r="M6520" t="s">
        <v>630</v>
      </c>
      <c r="N6520" s="131">
        <v>63399</v>
      </c>
      <c r="Q6520" t="s">
        <v>2201</v>
      </c>
      <c r="R6520" s="422" t="s">
        <v>1869</v>
      </c>
      <c r="S6520" s="422" t="s">
        <v>1861</v>
      </c>
      <c r="T6520" s="427" t="s">
        <v>1926</v>
      </c>
      <c r="U6520" s="422" t="s">
        <v>1953</v>
      </c>
      <c r="V6520" s="422" t="s">
        <v>2813</v>
      </c>
    </row>
    <row r="6521" spans="1:22" ht="15.75" thickBot="1" x14ac:dyDescent="0.3">
      <c r="A6521" t="s">
        <v>1915</v>
      </c>
      <c r="B6521" t="s">
        <v>1915</v>
      </c>
      <c r="C6521" s="424" t="str">
        <f t="shared" si="281"/>
        <v>Rodo Cargo, S.A.</v>
      </c>
      <c r="D6521" s="422" t="s">
        <v>1920</v>
      </c>
      <c r="E6521" s="422"/>
      <c r="F6521" s="422" t="s">
        <v>620</v>
      </c>
      <c r="G6521" s="89">
        <v>2013</v>
      </c>
      <c r="H6521" s="313" t="s">
        <v>734</v>
      </c>
      <c r="I6521" s="311" t="str">
        <f t="shared" si="280"/>
        <v>Pesado de Mercadorias N3:  : Gasóleo : E5</v>
      </c>
      <c r="K6521" s="422">
        <v>2023</v>
      </c>
      <c r="L6521">
        <v>35042.129999999997</v>
      </c>
      <c r="M6521" t="s">
        <v>630</v>
      </c>
      <c r="N6521" s="131">
        <v>87587</v>
      </c>
      <c r="Q6521" t="s">
        <v>2201</v>
      </c>
      <c r="R6521" s="422" t="s">
        <v>1869</v>
      </c>
      <c r="S6521" s="422" t="s">
        <v>1861</v>
      </c>
      <c r="T6521" s="427" t="s">
        <v>1926</v>
      </c>
      <c r="U6521" s="422" t="s">
        <v>1953</v>
      </c>
      <c r="V6521" s="422" t="s">
        <v>2813</v>
      </c>
    </row>
    <row r="6522" spans="1:22" ht="15.75" thickBot="1" x14ac:dyDescent="0.3">
      <c r="A6522" t="s">
        <v>1915</v>
      </c>
      <c r="B6522" t="s">
        <v>1915</v>
      </c>
      <c r="C6522" s="424" t="str">
        <f t="shared" si="281"/>
        <v>Rodo Cargo, S.A.</v>
      </c>
      <c r="D6522" s="422" t="s">
        <v>1920</v>
      </c>
      <c r="E6522" s="422"/>
      <c r="F6522" s="422" t="s">
        <v>620</v>
      </c>
      <c r="G6522" s="89">
        <v>2013</v>
      </c>
      <c r="H6522" s="313" t="s">
        <v>734</v>
      </c>
      <c r="I6522" s="311" t="str">
        <f t="shared" si="280"/>
        <v>Pesado de Mercadorias N3:  : Gasóleo : E5</v>
      </c>
      <c r="K6522" s="422">
        <v>2023</v>
      </c>
      <c r="L6522">
        <v>45611.16</v>
      </c>
      <c r="M6522" t="s">
        <v>630</v>
      </c>
      <c r="N6522" s="131">
        <v>121376</v>
      </c>
      <c r="Q6522" t="s">
        <v>2201</v>
      </c>
      <c r="R6522" s="422" t="s">
        <v>1869</v>
      </c>
      <c r="S6522" s="422" t="s">
        <v>1861</v>
      </c>
      <c r="T6522" s="427" t="s">
        <v>1926</v>
      </c>
      <c r="U6522" s="422" t="s">
        <v>1953</v>
      </c>
      <c r="V6522" s="422" t="s">
        <v>2813</v>
      </c>
    </row>
    <row r="6523" spans="1:22" ht="15.75" thickBot="1" x14ac:dyDescent="0.3">
      <c r="A6523" t="s">
        <v>1915</v>
      </c>
      <c r="B6523" t="s">
        <v>1915</v>
      </c>
      <c r="C6523" s="424" t="str">
        <f t="shared" si="281"/>
        <v>Rodo Cargo, S.A.</v>
      </c>
      <c r="D6523" s="422" t="s">
        <v>1920</v>
      </c>
      <c r="E6523" s="422"/>
      <c r="F6523" s="422" t="s">
        <v>620</v>
      </c>
      <c r="G6523" s="89">
        <v>2013</v>
      </c>
      <c r="H6523" s="313" t="s">
        <v>734</v>
      </c>
      <c r="I6523" s="311" t="str">
        <f t="shared" si="280"/>
        <v>Pesado de Mercadorias N3:  : Gasóleo : E5</v>
      </c>
      <c r="K6523" s="422">
        <v>2023</v>
      </c>
      <c r="L6523">
        <v>32504.98</v>
      </c>
      <c r="M6523" t="s">
        <v>630</v>
      </c>
      <c r="N6523" s="131">
        <v>88347</v>
      </c>
      <c r="Q6523" t="s">
        <v>2201</v>
      </c>
      <c r="R6523" s="422" t="s">
        <v>1869</v>
      </c>
      <c r="S6523" s="422" t="s">
        <v>1861</v>
      </c>
      <c r="T6523" s="427" t="s">
        <v>1926</v>
      </c>
      <c r="U6523" s="422" t="s">
        <v>1953</v>
      </c>
      <c r="V6523" s="422" t="s">
        <v>2813</v>
      </c>
    </row>
    <row r="6524" spans="1:22" ht="15.75" thickBot="1" x14ac:dyDescent="0.3">
      <c r="A6524" t="s">
        <v>1915</v>
      </c>
      <c r="B6524" t="s">
        <v>1915</v>
      </c>
      <c r="C6524" s="424" t="str">
        <f t="shared" si="281"/>
        <v>Rodo Cargo, S.A.</v>
      </c>
      <c r="D6524" s="422" t="s">
        <v>1920</v>
      </c>
      <c r="E6524" s="422"/>
      <c r="F6524" s="422" t="s">
        <v>620</v>
      </c>
      <c r="G6524" s="89">
        <v>2013</v>
      </c>
      <c r="H6524" s="313" t="s">
        <v>734</v>
      </c>
      <c r="I6524" s="311" t="str">
        <f t="shared" si="280"/>
        <v>Pesado de Mercadorias N3:  : Gasóleo : E5</v>
      </c>
      <c r="K6524" s="422">
        <v>2023</v>
      </c>
      <c r="L6524">
        <v>33374.04</v>
      </c>
      <c r="M6524" t="s">
        <v>630</v>
      </c>
      <c r="N6524" s="131">
        <v>90146</v>
      </c>
      <c r="Q6524" t="s">
        <v>2201</v>
      </c>
      <c r="R6524" s="422" t="s">
        <v>1869</v>
      </c>
      <c r="S6524" s="422" t="s">
        <v>1861</v>
      </c>
      <c r="T6524" s="427" t="s">
        <v>1926</v>
      </c>
      <c r="U6524" s="422" t="s">
        <v>1953</v>
      </c>
      <c r="V6524" s="422" t="s">
        <v>2813</v>
      </c>
    </row>
    <row r="6525" spans="1:22" ht="15.75" thickBot="1" x14ac:dyDescent="0.3">
      <c r="A6525" t="s">
        <v>1915</v>
      </c>
      <c r="B6525" t="s">
        <v>1915</v>
      </c>
      <c r="C6525" s="424" t="str">
        <f t="shared" si="281"/>
        <v>Rodo Cargo, S.A.</v>
      </c>
      <c r="D6525" s="422" t="s">
        <v>1920</v>
      </c>
      <c r="E6525" s="422"/>
      <c r="F6525" s="422" t="s">
        <v>620</v>
      </c>
      <c r="G6525" s="89">
        <v>2013</v>
      </c>
      <c r="H6525" s="313" t="s">
        <v>734</v>
      </c>
      <c r="I6525" s="311" t="str">
        <f t="shared" si="280"/>
        <v>Pesado de Mercadorias N3:  : Gasóleo : E5</v>
      </c>
      <c r="K6525" s="422">
        <v>2023</v>
      </c>
      <c r="L6525">
        <v>38494.870000000003</v>
      </c>
      <c r="M6525" t="s">
        <v>630</v>
      </c>
      <c r="N6525" s="131">
        <v>104045</v>
      </c>
      <c r="Q6525" t="s">
        <v>2201</v>
      </c>
      <c r="R6525" s="422" t="s">
        <v>1869</v>
      </c>
      <c r="S6525" s="422" t="s">
        <v>1861</v>
      </c>
      <c r="T6525" s="427" t="s">
        <v>1926</v>
      </c>
      <c r="U6525" s="422" t="s">
        <v>1953</v>
      </c>
      <c r="V6525" s="422" t="s">
        <v>2813</v>
      </c>
    </row>
    <row r="6526" spans="1:22" ht="15.75" thickBot="1" x14ac:dyDescent="0.3">
      <c r="A6526" t="s">
        <v>1915</v>
      </c>
      <c r="B6526" t="s">
        <v>1915</v>
      </c>
      <c r="C6526" s="424" t="str">
        <f t="shared" si="281"/>
        <v>Rodo Cargo, S.A.</v>
      </c>
      <c r="D6526" s="422" t="s">
        <v>1920</v>
      </c>
      <c r="E6526" s="422"/>
      <c r="F6526" s="422" t="s">
        <v>620</v>
      </c>
      <c r="G6526" s="89">
        <v>2014</v>
      </c>
      <c r="H6526" s="313" t="s">
        <v>5833</v>
      </c>
      <c r="I6526" s="311" t="str">
        <f t="shared" si="280"/>
        <v>Pesado de Mercadorias N3:  : Gasóleo : EURO6</v>
      </c>
      <c r="K6526" s="422">
        <v>2023</v>
      </c>
      <c r="L6526">
        <v>43915.68</v>
      </c>
      <c r="M6526" t="s">
        <v>630</v>
      </c>
      <c r="N6526" s="131">
        <v>113492</v>
      </c>
      <c r="Q6526" t="s">
        <v>2201</v>
      </c>
      <c r="R6526" s="422" t="s">
        <v>1869</v>
      </c>
      <c r="S6526" s="422" t="s">
        <v>1861</v>
      </c>
      <c r="T6526" s="427" t="s">
        <v>1926</v>
      </c>
      <c r="U6526" s="422" t="s">
        <v>1953</v>
      </c>
      <c r="V6526" s="422" t="s">
        <v>2813</v>
      </c>
    </row>
    <row r="6527" spans="1:22" ht="15.75" thickBot="1" x14ac:dyDescent="0.3">
      <c r="A6527" t="s">
        <v>1915</v>
      </c>
      <c r="B6527" t="s">
        <v>1915</v>
      </c>
      <c r="C6527" s="424" t="str">
        <f t="shared" si="281"/>
        <v>Rodo Cargo, S.A.</v>
      </c>
      <c r="D6527" s="422" t="s">
        <v>1920</v>
      </c>
      <c r="E6527" s="422"/>
      <c r="F6527" s="422" t="s">
        <v>620</v>
      </c>
      <c r="G6527" s="89">
        <v>2014</v>
      </c>
      <c r="H6527" s="313" t="s">
        <v>5833</v>
      </c>
      <c r="I6527" s="311" t="str">
        <f t="shared" si="280"/>
        <v>Pesado de Mercadorias N3:  : Gasóleo : EURO6</v>
      </c>
      <c r="K6527" s="422">
        <v>2023</v>
      </c>
      <c r="L6527">
        <v>29523.98</v>
      </c>
      <c r="M6527" t="s">
        <v>630</v>
      </c>
      <c r="N6527" s="131">
        <v>81630</v>
      </c>
      <c r="Q6527" t="s">
        <v>2201</v>
      </c>
      <c r="R6527" s="422" t="s">
        <v>1869</v>
      </c>
      <c r="S6527" s="422" t="s">
        <v>1861</v>
      </c>
      <c r="T6527" s="427" t="s">
        <v>1926</v>
      </c>
      <c r="U6527" s="422" t="s">
        <v>1953</v>
      </c>
      <c r="V6527" s="422" t="s">
        <v>2813</v>
      </c>
    </row>
    <row r="6528" spans="1:22" ht="15.75" thickBot="1" x14ac:dyDescent="0.3">
      <c r="A6528" t="s">
        <v>1915</v>
      </c>
      <c r="B6528" t="s">
        <v>1915</v>
      </c>
      <c r="C6528" s="424" t="str">
        <f t="shared" si="281"/>
        <v>Rodo Cargo, S.A.</v>
      </c>
      <c r="D6528" s="422" t="s">
        <v>1920</v>
      </c>
      <c r="E6528" s="422"/>
      <c r="F6528" s="422" t="s">
        <v>620</v>
      </c>
      <c r="G6528" s="89">
        <v>2014</v>
      </c>
      <c r="H6528" s="313" t="s">
        <v>5833</v>
      </c>
      <c r="I6528" s="311" t="str">
        <f t="shared" si="280"/>
        <v>Pesado de Mercadorias N3:  : Gasóleo : EURO6</v>
      </c>
      <c r="K6528" s="422">
        <v>2023</v>
      </c>
      <c r="L6528">
        <v>36725.620000000003</v>
      </c>
      <c r="M6528" t="s">
        <v>630</v>
      </c>
      <c r="N6528" s="131">
        <v>96001</v>
      </c>
      <c r="Q6528" t="s">
        <v>2201</v>
      </c>
      <c r="R6528" s="422" t="s">
        <v>1869</v>
      </c>
      <c r="S6528" s="422" t="s">
        <v>1861</v>
      </c>
      <c r="T6528" s="427" t="s">
        <v>1926</v>
      </c>
      <c r="U6528" s="422" t="s">
        <v>1953</v>
      </c>
      <c r="V6528" s="422" t="s">
        <v>2813</v>
      </c>
    </row>
    <row r="6529" spans="1:22" ht="15.75" thickBot="1" x14ac:dyDescent="0.3">
      <c r="A6529" t="s">
        <v>1915</v>
      </c>
      <c r="B6529" t="s">
        <v>1915</v>
      </c>
      <c r="C6529" s="424" t="str">
        <f t="shared" si="281"/>
        <v>Rodo Cargo, S.A.</v>
      </c>
      <c r="D6529" s="422" t="s">
        <v>1920</v>
      </c>
      <c r="E6529" s="422"/>
      <c r="F6529" s="422" t="s">
        <v>620</v>
      </c>
      <c r="G6529" s="89">
        <v>2014</v>
      </c>
      <c r="H6529" s="313" t="s">
        <v>5834</v>
      </c>
      <c r="I6529" s="311" t="str">
        <f t="shared" si="280"/>
        <v>Pesado de Mercadorias N3:  : Gasóleo : EURO4</v>
      </c>
      <c r="K6529" s="422">
        <v>2023</v>
      </c>
      <c r="L6529">
        <v>31189</v>
      </c>
      <c r="M6529" t="s">
        <v>630</v>
      </c>
      <c r="N6529" s="131">
        <v>83191</v>
      </c>
      <c r="Q6529" t="s">
        <v>2201</v>
      </c>
      <c r="R6529" s="422" t="s">
        <v>1869</v>
      </c>
      <c r="S6529" s="422" t="s">
        <v>1861</v>
      </c>
      <c r="T6529" s="427" t="s">
        <v>1926</v>
      </c>
      <c r="U6529" s="422" t="s">
        <v>1953</v>
      </c>
      <c r="V6529" s="422" t="s">
        <v>2813</v>
      </c>
    </row>
    <row r="6530" spans="1:22" ht="15.75" thickBot="1" x14ac:dyDescent="0.3">
      <c r="A6530" t="s">
        <v>1915</v>
      </c>
      <c r="B6530" t="s">
        <v>1915</v>
      </c>
      <c r="C6530" s="424" t="str">
        <f t="shared" si="281"/>
        <v>Rodo Cargo, S.A.</v>
      </c>
      <c r="D6530" s="422" t="s">
        <v>1920</v>
      </c>
      <c r="E6530" s="422"/>
      <c r="F6530" s="422" t="s">
        <v>620</v>
      </c>
      <c r="G6530" s="89">
        <v>2014</v>
      </c>
      <c r="H6530" s="313" t="s">
        <v>5833</v>
      </c>
      <c r="I6530" s="311" t="str">
        <f t="shared" si="280"/>
        <v>Pesado de Mercadorias N3:  : Gasóleo : EURO6</v>
      </c>
      <c r="K6530" s="422">
        <v>2023</v>
      </c>
      <c r="L6530">
        <v>32368.25</v>
      </c>
      <c r="M6530" t="s">
        <v>630</v>
      </c>
      <c r="N6530" s="131">
        <v>84921</v>
      </c>
      <c r="Q6530" t="s">
        <v>2201</v>
      </c>
      <c r="R6530" s="422" t="s">
        <v>1869</v>
      </c>
      <c r="S6530" s="422" t="s">
        <v>1861</v>
      </c>
      <c r="T6530" s="427" t="s">
        <v>1926</v>
      </c>
      <c r="U6530" s="422" t="s">
        <v>1953</v>
      </c>
      <c r="V6530" s="422" t="s">
        <v>2813</v>
      </c>
    </row>
    <row r="6531" spans="1:22" ht="15.75" thickBot="1" x14ac:dyDescent="0.3">
      <c r="A6531" t="s">
        <v>1915</v>
      </c>
      <c r="B6531" t="s">
        <v>1915</v>
      </c>
      <c r="C6531" s="424" t="str">
        <f t="shared" si="281"/>
        <v>Rodo Cargo, S.A.</v>
      </c>
      <c r="D6531" s="422" t="s">
        <v>1920</v>
      </c>
      <c r="E6531" s="422"/>
      <c r="F6531" s="422" t="s">
        <v>620</v>
      </c>
      <c r="G6531" s="89">
        <v>2014</v>
      </c>
      <c r="H6531" s="313" t="s">
        <v>734</v>
      </c>
      <c r="I6531" s="311" t="str">
        <f t="shared" si="280"/>
        <v>Pesado de Mercadorias N3:  : Gasóleo : E5</v>
      </c>
      <c r="K6531" s="422">
        <v>2023</v>
      </c>
      <c r="L6531">
        <v>30319.53</v>
      </c>
      <c r="M6531" t="s">
        <v>630</v>
      </c>
      <c r="N6531" s="131">
        <v>85382</v>
      </c>
      <c r="Q6531" t="s">
        <v>2201</v>
      </c>
      <c r="R6531" s="422" t="s">
        <v>1869</v>
      </c>
      <c r="S6531" s="422" t="s">
        <v>1861</v>
      </c>
      <c r="T6531" s="427" t="s">
        <v>1926</v>
      </c>
      <c r="U6531" s="422" t="s">
        <v>1953</v>
      </c>
      <c r="V6531" s="422" t="s">
        <v>2813</v>
      </c>
    </row>
    <row r="6532" spans="1:22" ht="15.75" thickBot="1" x14ac:dyDescent="0.3">
      <c r="A6532" t="s">
        <v>1915</v>
      </c>
      <c r="B6532" t="s">
        <v>1915</v>
      </c>
      <c r="C6532" s="424" t="str">
        <f t="shared" si="281"/>
        <v>Rodo Cargo, S.A.</v>
      </c>
      <c r="D6532" s="422" t="s">
        <v>1920</v>
      </c>
      <c r="E6532" s="422"/>
      <c r="F6532" s="422" t="s">
        <v>620</v>
      </c>
      <c r="G6532" s="89">
        <v>2014</v>
      </c>
      <c r="H6532" s="313" t="s">
        <v>734</v>
      </c>
      <c r="I6532" s="311" t="str">
        <f t="shared" si="280"/>
        <v>Pesado de Mercadorias N3:  : Gasóleo : E5</v>
      </c>
      <c r="K6532" s="422">
        <v>2023</v>
      </c>
      <c r="L6532">
        <v>41886.949999999997</v>
      </c>
      <c r="M6532" t="s">
        <v>630</v>
      </c>
      <c r="N6532" s="131">
        <v>115760</v>
      </c>
      <c r="Q6532" t="s">
        <v>2201</v>
      </c>
      <c r="R6532" s="422" t="s">
        <v>1869</v>
      </c>
      <c r="S6532" s="422" t="s">
        <v>1861</v>
      </c>
      <c r="T6532" s="427" t="s">
        <v>1926</v>
      </c>
      <c r="U6532" s="422" t="s">
        <v>1953</v>
      </c>
      <c r="V6532" s="422" t="s">
        <v>2813</v>
      </c>
    </row>
    <row r="6533" spans="1:22" ht="15.75" thickBot="1" x14ac:dyDescent="0.3">
      <c r="A6533" t="s">
        <v>1915</v>
      </c>
      <c r="B6533" t="s">
        <v>1915</v>
      </c>
      <c r="C6533" s="424" t="str">
        <f t="shared" si="281"/>
        <v>Rodo Cargo, S.A.</v>
      </c>
      <c r="D6533" s="422" t="s">
        <v>1920</v>
      </c>
      <c r="E6533" s="422"/>
      <c r="F6533" s="422" t="s">
        <v>620</v>
      </c>
      <c r="G6533" s="89">
        <v>2014</v>
      </c>
      <c r="H6533" s="313" t="s">
        <v>734</v>
      </c>
      <c r="I6533" s="311" t="str">
        <f t="shared" si="280"/>
        <v>Pesado de Mercadorias N3:  : Gasóleo : E5</v>
      </c>
      <c r="K6533" s="422">
        <v>2023</v>
      </c>
      <c r="L6533">
        <v>43645.97</v>
      </c>
      <c r="M6533" t="s">
        <v>630</v>
      </c>
      <c r="N6533" s="131">
        <v>122270</v>
      </c>
      <c r="Q6533" t="s">
        <v>2201</v>
      </c>
      <c r="R6533" s="422" t="s">
        <v>1869</v>
      </c>
      <c r="S6533" s="422" t="s">
        <v>1861</v>
      </c>
      <c r="T6533" s="427" t="s">
        <v>1926</v>
      </c>
      <c r="U6533" s="422" t="s">
        <v>1953</v>
      </c>
      <c r="V6533" s="422" t="s">
        <v>2813</v>
      </c>
    </row>
    <row r="6534" spans="1:22" ht="15.75" thickBot="1" x14ac:dyDescent="0.3">
      <c r="A6534" t="s">
        <v>1915</v>
      </c>
      <c r="B6534" t="s">
        <v>1915</v>
      </c>
      <c r="C6534" s="424" t="str">
        <f t="shared" si="281"/>
        <v>Rodo Cargo, S.A.</v>
      </c>
      <c r="D6534" s="422" t="s">
        <v>1920</v>
      </c>
      <c r="E6534" s="422"/>
      <c r="F6534" s="422" t="s">
        <v>620</v>
      </c>
      <c r="G6534" s="89">
        <v>2014</v>
      </c>
      <c r="H6534" s="313" t="s">
        <v>734</v>
      </c>
      <c r="I6534" s="311" t="str">
        <f t="shared" si="280"/>
        <v>Pesado de Mercadorias N3:  : Gasóleo : E5</v>
      </c>
      <c r="K6534" s="422">
        <v>2023</v>
      </c>
      <c r="L6534">
        <v>21526.47</v>
      </c>
      <c r="M6534" t="s">
        <v>630</v>
      </c>
      <c r="N6534" s="131">
        <v>53117</v>
      </c>
      <c r="Q6534" t="s">
        <v>2201</v>
      </c>
      <c r="R6534" s="422" t="s">
        <v>1869</v>
      </c>
      <c r="S6534" s="422" t="s">
        <v>1861</v>
      </c>
      <c r="T6534" s="427" t="s">
        <v>1926</v>
      </c>
      <c r="U6534" s="422" t="s">
        <v>1953</v>
      </c>
      <c r="V6534" s="422" t="s">
        <v>2813</v>
      </c>
    </row>
    <row r="6535" spans="1:22" ht="15.75" thickBot="1" x14ac:dyDescent="0.3">
      <c r="A6535" t="s">
        <v>1915</v>
      </c>
      <c r="B6535" t="s">
        <v>1915</v>
      </c>
      <c r="C6535" s="424" t="str">
        <f t="shared" si="281"/>
        <v>Rodo Cargo, S.A.</v>
      </c>
      <c r="D6535" s="422" t="s">
        <v>1920</v>
      </c>
      <c r="E6535" s="422"/>
      <c r="F6535" s="422" t="s">
        <v>620</v>
      </c>
      <c r="G6535" s="89">
        <v>2014</v>
      </c>
      <c r="H6535" s="313" t="s">
        <v>734</v>
      </c>
      <c r="I6535" s="311" t="str">
        <f t="shared" si="280"/>
        <v>Pesado de Mercadorias N3:  : Gasóleo : E5</v>
      </c>
      <c r="K6535" s="422">
        <v>2023</v>
      </c>
      <c r="L6535">
        <v>37256.81</v>
      </c>
      <c r="M6535" t="s">
        <v>630</v>
      </c>
      <c r="N6535" s="131">
        <v>108298</v>
      </c>
      <c r="Q6535" t="s">
        <v>2201</v>
      </c>
      <c r="R6535" s="422" t="s">
        <v>1869</v>
      </c>
      <c r="S6535" s="422" t="s">
        <v>1861</v>
      </c>
      <c r="T6535" s="427" t="s">
        <v>1926</v>
      </c>
      <c r="U6535" s="422" t="s">
        <v>1953</v>
      </c>
      <c r="V6535" s="422" t="s">
        <v>2813</v>
      </c>
    </row>
    <row r="6536" spans="1:22" ht="15.75" thickBot="1" x14ac:dyDescent="0.3">
      <c r="A6536" t="s">
        <v>1915</v>
      </c>
      <c r="B6536" t="s">
        <v>1915</v>
      </c>
      <c r="C6536" s="424" t="str">
        <f t="shared" si="281"/>
        <v>Rodo Cargo, S.A.</v>
      </c>
      <c r="D6536" s="422" t="s">
        <v>1920</v>
      </c>
      <c r="E6536" s="422"/>
      <c r="F6536" s="422" t="s">
        <v>620</v>
      </c>
      <c r="G6536" s="89">
        <v>2014</v>
      </c>
      <c r="H6536" s="313" t="s">
        <v>5832</v>
      </c>
      <c r="I6536" s="311" t="str">
        <f t="shared" si="280"/>
        <v>Pesado de Mercadorias N3:  : Gasóleo : EURO3</v>
      </c>
      <c r="K6536" s="422">
        <v>2023</v>
      </c>
      <c r="L6536">
        <v>16835.689999999999</v>
      </c>
      <c r="M6536" t="s">
        <v>630</v>
      </c>
      <c r="N6536" s="131">
        <v>60269</v>
      </c>
      <c r="Q6536" t="s">
        <v>2201</v>
      </c>
      <c r="R6536" s="422" t="s">
        <v>1869</v>
      </c>
      <c r="S6536" s="422" t="s">
        <v>1861</v>
      </c>
      <c r="T6536" s="427" t="s">
        <v>1926</v>
      </c>
      <c r="U6536" s="422" t="s">
        <v>1953</v>
      </c>
      <c r="V6536" s="422" t="s">
        <v>2813</v>
      </c>
    </row>
    <row r="6537" spans="1:22" ht="15.75" thickBot="1" x14ac:dyDescent="0.3">
      <c r="A6537" t="s">
        <v>1915</v>
      </c>
      <c r="B6537" t="s">
        <v>1915</v>
      </c>
      <c r="C6537" s="424" t="str">
        <f t="shared" si="281"/>
        <v>Rodo Cargo, S.A.</v>
      </c>
      <c r="D6537" s="422" t="s">
        <v>1920</v>
      </c>
      <c r="E6537" s="422"/>
      <c r="F6537" s="422" t="s">
        <v>620</v>
      </c>
      <c r="G6537" s="89">
        <v>2014</v>
      </c>
      <c r="H6537" s="313" t="s">
        <v>5834</v>
      </c>
      <c r="I6537" s="311" t="str">
        <f t="shared" si="280"/>
        <v>Pesado de Mercadorias N3:  : Gasóleo : EURO4</v>
      </c>
      <c r="K6537" s="422">
        <v>2023</v>
      </c>
      <c r="L6537">
        <v>7346.45</v>
      </c>
      <c r="M6537" t="s">
        <v>630</v>
      </c>
      <c r="N6537" s="131">
        <v>28182</v>
      </c>
      <c r="Q6537" t="s">
        <v>2201</v>
      </c>
      <c r="R6537" s="422" t="s">
        <v>1869</v>
      </c>
      <c r="S6537" s="422" t="s">
        <v>1861</v>
      </c>
      <c r="T6537" s="427" t="s">
        <v>1926</v>
      </c>
      <c r="U6537" s="422" t="s">
        <v>1953</v>
      </c>
      <c r="V6537" s="422" t="s">
        <v>2813</v>
      </c>
    </row>
    <row r="6538" spans="1:22" ht="15.75" thickBot="1" x14ac:dyDescent="0.3">
      <c r="A6538" t="s">
        <v>1915</v>
      </c>
      <c r="B6538" t="s">
        <v>1915</v>
      </c>
      <c r="C6538" s="424" t="str">
        <f t="shared" si="281"/>
        <v>Rodo Cargo, S.A.</v>
      </c>
      <c r="D6538" s="422" t="s">
        <v>1920</v>
      </c>
      <c r="E6538" s="422"/>
      <c r="F6538" s="422" t="s">
        <v>620</v>
      </c>
      <c r="G6538" s="89">
        <v>2014</v>
      </c>
      <c r="H6538" s="313" t="s">
        <v>734</v>
      </c>
      <c r="I6538" s="311" t="str">
        <f t="shared" si="280"/>
        <v>Pesado de Mercadorias N3:  : Gasóleo : E5</v>
      </c>
      <c r="K6538" s="422">
        <v>2023</v>
      </c>
      <c r="L6538">
        <v>24257.19</v>
      </c>
      <c r="M6538" t="s">
        <v>630</v>
      </c>
      <c r="N6538" s="131">
        <v>66232</v>
      </c>
      <c r="Q6538" t="s">
        <v>2201</v>
      </c>
      <c r="R6538" s="422" t="s">
        <v>1869</v>
      </c>
      <c r="S6538" s="422" t="s">
        <v>1861</v>
      </c>
      <c r="T6538" s="427" t="s">
        <v>1926</v>
      </c>
      <c r="U6538" s="422" t="s">
        <v>1953</v>
      </c>
      <c r="V6538" s="422" t="s">
        <v>2813</v>
      </c>
    </row>
    <row r="6539" spans="1:22" ht="15.75" thickBot="1" x14ac:dyDescent="0.3">
      <c r="A6539" t="s">
        <v>1915</v>
      </c>
      <c r="B6539" t="s">
        <v>1915</v>
      </c>
      <c r="C6539" s="424" t="str">
        <f t="shared" si="281"/>
        <v>Rodo Cargo, S.A.</v>
      </c>
      <c r="D6539" s="422" t="s">
        <v>1920</v>
      </c>
      <c r="E6539" s="422"/>
      <c r="F6539" s="422" t="s">
        <v>620</v>
      </c>
      <c r="G6539" s="89">
        <v>2014</v>
      </c>
      <c r="H6539" s="313" t="s">
        <v>734</v>
      </c>
      <c r="I6539" s="311" t="str">
        <f t="shared" si="280"/>
        <v>Pesado de Mercadorias N3:  : Gasóleo : E5</v>
      </c>
      <c r="K6539" s="422">
        <v>2023</v>
      </c>
      <c r="L6539">
        <v>29844.57</v>
      </c>
      <c r="M6539" t="s">
        <v>630</v>
      </c>
      <c r="N6539" s="131">
        <v>82095</v>
      </c>
      <c r="Q6539" t="s">
        <v>2201</v>
      </c>
      <c r="R6539" s="422" t="s">
        <v>1869</v>
      </c>
      <c r="S6539" s="422" t="s">
        <v>1861</v>
      </c>
      <c r="T6539" s="427" t="s">
        <v>1926</v>
      </c>
      <c r="U6539" s="422" t="s">
        <v>1953</v>
      </c>
      <c r="V6539" s="422" t="s">
        <v>2813</v>
      </c>
    </row>
    <row r="6540" spans="1:22" ht="15.75" thickBot="1" x14ac:dyDescent="0.3">
      <c r="A6540" t="s">
        <v>1915</v>
      </c>
      <c r="B6540" t="s">
        <v>1915</v>
      </c>
      <c r="C6540" s="424" t="str">
        <f t="shared" si="281"/>
        <v>Rodo Cargo, S.A.</v>
      </c>
      <c r="D6540" s="422" t="s">
        <v>1920</v>
      </c>
      <c r="E6540" s="422"/>
      <c r="F6540" s="422" t="s">
        <v>620</v>
      </c>
      <c r="G6540" s="89">
        <v>2014</v>
      </c>
      <c r="H6540" s="313" t="s">
        <v>5833</v>
      </c>
      <c r="I6540" s="311" t="str">
        <f t="shared" si="280"/>
        <v>Pesado de Mercadorias N3:  : Gasóleo : EURO6</v>
      </c>
      <c r="K6540" s="422">
        <v>2023</v>
      </c>
      <c r="L6540">
        <v>33088.959999999999</v>
      </c>
      <c r="M6540" t="s">
        <v>630</v>
      </c>
      <c r="N6540" s="131">
        <v>88230</v>
      </c>
      <c r="Q6540" t="s">
        <v>2201</v>
      </c>
      <c r="R6540" s="422" t="s">
        <v>1869</v>
      </c>
      <c r="S6540" s="422" t="s">
        <v>1861</v>
      </c>
      <c r="T6540" s="427" t="s">
        <v>1926</v>
      </c>
      <c r="U6540" s="422" t="s">
        <v>1953</v>
      </c>
      <c r="V6540" s="422" t="s">
        <v>2813</v>
      </c>
    </row>
    <row r="6541" spans="1:22" ht="15.75" thickBot="1" x14ac:dyDescent="0.3">
      <c r="A6541" t="s">
        <v>1915</v>
      </c>
      <c r="B6541" t="s">
        <v>1915</v>
      </c>
      <c r="C6541" s="424" t="str">
        <f t="shared" si="281"/>
        <v>Rodo Cargo, S.A.</v>
      </c>
      <c r="D6541" s="422" t="s">
        <v>1920</v>
      </c>
      <c r="E6541" s="422"/>
      <c r="F6541" s="422" t="s">
        <v>620</v>
      </c>
      <c r="G6541" s="89">
        <v>2014</v>
      </c>
      <c r="H6541" s="313" t="s">
        <v>5833</v>
      </c>
      <c r="I6541" s="311" t="str">
        <f t="shared" si="280"/>
        <v>Pesado de Mercadorias N3:  : Gasóleo : EURO6</v>
      </c>
      <c r="K6541" s="422">
        <v>2023</v>
      </c>
      <c r="L6541">
        <v>49719.1</v>
      </c>
      <c r="M6541" t="s">
        <v>630</v>
      </c>
      <c r="N6541" s="131">
        <v>142605</v>
      </c>
      <c r="Q6541" t="s">
        <v>2201</v>
      </c>
      <c r="R6541" s="422" t="s">
        <v>1869</v>
      </c>
      <c r="S6541" s="422" t="s">
        <v>1861</v>
      </c>
      <c r="T6541" s="427" t="s">
        <v>1926</v>
      </c>
      <c r="U6541" s="422" t="s">
        <v>1953</v>
      </c>
      <c r="V6541" s="422" t="s">
        <v>2813</v>
      </c>
    </row>
    <row r="6542" spans="1:22" ht="15.75" thickBot="1" x14ac:dyDescent="0.3">
      <c r="A6542" t="s">
        <v>1915</v>
      </c>
      <c r="B6542" t="s">
        <v>1915</v>
      </c>
      <c r="C6542" s="424" t="str">
        <f t="shared" si="281"/>
        <v>Rodo Cargo, S.A.</v>
      </c>
      <c r="D6542" s="422" t="s">
        <v>1920</v>
      </c>
      <c r="E6542" s="422"/>
      <c r="F6542" s="422" t="s">
        <v>620</v>
      </c>
      <c r="G6542" s="89">
        <v>2014</v>
      </c>
      <c r="H6542" s="313" t="s">
        <v>5833</v>
      </c>
      <c r="I6542" s="311" t="str">
        <f t="shared" si="280"/>
        <v>Pesado de Mercadorias N3:  : Gasóleo : EURO6</v>
      </c>
      <c r="K6542" s="422">
        <v>2023</v>
      </c>
      <c r="L6542">
        <v>13751.94</v>
      </c>
      <c r="M6542" t="s">
        <v>630</v>
      </c>
      <c r="N6542" s="131">
        <v>32952</v>
      </c>
      <c r="Q6542" t="s">
        <v>2201</v>
      </c>
      <c r="R6542" s="422" t="s">
        <v>1869</v>
      </c>
      <c r="S6542" s="422" t="s">
        <v>1861</v>
      </c>
      <c r="T6542" s="427" t="s">
        <v>1926</v>
      </c>
      <c r="U6542" s="422" t="s">
        <v>1953</v>
      </c>
      <c r="V6542" s="422" t="s">
        <v>2813</v>
      </c>
    </row>
    <row r="6543" spans="1:22" ht="15.75" thickBot="1" x14ac:dyDescent="0.3">
      <c r="A6543" t="s">
        <v>1915</v>
      </c>
      <c r="B6543" t="s">
        <v>1915</v>
      </c>
      <c r="C6543" s="424" t="str">
        <f t="shared" si="281"/>
        <v>Rodo Cargo, S.A.</v>
      </c>
      <c r="D6543" s="422" t="s">
        <v>1920</v>
      </c>
      <c r="E6543" s="422"/>
      <c r="F6543" s="422" t="s">
        <v>620</v>
      </c>
      <c r="G6543" s="89">
        <v>2014</v>
      </c>
      <c r="H6543" s="313" t="s">
        <v>5833</v>
      </c>
      <c r="I6543" s="311" t="str">
        <f t="shared" si="280"/>
        <v>Pesado de Mercadorias N3:  : Gasóleo : EURO6</v>
      </c>
      <c r="K6543" s="422">
        <v>2023</v>
      </c>
      <c r="L6543">
        <v>25193.86</v>
      </c>
      <c r="M6543" t="s">
        <v>630</v>
      </c>
      <c r="N6543" s="131">
        <v>64439</v>
      </c>
      <c r="Q6543" t="s">
        <v>2201</v>
      </c>
      <c r="R6543" s="422" t="s">
        <v>1869</v>
      </c>
      <c r="S6543" s="422" t="s">
        <v>1861</v>
      </c>
      <c r="T6543" s="427" t="s">
        <v>1926</v>
      </c>
      <c r="U6543" s="422" t="s">
        <v>1953</v>
      </c>
      <c r="V6543" s="422" t="s">
        <v>2813</v>
      </c>
    </row>
    <row r="6544" spans="1:22" ht="15.75" thickBot="1" x14ac:dyDescent="0.3">
      <c r="A6544" t="s">
        <v>1915</v>
      </c>
      <c r="B6544" t="s">
        <v>1915</v>
      </c>
      <c r="C6544" s="424" t="str">
        <f t="shared" si="281"/>
        <v>Rodo Cargo, S.A.</v>
      </c>
      <c r="D6544" s="422" t="s">
        <v>1920</v>
      </c>
      <c r="E6544" s="422"/>
      <c r="F6544" s="422" t="s">
        <v>620</v>
      </c>
      <c r="G6544" s="89">
        <v>2014</v>
      </c>
      <c r="H6544" s="313" t="s">
        <v>5833</v>
      </c>
      <c r="I6544" s="311" t="str">
        <f t="shared" si="280"/>
        <v>Pesado de Mercadorias N3:  : Gasóleo : EURO6</v>
      </c>
      <c r="K6544" s="422">
        <v>2023</v>
      </c>
      <c r="L6544">
        <v>29751.17</v>
      </c>
      <c r="M6544" t="s">
        <v>630</v>
      </c>
      <c r="N6544" s="131">
        <v>80398</v>
      </c>
      <c r="Q6544" t="s">
        <v>2201</v>
      </c>
      <c r="R6544" s="422" t="s">
        <v>1869</v>
      </c>
      <c r="S6544" s="422" t="s">
        <v>1861</v>
      </c>
      <c r="T6544" s="427" t="s">
        <v>1926</v>
      </c>
      <c r="U6544" s="422" t="s">
        <v>1953</v>
      </c>
      <c r="V6544" s="422" t="s">
        <v>2813</v>
      </c>
    </row>
    <row r="6545" spans="1:22" ht="15.75" thickBot="1" x14ac:dyDescent="0.3">
      <c r="A6545" t="s">
        <v>1915</v>
      </c>
      <c r="B6545" t="s">
        <v>1915</v>
      </c>
      <c r="C6545" s="424" t="str">
        <f t="shared" si="281"/>
        <v>Rodo Cargo, S.A.</v>
      </c>
      <c r="D6545" s="422" t="s">
        <v>1920</v>
      </c>
      <c r="E6545" s="422"/>
      <c r="F6545" s="422" t="s">
        <v>620</v>
      </c>
      <c r="G6545" s="89">
        <v>2014</v>
      </c>
      <c r="H6545" s="313" t="s">
        <v>5833</v>
      </c>
      <c r="I6545" s="311" t="str">
        <f t="shared" si="280"/>
        <v>Pesado de Mercadorias N3:  : Gasóleo : EURO6</v>
      </c>
      <c r="K6545" s="422">
        <v>2023</v>
      </c>
      <c r="L6545">
        <v>28625.51</v>
      </c>
      <c r="M6545" t="s">
        <v>630</v>
      </c>
      <c r="N6545" s="131">
        <v>80648</v>
      </c>
      <c r="Q6545" t="s">
        <v>2201</v>
      </c>
      <c r="R6545" s="422" t="s">
        <v>1869</v>
      </c>
      <c r="S6545" s="422" t="s">
        <v>1861</v>
      </c>
      <c r="T6545" s="427" t="s">
        <v>1926</v>
      </c>
      <c r="U6545" s="422" t="s">
        <v>1953</v>
      </c>
      <c r="V6545" s="422" t="s">
        <v>2813</v>
      </c>
    </row>
    <row r="6546" spans="1:22" ht="15.75" thickBot="1" x14ac:dyDescent="0.3">
      <c r="A6546" t="s">
        <v>1915</v>
      </c>
      <c r="B6546" t="s">
        <v>1915</v>
      </c>
      <c r="C6546" s="424" t="str">
        <f t="shared" si="281"/>
        <v>Rodo Cargo, S.A.</v>
      </c>
      <c r="D6546" s="422" t="s">
        <v>1920</v>
      </c>
      <c r="E6546" s="422"/>
      <c r="F6546" s="422" t="s">
        <v>620</v>
      </c>
      <c r="G6546" s="89">
        <v>2014</v>
      </c>
      <c r="H6546" s="313" t="s">
        <v>5833</v>
      </c>
      <c r="I6546" s="311" t="str">
        <f t="shared" si="280"/>
        <v>Pesado de Mercadorias N3:  : Gasóleo : EURO6</v>
      </c>
      <c r="K6546" s="422">
        <v>2023</v>
      </c>
      <c r="L6546">
        <v>17353.830000000002</v>
      </c>
      <c r="M6546" t="s">
        <v>630</v>
      </c>
      <c r="N6546" s="131">
        <v>46344</v>
      </c>
      <c r="Q6546" t="s">
        <v>2201</v>
      </c>
      <c r="R6546" s="422" t="s">
        <v>1869</v>
      </c>
      <c r="S6546" s="422" t="s">
        <v>1861</v>
      </c>
      <c r="T6546" s="427" t="s">
        <v>1926</v>
      </c>
      <c r="U6546" s="422" t="s">
        <v>1953</v>
      </c>
      <c r="V6546" s="422" t="s">
        <v>2813</v>
      </c>
    </row>
    <row r="6547" spans="1:22" ht="15.75" thickBot="1" x14ac:dyDescent="0.3">
      <c r="A6547" t="s">
        <v>1915</v>
      </c>
      <c r="B6547" t="s">
        <v>1915</v>
      </c>
      <c r="C6547" s="424" t="str">
        <f t="shared" si="281"/>
        <v>Rodo Cargo, S.A.</v>
      </c>
      <c r="D6547" s="422" t="s">
        <v>1920</v>
      </c>
      <c r="E6547" s="422"/>
      <c r="F6547" s="422" t="s">
        <v>620</v>
      </c>
      <c r="G6547" s="89">
        <v>2014</v>
      </c>
      <c r="H6547" s="313" t="s">
        <v>5833</v>
      </c>
      <c r="I6547" s="311" t="str">
        <f t="shared" si="280"/>
        <v>Pesado de Mercadorias N3:  : Gasóleo : EURO6</v>
      </c>
      <c r="K6547" s="422">
        <v>2023</v>
      </c>
      <c r="L6547">
        <v>40430.65</v>
      </c>
      <c r="M6547" t="s">
        <v>630</v>
      </c>
      <c r="N6547" s="131">
        <v>104875</v>
      </c>
      <c r="Q6547" t="s">
        <v>2201</v>
      </c>
      <c r="R6547" s="422" t="s">
        <v>1869</v>
      </c>
      <c r="S6547" s="422" t="s">
        <v>1861</v>
      </c>
      <c r="T6547" s="427" t="s">
        <v>1926</v>
      </c>
      <c r="U6547" s="422" t="s">
        <v>1953</v>
      </c>
      <c r="V6547" s="422" t="s">
        <v>2813</v>
      </c>
    </row>
    <row r="6548" spans="1:22" ht="15.75" thickBot="1" x14ac:dyDescent="0.3">
      <c r="A6548" t="s">
        <v>1915</v>
      </c>
      <c r="B6548" t="s">
        <v>1915</v>
      </c>
      <c r="C6548" s="424" t="str">
        <f t="shared" si="281"/>
        <v>Rodo Cargo, S.A.</v>
      </c>
      <c r="D6548" s="422" t="s">
        <v>1920</v>
      </c>
      <c r="E6548" s="422"/>
      <c r="F6548" s="422" t="s">
        <v>620</v>
      </c>
      <c r="G6548" s="89">
        <v>2014</v>
      </c>
      <c r="H6548" s="313" t="s">
        <v>734</v>
      </c>
      <c r="I6548" s="311" t="str">
        <f t="shared" si="280"/>
        <v>Pesado de Mercadorias N3:  : Gasóleo : E5</v>
      </c>
      <c r="K6548" s="422">
        <v>2023</v>
      </c>
      <c r="L6548">
        <v>15228.12</v>
      </c>
      <c r="M6548" t="s">
        <v>630</v>
      </c>
      <c r="N6548" s="131">
        <v>53713</v>
      </c>
      <c r="Q6548" t="s">
        <v>2201</v>
      </c>
      <c r="R6548" s="422" t="s">
        <v>1869</v>
      </c>
      <c r="S6548" s="422" t="s">
        <v>1861</v>
      </c>
      <c r="T6548" s="427" t="s">
        <v>1926</v>
      </c>
      <c r="U6548" s="422" t="s">
        <v>1953</v>
      </c>
      <c r="V6548" s="422" t="s">
        <v>2813</v>
      </c>
    </row>
    <row r="6549" spans="1:22" ht="15.75" thickBot="1" x14ac:dyDescent="0.3">
      <c r="A6549" t="s">
        <v>1915</v>
      </c>
      <c r="B6549" t="s">
        <v>1915</v>
      </c>
      <c r="C6549" s="424" t="str">
        <f t="shared" si="281"/>
        <v>Rodo Cargo, S.A.</v>
      </c>
      <c r="D6549" s="422" t="s">
        <v>1920</v>
      </c>
      <c r="E6549" s="422"/>
      <c r="F6549" s="422" t="s">
        <v>620</v>
      </c>
      <c r="G6549" s="89">
        <v>2015</v>
      </c>
      <c r="H6549" s="313" t="s">
        <v>734</v>
      </c>
      <c r="I6549" s="311" t="str">
        <f t="shared" si="280"/>
        <v>Pesado de Mercadorias N3:  : Gasóleo : E5</v>
      </c>
      <c r="K6549" s="422">
        <v>2023</v>
      </c>
      <c r="L6549">
        <v>32229.16</v>
      </c>
      <c r="M6549" t="s">
        <v>630</v>
      </c>
      <c r="N6549" s="131">
        <v>78161</v>
      </c>
      <c r="Q6549" t="s">
        <v>2201</v>
      </c>
      <c r="R6549" s="422" t="s">
        <v>1869</v>
      </c>
      <c r="S6549" s="422" t="s">
        <v>1861</v>
      </c>
      <c r="T6549" s="427" t="s">
        <v>1926</v>
      </c>
      <c r="U6549" s="422" t="s">
        <v>1953</v>
      </c>
      <c r="V6549" s="422" t="s">
        <v>2813</v>
      </c>
    </row>
    <row r="6550" spans="1:22" ht="15.75" thickBot="1" x14ac:dyDescent="0.3">
      <c r="A6550" t="s">
        <v>1915</v>
      </c>
      <c r="B6550" t="s">
        <v>1915</v>
      </c>
      <c r="C6550" s="424" t="str">
        <f t="shared" si="281"/>
        <v>Rodo Cargo, S.A.</v>
      </c>
      <c r="D6550" s="422" t="s">
        <v>1920</v>
      </c>
      <c r="E6550" s="422"/>
      <c r="F6550" s="422" t="s">
        <v>620</v>
      </c>
      <c r="G6550" s="89">
        <v>2015</v>
      </c>
      <c r="H6550" s="313" t="s">
        <v>734</v>
      </c>
      <c r="I6550" s="311" t="str">
        <f t="shared" si="280"/>
        <v>Pesado de Mercadorias N3:  : Gasóleo : E5</v>
      </c>
      <c r="K6550" s="422">
        <v>2023</v>
      </c>
      <c r="L6550">
        <v>15257.91</v>
      </c>
      <c r="M6550" t="s">
        <v>630</v>
      </c>
      <c r="N6550" s="131">
        <v>40423</v>
      </c>
      <c r="Q6550" t="s">
        <v>2201</v>
      </c>
      <c r="R6550" s="422" t="s">
        <v>1869</v>
      </c>
      <c r="S6550" s="422" t="s">
        <v>1861</v>
      </c>
      <c r="T6550" s="427" t="s">
        <v>1926</v>
      </c>
      <c r="U6550" s="422" t="s">
        <v>1953</v>
      </c>
      <c r="V6550" s="422" t="s">
        <v>2813</v>
      </c>
    </row>
    <row r="6551" spans="1:22" ht="15.75" thickBot="1" x14ac:dyDescent="0.3">
      <c r="A6551" t="s">
        <v>1915</v>
      </c>
      <c r="B6551" t="s">
        <v>1915</v>
      </c>
      <c r="C6551" s="424" t="str">
        <f t="shared" si="281"/>
        <v>Rodo Cargo, S.A.</v>
      </c>
      <c r="D6551" s="422" t="s">
        <v>1920</v>
      </c>
      <c r="E6551" s="422"/>
      <c r="F6551" s="422" t="s">
        <v>620</v>
      </c>
      <c r="G6551" s="89">
        <v>2015</v>
      </c>
      <c r="H6551" s="313" t="s">
        <v>734</v>
      </c>
      <c r="I6551" s="311" t="str">
        <f t="shared" si="280"/>
        <v>Pesado de Mercadorias N3:  : Gasóleo : E5</v>
      </c>
      <c r="K6551" s="422">
        <v>2023</v>
      </c>
      <c r="L6551">
        <v>23821.97</v>
      </c>
      <c r="M6551" t="s">
        <v>630</v>
      </c>
      <c r="N6551" s="131">
        <v>61976</v>
      </c>
      <c r="Q6551" t="s">
        <v>2201</v>
      </c>
      <c r="R6551" s="422" t="s">
        <v>1869</v>
      </c>
      <c r="S6551" s="422" t="s">
        <v>1861</v>
      </c>
      <c r="T6551" s="427" t="s">
        <v>1926</v>
      </c>
      <c r="U6551" s="422" t="s">
        <v>1953</v>
      </c>
      <c r="V6551" s="422" t="s">
        <v>2813</v>
      </c>
    </row>
    <row r="6552" spans="1:22" ht="15.75" thickBot="1" x14ac:dyDescent="0.3">
      <c r="A6552" t="s">
        <v>1915</v>
      </c>
      <c r="B6552" t="s">
        <v>1915</v>
      </c>
      <c r="C6552" s="424" t="str">
        <f t="shared" si="281"/>
        <v>Rodo Cargo, S.A.</v>
      </c>
      <c r="D6552" s="422" t="s">
        <v>1920</v>
      </c>
      <c r="E6552" s="422"/>
      <c r="F6552" s="422" t="s">
        <v>620</v>
      </c>
      <c r="G6552" s="89">
        <v>2015</v>
      </c>
      <c r="H6552" s="313" t="s">
        <v>734</v>
      </c>
      <c r="I6552" s="311" t="str">
        <f t="shared" si="280"/>
        <v>Pesado de Mercadorias N3:  : Gasóleo : E5</v>
      </c>
      <c r="K6552" s="422">
        <v>2023</v>
      </c>
      <c r="L6552">
        <v>10774.02</v>
      </c>
      <c r="M6552" t="s">
        <v>630</v>
      </c>
      <c r="N6552" s="131">
        <v>26525</v>
      </c>
      <c r="Q6552" t="s">
        <v>2201</v>
      </c>
      <c r="R6552" s="422" t="s">
        <v>1869</v>
      </c>
      <c r="S6552" s="422" t="s">
        <v>1861</v>
      </c>
      <c r="T6552" s="427" t="s">
        <v>1926</v>
      </c>
      <c r="U6552" s="422" t="s">
        <v>1953</v>
      </c>
      <c r="V6552" s="422" t="s">
        <v>2813</v>
      </c>
    </row>
    <row r="6553" spans="1:22" ht="15.75" thickBot="1" x14ac:dyDescent="0.3">
      <c r="A6553" t="s">
        <v>1915</v>
      </c>
      <c r="B6553" t="s">
        <v>1915</v>
      </c>
      <c r="C6553" s="424" t="str">
        <f t="shared" si="281"/>
        <v>Rodo Cargo, S.A.</v>
      </c>
      <c r="D6553" s="422" t="s">
        <v>1920</v>
      </c>
      <c r="E6553" s="422"/>
      <c r="F6553" s="422" t="s">
        <v>620</v>
      </c>
      <c r="G6553" s="89">
        <v>2015</v>
      </c>
      <c r="H6553" s="313" t="s">
        <v>734</v>
      </c>
      <c r="I6553" s="311" t="str">
        <f t="shared" si="280"/>
        <v>Pesado de Mercadorias N3:  : Gasóleo : E5</v>
      </c>
      <c r="K6553" s="422">
        <v>2023</v>
      </c>
      <c r="L6553">
        <v>22037.37</v>
      </c>
      <c r="M6553" t="s">
        <v>630</v>
      </c>
      <c r="N6553" s="131">
        <v>56681</v>
      </c>
      <c r="Q6553" t="s">
        <v>2201</v>
      </c>
      <c r="R6553" s="422" t="s">
        <v>1869</v>
      </c>
      <c r="S6553" s="422" t="s">
        <v>1861</v>
      </c>
      <c r="T6553" s="427" t="s">
        <v>1926</v>
      </c>
      <c r="U6553" s="422" t="s">
        <v>1953</v>
      </c>
      <c r="V6553" s="422" t="s">
        <v>2813</v>
      </c>
    </row>
    <row r="6554" spans="1:22" ht="15.75" thickBot="1" x14ac:dyDescent="0.3">
      <c r="A6554" t="s">
        <v>1915</v>
      </c>
      <c r="B6554" t="s">
        <v>1915</v>
      </c>
      <c r="C6554" s="424" t="str">
        <f t="shared" si="281"/>
        <v>Rodo Cargo, S.A.</v>
      </c>
      <c r="D6554" s="422" t="s">
        <v>1920</v>
      </c>
      <c r="E6554" s="422"/>
      <c r="F6554" s="422" t="s">
        <v>620</v>
      </c>
      <c r="G6554" s="89">
        <v>2015</v>
      </c>
      <c r="H6554" s="313" t="s">
        <v>733</v>
      </c>
      <c r="I6554" s="311" t="str">
        <f t="shared" si="280"/>
        <v>Pesado de Mercadorias N3:  : Gasóleo : E6</v>
      </c>
      <c r="K6554" s="422">
        <v>2023</v>
      </c>
      <c r="L6554">
        <v>27136.38</v>
      </c>
      <c r="M6554" t="s">
        <v>630</v>
      </c>
      <c r="N6554" s="131">
        <v>84442</v>
      </c>
      <c r="Q6554" t="s">
        <v>2201</v>
      </c>
      <c r="R6554" s="422" t="s">
        <v>1869</v>
      </c>
      <c r="S6554" s="422" t="s">
        <v>1861</v>
      </c>
      <c r="T6554" s="427" t="s">
        <v>1926</v>
      </c>
      <c r="U6554" s="422" t="s">
        <v>1953</v>
      </c>
      <c r="V6554" s="422" t="s">
        <v>2813</v>
      </c>
    </row>
    <row r="6555" spans="1:22" ht="15.75" thickBot="1" x14ac:dyDescent="0.3">
      <c r="A6555" t="s">
        <v>1915</v>
      </c>
      <c r="B6555" t="s">
        <v>1915</v>
      </c>
      <c r="C6555" s="424" t="str">
        <f t="shared" si="281"/>
        <v>Rodo Cargo, S.A.</v>
      </c>
      <c r="D6555" s="422" t="s">
        <v>1920</v>
      </c>
      <c r="E6555" s="422"/>
      <c r="F6555" s="422" t="s">
        <v>620</v>
      </c>
      <c r="G6555" s="89">
        <v>2015</v>
      </c>
      <c r="H6555" s="313" t="s">
        <v>733</v>
      </c>
      <c r="I6555" s="311" t="str">
        <f t="shared" si="280"/>
        <v>Pesado de Mercadorias N3:  : Gasóleo : E6</v>
      </c>
      <c r="K6555" s="422">
        <v>2023</v>
      </c>
      <c r="L6555">
        <v>16062.84</v>
      </c>
      <c r="M6555" t="s">
        <v>630</v>
      </c>
      <c r="N6555" s="131">
        <v>39053</v>
      </c>
      <c r="Q6555" t="s">
        <v>2201</v>
      </c>
      <c r="R6555" s="422" t="s">
        <v>1869</v>
      </c>
      <c r="S6555" s="422" t="s">
        <v>1861</v>
      </c>
      <c r="T6555" s="427" t="s">
        <v>1926</v>
      </c>
      <c r="U6555" s="422" t="s">
        <v>1953</v>
      </c>
      <c r="V6555" s="422" t="s">
        <v>2813</v>
      </c>
    </row>
    <row r="6556" spans="1:22" ht="15.75" thickBot="1" x14ac:dyDescent="0.3">
      <c r="A6556" t="s">
        <v>1915</v>
      </c>
      <c r="B6556" t="s">
        <v>1915</v>
      </c>
      <c r="C6556" s="424" t="str">
        <f t="shared" si="281"/>
        <v>Rodo Cargo, S.A.</v>
      </c>
      <c r="D6556" s="422" t="s">
        <v>1920</v>
      </c>
      <c r="E6556" s="422"/>
      <c r="F6556" s="422" t="s">
        <v>620</v>
      </c>
      <c r="G6556" s="89">
        <v>2015</v>
      </c>
      <c r="H6556" s="313" t="s">
        <v>733</v>
      </c>
      <c r="I6556" s="311" t="str">
        <f t="shared" si="280"/>
        <v>Pesado de Mercadorias N3:  : Gasóleo : E6</v>
      </c>
      <c r="K6556" s="422">
        <v>2023</v>
      </c>
      <c r="L6556">
        <v>24554.43</v>
      </c>
      <c r="M6556" t="s">
        <v>630</v>
      </c>
      <c r="N6556" s="131">
        <v>62522</v>
      </c>
      <c r="Q6556" t="s">
        <v>2201</v>
      </c>
      <c r="R6556" s="422" t="s">
        <v>1869</v>
      </c>
      <c r="S6556" s="422" t="s">
        <v>1861</v>
      </c>
      <c r="T6556" s="427" t="s">
        <v>1926</v>
      </c>
      <c r="U6556" s="422" t="s">
        <v>1953</v>
      </c>
      <c r="V6556" s="422" t="s">
        <v>2813</v>
      </c>
    </row>
    <row r="6557" spans="1:22" ht="15.75" thickBot="1" x14ac:dyDescent="0.3">
      <c r="A6557" t="s">
        <v>1915</v>
      </c>
      <c r="B6557" t="s">
        <v>1915</v>
      </c>
      <c r="C6557" s="424" t="str">
        <f t="shared" si="281"/>
        <v>Rodo Cargo, S.A.</v>
      </c>
      <c r="D6557" s="422" t="s">
        <v>1920</v>
      </c>
      <c r="E6557" s="422"/>
      <c r="F6557" s="422" t="s">
        <v>620</v>
      </c>
      <c r="G6557" s="89">
        <v>2015</v>
      </c>
      <c r="H6557" s="313" t="s">
        <v>733</v>
      </c>
      <c r="I6557" s="311" t="str">
        <f t="shared" si="280"/>
        <v>Pesado de Mercadorias N3:  : Gasóleo : E6</v>
      </c>
      <c r="K6557" s="422">
        <v>2023</v>
      </c>
      <c r="L6557">
        <v>36558.519999999997</v>
      </c>
      <c r="M6557" t="s">
        <v>630</v>
      </c>
      <c r="N6557" s="131">
        <v>93022</v>
      </c>
      <c r="Q6557" t="s">
        <v>2201</v>
      </c>
      <c r="R6557" s="422" t="s">
        <v>1869</v>
      </c>
      <c r="S6557" s="422" t="s">
        <v>1861</v>
      </c>
      <c r="T6557" s="427" t="s">
        <v>1926</v>
      </c>
      <c r="U6557" s="422" t="s">
        <v>1953</v>
      </c>
      <c r="V6557" s="422" t="s">
        <v>2813</v>
      </c>
    </row>
    <row r="6558" spans="1:22" ht="15.75" thickBot="1" x14ac:dyDescent="0.3">
      <c r="A6558" t="s">
        <v>1915</v>
      </c>
      <c r="B6558" t="s">
        <v>1915</v>
      </c>
      <c r="C6558" s="424" t="str">
        <f t="shared" si="281"/>
        <v>Rodo Cargo, S.A.</v>
      </c>
      <c r="D6558" s="422" t="s">
        <v>1920</v>
      </c>
      <c r="E6558" s="422"/>
      <c r="F6558" s="422" t="s">
        <v>620</v>
      </c>
      <c r="G6558" s="89">
        <v>2015</v>
      </c>
      <c r="H6558" s="313" t="s">
        <v>733</v>
      </c>
      <c r="I6558" s="311" t="str">
        <f t="shared" si="280"/>
        <v>Pesado de Mercadorias N3:  : Gasóleo : E6</v>
      </c>
      <c r="K6558" s="422">
        <v>2023</v>
      </c>
      <c r="L6558">
        <v>43701.99</v>
      </c>
      <c r="M6558" t="s">
        <v>630</v>
      </c>
      <c r="N6558" s="131">
        <v>117726</v>
      </c>
      <c r="Q6558" t="s">
        <v>2201</v>
      </c>
      <c r="R6558" s="422" t="s">
        <v>1869</v>
      </c>
      <c r="S6558" s="422" t="s">
        <v>1861</v>
      </c>
      <c r="T6558" s="427" t="s">
        <v>1926</v>
      </c>
      <c r="U6558" s="422" t="s">
        <v>1953</v>
      </c>
      <c r="V6558" s="422" t="s">
        <v>2813</v>
      </c>
    </row>
    <row r="6559" spans="1:22" ht="15.75" thickBot="1" x14ac:dyDescent="0.3">
      <c r="A6559" t="s">
        <v>1915</v>
      </c>
      <c r="B6559" t="s">
        <v>1915</v>
      </c>
      <c r="C6559" s="424" t="str">
        <f t="shared" si="281"/>
        <v>Rodo Cargo, S.A.</v>
      </c>
      <c r="D6559" s="422" t="s">
        <v>1920</v>
      </c>
      <c r="E6559" s="422"/>
      <c r="F6559" s="422" t="s">
        <v>620</v>
      </c>
      <c r="G6559" s="89">
        <v>2015</v>
      </c>
      <c r="H6559" s="313" t="s">
        <v>733</v>
      </c>
      <c r="I6559" s="311" t="str">
        <f t="shared" si="280"/>
        <v>Pesado de Mercadorias N3:  : Gasóleo : E6</v>
      </c>
      <c r="K6559" s="422">
        <v>2023</v>
      </c>
      <c r="L6559">
        <v>31647.16</v>
      </c>
      <c r="M6559" t="s">
        <v>630</v>
      </c>
      <c r="N6559" s="131">
        <v>84479</v>
      </c>
      <c r="Q6559" t="s">
        <v>2201</v>
      </c>
      <c r="R6559" s="422" t="s">
        <v>1869</v>
      </c>
      <c r="S6559" s="422" t="s">
        <v>1861</v>
      </c>
      <c r="T6559" s="427" t="s">
        <v>1926</v>
      </c>
      <c r="U6559" s="422" t="s">
        <v>1953</v>
      </c>
      <c r="V6559" s="422" t="s">
        <v>2813</v>
      </c>
    </row>
    <row r="6560" spans="1:22" ht="15.75" thickBot="1" x14ac:dyDescent="0.3">
      <c r="A6560" t="s">
        <v>1915</v>
      </c>
      <c r="B6560" t="s">
        <v>1915</v>
      </c>
      <c r="C6560" s="424" t="str">
        <f t="shared" si="281"/>
        <v>Rodo Cargo, S.A.</v>
      </c>
      <c r="D6560" s="422" t="s">
        <v>1920</v>
      </c>
      <c r="E6560" s="422"/>
      <c r="F6560" s="422" t="s">
        <v>620</v>
      </c>
      <c r="G6560" s="89">
        <v>2015</v>
      </c>
      <c r="H6560" s="313" t="s">
        <v>733</v>
      </c>
      <c r="I6560" s="311" t="str">
        <f t="shared" si="280"/>
        <v>Pesado de Mercadorias N3:  : Gasóleo : E6</v>
      </c>
      <c r="K6560" s="422">
        <v>2023</v>
      </c>
      <c r="L6560">
        <v>47851.81</v>
      </c>
      <c r="M6560" t="s">
        <v>630</v>
      </c>
      <c r="N6560" s="131">
        <v>130829</v>
      </c>
      <c r="Q6560" t="s">
        <v>2201</v>
      </c>
      <c r="R6560" s="422" t="s">
        <v>1869</v>
      </c>
      <c r="S6560" s="422" t="s">
        <v>1861</v>
      </c>
      <c r="T6560" s="427" t="s">
        <v>1926</v>
      </c>
      <c r="U6560" s="422" t="s">
        <v>1953</v>
      </c>
      <c r="V6560" s="422" t="s">
        <v>2813</v>
      </c>
    </row>
    <row r="6561" spans="1:22" ht="15.75" thickBot="1" x14ac:dyDescent="0.3">
      <c r="A6561" t="s">
        <v>1915</v>
      </c>
      <c r="B6561" t="s">
        <v>1915</v>
      </c>
      <c r="C6561" s="424" t="str">
        <f t="shared" si="281"/>
        <v>Rodo Cargo, S.A.</v>
      </c>
      <c r="D6561" s="422" t="s">
        <v>1920</v>
      </c>
      <c r="E6561" s="422"/>
      <c r="F6561" s="422" t="s">
        <v>620</v>
      </c>
      <c r="G6561" s="89">
        <v>2015</v>
      </c>
      <c r="H6561" s="313" t="s">
        <v>733</v>
      </c>
      <c r="I6561" s="311" t="str">
        <f t="shared" si="280"/>
        <v>Pesado de Mercadorias N3:  : Gasóleo : E6</v>
      </c>
      <c r="K6561" s="422">
        <v>2023</v>
      </c>
      <c r="L6561">
        <v>52142.21</v>
      </c>
      <c r="M6561" t="s">
        <v>630</v>
      </c>
      <c r="N6561" s="131">
        <v>143891</v>
      </c>
      <c r="Q6561" t="s">
        <v>2201</v>
      </c>
      <c r="R6561" s="422" t="s">
        <v>1869</v>
      </c>
      <c r="S6561" s="422" t="s">
        <v>1861</v>
      </c>
      <c r="T6561" s="427" t="s">
        <v>1926</v>
      </c>
      <c r="U6561" s="422" t="s">
        <v>1953</v>
      </c>
      <c r="V6561" s="422" t="s">
        <v>2813</v>
      </c>
    </row>
    <row r="6562" spans="1:22" ht="15.75" thickBot="1" x14ac:dyDescent="0.3">
      <c r="A6562" t="s">
        <v>1915</v>
      </c>
      <c r="B6562" t="s">
        <v>1915</v>
      </c>
      <c r="C6562" s="424" t="str">
        <f t="shared" si="281"/>
        <v>Rodo Cargo, S.A.</v>
      </c>
      <c r="D6562" s="422" t="s">
        <v>1920</v>
      </c>
      <c r="E6562" s="422"/>
      <c r="F6562" s="422" t="s">
        <v>620</v>
      </c>
      <c r="G6562" s="89">
        <v>2015</v>
      </c>
      <c r="H6562" s="313" t="s">
        <v>733</v>
      </c>
      <c r="I6562" s="311" t="str">
        <f t="shared" ref="I6562:I6625" si="282">D6562&amp;": "&amp;E6562&amp;" : "&amp;F6562&amp;" : "&amp;H6562</f>
        <v>Pesado de Mercadorias N3:  : Gasóleo : E6</v>
      </c>
      <c r="K6562" s="422">
        <v>2023</v>
      </c>
      <c r="L6562">
        <v>40549.47</v>
      </c>
      <c r="M6562" t="s">
        <v>630</v>
      </c>
      <c r="N6562" s="131">
        <v>115526</v>
      </c>
      <c r="Q6562" t="s">
        <v>2201</v>
      </c>
      <c r="R6562" s="422" t="s">
        <v>1869</v>
      </c>
      <c r="S6562" s="422" t="s">
        <v>1861</v>
      </c>
      <c r="T6562" s="427" t="s">
        <v>1926</v>
      </c>
      <c r="U6562" s="422" t="s">
        <v>1953</v>
      </c>
      <c r="V6562" s="422" t="s">
        <v>2813</v>
      </c>
    </row>
    <row r="6563" spans="1:22" ht="15.75" thickBot="1" x14ac:dyDescent="0.3">
      <c r="A6563" t="s">
        <v>1915</v>
      </c>
      <c r="B6563" t="s">
        <v>1915</v>
      </c>
      <c r="C6563" s="424" t="str">
        <f t="shared" si="281"/>
        <v>Rodo Cargo, S.A.</v>
      </c>
      <c r="D6563" s="422" t="s">
        <v>1920</v>
      </c>
      <c r="E6563" s="422"/>
      <c r="F6563" s="422" t="s">
        <v>620</v>
      </c>
      <c r="G6563" s="89">
        <v>2015</v>
      </c>
      <c r="H6563" s="313" t="s">
        <v>733</v>
      </c>
      <c r="I6563" s="311" t="str">
        <f t="shared" si="282"/>
        <v>Pesado de Mercadorias N3:  : Gasóleo : E6</v>
      </c>
      <c r="K6563" s="422">
        <v>2023</v>
      </c>
      <c r="L6563">
        <v>45318.63</v>
      </c>
      <c r="M6563" t="s">
        <v>630</v>
      </c>
      <c r="N6563" s="131">
        <v>125077</v>
      </c>
      <c r="Q6563" t="s">
        <v>2201</v>
      </c>
      <c r="R6563" s="422" t="s">
        <v>1869</v>
      </c>
      <c r="S6563" s="422" t="s">
        <v>1861</v>
      </c>
      <c r="T6563" s="427" t="s">
        <v>1926</v>
      </c>
      <c r="U6563" s="422" t="s">
        <v>1953</v>
      </c>
      <c r="V6563" s="422" t="s">
        <v>2813</v>
      </c>
    </row>
    <row r="6564" spans="1:22" ht="15.75" thickBot="1" x14ac:dyDescent="0.3">
      <c r="A6564" t="s">
        <v>1915</v>
      </c>
      <c r="B6564" t="s">
        <v>1915</v>
      </c>
      <c r="C6564" s="424" t="str">
        <f t="shared" si="281"/>
        <v>Rodo Cargo, S.A.</v>
      </c>
      <c r="D6564" s="422" t="s">
        <v>1920</v>
      </c>
      <c r="E6564" s="422"/>
      <c r="F6564" s="422" t="s">
        <v>620</v>
      </c>
      <c r="G6564" s="89">
        <v>2015</v>
      </c>
      <c r="H6564" s="313" t="s">
        <v>733</v>
      </c>
      <c r="I6564" s="311" t="str">
        <f t="shared" si="282"/>
        <v>Pesado de Mercadorias N3:  : Gasóleo : E6</v>
      </c>
      <c r="K6564" s="422">
        <v>2023</v>
      </c>
      <c r="L6564">
        <v>51270.17</v>
      </c>
      <c r="M6564" t="s">
        <v>630</v>
      </c>
      <c r="N6564" s="131">
        <v>146021</v>
      </c>
      <c r="Q6564" t="s">
        <v>2201</v>
      </c>
      <c r="R6564" s="422" t="s">
        <v>1869</v>
      </c>
      <c r="S6564" s="422" t="s">
        <v>1861</v>
      </c>
      <c r="T6564" s="427" t="s">
        <v>1926</v>
      </c>
      <c r="U6564" s="422" t="s">
        <v>1953</v>
      </c>
      <c r="V6564" s="422" t="s">
        <v>2813</v>
      </c>
    </row>
    <row r="6565" spans="1:22" ht="15.75" thickBot="1" x14ac:dyDescent="0.3">
      <c r="A6565" t="s">
        <v>1915</v>
      </c>
      <c r="B6565" t="s">
        <v>1915</v>
      </c>
      <c r="C6565" s="424" t="str">
        <f t="shared" si="281"/>
        <v>Rodo Cargo, S.A.</v>
      </c>
      <c r="D6565" s="422" t="s">
        <v>1920</v>
      </c>
      <c r="E6565" s="422"/>
      <c r="F6565" s="422" t="s">
        <v>620</v>
      </c>
      <c r="G6565" s="89">
        <v>2015</v>
      </c>
      <c r="H6565" s="313" t="s">
        <v>733</v>
      </c>
      <c r="I6565" s="311" t="str">
        <f t="shared" si="282"/>
        <v>Pesado de Mercadorias N3:  : Gasóleo : E6</v>
      </c>
      <c r="K6565" s="422">
        <v>2023</v>
      </c>
      <c r="L6565">
        <v>8125.29</v>
      </c>
      <c r="M6565" t="s">
        <v>630</v>
      </c>
      <c r="N6565" s="131">
        <v>17051</v>
      </c>
      <c r="Q6565" t="s">
        <v>2201</v>
      </c>
      <c r="R6565" s="422" t="s">
        <v>1869</v>
      </c>
      <c r="S6565" s="422" t="s">
        <v>1861</v>
      </c>
      <c r="T6565" s="427" t="s">
        <v>1926</v>
      </c>
      <c r="U6565" s="422" t="s">
        <v>1953</v>
      </c>
      <c r="V6565" s="422" t="s">
        <v>2813</v>
      </c>
    </row>
    <row r="6566" spans="1:22" ht="15.75" thickBot="1" x14ac:dyDescent="0.3">
      <c r="A6566" t="s">
        <v>1915</v>
      </c>
      <c r="B6566" t="s">
        <v>1915</v>
      </c>
      <c r="C6566" s="424" t="str">
        <f t="shared" si="281"/>
        <v>Rodo Cargo, S.A.</v>
      </c>
      <c r="D6566" s="422" t="s">
        <v>1920</v>
      </c>
      <c r="E6566" s="422"/>
      <c r="F6566" s="422" t="s">
        <v>620</v>
      </c>
      <c r="G6566" s="89">
        <v>2015</v>
      </c>
      <c r="H6566" s="313" t="s">
        <v>733</v>
      </c>
      <c r="I6566" s="311" t="str">
        <f t="shared" si="282"/>
        <v>Pesado de Mercadorias N3:  : Gasóleo : E6</v>
      </c>
      <c r="K6566" s="422">
        <v>2023</v>
      </c>
      <c r="L6566">
        <v>47318.09</v>
      </c>
      <c r="M6566" t="s">
        <v>630</v>
      </c>
      <c r="N6566" s="131">
        <v>135029</v>
      </c>
      <c r="Q6566" t="s">
        <v>2201</v>
      </c>
      <c r="R6566" s="422" t="s">
        <v>1869</v>
      </c>
      <c r="S6566" s="422" t="s">
        <v>1861</v>
      </c>
      <c r="T6566" s="427" t="s">
        <v>1926</v>
      </c>
      <c r="U6566" s="422" t="s">
        <v>1953</v>
      </c>
      <c r="V6566" s="422" t="s">
        <v>2813</v>
      </c>
    </row>
    <row r="6567" spans="1:22" ht="15.75" thickBot="1" x14ac:dyDescent="0.3">
      <c r="A6567" t="s">
        <v>1915</v>
      </c>
      <c r="B6567" t="s">
        <v>1915</v>
      </c>
      <c r="C6567" s="424" t="str">
        <f t="shared" si="281"/>
        <v>Rodo Cargo, S.A.</v>
      </c>
      <c r="D6567" s="422" t="s">
        <v>1920</v>
      </c>
      <c r="E6567" s="422"/>
      <c r="F6567" s="422" t="s">
        <v>620</v>
      </c>
      <c r="G6567" s="89">
        <v>2015</v>
      </c>
      <c r="H6567" s="313" t="s">
        <v>733</v>
      </c>
      <c r="I6567" s="311" t="str">
        <f t="shared" si="282"/>
        <v>Pesado de Mercadorias N3:  : Gasóleo : E6</v>
      </c>
      <c r="K6567" s="422">
        <v>2023</v>
      </c>
      <c r="L6567">
        <v>51107.47</v>
      </c>
      <c r="M6567" t="s">
        <v>630</v>
      </c>
      <c r="N6567" s="131">
        <v>139527</v>
      </c>
      <c r="Q6567" t="s">
        <v>2201</v>
      </c>
      <c r="R6567" s="422" t="s">
        <v>1869</v>
      </c>
      <c r="S6567" s="422" t="s">
        <v>1861</v>
      </c>
      <c r="T6567" s="427" t="s">
        <v>1926</v>
      </c>
      <c r="U6567" s="422" t="s">
        <v>1953</v>
      </c>
      <c r="V6567" s="422" t="s">
        <v>2813</v>
      </c>
    </row>
    <row r="6568" spans="1:22" ht="15.75" thickBot="1" x14ac:dyDescent="0.3">
      <c r="A6568" t="s">
        <v>1915</v>
      </c>
      <c r="B6568" t="s">
        <v>1915</v>
      </c>
      <c r="C6568" s="424" t="str">
        <f t="shared" si="281"/>
        <v>Rodo Cargo, S.A.</v>
      </c>
      <c r="D6568" s="422" t="s">
        <v>1920</v>
      </c>
      <c r="E6568" s="422"/>
      <c r="F6568" s="422" t="s">
        <v>620</v>
      </c>
      <c r="G6568" s="89">
        <v>2015</v>
      </c>
      <c r="H6568" s="313" t="s">
        <v>733</v>
      </c>
      <c r="I6568" s="311" t="str">
        <f t="shared" si="282"/>
        <v>Pesado de Mercadorias N3:  : Gasóleo : E6</v>
      </c>
      <c r="K6568" s="422">
        <v>2023</v>
      </c>
      <c r="L6568">
        <v>42330.46</v>
      </c>
      <c r="M6568" t="s">
        <v>630</v>
      </c>
      <c r="N6568" s="131">
        <v>111805</v>
      </c>
      <c r="Q6568" t="s">
        <v>2201</v>
      </c>
      <c r="R6568" s="422" t="s">
        <v>1869</v>
      </c>
      <c r="S6568" s="422" t="s">
        <v>1861</v>
      </c>
      <c r="T6568" s="427" t="s">
        <v>1926</v>
      </c>
      <c r="U6568" s="422" t="s">
        <v>1953</v>
      </c>
      <c r="V6568" s="422" t="s">
        <v>2813</v>
      </c>
    </row>
    <row r="6569" spans="1:22" ht="15.75" thickBot="1" x14ac:dyDescent="0.3">
      <c r="A6569" t="s">
        <v>1915</v>
      </c>
      <c r="B6569" t="s">
        <v>1915</v>
      </c>
      <c r="C6569" s="424" t="str">
        <f t="shared" si="281"/>
        <v>Rodo Cargo, S.A.</v>
      </c>
      <c r="D6569" s="422" t="s">
        <v>1920</v>
      </c>
      <c r="E6569" s="422"/>
      <c r="F6569" s="422" t="s">
        <v>620</v>
      </c>
      <c r="G6569" s="89">
        <v>2015</v>
      </c>
      <c r="H6569" s="313" t="s">
        <v>733</v>
      </c>
      <c r="I6569" s="311" t="str">
        <f t="shared" si="282"/>
        <v>Pesado de Mercadorias N3:  : Gasóleo : E6</v>
      </c>
      <c r="K6569" s="422">
        <v>2023</v>
      </c>
      <c r="L6569">
        <v>31734.799999999999</v>
      </c>
      <c r="M6569" t="s">
        <v>630</v>
      </c>
      <c r="N6569" s="131">
        <v>87440</v>
      </c>
      <c r="Q6569" t="s">
        <v>2201</v>
      </c>
      <c r="R6569" s="422" t="s">
        <v>1869</v>
      </c>
      <c r="S6569" s="422" t="s">
        <v>1861</v>
      </c>
      <c r="T6569" s="427" t="s">
        <v>1926</v>
      </c>
      <c r="U6569" s="422" t="s">
        <v>1953</v>
      </c>
      <c r="V6569" s="422" t="s">
        <v>2813</v>
      </c>
    </row>
    <row r="6570" spans="1:22" ht="15.75" thickBot="1" x14ac:dyDescent="0.3">
      <c r="A6570" t="s">
        <v>1915</v>
      </c>
      <c r="B6570" t="s">
        <v>1915</v>
      </c>
      <c r="C6570" s="424" t="str">
        <f t="shared" si="281"/>
        <v>Rodo Cargo, S.A.</v>
      </c>
      <c r="D6570" s="422" t="s">
        <v>1920</v>
      </c>
      <c r="E6570" s="422"/>
      <c r="F6570" s="422" t="s">
        <v>620</v>
      </c>
      <c r="G6570" s="89">
        <v>2015</v>
      </c>
      <c r="H6570" s="313" t="s">
        <v>733</v>
      </c>
      <c r="I6570" s="311" t="str">
        <f t="shared" si="282"/>
        <v>Pesado de Mercadorias N3:  : Gasóleo : E6</v>
      </c>
      <c r="K6570" s="422">
        <v>2023</v>
      </c>
      <c r="L6570">
        <v>53598.64</v>
      </c>
      <c r="M6570" t="s">
        <v>630</v>
      </c>
      <c r="N6570" s="131">
        <v>143777</v>
      </c>
      <c r="Q6570" t="s">
        <v>2201</v>
      </c>
      <c r="R6570" s="422" t="s">
        <v>1869</v>
      </c>
      <c r="S6570" s="422" t="s">
        <v>1861</v>
      </c>
      <c r="T6570" s="427" t="s">
        <v>1926</v>
      </c>
      <c r="U6570" s="422" t="s">
        <v>1953</v>
      </c>
      <c r="V6570" s="422" t="s">
        <v>2813</v>
      </c>
    </row>
    <row r="6571" spans="1:22" ht="15.75" thickBot="1" x14ac:dyDescent="0.3">
      <c r="A6571" t="s">
        <v>1915</v>
      </c>
      <c r="B6571" t="s">
        <v>1915</v>
      </c>
      <c r="C6571" s="424" t="str">
        <f t="shared" si="281"/>
        <v>Rodo Cargo, S.A.</v>
      </c>
      <c r="D6571" s="422" t="s">
        <v>1920</v>
      </c>
      <c r="E6571" s="422"/>
      <c r="F6571" s="422" t="s">
        <v>620</v>
      </c>
      <c r="G6571" s="89">
        <v>2015</v>
      </c>
      <c r="H6571" s="313" t="s">
        <v>733</v>
      </c>
      <c r="I6571" s="311" t="str">
        <f t="shared" si="282"/>
        <v>Pesado de Mercadorias N3:  : Gasóleo : E6</v>
      </c>
      <c r="K6571" s="422">
        <v>2023</v>
      </c>
      <c r="L6571">
        <v>36846.730000000003</v>
      </c>
      <c r="M6571" t="s">
        <v>630</v>
      </c>
      <c r="N6571" s="131">
        <v>102473</v>
      </c>
      <c r="Q6571" t="s">
        <v>2201</v>
      </c>
      <c r="R6571" s="422" t="s">
        <v>1869</v>
      </c>
      <c r="S6571" s="422" t="s">
        <v>1861</v>
      </c>
      <c r="T6571" s="427" t="s">
        <v>1926</v>
      </c>
      <c r="U6571" s="422" t="s">
        <v>1953</v>
      </c>
      <c r="V6571" s="422" t="s">
        <v>2813</v>
      </c>
    </row>
    <row r="6572" spans="1:22" ht="15.75" thickBot="1" x14ac:dyDescent="0.3">
      <c r="A6572" t="s">
        <v>1915</v>
      </c>
      <c r="B6572" t="s">
        <v>1915</v>
      </c>
      <c r="C6572" s="424" t="str">
        <f t="shared" si="281"/>
        <v>Rodo Cargo, S.A.</v>
      </c>
      <c r="D6572" s="422" t="s">
        <v>1920</v>
      </c>
      <c r="E6572" s="422"/>
      <c r="F6572" s="422" t="s">
        <v>620</v>
      </c>
      <c r="G6572" s="89">
        <v>2015</v>
      </c>
      <c r="H6572" s="313" t="s">
        <v>733</v>
      </c>
      <c r="I6572" s="311" t="str">
        <f t="shared" si="282"/>
        <v>Pesado de Mercadorias N3:  : Gasóleo : E6</v>
      </c>
      <c r="K6572" s="422">
        <v>2023</v>
      </c>
      <c r="L6572">
        <v>31244.09</v>
      </c>
      <c r="M6572" t="s">
        <v>630</v>
      </c>
      <c r="N6572" s="131">
        <v>85697</v>
      </c>
      <c r="Q6572" t="s">
        <v>2201</v>
      </c>
      <c r="R6572" s="422" t="s">
        <v>1869</v>
      </c>
      <c r="S6572" s="422" t="s">
        <v>1861</v>
      </c>
      <c r="T6572" s="427" t="s">
        <v>1926</v>
      </c>
      <c r="U6572" s="422" t="s">
        <v>1953</v>
      </c>
      <c r="V6572" s="422" t="s">
        <v>2813</v>
      </c>
    </row>
    <row r="6573" spans="1:22" ht="15.75" thickBot="1" x14ac:dyDescent="0.3">
      <c r="A6573" t="s">
        <v>1915</v>
      </c>
      <c r="B6573" t="s">
        <v>1915</v>
      </c>
      <c r="C6573" s="424" t="str">
        <f t="shared" si="281"/>
        <v>Rodo Cargo, S.A.</v>
      </c>
      <c r="D6573" s="422" t="s">
        <v>1920</v>
      </c>
      <c r="E6573" s="422"/>
      <c r="F6573" s="422" t="s">
        <v>620</v>
      </c>
      <c r="G6573" s="89">
        <v>2015</v>
      </c>
      <c r="H6573" s="313" t="s">
        <v>733</v>
      </c>
      <c r="I6573" s="311" t="str">
        <f t="shared" si="282"/>
        <v>Pesado de Mercadorias N3:  : Gasóleo : E6</v>
      </c>
      <c r="K6573" s="422">
        <v>2023</v>
      </c>
      <c r="L6573">
        <v>41030.82</v>
      </c>
      <c r="M6573" t="s">
        <v>630</v>
      </c>
      <c r="N6573" s="131">
        <v>105984</v>
      </c>
      <c r="Q6573" t="s">
        <v>2201</v>
      </c>
      <c r="R6573" s="422" t="s">
        <v>1869</v>
      </c>
      <c r="S6573" s="422" t="s">
        <v>1861</v>
      </c>
      <c r="T6573" s="427" t="s">
        <v>1926</v>
      </c>
      <c r="U6573" s="422" t="s">
        <v>1953</v>
      </c>
      <c r="V6573" s="422" t="s">
        <v>2813</v>
      </c>
    </row>
    <row r="6574" spans="1:22" ht="15.75" thickBot="1" x14ac:dyDescent="0.3">
      <c r="A6574" t="s">
        <v>1915</v>
      </c>
      <c r="B6574" t="s">
        <v>1915</v>
      </c>
      <c r="C6574" s="424" t="str">
        <f t="shared" si="281"/>
        <v>Rodo Cargo, S.A.</v>
      </c>
      <c r="D6574" s="422" t="s">
        <v>1920</v>
      </c>
      <c r="E6574" s="422"/>
      <c r="F6574" s="422" t="s">
        <v>620</v>
      </c>
      <c r="G6574" s="89">
        <v>2015</v>
      </c>
      <c r="H6574" s="313" t="s">
        <v>733</v>
      </c>
      <c r="I6574" s="311" t="str">
        <f t="shared" si="282"/>
        <v>Pesado de Mercadorias N3:  : Gasóleo : E6</v>
      </c>
      <c r="K6574" s="422">
        <v>2023</v>
      </c>
      <c r="L6574">
        <v>35345.72</v>
      </c>
      <c r="M6574" t="s">
        <v>630</v>
      </c>
      <c r="N6574" s="131">
        <v>99128</v>
      </c>
      <c r="Q6574" t="s">
        <v>2201</v>
      </c>
      <c r="R6574" s="422" t="s">
        <v>1869</v>
      </c>
      <c r="S6574" s="422" t="s">
        <v>1861</v>
      </c>
      <c r="T6574" s="427" t="s">
        <v>1926</v>
      </c>
      <c r="U6574" s="422" t="s">
        <v>1953</v>
      </c>
      <c r="V6574" s="422" t="s">
        <v>2813</v>
      </c>
    </row>
    <row r="6575" spans="1:22" ht="15.75" thickBot="1" x14ac:dyDescent="0.3">
      <c r="A6575" t="s">
        <v>1915</v>
      </c>
      <c r="B6575" t="s">
        <v>1915</v>
      </c>
      <c r="C6575" s="424" t="str">
        <f t="shared" si="281"/>
        <v>Rodo Cargo, S.A.</v>
      </c>
      <c r="D6575" s="422" t="s">
        <v>1920</v>
      </c>
      <c r="E6575" s="422"/>
      <c r="F6575" s="422" t="s">
        <v>620</v>
      </c>
      <c r="G6575" s="89">
        <v>2015</v>
      </c>
      <c r="H6575" s="313" t="s">
        <v>734</v>
      </c>
      <c r="I6575" s="311" t="str">
        <f t="shared" si="282"/>
        <v>Pesado de Mercadorias N3:  : Gasóleo : E5</v>
      </c>
      <c r="K6575" s="422">
        <v>2023</v>
      </c>
      <c r="L6575">
        <v>18307.63</v>
      </c>
      <c r="M6575" t="s">
        <v>630</v>
      </c>
      <c r="N6575" s="131">
        <v>44465</v>
      </c>
      <c r="Q6575" t="s">
        <v>2201</v>
      </c>
      <c r="R6575" s="422" t="s">
        <v>1869</v>
      </c>
      <c r="S6575" s="422" t="s">
        <v>1861</v>
      </c>
      <c r="T6575" s="427" t="s">
        <v>1926</v>
      </c>
      <c r="U6575" s="422" t="s">
        <v>1953</v>
      </c>
      <c r="V6575" s="422" t="s">
        <v>2813</v>
      </c>
    </row>
    <row r="6576" spans="1:22" ht="15.75" thickBot="1" x14ac:dyDescent="0.3">
      <c r="A6576" t="s">
        <v>1915</v>
      </c>
      <c r="B6576" t="s">
        <v>1915</v>
      </c>
      <c r="C6576" s="424" t="str">
        <f t="shared" si="281"/>
        <v>Rodo Cargo, S.A.</v>
      </c>
      <c r="D6576" s="422" t="s">
        <v>1920</v>
      </c>
      <c r="E6576" s="422"/>
      <c r="F6576" s="422" t="s">
        <v>620</v>
      </c>
      <c r="G6576" s="89">
        <v>2015</v>
      </c>
      <c r="H6576" s="313" t="s">
        <v>734</v>
      </c>
      <c r="I6576" s="311" t="str">
        <f t="shared" si="282"/>
        <v>Pesado de Mercadorias N3:  : Gasóleo : E5</v>
      </c>
      <c r="K6576" s="422">
        <v>2023</v>
      </c>
      <c r="L6576">
        <v>28952.55</v>
      </c>
      <c r="M6576" t="s">
        <v>630</v>
      </c>
      <c r="N6576" s="131">
        <v>74479</v>
      </c>
      <c r="Q6576" t="s">
        <v>2201</v>
      </c>
      <c r="R6576" s="422" t="s">
        <v>1869</v>
      </c>
      <c r="S6576" s="422" t="s">
        <v>1861</v>
      </c>
      <c r="T6576" s="427" t="s">
        <v>1926</v>
      </c>
      <c r="U6576" s="422" t="s">
        <v>1953</v>
      </c>
      <c r="V6576" s="422" t="s">
        <v>2813</v>
      </c>
    </row>
    <row r="6577" spans="1:22" ht="15.75" thickBot="1" x14ac:dyDescent="0.3">
      <c r="A6577" t="s">
        <v>1915</v>
      </c>
      <c r="B6577" t="s">
        <v>1915</v>
      </c>
      <c r="C6577" s="424" t="str">
        <f t="shared" si="281"/>
        <v>Rodo Cargo, S.A.</v>
      </c>
      <c r="D6577" s="422" t="s">
        <v>1920</v>
      </c>
      <c r="E6577" s="422"/>
      <c r="F6577" s="422" t="s">
        <v>620</v>
      </c>
      <c r="G6577" s="89">
        <v>2015</v>
      </c>
      <c r="H6577" s="313" t="s">
        <v>734</v>
      </c>
      <c r="I6577" s="311" t="str">
        <f t="shared" si="282"/>
        <v>Pesado de Mercadorias N3:  : Gasóleo : E5</v>
      </c>
      <c r="K6577" s="422">
        <v>2023</v>
      </c>
      <c r="L6577">
        <v>27117.11</v>
      </c>
      <c r="M6577" t="s">
        <v>630</v>
      </c>
      <c r="N6577" s="131">
        <v>72008</v>
      </c>
      <c r="Q6577" t="s">
        <v>2201</v>
      </c>
      <c r="R6577" s="422" t="s">
        <v>1869</v>
      </c>
      <c r="S6577" s="422" t="s">
        <v>1861</v>
      </c>
      <c r="T6577" s="427" t="s">
        <v>1926</v>
      </c>
      <c r="U6577" s="422" t="s">
        <v>1953</v>
      </c>
      <c r="V6577" s="422" t="s">
        <v>2813</v>
      </c>
    </row>
    <row r="6578" spans="1:22" ht="15.75" thickBot="1" x14ac:dyDescent="0.3">
      <c r="A6578" t="s">
        <v>1915</v>
      </c>
      <c r="B6578" t="s">
        <v>1915</v>
      </c>
      <c r="C6578" s="424" t="str">
        <f t="shared" ref="C6578:C6628" si="283">IF(A6578=B6578,B6578,RIGHT(A6578,LEN(A6578)-LEN(B6578)-3))</f>
        <v>Rodo Cargo, S.A.</v>
      </c>
      <c r="D6578" s="422" t="s">
        <v>1920</v>
      </c>
      <c r="E6578" s="422"/>
      <c r="F6578" s="422" t="s">
        <v>620</v>
      </c>
      <c r="G6578" s="89">
        <v>2015</v>
      </c>
      <c r="H6578" s="313" t="s">
        <v>734</v>
      </c>
      <c r="I6578" s="311" t="str">
        <f t="shared" si="282"/>
        <v>Pesado de Mercadorias N3:  : Gasóleo : E5</v>
      </c>
      <c r="K6578" s="422">
        <v>2023</v>
      </c>
      <c r="L6578">
        <v>20334.419999999998</v>
      </c>
      <c r="M6578" t="s">
        <v>630</v>
      </c>
      <c r="N6578" s="131">
        <v>50953</v>
      </c>
      <c r="Q6578" t="s">
        <v>2201</v>
      </c>
      <c r="R6578" s="422" t="s">
        <v>1869</v>
      </c>
      <c r="S6578" s="422" t="s">
        <v>1861</v>
      </c>
      <c r="T6578" s="427" t="s">
        <v>1926</v>
      </c>
      <c r="U6578" s="422" t="s">
        <v>1953</v>
      </c>
      <c r="V6578" s="422" t="s">
        <v>2813</v>
      </c>
    </row>
    <row r="6579" spans="1:22" ht="15.75" thickBot="1" x14ac:dyDescent="0.3">
      <c r="A6579" t="s">
        <v>1915</v>
      </c>
      <c r="B6579" t="s">
        <v>1915</v>
      </c>
      <c r="C6579" s="424" t="str">
        <f t="shared" si="283"/>
        <v>Rodo Cargo, S.A.</v>
      </c>
      <c r="D6579" s="422" t="s">
        <v>1920</v>
      </c>
      <c r="E6579" s="422"/>
      <c r="F6579" s="422" t="s">
        <v>620</v>
      </c>
      <c r="G6579" s="89">
        <v>2015</v>
      </c>
      <c r="H6579" s="313" t="s">
        <v>733</v>
      </c>
      <c r="I6579" s="311" t="str">
        <f t="shared" si="282"/>
        <v>Pesado de Mercadorias N3:  : Gasóleo : E6</v>
      </c>
      <c r="K6579" s="422">
        <v>2023</v>
      </c>
      <c r="L6579">
        <v>27117.45</v>
      </c>
      <c r="M6579" t="s">
        <v>630</v>
      </c>
      <c r="N6579" s="131">
        <v>72360</v>
      </c>
      <c r="Q6579" t="s">
        <v>2201</v>
      </c>
      <c r="R6579" s="422" t="s">
        <v>1869</v>
      </c>
      <c r="S6579" s="422" t="s">
        <v>1861</v>
      </c>
      <c r="T6579" s="427" t="s">
        <v>1926</v>
      </c>
      <c r="U6579" s="422" t="s">
        <v>1953</v>
      </c>
      <c r="V6579" s="422" t="s">
        <v>2813</v>
      </c>
    </row>
    <row r="6580" spans="1:22" ht="15.75" thickBot="1" x14ac:dyDescent="0.3">
      <c r="A6580" t="s">
        <v>1915</v>
      </c>
      <c r="B6580" t="s">
        <v>1915</v>
      </c>
      <c r="C6580" s="424" t="str">
        <f t="shared" si="283"/>
        <v>Rodo Cargo, S.A.</v>
      </c>
      <c r="D6580" s="422" t="s">
        <v>1920</v>
      </c>
      <c r="E6580" s="422"/>
      <c r="F6580" s="422" t="s">
        <v>620</v>
      </c>
      <c r="G6580" s="89">
        <v>2015</v>
      </c>
      <c r="H6580" s="313" t="s">
        <v>733</v>
      </c>
      <c r="I6580" s="311" t="str">
        <f t="shared" si="282"/>
        <v>Pesado de Mercadorias N3:  : Gasóleo : E6</v>
      </c>
      <c r="K6580" s="422">
        <v>2023</v>
      </c>
      <c r="L6580">
        <v>35225.83</v>
      </c>
      <c r="M6580" t="s">
        <v>630</v>
      </c>
      <c r="N6580" s="131">
        <v>76441</v>
      </c>
      <c r="Q6580" t="s">
        <v>2201</v>
      </c>
      <c r="R6580" s="422" t="s">
        <v>1869</v>
      </c>
      <c r="S6580" s="422" t="s">
        <v>1861</v>
      </c>
      <c r="T6580" s="427" t="s">
        <v>1926</v>
      </c>
      <c r="U6580" s="422" t="s">
        <v>1953</v>
      </c>
      <c r="V6580" s="422" t="s">
        <v>2813</v>
      </c>
    </row>
    <row r="6581" spans="1:22" ht="15.75" thickBot="1" x14ac:dyDescent="0.3">
      <c r="A6581" t="s">
        <v>1915</v>
      </c>
      <c r="B6581" t="s">
        <v>1915</v>
      </c>
      <c r="C6581" s="424" t="str">
        <f t="shared" si="283"/>
        <v>Rodo Cargo, S.A.</v>
      </c>
      <c r="D6581" s="422" t="s">
        <v>1920</v>
      </c>
      <c r="E6581" s="422"/>
      <c r="F6581" s="422" t="s">
        <v>620</v>
      </c>
      <c r="G6581" s="89">
        <v>2016</v>
      </c>
      <c r="H6581" s="313" t="s">
        <v>733</v>
      </c>
      <c r="I6581" s="311" t="str">
        <f t="shared" si="282"/>
        <v>Pesado de Mercadorias N3:  : Gasóleo : E6</v>
      </c>
      <c r="K6581" s="422">
        <v>2023</v>
      </c>
      <c r="L6581">
        <v>34115.43</v>
      </c>
      <c r="M6581" t="s">
        <v>630</v>
      </c>
      <c r="N6581" s="131">
        <v>95482</v>
      </c>
      <c r="Q6581" t="s">
        <v>2201</v>
      </c>
      <c r="R6581" s="422" t="s">
        <v>1869</v>
      </c>
      <c r="S6581" s="422" t="s">
        <v>1861</v>
      </c>
      <c r="T6581" s="427" t="s">
        <v>1926</v>
      </c>
      <c r="U6581" s="422" t="s">
        <v>1953</v>
      </c>
      <c r="V6581" s="422" t="s">
        <v>2813</v>
      </c>
    </row>
    <row r="6582" spans="1:22" ht="15.75" thickBot="1" x14ac:dyDescent="0.3">
      <c r="A6582" t="s">
        <v>1915</v>
      </c>
      <c r="B6582" t="s">
        <v>1915</v>
      </c>
      <c r="C6582" s="424" t="str">
        <f t="shared" si="283"/>
        <v>Rodo Cargo, S.A.</v>
      </c>
      <c r="D6582" s="422" t="s">
        <v>1920</v>
      </c>
      <c r="E6582" s="422"/>
      <c r="F6582" s="422" t="s">
        <v>620</v>
      </c>
      <c r="G6582" s="89">
        <v>2016</v>
      </c>
      <c r="H6582" s="313" t="s">
        <v>733</v>
      </c>
      <c r="I6582" s="311" t="str">
        <f t="shared" si="282"/>
        <v>Pesado de Mercadorias N3:  : Gasóleo : E6</v>
      </c>
      <c r="K6582" s="422">
        <v>2023</v>
      </c>
      <c r="L6582">
        <v>35353.230000000003</v>
      </c>
      <c r="M6582" t="s">
        <v>630</v>
      </c>
      <c r="N6582" s="131">
        <v>95197</v>
      </c>
      <c r="Q6582" t="s">
        <v>2201</v>
      </c>
      <c r="R6582" s="422" t="s">
        <v>1869</v>
      </c>
      <c r="S6582" s="422" t="s">
        <v>1861</v>
      </c>
      <c r="T6582" s="427" t="s">
        <v>1926</v>
      </c>
      <c r="U6582" s="422" t="s">
        <v>1953</v>
      </c>
      <c r="V6582" s="422" t="s">
        <v>2813</v>
      </c>
    </row>
    <row r="6583" spans="1:22" ht="15.75" thickBot="1" x14ac:dyDescent="0.3">
      <c r="A6583" t="s">
        <v>1915</v>
      </c>
      <c r="B6583" t="s">
        <v>1915</v>
      </c>
      <c r="C6583" s="424" t="str">
        <f t="shared" si="283"/>
        <v>Rodo Cargo, S.A.</v>
      </c>
      <c r="D6583" s="422" t="s">
        <v>1920</v>
      </c>
      <c r="E6583" s="422"/>
      <c r="F6583" s="422" t="s">
        <v>620</v>
      </c>
      <c r="G6583" s="89">
        <v>2016</v>
      </c>
      <c r="H6583" s="313" t="s">
        <v>733</v>
      </c>
      <c r="I6583" s="311" t="str">
        <f t="shared" si="282"/>
        <v>Pesado de Mercadorias N3:  : Gasóleo : E6</v>
      </c>
      <c r="K6583" s="422">
        <v>2023</v>
      </c>
      <c r="L6583">
        <v>18533.28</v>
      </c>
      <c r="M6583" t="s">
        <v>630</v>
      </c>
      <c r="N6583" s="131">
        <v>48554</v>
      </c>
      <c r="Q6583" t="s">
        <v>2201</v>
      </c>
      <c r="R6583" s="422" t="s">
        <v>1869</v>
      </c>
      <c r="S6583" s="422" t="s">
        <v>1861</v>
      </c>
      <c r="T6583" s="427" t="s">
        <v>1926</v>
      </c>
      <c r="U6583" s="422" t="s">
        <v>1953</v>
      </c>
      <c r="V6583" s="422" t="s">
        <v>2813</v>
      </c>
    </row>
    <row r="6584" spans="1:22" ht="15.75" thickBot="1" x14ac:dyDescent="0.3">
      <c r="A6584" t="s">
        <v>1915</v>
      </c>
      <c r="B6584" t="s">
        <v>1915</v>
      </c>
      <c r="C6584" s="424" t="str">
        <f t="shared" si="283"/>
        <v>Rodo Cargo, S.A.</v>
      </c>
      <c r="D6584" s="422" t="s">
        <v>1920</v>
      </c>
      <c r="E6584" s="422"/>
      <c r="F6584" s="422" t="s">
        <v>620</v>
      </c>
      <c r="G6584" s="89">
        <v>2016</v>
      </c>
      <c r="H6584" s="313" t="s">
        <v>733</v>
      </c>
      <c r="I6584" s="311" t="str">
        <f t="shared" si="282"/>
        <v>Pesado de Mercadorias N3:  : Gasóleo : E6</v>
      </c>
      <c r="K6584" s="422">
        <v>2023</v>
      </c>
      <c r="L6584">
        <v>42020.63</v>
      </c>
      <c r="M6584" t="s">
        <v>630</v>
      </c>
      <c r="N6584" s="131">
        <v>112588</v>
      </c>
      <c r="Q6584" t="s">
        <v>2201</v>
      </c>
      <c r="R6584" s="422" t="s">
        <v>1869</v>
      </c>
      <c r="S6584" s="422" t="s">
        <v>1861</v>
      </c>
      <c r="T6584" s="427" t="s">
        <v>1926</v>
      </c>
      <c r="U6584" s="422" t="s">
        <v>1953</v>
      </c>
      <c r="V6584" s="422" t="s">
        <v>2813</v>
      </c>
    </row>
    <row r="6585" spans="1:22" ht="15.75" thickBot="1" x14ac:dyDescent="0.3">
      <c r="A6585" t="s">
        <v>1915</v>
      </c>
      <c r="B6585" t="s">
        <v>1915</v>
      </c>
      <c r="C6585" s="424" t="str">
        <f t="shared" si="283"/>
        <v>Rodo Cargo, S.A.</v>
      </c>
      <c r="D6585" s="422" t="s">
        <v>1920</v>
      </c>
      <c r="E6585" s="422"/>
      <c r="F6585" s="422" t="s">
        <v>620</v>
      </c>
      <c r="G6585" s="89">
        <v>2016</v>
      </c>
      <c r="H6585" s="313" t="s">
        <v>734</v>
      </c>
      <c r="I6585" s="311" t="str">
        <f t="shared" si="282"/>
        <v>Pesado de Mercadorias N3:  : Gasóleo : E5</v>
      </c>
      <c r="K6585" s="422">
        <v>2023</v>
      </c>
      <c r="L6585">
        <v>28039.48</v>
      </c>
      <c r="M6585" t="s">
        <v>630</v>
      </c>
      <c r="N6585" s="131">
        <v>69079</v>
      </c>
      <c r="Q6585" t="s">
        <v>2201</v>
      </c>
      <c r="R6585" s="422" t="s">
        <v>1869</v>
      </c>
      <c r="S6585" s="422" t="s">
        <v>1861</v>
      </c>
      <c r="T6585" s="427" t="s">
        <v>1926</v>
      </c>
      <c r="U6585" s="422" t="s">
        <v>1953</v>
      </c>
      <c r="V6585" s="422" t="s">
        <v>2813</v>
      </c>
    </row>
    <row r="6586" spans="1:22" ht="15.75" thickBot="1" x14ac:dyDescent="0.3">
      <c r="A6586" t="s">
        <v>1915</v>
      </c>
      <c r="B6586" t="s">
        <v>1915</v>
      </c>
      <c r="C6586" s="424" t="str">
        <f t="shared" si="283"/>
        <v>Rodo Cargo, S.A.</v>
      </c>
      <c r="D6586" s="422" t="s">
        <v>1920</v>
      </c>
      <c r="E6586" s="422"/>
      <c r="F6586" s="422" t="s">
        <v>620</v>
      </c>
      <c r="G6586" s="89">
        <v>2016</v>
      </c>
      <c r="H6586" s="313" t="s">
        <v>734</v>
      </c>
      <c r="I6586" s="311" t="str">
        <f t="shared" si="282"/>
        <v>Pesado de Mercadorias N3:  : Gasóleo : E5</v>
      </c>
      <c r="K6586" s="422">
        <v>2023</v>
      </c>
      <c r="L6586">
        <v>30827.85</v>
      </c>
      <c r="M6586" t="s">
        <v>630</v>
      </c>
      <c r="N6586" s="131">
        <v>80633</v>
      </c>
      <c r="Q6586" t="s">
        <v>2201</v>
      </c>
      <c r="R6586" s="422" t="s">
        <v>1869</v>
      </c>
      <c r="S6586" s="422" t="s">
        <v>1861</v>
      </c>
      <c r="T6586" s="427" t="s">
        <v>1926</v>
      </c>
      <c r="U6586" s="422" t="s">
        <v>1953</v>
      </c>
      <c r="V6586" s="422" t="s">
        <v>2813</v>
      </c>
    </row>
    <row r="6587" spans="1:22" ht="15.75" thickBot="1" x14ac:dyDescent="0.3">
      <c r="A6587" t="s">
        <v>1915</v>
      </c>
      <c r="B6587" t="s">
        <v>1915</v>
      </c>
      <c r="C6587" s="424" t="str">
        <f t="shared" si="283"/>
        <v>Rodo Cargo, S.A.</v>
      </c>
      <c r="D6587" s="422" t="s">
        <v>1920</v>
      </c>
      <c r="E6587" s="422"/>
      <c r="F6587" s="422" t="s">
        <v>620</v>
      </c>
      <c r="G6587" s="89">
        <v>2016</v>
      </c>
      <c r="H6587" s="313" t="s">
        <v>734</v>
      </c>
      <c r="I6587" s="311" t="str">
        <f t="shared" si="282"/>
        <v>Pesado de Mercadorias N3:  : Gasóleo : E5</v>
      </c>
      <c r="K6587" s="422">
        <v>2023</v>
      </c>
      <c r="L6587">
        <v>38342.44</v>
      </c>
      <c r="M6587" t="s">
        <v>630</v>
      </c>
      <c r="N6587" s="131">
        <v>94992</v>
      </c>
      <c r="Q6587" t="s">
        <v>2201</v>
      </c>
      <c r="R6587" s="422" t="s">
        <v>1869</v>
      </c>
      <c r="S6587" s="422" t="s">
        <v>1861</v>
      </c>
      <c r="T6587" s="427" t="s">
        <v>1926</v>
      </c>
      <c r="U6587" s="422" t="s">
        <v>1953</v>
      </c>
      <c r="V6587" s="422" t="s">
        <v>2813</v>
      </c>
    </row>
    <row r="6588" spans="1:22" ht="15.75" thickBot="1" x14ac:dyDescent="0.3">
      <c r="A6588" t="s">
        <v>1915</v>
      </c>
      <c r="B6588" t="s">
        <v>1915</v>
      </c>
      <c r="C6588" s="424" t="str">
        <f t="shared" si="283"/>
        <v>Rodo Cargo, S.A.</v>
      </c>
      <c r="D6588" s="422" t="s">
        <v>1920</v>
      </c>
      <c r="E6588" s="422"/>
      <c r="F6588" s="422" t="s">
        <v>620</v>
      </c>
      <c r="G6588" s="89">
        <v>2016</v>
      </c>
      <c r="H6588" s="313" t="s">
        <v>734</v>
      </c>
      <c r="I6588" s="311" t="str">
        <f t="shared" si="282"/>
        <v>Pesado de Mercadorias N3:  : Gasóleo : E5</v>
      </c>
      <c r="K6588" s="422">
        <v>2023</v>
      </c>
      <c r="L6588">
        <v>31387.24</v>
      </c>
      <c r="M6588" t="s">
        <v>630</v>
      </c>
      <c r="N6588" s="131">
        <v>81110</v>
      </c>
      <c r="Q6588" t="s">
        <v>2201</v>
      </c>
      <c r="R6588" s="422" t="s">
        <v>1869</v>
      </c>
      <c r="S6588" s="422" t="s">
        <v>1861</v>
      </c>
      <c r="T6588" s="427" t="s">
        <v>1926</v>
      </c>
      <c r="U6588" s="422" t="s">
        <v>1953</v>
      </c>
      <c r="V6588" s="422" t="s">
        <v>2813</v>
      </c>
    </row>
    <row r="6589" spans="1:22" ht="15.75" thickBot="1" x14ac:dyDescent="0.3">
      <c r="A6589" t="s">
        <v>1915</v>
      </c>
      <c r="B6589" t="s">
        <v>1915</v>
      </c>
      <c r="C6589" s="424" t="str">
        <f t="shared" si="283"/>
        <v>Rodo Cargo, S.A.</v>
      </c>
      <c r="D6589" s="422" t="s">
        <v>1920</v>
      </c>
      <c r="E6589" s="422"/>
      <c r="F6589" s="422" t="s">
        <v>620</v>
      </c>
      <c r="G6589" s="89">
        <v>2016</v>
      </c>
      <c r="H6589" s="313" t="s">
        <v>734</v>
      </c>
      <c r="I6589" s="311" t="str">
        <f t="shared" si="282"/>
        <v>Pesado de Mercadorias N3:  : Gasóleo : E5</v>
      </c>
      <c r="K6589" s="422">
        <v>2023</v>
      </c>
      <c r="L6589">
        <v>23144.05</v>
      </c>
      <c r="M6589" t="s">
        <v>630</v>
      </c>
      <c r="N6589" s="131">
        <v>61555</v>
      </c>
      <c r="Q6589" t="s">
        <v>2201</v>
      </c>
      <c r="R6589" s="422" t="s">
        <v>1869</v>
      </c>
      <c r="S6589" s="422" t="s">
        <v>1861</v>
      </c>
      <c r="T6589" s="427" t="s">
        <v>1926</v>
      </c>
      <c r="U6589" s="422" t="s">
        <v>1953</v>
      </c>
      <c r="V6589" s="422" t="s">
        <v>2813</v>
      </c>
    </row>
    <row r="6590" spans="1:22" ht="15.75" thickBot="1" x14ac:dyDescent="0.3">
      <c r="A6590" t="s">
        <v>1915</v>
      </c>
      <c r="B6590" t="s">
        <v>1915</v>
      </c>
      <c r="C6590" s="424" t="str">
        <f t="shared" si="283"/>
        <v>Rodo Cargo, S.A.</v>
      </c>
      <c r="D6590" s="422" t="s">
        <v>1920</v>
      </c>
      <c r="E6590" s="422"/>
      <c r="F6590" s="422" t="s">
        <v>620</v>
      </c>
      <c r="G6590" s="89">
        <v>2016</v>
      </c>
      <c r="H6590" s="313" t="s">
        <v>734</v>
      </c>
      <c r="I6590" s="311" t="str">
        <f t="shared" si="282"/>
        <v>Pesado de Mercadorias N3:  : Gasóleo : E5</v>
      </c>
      <c r="K6590" s="422">
        <v>2023</v>
      </c>
      <c r="L6590">
        <v>30668.58</v>
      </c>
      <c r="M6590" t="s">
        <v>630</v>
      </c>
      <c r="N6590" s="131">
        <v>70661</v>
      </c>
      <c r="Q6590" t="s">
        <v>2201</v>
      </c>
      <c r="R6590" s="422" t="s">
        <v>1869</v>
      </c>
      <c r="S6590" s="422" t="s">
        <v>1861</v>
      </c>
      <c r="T6590" s="427" t="s">
        <v>1926</v>
      </c>
      <c r="U6590" s="422" t="s">
        <v>1953</v>
      </c>
      <c r="V6590" s="422" t="s">
        <v>2813</v>
      </c>
    </row>
    <row r="6591" spans="1:22" ht="15.75" thickBot="1" x14ac:dyDescent="0.3">
      <c r="A6591" t="s">
        <v>1915</v>
      </c>
      <c r="B6591" t="s">
        <v>1915</v>
      </c>
      <c r="C6591" s="424" t="str">
        <f t="shared" si="283"/>
        <v>Rodo Cargo, S.A.</v>
      </c>
      <c r="D6591" s="422" t="s">
        <v>1920</v>
      </c>
      <c r="E6591" s="422"/>
      <c r="F6591" s="422" t="s">
        <v>620</v>
      </c>
      <c r="G6591" s="89">
        <v>2016</v>
      </c>
      <c r="H6591" s="313" t="s">
        <v>734</v>
      </c>
      <c r="I6591" s="311" t="str">
        <f t="shared" si="282"/>
        <v>Pesado de Mercadorias N3:  : Gasóleo : E5</v>
      </c>
      <c r="K6591" s="422">
        <v>2023</v>
      </c>
      <c r="L6591">
        <v>24350.560000000001</v>
      </c>
      <c r="M6591" t="s">
        <v>630</v>
      </c>
      <c r="N6591" s="131">
        <v>58630</v>
      </c>
      <c r="Q6591" t="s">
        <v>2201</v>
      </c>
      <c r="R6591" s="422" t="s">
        <v>1869</v>
      </c>
      <c r="S6591" s="422" t="s">
        <v>1861</v>
      </c>
      <c r="T6591" s="427" t="s">
        <v>1926</v>
      </c>
      <c r="U6591" s="422" t="s">
        <v>1953</v>
      </c>
      <c r="V6591" s="422" t="s">
        <v>2813</v>
      </c>
    </row>
    <row r="6592" spans="1:22" ht="15.75" thickBot="1" x14ac:dyDescent="0.3">
      <c r="A6592" t="s">
        <v>1915</v>
      </c>
      <c r="B6592" t="s">
        <v>1915</v>
      </c>
      <c r="C6592" s="424" t="str">
        <f t="shared" si="283"/>
        <v>Rodo Cargo, S.A.</v>
      </c>
      <c r="D6592" s="422" t="s">
        <v>1920</v>
      </c>
      <c r="E6592" s="422"/>
      <c r="F6592" s="422" t="s">
        <v>620</v>
      </c>
      <c r="G6592" s="89">
        <v>2016</v>
      </c>
      <c r="H6592" s="313" t="s">
        <v>734</v>
      </c>
      <c r="I6592" s="311" t="str">
        <f t="shared" si="282"/>
        <v>Pesado de Mercadorias N3:  : Gasóleo : E5</v>
      </c>
      <c r="K6592" s="422">
        <v>2023</v>
      </c>
      <c r="L6592">
        <v>21892.37</v>
      </c>
      <c r="M6592" t="s">
        <v>630</v>
      </c>
      <c r="N6592" s="131">
        <v>55897</v>
      </c>
      <c r="Q6592" t="s">
        <v>2201</v>
      </c>
      <c r="R6592" s="422" t="s">
        <v>1869</v>
      </c>
      <c r="S6592" s="422" t="s">
        <v>1861</v>
      </c>
      <c r="T6592" s="427" t="s">
        <v>1926</v>
      </c>
      <c r="U6592" s="422" t="s">
        <v>1953</v>
      </c>
      <c r="V6592" s="422" t="s">
        <v>2813</v>
      </c>
    </row>
    <row r="6593" spans="1:22" ht="15.75" thickBot="1" x14ac:dyDescent="0.3">
      <c r="A6593" t="s">
        <v>1915</v>
      </c>
      <c r="B6593" t="s">
        <v>1915</v>
      </c>
      <c r="C6593" s="424" t="str">
        <f t="shared" si="283"/>
        <v>Rodo Cargo, S.A.</v>
      </c>
      <c r="D6593" s="422" t="s">
        <v>1920</v>
      </c>
      <c r="E6593" s="422"/>
      <c r="F6593" s="422" t="s">
        <v>620</v>
      </c>
      <c r="G6593" s="89">
        <v>2016</v>
      </c>
      <c r="H6593" s="313" t="s">
        <v>734</v>
      </c>
      <c r="I6593" s="311" t="str">
        <f t="shared" si="282"/>
        <v>Pesado de Mercadorias N3:  : Gasóleo : E5</v>
      </c>
      <c r="K6593" s="422">
        <v>2023</v>
      </c>
      <c r="L6593">
        <v>11833.79</v>
      </c>
      <c r="M6593" t="s">
        <v>630</v>
      </c>
      <c r="N6593" s="131">
        <v>30014</v>
      </c>
      <c r="Q6593" t="s">
        <v>2201</v>
      </c>
      <c r="R6593" s="422" t="s">
        <v>1869</v>
      </c>
      <c r="S6593" s="422" t="s">
        <v>1861</v>
      </c>
      <c r="T6593" s="427" t="s">
        <v>1926</v>
      </c>
      <c r="U6593" s="422" t="s">
        <v>1953</v>
      </c>
      <c r="V6593" s="422" t="s">
        <v>2813</v>
      </c>
    </row>
    <row r="6594" spans="1:22" ht="15.75" thickBot="1" x14ac:dyDescent="0.3">
      <c r="A6594" t="s">
        <v>1915</v>
      </c>
      <c r="B6594" t="s">
        <v>1915</v>
      </c>
      <c r="C6594" s="424" t="str">
        <f t="shared" si="283"/>
        <v>Rodo Cargo, S.A.</v>
      </c>
      <c r="D6594" s="422" t="s">
        <v>1920</v>
      </c>
      <c r="E6594" s="422"/>
      <c r="F6594" s="422" t="s">
        <v>620</v>
      </c>
      <c r="G6594" s="89">
        <v>2016</v>
      </c>
      <c r="H6594" s="313" t="s">
        <v>733</v>
      </c>
      <c r="I6594" s="311" t="str">
        <f t="shared" si="282"/>
        <v>Pesado de Mercadorias N3:  : Gasóleo : E6</v>
      </c>
      <c r="K6594" s="422">
        <v>2023</v>
      </c>
      <c r="L6594">
        <v>48507.68</v>
      </c>
      <c r="M6594" t="s">
        <v>630</v>
      </c>
      <c r="N6594" s="131">
        <v>144160</v>
      </c>
      <c r="Q6594" t="s">
        <v>2201</v>
      </c>
      <c r="R6594" s="422" t="s">
        <v>1869</v>
      </c>
      <c r="S6594" s="422" t="s">
        <v>1861</v>
      </c>
      <c r="T6594" s="427" t="s">
        <v>1926</v>
      </c>
      <c r="U6594" s="422" t="s">
        <v>1953</v>
      </c>
      <c r="V6594" s="422" t="s">
        <v>2813</v>
      </c>
    </row>
    <row r="6595" spans="1:22" ht="15.75" thickBot="1" x14ac:dyDescent="0.3">
      <c r="A6595" t="s">
        <v>1915</v>
      </c>
      <c r="B6595" t="s">
        <v>1915</v>
      </c>
      <c r="C6595" s="424" t="str">
        <f t="shared" si="283"/>
        <v>Rodo Cargo, S.A.</v>
      </c>
      <c r="D6595" s="422" t="s">
        <v>1920</v>
      </c>
      <c r="E6595" s="422"/>
      <c r="F6595" s="422" t="s">
        <v>620</v>
      </c>
      <c r="G6595" s="89">
        <v>2016</v>
      </c>
      <c r="H6595" s="313" t="s">
        <v>733</v>
      </c>
      <c r="I6595" s="311" t="str">
        <f t="shared" si="282"/>
        <v>Pesado de Mercadorias N3:  : Gasóleo : E6</v>
      </c>
      <c r="K6595" s="422">
        <v>2023</v>
      </c>
      <c r="L6595">
        <v>46088.639999999999</v>
      </c>
      <c r="M6595" t="s">
        <v>630</v>
      </c>
      <c r="N6595" s="131">
        <v>127390</v>
      </c>
      <c r="Q6595" t="s">
        <v>2201</v>
      </c>
      <c r="R6595" s="422" t="s">
        <v>1869</v>
      </c>
      <c r="S6595" s="422" t="s">
        <v>1861</v>
      </c>
      <c r="T6595" s="427" t="s">
        <v>1926</v>
      </c>
      <c r="U6595" s="422" t="s">
        <v>1953</v>
      </c>
      <c r="V6595" s="422" t="s">
        <v>2813</v>
      </c>
    </row>
    <row r="6596" spans="1:22" ht="15.75" thickBot="1" x14ac:dyDescent="0.3">
      <c r="A6596" t="s">
        <v>1915</v>
      </c>
      <c r="B6596" t="s">
        <v>1915</v>
      </c>
      <c r="C6596" s="424" t="str">
        <f t="shared" si="283"/>
        <v>Rodo Cargo, S.A.</v>
      </c>
      <c r="D6596" s="422" t="s">
        <v>1920</v>
      </c>
      <c r="E6596" s="422"/>
      <c r="F6596" s="422" t="s">
        <v>620</v>
      </c>
      <c r="G6596" s="89">
        <v>2016</v>
      </c>
      <c r="H6596" s="313" t="s">
        <v>733</v>
      </c>
      <c r="I6596" s="311" t="str">
        <f t="shared" si="282"/>
        <v>Pesado de Mercadorias N3:  : Gasóleo : E6</v>
      </c>
      <c r="K6596" s="422">
        <v>2023</v>
      </c>
      <c r="L6596">
        <v>52366.58</v>
      </c>
      <c r="M6596" t="s">
        <v>630</v>
      </c>
      <c r="N6596" s="131">
        <v>147408</v>
      </c>
      <c r="Q6596" t="s">
        <v>2201</v>
      </c>
      <c r="R6596" s="422" t="s">
        <v>1869</v>
      </c>
      <c r="S6596" s="422" t="s">
        <v>1861</v>
      </c>
      <c r="T6596" s="427" t="s">
        <v>1926</v>
      </c>
      <c r="U6596" s="422" t="s">
        <v>1953</v>
      </c>
      <c r="V6596" s="422" t="s">
        <v>2813</v>
      </c>
    </row>
    <row r="6597" spans="1:22" ht="15.75" thickBot="1" x14ac:dyDescent="0.3">
      <c r="A6597" t="s">
        <v>1915</v>
      </c>
      <c r="B6597" t="s">
        <v>1915</v>
      </c>
      <c r="C6597" s="424" t="str">
        <f t="shared" si="283"/>
        <v>Rodo Cargo, S.A.</v>
      </c>
      <c r="D6597" s="422" t="s">
        <v>1920</v>
      </c>
      <c r="E6597" s="422"/>
      <c r="F6597" s="422" t="s">
        <v>620</v>
      </c>
      <c r="G6597" s="89">
        <v>2016</v>
      </c>
      <c r="H6597" s="313" t="s">
        <v>733</v>
      </c>
      <c r="I6597" s="311" t="str">
        <f t="shared" si="282"/>
        <v>Pesado de Mercadorias N3:  : Gasóleo : E6</v>
      </c>
      <c r="K6597" s="422">
        <v>2023</v>
      </c>
      <c r="L6597">
        <v>42959.09</v>
      </c>
      <c r="M6597" t="s">
        <v>630</v>
      </c>
      <c r="N6597" s="131">
        <v>121682</v>
      </c>
      <c r="Q6597" t="s">
        <v>2201</v>
      </c>
      <c r="R6597" s="422" t="s">
        <v>1869</v>
      </c>
      <c r="S6597" s="422" t="s">
        <v>1861</v>
      </c>
      <c r="T6597" s="427" t="s">
        <v>1926</v>
      </c>
      <c r="U6597" s="422" t="s">
        <v>1953</v>
      </c>
      <c r="V6597" s="422" t="s">
        <v>2813</v>
      </c>
    </row>
    <row r="6598" spans="1:22" ht="15.75" thickBot="1" x14ac:dyDescent="0.3">
      <c r="A6598" t="s">
        <v>1915</v>
      </c>
      <c r="B6598" t="s">
        <v>1915</v>
      </c>
      <c r="C6598" s="424" t="str">
        <f t="shared" si="283"/>
        <v>Rodo Cargo, S.A.</v>
      </c>
      <c r="D6598" s="422" t="s">
        <v>1920</v>
      </c>
      <c r="E6598" s="422"/>
      <c r="F6598" s="422" t="s">
        <v>620</v>
      </c>
      <c r="G6598" s="89">
        <v>2016</v>
      </c>
      <c r="H6598" s="313" t="s">
        <v>733</v>
      </c>
      <c r="I6598" s="311" t="str">
        <f t="shared" si="282"/>
        <v>Pesado de Mercadorias N3:  : Gasóleo : E6</v>
      </c>
      <c r="K6598" s="422">
        <v>2023</v>
      </c>
      <c r="L6598">
        <v>38298.269999999997</v>
      </c>
      <c r="M6598" t="s">
        <v>630</v>
      </c>
      <c r="N6598" s="131">
        <v>106134</v>
      </c>
      <c r="Q6598" t="s">
        <v>2201</v>
      </c>
      <c r="R6598" s="422" t="s">
        <v>1869</v>
      </c>
      <c r="S6598" s="422" t="s">
        <v>1861</v>
      </c>
      <c r="T6598" s="427" t="s">
        <v>1926</v>
      </c>
      <c r="U6598" s="422" t="s">
        <v>1953</v>
      </c>
      <c r="V6598" s="422" t="s">
        <v>2813</v>
      </c>
    </row>
    <row r="6599" spans="1:22" ht="15.75" thickBot="1" x14ac:dyDescent="0.3">
      <c r="A6599" t="s">
        <v>1915</v>
      </c>
      <c r="B6599" t="s">
        <v>1915</v>
      </c>
      <c r="C6599" s="424" t="str">
        <f t="shared" si="283"/>
        <v>Rodo Cargo, S.A.</v>
      </c>
      <c r="D6599" s="422" t="s">
        <v>1920</v>
      </c>
      <c r="E6599" s="422"/>
      <c r="F6599" s="422" t="s">
        <v>620</v>
      </c>
      <c r="G6599" s="89">
        <v>2016</v>
      </c>
      <c r="H6599" s="313" t="s">
        <v>733</v>
      </c>
      <c r="I6599" s="311" t="str">
        <f t="shared" si="282"/>
        <v>Pesado de Mercadorias N3:  : Gasóleo : E6</v>
      </c>
      <c r="K6599" s="422">
        <v>2023</v>
      </c>
      <c r="L6599">
        <v>45004.45</v>
      </c>
      <c r="M6599" t="s">
        <v>630</v>
      </c>
      <c r="N6599" s="131">
        <v>118458</v>
      </c>
      <c r="Q6599" t="s">
        <v>2201</v>
      </c>
      <c r="R6599" s="422" t="s">
        <v>1869</v>
      </c>
      <c r="S6599" s="422" t="s">
        <v>1861</v>
      </c>
      <c r="T6599" s="427" t="s">
        <v>1926</v>
      </c>
      <c r="U6599" s="422" t="s">
        <v>1953</v>
      </c>
      <c r="V6599" s="422" t="s">
        <v>2813</v>
      </c>
    </row>
    <row r="6600" spans="1:22" ht="15.75" thickBot="1" x14ac:dyDescent="0.3">
      <c r="A6600" t="s">
        <v>1915</v>
      </c>
      <c r="B6600" t="s">
        <v>1915</v>
      </c>
      <c r="C6600" s="424" t="str">
        <f t="shared" si="283"/>
        <v>Rodo Cargo, S.A.</v>
      </c>
      <c r="D6600" s="422" t="s">
        <v>1920</v>
      </c>
      <c r="E6600" s="422"/>
      <c r="F6600" s="422" t="s">
        <v>620</v>
      </c>
      <c r="G6600" s="89">
        <v>2016</v>
      </c>
      <c r="H6600" s="313" t="s">
        <v>733</v>
      </c>
      <c r="I6600" s="311" t="str">
        <f t="shared" si="282"/>
        <v>Pesado de Mercadorias N3:  : Gasóleo : E6</v>
      </c>
      <c r="K6600" s="422">
        <v>2023</v>
      </c>
      <c r="L6600">
        <v>32004.74</v>
      </c>
      <c r="M6600" t="s">
        <v>630</v>
      </c>
      <c r="N6600" s="131">
        <v>86475</v>
      </c>
      <c r="Q6600" t="s">
        <v>2201</v>
      </c>
      <c r="R6600" s="422" t="s">
        <v>1869</v>
      </c>
      <c r="S6600" s="422" t="s">
        <v>1861</v>
      </c>
      <c r="T6600" s="427" t="s">
        <v>1926</v>
      </c>
      <c r="U6600" s="422" t="s">
        <v>1953</v>
      </c>
      <c r="V6600" s="422" t="s">
        <v>2813</v>
      </c>
    </row>
    <row r="6601" spans="1:22" ht="15.75" thickBot="1" x14ac:dyDescent="0.3">
      <c r="A6601" t="s">
        <v>1915</v>
      </c>
      <c r="B6601" t="s">
        <v>1915</v>
      </c>
      <c r="C6601" s="424" t="str">
        <f t="shared" si="283"/>
        <v>Rodo Cargo, S.A.</v>
      </c>
      <c r="D6601" s="422" t="s">
        <v>1920</v>
      </c>
      <c r="E6601" s="422"/>
      <c r="F6601" s="422" t="s">
        <v>620</v>
      </c>
      <c r="G6601" s="89">
        <v>2016</v>
      </c>
      <c r="H6601" s="313" t="s">
        <v>733</v>
      </c>
      <c r="I6601" s="311" t="str">
        <f t="shared" si="282"/>
        <v>Pesado de Mercadorias N3:  : Gasóleo : E6</v>
      </c>
      <c r="K6601" s="422">
        <v>2023</v>
      </c>
      <c r="L6601">
        <v>25654.01</v>
      </c>
      <c r="M6601" t="s">
        <v>630</v>
      </c>
      <c r="N6601" s="131">
        <v>71888</v>
      </c>
      <c r="Q6601" t="s">
        <v>2201</v>
      </c>
      <c r="R6601" s="422" t="s">
        <v>1869</v>
      </c>
      <c r="S6601" s="422" t="s">
        <v>1861</v>
      </c>
      <c r="T6601" s="427" t="s">
        <v>1926</v>
      </c>
      <c r="U6601" s="422" t="s">
        <v>1953</v>
      </c>
      <c r="V6601" s="422" t="s">
        <v>2813</v>
      </c>
    </row>
    <row r="6602" spans="1:22" ht="15.75" thickBot="1" x14ac:dyDescent="0.3">
      <c r="A6602" t="s">
        <v>1915</v>
      </c>
      <c r="B6602" t="s">
        <v>1915</v>
      </c>
      <c r="C6602" s="424" t="str">
        <f t="shared" si="283"/>
        <v>Rodo Cargo, S.A.</v>
      </c>
      <c r="D6602" s="422" t="s">
        <v>1920</v>
      </c>
      <c r="E6602" s="422"/>
      <c r="F6602" s="422" t="s">
        <v>620</v>
      </c>
      <c r="G6602" s="89">
        <v>2016</v>
      </c>
      <c r="H6602" s="313" t="s">
        <v>733</v>
      </c>
      <c r="I6602" s="311" t="str">
        <f t="shared" si="282"/>
        <v>Pesado de Mercadorias N3:  : Gasóleo : E6</v>
      </c>
      <c r="K6602" s="422">
        <v>2023</v>
      </c>
      <c r="L6602">
        <v>53786.49</v>
      </c>
      <c r="M6602" t="s">
        <v>630</v>
      </c>
      <c r="N6602" s="131">
        <v>140290</v>
      </c>
      <c r="Q6602" t="s">
        <v>2201</v>
      </c>
      <c r="R6602" s="422" t="s">
        <v>1869</v>
      </c>
      <c r="S6602" s="422" t="s">
        <v>1861</v>
      </c>
      <c r="T6602" s="427" t="s">
        <v>1926</v>
      </c>
      <c r="U6602" s="422" t="s">
        <v>1953</v>
      </c>
      <c r="V6602" s="422" t="s">
        <v>2813</v>
      </c>
    </row>
    <row r="6603" spans="1:22" ht="15.75" thickBot="1" x14ac:dyDescent="0.3">
      <c r="A6603" t="s">
        <v>1915</v>
      </c>
      <c r="B6603" t="s">
        <v>1915</v>
      </c>
      <c r="C6603" s="424" t="str">
        <f t="shared" si="283"/>
        <v>Rodo Cargo, S.A.</v>
      </c>
      <c r="D6603" s="422" t="s">
        <v>1920</v>
      </c>
      <c r="E6603" s="422"/>
      <c r="F6603" s="422" t="s">
        <v>620</v>
      </c>
      <c r="G6603" s="89">
        <v>2016</v>
      </c>
      <c r="H6603" s="313" t="s">
        <v>733</v>
      </c>
      <c r="I6603" s="311" t="str">
        <f t="shared" si="282"/>
        <v>Pesado de Mercadorias N3:  : Gasóleo : E6</v>
      </c>
      <c r="K6603" s="422">
        <v>2023</v>
      </c>
      <c r="L6603">
        <v>47155.97</v>
      </c>
      <c r="M6603" t="s">
        <v>630</v>
      </c>
      <c r="N6603" s="131">
        <v>132738</v>
      </c>
      <c r="Q6603" t="s">
        <v>2201</v>
      </c>
      <c r="R6603" s="422" t="s">
        <v>1869</v>
      </c>
      <c r="S6603" s="422" t="s">
        <v>1861</v>
      </c>
      <c r="T6603" s="427" t="s">
        <v>1926</v>
      </c>
      <c r="U6603" s="422" t="s">
        <v>1953</v>
      </c>
      <c r="V6603" s="422" t="s">
        <v>2813</v>
      </c>
    </row>
    <row r="6604" spans="1:22" ht="15.75" thickBot="1" x14ac:dyDescent="0.3">
      <c r="A6604" t="s">
        <v>1915</v>
      </c>
      <c r="B6604" t="s">
        <v>1915</v>
      </c>
      <c r="C6604" s="424" t="str">
        <f t="shared" si="283"/>
        <v>Rodo Cargo, S.A.</v>
      </c>
      <c r="D6604" s="422" t="s">
        <v>1920</v>
      </c>
      <c r="E6604" s="422"/>
      <c r="F6604" s="422" t="s">
        <v>620</v>
      </c>
      <c r="G6604" s="89">
        <v>2016</v>
      </c>
      <c r="H6604" s="313" t="s">
        <v>733</v>
      </c>
      <c r="I6604" s="311" t="str">
        <f t="shared" si="282"/>
        <v>Pesado de Mercadorias N3:  : Gasóleo : E6</v>
      </c>
      <c r="K6604" s="422">
        <v>2023</v>
      </c>
      <c r="L6604">
        <v>43797.48</v>
      </c>
      <c r="M6604" t="s">
        <v>630</v>
      </c>
      <c r="N6604" s="131">
        <v>122723</v>
      </c>
      <c r="Q6604" t="s">
        <v>2201</v>
      </c>
      <c r="R6604" s="422" t="s">
        <v>1869</v>
      </c>
      <c r="S6604" s="422" t="s">
        <v>1861</v>
      </c>
      <c r="T6604" s="427" t="s">
        <v>1926</v>
      </c>
      <c r="U6604" s="422" t="s">
        <v>1953</v>
      </c>
      <c r="V6604" s="422" t="s">
        <v>2813</v>
      </c>
    </row>
    <row r="6605" spans="1:22" ht="15.75" thickBot="1" x14ac:dyDescent="0.3">
      <c r="A6605" t="s">
        <v>1915</v>
      </c>
      <c r="B6605" t="s">
        <v>1915</v>
      </c>
      <c r="C6605" s="424" t="str">
        <f t="shared" si="283"/>
        <v>Rodo Cargo, S.A.</v>
      </c>
      <c r="D6605" s="422" t="s">
        <v>1920</v>
      </c>
      <c r="E6605" s="422"/>
      <c r="F6605" s="422" t="s">
        <v>620</v>
      </c>
      <c r="G6605" s="89">
        <v>2016</v>
      </c>
      <c r="H6605" s="313" t="s">
        <v>733</v>
      </c>
      <c r="I6605" s="311" t="str">
        <f t="shared" si="282"/>
        <v>Pesado de Mercadorias N3:  : Gasóleo : E6</v>
      </c>
      <c r="K6605" s="422">
        <v>2023</v>
      </c>
      <c r="L6605">
        <v>35324.28</v>
      </c>
      <c r="M6605" t="s">
        <v>630</v>
      </c>
      <c r="N6605" s="131">
        <v>100333</v>
      </c>
      <c r="Q6605" t="s">
        <v>2201</v>
      </c>
      <c r="R6605" s="422" t="s">
        <v>1869</v>
      </c>
      <c r="S6605" s="422" t="s">
        <v>1861</v>
      </c>
      <c r="T6605" s="427" t="s">
        <v>1926</v>
      </c>
      <c r="U6605" s="422" t="s">
        <v>1953</v>
      </c>
      <c r="V6605" s="422" t="s">
        <v>2813</v>
      </c>
    </row>
    <row r="6606" spans="1:22" ht="15.75" thickBot="1" x14ac:dyDescent="0.3">
      <c r="A6606" t="s">
        <v>1915</v>
      </c>
      <c r="B6606" t="s">
        <v>1915</v>
      </c>
      <c r="C6606" s="424" t="str">
        <f t="shared" si="283"/>
        <v>Rodo Cargo, S.A.</v>
      </c>
      <c r="D6606" s="422" t="s">
        <v>1920</v>
      </c>
      <c r="E6606" s="422"/>
      <c r="F6606" s="422" t="s">
        <v>620</v>
      </c>
      <c r="G6606" s="89">
        <v>2016</v>
      </c>
      <c r="H6606" s="313" t="s">
        <v>733</v>
      </c>
      <c r="I6606" s="311" t="str">
        <f t="shared" si="282"/>
        <v>Pesado de Mercadorias N3:  : Gasóleo : E6</v>
      </c>
      <c r="K6606" s="422">
        <v>2023</v>
      </c>
      <c r="L6606">
        <v>47140.06</v>
      </c>
      <c r="M6606" t="s">
        <v>630</v>
      </c>
      <c r="N6606" s="131">
        <v>130213</v>
      </c>
      <c r="Q6606" t="s">
        <v>2201</v>
      </c>
      <c r="R6606" s="422" t="s">
        <v>1869</v>
      </c>
      <c r="S6606" s="422" t="s">
        <v>1861</v>
      </c>
      <c r="T6606" s="427" t="s">
        <v>1926</v>
      </c>
      <c r="U6606" s="422" t="s">
        <v>1953</v>
      </c>
      <c r="V6606" s="422" t="s">
        <v>2813</v>
      </c>
    </row>
    <row r="6607" spans="1:22" ht="15.75" thickBot="1" x14ac:dyDescent="0.3">
      <c r="A6607" t="s">
        <v>1915</v>
      </c>
      <c r="B6607" t="s">
        <v>1915</v>
      </c>
      <c r="C6607" s="424" t="str">
        <f t="shared" si="283"/>
        <v>Rodo Cargo, S.A.</v>
      </c>
      <c r="D6607" s="422" t="s">
        <v>1920</v>
      </c>
      <c r="E6607" s="422"/>
      <c r="F6607" s="422" t="s">
        <v>620</v>
      </c>
      <c r="G6607" s="89">
        <v>2016</v>
      </c>
      <c r="H6607" s="313" t="s">
        <v>733</v>
      </c>
      <c r="I6607" s="311" t="str">
        <f t="shared" si="282"/>
        <v>Pesado de Mercadorias N3:  : Gasóleo : E6</v>
      </c>
      <c r="K6607" s="422">
        <v>2023</v>
      </c>
      <c r="L6607">
        <v>4846.13</v>
      </c>
      <c r="M6607" t="s">
        <v>630</v>
      </c>
      <c r="N6607" s="131">
        <v>13672</v>
      </c>
      <c r="Q6607" t="s">
        <v>2201</v>
      </c>
      <c r="R6607" s="422" t="s">
        <v>1869</v>
      </c>
      <c r="S6607" s="422" t="s">
        <v>1861</v>
      </c>
      <c r="T6607" s="427" t="s">
        <v>1926</v>
      </c>
      <c r="U6607" s="422" t="s">
        <v>1953</v>
      </c>
      <c r="V6607" s="422" t="s">
        <v>2813</v>
      </c>
    </row>
    <row r="6608" spans="1:22" ht="15.75" thickBot="1" x14ac:dyDescent="0.3">
      <c r="A6608" t="s">
        <v>1915</v>
      </c>
      <c r="B6608" t="s">
        <v>1915</v>
      </c>
      <c r="C6608" s="424" t="str">
        <f t="shared" si="283"/>
        <v>Rodo Cargo, S.A.</v>
      </c>
      <c r="D6608" s="422" t="s">
        <v>1920</v>
      </c>
      <c r="E6608" s="422"/>
      <c r="F6608" s="422" t="s">
        <v>620</v>
      </c>
      <c r="G6608" s="89">
        <v>2016</v>
      </c>
      <c r="H6608" s="313" t="s">
        <v>733</v>
      </c>
      <c r="I6608" s="311" t="str">
        <f t="shared" si="282"/>
        <v>Pesado de Mercadorias N3:  : Gasóleo : E6</v>
      </c>
      <c r="K6608" s="422">
        <v>2023</v>
      </c>
      <c r="L6608">
        <v>37385.61</v>
      </c>
      <c r="M6608" t="s">
        <v>630</v>
      </c>
      <c r="N6608" s="131">
        <v>100320</v>
      </c>
      <c r="Q6608" t="s">
        <v>2201</v>
      </c>
      <c r="R6608" s="422" t="s">
        <v>1869</v>
      </c>
      <c r="S6608" s="422" t="s">
        <v>1861</v>
      </c>
      <c r="T6608" s="427" t="s">
        <v>1926</v>
      </c>
      <c r="U6608" s="422" t="s">
        <v>1953</v>
      </c>
      <c r="V6608" s="422" t="s">
        <v>2813</v>
      </c>
    </row>
    <row r="6609" spans="1:22" ht="15.75" thickBot="1" x14ac:dyDescent="0.3">
      <c r="A6609" t="s">
        <v>1915</v>
      </c>
      <c r="B6609" t="s">
        <v>1915</v>
      </c>
      <c r="C6609" s="424" t="str">
        <f t="shared" si="283"/>
        <v>Rodo Cargo, S.A.</v>
      </c>
      <c r="D6609" s="422" t="s">
        <v>1920</v>
      </c>
      <c r="E6609" s="422"/>
      <c r="F6609" s="422" t="s">
        <v>620</v>
      </c>
      <c r="G6609" s="89">
        <v>2016</v>
      </c>
      <c r="H6609" s="313" t="s">
        <v>733</v>
      </c>
      <c r="I6609" s="311" t="str">
        <f t="shared" si="282"/>
        <v>Pesado de Mercadorias N3:  : Gasóleo : E6</v>
      </c>
      <c r="K6609" s="422">
        <v>2023</v>
      </c>
      <c r="L6609">
        <v>52791.57</v>
      </c>
      <c r="M6609" t="s">
        <v>630</v>
      </c>
      <c r="N6609" s="131">
        <v>154429</v>
      </c>
      <c r="Q6609" t="s">
        <v>2201</v>
      </c>
      <c r="R6609" s="422" t="s">
        <v>1869</v>
      </c>
      <c r="S6609" s="422" t="s">
        <v>1861</v>
      </c>
      <c r="T6609" s="427" t="s">
        <v>1926</v>
      </c>
      <c r="U6609" s="422" t="s">
        <v>1953</v>
      </c>
      <c r="V6609" s="422" t="s">
        <v>2813</v>
      </c>
    </row>
    <row r="6610" spans="1:22" ht="15.75" thickBot="1" x14ac:dyDescent="0.3">
      <c r="A6610" t="s">
        <v>1915</v>
      </c>
      <c r="B6610" t="s">
        <v>1915</v>
      </c>
      <c r="C6610" s="424" t="str">
        <f t="shared" si="283"/>
        <v>Rodo Cargo, S.A.</v>
      </c>
      <c r="D6610" s="422" t="s">
        <v>1920</v>
      </c>
      <c r="E6610" s="422"/>
      <c r="F6610" s="422" t="s">
        <v>620</v>
      </c>
      <c r="G6610" s="89">
        <v>2016</v>
      </c>
      <c r="H6610" s="313" t="s">
        <v>733</v>
      </c>
      <c r="I6610" s="311" t="str">
        <f t="shared" si="282"/>
        <v>Pesado de Mercadorias N3:  : Gasóleo : E6</v>
      </c>
      <c r="K6610" s="422">
        <v>2023</v>
      </c>
      <c r="L6610">
        <v>42610.69</v>
      </c>
      <c r="M6610" t="s">
        <v>630</v>
      </c>
      <c r="N6610" s="131">
        <v>122143</v>
      </c>
      <c r="Q6610" t="s">
        <v>2201</v>
      </c>
      <c r="R6610" s="422" t="s">
        <v>1869</v>
      </c>
      <c r="S6610" s="422" t="s">
        <v>1861</v>
      </c>
      <c r="T6610" s="427" t="s">
        <v>1926</v>
      </c>
      <c r="U6610" s="422" t="s">
        <v>1953</v>
      </c>
      <c r="V6610" s="422" t="s">
        <v>2813</v>
      </c>
    </row>
    <row r="6611" spans="1:22" ht="15.75" thickBot="1" x14ac:dyDescent="0.3">
      <c r="A6611" t="s">
        <v>1915</v>
      </c>
      <c r="B6611" t="s">
        <v>1915</v>
      </c>
      <c r="C6611" s="424" t="str">
        <f t="shared" si="283"/>
        <v>Rodo Cargo, S.A.</v>
      </c>
      <c r="D6611" s="422" t="s">
        <v>1920</v>
      </c>
      <c r="E6611" s="422"/>
      <c r="F6611" s="422" t="s">
        <v>620</v>
      </c>
      <c r="G6611" s="89">
        <v>2016</v>
      </c>
      <c r="H6611" s="313" t="s">
        <v>733</v>
      </c>
      <c r="I6611" s="311" t="str">
        <f t="shared" si="282"/>
        <v>Pesado de Mercadorias N3:  : Gasóleo : E6</v>
      </c>
      <c r="K6611" s="422">
        <v>2023</v>
      </c>
      <c r="L6611">
        <v>42111.48</v>
      </c>
      <c r="M6611" t="s">
        <v>630</v>
      </c>
      <c r="N6611" s="131">
        <v>119395</v>
      </c>
      <c r="Q6611" t="s">
        <v>2201</v>
      </c>
      <c r="R6611" s="422" t="s">
        <v>1869</v>
      </c>
      <c r="S6611" s="422" t="s">
        <v>1861</v>
      </c>
      <c r="T6611" s="427" t="s">
        <v>1926</v>
      </c>
      <c r="U6611" s="422" t="s">
        <v>1953</v>
      </c>
      <c r="V6611" s="422" t="s">
        <v>2813</v>
      </c>
    </row>
    <row r="6612" spans="1:22" ht="15.75" thickBot="1" x14ac:dyDescent="0.3">
      <c r="A6612" t="s">
        <v>1915</v>
      </c>
      <c r="B6612" t="s">
        <v>1915</v>
      </c>
      <c r="C6612" s="424" t="str">
        <f t="shared" si="283"/>
        <v>Rodo Cargo, S.A.</v>
      </c>
      <c r="D6612" s="422" t="s">
        <v>1920</v>
      </c>
      <c r="E6612" s="422"/>
      <c r="F6612" s="422" t="s">
        <v>620</v>
      </c>
      <c r="G6612" s="89">
        <v>2016</v>
      </c>
      <c r="H6612" s="313" t="s">
        <v>733</v>
      </c>
      <c r="I6612" s="311" t="str">
        <f t="shared" si="282"/>
        <v>Pesado de Mercadorias N3:  : Gasóleo : E6</v>
      </c>
      <c r="K6612" s="422">
        <v>2023</v>
      </c>
      <c r="L6612">
        <v>52248.42</v>
      </c>
      <c r="M6612" t="s">
        <v>630</v>
      </c>
      <c r="N6612" s="131">
        <v>143961</v>
      </c>
      <c r="Q6612" t="s">
        <v>2201</v>
      </c>
      <c r="R6612" s="422" t="s">
        <v>1869</v>
      </c>
      <c r="S6612" s="422" t="s">
        <v>1861</v>
      </c>
      <c r="T6612" s="427" t="s">
        <v>1926</v>
      </c>
      <c r="U6612" s="422" t="s">
        <v>1953</v>
      </c>
      <c r="V6612" s="422" t="s">
        <v>2813</v>
      </c>
    </row>
    <row r="6613" spans="1:22" ht="15.75" thickBot="1" x14ac:dyDescent="0.3">
      <c r="A6613" t="s">
        <v>1915</v>
      </c>
      <c r="B6613" t="s">
        <v>1915</v>
      </c>
      <c r="C6613" s="424" t="str">
        <f t="shared" si="283"/>
        <v>Rodo Cargo, S.A.</v>
      </c>
      <c r="D6613" s="422" t="s">
        <v>1920</v>
      </c>
      <c r="E6613" s="422"/>
      <c r="F6613" s="422" t="s">
        <v>620</v>
      </c>
      <c r="G6613" s="89">
        <v>2016</v>
      </c>
      <c r="H6613" s="313" t="s">
        <v>733</v>
      </c>
      <c r="I6613" s="311" t="str">
        <f t="shared" si="282"/>
        <v>Pesado de Mercadorias N3:  : Gasóleo : E6</v>
      </c>
      <c r="K6613" s="422">
        <v>2023</v>
      </c>
      <c r="L6613">
        <v>30918.03</v>
      </c>
      <c r="M6613" t="s">
        <v>630</v>
      </c>
      <c r="N6613" s="131">
        <v>82078</v>
      </c>
      <c r="Q6613" t="s">
        <v>2201</v>
      </c>
      <c r="R6613" s="422" t="s">
        <v>1869</v>
      </c>
      <c r="S6613" s="422" t="s">
        <v>1861</v>
      </c>
      <c r="T6613" s="427" t="s">
        <v>1926</v>
      </c>
      <c r="U6613" s="422" t="s">
        <v>1953</v>
      </c>
      <c r="V6613" s="422" t="s">
        <v>2813</v>
      </c>
    </row>
    <row r="6614" spans="1:22" ht="15.75" thickBot="1" x14ac:dyDescent="0.3">
      <c r="A6614" t="s">
        <v>1915</v>
      </c>
      <c r="B6614" t="s">
        <v>1915</v>
      </c>
      <c r="C6614" s="424" t="str">
        <f t="shared" si="283"/>
        <v>Rodo Cargo, S.A.</v>
      </c>
      <c r="D6614" s="422" t="s">
        <v>1920</v>
      </c>
      <c r="E6614" s="422"/>
      <c r="F6614" s="422" t="s">
        <v>620</v>
      </c>
      <c r="G6614" s="89">
        <v>2016</v>
      </c>
      <c r="H6614" s="313" t="s">
        <v>733</v>
      </c>
      <c r="I6614" s="311" t="str">
        <f t="shared" si="282"/>
        <v>Pesado de Mercadorias N3:  : Gasóleo : E6</v>
      </c>
      <c r="K6614" s="422">
        <v>2023</v>
      </c>
      <c r="L6614">
        <v>30340.75</v>
      </c>
      <c r="M6614" t="s">
        <v>630</v>
      </c>
      <c r="N6614" s="131">
        <v>79421</v>
      </c>
      <c r="Q6614" t="s">
        <v>2201</v>
      </c>
      <c r="R6614" s="422" t="s">
        <v>1869</v>
      </c>
      <c r="S6614" s="422" t="s">
        <v>1861</v>
      </c>
      <c r="T6614" s="427" t="s">
        <v>1926</v>
      </c>
      <c r="U6614" s="422" t="s">
        <v>1953</v>
      </c>
      <c r="V6614" s="422" t="s">
        <v>2813</v>
      </c>
    </row>
    <row r="6615" spans="1:22" ht="15.75" thickBot="1" x14ac:dyDescent="0.3">
      <c r="A6615" t="s">
        <v>1915</v>
      </c>
      <c r="B6615" t="s">
        <v>1915</v>
      </c>
      <c r="C6615" s="424" t="str">
        <f t="shared" si="283"/>
        <v>Rodo Cargo, S.A.</v>
      </c>
      <c r="D6615" s="422" t="s">
        <v>1920</v>
      </c>
      <c r="E6615" s="422"/>
      <c r="F6615" s="422" t="s">
        <v>620</v>
      </c>
      <c r="G6615" s="89">
        <v>2016</v>
      </c>
      <c r="H6615" s="313" t="s">
        <v>733</v>
      </c>
      <c r="I6615" s="311" t="str">
        <f t="shared" si="282"/>
        <v>Pesado de Mercadorias N3:  : Gasóleo : E6</v>
      </c>
      <c r="K6615" s="422">
        <v>2023</v>
      </c>
      <c r="L6615">
        <v>55905.14</v>
      </c>
      <c r="M6615" t="s">
        <v>630</v>
      </c>
      <c r="N6615" s="131">
        <v>149718</v>
      </c>
      <c r="Q6615" t="s">
        <v>2201</v>
      </c>
      <c r="R6615" s="422" t="s">
        <v>1869</v>
      </c>
      <c r="S6615" s="422" t="s">
        <v>1861</v>
      </c>
      <c r="T6615" s="427" t="s">
        <v>1926</v>
      </c>
      <c r="U6615" s="422" t="s">
        <v>1953</v>
      </c>
      <c r="V6615" s="422" t="s">
        <v>2813</v>
      </c>
    </row>
    <row r="6616" spans="1:22" ht="15.75" thickBot="1" x14ac:dyDescent="0.3">
      <c r="A6616" t="s">
        <v>1915</v>
      </c>
      <c r="B6616" t="s">
        <v>1915</v>
      </c>
      <c r="C6616" s="424" t="str">
        <f t="shared" si="283"/>
        <v>Rodo Cargo, S.A.</v>
      </c>
      <c r="D6616" s="422" t="s">
        <v>1920</v>
      </c>
      <c r="E6616" s="422"/>
      <c r="F6616" s="422" t="s">
        <v>620</v>
      </c>
      <c r="G6616" s="89">
        <v>2016</v>
      </c>
      <c r="H6616" s="313" t="s">
        <v>733</v>
      </c>
      <c r="I6616" s="311" t="str">
        <f t="shared" si="282"/>
        <v>Pesado de Mercadorias N3:  : Gasóleo : E6</v>
      </c>
      <c r="K6616" s="422">
        <v>2023</v>
      </c>
      <c r="L6616">
        <v>34425.050000000003</v>
      </c>
      <c r="M6616" t="s">
        <v>630</v>
      </c>
      <c r="N6616" s="131">
        <v>92650</v>
      </c>
      <c r="Q6616" t="s">
        <v>2201</v>
      </c>
      <c r="R6616" s="422" t="s">
        <v>1869</v>
      </c>
      <c r="S6616" s="422" t="s">
        <v>1861</v>
      </c>
      <c r="T6616" s="427" t="s">
        <v>1926</v>
      </c>
      <c r="U6616" s="422" t="s">
        <v>1953</v>
      </c>
      <c r="V6616" s="422" t="s">
        <v>2813</v>
      </c>
    </row>
    <row r="6617" spans="1:22" ht="15.75" thickBot="1" x14ac:dyDescent="0.3">
      <c r="A6617" t="s">
        <v>1915</v>
      </c>
      <c r="B6617" t="s">
        <v>1915</v>
      </c>
      <c r="C6617" s="424" t="str">
        <f t="shared" si="283"/>
        <v>Rodo Cargo, S.A.</v>
      </c>
      <c r="D6617" s="422" t="s">
        <v>1920</v>
      </c>
      <c r="E6617" s="422"/>
      <c r="F6617" s="422" t="s">
        <v>620</v>
      </c>
      <c r="G6617" s="89">
        <v>2018</v>
      </c>
      <c r="H6617" s="313" t="s">
        <v>733</v>
      </c>
      <c r="I6617" s="311" t="str">
        <f t="shared" si="282"/>
        <v>Pesado de Mercadorias N3:  : Gasóleo : E6</v>
      </c>
      <c r="K6617" s="422">
        <v>2023</v>
      </c>
      <c r="L6617">
        <v>55806.85</v>
      </c>
      <c r="M6617" t="s">
        <v>630</v>
      </c>
      <c r="N6617" s="131">
        <v>142108</v>
      </c>
      <c r="Q6617" t="s">
        <v>2201</v>
      </c>
      <c r="R6617" s="422" t="s">
        <v>1869</v>
      </c>
      <c r="S6617" s="422" t="s">
        <v>1861</v>
      </c>
      <c r="T6617" s="427" t="s">
        <v>1926</v>
      </c>
      <c r="U6617" s="422" t="s">
        <v>1953</v>
      </c>
      <c r="V6617" s="422" t="s">
        <v>2813</v>
      </c>
    </row>
    <row r="6618" spans="1:22" ht="15.75" thickBot="1" x14ac:dyDescent="0.3">
      <c r="A6618" t="s">
        <v>1915</v>
      </c>
      <c r="B6618" t="s">
        <v>1915</v>
      </c>
      <c r="C6618" s="424" t="str">
        <f t="shared" si="283"/>
        <v>Rodo Cargo, S.A.</v>
      </c>
      <c r="D6618" s="422" t="s">
        <v>1920</v>
      </c>
      <c r="E6618" s="422"/>
      <c r="F6618" s="422" t="s">
        <v>620</v>
      </c>
      <c r="G6618" s="89">
        <v>2018</v>
      </c>
      <c r="H6618" s="313" t="s">
        <v>733</v>
      </c>
      <c r="I6618" s="311" t="str">
        <f t="shared" si="282"/>
        <v>Pesado de Mercadorias N3:  : Gasóleo : E6</v>
      </c>
      <c r="K6618" s="422">
        <v>2023</v>
      </c>
      <c r="L6618">
        <v>42967.15</v>
      </c>
      <c r="M6618" t="s">
        <v>630</v>
      </c>
      <c r="N6618" s="131">
        <v>108249</v>
      </c>
      <c r="Q6618" t="s">
        <v>2201</v>
      </c>
      <c r="R6618" s="422" t="s">
        <v>1869</v>
      </c>
      <c r="S6618" s="422" t="s">
        <v>1861</v>
      </c>
      <c r="T6618" s="427" t="s">
        <v>1926</v>
      </c>
      <c r="U6618" s="422" t="s">
        <v>1953</v>
      </c>
      <c r="V6618" s="422" t="s">
        <v>2813</v>
      </c>
    </row>
    <row r="6619" spans="1:22" ht="15.75" thickBot="1" x14ac:dyDescent="0.3">
      <c r="A6619" t="s">
        <v>1915</v>
      </c>
      <c r="B6619" t="s">
        <v>1915</v>
      </c>
      <c r="C6619" s="424" t="str">
        <f t="shared" si="283"/>
        <v>Rodo Cargo, S.A.</v>
      </c>
      <c r="D6619" s="422" t="s">
        <v>1920</v>
      </c>
      <c r="E6619" s="422"/>
      <c r="F6619" s="422" t="s">
        <v>620</v>
      </c>
      <c r="G6619" s="89">
        <v>2018</v>
      </c>
      <c r="H6619" s="313" t="s">
        <v>733</v>
      </c>
      <c r="I6619" s="311" t="str">
        <f t="shared" si="282"/>
        <v>Pesado de Mercadorias N3:  : Gasóleo : E6</v>
      </c>
      <c r="K6619" s="422">
        <v>2023</v>
      </c>
      <c r="L6619">
        <v>56929.19</v>
      </c>
      <c r="M6619" t="s">
        <v>630</v>
      </c>
      <c r="N6619" s="131">
        <v>142049</v>
      </c>
      <c r="Q6619" t="s">
        <v>2201</v>
      </c>
      <c r="R6619" s="422" t="s">
        <v>1869</v>
      </c>
      <c r="S6619" s="422" t="s">
        <v>1861</v>
      </c>
      <c r="T6619" s="427" t="s">
        <v>1926</v>
      </c>
      <c r="U6619" s="422" t="s">
        <v>1953</v>
      </c>
      <c r="V6619" s="422" t="s">
        <v>2813</v>
      </c>
    </row>
    <row r="6620" spans="1:22" ht="15.75" thickBot="1" x14ac:dyDescent="0.3">
      <c r="A6620" t="s">
        <v>1915</v>
      </c>
      <c r="B6620" t="s">
        <v>1915</v>
      </c>
      <c r="C6620" s="424" t="str">
        <f t="shared" si="283"/>
        <v>Rodo Cargo, S.A.</v>
      </c>
      <c r="D6620" s="422" t="s">
        <v>1920</v>
      </c>
      <c r="E6620" s="422"/>
      <c r="F6620" s="422" t="s">
        <v>620</v>
      </c>
      <c r="G6620" s="89">
        <v>2018</v>
      </c>
      <c r="H6620" s="313" t="s">
        <v>733</v>
      </c>
      <c r="I6620" s="311" t="str">
        <f t="shared" si="282"/>
        <v>Pesado de Mercadorias N3:  : Gasóleo : E6</v>
      </c>
      <c r="K6620" s="422">
        <v>2023</v>
      </c>
      <c r="L6620">
        <v>47981.61</v>
      </c>
      <c r="M6620" t="s">
        <v>630</v>
      </c>
      <c r="N6620" s="131">
        <v>127161</v>
      </c>
      <c r="Q6620" t="s">
        <v>2201</v>
      </c>
      <c r="R6620" s="422" t="s">
        <v>1869</v>
      </c>
      <c r="S6620" s="422" t="s">
        <v>1861</v>
      </c>
      <c r="T6620" s="427" t="s">
        <v>1926</v>
      </c>
      <c r="U6620" s="422" t="s">
        <v>1953</v>
      </c>
      <c r="V6620" s="422" t="s">
        <v>2813</v>
      </c>
    </row>
    <row r="6621" spans="1:22" ht="15.75" thickBot="1" x14ac:dyDescent="0.3">
      <c r="A6621" t="s">
        <v>1915</v>
      </c>
      <c r="B6621" t="s">
        <v>1915</v>
      </c>
      <c r="C6621" s="424" t="str">
        <f t="shared" si="283"/>
        <v>Rodo Cargo, S.A.</v>
      </c>
      <c r="D6621" s="422" t="s">
        <v>1920</v>
      </c>
      <c r="E6621" s="422"/>
      <c r="F6621" s="422" t="s">
        <v>620</v>
      </c>
      <c r="G6621" s="89">
        <v>2018</v>
      </c>
      <c r="H6621" s="313" t="s">
        <v>733</v>
      </c>
      <c r="I6621" s="311" t="str">
        <f t="shared" si="282"/>
        <v>Pesado de Mercadorias N3:  : Gasóleo : E6</v>
      </c>
      <c r="K6621" s="422">
        <v>2023</v>
      </c>
      <c r="L6621">
        <v>23867.18</v>
      </c>
      <c r="M6621" t="s">
        <v>630</v>
      </c>
      <c r="N6621" s="131">
        <v>77998</v>
      </c>
      <c r="Q6621" t="s">
        <v>2201</v>
      </c>
      <c r="R6621" s="422" t="s">
        <v>1869</v>
      </c>
      <c r="S6621" s="422" t="s">
        <v>1861</v>
      </c>
      <c r="T6621" s="427" t="s">
        <v>1926</v>
      </c>
      <c r="U6621" s="422" t="s">
        <v>1953</v>
      </c>
      <c r="V6621" s="422" t="s">
        <v>2813</v>
      </c>
    </row>
    <row r="6622" spans="1:22" ht="15.75" thickBot="1" x14ac:dyDescent="0.3">
      <c r="A6622" t="s">
        <v>1915</v>
      </c>
      <c r="B6622" t="s">
        <v>1915</v>
      </c>
      <c r="C6622" s="424" t="str">
        <f t="shared" si="283"/>
        <v>Rodo Cargo, S.A.</v>
      </c>
      <c r="D6622" s="422" t="s">
        <v>1920</v>
      </c>
      <c r="E6622" s="422"/>
      <c r="F6622" s="422" t="s">
        <v>620</v>
      </c>
      <c r="G6622" s="89">
        <v>2018</v>
      </c>
      <c r="H6622" s="313" t="s">
        <v>733</v>
      </c>
      <c r="I6622" s="311" t="str">
        <f t="shared" si="282"/>
        <v>Pesado de Mercadorias N3:  : Gasóleo : E6</v>
      </c>
      <c r="K6622" s="422">
        <v>2023</v>
      </c>
      <c r="L6622">
        <v>18939.939999999999</v>
      </c>
      <c r="M6622" t="s">
        <v>630</v>
      </c>
      <c r="N6622" s="131">
        <v>61904</v>
      </c>
      <c r="Q6622" t="s">
        <v>2201</v>
      </c>
      <c r="R6622" s="422" t="s">
        <v>1869</v>
      </c>
      <c r="S6622" s="422" t="s">
        <v>1861</v>
      </c>
      <c r="T6622" s="427" t="s">
        <v>1926</v>
      </c>
      <c r="U6622" s="422" t="s">
        <v>1953</v>
      </c>
      <c r="V6622" s="422" t="s">
        <v>2813</v>
      </c>
    </row>
    <row r="6623" spans="1:22" ht="15.75" thickBot="1" x14ac:dyDescent="0.3">
      <c r="A6623" t="s">
        <v>1915</v>
      </c>
      <c r="B6623" t="s">
        <v>1915</v>
      </c>
      <c r="C6623" s="424" t="str">
        <f t="shared" si="283"/>
        <v>Rodo Cargo, S.A.</v>
      </c>
      <c r="D6623" s="422" t="s">
        <v>1920</v>
      </c>
      <c r="E6623" s="422"/>
      <c r="F6623" s="422" t="s">
        <v>620</v>
      </c>
      <c r="G6623" s="89">
        <v>2018</v>
      </c>
      <c r="H6623" s="313" t="s">
        <v>733</v>
      </c>
      <c r="I6623" s="311" t="str">
        <f t="shared" si="282"/>
        <v>Pesado de Mercadorias N3:  : Gasóleo : E6</v>
      </c>
      <c r="K6623" s="422">
        <v>2023</v>
      </c>
      <c r="L6623">
        <v>23377.46</v>
      </c>
      <c r="M6623" t="s">
        <v>630</v>
      </c>
      <c r="N6623" s="131">
        <v>72853</v>
      </c>
      <c r="Q6623" t="s">
        <v>2201</v>
      </c>
      <c r="R6623" s="422" t="s">
        <v>1869</v>
      </c>
      <c r="S6623" s="422" t="s">
        <v>1861</v>
      </c>
      <c r="T6623" s="427" t="s">
        <v>1926</v>
      </c>
      <c r="U6623" s="422" t="s">
        <v>1953</v>
      </c>
      <c r="V6623" s="422" t="s">
        <v>2813</v>
      </c>
    </row>
    <row r="6624" spans="1:22" ht="15.75" thickBot="1" x14ac:dyDescent="0.3">
      <c r="A6624" t="s">
        <v>1915</v>
      </c>
      <c r="B6624" t="s">
        <v>1915</v>
      </c>
      <c r="C6624" s="424" t="str">
        <f t="shared" si="283"/>
        <v>Rodo Cargo, S.A.</v>
      </c>
      <c r="D6624" s="422" t="s">
        <v>1920</v>
      </c>
      <c r="E6624" s="422"/>
      <c r="F6624" s="422" t="s">
        <v>620</v>
      </c>
      <c r="G6624" s="89">
        <v>2018</v>
      </c>
      <c r="H6624" s="313" t="s">
        <v>733</v>
      </c>
      <c r="I6624" s="311" t="str">
        <f t="shared" si="282"/>
        <v>Pesado de Mercadorias N3:  : Gasóleo : E6</v>
      </c>
      <c r="K6624" s="422">
        <v>2023</v>
      </c>
      <c r="L6624">
        <v>18985.310000000001</v>
      </c>
      <c r="M6624" t="s">
        <v>630</v>
      </c>
      <c r="N6624" s="131">
        <v>58131</v>
      </c>
      <c r="Q6624" t="s">
        <v>2201</v>
      </c>
      <c r="R6624" s="422" t="s">
        <v>1869</v>
      </c>
      <c r="S6624" s="422" t="s">
        <v>1861</v>
      </c>
      <c r="T6624" s="427" t="s">
        <v>1926</v>
      </c>
      <c r="U6624" s="422" t="s">
        <v>1953</v>
      </c>
      <c r="V6624" s="422" t="s">
        <v>2813</v>
      </c>
    </row>
    <row r="6625" spans="1:22" ht="15.75" thickBot="1" x14ac:dyDescent="0.3">
      <c r="A6625" t="s">
        <v>1915</v>
      </c>
      <c r="B6625" t="s">
        <v>1915</v>
      </c>
      <c r="C6625" s="424" t="str">
        <f t="shared" si="283"/>
        <v>Rodo Cargo, S.A.</v>
      </c>
      <c r="D6625" s="422" t="s">
        <v>1920</v>
      </c>
      <c r="E6625" s="422"/>
      <c r="F6625" s="422" t="s">
        <v>620</v>
      </c>
      <c r="G6625" s="89">
        <v>2018</v>
      </c>
      <c r="H6625" s="313" t="s">
        <v>733</v>
      </c>
      <c r="I6625" s="311" t="str">
        <f t="shared" si="282"/>
        <v>Pesado de Mercadorias N3:  : Gasóleo : E6</v>
      </c>
      <c r="K6625" s="422">
        <v>2023</v>
      </c>
      <c r="L6625">
        <v>23860.68</v>
      </c>
      <c r="M6625" t="s">
        <v>630</v>
      </c>
      <c r="N6625" s="131">
        <v>75030</v>
      </c>
      <c r="Q6625" t="s">
        <v>2201</v>
      </c>
      <c r="R6625" s="422" t="s">
        <v>1869</v>
      </c>
      <c r="S6625" s="422" t="s">
        <v>1861</v>
      </c>
      <c r="T6625" s="427" t="s">
        <v>1926</v>
      </c>
      <c r="U6625" s="422" t="s">
        <v>1953</v>
      </c>
      <c r="V6625" s="422" t="s">
        <v>2813</v>
      </c>
    </row>
    <row r="6626" spans="1:22" ht="15.75" thickBot="1" x14ac:dyDescent="0.3">
      <c r="A6626" t="s">
        <v>1915</v>
      </c>
      <c r="B6626" t="s">
        <v>1915</v>
      </c>
      <c r="C6626" s="424" t="str">
        <f t="shared" si="283"/>
        <v>Rodo Cargo, S.A.</v>
      </c>
      <c r="D6626" s="422" t="s">
        <v>1920</v>
      </c>
      <c r="E6626" s="422"/>
      <c r="F6626" s="422" t="s">
        <v>620</v>
      </c>
      <c r="G6626" s="89">
        <v>2018</v>
      </c>
      <c r="H6626" s="313" t="s">
        <v>733</v>
      </c>
      <c r="I6626" s="311" t="str">
        <f t="shared" ref="I6626:I6689" si="284">D6626&amp;": "&amp;E6626&amp;" : "&amp;F6626&amp;" : "&amp;H6626</f>
        <v>Pesado de Mercadorias N3:  : Gasóleo : E6</v>
      </c>
      <c r="K6626" s="422">
        <v>2023</v>
      </c>
      <c r="L6626">
        <v>35507.440000000002</v>
      </c>
      <c r="M6626" t="s">
        <v>630</v>
      </c>
      <c r="N6626" s="131">
        <v>100018</v>
      </c>
      <c r="Q6626" t="s">
        <v>2201</v>
      </c>
      <c r="R6626" s="422" t="s">
        <v>1869</v>
      </c>
      <c r="S6626" s="422" t="s">
        <v>1861</v>
      </c>
      <c r="T6626" s="427" t="s">
        <v>1926</v>
      </c>
      <c r="U6626" s="422" t="s">
        <v>1953</v>
      </c>
      <c r="V6626" s="422" t="s">
        <v>2813</v>
      </c>
    </row>
    <row r="6627" spans="1:22" ht="15.75" thickBot="1" x14ac:dyDescent="0.3">
      <c r="A6627" t="s">
        <v>1915</v>
      </c>
      <c r="B6627" t="s">
        <v>1915</v>
      </c>
      <c r="C6627" s="424" t="str">
        <f t="shared" si="283"/>
        <v>Rodo Cargo, S.A.</v>
      </c>
      <c r="D6627" s="422" t="s">
        <v>1920</v>
      </c>
      <c r="E6627" s="422"/>
      <c r="F6627" s="422" t="s">
        <v>620</v>
      </c>
      <c r="G6627" s="89">
        <v>2018</v>
      </c>
      <c r="H6627" s="313" t="s">
        <v>733</v>
      </c>
      <c r="I6627" s="311" t="str">
        <f t="shared" si="284"/>
        <v>Pesado de Mercadorias N3:  : Gasóleo : E6</v>
      </c>
      <c r="K6627" s="422">
        <v>2023</v>
      </c>
      <c r="L6627">
        <v>42894.15</v>
      </c>
      <c r="M6627" t="s">
        <v>630</v>
      </c>
      <c r="N6627" s="131">
        <v>128297</v>
      </c>
      <c r="Q6627" t="s">
        <v>2201</v>
      </c>
      <c r="R6627" s="422" t="s">
        <v>1869</v>
      </c>
      <c r="S6627" s="422" t="s">
        <v>1861</v>
      </c>
      <c r="T6627" s="427" t="s">
        <v>1926</v>
      </c>
      <c r="U6627" s="422" t="s">
        <v>1953</v>
      </c>
      <c r="V6627" s="422" t="s">
        <v>2813</v>
      </c>
    </row>
    <row r="6628" spans="1:22" ht="15.75" thickBot="1" x14ac:dyDescent="0.3">
      <c r="A6628" t="s">
        <v>1915</v>
      </c>
      <c r="B6628" t="s">
        <v>1915</v>
      </c>
      <c r="C6628" s="424" t="str">
        <f t="shared" si="283"/>
        <v>Rodo Cargo, S.A.</v>
      </c>
      <c r="D6628" s="422" t="s">
        <v>1920</v>
      </c>
      <c r="E6628" s="422"/>
      <c r="F6628" s="422" t="s">
        <v>620</v>
      </c>
      <c r="G6628" s="89">
        <v>2018</v>
      </c>
      <c r="H6628" s="313" t="s">
        <v>733</v>
      </c>
      <c r="I6628" s="311" t="str">
        <f t="shared" si="284"/>
        <v>Pesado de Mercadorias N3:  : Gasóleo : E6</v>
      </c>
      <c r="K6628" s="422">
        <v>2023</v>
      </c>
      <c r="L6628">
        <v>52041.21</v>
      </c>
      <c r="M6628" t="s">
        <v>630</v>
      </c>
      <c r="N6628" s="131">
        <v>148445</v>
      </c>
      <c r="Q6628" t="s">
        <v>2201</v>
      </c>
      <c r="R6628" s="422" t="s">
        <v>1869</v>
      </c>
      <c r="S6628" s="422" t="s">
        <v>1861</v>
      </c>
      <c r="T6628" s="427" t="s">
        <v>1926</v>
      </c>
      <c r="U6628" s="422" t="s">
        <v>1953</v>
      </c>
      <c r="V6628" s="422" t="s">
        <v>2813</v>
      </c>
    </row>
    <row r="6629" spans="1:22" ht="15.75" thickBot="1" x14ac:dyDescent="0.3">
      <c r="A6629" t="s">
        <v>1915</v>
      </c>
      <c r="B6629" t="s">
        <v>1915</v>
      </c>
      <c r="C6629" s="424" t="str">
        <f t="shared" ref="C6629:C6692" si="285">IF(A6629=B6629,B6629,RIGHT(A6629,LEN(A6629)-LEN(B6629)-3))</f>
        <v>Rodo Cargo, S.A.</v>
      </c>
      <c r="D6629" s="422" t="s">
        <v>1920</v>
      </c>
      <c r="E6629" s="422"/>
      <c r="F6629" s="422" t="s">
        <v>620</v>
      </c>
      <c r="G6629" s="89">
        <v>2018</v>
      </c>
      <c r="H6629" s="313" t="s">
        <v>733</v>
      </c>
      <c r="I6629" s="311" t="str">
        <f t="shared" si="284"/>
        <v>Pesado de Mercadorias N3:  : Gasóleo : E6</v>
      </c>
      <c r="K6629" s="422">
        <v>2023</v>
      </c>
      <c r="L6629">
        <v>50651.85</v>
      </c>
      <c r="M6629" t="s">
        <v>630</v>
      </c>
      <c r="N6629" s="131">
        <v>143205</v>
      </c>
      <c r="Q6629" t="s">
        <v>2201</v>
      </c>
      <c r="R6629" s="422" t="s">
        <v>1869</v>
      </c>
      <c r="S6629" s="422" t="s">
        <v>1861</v>
      </c>
      <c r="T6629" s="427" t="s">
        <v>1926</v>
      </c>
      <c r="U6629" s="422" t="s">
        <v>1953</v>
      </c>
      <c r="V6629" s="422" t="s">
        <v>2813</v>
      </c>
    </row>
    <row r="6630" spans="1:22" ht="15.75" thickBot="1" x14ac:dyDescent="0.3">
      <c r="A6630" t="s">
        <v>1915</v>
      </c>
      <c r="B6630" t="s">
        <v>1915</v>
      </c>
      <c r="C6630" s="424" t="str">
        <f t="shared" si="285"/>
        <v>Rodo Cargo, S.A.</v>
      </c>
      <c r="D6630" s="422" t="s">
        <v>1920</v>
      </c>
      <c r="E6630" s="422"/>
      <c r="F6630" s="422" t="s">
        <v>620</v>
      </c>
      <c r="G6630" s="89">
        <v>2018</v>
      </c>
      <c r="H6630" s="313" t="s">
        <v>733</v>
      </c>
      <c r="I6630" s="311" t="str">
        <f t="shared" si="284"/>
        <v>Pesado de Mercadorias N3:  : Gasóleo : E6</v>
      </c>
      <c r="K6630" s="422">
        <v>2023</v>
      </c>
      <c r="L6630">
        <v>21724.77</v>
      </c>
      <c r="M6630" t="s">
        <v>630</v>
      </c>
      <c r="N6630" s="131">
        <v>69133</v>
      </c>
      <c r="Q6630" t="s">
        <v>2201</v>
      </c>
      <c r="R6630" s="422" t="s">
        <v>1869</v>
      </c>
      <c r="S6630" s="422" t="s">
        <v>1861</v>
      </c>
      <c r="T6630" s="427" t="s">
        <v>1926</v>
      </c>
      <c r="U6630" s="422" t="s">
        <v>1953</v>
      </c>
      <c r="V6630" s="422" t="s">
        <v>2813</v>
      </c>
    </row>
    <row r="6631" spans="1:22" ht="15.75" thickBot="1" x14ac:dyDescent="0.3">
      <c r="A6631" t="s">
        <v>1915</v>
      </c>
      <c r="B6631" t="s">
        <v>1915</v>
      </c>
      <c r="C6631" s="424" t="str">
        <f t="shared" si="285"/>
        <v>Rodo Cargo, S.A.</v>
      </c>
      <c r="D6631" s="422" t="s">
        <v>1920</v>
      </c>
      <c r="E6631" s="422"/>
      <c r="F6631" s="422" t="s">
        <v>620</v>
      </c>
      <c r="G6631" s="89">
        <v>2019</v>
      </c>
      <c r="H6631" s="313" t="s">
        <v>733</v>
      </c>
      <c r="I6631" s="311" t="str">
        <f t="shared" si="284"/>
        <v>Pesado de Mercadorias N3:  : Gasóleo : E6</v>
      </c>
      <c r="K6631" s="422">
        <v>2023</v>
      </c>
      <c r="L6631">
        <v>30400.84</v>
      </c>
      <c r="M6631" t="s">
        <v>630</v>
      </c>
      <c r="N6631" s="131">
        <v>86848</v>
      </c>
      <c r="Q6631" t="s">
        <v>2201</v>
      </c>
      <c r="R6631" s="422" t="s">
        <v>1869</v>
      </c>
      <c r="S6631" s="422" t="s">
        <v>1861</v>
      </c>
      <c r="T6631" s="427" t="s">
        <v>1926</v>
      </c>
      <c r="U6631" s="422" t="s">
        <v>1953</v>
      </c>
      <c r="V6631" s="422" t="s">
        <v>2813</v>
      </c>
    </row>
    <row r="6632" spans="1:22" ht="15.75" thickBot="1" x14ac:dyDescent="0.3">
      <c r="A6632" t="s">
        <v>1915</v>
      </c>
      <c r="B6632" t="s">
        <v>1915</v>
      </c>
      <c r="C6632" s="424" t="str">
        <f t="shared" si="285"/>
        <v>Rodo Cargo, S.A.</v>
      </c>
      <c r="D6632" s="422" t="s">
        <v>1920</v>
      </c>
      <c r="E6632" s="422"/>
      <c r="F6632" s="422" t="s">
        <v>620</v>
      </c>
      <c r="G6632" s="89">
        <v>2019</v>
      </c>
      <c r="H6632" s="313" t="s">
        <v>733</v>
      </c>
      <c r="I6632" s="311" t="str">
        <f t="shared" si="284"/>
        <v>Pesado de Mercadorias N3:  : Gasóleo : E6</v>
      </c>
      <c r="K6632" s="422">
        <v>2023</v>
      </c>
      <c r="L6632">
        <v>49567.14</v>
      </c>
      <c r="M6632" t="s">
        <v>630</v>
      </c>
      <c r="N6632" s="131">
        <v>137044</v>
      </c>
      <c r="Q6632" t="s">
        <v>2201</v>
      </c>
      <c r="R6632" s="422" t="s">
        <v>1869</v>
      </c>
      <c r="S6632" s="422" t="s">
        <v>1861</v>
      </c>
      <c r="T6632" s="427" t="s">
        <v>1926</v>
      </c>
      <c r="U6632" s="422" t="s">
        <v>1953</v>
      </c>
      <c r="V6632" s="422" t="s">
        <v>2813</v>
      </c>
    </row>
    <row r="6633" spans="1:22" ht="15.75" thickBot="1" x14ac:dyDescent="0.3">
      <c r="A6633" t="s">
        <v>1915</v>
      </c>
      <c r="B6633" t="s">
        <v>1915</v>
      </c>
      <c r="C6633" s="424" t="str">
        <f t="shared" si="285"/>
        <v>Rodo Cargo, S.A.</v>
      </c>
      <c r="D6633" s="422" t="s">
        <v>1920</v>
      </c>
      <c r="E6633" s="422"/>
      <c r="F6633" s="422" t="s">
        <v>620</v>
      </c>
      <c r="G6633" s="89">
        <v>2019</v>
      </c>
      <c r="H6633" s="313" t="s">
        <v>733</v>
      </c>
      <c r="I6633" s="311" t="str">
        <f t="shared" si="284"/>
        <v>Pesado de Mercadorias N3:  : Gasóleo : E6</v>
      </c>
      <c r="K6633" s="422">
        <v>2023</v>
      </c>
      <c r="L6633">
        <v>37268.76</v>
      </c>
      <c r="M6633" t="s">
        <v>630</v>
      </c>
      <c r="N6633" s="131">
        <v>104114</v>
      </c>
      <c r="Q6633" t="s">
        <v>2201</v>
      </c>
      <c r="R6633" s="422" t="s">
        <v>1869</v>
      </c>
      <c r="S6633" s="422" t="s">
        <v>1861</v>
      </c>
      <c r="T6633" s="427" t="s">
        <v>1926</v>
      </c>
      <c r="U6633" s="422" t="s">
        <v>1953</v>
      </c>
      <c r="V6633" s="422" t="s">
        <v>2813</v>
      </c>
    </row>
    <row r="6634" spans="1:22" ht="15.75" thickBot="1" x14ac:dyDescent="0.3">
      <c r="A6634" t="s">
        <v>1915</v>
      </c>
      <c r="B6634" t="s">
        <v>1915</v>
      </c>
      <c r="C6634" s="424" t="str">
        <f t="shared" si="285"/>
        <v>Rodo Cargo, S.A.</v>
      </c>
      <c r="D6634" s="422" t="s">
        <v>1920</v>
      </c>
      <c r="E6634" s="422"/>
      <c r="F6634" s="422" t="s">
        <v>620</v>
      </c>
      <c r="G6634" s="89">
        <v>2019</v>
      </c>
      <c r="H6634" s="313" t="s">
        <v>733</v>
      </c>
      <c r="I6634" s="311" t="str">
        <f t="shared" si="284"/>
        <v>Pesado de Mercadorias N3:  : Gasóleo : E6</v>
      </c>
      <c r="K6634" s="422">
        <v>2023</v>
      </c>
      <c r="L6634">
        <v>39630.26</v>
      </c>
      <c r="M6634" t="s">
        <v>630</v>
      </c>
      <c r="N6634" s="131">
        <v>121301</v>
      </c>
      <c r="Q6634" t="s">
        <v>2201</v>
      </c>
      <c r="R6634" s="422" t="s">
        <v>1869</v>
      </c>
      <c r="S6634" s="422" t="s">
        <v>1861</v>
      </c>
      <c r="T6634" s="427" t="s">
        <v>1926</v>
      </c>
      <c r="U6634" s="422" t="s">
        <v>1953</v>
      </c>
      <c r="V6634" s="422" t="s">
        <v>2813</v>
      </c>
    </row>
    <row r="6635" spans="1:22" ht="15.75" thickBot="1" x14ac:dyDescent="0.3">
      <c r="A6635" t="s">
        <v>1915</v>
      </c>
      <c r="B6635" t="s">
        <v>1915</v>
      </c>
      <c r="C6635" s="424" t="str">
        <f t="shared" si="285"/>
        <v>Rodo Cargo, S.A.</v>
      </c>
      <c r="D6635" s="422" t="s">
        <v>1920</v>
      </c>
      <c r="E6635" s="422"/>
      <c r="F6635" s="422" t="s">
        <v>620</v>
      </c>
      <c r="G6635" s="89">
        <v>2019</v>
      </c>
      <c r="H6635" s="313" t="s">
        <v>733</v>
      </c>
      <c r="I6635" s="311" t="str">
        <f t="shared" si="284"/>
        <v>Pesado de Mercadorias N3:  : Gasóleo : E6</v>
      </c>
      <c r="K6635" s="422">
        <v>2023</v>
      </c>
      <c r="L6635">
        <v>30014.94</v>
      </c>
      <c r="M6635" t="s">
        <v>630</v>
      </c>
      <c r="N6635" s="131">
        <v>82866</v>
      </c>
      <c r="Q6635" t="s">
        <v>2201</v>
      </c>
      <c r="R6635" s="422" t="s">
        <v>1869</v>
      </c>
      <c r="S6635" s="422" t="s">
        <v>1861</v>
      </c>
      <c r="T6635" s="427" t="s">
        <v>1926</v>
      </c>
      <c r="U6635" s="422" t="s">
        <v>1953</v>
      </c>
      <c r="V6635" s="422" t="s">
        <v>2813</v>
      </c>
    </row>
    <row r="6636" spans="1:22" ht="15.75" thickBot="1" x14ac:dyDescent="0.3">
      <c r="A6636" t="s">
        <v>1915</v>
      </c>
      <c r="B6636" t="s">
        <v>1915</v>
      </c>
      <c r="C6636" s="424" t="str">
        <f t="shared" si="285"/>
        <v>Rodo Cargo, S.A.</v>
      </c>
      <c r="D6636" s="422" t="s">
        <v>1920</v>
      </c>
      <c r="E6636" s="422"/>
      <c r="F6636" s="422" t="s">
        <v>620</v>
      </c>
      <c r="G6636" s="89">
        <v>2019</v>
      </c>
      <c r="H6636" s="313" t="s">
        <v>733</v>
      </c>
      <c r="I6636" s="311" t="str">
        <f t="shared" si="284"/>
        <v>Pesado de Mercadorias N3:  : Gasóleo : E6</v>
      </c>
      <c r="K6636" s="422">
        <v>2023</v>
      </c>
      <c r="L6636">
        <v>34476.65</v>
      </c>
      <c r="M6636" t="s">
        <v>630</v>
      </c>
      <c r="N6636" s="131">
        <v>102848</v>
      </c>
      <c r="Q6636" t="s">
        <v>2201</v>
      </c>
      <c r="R6636" s="422" t="s">
        <v>1869</v>
      </c>
      <c r="S6636" s="422" t="s">
        <v>1861</v>
      </c>
      <c r="T6636" s="427" t="s">
        <v>1926</v>
      </c>
      <c r="U6636" s="422" t="s">
        <v>1953</v>
      </c>
      <c r="V6636" s="422" t="s">
        <v>2813</v>
      </c>
    </row>
    <row r="6637" spans="1:22" ht="15.75" thickBot="1" x14ac:dyDescent="0.3">
      <c r="A6637" t="s">
        <v>1915</v>
      </c>
      <c r="B6637" t="s">
        <v>1915</v>
      </c>
      <c r="C6637" s="424" t="str">
        <f t="shared" si="285"/>
        <v>Rodo Cargo, S.A.</v>
      </c>
      <c r="D6637" s="422" t="s">
        <v>1920</v>
      </c>
      <c r="E6637" s="422"/>
      <c r="F6637" s="422" t="s">
        <v>620</v>
      </c>
      <c r="G6637" s="89">
        <v>2019</v>
      </c>
      <c r="H6637" s="313" t="s">
        <v>733</v>
      </c>
      <c r="I6637" s="311" t="str">
        <f t="shared" si="284"/>
        <v>Pesado de Mercadorias N3:  : Gasóleo : E6</v>
      </c>
      <c r="K6637" s="422">
        <v>2023</v>
      </c>
      <c r="L6637">
        <v>31174.28</v>
      </c>
      <c r="M6637" t="s">
        <v>630</v>
      </c>
      <c r="N6637" s="131">
        <v>97326</v>
      </c>
      <c r="Q6637" t="s">
        <v>2201</v>
      </c>
      <c r="R6637" s="422" t="s">
        <v>1869</v>
      </c>
      <c r="S6637" s="422" t="s">
        <v>1861</v>
      </c>
      <c r="T6637" s="427" t="s">
        <v>1926</v>
      </c>
      <c r="U6637" s="422" t="s">
        <v>1953</v>
      </c>
      <c r="V6637" s="422" t="s">
        <v>2813</v>
      </c>
    </row>
    <row r="6638" spans="1:22" ht="15.75" thickBot="1" x14ac:dyDescent="0.3">
      <c r="A6638" t="s">
        <v>1915</v>
      </c>
      <c r="B6638" t="s">
        <v>1915</v>
      </c>
      <c r="C6638" s="424" t="str">
        <f t="shared" si="285"/>
        <v>Rodo Cargo, S.A.</v>
      </c>
      <c r="D6638" s="422" t="s">
        <v>1920</v>
      </c>
      <c r="E6638" s="422"/>
      <c r="F6638" s="422" t="s">
        <v>620</v>
      </c>
      <c r="G6638" s="89">
        <v>2019</v>
      </c>
      <c r="H6638" s="313" t="s">
        <v>733</v>
      </c>
      <c r="I6638" s="311" t="str">
        <f t="shared" si="284"/>
        <v>Pesado de Mercadorias N3:  : Gasóleo : E6</v>
      </c>
      <c r="K6638" s="422">
        <v>2023</v>
      </c>
      <c r="L6638">
        <v>29077.19</v>
      </c>
      <c r="M6638" t="s">
        <v>630</v>
      </c>
      <c r="N6638" s="131">
        <v>79894</v>
      </c>
      <c r="Q6638" t="s">
        <v>2201</v>
      </c>
      <c r="R6638" s="422" t="s">
        <v>1869</v>
      </c>
      <c r="S6638" s="422" t="s">
        <v>1861</v>
      </c>
      <c r="T6638" s="427" t="s">
        <v>1926</v>
      </c>
      <c r="U6638" s="422" t="s">
        <v>1953</v>
      </c>
      <c r="V6638" s="422" t="s">
        <v>2813</v>
      </c>
    </row>
    <row r="6639" spans="1:22" ht="15.75" thickBot="1" x14ac:dyDescent="0.3">
      <c r="A6639" t="s">
        <v>1915</v>
      </c>
      <c r="B6639" t="s">
        <v>1915</v>
      </c>
      <c r="C6639" s="424" t="str">
        <f t="shared" si="285"/>
        <v>Rodo Cargo, S.A.</v>
      </c>
      <c r="D6639" s="422" t="s">
        <v>1920</v>
      </c>
      <c r="E6639" s="422"/>
      <c r="F6639" s="422" t="s">
        <v>620</v>
      </c>
      <c r="G6639" s="89">
        <v>2019</v>
      </c>
      <c r="H6639" s="313" t="s">
        <v>733</v>
      </c>
      <c r="I6639" s="311" t="str">
        <f t="shared" si="284"/>
        <v>Pesado de Mercadorias N3:  : Gasóleo : E6</v>
      </c>
      <c r="K6639" s="422">
        <v>2023</v>
      </c>
      <c r="L6639">
        <v>43483.41</v>
      </c>
      <c r="M6639" t="s">
        <v>630</v>
      </c>
      <c r="N6639" s="131">
        <v>122274</v>
      </c>
      <c r="Q6639" t="s">
        <v>2201</v>
      </c>
      <c r="R6639" s="422" t="s">
        <v>1869</v>
      </c>
      <c r="S6639" s="422" t="s">
        <v>1861</v>
      </c>
      <c r="T6639" s="427" t="s">
        <v>1926</v>
      </c>
      <c r="U6639" s="422" t="s">
        <v>1953</v>
      </c>
      <c r="V6639" s="422" t="s">
        <v>2813</v>
      </c>
    </row>
    <row r="6640" spans="1:22" ht="15.75" thickBot="1" x14ac:dyDescent="0.3">
      <c r="A6640" t="s">
        <v>1915</v>
      </c>
      <c r="B6640" t="s">
        <v>1915</v>
      </c>
      <c r="C6640" s="424" t="str">
        <f t="shared" si="285"/>
        <v>Rodo Cargo, S.A.</v>
      </c>
      <c r="D6640" s="422" t="s">
        <v>1920</v>
      </c>
      <c r="E6640" s="422"/>
      <c r="F6640" s="422" t="s">
        <v>620</v>
      </c>
      <c r="G6640" s="89">
        <v>2019</v>
      </c>
      <c r="H6640" s="313" t="s">
        <v>733</v>
      </c>
      <c r="I6640" s="311" t="str">
        <f t="shared" si="284"/>
        <v>Pesado de Mercadorias N3:  : Gasóleo : E6</v>
      </c>
      <c r="K6640" s="422">
        <v>2023</v>
      </c>
      <c r="L6640">
        <v>38926.01</v>
      </c>
      <c r="M6640" t="s">
        <v>630</v>
      </c>
      <c r="N6640" s="131">
        <v>108951</v>
      </c>
      <c r="Q6640" t="s">
        <v>2201</v>
      </c>
      <c r="R6640" s="422" t="s">
        <v>1869</v>
      </c>
      <c r="S6640" s="422" t="s">
        <v>1861</v>
      </c>
      <c r="T6640" s="427" t="s">
        <v>1926</v>
      </c>
      <c r="U6640" s="422" t="s">
        <v>1953</v>
      </c>
      <c r="V6640" s="422" t="s">
        <v>2813</v>
      </c>
    </row>
    <row r="6641" spans="1:22" ht="15.75" thickBot="1" x14ac:dyDescent="0.3">
      <c r="A6641" t="s">
        <v>1915</v>
      </c>
      <c r="B6641" t="s">
        <v>1915</v>
      </c>
      <c r="C6641" s="424" t="str">
        <f t="shared" si="285"/>
        <v>Rodo Cargo, S.A.</v>
      </c>
      <c r="D6641" s="422" t="s">
        <v>1920</v>
      </c>
      <c r="E6641" s="422"/>
      <c r="F6641" s="422" t="s">
        <v>620</v>
      </c>
      <c r="G6641" s="89">
        <v>2019</v>
      </c>
      <c r="H6641" s="313" t="s">
        <v>733</v>
      </c>
      <c r="I6641" s="311" t="str">
        <f t="shared" si="284"/>
        <v>Pesado de Mercadorias N3:  : Gasóleo : E6</v>
      </c>
      <c r="K6641" s="422">
        <v>2023</v>
      </c>
      <c r="L6641">
        <v>16835.05</v>
      </c>
      <c r="M6641" t="s">
        <v>630</v>
      </c>
      <c r="N6641" s="131">
        <v>52462</v>
      </c>
      <c r="Q6641" t="s">
        <v>2201</v>
      </c>
      <c r="R6641" s="422" t="s">
        <v>1869</v>
      </c>
      <c r="S6641" s="422" t="s">
        <v>1861</v>
      </c>
      <c r="T6641" s="427" t="s">
        <v>1926</v>
      </c>
      <c r="U6641" s="422" t="s">
        <v>1953</v>
      </c>
      <c r="V6641" s="422" t="s">
        <v>2813</v>
      </c>
    </row>
    <row r="6642" spans="1:22" ht="15.75" thickBot="1" x14ac:dyDescent="0.3">
      <c r="A6642" t="s">
        <v>1915</v>
      </c>
      <c r="B6642" t="s">
        <v>1915</v>
      </c>
      <c r="C6642" s="424" t="str">
        <f t="shared" si="285"/>
        <v>Rodo Cargo, S.A.</v>
      </c>
      <c r="D6642" s="422" t="s">
        <v>1920</v>
      </c>
      <c r="E6642" s="422"/>
      <c r="F6642" s="422" t="s">
        <v>620</v>
      </c>
      <c r="G6642" s="89">
        <v>2019</v>
      </c>
      <c r="H6642" s="313" t="s">
        <v>733</v>
      </c>
      <c r="I6642" s="311" t="str">
        <f t="shared" si="284"/>
        <v>Pesado de Mercadorias N3:  : Gasóleo : E6</v>
      </c>
      <c r="K6642" s="422">
        <v>2023</v>
      </c>
      <c r="L6642">
        <v>20057.73</v>
      </c>
      <c r="M6642" t="s">
        <v>630</v>
      </c>
      <c r="N6642" s="131">
        <v>63273</v>
      </c>
      <c r="Q6642" t="s">
        <v>2201</v>
      </c>
      <c r="R6642" s="422" t="s">
        <v>1869</v>
      </c>
      <c r="S6642" s="422" t="s">
        <v>1861</v>
      </c>
      <c r="T6642" s="427" t="s">
        <v>1926</v>
      </c>
      <c r="U6642" s="422" t="s">
        <v>1953</v>
      </c>
      <c r="V6642" s="422" t="s">
        <v>2813</v>
      </c>
    </row>
    <row r="6643" spans="1:22" ht="15.75" thickBot="1" x14ac:dyDescent="0.3">
      <c r="A6643" t="s">
        <v>1915</v>
      </c>
      <c r="B6643" t="s">
        <v>1915</v>
      </c>
      <c r="C6643" s="424" t="str">
        <f t="shared" si="285"/>
        <v>Rodo Cargo, S.A.</v>
      </c>
      <c r="D6643" s="422" t="s">
        <v>1920</v>
      </c>
      <c r="E6643" s="422"/>
      <c r="F6643" s="422" t="s">
        <v>620</v>
      </c>
      <c r="G6643" s="89">
        <v>2019</v>
      </c>
      <c r="H6643" s="313" t="s">
        <v>733</v>
      </c>
      <c r="I6643" s="311" t="str">
        <f t="shared" si="284"/>
        <v>Pesado de Mercadorias N3:  : Gasóleo : E6</v>
      </c>
      <c r="K6643" s="422">
        <v>2023</v>
      </c>
      <c r="L6643">
        <v>20260.62</v>
      </c>
      <c r="M6643" t="s">
        <v>630</v>
      </c>
      <c r="N6643" s="131">
        <v>66218</v>
      </c>
      <c r="Q6643" t="s">
        <v>2201</v>
      </c>
      <c r="R6643" s="422" t="s">
        <v>1869</v>
      </c>
      <c r="S6643" s="422" t="s">
        <v>1861</v>
      </c>
      <c r="T6643" s="427" t="s">
        <v>1926</v>
      </c>
      <c r="U6643" s="422" t="s">
        <v>1953</v>
      </c>
      <c r="V6643" s="422" t="s">
        <v>2813</v>
      </c>
    </row>
    <row r="6644" spans="1:22" ht="15.75" thickBot="1" x14ac:dyDescent="0.3">
      <c r="A6644" t="s">
        <v>1915</v>
      </c>
      <c r="B6644" t="s">
        <v>1915</v>
      </c>
      <c r="C6644" s="424" t="str">
        <f t="shared" si="285"/>
        <v>Rodo Cargo, S.A.</v>
      </c>
      <c r="D6644" s="422" t="s">
        <v>1920</v>
      </c>
      <c r="E6644" s="422"/>
      <c r="F6644" s="422" t="s">
        <v>620</v>
      </c>
      <c r="G6644" s="89">
        <v>2019</v>
      </c>
      <c r="H6644" s="313" t="s">
        <v>733</v>
      </c>
      <c r="I6644" s="311" t="str">
        <f t="shared" si="284"/>
        <v>Pesado de Mercadorias N3:  : Gasóleo : E6</v>
      </c>
      <c r="K6644" s="422">
        <v>2023</v>
      </c>
      <c r="L6644">
        <v>44556.2</v>
      </c>
      <c r="M6644" t="s">
        <v>630</v>
      </c>
      <c r="N6644" s="131">
        <v>118469</v>
      </c>
      <c r="Q6644" t="s">
        <v>2201</v>
      </c>
      <c r="R6644" s="422" t="s">
        <v>1869</v>
      </c>
      <c r="S6644" s="422" t="s">
        <v>1861</v>
      </c>
      <c r="T6644" s="427" t="s">
        <v>1926</v>
      </c>
      <c r="U6644" s="422" t="s">
        <v>1953</v>
      </c>
      <c r="V6644" s="422" t="s">
        <v>2813</v>
      </c>
    </row>
    <row r="6645" spans="1:22" ht="15.75" thickBot="1" x14ac:dyDescent="0.3">
      <c r="A6645" t="s">
        <v>1915</v>
      </c>
      <c r="B6645" t="s">
        <v>1915</v>
      </c>
      <c r="C6645" s="424" t="str">
        <f t="shared" si="285"/>
        <v>Rodo Cargo, S.A.</v>
      </c>
      <c r="D6645" s="422" t="s">
        <v>1920</v>
      </c>
      <c r="E6645" s="422"/>
      <c r="F6645" s="422" t="s">
        <v>620</v>
      </c>
      <c r="G6645" s="89">
        <v>2019</v>
      </c>
      <c r="H6645" s="313" t="s">
        <v>733</v>
      </c>
      <c r="I6645" s="311" t="str">
        <f t="shared" si="284"/>
        <v>Pesado de Mercadorias N3:  : Gasóleo : E6</v>
      </c>
      <c r="K6645" s="422">
        <v>2023</v>
      </c>
      <c r="L6645">
        <v>47030.42</v>
      </c>
      <c r="M6645" t="s">
        <v>630</v>
      </c>
      <c r="N6645" s="131">
        <v>118742</v>
      </c>
      <c r="Q6645" t="s">
        <v>2201</v>
      </c>
      <c r="R6645" s="422" t="s">
        <v>1869</v>
      </c>
      <c r="S6645" s="422" t="s">
        <v>1861</v>
      </c>
      <c r="T6645" s="427" t="s">
        <v>1926</v>
      </c>
      <c r="U6645" s="422" t="s">
        <v>1953</v>
      </c>
      <c r="V6645" s="422" t="s">
        <v>2813</v>
      </c>
    </row>
    <row r="6646" spans="1:22" ht="15.75" thickBot="1" x14ac:dyDescent="0.3">
      <c r="A6646" t="s">
        <v>1915</v>
      </c>
      <c r="B6646" t="s">
        <v>1915</v>
      </c>
      <c r="C6646" s="424" t="str">
        <f t="shared" si="285"/>
        <v>Rodo Cargo, S.A.</v>
      </c>
      <c r="D6646" s="422" t="s">
        <v>1920</v>
      </c>
      <c r="E6646" s="422"/>
      <c r="F6646" s="422" t="s">
        <v>620</v>
      </c>
      <c r="G6646" s="89">
        <v>2019</v>
      </c>
      <c r="H6646" s="313" t="s">
        <v>733</v>
      </c>
      <c r="I6646" s="311" t="str">
        <f t="shared" si="284"/>
        <v>Pesado de Mercadorias N3:  : Gasóleo : E6</v>
      </c>
      <c r="K6646" s="422">
        <v>2023</v>
      </c>
      <c r="L6646">
        <v>42513.1</v>
      </c>
      <c r="M6646" t="s">
        <v>630</v>
      </c>
      <c r="N6646" s="131">
        <v>111534</v>
      </c>
      <c r="Q6646" t="s">
        <v>2201</v>
      </c>
      <c r="R6646" s="422" t="s">
        <v>1869</v>
      </c>
      <c r="S6646" s="422" t="s">
        <v>1861</v>
      </c>
      <c r="T6646" s="427" t="s">
        <v>1926</v>
      </c>
      <c r="U6646" s="422" t="s">
        <v>1953</v>
      </c>
      <c r="V6646" s="422" t="s">
        <v>2813</v>
      </c>
    </row>
    <row r="6647" spans="1:22" ht="15.75" thickBot="1" x14ac:dyDescent="0.3">
      <c r="A6647" t="s">
        <v>1915</v>
      </c>
      <c r="B6647" t="s">
        <v>1915</v>
      </c>
      <c r="C6647" s="424" t="str">
        <f t="shared" si="285"/>
        <v>Rodo Cargo, S.A.</v>
      </c>
      <c r="D6647" s="422" t="s">
        <v>1920</v>
      </c>
      <c r="E6647" s="422"/>
      <c r="F6647" s="422" t="s">
        <v>620</v>
      </c>
      <c r="G6647" s="89">
        <v>2020</v>
      </c>
      <c r="H6647" s="313" t="s">
        <v>733</v>
      </c>
      <c r="I6647" s="311" t="str">
        <f t="shared" si="284"/>
        <v>Pesado de Mercadorias N3:  : Gasóleo : E6</v>
      </c>
      <c r="K6647" s="422">
        <v>2023</v>
      </c>
      <c r="L6647">
        <v>43684.480000000003</v>
      </c>
      <c r="M6647" t="s">
        <v>630</v>
      </c>
      <c r="N6647" s="131">
        <v>124428</v>
      </c>
      <c r="Q6647" t="s">
        <v>2201</v>
      </c>
      <c r="R6647" s="422" t="s">
        <v>1869</v>
      </c>
      <c r="S6647" s="422" t="s">
        <v>1861</v>
      </c>
      <c r="T6647" s="427" t="s">
        <v>1926</v>
      </c>
      <c r="U6647" s="422" t="s">
        <v>1953</v>
      </c>
      <c r="V6647" s="422" t="s">
        <v>2813</v>
      </c>
    </row>
    <row r="6648" spans="1:22" ht="15.75" thickBot="1" x14ac:dyDescent="0.3">
      <c r="A6648" t="s">
        <v>1915</v>
      </c>
      <c r="B6648" t="s">
        <v>1915</v>
      </c>
      <c r="C6648" s="424" t="str">
        <f t="shared" si="285"/>
        <v>Rodo Cargo, S.A.</v>
      </c>
      <c r="D6648" s="422" t="s">
        <v>1920</v>
      </c>
      <c r="E6648" s="422"/>
      <c r="F6648" s="422" t="s">
        <v>620</v>
      </c>
      <c r="G6648" s="89">
        <v>2020</v>
      </c>
      <c r="H6648" s="313" t="s">
        <v>733</v>
      </c>
      <c r="I6648" s="311" t="str">
        <f t="shared" si="284"/>
        <v>Pesado de Mercadorias N3:  : Gasóleo : E6</v>
      </c>
      <c r="K6648" s="422">
        <v>2023</v>
      </c>
      <c r="L6648">
        <v>31781.98</v>
      </c>
      <c r="M6648" t="s">
        <v>630</v>
      </c>
      <c r="N6648" s="131">
        <v>87413</v>
      </c>
      <c r="Q6648" t="s">
        <v>2201</v>
      </c>
      <c r="R6648" s="422" t="s">
        <v>1869</v>
      </c>
      <c r="S6648" s="422" t="s">
        <v>1861</v>
      </c>
      <c r="T6648" s="427" t="s">
        <v>1926</v>
      </c>
      <c r="U6648" s="422" t="s">
        <v>1953</v>
      </c>
      <c r="V6648" s="422" t="s">
        <v>2813</v>
      </c>
    </row>
    <row r="6649" spans="1:22" ht="15.75" thickBot="1" x14ac:dyDescent="0.3">
      <c r="A6649" t="s">
        <v>1915</v>
      </c>
      <c r="B6649" t="s">
        <v>1915</v>
      </c>
      <c r="C6649" s="424" t="str">
        <f t="shared" si="285"/>
        <v>Rodo Cargo, S.A.</v>
      </c>
      <c r="D6649" s="422" t="s">
        <v>1920</v>
      </c>
      <c r="E6649" s="422"/>
      <c r="F6649" s="422" t="s">
        <v>620</v>
      </c>
      <c r="G6649" s="89">
        <v>2020</v>
      </c>
      <c r="H6649" s="313" t="s">
        <v>733</v>
      </c>
      <c r="I6649" s="311" t="str">
        <f t="shared" si="284"/>
        <v>Pesado de Mercadorias N3:  : Gasóleo : E6</v>
      </c>
      <c r="K6649" s="422">
        <v>2023</v>
      </c>
      <c r="L6649">
        <v>49960.46</v>
      </c>
      <c r="M6649" t="s">
        <v>630</v>
      </c>
      <c r="N6649" s="131">
        <v>137220</v>
      </c>
      <c r="Q6649" t="s">
        <v>2201</v>
      </c>
      <c r="R6649" s="422" t="s">
        <v>1869</v>
      </c>
      <c r="S6649" s="422" t="s">
        <v>1861</v>
      </c>
      <c r="T6649" s="427" t="s">
        <v>1926</v>
      </c>
      <c r="U6649" s="422" t="s">
        <v>1953</v>
      </c>
      <c r="V6649" s="422" t="s">
        <v>2813</v>
      </c>
    </row>
    <row r="6650" spans="1:22" ht="15.75" thickBot="1" x14ac:dyDescent="0.3">
      <c r="A6650" t="s">
        <v>1915</v>
      </c>
      <c r="B6650" t="s">
        <v>1915</v>
      </c>
      <c r="C6650" s="424" t="str">
        <f t="shared" si="285"/>
        <v>Rodo Cargo, S.A.</v>
      </c>
      <c r="D6650" s="422" t="s">
        <v>1920</v>
      </c>
      <c r="E6650" s="422"/>
      <c r="F6650" s="422" t="s">
        <v>620</v>
      </c>
      <c r="G6650" s="89">
        <v>2020</v>
      </c>
      <c r="H6650" s="313" t="s">
        <v>733</v>
      </c>
      <c r="I6650" s="311" t="str">
        <f t="shared" si="284"/>
        <v>Pesado de Mercadorias N3:  : Gasóleo : E6</v>
      </c>
      <c r="K6650" s="422">
        <v>2023</v>
      </c>
      <c r="L6650">
        <v>47950.85</v>
      </c>
      <c r="M6650" t="s">
        <v>630</v>
      </c>
      <c r="N6650" s="131">
        <v>134613</v>
      </c>
      <c r="Q6650" t="s">
        <v>2201</v>
      </c>
      <c r="R6650" s="422" t="s">
        <v>1869</v>
      </c>
      <c r="S6650" s="422" t="s">
        <v>1861</v>
      </c>
      <c r="T6650" s="427" t="s">
        <v>1926</v>
      </c>
      <c r="U6650" s="422" t="s">
        <v>1953</v>
      </c>
      <c r="V6650" s="422" t="s">
        <v>2813</v>
      </c>
    </row>
    <row r="6651" spans="1:22" ht="15.75" thickBot="1" x14ac:dyDescent="0.3">
      <c r="A6651" t="s">
        <v>1915</v>
      </c>
      <c r="B6651" t="s">
        <v>1915</v>
      </c>
      <c r="C6651" s="424" t="str">
        <f t="shared" si="285"/>
        <v>Rodo Cargo, S.A.</v>
      </c>
      <c r="D6651" s="422" t="s">
        <v>1920</v>
      </c>
      <c r="E6651" s="422"/>
      <c r="F6651" s="422" t="s">
        <v>620</v>
      </c>
      <c r="G6651" s="89">
        <v>2020</v>
      </c>
      <c r="H6651" s="313" t="s">
        <v>733</v>
      </c>
      <c r="I6651" s="311" t="str">
        <f t="shared" si="284"/>
        <v>Pesado de Mercadorias N3:  : Gasóleo : E6</v>
      </c>
      <c r="K6651" s="422">
        <v>2023</v>
      </c>
      <c r="L6651">
        <v>50382.21</v>
      </c>
      <c r="M6651" t="s">
        <v>630</v>
      </c>
      <c r="N6651" s="131">
        <v>130439</v>
      </c>
      <c r="Q6651" t="s">
        <v>2201</v>
      </c>
      <c r="R6651" s="422" t="s">
        <v>1869</v>
      </c>
      <c r="S6651" s="422" t="s">
        <v>1861</v>
      </c>
      <c r="T6651" s="427" t="s">
        <v>1926</v>
      </c>
      <c r="U6651" s="422" t="s">
        <v>1953</v>
      </c>
      <c r="V6651" s="422" t="s">
        <v>2813</v>
      </c>
    </row>
    <row r="6652" spans="1:22" ht="15.75" thickBot="1" x14ac:dyDescent="0.3">
      <c r="A6652" t="s">
        <v>1915</v>
      </c>
      <c r="B6652" t="s">
        <v>1915</v>
      </c>
      <c r="C6652" s="424" t="str">
        <f t="shared" si="285"/>
        <v>Rodo Cargo, S.A.</v>
      </c>
      <c r="D6652" s="422" t="s">
        <v>1920</v>
      </c>
      <c r="E6652" s="422"/>
      <c r="F6652" s="422" t="s">
        <v>620</v>
      </c>
      <c r="G6652" s="89">
        <v>2020</v>
      </c>
      <c r="H6652" s="313" t="s">
        <v>733</v>
      </c>
      <c r="I6652" s="311" t="str">
        <f t="shared" si="284"/>
        <v>Pesado de Mercadorias N3:  : Gasóleo : E6</v>
      </c>
      <c r="K6652" s="422">
        <v>2023</v>
      </c>
      <c r="L6652">
        <v>49641.31</v>
      </c>
      <c r="M6652" t="s">
        <v>630</v>
      </c>
      <c r="N6652" s="131">
        <v>140469</v>
      </c>
      <c r="Q6652" t="s">
        <v>2201</v>
      </c>
      <c r="R6652" s="422" t="s">
        <v>1869</v>
      </c>
      <c r="S6652" s="422" t="s">
        <v>1861</v>
      </c>
      <c r="T6652" s="427" t="s">
        <v>1926</v>
      </c>
      <c r="U6652" s="422" t="s">
        <v>1953</v>
      </c>
      <c r="V6652" s="422" t="s">
        <v>2813</v>
      </c>
    </row>
    <row r="6653" spans="1:22" ht="15.75" thickBot="1" x14ac:dyDescent="0.3">
      <c r="A6653" t="s">
        <v>1915</v>
      </c>
      <c r="B6653" t="s">
        <v>1915</v>
      </c>
      <c r="C6653" s="424" t="str">
        <f t="shared" si="285"/>
        <v>Rodo Cargo, S.A.</v>
      </c>
      <c r="D6653" s="422" t="s">
        <v>1920</v>
      </c>
      <c r="E6653" s="422"/>
      <c r="F6653" s="422" t="s">
        <v>620</v>
      </c>
      <c r="G6653" s="89">
        <v>2020</v>
      </c>
      <c r="H6653" s="313" t="s">
        <v>733</v>
      </c>
      <c r="I6653" s="311" t="str">
        <f t="shared" si="284"/>
        <v>Pesado de Mercadorias N3:  : Gasóleo : E6</v>
      </c>
      <c r="K6653" s="422">
        <v>2023</v>
      </c>
      <c r="L6653">
        <v>47936.21</v>
      </c>
      <c r="M6653" t="s">
        <v>630</v>
      </c>
      <c r="N6653" s="131">
        <v>136213</v>
      </c>
      <c r="Q6653" t="s">
        <v>2201</v>
      </c>
      <c r="R6653" s="422" t="s">
        <v>1869</v>
      </c>
      <c r="S6653" s="422" t="s">
        <v>1861</v>
      </c>
      <c r="T6653" s="427" t="s">
        <v>1926</v>
      </c>
      <c r="U6653" s="422" t="s">
        <v>1953</v>
      </c>
      <c r="V6653" s="422" t="s">
        <v>2813</v>
      </c>
    </row>
    <row r="6654" spans="1:22" ht="15.75" thickBot="1" x14ac:dyDescent="0.3">
      <c r="A6654" t="s">
        <v>1915</v>
      </c>
      <c r="B6654" t="s">
        <v>1915</v>
      </c>
      <c r="C6654" s="424" t="str">
        <f t="shared" si="285"/>
        <v>Rodo Cargo, S.A.</v>
      </c>
      <c r="D6654" s="422" t="s">
        <v>1920</v>
      </c>
      <c r="E6654" s="422"/>
      <c r="F6654" s="422" t="s">
        <v>620</v>
      </c>
      <c r="G6654" s="89">
        <v>2020</v>
      </c>
      <c r="H6654" s="313" t="s">
        <v>733</v>
      </c>
      <c r="I6654" s="311" t="str">
        <f t="shared" si="284"/>
        <v>Pesado de Mercadorias N3:  : Gasóleo : E6</v>
      </c>
      <c r="K6654" s="422">
        <v>2023</v>
      </c>
      <c r="L6654">
        <v>55211.49</v>
      </c>
      <c r="M6654" t="s">
        <v>630</v>
      </c>
      <c r="N6654" s="131">
        <v>148342</v>
      </c>
      <c r="Q6654" t="s">
        <v>2201</v>
      </c>
      <c r="R6654" s="422" t="s">
        <v>1869</v>
      </c>
      <c r="S6654" s="422" t="s">
        <v>1861</v>
      </c>
      <c r="T6654" s="427" t="s">
        <v>1926</v>
      </c>
      <c r="U6654" s="422" t="s">
        <v>1953</v>
      </c>
      <c r="V6654" s="422" t="s">
        <v>2813</v>
      </c>
    </row>
    <row r="6655" spans="1:22" ht="15.75" thickBot="1" x14ac:dyDescent="0.3">
      <c r="A6655" t="s">
        <v>1915</v>
      </c>
      <c r="B6655" t="s">
        <v>1915</v>
      </c>
      <c r="C6655" s="424" t="str">
        <f t="shared" si="285"/>
        <v>Rodo Cargo, S.A.</v>
      </c>
      <c r="D6655" s="422" t="s">
        <v>1920</v>
      </c>
      <c r="E6655" s="422"/>
      <c r="F6655" s="422" t="s">
        <v>620</v>
      </c>
      <c r="G6655" s="89">
        <v>2020</v>
      </c>
      <c r="H6655" s="313" t="s">
        <v>733</v>
      </c>
      <c r="I6655" s="311" t="str">
        <f t="shared" si="284"/>
        <v>Pesado de Mercadorias N3:  : Gasóleo : E6</v>
      </c>
      <c r="K6655" s="422">
        <v>2023</v>
      </c>
      <c r="L6655">
        <v>59270.92</v>
      </c>
      <c r="M6655" t="s">
        <v>630</v>
      </c>
      <c r="N6655" s="131">
        <v>165004</v>
      </c>
      <c r="Q6655" t="s">
        <v>2201</v>
      </c>
      <c r="R6655" s="422" t="s">
        <v>1869</v>
      </c>
      <c r="S6655" s="422" t="s">
        <v>1861</v>
      </c>
      <c r="T6655" s="427" t="s">
        <v>1926</v>
      </c>
      <c r="U6655" s="422" t="s">
        <v>1953</v>
      </c>
      <c r="V6655" s="422" t="s">
        <v>2813</v>
      </c>
    </row>
    <row r="6656" spans="1:22" ht="15.75" thickBot="1" x14ac:dyDescent="0.3">
      <c r="A6656" t="s">
        <v>1915</v>
      </c>
      <c r="B6656" t="s">
        <v>1915</v>
      </c>
      <c r="C6656" s="424" t="str">
        <f t="shared" si="285"/>
        <v>Rodo Cargo, S.A.</v>
      </c>
      <c r="D6656" s="422" t="s">
        <v>1920</v>
      </c>
      <c r="E6656" s="422"/>
      <c r="F6656" s="422" t="s">
        <v>620</v>
      </c>
      <c r="G6656" s="89">
        <v>2020</v>
      </c>
      <c r="H6656" s="313" t="s">
        <v>733</v>
      </c>
      <c r="I6656" s="311" t="str">
        <f t="shared" si="284"/>
        <v>Pesado de Mercadorias N3:  : Gasóleo : E6</v>
      </c>
      <c r="K6656" s="422">
        <v>2023</v>
      </c>
      <c r="L6656">
        <v>41006.120000000003</v>
      </c>
      <c r="M6656" t="s">
        <v>630</v>
      </c>
      <c r="N6656" s="131">
        <v>110910</v>
      </c>
      <c r="Q6656" t="s">
        <v>2201</v>
      </c>
      <c r="R6656" s="422" t="s">
        <v>1869</v>
      </c>
      <c r="S6656" s="422" t="s">
        <v>1861</v>
      </c>
      <c r="T6656" s="427" t="s">
        <v>1926</v>
      </c>
      <c r="U6656" s="422" t="s">
        <v>1953</v>
      </c>
      <c r="V6656" s="422" t="s">
        <v>2813</v>
      </c>
    </row>
    <row r="6657" spans="1:22" ht="15.75" thickBot="1" x14ac:dyDescent="0.3">
      <c r="A6657" t="s">
        <v>1915</v>
      </c>
      <c r="B6657" t="s">
        <v>1915</v>
      </c>
      <c r="C6657" s="424" t="str">
        <f t="shared" si="285"/>
        <v>Rodo Cargo, S.A.</v>
      </c>
      <c r="D6657" s="422" t="s">
        <v>1920</v>
      </c>
      <c r="E6657" s="422"/>
      <c r="F6657" s="422" t="s">
        <v>620</v>
      </c>
      <c r="G6657" s="89">
        <v>2020</v>
      </c>
      <c r="H6657" s="313" t="s">
        <v>733</v>
      </c>
      <c r="I6657" s="311" t="str">
        <f t="shared" si="284"/>
        <v>Pesado de Mercadorias N3:  : Gasóleo : E6</v>
      </c>
      <c r="K6657" s="422">
        <v>2023</v>
      </c>
      <c r="L6657">
        <v>52798.66</v>
      </c>
      <c r="M6657" t="s">
        <v>630</v>
      </c>
      <c r="N6657" s="131">
        <v>141944</v>
      </c>
      <c r="Q6657" t="s">
        <v>2201</v>
      </c>
      <c r="R6657" s="422" t="s">
        <v>1869</v>
      </c>
      <c r="S6657" s="422" t="s">
        <v>1861</v>
      </c>
      <c r="T6657" s="427" t="s">
        <v>1926</v>
      </c>
      <c r="U6657" s="422" t="s">
        <v>1953</v>
      </c>
      <c r="V6657" s="422" t="s">
        <v>2813</v>
      </c>
    </row>
    <row r="6658" spans="1:22" ht="15.75" thickBot="1" x14ac:dyDescent="0.3">
      <c r="A6658" t="s">
        <v>1915</v>
      </c>
      <c r="B6658" t="s">
        <v>1915</v>
      </c>
      <c r="C6658" s="424" t="str">
        <f t="shared" si="285"/>
        <v>Rodo Cargo, S.A.</v>
      </c>
      <c r="D6658" s="422" t="s">
        <v>1920</v>
      </c>
      <c r="E6658" s="422"/>
      <c r="F6658" s="422" t="s">
        <v>620</v>
      </c>
      <c r="G6658" s="89">
        <v>2020</v>
      </c>
      <c r="H6658" s="313" t="s">
        <v>733</v>
      </c>
      <c r="I6658" s="311" t="str">
        <f t="shared" si="284"/>
        <v>Pesado de Mercadorias N3:  : Gasóleo : E6</v>
      </c>
      <c r="K6658" s="422">
        <v>2023</v>
      </c>
      <c r="L6658">
        <v>54947.35</v>
      </c>
      <c r="M6658" t="s">
        <v>630</v>
      </c>
      <c r="N6658" s="131">
        <v>148237</v>
      </c>
      <c r="Q6658" t="s">
        <v>2201</v>
      </c>
      <c r="R6658" s="422" t="s">
        <v>1869</v>
      </c>
      <c r="S6658" s="422" t="s">
        <v>1861</v>
      </c>
      <c r="T6658" s="427" t="s">
        <v>1926</v>
      </c>
      <c r="U6658" s="422" t="s">
        <v>1953</v>
      </c>
      <c r="V6658" s="422" t="s">
        <v>2813</v>
      </c>
    </row>
    <row r="6659" spans="1:22" ht="15.75" thickBot="1" x14ac:dyDescent="0.3">
      <c r="A6659" t="s">
        <v>1915</v>
      </c>
      <c r="B6659" t="s">
        <v>1915</v>
      </c>
      <c r="C6659" s="424" t="str">
        <f t="shared" si="285"/>
        <v>Rodo Cargo, S.A.</v>
      </c>
      <c r="D6659" s="422" t="s">
        <v>1920</v>
      </c>
      <c r="E6659" s="422"/>
      <c r="F6659" s="422" t="s">
        <v>620</v>
      </c>
      <c r="G6659" s="89">
        <v>2020</v>
      </c>
      <c r="H6659" s="313" t="s">
        <v>733</v>
      </c>
      <c r="I6659" s="311" t="str">
        <f t="shared" si="284"/>
        <v>Pesado de Mercadorias N3:  : Gasóleo : E6</v>
      </c>
      <c r="K6659" s="422">
        <v>2023</v>
      </c>
      <c r="L6659">
        <v>24883.17</v>
      </c>
      <c r="M6659" t="s">
        <v>630</v>
      </c>
      <c r="N6659" s="131">
        <v>69517</v>
      </c>
      <c r="Q6659" t="s">
        <v>2201</v>
      </c>
      <c r="R6659" s="422" t="s">
        <v>1869</v>
      </c>
      <c r="S6659" s="422" t="s">
        <v>1861</v>
      </c>
      <c r="T6659" s="427" t="s">
        <v>1926</v>
      </c>
      <c r="U6659" s="422" t="s">
        <v>1953</v>
      </c>
      <c r="V6659" s="422" t="s">
        <v>2813</v>
      </c>
    </row>
    <row r="6660" spans="1:22" ht="15.75" thickBot="1" x14ac:dyDescent="0.3">
      <c r="A6660" t="s">
        <v>1915</v>
      </c>
      <c r="B6660" t="s">
        <v>1915</v>
      </c>
      <c r="C6660" s="424" t="str">
        <f t="shared" si="285"/>
        <v>Rodo Cargo, S.A.</v>
      </c>
      <c r="D6660" s="422" t="s">
        <v>1920</v>
      </c>
      <c r="E6660" s="422"/>
      <c r="F6660" s="422" t="s">
        <v>620</v>
      </c>
      <c r="G6660" s="89">
        <v>2020</v>
      </c>
      <c r="H6660" s="313" t="s">
        <v>733</v>
      </c>
      <c r="I6660" s="311" t="str">
        <f t="shared" si="284"/>
        <v>Pesado de Mercadorias N3:  : Gasóleo : E6</v>
      </c>
      <c r="K6660" s="422">
        <v>2023</v>
      </c>
      <c r="L6660">
        <v>47981.35</v>
      </c>
      <c r="M6660" t="s">
        <v>630</v>
      </c>
      <c r="N6660" s="131">
        <v>136069</v>
      </c>
      <c r="Q6660" t="s">
        <v>2201</v>
      </c>
      <c r="R6660" s="422" t="s">
        <v>1869</v>
      </c>
      <c r="S6660" s="422" t="s">
        <v>1861</v>
      </c>
      <c r="T6660" s="427" t="s">
        <v>1926</v>
      </c>
      <c r="U6660" s="422" t="s">
        <v>1953</v>
      </c>
      <c r="V6660" s="422" t="s">
        <v>2813</v>
      </c>
    </row>
    <row r="6661" spans="1:22" ht="15.75" thickBot="1" x14ac:dyDescent="0.3">
      <c r="A6661" t="s">
        <v>1915</v>
      </c>
      <c r="B6661" t="s">
        <v>1915</v>
      </c>
      <c r="C6661" s="424" t="str">
        <f t="shared" si="285"/>
        <v>Rodo Cargo, S.A.</v>
      </c>
      <c r="D6661" s="422" t="s">
        <v>1920</v>
      </c>
      <c r="E6661" s="422"/>
      <c r="F6661" s="422" t="s">
        <v>620</v>
      </c>
      <c r="G6661" s="89">
        <v>2020</v>
      </c>
      <c r="H6661" s="313" t="s">
        <v>733</v>
      </c>
      <c r="I6661" s="311" t="str">
        <f t="shared" si="284"/>
        <v>Pesado de Mercadorias N3:  : Gasóleo : E6</v>
      </c>
      <c r="K6661" s="422">
        <v>2023</v>
      </c>
      <c r="L6661">
        <v>46768.81</v>
      </c>
      <c r="M6661" t="s">
        <v>630</v>
      </c>
      <c r="N6661" s="131">
        <v>131482</v>
      </c>
      <c r="Q6661" t="s">
        <v>2201</v>
      </c>
      <c r="R6661" s="422" t="s">
        <v>1869</v>
      </c>
      <c r="S6661" s="422" t="s">
        <v>1861</v>
      </c>
      <c r="T6661" s="427" t="s">
        <v>1926</v>
      </c>
      <c r="U6661" s="422" t="s">
        <v>1953</v>
      </c>
      <c r="V6661" s="422" t="s">
        <v>2813</v>
      </c>
    </row>
    <row r="6662" spans="1:22" ht="15.75" thickBot="1" x14ac:dyDescent="0.3">
      <c r="A6662" t="s">
        <v>1915</v>
      </c>
      <c r="B6662" t="s">
        <v>1915</v>
      </c>
      <c r="C6662" s="424" t="str">
        <f t="shared" si="285"/>
        <v>Rodo Cargo, S.A.</v>
      </c>
      <c r="D6662" s="422" t="s">
        <v>1920</v>
      </c>
      <c r="E6662" s="422"/>
      <c r="F6662" s="422" t="s">
        <v>620</v>
      </c>
      <c r="G6662" s="89">
        <v>2020</v>
      </c>
      <c r="H6662" s="313" t="s">
        <v>733</v>
      </c>
      <c r="I6662" s="311" t="str">
        <f t="shared" si="284"/>
        <v>Pesado de Mercadorias N3:  : Gasóleo : E6</v>
      </c>
      <c r="K6662" s="422">
        <v>2023</v>
      </c>
      <c r="L6662">
        <v>40306.89</v>
      </c>
      <c r="M6662" t="s">
        <v>630</v>
      </c>
      <c r="N6662" s="131">
        <v>122440</v>
      </c>
      <c r="Q6662" t="s">
        <v>2201</v>
      </c>
      <c r="R6662" s="422" t="s">
        <v>1869</v>
      </c>
      <c r="S6662" s="422" t="s">
        <v>1861</v>
      </c>
      <c r="T6662" s="427" t="s">
        <v>1926</v>
      </c>
      <c r="U6662" s="422" t="s">
        <v>1953</v>
      </c>
      <c r="V6662" s="422" t="s">
        <v>2813</v>
      </c>
    </row>
    <row r="6663" spans="1:22" ht="15.75" thickBot="1" x14ac:dyDescent="0.3">
      <c r="A6663" t="s">
        <v>1915</v>
      </c>
      <c r="B6663" t="s">
        <v>1915</v>
      </c>
      <c r="C6663" s="424" t="str">
        <f t="shared" si="285"/>
        <v>Rodo Cargo, S.A.</v>
      </c>
      <c r="D6663" s="422" t="s">
        <v>1920</v>
      </c>
      <c r="E6663" s="422"/>
      <c r="F6663" s="422" t="s">
        <v>620</v>
      </c>
      <c r="G6663" s="89">
        <v>2020</v>
      </c>
      <c r="H6663" s="313" t="s">
        <v>733</v>
      </c>
      <c r="I6663" s="311" t="str">
        <f t="shared" si="284"/>
        <v>Pesado de Mercadorias N3:  : Gasóleo : E6</v>
      </c>
      <c r="K6663" s="422">
        <v>2023</v>
      </c>
      <c r="L6663">
        <v>42461.91</v>
      </c>
      <c r="M6663" t="s">
        <v>630</v>
      </c>
      <c r="N6663" s="131">
        <v>120902</v>
      </c>
      <c r="Q6663" t="s">
        <v>2201</v>
      </c>
      <c r="R6663" s="422" t="s">
        <v>1869</v>
      </c>
      <c r="S6663" s="422" t="s">
        <v>1861</v>
      </c>
      <c r="T6663" s="427" t="s">
        <v>1926</v>
      </c>
      <c r="U6663" s="422" t="s">
        <v>1953</v>
      </c>
      <c r="V6663" s="422" t="s">
        <v>2813</v>
      </c>
    </row>
    <row r="6664" spans="1:22" ht="15.75" thickBot="1" x14ac:dyDescent="0.3">
      <c r="A6664" t="s">
        <v>1915</v>
      </c>
      <c r="B6664" t="s">
        <v>1915</v>
      </c>
      <c r="C6664" s="424" t="str">
        <f t="shared" si="285"/>
        <v>Rodo Cargo, S.A.</v>
      </c>
      <c r="D6664" s="422" t="s">
        <v>1920</v>
      </c>
      <c r="E6664" s="422"/>
      <c r="F6664" s="422" t="s">
        <v>620</v>
      </c>
      <c r="G6664" s="89">
        <v>2021</v>
      </c>
      <c r="H6664" s="313" t="s">
        <v>733</v>
      </c>
      <c r="I6664" s="311" t="str">
        <f t="shared" si="284"/>
        <v>Pesado de Mercadorias N3:  : Gasóleo : E6</v>
      </c>
      <c r="K6664" s="422">
        <v>2023</v>
      </c>
      <c r="L6664">
        <v>36866.199999999997</v>
      </c>
      <c r="M6664" t="s">
        <v>630</v>
      </c>
      <c r="N6664" s="131">
        <v>80507</v>
      </c>
      <c r="Q6664" t="s">
        <v>2201</v>
      </c>
      <c r="R6664" s="422" t="s">
        <v>1869</v>
      </c>
      <c r="S6664" s="422" t="s">
        <v>1861</v>
      </c>
      <c r="T6664" s="427" t="s">
        <v>1926</v>
      </c>
      <c r="U6664" s="422" t="s">
        <v>1953</v>
      </c>
      <c r="V6664" s="422" t="s">
        <v>2813</v>
      </c>
    </row>
    <row r="6665" spans="1:22" ht="15.75" thickBot="1" x14ac:dyDescent="0.3">
      <c r="A6665" t="s">
        <v>1915</v>
      </c>
      <c r="B6665" t="s">
        <v>1915</v>
      </c>
      <c r="C6665" s="424" t="str">
        <f t="shared" si="285"/>
        <v>Rodo Cargo, S.A.</v>
      </c>
      <c r="D6665" s="422" t="s">
        <v>1920</v>
      </c>
      <c r="E6665" s="422"/>
      <c r="F6665" s="422" t="s">
        <v>620</v>
      </c>
      <c r="G6665" s="89">
        <v>2021</v>
      </c>
      <c r="H6665" s="313" t="s">
        <v>733</v>
      </c>
      <c r="I6665" s="311" t="str">
        <f t="shared" si="284"/>
        <v>Pesado de Mercadorias N3:  : Gasóleo : E6</v>
      </c>
      <c r="K6665" s="422">
        <v>2023</v>
      </c>
      <c r="L6665">
        <v>40751.67</v>
      </c>
      <c r="M6665" t="s">
        <v>630</v>
      </c>
      <c r="N6665" s="131">
        <v>85999</v>
      </c>
      <c r="Q6665" t="s">
        <v>2201</v>
      </c>
      <c r="R6665" s="422" t="s">
        <v>1869</v>
      </c>
      <c r="S6665" s="422" t="s">
        <v>1861</v>
      </c>
      <c r="T6665" s="427" t="s">
        <v>1926</v>
      </c>
      <c r="U6665" s="422" t="s">
        <v>1953</v>
      </c>
      <c r="V6665" s="422" t="s">
        <v>2813</v>
      </c>
    </row>
    <row r="6666" spans="1:22" ht="15.75" thickBot="1" x14ac:dyDescent="0.3">
      <c r="A6666" t="s">
        <v>1915</v>
      </c>
      <c r="B6666" t="s">
        <v>1915</v>
      </c>
      <c r="C6666" s="424" t="str">
        <f t="shared" si="285"/>
        <v>Rodo Cargo, S.A.</v>
      </c>
      <c r="D6666" s="422" t="s">
        <v>1920</v>
      </c>
      <c r="E6666" s="422"/>
      <c r="F6666" s="422" t="s">
        <v>620</v>
      </c>
      <c r="G6666" s="89">
        <v>2021</v>
      </c>
      <c r="H6666" s="313" t="s">
        <v>733</v>
      </c>
      <c r="I6666" s="311" t="str">
        <f t="shared" si="284"/>
        <v>Pesado de Mercadorias N3:  : Gasóleo : E6</v>
      </c>
      <c r="K6666" s="422">
        <v>2023</v>
      </c>
      <c r="L6666">
        <v>42136.56</v>
      </c>
      <c r="M6666" t="s">
        <v>630</v>
      </c>
      <c r="N6666" s="131">
        <v>95003</v>
      </c>
      <c r="Q6666" t="s">
        <v>2201</v>
      </c>
      <c r="R6666" s="422" t="s">
        <v>1869</v>
      </c>
      <c r="S6666" s="422" t="s">
        <v>1861</v>
      </c>
      <c r="T6666" s="427" t="s">
        <v>1926</v>
      </c>
      <c r="U6666" s="422" t="s">
        <v>1953</v>
      </c>
      <c r="V6666" s="422" t="s">
        <v>2813</v>
      </c>
    </row>
    <row r="6667" spans="1:22" ht="15.75" thickBot="1" x14ac:dyDescent="0.3">
      <c r="A6667" t="s">
        <v>1915</v>
      </c>
      <c r="B6667" t="s">
        <v>1915</v>
      </c>
      <c r="C6667" s="424" t="str">
        <f t="shared" si="285"/>
        <v>Rodo Cargo, S.A.</v>
      </c>
      <c r="D6667" s="422" t="s">
        <v>1920</v>
      </c>
      <c r="E6667" s="422"/>
      <c r="F6667" s="422" t="s">
        <v>620</v>
      </c>
      <c r="G6667" s="89">
        <v>2021</v>
      </c>
      <c r="H6667" s="313" t="s">
        <v>733</v>
      </c>
      <c r="I6667" s="311" t="str">
        <f t="shared" si="284"/>
        <v>Pesado de Mercadorias N3:  : Gasóleo : E6</v>
      </c>
      <c r="K6667" s="422">
        <v>2023</v>
      </c>
      <c r="L6667">
        <v>32037.66</v>
      </c>
      <c r="M6667" t="s">
        <v>630</v>
      </c>
      <c r="N6667" s="131">
        <v>65454</v>
      </c>
      <c r="Q6667" t="s">
        <v>2201</v>
      </c>
      <c r="R6667" s="422" t="s">
        <v>1869</v>
      </c>
      <c r="S6667" s="422" t="s">
        <v>1861</v>
      </c>
      <c r="T6667" s="427" t="s">
        <v>1926</v>
      </c>
      <c r="U6667" s="422" t="s">
        <v>1953</v>
      </c>
      <c r="V6667" s="422" t="s">
        <v>2813</v>
      </c>
    </row>
    <row r="6668" spans="1:22" ht="15.75" thickBot="1" x14ac:dyDescent="0.3">
      <c r="A6668" t="s">
        <v>1915</v>
      </c>
      <c r="B6668" t="s">
        <v>1915</v>
      </c>
      <c r="C6668" s="424" t="str">
        <f t="shared" si="285"/>
        <v>Rodo Cargo, S.A.</v>
      </c>
      <c r="D6668" s="422" t="s">
        <v>1920</v>
      </c>
      <c r="E6668" s="422"/>
      <c r="F6668" s="422" t="s">
        <v>620</v>
      </c>
      <c r="G6668" s="89">
        <v>2021</v>
      </c>
      <c r="H6668" s="313" t="s">
        <v>733</v>
      </c>
      <c r="I6668" s="311" t="str">
        <f t="shared" si="284"/>
        <v>Pesado de Mercadorias N3:  : Gasóleo : E6</v>
      </c>
      <c r="K6668" s="422">
        <v>2023</v>
      </c>
      <c r="L6668">
        <v>32247.25</v>
      </c>
      <c r="M6668" t="s">
        <v>630</v>
      </c>
      <c r="N6668" s="131">
        <v>70161</v>
      </c>
      <c r="Q6668" t="s">
        <v>2201</v>
      </c>
      <c r="R6668" s="422" t="s">
        <v>1869</v>
      </c>
      <c r="S6668" s="422" t="s">
        <v>1861</v>
      </c>
      <c r="T6668" s="427" t="s">
        <v>1926</v>
      </c>
      <c r="U6668" s="422" t="s">
        <v>1953</v>
      </c>
      <c r="V6668" s="422" t="s">
        <v>2813</v>
      </c>
    </row>
    <row r="6669" spans="1:22" ht="15.75" thickBot="1" x14ac:dyDescent="0.3">
      <c r="A6669" t="s">
        <v>1915</v>
      </c>
      <c r="B6669" t="s">
        <v>1915</v>
      </c>
      <c r="C6669" s="424" t="str">
        <f t="shared" si="285"/>
        <v>Rodo Cargo, S.A.</v>
      </c>
      <c r="D6669" s="422" t="s">
        <v>1920</v>
      </c>
      <c r="E6669" s="422"/>
      <c r="F6669" s="422" t="s">
        <v>620</v>
      </c>
      <c r="G6669" s="89">
        <v>2021</v>
      </c>
      <c r="H6669" s="313" t="s">
        <v>733</v>
      </c>
      <c r="I6669" s="311" t="str">
        <f t="shared" si="284"/>
        <v>Pesado de Mercadorias N3:  : Gasóleo : E6</v>
      </c>
      <c r="K6669" s="422">
        <v>2023</v>
      </c>
      <c r="L6669">
        <v>35889.68</v>
      </c>
      <c r="M6669" t="s">
        <v>630</v>
      </c>
      <c r="N6669" s="131">
        <v>81071</v>
      </c>
      <c r="Q6669" t="s">
        <v>2201</v>
      </c>
      <c r="R6669" s="422" t="s">
        <v>1869</v>
      </c>
      <c r="S6669" s="422" t="s">
        <v>1861</v>
      </c>
      <c r="T6669" s="427" t="s">
        <v>1926</v>
      </c>
      <c r="U6669" s="422" t="s">
        <v>1953</v>
      </c>
      <c r="V6669" s="422" t="s">
        <v>2813</v>
      </c>
    </row>
    <row r="6670" spans="1:22" ht="15.75" thickBot="1" x14ac:dyDescent="0.3">
      <c r="A6670" t="s">
        <v>1915</v>
      </c>
      <c r="B6670" t="s">
        <v>1915</v>
      </c>
      <c r="C6670" s="424" t="str">
        <f t="shared" si="285"/>
        <v>Rodo Cargo, S.A.</v>
      </c>
      <c r="D6670" s="422" t="s">
        <v>1920</v>
      </c>
      <c r="E6670" s="422"/>
      <c r="F6670" s="422" t="s">
        <v>620</v>
      </c>
      <c r="G6670" s="89">
        <v>2021</v>
      </c>
      <c r="H6670" s="313" t="s">
        <v>733</v>
      </c>
      <c r="I6670" s="311" t="str">
        <f t="shared" si="284"/>
        <v>Pesado de Mercadorias N3:  : Gasóleo : E6</v>
      </c>
      <c r="K6670" s="422">
        <v>2023</v>
      </c>
      <c r="L6670">
        <v>37471.050000000003</v>
      </c>
      <c r="M6670" t="s">
        <v>630</v>
      </c>
      <c r="N6670" s="131">
        <v>79667</v>
      </c>
      <c r="Q6670" t="s">
        <v>2201</v>
      </c>
      <c r="R6670" s="422" t="s">
        <v>1869</v>
      </c>
      <c r="S6670" s="422" t="s">
        <v>1861</v>
      </c>
      <c r="T6670" s="427" t="s">
        <v>1926</v>
      </c>
      <c r="U6670" s="422" t="s">
        <v>1953</v>
      </c>
      <c r="V6670" s="422" t="s">
        <v>2813</v>
      </c>
    </row>
    <row r="6671" spans="1:22" ht="15.75" thickBot="1" x14ac:dyDescent="0.3">
      <c r="A6671" t="s">
        <v>1915</v>
      </c>
      <c r="B6671" t="s">
        <v>1915</v>
      </c>
      <c r="C6671" s="424" t="str">
        <f t="shared" si="285"/>
        <v>Rodo Cargo, S.A.</v>
      </c>
      <c r="D6671" s="422" t="s">
        <v>1920</v>
      </c>
      <c r="E6671" s="422"/>
      <c r="F6671" s="422" t="s">
        <v>620</v>
      </c>
      <c r="G6671" s="89">
        <v>2021</v>
      </c>
      <c r="H6671" s="313" t="s">
        <v>733</v>
      </c>
      <c r="I6671" s="311" t="str">
        <f t="shared" si="284"/>
        <v>Pesado de Mercadorias N3:  : Gasóleo : E6</v>
      </c>
      <c r="K6671" s="422">
        <v>2023</v>
      </c>
      <c r="L6671">
        <v>18703.13</v>
      </c>
      <c r="M6671" t="s">
        <v>630</v>
      </c>
      <c r="N6671" s="131">
        <v>42464</v>
      </c>
      <c r="Q6671" t="s">
        <v>2201</v>
      </c>
      <c r="R6671" s="422" t="s">
        <v>1869</v>
      </c>
      <c r="S6671" s="422" t="s">
        <v>1861</v>
      </c>
      <c r="T6671" s="427" t="s">
        <v>1926</v>
      </c>
      <c r="U6671" s="422" t="s">
        <v>1953</v>
      </c>
      <c r="V6671" s="422" t="s">
        <v>2813</v>
      </c>
    </row>
    <row r="6672" spans="1:22" ht="15.75" thickBot="1" x14ac:dyDescent="0.3">
      <c r="A6672" t="s">
        <v>1915</v>
      </c>
      <c r="B6672" t="s">
        <v>1915</v>
      </c>
      <c r="C6672" s="424" t="str">
        <f t="shared" si="285"/>
        <v>Rodo Cargo, S.A.</v>
      </c>
      <c r="D6672" s="422" t="s">
        <v>1920</v>
      </c>
      <c r="E6672" s="422"/>
      <c r="F6672" s="422" t="s">
        <v>620</v>
      </c>
      <c r="G6672" s="89">
        <v>2021</v>
      </c>
      <c r="H6672" s="313" t="s">
        <v>733</v>
      </c>
      <c r="I6672" s="311" t="str">
        <f t="shared" si="284"/>
        <v>Pesado de Mercadorias N3:  : Gasóleo : E6</v>
      </c>
      <c r="K6672" s="422">
        <v>2023</v>
      </c>
      <c r="L6672">
        <v>23630.86</v>
      </c>
      <c r="M6672" t="s">
        <v>630</v>
      </c>
      <c r="N6672" s="131">
        <v>54541</v>
      </c>
      <c r="Q6672" t="s">
        <v>2201</v>
      </c>
      <c r="R6672" s="422" t="s">
        <v>1869</v>
      </c>
      <c r="S6672" s="422" t="s">
        <v>1861</v>
      </c>
      <c r="T6672" s="427" t="s">
        <v>1926</v>
      </c>
      <c r="U6672" s="422" t="s">
        <v>1953</v>
      </c>
      <c r="V6672" s="422" t="s">
        <v>2813</v>
      </c>
    </row>
    <row r="6673" spans="1:22" ht="15.75" thickBot="1" x14ac:dyDescent="0.3">
      <c r="A6673" t="s">
        <v>1915</v>
      </c>
      <c r="B6673" t="s">
        <v>1915</v>
      </c>
      <c r="C6673" s="424" t="str">
        <f t="shared" si="285"/>
        <v>Rodo Cargo, S.A.</v>
      </c>
      <c r="D6673" s="422" t="s">
        <v>1920</v>
      </c>
      <c r="E6673" s="422"/>
      <c r="F6673" s="422" t="s">
        <v>620</v>
      </c>
      <c r="G6673" s="89">
        <v>2021</v>
      </c>
      <c r="H6673" s="313" t="s">
        <v>733</v>
      </c>
      <c r="I6673" s="311" t="str">
        <f t="shared" si="284"/>
        <v>Pesado de Mercadorias N3:  : Gasóleo : E6</v>
      </c>
      <c r="K6673" s="422">
        <v>2023</v>
      </c>
      <c r="L6673">
        <v>34819.879999999997</v>
      </c>
      <c r="M6673" t="s">
        <v>630</v>
      </c>
      <c r="N6673" s="131">
        <v>73443</v>
      </c>
      <c r="Q6673" t="s">
        <v>2201</v>
      </c>
      <c r="R6673" s="422" t="s">
        <v>1869</v>
      </c>
      <c r="S6673" s="422" t="s">
        <v>1861</v>
      </c>
      <c r="T6673" s="427" t="s">
        <v>1926</v>
      </c>
      <c r="U6673" s="422" t="s">
        <v>1953</v>
      </c>
      <c r="V6673" s="422" t="s">
        <v>2813</v>
      </c>
    </row>
    <row r="6674" spans="1:22" ht="15.75" thickBot="1" x14ac:dyDescent="0.3">
      <c r="A6674" t="s">
        <v>1915</v>
      </c>
      <c r="B6674" t="s">
        <v>1915</v>
      </c>
      <c r="C6674" s="424" t="str">
        <f t="shared" si="285"/>
        <v>Rodo Cargo, S.A.</v>
      </c>
      <c r="D6674" s="422" t="s">
        <v>1920</v>
      </c>
      <c r="E6674" s="422"/>
      <c r="F6674" s="422" t="s">
        <v>620</v>
      </c>
      <c r="G6674" s="89">
        <v>2022</v>
      </c>
      <c r="H6674" s="313" t="s">
        <v>5816</v>
      </c>
      <c r="I6674" s="311" t="str">
        <f t="shared" si="284"/>
        <v>Pesado de Mercadorias N3:  : Gasóleo : E6 D/E E7</v>
      </c>
      <c r="K6674" s="422">
        <v>2023</v>
      </c>
      <c r="L6674">
        <v>37863.839999999997</v>
      </c>
      <c r="M6674" t="s">
        <v>630</v>
      </c>
      <c r="N6674" s="131">
        <v>85600</v>
      </c>
      <c r="Q6674" t="s">
        <v>2201</v>
      </c>
      <c r="R6674" s="422" t="s">
        <v>1869</v>
      </c>
      <c r="S6674" s="422" t="s">
        <v>1861</v>
      </c>
      <c r="T6674" s="427" t="s">
        <v>1926</v>
      </c>
      <c r="U6674" s="422" t="s">
        <v>1953</v>
      </c>
      <c r="V6674" s="422" t="s">
        <v>2813</v>
      </c>
    </row>
    <row r="6675" spans="1:22" ht="15.75" thickBot="1" x14ac:dyDescent="0.3">
      <c r="A6675" t="s">
        <v>1915</v>
      </c>
      <c r="B6675" t="s">
        <v>1915</v>
      </c>
      <c r="C6675" s="424" t="str">
        <f t="shared" si="285"/>
        <v>Rodo Cargo, S.A.</v>
      </c>
      <c r="D6675" s="422" t="s">
        <v>1920</v>
      </c>
      <c r="E6675" s="422"/>
      <c r="F6675" s="422" t="s">
        <v>620</v>
      </c>
      <c r="G6675" s="89">
        <v>2022</v>
      </c>
      <c r="H6675" s="313" t="s">
        <v>5816</v>
      </c>
      <c r="I6675" s="311" t="str">
        <f t="shared" si="284"/>
        <v>Pesado de Mercadorias N3:  : Gasóleo : E6 D/E E7</v>
      </c>
      <c r="K6675" s="422">
        <v>2023</v>
      </c>
      <c r="L6675">
        <v>34097.11</v>
      </c>
      <c r="M6675" t="s">
        <v>630</v>
      </c>
      <c r="N6675" s="131">
        <v>73933</v>
      </c>
      <c r="Q6675" t="s">
        <v>2201</v>
      </c>
      <c r="R6675" s="422" t="s">
        <v>1869</v>
      </c>
      <c r="S6675" s="422" t="s">
        <v>1861</v>
      </c>
      <c r="T6675" s="427" t="s">
        <v>1926</v>
      </c>
      <c r="U6675" s="422" t="s">
        <v>1953</v>
      </c>
      <c r="V6675" s="422" t="s">
        <v>2813</v>
      </c>
    </row>
    <row r="6676" spans="1:22" ht="15.75" thickBot="1" x14ac:dyDescent="0.3">
      <c r="A6676" t="s">
        <v>1915</v>
      </c>
      <c r="B6676" t="s">
        <v>1915</v>
      </c>
      <c r="C6676" s="424" t="str">
        <f t="shared" si="285"/>
        <v>Rodo Cargo, S.A.</v>
      </c>
      <c r="D6676" s="422" t="s">
        <v>1920</v>
      </c>
      <c r="E6676" s="422"/>
      <c r="F6676" s="422" t="s">
        <v>620</v>
      </c>
      <c r="G6676" s="89">
        <v>2022</v>
      </c>
      <c r="H6676" s="313" t="s">
        <v>5816</v>
      </c>
      <c r="I6676" s="311" t="str">
        <f t="shared" si="284"/>
        <v>Pesado de Mercadorias N3:  : Gasóleo : E6 D/E E7</v>
      </c>
      <c r="K6676" s="422">
        <v>2023</v>
      </c>
      <c r="L6676">
        <v>35218.42</v>
      </c>
      <c r="M6676" t="s">
        <v>630</v>
      </c>
      <c r="N6676" s="131">
        <v>80735</v>
      </c>
      <c r="Q6676" t="s">
        <v>2201</v>
      </c>
      <c r="R6676" s="422" t="s">
        <v>1869</v>
      </c>
      <c r="S6676" s="422" t="s">
        <v>1861</v>
      </c>
      <c r="T6676" s="427" t="s">
        <v>1926</v>
      </c>
      <c r="U6676" s="422" t="s">
        <v>1953</v>
      </c>
      <c r="V6676" s="422" t="s">
        <v>2813</v>
      </c>
    </row>
    <row r="6677" spans="1:22" ht="15.75" thickBot="1" x14ac:dyDescent="0.3">
      <c r="A6677" t="s">
        <v>1915</v>
      </c>
      <c r="B6677" t="s">
        <v>1915</v>
      </c>
      <c r="C6677" s="424" t="str">
        <f t="shared" si="285"/>
        <v>Rodo Cargo, S.A.</v>
      </c>
      <c r="D6677" s="422" t="s">
        <v>1920</v>
      </c>
      <c r="E6677" s="422"/>
      <c r="F6677" s="422" t="s">
        <v>620</v>
      </c>
      <c r="G6677" s="89">
        <v>2022</v>
      </c>
      <c r="H6677" s="313" t="s">
        <v>5816</v>
      </c>
      <c r="I6677" s="311" t="str">
        <f t="shared" si="284"/>
        <v>Pesado de Mercadorias N3:  : Gasóleo : E6 D/E E7</v>
      </c>
      <c r="K6677" s="422">
        <v>2023</v>
      </c>
      <c r="L6677">
        <v>25066.02</v>
      </c>
      <c r="M6677" t="s">
        <v>630</v>
      </c>
      <c r="N6677" s="131">
        <v>52285</v>
      </c>
      <c r="Q6677" t="s">
        <v>2201</v>
      </c>
      <c r="R6677" s="422" t="s">
        <v>1869</v>
      </c>
      <c r="S6677" s="422" t="s">
        <v>1861</v>
      </c>
      <c r="T6677" s="427" t="s">
        <v>1926</v>
      </c>
      <c r="U6677" s="422" t="s">
        <v>1953</v>
      </c>
      <c r="V6677" s="422" t="s">
        <v>2813</v>
      </c>
    </row>
    <row r="6678" spans="1:22" ht="15.75" thickBot="1" x14ac:dyDescent="0.3">
      <c r="A6678" t="s">
        <v>1915</v>
      </c>
      <c r="B6678" t="s">
        <v>1915</v>
      </c>
      <c r="C6678" s="424" t="str">
        <f t="shared" si="285"/>
        <v>Rodo Cargo, S.A.</v>
      </c>
      <c r="D6678" s="422" t="s">
        <v>1920</v>
      </c>
      <c r="E6678" s="422"/>
      <c r="F6678" s="422" t="s">
        <v>620</v>
      </c>
      <c r="G6678" s="89">
        <v>2022</v>
      </c>
      <c r="H6678" s="313" t="s">
        <v>5816</v>
      </c>
      <c r="I6678" s="311" t="str">
        <f t="shared" si="284"/>
        <v>Pesado de Mercadorias N3:  : Gasóleo : E6 D/E E7</v>
      </c>
      <c r="K6678" s="422">
        <v>2023</v>
      </c>
      <c r="L6678">
        <v>22129.8</v>
      </c>
      <c r="M6678" t="s">
        <v>630</v>
      </c>
      <c r="N6678" s="131">
        <v>81504</v>
      </c>
      <c r="Q6678" t="s">
        <v>2201</v>
      </c>
      <c r="R6678" s="422" t="s">
        <v>1869</v>
      </c>
      <c r="S6678" s="422" t="s">
        <v>1861</v>
      </c>
      <c r="T6678" s="427" t="s">
        <v>1926</v>
      </c>
      <c r="U6678" s="422" t="s">
        <v>1953</v>
      </c>
      <c r="V6678" s="422" t="s">
        <v>2813</v>
      </c>
    </row>
    <row r="6679" spans="1:22" ht="15.75" thickBot="1" x14ac:dyDescent="0.3">
      <c r="A6679" t="s">
        <v>1915</v>
      </c>
      <c r="B6679" t="s">
        <v>1915</v>
      </c>
      <c r="C6679" s="424" t="str">
        <f t="shared" si="285"/>
        <v>Rodo Cargo, S.A.</v>
      </c>
      <c r="D6679" s="422" t="s">
        <v>1920</v>
      </c>
      <c r="E6679" s="422"/>
      <c r="F6679" s="422" t="s">
        <v>620</v>
      </c>
      <c r="G6679" s="89">
        <v>2022</v>
      </c>
      <c r="H6679" s="313" t="s">
        <v>5816</v>
      </c>
      <c r="I6679" s="311" t="str">
        <f t="shared" si="284"/>
        <v>Pesado de Mercadorias N3:  : Gasóleo : E6 D/E E7</v>
      </c>
      <c r="K6679" s="422">
        <v>2023</v>
      </c>
      <c r="L6679">
        <v>18770.18</v>
      </c>
      <c r="M6679" t="s">
        <v>630</v>
      </c>
      <c r="N6679" s="131">
        <v>69097</v>
      </c>
      <c r="Q6679" t="s">
        <v>2201</v>
      </c>
      <c r="R6679" s="422" t="s">
        <v>1869</v>
      </c>
      <c r="S6679" s="422" t="s">
        <v>1861</v>
      </c>
      <c r="T6679" s="427" t="s">
        <v>1926</v>
      </c>
      <c r="U6679" s="422" t="s">
        <v>1953</v>
      </c>
      <c r="V6679" s="422" t="s">
        <v>2813</v>
      </c>
    </row>
    <row r="6680" spans="1:22" ht="15.75" thickBot="1" x14ac:dyDescent="0.3">
      <c r="A6680" t="s">
        <v>1915</v>
      </c>
      <c r="B6680" t="s">
        <v>1915</v>
      </c>
      <c r="C6680" s="424" t="str">
        <f t="shared" si="285"/>
        <v>Rodo Cargo, S.A.</v>
      </c>
      <c r="D6680" s="422" t="s">
        <v>1920</v>
      </c>
      <c r="E6680" s="422"/>
      <c r="F6680" s="422" t="s">
        <v>620</v>
      </c>
      <c r="G6680" s="89">
        <v>2022</v>
      </c>
      <c r="H6680" s="313" t="s">
        <v>5816</v>
      </c>
      <c r="I6680" s="311" t="str">
        <f t="shared" si="284"/>
        <v>Pesado de Mercadorias N3:  : Gasóleo : E6 D/E E7</v>
      </c>
      <c r="K6680" s="422">
        <v>2023</v>
      </c>
      <c r="L6680">
        <v>42946.39</v>
      </c>
      <c r="M6680" t="s">
        <v>630</v>
      </c>
      <c r="N6680" s="131">
        <v>113659</v>
      </c>
      <c r="Q6680" t="s">
        <v>2201</v>
      </c>
      <c r="R6680" s="422" t="s">
        <v>1869</v>
      </c>
      <c r="S6680" s="422" t="s">
        <v>1861</v>
      </c>
      <c r="T6680" s="427" t="s">
        <v>1926</v>
      </c>
      <c r="U6680" s="422" t="s">
        <v>1953</v>
      </c>
      <c r="V6680" s="422" t="s">
        <v>2813</v>
      </c>
    </row>
    <row r="6681" spans="1:22" ht="15.75" thickBot="1" x14ac:dyDescent="0.3">
      <c r="A6681" t="s">
        <v>1915</v>
      </c>
      <c r="B6681" t="s">
        <v>1915</v>
      </c>
      <c r="C6681" s="424" t="str">
        <f t="shared" si="285"/>
        <v>Rodo Cargo, S.A.</v>
      </c>
      <c r="D6681" s="422" t="s">
        <v>1920</v>
      </c>
      <c r="E6681" s="422"/>
      <c r="F6681" s="422" t="s">
        <v>620</v>
      </c>
      <c r="G6681" s="89">
        <v>2022</v>
      </c>
      <c r="H6681" s="313" t="s">
        <v>5816</v>
      </c>
      <c r="I6681" s="311" t="str">
        <f t="shared" si="284"/>
        <v>Pesado de Mercadorias N3:  : Gasóleo : E6 D/E E7</v>
      </c>
      <c r="K6681" s="422">
        <v>2023</v>
      </c>
      <c r="L6681">
        <v>16059.03</v>
      </c>
      <c r="M6681" t="s">
        <v>630</v>
      </c>
      <c r="N6681" s="131">
        <v>43123</v>
      </c>
      <c r="Q6681" t="s">
        <v>2201</v>
      </c>
      <c r="R6681" s="422" t="s">
        <v>1869</v>
      </c>
      <c r="S6681" s="422" t="s">
        <v>1861</v>
      </c>
      <c r="T6681" s="427" t="s">
        <v>1926</v>
      </c>
      <c r="U6681" s="422" t="s">
        <v>1953</v>
      </c>
      <c r="V6681" s="422" t="s">
        <v>2813</v>
      </c>
    </row>
    <row r="6682" spans="1:22" ht="15.75" thickBot="1" x14ac:dyDescent="0.3">
      <c r="A6682" t="s">
        <v>1915</v>
      </c>
      <c r="B6682" t="s">
        <v>1915</v>
      </c>
      <c r="C6682" s="424" t="str">
        <f t="shared" si="285"/>
        <v>Rodo Cargo, S.A.</v>
      </c>
      <c r="D6682" s="422" t="s">
        <v>1920</v>
      </c>
      <c r="E6682" s="422"/>
      <c r="F6682" s="422" t="s">
        <v>620</v>
      </c>
      <c r="G6682" s="89">
        <v>2022</v>
      </c>
      <c r="H6682" s="313" t="s">
        <v>5816</v>
      </c>
      <c r="I6682" s="311" t="str">
        <f t="shared" si="284"/>
        <v>Pesado de Mercadorias N3:  : Gasóleo : E6 D/E E7</v>
      </c>
      <c r="K6682" s="422">
        <v>2023</v>
      </c>
      <c r="L6682">
        <v>30250.32</v>
      </c>
      <c r="M6682" t="s">
        <v>630</v>
      </c>
      <c r="N6682" s="131">
        <v>75189</v>
      </c>
      <c r="Q6682" t="s">
        <v>2201</v>
      </c>
      <c r="R6682" s="422" t="s">
        <v>1869</v>
      </c>
      <c r="S6682" s="422" t="s">
        <v>1861</v>
      </c>
      <c r="T6682" s="427" t="s">
        <v>1926</v>
      </c>
      <c r="U6682" s="422" t="s">
        <v>1953</v>
      </c>
      <c r="V6682" s="422" t="s">
        <v>2813</v>
      </c>
    </row>
    <row r="6683" spans="1:22" ht="15.75" thickBot="1" x14ac:dyDescent="0.3">
      <c r="A6683" t="s">
        <v>1915</v>
      </c>
      <c r="B6683" t="s">
        <v>1915</v>
      </c>
      <c r="C6683" s="424" t="str">
        <f t="shared" si="285"/>
        <v>Rodo Cargo, S.A.</v>
      </c>
      <c r="D6683" s="422" t="s">
        <v>1920</v>
      </c>
      <c r="E6683" s="422"/>
      <c r="F6683" s="422" t="s">
        <v>620</v>
      </c>
      <c r="G6683" s="89">
        <v>2022</v>
      </c>
      <c r="H6683" s="313" t="s">
        <v>5816</v>
      </c>
      <c r="I6683" s="311" t="str">
        <f t="shared" si="284"/>
        <v>Pesado de Mercadorias N3:  : Gasóleo : E6 D/E E7</v>
      </c>
      <c r="K6683" s="422">
        <v>2023</v>
      </c>
      <c r="L6683">
        <v>27107.360000000001</v>
      </c>
      <c r="M6683" t="s">
        <v>630</v>
      </c>
      <c r="N6683" s="131">
        <v>58977</v>
      </c>
      <c r="Q6683" t="s">
        <v>2201</v>
      </c>
      <c r="R6683" s="422" t="s">
        <v>1869</v>
      </c>
      <c r="S6683" s="422" t="s">
        <v>1861</v>
      </c>
      <c r="T6683" s="427" t="s">
        <v>1926</v>
      </c>
      <c r="U6683" s="422" t="s">
        <v>1953</v>
      </c>
      <c r="V6683" s="422" t="s">
        <v>2813</v>
      </c>
    </row>
    <row r="6684" spans="1:22" ht="15.75" thickBot="1" x14ac:dyDescent="0.3">
      <c r="A6684" t="s">
        <v>1915</v>
      </c>
      <c r="B6684" t="s">
        <v>1915</v>
      </c>
      <c r="C6684" s="424" t="str">
        <f t="shared" si="285"/>
        <v>Rodo Cargo, S.A.</v>
      </c>
      <c r="D6684" s="422" t="s">
        <v>1920</v>
      </c>
      <c r="E6684" s="422"/>
      <c r="F6684" s="422" t="s">
        <v>620</v>
      </c>
      <c r="G6684" s="89">
        <v>2022</v>
      </c>
      <c r="H6684" s="313" t="s">
        <v>5816</v>
      </c>
      <c r="I6684" s="311" t="str">
        <f t="shared" si="284"/>
        <v>Pesado de Mercadorias N3:  : Gasóleo : E6 D/E E7</v>
      </c>
      <c r="K6684" s="422">
        <v>2023</v>
      </c>
      <c r="L6684">
        <v>26473.81</v>
      </c>
      <c r="M6684" t="s">
        <v>630</v>
      </c>
      <c r="N6684" s="131">
        <v>66758</v>
      </c>
      <c r="Q6684" t="s">
        <v>2201</v>
      </c>
      <c r="R6684" s="422" t="s">
        <v>1869</v>
      </c>
      <c r="S6684" s="422" t="s">
        <v>1861</v>
      </c>
      <c r="T6684" s="427" t="s">
        <v>1926</v>
      </c>
      <c r="U6684" s="422" t="s">
        <v>1953</v>
      </c>
      <c r="V6684" s="422" t="s">
        <v>2813</v>
      </c>
    </row>
    <row r="6685" spans="1:22" ht="15.75" thickBot="1" x14ac:dyDescent="0.3">
      <c r="A6685" t="s">
        <v>1915</v>
      </c>
      <c r="B6685" t="s">
        <v>1915</v>
      </c>
      <c r="C6685" s="424" t="str">
        <f t="shared" si="285"/>
        <v>Rodo Cargo, S.A.</v>
      </c>
      <c r="D6685" s="422" t="s">
        <v>1920</v>
      </c>
      <c r="E6685" s="422"/>
      <c r="F6685" s="422" t="s">
        <v>620</v>
      </c>
      <c r="G6685" s="89">
        <v>2022</v>
      </c>
      <c r="H6685" s="313" t="s">
        <v>5816</v>
      </c>
      <c r="I6685" s="311" t="str">
        <f t="shared" si="284"/>
        <v>Pesado de Mercadorias N3:  : Gasóleo : E6 D/E E7</v>
      </c>
      <c r="K6685" s="422">
        <v>2023</v>
      </c>
      <c r="L6685">
        <v>38745.89</v>
      </c>
      <c r="M6685" t="s">
        <v>630</v>
      </c>
      <c r="N6685" s="131">
        <v>101623</v>
      </c>
      <c r="Q6685" t="s">
        <v>2201</v>
      </c>
      <c r="R6685" s="422" t="s">
        <v>1869</v>
      </c>
      <c r="S6685" s="422" t="s">
        <v>1861</v>
      </c>
      <c r="T6685" s="427" t="s">
        <v>1926</v>
      </c>
      <c r="U6685" s="422" t="s">
        <v>1953</v>
      </c>
      <c r="V6685" s="422" t="s">
        <v>2813</v>
      </c>
    </row>
    <row r="6686" spans="1:22" ht="15.75" thickBot="1" x14ac:dyDescent="0.3">
      <c r="A6686" t="s">
        <v>1915</v>
      </c>
      <c r="B6686" t="s">
        <v>1915</v>
      </c>
      <c r="C6686" s="424" t="str">
        <f t="shared" si="285"/>
        <v>Rodo Cargo, S.A.</v>
      </c>
      <c r="D6686" s="422" t="s">
        <v>1920</v>
      </c>
      <c r="E6686" s="422"/>
      <c r="F6686" s="422" t="s">
        <v>620</v>
      </c>
      <c r="G6686" s="89">
        <v>2023</v>
      </c>
      <c r="H6686" s="313" t="s">
        <v>5816</v>
      </c>
      <c r="I6686" s="311" t="str">
        <f t="shared" si="284"/>
        <v>Pesado de Mercadorias N3:  : Gasóleo : E6 D/E E7</v>
      </c>
      <c r="K6686" s="422">
        <v>2023</v>
      </c>
      <c r="L6686">
        <v>5778.36</v>
      </c>
      <c r="M6686" t="s">
        <v>630</v>
      </c>
      <c r="N6686" s="131">
        <v>13256</v>
      </c>
      <c r="Q6686" t="s">
        <v>2201</v>
      </c>
      <c r="R6686" s="422" t="s">
        <v>1869</v>
      </c>
      <c r="S6686" s="422" t="s">
        <v>1861</v>
      </c>
      <c r="T6686" s="427" t="s">
        <v>1926</v>
      </c>
      <c r="U6686" s="422" t="s">
        <v>1953</v>
      </c>
      <c r="V6686" s="422" t="s">
        <v>2813</v>
      </c>
    </row>
    <row r="6687" spans="1:22" ht="15.75" thickBot="1" x14ac:dyDescent="0.3">
      <c r="A6687" t="s">
        <v>1915</v>
      </c>
      <c r="B6687" t="s">
        <v>1915</v>
      </c>
      <c r="C6687" s="424" t="str">
        <f t="shared" si="285"/>
        <v>Rodo Cargo, S.A.</v>
      </c>
      <c r="D6687" s="422" t="s">
        <v>1920</v>
      </c>
      <c r="E6687" s="422"/>
      <c r="F6687" s="422" t="s">
        <v>620</v>
      </c>
      <c r="G6687" s="89">
        <v>2023</v>
      </c>
      <c r="H6687" s="313" t="s">
        <v>5816</v>
      </c>
      <c r="I6687" s="311" t="str">
        <f t="shared" si="284"/>
        <v>Pesado de Mercadorias N3:  : Gasóleo : E6 D/E E7</v>
      </c>
      <c r="K6687" s="422">
        <v>2023</v>
      </c>
      <c r="L6687">
        <v>8214.09</v>
      </c>
      <c r="M6687" t="s">
        <v>630</v>
      </c>
      <c r="N6687" s="131">
        <v>19168</v>
      </c>
      <c r="Q6687" t="s">
        <v>2201</v>
      </c>
      <c r="R6687" s="422" t="s">
        <v>1869</v>
      </c>
      <c r="S6687" s="422" t="s">
        <v>1861</v>
      </c>
      <c r="T6687" s="427" t="s">
        <v>1926</v>
      </c>
      <c r="U6687" s="422" t="s">
        <v>1953</v>
      </c>
      <c r="V6687" s="422" t="s">
        <v>2813</v>
      </c>
    </row>
    <row r="6688" spans="1:22" ht="15.75" thickBot="1" x14ac:dyDescent="0.3">
      <c r="A6688" t="s">
        <v>1915</v>
      </c>
      <c r="B6688" t="s">
        <v>1915</v>
      </c>
      <c r="C6688" s="424" t="str">
        <f t="shared" si="285"/>
        <v>Rodo Cargo, S.A.</v>
      </c>
      <c r="D6688" s="422" t="s">
        <v>1920</v>
      </c>
      <c r="E6688" s="422"/>
      <c r="F6688" s="422" t="s">
        <v>620</v>
      </c>
      <c r="G6688" s="89">
        <v>2023</v>
      </c>
      <c r="H6688" s="313" t="s">
        <v>5816</v>
      </c>
      <c r="I6688" s="311" t="str">
        <f t="shared" si="284"/>
        <v>Pesado de Mercadorias N3:  : Gasóleo : E6 D/E E7</v>
      </c>
      <c r="K6688" s="422">
        <v>2023</v>
      </c>
      <c r="L6688">
        <v>25730.79</v>
      </c>
      <c r="M6688" t="s">
        <v>630</v>
      </c>
      <c r="N6688" s="131">
        <v>69574</v>
      </c>
      <c r="Q6688" t="s">
        <v>2201</v>
      </c>
      <c r="R6688" s="422" t="s">
        <v>1869</v>
      </c>
      <c r="S6688" s="422" t="s">
        <v>1861</v>
      </c>
      <c r="T6688" s="427" t="s">
        <v>1926</v>
      </c>
      <c r="U6688" s="422" t="s">
        <v>1953</v>
      </c>
      <c r="V6688" s="422" t="s">
        <v>2813</v>
      </c>
    </row>
    <row r="6689" spans="1:22" ht="15.75" thickBot="1" x14ac:dyDescent="0.3">
      <c r="A6689" t="s">
        <v>1915</v>
      </c>
      <c r="B6689" t="s">
        <v>1915</v>
      </c>
      <c r="C6689" s="424" t="str">
        <f t="shared" si="285"/>
        <v>Rodo Cargo, S.A.</v>
      </c>
      <c r="D6689" s="422" t="s">
        <v>1920</v>
      </c>
      <c r="E6689" s="422"/>
      <c r="F6689" s="422" t="s">
        <v>620</v>
      </c>
      <c r="G6689" s="89">
        <v>2023</v>
      </c>
      <c r="H6689" s="313" t="s">
        <v>5816</v>
      </c>
      <c r="I6689" s="311" t="str">
        <f t="shared" si="284"/>
        <v>Pesado de Mercadorias N3:  : Gasóleo : E6 D/E E7</v>
      </c>
      <c r="K6689" s="422">
        <v>2023</v>
      </c>
      <c r="L6689">
        <v>13483.96</v>
      </c>
      <c r="M6689" t="s">
        <v>630</v>
      </c>
      <c r="N6689" s="131">
        <v>37355</v>
      </c>
      <c r="Q6689" t="s">
        <v>2201</v>
      </c>
      <c r="R6689" s="422" t="s">
        <v>1869</v>
      </c>
      <c r="S6689" s="422" t="s">
        <v>1861</v>
      </c>
      <c r="T6689" s="427" t="s">
        <v>1926</v>
      </c>
      <c r="U6689" s="422" t="s">
        <v>1953</v>
      </c>
      <c r="V6689" s="422" t="s">
        <v>2813</v>
      </c>
    </row>
    <row r="6690" spans="1:22" ht="15.75" thickBot="1" x14ac:dyDescent="0.3">
      <c r="A6690" t="s">
        <v>1915</v>
      </c>
      <c r="B6690" t="s">
        <v>1915</v>
      </c>
      <c r="C6690" s="424" t="str">
        <f t="shared" si="285"/>
        <v>Rodo Cargo, S.A.</v>
      </c>
      <c r="D6690" s="422" t="s">
        <v>1920</v>
      </c>
      <c r="E6690" s="422"/>
      <c r="F6690" s="422" t="s">
        <v>620</v>
      </c>
      <c r="G6690" s="89">
        <v>2023</v>
      </c>
      <c r="H6690" s="313" t="s">
        <v>5816</v>
      </c>
      <c r="I6690" s="311" t="str">
        <f t="shared" ref="I6690:I6753" si="286">D6690&amp;": "&amp;E6690&amp;" : "&amp;F6690&amp;" : "&amp;H6690</f>
        <v>Pesado de Mercadorias N3:  : Gasóleo : E6 D/E E7</v>
      </c>
      <c r="K6690" s="422">
        <v>2023</v>
      </c>
      <c r="L6690">
        <v>14035.75</v>
      </c>
      <c r="M6690" t="s">
        <v>630</v>
      </c>
      <c r="N6690" s="131">
        <v>41171</v>
      </c>
      <c r="Q6690" t="s">
        <v>2201</v>
      </c>
      <c r="R6690" s="422" t="s">
        <v>1869</v>
      </c>
      <c r="S6690" s="422" t="s">
        <v>1861</v>
      </c>
      <c r="T6690" s="427" t="s">
        <v>1926</v>
      </c>
      <c r="U6690" s="422" t="s">
        <v>1953</v>
      </c>
      <c r="V6690" s="422" t="s">
        <v>2813</v>
      </c>
    </row>
    <row r="6691" spans="1:22" ht="15.75" thickBot="1" x14ac:dyDescent="0.3">
      <c r="A6691" t="s">
        <v>1915</v>
      </c>
      <c r="B6691" t="s">
        <v>1915</v>
      </c>
      <c r="C6691" s="424" t="str">
        <f t="shared" si="285"/>
        <v>Rodo Cargo, S.A.</v>
      </c>
      <c r="D6691" s="422" t="s">
        <v>1920</v>
      </c>
      <c r="E6691" s="422"/>
      <c r="F6691" s="422" t="s">
        <v>620</v>
      </c>
      <c r="G6691" s="89">
        <v>2023</v>
      </c>
      <c r="H6691" s="313" t="s">
        <v>5816</v>
      </c>
      <c r="I6691" s="311" t="str">
        <f t="shared" si="286"/>
        <v>Pesado de Mercadorias N3:  : Gasóleo : E6 D/E E7</v>
      </c>
      <c r="K6691" s="422">
        <v>2023</v>
      </c>
      <c r="L6691">
        <v>23269.47</v>
      </c>
      <c r="M6691" t="s">
        <v>630</v>
      </c>
      <c r="N6691" s="131">
        <v>65916</v>
      </c>
      <c r="Q6691" t="s">
        <v>2201</v>
      </c>
      <c r="R6691" s="422" t="s">
        <v>1869</v>
      </c>
      <c r="S6691" s="422" t="s">
        <v>1861</v>
      </c>
      <c r="T6691" s="427" t="s">
        <v>1926</v>
      </c>
      <c r="U6691" s="422" t="s">
        <v>1953</v>
      </c>
      <c r="V6691" s="422" t="s">
        <v>2813</v>
      </c>
    </row>
    <row r="6692" spans="1:22" ht="15.75" thickBot="1" x14ac:dyDescent="0.3">
      <c r="A6692" t="s">
        <v>1915</v>
      </c>
      <c r="B6692" t="s">
        <v>1915</v>
      </c>
      <c r="C6692" s="424" t="str">
        <f t="shared" si="285"/>
        <v>Rodo Cargo, S.A.</v>
      </c>
      <c r="D6692" s="422" t="s">
        <v>1920</v>
      </c>
      <c r="E6692" s="422"/>
      <c r="F6692" s="422" t="s">
        <v>620</v>
      </c>
      <c r="G6692" s="89">
        <v>2023</v>
      </c>
      <c r="H6692" s="313" t="s">
        <v>5816</v>
      </c>
      <c r="I6692" s="311" t="str">
        <f t="shared" si="286"/>
        <v>Pesado de Mercadorias N3:  : Gasóleo : E6 D/E E7</v>
      </c>
      <c r="K6692" s="422">
        <v>2023</v>
      </c>
      <c r="L6692">
        <v>16901.96</v>
      </c>
      <c r="M6692" t="s">
        <v>630</v>
      </c>
      <c r="N6692" s="131">
        <v>44931</v>
      </c>
      <c r="Q6692" t="s">
        <v>2201</v>
      </c>
      <c r="R6692" s="422" t="s">
        <v>1869</v>
      </c>
      <c r="S6692" s="422" t="s">
        <v>1861</v>
      </c>
      <c r="T6692" s="427" t="s">
        <v>1926</v>
      </c>
      <c r="U6692" s="422" t="s">
        <v>1953</v>
      </c>
      <c r="V6692" s="422" t="s">
        <v>2813</v>
      </c>
    </row>
    <row r="6693" spans="1:22" ht="15.75" thickBot="1" x14ac:dyDescent="0.3">
      <c r="A6693" t="s">
        <v>1915</v>
      </c>
      <c r="B6693" t="s">
        <v>1915</v>
      </c>
      <c r="C6693" s="424" t="str">
        <f t="shared" ref="C6693" si="287">IF(A6693=B6693,B6693,RIGHT(A6693,LEN(A6693)-LEN(B6693)-3))</f>
        <v>Rodo Cargo, S.A.</v>
      </c>
      <c r="D6693" s="422" t="s">
        <v>1920</v>
      </c>
      <c r="E6693" s="422"/>
      <c r="F6693" s="422" t="s">
        <v>620</v>
      </c>
      <c r="G6693" s="89">
        <v>2023</v>
      </c>
      <c r="H6693" s="313" t="s">
        <v>5816</v>
      </c>
      <c r="I6693" s="311" t="str">
        <f t="shared" si="286"/>
        <v>Pesado de Mercadorias N3:  : Gasóleo : E6 D/E E7</v>
      </c>
      <c r="K6693" s="422">
        <v>2023</v>
      </c>
      <c r="L6693">
        <v>12760.95</v>
      </c>
      <c r="M6693" t="s">
        <v>630</v>
      </c>
      <c r="N6693" s="131">
        <v>35069</v>
      </c>
      <c r="Q6693" t="s">
        <v>2201</v>
      </c>
      <c r="R6693" s="422" t="s">
        <v>1869</v>
      </c>
      <c r="S6693" s="422" t="s">
        <v>1861</v>
      </c>
      <c r="T6693" s="427" t="s">
        <v>1926</v>
      </c>
      <c r="U6693" s="422" t="s">
        <v>1953</v>
      </c>
      <c r="V6693" s="422" t="s">
        <v>2813</v>
      </c>
    </row>
    <row r="6694" spans="1:22" ht="15.75" thickBot="1" x14ac:dyDescent="0.3">
      <c r="A6694" s="422" t="s">
        <v>4580</v>
      </c>
      <c r="B6694" s="422" t="s">
        <v>4580</v>
      </c>
      <c r="C6694" s="424" t="str">
        <f t="shared" ref="C6694:C6757" si="288">IF(A6694=B6694,B6694,RIGHT(A6694,LEN(A6694)-LEN(B6694)-3))</f>
        <v>Ribatejana Verde - Transportes Rodoviários de Passageiros, Unipessoal LDA.</v>
      </c>
      <c r="D6694" t="s">
        <v>629</v>
      </c>
      <c r="F6694" s="432" t="s">
        <v>620</v>
      </c>
      <c r="G6694" s="89">
        <v>2006</v>
      </c>
      <c r="H6694" s="313" t="s">
        <v>731</v>
      </c>
      <c r="I6694" s="311" t="str">
        <f t="shared" si="286"/>
        <v>Pesado de Passageiros M3:  : Gasóleo : E4</v>
      </c>
      <c r="J6694">
        <v>65</v>
      </c>
      <c r="K6694" s="422">
        <v>2023</v>
      </c>
      <c r="L6694">
        <v>23710.68</v>
      </c>
      <c r="M6694" t="s">
        <v>630</v>
      </c>
      <c r="N6694" s="131">
        <v>63159</v>
      </c>
      <c r="O6694" s="436">
        <f t="shared" ref="O6694:O6757" si="289">N6694*J6694</f>
        <v>4105335</v>
      </c>
      <c r="P6694" s="89" t="s">
        <v>5835</v>
      </c>
      <c r="Q6694" s="422" t="s">
        <v>47</v>
      </c>
      <c r="R6694" s="422" t="s">
        <v>1869</v>
      </c>
      <c r="S6694" s="422" t="s">
        <v>1861</v>
      </c>
      <c r="U6694" s="422" t="s">
        <v>1953</v>
      </c>
      <c r="V6694" s="422" t="s">
        <v>2813</v>
      </c>
    </row>
    <row r="6695" spans="1:22" ht="15.75" thickBot="1" x14ac:dyDescent="0.3">
      <c r="A6695" s="422" t="s">
        <v>4580</v>
      </c>
      <c r="B6695" s="422" t="s">
        <v>4580</v>
      </c>
      <c r="C6695" s="424" t="str">
        <f t="shared" si="288"/>
        <v>Ribatejana Verde - Transportes Rodoviários de Passageiros, Unipessoal LDA.</v>
      </c>
      <c r="D6695" t="s">
        <v>629</v>
      </c>
      <c r="F6695" s="432" t="s">
        <v>620</v>
      </c>
      <c r="G6695" s="89">
        <v>2008</v>
      </c>
      <c r="H6695" s="313" t="s">
        <v>731</v>
      </c>
      <c r="I6695" s="311" t="str">
        <f t="shared" si="286"/>
        <v>Pesado de Passageiros M3:  : Gasóleo : E4</v>
      </c>
      <c r="J6695">
        <v>55</v>
      </c>
      <c r="K6695" s="422">
        <v>2023</v>
      </c>
      <c r="L6695">
        <v>21606.127</v>
      </c>
      <c r="M6695" t="s">
        <v>630</v>
      </c>
      <c r="N6695" s="131">
        <v>61138</v>
      </c>
      <c r="O6695" s="436">
        <f t="shared" si="289"/>
        <v>3362590</v>
      </c>
      <c r="P6695" s="89" t="s">
        <v>5836</v>
      </c>
      <c r="Q6695" s="422" t="s">
        <v>47</v>
      </c>
      <c r="R6695" s="422" t="s">
        <v>1869</v>
      </c>
      <c r="S6695" s="422" t="s">
        <v>1861</v>
      </c>
      <c r="U6695" s="422" t="s">
        <v>1953</v>
      </c>
      <c r="V6695" s="422" t="s">
        <v>2813</v>
      </c>
    </row>
    <row r="6696" spans="1:22" ht="15.75" thickBot="1" x14ac:dyDescent="0.3">
      <c r="A6696" s="422" t="s">
        <v>4580</v>
      </c>
      <c r="B6696" s="422" t="s">
        <v>4580</v>
      </c>
      <c r="C6696" s="424" t="str">
        <f t="shared" si="288"/>
        <v>Ribatejana Verde - Transportes Rodoviários de Passageiros, Unipessoal LDA.</v>
      </c>
      <c r="D6696" t="s">
        <v>629</v>
      </c>
      <c r="F6696" s="432" t="s">
        <v>620</v>
      </c>
      <c r="G6696" s="89">
        <v>2003</v>
      </c>
      <c r="H6696" s="313" t="s">
        <v>732</v>
      </c>
      <c r="I6696" s="311" t="str">
        <f t="shared" si="286"/>
        <v>Pesado de Passageiros M3:  : Gasóleo : E3</v>
      </c>
      <c r="J6696">
        <v>65</v>
      </c>
      <c r="K6696" s="422">
        <v>2023</v>
      </c>
      <c r="L6696">
        <v>25649.313999999998</v>
      </c>
      <c r="M6696" t="s">
        <v>630</v>
      </c>
      <c r="N6696" s="131">
        <v>60126</v>
      </c>
      <c r="O6696" s="436">
        <f t="shared" si="289"/>
        <v>3908190</v>
      </c>
      <c r="P6696" s="89" t="s">
        <v>5837</v>
      </c>
      <c r="Q6696" s="422" t="s">
        <v>47</v>
      </c>
      <c r="R6696" s="422" t="s">
        <v>1869</v>
      </c>
      <c r="S6696" s="422" t="s">
        <v>1861</v>
      </c>
      <c r="U6696" s="422" t="s">
        <v>1953</v>
      </c>
      <c r="V6696" s="422" t="s">
        <v>2813</v>
      </c>
    </row>
    <row r="6697" spans="1:22" ht="15.75" thickBot="1" x14ac:dyDescent="0.3">
      <c r="A6697" s="422" t="s">
        <v>4580</v>
      </c>
      <c r="B6697" s="422" t="s">
        <v>4580</v>
      </c>
      <c r="C6697" s="424" t="str">
        <f t="shared" si="288"/>
        <v>Ribatejana Verde - Transportes Rodoviários de Passageiros, Unipessoal LDA.</v>
      </c>
      <c r="D6697" t="s">
        <v>629</v>
      </c>
      <c r="F6697" s="432" t="s">
        <v>620</v>
      </c>
      <c r="G6697" s="89">
        <v>2008</v>
      </c>
      <c r="H6697" s="313" t="s">
        <v>731</v>
      </c>
      <c r="I6697" s="311" t="str">
        <f t="shared" si="286"/>
        <v>Pesado de Passageiros M3:  : Gasóleo : E4</v>
      </c>
      <c r="J6697">
        <v>75</v>
      </c>
      <c r="K6697" s="422">
        <v>2023</v>
      </c>
      <c r="L6697">
        <v>21102.94</v>
      </c>
      <c r="M6697" t="s">
        <v>630</v>
      </c>
      <c r="N6697" s="131">
        <v>59740</v>
      </c>
      <c r="O6697" s="436">
        <f t="shared" si="289"/>
        <v>4480500</v>
      </c>
      <c r="P6697" s="89" t="s">
        <v>5838</v>
      </c>
      <c r="Q6697" s="422" t="s">
        <v>47</v>
      </c>
      <c r="R6697" s="422" t="s">
        <v>1869</v>
      </c>
      <c r="S6697" s="422" t="s">
        <v>1861</v>
      </c>
      <c r="U6697" s="422" t="s">
        <v>1953</v>
      </c>
      <c r="V6697" s="422" t="s">
        <v>2813</v>
      </c>
    </row>
    <row r="6698" spans="1:22" ht="15.75" thickBot="1" x14ac:dyDescent="0.3">
      <c r="A6698" s="422" t="s">
        <v>4580</v>
      </c>
      <c r="B6698" s="422" t="s">
        <v>4580</v>
      </c>
      <c r="C6698" s="424" t="str">
        <f t="shared" si="288"/>
        <v>Ribatejana Verde - Transportes Rodoviários de Passageiros, Unipessoal LDA.</v>
      </c>
      <c r="D6698" t="s">
        <v>629</v>
      </c>
      <c r="F6698" s="432" t="s">
        <v>620</v>
      </c>
      <c r="G6698" s="89">
        <v>2012</v>
      </c>
      <c r="H6698" s="313" t="s">
        <v>734</v>
      </c>
      <c r="I6698" s="311" t="str">
        <f t="shared" si="286"/>
        <v>Pesado de Passageiros M3:  : Gasóleo : E5</v>
      </c>
      <c r="J6698">
        <v>53</v>
      </c>
      <c r="K6698" s="422">
        <v>2023</v>
      </c>
      <c r="L6698">
        <v>20230.189999999999</v>
      </c>
      <c r="M6698" t="s">
        <v>630</v>
      </c>
      <c r="N6698" s="131">
        <v>59272</v>
      </c>
      <c r="O6698" s="436">
        <f t="shared" si="289"/>
        <v>3141416</v>
      </c>
      <c r="P6698" s="89" t="s">
        <v>5839</v>
      </c>
      <c r="Q6698" s="422" t="s">
        <v>47</v>
      </c>
      <c r="R6698" s="422" t="s">
        <v>1869</v>
      </c>
      <c r="S6698" s="422" t="s">
        <v>1861</v>
      </c>
      <c r="U6698" s="422" t="s">
        <v>1953</v>
      </c>
      <c r="V6698" s="422" t="s">
        <v>2813</v>
      </c>
    </row>
    <row r="6699" spans="1:22" ht="15.75" thickBot="1" x14ac:dyDescent="0.3">
      <c r="A6699" s="422" t="s">
        <v>4580</v>
      </c>
      <c r="B6699" s="422" t="s">
        <v>4580</v>
      </c>
      <c r="C6699" s="424" t="str">
        <f t="shared" si="288"/>
        <v>Ribatejana Verde - Transportes Rodoviários de Passageiros, Unipessoal LDA.</v>
      </c>
      <c r="D6699" t="s">
        <v>629</v>
      </c>
      <c r="F6699" s="432" t="s">
        <v>620</v>
      </c>
      <c r="G6699" s="89">
        <v>2005</v>
      </c>
      <c r="H6699" s="313" t="s">
        <v>732</v>
      </c>
      <c r="I6699" s="311" t="str">
        <f t="shared" si="286"/>
        <v>Pesado de Passageiros M3:  : Gasóleo : E3</v>
      </c>
      <c r="J6699">
        <v>69</v>
      </c>
      <c r="K6699" s="422">
        <v>2023</v>
      </c>
      <c r="L6699">
        <v>25683.526000000002</v>
      </c>
      <c r="M6699" t="s">
        <v>630</v>
      </c>
      <c r="N6699" s="131">
        <v>56894</v>
      </c>
      <c r="O6699" s="436">
        <f t="shared" si="289"/>
        <v>3925686</v>
      </c>
      <c r="P6699" s="89" t="s">
        <v>5840</v>
      </c>
      <c r="Q6699" s="422" t="s">
        <v>47</v>
      </c>
      <c r="R6699" s="422" t="s">
        <v>1869</v>
      </c>
      <c r="S6699" s="422" t="s">
        <v>1861</v>
      </c>
      <c r="U6699" s="422" t="s">
        <v>1953</v>
      </c>
      <c r="V6699" s="422" t="s">
        <v>2813</v>
      </c>
    </row>
    <row r="6700" spans="1:22" ht="15.75" thickBot="1" x14ac:dyDescent="0.3">
      <c r="A6700" s="422" t="s">
        <v>4580</v>
      </c>
      <c r="B6700" s="422" t="s">
        <v>4580</v>
      </c>
      <c r="C6700" s="424" t="str">
        <f t="shared" si="288"/>
        <v>Ribatejana Verde - Transportes Rodoviários de Passageiros, Unipessoal LDA.</v>
      </c>
      <c r="D6700" t="s">
        <v>629</v>
      </c>
      <c r="F6700" s="432" t="s">
        <v>620</v>
      </c>
      <c r="G6700" s="89">
        <v>2004</v>
      </c>
      <c r="H6700" s="313" t="s">
        <v>732</v>
      </c>
      <c r="I6700" s="311" t="str">
        <f t="shared" si="286"/>
        <v>Pesado de Passageiros M3:  : Gasóleo : E3</v>
      </c>
      <c r="J6700">
        <v>69</v>
      </c>
      <c r="K6700" s="422">
        <v>2023</v>
      </c>
      <c r="L6700">
        <v>23914.629000000001</v>
      </c>
      <c r="M6700" t="s">
        <v>630</v>
      </c>
      <c r="N6700" s="131">
        <v>55366</v>
      </c>
      <c r="O6700" s="436">
        <f t="shared" si="289"/>
        <v>3820254</v>
      </c>
      <c r="P6700" s="89" t="s">
        <v>5841</v>
      </c>
      <c r="Q6700" s="422" t="s">
        <v>47</v>
      </c>
      <c r="R6700" s="422" t="s">
        <v>1869</v>
      </c>
      <c r="S6700" s="422" t="s">
        <v>1861</v>
      </c>
      <c r="U6700" s="422" t="s">
        <v>1953</v>
      </c>
      <c r="V6700" s="422" t="s">
        <v>2813</v>
      </c>
    </row>
    <row r="6701" spans="1:22" ht="15.75" thickBot="1" x14ac:dyDescent="0.3">
      <c r="A6701" s="422" t="s">
        <v>4580</v>
      </c>
      <c r="B6701" s="422" t="s">
        <v>4580</v>
      </c>
      <c r="C6701" s="424" t="str">
        <f t="shared" si="288"/>
        <v>Ribatejana Verde - Transportes Rodoviários de Passageiros, Unipessoal LDA.</v>
      </c>
      <c r="D6701" t="s">
        <v>629</v>
      </c>
      <c r="F6701" s="432" t="s">
        <v>620</v>
      </c>
      <c r="G6701" s="89">
        <v>2004</v>
      </c>
      <c r="H6701" s="313" t="s">
        <v>732</v>
      </c>
      <c r="I6701" s="311" t="str">
        <f t="shared" si="286"/>
        <v>Pesado de Passageiros M3:  : Gasóleo : E3</v>
      </c>
      <c r="J6701">
        <v>88</v>
      </c>
      <c r="K6701" s="422">
        <v>2023</v>
      </c>
      <c r="L6701">
        <v>21249.57</v>
      </c>
      <c r="M6701" t="s">
        <v>630</v>
      </c>
      <c r="N6701" s="131">
        <v>53718</v>
      </c>
      <c r="O6701" s="436">
        <f t="shared" si="289"/>
        <v>4727184</v>
      </c>
      <c r="P6701" s="89" t="s">
        <v>5842</v>
      </c>
      <c r="Q6701" s="422" t="s">
        <v>47</v>
      </c>
      <c r="R6701" s="422" t="s">
        <v>1869</v>
      </c>
      <c r="S6701" s="422" t="s">
        <v>1861</v>
      </c>
      <c r="U6701" s="422" t="s">
        <v>1953</v>
      </c>
      <c r="V6701" s="422" t="s">
        <v>2813</v>
      </c>
    </row>
    <row r="6702" spans="1:22" ht="15.75" thickBot="1" x14ac:dyDescent="0.3">
      <c r="A6702" s="422" t="s">
        <v>4580</v>
      </c>
      <c r="B6702" s="422" t="s">
        <v>4580</v>
      </c>
      <c r="C6702" s="424" t="str">
        <f t="shared" si="288"/>
        <v>Ribatejana Verde - Transportes Rodoviários de Passageiros, Unipessoal LDA.</v>
      </c>
      <c r="D6702" t="s">
        <v>629</v>
      </c>
      <c r="F6702" s="432" t="s">
        <v>620</v>
      </c>
      <c r="G6702" s="89">
        <v>2002</v>
      </c>
      <c r="H6702" s="313" t="s">
        <v>732</v>
      </c>
      <c r="I6702" s="311" t="str">
        <f t="shared" si="286"/>
        <v>Pesado de Passageiros M3:  : Gasóleo : E3</v>
      </c>
      <c r="J6702">
        <v>97</v>
      </c>
      <c r="K6702" s="422">
        <v>2023</v>
      </c>
      <c r="L6702">
        <v>20976.98</v>
      </c>
      <c r="M6702" t="s">
        <v>630</v>
      </c>
      <c r="N6702" s="131">
        <v>53563</v>
      </c>
      <c r="O6702" s="436">
        <f t="shared" si="289"/>
        <v>5195611</v>
      </c>
      <c r="P6702" s="89" t="s">
        <v>5843</v>
      </c>
      <c r="Q6702" s="422" t="s">
        <v>47</v>
      </c>
      <c r="R6702" s="422" t="s">
        <v>1869</v>
      </c>
      <c r="S6702" s="422" t="s">
        <v>1861</v>
      </c>
      <c r="U6702" s="422" t="s">
        <v>1953</v>
      </c>
      <c r="V6702" s="422" t="s">
        <v>2813</v>
      </c>
    </row>
    <row r="6703" spans="1:22" ht="15.75" thickBot="1" x14ac:dyDescent="0.3">
      <c r="A6703" s="422" t="s">
        <v>4580</v>
      </c>
      <c r="B6703" s="422" t="s">
        <v>4580</v>
      </c>
      <c r="C6703" s="424" t="str">
        <f t="shared" si="288"/>
        <v>Ribatejana Verde - Transportes Rodoviários de Passageiros, Unipessoal LDA.</v>
      </c>
      <c r="D6703" t="s">
        <v>629</v>
      </c>
      <c r="F6703" s="432" t="s">
        <v>620</v>
      </c>
      <c r="G6703" s="89">
        <v>2004</v>
      </c>
      <c r="H6703" s="313" t="s">
        <v>732</v>
      </c>
      <c r="I6703" s="311" t="str">
        <f t="shared" si="286"/>
        <v>Pesado de Passageiros M3:  : Gasóleo : E3</v>
      </c>
      <c r="J6703">
        <v>85</v>
      </c>
      <c r="K6703" s="422">
        <v>2023</v>
      </c>
      <c r="L6703">
        <v>19016.260999999999</v>
      </c>
      <c r="M6703" t="s">
        <v>630</v>
      </c>
      <c r="N6703" s="131">
        <v>53561</v>
      </c>
      <c r="O6703" s="436">
        <f t="shared" si="289"/>
        <v>4552685</v>
      </c>
      <c r="P6703" s="89" t="s">
        <v>5844</v>
      </c>
      <c r="Q6703" s="422" t="s">
        <v>47</v>
      </c>
      <c r="R6703" s="422" t="s">
        <v>1869</v>
      </c>
      <c r="S6703" s="422" t="s">
        <v>1861</v>
      </c>
      <c r="U6703" s="422" t="s">
        <v>1953</v>
      </c>
      <c r="V6703" s="422" t="s">
        <v>2813</v>
      </c>
    </row>
    <row r="6704" spans="1:22" ht="15.75" thickBot="1" x14ac:dyDescent="0.3">
      <c r="A6704" s="422" t="s">
        <v>4580</v>
      </c>
      <c r="B6704" s="422" t="s">
        <v>4580</v>
      </c>
      <c r="C6704" s="424" t="str">
        <f t="shared" si="288"/>
        <v>Ribatejana Verde - Transportes Rodoviários de Passageiros, Unipessoal LDA.</v>
      </c>
      <c r="D6704" t="s">
        <v>629</v>
      </c>
      <c r="F6704" s="432" t="s">
        <v>620</v>
      </c>
      <c r="G6704" s="89">
        <v>2004</v>
      </c>
      <c r="H6704" s="313" t="s">
        <v>732</v>
      </c>
      <c r="I6704" s="311" t="str">
        <f t="shared" si="286"/>
        <v>Pesado de Passageiros M3:  : Gasóleo : E3</v>
      </c>
      <c r="J6704">
        <v>49</v>
      </c>
      <c r="K6704" s="422">
        <v>2023</v>
      </c>
      <c r="L6704">
        <v>18287.84</v>
      </c>
      <c r="M6704" t="s">
        <v>630</v>
      </c>
      <c r="N6704" s="131">
        <v>53497</v>
      </c>
      <c r="O6704" s="436">
        <f t="shared" si="289"/>
        <v>2621353</v>
      </c>
      <c r="P6704" s="89" t="s">
        <v>5845</v>
      </c>
      <c r="Q6704" s="422" t="s">
        <v>47</v>
      </c>
      <c r="R6704" s="422" t="s">
        <v>1869</v>
      </c>
      <c r="S6704" s="422" t="s">
        <v>1861</v>
      </c>
      <c r="U6704" s="422" t="s">
        <v>1953</v>
      </c>
      <c r="V6704" s="422" t="s">
        <v>2813</v>
      </c>
    </row>
    <row r="6705" spans="1:22" ht="15.75" thickBot="1" x14ac:dyDescent="0.3">
      <c r="A6705" s="422" t="s">
        <v>4580</v>
      </c>
      <c r="B6705" s="422" t="s">
        <v>4580</v>
      </c>
      <c r="C6705" s="424" t="str">
        <f t="shared" si="288"/>
        <v>Ribatejana Verde - Transportes Rodoviários de Passageiros, Unipessoal LDA.</v>
      </c>
      <c r="D6705" t="s">
        <v>629</v>
      </c>
      <c r="F6705" s="432" t="s">
        <v>620</v>
      </c>
      <c r="G6705" s="89">
        <v>2007</v>
      </c>
      <c r="H6705" s="313" t="s">
        <v>731</v>
      </c>
      <c r="I6705" s="311" t="str">
        <f t="shared" si="286"/>
        <v>Pesado de Passageiros M3:  : Gasóleo : E4</v>
      </c>
      <c r="J6705">
        <v>83</v>
      </c>
      <c r="K6705" s="422">
        <v>2023</v>
      </c>
      <c r="L6705">
        <v>16850.310000000001</v>
      </c>
      <c r="M6705" t="s">
        <v>630</v>
      </c>
      <c r="N6705" s="131">
        <v>52943</v>
      </c>
      <c r="O6705" s="436">
        <f t="shared" si="289"/>
        <v>4394269</v>
      </c>
      <c r="P6705" s="89" t="s">
        <v>5846</v>
      </c>
      <c r="Q6705" s="422" t="s">
        <v>47</v>
      </c>
      <c r="R6705" s="422" t="s">
        <v>1869</v>
      </c>
      <c r="S6705" s="422" t="s">
        <v>1861</v>
      </c>
      <c r="U6705" s="422" t="s">
        <v>1953</v>
      </c>
      <c r="V6705" s="422" t="s">
        <v>2813</v>
      </c>
    </row>
    <row r="6706" spans="1:22" ht="15.75" thickBot="1" x14ac:dyDescent="0.3">
      <c r="A6706" s="422" t="s">
        <v>4580</v>
      </c>
      <c r="B6706" s="422" t="s">
        <v>4580</v>
      </c>
      <c r="C6706" s="424" t="str">
        <f t="shared" si="288"/>
        <v>Ribatejana Verde - Transportes Rodoviários de Passageiros, Unipessoal LDA.</v>
      </c>
      <c r="D6706" t="s">
        <v>629</v>
      </c>
      <c r="F6706" s="432" t="s">
        <v>620</v>
      </c>
      <c r="G6706" s="89">
        <v>2008</v>
      </c>
      <c r="H6706" s="313" t="s">
        <v>731</v>
      </c>
      <c r="I6706" s="311" t="str">
        <f t="shared" si="286"/>
        <v>Pesado de Passageiros M3:  : Gasóleo : E4</v>
      </c>
      <c r="J6706">
        <v>75</v>
      </c>
      <c r="K6706" s="422">
        <v>2023</v>
      </c>
      <c r="L6706">
        <v>16764.780999999999</v>
      </c>
      <c r="M6706" t="s">
        <v>630</v>
      </c>
      <c r="N6706" s="131">
        <v>51622</v>
      </c>
      <c r="O6706" s="436">
        <f t="shared" si="289"/>
        <v>3871650</v>
      </c>
      <c r="P6706" s="89" t="s">
        <v>5847</v>
      </c>
      <c r="Q6706" s="422" t="s">
        <v>47</v>
      </c>
      <c r="R6706" s="422" t="s">
        <v>1869</v>
      </c>
      <c r="S6706" s="422" t="s">
        <v>1861</v>
      </c>
      <c r="U6706" s="422" t="s">
        <v>1953</v>
      </c>
      <c r="V6706" s="422" t="s">
        <v>2813</v>
      </c>
    </row>
    <row r="6707" spans="1:22" ht="15.75" thickBot="1" x14ac:dyDescent="0.3">
      <c r="A6707" s="422" t="s">
        <v>4580</v>
      </c>
      <c r="B6707" s="422" t="s">
        <v>4580</v>
      </c>
      <c r="C6707" s="424" t="str">
        <f t="shared" si="288"/>
        <v>Ribatejana Verde - Transportes Rodoviários de Passageiros, Unipessoal LDA.</v>
      </c>
      <c r="D6707" t="s">
        <v>629</v>
      </c>
      <c r="F6707" s="432" t="s">
        <v>620</v>
      </c>
      <c r="G6707" s="89">
        <v>2005</v>
      </c>
      <c r="H6707" s="313" t="s">
        <v>733</v>
      </c>
      <c r="I6707" s="311" t="str">
        <f t="shared" si="286"/>
        <v>Pesado de Passageiros M3:  : Gasóleo : E6</v>
      </c>
      <c r="J6707">
        <v>53</v>
      </c>
      <c r="K6707" s="422">
        <v>2023</v>
      </c>
      <c r="L6707">
        <v>21343.094000000001</v>
      </c>
      <c r="M6707" t="s">
        <v>630</v>
      </c>
      <c r="N6707" s="131">
        <v>50917</v>
      </c>
      <c r="O6707" s="436">
        <f t="shared" si="289"/>
        <v>2698601</v>
      </c>
      <c r="P6707" s="89" t="s">
        <v>5848</v>
      </c>
      <c r="Q6707" s="422" t="s">
        <v>47</v>
      </c>
      <c r="R6707" s="422" t="s">
        <v>1869</v>
      </c>
      <c r="S6707" s="422" t="s">
        <v>1861</v>
      </c>
      <c r="U6707" s="422" t="s">
        <v>1953</v>
      </c>
      <c r="V6707" s="422" t="s">
        <v>2813</v>
      </c>
    </row>
    <row r="6708" spans="1:22" ht="15.75" thickBot="1" x14ac:dyDescent="0.3">
      <c r="A6708" s="422" t="s">
        <v>4580</v>
      </c>
      <c r="B6708" s="422" t="s">
        <v>4580</v>
      </c>
      <c r="C6708" s="424" t="str">
        <f t="shared" si="288"/>
        <v>Ribatejana Verde - Transportes Rodoviários de Passageiros, Unipessoal LDA.</v>
      </c>
      <c r="D6708" t="s">
        <v>629</v>
      </c>
      <c r="F6708" s="432" t="s">
        <v>620</v>
      </c>
      <c r="G6708" s="89">
        <v>2007</v>
      </c>
      <c r="H6708" s="313" t="s">
        <v>731</v>
      </c>
      <c r="I6708" s="311" t="str">
        <f t="shared" si="286"/>
        <v>Pesado de Passageiros M3:  : Gasóleo : E4</v>
      </c>
      <c r="J6708">
        <v>83</v>
      </c>
      <c r="K6708" s="422">
        <v>2023</v>
      </c>
      <c r="L6708">
        <v>15531.519</v>
      </c>
      <c r="M6708" t="s">
        <v>630</v>
      </c>
      <c r="N6708" s="131">
        <v>50752</v>
      </c>
      <c r="O6708" s="436">
        <f t="shared" si="289"/>
        <v>4212416</v>
      </c>
      <c r="P6708" s="89" t="s">
        <v>5849</v>
      </c>
      <c r="Q6708" s="422" t="s">
        <v>47</v>
      </c>
      <c r="R6708" s="422" t="s">
        <v>1869</v>
      </c>
      <c r="S6708" s="422" t="s">
        <v>1861</v>
      </c>
      <c r="U6708" s="422" t="s">
        <v>1953</v>
      </c>
      <c r="V6708" s="422" t="s">
        <v>2813</v>
      </c>
    </row>
    <row r="6709" spans="1:22" ht="15.75" thickBot="1" x14ac:dyDescent="0.3">
      <c r="A6709" s="422" t="s">
        <v>4580</v>
      </c>
      <c r="B6709" s="422" t="s">
        <v>4580</v>
      </c>
      <c r="C6709" s="424" t="str">
        <f t="shared" si="288"/>
        <v>Ribatejana Verde - Transportes Rodoviários de Passageiros, Unipessoal LDA.</v>
      </c>
      <c r="D6709" t="s">
        <v>629</v>
      </c>
      <c r="F6709" s="432" t="s">
        <v>620</v>
      </c>
      <c r="G6709" s="89">
        <v>2010</v>
      </c>
      <c r="H6709" s="313" t="s">
        <v>734</v>
      </c>
      <c r="I6709" s="311" t="str">
        <f t="shared" si="286"/>
        <v>Pesado de Passageiros M3:  : Gasóleo : E5</v>
      </c>
      <c r="J6709">
        <v>25</v>
      </c>
      <c r="K6709" s="422">
        <v>2023</v>
      </c>
      <c r="L6709">
        <v>17102.735000000001</v>
      </c>
      <c r="M6709" t="s">
        <v>630</v>
      </c>
      <c r="N6709" s="131">
        <v>50734</v>
      </c>
      <c r="O6709" s="436">
        <f t="shared" si="289"/>
        <v>1268350</v>
      </c>
      <c r="P6709" s="89" t="s">
        <v>5850</v>
      </c>
      <c r="Q6709" s="422" t="s">
        <v>47</v>
      </c>
      <c r="R6709" s="422" t="s">
        <v>1869</v>
      </c>
      <c r="S6709" s="422" t="s">
        <v>1861</v>
      </c>
      <c r="U6709" s="422" t="s">
        <v>1953</v>
      </c>
      <c r="V6709" s="422" t="s">
        <v>2813</v>
      </c>
    </row>
    <row r="6710" spans="1:22" ht="15.75" thickBot="1" x14ac:dyDescent="0.3">
      <c r="A6710" s="422" t="s">
        <v>4580</v>
      </c>
      <c r="B6710" s="422" t="s">
        <v>4580</v>
      </c>
      <c r="C6710" s="424" t="str">
        <f t="shared" si="288"/>
        <v>Ribatejana Verde - Transportes Rodoviários de Passageiros, Unipessoal LDA.</v>
      </c>
      <c r="D6710" t="s">
        <v>629</v>
      </c>
      <c r="F6710" s="432" t="s">
        <v>620</v>
      </c>
      <c r="G6710" s="89">
        <v>2009</v>
      </c>
      <c r="H6710" s="313" t="s">
        <v>734</v>
      </c>
      <c r="I6710" s="311" t="str">
        <f t="shared" si="286"/>
        <v>Pesado de Passageiros M3:  : Gasóleo : E5</v>
      </c>
      <c r="J6710">
        <v>53</v>
      </c>
      <c r="K6710" s="422">
        <v>2023</v>
      </c>
      <c r="L6710">
        <v>18151.651999999998</v>
      </c>
      <c r="M6710" t="s">
        <v>630</v>
      </c>
      <c r="N6710" s="131">
        <v>49724</v>
      </c>
      <c r="O6710" s="436">
        <f t="shared" si="289"/>
        <v>2635372</v>
      </c>
      <c r="P6710" s="89" t="s">
        <v>5851</v>
      </c>
      <c r="Q6710" s="422" t="s">
        <v>47</v>
      </c>
      <c r="R6710" s="422" t="s">
        <v>1869</v>
      </c>
      <c r="S6710" s="422" t="s">
        <v>1861</v>
      </c>
      <c r="U6710" s="422" t="s">
        <v>1953</v>
      </c>
      <c r="V6710" s="422" t="s">
        <v>2813</v>
      </c>
    </row>
    <row r="6711" spans="1:22" ht="15.75" thickBot="1" x14ac:dyDescent="0.3">
      <c r="A6711" s="422" t="s">
        <v>4580</v>
      </c>
      <c r="B6711" s="422" t="s">
        <v>4580</v>
      </c>
      <c r="C6711" s="424" t="str">
        <f t="shared" si="288"/>
        <v>Ribatejana Verde - Transportes Rodoviários de Passageiros, Unipessoal LDA.</v>
      </c>
      <c r="D6711" t="s">
        <v>629</v>
      </c>
      <c r="F6711" s="432" t="s">
        <v>620</v>
      </c>
      <c r="G6711" s="89">
        <v>2005</v>
      </c>
      <c r="H6711" s="313" t="s">
        <v>732</v>
      </c>
      <c r="I6711" s="311" t="str">
        <f t="shared" si="286"/>
        <v>Pesado de Passageiros M3:  : Gasóleo : E3</v>
      </c>
      <c r="J6711">
        <v>75</v>
      </c>
      <c r="K6711" s="422">
        <v>2023</v>
      </c>
      <c r="L6711">
        <v>15578.34</v>
      </c>
      <c r="M6711" t="s">
        <v>630</v>
      </c>
      <c r="N6711" s="131">
        <v>49653</v>
      </c>
      <c r="O6711" s="436">
        <f t="shared" si="289"/>
        <v>3723975</v>
      </c>
      <c r="P6711" s="89" t="s">
        <v>5852</v>
      </c>
      <c r="Q6711" s="422" t="s">
        <v>47</v>
      </c>
      <c r="R6711" s="422" t="s">
        <v>1869</v>
      </c>
      <c r="S6711" s="422" t="s">
        <v>1861</v>
      </c>
      <c r="U6711" s="422" t="s">
        <v>1953</v>
      </c>
      <c r="V6711" s="422" t="s">
        <v>2813</v>
      </c>
    </row>
    <row r="6712" spans="1:22" ht="15.75" thickBot="1" x14ac:dyDescent="0.3">
      <c r="A6712" s="422" t="s">
        <v>4580</v>
      </c>
      <c r="B6712" s="422" t="s">
        <v>4580</v>
      </c>
      <c r="C6712" s="424" t="str">
        <f t="shared" si="288"/>
        <v>Ribatejana Verde - Transportes Rodoviários de Passageiros, Unipessoal LDA.</v>
      </c>
      <c r="D6712" t="s">
        <v>629</v>
      </c>
      <c r="F6712" s="432" t="s">
        <v>620</v>
      </c>
      <c r="G6712" s="89">
        <v>2007</v>
      </c>
      <c r="H6712" s="313" t="s">
        <v>731</v>
      </c>
      <c r="I6712" s="311" t="str">
        <f t="shared" si="286"/>
        <v>Pesado de Passageiros M3:  : Gasóleo : E4</v>
      </c>
      <c r="J6712">
        <v>83</v>
      </c>
      <c r="K6712" s="422">
        <v>2023</v>
      </c>
      <c r="L6712">
        <v>14793.27</v>
      </c>
      <c r="M6712" t="s">
        <v>630</v>
      </c>
      <c r="N6712" s="131">
        <v>47993</v>
      </c>
      <c r="O6712" s="436">
        <f t="shared" si="289"/>
        <v>3983419</v>
      </c>
      <c r="P6712" s="89" t="s">
        <v>5853</v>
      </c>
      <c r="Q6712" s="422" t="s">
        <v>47</v>
      </c>
      <c r="R6712" s="422" t="s">
        <v>1869</v>
      </c>
      <c r="S6712" s="422" t="s">
        <v>1861</v>
      </c>
      <c r="U6712" s="422" t="s">
        <v>1953</v>
      </c>
      <c r="V6712" s="422" t="s">
        <v>2813</v>
      </c>
    </row>
    <row r="6713" spans="1:22" ht="15.75" thickBot="1" x14ac:dyDescent="0.3">
      <c r="A6713" s="422" t="s">
        <v>4580</v>
      </c>
      <c r="B6713" s="422" t="s">
        <v>4580</v>
      </c>
      <c r="C6713" s="424" t="str">
        <f t="shared" si="288"/>
        <v>Ribatejana Verde - Transportes Rodoviários de Passageiros, Unipessoal LDA.</v>
      </c>
      <c r="D6713" t="s">
        <v>629</v>
      </c>
      <c r="F6713" s="432" t="s">
        <v>620</v>
      </c>
      <c r="G6713" s="89">
        <v>2005</v>
      </c>
      <c r="H6713" s="313" t="s">
        <v>732</v>
      </c>
      <c r="I6713" s="311" t="str">
        <f t="shared" si="286"/>
        <v>Pesado de Passageiros M3:  : Gasóleo : E3</v>
      </c>
      <c r="J6713">
        <v>69</v>
      </c>
      <c r="K6713" s="422">
        <v>2023</v>
      </c>
      <c r="L6713">
        <v>21724.59</v>
      </c>
      <c r="M6713" t="s">
        <v>630</v>
      </c>
      <c r="N6713" s="131">
        <v>47737</v>
      </c>
      <c r="O6713" s="436">
        <f t="shared" si="289"/>
        <v>3293853</v>
      </c>
      <c r="P6713" s="89" t="s">
        <v>5854</v>
      </c>
      <c r="Q6713" s="422" t="s">
        <v>47</v>
      </c>
      <c r="R6713" s="422" t="s">
        <v>1869</v>
      </c>
      <c r="S6713" s="422" t="s">
        <v>1861</v>
      </c>
      <c r="U6713" s="422" t="s">
        <v>1953</v>
      </c>
      <c r="V6713" s="422" t="s">
        <v>2813</v>
      </c>
    </row>
    <row r="6714" spans="1:22" ht="15.75" thickBot="1" x14ac:dyDescent="0.3">
      <c r="A6714" s="422" t="s">
        <v>4580</v>
      </c>
      <c r="B6714" s="422" t="s">
        <v>4580</v>
      </c>
      <c r="C6714" s="424" t="str">
        <f t="shared" si="288"/>
        <v>Ribatejana Verde - Transportes Rodoviários de Passageiros, Unipessoal LDA.</v>
      </c>
      <c r="D6714" t="s">
        <v>629</v>
      </c>
      <c r="F6714" s="432" t="s">
        <v>620</v>
      </c>
      <c r="G6714" s="89">
        <v>2009</v>
      </c>
      <c r="H6714" s="313" t="s">
        <v>734</v>
      </c>
      <c r="I6714" s="311" t="str">
        <f t="shared" si="286"/>
        <v>Pesado de Passageiros M3:  : Gasóleo : E5</v>
      </c>
      <c r="J6714">
        <v>53</v>
      </c>
      <c r="K6714" s="422">
        <v>2023</v>
      </c>
      <c r="L6714">
        <v>15370.26</v>
      </c>
      <c r="M6714" t="s">
        <v>630</v>
      </c>
      <c r="N6714" s="131">
        <v>43873</v>
      </c>
      <c r="O6714" s="436">
        <f t="shared" si="289"/>
        <v>2325269</v>
      </c>
      <c r="P6714" s="89" t="s">
        <v>5855</v>
      </c>
      <c r="Q6714" s="422" t="s">
        <v>47</v>
      </c>
      <c r="R6714" s="422" t="s">
        <v>1869</v>
      </c>
      <c r="S6714" s="422" t="s">
        <v>1861</v>
      </c>
      <c r="U6714" s="422" t="s">
        <v>1953</v>
      </c>
      <c r="V6714" s="422" t="s">
        <v>2813</v>
      </c>
    </row>
    <row r="6715" spans="1:22" ht="15.75" thickBot="1" x14ac:dyDescent="0.3">
      <c r="A6715" s="422" t="s">
        <v>4580</v>
      </c>
      <c r="B6715" s="422" t="s">
        <v>4580</v>
      </c>
      <c r="C6715" s="424" t="str">
        <f t="shared" si="288"/>
        <v>Ribatejana Verde - Transportes Rodoviários de Passageiros, Unipessoal LDA.</v>
      </c>
      <c r="D6715" t="s">
        <v>629</v>
      </c>
      <c r="F6715" s="432" t="s">
        <v>620</v>
      </c>
      <c r="G6715" s="89">
        <v>2008</v>
      </c>
      <c r="H6715" s="313" t="s">
        <v>731</v>
      </c>
      <c r="I6715" s="311" t="str">
        <f t="shared" si="286"/>
        <v>Pesado de Passageiros M3:  : Gasóleo : E4</v>
      </c>
      <c r="J6715">
        <v>82</v>
      </c>
      <c r="K6715" s="422">
        <v>2023</v>
      </c>
      <c r="L6715">
        <v>15377.38</v>
      </c>
      <c r="M6715" t="s">
        <v>630</v>
      </c>
      <c r="N6715" s="131">
        <v>43850</v>
      </c>
      <c r="O6715" s="436">
        <f t="shared" si="289"/>
        <v>3595700</v>
      </c>
      <c r="P6715" s="89" t="s">
        <v>5856</v>
      </c>
      <c r="Q6715" s="422" t="s">
        <v>47</v>
      </c>
      <c r="R6715" s="422" t="s">
        <v>1869</v>
      </c>
      <c r="S6715" s="422" t="s">
        <v>1861</v>
      </c>
      <c r="U6715" s="422" t="s">
        <v>1953</v>
      </c>
      <c r="V6715" s="422" t="s">
        <v>2813</v>
      </c>
    </row>
    <row r="6716" spans="1:22" ht="15.75" thickBot="1" x14ac:dyDescent="0.3">
      <c r="A6716" s="422" t="s">
        <v>4580</v>
      </c>
      <c r="B6716" s="422" t="s">
        <v>4580</v>
      </c>
      <c r="C6716" s="424" t="str">
        <f t="shared" si="288"/>
        <v>Ribatejana Verde - Transportes Rodoviários de Passageiros, Unipessoal LDA.</v>
      </c>
      <c r="D6716" t="s">
        <v>629</v>
      </c>
      <c r="F6716" s="432" t="s">
        <v>620</v>
      </c>
      <c r="G6716" s="89">
        <v>1997</v>
      </c>
      <c r="H6716" s="313" t="s">
        <v>736</v>
      </c>
      <c r="I6716" s="311" t="str">
        <f t="shared" si="286"/>
        <v>Pesado de Passageiros M3:  : Gasóleo : E1</v>
      </c>
      <c r="J6716">
        <v>96</v>
      </c>
      <c r="K6716" s="422">
        <v>2023</v>
      </c>
      <c r="L6716">
        <v>16917.05</v>
      </c>
      <c r="M6716" t="s">
        <v>630</v>
      </c>
      <c r="N6716" s="131">
        <v>42823</v>
      </c>
      <c r="O6716" s="436">
        <f t="shared" si="289"/>
        <v>4111008</v>
      </c>
      <c r="P6716" s="89" t="s">
        <v>5857</v>
      </c>
      <c r="Q6716" s="422" t="s">
        <v>47</v>
      </c>
      <c r="R6716" s="422" t="s">
        <v>1869</v>
      </c>
      <c r="S6716" s="422" t="s">
        <v>1861</v>
      </c>
      <c r="U6716" s="422" t="s">
        <v>1953</v>
      </c>
      <c r="V6716" s="422" t="s">
        <v>2813</v>
      </c>
    </row>
    <row r="6717" spans="1:22" ht="15.75" thickBot="1" x14ac:dyDescent="0.3">
      <c r="A6717" s="422" t="s">
        <v>4580</v>
      </c>
      <c r="B6717" s="422" t="s">
        <v>4580</v>
      </c>
      <c r="C6717" s="424" t="str">
        <f t="shared" si="288"/>
        <v>Ribatejana Verde - Transportes Rodoviários de Passageiros, Unipessoal LDA.</v>
      </c>
      <c r="D6717" t="s">
        <v>629</v>
      </c>
      <c r="F6717" s="432" t="s">
        <v>620</v>
      </c>
      <c r="G6717" s="89">
        <v>2007</v>
      </c>
      <c r="H6717" s="313" t="s">
        <v>731</v>
      </c>
      <c r="I6717" s="311" t="str">
        <f t="shared" si="286"/>
        <v>Pesado de Passageiros M3:  : Gasóleo : E4</v>
      </c>
      <c r="J6717">
        <v>55</v>
      </c>
      <c r="K6717" s="422">
        <v>2023</v>
      </c>
      <c r="L6717">
        <v>14468.528</v>
      </c>
      <c r="M6717" t="s">
        <v>630</v>
      </c>
      <c r="N6717" s="131">
        <v>42453</v>
      </c>
      <c r="O6717" s="436">
        <f t="shared" si="289"/>
        <v>2334915</v>
      </c>
      <c r="P6717" s="89" t="s">
        <v>5858</v>
      </c>
      <c r="Q6717" s="422" t="s">
        <v>47</v>
      </c>
      <c r="R6717" s="422" t="s">
        <v>1869</v>
      </c>
      <c r="S6717" s="422" t="s">
        <v>1861</v>
      </c>
      <c r="U6717" s="422" t="s">
        <v>1953</v>
      </c>
      <c r="V6717" s="422" t="s">
        <v>2813</v>
      </c>
    </row>
    <row r="6718" spans="1:22" ht="15.75" thickBot="1" x14ac:dyDescent="0.3">
      <c r="A6718" s="422" t="s">
        <v>4580</v>
      </c>
      <c r="B6718" s="422" t="s">
        <v>4580</v>
      </c>
      <c r="C6718" s="424" t="str">
        <f t="shared" si="288"/>
        <v>Ribatejana Verde - Transportes Rodoviários de Passageiros, Unipessoal LDA.</v>
      </c>
      <c r="D6718" t="s">
        <v>629</v>
      </c>
      <c r="F6718" s="432" t="s">
        <v>620</v>
      </c>
      <c r="G6718" s="89">
        <v>2002</v>
      </c>
      <c r="H6718" s="313" t="s">
        <v>732</v>
      </c>
      <c r="I6718" s="311" t="str">
        <f t="shared" si="286"/>
        <v>Pesado de Passageiros M3:  : Gasóleo : E3</v>
      </c>
      <c r="J6718">
        <v>57</v>
      </c>
      <c r="K6718" s="422">
        <v>2023</v>
      </c>
      <c r="L6718">
        <v>14203.32</v>
      </c>
      <c r="M6718" t="s">
        <v>630</v>
      </c>
      <c r="N6718" s="131">
        <v>39830</v>
      </c>
      <c r="O6718" s="436">
        <f t="shared" si="289"/>
        <v>2270310</v>
      </c>
      <c r="P6718" s="89" t="s">
        <v>5859</v>
      </c>
      <c r="Q6718" s="422" t="s">
        <v>47</v>
      </c>
      <c r="R6718" s="422" t="s">
        <v>1869</v>
      </c>
      <c r="S6718" s="422" t="s">
        <v>1861</v>
      </c>
      <c r="U6718" s="422" t="s">
        <v>1953</v>
      </c>
      <c r="V6718" s="422" t="s">
        <v>2813</v>
      </c>
    </row>
    <row r="6719" spans="1:22" ht="15.75" thickBot="1" x14ac:dyDescent="0.3">
      <c r="A6719" s="422" t="s">
        <v>4580</v>
      </c>
      <c r="B6719" s="422" t="s">
        <v>4580</v>
      </c>
      <c r="C6719" s="424" t="str">
        <f t="shared" si="288"/>
        <v>Ribatejana Verde - Transportes Rodoviários de Passageiros, Unipessoal LDA.</v>
      </c>
      <c r="D6719" t="s">
        <v>629</v>
      </c>
      <c r="F6719" s="432" t="s">
        <v>620</v>
      </c>
      <c r="G6719" s="89">
        <v>2005</v>
      </c>
      <c r="H6719" s="313" t="s">
        <v>732</v>
      </c>
      <c r="I6719" s="311" t="str">
        <f t="shared" si="286"/>
        <v>Pesado de Passageiros M3:  : Gasóleo : E3</v>
      </c>
      <c r="J6719">
        <v>86</v>
      </c>
      <c r="K6719" s="422">
        <v>2023</v>
      </c>
      <c r="L6719">
        <v>14577.772999999999</v>
      </c>
      <c r="M6719" t="s">
        <v>630</v>
      </c>
      <c r="N6719" s="131">
        <v>39424</v>
      </c>
      <c r="O6719" s="436">
        <f t="shared" si="289"/>
        <v>3390464</v>
      </c>
      <c r="P6719" s="89" t="s">
        <v>5860</v>
      </c>
      <c r="Q6719" s="422" t="s">
        <v>47</v>
      </c>
      <c r="R6719" s="422" t="s">
        <v>1869</v>
      </c>
      <c r="S6719" s="422" t="s">
        <v>1861</v>
      </c>
      <c r="U6719" s="422" t="s">
        <v>1953</v>
      </c>
      <c r="V6719" s="422" t="s">
        <v>2813</v>
      </c>
    </row>
    <row r="6720" spans="1:22" ht="15.75" thickBot="1" x14ac:dyDescent="0.3">
      <c r="A6720" s="422" t="s">
        <v>4580</v>
      </c>
      <c r="B6720" s="422" t="s">
        <v>4580</v>
      </c>
      <c r="C6720" s="424" t="str">
        <f t="shared" si="288"/>
        <v>Ribatejana Verde - Transportes Rodoviários de Passageiros, Unipessoal LDA.</v>
      </c>
      <c r="D6720" t="s">
        <v>629</v>
      </c>
      <c r="F6720" s="432" t="s">
        <v>620</v>
      </c>
      <c r="G6720" s="89">
        <v>2004</v>
      </c>
      <c r="H6720" s="313" t="s">
        <v>732</v>
      </c>
      <c r="I6720" s="311" t="str">
        <f t="shared" si="286"/>
        <v>Pesado de Passageiros M3:  : Gasóleo : E3</v>
      </c>
      <c r="J6720">
        <v>53</v>
      </c>
      <c r="K6720" s="422">
        <v>2023</v>
      </c>
      <c r="L6720">
        <v>13718.277</v>
      </c>
      <c r="M6720" t="s">
        <v>630</v>
      </c>
      <c r="N6720" s="131">
        <v>39282</v>
      </c>
      <c r="O6720" s="436">
        <f t="shared" si="289"/>
        <v>2081946</v>
      </c>
      <c r="P6720" s="89" t="s">
        <v>5861</v>
      </c>
      <c r="Q6720" s="422" t="s">
        <v>47</v>
      </c>
      <c r="R6720" s="422" t="s">
        <v>1869</v>
      </c>
      <c r="S6720" s="422" t="s">
        <v>1861</v>
      </c>
      <c r="U6720" s="422" t="s">
        <v>1953</v>
      </c>
      <c r="V6720" s="422" t="s">
        <v>2813</v>
      </c>
    </row>
    <row r="6721" spans="1:22" ht="15.75" thickBot="1" x14ac:dyDescent="0.3">
      <c r="A6721" s="422" t="s">
        <v>4580</v>
      </c>
      <c r="B6721" s="422" t="s">
        <v>4580</v>
      </c>
      <c r="C6721" s="424" t="str">
        <f t="shared" si="288"/>
        <v>Ribatejana Verde - Transportes Rodoviários de Passageiros, Unipessoal LDA.</v>
      </c>
      <c r="D6721" t="s">
        <v>629</v>
      </c>
      <c r="F6721" s="432" t="s">
        <v>620</v>
      </c>
      <c r="G6721" s="89">
        <v>2005</v>
      </c>
      <c r="H6721" s="313" t="s">
        <v>732</v>
      </c>
      <c r="I6721" s="311" t="str">
        <f t="shared" si="286"/>
        <v>Pesado de Passageiros M3:  : Gasóleo : E3</v>
      </c>
      <c r="J6721">
        <v>86</v>
      </c>
      <c r="K6721" s="422">
        <v>2023</v>
      </c>
      <c r="L6721">
        <v>13858.825999999999</v>
      </c>
      <c r="M6721" t="s">
        <v>630</v>
      </c>
      <c r="N6721" s="131">
        <v>38947</v>
      </c>
      <c r="O6721" s="436">
        <f t="shared" si="289"/>
        <v>3349442</v>
      </c>
      <c r="P6721" s="89" t="s">
        <v>5862</v>
      </c>
      <c r="Q6721" s="422" t="s">
        <v>47</v>
      </c>
      <c r="R6721" s="422" t="s">
        <v>1869</v>
      </c>
      <c r="S6721" s="422" t="s">
        <v>1861</v>
      </c>
      <c r="U6721" s="422" t="s">
        <v>1953</v>
      </c>
      <c r="V6721" s="422" t="s">
        <v>2813</v>
      </c>
    </row>
    <row r="6722" spans="1:22" ht="15.75" thickBot="1" x14ac:dyDescent="0.3">
      <c r="A6722" s="422" t="s">
        <v>4580</v>
      </c>
      <c r="B6722" s="422" t="s">
        <v>4580</v>
      </c>
      <c r="C6722" s="424" t="str">
        <f t="shared" si="288"/>
        <v>Ribatejana Verde - Transportes Rodoviários de Passageiros, Unipessoal LDA.</v>
      </c>
      <c r="D6722" t="s">
        <v>629</v>
      </c>
      <c r="F6722" s="432" t="s">
        <v>620</v>
      </c>
      <c r="G6722" s="89">
        <v>2007</v>
      </c>
      <c r="H6722" s="313" t="s">
        <v>731</v>
      </c>
      <c r="I6722" s="311" t="str">
        <f t="shared" si="286"/>
        <v>Pesado de Passageiros M3:  : Gasóleo : E4</v>
      </c>
      <c r="J6722">
        <v>83</v>
      </c>
      <c r="K6722" s="422">
        <v>2023</v>
      </c>
      <c r="L6722">
        <v>11793.19</v>
      </c>
      <c r="M6722" t="s">
        <v>630</v>
      </c>
      <c r="N6722" s="131">
        <v>38341</v>
      </c>
      <c r="O6722" s="436">
        <f t="shared" si="289"/>
        <v>3182303</v>
      </c>
      <c r="P6722" s="89" t="s">
        <v>5863</v>
      </c>
      <c r="Q6722" s="422" t="s">
        <v>47</v>
      </c>
      <c r="R6722" s="422" t="s">
        <v>1869</v>
      </c>
      <c r="S6722" s="422" t="s">
        <v>1861</v>
      </c>
      <c r="U6722" s="422" t="s">
        <v>1953</v>
      </c>
      <c r="V6722" s="422" t="s">
        <v>2813</v>
      </c>
    </row>
    <row r="6723" spans="1:22" ht="15.75" thickBot="1" x14ac:dyDescent="0.3">
      <c r="A6723" s="422" t="s">
        <v>4580</v>
      </c>
      <c r="B6723" s="422" t="s">
        <v>4580</v>
      </c>
      <c r="C6723" s="424" t="str">
        <f t="shared" si="288"/>
        <v>Ribatejana Verde - Transportes Rodoviários de Passageiros, Unipessoal LDA.</v>
      </c>
      <c r="D6723" t="s">
        <v>629</v>
      </c>
      <c r="F6723" s="432" t="s">
        <v>620</v>
      </c>
      <c r="G6723" s="89">
        <v>2005</v>
      </c>
      <c r="H6723" s="313" t="s">
        <v>732</v>
      </c>
      <c r="I6723" s="311" t="str">
        <f t="shared" si="286"/>
        <v>Pesado de Passageiros M3:  : Gasóleo : E3</v>
      </c>
      <c r="J6723">
        <v>69</v>
      </c>
      <c r="K6723" s="422">
        <v>2023</v>
      </c>
      <c r="L6723">
        <v>16718.71</v>
      </c>
      <c r="M6723" t="s">
        <v>630</v>
      </c>
      <c r="N6723" s="131">
        <v>37857</v>
      </c>
      <c r="O6723" s="436">
        <f t="shared" si="289"/>
        <v>2612133</v>
      </c>
      <c r="P6723" s="89" t="s">
        <v>5864</v>
      </c>
      <c r="Q6723" s="422" t="s">
        <v>47</v>
      </c>
      <c r="R6723" s="422" t="s">
        <v>1869</v>
      </c>
      <c r="S6723" s="422" t="s">
        <v>1861</v>
      </c>
      <c r="U6723" s="422" t="s">
        <v>1953</v>
      </c>
      <c r="V6723" s="422" t="s">
        <v>2813</v>
      </c>
    </row>
    <row r="6724" spans="1:22" ht="15.75" thickBot="1" x14ac:dyDescent="0.3">
      <c r="A6724" s="422" t="s">
        <v>4580</v>
      </c>
      <c r="B6724" s="422" t="s">
        <v>4580</v>
      </c>
      <c r="C6724" s="424" t="str">
        <f t="shared" si="288"/>
        <v>Ribatejana Verde - Transportes Rodoviários de Passageiros, Unipessoal LDA.</v>
      </c>
      <c r="D6724" t="s">
        <v>629</v>
      </c>
      <c r="F6724" s="432" t="s">
        <v>620</v>
      </c>
      <c r="G6724" s="89">
        <v>2005</v>
      </c>
      <c r="H6724" s="313" t="s">
        <v>733</v>
      </c>
      <c r="I6724" s="311" t="str">
        <f t="shared" si="286"/>
        <v>Pesado de Passageiros M3:  : Gasóleo : E6</v>
      </c>
      <c r="J6724">
        <v>55</v>
      </c>
      <c r="K6724" s="422">
        <v>2023</v>
      </c>
      <c r="L6724">
        <v>14766.531999999999</v>
      </c>
      <c r="M6724" t="s">
        <v>630</v>
      </c>
      <c r="N6724" s="131">
        <v>36602</v>
      </c>
      <c r="O6724" s="436">
        <f t="shared" si="289"/>
        <v>2013110</v>
      </c>
      <c r="P6724" s="89" t="s">
        <v>5865</v>
      </c>
      <c r="Q6724" s="422" t="s">
        <v>47</v>
      </c>
      <c r="R6724" s="422" t="s">
        <v>1869</v>
      </c>
      <c r="S6724" s="422" t="s">
        <v>1861</v>
      </c>
      <c r="U6724" s="422" t="s">
        <v>1953</v>
      </c>
      <c r="V6724" s="422" t="s">
        <v>2813</v>
      </c>
    </row>
    <row r="6725" spans="1:22" ht="15.75" thickBot="1" x14ac:dyDescent="0.3">
      <c r="A6725" s="422" t="s">
        <v>4580</v>
      </c>
      <c r="B6725" s="422" t="s">
        <v>4580</v>
      </c>
      <c r="C6725" s="424" t="str">
        <f t="shared" si="288"/>
        <v>Ribatejana Verde - Transportes Rodoviários de Passageiros, Unipessoal LDA.</v>
      </c>
      <c r="D6725" t="s">
        <v>629</v>
      </c>
      <c r="F6725" s="432" t="s">
        <v>620</v>
      </c>
      <c r="G6725" s="89">
        <v>2005</v>
      </c>
      <c r="H6725" s="313" t="s">
        <v>732</v>
      </c>
      <c r="I6725" s="311" t="str">
        <f t="shared" si="286"/>
        <v>Pesado de Passageiros M3:  : Gasóleo : E3</v>
      </c>
      <c r="J6725">
        <v>66</v>
      </c>
      <c r="K6725" s="422">
        <v>2023</v>
      </c>
      <c r="L6725">
        <v>13331.699000000001</v>
      </c>
      <c r="M6725" t="s">
        <v>630</v>
      </c>
      <c r="N6725" s="131">
        <v>36547</v>
      </c>
      <c r="O6725" s="436">
        <f t="shared" si="289"/>
        <v>2412102</v>
      </c>
      <c r="P6725" s="89" t="s">
        <v>5866</v>
      </c>
      <c r="Q6725" s="422" t="s">
        <v>47</v>
      </c>
      <c r="R6725" s="422" t="s">
        <v>1869</v>
      </c>
      <c r="S6725" s="422" t="s">
        <v>1861</v>
      </c>
      <c r="U6725" s="422" t="s">
        <v>1953</v>
      </c>
      <c r="V6725" s="422" t="s">
        <v>2813</v>
      </c>
    </row>
    <row r="6726" spans="1:22" ht="15.75" thickBot="1" x14ac:dyDescent="0.3">
      <c r="A6726" s="422" t="s">
        <v>4580</v>
      </c>
      <c r="B6726" s="422" t="s">
        <v>4580</v>
      </c>
      <c r="C6726" s="424" t="str">
        <f t="shared" si="288"/>
        <v>Ribatejana Verde - Transportes Rodoviários de Passageiros, Unipessoal LDA.</v>
      </c>
      <c r="D6726" t="s">
        <v>629</v>
      </c>
      <c r="F6726" s="432" t="s">
        <v>620</v>
      </c>
      <c r="G6726" s="89">
        <v>2005</v>
      </c>
      <c r="H6726" s="313" t="s">
        <v>732</v>
      </c>
      <c r="I6726" s="311" t="str">
        <f t="shared" si="286"/>
        <v>Pesado de Passageiros M3:  : Gasóleo : E3</v>
      </c>
      <c r="J6726">
        <v>69</v>
      </c>
      <c r="K6726" s="422">
        <v>2023</v>
      </c>
      <c r="L6726">
        <v>16411.22</v>
      </c>
      <c r="M6726" t="s">
        <v>630</v>
      </c>
      <c r="N6726" s="131">
        <v>36344</v>
      </c>
      <c r="O6726" s="436">
        <f t="shared" si="289"/>
        <v>2507736</v>
      </c>
      <c r="P6726" s="89" t="s">
        <v>5867</v>
      </c>
      <c r="Q6726" s="422" t="s">
        <v>47</v>
      </c>
      <c r="R6726" s="422" t="s">
        <v>1869</v>
      </c>
      <c r="S6726" s="422" t="s">
        <v>1861</v>
      </c>
      <c r="U6726" s="422" t="s">
        <v>1953</v>
      </c>
      <c r="V6726" s="422" t="s">
        <v>2813</v>
      </c>
    </row>
    <row r="6727" spans="1:22" ht="15.75" thickBot="1" x14ac:dyDescent="0.3">
      <c r="A6727" s="422" t="s">
        <v>4580</v>
      </c>
      <c r="B6727" s="422" t="s">
        <v>4580</v>
      </c>
      <c r="C6727" s="424" t="str">
        <f t="shared" si="288"/>
        <v>Ribatejana Verde - Transportes Rodoviários de Passageiros, Unipessoal LDA.</v>
      </c>
      <c r="D6727" t="s">
        <v>629</v>
      </c>
      <c r="F6727" s="432" t="s">
        <v>620</v>
      </c>
      <c r="G6727" s="89">
        <v>1999</v>
      </c>
      <c r="H6727" s="313" t="s">
        <v>736</v>
      </c>
      <c r="I6727" s="311" t="str">
        <f t="shared" si="286"/>
        <v>Pesado de Passageiros M3:  : Gasóleo : E1</v>
      </c>
      <c r="J6727">
        <v>83</v>
      </c>
      <c r="K6727" s="422">
        <v>2023</v>
      </c>
      <c r="L6727">
        <v>11253.41</v>
      </c>
      <c r="M6727" t="s">
        <v>630</v>
      </c>
      <c r="N6727" s="131">
        <v>35350</v>
      </c>
      <c r="O6727" s="436">
        <f t="shared" si="289"/>
        <v>2934050</v>
      </c>
      <c r="P6727" s="89" t="s">
        <v>5868</v>
      </c>
      <c r="Q6727" s="422" t="s">
        <v>47</v>
      </c>
      <c r="R6727" s="422" t="s">
        <v>1869</v>
      </c>
      <c r="S6727" s="422" t="s">
        <v>1861</v>
      </c>
      <c r="U6727" s="422" t="s">
        <v>1953</v>
      </c>
      <c r="V6727" s="422" t="s">
        <v>2813</v>
      </c>
    </row>
    <row r="6728" spans="1:22" ht="15.75" thickBot="1" x14ac:dyDescent="0.3">
      <c r="A6728" s="422" t="s">
        <v>4580</v>
      </c>
      <c r="B6728" s="422" t="s">
        <v>4580</v>
      </c>
      <c r="C6728" s="424" t="str">
        <f t="shared" si="288"/>
        <v>Ribatejana Verde - Transportes Rodoviários de Passageiros, Unipessoal LDA.</v>
      </c>
      <c r="D6728" t="s">
        <v>629</v>
      </c>
      <c r="F6728" s="432" t="s">
        <v>620</v>
      </c>
      <c r="G6728" s="89">
        <v>2000</v>
      </c>
      <c r="H6728" s="313" t="s">
        <v>732</v>
      </c>
      <c r="I6728" s="311" t="str">
        <f t="shared" si="286"/>
        <v>Pesado de Passageiros M3:  : Gasóleo : E3</v>
      </c>
      <c r="J6728">
        <v>60</v>
      </c>
      <c r="K6728" s="422">
        <v>2023</v>
      </c>
      <c r="L6728">
        <v>12806.54</v>
      </c>
      <c r="M6728" t="s">
        <v>630</v>
      </c>
      <c r="N6728" s="131">
        <v>35195</v>
      </c>
      <c r="O6728" s="436">
        <f t="shared" si="289"/>
        <v>2111700</v>
      </c>
      <c r="P6728" s="89" t="s">
        <v>5869</v>
      </c>
      <c r="Q6728" s="422" t="s">
        <v>47</v>
      </c>
      <c r="R6728" s="422" t="s">
        <v>1869</v>
      </c>
      <c r="S6728" s="422" t="s">
        <v>1861</v>
      </c>
      <c r="U6728" s="422" t="s">
        <v>1953</v>
      </c>
      <c r="V6728" s="422" t="s">
        <v>2813</v>
      </c>
    </row>
    <row r="6729" spans="1:22" ht="15.75" thickBot="1" x14ac:dyDescent="0.3">
      <c r="A6729" s="422" t="s">
        <v>4580</v>
      </c>
      <c r="B6729" s="422" t="s">
        <v>4580</v>
      </c>
      <c r="C6729" s="424" t="str">
        <f t="shared" si="288"/>
        <v>Ribatejana Verde - Transportes Rodoviários de Passageiros, Unipessoal LDA.</v>
      </c>
      <c r="D6729" t="s">
        <v>629</v>
      </c>
      <c r="F6729" s="432" t="s">
        <v>620</v>
      </c>
      <c r="G6729" s="89">
        <v>2001</v>
      </c>
      <c r="H6729" s="313" t="s">
        <v>732</v>
      </c>
      <c r="I6729" s="311" t="str">
        <f t="shared" si="286"/>
        <v>Pesado de Passageiros M3:  : Gasóleo : E3</v>
      </c>
      <c r="J6729">
        <v>55</v>
      </c>
      <c r="K6729" s="422">
        <v>2023</v>
      </c>
      <c r="L6729">
        <v>12052.58</v>
      </c>
      <c r="M6729" t="s">
        <v>630</v>
      </c>
      <c r="N6729" s="131">
        <v>32852</v>
      </c>
      <c r="O6729" s="436">
        <f t="shared" si="289"/>
        <v>1806860</v>
      </c>
      <c r="P6729" s="89" t="s">
        <v>5870</v>
      </c>
      <c r="Q6729" s="422" t="s">
        <v>47</v>
      </c>
      <c r="R6729" s="422" t="s">
        <v>1869</v>
      </c>
      <c r="S6729" s="422" t="s">
        <v>1861</v>
      </c>
      <c r="U6729" s="422" t="s">
        <v>1953</v>
      </c>
      <c r="V6729" s="422" t="s">
        <v>2813</v>
      </c>
    </row>
    <row r="6730" spans="1:22" ht="15.75" thickBot="1" x14ac:dyDescent="0.3">
      <c r="A6730" s="422" t="s">
        <v>4580</v>
      </c>
      <c r="B6730" s="422" t="s">
        <v>4580</v>
      </c>
      <c r="C6730" s="424" t="str">
        <f t="shared" si="288"/>
        <v>Ribatejana Verde - Transportes Rodoviários de Passageiros, Unipessoal LDA.</v>
      </c>
      <c r="D6730" t="s">
        <v>629</v>
      </c>
      <c r="F6730" s="432" t="s">
        <v>620</v>
      </c>
      <c r="G6730" s="89">
        <v>2008</v>
      </c>
      <c r="H6730" s="313" t="s">
        <v>731</v>
      </c>
      <c r="I6730" s="311" t="str">
        <f t="shared" si="286"/>
        <v>Pesado de Passageiros M3:  : Gasóleo : E4</v>
      </c>
      <c r="J6730">
        <v>82</v>
      </c>
      <c r="K6730" s="422">
        <v>2023</v>
      </c>
      <c r="L6730">
        <v>13395.15</v>
      </c>
      <c r="M6730" t="s">
        <v>630</v>
      </c>
      <c r="N6730" s="131">
        <v>32101</v>
      </c>
      <c r="O6730" s="436">
        <f t="shared" si="289"/>
        <v>2632282</v>
      </c>
      <c r="P6730" s="89" t="s">
        <v>5871</v>
      </c>
      <c r="Q6730" s="422" t="s">
        <v>47</v>
      </c>
      <c r="R6730" s="422" t="s">
        <v>1869</v>
      </c>
      <c r="S6730" s="422" t="s">
        <v>1861</v>
      </c>
      <c r="U6730" s="422" t="s">
        <v>1953</v>
      </c>
      <c r="V6730" s="422" t="s">
        <v>2813</v>
      </c>
    </row>
    <row r="6731" spans="1:22" ht="15.75" thickBot="1" x14ac:dyDescent="0.3">
      <c r="A6731" s="422" t="s">
        <v>4580</v>
      </c>
      <c r="B6731" s="422" t="s">
        <v>4580</v>
      </c>
      <c r="C6731" s="424" t="str">
        <f t="shared" si="288"/>
        <v>Ribatejana Verde - Transportes Rodoviários de Passageiros, Unipessoal LDA.</v>
      </c>
      <c r="D6731" t="s">
        <v>629</v>
      </c>
      <c r="F6731" s="432" t="s">
        <v>620</v>
      </c>
      <c r="G6731" s="89">
        <v>1998</v>
      </c>
      <c r="H6731" s="313" t="s">
        <v>736</v>
      </c>
      <c r="I6731" s="311" t="str">
        <f t="shared" si="286"/>
        <v>Pesado de Passageiros M3:  : Gasóleo : E1</v>
      </c>
      <c r="J6731">
        <v>70</v>
      </c>
      <c r="K6731" s="422">
        <v>2023</v>
      </c>
      <c r="L6731">
        <v>10977.25</v>
      </c>
      <c r="M6731" t="s">
        <v>630</v>
      </c>
      <c r="N6731" s="131">
        <v>30988</v>
      </c>
      <c r="O6731" s="436">
        <f t="shared" si="289"/>
        <v>2169160</v>
      </c>
      <c r="P6731" s="89" t="s">
        <v>5872</v>
      </c>
      <c r="Q6731" s="422" t="s">
        <v>47</v>
      </c>
      <c r="R6731" s="422" t="s">
        <v>1869</v>
      </c>
      <c r="S6731" s="422" t="s">
        <v>1861</v>
      </c>
      <c r="U6731" s="422" t="s">
        <v>1953</v>
      </c>
      <c r="V6731" s="422" t="s">
        <v>2813</v>
      </c>
    </row>
    <row r="6732" spans="1:22" ht="15.75" thickBot="1" x14ac:dyDescent="0.3">
      <c r="A6732" s="422" t="s">
        <v>4580</v>
      </c>
      <c r="B6732" s="422" t="s">
        <v>4580</v>
      </c>
      <c r="C6732" s="424" t="str">
        <f t="shared" si="288"/>
        <v>Ribatejana Verde - Transportes Rodoviários de Passageiros, Unipessoal LDA.</v>
      </c>
      <c r="D6732" t="s">
        <v>629</v>
      </c>
      <c r="F6732" s="432" t="s">
        <v>620</v>
      </c>
      <c r="G6732" s="89">
        <v>2006</v>
      </c>
      <c r="H6732" s="313" t="s">
        <v>731</v>
      </c>
      <c r="I6732" s="311" t="str">
        <f t="shared" si="286"/>
        <v>Pesado de Passageiros M3:  : Gasóleo : E4</v>
      </c>
      <c r="J6732">
        <v>94</v>
      </c>
      <c r="K6732" s="422">
        <v>2023</v>
      </c>
      <c r="L6732">
        <v>11698.04</v>
      </c>
      <c r="M6732" t="s">
        <v>630</v>
      </c>
      <c r="N6732" s="131">
        <v>30822</v>
      </c>
      <c r="O6732" s="436">
        <f t="shared" si="289"/>
        <v>2897268</v>
      </c>
      <c r="P6732" s="89" t="s">
        <v>5873</v>
      </c>
      <c r="Q6732" s="422" t="s">
        <v>47</v>
      </c>
      <c r="R6732" s="422" t="s">
        <v>1869</v>
      </c>
      <c r="S6732" s="422" t="s">
        <v>1861</v>
      </c>
      <c r="U6732" s="422" t="s">
        <v>1953</v>
      </c>
      <c r="V6732" s="422" t="s">
        <v>2813</v>
      </c>
    </row>
    <row r="6733" spans="1:22" ht="15.75" thickBot="1" x14ac:dyDescent="0.3">
      <c r="A6733" s="422" t="s">
        <v>4580</v>
      </c>
      <c r="B6733" s="422" t="s">
        <v>4580</v>
      </c>
      <c r="C6733" s="424" t="str">
        <f t="shared" si="288"/>
        <v>Ribatejana Verde - Transportes Rodoviários de Passageiros, Unipessoal LDA.</v>
      </c>
      <c r="D6733" t="s">
        <v>629</v>
      </c>
      <c r="F6733" s="432" t="s">
        <v>620</v>
      </c>
      <c r="G6733" s="89">
        <v>2008</v>
      </c>
      <c r="H6733" s="313" t="s">
        <v>731</v>
      </c>
      <c r="I6733" s="311" t="str">
        <f t="shared" si="286"/>
        <v>Pesado de Passageiros M3:  : Gasóleo : E4</v>
      </c>
      <c r="J6733">
        <v>57</v>
      </c>
      <c r="K6733" s="422">
        <v>2023</v>
      </c>
      <c r="L6733">
        <v>10216.212</v>
      </c>
      <c r="M6733" t="s">
        <v>630</v>
      </c>
      <c r="N6733" s="131">
        <v>30566</v>
      </c>
      <c r="O6733" s="436">
        <f t="shared" si="289"/>
        <v>1742262</v>
      </c>
      <c r="P6733" s="89" t="s">
        <v>5874</v>
      </c>
      <c r="Q6733" s="422" t="s">
        <v>47</v>
      </c>
      <c r="R6733" s="422" t="s">
        <v>1869</v>
      </c>
      <c r="S6733" s="422" t="s">
        <v>1861</v>
      </c>
      <c r="U6733" s="422" t="s">
        <v>1953</v>
      </c>
      <c r="V6733" s="422" t="s">
        <v>2813</v>
      </c>
    </row>
    <row r="6734" spans="1:22" ht="15.75" thickBot="1" x14ac:dyDescent="0.3">
      <c r="A6734" s="422" t="s">
        <v>4580</v>
      </c>
      <c r="B6734" s="422" t="s">
        <v>4580</v>
      </c>
      <c r="C6734" s="424" t="str">
        <f t="shared" si="288"/>
        <v>Ribatejana Verde - Transportes Rodoviários de Passageiros, Unipessoal LDA.</v>
      </c>
      <c r="D6734" t="s">
        <v>629</v>
      </c>
      <c r="F6734" s="432" t="s">
        <v>620</v>
      </c>
      <c r="G6734" s="89">
        <v>2004</v>
      </c>
      <c r="H6734" s="313" t="s">
        <v>732</v>
      </c>
      <c r="I6734" s="311" t="str">
        <f t="shared" si="286"/>
        <v>Pesado de Passageiros M3:  : Gasóleo : E3</v>
      </c>
      <c r="J6734">
        <v>55</v>
      </c>
      <c r="K6734" s="422">
        <v>2023</v>
      </c>
      <c r="L6734">
        <v>11094.271000000001</v>
      </c>
      <c r="M6734" t="s">
        <v>630</v>
      </c>
      <c r="N6734" s="131">
        <v>29249</v>
      </c>
      <c r="O6734" s="436">
        <f t="shared" si="289"/>
        <v>1608695</v>
      </c>
      <c r="P6734" s="89" t="s">
        <v>5875</v>
      </c>
      <c r="Q6734" s="422" t="s">
        <v>47</v>
      </c>
      <c r="R6734" s="422" t="s">
        <v>1869</v>
      </c>
      <c r="S6734" s="422" t="s">
        <v>1861</v>
      </c>
      <c r="U6734" s="422" t="s">
        <v>1953</v>
      </c>
      <c r="V6734" s="422" t="s">
        <v>2813</v>
      </c>
    </row>
    <row r="6735" spans="1:22" ht="15.75" thickBot="1" x14ac:dyDescent="0.3">
      <c r="A6735" s="422" t="s">
        <v>4580</v>
      </c>
      <c r="B6735" s="422" t="s">
        <v>4580</v>
      </c>
      <c r="C6735" s="424" t="str">
        <f t="shared" si="288"/>
        <v>Ribatejana Verde - Transportes Rodoviários de Passageiros, Unipessoal LDA.</v>
      </c>
      <c r="D6735" t="s">
        <v>629</v>
      </c>
      <c r="F6735" s="432" t="s">
        <v>620</v>
      </c>
      <c r="G6735" s="89">
        <v>2005</v>
      </c>
      <c r="H6735" s="313" t="s">
        <v>732</v>
      </c>
      <c r="I6735" s="311" t="str">
        <f t="shared" si="286"/>
        <v>Pesado de Passageiros M3:  : Gasóleo : E3</v>
      </c>
      <c r="J6735">
        <v>57</v>
      </c>
      <c r="K6735" s="422">
        <v>2023</v>
      </c>
      <c r="L6735">
        <v>9341.43</v>
      </c>
      <c r="M6735" t="s">
        <v>630</v>
      </c>
      <c r="N6735" s="131">
        <v>26353</v>
      </c>
      <c r="O6735" s="436">
        <f t="shared" si="289"/>
        <v>1502121</v>
      </c>
      <c r="P6735" s="89" t="s">
        <v>5876</v>
      </c>
      <c r="Q6735" s="422" t="s">
        <v>47</v>
      </c>
      <c r="R6735" s="422" t="s">
        <v>1869</v>
      </c>
      <c r="S6735" s="422" t="s">
        <v>1861</v>
      </c>
      <c r="U6735" s="422" t="s">
        <v>1953</v>
      </c>
      <c r="V6735" s="422" t="s">
        <v>2813</v>
      </c>
    </row>
    <row r="6736" spans="1:22" ht="15.75" thickBot="1" x14ac:dyDescent="0.3">
      <c r="A6736" s="422" t="s">
        <v>4580</v>
      </c>
      <c r="B6736" s="422" t="s">
        <v>4580</v>
      </c>
      <c r="C6736" s="424" t="str">
        <f t="shared" si="288"/>
        <v>Ribatejana Verde - Transportes Rodoviários de Passageiros, Unipessoal LDA.</v>
      </c>
      <c r="D6736" t="s">
        <v>629</v>
      </c>
      <c r="F6736" s="432" t="s">
        <v>620</v>
      </c>
      <c r="G6736" s="89">
        <v>2009</v>
      </c>
      <c r="H6736" s="313" t="s">
        <v>731</v>
      </c>
      <c r="I6736" s="311" t="str">
        <f t="shared" si="286"/>
        <v>Pesado de Passageiros M3:  : Gasóleo : E4</v>
      </c>
      <c r="J6736">
        <v>25</v>
      </c>
      <c r="K6736" s="422">
        <v>2023</v>
      </c>
      <c r="L6736">
        <v>4352.5200000000004</v>
      </c>
      <c r="M6736" t="s">
        <v>630</v>
      </c>
      <c r="N6736" s="131">
        <v>24934</v>
      </c>
      <c r="O6736" s="436">
        <f t="shared" si="289"/>
        <v>623350</v>
      </c>
      <c r="P6736" s="89" t="s">
        <v>5877</v>
      </c>
      <c r="Q6736" s="422" t="s">
        <v>47</v>
      </c>
      <c r="R6736" s="422" t="s">
        <v>1869</v>
      </c>
      <c r="S6736" s="422" t="s">
        <v>1861</v>
      </c>
      <c r="U6736" s="422" t="s">
        <v>1953</v>
      </c>
      <c r="V6736" s="422" t="s">
        <v>2813</v>
      </c>
    </row>
    <row r="6737" spans="1:22" ht="15.75" thickBot="1" x14ac:dyDescent="0.3">
      <c r="A6737" s="422" t="s">
        <v>4580</v>
      </c>
      <c r="B6737" s="422" t="s">
        <v>4580</v>
      </c>
      <c r="C6737" s="424" t="str">
        <f t="shared" si="288"/>
        <v>Ribatejana Verde - Transportes Rodoviários de Passageiros, Unipessoal LDA.</v>
      </c>
      <c r="D6737" t="s">
        <v>629</v>
      </c>
      <c r="F6737" s="432" t="s">
        <v>620</v>
      </c>
      <c r="G6737" s="89">
        <v>2003</v>
      </c>
      <c r="H6737" s="313" t="s">
        <v>732</v>
      </c>
      <c r="I6737" s="311" t="str">
        <f t="shared" si="286"/>
        <v>Pesado de Passageiros M3:  : Gasóleo : E3</v>
      </c>
      <c r="J6737">
        <v>55</v>
      </c>
      <c r="K6737" s="422">
        <v>2023</v>
      </c>
      <c r="L6737">
        <v>10877.3</v>
      </c>
      <c r="M6737" t="s">
        <v>630</v>
      </c>
      <c r="N6737" s="131">
        <v>24695</v>
      </c>
      <c r="O6737" s="436">
        <f t="shared" si="289"/>
        <v>1358225</v>
      </c>
      <c r="P6737" s="89" t="s">
        <v>5878</v>
      </c>
      <c r="Q6737" s="422" t="s">
        <v>47</v>
      </c>
      <c r="R6737" s="422" t="s">
        <v>1869</v>
      </c>
      <c r="S6737" s="422" t="s">
        <v>1861</v>
      </c>
      <c r="U6737" s="422" t="s">
        <v>1953</v>
      </c>
      <c r="V6737" s="422" t="s">
        <v>2813</v>
      </c>
    </row>
    <row r="6738" spans="1:22" ht="15.75" thickBot="1" x14ac:dyDescent="0.3">
      <c r="A6738" s="422" t="s">
        <v>4580</v>
      </c>
      <c r="B6738" s="422" t="s">
        <v>4580</v>
      </c>
      <c r="C6738" s="424" t="str">
        <f t="shared" si="288"/>
        <v>Ribatejana Verde - Transportes Rodoviários de Passageiros, Unipessoal LDA.</v>
      </c>
      <c r="D6738" t="s">
        <v>629</v>
      </c>
      <c r="F6738" s="432" t="s">
        <v>620</v>
      </c>
      <c r="G6738" s="89">
        <v>2008</v>
      </c>
      <c r="H6738" s="313" t="s">
        <v>731</v>
      </c>
      <c r="I6738" s="311" t="str">
        <f t="shared" si="286"/>
        <v>Pesado de Passageiros M3:  : Gasóleo : E4</v>
      </c>
      <c r="J6738">
        <v>25</v>
      </c>
      <c r="K6738" s="422">
        <v>2023</v>
      </c>
      <c r="L6738">
        <v>4039.78</v>
      </c>
      <c r="M6738" t="s">
        <v>630</v>
      </c>
      <c r="N6738" s="131">
        <v>24397</v>
      </c>
      <c r="O6738" s="436">
        <f t="shared" si="289"/>
        <v>609925</v>
      </c>
      <c r="P6738" s="89" t="s">
        <v>5879</v>
      </c>
      <c r="Q6738" s="422" t="s">
        <v>47</v>
      </c>
      <c r="R6738" s="422" t="s">
        <v>1869</v>
      </c>
      <c r="S6738" s="422" t="s">
        <v>1861</v>
      </c>
      <c r="U6738" s="422" t="s">
        <v>1953</v>
      </c>
      <c r="V6738" s="422" t="s">
        <v>2813</v>
      </c>
    </row>
    <row r="6739" spans="1:22" ht="15.75" thickBot="1" x14ac:dyDescent="0.3">
      <c r="A6739" s="422" t="s">
        <v>4580</v>
      </c>
      <c r="B6739" s="422" t="s">
        <v>4580</v>
      </c>
      <c r="C6739" s="424" t="str">
        <f t="shared" si="288"/>
        <v>Ribatejana Verde - Transportes Rodoviários de Passageiros, Unipessoal LDA.</v>
      </c>
      <c r="D6739" t="s">
        <v>629</v>
      </c>
      <c r="F6739" s="432" t="s">
        <v>620</v>
      </c>
      <c r="G6739" s="89">
        <v>1999</v>
      </c>
      <c r="H6739" s="313" t="s">
        <v>732</v>
      </c>
      <c r="I6739" s="311" t="str">
        <f t="shared" si="286"/>
        <v>Pesado de Passageiros M3:  : Gasóleo : E3</v>
      </c>
      <c r="J6739">
        <v>69</v>
      </c>
      <c r="K6739" s="422">
        <v>2023</v>
      </c>
      <c r="L6739">
        <v>8570.7099999999991</v>
      </c>
      <c r="M6739" t="s">
        <v>630</v>
      </c>
      <c r="N6739" s="131">
        <v>23545</v>
      </c>
      <c r="O6739" s="436">
        <f t="shared" si="289"/>
        <v>1624605</v>
      </c>
      <c r="P6739" s="89" t="s">
        <v>5880</v>
      </c>
      <c r="Q6739" s="422" t="s">
        <v>47</v>
      </c>
      <c r="R6739" s="422" t="s">
        <v>1869</v>
      </c>
      <c r="S6739" s="422" t="s">
        <v>1861</v>
      </c>
      <c r="U6739" s="422" t="s">
        <v>1953</v>
      </c>
      <c r="V6739" s="422" t="s">
        <v>2813</v>
      </c>
    </row>
    <row r="6740" spans="1:22" ht="15.75" thickBot="1" x14ac:dyDescent="0.3">
      <c r="A6740" s="422" t="s">
        <v>4580</v>
      </c>
      <c r="B6740" s="422" t="s">
        <v>4580</v>
      </c>
      <c r="C6740" s="424" t="str">
        <f t="shared" si="288"/>
        <v>Ribatejana Verde - Transportes Rodoviários de Passageiros, Unipessoal LDA.</v>
      </c>
      <c r="D6740" t="s">
        <v>629</v>
      </c>
      <c r="F6740" s="432" t="s">
        <v>620</v>
      </c>
      <c r="G6740" s="89">
        <v>2001</v>
      </c>
      <c r="H6740" s="313" t="s">
        <v>732</v>
      </c>
      <c r="I6740" s="311" t="str">
        <f t="shared" si="286"/>
        <v>Pesado de Passageiros M3:  : Gasóleo : E3</v>
      </c>
      <c r="J6740">
        <v>55</v>
      </c>
      <c r="K6740" s="422">
        <v>2023</v>
      </c>
      <c r="L6740">
        <v>7902.74</v>
      </c>
      <c r="M6740" t="s">
        <v>630</v>
      </c>
      <c r="N6740" s="131">
        <v>21887</v>
      </c>
      <c r="O6740" s="436">
        <f t="shared" si="289"/>
        <v>1203785</v>
      </c>
      <c r="P6740" s="89" t="s">
        <v>5881</v>
      </c>
      <c r="Q6740" s="422" t="s">
        <v>47</v>
      </c>
      <c r="R6740" s="422" t="s">
        <v>1869</v>
      </c>
      <c r="S6740" s="422" t="s">
        <v>1861</v>
      </c>
      <c r="U6740" s="422" t="s">
        <v>1953</v>
      </c>
      <c r="V6740" s="422" t="s">
        <v>2813</v>
      </c>
    </row>
    <row r="6741" spans="1:22" ht="15.75" thickBot="1" x14ac:dyDescent="0.3">
      <c r="A6741" s="422" t="s">
        <v>4580</v>
      </c>
      <c r="B6741" s="422" t="s">
        <v>4580</v>
      </c>
      <c r="C6741" s="424" t="str">
        <f t="shared" si="288"/>
        <v>Ribatejana Verde - Transportes Rodoviários de Passageiros, Unipessoal LDA.</v>
      </c>
      <c r="D6741" t="s">
        <v>629</v>
      </c>
      <c r="F6741" s="432" t="s">
        <v>620</v>
      </c>
      <c r="G6741" s="89">
        <v>1998</v>
      </c>
      <c r="H6741" s="313" t="s">
        <v>736</v>
      </c>
      <c r="I6741" s="311" t="str">
        <f t="shared" si="286"/>
        <v>Pesado de Passageiros M3:  : Gasóleo : E1</v>
      </c>
      <c r="J6741">
        <v>70</v>
      </c>
      <c r="K6741" s="422">
        <v>2023</v>
      </c>
      <c r="L6741">
        <v>7586.51</v>
      </c>
      <c r="M6741" t="s">
        <v>630</v>
      </c>
      <c r="N6741" s="131">
        <v>21012</v>
      </c>
      <c r="O6741" s="436">
        <f t="shared" si="289"/>
        <v>1470840</v>
      </c>
      <c r="P6741" s="89" t="s">
        <v>5882</v>
      </c>
      <c r="Q6741" s="422" t="s">
        <v>47</v>
      </c>
      <c r="R6741" s="422" t="s">
        <v>1869</v>
      </c>
      <c r="S6741" s="422" t="s">
        <v>1861</v>
      </c>
      <c r="U6741" s="422" t="s">
        <v>1953</v>
      </c>
      <c r="V6741" s="422" t="s">
        <v>2813</v>
      </c>
    </row>
    <row r="6742" spans="1:22" ht="15.75" thickBot="1" x14ac:dyDescent="0.3">
      <c r="A6742" s="422" t="s">
        <v>4580</v>
      </c>
      <c r="B6742" s="422" t="s">
        <v>4580</v>
      </c>
      <c r="C6742" s="424" t="str">
        <f t="shared" si="288"/>
        <v>Ribatejana Verde - Transportes Rodoviários de Passageiros, Unipessoal LDA.</v>
      </c>
      <c r="D6742" t="s">
        <v>629</v>
      </c>
      <c r="F6742" s="432" t="s">
        <v>620</v>
      </c>
      <c r="G6742" s="89">
        <v>2008</v>
      </c>
      <c r="H6742" s="313" t="s">
        <v>731</v>
      </c>
      <c r="I6742" s="311" t="str">
        <f t="shared" si="286"/>
        <v>Pesado de Passageiros M3:  : Gasóleo : E4</v>
      </c>
      <c r="J6742">
        <v>25</v>
      </c>
      <c r="K6742" s="422">
        <v>2023</v>
      </c>
      <c r="L6742">
        <v>3349.93</v>
      </c>
      <c r="M6742" t="s">
        <v>630</v>
      </c>
      <c r="N6742" s="131">
        <v>20623</v>
      </c>
      <c r="O6742" s="436">
        <f t="shared" si="289"/>
        <v>515575</v>
      </c>
      <c r="P6742" s="89" t="s">
        <v>5883</v>
      </c>
      <c r="Q6742" s="422" t="s">
        <v>47</v>
      </c>
      <c r="R6742" s="422" t="s">
        <v>1869</v>
      </c>
      <c r="S6742" s="422" t="s">
        <v>1861</v>
      </c>
      <c r="U6742" s="422" t="s">
        <v>1953</v>
      </c>
      <c r="V6742" s="422" t="s">
        <v>2813</v>
      </c>
    </row>
    <row r="6743" spans="1:22" ht="15.75" thickBot="1" x14ac:dyDescent="0.3">
      <c r="A6743" s="422" t="s">
        <v>4580</v>
      </c>
      <c r="B6743" s="422" t="s">
        <v>4580</v>
      </c>
      <c r="C6743" s="424" t="str">
        <f t="shared" si="288"/>
        <v>Ribatejana Verde - Transportes Rodoviários de Passageiros, Unipessoal LDA.</v>
      </c>
      <c r="D6743" t="s">
        <v>629</v>
      </c>
      <c r="F6743" s="432" t="s">
        <v>620</v>
      </c>
      <c r="G6743" s="89">
        <v>1999</v>
      </c>
      <c r="H6743" s="313" t="s">
        <v>734</v>
      </c>
      <c r="I6743" s="311" t="str">
        <f t="shared" si="286"/>
        <v>Pesado de Passageiros M3:  : Gasóleo : E5</v>
      </c>
      <c r="J6743">
        <v>69</v>
      </c>
      <c r="K6743" s="422">
        <v>2023</v>
      </c>
      <c r="L6743">
        <v>6706.07</v>
      </c>
      <c r="M6743" t="s">
        <v>630</v>
      </c>
      <c r="N6743" s="131">
        <v>18613</v>
      </c>
      <c r="O6743" s="436">
        <f t="shared" si="289"/>
        <v>1284297</v>
      </c>
      <c r="P6743" s="89" t="s">
        <v>5884</v>
      </c>
      <c r="Q6743" s="422" t="s">
        <v>47</v>
      </c>
      <c r="R6743" s="422" t="s">
        <v>1869</v>
      </c>
      <c r="S6743" s="422" t="s">
        <v>1861</v>
      </c>
      <c r="U6743" s="422" t="s">
        <v>1953</v>
      </c>
      <c r="V6743" s="422" t="s">
        <v>2813</v>
      </c>
    </row>
    <row r="6744" spans="1:22" ht="15.75" thickBot="1" x14ac:dyDescent="0.3">
      <c r="A6744" s="422" t="s">
        <v>4580</v>
      </c>
      <c r="B6744" s="422" t="s">
        <v>4580</v>
      </c>
      <c r="C6744" s="424" t="str">
        <f t="shared" si="288"/>
        <v>Ribatejana Verde - Transportes Rodoviários de Passageiros, Unipessoal LDA.</v>
      </c>
      <c r="D6744" t="s">
        <v>629</v>
      </c>
      <c r="F6744" s="432" t="s">
        <v>620</v>
      </c>
      <c r="G6744" s="89">
        <v>2001</v>
      </c>
      <c r="H6744" s="313" t="s">
        <v>732</v>
      </c>
      <c r="I6744" s="311" t="str">
        <f t="shared" si="286"/>
        <v>Pesado de Passageiros M3:  : Gasóleo : E3</v>
      </c>
      <c r="J6744">
        <v>55</v>
      </c>
      <c r="K6744" s="422">
        <v>2023</v>
      </c>
      <c r="L6744">
        <v>6915.6</v>
      </c>
      <c r="M6744" t="s">
        <v>630</v>
      </c>
      <c r="N6744" s="131">
        <v>18138</v>
      </c>
      <c r="O6744" s="436">
        <f t="shared" si="289"/>
        <v>997590</v>
      </c>
      <c r="P6744" s="89" t="s">
        <v>5885</v>
      </c>
      <c r="Q6744" s="422" t="s">
        <v>47</v>
      </c>
      <c r="R6744" s="422" t="s">
        <v>1869</v>
      </c>
      <c r="S6744" s="422" t="s">
        <v>1861</v>
      </c>
      <c r="U6744" s="422" t="s">
        <v>1953</v>
      </c>
      <c r="V6744" s="422" t="s">
        <v>2813</v>
      </c>
    </row>
    <row r="6745" spans="1:22" ht="15.75" thickBot="1" x14ac:dyDescent="0.3">
      <c r="A6745" s="422" t="s">
        <v>4580</v>
      </c>
      <c r="B6745" s="422" t="s">
        <v>4580</v>
      </c>
      <c r="C6745" s="424" t="str">
        <f t="shared" si="288"/>
        <v>Ribatejana Verde - Transportes Rodoviários de Passageiros, Unipessoal LDA.</v>
      </c>
      <c r="D6745" t="s">
        <v>629</v>
      </c>
      <c r="F6745" s="432" t="s">
        <v>620</v>
      </c>
      <c r="G6745" s="89">
        <v>2015</v>
      </c>
      <c r="H6745" s="313" t="s">
        <v>733</v>
      </c>
      <c r="I6745" s="311" t="str">
        <f t="shared" si="286"/>
        <v>Pesado de Passageiros M3:  : Gasóleo : E6</v>
      </c>
      <c r="J6745">
        <v>55</v>
      </c>
      <c r="K6745" s="422">
        <v>2023</v>
      </c>
      <c r="L6745">
        <v>5187.99</v>
      </c>
      <c r="M6745" t="s">
        <v>630</v>
      </c>
      <c r="N6745" s="131">
        <v>16480</v>
      </c>
      <c r="O6745" s="436">
        <f t="shared" si="289"/>
        <v>906400</v>
      </c>
      <c r="P6745" s="89" t="s">
        <v>5886</v>
      </c>
      <c r="Q6745" s="422" t="s">
        <v>47</v>
      </c>
      <c r="R6745" s="422" t="s">
        <v>1869</v>
      </c>
      <c r="S6745" s="422" t="s">
        <v>1861</v>
      </c>
      <c r="U6745" s="422" t="s">
        <v>1953</v>
      </c>
      <c r="V6745" s="422" t="s">
        <v>2813</v>
      </c>
    </row>
    <row r="6746" spans="1:22" ht="15.75" thickBot="1" x14ac:dyDescent="0.3">
      <c r="A6746" s="422" t="s">
        <v>4580</v>
      </c>
      <c r="B6746" s="422" t="s">
        <v>4580</v>
      </c>
      <c r="C6746" s="424" t="str">
        <f t="shared" si="288"/>
        <v>Ribatejana Verde - Transportes Rodoviários de Passageiros, Unipessoal LDA.</v>
      </c>
      <c r="D6746" t="s">
        <v>629</v>
      </c>
      <c r="F6746" s="432" t="s">
        <v>620</v>
      </c>
      <c r="G6746" s="89">
        <v>1999</v>
      </c>
      <c r="H6746" s="313" t="s">
        <v>736</v>
      </c>
      <c r="I6746" s="311" t="str">
        <f t="shared" si="286"/>
        <v>Pesado de Passageiros M3:  : Gasóleo : E1</v>
      </c>
      <c r="J6746">
        <v>69</v>
      </c>
      <c r="K6746" s="422">
        <v>2023</v>
      </c>
      <c r="L6746">
        <v>5849.31</v>
      </c>
      <c r="M6746" t="s">
        <v>630</v>
      </c>
      <c r="N6746" s="131">
        <v>16225</v>
      </c>
      <c r="O6746" s="436">
        <f t="shared" si="289"/>
        <v>1119525</v>
      </c>
      <c r="P6746" s="89" t="s">
        <v>5887</v>
      </c>
      <c r="Q6746" s="422" t="s">
        <v>47</v>
      </c>
      <c r="R6746" s="422" t="s">
        <v>1869</v>
      </c>
      <c r="S6746" s="422" t="s">
        <v>1861</v>
      </c>
      <c r="U6746" s="422" t="s">
        <v>1953</v>
      </c>
      <c r="V6746" s="422" t="s">
        <v>2813</v>
      </c>
    </row>
    <row r="6747" spans="1:22" ht="15.75" thickBot="1" x14ac:dyDescent="0.3">
      <c r="A6747" s="422" t="s">
        <v>4580</v>
      </c>
      <c r="B6747" s="422" t="s">
        <v>4580</v>
      </c>
      <c r="C6747" s="424" t="str">
        <f t="shared" si="288"/>
        <v>Ribatejana Verde - Transportes Rodoviários de Passageiros, Unipessoal LDA.</v>
      </c>
      <c r="D6747" t="s">
        <v>629</v>
      </c>
      <c r="F6747" s="432" t="s">
        <v>620</v>
      </c>
      <c r="G6747" s="89">
        <v>2008</v>
      </c>
      <c r="H6747" s="313" t="s">
        <v>731</v>
      </c>
      <c r="I6747" s="311" t="str">
        <f t="shared" si="286"/>
        <v>Pesado de Passageiros M3:  : Gasóleo : E4</v>
      </c>
      <c r="J6747">
        <v>55</v>
      </c>
      <c r="K6747" s="422">
        <v>2023</v>
      </c>
      <c r="L6747">
        <v>4416.09</v>
      </c>
      <c r="M6747" t="s">
        <v>630</v>
      </c>
      <c r="N6747" s="131">
        <v>15855</v>
      </c>
      <c r="O6747" s="436">
        <f t="shared" si="289"/>
        <v>872025</v>
      </c>
      <c r="P6747" s="89" t="s">
        <v>5888</v>
      </c>
      <c r="Q6747" s="422" t="s">
        <v>47</v>
      </c>
      <c r="R6747" s="422" t="s">
        <v>1869</v>
      </c>
      <c r="S6747" s="422" t="s">
        <v>1861</v>
      </c>
      <c r="U6747" s="422" t="s">
        <v>1953</v>
      </c>
      <c r="V6747" s="422" t="s">
        <v>2813</v>
      </c>
    </row>
    <row r="6748" spans="1:22" ht="15.75" thickBot="1" x14ac:dyDescent="0.3">
      <c r="A6748" s="422" t="s">
        <v>4580</v>
      </c>
      <c r="B6748" s="422" t="s">
        <v>4580</v>
      </c>
      <c r="C6748" s="424" t="str">
        <f t="shared" si="288"/>
        <v>Ribatejana Verde - Transportes Rodoviários de Passageiros, Unipessoal LDA.</v>
      </c>
      <c r="D6748" t="s">
        <v>629</v>
      </c>
      <c r="F6748" s="432" t="s">
        <v>620</v>
      </c>
      <c r="G6748" s="89">
        <v>1998</v>
      </c>
      <c r="H6748" s="313" t="s">
        <v>736</v>
      </c>
      <c r="I6748" s="311" t="str">
        <f t="shared" si="286"/>
        <v>Pesado de Passageiros M3:  : Gasóleo : E1</v>
      </c>
      <c r="J6748">
        <v>69</v>
      </c>
      <c r="K6748" s="422">
        <v>2023</v>
      </c>
      <c r="L6748">
        <v>5154.05</v>
      </c>
      <c r="M6748" t="s">
        <v>630</v>
      </c>
      <c r="N6748" s="131">
        <v>14626</v>
      </c>
      <c r="O6748" s="436">
        <f t="shared" si="289"/>
        <v>1009194</v>
      </c>
      <c r="P6748" s="89" t="s">
        <v>5889</v>
      </c>
      <c r="Q6748" s="422" t="s">
        <v>47</v>
      </c>
      <c r="R6748" s="422" t="s">
        <v>1869</v>
      </c>
      <c r="S6748" s="422" t="s">
        <v>1861</v>
      </c>
      <c r="U6748" s="422" t="s">
        <v>1953</v>
      </c>
      <c r="V6748" s="422" t="s">
        <v>2813</v>
      </c>
    </row>
    <row r="6749" spans="1:22" ht="15.75" thickBot="1" x14ac:dyDescent="0.3">
      <c r="A6749" s="422" t="s">
        <v>4580</v>
      </c>
      <c r="B6749" s="422" t="s">
        <v>4580</v>
      </c>
      <c r="C6749" s="424" t="str">
        <f t="shared" si="288"/>
        <v>Ribatejana Verde - Transportes Rodoviários de Passageiros, Unipessoal LDA.</v>
      </c>
      <c r="D6749" t="s">
        <v>629</v>
      </c>
      <c r="F6749" s="432" t="s">
        <v>620</v>
      </c>
      <c r="G6749" s="89">
        <v>2004</v>
      </c>
      <c r="H6749" s="313" t="s">
        <v>732</v>
      </c>
      <c r="I6749" s="311" t="str">
        <f t="shared" si="286"/>
        <v>Pesado de Passageiros M3:  : Gasóleo : E3</v>
      </c>
      <c r="J6749">
        <v>55</v>
      </c>
      <c r="K6749" s="422">
        <v>2023</v>
      </c>
      <c r="L6749">
        <v>5034.91</v>
      </c>
      <c r="M6749" t="s">
        <v>630</v>
      </c>
      <c r="N6749" s="131">
        <v>13706</v>
      </c>
      <c r="O6749" s="436">
        <f t="shared" si="289"/>
        <v>753830</v>
      </c>
      <c r="P6749" s="89" t="s">
        <v>5890</v>
      </c>
      <c r="Q6749" s="422" t="s">
        <v>47</v>
      </c>
      <c r="R6749" s="422" t="s">
        <v>1869</v>
      </c>
      <c r="S6749" s="422" t="s">
        <v>1861</v>
      </c>
      <c r="U6749" s="422" t="s">
        <v>1953</v>
      </c>
      <c r="V6749" s="422" t="s">
        <v>2813</v>
      </c>
    </row>
    <row r="6750" spans="1:22" ht="15.75" thickBot="1" x14ac:dyDescent="0.3">
      <c r="A6750" s="422" t="s">
        <v>4580</v>
      </c>
      <c r="B6750" s="422" t="s">
        <v>4580</v>
      </c>
      <c r="C6750" s="424" t="str">
        <f t="shared" si="288"/>
        <v>Ribatejana Verde - Transportes Rodoviários de Passageiros, Unipessoal LDA.</v>
      </c>
      <c r="D6750" t="s">
        <v>629</v>
      </c>
      <c r="F6750" s="432" t="s">
        <v>620</v>
      </c>
      <c r="G6750" s="89">
        <v>2008</v>
      </c>
      <c r="H6750" s="313" t="s">
        <v>731</v>
      </c>
      <c r="I6750" s="311" t="str">
        <f t="shared" si="286"/>
        <v>Pesado de Passageiros M3:  : Gasóleo : E4</v>
      </c>
      <c r="J6750">
        <v>27</v>
      </c>
      <c r="K6750" s="422">
        <v>2023</v>
      </c>
      <c r="L6750">
        <v>2385.96</v>
      </c>
      <c r="M6750" t="s">
        <v>630</v>
      </c>
      <c r="N6750" s="131">
        <v>12377</v>
      </c>
      <c r="O6750" s="436">
        <f t="shared" si="289"/>
        <v>334179</v>
      </c>
      <c r="P6750" s="89" t="s">
        <v>5891</v>
      </c>
      <c r="Q6750" s="422" t="s">
        <v>47</v>
      </c>
      <c r="R6750" s="422" t="s">
        <v>1869</v>
      </c>
      <c r="S6750" s="422" t="s">
        <v>1861</v>
      </c>
      <c r="U6750" s="422" t="s">
        <v>1953</v>
      </c>
      <c r="V6750" s="422" t="s">
        <v>2813</v>
      </c>
    </row>
    <row r="6751" spans="1:22" ht="15.75" thickBot="1" x14ac:dyDescent="0.3">
      <c r="A6751" s="422" t="s">
        <v>4580</v>
      </c>
      <c r="B6751" s="422" t="s">
        <v>4580</v>
      </c>
      <c r="C6751" s="424" t="str">
        <f t="shared" si="288"/>
        <v>Ribatejana Verde - Transportes Rodoviários de Passageiros, Unipessoal LDA.</v>
      </c>
      <c r="D6751" t="s">
        <v>629</v>
      </c>
      <c r="F6751" s="432" t="s">
        <v>620</v>
      </c>
      <c r="G6751" s="89">
        <v>2005</v>
      </c>
      <c r="H6751" s="313" t="s">
        <v>732</v>
      </c>
      <c r="I6751" s="311" t="str">
        <f t="shared" si="286"/>
        <v>Pesado de Passageiros M3:  : Gasóleo : E3</v>
      </c>
      <c r="J6751">
        <v>34</v>
      </c>
      <c r="K6751" s="422">
        <v>2023</v>
      </c>
      <c r="L6751">
        <v>3469.58</v>
      </c>
      <c r="M6751" t="s">
        <v>630</v>
      </c>
      <c r="N6751" s="131">
        <v>11889</v>
      </c>
      <c r="O6751" s="436">
        <f t="shared" si="289"/>
        <v>404226</v>
      </c>
      <c r="P6751" s="89" t="s">
        <v>5892</v>
      </c>
      <c r="Q6751" s="422" t="s">
        <v>47</v>
      </c>
      <c r="R6751" s="422" t="s">
        <v>1869</v>
      </c>
      <c r="S6751" s="422" t="s">
        <v>1861</v>
      </c>
      <c r="U6751" s="422" t="s">
        <v>1953</v>
      </c>
      <c r="V6751" s="422" t="s">
        <v>2813</v>
      </c>
    </row>
    <row r="6752" spans="1:22" ht="15.75" thickBot="1" x14ac:dyDescent="0.3">
      <c r="A6752" s="422" t="s">
        <v>4580</v>
      </c>
      <c r="B6752" s="422" t="s">
        <v>4580</v>
      </c>
      <c r="C6752" s="424" t="str">
        <f t="shared" si="288"/>
        <v>Ribatejana Verde - Transportes Rodoviários de Passageiros, Unipessoal LDA.</v>
      </c>
      <c r="D6752" t="s">
        <v>629</v>
      </c>
      <c r="F6752" s="432" t="s">
        <v>620</v>
      </c>
      <c r="G6752" s="89">
        <v>1999</v>
      </c>
      <c r="H6752" s="313" t="s">
        <v>736</v>
      </c>
      <c r="I6752" s="311" t="str">
        <f t="shared" si="286"/>
        <v>Pesado de Passageiros M3:  : Gasóleo : E1</v>
      </c>
      <c r="J6752">
        <v>51</v>
      </c>
      <c r="K6752" s="422">
        <v>2023</v>
      </c>
      <c r="L6752">
        <v>3879.95</v>
      </c>
      <c r="M6752" t="s">
        <v>630</v>
      </c>
      <c r="N6752" s="131">
        <v>11389</v>
      </c>
      <c r="O6752" s="436">
        <f t="shared" si="289"/>
        <v>580839</v>
      </c>
      <c r="P6752" s="89" t="s">
        <v>5893</v>
      </c>
      <c r="Q6752" s="422" t="s">
        <v>47</v>
      </c>
      <c r="R6752" s="422" t="s">
        <v>1869</v>
      </c>
      <c r="S6752" s="422" t="s">
        <v>1861</v>
      </c>
      <c r="U6752" s="422" t="s">
        <v>1953</v>
      </c>
      <c r="V6752" s="422" t="s">
        <v>2813</v>
      </c>
    </row>
    <row r="6753" spans="1:22" ht="15.75" thickBot="1" x14ac:dyDescent="0.3">
      <c r="A6753" s="422" t="s">
        <v>4580</v>
      </c>
      <c r="B6753" s="422" t="s">
        <v>4580</v>
      </c>
      <c r="C6753" s="424" t="str">
        <f t="shared" si="288"/>
        <v>Ribatejana Verde - Transportes Rodoviários de Passageiros, Unipessoal LDA.</v>
      </c>
      <c r="D6753" t="s">
        <v>629</v>
      </c>
      <c r="F6753" s="432" t="s">
        <v>620</v>
      </c>
      <c r="G6753" s="89">
        <v>2004</v>
      </c>
      <c r="H6753" s="313" t="s">
        <v>732</v>
      </c>
      <c r="I6753" s="311" t="str">
        <f t="shared" si="286"/>
        <v>Pesado de Passageiros M3:  : Gasóleo : E3</v>
      </c>
      <c r="J6753">
        <v>55</v>
      </c>
      <c r="K6753" s="422">
        <v>2023</v>
      </c>
      <c r="L6753">
        <v>2942.39</v>
      </c>
      <c r="M6753" t="s">
        <v>630</v>
      </c>
      <c r="N6753" s="131">
        <v>8822</v>
      </c>
      <c r="O6753" s="436">
        <f t="shared" si="289"/>
        <v>485210</v>
      </c>
      <c r="P6753" s="89" t="s">
        <v>5894</v>
      </c>
      <c r="Q6753" s="422" t="s">
        <v>47</v>
      </c>
      <c r="R6753" s="422" t="s">
        <v>1869</v>
      </c>
      <c r="S6753" s="422" t="s">
        <v>1861</v>
      </c>
      <c r="U6753" s="422" t="s">
        <v>1953</v>
      </c>
      <c r="V6753" s="422" t="s">
        <v>2813</v>
      </c>
    </row>
    <row r="6754" spans="1:22" ht="15.75" thickBot="1" x14ac:dyDescent="0.3">
      <c r="A6754" s="422" t="s">
        <v>4580</v>
      </c>
      <c r="B6754" s="422" t="s">
        <v>4580</v>
      </c>
      <c r="C6754" s="424" t="str">
        <f t="shared" si="288"/>
        <v>Ribatejana Verde - Transportes Rodoviários de Passageiros, Unipessoal LDA.</v>
      </c>
      <c r="D6754" t="s">
        <v>629</v>
      </c>
      <c r="F6754" s="432" t="s">
        <v>620</v>
      </c>
      <c r="G6754" s="89">
        <v>2008</v>
      </c>
      <c r="H6754" s="313" t="s">
        <v>731</v>
      </c>
      <c r="I6754" s="311" t="str">
        <f t="shared" ref="I6754:I6817" si="290">D6754&amp;": "&amp;E6754&amp;" : "&amp;F6754&amp;" : "&amp;H6754</f>
        <v>Pesado de Passageiros M3:  : Gasóleo : E4</v>
      </c>
      <c r="J6754">
        <v>25</v>
      </c>
      <c r="K6754" s="422">
        <v>2023</v>
      </c>
      <c r="L6754">
        <v>982.06</v>
      </c>
      <c r="M6754" t="s">
        <v>630</v>
      </c>
      <c r="N6754" s="131">
        <v>6280</v>
      </c>
      <c r="O6754" s="436">
        <f t="shared" si="289"/>
        <v>157000</v>
      </c>
      <c r="P6754" s="89" t="s">
        <v>5895</v>
      </c>
      <c r="Q6754" s="422" t="s">
        <v>47</v>
      </c>
      <c r="R6754" s="422" t="s">
        <v>1869</v>
      </c>
      <c r="S6754" s="422" t="s">
        <v>1861</v>
      </c>
      <c r="U6754" s="422" t="s">
        <v>1953</v>
      </c>
      <c r="V6754" s="422" t="s">
        <v>2813</v>
      </c>
    </row>
    <row r="6755" spans="1:22" ht="15.75" thickBot="1" x14ac:dyDescent="0.3">
      <c r="A6755" s="422" t="s">
        <v>4580</v>
      </c>
      <c r="B6755" s="422" t="s">
        <v>4580</v>
      </c>
      <c r="C6755" s="424" t="str">
        <f t="shared" si="288"/>
        <v>Ribatejana Verde - Transportes Rodoviários de Passageiros, Unipessoal LDA.</v>
      </c>
      <c r="D6755" t="s">
        <v>629</v>
      </c>
      <c r="F6755" s="432" t="s">
        <v>620</v>
      </c>
      <c r="G6755" s="89">
        <v>2000</v>
      </c>
      <c r="H6755" s="313" t="s">
        <v>735</v>
      </c>
      <c r="I6755" s="311" t="str">
        <f t="shared" si="290"/>
        <v>Pesado de Passageiros M3:  : Gasóleo : E2</v>
      </c>
      <c r="J6755">
        <v>51</v>
      </c>
      <c r="K6755" s="422">
        <v>2023</v>
      </c>
      <c r="L6755">
        <v>1718.91</v>
      </c>
      <c r="M6755" t="s">
        <v>630</v>
      </c>
      <c r="N6755" s="131">
        <v>5364</v>
      </c>
      <c r="O6755" s="436">
        <f t="shared" si="289"/>
        <v>273564</v>
      </c>
      <c r="P6755" s="89" t="s">
        <v>5896</v>
      </c>
      <c r="Q6755" s="422" t="s">
        <v>47</v>
      </c>
      <c r="R6755" s="422" t="s">
        <v>1869</v>
      </c>
      <c r="S6755" s="422" t="s">
        <v>1861</v>
      </c>
      <c r="U6755" s="422" t="s">
        <v>1953</v>
      </c>
      <c r="V6755" s="422" t="s">
        <v>2813</v>
      </c>
    </row>
    <row r="6756" spans="1:22" ht="15.75" thickBot="1" x14ac:dyDescent="0.3">
      <c r="A6756" s="422" t="s">
        <v>4580</v>
      </c>
      <c r="B6756" s="422" t="s">
        <v>4580</v>
      </c>
      <c r="C6756" s="424" t="str">
        <f t="shared" si="288"/>
        <v>Ribatejana Verde - Transportes Rodoviários de Passageiros, Unipessoal LDA.</v>
      </c>
      <c r="D6756" t="s">
        <v>629</v>
      </c>
      <c r="F6756" s="432" t="s">
        <v>620</v>
      </c>
      <c r="G6756" s="89">
        <v>1993</v>
      </c>
      <c r="H6756" s="313" t="s">
        <v>736</v>
      </c>
      <c r="I6756" s="311" t="str">
        <f t="shared" si="290"/>
        <v>Pesado de Passageiros M3:  : Gasóleo : E1</v>
      </c>
      <c r="J6756">
        <v>82</v>
      </c>
      <c r="K6756" s="422">
        <v>2023</v>
      </c>
      <c r="L6756">
        <v>1053.0899999999999</v>
      </c>
      <c r="M6756" t="s">
        <v>630</v>
      </c>
      <c r="N6756" s="131">
        <v>3305</v>
      </c>
      <c r="O6756" s="436">
        <f t="shared" si="289"/>
        <v>271010</v>
      </c>
      <c r="P6756" s="89" t="s">
        <v>5897</v>
      </c>
      <c r="Q6756" s="422" t="s">
        <v>47</v>
      </c>
      <c r="R6756" s="422" t="s">
        <v>1869</v>
      </c>
      <c r="S6756" s="422" t="s">
        <v>1861</v>
      </c>
      <c r="U6756" s="422" t="s">
        <v>1953</v>
      </c>
      <c r="V6756" s="422" t="s">
        <v>2813</v>
      </c>
    </row>
    <row r="6757" spans="1:22" ht="15.75" thickBot="1" x14ac:dyDescent="0.3">
      <c r="A6757" s="422" t="s">
        <v>4580</v>
      </c>
      <c r="B6757" s="422" t="s">
        <v>4580</v>
      </c>
      <c r="C6757" s="424" t="str">
        <f t="shared" si="288"/>
        <v>Ribatejana Verde - Transportes Rodoviários de Passageiros, Unipessoal LDA.</v>
      </c>
      <c r="D6757" t="s">
        <v>629</v>
      </c>
      <c r="F6757" s="432" t="s">
        <v>620</v>
      </c>
      <c r="G6757" s="89">
        <v>2000</v>
      </c>
      <c r="H6757" s="313" t="s">
        <v>735</v>
      </c>
      <c r="I6757" s="311" t="str">
        <f t="shared" si="290"/>
        <v>Pesado de Passageiros M3:  : Gasóleo : E2</v>
      </c>
      <c r="J6757">
        <v>51</v>
      </c>
      <c r="K6757" s="422">
        <v>2023</v>
      </c>
      <c r="L6757">
        <v>1064.94</v>
      </c>
      <c r="M6757" t="s">
        <v>630</v>
      </c>
      <c r="N6757" s="131">
        <v>3238</v>
      </c>
      <c r="O6757" s="436">
        <f t="shared" si="289"/>
        <v>165138</v>
      </c>
      <c r="P6757" s="89" t="s">
        <v>5898</v>
      </c>
      <c r="Q6757" s="422" t="s">
        <v>47</v>
      </c>
      <c r="R6757" s="422" t="s">
        <v>1869</v>
      </c>
      <c r="S6757" s="422" t="s">
        <v>1861</v>
      </c>
      <c r="U6757" s="422" t="s">
        <v>1953</v>
      </c>
      <c r="V6757" s="422" t="s">
        <v>2813</v>
      </c>
    </row>
    <row r="6758" spans="1:22" ht="15.75" thickBot="1" x14ac:dyDescent="0.3">
      <c r="A6758" s="422" t="s">
        <v>4580</v>
      </c>
      <c r="B6758" s="422" t="s">
        <v>4580</v>
      </c>
      <c r="C6758" s="424" t="str">
        <f t="shared" ref="C6758:C6762" si="291">IF(A6758=B6758,B6758,RIGHT(A6758,LEN(A6758)-LEN(B6758)-3))</f>
        <v>Ribatejana Verde - Transportes Rodoviários de Passageiros, Unipessoal LDA.</v>
      </c>
      <c r="D6758" t="s">
        <v>629</v>
      </c>
      <c r="F6758" s="432" t="s">
        <v>620</v>
      </c>
      <c r="G6758" s="89">
        <v>1998</v>
      </c>
      <c r="H6758" s="313" t="s">
        <v>736</v>
      </c>
      <c r="I6758" s="311" t="str">
        <f t="shared" si="290"/>
        <v>Pesado de Passageiros M3:  : Gasóleo : E1</v>
      </c>
      <c r="J6758">
        <v>51</v>
      </c>
      <c r="K6758" s="422">
        <v>2023</v>
      </c>
      <c r="L6758">
        <v>917.72</v>
      </c>
      <c r="M6758" t="s">
        <v>630</v>
      </c>
      <c r="N6758" s="131">
        <v>2476</v>
      </c>
      <c r="O6758" s="436">
        <f t="shared" ref="O6758:O6821" si="292">N6758*J6758</f>
        <v>126276</v>
      </c>
      <c r="P6758" s="89" t="s">
        <v>5899</v>
      </c>
      <c r="Q6758" s="422" t="s">
        <v>47</v>
      </c>
      <c r="R6758" s="422" t="s">
        <v>1869</v>
      </c>
      <c r="S6758" s="422" t="s">
        <v>1861</v>
      </c>
      <c r="U6758" s="422" t="s">
        <v>1953</v>
      </c>
      <c r="V6758" s="422" t="s">
        <v>2813</v>
      </c>
    </row>
    <row r="6759" spans="1:22" ht="15.75" thickBot="1" x14ac:dyDescent="0.3">
      <c r="A6759" s="422" t="s">
        <v>4580</v>
      </c>
      <c r="B6759" s="422" t="s">
        <v>4580</v>
      </c>
      <c r="C6759" s="424" t="str">
        <f t="shared" si="291"/>
        <v>Ribatejana Verde - Transportes Rodoviários de Passageiros, Unipessoal LDA.</v>
      </c>
      <c r="D6759" t="s">
        <v>629</v>
      </c>
      <c r="F6759" s="432" t="s">
        <v>620</v>
      </c>
      <c r="G6759" s="89">
        <v>2012</v>
      </c>
      <c r="H6759" s="313" t="s">
        <v>731</v>
      </c>
      <c r="I6759" s="311" t="str">
        <f t="shared" si="290"/>
        <v>Pesado de Passageiros M3:  : Gasóleo : E4</v>
      </c>
      <c r="J6759">
        <v>55</v>
      </c>
      <c r="K6759" s="422">
        <v>2023</v>
      </c>
      <c r="L6759">
        <v>576.48</v>
      </c>
      <c r="M6759" t="s">
        <v>630</v>
      </c>
      <c r="N6759" s="131">
        <v>1612</v>
      </c>
      <c r="O6759" s="436">
        <f t="shared" si="292"/>
        <v>88660</v>
      </c>
      <c r="P6759" s="89" t="s">
        <v>5900</v>
      </c>
      <c r="Q6759" s="422" t="s">
        <v>47</v>
      </c>
      <c r="R6759" s="422" t="s">
        <v>1869</v>
      </c>
      <c r="S6759" s="422" t="s">
        <v>1861</v>
      </c>
      <c r="U6759" s="422" t="s">
        <v>1953</v>
      </c>
      <c r="V6759" s="422" t="s">
        <v>2813</v>
      </c>
    </row>
    <row r="6760" spans="1:22" ht="15.75" thickBot="1" x14ac:dyDescent="0.3">
      <c r="A6760" s="422" t="s">
        <v>4580</v>
      </c>
      <c r="B6760" s="422" t="s">
        <v>4580</v>
      </c>
      <c r="C6760" s="424" t="str">
        <f t="shared" si="291"/>
        <v>Ribatejana Verde - Transportes Rodoviários de Passageiros, Unipessoal LDA.</v>
      </c>
      <c r="D6760" t="s">
        <v>629</v>
      </c>
      <c r="F6760" s="432" t="s">
        <v>620</v>
      </c>
      <c r="G6760" s="89">
        <v>2011</v>
      </c>
      <c r="H6760" s="313" t="s">
        <v>731</v>
      </c>
      <c r="I6760" s="311" t="str">
        <f t="shared" si="290"/>
        <v>Pesado de Passageiros M3:  : Gasóleo : E4</v>
      </c>
      <c r="J6760">
        <v>55</v>
      </c>
      <c r="K6760" s="422">
        <v>2023</v>
      </c>
      <c r="L6760">
        <v>84.34</v>
      </c>
      <c r="M6760" t="s">
        <v>630</v>
      </c>
      <c r="N6760" s="131">
        <v>1405</v>
      </c>
      <c r="O6760" s="436">
        <f t="shared" si="292"/>
        <v>77275</v>
      </c>
      <c r="P6760" s="89" t="s">
        <v>5901</v>
      </c>
      <c r="Q6760" s="422" t="s">
        <v>47</v>
      </c>
      <c r="R6760" s="422" t="s">
        <v>1869</v>
      </c>
      <c r="S6760" s="422" t="s">
        <v>1861</v>
      </c>
      <c r="U6760" s="422" t="s">
        <v>1953</v>
      </c>
      <c r="V6760" s="422" t="s">
        <v>2813</v>
      </c>
    </row>
    <row r="6761" spans="1:22" ht="15.75" thickBot="1" x14ac:dyDescent="0.3">
      <c r="A6761" s="422" t="s">
        <v>4580</v>
      </c>
      <c r="B6761" s="422" t="s">
        <v>4580</v>
      </c>
      <c r="C6761" s="424" t="str">
        <f t="shared" si="291"/>
        <v>Ribatejana Verde - Transportes Rodoviários de Passageiros, Unipessoal LDA.</v>
      </c>
      <c r="D6761" t="s">
        <v>629</v>
      </c>
      <c r="F6761" s="432" t="s">
        <v>620</v>
      </c>
      <c r="G6761" s="89">
        <v>2005</v>
      </c>
      <c r="H6761" s="313" t="s">
        <v>732</v>
      </c>
      <c r="I6761" s="311" t="str">
        <f t="shared" si="290"/>
        <v>Pesado de Passageiros M3:  : Gasóleo : E3</v>
      </c>
      <c r="J6761">
        <v>34</v>
      </c>
      <c r="K6761" s="422">
        <v>2023</v>
      </c>
      <c r="L6761">
        <v>377.65</v>
      </c>
      <c r="M6761" t="s">
        <v>630</v>
      </c>
      <c r="N6761" s="131">
        <v>1289</v>
      </c>
      <c r="O6761" s="436">
        <f t="shared" si="292"/>
        <v>43826</v>
      </c>
      <c r="P6761" s="89" t="s">
        <v>5902</v>
      </c>
      <c r="Q6761" s="422" t="s">
        <v>47</v>
      </c>
      <c r="R6761" s="422" t="s">
        <v>1869</v>
      </c>
      <c r="S6761" s="422" t="s">
        <v>1861</v>
      </c>
      <c r="U6761" s="422" t="s">
        <v>1953</v>
      </c>
      <c r="V6761" s="422" t="s">
        <v>2813</v>
      </c>
    </row>
    <row r="6762" spans="1:22" ht="15.75" thickBot="1" x14ac:dyDescent="0.3">
      <c r="A6762" s="422" t="s">
        <v>4580</v>
      </c>
      <c r="B6762" s="422" t="s">
        <v>4580</v>
      </c>
      <c r="C6762" s="424" t="str">
        <f t="shared" si="291"/>
        <v>Ribatejana Verde - Transportes Rodoviários de Passageiros, Unipessoal LDA.</v>
      </c>
      <c r="D6762" t="s">
        <v>629</v>
      </c>
      <c r="F6762" s="432" t="s">
        <v>620</v>
      </c>
      <c r="G6762" s="89">
        <v>2000</v>
      </c>
      <c r="H6762" s="313" t="s">
        <v>735</v>
      </c>
      <c r="I6762" s="311" t="str">
        <f t="shared" si="290"/>
        <v>Pesado de Passageiros M3:  : Gasóleo : E2</v>
      </c>
      <c r="J6762">
        <v>49</v>
      </c>
      <c r="K6762" s="422">
        <v>2023</v>
      </c>
      <c r="L6762">
        <v>313.7</v>
      </c>
      <c r="M6762" t="s">
        <v>630</v>
      </c>
      <c r="N6762" s="131">
        <v>776</v>
      </c>
      <c r="O6762" s="436">
        <f t="shared" si="292"/>
        <v>38024</v>
      </c>
      <c r="P6762" s="89" t="s">
        <v>5903</v>
      </c>
      <c r="Q6762" s="422" t="s">
        <v>47</v>
      </c>
      <c r="R6762" s="422" t="s">
        <v>1869</v>
      </c>
      <c r="S6762" s="422" t="s">
        <v>1861</v>
      </c>
      <c r="U6762" s="422" t="s">
        <v>1953</v>
      </c>
      <c r="V6762" s="422" t="s">
        <v>2813</v>
      </c>
    </row>
    <row r="6763" spans="1:22" ht="15.75" thickBot="1" x14ac:dyDescent="0.3">
      <c r="A6763" t="s">
        <v>4580</v>
      </c>
      <c r="B6763" t="s">
        <v>4580</v>
      </c>
      <c r="C6763" s="424" t="str">
        <f t="shared" ref="C6763:C6827" si="293">IF(A6763=B6763,B6763,RIGHT(A6763,LEN(A6763)-LEN(B6763)-3))</f>
        <v>Ribatejana Verde - Transportes Rodoviários de Passageiros, Unipessoal LDA.</v>
      </c>
      <c r="D6763" t="s">
        <v>623</v>
      </c>
      <c r="F6763" s="432" t="s">
        <v>620</v>
      </c>
      <c r="H6763" s="313" t="s">
        <v>733</v>
      </c>
      <c r="I6763" s="311" t="str">
        <f t="shared" si="290"/>
        <v>Ligeiro de Passageiros M1:  : Gasóleo : E6</v>
      </c>
      <c r="J6763">
        <v>8</v>
      </c>
      <c r="K6763" s="422">
        <v>2023</v>
      </c>
      <c r="L6763">
        <v>1693.0409999999999</v>
      </c>
      <c r="M6763" t="s">
        <v>630</v>
      </c>
      <c r="N6763" s="131">
        <v>20230</v>
      </c>
      <c r="O6763" s="436">
        <f t="shared" si="292"/>
        <v>161840</v>
      </c>
      <c r="P6763" s="89">
        <v>93</v>
      </c>
      <c r="Q6763" s="422" t="s">
        <v>47</v>
      </c>
      <c r="R6763" s="422" t="s">
        <v>1869</v>
      </c>
      <c r="S6763" s="422" t="s">
        <v>1861</v>
      </c>
      <c r="U6763" s="422" t="s">
        <v>1953</v>
      </c>
      <c r="V6763" s="422" t="s">
        <v>2813</v>
      </c>
    </row>
    <row r="6764" spans="1:22" ht="15.75" thickBot="1" x14ac:dyDescent="0.3">
      <c r="A6764" t="s">
        <v>545</v>
      </c>
      <c r="B6764" s="424" t="str">
        <f t="shared" ref="B6764:B6827" si="294">LEFT(A6764,IFERROR(FIND(" - ",A6764)-1,LEN(A6764)))</f>
        <v>Barraqueiro Transportes</v>
      </c>
      <c r="C6764" s="424" t="str">
        <f t="shared" si="293"/>
        <v>Estremadura</v>
      </c>
      <c r="D6764" t="s">
        <v>629</v>
      </c>
      <c r="F6764" s="432" t="s">
        <v>620</v>
      </c>
      <c r="G6764" s="89">
        <v>2019</v>
      </c>
      <c r="H6764" s="313" t="s">
        <v>733</v>
      </c>
      <c r="I6764" s="311" t="str">
        <f t="shared" si="290"/>
        <v>Pesado de Passageiros M3:  : Gasóleo : E6</v>
      </c>
      <c r="J6764" s="422">
        <v>53</v>
      </c>
      <c r="K6764" s="422">
        <v>2023</v>
      </c>
      <c r="L6764">
        <v>33251.713999999993</v>
      </c>
      <c r="M6764" s="422" t="s">
        <v>630</v>
      </c>
      <c r="N6764" s="131">
        <v>135055</v>
      </c>
      <c r="O6764" s="436">
        <f t="shared" si="292"/>
        <v>7157915</v>
      </c>
      <c r="P6764" s="89">
        <v>110</v>
      </c>
      <c r="Q6764" t="s">
        <v>47</v>
      </c>
      <c r="R6764" s="422" t="s">
        <v>1869</v>
      </c>
      <c r="S6764" s="422" t="s">
        <v>1861</v>
      </c>
      <c r="T6764" s="422"/>
      <c r="U6764" s="422" t="s">
        <v>1953</v>
      </c>
      <c r="V6764" s="422" t="s">
        <v>2813</v>
      </c>
    </row>
    <row r="6765" spans="1:22" ht="15.75" thickBot="1" x14ac:dyDescent="0.3">
      <c r="A6765" t="s">
        <v>545</v>
      </c>
      <c r="B6765" s="424" t="str">
        <f t="shared" si="294"/>
        <v>Barraqueiro Transportes</v>
      </c>
      <c r="C6765" s="424" t="str">
        <f t="shared" si="293"/>
        <v>Estremadura</v>
      </c>
      <c r="D6765" t="s">
        <v>629</v>
      </c>
      <c r="F6765" s="432" t="s">
        <v>620</v>
      </c>
      <c r="G6765" s="89">
        <v>2019</v>
      </c>
      <c r="H6765" s="313" t="s">
        <v>733</v>
      </c>
      <c r="I6765" s="311" t="str">
        <f t="shared" si="290"/>
        <v>Pesado de Passageiros M3:  : Gasóleo : E6</v>
      </c>
      <c r="J6765" s="422">
        <v>53</v>
      </c>
      <c r="K6765" s="422">
        <v>2023</v>
      </c>
      <c r="L6765">
        <v>25545.37</v>
      </c>
      <c r="M6765" s="422" t="s">
        <v>630</v>
      </c>
      <c r="N6765" s="131">
        <v>102690</v>
      </c>
      <c r="O6765" s="436">
        <f t="shared" si="292"/>
        <v>5442570</v>
      </c>
      <c r="P6765" s="89">
        <v>111</v>
      </c>
      <c r="Q6765" t="s">
        <v>47</v>
      </c>
      <c r="R6765" s="422" t="s">
        <v>1869</v>
      </c>
      <c r="S6765" s="422" t="s">
        <v>1861</v>
      </c>
      <c r="T6765" s="422"/>
      <c r="U6765" s="422" t="s">
        <v>1953</v>
      </c>
      <c r="V6765" s="422" t="s">
        <v>2813</v>
      </c>
    </row>
    <row r="6766" spans="1:22" ht="15.75" thickBot="1" x14ac:dyDescent="0.3">
      <c r="A6766" t="s">
        <v>545</v>
      </c>
      <c r="B6766" s="424" t="str">
        <f t="shared" si="294"/>
        <v>Barraqueiro Transportes</v>
      </c>
      <c r="C6766" s="424" t="str">
        <f t="shared" si="293"/>
        <v>Estremadura</v>
      </c>
      <c r="D6766" t="s">
        <v>629</v>
      </c>
      <c r="F6766" s="432" t="s">
        <v>620</v>
      </c>
      <c r="G6766" s="89">
        <v>2019</v>
      </c>
      <c r="H6766" s="313" t="s">
        <v>733</v>
      </c>
      <c r="I6766" s="311" t="str">
        <f t="shared" si="290"/>
        <v>Pesado de Passageiros M3:  : Gasóleo : E6</v>
      </c>
      <c r="J6766" s="422">
        <v>53</v>
      </c>
      <c r="K6766" s="422">
        <v>2023</v>
      </c>
      <c r="L6766">
        <v>26791.679999999997</v>
      </c>
      <c r="M6766" s="422" t="s">
        <v>630</v>
      </c>
      <c r="N6766" s="131">
        <v>106886</v>
      </c>
      <c r="O6766" s="436">
        <f t="shared" si="292"/>
        <v>5664958</v>
      </c>
      <c r="P6766" s="89">
        <v>112</v>
      </c>
      <c r="Q6766" t="s">
        <v>47</v>
      </c>
      <c r="R6766" s="422" t="s">
        <v>1869</v>
      </c>
      <c r="S6766" s="422" t="s">
        <v>1861</v>
      </c>
      <c r="T6766" s="422"/>
      <c r="U6766" s="422" t="s">
        <v>1953</v>
      </c>
      <c r="V6766" s="422" t="s">
        <v>2813</v>
      </c>
    </row>
    <row r="6767" spans="1:22" ht="15.75" thickBot="1" x14ac:dyDescent="0.3">
      <c r="A6767" t="s">
        <v>545</v>
      </c>
      <c r="B6767" s="424" t="str">
        <f t="shared" si="294"/>
        <v>Barraqueiro Transportes</v>
      </c>
      <c r="C6767" s="424" t="str">
        <f t="shared" si="293"/>
        <v>Estremadura</v>
      </c>
      <c r="D6767" t="s">
        <v>629</v>
      </c>
      <c r="F6767" s="432" t="s">
        <v>620</v>
      </c>
      <c r="G6767" s="89">
        <v>2019</v>
      </c>
      <c r="H6767" s="313" t="s">
        <v>733</v>
      </c>
      <c r="I6767" s="311" t="str">
        <f t="shared" si="290"/>
        <v>Pesado de Passageiros M3:  : Gasóleo : E6</v>
      </c>
      <c r="J6767" s="422">
        <v>53</v>
      </c>
      <c r="K6767" s="422">
        <v>2023</v>
      </c>
      <c r="L6767">
        <v>26260.61</v>
      </c>
      <c r="M6767" s="422" t="s">
        <v>630</v>
      </c>
      <c r="N6767" s="131">
        <v>105745</v>
      </c>
      <c r="O6767" s="436">
        <f t="shared" si="292"/>
        <v>5604485</v>
      </c>
      <c r="P6767" s="89">
        <v>113</v>
      </c>
      <c r="Q6767" t="s">
        <v>47</v>
      </c>
      <c r="R6767" s="422" t="s">
        <v>1869</v>
      </c>
      <c r="S6767" s="422" t="s">
        <v>1861</v>
      </c>
      <c r="T6767" s="422"/>
      <c r="U6767" s="422" t="s">
        <v>1953</v>
      </c>
      <c r="V6767" s="422" t="s">
        <v>2813</v>
      </c>
    </row>
    <row r="6768" spans="1:22" ht="15.75" thickBot="1" x14ac:dyDescent="0.3">
      <c r="A6768" t="s">
        <v>545</v>
      </c>
      <c r="B6768" s="424" t="str">
        <f t="shared" si="294"/>
        <v>Barraqueiro Transportes</v>
      </c>
      <c r="C6768" s="424" t="str">
        <f t="shared" si="293"/>
        <v>Estremadura</v>
      </c>
      <c r="D6768" t="s">
        <v>629</v>
      </c>
      <c r="F6768" s="432" t="s">
        <v>620</v>
      </c>
      <c r="G6768" s="89">
        <v>2019</v>
      </c>
      <c r="H6768" s="313" t="s">
        <v>733</v>
      </c>
      <c r="I6768" s="311" t="str">
        <f t="shared" si="290"/>
        <v>Pesado de Passageiros M3:  : Gasóleo : E6</v>
      </c>
      <c r="J6768" s="422">
        <v>53</v>
      </c>
      <c r="K6768" s="422">
        <v>2023</v>
      </c>
      <c r="L6768">
        <v>30112.21</v>
      </c>
      <c r="M6768" s="422" t="s">
        <v>630</v>
      </c>
      <c r="N6768" s="131">
        <v>119717</v>
      </c>
      <c r="O6768" s="436">
        <f t="shared" si="292"/>
        <v>6345001</v>
      </c>
      <c r="P6768" s="89">
        <v>114</v>
      </c>
      <c r="Q6768" t="s">
        <v>47</v>
      </c>
      <c r="R6768" s="422" t="s">
        <v>1869</v>
      </c>
      <c r="S6768" s="422" t="s">
        <v>1861</v>
      </c>
      <c r="T6768" s="422"/>
      <c r="U6768" s="422" t="s">
        <v>1953</v>
      </c>
      <c r="V6768" s="422" t="s">
        <v>2813</v>
      </c>
    </row>
    <row r="6769" spans="1:22" ht="15.75" thickBot="1" x14ac:dyDescent="0.3">
      <c r="A6769" t="s">
        <v>545</v>
      </c>
      <c r="B6769" s="424" t="str">
        <f t="shared" si="294"/>
        <v>Barraqueiro Transportes</v>
      </c>
      <c r="C6769" s="424" t="str">
        <f t="shared" si="293"/>
        <v>Estremadura</v>
      </c>
      <c r="D6769" t="s">
        <v>629</v>
      </c>
      <c r="F6769" s="432" t="s">
        <v>620</v>
      </c>
      <c r="G6769" s="89">
        <v>2019</v>
      </c>
      <c r="H6769" s="313" t="s">
        <v>733</v>
      </c>
      <c r="I6769" s="311" t="str">
        <f t="shared" si="290"/>
        <v>Pesado de Passageiros M3:  : Gasóleo : E6</v>
      </c>
      <c r="J6769" s="422">
        <v>53</v>
      </c>
      <c r="K6769" s="422">
        <v>2023</v>
      </c>
      <c r="L6769">
        <v>29872.6</v>
      </c>
      <c r="M6769" s="422" t="s">
        <v>630</v>
      </c>
      <c r="N6769" s="131">
        <v>120223</v>
      </c>
      <c r="O6769" s="436">
        <f t="shared" si="292"/>
        <v>6371819</v>
      </c>
      <c r="P6769" s="89">
        <v>115</v>
      </c>
      <c r="Q6769" t="s">
        <v>47</v>
      </c>
      <c r="R6769" s="422" t="s">
        <v>1869</v>
      </c>
      <c r="S6769" s="422" t="s">
        <v>1861</v>
      </c>
      <c r="T6769" s="422"/>
      <c r="U6769" s="422" t="s">
        <v>1953</v>
      </c>
      <c r="V6769" s="422" t="s">
        <v>2813</v>
      </c>
    </row>
    <row r="6770" spans="1:22" ht="15.75" thickBot="1" x14ac:dyDescent="0.3">
      <c r="A6770" t="s">
        <v>545</v>
      </c>
      <c r="B6770" s="424" t="str">
        <f t="shared" si="294"/>
        <v>Barraqueiro Transportes</v>
      </c>
      <c r="C6770" s="424" t="str">
        <f t="shared" si="293"/>
        <v>Estremadura</v>
      </c>
      <c r="D6770" t="s">
        <v>629</v>
      </c>
      <c r="F6770" s="432" t="s">
        <v>620</v>
      </c>
      <c r="G6770" s="89">
        <v>2019</v>
      </c>
      <c r="H6770" s="313" t="s">
        <v>733</v>
      </c>
      <c r="I6770" s="311" t="str">
        <f t="shared" si="290"/>
        <v>Pesado de Passageiros M3:  : Gasóleo : E6</v>
      </c>
      <c r="J6770" s="422">
        <v>39</v>
      </c>
      <c r="K6770" s="422">
        <v>2023</v>
      </c>
      <c r="L6770">
        <v>16104.850000000002</v>
      </c>
      <c r="M6770" s="422" t="s">
        <v>630</v>
      </c>
      <c r="N6770" s="131">
        <v>58388</v>
      </c>
      <c r="O6770" s="436">
        <f t="shared" si="292"/>
        <v>2277132</v>
      </c>
      <c r="P6770" s="89">
        <v>116</v>
      </c>
      <c r="Q6770" t="s">
        <v>47</v>
      </c>
      <c r="R6770" s="422" t="s">
        <v>1869</v>
      </c>
      <c r="S6770" s="422" t="s">
        <v>1861</v>
      </c>
      <c r="T6770" s="422"/>
      <c r="U6770" s="422" t="s">
        <v>1953</v>
      </c>
      <c r="V6770" s="422" t="s">
        <v>2813</v>
      </c>
    </row>
    <row r="6771" spans="1:22" ht="15.75" thickBot="1" x14ac:dyDescent="0.3">
      <c r="A6771" t="s">
        <v>545</v>
      </c>
      <c r="B6771" s="424" t="str">
        <f t="shared" si="294"/>
        <v>Barraqueiro Transportes</v>
      </c>
      <c r="C6771" s="424" t="str">
        <f t="shared" si="293"/>
        <v>Estremadura</v>
      </c>
      <c r="D6771" t="s">
        <v>629</v>
      </c>
      <c r="F6771" s="432" t="s">
        <v>620</v>
      </c>
      <c r="G6771" s="89">
        <v>2019</v>
      </c>
      <c r="H6771" s="313" t="s">
        <v>733</v>
      </c>
      <c r="I6771" s="311" t="str">
        <f t="shared" si="290"/>
        <v>Pesado de Passageiros M3:  : Gasóleo : E6</v>
      </c>
      <c r="J6771" s="422">
        <v>39</v>
      </c>
      <c r="K6771" s="422">
        <v>2023</v>
      </c>
      <c r="L6771">
        <v>15698.339999999998</v>
      </c>
      <c r="M6771" s="422" t="s">
        <v>630</v>
      </c>
      <c r="N6771" s="131">
        <v>57775</v>
      </c>
      <c r="O6771" s="436">
        <f t="shared" si="292"/>
        <v>2253225</v>
      </c>
      <c r="P6771" s="89">
        <v>117</v>
      </c>
      <c r="Q6771" t="s">
        <v>47</v>
      </c>
      <c r="R6771" s="422" t="s">
        <v>1869</v>
      </c>
      <c r="S6771" s="422" t="s">
        <v>1861</v>
      </c>
      <c r="T6771" s="422"/>
      <c r="U6771" s="422" t="s">
        <v>1953</v>
      </c>
      <c r="V6771" s="422" t="s">
        <v>2813</v>
      </c>
    </row>
    <row r="6772" spans="1:22" ht="15.75" thickBot="1" x14ac:dyDescent="0.3">
      <c r="A6772" t="s">
        <v>545</v>
      </c>
      <c r="B6772" s="424" t="str">
        <f t="shared" si="294"/>
        <v>Barraqueiro Transportes</v>
      </c>
      <c r="C6772" s="424" t="str">
        <f t="shared" si="293"/>
        <v>Estremadura</v>
      </c>
      <c r="D6772" t="s">
        <v>629</v>
      </c>
      <c r="F6772" s="432" t="s">
        <v>620</v>
      </c>
      <c r="G6772" s="89">
        <v>2019</v>
      </c>
      <c r="H6772" s="313" t="s">
        <v>733</v>
      </c>
      <c r="I6772" s="311" t="str">
        <f t="shared" si="290"/>
        <v>Pesado de Passageiros M3:  : Gasóleo : E6</v>
      </c>
      <c r="J6772" s="422">
        <v>63</v>
      </c>
      <c r="K6772" s="422">
        <v>2023</v>
      </c>
      <c r="L6772">
        <v>30400.850000000002</v>
      </c>
      <c r="M6772" s="422" t="s">
        <v>630</v>
      </c>
      <c r="N6772" s="131">
        <v>100862</v>
      </c>
      <c r="O6772" s="436">
        <f t="shared" si="292"/>
        <v>6354306</v>
      </c>
      <c r="P6772" s="89">
        <v>118</v>
      </c>
      <c r="Q6772" t="s">
        <v>47</v>
      </c>
      <c r="R6772" s="422" t="s">
        <v>1869</v>
      </c>
      <c r="S6772" s="422" t="s">
        <v>1861</v>
      </c>
      <c r="T6772" s="422"/>
      <c r="U6772" s="422" t="s">
        <v>1953</v>
      </c>
      <c r="V6772" s="422" t="s">
        <v>2813</v>
      </c>
    </row>
    <row r="6773" spans="1:22" ht="15.75" thickBot="1" x14ac:dyDescent="0.3">
      <c r="A6773" t="s">
        <v>545</v>
      </c>
      <c r="B6773" s="424" t="str">
        <f t="shared" si="294"/>
        <v>Barraqueiro Transportes</v>
      </c>
      <c r="C6773" s="424" t="str">
        <f t="shared" si="293"/>
        <v>Estremadura</v>
      </c>
      <c r="D6773" t="s">
        <v>629</v>
      </c>
      <c r="F6773" s="432" t="s">
        <v>620</v>
      </c>
      <c r="G6773" s="89">
        <v>2019</v>
      </c>
      <c r="H6773" s="313" t="s">
        <v>733</v>
      </c>
      <c r="I6773" s="311" t="str">
        <f t="shared" si="290"/>
        <v>Pesado de Passageiros M3:  : Gasóleo : E6</v>
      </c>
      <c r="J6773" s="422">
        <v>19</v>
      </c>
      <c r="K6773" s="422">
        <v>2023</v>
      </c>
      <c r="L6773">
        <v>4178.07</v>
      </c>
      <c r="M6773" s="422" t="s">
        <v>630</v>
      </c>
      <c r="N6773" s="131">
        <v>22689</v>
      </c>
      <c r="O6773" s="436">
        <f t="shared" si="292"/>
        <v>431091</v>
      </c>
      <c r="P6773" s="89">
        <v>119</v>
      </c>
      <c r="Q6773" t="s">
        <v>47</v>
      </c>
      <c r="R6773" s="422" t="s">
        <v>1869</v>
      </c>
      <c r="S6773" s="422" t="s">
        <v>1861</v>
      </c>
      <c r="T6773" s="422"/>
      <c r="U6773" s="422" t="s">
        <v>1953</v>
      </c>
      <c r="V6773" s="422" t="s">
        <v>2813</v>
      </c>
    </row>
    <row r="6774" spans="1:22" ht="15.75" thickBot="1" x14ac:dyDescent="0.3">
      <c r="A6774" t="s">
        <v>545</v>
      </c>
      <c r="B6774" s="424" t="str">
        <f t="shared" si="294"/>
        <v>Barraqueiro Transportes</v>
      </c>
      <c r="C6774" s="424" t="str">
        <f t="shared" si="293"/>
        <v>Estremadura</v>
      </c>
      <c r="D6774" t="s">
        <v>629</v>
      </c>
      <c r="F6774" s="432" t="s">
        <v>620</v>
      </c>
      <c r="G6774" s="89">
        <v>2019</v>
      </c>
      <c r="H6774" s="313" t="s">
        <v>733</v>
      </c>
      <c r="I6774" s="311" t="str">
        <f t="shared" si="290"/>
        <v>Pesado de Passageiros M3:  : Gasóleo : E6</v>
      </c>
      <c r="J6774" s="422">
        <v>39</v>
      </c>
      <c r="K6774" s="422">
        <v>2023</v>
      </c>
      <c r="L6774">
        <v>12931.57</v>
      </c>
      <c r="M6774" s="422" t="s">
        <v>630</v>
      </c>
      <c r="N6774" s="131">
        <v>46916</v>
      </c>
      <c r="O6774" s="436">
        <f t="shared" si="292"/>
        <v>1829724</v>
      </c>
      <c r="P6774" s="89">
        <v>120</v>
      </c>
      <c r="Q6774" t="s">
        <v>47</v>
      </c>
      <c r="R6774" s="422" t="s">
        <v>1869</v>
      </c>
      <c r="S6774" s="422" t="s">
        <v>1861</v>
      </c>
      <c r="T6774" s="422"/>
      <c r="U6774" s="422" t="s">
        <v>1953</v>
      </c>
      <c r="V6774" s="422" t="s">
        <v>2813</v>
      </c>
    </row>
    <row r="6775" spans="1:22" ht="15.75" thickBot="1" x14ac:dyDescent="0.3">
      <c r="A6775" t="s">
        <v>545</v>
      </c>
      <c r="B6775" s="424" t="str">
        <f t="shared" si="294"/>
        <v>Barraqueiro Transportes</v>
      </c>
      <c r="C6775" s="424" t="str">
        <f t="shared" si="293"/>
        <v>Estremadura</v>
      </c>
      <c r="D6775" t="s">
        <v>629</v>
      </c>
      <c r="F6775" s="432" t="s">
        <v>620</v>
      </c>
      <c r="G6775" s="89">
        <v>2019</v>
      </c>
      <c r="H6775" s="313" t="s">
        <v>733</v>
      </c>
      <c r="I6775" s="311" t="str">
        <f t="shared" si="290"/>
        <v>Pesado de Passageiros M3:  : Gasóleo : E6</v>
      </c>
      <c r="J6775" s="422">
        <v>53</v>
      </c>
      <c r="K6775" s="422">
        <v>2023</v>
      </c>
      <c r="L6775">
        <v>27364.230000000003</v>
      </c>
      <c r="M6775" s="422" t="s">
        <v>630</v>
      </c>
      <c r="N6775" s="131">
        <v>109785</v>
      </c>
      <c r="O6775" s="436">
        <f t="shared" si="292"/>
        <v>5818605</v>
      </c>
      <c r="P6775" s="89">
        <v>121</v>
      </c>
      <c r="Q6775" t="s">
        <v>47</v>
      </c>
      <c r="R6775" s="422" t="s">
        <v>1869</v>
      </c>
      <c r="S6775" s="422" t="s">
        <v>1861</v>
      </c>
      <c r="T6775" s="422"/>
      <c r="U6775" s="422" t="s">
        <v>1953</v>
      </c>
      <c r="V6775" s="422" t="s">
        <v>2813</v>
      </c>
    </row>
    <row r="6776" spans="1:22" ht="15.75" thickBot="1" x14ac:dyDescent="0.3">
      <c r="A6776" t="s">
        <v>545</v>
      </c>
      <c r="B6776" s="424" t="str">
        <f t="shared" si="294"/>
        <v>Barraqueiro Transportes</v>
      </c>
      <c r="C6776" s="424" t="str">
        <f t="shared" si="293"/>
        <v>Estremadura</v>
      </c>
      <c r="D6776" t="s">
        <v>629</v>
      </c>
      <c r="F6776" s="432" t="s">
        <v>620</v>
      </c>
      <c r="G6776" s="89">
        <v>2019</v>
      </c>
      <c r="H6776" s="313" t="s">
        <v>733</v>
      </c>
      <c r="I6776" s="311" t="str">
        <f t="shared" si="290"/>
        <v>Pesado de Passageiros M3:  : Gasóleo : E6</v>
      </c>
      <c r="J6776" s="422">
        <v>29</v>
      </c>
      <c r="K6776" s="422">
        <v>2023</v>
      </c>
      <c r="L6776">
        <v>3236.21</v>
      </c>
      <c r="M6776" s="422" t="s">
        <v>630</v>
      </c>
      <c r="N6776" s="131">
        <v>14457</v>
      </c>
      <c r="O6776" s="436">
        <f t="shared" si="292"/>
        <v>419253</v>
      </c>
      <c r="P6776" s="89">
        <v>122</v>
      </c>
      <c r="Q6776" t="s">
        <v>47</v>
      </c>
      <c r="R6776" s="422" t="s">
        <v>1869</v>
      </c>
      <c r="S6776" s="422" t="s">
        <v>1861</v>
      </c>
      <c r="T6776" s="422"/>
      <c r="U6776" s="422" t="s">
        <v>1953</v>
      </c>
      <c r="V6776" s="422" t="s">
        <v>2813</v>
      </c>
    </row>
    <row r="6777" spans="1:22" ht="15.75" thickBot="1" x14ac:dyDescent="0.3">
      <c r="A6777" t="s">
        <v>545</v>
      </c>
      <c r="B6777" s="424" t="str">
        <f t="shared" si="294"/>
        <v>Barraqueiro Transportes</v>
      </c>
      <c r="C6777" s="424" t="str">
        <f t="shared" si="293"/>
        <v>Estremadura</v>
      </c>
      <c r="D6777" t="s">
        <v>629</v>
      </c>
      <c r="F6777" s="432" t="s">
        <v>620</v>
      </c>
      <c r="G6777" s="89">
        <v>2019</v>
      </c>
      <c r="H6777" s="313" t="s">
        <v>733</v>
      </c>
      <c r="I6777" s="311" t="str">
        <f t="shared" si="290"/>
        <v>Pesado de Passageiros M3:  : Gasóleo : E6</v>
      </c>
      <c r="J6777" s="422">
        <v>29</v>
      </c>
      <c r="K6777" s="422">
        <v>2023</v>
      </c>
      <c r="L6777">
        <v>3219.1800000000003</v>
      </c>
      <c r="M6777" s="422" t="s">
        <v>630</v>
      </c>
      <c r="N6777" s="131">
        <v>14260</v>
      </c>
      <c r="O6777" s="436">
        <f t="shared" si="292"/>
        <v>413540</v>
      </c>
      <c r="P6777" s="89">
        <v>123</v>
      </c>
      <c r="Q6777" t="s">
        <v>47</v>
      </c>
      <c r="R6777" s="422" t="s">
        <v>1869</v>
      </c>
      <c r="S6777" s="422" t="s">
        <v>1861</v>
      </c>
      <c r="T6777" s="422"/>
      <c r="U6777" s="422" t="s">
        <v>1953</v>
      </c>
      <c r="V6777" s="422" t="s">
        <v>2813</v>
      </c>
    </row>
    <row r="6778" spans="1:22" ht="15.75" thickBot="1" x14ac:dyDescent="0.3">
      <c r="A6778" t="s">
        <v>545</v>
      </c>
      <c r="B6778" s="424" t="str">
        <f t="shared" si="294"/>
        <v>Barraqueiro Transportes</v>
      </c>
      <c r="C6778" s="424" t="str">
        <f t="shared" si="293"/>
        <v>Estremadura</v>
      </c>
      <c r="D6778" t="s">
        <v>629</v>
      </c>
      <c r="F6778" s="432" t="s">
        <v>620</v>
      </c>
      <c r="G6778" s="89">
        <v>2019</v>
      </c>
      <c r="H6778" s="313" t="s">
        <v>733</v>
      </c>
      <c r="I6778" s="311" t="str">
        <f t="shared" si="290"/>
        <v>Pesado de Passageiros M3:  : Gasóleo : E6</v>
      </c>
      <c r="J6778" s="422">
        <v>29</v>
      </c>
      <c r="K6778" s="422">
        <v>2023</v>
      </c>
      <c r="L6778">
        <v>3425.99</v>
      </c>
      <c r="M6778" s="422" t="s">
        <v>630</v>
      </c>
      <c r="N6778" s="131">
        <v>15488</v>
      </c>
      <c r="O6778" s="436">
        <f t="shared" si="292"/>
        <v>449152</v>
      </c>
      <c r="P6778" s="89">
        <v>124</v>
      </c>
      <c r="Q6778" t="s">
        <v>47</v>
      </c>
      <c r="R6778" s="422" t="s">
        <v>1869</v>
      </c>
      <c r="S6778" s="422" t="s">
        <v>1861</v>
      </c>
      <c r="T6778" s="422"/>
      <c r="U6778" s="422" t="s">
        <v>1953</v>
      </c>
      <c r="V6778" s="422" t="s">
        <v>2813</v>
      </c>
    </row>
    <row r="6779" spans="1:22" ht="15.75" thickBot="1" x14ac:dyDescent="0.3">
      <c r="A6779" t="s">
        <v>545</v>
      </c>
      <c r="B6779" s="424" t="str">
        <f t="shared" si="294"/>
        <v>Barraqueiro Transportes</v>
      </c>
      <c r="C6779" s="424" t="str">
        <f t="shared" si="293"/>
        <v>Estremadura</v>
      </c>
      <c r="D6779" t="s">
        <v>629</v>
      </c>
      <c r="F6779" s="432" t="s">
        <v>620</v>
      </c>
      <c r="G6779" s="89">
        <v>2012</v>
      </c>
      <c r="H6779" s="313" t="s">
        <v>734</v>
      </c>
      <c r="I6779" s="311" t="str">
        <f t="shared" si="290"/>
        <v>Pesado de Passageiros M3:  : Gasóleo : E5</v>
      </c>
      <c r="J6779" s="422">
        <v>57</v>
      </c>
      <c r="K6779" s="422">
        <v>2023</v>
      </c>
      <c r="L6779">
        <v>13927.400000000001</v>
      </c>
      <c r="M6779" s="422" t="s">
        <v>630</v>
      </c>
      <c r="N6779" s="131">
        <v>45957</v>
      </c>
      <c r="O6779" s="436">
        <f t="shared" si="292"/>
        <v>2619549</v>
      </c>
      <c r="P6779" s="89">
        <v>125</v>
      </c>
      <c r="Q6779" t="s">
        <v>47</v>
      </c>
      <c r="R6779" s="422" t="s">
        <v>1869</v>
      </c>
      <c r="S6779" s="422" t="s">
        <v>1861</v>
      </c>
      <c r="T6779" s="422"/>
      <c r="U6779" s="422" t="s">
        <v>1953</v>
      </c>
      <c r="V6779" s="422" t="s">
        <v>2813</v>
      </c>
    </row>
    <row r="6780" spans="1:22" ht="15.75" thickBot="1" x14ac:dyDescent="0.3">
      <c r="A6780" t="s">
        <v>545</v>
      </c>
      <c r="B6780" s="424" t="str">
        <f t="shared" si="294"/>
        <v>Barraqueiro Transportes</v>
      </c>
      <c r="C6780" s="424" t="str">
        <f t="shared" si="293"/>
        <v>Estremadura</v>
      </c>
      <c r="D6780" t="s">
        <v>629</v>
      </c>
      <c r="F6780" s="432" t="s">
        <v>620</v>
      </c>
      <c r="G6780" s="89">
        <v>2019</v>
      </c>
      <c r="H6780" s="313" t="s">
        <v>733</v>
      </c>
      <c r="I6780" s="311" t="str">
        <f t="shared" si="290"/>
        <v>Pesado de Passageiros M3:  : Gasóleo : E6</v>
      </c>
      <c r="J6780" s="422">
        <v>25</v>
      </c>
      <c r="K6780" s="422">
        <v>2023</v>
      </c>
      <c r="L6780">
        <v>14292.569999999998</v>
      </c>
      <c r="M6780" s="422" t="s">
        <v>630</v>
      </c>
      <c r="N6780" s="131">
        <v>72293</v>
      </c>
      <c r="O6780" s="436">
        <f t="shared" si="292"/>
        <v>1807325</v>
      </c>
      <c r="P6780" s="89">
        <v>126</v>
      </c>
      <c r="Q6780" t="s">
        <v>47</v>
      </c>
      <c r="R6780" s="422" t="s">
        <v>1869</v>
      </c>
      <c r="S6780" s="422" t="s">
        <v>1861</v>
      </c>
      <c r="T6780" s="422"/>
      <c r="U6780" s="422" t="s">
        <v>1953</v>
      </c>
      <c r="V6780" s="422" t="s">
        <v>2813</v>
      </c>
    </row>
    <row r="6781" spans="1:22" ht="15.75" thickBot="1" x14ac:dyDescent="0.3">
      <c r="A6781" t="s">
        <v>545</v>
      </c>
      <c r="B6781" s="424" t="str">
        <f t="shared" si="294"/>
        <v>Barraqueiro Transportes</v>
      </c>
      <c r="C6781" s="424" t="str">
        <f t="shared" si="293"/>
        <v>Estremadura</v>
      </c>
      <c r="D6781" t="s">
        <v>629</v>
      </c>
      <c r="F6781" s="432" t="s">
        <v>620</v>
      </c>
      <c r="G6781" s="89">
        <v>2015</v>
      </c>
      <c r="H6781" s="313" t="s">
        <v>733</v>
      </c>
      <c r="I6781" s="311" t="str">
        <f t="shared" si="290"/>
        <v>Pesado de Passageiros M3:  : Gasóleo : E6</v>
      </c>
      <c r="J6781" s="422">
        <v>25</v>
      </c>
      <c r="K6781" s="422">
        <v>2023</v>
      </c>
      <c r="L6781">
        <v>10559.16</v>
      </c>
      <c r="M6781" s="422" t="s">
        <v>630</v>
      </c>
      <c r="N6781" s="131">
        <v>55272</v>
      </c>
      <c r="O6781" s="436">
        <f t="shared" si="292"/>
        <v>1381800</v>
      </c>
      <c r="P6781" s="89">
        <v>128</v>
      </c>
      <c r="Q6781" t="s">
        <v>47</v>
      </c>
      <c r="R6781" s="422" t="s">
        <v>1869</v>
      </c>
      <c r="S6781" s="422" t="s">
        <v>1861</v>
      </c>
      <c r="T6781" s="422"/>
      <c r="U6781" s="422" t="s">
        <v>1953</v>
      </c>
      <c r="V6781" s="422" t="s">
        <v>2813</v>
      </c>
    </row>
    <row r="6782" spans="1:22" ht="15.75" thickBot="1" x14ac:dyDescent="0.3">
      <c r="A6782" t="s">
        <v>545</v>
      </c>
      <c r="B6782" s="424" t="str">
        <f t="shared" si="294"/>
        <v>Barraqueiro Transportes</v>
      </c>
      <c r="C6782" s="424" t="str">
        <f t="shared" si="293"/>
        <v>Estremadura</v>
      </c>
      <c r="D6782" t="s">
        <v>629</v>
      </c>
      <c r="F6782" s="432" t="s">
        <v>620</v>
      </c>
      <c r="G6782" s="89">
        <v>2019</v>
      </c>
      <c r="H6782" s="313" t="s">
        <v>733</v>
      </c>
      <c r="I6782" s="311" t="str">
        <f t="shared" si="290"/>
        <v>Pesado de Passageiros M3:  : Gasóleo : E6</v>
      </c>
      <c r="J6782" s="422">
        <v>25</v>
      </c>
      <c r="K6782" s="422">
        <v>2023</v>
      </c>
      <c r="L6782">
        <v>15722.12</v>
      </c>
      <c r="M6782" s="422" t="s">
        <v>630</v>
      </c>
      <c r="N6782" s="131">
        <v>78133</v>
      </c>
      <c r="O6782" s="436">
        <f t="shared" si="292"/>
        <v>1953325</v>
      </c>
      <c r="P6782" s="89">
        <v>129</v>
      </c>
      <c r="Q6782" t="s">
        <v>47</v>
      </c>
      <c r="R6782" s="422" t="s">
        <v>1869</v>
      </c>
      <c r="S6782" s="422" t="s">
        <v>1861</v>
      </c>
      <c r="T6782" s="422"/>
      <c r="U6782" s="422" t="s">
        <v>1953</v>
      </c>
      <c r="V6782" s="422" t="s">
        <v>2813</v>
      </c>
    </row>
    <row r="6783" spans="1:22" ht="15.75" thickBot="1" x14ac:dyDescent="0.3">
      <c r="A6783" t="s">
        <v>545</v>
      </c>
      <c r="B6783" s="424" t="str">
        <f t="shared" si="294"/>
        <v>Barraqueiro Transportes</v>
      </c>
      <c r="C6783" s="424" t="str">
        <f t="shared" si="293"/>
        <v>Estremadura</v>
      </c>
      <c r="D6783" t="s">
        <v>629</v>
      </c>
      <c r="F6783" s="432" t="s">
        <v>620</v>
      </c>
      <c r="G6783" s="89">
        <v>2020</v>
      </c>
      <c r="H6783" s="313" t="s">
        <v>733</v>
      </c>
      <c r="I6783" s="311" t="str">
        <f t="shared" si="290"/>
        <v>Pesado de Passageiros M3:  : Gasóleo : E6</v>
      </c>
      <c r="J6783" s="422">
        <v>53</v>
      </c>
      <c r="K6783" s="422">
        <v>2023</v>
      </c>
      <c r="L6783">
        <v>31315.8</v>
      </c>
      <c r="M6783" s="422" t="s">
        <v>630</v>
      </c>
      <c r="N6783" s="131">
        <v>124364</v>
      </c>
      <c r="O6783" s="436">
        <f t="shared" si="292"/>
        <v>6591292</v>
      </c>
      <c r="P6783" s="89">
        <v>130</v>
      </c>
      <c r="Q6783" t="s">
        <v>47</v>
      </c>
      <c r="R6783" s="422" t="s">
        <v>1869</v>
      </c>
      <c r="S6783" s="422" t="s">
        <v>1861</v>
      </c>
      <c r="T6783" s="422"/>
      <c r="U6783" s="422" t="s">
        <v>1953</v>
      </c>
      <c r="V6783" s="422" t="s">
        <v>2813</v>
      </c>
    </row>
    <row r="6784" spans="1:22" ht="15.75" thickBot="1" x14ac:dyDescent="0.3">
      <c r="A6784" t="s">
        <v>545</v>
      </c>
      <c r="B6784" s="424" t="str">
        <f t="shared" si="294"/>
        <v>Barraqueiro Transportes</v>
      </c>
      <c r="C6784" s="424" t="str">
        <f t="shared" si="293"/>
        <v>Estremadura</v>
      </c>
      <c r="D6784" t="s">
        <v>629</v>
      </c>
      <c r="F6784" s="432" t="s">
        <v>620</v>
      </c>
      <c r="G6784" s="89">
        <v>2020</v>
      </c>
      <c r="H6784" s="313" t="s">
        <v>733</v>
      </c>
      <c r="I6784" s="311" t="str">
        <f t="shared" si="290"/>
        <v>Pesado de Passageiros M3:  : Gasóleo : E6</v>
      </c>
      <c r="J6784" s="422">
        <v>53</v>
      </c>
      <c r="K6784" s="422">
        <v>2023</v>
      </c>
      <c r="L6784">
        <v>31050.859999999997</v>
      </c>
      <c r="M6784" s="422" t="s">
        <v>630</v>
      </c>
      <c r="N6784" s="131">
        <v>119184</v>
      </c>
      <c r="O6784" s="436">
        <f t="shared" si="292"/>
        <v>6316752</v>
      </c>
      <c r="P6784" s="89">
        <v>131</v>
      </c>
      <c r="Q6784" t="s">
        <v>47</v>
      </c>
      <c r="R6784" s="422" t="s">
        <v>1869</v>
      </c>
      <c r="S6784" s="422" t="s">
        <v>1861</v>
      </c>
      <c r="T6784" s="422"/>
      <c r="U6784" s="422" t="s">
        <v>1953</v>
      </c>
      <c r="V6784" s="422" t="s">
        <v>2813</v>
      </c>
    </row>
    <row r="6785" spans="1:22" ht="15.75" thickBot="1" x14ac:dyDescent="0.3">
      <c r="A6785" t="s">
        <v>545</v>
      </c>
      <c r="B6785" s="424" t="str">
        <f t="shared" si="294"/>
        <v>Barraqueiro Transportes</v>
      </c>
      <c r="C6785" s="424" t="str">
        <f t="shared" si="293"/>
        <v>Estremadura</v>
      </c>
      <c r="D6785" t="s">
        <v>629</v>
      </c>
      <c r="F6785" s="432" t="s">
        <v>620</v>
      </c>
      <c r="G6785" s="89">
        <v>2020</v>
      </c>
      <c r="H6785" s="313" t="s">
        <v>733</v>
      </c>
      <c r="I6785" s="311" t="str">
        <f t="shared" si="290"/>
        <v>Pesado de Passageiros M3:  : Gasóleo : E6</v>
      </c>
      <c r="J6785" s="422">
        <v>53</v>
      </c>
      <c r="K6785" s="422">
        <v>2023</v>
      </c>
      <c r="L6785">
        <v>27056.42</v>
      </c>
      <c r="M6785" s="422" t="s">
        <v>630</v>
      </c>
      <c r="N6785" s="131">
        <v>106352</v>
      </c>
      <c r="O6785" s="436">
        <f t="shared" si="292"/>
        <v>5636656</v>
      </c>
      <c r="P6785" s="89">
        <v>132</v>
      </c>
      <c r="Q6785" t="s">
        <v>47</v>
      </c>
      <c r="R6785" s="422" t="s">
        <v>1869</v>
      </c>
      <c r="S6785" s="422" t="s">
        <v>1861</v>
      </c>
      <c r="T6785" s="422"/>
      <c r="U6785" s="422" t="s">
        <v>1953</v>
      </c>
      <c r="V6785" s="422" t="s">
        <v>2813</v>
      </c>
    </row>
    <row r="6786" spans="1:22" ht="15.75" thickBot="1" x14ac:dyDescent="0.3">
      <c r="A6786" t="s">
        <v>545</v>
      </c>
      <c r="B6786" s="424" t="str">
        <f t="shared" si="294"/>
        <v>Barraqueiro Transportes</v>
      </c>
      <c r="C6786" s="424" t="str">
        <f t="shared" si="293"/>
        <v>Estremadura</v>
      </c>
      <c r="D6786" t="s">
        <v>629</v>
      </c>
      <c r="F6786" s="432" t="s">
        <v>620</v>
      </c>
      <c r="G6786" s="89">
        <v>2020</v>
      </c>
      <c r="H6786" s="313" t="s">
        <v>733</v>
      </c>
      <c r="I6786" s="311" t="str">
        <f t="shared" si="290"/>
        <v>Pesado de Passageiros M3:  : Gasóleo : E6</v>
      </c>
      <c r="J6786" s="422">
        <v>53</v>
      </c>
      <c r="K6786" s="422">
        <v>2023</v>
      </c>
      <c r="L6786">
        <v>28279.309999999998</v>
      </c>
      <c r="M6786" s="422" t="s">
        <v>630</v>
      </c>
      <c r="N6786" s="131">
        <v>112030</v>
      </c>
      <c r="O6786" s="436">
        <f t="shared" si="292"/>
        <v>5937590</v>
      </c>
      <c r="P6786" s="89">
        <v>133</v>
      </c>
      <c r="Q6786" t="s">
        <v>47</v>
      </c>
      <c r="R6786" s="422" t="s">
        <v>1869</v>
      </c>
      <c r="S6786" s="422" t="s">
        <v>1861</v>
      </c>
      <c r="T6786" s="422"/>
      <c r="U6786" s="422" t="s">
        <v>1953</v>
      </c>
      <c r="V6786" s="422" t="s">
        <v>2813</v>
      </c>
    </row>
    <row r="6787" spans="1:22" ht="15.75" thickBot="1" x14ac:dyDescent="0.3">
      <c r="A6787" t="s">
        <v>545</v>
      </c>
      <c r="B6787" s="424" t="str">
        <f t="shared" si="294"/>
        <v>Barraqueiro Transportes</v>
      </c>
      <c r="C6787" s="424" t="str">
        <f t="shared" si="293"/>
        <v>Estremadura</v>
      </c>
      <c r="D6787" t="s">
        <v>629</v>
      </c>
      <c r="F6787" s="432" t="s">
        <v>620</v>
      </c>
      <c r="G6787" s="89">
        <v>2020</v>
      </c>
      <c r="H6787" s="313" t="s">
        <v>733</v>
      </c>
      <c r="I6787" s="311" t="str">
        <f t="shared" si="290"/>
        <v>Pesado de Passageiros M3:  : Gasóleo : E6</v>
      </c>
      <c r="J6787" s="422">
        <v>63</v>
      </c>
      <c r="K6787" s="422">
        <v>2023</v>
      </c>
      <c r="L6787">
        <v>52791.020000000004</v>
      </c>
      <c r="M6787" s="422" t="s">
        <v>630</v>
      </c>
      <c r="N6787" s="131">
        <v>183147</v>
      </c>
      <c r="O6787" s="436">
        <f t="shared" si="292"/>
        <v>11538261</v>
      </c>
      <c r="P6787" s="89">
        <v>134</v>
      </c>
      <c r="Q6787" t="s">
        <v>47</v>
      </c>
      <c r="R6787" s="422" t="s">
        <v>1869</v>
      </c>
      <c r="S6787" s="422" t="s">
        <v>1861</v>
      </c>
      <c r="T6787" s="422"/>
      <c r="U6787" s="422" t="s">
        <v>1953</v>
      </c>
      <c r="V6787" s="422" t="s">
        <v>2813</v>
      </c>
    </row>
    <row r="6788" spans="1:22" ht="15.75" thickBot="1" x14ac:dyDescent="0.3">
      <c r="A6788" t="s">
        <v>545</v>
      </c>
      <c r="B6788" s="424" t="str">
        <f t="shared" si="294"/>
        <v>Barraqueiro Transportes</v>
      </c>
      <c r="C6788" s="424" t="str">
        <f t="shared" si="293"/>
        <v>Estremadura</v>
      </c>
      <c r="D6788" t="s">
        <v>629</v>
      </c>
      <c r="F6788" s="432" t="s">
        <v>620</v>
      </c>
      <c r="G6788" s="89">
        <v>2020</v>
      </c>
      <c r="H6788" s="313" t="s">
        <v>733</v>
      </c>
      <c r="I6788" s="311" t="str">
        <f t="shared" si="290"/>
        <v>Pesado de Passageiros M3:  : Gasóleo : E6</v>
      </c>
      <c r="J6788" s="422">
        <v>29</v>
      </c>
      <c r="K6788" s="422">
        <v>2023</v>
      </c>
      <c r="L6788">
        <v>3871.03</v>
      </c>
      <c r="M6788" s="422" t="s">
        <v>630</v>
      </c>
      <c r="N6788" s="131">
        <v>18285</v>
      </c>
      <c r="O6788" s="436">
        <f t="shared" si="292"/>
        <v>530265</v>
      </c>
      <c r="P6788" s="89">
        <v>135</v>
      </c>
      <c r="Q6788" t="s">
        <v>47</v>
      </c>
      <c r="R6788" s="422" t="s">
        <v>1869</v>
      </c>
      <c r="S6788" s="422" t="s">
        <v>1861</v>
      </c>
      <c r="T6788" s="422"/>
      <c r="U6788" s="422" t="s">
        <v>1953</v>
      </c>
      <c r="V6788" s="422" t="s">
        <v>2813</v>
      </c>
    </row>
    <row r="6789" spans="1:22" ht="15.75" thickBot="1" x14ac:dyDescent="0.3">
      <c r="A6789" t="s">
        <v>545</v>
      </c>
      <c r="B6789" s="424" t="str">
        <f t="shared" si="294"/>
        <v>Barraqueiro Transportes</v>
      </c>
      <c r="C6789" s="424" t="str">
        <f t="shared" si="293"/>
        <v>Estremadura</v>
      </c>
      <c r="D6789" t="s">
        <v>629</v>
      </c>
      <c r="F6789" s="432" t="s">
        <v>620</v>
      </c>
      <c r="G6789" s="89">
        <v>2020</v>
      </c>
      <c r="H6789" s="313" t="s">
        <v>733</v>
      </c>
      <c r="I6789" s="311" t="str">
        <f t="shared" si="290"/>
        <v>Pesado de Passageiros M3:  : Gasóleo : E6</v>
      </c>
      <c r="J6789" s="422">
        <v>29</v>
      </c>
      <c r="K6789" s="422">
        <v>2023</v>
      </c>
      <c r="L6789">
        <v>3626.4400000000005</v>
      </c>
      <c r="M6789" s="422" t="s">
        <v>630</v>
      </c>
      <c r="N6789" s="131">
        <v>17072</v>
      </c>
      <c r="O6789" s="436">
        <f t="shared" si="292"/>
        <v>495088</v>
      </c>
      <c r="P6789" s="89">
        <v>136</v>
      </c>
      <c r="Q6789" t="s">
        <v>47</v>
      </c>
      <c r="R6789" s="422" t="s">
        <v>1869</v>
      </c>
      <c r="S6789" s="422" t="s">
        <v>1861</v>
      </c>
      <c r="T6789" s="422"/>
      <c r="U6789" s="422" t="s">
        <v>1953</v>
      </c>
      <c r="V6789" s="422" t="s">
        <v>2813</v>
      </c>
    </row>
    <row r="6790" spans="1:22" ht="15.75" thickBot="1" x14ac:dyDescent="0.3">
      <c r="A6790" t="s">
        <v>545</v>
      </c>
      <c r="B6790" s="424" t="str">
        <f t="shared" si="294"/>
        <v>Barraqueiro Transportes</v>
      </c>
      <c r="C6790" s="424" t="str">
        <f t="shared" si="293"/>
        <v>Estremadura</v>
      </c>
      <c r="D6790" t="s">
        <v>629</v>
      </c>
      <c r="F6790" s="432" t="s">
        <v>620</v>
      </c>
      <c r="G6790" s="89">
        <v>2020</v>
      </c>
      <c r="H6790" s="313" t="s">
        <v>733</v>
      </c>
      <c r="I6790" s="311" t="str">
        <f t="shared" si="290"/>
        <v>Pesado de Passageiros M3:  : Gasóleo : E6</v>
      </c>
      <c r="J6790" s="422">
        <v>29</v>
      </c>
      <c r="K6790" s="422">
        <v>2023</v>
      </c>
      <c r="L6790">
        <v>3769.2399999999993</v>
      </c>
      <c r="M6790" s="422" t="s">
        <v>630</v>
      </c>
      <c r="N6790" s="131">
        <v>19537</v>
      </c>
      <c r="O6790" s="436">
        <f t="shared" si="292"/>
        <v>566573</v>
      </c>
      <c r="P6790" s="89">
        <v>137</v>
      </c>
      <c r="Q6790" t="s">
        <v>47</v>
      </c>
      <c r="R6790" s="422" t="s">
        <v>1869</v>
      </c>
      <c r="S6790" s="422" t="s">
        <v>1861</v>
      </c>
      <c r="T6790" s="422"/>
      <c r="U6790" s="422" t="s">
        <v>1953</v>
      </c>
      <c r="V6790" s="422" t="s">
        <v>2813</v>
      </c>
    </row>
    <row r="6791" spans="1:22" ht="15.75" thickBot="1" x14ac:dyDescent="0.3">
      <c r="A6791" t="s">
        <v>545</v>
      </c>
      <c r="B6791" s="424" t="str">
        <f t="shared" si="294"/>
        <v>Barraqueiro Transportes</v>
      </c>
      <c r="C6791" s="424" t="str">
        <f t="shared" si="293"/>
        <v>Estremadura</v>
      </c>
      <c r="D6791" t="s">
        <v>629</v>
      </c>
      <c r="F6791" s="432" t="s">
        <v>620</v>
      </c>
      <c r="G6791" s="89">
        <v>2020</v>
      </c>
      <c r="H6791" s="313" t="s">
        <v>733</v>
      </c>
      <c r="I6791" s="311" t="str">
        <f t="shared" si="290"/>
        <v>Pesado de Passageiros M3:  : Gasóleo : E6</v>
      </c>
      <c r="J6791" s="422">
        <v>29</v>
      </c>
      <c r="K6791" s="422">
        <v>2023</v>
      </c>
      <c r="L6791">
        <v>2304.9499999999998</v>
      </c>
      <c r="M6791" s="422" t="s">
        <v>630</v>
      </c>
      <c r="N6791" s="131">
        <v>10671</v>
      </c>
      <c r="O6791" s="436">
        <f t="shared" si="292"/>
        <v>309459</v>
      </c>
      <c r="P6791" s="89">
        <v>138</v>
      </c>
      <c r="Q6791" t="s">
        <v>47</v>
      </c>
      <c r="R6791" s="422" t="s">
        <v>1869</v>
      </c>
      <c r="S6791" s="422" t="s">
        <v>1861</v>
      </c>
      <c r="T6791" s="422"/>
      <c r="U6791" s="422" t="s">
        <v>1953</v>
      </c>
      <c r="V6791" s="422" t="s">
        <v>2813</v>
      </c>
    </row>
    <row r="6792" spans="1:22" ht="15.75" thickBot="1" x14ac:dyDescent="0.3">
      <c r="A6792" t="s">
        <v>545</v>
      </c>
      <c r="B6792" s="424" t="str">
        <f t="shared" si="294"/>
        <v>Barraqueiro Transportes</v>
      </c>
      <c r="C6792" s="424" t="str">
        <f t="shared" si="293"/>
        <v>Estremadura</v>
      </c>
      <c r="D6792" t="s">
        <v>629</v>
      </c>
      <c r="F6792" s="432" t="s">
        <v>620</v>
      </c>
      <c r="G6792" s="89">
        <v>2023</v>
      </c>
      <c r="H6792" s="313" t="s">
        <v>5816</v>
      </c>
      <c r="I6792" s="311" t="str">
        <f t="shared" si="290"/>
        <v>Pesado de Passageiros M3:  : Gasóleo : E6 D/E E7</v>
      </c>
      <c r="J6792" s="422">
        <v>64</v>
      </c>
      <c r="K6792" s="422">
        <v>2023</v>
      </c>
      <c r="L6792">
        <v>53540.560000000005</v>
      </c>
      <c r="M6792" s="422" t="s">
        <v>630</v>
      </c>
      <c r="N6792" s="131">
        <v>206760</v>
      </c>
      <c r="O6792" s="436">
        <f t="shared" si="292"/>
        <v>13232640</v>
      </c>
      <c r="P6792" s="89">
        <v>144</v>
      </c>
      <c r="Q6792" t="s">
        <v>47</v>
      </c>
      <c r="R6792" s="422" t="s">
        <v>1869</v>
      </c>
      <c r="S6792" s="422" t="s">
        <v>1861</v>
      </c>
      <c r="T6792" s="422"/>
      <c r="U6792" s="422" t="s">
        <v>1953</v>
      </c>
      <c r="V6792" s="422" t="s">
        <v>2813</v>
      </c>
    </row>
    <row r="6793" spans="1:22" ht="15.75" thickBot="1" x14ac:dyDescent="0.3">
      <c r="A6793" t="s">
        <v>545</v>
      </c>
      <c r="B6793" s="424" t="str">
        <f t="shared" si="294"/>
        <v>Barraqueiro Transportes</v>
      </c>
      <c r="C6793" s="424" t="str">
        <f t="shared" si="293"/>
        <v>Estremadura</v>
      </c>
      <c r="D6793" t="s">
        <v>629</v>
      </c>
      <c r="F6793" s="432" t="s">
        <v>620</v>
      </c>
      <c r="G6793" s="89">
        <v>2023</v>
      </c>
      <c r="H6793" s="313" t="s">
        <v>5816</v>
      </c>
      <c r="I6793" s="311" t="str">
        <f t="shared" si="290"/>
        <v>Pesado de Passageiros M3:  : Gasóleo : E6 D/E E7</v>
      </c>
      <c r="J6793" s="422">
        <v>64</v>
      </c>
      <c r="K6793" s="422">
        <v>2023</v>
      </c>
      <c r="L6793">
        <v>52028.47</v>
      </c>
      <c r="M6793" s="422" t="s">
        <v>630</v>
      </c>
      <c r="N6793" s="131">
        <v>199587</v>
      </c>
      <c r="O6793" s="436">
        <f t="shared" si="292"/>
        <v>12773568</v>
      </c>
      <c r="P6793" s="89">
        <v>145</v>
      </c>
      <c r="Q6793" t="s">
        <v>47</v>
      </c>
      <c r="R6793" s="422" t="s">
        <v>1869</v>
      </c>
      <c r="S6793" s="422" t="s">
        <v>1861</v>
      </c>
      <c r="T6793" s="422"/>
      <c r="U6793" s="422" t="s">
        <v>1953</v>
      </c>
      <c r="V6793" s="422" t="s">
        <v>2813</v>
      </c>
    </row>
    <row r="6794" spans="1:22" ht="15.75" thickBot="1" x14ac:dyDescent="0.3">
      <c r="A6794" t="s">
        <v>545</v>
      </c>
      <c r="B6794" s="424" t="str">
        <f t="shared" si="294"/>
        <v>Barraqueiro Transportes</v>
      </c>
      <c r="C6794" s="424" t="str">
        <f t="shared" si="293"/>
        <v>Estremadura</v>
      </c>
      <c r="D6794" t="s">
        <v>629</v>
      </c>
      <c r="F6794" s="432" t="s">
        <v>620</v>
      </c>
      <c r="G6794" s="89">
        <v>2023</v>
      </c>
      <c r="H6794" s="313" t="s">
        <v>5816</v>
      </c>
      <c r="I6794" s="311" t="str">
        <f t="shared" si="290"/>
        <v>Pesado de Passageiros M3:  : Gasóleo : E6 D/E E7</v>
      </c>
      <c r="J6794" s="422">
        <v>64</v>
      </c>
      <c r="K6794" s="422">
        <v>2023</v>
      </c>
      <c r="L6794">
        <v>52686.990000000005</v>
      </c>
      <c r="M6794" s="422" t="s">
        <v>630</v>
      </c>
      <c r="N6794" s="131">
        <v>202130</v>
      </c>
      <c r="O6794" s="436">
        <f t="shared" si="292"/>
        <v>12936320</v>
      </c>
      <c r="P6794" s="89">
        <v>146</v>
      </c>
      <c r="Q6794" t="s">
        <v>47</v>
      </c>
      <c r="R6794" s="422" t="s">
        <v>1869</v>
      </c>
      <c r="S6794" s="422" t="s">
        <v>1861</v>
      </c>
      <c r="T6794" s="422"/>
      <c r="U6794" s="422" t="s">
        <v>1953</v>
      </c>
      <c r="V6794" s="422" t="s">
        <v>2813</v>
      </c>
    </row>
    <row r="6795" spans="1:22" ht="15.75" thickBot="1" x14ac:dyDescent="0.3">
      <c r="A6795" t="s">
        <v>545</v>
      </c>
      <c r="B6795" s="424" t="str">
        <f t="shared" si="294"/>
        <v>Barraqueiro Transportes</v>
      </c>
      <c r="C6795" s="424" t="str">
        <f t="shared" si="293"/>
        <v>Estremadura</v>
      </c>
      <c r="D6795" t="s">
        <v>629</v>
      </c>
      <c r="F6795" s="432" t="s">
        <v>620</v>
      </c>
      <c r="G6795" s="89">
        <v>2023</v>
      </c>
      <c r="H6795" s="313" t="s">
        <v>5816</v>
      </c>
      <c r="I6795" s="311" t="str">
        <f t="shared" si="290"/>
        <v>Pesado de Passageiros M3:  : Gasóleo : E6 D/E E7</v>
      </c>
      <c r="J6795" s="422">
        <v>53</v>
      </c>
      <c r="K6795" s="422">
        <v>2023</v>
      </c>
      <c r="L6795">
        <v>16785.629999999997</v>
      </c>
      <c r="M6795" s="422" t="s">
        <v>630</v>
      </c>
      <c r="N6795" s="131">
        <v>65381</v>
      </c>
      <c r="O6795" s="436">
        <f t="shared" si="292"/>
        <v>3465193</v>
      </c>
      <c r="P6795" s="89">
        <v>147</v>
      </c>
      <c r="Q6795" t="s">
        <v>47</v>
      </c>
      <c r="R6795" s="422" t="s">
        <v>1869</v>
      </c>
      <c r="S6795" s="422" t="s">
        <v>1861</v>
      </c>
      <c r="T6795" s="422"/>
      <c r="U6795" s="422" t="s">
        <v>1953</v>
      </c>
      <c r="V6795" s="422" t="s">
        <v>2813</v>
      </c>
    </row>
    <row r="6796" spans="1:22" ht="15.75" thickBot="1" x14ac:dyDescent="0.3">
      <c r="A6796" t="s">
        <v>545</v>
      </c>
      <c r="B6796" s="424" t="str">
        <f t="shared" si="294"/>
        <v>Barraqueiro Transportes</v>
      </c>
      <c r="C6796" s="424" t="str">
        <f t="shared" si="293"/>
        <v>Estremadura</v>
      </c>
      <c r="D6796" t="s">
        <v>629</v>
      </c>
      <c r="F6796" s="432" t="s">
        <v>620</v>
      </c>
      <c r="G6796" s="89">
        <v>2023</v>
      </c>
      <c r="H6796" s="313" t="s">
        <v>5816</v>
      </c>
      <c r="I6796" s="311" t="str">
        <f t="shared" si="290"/>
        <v>Pesado de Passageiros M3:  : Gasóleo : E6 D/E E7</v>
      </c>
      <c r="J6796" s="422">
        <v>53</v>
      </c>
      <c r="K6796" s="422">
        <v>2023</v>
      </c>
      <c r="L6796">
        <v>16959.080000000002</v>
      </c>
      <c r="M6796" s="422" t="s">
        <v>630</v>
      </c>
      <c r="N6796" s="131">
        <v>67171</v>
      </c>
      <c r="O6796" s="436">
        <f t="shared" si="292"/>
        <v>3560063</v>
      </c>
      <c r="P6796" s="89">
        <v>148</v>
      </c>
      <c r="Q6796" t="s">
        <v>47</v>
      </c>
      <c r="R6796" s="422" t="s">
        <v>1869</v>
      </c>
      <c r="S6796" s="422" t="s">
        <v>1861</v>
      </c>
      <c r="T6796" s="422"/>
      <c r="U6796" s="422" t="s">
        <v>1953</v>
      </c>
      <c r="V6796" s="422" t="s">
        <v>2813</v>
      </c>
    </row>
    <row r="6797" spans="1:22" ht="15.75" thickBot="1" x14ac:dyDescent="0.3">
      <c r="A6797" t="s">
        <v>545</v>
      </c>
      <c r="B6797" s="424" t="str">
        <f t="shared" si="294"/>
        <v>Barraqueiro Transportes</v>
      </c>
      <c r="C6797" s="424" t="str">
        <f t="shared" si="293"/>
        <v>Estremadura</v>
      </c>
      <c r="D6797" t="s">
        <v>629</v>
      </c>
      <c r="F6797" s="432" t="s">
        <v>620</v>
      </c>
      <c r="G6797" s="89">
        <v>2023</v>
      </c>
      <c r="H6797" s="313" t="s">
        <v>5816</v>
      </c>
      <c r="I6797" s="311" t="str">
        <f t="shared" si="290"/>
        <v>Pesado de Passageiros M3:  : Gasóleo : E6 D/E E7</v>
      </c>
      <c r="J6797" s="422">
        <v>53</v>
      </c>
      <c r="K6797" s="422">
        <v>2023</v>
      </c>
      <c r="L6797">
        <v>16021.849999999999</v>
      </c>
      <c r="M6797" s="422" t="s">
        <v>630</v>
      </c>
      <c r="N6797" s="131">
        <v>60182</v>
      </c>
      <c r="O6797" s="436">
        <f t="shared" si="292"/>
        <v>3189646</v>
      </c>
      <c r="P6797" s="89">
        <v>149</v>
      </c>
      <c r="Q6797" t="s">
        <v>47</v>
      </c>
      <c r="R6797" s="422" t="s">
        <v>1869</v>
      </c>
      <c r="S6797" s="422" t="s">
        <v>1861</v>
      </c>
      <c r="T6797" s="422"/>
      <c r="U6797" s="422" t="s">
        <v>1953</v>
      </c>
      <c r="V6797" s="422" t="s">
        <v>2813</v>
      </c>
    </row>
    <row r="6798" spans="1:22" ht="15.75" thickBot="1" x14ac:dyDescent="0.3">
      <c r="A6798" t="s">
        <v>545</v>
      </c>
      <c r="B6798" s="424" t="str">
        <f t="shared" si="294"/>
        <v>Barraqueiro Transportes</v>
      </c>
      <c r="C6798" s="424" t="str">
        <f t="shared" si="293"/>
        <v>Estremadura</v>
      </c>
      <c r="D6798" t="s">
        <v>629</v>
      </c>
      <c r="F6798" s="432" t="s">
        <v>620</v>
      </c>
      <c r="G6798" s="89">
        <v>2023</v>
      </c>
      <c r="H6798" s="313" t="s">
        <v>5816</v>
      </c>
      <c r="I6798" s="311" t="str">
        <f t="shared" si="290"/>
        <v>Pesado de Passageiros M3:  : Gasóleo : E6 D/E E7</v>
      </c>
      <c r="J6798" s="422">
        <v>53</v>
      </c>
      <c r="K6798" s="422">
        <v>2023</v>
      </c>
      <c r="L6798">
        <v>16229.08</v>
      </c>
      <c r="M6798" s="422" t="s">
        <v>630</v>
      </c>
      <c r="N6798" s="131">
        <v>65320</v>
      </c>
      <c r="O6798" s="436">
        <f t="shared" si="292"/>
        <v>3461960</v>
      </c>
      <c r="P6798" s="89">
        <v>150</v>
      </c>
      <c r="Q6798" t="s">
        <v>47</v>
      </c>
      <c r="R6798" s="422" t="s">
        <v>1869</v>
      </c>
      <c r="S6798" s="422" t="s">
        <v>1861</v>
      </c>
      <c r="T6798" s="422"/>
      <c r="U6798" s="422" t="s">
        <v>1953</v>
      </c>
      <c r="V6798" s="422" t="s">
        <v>2813</v>
      </c>
    </row>
    <row r="6799" spans="1:22" ht="15.75" thickBot="1" x14ac:dyDescent="0.3">
      <c r="A6799" t="s">
        <v>545</v>
      </c>
      <c r="B6799" s="424" t="str">
        <f t="shared" si="294"/>
        <v>Barraqueiro Transportes</v>
      </c>
      <c r="C6799" s="424" t="str">
        <f t="shared" si="293"/>
        <v>Estremadura</v>
      </c>
      <c r="D6799" t="s">
        <v>629</v>
      </c>
      <c r="F6799" s="432" t="s">
        <v>620</v>
      </c>
      <c r="G6799" s="89">
        <v>2023</v>
      </c>
      <c r="H6799" s="313" t="s">
        <v>5816</v>
      </c>
      <c r="I6799" s="311" t="str">
        <f t="shared" si="290"/>
        <v>Pesado de Passageiros M3:  : Gasóleo : E6 D/E E7</v>
      </c>
      <c r="J6799" s="422">
        <v>55</v>
      </c>
      <c r="K6799" s="422">
        <v>2023</v>
      </c>
      <c r="L6799">
        <v>14910.03</v>
      </c>
      <c r="M6799" s="422" t="s">
        <v>630</v>
      </c>
      <c r="N6799" s="131">
        <v>54360</v>
      </c>
      <c r="O6799" s="436">
        <f t="shared" si="292"/>
        <v>2989800</v>
      </c>
      <c r="P6799" s="89">
        <v>151</v>
      </c>
      <c r="Q6799" t="s">
        <v>47</v>
      </c>
      <c r="R6799" s="422" t="s">
        <v>1869</v>
      </c>
      <c r="S6799" s="422" t="s">
        <v>1861</v>
      </c>
      <c r="T6799" s="422"/>
      <c r="U6799" s="422" t="s">
        <v>1953</v>
      </c>
      <c r="V6799" s="422" t="s">
        <v>2813</v>
      </c>
    </row>
    <row r="6800" spans="1:22" ht="15.75" thickBot="1" x14ac:dyDescent="0.3">
      <c r="A6800" t="s">
        <v>545</v>
      </c>
      <c r="B6800" s="424" t="str">
        <f t="shared" si="294"/>
        <v>Barraqueiro Transportes</v>
      </c>
      <c r="C6800" s="424" t="str">
        <f t="shared" si="293"/>
        <v>Estremadura</v>
      </c>
      <c r="D6800" t="s">
        <v>629</v>
      </c>
      <c r="F6800" s="432" t="s">
        <v>620</v>
      </c>
      <c r="G6800" s="89">
        <v>2007</v>
      </c>
      <c r="H6800" s="313" t="s">
        <v>731</v>
      </c>
      <c r="I6800" s="311" t="str">
        <f t="shared" si="290"/>
        <v>Pesado de Passageiros M3:  : Gasóleo : E4</v>
      </c>
      <c r="J6800" s="422">
        <v>53</v>
      </c>
      <c r="K6800" s="422">
        <v>2023</v>
      </c>
      <c r="L6800">
        <v>6818.55</v>
      </c>
      <c r="M6800" s="422" t="s">
        <v>630</v>
      </c>
      <c r="N6800" s="131">
        <v>21915</v>
      </c>
      <c r="O6800" s="436">
        <f t="shared" si="292"/>
        <v>1161495</v>
      </c>
      <c r="P6800" s="89">
        <v>265</v>
      </c>
      <c r="Q6800" t="s">
        <v>47</v>
      </c>
      <c r="R6800" s="422" t="s">
        <v>1869</v>
      </c>
      <c r="S6800" s="422" t="s">
        <v>1861</v>
      </c>
      <c r="T6800" s="422"/>
      <c r="U6800" s="422" t="s">
        <v>1953</v>
      </c>
      <c r="V6800" s="422" t="s">
        <v>2813</v>
      </c>
    </row>
    <row r="6801" spans="1:22" ht="15.75" thickBot="1" x14ac:dyDescent="0.3">
      <c r="A6801" t="s">
        <v>545</v>
      </c>
      <c r="B6801" s="424" t="str">
        <f t="shared" si="294"/>
        <v>Barraqueiro Transportes</v>
      </c>
      <c r="C6801" s="424" t="str">
        <f t="shared" si="293"/>
        <v>Estremadura</v>
      </c>
      <c r="D6801" t="s">
        <v>629</v>
      </c>
      <c r="F6801" s="432" t="s">
        <v>620</v>
      </c>
      <c r="G6801" s="89">
        <v>2015</v>
      </c>
      <c r="H6801" s="313" t="s">
        <v>733</v>
      </c>
      <c r="I6801" s="311" t="str">
        <f t="shared" si="290"/>
        <v>Pesado de Passageiros M3:  : Gasóleo : E6</v>
      </c>
      <c r="J6801" s="422">
        <v>39</v>
      </c>
      <c r="K6801" s="422">
        <v>2023</v>
      </c>
      <c r="L6801">
        <v>9569.4999999999982</v>
      </c>
      <c r="M6801" s="422" t="s">
        <v>630</v>
      </c>
      <c r="N6801" s="131">
        <v>31453</v>
      </c>
      <c r="O6801" s="436">
        <f t="shared" si="292"/>
        <v>1226667</v>
      </c>
      <c r="P6801" s="89">
        <v>385</v>
      </c>
      <c r="Q6801" t="s">
        <v>47</v>
      </c>
      <c r="R6801" s="422" t="s">
        <v>1869</v>
      </c>
      <c r="S6801" s="422" t="s">
        <v>1861</v>
      </c>
      <c r="T6801" s="422"/>
      <c r="U6801" s="422" t="s">
        <v>1953</v>
      </c>
      <c r="V6801" s="422" t="s">
        <v>2813</v>
      </c>
    </row>
    <row r="6802" spans="1:22" ht="15.75" thickBot="1" x14ac:dyDescent="0.3">
      <c r="A6802" t="s">
        <v>545</v>
      </c>
      <c r="B6802" s="424" t="str">
        <f t="shared" si="294"/>
        <v>Barraqueiro Transportes</v>
      </c>
      <c r="C6802" s="424" t="str">
        <f t="shared" si="293"/>
        <v>Estremadura</v>
      </c>
      <c r="D6802" t="s">
        <v>629</v>
      </c>
      <c r="F6802" s="432" t="s">
        <v>620</v>
      </c>
      <c r="G6802" s="89">
        <v>2009</v>
      </c>
      <c r="H6802" s="313" t="s">
        <v>734</v>
      </c>
      <c r="I6802" s="311" t="str">
        <f t="shared" si="290"/>
        <v>Pesado de Passageiros M3:  : Gasóleo : E5</v>
      </c>
      <c r="J6802" s="422">
        <v>53</v>
      </c>
      <c r="K6802" s="422">
        <v>2023</v>
      </c>
      <c r="L6802">
        <v>21157.68</v>
      </c>
      <c r="M6802" s="422" t="s">
        <v>630</v>
      </c>
      <c r="N6802" s="131">
        <v>72125</v>
      </c>
      <c r="O6802" s="436">
        <f t="shared" si="292"/>
        <v>3822625</v>
      </c>
      <c r="P6802" s="89">
        <v>404</v>
      </c>
      <c r="Q6802" t="s">
        <v>47</v>
      </c>
      <c r="R6802" s="422" t="s">
        <v>1869</v>
      </c>
      <c r="S6802" s="422" t="s">
        <v>1861</v>
      </c>
      <c r="T6802" s="422"/>
      <c r="U6802" s="422" t="s">
        <v>1953</v>
      </c>
      <c r="V6802" s="422" t="s">
        <v>2813</v>
      </c>
    </row>
    <row r="6803" spans="1:22" ht="15.75" thickBot="1" x14ac:dyDescent="0.3">
      <c r="A6803" t="s">
        <v>545</v>
      </c>
      <c r="B6803" s="424" t="str">
        <f t="shared" si="294"/>
        <v>Barraqueiro Transportes</v>
      </c>
      <c r="C6803" s="424" t="str">
        <f t="shared" si="293"/>
        <v>Estremadura</v>
      </c>
      <c r="D6803" t="s">
        <v>629</v>
      </c>
      <c r="F6803" s="432" t="s">
        <v>620</v>
      </c>
      <c r="G6803" s="89">
        <v>2009</v>
      </c>
      <c r="H6803" s="313" t="s">
        <v>734</v>
      </c>
      <c r="I6803" s="311" t="str">
        <f t="shared" si="290"/>
        <v>Pesado de Passageiros M3:  : Gasóleo : E5</v>
      </c>
      <c r="J6803" s="422">
        <v>53</v>
      </c>
      <c r="K6803" s="422">
        <v>2023</v>
      </c>
      <c r="L6803">
        <v>13600.16</v>
      </c>
      <c r="M6803" s="422" t="s">
        <v>630</v>
      </c>
      <c r="N6803" s="131">
        <v>46876</v>
      </c>
      <c r="O6803" s="436">
        <f t="shared" si="292"/>
        <v>2484428</v>
      </c>
      <c r="P6803" s="89">
        <v>405</v>
      </c>
      <c r="Q6803" t="s">
        <v>47</v>
      </c>
      <c r="R6803" s="422" t="s">
        <v>1869</v>
      </c>
      <c r="S6803" s="422" t="s">
        <v>1861</v>
      </c>
      <c r="T6803" s="422"/>
      <c r="U6803" s="422" t="s">
        <v>1953</v>
      </c>
      <c r="V6803" s="422" t="s">
        <v>2813</v>
      </c>
    </row>
    <row r="6804" spans="1:22" ht="15.75" thickBot="1" x14ac:dyDescent="0.3">
      <c r="A6804" t="s">
        <v>545</v>
      </c>
      <c r="B6804" s="424" t="str">
        <f t="shared" si="294"/>
        <v>Barraqueiro Transportes</v>
      </c>
      <c r="C6804" s="424" t="str">
        <f t="shared" si="293"/>
        <v>Estremadura</v>
      </c>
      <c r="D6804" t="s">
        <v>629</v>
      </c>
      <c r="F6804" s="432" t="s">
        <v>620</v>
      </c>
      <c r="G6804" s="89">
        <v>2009</v>
      </c>
      <c r="H6804" s="313" t="s">
        <v>734</v>
      </c>
      <c r="I6804" s="311" t="str">
        <f t="shared" si="290"/>
        <v>Pesado de Passageiros M3:  : Gasóleo : E5</v>
      </c>
      <c r="J6804" s="422">
        <v>53</v>
      </c>
      <c r="K6804" s="422">
        <v>2023</v>
      </c>
      <c r="L6804">
        <v>19302.78</v>
      </c>
      <c r="M6804" s="422" t="s">
        <v>630</v>
      </c>
      <c r="N6804" s="131">
        <v>64988</v>
      </c>
      <c r="O6804" s="436">
        <f t="shared" si="292"/>
        <v>3444364</v>
      </c>
      <c r="P6804" s="89">
        <v>406</v>
      </c>
      <c r="Q6804" t="s">
        <v>47</v>
      </c>
      <c r="R6804" s="422" t="s">
        <v>1869</v>
      </c>
      <c r="S6804" s="422" t="s">
        <v>1861</v>
      </c>
      <c r="T6804" s="422"/>
      <c r="U6804" s="422" t="s">
        <v>1953</v>
      </c>
      <c r="V6804" s="422" t="s">
        <v>2813</v>
      </c>
    </row>
    <row r="6805" spans="1:22" ht="15.75" thickBot="1" x14ac:dyDescent="0.3">
      <c r="A6805" t="s">
        <v>545</v>
      </c>
      <c r="B6805" s="424" t="str">
        <f t="shared" si="294"/>
        <v>Barraqueiro Transportes</v>
      </c>
      <c r="C6805" s="424" t="str">
        <f t="shared" si="293"/>
        <v>Estremadura</v>
      </c>
      <c r="D6805" t="s">
        <v>629</v>
      </c>
      <c r="F6805" s="432" t="s">
        <v>620</v>
      </c>
      <c r="G6805" s="89">
        <v>2009</v>
      </c>
      <c r="H6805" s="313" t="s">
        <v>734</v>
      </c>
      <c r="I6805" s="311" t="str">
        <f t="shared" si="290"/>
        <v>Pesado de Passageiros M3:  : Gasóleo : E5</v>
      </c>
      <c r="J6805" s="422">
        <v>53</v>
      </c>
      <c r="K6805" s="422">
        <v>2023</v>
      </c>
      <c r="L6805">
        <v>8185.5300000000007</v>
      </c>
      <c r="M6805" s="422" t="s">
        <v>630</v>
      </c>
      <c r="N6805" s="131">
        <v>24992</v>
      </c>
      <c r="O6805" s="436">
        <f t="shared" si="292"/>
        <v>1324576</v>
      </c>
      <c r="P6805" s="89">
        <v>412</v>
      </c>
      <c r="Q6805" t="s">
        <v>47</v>
      </c>
      <c r="R6805" s="422" t="s">
        <v>1869</v>
      </c>
      <c r="S6805" s="422" t="s">
        <v>1861</v>
      </c>
      <c r="T6805" s="422"/>
      <c r="U6805" s="422" t="s">
        <v>1953</v>
      </c>
      <c r="V6805" s="422" t="s">
        <v>2813</v>
      </c>
    </row>
    <row r="6806" spans="1:22" ht="15.75" thickBot="1" x14ac:dyDescent="0.3">
      <c r="A6806" t="s">
        <v>545</v>
      </c>
      <c r="B6806" s="424" t="str">
        <f t="shared" si="294"/>
        <v>Barraqueiro Transportes</v>
      </c>
      <c r="C6806" s="424" t="str">
        <f t="shared" si="293"/>
        <v>Estremadura</v>
      </c>
      <c r="D6806" t="s">
        <v>629</v>
      </c>
      <c r="F6806" s="432" t="s">
        <v>620</v>
      </c>
      <c r="G6806" s="89">
        <v>2009</v>
      </c>
      <c r="H6806" s="313" t="s">
        <v>734</v>
      </c>
      <c r="I6806" s="311" t="str">
        <f t="shared" si="290"/>
        <v>Pesado de Passageiros M3:  : Gasóleo : E5</v>
      </c>
      <c r="J6806" s="422">
        <v>53</v>
      </c>
      <c r="K6806" s="422">
        <v>2023</v>
      </c>
      <c r="L6806">
        <v>5491.7099999999991</v>
      </c>
      <c r="M6806" s="422" t="s">
        <v>630</v>
      </c>
      <c r="N6806" s="131">
        <v>16916</v>
      </c>
      <c r="O6806" s="436">
        <f t="shared" si="292"/>
        <v>896548</v>
      </c>
      <c r="P6806" s="89">
        <v>413</v>
      </c>
      <c r="Q6806" t="s">
        <v>47</v>
      </c>
      <c r="R6806" s="422" t="s">
        <v>1869</v>
      </c>
      <c r="S6806" s="422" t="s">
        <v>1861</v>
      </c>
      <c r="T6806" s="422"/>
      <c r="U6806" s="422" t="s">
        <v>1953</v>
      </c>
      <c r="V6806" s="422" t="s">
        <v>2813</v>
      </c>
    </row>
    <row r="6807" spans="1:22" ht="15.75" thickBot="1" x14ac:dyDescent="0.3">
      <c r="A6807" t="s">
        <v>545</v>
      </c>
      <c r="B6807" s="424" t="str">
        <f t="shared" si="294"/>
        <v>Barraqueiro Transportes</v>
      </c>
      <c r="C6807" s="424" t="str">
        <f t="shared" si="293"/>
        <v>Estremadura</v>
      </c>
      <c r="D6807" t="s">
        <v>629</v>
      </c>
      <c r="F6807" s="432" t="s">
        <v>620</v>
      </c>
      <c r="G6807" s="89">
        <v>2009</v>
      </c>
      <c r="H6807" s="313" t="s">
        <v>734</v>
      </c>
      <c r="I6807" s="311" t="str">
        <f t="shared" si="290"/>
        <v>Pesado de Passageiros M3:  : Gasóleo : E5</v>
      </c>
      <c r="J6807" s="422">
        <v>53</v>
      </c>
      <c r="K6807" s="422">
        <v>2023</v>
      </c>
      <c r="L6807">
        <v>17118.41</v>
      </c>
      <c r="M6807" s="422" t="s">
        <v>630</v>
      </c>
      <c r="N6807" s="131">
        <v>52958</v>
      </c>
      <c r="O6807" s="436">
        <f t="shared" si="292"/>
        <v>2806774</v>
      </c>
      <c r="P6807" s="89">
        <v>414</v>
      </c>
      <c r="Q6807" t="s">
        <v>47</v>
      </c>
      <c r="R6807" s="422" t="s">
        <v>1869</v>
      </c>
      <c r="S6807" s="422" t="s">
        <v>1861</v>
      </c>
      <c r="T6807" s="422"/>
      <c r="U6807" s="422" t="s">
        <v>1953</v>
      </c>
      <c r="V6807" s="422" t="s">
        <v>2813</v>
      </c>
    </row>
    <row r="6808" spans="1:22" ht="15.75" thickBot="1" x14ac:dyDescent="0.3">
      <c r="A6808" t="s">
        <v>545</v>
      </c>
      <c r="B6808" s="424" t="str">
        <f t="shared" si="294"/>
        <v>Barraqueiro Transportes</v>
      </c>
      <c r="C6808" s="424" t="str">
        <f t="shared" si="293"/>
        <v>Estremadura</v>
      </c>
      <c r="D6808" t="s">
        <v>629</v>
      </c>
      <c r="F6808" s="432" t="s">
        <v>620</v>
      </c>
      <c r="G6808" s="89">
        <v>2009</v>
      </c>
      <c r="H6808" s="313" t="s">
        <v>734</v>
      </c>
      <c r="I6808" s="311" t="str">
        <f t="shared" si="290"/>
        <v>Pesado de Passageiros M3:  : Gasóleo : E5</v>
      </c>
      <c r="J6808" s="422">
        <v>53</v>
      </c>
      <c r="K6808" s="422">
        <v>2023</v>
      </c>
      <c r="L6808">
        <v>12853.42</v>
      </c>
      <c r="M6808" s="422" t="s">
        <v>630</v>
      </c>
      <c r="N6808" s="131">
        <v>38193</v>
      </c>
      <c r="O6808" s="436">
        <f t="shared" si="292"/>
        <v>2024229</v>
      </c>
      <c r="P6808" s="89">
        <v>415</v>
      </c>
      <c r="Q6808" t="s">
        <v>47</v>
      </c>
      <c r="R6808" s="422" t="s">
        <v>1869</v>
      </c>
      <c r="S6808" s="422" t="s">
        <v>1861</v>
      </c>
      <c r="T6808" s="422"/>
      <c r="U6808" s="422" t="s">
        <v>1953</v>
      </c>
      <c r="V6808" s="422" t="s">
        <v>2813</v>
      </c>
    </row>
    <row r="6809" spans="1:22" ht="15.75" thickBot="1" x14ac:dyDescent="0.3">
      <c r="A6809" t="s">
        <v>545</v>
      </c>
      <c r="B6809" s="424" t="str">
        <f t="shared" si="294"/>
        <v>Barraqueiro Transportes</v>
      </c>
      <c r="C6809" s="424" t="str">
        <f t="shared" si="293"/>
        <v>Estremadura</v>
      </c>
      <c r="D6809" t="s">
        <v>629</v>
      </c>
      <c r="F6809" s="432" t="s">
        <v>620</v>
      </c>
      <c r="G6809" s="89">
        <v>2009</v>
      </c>
      <c r="H6809" s="313" t="s">
        <v>734</v>
      </c>
      <c r="I6809" s="311" t="str">
        <f t="shared" si="290"/>
        <v>Pesado de Passageiros M3:  : Gasóleo : E5</v>
      </c>
      <c r="J6809" s="422">
        <v>53</v>
      </c>
      <c r="K6809" s="422">
        <v>2023</v>
      </c>
      <c r="L6809">
        <v>13039.04</v>
      </c>
      <c r="M6809" s="422" t="s">
        <v>630</v>
      </c>
      <c r="N6809" s="131">
        <v>39798</v>
      </c>
      <c r="O6809" s="436">
        <f t="shared" si="292"/>
        <v>2109294</v>
      </c>
      <c r="P6809" s="89">
        <v>416</v>
      </c>
      <c r="Q6809" t="s">
        <v>47</v>
      </c>
      <c r="R6809" s="422" t="s">
        <v>1869</v>
      </c>
      <c r="S6809" s="422" t="s">
        <v>1861</v>
      </c>
      <c r="T6809" s="422"/>
      <c r="U6809" s="422" t="s">
        <v>1953</v>
      </c>
      <c r="V6809" s="422" t="s">
        <v>2813</v>
      </c>
    </row>
    <row r="6810" spans="1:22" ht="15.75" thickBot="1" x14ac:dyDescent="0.3">
      <c r="A6810" t="s">
        <v>545</v>
      </c>
      <c r="B6810" s="424" t="str">
        <f t="shared" si="294"/>
        <v>Barraqueiro Transportes</v>
      </c>
      <c r="C6810" s="424" t="str">
        <f t="shared" si="293"/>
        <v>Estremadura</v>
      </c>
      <c r="D6810" t="s">
        <v>629</v>
      </c>
      <c r="F6810" s="432" t="s">
        <v>620</v>
      </c>
      <c r="G6810" s="89">
        <v>2009</v>
      </c>
      <c r="H6810" s="313" t="s">
        <v>734</v>
      </c>
      <c r="I6810" s="311" t="str">
        <f t="shared" si="290"/>
        <v>Pesado de Passageiros M3:  : Gasóleo : E5</v>
      </c>
      <c r="J6810" s="422">
        <v>25</v>
      </c>
      <c r="K6810" s="422">
        <v>2023</v>
      </c>
      <c r="L6810">
        <v>0</v>
      </c>
      <c r="M6810" s="422" t="s">
        <v>630</v>
      </c>
      <c r="N6810" s="131">
        <v>0</v>
      </c>
      <c r="O6810" s="436">
        <f t="shared" si="292"/>
        <v>0</v>
      </c>
      <c r="P6810" s="89">
        <v>430</v>
      </c>
      <c r="Q6810" t="s">
        <v>47</v>
      </c>
      <c r="R6810" s="422" t="s">
        <v>1869</v>
      </c>
      <c r="S6810" s="422" t="s">
        <v>1861</v>
      </c>
      <c r="T6810" s="422"/>
      <c r="U6810" s="422" t="s">
        <v>1953</v>
      </c>
      <c r="V6810" s="422" t="s">
        <v>2813</v>
      </c>
    </row>
    <row r="6811" spans="1:22" ht="15.75" thickBot="1" x14ac:dyDescent="0.3">
      <c r="A6811" t="s">
        <v>545</v>
      </c>
      <c r="B6811" s="424" t="str">
        <f t="shared" si="294"/>
        <v>Barraqueiro Transportes</v>
      </c>
      <c r="C6811" s="424" t="str">
        <f t="shared" si="293"/>
        <v>Estremadura</v>
      </c>
      <c r="D6811" t="s">
        <v>629</v>
      </c>
      <c r="F6811" s="432" t="s">
        <v>620</v>
      </c>
      <c r="G6811" s="89">
        <v>2010</v>
      </c>
      <c r="H6811" s="313" t="s">
        <v>734</v>
      </c>
      <c r="I6811" s="311" t="str">
        <f t="shared" si="290"/>
        <v>Pesado de Passageiros M3:  : Gasóleo : E5</v>
      </c>
      <c r="J6811" s="422">
        <v>53</v>
      </c>
      <c r="K6811" s="422">
        <v>2023</v>
      </c>
      <c r="L6811">
        <v>19500.66</v>
      </c>
      <c r="M6811" s="422" t="s">
        <v>630</v>
      </c>
      <c r="N6811" s="131">
        <v>65641</v>
      </c>
      <c r="O6811" s="436">
        <f t="shared" si="292"/>
        <v>3478973</v>
      </c>
      <c r="P6811" s="89">
        <v>436</v>
      </c>
      <c r="Q6811" t="s">
        <v>47</v>
      </c>
      <c r="R6811" s="422" t="s">
        <v>1869</v>
      </c>
      <c r="S6811" s="422" t="s">
        <v>1861</v>
      </c>
      <c r="T6811" s="422"/>
      <c r="U6811" s="422" t="s">
        <v>1953</v>
      </c>
      <c r="V6811" s="422" t="s">
        <v>2813</v>
      </c>
    </row>
    <row r="6812" spans="1:22" ht="15.75" thickBot="1" x14ac:dyDescent="0.3">
      <c r="A6812" t="s">
        <v>545</v>
      </c>
      <c r="B6812" s="424" t="str">
        <f t="shared" si="294"/>
        <v>Barraqueiro Transportes</v>
      </c>
      <c r="C6812" s="424" t="str">
        <f t="shared" si="293"/>
        <v>Estremadura</v>
      </c>
      <c r="D6812" t="s">
        <v>629</v>
      </c>
      <c r="F6812" s="432" t="s">
        <v>620</v>
      </c>
      <c r="G6812" s="89">
        <v>2016</v>
      </c>
      <c r="H6812" s="313" t="s">
        <v>733</v>
      </c>
      <c r="I6812" s="311" t="str">
        <f t="shared" si="290"/>
        <v>Pesado de Passageiros M3:  : Gasóleo : E6</v>
      </c>
      <c r="J6812" s="422">
        <v>53</v>
      </c>
      <c r="K6812" s="422">
        <v>2023</v>
      </c>
      <c r="L6812">
        <v>27453.379999999997</v>
      </c>
      <c r="M6812" s="422" t="s">
        <v>630</v>
      </c>
      <c r="N6812" s="131">
        <v>100863</v>
      </c>
      <c r="O6812" s="436">
        <f t="shared" si="292"/>
        <v>5345739</v>
      </c>
      <c r="P6812" s="89">
        <v>445</v>
      </c>
      <c r="Q6812" t="s">
        <v>47</v>
      </c>
      <c r="R6812" s="422" t="s">
        <v>1869</v>
      </c>
      <c r="S6812" s="422" t="s">
        <v>1861</v>
      </c>
      <c r="T6812" s="422"/>
      <c r="U6812" s="422" t="s">
        <v>1953</v>
      </c>
      <c r="V6812" s="422" t="s">
        <v>2813</v>
      </c>
    </row>
    <row r="6813" spans="1:22" ht="15.75" thickBot="1" x14ac:dyDescent="0.3">
      <c r="A6813" t="s">
        <v>545</v>
      </c>
      <c r="B6813" s="424" t="str">
        <f t="shared" si="294"/>
        <v>Barraqueiro Transportes</v>
      </c>
      <c r="C6813" s="424" t="str">
        <f t="shared" si="293"/>
        <v>Estremadura</v>
      </c>
      <c r="D6813" t="s">
        <v>629</v>
      </c>
      <c r="F6813" s="432" t="s">
        <v>620</v>
      </c>
      <c r="G6813" s="89">
        <v>2016</v>
      </c>
      <c r="H6813" s="313" t="s">
        <v>733</v>
      </c>
      <c r="I6813" s="311" t="str">
        <f t="shared" si="290"/>
        <v>Pesado de Passageiros M3:  : Gasóleo : E6</v>
      </c>
      <c r="J6813" s="422">
        <v>53</v>
      </c>
      <c r="K6813" s="422">
        <v>2023</v>
      </c>
      <c r="L6813">
        <v>29400.909999999996</v>
      </c>
      <c r="M6813" s="422" t="s">
        <v>630</v>
      </c>
      <c r="N6813" s="131">
        <v>107226</v>
      </c>
      <c r="O6813" s="436">
        <f t="shared" si="292"/>
        <v>5682978</v>
      </c>
      <c r="P6813" s="89">
        <v>446</v>
      </c>
      <c r="Q6813" t="s">
        <v>47</v>
      </c>
      <c r="R6813" s="422" t="s">
        <v>1869</v>
      </c>
      <c r="S6813" s="422" t="s">
        <v>1861</v>
      </c>
      <c r="T6813" s="422"/>
      <c r="U6813" s="422" t="s">
        <v>1953</v>
      </c>
      <c r="V6813" s="422" t="s">
        <v>2813</v>
      </c>
    </row>
    <row r="6814" spans="1:22" ht="15.75" thickBot="1" x14ac:dyDescent="0.3">
      <c r="A6814" t="s">
        <v>545</v>
      </c>
      <c r="B6814" s="424" t="str">
        <f t="shared" si="294"/>
        <v>Barraqueiro Transportes</v>
      </c>
      <c r="C6814" s="424" t="str">
        <f t="shared" si="293"/>
        <v>Estremadura</v>
      </c>
      <c r="D6814" t="s">
        <v>629</v>
      </c>
      <c r="F6814" s="432" t="s">
        <v>620</v>
      </c>
      <c r="G6814" s="89">
        <v>2016</v>
      </c>
      <c r="H6814" s="313" t="s">
        <v>733</v>
      </c>
      <c r="I6814" s="311" t="str">
        <f t="shared" si="290"/>
        <v>Pesado de Passageiros M3:  : Gasóleo : E6</v>
      </c>
      <c r="J6814" s="422">
        <v>53</v>
      </c>
      <c r="K6814" s="422">
        <v>2023</v>
      </c>
      <c r="L6814">
        <v>34763.35</v>
      </c>
      <c r="M6814" s="422" t="s">
        <v>630</v>
      </c>
      <c r="N6814" s="131">
        <v>124188</v>
      </c>
      <c r="O6814" s="436">
        <f t="shared" si="292"/>
        <v>6581964</v>
      </c>
      <c r="P6814" s="89">
        <v>447</v>
      </c>
      <c r="Q6814" t="s">
        <v>47</v>
      </c>
      <c r="R6814" s="422" t="s">
        <v>1869</v>
      </c>
      <c r="S6814" s="422" t="s">
        <v>1861</v>
      </c>
      <c r="T6814" s="422"/>
      <c r="U6814" s="422" t="s">
        <v>1953</v>
      </c>
      <c r="V6814" s="422" t="s">
        <v>2813</v>
      </c>
    </row>
    <row r="6815" spans="1:22" ht="15.75" thickBot="1" x14ac:dyDescent="0.3">
      <c r="A6815" t="s">
        <v>545</v>
      </c>
      <c r="B6815" s="424" t="str">
        <f t="shared" si="294"/>
        <v>Barraqueiro Transportes</v>
      </c>
      <c r="C6815" s="424" t="str">
        <f t="shared" si="293"/>
        <v>Estremadura</v>
      </c>
      <c r="D6815" t="s">
        <v>629</v>
      </c>
      <c r="F6815" s="432" t="s">
        <v>620</v>
      </c>
      <c r="G6815" s="89">
        <v>2016</v>
      </c>
      <c r="H6815" s="313" t="s">
        <v>733</v>
      </c>
      <c r="I6815" s="311" t="str">
        <f t="shared" si="290"/>
        <v>Pesado de Passageiros M3:  : Gasóleo : E6</v>
      </c>
      <c r="J6815" s="422">
        <v>53</v>
      </c>
      <c r="K6815" s="422">
        <v>2023</v>
      </c>
      <c r="L6815">
        <v>28799.840000000004</v>
      </c>
      <c r="M6815" s="422" t="s">
        <v>630</v>
      </c>
      <c r="N6815" s="131">
        <v>101875</v>
      </c>
      <c r="O6815" s="436">
        <f t="shared" si="292"/>
        <v>5399375</v>
      </c>
      <c r="P6815" s="89">
        <v>449</v>
      </c>
      <c r="Q6815" t="s">
        <v>47</v>
      </c>
      <c r="R6815" s="422" t="s">
        <v>1869</v>
      </c>
      <c r="S6815" s="422" t="s">
        <v>1861</v>
      </c>
      <c r="T6815" s="422"/>
      <c r="U6815" s="422" t="s">
        <v>1953</v>
      </c>
      <c r="V6815" s="422" t="s">
        <v>2813</v>
      </c>
    </row>
    <row r="6816" spans="1:22" ht="15.75" thickBot="1" x14ac:dyDescent="0.3">
      <c r="A6816" t="s">
        <v>545</v>
      </c>
      <c r="B6816" s="424" t="str">
        <f t="shared" si="294"/>
        <v>Barraqueiro Transportes</v>
      </c>
      <c r="C6816" s="424" t="str">
        <f t="shared" si="293"/>
        <v>Estremadura</v>
      </c>
      <c r="D6816" t="s">
        <v>629</v>
      </c>
      <c r="F6816" s="432" t="s">
        <v>620</v>
      </c>
      <c r="G6816" s="89">
        <v>2016</v>
      </c>
      <c r="H6816" s="313" t="s">
        <v>733</v>
      </c>
      <c r="I6816" s="311" t="str">
        <f t="shared" si="290"/>
        <v>Pesado de Passageiros M3:  : Gasóleo : E6</v>
      </c>
      <c r="J6816" s="422">
        <v>63</v>
      </c>
      <c r="K6816" s="422">
        <v>2023</v>
      </c>
      <c r="L6816">
        <v>46061.63</v>
      </c>
      <c r="M6816" s="422" t="s">
        <v>630</v>
      </c>
      <c r="N6816" s="131">
        <v>159958</v>
      </c>
      <c r="O6816" s="436">
        <f t="shared" si="292"/>
        <v>10077354</v>
      </c>
      <c r="P6816" s="89">
        <v>457</v>
      </c>
      <c r="Q6816" t="s">
        <v>47</v>
      </c>
      <c r="R6816" s="422" t="s">
        <v>1869</v>
      </c>
      <c r="S6816" s="422" t="s">
        <v>1861</v>
      </c>
      <c r="T6816" s="422"/>
      <c r="U6816" s="422" t="s">
        <v>1953</v>
      </c>
      <c r="V6816" s="422" t="s">
        <v>2813</v>
      </c>
    </row>
    <row r="6817" spans="1:22" ht="15.75" thickBot="1" x14ac:dyDescent="0.3">
      <c r="A6817" t="s">
        <v>545</v>
      </c>
      <c r="B6817" s="424" t="str">
        <f t="shared" si="294"/>
        <v>Barraqueiro Transportes</v>
      </c>
      <c r="C6817" s="424" t="str">
        <f t="shared" si="293"/>
        <v>Estremadura</v>
      </c>
      <c r="D6817" t="s">
        <v>629</v>
      </c>
      <c r="F6817" s="432" t="s">
        <v>620</v>
      </c>
      <c r="G6817" s="89">
        <v>2016</v>
      </c>
      <c r="H6817" s="313" t="s">
        <v>733</v>
      </c>
      <c r="I6817" s="311" t="str">
        <f t="shared" si="290"/>
        <v>Pesado de Passageiros M3:  : Gasóleo : E6</v>
      </c>
      <c r="J6817" s="422">
        <v>63</v>
      </c>
      <c r="K6817" s="422">
        <v>2023</v>
      </c>
      <c r="L6817">
        <v>28331.54</v>
      </c>
      <c r="M6817" s="422" t="s">
        <v>630</v>
      </c>
      <c r="N6817" s="131">
        <v>97174</v>
      </c>
      <c r="O6817" s="436">
        <f t="shared" si="292"/>
        <v>6121962</v>
      </c>
      <c r="P6817" s="89">
        <v>458</v>
      </c>
      <c r="Q6817" t="s">
        <v>47</v>
      </c>
      <c r="R6817" s="422" t="s">
        <v>1869</v>
      </c>
      <c r="S6817" s="422" t="s">
        <v>1861</v>
      </c>
      <c r="T6817" s="422"/>
      <c r="U6817" s="422" t="s">
        <v>1953</v>
      </c>
      <c r="V6817" s="422" t="s">
        <v>2813</v>
      </c>
    </row>
    <row r="6818" spans="1:22" ht="15.75" thickBot="1" x14ac:dyDescent="0.3">
      <c r="A6818" t="s">
        <v>545</v>
      </c>
      <c r="B6818" s="424" t="str">
        <f t="shared" si="294"/>
        <v>Barraqueiro Transportes</v>
      </c>
      <c r="C6818" s="424" t="str">
        <f t="shared" si="293"/>
        <v>Estremadura</v>
      </c>
      <c r="D6818" t="s">
        <v>629</v>
      </c>
      <c r="F6818" s="432" t="s">
        <v>620</v>
      </c>
      <c r="G6818" s="89">
        <v>2016</v>
      </c>
      <c r="H6818" s="313" t="s">
        <v>733</v>
      </c>
      <c r="I6818" s="311" t="str">
        <f t="shared" ref="I6818:I6881" si="295">D6818&amp;": "&amp;E6818&amp;" : "&amp;F6818&amp;" : "&amp;H6818</f>
        <v>Pesado de Passageiros M3:  : Gasóleo : E6</v>
      </c>
      <c r="J6818" s="422">
        <v>19</v>
      </c>
      <c r="K6818" s="422">
        <v>2023</v>
      </c>
      <c r="L6818">
        <v>3961.91</v>
      </c>
      <c r="M6818" s="422" t="s">
        <v>630</v>
      </c>
      <c r="N6818" s="131">
        <v>20943</v>
      </c>
      <c r="O6818" s="436">
        <f t="shared" si="292"/>
        <v>397917</v>
      </c>
      <c r="P6818" s="89">
        <v>459</v>
      </c>
      <c r="Q6818" t="s">
        <v>47</v>
      </c>
      <c r="R6818" s="422" t="s">
        <v>1869</v>
      </c>
      <c r="S6818" s="422" t="s">
        <v>1861</v>
      </c>
      <c r="T6818" s="422"/>
      <c r="U6818" s="422" t="s">
        <v>1953</v>
      </c>
      <c r="V6818" s="422" t="s">
        <v>2813</v>
      </c>
    </row>
    <row r="6819" spans="1:22" ht="15.75" thickBot="1" x14ac:dyDescent="0.3">
      <c r="A6819" t="s">
        <v>545</v>
      </c>
      <c r="B6819" s="424" t="str">
        <f t="shared" si="294"/>
        <v>Barraqueiro Transportes</v>
      </c>
      <c r="C6819" s="424" t="str">
        <f t="shared" si="293"/>
        <v>Estremadura</v>
      </c>
      <c r="D6819" t="s">
        <v>629</v>
      </c>
      <c r="F6819" s="432" t="s">
        <v>620</v>
      </c>
      <c r="G6819" s="89">
        <v>2016</v>
      </c>
      <c r="H6819" s="313" t="s">
        <v>733</v>
      </c>
      <c r="I6819" s="311" t="str">
        <f t="shared" si="295"/>
        <v>Pesado de Passageiros M3:  : Gasóleo : E6</v>
      </c>
      <c r="J6819" s="422">
        <v>40</v>
      </c>
      <c r="K6819" s="422">
        <v>2023</v>
      </c>
      <c r="L6819">
        <v>6491.61</v>
      </c>
      <c r="M6819" s="422" t="s">
        <v>630</v>
      </c>
      <c r="N6819" s="131">
        <v>21846</v>
      </c>
      <c r="O6819" s="436">
        <f t="shared" si="292"/>
        <v>873840</v>
      </c>
      <c r="P6819" s="89">
        <v>500</v>
      </c>
      <c r="Q6819" t="s">
        <v>47</v>
      </c>
      <c r="R6819" s="422" t="s">
        <v>1869</v>
      </c>
      <c r="S6819" s="422" t="s">
        <v>1861</v>
      </c>
      <c r="T6819" s="422"/>
      <c r="U6819" s="422" t="s">
        <v>1953</v>
      </c>
      <c r="V6819" s="422" t="s">
        <v>2813</v>
      </c>
    </row>
    <row r="6820" spans="1:22" ht="15.75" thickBot="1" x14ac:dyDescent="0.3">
      <c r="A6820" t="s">
        <v>545</v>
      </c>
      <c r="B6820" s="424" t="str">
        <f t="shared" si="294"/>
        <v>Barraqueiro Transportes</v>
      </c>
      <c r="C6820" s="424" t="str">
        <f t="shared" si="293"/>
        <v>Estremadura</v>
      </c>
      <c r="D6820" t="s">
        <v>629</v>
      </c>
      <c r="F6820" s="432" t="s">
        <v>620</v>
      </c>
      <c r="G6820" s="89">
        <v>2016</v>
      </c>
      <c r="H6820" s="313" t="s">
        <v>733</v>
      </c>
      <c r="I6820" s="311" t="str">
        <f t="shared" si="295"/>
        <v>Pesado de Passageiros M3:  : Gasóleo : E6</v>
      </c>
      <c r="J6820" s="422">
        <v>40</v>
      </c>
      <c r="K6820" s="422">
        <v>2023</v>
      </c>
      <c r="L6820">
        <v>4707.91</v>
      </c>
      <c r="M6820" s="422" t="s">
        <v>630</v>
      </c>
      <c r="N6820" s="131">
        <v>15492</v>
      </c>
      <c r="O6820" s="436">
        <f t="shared" si="292"/>
        <v>619680</v>
      </c>
      <c r="P6820" s="89">
        <v>501</v>
      </c>
      <c r="Q6820" t="s">
        <v>47</v>
      </c>
      <c r="R6820" s="422" t="s">
        <v>1869</v>
      </c>
      <c r="S6820" s="422" t="s">
        <v>1861</v>
      </c>
      <c r="T6820" s="422"/>
      <c r="U6820" s="422" t="s">
        <v>1953</v>
      </c>
      <c r="V6820" s="422" t="s">
        <v>2813</v>
      </c>
    </row>
    <row r="6821" spans="1:22" ht="15.75" thickBot="1" x14ac:dyDescent="0.3">
      <c r="A6821" t="s">
        <v>545</v>
      </c>
      <c r="B6821" s="424" t="str">
        <f t="shared" si="294"/>
        <v>Barraqueiro Transportes</v>
      </c>
      <c r="C6821" s="424" t="str">
        <f t="shared" si="293"/>
        <v>Estremadura</v>
      </c>
      <c r="D6821" t="s">
        <v>629</v>
      </c>
      <c r="F6821" s="432" t="s">
        <v>620</v>
      </c>
      <c r="G6821" s="89">
        <v>2016</v>
      </c>
      <c r="H6821" s="313" t="s">
        <v>733</v>
      </c>
      <c r="I6821" s="311" t="str">
        <f t="shared" si="295"/>
        <v>Pesado de Passageiros M3:  : Gasóleo : E6</v>
      </c>
      <c r="J6821" s="422">
        <v>31</v>
      </c>
      <c r="K6821" s="422">
        <v>2023</v>
      </c>
      <c r="L6821">
        <v>1794.81</v>
      </c>
      <c r="M6821" s="422" t="s">
        <v>630</v>
      </c>
      <c r="N6821" s="131">
        <v>5714</v>
      </c>
      <c r="O6821" s="436">
        <f t="shared" si="292"/>
        <v>177134</v>
      </c>
      <c r="P6821" s="89">
        <v>542</v>
      </c>
      <c r="Q6821" t="s">
        <v>47</v>
      </c>
      <c r="R6821" s="422" t="s">
        <v>1869</v>
      </c>
      <c r="S6821" s="422" t="s">
        <v>1861</v>
      </c>
      <c r="T6821" s="422"/>
      <c r="U6821" s="422" t="s">
        <v>1953</v>
      </c>
      <c r="V6821" s="422" t="s">
        <v>2813</v>
      </c>
    </row>
    <row r="6822" spans="1:22" ht="15.75" thickBot="1" x14ac:dyDescent="0.3">
      <c r="A6822" t="s">
        <v>545</v>
      </c>
      <c r="B6822" s="424" t="str">
        <f t="shared" si="294"/>
        <v>Barraqueiro Transportes</v>
      </c>
      <c r="C6822" s="424" t="str">
        <f t="shared" si="293"/>
        <v>Estremadura</v>
      </c>
      <c r="D6822" t="s">
        <v>629</v>
      </c>
      <c r="F6822" s="432" t="s">
        <v>620</v>
      </c>
      <c r="G6822" s="89">
        <v>2016</v>
      </c>
      <c r="H6822" s="313" t="s">
        <v>733</v>
      </c>
      <c r="I6822" s="311" t="str">
        <f t="shared" si="295"/>
        <v>Pesado de Passageiros M3:  : Gasóleo : E6</v>
      </c>
      <c r="J6822" s="422">
        <v>31</v>
      </c>
      <c r="K6822" s="422">
        <v>2023</v>
      </c>
      <c r="L6822">
        <v>2266.67</v>
      </c>
      <c r="M6822" s="422" t="s">
        <v>630</v>
      </c>
      <c r="N6822" s="131">
        <v>7467</v>
      </c>
      <c r="O6822" s="436">
        <f t="shared" ref="O6822:O6885" si="296">N6822*J6822</f>
        <v>231477</v>
      </c>
      <c r="P6822" s="89">
        <v>543</v>
      </c>
      <c r="Q6822" t="s">
        <v>47</v>
      </c>
      <c r="R6822" s="422" t="s">
        <v>1869</v>
      </c>
      <c r="S6822" s="422" t="s">
        <v>1861</v>
      </c>
      <c r="T6822" s="422"/>
      <c r="U6822" s="422" t="s">
        <v>1953</v>
      </c>
      <c r="V6822" s="422" t="s">
        <v>2813</v>
      </c>
    </row>
    <row r="6823" spans="1:22" ht="15.75" thickBot="1" x14ac:dyDescent="0.3">
      <c r="A6823" t="s">
        <v>545</v>
      </c>
      <c r="B6823" s="424" t="str">
        <f t="shared" si="294"/>
        <v>Barraqueiro Transportes</v>
      </c>
      <c r="C6823" s="424" t="str">
        <f t="shared" si="293"/>
        <v>Estremadura</v>
      </c>
      <c r="D6823" t="s">
        <v>629</v>
      </c>
      <c r="F6823" s="432" t="s">
        <v>620</v>
      </c>
      <c r="G6823" s="89">
        <v>2012</v>
      </c>
      <c r="H6823" s="313" t="s">
        <v>734</v>
      </c>
      <c r="I6823" s="311" t="str">
        <f t="shared" si="295"/>
        <v>Pesado de Passageiros M3:  : Gasóleo : E5</v>
      </c>
      <c r="J6823" s="422">
        <v>63</v>
      </c>
      <c r="K6823" s="422">
        <v>2023</v>
      </c>
      <c r="L6823">
        <v>11895.08</v>
      </c>
      <c r="M6823" s="422" t="s">
        <v>630</v>
      </c>
      <c r="N6823" s="131">
        <v>40802</v>
      </c>
      <c r="O6823" s="436">
        <f t="shared" si="296"/>
        <v>2570526</v>
      </c>
      <c r="P6823" s="89">
        <v>627</v>
      </c>
      <c r="Q6823" t="s">
        <v>47</v>
      </c>
      <c r="R6823" s="422" t="s">
        <v>1869</v>
      </c>
      <c r="S6823" s="422" t="s">
        <v>1861</v>
      </c>
      <c r="T6823" s="422"/>
      <c r="U6823" s="422" t="s">
        <v>1953</v>
      </c>
      <c r="V6823" s="422" t="s">
        <v>2813</v>
      </c>
    </row>
    <row r="6824" spans="1:22" ht="15.75" thickBot="1" x14ac:dyDescent="0.3">
      <c r="A6824" t="s">
        <v>545</v>
      </c>
      <c r="B6824" s="424" t="str">
        <f t="shared" si="294"/>
        <v>Barraqueiro Transportes</v>
      </c>
      <c r="C6824" s="424" t="str">
        <f t="shared" si="293"/>
        <v>Estremadura</v>
      </c>
      <c r="D6824" t="s">
        <v>629</v>
      </c>
      <c r="F6824" s="432" t="s">
        <v>620</v>
      </c>
      <c r="G6824" s="89">
        <v>2012</v>
      </c>
      <c r="H6824" s="313" t="s">
        <v>734</v>
      </c>
      <c r="I6824" s="311" t="str">
        <f t="shared" si="295"/>
        <v>Pesado de Passageiros M3:  : Gasóleo : E5</v>
      </c>
      <c r="J6824" s="422">
        <v>34</v>
      </c>
      <c r="K6824" s="422">
        <v>2023</v>
      </c>
      <c r="L6824">
        <v>4962.42</v>
      </c>
      <c r="M6824" s="422" t="s">
        <v>630</v>
      </c>
      <c r="N6824" s="131">
        <v>15470</v>
      </c>
      <c r="O6824" s="436">
        <f t="shared" si="296"/>
        <v>525980</v>
      </c>
      <c r="P6824" s="89">
        <v>636</v>
      </c>
      <c r="Q6824" t="s">
        <v>47</v>
      </c>
      <c r="R6824" s="422" t="s">
        <v>1869</v>
      </c>
      <c r="S6824" s="422" t="s">
        <v>1861</v>
      </c>
      <c r="T6824" s="422"/>
      <c r="U6824" s="422" t="s">
        <v>1953</v>
      </c>
      <c r="V6824" s="422" t="s">
        <v>2813</v>
      </c>
    </row>
    <row r="6825" spans="1:22" ht="15.75" thickBot="1" x14ac:dyDescent="0.3">
      <c r="A6825" t="s">
        <v>545</v>
      </c>
      <c r="B6825" s="424" t="str">
        <f t="shared" si="294"/>
        <v>Barraqueiro Transportes</v>
      </c>
      <c r="C6825" s="424" t="str">
        <f t="shared" si="293"/>
        <v>Estremadura</v>
      </c>
      <c r="D6825" t="s">
        <v>629</v>
      </c>
      <c r="F6825" s="432" t="s">
        <v>620</v>
      </c>
      <c r="G6825" s="89">
        <v>2012</v>
      </c>
      <c r="H6825" s="313" t="s">
        <v>734</v>
      </c>
      <c r="I6825" s="311" t="str">
        <f t="shared" si="295"/>
        <v>Pesado de Passageiros M3:  : Gasóleo : E5</v>
      </c>
      <c r="J6825" s="422">
        <v>27</v>
      </c>
      <c r="K6825" s="422">
        <v>2023</v>
      </c>
      <c r="L6825">
        <v>2945.1299999999997</v>
      </c>
      <c r="M6825" s="422" t="s">
        <v>630</v>
      </c>
      <c r="N6825" s="131">
        <v>12557</v>
      </c>
      <c r="O6825" s="436">
        <f t="shared" si="296"/>
        <v>339039</v>
      </c>
      <c r="P6825" s="89">
        <v>649</v>
      </c>
      <c r="Q6825" t="s">
        <v>47</v>
      </c>
      <c r="R6825" s="422" t="s">
        <v>1869</v>
      </c>
      <c r="S6825" s="422" t="s">
        <v>1861</v>
      </c>
      <c r="T6825" s="422"/>
      <c r="U6825" s="422" t="s">
        <v>1953</v>
      </c>
      <c r="V6825" s="422" t="s">
        <v>2813</v>
      </c>
    </row>
    <row r="6826" spans="1:22" ht="15.75" thickBot="1" x14ac:dyDescent="0.3">
      <c r="A6826" t="s">
        <v>545</v>
      </c>
      <c r="B6826" s="424" t="str">
        <f t="shared" si="294"/>
        <v>Barraqueiro Transportes</v>
      </c>
      <c r="C6826" s="424" t="str">
        <f t="shared" si="293"/>
        <v>Estremadura</v>
      </c>
      <c r="D6826" t="s">
        <v>629</v>
      </c>
      <c r="F6826" s="432" t="s">
        <v>620</v>
      </c>
      <c r="G6826" s="89">
        <v>2012</v>
      </c>
      <c r="H6826" s="313" t="s">
        <v>734</v>
      </c>
      <c r="I6826" s="311" t="str">
        <f t="shared" si="295"/>
        <v>Pesado de Passageiros M3:  : Gasóleo : E5</v>
      </c>
      <c r="J6826" s="422">
        <v>27</v>
      </c>
      <c r="K6826" s="422">
        <v>2023</v>
      </c>
      <c r="L6826">
        <v>1541.66</v>
      </c>
      <c r="M6826" s="422" t="s">
        <v>630</v>
      </c>
      <c r="N6826" s="131">
        <v>7161</v>
      </c>
      <c r="O6826" s="436">
        <f t="shared" si="296"/>
        <v>193347</v>
      </c>
      <c r="P6826" s="89">
        <v>650</v>
      </c>
      <c r="Q6826" t="s">
        <v>47</v>
      </c>
      <c r="R6826" s="422" t="s">
        <v>1869</v>
      </c>
      <c r="S6826" s="422" t="s">
        <v>1861</v>
      </c>
      <c r="T6826" s="422"/>
      <c r="U6826" s="422" t="s">
        <v>1953</v>
      </c>
      <c r="V6826" s="422" t="s">
        <v>2813</v>
      </c>
    </row>
    <row r="6827" spans="1:22" ht="15.75" thickBot="1" x14ac:dyDescent="0.3">
      <c r="A6827" t="s">
        <v>545</v>
      </c>
      <c r="B6827" s="424" t="str">
        <f t="shared" si="294"/>
        <v>Barraqueiro Transportes</v>
      </c>
      <c r="C6827" s="424" t="str">
        <f t="shared" si="293"/>
        <v>Estremadura</v>
      </c>
      <c r="D6827" t="s">
        <v>629</v>
      </c>
      <c r="F6827" s="432" t="s">
        <v>620</v>
      </c>
      <c r="G6827" s="89">
        <v>2012</v>
      </c>
      <c r="H6827" s="313" t="s">
        <v>734</v>
      </c>
      <c r="I6827" s="311" t="str">
        <f t="shared" si="295"/>
        <v>Pesado de Passageiros M3:  : Gasóleo : E5</v>
      </c>
      <c r="J6827" s="422">
        <v>27</v>
      </c>
      <c r="K6827" s="422">
        <v>2023</v>
      </c>
      <c r="L6827">
        <v>885.57000000000016</v>
      </c>
      <c r="M6827" s="422" t="s">
        <v>630</v>
      </c>
      <c r="N6827" s="131">
        <v>4281</v>
      </c>
      <c r="O6827" s="436">
        <f t="shared" si="296"/>
        <v>115587</v>
      </c>
      <c r="P6827" s="89">
        <v>651</v>
      </c>
      <c r="Q6827" t="s">
        <v>47</v>
      </c>
      <c r="R6827" s="422" t="s">
        <v>1869</v>
      </c>
      <c r="S6827" s="422" t="s">
        <v>1861</v>
      </c>
      <c r="T6827" s="422"/>
      <c r="U6827" s="422" t="s">
        <v>1953</v>
      </c>
      <c r="V6827" s="422" t="s">
        <v>2813</v>
      </c>
    </row>
    <row r="6828" spans="1:22" ht="15.75" thickBot="1" x14ac:dyDescent="0.3">
      <c r="A6828" t="s">
        <v>545</v>
      </c>
      <c r="B6828" s="424" t="str">
        <f t="shared" ref="B6828:B6891" si="297">LEFT(A6828,IFERROR(FIND(" - ",A6828)-1,LEN(A6828)))</f>
        <v>Barraqueiro Transportes</v>
      </c>
      <c r="C6828" s="424" t="str">
        <f t="shared" ref="C6828:C6891" si="298">IF(A6828=B6828,B6828,RIGHT(A6828,LEN(A6828)-LEN(B6828)-3))</f>
        <v>Estremadura</v>
      </c>
      <c r="D6828" t="s">
        <v>629</v>
      </c>
      <c r="F6828" s="432" t="s">
        <v>620</v>
      </c>
      <c r="G6828" s="89">
        <v>2012</v>
      </c>
      <c r="H6828" s="313" t="s">
        <v>734</v>
      </c>
      <c r="I6828" s="311" t="str">
        <f t="shared" si="295"/>
        <v>Pesado de Passageiros M3:  : Gasóleo : E5</v>
      </c>
      <c r="J6828" s="422">
        <v>27</v>
      </c>
      <c r="K6828" s="422">
        <v>2023</v>
      </c>
      <c r="L6828">
        <v>1693.99</v>
      </c>
      <c r="M6828" s="422" t="s">
        <v>630</v>
      </c>
      <c r="N6828" s="131">
        <v>8155</v>
      </c>
      <c r="O6828" s="436">
        <f t="shared" si="296"/>
        <v>220185</v>
      </c>
      <c r="P6828" s="89">
        <v>652</v>
      </c>
      <c r="Q6828" t="s">
        <v>47</v>
      </c>
      <c r="R6828" s="422" t="s">
        <v>1869</v>
      </c>
      <c r="S6828" s="422" t="s">
        <v>1861</v>
      </c>
      <c r="T6828" s="422"/>
      <c r="U6828" s="422" t="s">
        <v>1953</v>
      </c>
      <c r="V6828" s="422" t="s">
        <v>2813</v>
      </c>
    </row>
    <row r="6829" spans="1:22" ht="15.75" thickBot="1" x14ac:dyDescent="0.3">
      <c r="A6829" t="s">
        <v>545</v>
      </c>
      <c r="B6829" s="424" t="str">
        <f t="shared" si="297"/>
        <v>Barraqueiro Transportes</v>
      </c>
      <c r="C6829" s="424" t="str">
        <f t="shared" si="298"/>
        <v>Estremadura</v>
      </c>
      <c r="D6829" t="s">
        <v>629</v>
      </c>
      <c r="F6829" s="432" t="s">
        <v>620</v>
      </c>
      <c r="G6829" s="89">
        <v>2012</v>
      </c>
      <c r="H6829" s="313" t="s">
        <v>734</v>
      </c>
      <c r="I6829" s="311" t="str">
        <f t="shared" si="295"/>
        <v>Pesado de Passageiros M3:  : Gasóleo : E5</v>
      </c>
      <c r="J6829" s="422">
        <v>27</v>
      </c>
      <c r="K6829" s="422">
        <v>2023</v>
      </c>
      <c r="L6829">
        <v>2098.83</v>
      </c>
      <c r="M6829" s="422" t="s">
        <v>630</v>
      </c>
      <c r="N6829" s="131">
        <v>9314</v>
      </c>
      <c r="O6829" s="436">
        <f t="shared" si="296"/>
        <v>251478</v>
      </c>
      <c r="P6829" s="89">
        <v>653</v>
      </c>
      <c r="Q6829" t="s">
        <v>47</v>
      </c>
      <c r="R6829" s="422" t="s">
        <v>1869</v>
      </c>
      <c r="S6829" s="422" t="s">
        <v>1861</v>
      </c>
      <c r="T6829" s="422"/>
      <c r="U6829" s="422" t="s">
        <v>1953</v>
      </c>
      <c r="V6829" s="422" t="s">
        <v>2813</v>
      </c>
    </row>
    <row r="6830" spans="1:22" ht="15.75" thickBot="1" x14ac:dyDescent="0.3">
      <c r="A6830" t="s">
        <v>545</v>
      </c>
      <c r="B6830" s="424" t="str">
        <f t="shared" si="297"/>
        <v>Barraqueiro Transportes</v>
      </c>
      <c r="C6830" s="424" t="str">
        <f t="shared" si="298"/>
        <v>Estremadura</v>
      </c>
      <c r="D6830" t="s">
        <v>629</v>
      </c>
      <c r="F6830" s="432" t="s">
        <v>620</v>
      </c>
      <c r="G6830" s="89">
        <v>2012</v>
      </c>
      <c r="H6830" s="313" t="s">
        <v>734</v>
      </c>
      <c r="I6830" s="311" t="str">
        <f t="shared" si="295"/>
        <v>Pesado de Passageiros M3:  : Gasóleo : E5</v>
      </c>
      <c r="J6830" s="422">
        <v>27</v>
      </c>
      <c r="K6830" s="422">
        <v>2023</v>
      </c>
      <c r="L6830">
        <v>1941.17</v>
      </c>
      <c r="M6830" s="422" t="s">
        <v>630</v>
      </c>
      <c r="N6830" s="131">
        <v>8753</v>
      </c>
      <c r="O6830" s="436">
        <f t="shared" si="296"/>
        <v>236331</v>
      </c>
      <c r="P6830" s="89">
        <v>654</v>
      </c>
      <c r="Q6830" t="s">
        <v>47</v>
      </c>
      <c r="R6830" s="422" t="s">
        <v>1869</v>
      </c>
      <c r="S6830" s="422" t="s">
        <v>1861</v>
      </c>
      <c r="T6830" s="422"/>
      <c r="U6830" s="422" t="s">
        <v>1953</v>
      </c>
      <c r="V6830" s="422" t="s">
        <v>2813</v>
      </c>
    </row>
    <row r="6831" spans="1:22" ht="15.75" thickBot="1" x14ac:dyDescent="0.3">
      <c r="A6831" t="s">
        <v>545</v>
      </c>
      <c r="B6831" s="424" t="str">
        <f t="shared" si="297"/>
        <v>Barraqueiro Transportes</v>
      </c>
      <c r="C6831" s="424" t="str">
        <f t="shared" si="298"/>
        <v>Estremadura</v>
      </c>
      <c r="D6831" t="s">
        <v>629</v>
      </c>
      <c r="F6831" s="432" t="s">
        <v>620</v>
      </c>
      <c r="G6831" s="89">
        <v>2012</v>
      </c>
      <c r="H6831" s="313" t="s">
        <v>734</v>
      </c>
      <c r="I6831" s="311" t="str">
        <f t="shared" si="295"/>
        <v>Pesado de Passageiros M3:  : Gasóleo : E5</v>
      </c>
      <c r="J6831" s="422">
        <v>27</v>
      </c>
      <c r="K6831" s="422">
        <v>2023</v>
      </c>
      <c r="L6831">
        <v>1900.9500000000005</v>
      </c>
      <c r="M6831" s="422" t="s">
        <v>630</v>
      </c>
      <c r="N6831" s="131">
        <v>8611</v>
      </c>
      <c r="O6831" s="436">
        <f t="shared" si="296"/>
        <v>232497</v>
      </c>
      <c r="P6831" s="89">
        <v>655</v>
      </c>
      <c r="Q6831" t="s">
        <v>47</v>
      </c>
      <c r="R6831" s="422" t="s">
        <v>1869</v>
      </c>
      <c r="S6831" s="422" t="s">
        <v>1861</v>
      </c>
      <c r="T6831" s="422"/>
      <c r="U6831" s="422" t="s">
        <v>1953</v>
      </c>
      <c r="V6831" s="422" t="s">
        <v>2813</v>
      </c>
    </row>
    <row r="6832" spans="1:22" ht="15.75" thickBot="1" x14ac:dyDescent="0.3">
      <c r="A6832" t="s">
        <v>545</v>
      </c>
      <c r="B6832" s="424" t="str">
        <f t="shared" si="297"/>
        <v>Barraqueiro Transportes</v>
      </c>
      <c r="C6832" s="424" t="str">
        <f t="shared" si="298"/>
        <v>Estremadura</v>
      </c>
      <c r="D6832" t="s">
        <v>629</v>
      </c>
      <c r="F6832" s="432" t="s">
        <v>620</v>
      </c>
      <c r="G6832" s="89">
        <v>2012</v>
      </c>
      <c r="H6832" s="313" t="s">
        <v>734</v>
      </c>
      <c r="I6832" s="311" t="str">
        <f t="shared" si="295"/>
        <v>Pesado de Passageiros M3:  : Gasóleo : E5</v>
      </c>
      <c r="J6832" s="422">
        <v>27</v>
      </c>
      <c r="K6832" s="422">
        <v>2023</v>
      </c>
      <c r="L6832">
        <v>1090.46</v>
      </c>
      <c r="M6832" s="422" t="s">
        <v>630</v>
      </c>
      <c r="N6832" s="131">
        <v>4878</v>
      </c>
      <c r="O6832" s="436">
        <f t="shared" si="296"/>
        <v>131706</v>
      </c>
      <c r="P6832" s="89">
        <v>656</v>
      </c>
      <c r="Q6832" t="s">
        <v>47</v>
      </c>
      <c r="R6832" s="422" t="s">
        <v>1869</v>
      </c>
      <c r="S6832" s="422" t="s">
        <v>1861</v>
      </c>
      <c r="T6832" s="422"/>
      <c r="U6832" s="422" t="s">
        <v>1953</v>
      </c>
      <c r="V6832" s="422" t="s">
        <v>2813</v>
      </c>
    </row>
    <row r="6833" spans="1:22" ht="15.75" thickBot="1" x14ac:dyDescent="0.3">
      <c r="A6833" t="s">
        <v>545</v>
      </c>
      <c r="B6833" s="424" t="str">
        <f t="shared" si="297"/>
        <v>Barraqueiro Transportes</v>
      </c>
      <c r="C6833" s="424" t="str">
        <f t="shared" si="298"/>
        <v>Estremadura</v>
      </c>
      <c r="D6833" t="s">
        <v>629</v>
      </c>
      <c r="F6833" s="432" t="s">
        <v>620</v>
      </c>
      <c r="G6833" s="89">
        <v>2013</v>
      </c>
      <c r="H6833" s="313" t="s">
        <v>733</v>
      </c>
      <c r="I6833" s="311" t="str">
        <f t="shared" si="295"/>
        <v>Pesado de Passageiros M3:  : Gasóleo : E6</v>
      </c>
      <c r="J6833" s="422">
        <v>34</v>
      </c>
      <c r="K6833" s="422">
        <v>2023</v>
      </c>
      <c r="L6833">
        <v>9774.9000000000015</v>
      </c>
      <c r="M6833" s="422" t="s">
        <v>630</v>
      </c>
      <c r="N6833" s="131">
        <v>31561</v>
      </c>
      <c r="O6833" s="436">
        <f t="shared" si="296"/>
        <v>1073074</v>
      </c>
      <c r="P6833" s="89">
        <v>663</v>
      </c>
      <c r="Q6833" t="s">
        <v>47</v>
      </c>
      <c r="R6833" s="422" t="s">
        <v>1869</v>
      </c>
      <c r="S6833" s="422" t="s">
        <v>1861</v>
      </c>
      <c r="T6833" s="422"/>
      <c r="U6833" s="422" t="s">
        <v>1953</v>
      </c>
      <c r="V6833" s="422" t="s">
        <v>2813</v>
      </c>
    </row>
    <row r="6834" spans="1:22" ht="15.75" thickBot="1" x14ac:dyDescent="0.3">
      <c r="A6834" t="s">
        <v>545</v>
      </c>
      <c r="B6834" s="424" t="str">
        <f t="shared" si="297"/>
        <v>Barraqueiro Transportes</v>
      </c>
      <c r="C6834" s="424" t="str">
        <f t="shared" si="298"/>
        <v>Estremadura</v>
      </c>
      <c r="D6834" t="s">
        <v>629</v>
      </c>
      <c r="F6834" s="432" t="s">
        <v>620</v>
      </c>
      <c r="G6834" s="89">
        <v>2013</v>
      </c>
      <c r="H6834" s="313" t="s">
        <v>733</v>
      </c>
      <c r="I6834" s="311" t="str">
        <f t="shared" si="295"/>
        <v>Pesado de Passageiros M3:  : Gasóleo : E6</v>
      </c>
      <c r="J6834" s="422">
        <v>34</v>
      </c>
      <c r="K6834" s="422">
        <v>2023</v>
      </c>
      <c r="L6834">
        <v>6717.3700000000008</v>
      </c>
      <c r="M6834" s="422" t="s">
        <v>630</v>
      </c>
      <c r="N6834" s="131">
        <v>22399</v>
      </c>
      <c r="O6834" s="436">
        <f t="shared" si="296"/>
        <v>761566</v>
      </c>
      <c r="P6834" s="89">
        <v>664</v>
      </c>
      <c r="Q6834" t="s">
        <v>47</v>
      </c>
      <c r="R6834" s="422" t="s">
        <v>1869</v>
      </c>
      <c r="S6834" s="422" t="s">
        <v>1861</v>
      </c>
      <c r="T6834" s="422"/>
      <c r="U6834" s="422" t="s">
        <v>1953</v>
      </c>
      <c r="V6834" s="422" t="s">
        <v>2813</v>
      </c>
    </row>
    <row r="6835" spans="1:22" ht="15.75" thickBot="1" x14ac:dyDescent="0.3">
      <c r="A6835" t="s">
        <v>545</v>
      </c>
      <c r="B6835" s="424" t="str">
        <f t="shared" si="297"/>
        <v>Barraqueiro Transportes</v>
      </c>
      <c r="C6835" s="424" t="str">
        <f t="shared" si="298"/>
        <v>Estremadura</v>
      </c>
      <c r="D6835" t="s">
        <v>629</v>
      </c>
      <c r="F6835" s="432" t="s">
        <v>620</v>
      </c>
      <c r="G6835" s="89">
        <v>2014</v>
      </c>
      <c r="H6835" s="313" t="s">
        <v>733</v>
      </c>
      <c r="I6835" s="311" t="str">
        <f t="shared" si="295"/>
        <v>Pesado de Passageiros M3:  : Gasóleo : E6</v>
      </c>
      <c r="J6835" s="422">
        <v>34</v>
      </c>
      <c r="K6835" s="422">
        <v>2023</v>
      </c>
      <c r="L6835">
        <v>11198.27</v>
      </c>
      <c r="M6835" s="422" t="s">
        <v>630</v>
      </c>
      <c r="N6835" s="131">
        <v>40256</v>
      </c>
      <c r="O6835" s="436">
        <f t="shared" si="296"/>
        <v>1368704</v>
      </c>
      <c r="P6835" s="89">
        <v>704</v>
      </c>
      <c r="Q6835" t="s">
        <v>47</v>
      </c>
      <c r="R6835" s="422" t="s">
        <v>1869</v>
      </c>
      <c r="S6835" s="422" t="s">
        <v>1861</v>
      </c>
      <c r="T6835" s="422"/>
      <c r="U6835" s="422" t="s">
        <v>1953</v>
      </c>
      <c r="V6835" s="422" t="s">
        <v>2813</v>
      </c>
    </row>
    <row r="6836" spans="1:22" ht="15.75" thickBot="1" x14ac:dyDescent="0.3">
      <c r="A6836" t="s">
        <v>545</v>
      </c>
      <c r="B6836" s="424" t="str">
        <f t="shared" si="297"/>
        <v>Barraqueiro Transportes</v>
      </c>
      <c r="C6836" s="424" t="str">
        <f t="shared" si="298"/>
        <v>Estremadura</v>
      </c>
      <c r="D6836" t="s">
        <v>629</v>
      </c>
      <c r="F6836" s="432" t="s">
        <v>620</v>
      </c>
      <c r="G6836" s="89">
        <v>2014</v>
      </c>
      <c r="H6836" s="313" t="s">
        <v>733</v>
      </c>
      <c r="I6836" s="311" t="str">
        <f t="shared" si="295"/>
        <v>Pesado de Passageiros M3:  : Gasóleo : E6</v>
      </c>
      <c r="J6836" s="422">
        <v>34</v>
      </c>
      <c r="K6836" s="422">
        <v>2023</v>
      </c>
      <c r="L6836">
        <v>11713.15</v>
      </c>
      <c r="M6836" s="422" t="s">
        <v>630</v>
      </c>
      <c r="N6836" s="131">
        <v>41015</v>
      </c>
      <c r="O6836" s="436">
        <f t="shared" si="296"/>
        <v>1394510</v>
      </c>
      <c r="P6836" s="89">
        <v>705</v>
      </c>
      <c r="Q6836" t="s">
        <v>47</v>
      </c>
      <c r="R6836" s="422" t="s">
        <v>1869</v>
      </c>
      <c r="S6836" s="422" t="s">
        <v>1861</v>
      </c>
      <c r="T6836" s="422"/>
      <c r="U6836" s="422" t="s">
        <v>1953</v>
      </c>
      <c r="V6836" s="422" t="s">
        <v>2813</v>
      </c>
    </row>
    <row r="6837" spans="1:22" ht="15.75" thickBot="1" x14ac:dyDescent="0.3">
      <c r="A6837" t="s">
        <v>545</v>
      </c>
      <c r="B6837" s="424" t="str">
        <f t="shared" si="297"/>
        <v>Barraqueiro Transportes</v>
      </c>
      <c r="C6837" s="424" t="str">
        <f t="shared" si="298"/>
        <v>Estremadura</v>
      </c>
      <c r="D6837" t="s">
        <v>629</v>
      </c>
      <c r="F6837" s="432" t="s">
        <v>620</v>
      </c>
      <c r="G6837" s="89">
        <v>2014</v>
      </c>
      <c r="H6837" s="313" t="s">
        <v>733</v>
      </c>
      <c r="I6837" s="311" t="str">
        <f t="shared" si="295"/>
        <v>Pesado de Passageiros M3:  : Gasóleo : E6</v>
      </c>
      <c r="J6837" s="422">
        <v>63</v>
      </c>
      <c r="K6837" s="422">
        <v>2023</v>
      </c>
      <c r="L6837">
        <v>58024.23000000001</v>
      </c>
      <c r="M6837" s="422" t="s">
        <v>630</v>
      </c>
      <c r="N6837" s="131">
        <v>200691</v>
      </c>
      <c r="O6837" s="436">
        <f t="shared" si="296"/>
        <v>12643533</v>
      </c>
      <c r="P6837" s="89">
        <v>706</v>
      </c>
      <c r="Q6837" t="s">
        <v>47</v>
      </c>
      <c r="R6837" s="422" t="s">
        <v>1869</v>
      </c>
      <c r="S6837" s="422" t="s">
        <v>1861</v>
      </c>
      <c r="T6837" s="422"/>
      <c r="U6837" s="422" t="s">
        <v>1953</v>
      </c>
      <c r="V6837" s="422" t="s">
        <v>2813</v>
      </c>
    </row>
    <row r="6838" spans="1:22" ht="15.75" thickBot="1" x14ac:dyDescent="0.3">
      <c r="A6838" t="s">
        <v>545</v>
      </c>
      <c r="B6838" s="424" t="str">
        <f t="shared" si="297"/>
        <v>Barraqueiro Transportes</v>
      </c>
      <c r="C6838" s="424" t="str">
        <f t="shared" si="298"/>
        <v>Estremadura</v>
      </c>
      <c r="D6838" t="s">
        <v>629</v>
      </c>
      <c r="F6838" s="432" t="s">
        <v>620</v>
      </c>
      <c r="G6838" s="89">
        <v>2014</v>
      </c>
      <c r="H6838" s="313" t="s">
        <v>733</v>
      </c>
      <c r="I6838" s="311" t="str">
        <f t="shared" si="295"/>
        <v>Pesado de Passageiros M3:  : Gasóleo : E6</v>
      </c>
      <c r="J6838" s="422">
        <v>53</v>
      </c>
      <c r="K6838" s="422">
        <v>2023</v>
      </c>
      <c r="L6838">
        <v>24749.32</v>
      </c>
      <c r="M6838" s="422" t="s">
        <v>630</v>
      </c>
      <c r="N6838" s="131">
        <v>87351</v>
      </c>
      <c r="O6838" s="436">
        <f t="shared" si="296"/>
        <v>4629603</v>
      </c>
      <c r="P6838" s="89">
        <v>711</v>
      </c>
      <c r="Q6838" t="s">
        <v>47</v>
      </c>
      <c r="R6838" s="422" t="s">
        <v>1869</v>
      </c>
      <c r="S6838" s="422" t="s">
        <v>1861</v>
      </c>
      <c r="T6838" s="422"/>
      <c r="U6838" s="422" t="s">
        <v>1953</v>
      </c>
      <c r="V6838" s="422" t="s">
        <v>2813</v>
      </c>
    </row>
    <row r="6839" spans="1:22" ht="15.75" thickBot="1" x14ac:dyDescent="0.3">
      <c r="A6839" t="s">
        <v>545</v>
      </c>
      <c r="B6839" s="424" t="str">
        <f t="shared" si="297"/>
        <v>Barraqueiro Transportes</v>
      </c>
      <c r="C6839" s="424" t="str">
        <f t="shared" si="298"/>
        <v>Estremadura</v>
      </c>
      <c r="D6839" t="s">
        <v>629</v>
      </c>
      <c r="F6839" s="432" t="s">
        <v>620</v>
      </c>
      <c r="G6839" s="89">
        <v>2014</v>
      </c>
      <c r="H6839" s="313" t="s">
        <v>733</v>
      </c>
      <c r="I6839" s="311" t="str">
        <f t="shared" si="295"/>
        <v>Pesado de Passageiros M3:  : Gasóleo : E6</v>
      </c>
      <c r="J6839" s="422">
        <v>53</v>
      </c>
      <c r="K6839" s="422">
        <v>2023</v>
      </c>
      <c r="L6839">
        <v>33221.660000000003</v>
      </c>
      <c r="M6839" s="422" t="s">
        <v>630</v>
      </c>
      <c r="N6839" s="131">
        <v>118340</v>
      </c>
      <c r="O6839" s="436">
        <f t="shared" si="296"/>
        <v>6272020</v>
      </c>
      <c r="P6839" s="89">
        <v>712</v>
      </c>
      <c r="Q6839" t="s">
        <v>47</v>
      </c>
      <c r="R6839" s="422" t="s">
        <v>1869</v>
      </c>
      <c r="S6839" s="422" t="s">
        <v>1861</v>
      </c>
      <c r="T6839" s="422"/>
      <c r="U6839" s="422" t="s">
        <v>1953</v>
      </c>
      <c r="V6839" s="422" t="s">
        <v>2813</v>
      </c>
    </row>
    <row r="6840" spans="1:22" ht="15.75" thickBot="1" x14ac:dyDescent="0.3">
      <c r="A6840" t="s">
        <v>545</v>
      </c>
      <c r="B6840" s="424" t="str">
        <f t="shared" si="297"/>
        <v>Barraqueiro Transportes</v>
      </c>
      <c r="C6840" s="424" t="str">
        <f t="shared" si="298"/>
        <v>Estremadura</v>
      </c>
      <c r="D6840" t="s">
        <v>629</v>
      </c>
      <c r="F6840" s="432" t="s">
        <v>620</v>
      </c>
      <c r="G6840" s="89">
        <v>2014</v>
      </c>
      <c r="H6840" s="313" t="s">
        <v>733</v>
      </c>
      <c r="I6840" s="311" t="str">
        <f t="shared" si="295"/>
        <v>Pesado de Passageiros M3:  : Gasóleo : E6</v>
      </c>
      <c r="J6840" s="422">
        <v>53</v>
      </c>
      <c r="K6840" s="422">
        <v>2023</v>
      </c>
      <c r="L6840">
        <v>27249.280000000002</v>
      </c>
      <c r="M6840" s="422" t="s">
        <v>630</v>
      </c>
      <c r="N6840" s="131">
        <v>98432</v>
      </c>
      <c r="O6840" s="436">
        <f t="shared" si="296"/>
        <v>5216896</v>
      </c>
      <c r="P6840" s="89">
        <v>713</v>
      </c>
      <c r="Q6840" t="s">
        <v>47</v>
      </c>
      <c r="R6840" s="422" t="s">
        <v>1869</v>
      </c>
      <c r="S6840" s="422" t="s">
        <v>1861</v>
      </c>
      <c r="T6840" s="422"/>
      <c r="U6840" s="422" t="s">
        <v>1953</v>
      </c>
      <c r="V6840" s="422" t="s">
        <v>2813</v>
      </c>
    </row>
    <row r="6841" spans="1:22" ht="15.75" thickBot="1" x14ac:dyDescent="0.3">
      <c r="A6841" t="s">
        <v>545</v>
      </c>
      <c r="B6841" s="424" t="str">
        <f t="shared" si="297"/>
        <v>Barraqueiro Transportes</v>
      </c>
      <c r="C6841" s="424" t="str">
        <f t="shared" si="298"/>
        <v>Estremadura</v>
      </c>
      <c r="D6841" t="s">
        <v>629</v>
      </c>
      <c r="F6841" s="432" t="s">
        <v>620</v>
      </c>
      <c r="G6841" s="89">
        <v>2017</v>
      </c>
      <c r="H6841" s="313" t="s">
        <v>733</v>
      </c>
      <c r="I6841" s="311" t="str">
        <f t="shared" si="295"/>
        <v>Pesado de Passageiros M3:  : Gasóleo : E6</v>
      </c>
      <c r="J6841" s="422">
        <v>53</v>
      </c>
      <c r="K6841" s="422">
        <v>2023</v>
      </c>
      <c r="L6841">
        <v>25393.759999999998</v>
      </c>
      <c r="M6841" s="422" t="s">
        <v>630</v>
      </c>
      <c r="N6841" s="131">
        <v>94784</v>
      </c>
      <c r="O6841" s="436">
        <f t="shared" si="296"/>
        <v>5023552</v>
      </c>
      <c r="P6841" s="89">
        <v>737</v>
      </c>
      <c r="Q6841" t="s">
        <v>47</v>
      </c>
      <c r="R6841" s="422" t="s">
        <v>1869</v>
      </c>
      <c r="S6841" s="422" t="s">
        <v>1861</v>
      </c>
      <c r="T6841" s="422"/>
      <c r="U6841" s="422" t="s">
        <v>1953</v>
      </c>
      <c r="V6841" s="422" t="s">
        <v>2813</v>
      </c>
    </row>
    <row r="6842" spans="1:22" ht="15.75" thickBot="1" x14ac:dyDescent="0.3">
      <c r="A6842" t="s">
        <v>545</v>
      </c>
      <c r="B6842" s="424" t="str">
        <f t="shared" si="297"/>
        <v>Barraqueiro Transportes</v>
      </c>
      <c r="C6842" s="424" t="str">
        <f t="shared" si="298"/>
        <v>Estremadura</v>
      </c>
      <c r="D6842" t="s">
        <v>629</v>
      </c>
      <c r="F6842" s="432" t="s">
        <v>620</v>
      </c>
      <c r="G6842" s="89">
        <v>2017</v>
      </c>
      <c r="H6842" s="313" t="s">
        <v>733</v>
      </c>
      <c r="I6842" s="311" t="str">
        <f t="shared" si="295"/>
        <v>Pesado de Passageiros M3:  : Gasóleo : E6</v>
      </c>
      <c r="J6842" s="422">
        <v>53</v>
      </c>
      <c r="K6842" s="422">
        <v>2023</v>
      </c>
      <c r="L6842">
        <v>26950.239999999998</v>
      </c>
      <c r="M6842" s="422" t="s">
        <v>630</v>
      </c>
      <c r="N6842" s="131">
        <v>100237</v>
      </c>
      <c r="O6842" s="436">
        <f t="shared" si="296"/>
        <v>5312561</v>
      </c>
      <c r="P6842" s="89">
        <v>738</v>
      </c>
      <c r="Q6842" t="s">
        <v>47</v>
      </c>
      <c r="R6842" s="422" t="s">
        <v>1869</v>
      </c>
      <c r="S6842" s="422" t="s">
        <v>1861</v>
      </c>
      <c r="T6842" s="422"/>
      <c r="U6842" s="422" t="s">
        <v>1953</v>
      </c>
      <c r="V6842" s="422" t="s">
        <v>2813</v>
      </c>
    </row>
    <row r="6843" spans="1:22" ht="15.75" thickBot="1" x14ac:dyDescent="0.3">
      <c r="A6843" t="s">
        <v>545</v>
      </c>
      <c r="B6843" s="424" t="str">
        <f t="shared" si="297"/>
        <v>Barraqueiro Transportes</v>
      </c>
      <c r="C6843" s="424" t="str">
        <f t="shared" si="298"/>
        <v>Estremadura</v>
      </c>
      <c r="D6843" t="s">
        <v>629</v>
      </c>
      <c r="F6843" s="432" t="s">
        <v>620</v>
      </c>
      <c r="G6843" s="89">
        <v>2017</v>
      </c>
      <c r="H6843" s="313" t="s">
        <v>733</v>
      </c>
      <c r="I6843" s="311" t="str">
        <f t="shared" si="295"/>
        <v>Pesado de Passageiros M3:  : Gasóleo : E6</v>
      </c>
      <c r="J6843" s="422">
        <v>53</v>
      </c>
      <c r="K6843" s="422">
        <v>2023</v>
      </c>
      <c r="L6843">
        <v>27480.21</v>
      </c>
      <c r="M6843" s="422" t="s">
        <v>630</v>
      </c>
      <c r="N6843" s="131">
        <v>101694</v>
      </c>
      <c r="O6843" s="436">
        <f t="shared" si="296"/>
        <v>5389782</v>
      </c>
      <c r="P6843" s="89">
        <v>739</v>
      </c>
      <c r="Q6843" t="s">
        <v>47</v>
      </c>
      <c r="R6843" s="422" t="s">
        <v>1869</v>
      </c>
      <c r="S6843" s="422" t="s">
        <v>1861</v>
      </c>
      <c r="T6843" s="422"/>
      <c r="U6843" s="422" t="s">
        <v>1953</v>
      </c>
      <c r="V6843" s="422" t="s">
        <v>2813</v>
      </c>
    </row>
    <row r="6844" spans="1:22" ht="15.75" thickBot="1" x14ac:dyDescent="0.3">
      <c r="A6844" t="s">
        <v>545</v>
      </c>
      <c r="B6844" s="424" t="str">
        <f t="shared" si="297"/>
        <v>Barraqueiro Transportes</v>
      </c>
      <c r="C6844" s="424" t="str">
        <f t="shared" si="298"/>
        <v>Estremadura</v>
      </c>
      <c r="D6844" t="s">
        <v>629</v>
      </c>
      <c r="F6844" s="432" t="s">
        <v>620</v>
      </c>
      <c r="G6844" s="89">
        <v>2017</v>
      </c>
      <c r="H6844" s="313" t="s">
        <v>733</v>
      </c>
      <c r="I6844" s="311" t="str">
        <f t="shared" si="295"/>
        <v>Pesado de Passageiros M3:  : Gasóleo : E6</v>
      </c>
      <c r="J6844" s="422">
        <v>63</v>
      </c>
      <c r="K6844" s="422">
        <v>2023</v>
      </c>
      <c r="L6844">
        <v>52759.110000000008</v>
      </c>
      <c r="M6844" s="422" t="s">
        <v>630</v>
      </c>
      <c r="N6844" s="131">
        <v>173812</v>
      </c>
      <c r="O6844" s="436">
        <f t="shared" si="296"/>
        <v>10950156</v>
      </c>
      <c r="P6844" s="89">
        <v>742</v>
      </c>
      <c r="Q6844" t="s">
        <v>47</v>
      </c>
      <c r="R6844" s="422" t="s">
        <v>1869</v>
      </c>
      <c r="S6844" s="422" t="s">
        <v>1861</v>
      </c>
      <c r="T6844" s="422"/>
      <c r="U6844" s="422" t="s">
        <v>1953</v>
      </c>
      <c r="V6844" s="422" t="s">
        <v>2813</v>
      </c>
    </row>
    <row r="6845" spans="1:22" ht="15.75" thickBot="1" x14ac:dyDescent="0.3">
      <c r="A6845" t="s">
        <v>545</v>
      </c>
      <c r="B6845" s="424" t="str">
        <f t="shared" si="297"/>
        <v>Barraqueiro Transportes</v>
      </c>
      <c r="C6845" s="424" t="str">
        <f t="shared" si="298"/>
        <v>Estremadura</v>
      </c>
      <c r="D6845" t="s">
        <v>629</v>
      </c>
      <c r="F6845" s="432" t="s">
        <v>620</v>
      </c>
      <c r="G6845" s="89">
        <v>2015</v>
      </c>
      <c r="H6845" s="313" t="s">
        <v>733</v>
      </c>
      <c r="I6845" s="311" t="str">
        <f t="shared" si="295"/>
        <v>Pesado de Passageiros M3:  : Gasóleo : E6</v>
      </c>
      <c r="J6845" s="422">
        <v>53</v>
      </c>
      <c r="K6845" s="422">
        <v>2023</v>
      </c>
      <c r="L6845">
        <v>12920.220000000001</v>
      </c>
      <c r="M6845" s="422" t="s">
        <v>630</v>
      </c>
      <c r="N6845" s="131">
        <v>46550</v>
      </c>
      <c r="O6845" s="436">
        <f t="shared" si="296"/>
        <v>2467150</v>
      </c>
      <c r="P6845" s="89">
        <v>756</v>
      </c>
      <c r="Q6845" t="s">
        <v>47</v>
      </c>
      <c r="R6845" s="422" t="s">
        <v>1869</v>
      </c>
      <c r="S6845" s="422" t="s">
        <v>1861</v>
      </c>
      <c r="T6845" s="422"/>
      <c r="U6845" s="422" t="s">
        <v>1953</v>
      </c>
      <c r="V6845" s="422" t="s">
        <v>2813</v>
      </c>
    </row>
    <row r="6846" spans="1:22" ht="15.75" thickBot="1" x14ac:dyDescent="0.3">
      <c r="A6846" t="s">
        <v>545</v>
      </c>
      <c r="B6846" s="424" t="str">
        <f t="shared" si="297"/>
        <v>Barraqueiro Transportes</v>
      </c>
      <c r="C6846" s="424" t="str">
        <f t="shared" si="298"/>
        <v>Estremadura</v>
      </c>
      <c r="D6846" t="s">
        <v>629</v>
      </c>
      <c r="F6846" s="432" t="s">
        <v>620</v>
      </c>
      <c r="G6846" s="89">
        <v>2015</v>
      </c>
      <c r="H6846" s="313" t="s">
        <v>733</v>
      </c>
      <c r="I6846" s="311" t="str">
        <f t="shared" si="295"/>
        <v>Pesado de Passageiros M3:  : Gasóleo : E6</v>
      </c>
      <c r="J6846" s="422">
        <v>53</v>
      </c>
      <c r="K6846" s="422">
        <v>2023</v>
      </c>
      <c r="L6846">
        <v>24725.899999999998</v>
      </c>
      <c r="M6846" s="422" t="s">
        <v>630</v>
      </c>
      <c r="N6846" s="131">
        <v>87700</v>
      </c>
      <c r="O6846" s="436">
        <f t="shared" si="296"/>
        <v>4648100</v>
      </c>
      <c r="P6846" s="89">
        <v>757</v>
      </c>
      <c r="Q6846" t="s">
        <v>47</v>
      </c>
      <c r="R6846" s="422" t="s">
        <v>1869</v>
      </c>
      <c r="S6846" s="422" t="s">
        <v>1861</v>
      </c>
      <c r="T6846" s="422"/>
      <c r="U6846" s="422" t="s">
        <v>1953</v>
      </c>
      <c r="V6846" s="422" t="s">
        <v>2813</v>
      </c>
    </row>
    <row r="6847" spans="1:22" ht="15.75" thickBot="1" x14ac:dyDescent="0.3">
      <c r="A6847" t="s">
        <v>545</v>
      </c>
      <c r="B6847" s="424" t="str">
        <f t="shared" si="297"/>
        <v>Barraqueiro Transportes</v>
      </c>
      <c r="C6847" s="424" t="str">
        <f t="shared" si="298"/>
        <v>Estremadura</v>
      </c>
      <c r="D6847" t="s">
        <v>629</v>
      </c>
      <c r="F6847" s="432" t="s">
        <v>620</v>
      </c>
      <c r="G6847" s="89">
        <v>2017</v>
      </c>
      <c r="H6847" s="313" t="s">
        <v>733</v>
      </c>
      <c r="I6847" s="311" t="str">
        <f t="shared" si="295"/>
        <v>Pesado de Passageiros M3:  : Gasóleo : E6</v>
      </c>
      <c r="J6847" s="422">
        <v>19</v>
      </c>
      <c r="K6847" s="422">
        <v>2023</v>
      </c>
      <c r="L6847">
        <v>6032.27</v>
      </c>
      <c r="M6847" s="422" t="s">
        <v>630</v>
      </c>
      <c r="N6847" s="131">
        <v>35409</v>
      </c>
      <c r="O6847" s="436">
        <f t="shared" si="296"/>
        <v>672771</v>
      </c>
      <c r="P6847" s="89">
        <v>763</v>
      </c>
      <c r="Q6847" t="s">
        <v>47</v>
      </c>
      <c r="R6847" s="422" t="s">
        <v>1869</v>
      </c>
      <c r="S6847" s="422" t="s">
        <v>1861</v>
      </c>
      <c r="T6847" s="422"/>
      <c r="U6847" s="422" t="s">
        <v>1953</v>
      </c>
      <c r="V6847" s="422" t="s">
        <v>2813</v>
      </c>
    </row>
    <row r="6848" spans="1:22" ht="15.75" thickBot="1" x14ac:dyDescent="0.3">
      <c r="A6848" t="s">
        <v>545</v>
      </c>
      <c r="B6848" s="424" t="str">
        <f t="shared" si="297"/>
        <v>Barraqueiro Transportes</v>
      </c>
      <c r="C6848" s="424" t="str">
        <f t="shared" si="298"/>
        <v>Estremadura</v>
      </c>
      <c r="D6848" t="s">
        <v>629</v>
      </c>
      <c r="F6848" s="432" t="s">
        <v>620</v>
      </c>
      <c r="G6848" s="89">
        <v>2017</v>
      </c>
      <c r="H6848" s="313" t="s">
        <v>733</v>
      </c>
      <c r="I6848" s="311" t="str">
        <f t="shared" si="295"/>
        <v>Pesado de Passageiros M3:  : Gasóleo : E6</v>
      </c>
      <c r="J6848" s="422">
        <v>19</v>
      </c>
      <c r="K6848" s="422">
        <v>2023</v>
      </c>
      <c r="L6848">
        <v>7548.7599999999993</v>
      </c>
      <c r="M6848" s="422" t="s">
        <v>630</v>
      </c>
      <c r="N6848" s="131">
        <v>45139</v>
      </c>
      <c r="O6848" s="436">
        <f t="shared" si="296"/>
        <v>857641</v>
      </c>
      <c r="P6848" s="89">
        <v>764</v>
      </c>
      <c r="Q6848" t="s">
        <v>47</v>
      </c>
      <c r="R6848" s="422" t="s">
        <v>1869</v>
      </c>
      <c r="S6848" s="422" t="s">
        <v>1861</v>
      </c>
      <c r="T6848" s="422"/>
      <c r="U6848" s="422" t="s">
        <v>1953</v>
      </c>
      <c r="V6848" s="422" t="s">
        <v>2813</v>
      </c>
    </row>
    <row r="6849" spans="1:22" ht="15.75" thickBot="1" x14ac:dyDescent="0.3">
      <c r="A6849" t="s">
        <v>545</v>
      </c>
      <c r="B6849" s="424" t="str">
        <f t="shared" si="297"/>
        <v>Barraqueiro Transportes</v>
      </c>
      <c r="C6849" s="424" t="str">
        <f t="shared" si="298"/>
        <v>Estremadura</v>
      </c>
      <c r="D6849" t="s">
        <v>629</v>
      </c>
      <c r="F6849" s="432" t="s">
        <v>620</v>
      </c>
      <c r="G6849" s="89">
        <v>2017</v>
      </c>
      <c r="H6849" s="313" t="s">
        <v>733</v>
      </c>
      <c r="I6849" s="311" t="str">
        <f t="shared" si="295"/>
        <v>Pesado de Passageiros M3:  : Gasóleo : E6</v>
      </c>
      <c r="J6849" s="422">
        <v>53</v>
      </c>
      <c r="K6849" s="422">
        <v>2023</v>
      </c>
      <c r="L6849">
        <v>33709.200000000004</v>
      </c>
      <c r="M6849" s="422" t="s">
        <v>630</v>
      </c>
      <c r="N6849" s="131">
        <v>114668</v>
      </c>
      <c r="O6849" s="436">
        <f t="shared" si="296"/>
        <v>6077404</v>
      </c>
      <c r="P6849" s="89">
        <v>766</v>
      </c>
      <c r="Q6849" t="s">
        <v>47</v>
      </c>
      <c r="R6849" s="422" t="s">
        <v>1869</v>
      </c>
      <c r="S6849" s="422" t="s">
        <v>1861</v>
      </c>
      <c r="T6849" s="422"/>
      <c r="U6849" s="422" t="s">
        <v>1953</v>
      </c>
      <c r="V6849" s="422" t="s">
        <v>2813</v>
      </c>
    </row>
    <row r="6850" spans="1:22" ht="15.75" thickBot="1" x14ac:dyDescent="0.3">
      <c r="A6850" t="s">
        <v>545</v>
      </c>
      <c r="B6850" s="424" t="str">
        <f t="shared" si="297"/>
        <v>Barraqueiro Transportes</v>
      </c>
      <c r="C6850" s="424" t="str">
        <f t="shared" si="298"/>
        <v>Estremadura</v>
      </c>
      <c r="D6850" t="s">
        <v>629</v>
      </c>
      <c r="F6850" s="432" t="s">
        <v>620</v>
      </c>
      <c r="G6850" s="89">
        <v>2017</v>
      </c>
      <c r="H6850" s="313" t="s">
        <v>733</v>
      </c>
      <c r="I6850" s="311" t="str">
        <f t="shared" si="295"/>
        <v>Pesado de Passageiros M3:  : Gasóleo : E6</v>
      </c>
      <c r="J6850" s="422">
        <v>39</v>
      </c>
      <c r="K6850" s="422">
        <v>2023</v>
      </c>
      <c r="L6850">
        <v>10104.279999999999</v>
      </c>
      <c r="M6850" s="422" t="s">
        <v>630</v>
      </c>
      <c r="N6850" s="131">
        <v>38666</v>
      </c>
      <c r="O6850" s="436">
        <f t="shared" si="296"/>
        <v>1507974</v>
      </c>
      <c r="P6850" s="89">
        <v>772</v>
      </c>
      <c r="Q6850" t="s">
        <v>47</v>
      </c>
      <c r="R6850" s="422" t="s">
        <v>1869</v>
      </c>
      <c r="S6850" s="422" t="s">
        <v>1861</v>
      </c>
      <c r="T6850" s="422"/>
      <c r="U6850" s="422" t="s">
        <v>1953</v>
      </c>
      <c r="V6850" s="422" t="s">
        <v>2813</v>
      </c>
    </row>
    <row r="6851" spans="1:22" ht="15.75" thickBot="1" x14ac:dyDescent="0.3">
      <c r="A6851" t="s">
        <v>545</v>
      </c>
      <c r="B6851" s="424" t="str">
        <f t="shared" si="297"/>
        <v>Barraqueiro Transportes</v>
      </c>
      <c r="C6851" s="424" t="str">
        <f t="shared" si="298"/>
        <v>Estremadura</v>
      </c>
      <c r="D6851" t="s">
        <v>629</v>
      </c>
      <c r="F6851" s="432" t="s">
        <v>620</v>
      </c>
      <c r="G6851" s="89">
        <v>2011</v>
      </c>
      <c r="H6851" s="313" t="s">
        <v>734</v>
      </c>
      <c r="I6851" s="311" t="str">
        <f t="shared" si="295"/>
        <v>Pesado de Passageiros M3:  : Gasóleo : E5</v>
      </c>
      <c r="J6851" s="422">
        <v>24</v>
      </c>
      <c r="K6851" s="422">
        <v>2023</v>
      </c>
      <c r="L6851">
        <v>110</v>
      </c>
      <c r="M6851" s="422" t="s">
        <v>630</v>
      </c>
      <c r="N6851" s="131">
        <v>578</v>
      </c>
      <c r="O6851" s="436">
        <f t="shared" si="296"/>
        <v>13872</v>
      </c>
      <c r="P6851" s="89">
        <v>826</v>
      </c>
      <c r="Q6851" t="s">
        <v>47</v>
      </c>
      <c r="R6851" s="422" t="s">
        <v>1869</v>
      </c>
      <c r="S6851" s="422" t="s">
        <v>1861</v>
      </c>
      <c r="T6851" s="422"/>
      <c r="U6851" s="422" t="s">
        <v>1953</v>
      </c>
      <c r="V6851" s="422" t="s">
        <v>2813</v>
      </c>
    </row>
    <row r="6852" spans="1:22" ht="15.75" thickBot="1" x14ac:dyDescent="0.3">
      <c r="A6852" t="s">
        <v>545</v>
      </c>
      <c r="B6852" s="424" t="str">
        <f t="shared" si="297"/>
        <v>Barraqueiro Transportes</v>
      </c>
      <c r="C6852" s="424" t="str">
        <f t="shared" si="298"/>
        <v>Estremadura</v>
      </c>
      <c r="D6852" t="s">
        <v>629</v>
      </c>
      <c r="F6852" s="432" t="s">
        <v>620</v>
      </c>
      <c r="G6852" s="89">
        <v>2011</v>
      </c>
      <c r="H6852" s="313" t="s">
        <v>734</v>
      </c>
      <c r="I6852" s="311" t="str">
        <f t="shared" si="295"/>
        <v>Pesado de Passageiros M3:  : Gasóleo : E5</v>
      </c>
      <c r="J6852" s="422">
        <v>24</v>
      </c>
      <c r="K6852" s="422">
        <v>2023</v>
      </c>
      <c r="L6852">
        <v>0</v>
      </c>
      <c r="M6852" s="422" t="s">
        <v>630</v>
      </c>
      <c r="N6852" s="131">
        <v>0</v>
      </c>
      <c r="O6852" s="436">
        <f t="shared" si="296"/>
        <v>0</v>
      </c>
      <c r="P6852" s="89">
        <v>827</v>
      </c>
      <c r="Q6852" t="s">
        <v>47</v>
      </c>
      <c r="R6852" s="422" t="s">
        <v>1869</v>
      </c>
      <c r="S6852" s="422" t="s">
        <v>1861</v>
      </c>
      <c r="T6852" s="422"/>
      <c r="U6852" s="422" t="s">
        <v>1953</v>
      </c>
      <c r="V6852" s="422" t="s">
        <v>2813</v>
      </c>
    </row>
    <row r="6853" spans="1:22" ht="15.75" thickBot="1" x14ac:dyDescent="0.3">
      <c r="A6853" t="s">
        <v>545</v>
      </c>
      <c r="B6853" s="424" t="str">
        <f t="shared" si="297"/>
        <v>Barraqueiro Transportes</v>
      </c>
      <c r="C6853" s="424" t="str">
        <f t="shared" si="298"/>
        <v>Estremadura</v>
      </c>
      <c r="D6853" t="s">
        <v>629</v>
      </c>
      <c r="F6853" s="432" t="s">
        <v>620</v>
      </c>
      <c r="G6853" s="89">
        <v>2011</v>
      </c>
      <c r="H6853" s="313" t="s">
        <v>734</v>
      </c>
      <c r="I6853" s="311" t="str">
        <f t="shared" si="295"/>
        <v>Pesado de Passageiros M3:  : Gasóleo : E5</v>
      </c>
      <c r="J6853" s="422">
        <v>53</v>
      </c>
      <c r="K6853" s="422">
        <v>2023</v>
      </c>
      <c r="L6853">
        <v>18747.22</v>
      </c>
      <c r="M6853" s="422" t="s">
        <v>630</v>
      </c>
      <c r="N6853" s="131">
        <v>60247</v>
      </c>
      <c r="O6853" s="436">
        <f t="shared" si="296"/>
        <v>3193091</v>
      </c>
      <c r="P6853" s="89">
        <v>828</v>
      </c>
      <c r="Q6853" t="s">
        <v>47</v>
      </c>
      <c r="R6853" s="422" t="s">
        <v>1869</v>
      </c>
      <c r="S6853" s="422" t="s">
        <v>1861</v>
      </c>
      <c r="T6853" s="422"/>
      <c r="U6853" s="422" t="s">
        <v>1953</v>
      </c>
      <c r="V6853" s="422" t="s">
        <v>2813</v>
      </c>
    </row>
    <row r="6854" spans="1:22" ht="15.75" thickBot="1" x14ac:dyDescent="0.3">
      <c r="A6854" t="s">
        <v>545</v>
      </c>
      <c r="B6854" s="424" t="str">
        <f t="shared" si="297"/>
        <v>Barraqueiro Transportes</v>
      </c>
      <c r="C6854" s="424" t="str">
        <f t="shared" si="298"/>
        <v>Estremadura</v>
      </c>
      <c r="D6854" t="s">
        <v>629</v>
      </c>
      <c r="F6854" s="432" t="s">
        <v>620</v>
      </c>
      <c r="G6854" s="89">
        <v>2011</v>
      </c>
      <c r="H6854" s="313" t="s">
        <v>734</v>
      </c>
      <c r="I6854" s="311" t="str">
        <f t="shared" si="295"/>
        <v>Pesado de Passageiros M3:  : Gasóleo : E5</v>
      </c>
      <c r="J6854" s="422">
        <v>53</v>
      </c>
      <c r="K6854" s="422">
        <v>2023</v>
      </c>
      <c r="L6854">
        <v>21427.200000000001</v>
      </c>
      <c r="M6854" s="422" t="s">
        <v>630</v>
      </c>
      <c r="N6854" s="131">
        <v>68675</v>
      </c>
      <c r="O6854" s="436">
        <f t="shared" si="296"/>
        <v>3639775</v>
      </c>
      <c r="P6854" s="89">
        <v>829</v>
      </c>
      <c r="Q6854" t="s">
        <v>47</v>
      </c>
      <c r="R6854" s="422" t="s">
        <v>1869</v>
      </c>
      <c r="S6854" s="422" t="s">
        <v>1861</v>
      </c>
      <c r="T6854" s="422"/>
      <c r="U6854" s="422" t="s">
        <v>1953</v>
      </c>
      <c r="V6854" s="422" t="s">
        <v>2813</v>
      </c>
    </row>
    <row r="6855" spans="1:22" ht="15.75" thickBot="1" x14ac:dyDescent="0.3">
      <c r="A6855" t="s">
        <v>545</v>
      </c>
      <c r="B6855" s="424" t="str">
        <f t="shared" si="297"/>
        <v>Barraqueiro Transportes</v>
      </c>
      <c r="C6855" s="424" t="str">
        <f t="shared" si="298"/>
        <v>Estremadura</v>
      </c>
      <c r="D6855" t="s">
        <v>629</v>
      </c>
      <c r="F6855" s="432" t="s">
        <v>620</v>
      </c>
      <c r="G6855" s="89">
        <v>2011</v>
      </c>
      <c r="H6855" s="313" t="s">
        <v>734</v>
      </c>
      <c r="I6855" s="311" t="str">
        <f t="shared" si="295"/>
        <v>Pesado de Passageiros M3:  : Gasóleo : E5</v>
      </c>
      <c r="J6855" s="422">
        <v>53</v>
      </c>
      <c r="K6855" s="422">
        <v>2023</v>
      </c>
      <c r="L6855">
        <v>17110</v>
      </c>
      <c r="M6855" s="422" t="s">
        <v>630</v>
      </c>
      <c r="N6855" s="131">
        <v>53966</v>
      </c>
      <c r="O6855" s="436">
        <f t="shared" si="296"/>
        <v>2860198</v>
      </c>
      <c r="P6855" s="89">
        <v>830</v>
      </c>
      <c r="Q6855" t="s">
        <v>47</v>
      </c>
      <c r="R6855" s="422" t="s">
        <v>1869</v>
      </c>
      <c r="S6855" s="422" t="s">
        <v>1861</v>
      </c>
      <c r="T6855" s="422"/>
      <c r="U6855" s="422" t="s">
        <v>1953</v>
      </c>
      <c r="V6855" s="422" t="s">
        <v>2813</v>
      </c>
    </row>
    <row r="6856" spans="1:22" ht="15.75" thickBot="1" x14ac:dyDescent="0.3">
      <c r="A6856" t="s">
        <v>545</v>
      </c>
      <c r="B6856" s="424" t="str">
        <f t="shared" si="297"/>
        <v>Barraqueiro Transportes</v>
      </c>
      <c r="C6856" s="424" t="str">
        <f t="shared" si="298"/>
        <v>Estremadura</v>
      </c>
      <c r="D6856" t="s">
        <v>629</v>
      </c>
      <c r="F6856" s="432" t="s">
        <v>620</v>
      </c>
      <c r="G6856" s="89">
        <v>2011</v>
      </c>
      <c r="H6856" s="313" t="s">
        <v>734</v>
      </c>
      <c r="I6856" s="311" t="str">
        <f t="shared" si="295"/>
        <v>Pesado de Passageiros M3:  : Gasóleo : E5</v>
      </c>
      <c r="J6856" s="422">
        <v>53</v>
      </c>
      <c r="K6856" s="422">
        <v>2023</v>
      </c>
      <c r="L6856">
        <v>22623.42</v>
      </c>
      <c r="M6856" s="422" t="s">
        <v>630</v>
      </c>
      <c r="N6856" s="131">
        <v>72168</v>
      </c>
      <c r="O6856" s="436">
        <f t="shared" si="296"/>
        <v>3824904</v>
      </c>
      <c r="P6856" s="89">
        <v>831</v>
      </c>
      <c r="Q6856" t="s">
        <v>47</v>
      </c>
      <c r="R6856" s="422" t="s">
        <v>1869</v>
      </c>
      <c r="S6856" s="422" t="s">
        <v>1861</v>
      </c>
      <c r="T6856" s="422"/>
      <c r="U6856" s="422" t="s">
        <v>1953</v>
      </c>
      <c r="V6856" s="422" t="s">
        <v>2813</v>
      </c>
    </row>
    <row r="6857" spans="1:22" ht="15.75" thickBot="1" x14ac:dyDescent="0.3">
      <c r="A6857" t="s">
        <v>545</v>
      </c>
      <c r="B6857" s="424" t="str">
        <f t="shared" si="297"/>
        <v>Barraqueiro Transportes</v>
      </c>
      <c r="C6857" s="424" t="str">
        <f t="shared" si="298"/>
        <v>Estremadura</v>
      </c>
      <c r="D6857" t="s">
        <v>629</v>
      </c>
      <c r="F6857" s="432" t="s">
        <v>620</v>
      </c>
      <c r="G6857" s="89">
        <v>2018</v>
      </c>
      <c r="H6857" s="313" t="s">
        <v>733</v>
      </c>
      <c r="I6857" s="311" t="str">
        <f t="shared" si="295"/>
        <v>Pesado de Passageiros M3:  : Gasóleo : E6</v>
      </c>
      <c r="J6857" s="422">
        <v>39</v>
      </c>
      <c r="K6857" s="422">
        <v>2023</v>
      </c>
      <c r="L6857">
        <v>11828.39</v>
      </c>
      <c r="M6857" s="422" t="s">
        <v>630</v>
      </c>
      <c r="N6857" s="131">
        <v>45855</v>
      </c>
      <c r="O6857" s="436">
        <f t="shared" si="296"/>
        <v>1788345</v>
      </c>
      <c r="P6857" s="89">
        <v>854</v>
      </c>
      <c r="Q6857" t="s">
        <v>47</v>
      </c>
      <c r="R6857" s="422" t="s">
        <v>1869</v>
      </c>
      <c r="S6857" s="422" t="s">
        <v>1861</v>
      </c>
      <c r="T6857" s="422"/>
      <c r="U6857" s="422" t="s">
        <v>1953</v>
      </c>
      <c r="V6857" s="422" t="s">
        <v>2813</v>
      </c>
    </row>
    <row r="6858" spans="1:22" ht="15.75" thickBot="1" x14ac:dyDescent="0.3">
      <c r="A6858" t="s">
        <v>545</v>
      </c>
      <c r="B6858" s="424" t="str">
        <f t="shared" si="297"/>
        <v>Barraqueiro Transportes</v>
      </c>
      <c r="C6858" s="424" t="str">
        <f t="shared" si="298"/>
        <v>Estremadura</v>
      </c>
      <c r="D6858" t="s">
        <v>629</v>
      </c>
      <c r="F6858" s="432" t="s">
        <v>620</v>
      </c>
      <c r="G6858" s="89">
        <v>2018</v>
      </c>
      <c r="H6858" s="313" t="s">
        <v>733</v>
      </c>
      <c r="I6858" s="311" t="str">
        <f t="shared" si="295"/>
        <v>Pesado de Passageiros M3:  : Gasóleo : E6</v>
      </c>
      <c r="J6858" s="422">
        <v>39</v>
      </c>
      <c r="K6858" s="422">
        <v>2023</v>
      </c>
      <c r="L6858">
        <v>14339.699999999999</v>
      </c>
      <c r="M6858" s="422" t="s">
        <v>630</v>
      </c>
      <c r="N6858" s="131">
        <v>53600</v>
      </c>
      <c r="O6858" s="436">
        <f t="shared" si="296"/>
        <v>2090400</v>
      </c>
      <c r="P6858" s="89">
        <v>855</v>
      </c>
      <c r="Q6858" t="s">
        <v>47</v>
      </c>
      <c r="R6858" s="422" t="s">
        <v>1869</v>
      </c>
      <c r="S6858" s="422" t="s">
        <v>1861</v>
      </c>
      <c r="T6858" s="422"/>
      <c r="U6858" s="422" t="s">
        <v>1953</v>
      </c>
      <c r="V6858" s="422" t="s">
        <v>2813</v>
      </c>
    </row>
    <row r="6859" spans="1:22" ht="15.75" thickBot="1" x14ac:dyDescent="0.3">
      <c r="A6859" t="s">
        <v>545</v>
      </c>
      <c r="B6859" s="424" t="str">
        <f t="shared" si="297"/>
        <v>Barraqueiro Transportes</v>
      </c>
      <c r="C6859" s="424" t="str">
        <f t="shared" si="298"/>
        <v>Estremadura</v>
      </c>
      <c r="D6859" t="s">
        <v>629</v>
      </c>
      <c r="F6859" s="432" t="s">
        <v>620</v>
      </c>
      <c r="G6859" s="89">
        <v>2018</v>
      </c>
      <c r="H6859" s="313" t="s">
        <v>733</v>
      </c>
      <c r="I6859" s="311" t="str">
        <f t="shared" si="295"/>
        <v>Pesado de Passageiros M3:  : Gasóleo : E6</v>
      </c>
      <c r="J6859" s="422">
        <v>63</v>
      </c>
      <c r="K6859" s="422">
        <v>2023</v>
      </c>
      <c r="L6859">
        <v>58735.45</v>
      </c>
      <c r="M6859" s="422" t="s">
        <v>630</v>
      </c>
      <c r="N6859" s="131">
        <v>195713</v>
      </c>
      <c r="O6859" s="436">
        <f t="shared" si="296"/>
        <v>12329919</v>
      </c>
      <c r="P6859" s="89">
        <v>906</v>
      </c>
      <c r="Q6859" t="s">
        <v>47</v>
      </c>
      <c r="R6859" s="422" t="s">
        <v>1869</v>
      </c>
      <c r="S6859" s="422" t="s">
        <v>1861</v>
      </c>
      <c r="T6859" s="422"/>
      <c r="U6859" s="422" t="s">
        <v>1953</v>
      </c>
      <c r="V6859" s="422" t="s">
        <v>2813</v>
      </c>
    </row>
    <row r="6860" spans="1:22" ht="15.75" thickBot="1" x14ac:dyDescent="0.3">
      <c r="A6860" t="s">
        <v>545</v>
      </c>
      <c r="B6860" s="424" t="str">
        <f t="shared" si="297"/>
        <v>Barraqueiro Transportes</v>
      </c>
      <c r="C6860" s="424" t="str">
        <f t="shared" si="298"/>
        <v>Estremadura</v>
      </c>
      <c r="D6860" t="s">
        <v>629</v>
      </c>
      <c r="F6860" s="432" t="s">
        <v>620</v>
      </c>
      <c r="G6860" s="89">
        <v>2018</v>
      </c>
      <c r="H6860" s="313" t="s">
        <v>733</v>
      </c>
      <c r="I6860" s="311" t="str">
        <f t="shared" si="295"/>
        <v>Pesado de Passageiros M3:  : Gasóleo : E6</v>
      </c>
      <c r="J6860" s="422">
        <v>53</v>
      </c>
      <c r="K6860" s="422">
        <v>2023</v>
      </c>
      <c r="L6860">
        <v>39971.449999999997</v>
      </c>
      <c r="M6860" s="422" t="s">
        <v>630</v>
      </c>
      <c r="N6860" s="131">
        <v>153879</v>
      </c>
      <c r="O6860" s="436">
        <f t="shared" si="296"/>
        <v>8155587</v>
      </c>
      <c r="P6860" s="89">
        <v>922</v>
      </c>
      <c r="Q6860" t="s">
        <v>47</v>
      </c>
      <c r="R6860" s="422" t="s">
        <v>1869</v>
      </c>
      <c r="S6860" s="422" t="s">
        <v>1861</v>
      </c>
      <c r="T6860" s="422"/>
      <c r="U6860" s="422" t="s">
        <v>1953</v>
      </c>
      <c r="V6860" s="422" t="s">
        <v>2813</v>
      </c>
    </row>
    <row r="6861" spans="1:22" ht="15.75" thickBot="1" x14ac:dyDescent="0.3">
      <c r="A6861" t="s">
        <v>545</v>
      </c>
      <c r="B6861" s="424" t="str">
        <f t="shared" si="297"/>
        <v>Barraqueiro Transportes</v>
      </c>
      <c r="C6861" s="424" t="str">
        <f t="shared" si="298"/>
        <v>Estremadura</v>
      </c>
      <c r="D6861" t="s">
        <v>629</v>
      </c>
      <c r="F6861" s="432" t="s">
        <v>620</v>
      </c>
      <c r="G6861" s="89">
        <v>2018</v>
      </c>
      <c r="H6861" s="313" t="s">
        <v>733</v>
      </c>
      <c r="I6861" s="311" t="str">
        <f t="shared" si="295"/>
        <v>Pesado de Passageiros M3:  : Gasóleo : E6</v>
      </c>
      <c r="J6861" s="422">
        <v>53</v>
      </c>
      <c r="K6861" s="422">
        <v>2023</v>
      </c>
      <c r="L6861">
        <v>48438.29</v>
      </c>
      <c r="M6861" s="422" t="s">
        <v>630</v>
      </c>
      <c r="N6861" s="131">
        <v>187154</v>
      </c>
      <c r="O6861" s="436">
        <f t="shared" si="296"/>
        <v>9919162</v>
      </c>
      <c r="P6861" s="89">
        <v>923</v>
      </c>
      <c r="Q6861" t="s">
        <v>47</v>
      </c>
      <c r="R6861" s="422" t="s">
        <v>1869</v>
      </c>
      <c r="S6861" s="422" t="s">
        <v>1861</v>
      </c>
      <c r="T6861" s="422"/>
      <c r="U6861" s="422" t="s">
        <v>1953</v>
      </c>
      <c r="V6861" s="422" t="s">
        <v>2813</v>
      </c>
    </row>
    <row r="6862" spans="1:22" ht="15.75" thickBot="1" x14ac:dyDescent="0.3">
      <c r="A6862" t="s">
        <v>545</v>
      </c>
      <c r="B6862" s="424" t="str">
        <f t="shared" si="297"/>
        <v>Barraqueiro Transportes</v>
      </c>
      <c r="C6862" s="424" t="str">
        <f t="shared" si="298"/>
        <v>Estremadura</v>
      </c>
      <c r="D6862" t="s">
        <v>629</v>
      </c>
      <c r="F6862" s="432" t="s">
        <v>620</v>
      </c>
      <c r="G6862" s="89">
        <v>2018</v>
      </c>
      <c r="H6862" s="313" t="s">
        <v>733</v>
      </c>
      <c r="I6862" s="311" t="str">
        <f t="shared" si="295"/>
        <v>Pesado de Passageiros M3:  : Gasóleo : E6</v>
      </c>
      <c r="J6862" s="422">
        <v>53</v>
      </c>
      <c r="K6862" s="422">
        <v>2023</v>
      </c>
      <c r="L6862">
        <v>47598.58</v>
      </c>
      <c r="M6862" s="422" t="s">
        <v>630</v>
      </c>
      <c r="N6862" s="131">
        <v>182350</v>
      </c>
      <c r="O6862" s="436">
        <f t="shared" si="296"/>
        <v>9664550</v>
      </c>
      <c r="P6862" s="89">
        <v>924</v>
      </c>
      <c r="Q6862" t="s">
        <v>47</v>
      </c>
      <c r="R6862" s="422" t="s">
        <v>1869</v>
      </c>
      <c r="S6862" s="422" t="s">
        <v>1861</v>
      </c>
      <c r="T6862" s="422"/>
      <c r="U6862" s="422" t="s">
        <v>1953</v>
      </c>
      <c r="V6862" s="422" t="s">
        <v>2813</v>
      </c>
    </row>
    <row r="6863" spans="1:22" ht="15.75" thickBot="1" x14ac:dyDescent="0.3">
      <c r="A6863" t="s">
        <v>545</v>
      </c>
      <c r="B6863" s="424" t="str">
        <f t="shared" si="297"/>
        <v>Barraqueiro Transportes</v>
      </c>
      <c r="C6863" s="424" t="str">
        <f t="shared" si="298"/>
        <v>Estremadura</v>
      </c>
      <c r="D6863" t="s">
        <v>629</v>
      </c>
      <c r="F6863" s="432" t="s">
        <v>620</v>
      </c>
      <c r="G6863" s="89">
        <v>2018</v>
      </c>
      <c r="H6863" s="313" t="s">
        <v>733</v>
      </c>
      <c r="I6863" s="311" t="str">
        <f t="shared" si="295"/>
        <v>Pesado de Passageiros M3:  : Gasóleo : E6</v>
      </c>
      <c r="J6863" s="422">
        <v>53</v>
      </c>
      <c r="K6863" s="422">
        <v>2023</v>
      </c>
      <c r="L6863">
        <v>47997.55</v>
      </c>
      <c r="M6863" s="422" t="s">
        <v>630</v>
      </c>
      <c r="N6863" s="131">
        <v>189717</v>
      </c>
      <c r="O6863" s="436">
        <f t="shared" si="296"/>
        <v>10055001</v>
      </c>
      <c r="P6863" s="89">
        <v>925</v>
      </c>
      <c r="Q6863" t="s">
        <v>47</v>
      </c>
      <c r="R6863" s="422" t="s">
        <v>1869</v>
      </c>
      <c r="S6863" s="422" t="s">
        <v>1861</v>
      </c>
      <c r="T6863" s="422"/>
      <c r="U6863" s="422" t="s">
        <v>1953</v>
      </c>
      <c r="V6863" s="422" t="s">
        <v>2813</v>
      </c>
    </row>
    <row r="6864" spans="1:22" ht="15.75" thickBot="1" x14ac:dyDescent="0.3">
      <c r="A6864" t="s">
        <v>545</v>
      </c>
      <c r="B6864" s="424" t="str">
        <f t="shared" si="297"/>
        <v>Barraqueiro Transportes</v>
      </c>
      <c r="C6864" s="424" t="str">
        <f t="shared" si="298"/>
        <v>Estremadura</v>
      </c>
      <c r="D6864" t="s">
        <v>629</v>
      </c>
      <c r="F6864" s="432" t="s">
        <v>620</v>
      </c>
      <c r="G6864" s="89">
        <v>2018</v>
      </c>
      <c r="H6864" s="313" t="s">
        <v>733</v>
      </c>
      <c r="I6864" s="311" t="str">
        <f t="shared" si="295"/>
        <v>Pesado de Passageiros M3:  : Gasóleo : E6</v>
      </c>
      <c r="J6864" s="422">
        <v>35</v>
      </c>
      <c r="K6864" s="422">
        <v>2023</v>
      </c>
      <c r="L6864">
        <v>16899.079999999998</v>
      </c>
      <c r="M6864" s="422" t="s">
        <v>630</v>
      </c>
      <c r="N6864" s="131">
        <v>70807</v>
      </c>
      <c r="O6864" s="436">
        <f t="shared" si="296"/>
        <v>2478245</v>
      </c>
      <c r="P6864" s="89">
        <v>926</v>
      </c>
      <c r="Q6864" t="s">
        <v>47</v>
      </c>
      <c r="R6864" s="422" t="s">
        <v>1869</v>
      </c>
      <c r="S6864" s="422" t="s">
        <v>1861</v>
      </c>
      <c r="T6864" s="422"/>
      <c r="U6864" s="422" t="s">
        <v>1953</v>
      </c>
      <c r="V6864" s="422" t="s">
        <v>2813</v>
      </c>
    </row>
    <row r="6865" spans="1:22" ht="15.75" thickBot="1" x14ac:dyDescent="0.3">
      <c r="A6865" t="s">
        <v>545</v>
      </c>
      <c r="B6865" s="424" t="str">
        <f t="shared" si="297"/>
        <v>Barraqueiro Transportes</v>
      </c>
      <c r="C6865" s="424" t="str">
        <f t="shared" si="298"/>
        <v>Estremadura</v>
      </c>
      <c r="D6865" t="s">
        <v>629</v>
      </c>
      <c r="F6865" s="432" t="s">
        <v>620</v>
      </c>
      <c r="G6865" s="89">
        <v>2018</v>
      </c>
      <c r="H6865" s="313" t="s">
        <v>733</v>
      </c>
      <c r="I6865" s="311" t="str">
        <f t="shared" si="295"/>
        <v>Pesado de Passageiros M3:  : Gasóleo : E6</v>
      </c>
      <c r="J6865" s="422">
        <v>52</v>
      </c>
      <c r="K6865" s="422">
        <v>2023</v>
      </c>
      <c r="L6865">
        <v>5190.09</v>
      </c>
      <c r="M6865" s="422" t="s">
        <v>630</v>
      </c>
      <c r="N6865" s="131">
        <v>16057</v>
      </c>
      <c r="O6865" s="436">
        <f t="shared" si="296"/>
        <v>834964</v>
      </c>
      <c r="P6865" s="89">
        <v>927</v>
      </c>
      <c r="Q6865" t="s">
        <v>47</v>
      </c>
      <c r="R6865" s="422" t="s">
        <v>1869</v>
      </c>
      <c r="S6865" s="422" t="s">
        <v>1861</v>
      </c>
      <c r="T6865" s="422"/>
      <c r="U6865" s="422" t="s">
        <v>1953</v>
      </c>
      <c r="V6865" s="422" t="s">
        <v>2813</v>
      </c>
    </row>
    <row r="6866" spans="1:22" ht="15.75" thickBot="1" x14ac:dyDescent="0.3">
      <c r="A6866" t="s">
        <v>545</v>
      </c>
      <c r="B6866" s="424" t="str">
        <f t="shared" si="297"/>
        <v>Barraqueiro Transportes</v>
      </c>
      <c r="C6866" s="424" t="str">
        <f t="shared" si="298"/>
        <v>Estremadura</v>
      </c>
      <c r="D6866" t="s">
        <v>629</v>
      </c>
      <c r="F6866" s="432" t="s">
        <v>620</v>
      </c>
      <c r="G6866" s="89">
        <v>2018</v>
      </c>
      <c r="H6866" s="313" t="s">
        <v>733</v>
      </c>
      <c r="I6866" s="311" t="str">
        <f t="shared" si="295"/>
        <v>Pesado de Passageiros M3:  : Gasóleo : E6</v>
      </c>
      <c r="J6866" s="422">
        <v>19</v>
      </c>
      <c r="K6866" s="422">
        <v>2023</v>
      </c>
      <c r="L6866">
        <v>5205.3999999999996</v>
      </c>
      <c r="M6866" s="422" t="s">
        <v>630</v>
      </c>
      <c r="N6866" s="131">
        <v>33299</v>
      </c>
      <c r="O6866" s="436">
        <f t="shared" si="296"/>
        <v>632681</v>
      </c>
      <c r="P6866" s="89">
        <v>928</v>
      </c>
      <c r="Q6866" t="s">
        <v>47</v>
      </c>
      <c r="R6866" s="422" t="s">
        <v>1869</v>
      </c>
      <c r="S6866" s="422" t="s">
        <v>1861</v>
      </c>
      <c r="T6866" s="422"/>
      <c r="U6866" s="422" t="s">
        <v>1953</v>
      </c>
      <c r="V6866" s="422" t="s">
        <v>2813</v>
      </c>
    </row>
    <row r="6867" spans="1:22" ht="15.75" thickBot="1" x14ac:dyDescent="0.3">
      <c r="A6867" t="s">
        <v>545</v>
      </c>
      <c r="B6867" s="424" t="str">
        <f t="shared" si="297"/>
        <v>Barraqueiro Transportes</v>
      </c>
      <c r="C6867" s="424" t="str">
        <f t="shared" si="298"/>
        <v>Estremadura</v>
      </c>
      <c r="D6867" t="s">
        <v>629</v>
      </c>
      <c r="F6867" s="432" t="s">
        <v>620</v>
      </c>
      <c r="G6867" s="89">
        <v>2018</v>
      </c>
      <c r="H6867" s="313" t="s">
        <v>733</v>
      </c>
      <c r="I6867" s="311" t="str">
        <f t="shared" si="295"/>
        <v>Pesado de Passageiros M3:  : Gasóleo : E6</v>
      </c>
      <c r="J6867" s="422">
        <v>19</v>
      </c>
      <c r="K6867" s="422">
        <v>2023</v>
      </c>
      <c r="L6867">
        <v>5906.2900000000009</v>
      </c>
      <c r="M6867" s="422" t="s">
        <v>630</v>
      </c>
      <c r="N6867" s="131">
        <v>39355</v>
      </c>
      <c r="O6867" s="436">
        <f t="shared" si="296"/>
        <v>747745</v>
      </c>
      <c r="P6867" s="89">
        <v>929</v>
      </c>
      <c r="Q6867" t="s">
        <v>47</v>
      </c>
      <c r="R6867" s="422" t="s">
        <v>1869</v>
      </c>
      <c r="S6867" s="422" t="s">
        <v>1861</v>
      </c>
      <c r="T6867" s="422"/>
      <c r="U6867" s="422" t="s">
        <v>1953</v>
      </c>
      <c r="V6867" s="422" t="s">
        <v>2813</v>
      </c>
    </row>
    <row r="6868" spans="1:22" ht="15.75" thickBot="1" x14ac:dyDescent="0.3">
      <c r="A6868" t="s">
        <v>545</v>
      </c>
      <c r="B6868" s="424" t="str">
        <f t="shared" si="297"/>
        <v>Barraqueiro Transportes</v>
      </c>
      <c r="C6868" s="424" t="str">
        <f t="shared" si="298"/>
        <v>Estremadura</v>
      </c>
      <c r="D6868" t="s">
        <v>629</v>
      </c>
      <c r="F6868" s="432" t="s">
        <v>620</v>
      </c>
      <c r="G6868" s="89">
        <v>2018</v>
      </c>
      <c r="H6868" s="313" t="s">
        <v>733</v>
      </c>
      <c r="I6868" s="311" t="str">
        <f t="shared" si="295"/>
        <v>Pesado de Passageiros M3:  : Gasóleo : E6</v>
      </c>
      <c r="J6868" s="422">
        <v>19</v>
      </c>
      <c r="K6868" s="422">
        <v>2023</v>
      </c>
      <c r="L6868">
        <v>5799.42</v>
      </c>
      <c r="M6868" s="422" t="s">
        <v>630</v>
      </c>
      <c r="N6868" s="131">
        <v>38243</v>
      </c>
      <c r="O6868" s="436">
        <f t="shared" si="296"/>
        <v>726617</v>
      </c>
      <c r="P6868" s="89">
        <v>930</v>
      </c>
      <c r="Q6868" t="s">
        <v>47</v>
      </c>
      <c r="R6868" s="422" t="s">
        <v>1869</v>
      </c>
      <c r="S6868" s="422" t="s">
        <v>1861</v>
      </c>
      <c r="T6868" s="422"/>
      <c r="U6868" s="422" t="s">
        <v>1953</v>
      </c>
      <c r="V6868" s="422" t="s">
        <v>2813</v>
      </c>
    </row>
    <row r="6869" spans="1:22" ht="15.75" thickBot="1" x14ac:dyDescent="0.3">
      <c r="A6869" t="s">
        <v>545</v>
      </c>
      <c r="B6869" s="424" t="str">
        <f t="shared" si="297"/>
        <v>Barraqueiro Transportes</v>
      </c>
      <c r="C6869" s="424" t="str">
        <f t="shared" si="298"/>
        <v>Estremadura</v>
      </c>
      <c r="D6869" t="s">
        <v>629</v>
      </c>
      <c r="F6869" s="432" t="s">
        <v>620</v>
      </c>
      <c r="G6869" s="89">
        <v>2005</v>
      </c>
      <c r="H6869" s="313" t="s">
        <v>732</v>
      </c>
      <c r="I6869" s="311" t="str">
        <f t="shared" si="295"/>
        <v>Pesado de Passageiros M3:  : Gasóleo : E3</v>
      </c>
      <c r="J6869" s="422">
        <v>36</v>
      </c>
      <c r="K6869" s="422">
        <v>2023</v>
      </c>
      <c r="L6869">
        <v>6837.22</v>
      </c>
      <c r="M6869" s="422" t="s">
        <v>630</v>
      </c>
      <c r="N6869" s="131">
        <v>22118</v>
      </c>
      <c r="O6869" s="436">
        <f t="shared" si="296"/>
        <v>796248</v>
      </c>
      <c r="P6869" s="89">
        <v>990</v>
      </c>
      <c r="Q6869" t="s">
        <v>47</v>
      </c>
      <c r="R6869" s="422" t="s">
        <v>1869</v>
      </c>
      <c r="S6869" s="422" t="s">
        <v>1861</v>
      </c>
      <c r="T6869" s="422"/>
      <c r="U6869" s="422" t="s">
        <v>1953</v>
      </c>
      <c r="V6869" s="422" t="s">
        <v>2813</v>
      </c>
    </row>
    <row r="6870" spans="1:22" ht="15.75" thickBot="1" x14ac:dyDescent="0.3">
      <c r="A6870" t="s">
        <v>545</v>
      </c>
      <c r="B6870" s="424" t="str">
        <f t="shared" si="297"/>
        <v>Barraqueiro Transportes</v>
      </c>
      <c r="C6870" s="424" t="str">
        <f t="shared" si="298"/>
        <v>Estremadura</v>
      </c>
      <c r="D6870" t="s">
        <v>629</v>
      </c>
      <c r="F6870" s="432" t="s">
        <v>620</v>
      </c>
      <c r="G6870" s="89">
        <v>2011</v>
      </c>
      <c r="H6870" s="313" t="s">
        <v>734</v>
      </c>
      <c r="I6870" s="311" t="str">
        <f t="shared" si="295"/>
        <v>Pesado de Passageiros M3:  : Gasóleo : E5</v>
      </c>
      <c r="J6870" s="422">
        <v>34</v>
      </c>
      <c r="K6870" s="422">
        <v>2023</v>
      </c>
      <c r="L6870">
        <v>16521.88</v>
      </c>
      <c r="M6870" s="422" t="s">
        <v>630</v>
      </c>
      <c r="N6870" s="131">
        <v>50564</v>
      </c>
      <c r="O6870" s="436">
        <f t="shared" si="296"/>
        <v>1719176</v>
      </c>
      <c r="P6870" s="89">
        <v>6731</v>
      </c>
      <c r="Q6870" t="s">
        <v>47</v>
      </c>
      <c r="R6870" s="422" t="s">
        <v>1869</v>
      </c>
      <c r="S6870" s="422" t="s">
        <v>1861</v>
      </c>
      <c r="T6870" s="422"/>
      <c r="U6870" s="422" t="s">
        <v>1953</v>
      </c>
      <c r="V6870" s="422" t="s">
        <v>2813</v>
      </c>
    </row>
    <row r="6871" spans="1:22" ht="15.75" thickBot="1" x14ac:dyDescent="0.3">
      <c r="A6871" t="s">
        <v>545</v>
      </c>
      <c r="B6871" s="424" t="str">
        <f t="shared" si="297"/>
        <v>Barraqueiro Transportes</v>
      </c>
      <c r="C6871" s="424" t="str">
        <f t="shared" si="298"/>
        <v>Estremadura</v>
      </c>
      <c r="D6871" t="s">
        <v>629</v>
      </c>
      <c r="F6871" s="432" t="s">
        <v>620</v>
      </c>
      <c r="G6871" s="89">
        <v>2012</v>
      </c>
      <c r="H6871" s="313" t="s">
        <v>734</v>
      </c>
      <c r="I6871" s="311" t="str">
        <f t="shared" si="295"/>
        <v>Pesado de Passageiros M3:  : Gasóleo : E5</v>
      </c>
      <c r="J6871" s="422">
        <v>53</v>
      </c>
      <c r="K6871" s="422">
        <v>2023</v>
      </c>
      <c r="L6871">
        <v>19956.819999999996</v>
      </c>
      <c r="M6871" s="422" t="s">
        <v>630</v>
      </c>
      <c r="N6871" s="131">
        <v>64861</v>
      </c>
      <c r="O6871" s="436">
        <f t="shared" si="296"/>
        <v>3437633</v>
      </c>
      <c r="P6871" s="89">
        <v>6733</v>
      </c>
      <c r="Q6871" t="s">
        <v>47</v>
      </c>
      <c r="R6871" s="422" t="s">
        <v>1869</v>
      </c>
      <c r="S6871" s="422" t="s">
        <v>1861</v>
      </c>
      <c r="T6871" s="422"/>
      <c r="U6871" s="422" t="s">
        <v>1953</v>
      </c>
      <c r="V6871" s="422" t="s">
        <v>2813</v>
      </c>
    </row>
    <row r="6872" spans="1:22" ht="15.75" thickBot="1" x14ac:dyDescent="0.3">
      <c r="A6872" t="s">
        <v>545</v>
      </c>
      <c r="B6872" s="424" t="str">
        <f t="shared" si="297"/>
        <v>Barraqueiro Transportes</v>
      </c>
      <c r="C6872" s="424" t="str">
        <f t="shared" si="298"/>
        <v>Estremadura</v>
      </c>
      <c r="D6872" t="s">
        <v>629</v>
      </c>
      <c r="F6872" s="432" t="s">
        <v>620</v>
      </c>
      <c r="G6872" s="89">
        <v>2013</v>
      </c>
      <c r="H6872" s="313" t="s">
        <v>733</v>
      </c>
      <c r="I6872" s="311" t="str">
        <f t="shared" si="295"/>
        <v>Pesado de Passageiros M3:  : Gasóleo : E6</v>
      </c>
      <c r="J6872" s="422">
        <v>53</v>
      </c>
      <c r="K6872" s="422">
        <v>2023</v>
      </c>
      <c r="L6872">
        <v>13738.509999999998</v>
      </c>
      <c r="M6872" s="422" t="s">
        <v>630</v>
      </c>
      <c r="N6872" s="131">
        <v>45614</v>
      </c>
      <c r="O6872" s="436">
        <f t="shared" si="296"/>
        <v>2417542</v>
      </c>
      <c r="P6872" s="89">
        <v>6738</v>
      </c>
      <c r="Q6872" t="s">
        <v>47</v>
      </c>
      <c r="R6872" s="422" t="s">
        <v>1869</v>
      </c>
      <c r="S6872" s="422" t="s">
        <v>1861</v>
      </c>
      <c r="T6872" s="422"/>
      <c r="U6872" s="422" t="s">
        <v>1953</v>
      </c>
      <c r="V6872" s="422" t="s">
        <v>2813</v>
      </c>
    </row>
    <row r="6873" spans="1:22" ht="15.75" thickBot="1" x14ac:dyDescent="0.3">
      <c r="A6873" t="s">
        <v>545</v>
      </c>
      <c r="B6873" s="424" t="str">
        <f t="shared" si="297"/>
        <v>Barraqueiro Transportes</v>
      </c>
      <c r="C6873" s="424" t="str">
        <f t="shared" si="298"/>
        <v>Estremadura</v>
      </c>
      <c r="D6873" t="s">
        <v>629</v>
      </c>
      <c r="F6873" s="432" t="s">
        <v>620</v>
      </c>
      <c r="G6873" s="89">
        <v>2013</v>
      </c>
      <c r="H6873" s="313" t="s">
        <v>733</v>
      </c>
      <c r="I6873" s="311" t="str">
        <f t="shared" si="295"/>
        <v>Pesado de Passageiros M3:  : Gasóleo : E6</v>
      </c>
      <c r="J6873" s="422">
        <v>53</v>
      </c>
      <c r="K6873" s="422">
        <v>2023</v>
      </c>
      <c r="L6873">
        <v>0</v>
      </c>
      <c r="M6873" s="422" t="s">
        <v>630</v>
      </c>
      <c r="N6873" s="131">
        <v>0</v>
      </c>
      <c r="O6873" s="436">
        <f t="shared" si="296"/>
        <v>0</v>
      </c>
      <c r="P6873" s="89">
        <v>6739</v>
      </c>
      <c r="Q6873" t="s">
        <v>47</v>
      </c>
      <c r="R6873" s="422" t="s">
        <v>1869</v>
      </c>
      <c r="S6873" s="422" t="s">
        <v>1861</v>
      </c>
      <c r="T6873" s="422"/>
      <c r="U6873" s="422" t="s">
        <v>1953</v>
      </c>
      <c r="V6873" s="422" t="s">
        <v>2813</v>
      </c>
    </row>
    <row r="6874" spans="1:22" ht="15.75" thickBot="1" x14ac:dyDescent="0.3">
      <c r="A6874" t="s">
        <v>545</v>
      </c>
      <c r="B6874" s="424" t="str">
        <f t="shared" si="297"/>
        <v>Barraqueiro Transportes</v>
      </c>
      <c r="C6874" s="424" t="str">
        <f t="shared" si="298"/>
        <v>Estremadura</v>
      </c>
      <c r="D6874" t="s">
        <v>629</v>
      </c>
      <c r="F6874" s="432" t="s">
        <v>620</v>
      </c>
      <c r="G6874" s="89">
        <v>2013</v>
      </c>
      <c r="H6874" s="313" t="s">
        <v>733</v>
      </c>
      <c r="I6874" s="311" t="str">
        <f t="shared" si="295"/>
        <v>Pesado de Passageiros M3:  : Gasóleo : E6</v>
      </c>
      <c r="J6874" s="422">
        <v>55</v>
      </c>
      <c r="K6874" s="422">
        <v>2023</v>
      </c>
      <c r="L6874">
        <v>15283.94</v>
      </c>
      <c r="M6874" s="422" t="s">
        <v>630</v>
      </c>
      <c r="N6874" s="131">
        <v>46931</v>
      </c>
      <c r="O6874" s="436">
        <f t="shared" si="296"/>
        <v>2581205</v>
      </c>
      <c r="P6874" s="89">
        <v>6750</v>
      </c>
      <c r="Q6874" t="s">
        <v>47</v>
      </c>
      <c r="R6874" s="422" t="s">
        <v>1869</v>
      </c>
      <c r="S6874" s="422" t="s">
        <v>1861</v>
      </c>
      <c r="T6874" s="422"/>
      <c r="U6874" s="422" t="s">
        <v>1953</v>
      </c>
      <c r="V6874" s="422" t="s">
        <v>2813</v>
      </c>
    </row>
    <row r="6875" spans="1:22" ht="15.75" thickBot="1" x14ac:dyDescent="0.3">
      <c r="A6875" t="s">
        <v>545</v>
      </c>
      <c r="B6875" s="424" t="str">
        <f t="shared" si="297"/>
        <v>Barraqueiro Transportes</v>
      </c>
      <c r="C6875" s="424" t="str">
        <f t="shared" si="298"/>
        <v>Estremadura</v>
      </c>
      <c r="D6875" t="s">
        <v>629</v>
      </c>
      <c r="F6875" s="432" t="s">
        <v>620</v>
      </c>
      <c r="G6875" s="89">
        <v>2014</v>
      </c>
      <c r="H6875" s="313" t="s">
        <v>733</v>
      </c>
      <c r="I6875" s="311" t="str">
        <f t="shared" si="295"/>
        <v>Pesado de Passageiros M3:  : Gasóleo : E6</v>
      </c>
      <c r="J6875" s="422">
        <v>53</v>
      </c>
      <c r="K6875" s="422">
        <v>2023</v>
      </c>
      <c r="L6875">
        <v>1046.19</v>
      </c>
      <c r="M6875" s="422" t="s">
        <v>630</v>
      </c>
      <c r="N6875" s="131">
        <v>3477</v>
      </c>
      <c r="O6875" s="436">
        <f t="shared" si="296"/>
        <v>184281</v>
      </c>
      <c r="P6875" s="89">
        <v>6754</v>
      </c>
      <c r="Q6875" t="s">
        <v>47</v>
      </c>
      <c r="R6875" s="422" t="s">
        <v>1869</v>
      </c>
      <c r="S6875" s="422" t="s">
        <v>1861</v>
      </c>
      <c r="T6875" s="422"/>
      <c r="U6875" s="422" t="s">
        <v>1953</v>
      </c>
      <c r="V6875" s="422" t="s">
        <v>2813</v>
      </c>
    </row>
    <row r="6876" spans="1:22" ht="15.75" thickBot="1" x14ac:dyDescent="0.3">
      <c r="A6876" t="s">
        <v>545</v>
      </c>
      <c r="B6876" s="424" t="str">
        <f t="shared" si="297"/>
        <v>Barraqueiro Transportes</v>
      </c>
      <c r="C6876" s="424" t="str">
        <f t="shared" si="298"/>
        <v>Estremadura</v>
      </c>
      <c r="D6876" t="s">
        <v>629</v>
      </c>
      <c r="F6876" s="432" t="s">
        <v>620</v>
      </c>
      <c r="G6876" s="89">
        <v>2014</v>
      </c>
      <c r="H6876" s="313" t="s">
        <v>733</v>
      </c>
      <c r="I6876" s="311" t="str">
        <f t="shared" si="295"/>
        <v>Pesado de Passageiros M3:  : Gasóleo : E6</v>
      </c>
      <c r="J6876" s="422">
        <v>53</v>
      </c>
      <c r="K6876" s="422">
        <v>2023</v>
      </c>
      <c r="L6876">
        <v>1925.1100000000001</v>
      </c>
      <c r="M6876" s="422" t="s">
        <v>630</v>
      </c>
      <c r="N6876" s="131">
        <v>6654</v>
      </c>
      <c r="O6876" s="436">
        <f t="shared" si="296"/>
        <v>352662</v>
      </c>
      <c r="P6876" s="89">
        <v>6756</v>
      </c>
      <c r="Q6876" t="s">
        <v>47</v>
      </c>
      <c r="R6876" s="422" t="s">
        <v>1869</v>
      </c>
      <c r="S6876" s="422" t="s">
        <v>1861</v>
      </c>
      <c r="T6876" s="422"/>
      <c r="U6876" s="422" t="s">
        <v>1953</v>
      </c>
      <c r="V6876" s="422" t="s">
        <v>2813</v>
      </c>
    </row>
    <row r="6877" spans="1:22" ht="15.75" thickBot="1" x14ac:dyDescent="0.3">
      <c r="A6877" t="s">
        <v>545</v>
      </c>
      <c r="B6877" s="424" t="str">
        <f t="shared" si="297"/>
        <v>Barraqueiro Transportes</v>
      </c>
      <c r="C6877" s="424" t="str">
        <f t="shared" si="298"/>
        <v>Estremadura</v>
      </c>
      <c r="D6877" t="s">
        <v>629</v>
      </c>
      <c r="F6877" s="432" t="s">
        <v>620</v>
      </c>
      <c r="G6877" s="89">
        <v>2015</v>
      </c>
      <c r="H6877" s="313" t="s">
        <v>733</v>
      </c>
      <c r="I6877" s="311" t="str">
        <f t="shared" si="295"/>
        <v>Pesado de Passageiros M3:  : Gasóleo : E6</v>
      </c>
      <c r="J6877" s="422">
        <v>53</v>
      </c>
      <c r="K6877" s="422">
        <v>2023</v>
      </c>
      <c r="L6877">
        <v>16154.57</v>
      </c>
      <c r="M6877" s="422" t="s">
        <v>630</v>
      </c>
      <c r="N6877" s="131">
        <v>56625</v>
      </c>
      <c r="O6877" s="436">
        <f t="shared" si="296"/>
        <v>3001125</v>
      </c>
      <c r="P6877" s="89">
        <v>6773</v>
      </c>
      <c r="Q6877" t="s">
        <v>47</v>
      </c>
      <c r="R6877" s="422" t="s">
        <v>1869</v>
      </c>
      <c r="S6877" s="422" t="s">
        <v>1861</v>
      </c>
      <c r="T6877" s="422"/>
      <c r="U6877" s="422" t="s">
        <v>1953</v>
      </c>
      <c r="V6877" s="422" t="s">
        <v>2813</v>
      </c>
    </row>
    <row r="6878" spans="1:22" ht="15.75" thickBot="1" x14ac:dyDescent="0.3">
      <c r="A6878" t="s">
        <v>545</v>
      </c>
      <c r="B6878" s="424" t="str">
        <f t="shared" si="297"/>
        <v>Barraqueiro Transportes</v>
      </c>
      <c r="C6878" s="424" t="str">
        <f t="shared" si="298"/>
        <v>Estremadura</v>
      </c>
      <c r="D6878" t="s">
        <v>629</v>
      </c>
      <c r="F6878" s="432" t="s">
        <v>620</v>
      </c>
      <c r="G6878" s="89">
        <v>2015</v>
      </c>
      <c r="H6878" s="313" t="s">
        <v>733</v>
      </c>
      <c r="I6878" s="311" t="str">
        <f t="shared" si="295"/>
        <v>Pesado de Passageiros M3:  : Gasóleo : E6</v>
      </c>
      <c r="J6878" s="422">
        <v>53</v>
      </c>
      <c r="K6878" s="422">
        <v>2023</v>
      </c>
      <c r="L6878">
        <v>16973.650000000001</v>
      </c>
      <c r="M6878" s="422" t="s">
        <v>630</v>
      </c>
      <c r="N6878" s="131">
        <v>64207</v>
      </c>
      <c r="O6878" s="436">
        <f t="shared" si="296"/>
        <v>3402971</v>
      </c>
      <c r="P6878" s="89">
        <v>6784</v>
      </c>
      <c r="Q6878" t="s">
        <v>47</v>
      </c>
      <c r="R6878" s="422" t="s">
        <v>1869</v>
      </c>
      <c r="S6878" s="422" t="s">
        <v>1861</v>
      </c>
      <c r="T6878" s="422"/>
      <c r="U6878" s="422" t="s">
        <v>1953</v>
      </c>
      <c r="V6878" s="422" t="s">
        <v>2813</v>
      </c>
    </row>
    <row r="6879" spans="1:22" ht="15.75" thickBot="1" x14ac:dyDescent="0.3">
      <c r="A6879" t="s">
        <v>545</v>
      </c>
      <c r="B6879" s="424" t="str">
        <f t="shared" si="297"/>
        <v>Barraqueiro Transportes</v>
      </c>
      <c r="C6879" s="424" t="str">
        <f t="shared" si="298"/>
        <v>Estremadura</v>
      </c>
      <c r="D6879" t="s">
        <v>629</v>
      </c>
      <c r="F6879" s="432" t="s">
        <v>620</v>
      </c>
      <c r="G6879" s="89">
        <v>2015</v>
      </c>
      <c r="H6879" s="313" t="s">
        <v>733</v>
      </c>
      <c r="I6879" s="311" t="str">
        <f t="shared" si="295"/>
        <v>Pesado de Passageiros M3:  : Gasóleo : E6</v>
      </c>
      <c r="J6879" s="422">
        <v>53</v>
      </c>
      <c r="K6879" s="422">
        <v>2023</v>
      </c>
      <c r="L6879">
        <v>1512.34</v>
      </c>
      <c r="M6879" s="422" t="s">
        <v>630</v>
      </c>
      <c r="N6879" s="131">
        <v>5737</v>
      </c>
      <c r="O6879" s="436">
        <f t="shared" si="296"/>
        <v>304061</v>
      </c>
      <c r="P6879" s="89">
        <v>6785</v>
      </c>
      <c r="Q6879" t="s">
        <v>47</v>
      </c>
      <c r="R6879" s="422" t="s">
        <v>1869</v>
      </c>
      <c r="S6879" s="422" t="s">
        <v>1861</v>
      </c>
      <c r="T6879" s="422"/>
      <c r="U6879" s="422" t="s">
        <v>1953</v>
      </c>
      <c r="V6879" s="422" t="s">
        <v>2813</v>
      </c>
    </row>
    <row r="6880" spans="1:22" ht="15.75" thickBot="1" x14ac:dyDescent="0.3">
      <c r="A6880" t="s">
        <v>545</v>
      </c>
      <c r="B6880" s="424" t="str">
        <f t="shared" si="297"/>
        <v>Barraqueiro Transportes</v>
      </c>
      <c r="C6880" s="424" t="str">
        <f t="shared" si="298"/>
        <v>Estremadura</v>
      </c>
      <c r="D6880" t="s">
        <v>629</v>
      </c>
      <c r="F6880" s="432" t="s">
        <v>620</v>
      </c>
      <c r="G6880" s="89">
        <v>2015</v>
      </c>
      <c r="H6880" s="313" t="s">
        <v>733</v>
      </c>
      <c r="I6880" s="311" t="str">
        <f t="shared" si="295"/>
        <v>Pesado de Passageiros M3:  : Gasóleo : E6</v>
      </c>
      <c r="J6880" s="422">
        <v>53</v>
      </c>
      <c r="K6880" s="422">
        <v>2023</v>
      </c>
      <c r="L6880">
        <v>16609.599999999999</v>
      </c>
      <c r="M6880" s="422" t="s">
        <v>630</v>
      </c>
      <c r="N6880" s="131">
        <v>59719</v>
      </c>
      <c r="O6880" s="436">
        <f t="shared" si="296"/>
        <v>3165107</v>
      </c>
      <c r="P6880" s="89">
        <v>6786</v>
      </c>
      <c r="Q6880" t="s">
        <v>47</v>
      </c>
      <c r="R6880" s="422" t="s">
        <v>1869</v>
      </c>
      <c r="S6880" s="422" t="s">
        <v>1861</v>
      </c>
      <c r="T6880" s="422"/>
      <c r="U6880" s="422" t="s">
        <v>1953</v>
      </c>
      <c r="V6880" s="422" t="s">
        <v>2813</v>
      </c>
    </row>
    <row r="6881" spans="1:22" ht="15.75" thickBot="1" x14ac:dyDescent="0.3">
      <c r="A6881" t="s">
        <v>545</v>
      </c>
      <c r="B6881" s="424" t="str">
        <f t="shared" si="297"/>
        <v>Barraqueiro Transportes</v>
      </c>
      <c r="C6881" s="424" t="str">
        <f t="shared" si="298"/>
        <v>Estremadura</v>
      </c>
      <c r="D6881" t="s">
        <v>629</v>
      </c>
      <c r="F6881" s="432" t="s">
        <v>620</v>
      </c>
      <c r="G6881" s="89">
        <v>2015</v>
      </c>
      <c r="H6881" s="313" t="s">
        <v>733</v>
      </c>
      <c r="I6881" s="311" t="str">
        <f t="shared" si="295"/>
        <v>Pesado de Passageiros M3:  : Gasóleo : E6</v>
      </c>
      <c r="J6881" s="422">
        <v>53</v>
      </c>
      <c r="K6881" s="422">
        <v>2023</v>
      </c>
      <c r="L6881">
        <v>2710.86</v>
      </c>
      <c r="M6881" s="422" t="s">
        <v>630</v>
      </c>
      <c r="N6881" s="131">
        <v>10171</v>
      </c>
      <c r="O6881" s="436">
        <f t="shared" si="296"/>
        <v>539063</v>
      </c>
      <c r="P6881" s="89">
        <v>6787</v>
      </c>
      <c r="Q6881" t="s">
        <v>47</v>
      </c>
      <c r="R6881" s="422" t="s">
        <v>1869</v>
      </c>
      <c r="S6881" s="422" t="s">
        <v>1861</v>
      </c>
      <c r="T6881" s="422"/>
      <c r="U6881" s="422" t="s">
        <v>1953</v>
      </c>
      <c r="V6881" s="422" t="s">
        <v>2813</v>
      </c>
    </row>
    <row r="6882" spans="1:22" ht="15.75" thickBot="1" x14ac:dyDescent="0.3">
      <c r="A6882" t="s">
        <v>545</v>
      </c>
      <c r="B6882" s="424" t="str">
        <f t="shared" si="297"/>
        <v>Barraqueiro Transportes</v>
      </c>
      <c r="C6882" s="424" t="str">
        <f t="shared" si="298"/>
        <v>Estremadura</v>
      </c>
      <c r="D6882" t="s">
        <v>629</v>
      </c>
      <c r="F6882" s="432" t="s">
        <v>620</v>
      </c>
      <c r="G6882" s="89">
        <v>2016</v>
      </c>
      <c r="H6882" s="313" t="s">
        <v>733</v>
      </c>
      <c r="I6882" s="311" t="str">
        <f t="shared" ref="I6882:I6945" si="299">D6882&amp;": "&amp;E6882&amp;" : "&amp;F6882&amp;" : "&amp;H6882</f>
        <v>Pesado de Passageiros M3:  : Gasóleo : E6</v>
      </c>
      <c r="J6882" s="422">
        <v>53</v>
      </c>
      <c r="K6882" s="422">
        <v>2023</v>
      </c>
      <c r="L6882">
        <v>40254.789999999994</v>
      </c>
      <c r="M6882" s="422" t="s">
        <v>630</v>
      </c>
      <c r="N6882" s="131">
        <v>166087</v>
      </c>
      <c r="O6882" s="436">
        <f t="shared" si="296"/>
        <v>8802611</v>
      </c>
      <c r="P6882" s="89">
        <v>6788</v>
      </c>
      <c r="Q6882" t="s">
        <v>47</v>
      </c>
      <c r="R6882" s="422" t="s">
        <v>1869</v>
      </c>
      <c r="S6882" s="422" t="s">
        <v>1861</v>
      </c>
      <c r="T6882" s="422"/>
      <c r="U6882" s="422" t="s">
        <v>1953</v>
      </c>
      <c r="V6882" s="422" t="s">
        <v>2813</v>
      </c>
    </row>
    <row r="6883" spans="1:22" ht="15.75" thickBot="1" x14ac:dyDescent="0.3">
      <c r="A6883" t="s">
        <v>545</v>
      </c>
      <c r="B6883" s="424" t="str">
        <f t="shared" si="297"/>
        <v>Barraqueiro Transportes</v>
      </c>
      <c r="C6883" s="424" t="str">
        <f t="shared" si="298"/>
        <v>Estremadura</v>
      </c>
      <c r="D6883" t="s">
        <v>629</v>
      </c>
      <c r="F6883" s="432" t="s">
        <v>620</v>
      </c>
      <c r="G6883" s="89">
        <v>2016</v>
      </c>
      <c r="H6883" s="313" t="s">
        <v>733</v>
      </c>
      <c r="I6883" s="311" t="str">
        <f t="shared" si="299"/>
        <v>Pesado de Passageiros M3:  : Gasóleo : E6</v>
      </c>
      <c r="J6883" s="422">
        <v>53</v>
      </c>
      <c r="K6883" s="422">
        <v>2023</v>
      </c>
      <c r="L6883">
        <v>42496.090000000004</v>
      </c>
      <c r="M6883" s="422" t="s">
        <v>630</v>
      </c>
      <c r="N6883" s="131">
        <v>163421</v>
      </c>
      <c r="O6883" s="436">
        <f t="shared" si="296"/>
        <v>8661313</v>
      </c>
      <c r="P6883" s="89">
        <v>6789</v>
      </c>
      <c r="Q6883" t="s">
        <v>47</v>
      </c>
      <c r="R6883" s="422" t="s">
        <v>1869</v>
      </c>
      <c r="S6883" s="422" t="s">
        <v>1861</v>
      </c>
      <c r="T6883" s="422"/>
      <c r="U6883" s="422" t="s">
        <v>1953</v>
      </c>
      <c r="V6883" s="422" t="s">
        <v>2813</v>
      </c>
    </row>
    <row r="6884" spans="1:22" ht="15.75" thickBot="1" x14ac:dyDescent="0.3">
      <c r="A6884" t="s">
        <v>545</v>
      </c>
      <c r="B6884" s="424" t="str">
        <f t="shared" si="297"/>
        <v>Barraqueiro Transportes</v>
      </c>
      <c r="C6884" s="424" t="str">
        <f t="shared" si="298"/>
        <v>Estremadura</v>
      </c>
      <c r="D6884" t="s">
        <v>629</v>
      </c>
      <c r="F6884" s="432" t="s">
        <v>620</v>
      </c>
      <c r="G6884" s="89">
        <v>2016</v>
      </c>
      <c r="H6884" s="313" t="s">
        <v>733</v>
      </c>
      <c r="I6884" s="311" t="str">
        <f t="shared" si="299"/>
        <v>Pesado de Passageiros M3:  : Gasóleo : E6</v>
      </c>
      <c r="J6884" s="422">
        <v>53</v>
      </c>
      <c r="K6884" s="422">
        <v>2023</v>
      </c>
      <c r="L6884">
        <v>53826.700000000012</v>
      </c>
      <c r="M6884" s="422" t="s">
        <v>630</v>
      </c>
      <c r="N6884" s="131">
        <v>200930</v>
      </c>
      <c r="O6884" s="436">
        <f t="shared" si="296"/>
        <v>10649290</v>
      </c>
      <c r="P6884" s="89">
        <v>6790</v>
      </c>
      <c r="Q6884" t="s">
        <v>47</v>
      </c>
      <c r="R6884" s="422" t="s">
        <v>1869</v>
      </c>
      <c r="S6884" s="422" t="s">
        <v>1861</v>
      </c>
      <c r="T6884" s="422"/>
      <c r="U6884" s="422" t="s">
        <v>1953</v>
      </c>
      <c r="V6884" s="422" t="s">
        <v>2813</v>
      </c>
    </row>
    <row r="6885" spans="1:22" ht="15.75" thickBot="1" x14ac:dyDescent="0.3">
      <c r="A6885" t="s">
        <v>545</v>
      </c>
      <c r="B6885" s="424" t="str">
        <f t="shared" si="297"/>
        <v>Barraqueiro Transportes</v>
      </c>
      <c r="C6885" s="424" t="str">
        <f t="shared" si="298"/>
        <v>Estremadura</v>
      </c>
      <c r="D6885" t="s">
        <v>629</v>
      </c>
      <c r="F6885" s="432" t="s">
        <v>620</v>
      </c>
      <c r="G6885" s="89">
        <v>2016</v>
      </c>
      <c r="H6885" s="313" t="s">
        <v>733</v>
      </c>
      <c r="I6885" s="311" t="str">
        <f t="shared" si="299"/>
        <v>Pesado de Passageiros M3:  : Gasóleo : E6</v>
      </c>
      <c r="J6885" s="422">
        <v>53</v>
      </c>
      <c r="K6885" s="422">
        <v>2023</v>
      </c>
      <c r="L6885">
        <v>59528.71</v>
      </c>
      <c r="M6885" s="422" t="s">
        <v>630</v>
      </c>
      <c r="N6885" s="131">
        <v>232104</v>
      </c>
      <c r="O6885" s="436">
        <f t="shared" si="296"/>
        <v>12301512</v>
      </c>
      <c r="P6885" s="89">
        <v>6791</v>
      </c>
      <c r="Q6885" t="s">
        <v>47</v>
      </c>
      <c r="R6885" s="422" t="s">
        <v>1869</v>
      </c>
      <c r="S6885" s="422" t="s">
        <v>1861</v>
      </c>
      <c r="T6885" s="422"/>
      <c r="U6885" s="422" t="s">
        <v>1953</v>
      </c>
      <c r="V6885" s="422" t="s">
        <v>2813</v>
      </c>
    </row>
    <row r="6886" spans="1:22" ht="15.75" thickBot="1" x14ac:dyDescent="0.3">
      <c r="A6886" t="s">
        <v>545</v>
      </c>
      <c r="B6886" s="424" t="str">
        <f t="shared" si="297"/>
        <v>Barraqueiro Transportes</v>
      </c>
      <c r="C6886" s="424" t="str">
        <f t="shared" si="298"/>
        <v>Estremadura</v>
      </c>
      <c r="D6886" t="s">
        <v>629</v>
      </c>
      <c r="F6886" s="432" t="s">
        <v>620</v>
      </c>
      <c r="G6886" s="89">
        <v>2017</v>
      </c>
      <c r="H6886" s="313" t="s">
        <v>733</v>
      </c>
      <c r="I6886" s="311" t="str">
        <f t="shared" si="299"/>
        <v>Pesado de Passageiros M3:  : Gasóleo : E6</v>
      </c>
      <c r="J6886" s="422">
        <v>53</v>
      </c>
      <c r="K6886" s="422">
        <v>2023</v>
      </c>
      <c r="L6886">
        <v>38002.44</v>
      </c>
      <c r="M6886" s="422" t="s">
        <v>630</v>
      </c>
      <c r="N6886" s="131">
        <v>155734</v>
      </c>
      <c r="O6886" s="436">
        <f t="shared" ref="O6886:O6949" si="300">N6886*J6886</f>
        <v>8253902</v>
      </c>
      <c r="P6886" s="89">
        <v>6820</v>
      </c>
      <c r="Q6886" t="s">
        <v>47</v>
      </c>
      <c r="R6886" s="422" t="s">
        <v>1869</v>
      </c>
      <c r="S6886" s="422" t="s">
        <v>1861</v>
      </c>
      <c r="T6886" s="422"/>
      <c r="U6886" s="422" t="s">
        <v>1953</v>
      </c>
      <c r="V6886" s="422" t="s">
        <v>2813</v>
      </c>
    </row>
    <row r="6887" spans="1:22" ht="15.75" thickBot="1" x14ac:dyDescent="0.3">
      <c r="A6887" t="s">
        <v>545</v>
      </c>
      <c r="B6887" s="424" t="str">
        <f t="shared" si="297"/>
        <v>Barraqueiro Transportes</v>
      </c>
      <c r="C6887" s="424" t="str">
        <f t="shared" si="298"/>
        <v>Estremadura</v>
      </c>
      <c r="D6887" t="s">
        <v>629</v>
      </c>
      <c r="F6887" s="432" t="s">
        <v>620</v>
      </c>
      <c r="G6887" s="89">
        <v>2017</v>
      </c>
      <c r="H6887" s="313" t="s">
        <v>733</v>
      </c>
      <c r="I6887" s="311" t="str">
        <f t="shared" si="299"/>
        <v>Pesado de Passageiros M3:  : Gasóleo : E6</v>
      </c>
      <c r="J6887" s="422">
        <v>53</v>
      </c>
      <c r="K6887" s="422">
        <v>2023</v>
      </c>
      <c r="L6887">
        <v>59032.09</v>
      </c>
      <c r="M6887" s="422" t="s">
        <v>630</v>
      </c>
      <c r="N6887" s="131">
        <v>241874</v>
      </c>
      <c r="O6887" s="436">
        <f t="shared" si="300"/>
        <v>12819322</v>
      </c>
      <c r="P6887" s="89">
        <v>6821</v>
      </c>
      <c r="Q6887" t="s">
        <v>47</v>
      </c>
      <c r="R6887" s="422" t="s">
        <v>1869</v>
      </c>
      <c r="S6887" s="422" t="s">
        <v>1861</v>
      </c>
      <c r="T6887" s="422"/>
      <c r="U6887" s="422" t="s">
        <v>1953</v>
      </c>
      <c r="V6887" s="422" t="s">
        <v>2813</v>
      </c>
    </row>
    <row r="6888" spans="1:22" ht="15.75" thickBot="1" x14ac:dyDescent="0.3">
      <c r="A6888" t="s">
        <v>545</v>
      </c>
      <c r="B6888" s="424" t="str">
        <f t="shared" si="297"/>
        <v>Barraqueiro Transportes</v>
      </c>
      <c r="C6888" s="424" t="str">
        <f t="shared" si="298"/>
        <v>Estremadura</v>
      </c>
      <c r="D6888" t="s">
        <v>629</v>
      </c>
      <c r="F6888" s="432" t="s">
        <v>620</v>
      </c>
      <c r="G6888" s="89">
        <v>2017</v>
      </c>
      <c r="H6888" s="313" t="s">
        <v>733</v>
      </c>
      <c r="I6888" s="311" t="str">
        <f t="shared" si="299"/>
        <v>Pesado de Passageiros M3:  : Gasóleo : E6</v>
      </c>
      <c r="J6888" s="422">
        <v>53</v>
      </c>
      <c r="K6888" s="422">
        <v>2023</v>
      </c>
      <c r="L6888">
        <v>40823.859999999993</v>
      </c>
      <c r="M6888" s="422" t="s">
        <v>630</v>
      </c>
      <c r="N6888" s="131">
        <v>166899</v>
      </c>
      <c r="O6888" s="436">
        <f t="shared" si="300"/>
        <v>8845647</v>
      </c>
      <c r="P6888" s="89">
        <v>6824</v>
      </c>
      <c r="Q6888" t="s">
        <v>47</v>
      </c>
      <c r="R6888" s="422" t="s">
        <v>1869</v>
      </c>
      <c r="S6888" s="422" t="s">
        <v>1861</v>
      </c>
      <c r="T6888" s="422"/>
      <c r="U6888" s="422" t="s">
        <v>1953</v>
      </c>
      <c r="V6888" s="422" t="s">
        <v>2813</v>
      </c>
    </row>
    <row r="6889" spans="1:22" ht="15.75" thickBot="1" x14ac:dyDescent="0.3">
      <c r="A6889" t="s">
        <v>545</v>
      </c>
      <c r="B6889" s="424" t="str">
        <f t="shared" si="297"/>
        <v>Barraqueiro Transportes</v>
      </c>
      <c r="C6889" s="424" t="str">
        <f t="shared" si="298"/>
        <v>Estremadura</v>
      </c>
      <c r="D6889" t="s">
        <v>629</v>
      </c>
      <c r="F6889" s="432" t="s">
        <v>620</v>
      </c>
      <c r="G6889" s="89">
        <v>2017</v>
      </c>
      <c r="H6889" s="313" t="s">
        <v>733</v>
      </c>
      <c r="I6889" s="311" t="str">
        <f t="shared" si="299"/>
        <v>Pesado de Passageiros M3:  : Gasóleo : E6</v>
      </c>
      <c r="J6889" s="422">
        <v>53</v>
      </c>
      <c r="K6889" s="422">
        <v>2023</v>
      </c>
      <c r="L6889">
        <v>58474.380000000012</v>
      </c>
      <c r="M6889" s="422" t="s">
        <v>630</v>
      </c>
      <c r="N6889" s="131">
        <v>246908</v>
      </c>
      <c r="O6889" s="436">
        <f t="shared" si="300"/>
        <v>13086124</v>
      </c>
      <c r="P6889" s="89">
        <v>6825</v>
      </c>
      <c r="Q6889" t="s">
        <v>47</v>
      </c>
      <c r="R6889" s="422" t="s">
        <v>1869</v>
      </c>
      <c r="S6889" s="422" t="s">
        <v>1861</v>
      </c>
      <c r="T6889" s="422"/>
      <c r="U6889" s="422" t="s">
        <v>1953</v>
      </c>
      <c r="V6889" s="422" t="s">
        <v>2813</v>
      </c>
    </row>
    <row r="6890" spans="1:22" ht="15.75" thickBot="1" x14ac:dyDescent="0.3">
      <c r="A6890" t="s">
        <v>545</v>
      </c>
      <c r="B6890" s="424" t="str">
        <f t="shared" si="297"/>
        <v>Barraqueiro Transportes</v>
      </c>
      <c r="C6890" s="424" t="str">
        <f t="shared" si="298"/>
        <v>Estremadura</v>
      </c>
      <c r="D6890" t="s">
        <v>629</v>
      </c>
      <c r="F6890" s="432" t="s">
        <v>620</v>
      </c>
      <c r="G6890" s="89">
        <v>2017</v>
      </c>
      <c r="H6890" s="313" t="s">
        <v>733</v>
      </c>
      <c r="I6890" s="311" t="str">
        <f t="shared" si="299"/>
        <v>Pesado de Passageiros M3:  : Gasóleo : E6</v>
      </c>
      <c r="J6890" s="422">
        <v>53</v>
      </c>
      <c r="K6890" s="422">
        <v>2023</v>
      </c>
      <c r="L6890">
        <v>62605.540000000008</v>
      </c>
      <c r="M6890" s="422" t="s">
        <v>630</v>
      </c>
      <c r="N6890" s="131">
        <v>259271</v>
      </c>
      <c r="O6890" s="436">
        <f t="shared" si="300"/>
        <v>13741363</v>
      </c>
      <c r="P6890" s="89">
        <v>6826</v>
      </c>
      <c r="Q6890" t="s">
        <v>47</v>
      </c>
      <c r="R6890" s="422" t="s">
        <v>1869</v>
      </c>
      <c r="S6890" s="422" t="s">
        <v>1861</v>
      </c>
      <c r="T6890" s="422"/>
      <c r="U6890" s="422" t="s">
        <v>1953</v>
      </c>
      <c r="V6890" s="422" t="s">
        <v>2813</v>
      </c>
    </row>
    <row r="6891" spans="1:22" ht="15.75" thickBot="1" x14ac:dyDescent="0.3">
      <c r="A6891" t="s">
        <v>545</v>
      </c>
      <c r="B6891" s="424" t="str">
        <f t="shared" si="297"/>
        <v>Barraqueiro Transportes</v>
      </c>
      <c r="C6891" s="424" t="str">
        <f t="shared" si="298"/>
        <v>Estremadura</v>
      </c>
      <c r="D6891" t="s">
        <v>629</v>
      </c>
      <c r="F6891" s="432" t="s">
        <v>620</v>
      </c>
      <c r="G6891" s="89">
        <v>2017</v>
      </c>
      <c r="H6891" s="313" t="s">
        <v>733</v>
      </c>
      <c r="I6891" s="311" t="str">
        <f t="shared" si="299"/>
        <v>Pesado de Passageiros M3:  : Gasóleo : E6</v>
      </c>
      <c r="J6891" s="422">
        <v>53</v>
      </c>
      <c r="K6891" s="422">
        <v>2023</v>
      </c>
      <c r="L6891">
        <v>59884.539999999994</v>
      </c>
      <c r="M6891" s="422" t="s">
        <v>630</v>
      </c>
      <c r="N6891" s="131">
        <v>248959</v>
      </c>
      <c r="O6891" s="436">
        <f t="shared" si="300"/>
        <v>13194827</v>
      </c>
      <c r="P6891" s="89">
        <v>6827</v>
      </c>
      <c r="Q6891" t="s">
        <v>47</v>
      </c>
      <c r="R6891" s="422" t="s">
        <v>1869</v>
      </c>
      <c r="S6891" s="422" t="s">
        <v>1861</v>
      </c>
      <c r="T6891" s="422"/>
      <c r="U6891" s="422" t="s">
        <v>1953</v>
      </c>
      <c r="V6891" s="422" t="s">
        <v>2813</v>
      </c>
    </row>
    <row r="6892" spans="1:22" ht="15.75" thickBot="1" x14ac:dyDescent="0.3">
      <c r="A6892" t="s">
        <v>545</v>
      </c>
      <c r="B6892" s="424" t="str">
        <f t="shared" ref="B6892:B6955" si="301">LEFT(A6892,IFERROR(FIND(" - ",A6892)-1,LEN(A6892)))</f>
        <v>Barraqueiro Transportes</v>
      </c>
      <c r="C6892" s="424" t="str">
        <f t="shared" ref="C6892:C6955" si="302">IF(A6892=B6892,B6892,RIGHT(A6892,LEN(A6892)-LEN(B6892)-3))</f>
        <v>Estremadura</v>
      </c>
      <c r="D6892" t="s">
        <v>629</v>
      </c>
      <c r="F6892" s="432" t="s">
        <v>620</v>
      </c>
      <c r="G6892" s="89">
        <v>2017</v>
      </c>
      <c r="H6892" s="313" t="s">
        <v>733</v>
      </c>
      <c r="I6892" s="311" t="str">
        <f t="shared" si="299"/>
        <v>Pesado de Passageiros M3:  : Gasóleo : E6</v>
      </c>
      <c r="J6892" s="422">
        <v>53</v>
      </c>
      <c r="K6892" s="422">
        <v>2023</v>
      </c>
      <c r="L6892">
        <v>59884.494999999995</v>
      </c>
      <c r="M6892" s="422" t="s">
        <v>630</v>
      </c>
      <c r="N6892" s="131">
        <v>243036</v>
      </c>
      <c r="O6892" s="436">
        <f t="shared" si="300"/>
        <v>12880908</v>
      </c>
      <c r="P6892" s="89">
        <v>6828</v>
      </c>
      <c r="Q6892" t="s">
        <v>47</v>
      </c>
      <c r="R6892" s="422" t="s">
        <v>1869</v>
      </c>
      <c r="S6892" s="422" t="s">
        <v>1861</v>
      </c>
      <c r="T6892" s="422"/>
      <c r="U6892" s="422" t="s">
        <v>1953</v>
      </c>
      <c r="V6892" s="422" t="s">
        <v>2813</v>
      </c>
    </row>
    <row r="6893" spans="1:22" ht="15.75" thickBot="1" x14ac:dyDescent="0.3">
      <c r="A6893" t="s">
        <v>545</v>
      </c>
      <c r="B6893" s="424" t="str">
        <f t="shared" si="301"/>
        <v>Barraqueiro Transportes</v>
      </c>
      <c r="C6893" s="424" t="str">
        <f t="shared" si="302"/>
        <v>Estremadura</v>
      </c>
      <c r="D6893" t="s">
        <v>629</v>
      </c>
      <c r="F6893" s="432" t="s">
        <v>620</v>
      </c>
      <c r="G6893" s="89">
        <v>2018</v>
      </c>
      <c r="H6893" s="313" t="s">
        <v>733</v>
      </c>
      <c r="I6893" s="311" t="str">
        <f t="shared" si="299"/>
        <v>Pesado de Passageiros M3:  : Gasóleo : E6</v>
      </c>
      <c r="J6893" s="422">
        <v>53</v>
      </c>
      <c r="K6893" s="422">
        <v>2023</v>
      </c>
      <c r="L6893">
        <v>65720.740000000005</v>
      </c>
      <c r="M6893" s="422" t="s">
        <v>630</v>
      </c>
      <c r="N6893" s="131">
        <v>268602</v>
      </c>
      <c r="O6893" s="436">
        <f t="shared" si="300"/>
        <v>14235906</v>
      </c>
      <c r="P6893" s="89">
        <v>6841</v>
      </c>
      <c r="Q6893" t="s">
        <v>47</v>
      </c>
      <c r="R6893" s="422" t="s">
        <v>1869</v>
      </c>
      <c r="S6893" s="422" t="s">
        <v>1861</v>
      </c>
      <c r="T6893" s="422"/>
      <c r="U6893" s="422" t="s">
        <v>1953</v>
      </c>
      <c r="V6893" s="422" t="s">
        <v>2813</v>
      </c>
    </row>
    <row r="6894" spans="1:22" ht="15.75" thickBot="1" x14ac:dyDescent="0.3">
      <c r="A6894" t="s">
        <v>545</v>
      </c>
      <c r="B6894" s="424" t="str">
        <f t="shared" si="301"/>
        <v>Barraqueiro Transportes</v>
      </c>
      <c r="C6894" s="424" t="str">
        <f t="shared" si="302"/>
        <v>Estremadura</v>
      </c>
      <c r="D6894" t="s">
        <v>629</v>
      </c>
      <c r="F6894" s="432" t="s">
        <v>620</v>
      </c>
      <c r="G6894" s="89">
        <v>2018</v>
      </c>
      <c r="H6894" s="313" t="s">
        <v>733</v>
      </c>
      <c r="I6894" s="311" t="str">
        <f t="shared" si="299"/>
        <v>Pesado de Passageiros M3:  : Gasóleo : E6</v>
      </c>
      <c r="J6894" s="422">
        <v>53</v>
      </c>
      <c r="K6894" s="422">
        <v>2023</v>
      </c>
      <c r="L6894">
        <v>64616.43</v>
      </c>
      <c r="M6894" s="422" t="s">
        <v>630</v>
      </c>
      <c r="N6894" s="131">
        <v>273296</v>
      </c>
      <c r="O6894" s="436">
        <f t="shared" si="300"/>
        <v>14484688</v>
      </c>
      <c r="P6894" s="89">
        <v>6842</v>
      </c>
      <c r="Q6894" t="s">
        <v>47</v>
      </c>
      <c r="R6894" s="422" t="s">
        <v>1869</v>
      </c>
      <c r="S6894" s="422" t="s">
        <v>1861</v>
      </c>
      <c r="T6894" s="422"/>
      <c r="U6894" s="422" t="s">
        <v>1953</v>
      </c>
      <c r="V6894" s="422" t="s">
        <v>2813</v>
      </c>
    </row>
    <row r="6895" spans="1:22" ht="15.75" thickBot="1" x14ac:dyDescent="0.3">
      <c r="A6895" t="s">
        <v>545</v>
      </c>
      <c r="B6895" s="424" t="str">
        <f t="shared" si="301"/>
        <v>Barraqueiro Transportes</v>
      </c>
      <c r="C6895" s="424" t="str">
        <f t="shared" si="302"/>
        <v>Estremadura</v>
      </c>
      <c r="D6895" t="s">
        <v>629</v>
      </c>
      <c r="F6895" s="432" t="s">
        <v>620</v>
      </c>
      <c r="G6895" s="89">
        <v>2018</v>
      </c>
      <c r="H6895" s="313" t="s">
        <v>733</v>
      </c>
      <c r="I6895" s="311" t="str">
        <f t="shared" si="299"/>
        <v>Pesado de Passageiros M3:  : Gasóleo : E6</v>
      </c>
      <c r="J6895" s="422">
        <v>53</v>
      </c>
      <c r="K6895" s="422">
        <v>2023</v>
      </c>
      <c r="L6895">
        <v>45160.609999999993</v>
      </c>
      <c r="M6895" s="422" t="s">
        <v>630</v>
      </c>
      <c r="N6895" s="131">
        <v>186675</v>
      </c>
      <c r="O6895" s="436">
        <f t="shared" si="300"/>
        <v>9893775</v>
      </c>
      <c r="P6895" s="89">
        <v>6843</v>
      </c>
      <c r="Q6895" t="s">
        <v>47</v>
      </c>
      <c r="R6895" s="422" t="s">
        <v>1869</v>
      </c>
      <c r="S6895" s="422" t="s">
        <v>1861</v>
      </c>
      <c r="T6895" s="422"/>
      <c r="U6895" s="422" t="s">
        <v>1953</v>
      </c>
      <c r="V6895" s="422" t="s">
        <v>2813</v>
      </c>
    </row>
    <row r="6896" spans="1:22" ht="15.75" thickBot="1" x14ac:dyDescent="0.3">
      <c r="A6896" t="s">
        <v>545</v>
      </c>
      <c r="B6896" s="424" t="str">
        <f t="shared" si="301"/>
        <v>Barraqueiro Transportes</v>
      </c>
      <c r="C6896" s="424" t="str">
        <f t="shared" si="302"/>
        <v>Estremadura</v>
      </c>
      <c r="D6896" t="s">
        <v>629</v>
      </c>
      <c r="F6896" s="432" t="s">
        <v>620</v>
      </c>
      <c r="G6896" s="89">
        <v>2018</v>
      </c>
      <c r="H6896" s="313" t="s">
        <v>733</v>
      </c>
      <c r="I6896" s="311" t="str">
        <f t="shared" si="299"/>
        <v>Pesado de Passageiros M3:  : Gasóleo : E6</v>
      </c>
      <c r="J6896" s="422">
        <v>53</v>
      </c>
      <c r="K6896" s="422">
        <v>2023</v>
      </c>
      <c r="L6896">
        <v>59440.05</v>
      </c>
      <c r="M6896" s="422" t="s">
        <v>630</v>
      </c>
      <c r="N6896" s="131">
        <v>226193</v>
      </c>
      <c r="O6896" s="436">
        <f t="shared" si="300"/>
        <v>11988229</v>
      </c>
      <c r="P6896" s="89">
        <v>6844</v>
      </c>
      <c r="Q6896" t="s">
        <v>47</v>
      </c>
      <c r="R6896" s="422" t="s">
        <v>1869</v>
      </c>
      <c r="S6896" s="422" t="s">
        <v>1861</v>
      </c>
      <c r="T6896" s="422"/>
      <c r="U6896" s="422" t="s">
        <v>1953</v>
      </c>
      <c r="V6896" s="422" t="s">
        <v>2813</v>
      </c>
    </row>
    <row r="6897" spans="1:22" ht="15.75" thickBot="1" x14ac:dyDescent="0.3">
      <c r="A6897" t="s">
        <v>545</v>
      </c>
      <c r="B6897" s="424" t="str">
        <f t="shared" si="301"/>
        <v>Barraqueiro Transportes</v>
      </c>
      <c r="C6897" s="424" t="str">
        <f t="shared" si="302"/>
        <v>Estremadura</v>
      </c>
      <c r="D6897" t="s">
        <v>629</v>
      </c>
      <c r="F6897" s="432" t="s">
        <v>620</v>
      </c>
      <c r="G6897" s="89">
        <v>2018</v>
      </c>
      <c r="H6897" s="313" t="s">
        <v>733</v>
      </c>
      <c r="I6897" s="311" t="str">
        <f t="shared" si="299"/>
        <v>Pesado de Passageiros M3:  : Gasóleo : E6</v>
      </c>
      <c r="J6897" s="422">
        <v>53</v>
      </c>
      <c r="K6897" s="422">
        <v>2023</v>
      </c>
      <c r="L6897">
        <v>61849.83</v>
      </c>
      <c r="M6897" s="422" t="s">
        <v>630</v>
      </c>
      <c r="N6897" s="131">
        <v>240945</v>
      </c>
      <c r="O6897" s="436">
        <f t="shared" si="300"/>
        <v>12770085</v>
      </c>
      <c r="P6897" s="89">
        <v>6846</v>
      </c>
      <c r="Q6897" t="s">
        <v>47</v>
      </c>
      <c r="R6897" s="422" t="s">
        <v>1869</v>
      </c>
      <c r="S6897" s="422" t="s">
        <v>1861</v>
      </c>
      <c r="T6897" s="422"/>
      <c r="U6897" s="422" t="s">
        <v>1953</v>
      </c>
      <c r="V6897" s="422" t="s">
        <v>2813</v>
      </c>
    </row>
    <row r="6898" spans="1:22" ht="15.75" thickBot="1" x14ac:dyDescent="0.3">
      <c r="A6898" t="s">
        <v>545</v>
      </c>
      <c r="B6898" s="424" t="str">
        <f t="shared" si="301"/>
        <v>Barraqueiro Transportes</v>
      </c>
      <c r="C6898" s="424" t="str">
        <f t="shared" si="302"/>
        <v>Estremadura</v>
      </c>
      <c r="D6898" t="s">
        <v>629</v>
      </c>
      <c r="F6898" s="432" t="s">
        <v>620</v>
      </c>
      <c r="G6898" s="89">
        <v>2018</v>
      </c>
      <c r="H6898" s="313" t="s">
        <v>733</v>
      </c>
      <c r="I6898" s="311" t="str">
        <f t="shared" si="299"/>
        <v>Pesado de Passageiros M3:  : Gasóleo : E6</v>
      </c>
      <c r="J6898" s="422">
        <v>53</v>
      </c>
      <c r="K6898" s="422">
        <v>2023</v>
      </c>
      <c r="L6898">
        <v>62481.279999999992</v>
      </c>
      <c r="M6898" s="422" t="s">
        <v>630</v>
      </c>
      <c r="N6898" s="131">
        <v>245370</v>
      </c>
      <c r="O6898" s="436">
        <f t="shared" si="300"/>
        <v>13004610</v>
      </c>
      <c r="P6898" s="89">
        <v>6847</v>
      </c>
      <c r="Q6898" t="s">
        <v>47</v>
      </c>
      <c r="R6898" s="422" t="s">
        <v>1869</v>
      </c>
      <c r="S6898" s="422" t="s">
        <v>1861</v>
      </c>
      <c r="T6898" s="422"/>
      <c r="U6898" s="422" t="s">
        <v>1953</v>
      </c>
      <c r="V6898" s="422" t="s">
        <v>2813</v>
      </c>
    </row>
    <row r="6899" spans="1:22" ht="15.75" thickBot="1" x14ac:dyDescent="0.3">
      <c r="A6899" t="s">
        <v>545</v>
      </c>
      <c r="B6899" s="424" t="str">
        <f t="shared" si="301"/>
        <v>Barraqueiro Transportes</v>
      </c>
      <c r="C6899" s="424" t="str">
        <f t="shared" si="302"/>
        <v>Estremadura</v>
      </c>
      <c r="D6899" t="s">
        <v>629</v>
      </c>
      <c r="F6899" s="432" t="s">
        <v>620</v>
      </c>
      <c r="G6899" s="89">
        <v>2018</v>
      </c>
      <c r="H6899" s="313" t="s">
        <v>733</v>
      </c>
      <c r="I6899" s="311" t="str">
        <f t="shared" si="299"/>
        <v>Pesado de Passageiros M3:  : Gasóleo : E6</v>
      </c>
      <c r="J6899" s="422">
        <v>53</v>
      </c>
      <c r="K6899" s="422">
        <v>2023</v>
      </c>
      <c r="L6899">
        <v>60461.840000000004</v>
      </c>
      <c r="M6899" s="422" t="s">
        <v>630</v>
      </c>
      <c r="N6899" s="131">
        <v>272620</v>
      </c>
      <c r="O6899" s="436">
        <f t="shared" si="300"/>
        <v>14448860</v>
      </c>
      <c r="P6899" s="89">
        <v>6852</v>
      </c>
      <c r="Q6899" t="s">
        <v>47</v>
      </c>
      <c r="R6899" s="422" t="s">
        <v>1869</v>
      </c>
      <c r="S6899" s="422" t="s">
        <v>1861</v>
      </c>
      <c r="T6899" s="422"/>
      <c r="U6899" s="422" t="s">
        <v>1953</v>
      </c>
      <c r="V6899" s="422" t="s">
        <v>2813</v>
      </c>
    </row>
    <row r="6900" spans="1:22" ht="15.75" thickBot="1" x14ac:dyDescent="0.3">
      <c r="A6900" t="s">
        <v>545</v>
      </c>
      <c r="B6900" s="424" t="str">
        <f t="shared" si="301"/>
        <v>Barraqueiro Transportes</v>
      </c>
      <c r="C6900" s="424" t="str">
        <f t="shared" si="302"/>
        <v>Estremadura</v>
      </c>
      <c r="D6900" t="s">
        <v>629</v>
      </c>
      <c r="F6900" s="432" t="s">
        <v>620</v>
      </c>
      <c r="G6900" s="89">
        <v>2018</v>
      </c>
      <c r="H6900" s="313" t="s">
        <v>733</v>
      </c>
      <c r="I6900" s="311" t="str">
        <f t="shared" si="299"/>
        <v>Pesado de Passageiros M3:  : Gasóleo : E6</v>
      </c>
      <c r="J6900" s="422">
        <v>53</v>
      </c>
      <c r="K6900" s="422">
        <v>2023</v>
      </c>
      <c r="L6900">
        <v>57034.51</v>
      </c>
      <c r="M6900" s="422" t="s">
        <v>630</v>
      </c>
      <c r="N6900" s="131">
        <v>236191</v>
      </c>
      <c r="O6900" s="436">
        <f t="shared" si="300"/>
        <v>12518123</v>
      </c>
      <c r="P6900" s="89">
        <v>6853</v>
      </c>
      <c r="Q6900" t="s">
        <v>47</v>
      </c>
      <c r="R6900" s="422" t="s">
        <v>1869</v>
      </c>
      <c r="S6900" s="422" t="s">
        <v>1861</v>
      </c>
      <c r="T6900" s="422"/>
      <c r="U6900" s="422" t="s">
        <v>1953</v>
      </c>
      <c r="V6900" s="422" t="s">
        <v>2813</v>
      </c>
    </row>
    <row r="6901" spans="1:22" ht="15.75" thickBot="1" x14ac:dyDescent="0.3">
      <c r="A6901" t="s">
        <v>545</v>
      </c>
      <c r="B6901" s="424" t="str">
        <f t="shared" si="301"/>
        <v>Barraqueiro Transportes</v>
      </c>
      <c r="C6901" s="424" t="str">
        <f t="shared" si="302"/>
        <v>Estremadura</v>
      </c>
      <c r="D6901" t="s">
        <v>629</v>
      </c>
      <c r="F6901" s="432" t="s">
        <v>620</v>
      </c>
      <c r="G6901" s="89">
        <v>2019</v>
      </c>
      <c r="H6901" s="313" t="s">
        <v>733</v>
      </c>
      <c r="I6901" s="311" t="str">
        <f t="shared" si="299"/>
        <v>Pesado de Passageiros M3:  : Gasóleo : E6</v>
      </c>
      <c r="J6901" s="422">
        <v>53</v>
      </c>
      <c r="K6901" s="422">
        <v>2023</v>
      </c>
      <c r="L6901">
        <v>64159.21</v>
      </c>
      <c r="M6901" s="422" t="s">
        <v>630</v>
      </c>
      <c r="N6901" s="131">
        <v>257464</v>
      </c>
      <c r="O6901" s="436">
        <f t="shared" si="300"/>
        <v>13645592</v>
      </c>
      <c r="P6901" s="89">
        <v>6870</v>
      </c>
      <c r="Q6901" t="s">
        <v>47</v>
      </c>
      <c r="R6901" s="422" t="s">
        <v>1869</v>
      </c>
      <c r="S6901" s="422" t="s">
        <v>1861</v>
      </c>
      <c r="T6901" s="422"/>
      <c r="U6901" s="422" t="s">
        <v>1953</v>
      </c>
      <c r="V6901" s="422" t="s">
        <v>2813</v>
      </c>
    </row>
    <row r="6902" spans="1:22" ht="15.75" thickBot="1" x14ac:dyDescent="0.3">
      <c r="A6902" t="s">
        <v>545</v>
      </c>
      <c r="B6902" s="424" t="str">
        <f t="shared" si="301"/>
        <v>Barraqueiro Transportes</v>
      </c>
      <c r="C6902" s="424" t="str">
        <f t="shared" si="302"/>
        <v>Estremadura</v>
      </c>
      <c r="D6902" t="s">
        <v>629</v>
      </c>
      <c r="F6902" s="432" t="s">
        <v>620</v>
      </c>
      <c r="G6902" s="89">
        <v>2019</v>
      </c>
      <c r="H6902" s="313" t="s">
        <v>733</v>
      </c>
      <c r="I6902" s="311" t="str">
        <f t="shared" si="299"/>
        <v>Pesado de Passageiros M3:  : Gasóleo : E6</v>
      </c>
      <c r="J6902" s="422">
        <v>53</v>
      </c>
      <c r="K6902" s="422">
        <v>2023</v>
      </c>
      <c r="L6902">
        <v>60384.03</v>
      </c>
      <c r="M6902" s="422" t="s">
        <v>630</v>
      </c>
      <c r="N6902" s="131">
        <v>243207</v>
      </c>
      <c r="O6902" s="436">
        <f t="shared" si="300"/>
        <v>12889971</v>
      </c>
      <c r="P6902" s="89">
        <v>6871</v>
      </c>
      <c r="Q6902" t="s">
        <v>47</v>
      </c>
      <c r="R6902" s="422" t="s">
        <v>1869</v>
      </c>
      <c r="S6902" s="422" t="s">
        <v>1861</v>
      </c>
      <c r="T6902" s="422"/>
      <c r="U6902" s="422" t="s">
        <v>1953</v>
      </c>
      <c r="V6902" s="422" t="s">
        <v>2813</v>
      </c>
    </row>
    <row r="6903" spans="1:22" ht="15.75" thickBot="1" x14ac:dyDescent="0.3">
      <c r="A6903" t="s">
        <v>545</v>
      </c>
      <c r="B6903" s="424" t="str">
        <f t="shared" si="301"/>
        <v>Barraqueiro Transportes</v>
      </c>
      <c r="C6903" s="424" t="str">
        <f t="shared" si="302"/>
        <v>Estremadura</v>
      </c>
      <c r="D6903" t="s">
        <v>629</v>
      </c>
      <c r="F6903" s="432" t="s">
        <v>620</v>
      </c>
      <c r="G6903" s="89">
        <v>2019</v>
      </c>
      <c r="H6903" s="313" t="s">
        <v>733</v>
      </c>
      <c r="I6903" s="311" t="str">
        <f t="shared" si="299"/>
        <v>Pesado de Passageiros M3:  : Gasóleo : E6</v>
      </c>
      <c r="J6903" s="422">
        <v>53</v>
      </c>
      <c r="K6903" s="422">
        <v>2023</v>
      </c>
      <c r="L6903">
        <v>52031.119999999995</v>
      </c>
      <c r="M6903" s="422" t="s">
        <v>630</v>
      </c>
      <c r="N6903" s="131">
        <v>208349</v>
      </c>
      <c r="O6903" s="436">
        <f t="shared" si="300"/>
        <v>11042497</v>
      </c>
      <c r="P6903" s="89">
        <v>6872</v>
      </c>
      <c r="Q6903" t="s">
        <v>47</v>
      </c>
      <c r="R6903" s="422" t="s">
        <v>1869</v>
      </c>
      <c r="S6903" s="422" t="s">
        <v>1861</v>
      </c>
      <c r="T6903" s="422"/>
      <c r="U6903" s="422" t="s">
        <v>1953</v>
      </c>
      <c r="V6903" s="422" t="s">
        <v>2813</v>
      </c>
    </row>
    <row r="6904" spans="1:22" ht="15.75" thickBot="1" x14ac:dyDescent="0.3">
      <c r="A6904" t="s">
        <v>545</v>
      </c>
      <c r="B6904" s="424" t="str">
        <f t="shared" si="301"/>
        <v>Barraqueiro Transportes</v>
      </c>
      <c r="C6904" s="424" t="str">
        <f t="shared" si="302"/>
        <v>Estremadura</v>
      </c>
      <c r="D6904" t="s">
        <v>629</v>
      </c>
      <c r="F6904" s="432" t="s">
        <v>620</v>
      </c>
      <c r="G6904" s="89">
        <v>2019</v>
      </c>
      <c r="H6904" s="313" t="s">
        <v>733</v>
      </c>
      <c r="I6904" s="311" t="str">
        <f t="shared" si="299"/>
        <v>Pesado de Passageiros M3:  : Gasóleo : E6</v>
      </c>
      <c r="J6904" s="422">
        <v>53</v>
      </c>
      <c r="K6904" s="422">
        <v>2023</v>
      </c>
      <c r="L6904">
        <v>56166.74</v>
      </c>
      <c r="M6904" s="422" t="s">
        <v>630</v>
      </c>
      <c r="N6904" s="131">
        <v>225578</v>
      </c>
      <c r="O6904" s="436">
        <f t="shared" si="300"/>
        <v>11955634</v>
      </c>
      <c r="P6904" s="89">
        <v>6873</v>
      </c>
      <c r="Q6904" t="s">
        <v>47</v>
      </c>
      <c r="R6904" s="422" t="s">
        <v>1869</v>
      </c>
      <c r="S6904" s="422" t="s">
        <v>1861</v>
      </c>
      <c r="T6904" s="422"/>
      <c r="U6904" s="422" t="s">
        <v>1953</v>
      </c>
      <c r="V6904" s="422" t="s">
        <v>2813</v>
      </c>
    </row>
    <row r="6905" spans="1:22" ht="15.75" thickBot="1" x14ac:dyDescent="0.3">
      <c r="A6905" t="s">
        <v>545</v>
      </c>
      <c r="B6905" s="424" t="str">
        <f t="shared" si="301"/>
        <v>Barraqueiro Transportes</v>
      </c>
      <c r="C6905" s="424" t="str">
        <f t="shared" si="302"/>
        <v>Estremadura</v>
      </c>
      <c r="D6905" t="s">
        <v>629</v>
      </c>
      <c r="F6905" s="432" t="s">
        <v>620</v>
      </c>
      <c r="G6905" s="89">
        <v>2019</v>
      </c>
      <c r="H6905" s="313" t="s">
        <v>733</v>
      </c>
      <c r="I6905" s="311" t="str">
        <f t="shared" si="299"/>
        <v>Pesado de Passageiros M3:  : Gasóleo : E6</v>
      </c>
      <c r="J6905" s="422">
        <v>53</v>
      </c>
      <c r="K6905" s="422">
        <v>2023</v>
      </c>
      <c r="L6905">
        <v>60676.2</v>
      </c>
      <c r="M6905" s="422" t="s">
        <v>630</v>
      </c>
      <c r="N6905" s="131">
        <v>242310</v>
      </c>
      <c r="O6905" s="436">
        <f t="shared" si="300"/>
        <v>12842430</v>
      </c>
      <c r="P6905" s="89">
        <v>6874</v>
      </c>
      <c r="Q6905" t="s">
        <v>47</v>
      </c>
      <c r="R6905" s="422" t="s">
        <v>1869</v>
      </c>
      <c r="S6905" s="422" t="s">
        <v>1861</v>
      </c>
      <c r="T6905" s="422"/>
      <c r="U6905" s="422" t="s">
        <v>1953</v>
      </c>
      <c r="V6905" s="422" t="s">
        <v>2813</v>
      </c>
    </row>
    <row r="6906" spans="1:22" ht="15.75" thickBot="1" x14ac:dyDescent="0.3">
      <c r="A6906" t="s">
        <v>542</v>
      </c>
      <c r="B6906" s="424" t="str">
        <f t="shared" si="301"/>
        <v>Barraqueiro Transportes</v>
      </c>
      <c r="C6906" s="424" t="str">
        <f t="shared" si="302"/>
        <v>Barraqueiro Oeste</v>
      </c>
      <c r="D6906" t="s">
        <v>629</v>
      </c>
      <c r="F6906" s="432" t="s">
        <v>620</v>
      </c>
      <c r="G6906" s="89">
        <v>2008</v>
      </c>
      <c r="H6906" s="313" t="s">
        <v>731</v>
      </c>
      <c r="I6906" s="311" t="str">
        <f t="shared" si="299"/>
        <v>Pesado de Passageiros M3:  : Gasóleo : E4</v>
      </c>
      <c r="J6906" s="422">
        <v>66</v>
      </c>
      <c r="K6906" s="422">
        <v>2023</v>
      </c>
      <c r="L6906">
        <v>10720.810000000001</v>
      </c>
      <c r="M6906" s="422" t="s">
        <v>630</v>
      </c>
      <c r="N6906" s="131">
        <v>28194</v>
      </c>
      <c r="O6906" s="436">
        <f t="shared" si="300"/>
        <v>1860804</v>
      </c>
      <c r="P6906" s="89">
        <v>207</v>
      </c>
      <c r="Q6906" t="s">
        <v>47</v>
      </c>
      <c r="R6906" s="422" t="s">
        <v>1869</v>
      </c>
      <c r="S6906" s="422" t="s">
        <v>1861</v>
      </c>
      <c r="T6906" s="422"/>
      <c r="U6906" s="422" t="s">
        <v>1953</v>
      </c>
      <c r="V6906" s="422" t="s">
        <v>2813</v>
      </c>
    </row>
    <row r="6907" spans="1:22" ht="15.75" thickBot="1" x14ac:dyDescent="0.3">
      <c r="A6907" t="s">
        <v>542</v>
      </c>
      <c r="B6907" s="424" t="str">
        <f t="shared" si="301"/>
        <v>Barraqueiro Transportes</v>
      </c>
      <c r="C6907" s="424" t="str">
        <f t="shared" si="302"/>
        <v>Barraqueiro Oeste</v>
      </c>
      <c r="D6907" t="s">
        <v>629</v>
      </c>
      <c r="F6907" s="432" t="s">
        <v>620</v>
      </c>
      <c r="G6907" s="89">
        <v>2008</v>
      </c>
      <c r="H6907" s="313" t="s">
        <v>731</v>
      </c>
      <c r="I6907" s="311" t="str">
        <f t="shared" si="299"/>
        <v>Pesado de Passageiros M3:  : Gasóleo : E4</v>
      </c>
      <c r="J6907" s="422">
        <v>55</v>
      </c>
      <c r="K6907" s="422">
        <v>2023</v>
      </c>
      <c r="L6907">
        <v>18999.667000000001</v>
      </c>
      <c r="M6907" s="422" t="s">
        <v>630</v>
      </c>
      <c r="N6907" s="131">
        <v>49009</v>
      </c>
      <c r="O6907" s="436">
        <f t="shared" si="300"/>
        <v>2695495</v>
      </c>
      <c r="P6907" s="89">
        <v>213</v>
      </c>
      <c r="Q6907" t="s">
        <v>47</v>
      </c>
      <c r="R6907" s="422" t="s">
        <v>1869</v>
      </c>
      <c r="S6907" s="422" t="s">
        <v>1861</v>
      </c>
      <c r="T6907" s="422"/>
      <c r="U6907" s="422" t="s">
        <v>1953</v>
      </c>
      <c r="V6907" s="422" t="s">
        <v>2813</v>
      </c>
    </row>
    <row r="6908" spans="1:22" ht="15.75" thickBot="1" x14ac:dyDescent="0.3">
      <c r="A6908" t="s">
        <v>542</v>
      </c>
      <c r="B6908" s="424" t="str">
        <f t="shared" si="301"/>
        <v>Barraqueiro Transportes</v>
      </c>
      <c r="C6908" s="424" t="str">
        <f t="shared" si="302"/>
        <v>Barraqueiro Oeste</v>
      </c>
      <c r="D6908" t="s">
        <v>629</v>
      </c>
      <c r="F6908" s="432" t="s">
        <v>620</v>
      </c>
      <c r="G6908" s="89">
        <v>2008</v>
      </c>
      <c r="H6908" s="313" t="s">
        <v>731</v>
      </c>
      <c r="I6908" s="311" t="str">
        <f t="shared" si="299"/>
        <v>Pesado de Passageiros M3:  : Gasóleo : E4</v>
      </c>
      <c r="J6908" s="422">
        <v>55</v>
      </c>
      <c r="K6908" s="422">
        <v>2023</v>
      </c>
      <c r="L6908">
        <v>30336.423999999995</v>
      </c>
      <c r="M6908" s="422" t="s">
        <v>630</v>
      </c>
      <c r="N6908" s="131">
        <v>83513</v>
      </c>
      <c r="O6908" s="436">
        <f t="shared" si="300"/>
        <v>4593215</v>
      </c>
      <c r="P6908" s="89">
        <v>214</v>
      </c>
      <c r="Q6908" t="s">
        <v>47</v>
      </c>
      <c r="R6908" s="422" t="s">
        <v>1869</v>
      </c>
      <c r="S6908" s="422" t="s">
        <v>1861</v>
      </c>
      <c r="T6908" s="422"/>
      <c r="U6908" s="422" t="s">
        <v>1953</v>
      </c>
      <c r="V6908" s="422" t="s">
        <v>2813</v>
      </c>
    </row>
    <row r="6909" spans="1:22" ht="15.75" thickBot="1" x14ac:dyDescent="0.3">
      <c r="A6909" t="s">
        <v>542</v>
      </c>
      <c r="B6909" s="424" t="str">
        <f t="shared" si="301"/>
        <v>Barraqueiro Transportes</v>
      </c>
      <c r="C6909" s="424" t="str">
        <f t="shared" si="302"/>
        <v>Barraqueiro Oeste</v>
      </c>
      <c r="D6909" t="s">
        <v>629</v>
      </c>
      <c r="F6909" s="432" t="s">
        <v>620</v>
      </c>
      <c r="G6909" s="89">
        <v>2006</v>
      </c>
      <c r="H6909" s="313" t="s">
        <v>731</v>
      </c>
      <c r="I6909" s="311" t="str">
        <f t="shared" si="299"/>
        <v>Pesado de Passageiros M3:  : Gasóleo : E4</v>
      </c>
      <c r="J6909" s="422">
        <v>55</v>
      </c>
      <c r="K6909" s="422">
        <v>2023</v>
      </c>
      <c r="L6909">
        <v>25544.940000000002</v>
      </c>
      <c r="M6909" s="422" t="s">
        <v>630</v>
      </c>
      <c r="N6909" s="131">
        <v>63497</v>
      </c>
      <c r="O6909" s="436">
        <f t="shared" si="300"/>
        <v>3492335</v>
      </c>
      <c r="P6909" s="89">
        <v>223</v>
      </c>
      <c r="Q6909" t="s">
        <v>47</v>
      </c>
      <c r="R6909" s="422" t="s">
        <v>1869</v>
      </c>
      <c r="S6909" s="422" t="s">
        <v>1861</v>
      </c>
      <c r="T6909" s="422"/>
      <c r="U6909" s="422" t="s">
        <v>1953</v>
      </c>
      <c r="V6909" s="422" t="s">
        <v>2813</v>
      </c>
    </row>
    <row r="6910" spans="1:22" ht="15.75" thickBot="1" x14ac:dyDescent="0.3">
      <c r="A6910" t="s">
        <v>542</v>
      </c>
      <c r="B6910" s="424" t="str">
        <f t="shared" si="301"/>
        <v>Barraqueiro Transportes</v>
      </c>
      <c r="C6910" s="424" t="str">
        <f t="shared" si="302"/>
        <v>Barraqueiro Oeste</v>
      </c>
      <c r="D6910" t="s">
        <v>629</v>
      </c>
      <c r="F6910" s="432" t="s">
        <v>620</v>
      </c>
      <c r="G6910" s="89">
        <v>2006</v>
      </c>
      <c r="H6910" s="313" t="s">
        <v>731</v>
      </c>
      <c r="I6910" s="311" t="str">
        <f t="shared" si="299"/>
        <v>Pesado de Passageiros M3:  : Gasóleo : E4</v>
      </c>
      <c r="J6910" s="422">
        <v>55</v>
      </c>
      <c r="K6910" s="422">
        <v>2023</v>
      </c>
      <c r="L6910">
        <v>10787.559999999998</v>
      </c>
      <c r="M6910" s="422" t="s">
        <v>630</v>
      </c>
      <c r="N6910" s="131">
        <v>28563</v>
      </c>
      <c r="O6910" s="436">
        <f t="shared" si="300"/>
        <v>1570965</v>
      </c>
      <c r="P6910" s="89">
        <v>224</v>
      </c>
      <c r="Q6910" t="s">
        <v>47</v>
      </c>
      <c r="R6910" s="422" t="s">
        <v>1869</v>
      </c>
      <c r="S6910" s="422" t="s">
        <v>1861</v>
      </c>
      <c r="T6910" s="422"/>
      <c r="U6910" s="422" t="s">
        <v>1953</v>
      </c>
      <c r="V6910" s="422" t="s">
        <v>2813</v>
      </c>
    </row>
    <row r="6911" spans="1:22" ht="15.75" thickBot="1" x14ac:dyDescent="0.3">
      <c r="A6911" t="s">
        <v>542</v>
      </c>
      <c r="B6911" s="424" t="str">
        <f t="shared" si="301"/>
        <v>Barraqueiro Transportes</v>
      </c>
      <c r="C6911" s="424" t="str">
        <f t="shared" si="302"/>
        <v>Barraqueiro Oeste</v>
      </c>
      <c r="D6911" t="s">
        <v>629</v>
      </c>
      <c r="F6911" s="432" t="s">
        <v>620</v>
      </c>
      <c r="G6911" s="89">
        <v>2006</v>
      </c>
      <c r="H6911" s="313" t="s">
        <v>731</v>
      </c>
      <c r="I6911" s="311" t="str">
        <f t="shared" si="299"/>
        <v>Pesado de Passageiros M3:  : Gasóleo : E4</v>
      </c>
      <c r="J6911" s="422">
        <v>59</v>
      </c>
      <c r="K6911" s="422">
        <v>2023</v>
      </c>
      <c r="L6911">
        <v>27543.030999999995</v>
      </c>
      <c r="M6911" s="422" t="s">
        <v>630</v>
      </c>
      <c r="N6911" s="131">
        <v>66101</v>
      </c>
      <c r="O6911" s="436">
        <f t="shared" si="300"/>
        <v>3899959</v>
      </c>
      <c r="P6911" s="89">
        <v>245</v>
      </c>
      <c r="Q6911" t="s">
        <v>47</v>
      </c>
      <c r="R6911" s="422" t="s">
        <v>1869</v>
      </c>
      <c r="S6911" s="422" t="s">
        <v>1861</v>
      </c>
      <c r="T6911" s="422"/>
      <c r="U6911" s="422" t="s">
        <v>1953</v>
      </c>
      <c r="V6911" s="422" t="s">
        <v>2813</v>
      </c>
    </row>
    <row r="6912" spans="1:22" ht="15.75" thickBot="1" x14ac:dyDescent="0.3">
      <c r="A6912" t="s">
        <v>542</v>
      </c>
      <c r="B6912" s="424" t="str">
        <f t="shared" si="301"/>
        <v>Barraqueiro Transportes</v>
      </c>
      <c r="C6912" s="424" t="str">
        <f t="shared" si="302"/>
        <v>Barraqueiro Oeste</v>
      </c>
      <c r="D6912" t="s">
        <v>629</v>
      </c>
      <c r="F6912" s="432" t="s">
        <v>620</v>
      </c>
      <c r="G6912" s="89">
        <v>2006</v>
      </c>
      <c r="H6912" s="313" t="s">
        <v>731</v>
      </c>
      <c r="I6912" s="311" t="str">
        <f t="shared" si="299"/>
        <v>Pesado de Passageiros M3:  : Gasóleo : E4</v>
      </c>
      <c r="J6912" s="422">
        <v>59</v>
      </c>
      <c r="K6912" s="422">
        <v>2023</v>
      </c>
      <c r="L6912">
        <v>14654.49</v>
      </c>
      <c r="M6912" s="422" t="s">
        <v>630</v>
      </c>
      <c r="N6912" s="131">
        <v>34314</v>
      </c>
      <c r="O6912" s="436">
        <f t="shared" si="300"/>
        <v>2024526</v>
      </c>
      <c r="P6912" s="89">
        <v>247</v>
      </c>
      <c r="Q6912" t="s">
        <v>47</v>
      </c>
      <c r="R6912" s="422" t="s">
        <v>1869</v>
      </c>
      <c r="S6912" s="422" t="s">
        <v>1861</v>
      </c>
      <c r="T6912" s="422"/>
      <c r="U6912" s="422" t="s">
        <v>1953</v>
      </c>
      <c r="V6912" s="422" t="s">
        <v>2813</v>
      </c>
    </row>
    <row r="6913" spans="1:22" ht="15.75" thickBot="1" x14ac:dyDescent="0.3">
      <c r="A6913" t="s">
        <v>542</v>
      </c>
      <c r="B6913" s="424" t="str">
        <f t="shared" si="301"/>
        <v>Barraqueiro Transportes</v>
      </c>
      <c r="C6913" s="424" t="str">
        <f t="shared" si="302"/>
        <v>Barraqueiro Oeste</v>
      </c>
      <c r="D6913" t="s">
        <v>629</v>
      </c>
      <c r="F6913" s="432" t="s">
        <v>620</v>
      </c>
      <c r="G6913" s="89">
        <v>2006</v>
      </c>
      <c r="H6913" s="313" t="s">
        <v>731</v>
      </c>
      <c r="I6913" s="311" t="str">
        <f t="shared" si="299"/>
        <v>Pesado de Passageiros M3:  : Gasóleo : E4</v>
      </c>
      <c r="J6913" s="422">
        <v>59</v>
      </c>
      <c r="K6913" s="422">
        <v>2023</v>
      </c>
      <c r="L6913">
        <v>28891.817999999999</v>
      </c>
      <c r="M6913" s="422" t="s">
        <v>630</v>
      </c>
      <c r="N6913" s="131">
        <v>73205</v>
      </c>
      <c r="O6913" s="436">
        <f t="shared" si="300"/>
        <v>4319095</v>
      </c>
      <c r="P6913" s="89">
        <v>248</v>
      </c>
      <c r="Q6913" t="s">
        <v>47</v>
      </c>
      <c r="R6913" s="422" t="s">
        <v>1869</v>
      </c>
      <c r="S6913" s="422" t="s">
        <v>1861</v>
      </c>
      <c r="T6913" s="422"/>
      <c r="U6913" s="422" t="s">
        <v>1953</v>
      </c>
      <c r="V6913" s="422" t="s">
        <v>2813</v>
      </c>
    </row>
    <row r="6914" spans="1:22" ht="15.75" thickBot="1" x14ac:dyDescent="0.3">
      <c r="A6914" t="s">
        <v>542</v>
      </c>
      <c r="B6914" s="424" t="str">
        <f t="shared" si="301"/>
        <v>Barraqueiro Transportes</v>
      </c>
      <c r="C6914" s="424" t="str">
        <f t="shared" si="302"/>
        <v>Barraqueiro Oeste</v>
      </c>
      <c r="D6914" t="s">
        <v>629</v>
      </c>
      <c r="F6914" s="432" t="s">
        <v>620</v>
      </c>
      <c r="G6914" s="89">
        <v>2008</v>
      </c>
      <c r="H6914" s="313" t="s">
        <v>731</v>
      </c>
      <c r="I6914" s="311" t="str">
        <f t="shared" si="299"/>
        <v>Pesado de Passageiros M3:  : Gasóleo : E4</v>
      </c>
      <c r="J6914" s="422">
        <v>77</v>
      </c>
      <c r="K6914" s="422">
        <v>2023</v>
      </c>
      <c r="L6914">
        <v>21987.059999999998</v>
      </c>
      <c r="M6914" s="422" t="s">
        <v>630</v>
      </c>
      <c r="N6914" s="131">
        <v>55812</v>
      </c>
      <c r="O6914" s="436">
        <f t="shared" si="300"/>
        <v>4297524</v>
      </c>
      <c r="P6914" s="89">
        <v>266</v>
      </c>
      <c r="Q6914" t="s">
        <v>47</v>
      </c>
      <c r="R6914" s="422" t="s">
        <v>1869</v>
      </c>
      <c r="S6914" s="422" t="s">
        <v>1861</v>
      </c>
      <c r="T6914" s="422"/>
      <c r="U6914" s="422" t="s">
        <v>1953</v>
      </c>
      <c r="V6914" s="422" t="s">
        <v>2813</v>
      </c>
    </row>
    <row r="6915" spans="1:22" ht="15.75" thickBot="1" x14ac:dyDescent="0.3">
      <c r="A6915" t="s">
        <v>542</v>
      </c>
      <c r="B6915" s="424" t="str">
        <f t="shared" si="301"/>
        <v>Barraqueiro Transportes</v>
      </c>
      <c r="C6915" s="424" t="str">
        <f t="shared" si="302"/>
        <v>Barraqueiro Oeste</v>
      </c>
      <c r="D6915" t="s">
        <v>629</v>
      </c>
      <c r="F6915" s="432" t="s">
        <v>620</v>
      </c>
      <c r="G6915" s="89">
        <v>2003</v>
      </c>
      <c r="H6915" s="313" t="s">
        <v>732</v>
      </c>
      <c r="I6915" s="311" t="str">
        <f t="shared" si="299"/>
        <v>Pesado de Passageiros M3:  : Gasóleo : E3</v>
      </c>
      <c r="J6915" s="422">
        <v>57</v>
      </c>
      <c r="K6915" s="422">
        <v>2023</v>
      </c>
      <c r="L6915">
        <v>13509.29</v>
      </c>
      <c r="M6915" s="422" t="s">
        <v>630</v>
      </c>
      <c r="N6915" s="131">
        <v>28714</v>
      </c>
      <c r="O6915" s="436">
        <f t="shared" si="300"/>
        <v>1636698</v>
      </c>
      <c r="P6915" s="89">
        <v>277</v>
      </c>
      <c r="Q6915" t="s">
        <v>47</v>
      </c>
      <c r="R6915" s="422" t="s">
        <v>1869</v>
      </c>
      <c r="S6915" s="422" t="s">
        <v>1861</v>
      </c>
      <c r="T6915" s="422"/>
      <c r="U6915" s="422" t="s">
        <v>1953</v>
      </c>
      <c r="V6915" s="422" t="s">
        <v>2813</v>
      </c>
    </row>
    <row r="6916" spans="1:22" ht="15.75" thickBot="1" x14ac:dyDescent="0.3">
      <c r="A6916" t="s">
        <v>542</v>
      </c>
      <c r="B6916" s="424" t="str">
        <f t="shared" si="301"/>
        <v>Barraqueiro Transportes</v>
      </c>
      <c r="C6916" s="424" t="str">
        <f t="shared" si="302"/>
        <v>Barraqueiro Oeste</v>
      </c>
      <c r="D6916" t="s">
        <v>629</v>
      </c>
      <c r="F6916" s="432" t="s">
        <v>620</v>
      </c>
      <c r="G6916" s="89">
        <v>2001</v>
      </c>
      <c r="H6916" s="313" t="s">
        <v>732</v>
      </c>
      <c r="I6916" s="311" t="str">
        <f t="shared" si="299"/>
        <v>Pesado de Passageiros M3:  : Gasóleo : E3</v>
      </c>
      <c r="J6916" s="422">
        <v>70</v>
      </c>
      <c r="K6916" s="422">
        <v>2023</v>
      </c>
      <c r="L6916">
        <v>9171.75</v>
      </c>
      <c r="M6916" s="422" t="s">
        <v>630</v>
      </c>
      <c r="N6916" s="131">
        <v>23074</v>
      </c>
      <c r="O6916" s="436">
        <f t="shared" si="300"/>
        <v>1615180</v>
      </c>
      <c r="P6916" s="89">
        <v>278</v>
      </c>
      <c r="Q6916" t="s">
        <v>47</v>
      </c>
      <c r="R6916" s="422" t="s">
        <v>1869</v>
      </c>
      <c r="S6916" s="422" t="s">
        <v>1861</v>
      </c>
      <c r="T6916" s="422"/>
      <c r="U6916" s="422" t="s">
        <v>1953</v>
      </c>
      <c r="V6916" s="422" t="s">
        <v>2813</v>
      </c>
    </row>
    <row r="6917" spans="1:22" ht="15.75" thickBot="1" x14ac:dyDescent="0.3">
      <c r="A6917" t="s">
        <v>542</v>
      </c>
      <c r="B6917" s="424" t="str">
        <f t="shared" si="301"/>
        <v>Barraqueiro Transportes</v>
      </c>
      <c r="C6917" s="424" t="str">
        <f t="shared" si="302"/>
        <v>Barraqueiro Oeste</v>
      </c>
      <c r="D6917" t="s">
        <v>629</v>
      </c>
      <c r="F6917" s="432" t="s">
        <v>620</v>
      </c>
      <c r="G6917" s="89">
        <v>2007</v>
      </c>
      <c r="H6917" s="313" t="s">
        <v>731</v>
      </c>
      <c r="I6917" s="311" t="str">
        <f t="shared" si="299"/>
        <v>Pesado de Passageiros M3:  : Gasóleo : E4</v>
      </c>
      <c r="J6917" s="422">
        <v>59</v>
      </c>
      <c r="K6917" s="422">
        <v>2023</v>
      </c>
      <c r="L6917">
        <v>18251.5</v>
      </c>
      <c r="M6917" s="422" t="s">
        <v>630</v>
      </c>
      <c r="N6917" s="131">
        <v>47028</v>
      </c>
      <c r="O6917" s="436">
        <f t="shared" si="300"/>
        <v>2774652</v>
      </c>
      <c r="P6917" s="89">
        <v>279</v>
      </c>
      <c r="Q6917" t="s">
        <v>47</v>
      </c>
      <c r="R6917" s="422" t="s">
        <v>1869</v>
      </c>
      <c r="S6917" s="422" t="s">
        <v>1861</v>
      </c>
      <c r="T6917" s="422"/>
      <c r="U6917" s="422" t="s">
        <v>1953</v>
      </c>
      <c r="V6917" s="422" t="s">
        <v>2813</v>
      </c>
    </row>
    <row r="6918" spans="1:22" ht="15.75" thickBot="1" x14ac:dyDescent="0.3">
      <c r="A6918" t="s">
        <v>542</v>
      </c>
      <c r="B6918" s="424" t="str">
        <f t="shared" si="301"/>
        <v>Barraqueiro Transportes</v>
      </c>
      <c r="C6918" s="424" t="str">
        <f t="shared" si="302"/>
        <v>Barraqueiro Oeste</v>
      </c>
      <c r="D6918" t="s">
        <v>629</v>
      </c>
      <c r="F6918" s="432" t="s">
        <v>620</v>
      </c>
      <c r="G6918" s="89">
        <v>2008</v>
      </c>
      <c r="H6918" s="313" t="s">
        <v>731</v>
      </c>
      <c r="I6918" s="311" t="str">
        <f t="shared" si="299"/>
        <v>Pesado de Passageiros M3:  : Gasóleo : E4</v>
      </c>
      <c r="J6918" s="422">
        <v>27</v>
      </c>
      <c r="K6918" s="422">
        <v>2023</v>
      </c>
      <c r="L6918">
        <v>1947.2</v>
      </c>
      <c r="M6918" s="422" t="s">
        <v>630</v>
      </c>
      <c r="N6918" s="131">
        <v>9089</v>
      </c>
      <c r="O6918" s="436">
        <f t="shared" si="300"/>
        <v>245403</v>
      </c>
      <c r="P6918" s="89">
        <v>334</v>
      </c>
      <c r="Q6918" t="s">
        <v>47</v>
      </c>
      <c r="R6918" s="422" t="s">
        <v>1869</v>
      </c>
      <c r="S6918" s="422" t="s">
        <v>1861</v>
      </c>
      <c r="T6918" s="422"/>
      <c r="U6918" s="422" t="s">
        <v>1953</v>
      </c>
      <c r="V6918" s="422" t="s">
        <v>2813</v>
      </c>
    </row>
    <row r="6919" spans="1:22" ht="15.75" thickBot="1" x14ac:dyDescent="0.3">
      <c r="A6919" t="s">
        <v>542</v>
      </c>
      <c r="B6919" s="424" t="str">
        <f t="shared" si="301"/>
        <v>Barraqueiro Transportes</v>
      </c>
      <c r="C6919" s="424" t="str">
        <f t="shared" si="302"/>
        <v>Barraqueiro Oeste</v>
      </c>
      <c r="D6919" t="s">
        <v>629</v>
      </c>
      <c r="F6919" s="432" t="s">
        <v>620</v>
      </c>
      <c r="G6919" s="89">
        <v>2008</v>
      </c>
      <c r="H6919" s="313" t="s">
        <v>731</v>
      </c>
      <c r="I6919" s="311" t="str">
        <f t="shared" si="299"/>
        <v>Pesado de Passageiros M3:  : Gasóleo : E4</v>
      </c>
      <c r="J6919" s="422">
        <v>54</v>
      </c>
      <c r="K6919" s="422">
        <v>2023</v>
      </c>
      <c r="L6919">
        <v>14772.640000000001</v>
      </c>
      <c r="M6919" s="422" t="s">
        <v>630</v>
      </c>
      <c r="N6919" s="131">
        <v>33340</v>
      </c>
      <c r="O6919" s="436">
        <f t="shared" si="300"/>
        <v>1800360</v>
      </c>
      <c r="P6919" s="89">
        <v>340</v>
      </c>
      <c r="Q6919" t="s">
        <v>47</v>
      </c>
      <c r="R6919" s="422" t="s">
        <v>1869</v>
      </c>
      <c r="S6919" s="422" t="s">
        <v>1861</v>
      </c>
      <c r="T6919" s="422"/>
      <c r="U6919" s="422" t="s">
        <v>1953</v>
      </c>
      <c r="V6919" s="422" t="s">
        <v>2813</v>
      </c>
    </row>
    <row r="6920" spans="1:22" ht="15.75" thickBot="1" x14ac:dyDescent="0.3">
      <c r="A6920" t="s">
        <v>542</v>
      </c>
      <c r="B6920" s="424" t="str">
        <f t="shared" si="301"/>
        <v>Barraqueiro Transportes</v>
      </c>
      <c r="C6920" s="424" t="str">
        <f t="shared" si="302"/>
        <v>Barraqueiro Oeste</v>
      </c>
      <c r="D6920" t="s">
        <v>629</v>
      </c>
      <c r="F6920" s="432" t="s">
        <v>620</v>
      </c>
      <c r="G6920" s="89">
        <v>2018</v>
      </c>
      <c r="H6920" s="313" t="s">
        <v>733</v>
      </c>
      <c r="I6920" s="311" t="str">
        <f t="shared" si="299"/>
        <v>Pesado de Passageiros M3:  : Gasóleo : E6</v>
      </c>
      <c r="J6920" s="422">
        <v>26</v>
      </c>
      <c r="K6920" s="422">
        <v>2023</v>
      </c>
      <c r="L6920">
        <v>10998.960000000001</v>
      </c>
      <c r="M6920" s="422" t="s">
        <v>630</v>
      </c>
      <c r="N6920" s="131">
        <v>55689</v>
      </c>
      <c r="O6920" s="436">
        <f t="shared" si="300"/>
        <v>1447914</v>
      </c>
      <c r="P6920" s="89">
        <v>342</v>
      </c>
      <c r="Q6920" t="s">
        <v>47</v>
      </c>
      <c r="R6920" s="422" t="s">
        <v>1869</v>
      </c>
      <c r="S6920" s="422" t="s">
        <v>1861</v>
      </c>
      <c r="T6920" s="422"/>
      <c r="U6920" s="422" t="s">
        <v>1953</v>
      </c>
      <c r="V6920" s="422" t="s">
        <v>2813</v>
      </c>
    </row>
    <row r="6921" spans="1:22" ht="15.75" thickBot="1" x14ac:dyDescent="0.3">
      <c r="A6921" t="s">
        <v>542</v>
      </c>
      <c r="B6921" s="424" t="str">
        <f t="shared" si="301"/>
        <v>Barraqueiro Transportes</v>
      </c>
      <c r="C6921" s="424" t="str">
        <f t="shared" si="302"/>
        <v>Barraqueiro Oeste</v>
      </c>
      <c r="D6921" t="s">
        <v>629</v>
      </c>
      <c r="F6921" s="432" t="s">
        <v>620</v>
      </c>
      <c r="G6921" s="89">
        <v>2018</v>
      </c>
      <c r="H6921" s="313" t="s">
        <v>733</v>
      </c>
      <c r="I6921" s="311" t="str">
        <f t="shared" si="299"/>
        <v>Pesado de Passageiros M3:  : Gasóleo : E6</v>
      </c>
      <c r="J6921" s="422">
        <v>26</v>
      </c>
      <c r="K6921" s="422">
        <v>2023</v>
      </c>
      <c r="L6921">
        <v>9129.58</v>
      </c>
      <c r="M6921" s="422" t="s">
        <v>630</v>
      </c>
      <c r="N6921" s="131">
        <v>44823</v>
      </c>
      <c r="O6921" s="436">
        <f t="shared" si="300"/>
        <v>1165398</v>
      </c>
      <c r="P6921" s="89">
        <v>343</v>
      </c>
      <c r="Q6921" t="s">
        <v>47</v>
      </c>
      <c r="R6921" s="422" t="s">
        <v>1869</v>
      </c>
      <c r="S6921" s="422" t="s">
        <v>1861</v>
      </c>
      <c r="T6921" s="422"/>
      <c r="U6921" s="422" t="s">
        <v>1953</v>
      </c>
      <c r="V6921" s="422" t="s">
        <v>2813</v>
      </c>
    </row>
    <row r="6922" spans="1:22" ht="15.75" thickBot="1" x14ac:dyDescent="0.3">
      <c r="A6922" t="s">
        <v>542</v>
      </c>
      <c r="B6922" s="424" t="str">
        <f t="shared" si="301"/>
        <v>Barraqueiro Transportes</v>
      </c>
      <c r="C6922" s="424" t="str">
        <f t="shared" si="302"/>
        <v>Barraqueiro Oeste</v>
      </c>
      <c r="D6922" t="s">
        <v>629</v>
      </c>
      <c r="F6922" s="432" t="s">
        <v>620</v>
      </c>
      <c r="G6922" s="89">
        <v>2001</v>
      </c>
      <c r="H6922" s="313" t="s">
        <v>732</v>
      </c>
      <c r="I6922" s="311" t="str">
        <f t="shared" si="299"/>
        <v>Pesado de Passageiros M3:  : Gasóleo : E3</v>
      </c>
      <c r="J6922" s="422">
        <v>62</v>
      </c>
      <c r="K6922" s="422">
        <v>2023</v>
      </c>
      <c r="L6922">
        <v>12713.839999999998</v>
      </c>
      <c r="M6922" s="422" t="s">
        <v>630</v>
      </c>
      <c r="N6922" s="131">
        <v>33880</v>
      </c>
      <c r="O6922" s="436">
        <f t="shared" si="300"/>
        <v>2100560</v>
      </c>
      <c r="P6922" s="89">
        <v>355</v>
      </c>
      <c r="Q6922" t="s">
        <v>47</v>
      </c>
      <c r="R6922" s="422" t="s">
        <v>1869</v>
      </c>
      <c r="S6922" s="422" t="s">
        <v>1861</v>
      </c>
      <c r="T6922" s="422"/>
      <c r="U6922" s="422" t="s">
        <v>1953</v>
      </c>
      <c r="V6922" s="422" t="s">
        <v>2813</v>
      </c>
    </row>
    <row r="6923" spans="1:22" ht="15.75" thickBot="1" x14ac:dyDescent="0.3">
      <c r="A6923" t="s">
        <v>542</v>
      </c>
      <c r="B6923" s="424" t="str">
        <f t="shared" si="301"/>
        <v>Barraqueiro Transportes</v>
      </c>
      <c r="C6923" s="424" t="str">
        <f t="shared" si="302"/>
        <v>Barraqueiro Oeste</v>
      </c>
      <c r="D6923" t="s">
        <v>629</v>
      </c>
      <c r="F6923" s="432" t="s">
        <v>620</v>
      </c>
      <c r="G6923" s="89">
        <v>2008</v>
      </c>
      <c r="H6923" s="313" t="s">
        <v>731</v>
      </c>
      <c r="I6923" s="311" t="str">
        <f t="shared" si="299"/>
        <v>Pesado de Passageiros M3:  : Gasóleo : E4</v>
      </c>
      <c r="J6923" s="422">
        <v>82</v>
      </c>
      <c r="K6923" s="422">
        <v>2023</v>
      </c>
      <c r="L6923">
        <v>24731.699999999997</v>
      </c>
      <c r="M6923" s="422" t="s">
        <v>630</v>
      </c>
      <c r="N6923" s="131">
        <v>58636</v>
      </c>
      <c r="O6923" s="436">
        <f t="shared" si="300"/>
        <v>4808152</v>
      </c>
      <c r="P6923" s="89">
        <v>377</v>
      </c>
      <c r="Q6923" t="s">
        <v>47</v>
      </c>
      <c r="R6923" s="422" t="s">
        <v>1869</v>
      </c>
      <c r="S6923" s="422" t="s">
        <v>1861</v>
      </c>
      <c r="T6923" s="422"/>
      <c r="U6923" s="422" t="s">
        <v>1953</v>
      </c>
      <c r="V6923" s="422" t="s">
        <v>2813</v>
      </c>
    </row>
    <row r="6924" spans="1:22" ht="15.75" thickBot="1" x14ac:dyDescent="0.3">
      <c r="A6924" t="s">
        <v>542</v>
      </c>
      <c r="B6924" s="424" t="str">
        <f t="shared" si="301"/>
        <v>Barraqueiro Transportes</v>
      </c>
      <c r="C6924" s="424" t="str">
        <f t="shared" si="302"/>
        <v>Barraqueiro Oeste</v>
      </c>
      <c r="D6924" t="s">
        <v>629</v>
      </c>
      <c r="F6924" s="432" t="s">
        <v>620</v>
      </c>
      <c r="G6924" s="89">
        <v>2008</v>
      </c>
      <c r="H6924" s="313" t="s">
        <v>731</v>
      </c>
      <c r="I6924" s="311" t="str">
        <f t="shared" si="299"/>
        <v>Pesado de Passageiros M3:  : Gasóleo : E4</v>
      </c>
      <c r="J6924" s="422">
        <v>82</v>
      </c>
      <c r="K6924" s="422">
        <v>2023</v>
      </c>
      <c r="L6924">
        <v>25385.25</v>
      </c>
      <c r="M6924" s="422" t="s">
        <v>630</v>
      </c>
      <c r="N6924" s="131">
        <v>61522</v>
      </c>
      <c r="O6924" s="436">
        <f t="shared" si="300"/>
        <v>5044804</v>
      </c>
      <c r="P6924" s="89">
        <v>378</v>
      </c>
      <c r="Q6924" t="s">
        <v>47</v>
      </c>
      <c r="R6924" s="422" t="s">
        <v>1869</v>
      </c>
      <c r="S6924" s="422" t="s">
        <v>1861</v>
      </c>
      <c r="T6924" s="422"/>
      <c r="U6924" s="422" t="s">
        <v>1953</v>
      </c>
      <c r="V6924" s="422" t="s">
        <v>2813</v>
      </c>
    </row>
    <row r="6925" spans="1:22" ht="15.75" thickBot="1" x14ac:dyDescent="0.3">
      <c r="A6925" t="s">
        <v>542</v>
      </c>
      <c r="B6925" s="424" t="str">
        <f t="shared" si="301"/>
        <v>Barraqueiro Transportes</v>
      </c>
      <c r="C6925" s="424" t="str">
        <f t="shared" si="302"/>
        <v>Barraqueiro Oeste</v>
      </c>
      <c r="D6925" t="s">
        <v>629</v>
      </c>
      <c r="F6925" s="432" t="s">
        <v>620</v>
      </c>
      <c r="G6925" s="89">
        <v>2009</v>
      </c>
      <c r="H6925" s="313" t="s">
        <v>734</v>
      </c>
      <c r="I6925" s="311" t="str">
        <f t="shared" si="299"/>
        <v>Pesado de Passageiros M3:  : Gasóleo : E5</v>
      </c>
      <c r="J6925" s="422">
        <v>66</v>
      </c>
      <c r="K6925" s="422">
        <v>2023</v>
      </c>
      <c r="L6925">
        <v>16934.940000000002</v>
      </c>
      <c r="M6925" s="422" t="s">
        <v>630</v>
      </c>
      <c r="N6925" s="131">
        <v>45055</v>
      </c>
      <c r="O6925" s="436">
        <f t="shared" si="300"/>
        <v>2973630</v>
      </c>
      <c r="P6925" s="89">
        <v>383</v>
      </c>
      <c r="Q6925" t="s">
        <v>47</v>
      </c>
      <c r="R6925" s="422" t="s">
        <v>1869</v>
      </c>
      <c r="S6925" s="422" t="s">
        <v>1861</v>
      </c>
      <c r="T6925" s="422"/>
      <c r="U6925" s="422" t="s">
        <v>1953</v>
      </c>
      <c r="V6925" s="422" t="s">
        <v>2813</v>
      </c>
    </row>
    <row r="6926" spans="1:22" ht="15.75" thickBot="1" x14ac:dyDescent="0.3">
      <c r="A6926" t="s">
        <v>542</v>
      </c>
      <c r="B6926" s="424" t="str">
        <f t="shared" si="301"/>
        <v>Barraqueiro Transportes</v>
      </c>
      <c r="C6926" s="424" t="str">
        <f t="shared" si="302"/>
        <v>Barraqueiro Oeste</v>
      </c>
      <c r="D6926" t="s">
        <v>629</v>
      </c>
      <c r="F6926" s="432" t="s">
        <v>620</v>
      </c>
      <c r="G6926" s="89">
        <v>2007</v>
      </c>
      <c r="H6926" s="313" t="s">
        <v>731</v>
      </c>
      <c r="I6926" s="311" t="str">
        <f t="shared" si="299"/>
        <v>Pesado de Passageiros M3:  : Gasóleo : E4</v>
      </c>
      <c r="J6926" s="422">
        <v>88</v>
      </c>
      <c r="K6926" s="422">
        <v>2023</v>
      </c>
      <c r="L6926">
        <v>30048.643000000007</v>
      </c>
      <c r="M6926" s="422" t="s">
        <v>630</v>
      </c>
      <c r="N6926" s="131">
        <v>77804</v>
      </c>
      <c r="O6926" s="436">
        <f t="shared" si="300"/>
        <v>6846752</v>
      </c>
      <c r="P6926" s="89">
        <v>384</v>
      </c>
      <c r="Q6926" t="s">
        <v>47</v>
      </c>
      <c r="R6926" s="422" t="s">
        <v>1869</v>
      </c>
      <c r="S6926" s="422" t="s">
        <v>1861</v>
      </c>
      <c r="T6926" s="422"/>
      <c r="U6926" s="422" t="s">
        <v>1953</v>
      </c>
      <c r="V6926" s="422" t="s">
        <v>2813</v>
      </c>
    </row>
    <row r="6927" spans="1:22" ht="15.75" thickBot="1" x14ac:dyDescent="0.3">
      <c r="A6927" t="s">
        <v>542</v>
      </c>
      <c r="B6927" s="424" t="str">
        <f t="shared" si="301"/>
        <v>Barraqueiro Transportes</v>
      </c>
      <c r="C6927" s="424" t="str">
        <f t="shared" si="302"/>
        <v>Barraqueiro Oeste</v>
      </c>
      <c r="D6927" t="s">
        <v>629</v>
      </c>
      <c r="F6927" s="432" t="s">
        <v>620</v>
      </c>
      <c r="G6927" s="89">
        <v>2008</v>
      </c>
      <c r="H6927" s="313" t="s">
        <v>731</v>
      </c>
      <c r="I6927" s="311" t="str">
        <f t="shared" si="299"/>
        <v>Pesado de Passageiros M3:  : Gasóleo : E4</v>
      </c>
      <c r="J6927" s="422">
        <v>77</v>
      </c>
      <c r="K6927" s="422">
        <v>2023</v>
      </c>
      <c r="L6927">
        <v>19628.02</v>
      </c>
      <c r="M6927" s="422" t="s">
        <v>630</v>
      </c>
      <c r="N6927" s="131">
        <v>50945</v>
      </c>
      <c r="O6927" s="436">
        <f t="shared" si="300"/>
        <v>3922765</v>
      </c>
      <c r="P6927" s="89">
        <v>389</v>
      </c>
      <c r="Q6927" t="s">
        <v>47</v>
      </c>
      <c r="R6927" s="422" t="s">
        <v>1869</v>
      </c>
      <c r="S6927" s="422" t="s">
        <v>1861</v>
      </c>
      <c r="T6927" s="422"/>
      <c r="U6927" s="422" t="s">
        <v>1953</v>
      </c>
      <c r="V6927" s="422" t="s">
        <v>2813</v>
      </c>
    </row>
    <row r="6928" spans="1:22" ht="15.75" thickBot="1" x14ac:dyDescent="0.3">
      <c r="A6928" t="s">
        <v>542</v>
      </c>
      <c r="B6928" s="424" t="str">
        <f t="shared" si="301"/>
        <v>Barraqueiro Transportes</v>
      </c>
      <c r="C6928" s="424" t="str">
        <f t="shared" si="302"/>
        <v>Barraqueiro Oeste</v>
      </c>
      <c r="D6928" t="s">
        <v>629</v>
      </c>
      <c r="F6928" s="432" t="s">
        <v>620</v>
      </c>
      <c r="G6928" s="89">
        <v>2009</v>
      </c>
      <c r="H6928" s="313" t="s">
        <v>734</v>
      </c>
      <c r="I6928" s="311" t="str">
        <f t="shared" si="299"/>
        <v>Pesado de Passageiros M3:  : Gasóleo : E5</v>
      </c>
      <c r="J6928" s="422">
        <v>83</v>
      </c>
      <c r="K6928" s="422">
        <v>2023</v>
      </c>
      <c r="L6928">
        <v>27569.575999999997</v>
      </c>
      <c r="M6928" s="422" t="s">
        <v>630</v>
      </c>
      <c r="N6928" s="131">
        <v>67090</v>
      </c>
      <c r="O6928" s="436">
        <f t="shared" si="300"/>
        <v>5568470</v>
      </c>
      <c r="P6928" s="89">
        <v>393</v>
      </c>
      <c r="Q6928" t="s">
        <v>47</v>
      </c>
      <c r="R6928" s="422" t="s">
        <v>1869</v>
      </c>
      <c r="S6928" s="422" t="s">
        <v>1861</v>
      </c>
      <c r="T6928" s="422"/>
      <c r="U6928" s="422" t="s">
        <v>1953</v>
      </c>
      <c r="V6928" s="422" t="s">
        <v>2813</v>
      </c>
    </row>
    <row r="6929" spans="1:22" ht="15.75" thickBot="1" x14ac:dyDescent="0.3">
      <c r="A6929" t="s">
        <v>542</v>
      </c>
      <c r="B6929" s="424" t="str">
        <f t="shared" si="301"/>
        <v>Barraqueiro Transportes</v>
      </c>
      <c r="C6929" s="424" t="str">
        <f t="shared" si="302"/>
        <v>Barraqueiro Oeste</v>
      </c>
      <c r="D6929" t="s">
        <v>629</v>
      </c>
      <c r="F6929" s="432" t="s">
        <v>620</v>
      </c>
      <c r="G6929" s="89">
        <v>2009</v>
      </c>
      <c r="H6929" s="313" t="s">
        <v>734</v>
      </c>
      <c r="I6929" s="311" t="str">
        <f t="shared" si="299"/>
        <v>Pesado de Passageiros M3:  : Gasóleo : E5</v>
      </c>
      <c r="J6929" s="422">
        <v>83</v>
      </c>
      <c r="K6929" s="422">
        <v>2023</v>
      </c>
      <c r="L6929">
        <v>20076.12</v>
      </c>
      <c r="M6929" s="422" t="s">
        <v>630</v>
      </c>
      <c r="N6929" s="131">
        <v>46848</v>
      </c>
      <c r="O6929" s="436">
        <f t="shared" si="300"/>
        <v>3888384</v>
      </c>
      <c r="P6929" s="89">
        <v>394</v>
      </c>
      <c r="Q6929" t="s">
        <v>47</v>
      </c>
      <c r="R6929" s="422" t="s">
        <v>1869</v>
      </c>
      <c r="S6929" s="422" t="s">
        <v>1861</v>
      </c>
      <c r="T6929" s="422"/>
      <c r="U6929" s="422" t="s">
        <v>1953</v>
      </c>
      <c r="V6929" s="422" t="s">
        <v>2813</v>
      </c>
    </row>
    <row r="6930" spans="1:22" ht="15.75" thickBot="1" x14ac:dyDescent="0.3">
      <c r="A6930" t="s">
        <v>542</v>
      </c>
      <c r="B6930" s="424" t="str">
        <f t="shared" si="301"/>
        <v>Barraqueiro Transportes</v>
      </c>
      <c r="C6930" s="424" t="str">
        <f t="shared" si="302"/>
        <v>Barraqueiro Oeste</v>
      </c>
      <c r="D6930" t="s">
        <v>629</v>
      </c>
      <c r="F6930" s="432" t="s">
        <v>620</v>
      </c>
      <c r="G6930" s="89">
        <v>2009</v>
      </c>
      <c r="H6930" s="313" t="s">
        <v>734</v>
      </c>
      <c r="I6930" s="311" t="str">
        <f t="shared" si="299"/>
        <v>Pesado de Passageiros M3:  : Gasóleo : E5</v>
      </c>
      <c r="J6930" s="422">
        <v>59</v>
      </c>
      <c r="K6930" s="422">
        <v>2023</v>
      </c>
      <c r="L6930">
        <v>27684.86</v>
      </c>
      <c r="M6930" s="422" t="s">
        <v>630</v>
      </c>
      <c r="N6930" s="131">
        <v>70535</v>
      </c>
      <c r="O6930" s="436">
        <f t="shared" si="300"/>
        <v>4161565</v>
      </c>
      <c r="P6930" s="89">
        <v>419</v>
      </c>
      <c r="Q6930" t="s">
        <v>47</v>
      </c>
      <c r="R6930" s="422" t="s">
        <v>1869</v>
      </c>
      <c r="S6930" s="422" t="s">
        <v>1861</v>
      </c>
      <c r="T6930" s="422"/>
      <c r="U6930" s="422" t="s">
        <v>1953</v>
      </c>
      <c r="V6930" s="422" t="s">
        <v>2813</v>
      </c>
    </row>
    <row r="6931" spans="1:22" ht="15.75" thickBot="1" x14ac:dyDescent="0.3">
      <c r="A6931" t="s">
        <v>542</v>
      </c>
      <c r="B6931" s="424" t="str">
        <f t="shared" si="301"/>
        <v>Barraqueiro Transportes</v>
      </c>
      <c r="C6931" s="424" t="str">
        <f t="shared" si="302"/>
        <v>Barraqueiro Oeste</v>
      </c>
      <c r="D6931" t="s">
        <v>629</v>
      </c>
      <c r="F6931" s="432" t="s">
        <v>620</v>
      </c>
      <c r="G6931" s="89">
        <v>2008</v>
      </c>
      <c r="H6931" s="313" t="s">
        <v>731</v>
      </c>
      <c r="I6931" s="311" t="str">
        <f t="shared" si="299"/>
        <v>Pesado de Passageiros M3:  : Gasóleo : E4</v>
      </c>
      <c r="J6931" s="422">
        <v>95</v>
      </c>
      <c r="K6931" s="422">
        <v>2023</v>
      </c>
      <c r="L6931">
        <v>25743.179000000004</v>
      </c>
      <c r="M6931" s="422" t="s">
        <v>630</v>
      </c>
      <c r="N6931" s="131">
        <v>61397</v>
      </c>
      <c r="O6931" s="436">
        <f t="shared" si="300"/>
        <v>5832715</v>
      </c>
      <c r="P6931" s="89">
        <v>435</v>
      </c>
      <c r="Q6931" t="s">
        <v>47</v>
      </c>
      <c r="R6931" s="422" t="s">
        <v>1869</v>
      </c>
      <c r="S6931" s="422" t="s">
        <v>1861</v>
      </c>
      <c r="T6931" s="422"/>
      <c r="U6931" s="422" t="s">
        <v>1953</v>
      </c>
      <c r="V6931" s="422" t="s">
        <v>2813</v>
      </c>
    </row>
    <row r="6932" spans="1:22" ht="15.75" thickBot="1" x14ac:dyDescent="0.3">
      <c r="A6932" t="s">
        <v>542</v>
      </c>
      <c r="B6932" s="424" t="str">
        <f t="shared" si="301"/>
        <v>Barraqueiro Transportes</v>
      </c>
      <c r="C6932" s="424" t="str">
        <f t="shared" si="302"/>
        <v>Barraqueiro Oeste</v>
      </c>
      <c r="D6932" t="s">
        <v>629</v>
      </c>
      <c r="F6932" s="432" t="s">
        <v>620</v>
      </c>
      <c r="G6932" s="89">
        <v>2010</v>
      </c>
      <c r="H6932" s="313" t="s">
        <v>734</v>
      </c>
      <c r="I6932" s="311" t="str">
        <f t="shared" si="299"/>
        <v>Pesado de Passageiros M3:  : Gasóleo : E5</v>
      </c>
      <c r="J6932" s="422">
        <v>53</v>
      </c>
      <c r="K6932" s="422">
        <v>2023</v>
      </c>
      <c r="L6932">
        <v>28056.399999999994</v>
      </c>
      <c r="M6932" s="422" t="s">
        <v>630</v>
      </c>
      <c r="N6932" s="131">
        <v>86531</v>
      </c>
      <c r="O6932" s="436">
        <f t="shared" si="300"/>
        <v>4586143</v>
      </c>
      <c r="P6932" s="89">
        <v>437</v>
      </c>
      <c r="Q6932" t="s">
        <v>47</v>
      </c>
      <c r="R6932" s="422" t="s">
        <v>1869</v>
      </c>
      <c r="S6932" s="422" t="s">
        <v>1861</v>
      </c>
      <c r="T6932" s="422"/>
      <c r="U6932" s="422" t="s">
        <v>1953</v>
      </c>
      <c r="V6932" s="422" t="s">
        <v>2813</v>
      </c>
    </row>
    <row r="6933" spans="1:22" ht="15.75" thickBot="1" x14ac:dyDescent="0.3">
      <c r="A6933" t="s">
        <v>542</v>
      </c>
      <c r="B6933" s="424" t="str">
        <f t="shared" si="301"/>
        <v>Barraqueiro Transportes</v>
      </c>
      <c r="C6933" s="424" t="str">
        <f t="shared" si="302"/>
        <v>Barraqueiro Oeste</v>
      </c>
      <c r="D6933" t="s">
        <v>629</v>
      </c>
      <c r="F6933" s="432" t="s">
        <v>620</v>
      </c>
      <c r="G6933" s="89">
        <v>2006</v>
      </c>
      <c r="H6933" s="313" t="s">
        <v>731</v>
      </c>
      <c r="I6933" s="311" t="str">
        <f t="shared" si="299"/>
        <v>Pesado de Passageiros M3:  : Gasóleo : E4</v>
      </c>
      <c r="J6933" s="422">
        <v>36</v>
      </c>
      <c r="K6933" s="422">
        <v>2023</v>
      </c>
      <c r="L6933">
        <v>23552.45</v>
      </c>
      <c r="M6933" s="422" t="s">
        <v>630</v>
      </c>
      <c r="N6933" s="131">
        <v>58144</v>
      </c>
      <c r="O6933" s="436">
        <f t="shared" si="300"/>
        <v>2093184</v>
      </c>
      <c r="P6933" s="89">
        <v>442</v>
      </c>
      <c r="Q6933" t="s">
        <v>47</v>
      </c>
      <c r="R6933" s="422" t="s">
        <v>1869</v>
      </c>
      <c r="S6933" s="422" t="s">
        <v>1861</v>
      </c>
      <c r="T6933" s="422"/>
      <c r="U6933" s="422" t="s">
        <v>1953</v>
      </c>
      <c r="V6933" s="422" t="s">
        <v>2813</v>
      </c>
    </row>
    <row r="6934" spans="1:22" ht="15.75" thickBot="1" x14ac:dyDescent="0.3">
      <c r="A6934" t="s">
        <v>542</v>
      </c>
      <c r="B6934" s="424" t="str">
        <f t="shared" si="301"/>
        <v>Barraqueiro Transportes</v>
      </c>
      <c r="C6934" s="424" t="str">
        <f t="shared" si="302"/>
        <v>Barraqueiro Oeste</v>
      </c>
      <c r="D6934" t="s">
        <v>629</v>
      </c>
      <c r="F6934" s="432" t="s">
        <v>620</v>
      </c>
      <c r="G6934" s="89">
        <v>2008</v>
      </c>
      <c r="H6934" s="313" t="s">
        <v>731</v>
      </c>
      <c r="I6934" s="311" t="str">
        <f t="shared" si="299"/>
        <v>Pesado de Passageiros M3:  : Gasóleo : E4</v>
      </c>
      <c r="J6934" s="422">
        <v>71</v>
      </c>
      <c r="K6934" s="422">
        <v>2023</v>
      </c>
      <c r="L6934">
        <v>13353.75</v>
      </c>
      <c r="M6934" s="422" t="s">
        <v>630</v>
      </c>
      <c r="N6934" s="131">
        <v>41784</v>
      </c>
      <c r="O6934" s="436">
        <f t="shared" si="300"/>
        <v>2966664</v>
      </c>
      <c r="P6934" s="89">
        <v>455</v>
      </c>
      <c r="Q6934" t="s">
        <v>47</v>
      </c>
      <c r="R6934" s="422" t="s">
        <v>1869</v>
      </c>
      <c r="S6934" s="422" t="s">
        <v>1861</v>
      </c>
      <c r="T6934" s="422"/>
      <c r="U6934" s="422" t="s">
        <v>1953</v>
      </c>
      <c r="V6934" s="422" t="s">
        <v>2813</v>
      </c>
    </row>
    <row r="6935" spans="1:22" ht="15.75" thickBot="1" x14ac:dyDescent="0.3">
      <c r="A6935" t="s">
        <v>542</v>
      </c>
      <c r="B6935" s="424" t="str">
        <f t="shared" si="301"/>
        <v>Barraqueiro Transportes</v>
      </c>
      <c r="C6935" s="424" t="str">
        <f t="shared" si="302"/>
        <v>Barraqueiro Oeste</v>
      </c>
      <c r="D6935" t="s">
        <v>629</v>
      </c>
      <c r="F6935" s="432" t="s">
        <v>620</v>
      </c>
      <c r="G6935" s="89">
        <v>2007</v>
      </c>
      <c r="H6935" s="313" t="s">
        <v>731</v>
      </c>
      <c r="I6935" s="311" t="str">
        <f t="shared" si="299"/>
        <v>Pesado de Passageiros M3:  : Gasóleo : E4</v>
      </c>
      <c r="J6935" s="422">
        <v>57</v>
      </c>
      <c r="K6935" s="422">
        <v>2023</v>
      </c>
      <c r="L6935">
        <v>19066.887000000002</v>
      </c>
      <c r="M6935" s="422" t="s">
        <v>630</v>
      </c>
      <c r="N6935" s="131">
        <v>48927</v>
      </c>
      <c r="O6935" s="436">
        <f t="shared" si="300"/>
        <v>2788839</v>
      </c>
      <c r="P6935" s="89">
        <v>486</v>
      </c>
      <c r="Q6935" t="s">
        <v>47</v>
      </c>
      <c r="R6935" s="422" t="s">
        <v>1869</v>
      </c>
      <c r="S6935" s="422" t="s">
        <v>1861</v>
      </c>
      <c r="T6935" s="422"/>
      <c r="U6935" s="422" t="s">
        <v>1953</v>
      </c>
      <c r="V6935" s="422" t="s">
        <v>2813</v>
      </c>
    </row>
    <row r="6936" spans="1:22" ht="15.75" thickBot="1" x14ac:dyDescent="0.3">
      <c r="A6936" t="s">
        <v>542</v>
      </c>
      <c r="B6936" s="424" t="str">
        <f t="shared" si="301"/>
        <v>Barraqueiro Transportes</v>
      </c>
      <c r="C6936" s="424" t="str">
        <f t="shared" si="302"/>
        <v>Barraqueiro Oeste</v>
      </c>
      <c r="D6936" t="s">
        <v>629</v>
      </c>
      <c r="F6936" s="432" t="s">
        <v>620</v>
      </c>
      <c r="G6936" s="89">
        <v>2004</v>
      </c>
      <c r="H6936" s="313" t="s">
        <v>732</v>
      </c>
      <c r="I6936" s="311" t="str">
        <f t="shared" si="299"/>
        <v>Pesado de Passageiros M3:  : Gasóleo : E3</v>
      </c>
      <c r="J6936" s="422">
        <v>69</v>
      </c>
      <c r="K6936" s="422">
        <v>2023</v>
      </c>
      <c r="L6936">
        <v>10915.21</v>
      </c>
      <c r="M6936" s="422" t="s">
        <v>630</v>
      </c>
      <c r="N6936" s="131">
        <v>22389</v>
      </c>
      <c r="O6936" s="436">
        <f t="shared" si="300"/>
        <v>1544841</v>
      </c>
      <c r="P6936" s="89">
        <v>492</v>
      </c>
      <c r="Q6936" t="s">
        <v>47</v>
      </c>
      <c r="R6936" s="422" t="s">
        <v>1869</v>
      </c>
      <c r="S6936" s="422" t="s">
        <v>1861</v>
      </c>
      <c r="T6936" s="422"/>
      <c r="U6936" s="422" t="s">
        <v>1953</v>
      </c>
      <c r="V6936" s="422" t="s">
        <v>2813</v>
      </c>
    </row>
    <row r="6937" spans="1:22" ht="15.75" thickBot="1" x14ac:dyDescent="0.3">
      <c r="A6937" t="s">
        <v>542</v>
      </c>
      <c r="B6937" s="424" t="str">
        <f t="shared" si="301"/>
        <v>Barraqueiro Transportes</v>
      </c>
      <c r="C6937" s="424" t="str">
        <f t="shared" si="302"/>
        <v>Barraqueiro Oeste</v>
      </c>
      <c r="D6937" t="s">
        <v>629</v>
      </c>
      <c r="F6937" s="432" t="s">
        <v>620</v>
      </c>
      <c r="G6937" s="89">
        <v>2004</v>
      </c>
      <c r="H6937" s="313" t="s">
        <v>732</v>
      </c>
      <c r="I6937" s="311" t="str">
        <f t="shared" si="299"/>
        <v>Pesado de Passageiros M3:  : Gasóleo : E3</v>
      </c>
      <c r="J6937" s="422">
        <v>69</v>
      </c>
      <c r="K6937" s="422">
        <v>2023</v>
      </c>
      <c r="L6937">
        <v>9300.2899999999991</v>
      </c>
      <c r="M6937" s="422" t="s">
        <v>630</v>
      </c>
      <c r="N6937" s="131">
        <v>18423</v>
      </c>
      <c r="O6937" s="436">
        <f t="shared" si="300"/>
        <v>1271187</v>
      </c>
      <c r="P6937" s="89">
        <v>503</v>
      </c>
      <c r="Q6937" t="s">
        <v>47</v>
      </c>
      <c r="R6937" s="422" t="s">
        <v>1869</v>
      </c>
      <c r="S6937" s="422" t="s">
        <v>1861</v>
      </c>
      <c r="T6937" s="422"/>
      <c r="U6937" s="422" t="s">
        <v>1953</v>
      </c>
      <c r="V6937" s="422" t="s">
        <v>2813</v>
      </c>
    </row>
    <row r="6938" spans="1:22" ht="15.75" thickBot="1" x14ac:dyDescent="0.3">
      <c r="A6938" t="s">
        <v>542</v>
      </c>
      <c r="B6938" s="424" t="str">
        <f t="shared" si="301"/>
        <v>Barraqueiro Transportes</v>
      </c>
      <c r="C6938" s="424" t="str">
        <f t="shared" si="302"/>
        <v>Barraqueiro Oeste</v>
      </c>
      <c r="D6938" t="s">
        <v>629</v>
      </c>
      <c r="F6938" s="432" t="s">
        <v>620</v>
      </c>
      <c r="G6938" s="89">
        <v>2010</v>
      </c>
      <c r="H6938" s="313" t="s">
        <v>734</v>
      </c>
      <c r="I6938" s="311" t="str">
        <f t="shared" si="299"/>
        <v>Pesado de Passageiros M3:  : Gasóleo : E5</v>
      </c>
      <c r="J6938" s="422">
        <v>71</v>
      </c>
      <c r="K6938" s="422">
        <v>2023</v>
      </c>
      <c r="L6938">
        <v>15603.17</v>
      </c>
      <c r="M6938" s="422" t="s">
        <v>630</v>
      </c>
      <c r="N6938" s="131">
        <v>36508</v>
      </c>
      <c r="O6938" s="436">
        <f t="shared" si="300"/>
        <v>2592068</v>
      </c>
      <c r="P6938" s="89">
        <v>538</v>
      </c>
      <c r="Q6938" t="s">
        <v>47</v>
      </c>
      <c r="R6938" s="422" t="s">
        <v>1869</v>
      </c>
      <c r="S6938" s="422" t="s">
        <v>1861</v>
      </c>
      <c r="T6938" s="422"/>
      <c r="U6938" s="422" t="s">
        <v>1953</v>
      </c>
      <c r="V6938" s="422" t="s">
        <v>2813</v>
      </c>
    </row>
    <row r="6939" spans="1:22" ht="15.75" thickBot="1" x14ac:dyDescent="0.3">
      <c r="A6939" t="s">
        <v>542</v>
      </c>
      <c r="B6939" s="424" t="str">
        <f t="shared" si="301"/>
        <v>Barraqueiro Transportes</v>
      </c>
      <c r="C6939" s="424" t="str">
        <f t="shared" si="302"/>
        <v>Barraqueiro Oeste</v>
      </c>
      <c r="D6939" t="s">
        <v>629</v>
      </c>
      <c r="F6939" s="432" t="s">
        <v>620</v>
      </c>
      <c r="G6939" s="89">
        <v>2000</v>
      </c>
      <c r="H6939" s="313" t="s">
        <v>735</v>
      </c>
      <c r="I6939" s="311" t="str">
        <f t="shared" si="299"/>
        <v>Pesado de Passageiros M3:  : Gasóleo : E2</v>
      </c>
      <c r="J6939" s="422">
        <v>71</v>
      </c>
      <c r="K6939" s="422">
        <v>2023</v>
      </c>
      <c r="L6939">
        <v>12348.369999999999</v>
      </c>
      <c r="M6939" s="422" t="s">
        <v>630</v>
      </c>
      <c r="N6939" s="131">
        <v>35932</v>
      </c>
      <c r="O6939" s="436">
        <f t="shared" si="300"/>
        <v>2551172</v>
      </c>
      <c r="P6939" s="89">
        <v>625</v>
      </c>
      <c r="Q6939" t="s">
        <v>47</v>
      </c>
      <c r="R6939" s="422" t="s">
        <v>1869</v>
      </c>
      <c r="S6939" s="422" t="s">
        <v>1861</v>
      </c>
      <c r="T6939" s="422"/>
      <c r="U6939" s="422" t="s">
        <v>1953</v>
      </c>
      <c r="V6939" s="422" t="s">
        <v>2813</v>
      </c>
    </row>
    <row r="6940" spans="1:22" ht="15.75" thickBot="1" x14ac:dyDescent="0.3">
      <c r="A6940" t="s">
        <v>542</v>
      </c>
      <c r="B6940" s="424" t="str">
        <f t="shared" si="301"/>
        <v>Barraqueiro Transportes</v>
      </c>
      <c r="C6940" s="424" t="str">
        <f t="shared" si="302"/>
        <v>Barraqueiro Oeste</v>
      </c>
      <c r="D6940" t="s">
        <v>629</v>
      </c>
      <c r="F6940" s="432" t="s">
        <v>620</v>
      </c>
      <c r="G6940" s="89">
        <v>2004</v>
      </c>
      <c r="H6940" s="313" t="s">
        <v>732</v>
      </c>
      <c r="I6940" s="311" t="str">
        <f t="shared" si="299"/>
        <v>Pesado de Passageiros M3:  : Gasóleo : E3</v>
      </c>
      <c r="J6940" s="422">
        <v>85</v>
      </c>
      <c r="K6940" s="422">
        <v>2023</v>
      </c>
      <c r="L6940">
        <v>14495.589999999998</v>
      </c>
      <c r="M6940" s="422" t="s">
        <v>630</v>
      </c>
      <c r="N6940" s="131">
        <v>39170</v>
      </c>
      <c r="O6940" s="436">
        <f t="shared" si="300"/>
        <v>3329450</v>
      </c>
      <c r="P6940" s="89">
        <v>638</v>
      </c>
      <c r="Q6940" t="s">
        <v>47</v>
      </c>
      <c r="R6940" s="422" t="s">
        <v>1869</v>
      </c>
      <c r="S6940" s="422" t="s">
        <v>1861</v>
      </c>
      <c r="T6940" s="422"/>
      <c r="U6940" s="422" t="s">
        <v>1953</v>
      </c>
      <c r="V6940" s="422" t="s">
        <v>2813</v>
      </c>
    </row>
    <row r="6941" spans="1:22" ht="15.75" thickBot="1" x14ac:dyDescent="0.3">
      <c r="A6941" t="s">
        <v>542</v>
      </c>
      <c r="B6941" s="424" t="str">
        <f t="shared" si="301"/>
        <v>Barraqueiro Transportes</v>
      </c>
      <c r="C6941" s="424" t="str">
        <f t="shared" si="302"/>
        <v>Barraqueiro Oeste</v>
      </c>
      <c r="D6941" t="s">
        <v>629</v>
      </c>
      <c r="F6941" s="432" t="s">
        <v>620</v>
      </c>
      <c r="G6941" s="89">
        <v>2018</v>
      </c>
      <c r="H6941" s="313" t="s">
        <v>733</v>
      </c>
      <c r="I6941" s="311" t="str">
        <f t="shared" si="299"/>
        <v>Pesado de Passageiros M3:  : Gasóleo : E6</v>
      </c>
      <c r="J6941" s="422">
        <v>70</v>
      </c>
      <c r="K6941" s="422">
        <v>2023</v>
      </c>
      <c r="L6941">
        <v>9725.56</v>
      </c>
      <c r="M6941" s="422" t="s">
        <v>630</v>
      </c>
      <c r="N6941" s="131">
        <v>32537</v>
      </c>
      <c r="O6941" s="436">
        <f t="shared" si="300"/>
        <v>2277590</v>
      </c>
      <c r="P6941" s="89">
        <v>644</v>
      </c>
      <c r="Q6941" t="s">
        <v>47</v>
      </c>
      <c r="R6941" s="422" t="s">
        <v>1869</v>
      </c>
      <c r="S6941" s="422" t="s">
        <v>1861</v>
      </c>
      <c r="T6941" s="422"/>
      <c r="U6941" s="422" t="s">
        <v>1953</v>
      </c>
      <c r="V6941" s="422" t="s">
        <v>2813</v>
      </c>
    </row>
    <row r="6942" spans="1:22" ht="15.75" thickBot="1" x14ac:dyDescent="0.3">
      <c r="A6942" t="s">
        <v>542</v>
      </c>
      <c r="B6942" s="424" t="str">
        <f t="shared" si="301"/>
        <v>Barraqueiro Transportes</v>
      </c>
      <c r="C6942" s="424" t="str">
        <f t="shared" si="302"/>
        <v>Barraqueiro Oeste</v>
      </c>
      <c r="D6942" t="s">
        <v>629</v>
      </c>
      <c r="F6942" s="432" t="s">
        <v>620</v>
      </c>
      <c r="G6942" s="89">
        <v>2018</v>
      </c>
      <c r="H6942" s="313" t="s">
        <v>733</v>
      </c>
      <c r="I6942" s="311" t="str">
        <f t="shared" si="299"/>
        <v>Pesado de Passageiros M3:  : Gasóleo : E6</v>
      </c>
      <c r="J6942" s="422">
        <v>70</v>
      </c>
      <c r="K6942" s="422">
        <v>2023</v>
      </c>
      <c r="L6942">
        <v>10409.290000000001</v>
      </c>
      <c r="M6942" s="422" t="s">
        <v>630</v>
      </c>
      <c r="N6942" s="131">
        <v>36698</v>
      </c>
      <c r="O6942" s="436">
        <f t="shared" si="300"/>
        <v>2568860</v>
      </c>
      <c r="P6942" s="89">
        <v>645</v>
      </c>
      <c r="Q6942" t="s">
        <v>47</v>
      </c>
      <c r="R6942" s="422" t="s">
        <v>1869</v>
      </c>
      <c r="S6942" s="422" t="s">
        <v>1861</v>
      </c>
      <c r="T6942" s="422"/>
      <c r="U6942" s="422" t="s">
        <v>1953</v>
      </c>
      <c r="V6942" s="422" t="s">
        <v>2813</v>
      </c>
    </row>
    <row r="6943" spans="1:22" ht="15.75" thickBot="1" x14ac:dyDescent="0.3">
      <c r="A6943" t="s">
        <v>542</v>
      </c>
      <c r="B6943" s="424" t="str">
        <f t="shared" si="301"/>
        <v>Barraqueiro Transportes</v>
      </c>
      <c r="C6943" s="424" t="str">
        <f t="shared" si="302"/>
        <v>Barraqueiro Oeste</v>
      </c>
      <c r="D6943" t="s">
        <v>629</v>
      </c>
      <c r="F6943" s="432" t="s">
        <v>620</v>
      </c>
      <c r="G6943" s="89">
        <v>2002</v>
      </c>
      <c r="H6943" s="313" t="s">
        <v>732</v>
      </c>
      <c r="I6943" s="311" t="str">
        <f t="shared" si="299"/>
        <v>Pesado de Passageiros M3:  : Gasóleo : E3</v>
      </c>
      <c r="J6943" s="422">
        <v>61</v>
      </c>
      <c r="K6943" s="422">
        <v>2023</v>
      </c>
      <c r="L6943">
        <v>33389.751000000004</v>
      </c>
      <c r="M6943" s="422" t="s">
        <v>630</v>
      </c>
      <c r="N6943" s="131">
        <v>84597</v>
      </c>
      <c r="O6943" s="436">
        <f t="shared" si="300"/>
        <v>5160417</v>
      </c>
      <c r="P6943" s="89">
        <v>669</v>
      </c>
      <c r="Q6943" t="s">
        <v>47</v>
      </c>
      <c r="R6943" s="422" t="s">
        <v>1869</v>
      </c>
      <c r="S6943" s="422" t="s">
        <v>1861</v>
      </c>
      <c r="T6943" s="422"/>
      <c r="U6943" s="422" t="s">
        <v>1953</v>
      </c>
      <c r="V6943" s="422" t="s">
        <v>2813</v>
      </c>
    </row>
    <row r="6944" spans="1:22" ht="15.75" thickBot="1" x14ac:dyDescent="0.3">
      <c r="A6944" t="s">
        <v>542</v>
      </c>
      <c r="B6944" s="424" t="str">
        <f t="shared" si="301"/>
        <v>Barraqueiro Transportes</v>
      </c>
      <c r="C6944" s="424" t="str">
        <f t="shared" si="302"/>
        <v>Barraqueiro Oeste</v>
      </c>
      <c r="D6944" t="s">
        <v>629</v>
      </c>
      <c r="F6944" s="432" t="s">
        <v>620</v>
      </c>
      <c r="G6944" s="89">
        <v>2002</v>
      </c>
      <c r="H6944" s="313" t="s">
        <v>732</v>
      </c>
      <c r="I6944" s="311" t="str">
        <f t="shared" si="299"/>
        <v>Pesado de Passageiros M3:  : Gasóleo : E3</v>
      </c>
      <c r="J6944" s="422">
        <v>97</v>
      </c>
      <c r="K6944" s="422">
        <v>2023</v>
      </c>
      <c r="L6944">
        <v>14262.380000000001</v>
      </c>
      <c r="M6944" s="422" t="s">
        <v>630</v>
      </c>
      <c r="N6944" s="131">
        <v>33602</v>
      </c>
      <c r="O6944" s="436">
        <f t="shared" si="300"/>
        <v>3259394</v>
      </c>
      <c r="P6944" s="89">
        <v>677</v>
      </c>
      <c r="Q6944" t="s">
        <v>47</v>
      </c>
      <c r="R6944" s="422" t="s">
        <v>1869</v>
      </c>
      <c r="S6944" s="422" t="s">
        <v>1861</v>
      </c>
      <c r="T6944" s="422"/>
      <c r="U6944" s="422" t="s">
        <v>1953</v>
      </c>
      <c r="V6944" s="422" t="s">
        <v>2813</v>
      </c>
    </row>
    <row r="6945" spans="1:22" ht="15.75" thickBot="1" x14ac:dyDescent="0.3">
      <c r="A6945" t="s">
        <v>542</v>
      </c>
      <c r="B6945" s="424" t="str">
        <f t="shared" si="301"/>
        <v>Barraqueiro Transportes</v>
      </c>
      <c r="C6945" s="424" t="str">
        <f t="shared" si="302"/>
        <v>Barraqueiro Oeste</v>
      </c>
      <c r="D6945" t="s">
        <v>629</v>
      </c>
      <c r="F6945" s="432" t="s">
        <v>620</v>
      </c>
      <c r="G6945" s="89">
        <v>2003</v>
      </c>
      <c r="H6945" s="313" t="s">
        <v>732</v>
      </c>
      <c r="I6945" s="311" t="str">
        <f t="shared" si="299"/>
        <v>Pesado de Passageiros M3:  : Gasóleo : E3</v>
      </c>
      <c r="J6945" s="422">
        <v>61</v>
      </c>
      <c r="K6945" s="422">
        <v>2023</v>
      </c>
      <c r="L6945">
        <v>32206.971999999994</v>
      </c>
      <c r="M6945" s="422" t="s">
        <v>630</v>
      </c>
      <c r="N6945" s="131">
        <v>79167</v>
      </c>
      <c r="O6945" s="436">
        <f t="shared" si="300"/>
        <v>4829187</v>
      </c>
      <c r="P6945" s="89">
        <v>687</v>
      </c>
      <c r="Q6945" t="s">
        <v>47</v>
      </c>
      <c r="R6945" s="422" t="s">
        <v>1869</v>
      </c>
      <c r="S6945" s="422" t="s">
        <v>1861</v>
      </c>
      <c r="T6945" s="422"/>
      <c r="U6945" s="422" t="s">
        <v>1953</v>
      </c>
      <c r="V6945" s="422" t="s">
        <v>2813</v>
      </c>
    </row>
    <row r="6946" spans="1:22" ht="15.75" thickBot="1" x14ac:dyDescent="0.3">
      <c r="A6946" t="s">
        <v>542</v>
      </c>
      <c r="B6946" s="424" t="str">
        <f t="shared" si="301"/>
        <v>Barraqueiro Transportes</v>
      </c>
      <c r="C6946" s="424" t="str">
        <f t="shared" si="302"/>
        <v>Barraqueiro Oeste</v>
      </c>
      <c r="D6946" t="s">
        <v>629</v>
      </c>
      <c r="F6946" s="432" t="s">
        <v>620</v>
      </c>
      <c r="G6946" s="89">
        <v>2001</v>
      </c>
      <c r="H6946" s="313" t="s">
        <v>732</v>
      </c>
      <c r="I6946" s="311" t="str">
        <f t="shared" ref="I6946:I7009" si="303">D6946&amp;": "&amp;E6946&amp;" : "&amp;F6946&amp;" : "&amp;H6946</f>
        <v>Pesado de Passageiros M3:  : Gasóleo : E3</v>
      </c>
      <c r="J6946" s="422">
        <v>55</v>
      </c>
      <c r="K6946" s="422">
        <v>2023</v>
      </c>
      <c r="L6946">
        <v>11601.59</v>
      </c>
      <c r="M6946" s="422" t="s">
        <v>630</v>
      </c>
      <c r="N6946" s="131">
        <v>29540</v>
      </c>
      <c r="O6946" s="436">
        <f t="shared" si="300"/>
        <v>1624700</v>
      </c>
      <c r="P6946" s="89">
        <v>688</v>
      </c>
      <c r="Q6946" t="s">
        <v>47</v>
      </c>
      <c r="R6946" s="422" t="s">
        <v>1869</v>
      </c>
      <c r="S6946" s="422" t="s">
        <v>1861</v>
      </c>
      <c r="T6946" s="422"/>
      <c r="U6946" s="422" t="s">
        <v>1953</v>
      </c>
      <c r="V6946" s="422" t="s">
        <v>2813</v>
      </c>
    </row>
    <row r="6947" spans="1:22" ht="15.75" thickBot="1" x14ac:dyDescent="0.3">
      <c r="A6947" t="s">
        <v>542</v>
      </c>
      <c r="B6947" s="424" t="str">
        <f t="shared" si="301"/>
        <v>Barraqueiro Transportes</v>
      </c>
      <c r="C6947" s="424" t="str">
        <f t="shared" si="302"/>
        <v>Barraqueiro Oeste</v>
      </c>
      <c r="D6947" t="s">
        <v>629</v>
      </c>
      <c r="F6947" s="432" t="s">
        <v>620</v>
      </c>
      <c r="G6947" s="89">
        <v>2001</v>
      </c>
      <c r="H6947" s="313" t="s">
        <v>732</v>
      </c>
      <c r="I6947" s="311" t="str">
        <f t="shared" si="303"/>
        <v>Pesado de Passageiros M3:  : Gasóleo : E3</v>
      </c>
      <c r="J6947" s="422">
        <v>55</v>
      </c>
      <c r="K6947" s="422">
        <v>2023</v>
      </c>
      <c r="L6947">
        <v>14730.739999999998</v>
      </c>
      <c r="M6947" s="422" t="s">
        <v>630</v>
      </c>
      <c r="N6947" s="131">
        <v>42217</v>
      </c>
      <c r="O6947" s="436">
        <f t="shared" si="300"/>
        <v>2321935</v>
      </c>
      <c r="P6947" s="89">
        <v>689</v>
      </c>
      <c r="Q6947" t="s">
        <v>47</v>
      </c>
      <c r="R6947" s="422" t="s">
        <v>1869</v>
      </c>
      <c r="S6947" s="422" t="s">
        <v>1861</v>
      </c>
      <c r="T6947" s="422"/>
      <c r="U6947" s="422" t="s">
        <v>1953</v>
      </c>
      <c r="V6947" s="422" t="s">
        <v>2813</v>
      </c>
    </row>
    <row r="6948" spans="1:22" ht="15.75" thickBot="1" x14ac:dyDescent="0.3">
      <c r="A6948" t="s">
        <v>542</v>
      </c>
      <c r="B6948" s="424" t="str">
        <f t="shared" si="301"/>
        <v>Barraqueiro Transportes</v>
      </c>
      <c r="C6948" s="424" t="str">
        <f t="shared" si="302"/>
        <v>Barraqueiro Oeste</v>
      </c>
      <c r="D6948" t="s">
        <v>629</v>
      </c>
      <c r="F6948" s="432" t="s">
        <v>620</v>
      </c>
      <c r="G6948" s="89">
        <v>2001</v>
      </c>
      <c r="H6948" s="313" t="s">
        <v>732</v>
      </c>
      <c r="I6948" s="311" t="str">
        <f t="shared" si="303"/>
        <v>Pesado de Passageiros M3:  : Gasóleo : E3</v>
      </c>
      <c r="J6948" s="422">
        <v>55</v>
      </c>
      <c r="K6948" s="422">
        <v>2023</v>
      </c>
      <c r="L6948">
        <v>16003.230000000001</v>
      </c>
      <c r="M6948" s="422" t="s">
        <v>630</v>
      </c>
      <c r="N6948" s="131">
        <v>41697</v>
      </c>
      <c r="O6948" s="436">
        <f t="shared" si="300"/>
        <v>2293335</v>
      </c>
      <c r="P6948" s="89">
        <v>690</v>
      </c>
      <c r="Q6948" t="s">
        <v>47</v>
      </c>
      <c r="R6948" s="422" t="s">
        <v>1869</v>
      </c>
      <c r="S6948" s="422" t="s">
        <v>1861</v>
      </c>
      <c r="T6948" s="422"/>
      <c r="U6948" s="422" t="s">
        <v>1953</v>
      </c>
      <c r="V6948" s="422" t="s">
        <v>2813</v>
      </c>
    </row>
    <row r="6949" spans="1:22" ht="15.75" thickBot="1" x14ac:dyDescent="0.3">
      <c r="A6949" t="s">
        <v>542</v>
      </c>
      <c r="B6949" s="424" t="str">
        <f t="shared" si="301"/>
        <v>Barraqueiro Transportes</v>
      </c>
      <c r="C6949" s="424" t="str">
        <f t="shared" si="302"/>
        <v>Barraqueiro Oeste</v>
      </c>
      <c r="D6949" t="s">
        <v>629</v>
      </c>
      <c r="F6949" s="432" t="s">
        <v>620</v>
      </c>
      <c r="G6949" s="89">
        <v>2004</v>
      </c>
      <c r="H6949" s="313" t="s">
        <v>732</v>
      </c>
      <c r="I6949" s="311" t="str">
        <f t="shared" si="303"/>
        <v>Pesado de Passageiros M3:  : Gasóleo : E3</v>
      </c>
      <c r="J6949" s="422">
        <v>51</v>
      </c>
      <c r="K6949" s="422">
        <v>2023</v>
      </c>
      <c r="L6949">
        <v>18679.490000000002</v>
      </c>
      <c r="M6949" s="422" t="s">
        <v>630</v>
      </c>
      <c r="N6949" s="131">
        <v>49710</v>
      </c>
      <c r="O6949" s="436">
        <f t="shared" si="300"/>
        <v>2535210</v>
      </c>
      <c r="P6949" s="89">
        <v>703</v>
      </c>
      <c r="Q6949" t="s">
        <v>47</v>
      </c>
      <c r="R6949" s="422" t="s">
        <v>1869</v>
      </c>
      <c r="S6949" s="422" t="s">
        <v>1861</v>
      </c>
      <c r="T6949" s="422"/>
      <c r="U6949" s="422" t="s">
        <v>1953</v>
      </c>
      <c r="V6949" s="422" t="s">
        <v>2813</v>
      </c>
    </row>
    <row r="6950" spans="1:22" ht="15.75" thickBot="1" x14ac:dyDescent="0.3">
      <c r="A6950" t="s">
        <v>542</v>
      </c>
      <c r="B6950" s="424" t="str">
        <f t="shared" si="301"/>
        <v>Barraqueiro Transportes</v>
      </c>
      <c r="C6950" s="424" t="str">
        <f t="shared" si="302"/>
        <v>Barraqueiro Oeste</v>
      </c>
      <c r="D6950" t="s">
        <v>629</v>
      </c>
      <c r="F6950" s="432" t="s">
        <v>620</v>
      </c>
      <c r="G6950" s="89">
        <v>2001</v>
      </c>
      <c r="H6950" s="313" t="s">
        <v>732</v>
      </c>
      <c r="I6950" s="311" t="str">
        <f t="shared" si="303"/>
        <v>Pesado de Passageiros M3:  : Gasóleo : E3</v>
      </c>
      <c r="J6950" s="422">
        <v>70</v>
      </c>
      <c r="K6950" s="422">
        <v>2023</v>
      </c>
      <c r="L6950">
        <v>9991.2100000000009</v>
      </c>
      <c r="M6950" s="422" t="s">
        <v>630</v>
      </c>
      <c r="N6950" s="131">
        <v>24567</v>
      </c>
      <c r="O6950" s="436">
        <f t="shared" ref="O6950:O7013" si="304">N6950*J6950</f>
        <v>1719690</v>
      </c>
      <c r="P6950" s="89">
        <v>710</v>
      </c>
      <c r="Q6950" t="s">
        <v>47</v>
      </c>
      <c r="R6950" s="422" t="s">
        <v>1869</v>
      </c>
      <c r="S6950" s="422" t="s">
        <v>1861</v>
      </c>
      <c r="T6950" s="422"/>
      <c r="U6950" s="422" t="s">
        <v>1953</v>
      </c>
      <c r="V6950" s="422" t="s">
        <v>2813</v>
      </c>
    </row>
    <row r="6951" spans="1:22" ht="15.75" thickBot="1" x14ac:dyDescent="0.3">
      <c r="A6951" t="s">
        <v>542</v>
      </c>
      <c r="B6951" s="424" t="str">
        <f t="shared" si="301"/>
        <v>Barraqueiro Transportes</v>
      </c>
      <c r="C6951" s="424" t="str">
        <f t="shared" si="302"/>
        <v>Barraqueiro Oeste</v>
      </c>
      <c r="D6951" t="s">
        <v>629</v>
      </c>
      <c r="F6951" s="432" t="s">
        <v>620</v>
      </c>
      <c r="G6951" s="89">
        <v>2002</v>
      </c>
      <c r="H6951" s="313" t="s">
        <v>732</v>
      </c>
      <c r="I6951" s="311" t="str">
        <f t="shared" si="303"/>
        <v>Pesado de Passageiros M3:  : Gasóleo : E3</v>
      </c>
      <c r="J6951" s="422">
        <v>68</v>
      </c>
      <c r="K6951" s="422">
        <v>2023</v>
      </c>
      <c r="L6951">
        <v>13464.08</v>
      </c>
      <c r="M6951" s="422" t="s">
        <v>630</v>
      </c>
      <c r="N6951" s="131">
        <v>36861</v>
      </c>
      <c r="O6951" s="436">
        <f t="shared" si="304"/>
        <v>2506548</v>
      </c>
      <c r="P6951" s="89">
        <v>714</v>
      </c>
      <c r="Q6951" t="s">
        <v>47</v>
      </c>
      <c r="R6951" s="422" t="s">
        <v>1869</v>
      </c>
      <c r="S6951" s="422" t="s">
        <v>1861</v>
      </c>
      <c r="T6951" s="422"/>
      <c r="U6951" s="422" t="s">
        <v>1953</v>
      </c>
      <c r="V6951" s="422" t="s">
        <v>2813</v>
      </c>
    </row>
    <row r="6952" spans="1:22" ht="15.75" thickBot="1" x14ac:dyDescent="0.3">
      <c r="A6952" t="s">
        <v>542</v>
      </c>
      <c r="B6952" s="424" t="str">
        <f t="shared" si="301"/>
        <v>Barraqueiro Transportes</v>
      </c>
      <c r="C6952" s="424" t="str">
        <f t="shared" si="302"/>
        <v>Barraqueiro Oeste</v>
      </c>
      <c r="D6952" t="s">
        <v>629</v>
      </c>
      <c r="F6952" s="432" t="s">
        <v>620</v>
      </c>
      <c r="G6952" s="89">
        <v>2002</v>
      </c>
      <c r="H6952" s="313" t="s">
        <v>732</v>
      </c>
      <c r="I6952" s="311" t="str">
        <f t="shared" si="303"/>
        <v>Pesado de Passageiros M3:  : Gasóleo : E3</v>
      </c>
      <c r="J6952" s="422">
        <v>68</v>
      </c>
      <c r="K6952" s="422">
        <v>2023</v>
      </c>
      <c r="L6952">
        <v>13142.04</v>
      </c>
      <c r="M6952" s="422" t="s">
        <v>630</v>
      </c>
      <c r="N6952" s="131">
        <v>36189</v>
      </c>
      <c r="O6952" s="436">
        <f t="shared" si="304"/>
        <v>2460852</v>
      </c>
      <c r="P6952" s="89">
        <v>715</v>
      </c>
      <c r="Q6952" t="s">
        <v>47</v>
      </c>
      <c r="R6952" s="422" t="s">
        <v>1869</v>
      </c>
      <c r="S6952" s="422" t="s">
        <v>1861</v>
      </c>
      <c r="T6952" s="422"/>
      <c r="U6952" s="422" t="s">
        <v>1953</v>
      </c>
      <c r="V6952" s="422" t="s">
        <v>2813</v>
      </c>
    </row>
    <row r="6953" spans="1:22" ht="15.75" thickBot="1" x14ac:dyDescent="0.3">
      <c r="A6953" t="s">
        <v>542</v>
      </c>
      <c r="B6953" s="424" t="str">
        <f t="shared" si="301"/>
        <v>Barraqueiro Transportes</v>
      </c>
      <c r="C6953" s="424" t="str">
        <f t="shared" si="302"/>
        <v>Barraqueiro Oeste</v>
      </c>
      <c r="D6953" t="s">
        <v>629</v>
      </c>
      <c r="F6953" s="432" t="s">
        <v>620</v>
      </c>
      <c r="G6953" s="89">
        <v>2003</v>
      </c>
      <c r="H6953" s="313" t="s">
        <v>732</v>
      </c>
      <c r="I6953" s="311" t="str">
        <f t="shared" si="303"/>
        <v>Pesado de Passageiros M3:  : Gasóleo : E3</v>
      </c>
      <c r="J6953" s="422">
        <v>61</v>
      </c>
      <c r="K6953" s="422">
        <v>2023</v>
      </c>
      <c r="L6953">
        <v>28762.772999999997</v>
      </c>
      <c r="M6953" s="422" t="s">
        <v>630</v>
      </c>
      <c r="N6953" s="131">
        <v>72337</v>
      </c>
      <c r="O6953" s="436">
        <f t="shared" si="304"/>
        <v>4412557</v>
      </c>
      <c r="P6953" s="89">
        <v>719</v>
      </c>
      <c r="Q6953" t="s">
        <v>47</v>
      </c>
      <c r="R6953" s="422" t="s">
        <v>1869</v>
      </c>
      <c r="S6953" s="422" t="s">
        <v>1861</v>
      </c>
      <c r="T6953" s="422"/>
      <c r="U6953" s="422" t="s">
        <v>1953</v>
      </c>
      <c r="V6953" s="422" t="s">
        <v>2813</v>
      </c>
    </row>
    <row r="6954" spans="1:22" ht="15.75" thickBot="1" x14ac:dyDescent="0.3">
      <c r="A6954" t="s">
        <v>542</v>
      </c>
      <c r="B6954" s="424" t="str">
        <f t="shared" si="301"/>
        <v>Barraqueiro Transportes</v>
      </c>
      <c r="C6954" s="424" t="str">
        <f t="shared" si="302"/>
        <v>Barraqueiro Oeste</v>
      </c>
      <c r="D6954" t="s">
        <v>629</v>
      </c>
      <c r="F6954" s="432" t="s">
        <v>620</v>
      </c>
      <c r="G6954" s="89">
        <v>2003</v>
      </c>
      <c r="H6954" s="313" t="s">
        <v>732</v>
      </c>
      <c r="I6954" s="311" t="str">
        <f t="shared" si="303"/>
        <v>Pesado de Passageiros M3:  : Gasóleo : E3</v>
      </c>
      <c r="J6954" s="422">
        <v>59</v>
      </c>
      <c r="K6954" s="422">
        <v>2023</v>
      </c>
      <c r="L6954">
        <v>30753.65</v>
      </c>
      <c r="M6954" s="422" t="s">
        <v>630</v>
      </c>
      <c r="N6954" s="131">
        <v>73324</v>
      </c>
      <c r="O6954" s="436">
        <f t="shared" si="304"/>
        <v>4326116</v>
      </c>
      <c r="P6954" s="89">
        <v>721</v>
      </c>
      <c r="Q6954" t="s">
        <v>47</v>
      </c>
      <c r="R6954" s="422" t="s">
        <v>1869</v>
      </c>
      <c r="S6954" s="422" t="s">
        <v>1861</v>
      </c>
      <c r="T6954" s="422"/>
      <c r="U6954" s="422" t="s">
        <v>1953</v>
      </c>
      <c r="V6954" s="422" t="s">
        <v>2813</v>
      </c>
    </row>
    <row r="6955" spans="1:22" ht="15.75" thickBot="1" x14ac:dyDescent="0.3">
      <c r="A6955" t="s">
        <v>542</v>
      </c>
      <c r="B6955" s="424" t="str">
        <f t="shared" si="301"/>
        <v>Barraqueiro Transportes</v>
      </c>
      <c r="C6955" s="424" t="str">
        <f t="shared" si="302"/>
        <v>Barraqueiro Oeste</v>
      </c>
      <c r="D6955" t="s">
        <v>629</v>
      </c>
      <c r="F6955" s="432" t="s">
        <v>620</v>
      </c>
      <c r="G6955" s="89">
        <v>2007</v>
      </c>
      <c r="H6955" s="313" t="s">
        <v>731</v>
      </c>
      <c r="I6955" s="311" t="str">
        <f t="shared" si="303"/>
        <v>Pesado de Passageiros M3:  : Gasóleo : E4</v>
      </c>
      <c r="J6955" s="422">
        <v>68</v>
      </c>
      <c r="K6955" s="422">
        <v>2023</v>
      </c>
      <c r="L6955">
        <v>9831.119999999999</v>
      </c>
      <c r="M6955" s="422" t="s">
        <v>630</v>
      </c>
      <c r="N6955" s="131">
        <v>26494</v>
      </c>
      <c r="O6955" s="436">
        <f t="shared" si="304"/>
        <v>1801592</v>
      </c>
      <c r="P6955" s="89">
        <v>731</v>
      </c>
      <c r="Q6955" t="s">
        <v>47</v>
      </c>
      <c r="R6955" s="422" t="s">
        <v>1869</v>
      </c>
      <c r="S6955" s="422" t="s">
        <v>1861</v>
      </c>
      <c r="T6955" s="422"/>
      <c r="U6955" s="422" t="s">
        <v>1953</v>
      </c>
      <c r="V6955" s="422" t="s">
        <v>2813</v>
      </c>
    </row>
    <row r="6956" spans="1:22" ht="15.75" thickBot="1" x14ac:dyDescent="0.3">
      <c r="A6956" t="s">
        <v>542</v>
      </c>
      <c r="B6956" s="424" t="str">
        <f t="shared" ref="B6956:B7019" si="305">LEFT(A6956,IFERROR(FIND(" - ",A6956)-1,LEN(A6956)))</f>
        <v>Barraqueiro Transportes</v>
      </c>
      <c r="C6956" s="424" t="str">
        <f t="shared" ref="C6956:C7019" si="306">IF(A6956=B6956,B6956,RIGHT(A6956,LEN(A6956)-LEN(B6956)-3))</f>
        <v>Barraqueiro Oeste</v>
      </c>
      <c r="D6956" t="s">
        <v>629</v>
      </c>
      <c r="F6956" s="432" t="s">
        <v>620</v>
      </c>
      <c r="G6956" s="89">
        <v>2015</v>
      </c>
      <c r="H6956" s="313" t="s">
        <v>733</v>
      </c>
      <c r="I6956" s="311" t="str">
        <f t="shared" si="303"/>
        <v>Pesado de Passageiros M3:  : Gasóleo : E6</v>
      </c>
      <c r="J6956" s="422">
        <v>25</v>
      </c>
      <c r="K6956" s="422">
        <v>2023</v>
      </c>
      <c r="L6956">
        <v>8287.61</v>
      </c>
      <c r="M6956" s="422" t="s">
        <v>630</v>
      </c>
      <c r="N6956" s="131">
        <v>36110</v>
      </c>
      <c r="O6956" s="436">
        <f t="shared" si="304"/>
        <v>902750</v>
      </c>
      <c r="P6956" s="89">
        <v>762</v>
      </c>
      <c r="Q6956" t="s">
        <v>47</v>
      </c>
      <c r="R6956" s="422" t="s">
        <v>1869</v>
      </c>
      <c r="S6956" s="422" t="s">
        <v>1861</v>
      </c>
      <c r="T6956" s="422"/>
      <c r="U6956" s="422" t="s">
        <v>1953</v>
      </c>
      <c r="V6956" s="422" t="s">
        <v>2813</v>
      </c>
    </row>
    <row r="6957" spans="1:22" ht="15.75" thickBot="1" x14ac:dyDescent="0.3">
      <c r="A6957" t="s">
        <v>542</v>
      </c>
      <c r="B6957" s="424" t="str">
        <f t="shared" si="305"/>
        <v>Barraqueiro Transportes</v>
      </c>
      <c r="C6957" s="424" t="str">
        <f t="shared" si="306"/>
        <v>Barraqueiro Oeste</v>
      </c>
      <c r="D6957" t="s">
        <v>629</v>
      </c>
      <c r="F6957" s="432" t="s">
        <v>620</v>
      </c>
      <c r="G6957" s="89">
        <v>2015</v>
      </c>
      <c r="H6957" s="313" t="s">
        <v>733</v>
      </c>
      <c r="I6957" s="311" t="str">
        <f t="shared" si="303"/>
        <v>Pesado de Passageiros M3:  : Gasóleo : E6</v>
      </c>
      <c r="J6957" s="422">
        <v>25</v>
      </c>
      <c r="K6957" s="422">
        <v>2023</v>
      </c>
      <c r="L6957">
        <v>7155.04</v>
      </c>
      <c r="M6957" s="422" t="s">
        <v>630</v>
      </c>
      <c r="N6957" s="131">
        <v>32390</v>
      </c>
      <c r="O6957" s="436">
        <f t="shared" si="304"/>
        <v>809750</v>
      </c>
      <c r="P6957" s="89">
        <v>782</v>
      </c>
      <c r="Q6957" t="s">
        <v>47</v>
      </c>
      <c r="R6957" s="422" t="s">
        <v>1869</v>
      </c>
      <c r="S6957" s="422" t="s">
        <v>1861</v>
      </c>
      <c r="T6957" s="422"/>
      <c r="U6957" s="422" t="s">
        <v>1953</v>
      </c>
      <c r="V6957" s="422" t="s">
        <v>2813</v>
      </c>
    </row>
    <row r="6958" spans="1:22" ht="15.75" thickBot="1" x14ac:dyDescent="0.3">
      <c r="A6958" t="s">
        <v>542</v>
      </c>
      <c r="B6958" s="424" t="str">
        <f t="shared" si="305"/>
        <v>Barraqueiro Transportes</v>
      </c>
      <c r="C6958" s="424" t="str">
        <f t="shared" si="306"/>
        <v>Barraqueiro Oeste</v>
      </c>
      <c r="D6958" t="s">
        <v>629</v>
      </c>
      <c r="F6958" s="432" t="s">
        <v>620</v>
      </c>
      <c r="G6958" s="89">
        <v>2005</v>
      </c>
      <c r="H6958" s="313" t="s">
        <v>732</v>
      </c>
      <c r="I6958" s="311" t="str">
        <f t="shared" si="303"/>
        <v>Pesado de Passageiros M3:  : Gasóleo : E3</v>
      </c>
      <c r="J6958" s="422">
        <v>66</v>
      </c>
      <c r="K6958" s="422">
        <v>2023</v>
      </c>
      <c r="L6958">
        <v>27661.34</v>
      </c>
      <c r="M6958" s="422" t="s">
        <v>630</v>
      </c>
      <c r="N6958" s="131">
        <v>76039</v>
      </c>
      <c r="O6958" s="436">
        <f t="shared" si="304"/>
        <v>5018574</v>
      </c>
      <c r="P6958" s="89">
        <v>799</v>
      </c>
      <c r="Q6958" t="s">
        <v>47</v>
      </c>
      <c r="R6958" s="422" t="s">
        <v>1869</v>
      </c>
      <c r="S6958" s="422" t="s">
        <v>1861</v>
      </c>
      <c r="T6958" s="422"/>
      <c r="U6958" s="422" t="s">
        <v>1953</v>
      </c>
      <c r="V6958" s="422" t="s">
        <v>2813</v>
      </c>
    </row>
    <row r="6959" spans="1:22" ht="15.75" thickBot="1" x14ac:dyDescent="0.3">
      <c r="A6959" t="s">
        <v>542</v>
      </c>
      <c r="B6959" s="424" t="str">
        <f t="shared" si="305"/>
        <v>Barraqueiro Transportes</v>
      </c>
      <c r="C6959" s="424" t="str">
        <f t="shared" si="306"/>
        <v>Barraqueiro Oeste</v>
      </c>
      <c r="D6959" t="s">
        <v>629</v>
      </c>
      <c r="F6959" s="432" t="s">
        <v>620</v>
      </c>
      <c r="G6959" s="89">
        <v>2003</v>
      </c>
      <c r="H6959" s="313" t="s">
        <v>732</v>
      </c>
      <c r="I6959" s="311" t="str">
        <f t="shared" si="303"/>
        <v>Pesado de Passageiros M3:  : Gasóleo : E3</v>
      </c>
      <c r="J6959" s="422">
        <v>97</v>
      </c>
      <c r="K6959" s="422">
        <v>2023</v>
      </c>
      <c r="L6959">
        <v>15579.79</v>
      </c>
      <c r="M6959" s="422" t="s">
        <v>630</v>
      </c>
      <c r="N6959" s="131">
        <v>42176</v>
      </c>
      <c r="O6959" s="436">
        <f t="shared" si="304"/>
        <v>4091072</v>
      </c>
      <c r="P6959" s="89">
        <v>810</v>
      </c>
      <c r="Q6959" t="s">
        <v>47</v>
      </c>
      <c r="R6959" s="422" t="s">
        <v>1869</v>
      </c>
      <c r="S6959" s="422" t="s">
        <v>1861</v>
      </c>
      <c r="T6959" s="422"/>
      <c r="U6959" s="422" t="s">
        <v>1953</v>
      </c>
      <c r="V6959" s="422" t="s">
        <v>2813</v>
      </c>
    </row>
    <row r="6960" spans="1:22" ht="15.75" thickBot="1" x14ac:dyDescent="0.3">
      <c r="A6960" t="s">
        <v>542</v>
      </c>
      <c r="B6960" s="424" t="str">
        <f t="shared" si="305"/>
        <v>Barraqueiro Transportes</v>
      </c>
      <c r="C6960" s="424" t="str">
        <f t="shared" si="306"/>
        <v>Barraqueiro Oeste</v>
      </c>
      <c r="D6960" t="s">
        <v>629</v>
      </c>
      <c r="F6960" s="432" t="s">
        <v>620</v>
      </c>
      <c r="G6960" s="89">
        <v>2003</v>
      </c>
      <c r="H6960" s="313" t="s">
        <v>732</v>
      </c>
      <c r="I6960" s="311" t="str">
        <f t="shared" si="303"/>
        <v>Pesado de Passageiros M3:  : Gasóleo : E3</v>
      </c>
      <c r="J6960" s="422">
        <v>63</v>
      </c>
      <c r="K6960" s="422">
        <v>2023</v>
      </c>
      <c r="L6960">
        <v>14651.708999999999</v>
      </c>
      <c r="M6960" s="422" t="s">
        <v>630</v>
      </c>
      <c r="N6960" s="131">
        <v>38864</v>
      </c>
      <c r="O6960" s="436">
        <f t="shared" si="304"/>
        <v>2448432</v>
      </c>
      <c r="P6960" s="89">
        <v>812</v>
      </c>
      <c r="Q6960" t="s">
        <v>47</v>
      </c>
      <c r="R6960" s="422" t="s">
        <v>1869</v>
      </c>
      <c r="S6960" s="422" t="s">
        <v>1861</v>
      </c>
      <c r="T6960" s="422"/>
      <c r="U6960" s="422" t="s">
        <v>1953</v>
      </c>
      <c r="V6960" s="422" t="s">
        <v>2813</v>
      </c>
    </row>
    <row r="6961" spans="1:22" ht="15.75" thickBot="1" x14ac:dyDescent="0.3">
      <c r="A6961" t="s">
        <v>542</v>
      </c>
      <c r="B6961" s="424" t="str">
        <f t="shared" si="305"/>
        <v>Barraqueiro Transportes</v>
      </c>
      <c r="C6961" s="424" t="str">
        <f t="shared" si="306"/>
        <v>Barraqueiro Oeste</v>
      </c>
      <c r="D6961" t="s">
        <v>629</v>
      </c>
      <c r="F6961" s="432" t="s">
        <v>620</v>
      </c>
      <c r="G6961" s="89">
        <v>2003</v>
      </c>
      <c r="H6961" s="313" t="s">
        <v>732</v>
      </c>
      <c r="I6961" s="311" t="str">
        <f t="shared" si="303"/>
        <v>Pesado de Passageiros M3:  : Gasóleo : E3</v>
      </c>
      <c r="J6961" s="422">
        <v>63</v>
      </c>
      <c r="K6961" s="422">
        <v>2023</v>
      </c>
      <c r="L6961">
        <v>11188.05</v>
      </c>
      <c r="M6961" s="422" t="s">
        <v>630</v>
      </c>
      <c r="N6961" s="131">
        <v>28714</v>
      </c>
      <c r="O6961" s="436">
        <f t="shared" si="304"/>
        <v>1808982</v>
      </c>
      <c r="P6961" s="89">
        <v>815</v>
      </c>
      <c r="Q6961" t="s">
        <v>47</v>
      </c>
      <c r="R6961" s="422" t="s">
        <v>1869</v>
      </c>
      <c r="S6961" s="422" t="s">
        <v>1861</v>
      </c>
      <c r="T6961" s="422"/>
      <c r="U6961" s="422" t="s">
        <v>1953</v>
      </c>
      <c r="V6961" s="422" t="s">
        <v>2813</v>
      </c>
    </row>
    <row r="6962" spans="1:22" ht="15.75" thickBot="1" x14ac:dyDescent="0.3">
      <c r="A6962" t="s">
        <v>542</v>
      </c>
      <c r="B6962" s="424" t="str">
        <f t="shared" si="305"/>
        <v>Barraqueiro Transportes</v>
      </c>
      <c r="C6962" s="424" t="str">
        <f t="shared" si="306"/>
        <v>Barraqueiro Oeste</v>
      </c>
      <c r="D6962" t="s">
        <v>629</v>
      </c>
      <c r="F6962" s="432" t="s">
        <v>620</v>
      </c>
      <c r="G6962" s="89">
        <v>2000</v>
      </c>
      <c r="H6962" s="313" t="s">
        <v>735</v>
      </c>
      <c r="I6962" s="311" t="str">
        <f t="shared" si="303"/>
        <v>Pesado de Passageiros M3:  : Gasóleo : E2</v>
      </c>
      <c r="J6962" s="422">
        <v>75</v>
      </c>
      <c r="K6962" s="422">
        <v>2023</v>
      </c>
      <c r="L6962">
        <v>15730.090000000002</v>
      </c>
      <c r="M6962" s="422" t="s">
        <v>630</v>
      </c>
      <c r="N6962" s="131">
        <v>43278</v>
      </c>
      <c r="O6962" s="436">
        <f t="shared" si="304"/>
        <v>3245850</v>
      </c>
      <c r="P6962" s="89">
        <v>818</v>
      </c>
      <c r="Q6962" t="s">
        <v>47</v>
      </c>
      <c r="R6962" s="422" t="s">
        <v>1869</v>
      </c>
      <c r="S6962" s="422" t="s">
        <v>1861</v>
      </c>
      <c r="T6962" s="422"/>
      <c r="U6962" s="422" t="s">
        <v>1953</v>
      </c>
      <c r="V6962" s="422" t="s">
        <v>2813</v>
      </c>
    </row>
    <row r="6963" spans="1:22" ht="15.75" thickBot="1" x14ac:dyDescent="0.3">
      <c r="A6963" t="s">
        <v>542</v>
      </c>
      <c r="B6963" s="424" t="str">
        <f t="shared" si="305"/>
        <v>Barraqueiro Transportes</v>
      </c>
      <c r="C6963" s="424" t="str">
        <f t="shared" si="306"/>
        <v>Barraqueiro Oeste</v>
      </c>
      <c r="D6963" t="s">
        <v>629</v>
      </c>
      <c r="F6963" s="432" t="s">
        <v>620</v>
      </c>
      <c r="G6963" s="89">
        <v>1999</v>
      </c>
      <c r="H6963" s="313" t="s">
        <v>736</v>
      </c>
      <c r="I6963" s="311" t="str">
        <f t="shared" si="303"/>
        <v>Pesado de Passageiros M3:  : Gasóleo : E1</v>
      </c>
      <c r="J6963" s="422">
        <v>51</v>
      </c>
      <c r="K6963" s="422">
        <v>2023</v>
      </c>
      <c r="L6963">
        <v>11988.89</v>
      </c>
      <c r="M6963" s="422" t="s">
        <v>630</v>
      </c>
      <c r="N6963" s="131">
        <v>32406</v>
      </c>
      <c r="O6963" s="436">
        <f t="shared" si="304"/>
        <v>1652706</v>
      </c>
      <c r="P6963" s="89">
        <v>819</v>
      </c>
      <c r="Q6963" t="s">
        <v>47</v>
      </c>
      <c r="R6963" s="422" t="s">
        <v>1869</v>
      </c>
      <c r="S6963" s="422" t="s">
        <v>1861</v>
      </c>
      <c r="T6963" s="422"/>
      <c r="U6963" s="422" t="s">
        <v>1953</v>
      </c>
      <c r="V6963" s="422" t="s">
        <v>2813</v>
      </c>
    </row>
    <row r="6964" spans="1:22" ht="15.75" thickBot="1" x14ac:dyDescent="0.3">
      <c r="A6964" t="s">
        <v>542</v>
      </c>
      <c r="B6964" s="424" t="str">
        <f t="shared" si="305"/>
        <v>Barraqueiro Transportes</v>
      </c>
      <c r="C6964" s="424" t="str">
        <f t="shared" si="306"/>
        <v>Barraqueiro Oeste</v>
      </c>
      <c r="D6964" t="s">
        <v>629</v>
      </c>
      <c r="F6964" s="432" t="s">
        <v>620</v>
      </c>
      <c r="G6964" s="89">
        <v>2003</v>
      </c>
      <c r="H6964" s="313" t="s">
        <v>732</v>
      </c>
      <c r="I6964" s="311" t="str">
        <f t="shared" si="303"/>
        <v>Pesado de Passageiros M3:  : Gasóleo : E3</v>
      </c>
      <c r="J6964" s="422">
        <v>63</v>
      </c>
      <c r="K6964" s="422">
        <v>2023</v>
      </c>
      <c r="L6964">
        <v>18496.589999999997</v>
      </c>
      <c r="M6964" s="422" t="s">
        <v>630</v>
      </c>
      <c r="N6964" s="131">
        <v>45702</v>
      </c>
      <c r="O6964" s="436">
        <f t="shared" si="304"/>
        <v>2879226</v>
      </c>
      <c r="P6964" s="89">
        <v>822</v>
      </c>
      <c r="Q6964" t="s">
        <v>47</v>
      </c>
      <c r="R6964" s="422" t="s">
        <v>1869</v>
      </c>
      <c r="S6964" s="422" t="s">
        <v>1861</v>
      </c>
      <c r="T6964" s="422"/>
      <c r="U6964" s="422" t="s">
        <v>1953</v>
      </c>
      <c r="V6964" s="422" t="s">
        <v>2813</v>
      </c>
    </row>
    <row r="6965" spans="1:22" ht="15.75" thickBot="1" x14ac:dyDescent="0.3">
      <c r="A6965" t="s">
        <v>542</v>
      </c>
      <c r="B6965" s="424" t="str">
        <f t="shared" si="305"/>
        <v>Barraqueiro Transportes</v>
      </c>
      <c r="C6965" s="424" t="str">
        <f t="shared" si="306"/>
        <v>Barraqueiro Oeste</v>
      </c>
      <c r="D6965" t="s">
        <v>629</v>
      </c>
      <c r="F6965" s="432" t="s">
        <v>620</v>
      </c>
      <c r="G6965" s="89">
        <v>2003</v>
      </c>
      <c r="H6965" s="313" t="s">
        <v>732</v>
      </c>
      <c r="I6965" s="311" t="str">
        <f t="shared" si="303"/>
        <v>Pesado de Passageiros M3:  : Gasóleo : E3</v>
      </c>
      <c r="J6965" s="422">
        <v>63</v>
      </c>
      <c r="K6965" s="422">
        <v>2023</v>
      </c>
      <c r="L6965">
        <v>12955.617999999999</v>
      </c>
      <c r="M6965" s="422" t="s">
        <v>630</v>
      </c>
      <c r="N6965" s="131">
        <v>34191</v>
      </c>
      <c r="O6965" s="436">
        <f t="shared" si="304"/>
        <v>2154033</v>
      </c>
      <c r="P6965" s="89">
        <v>823</v>
      </c>
      <c r="Q6965" t="s">
        <v>47</v>
      </c>
      <c r="R6965" s="422" t="s">
        <v>1869</v>
      </c>
      <c r="S6965" s="422" t="s">
        <v>1861</v>
      </c>
      <c r="T6965" s="422"/>
      <c r="U6965" s="422" t="s">
        <v>1953</v>
      </c>
      <c r="V6965" s="422" t="s">
        <v>2813</v>
      </c>
    </row>
    <row r="6966" spans="1:22" ht="15.75" thickBot="1" x14ac:dyDescent="0.3">
      <c r="A6966" t="s">
        <v>542</v>
      </c>
      <c r="B6966" s="424" t="str">
        <f t="shared" si="305"/>
        <v>Barraqueiro Transportes</v>
      </c>
      <c r="C6966" s="424" t="str">
        <f t="shared" si="306"/>
        <v>Barraqueiro Oeste</v>
      </c>
      <c r="D6966" t="s">
        <v>629</v>
      </c>
      <c r="F6966" s="432" t="s">
        <v>620</v>
      </c>
      <c r="G6966" s="89">
        <v>2003</v>
      </c>
      <c r="H6966" s="313" t="s">
        <v>732</v>
      </c>
      <c r="I6966" s="311" t="str">
        <f t="shared" si="303"/>
        <v>Pesado de Passageiros M3:  : Gasóleo : E3</v>
      </c>
      <c r="J6966" s="422">
        <v>63</v>
      </c>
      <c r="K6966" s="422">
        <v>2023</v>
      </c>
      <c r="L6966">
        <v>16091.54</v>
      </c>
      <c r="M6966" s="422" t="s">
        <v>630</v>
      </c>
      <c r="N6966" s="131">
        <v>40099</v>
      </c>
      <c r="O6966" s="436">
        <f t="shared" si="304"/>
        <v>2526237</v>
      </c>
      <c r="P6966" s="89">
        <v>824</v>
      </c>
      <c r="Q6966" t="s">
        <v>47</v>
      </c>
      <c r="R6966" s="422" t="s">
        <v>1869</v>
      </c>
      <c r="S6966" s="422" t="s">
        <v>1861</v>
      </c>
      <c r="T6966" s="422"/>
      <c r="U6966" s="422" t="s">
        <v>1953</v>
      </c>
      <c r="V6966" s="422" t="s">
        <v>2813</v>
      </c>
    </row>
    <row r="6967" spans="1:22" ht="15.75" thickBot="1" x14ac:dyDescent="0.3">
      <c r="A6967" t="s">
        <v>542</v>
      </c>
      <c r="B6967" s="424" t="str">
        <f t="shared" si="305"/>
        <v>Barraqueiro Transportes</v>
      </c>
      <c r="C6967" s="424" t="str">
        <f t="shared" si="306"/>
        <v>Barraqueiro Oeste</v>
      </c>
      <c r="D6967" t="s">
        <v>629</v>
      </c>
      <c r="F6967" s="432" t="s">
        <v>620</v>
      </c>
      <c r="G6967" s="89">
        <v>2010</v>
      </c>
      <c r="H6967" s="313" t="s">
        <v>734</v>
      </c>
      <c r="I6967" s="311" t="str">
        <f t="shared" si="303"/>
        <v>Pesado de Passageiros M3:  : Gasóleo : E5</v>
      </c>
      <c r="J6967" s="422">
        <v>70</v>
      </c>
      <c r="K6967" s="422">
        <v>2023</v>
      </c>
      <c r="L6967">
        <v>22646.737999999994</v>
      </c>
      <c r="M6967" s="422" t="s">
        <v>630</v>
      </c>
      <c r="N6967" s="131">
        <v>58570</v>
      </c>
      <c r="O6967" s="436">
        <f t="shared" si="304"/>
        <v>4099900</v>
      </c>
      <c r="P6967" s="89">
        <v>850</v>
      </c>
      <c r="Q6967" t="s">
        <v>47</v>
      </c>
      <c r="R6967" s="422" t="s">
        <v>1869</v>
      </c>
      <c r="S6967" s="422" t="s">
        <v>1861</v>
      </c>
      <c r="T6967" s="422"/>
      <c r="U6967" s="422" t="s">
        <v>1953</v>
      </c>
      <c r="V6967" s="422" t="s">
        <v>2813</v>
      </c>
    </row>
    <row r="6968" spans="1:22" ht="15.75" thickBot="1" x14ac:dyDescent="0.3">
      <c r="A6968" t="s">
        <v>542</v>
      </c>
      <c r="B6968" s="424" t="str">
        <f t="shared" si="305"/>
        <v>Barraqueiro Transportes</v>
      </c>
      <c r="C6968" s="424" t="str">
        <f t="shared" si="306"/>
        <v>Barraqueiro Oeste</v>
      </c>
      <c r="D6968" t="s">
        <v>629</v>
      </c>
      <c r="F6968" s="432" t="s">
        <v>620</v>
      </c>
      <c r="G6968" s="89">
        <v>2009</v>
      </c>
      <c r="H6968" s="313" t="s">
        <v>734</v>
      </c>
      <c r="I6968" s="311" t="str">
        <f t="shared" si="303"/>
        <v>Pesado de Passageiros M3:  : Gasóleo : E5</v>
      </c>
      <c r="J6968" s="422">
        <v>83</v>
      </c>
      <c r="K6968" s="422">
        <v>2023</v>
      </c>
      <c r="L6968">
        <v>34789.652999999998</v>
      </c>
      <c r="M6968" s="422" t="s">
        <v>630</v>
      </c>
      <c r="N6968" s="131">
        <v>89808</v>
      </c>
      <c r="O6968" s="436">
        <f t="shared" si="304"/>
        <v>7454064</v>
      </c>
      <c r="P6968" s="89">
        <v>856</v>
      </c>
      <c r="Q6968" t="s">
        <v>47</v>
      </c>
      <c r="R6968" s="422" t="s">
        <v>1869</v>
      </c>
      <c r="S6968" s="422" t="s">
        <v>1861</v>
      </c>
      <c r="T6968" s="422"/>
      <c r="U6968" s="422" t="s">
        <v>1953</v>
      </c>
      <c r="V6968" s="422" t="s">
        <v>2813</v>
      </c>
    </row>
    <row r="6969" spans="1:22" ht="15.75" thickBot="1" x14ac:dyDescent="0.3">
      <c r="A6969" t="s">
        <v>542</v>
      </c>
      <c r="B6969" s="424" t="str">
        <f t="shared" si="305"/>
        <v>Barraqueiro Transportes</v>
      </c>
      <c r="C6969" s="424" t="str">
        <f t="shared" si="306"/>
        <v>Barraqueiro Oeste</v>
      </c>
      <c r="D6969" t="s">
        <v>629</v>
      </c>
      <c r="F6969" s="432" t="s">
        <v>620</v>
      </c>
      <c r="G6969" s="89">
        <v>2008</v>
      </c>
      <c r="H6969" s="313" t="s">
        <v>731</v>
      </c>
      <c r="I6969" s="311" t="str">
        <f t="shared" si="303"/>
        <v>Pesado de Passageiros M3:  : Gasóleo : E4</v>
      </c>
      <c r="J6969" s="422">
        <v>59</v>
      </c>
      <c r="K6969" s="422">
        <v>2023</v>
      </c>
      <c r="L6969">
        <v>26321.369999999995</v>
      </c>
      <c r="M6969" s="422" t="s">
        <v>630</v>
      </c>
      <c r="N6969" s="131">
        <v>70237</v>
      </c>
      <c r="O6969" s="436">
        <f t="shared" si="304"/>
        <v>4143983</v>
      </c>
      <c r="P6969" s="89">
        <v>861</v>
      </c>
      <c r="Q6969" t="s">
        <v>47</v>
      </c>
      <c r="R6969" s="422" t="s">
        <v>1869</v>
      </c>
      <c r="S6969" s="422" t="s">
        <v>1861</v>
      </c>
      <c r="T6969" s="422"/>
      <c r="U6969" s="422" t="s">
        <v>1953</v>
      </c>
      <c r="V6969" s="422" t="s">
        <v>2813</v>
      </c>
    </row>
    <row r="6970" spans="1:22" ht="15.75" thickBot="1" x14ac:dyDescent="0.3">
      <c r="A6970" t="s">
        <v>542</v>
      </c>
      <c r="B6970" s="424" t="str">
        <f t="shared" si="305"/>
        <v>Barraqueiro Transportes</v>
      </c>
      <c r="C6970" s="424" t="str">
        <f t="shared" si="306"/>
        <v>Barraqueiro Oeste</v>
      </c>
      <c r="D6970" t="s">
        <v>629</v>
      </c>
      <c r="F6970" s="432" t="s">
        <v>620</v>
      </c>
      <c r="G6970" s="89">
        <v>2000</v>
      </c>
      <c r="H6970" s="313" t="s">
        <v>735</v>
      </c>
      <c r="I6970" s="311" t="str">
        <f t="shared" si="303"/>
        <v>Pesado de Passageiros M3:  : Gasóleo : E2</v>
      </c>
      <c r="J6970" s="422">
        <v>53</v>
      </c>
      <c r="K6970" s="422">
        <v>2023</v>
      </c>
      <c r="L6970">
        <v>10846.04</v>
      </c>
      <c r="M6970" s="422" t="s">
        <v>630</v>
      </c>
      <c r="N6970" s="131">
        <v>29573</v>
      </c>
      <c r="O6970" s="436">
        <f t="shared" si="304"/>
        <v>1567369</v>
      </c>
      <c r="P6970" s="89">
        <v>868</v>
      </c>
      <c r="Q6970" t="s">
        <v>47</v>
      </c>
      <c r="R6970" s="422" t="s">
        <v>1869</v>
      </c>
      <c r="S6970" s="422" t="s">
        <v>1861</v>
      </c>
      <c r="T6970" s="422"/>
      <c r="U6970" s="422" t="s">
        <v>1953</v>
      </c>
      <c r="V6970" s="422" t="s">
        <v>2813</v>
      </c>
    </row>
    <row r="6971" spans="1:22" ht="15.75" thickBot="1" x14ac:dyDescent="0.3">
      <c r="A6971" t="s">
        <v>542</v>
      </c>
      <c r="B6971" s="424" t="str">
        <f t="shared" si="305"/>
        <v>Barraqueiro Transportes</v>
      </c>
      <c r="C6971" s="424" t="str">
        <f t="shared" si="306"/>
        <v>Barraqueiro Oeste</v>
      </c>
      <c r="D6971" t="s">
        <v>629</v>
      </c>
      <c r="F6971" s="432" t="s">
        <v>620</v>
      </c>
      <c r="G6971" s="89">
        <v>1997</v>
      </c>
      <c r="H6971" s="313" t="s">
        <v>736</v>
      </c>
      <c r="I6971" s="311" t="str">
        <f t="shared" si="303"/>
        <v>Pesado de Passageiros M3:  : Gasóleo : E1</v>
      </c>
      <c r="J6971" s="422">
        <v>83</v>
      </c>
      <c r="K6971" s="422">
        <v>2023</v>
      </c>
      <c r="L6971">
        <v>11906.84</v>
      </c>
      <c r="M6971" s="422" t="s">
        <v>630</v>
      </c>
      <c r="N6971" s="131">
        <v>31853</v>
      </c>
      <c r="O6971" s="436">
        <f t="shared" si="304"/>
        <v>2643799</v>
      </c>
      <c r="P6971" s="89">
        <v>871</v>
      </c>
      <c r="Q6971" t="s">
        <v>47</v>
      </c>
      <c r="R6971" s="422" t="s">
        <v>1869</v>
      </c>
      <c r="S6971" s="422" t="s">
        <v>1861</v>
      </c>
      <c r="T6971" s="422"/>
      <c r="U6971" s="422" t="s">
        <v>1953</v>
      </c>
      <c r="V6971" s="422" t="s">
        <v>2813</v>
      </c>
    </row>
    <row r="6972" spans="1:22" ht="15.75" thickBot="1" x14ac:dyDescent="0.3">
      <c r="A6972" t="s">
        <v>542</v>
      </c>
      <c r="B6972" s="424" t="str">
        <f t="shared" si="305"/>
        <v>Barraqueiro Transportes</v>
      </c>
      <c r="C6972" s="424" t="str">
        <f t="shared" si="306"/>
        <v>Barraqueiro Oeste</v>
      </c>
      <c r="D6972" t="s">
        <v>629</v>
      </c>
      <c r="F6972" s="432" t="s">
        <v>620</v>
      </c>
      <c r="G6972" s="89">
        <v>2003</v>
      </c>
      <c r="H6972" s="313" t="s">
        <v>732</v>
      </c>
      <c r="I6972" s="311" t="str">
        <f t="shared" si="303"/>
        <v>Pesado de Passageiros M3:  : Gasóleo : E3</v>
      </c>
      <c r="J6972" s="422">
        <v>63</v>
      </c>
      <c r="K6972" s="422">
        <v>2023</v>
      </c>
      <c r="L6972">
        <v>16688.02</v>
      </c>
      <c r="M6972" s="422" t="s">
        <v>630</v>
      </c>
      <c r="N6972" s="131">
        <v>43949</v>
      </c>
      <c r="O6972" s="436">
        <f t="shared" si="304"/>
        <v>2768787</v>
      </c>
      <c r="P6972" s="89">
        <v>880</v>
      </c>
      <c r="Q6972" t="s">
        <v>47</v>
      </c>
      <c r="R6972" s="422" t="s">
        <v>1869</v>
      </c>
      <c r="S6972" s="422" t="s">
        <v>1861</v>
      </c>
      <c r="T6972" s="422"/>
      <c r="U6972" s="422" t="s">
        <v>1953</v>
      </c>
      <c r="V6972" s="422" t="s">
        <v>2813</v>
      </c>
    </row>
    <row r="6973" spans="1:22" ht="15.75" thickBot="1" x14ac:dyDescent="0.3">
      <c r="A6973" t="s">
        <v>542</v>
      </c>
      <c r="B6973" s="424" t="str">
        <f t="shared" si="305"/>
        <v>Barraqueiro Transportes</v>
      </c>
      <c r="C6973" s="424" t="str">
        <f t="shared" si="306"/>
        <v>Barraqueiro Oeste</v>
      </c>
      <c r="D6973" t="s">
        <v>629</v>
      </c>
      <c r="F6973" s="432" t="s">
        <v>620</v>
      </c>
      <c r="G6973" s="89">
        <v>1998</v>
      </c>
      <c r="H6973" s="313" t="s">
        <v>736</v>
      </c>
      <c r="I6973" s="311" t="str">
        <f t="shared" si="303"/>
        <v>Pesado de Passageiros M3:  : Gasóleo : E1</v>
      </c>
      <c r="J6973" s="422">
        <v>83</v>
      </c>
      <c r="K6973" s="422">
        <v>2023</v>
      </c>
      <c r="L6973">
        <v>9719.4800000000014</v>
      </c>
      <c r="M6973" s="422" t="s">
        <v>630</v>
      </c>
      <c r="N6973" s="131">
        <v>27217</v>
      </c>
      <c r="O6973" s="436">
        <f t="shared" si="304"/>
        <v>2259011</v>
      </c>
      <c r="P6973" s="89">
        <v>887</v>
      </c>
      <c r="Q6973" t="s">
        <v>47</v>
      </c>
      <c r="R6973" s="422" t="s">
        <v>1869</v>
      </c>
      <c r="S6973" s="422" t="s">
        <v>1861</v>
      </c>
      <c r="T6973" s="422"/>
      <c r="U6973" s="422" t="s">
        <v>1953</v>
      </c>
      <c r="V6973" s="422" t="s">
        <v>2813</v>
      </c>
    </row>
    <row r="6974" spans="1:22" ht="15.75" thickBot="1" x14ac:dyDescent="0.3">
      <c r="A6974" t="s">
        <v>542</v>
      </c>
      <c r="B6974" s="424" t="str">
        <f t="shared" si="305"/>
        <v>Barraqueiro Transportes</v>
      </c>
      <c r="C6974" s="424" t="str">
        <f t="shared" si="306"/>
        <v>Barraqueiro Oeste</v>
      </c>
      <c r="D6974" t="s">
        <v>629</v>
      </c>
      <c r="F6974" s="432" t="s">
        <v>620</v>
      </c>
      <c r="G6974" s="89">
        <v>1998</v>
      </c>
      <c r="H6974" s="313" t="s">
        <v>736</v>
      </c>
      <c r="I6974" s="311" t="str">
        <f t="shared" si="303"/>
        <v>Pesado de Passageiros M3:  : Gasóleo : E1</v>
      </c>
      <c r="J6974" s="422">
        <v>83</v>
      </c>
      <c r="K6974" s="422">
        <v>2023</v>
      </c>
      <c r="L6974">
        <v>13471.699999999999</v>
      </c>
      <c r="M6974" s="422" t="s">
        <v>630</v>
      </c>
      <c r="N6974" s="131">
        <v>38775</v>
      </c>
      <c r="O6974" s="436">
        <f t="shared" si="304"/>
        <v>3218325</v>
      </c>
      <c r="P6974" s="89">
        <v>888</v>
      </c>
      <c r="Q6974" t="s">
        <v>47</v>
      </c>
      <c r="R6974" s="422" t="s">
        <v>1869</v>
      </c>
      <c r="S6974" s="422" t="s">
        <v>1861</v>
      </c>
      <c r="T6974" s="422"/>
      <c r="U6974" s="422" t="s">
        <v>1953</v>
      </c>
      <c r="V6974" s="422" t="s">
        <v>2813</v>
      </c>
    </row>
    <row r="6975" spans="1:22" ht="15.75" thickBot="1" x14ac:dyDescent="0.3">
      <c r="A6975" t="s">
        <v>542</v>
      </c>
      <c r="B6975" s="424" t="str">
        <f t="shared" si="305"/>
        <v>Barraqueiro Transportes</v>
      </c>
      <c r="C6975" s="424" t="str">
        <f t="shared" si="306"/>
        <v>Barraqueiro Oeste</v>
      </c>
      <c r="D6975" t="s">
        <v>629</v>
      </c>
      <c r="F6975" s="432" t="s">
        <v>620</v>
      </c>
      <c r="G6975" s="89">
        <v>1999</v>
      </c>
      <c r="H6975" s="313" t="s">
        <v>736</v>
      </c>
      <c r="I6975" s="311" t="str">
        <f t="shared" si="303"/>
        <v>Pesado de Passageiros M3:  : Gasóleo : E1</v>
      </c>
      <c r="J6975" s="422">
        <v>83</v>
      </c>
      <c r="K6975" s="422">
        <v>2023</v>
      </c>
      <c r="L6975">
        <v>14464.07</v>
      </c>
      <c r="M6975" s="422" t="s">
        <v>630</v>
      </c>
      <c r="N6975" s="131">
        <v>42393</v>
      </c>
      <c r="O6975" s="436">
        <f t="shared" si="304"/>
        <v>3518619</v>
      </c>
      <c r="P6975" s="89">
        <v>898</v>
      </c>
      <c r="Q6975" t="s">
        <v>47</v>
      </c>
      <c r="R6975" s="422" t="s">
        <v>1869</v>
      </c>
      <c r="S6975" s="422" t="s">
        <v>1861</v>
      </c>
      <c r="T6975" s="422"/>
      <c r="U6975" s="422" t="s">
        <v>1953</v>
      </c>
      <c r="V6975" s="422" t="s">
        <v>2813</v>
      </c>
    </row>
    <row r="6976" spans="1:22" ht="15.75" thickBot="1" x14ac:dyDescent="0.3">
      <c r="A6976" t="s">
        <v>542</v>
      </c>
      <c r="B6976" s="424" t="str">
        <f t="shared" si="305"/>
        <v>Barraqueiro Transportes</v>
      </c>
      <c r="C6976" s="424" t="str">
        <f t="shared" si="306"/>
        <v>Barraqueiro Oeste</v>
      </c>
      <c r="D6976" t="s">
        <v>629</v>
      </c>
      <c r="F6976" s="432" t="s">
        <v>620</v>
      </c>
      <c r="G6976" s="89">
        <v>2009</v>
      </c>
      <c r="H6976" s="313" t="s">
        <v>734</v>
      </c>
      <c r="I6976" s="311" t="str">
        <f t="shared" si="303"/>
        <v>Pesado de Passageiros M3:  : Gasóleo : E5</v>
      </c>
      <c r="J6976" s="422">
        <v>98</v>
      </c>
      <c r="K6976" s="422">
        <v>2023</v>
      </c>
      <c r="L6976">
        <v>30486.038999999993</v>
      </c>
      <c r="M6976" s="422" t="s">
        <v>630</v>
      </c>
      <c r="N6976" s="131">
        <v>76610</v>
      </c>
      <c r="O6976" s="436">
        <f t="shared" si="304"/>
        <v>7507780</v>
      </c>
      <c r="P6976" s="89">
        <v>935</v>
      </c>
      <c r="Q6976" t="s">
        <v>47</v>
      </c>
      <c r="R6976" s="422" t="s">
        <v>1869</v>
      </c>
      <c r="S6976" s="422" t="s">
        <v>1861</v>
      </c>
      <c r="T6976" s="422"/>
      <c r="U6976" s="422" t="s">
        <v>1953</v>
      </c>
      <c r="V6976" s="422" t="s">
        <v>2813</v>
      </c>
    </row>
    <row r="6977" spans="1:22" ht="15.75" thickBot="1" x14ac:dyDescent="0.3">
      <c r="A6977" t="s">
        <v>542</v>
      </c>
      <c r="B6977" s="424" t="str">
        <f t="shared" si="305"/>
        <v>Barraqueiro Transportes</v>
      </c>
      <c r="C6977" s="424" t="str">
        <f t="shared" si="306"/>
        <v>Barraqueiro Oeste</v>
      </c>
      <c r="D6977" t="s">
        <v>629</v>
      </c>
      <c r="F6977" s="432" t="s">
        <v>620</v>
      </c>
      <c r="G6977" s="89">
        <v>2008</v>
      </c>
      <c r="H6977" s="313" t="s">
        <v>731</v>
      </c>
      <c r="I6977" s="311" t="str">
        <f t="shared" si="303"/>
        <v>Pesado de Passageiros M3:  : Gasóleo : E4</v>
      </c>
      <c r="J6977" s="422">
        <v>82</v>
      </c>
      <c r="K6977" s="422">
        <v>2023</v>
      </c>
      <c r="L6977">
        <v>13645.17</v>
      </c>
      <c r="M6977" s="422" t="s">
        <v>630</v>
      </c>
      <c r="N6977" s="131">
        <v>39574</v>
      </c>
      <c r="O6977" s="436">
        <f t="shared" si="304"/>
        <v>3245068</v>
      </c>
      <c r="P6977" s="89">
        <v>941</v>
      </c>
      <c r="Q6977" t="s">
        <v>47</v>
      </c>
      <c r="R6977" s="422" t="s">
        <v>1869</v>
      </c>
      <c r="S6977" s="422" t="s">
        <v>1861</v>
      </c>
      <c r="T6977" s="422"/>
      <c r="U6977" s="422" t="s">
        <v>1953</v>
      </c>
      <c r="V6977" s="422" t="s">
        <v>2813</v>
      </c>
    </row>
    <row r="6978" spans="1:22" ht="15.75" thickBot="1" x14ac:dyDescent="0.3">
      <c r="A6978" t="s">
        <v>542</v>
      </c>
      <c r="B6978" s="424" t="str">
        <f t="shared" si="305"/>
        <v>Barraqueiro Transportes</v>
      </c>
      <c r="C6978" s="424" t="str">
        <f t="shared" si="306"/>
        <v>Barraqueiro Oeste</v>
      </c>
      <c r="D6978" t="s">
        <v>629</v>
      </c>
      <c r="F6978" s="432" t="s">
        <v>620</v>
      </c>
      <c r="G6978" s="89">
        <v>2009</v>
      </c>
      <c r="H6978" s="313" t="s">
        <v>734</v>
      </c>
      <c r="I6978" s="311" t="str">
        <f t="shared" si="303"/>
        <v>Pesado de Passageiros M3:  : Gasóleo : E5</v>
      </c>
      <c r="J6978" s="422">
        <v>74</v>
      </c>
      <c r="K6978" s="422">
        <v>2023</v>
      </c>
      <c r="L6978">
        <v>14785.199999999999</v>
      </c>
      <c r="M6978" s="422" t="s">
        <v>630</v>
      </c>
      <c r="N6978" s="131">
        <v>40515</v>
      </c>
      <c r="O6978" s="436">
        <f t="shared" si="304"/>
        <v>2998110</v>
      </c>
      <c r="P6978" s="89">
        <v>947</v>
      </c>
      <c r="Q6978" t="s">
        <v>47</v>
      </c>
      <c r="R6978" s="422" t="s">
        <v>1869</v>
      </c>
      <c r="S6978" s="422" t="s">
        <v>1861</v>
      </c>
      <c r="T6978" s="422"/>
      <c r="U6978" s="422" t="s">
        <v>1953</v>
      </c>
      <c r="V6978" s="422" t="s">
        <v>2813</v>
      </c>
    </row>
    <row r="6979" spans="1:22" ht="15.75" thickBot="1" x14ac:dyDescent="0.3">
      <c r="A6979" t="s">
        <v>542</v>
      </c>
      <c r="B6979" s="424" t="str">
        <f t="shared" si="305"/>
        <v>Barraqueiro Transportes</v>
      </c>
      <c r="C6979" s="424" t="str">
        <f t="shared" si="306"/>
        <v>Barraqueiro Oeste</v>
      </c>
      <c r="D6979" t="s">
        <v>629</v>
      </c>
      <c r="F6979" s="432" t="s">
        <v>620</v>
      </c>
      <c r="G6979" s="89">
        <v>2008</v>
      </c>
      <c r="H6979" s="313" t="s">
        <v>731</v>
      </c>
      <c r="I6979" s="311" t="str">
        <f t="shared" si="303"/>
        <v>Pesado de Passageiros M3:  : Gasóleo : E4</v>
      </c>
      <c r="J6979" s="422">
        <v>95</v>
      </c>
      <c r="K6979" s="422">
        <v>2023</v>
      </c>
      <c r="L6979">
        <v>36855.11</v>
      </c>
      <c r="M6979" s="422" t="s">
        <v>630</v>
      </c>
      <c r="N6979" s="131">
        <v>91324</v>
      </c>
      <c r="O6979" s="436">
        <f t="shared" si="304"/>
        <v>8675780</v>
      </c>
      <c r="P6979" s="89">
        <v>950</v>
      </c>
      <c r="Q6979" t="s">
        <v>47</v>
      </c>
      <c r="R6979" s="422" t="s">
        <v>1869</v>
      </c>
      <c r="S6979" s="422" t="s">
        <v>1861</v>
      </c>
      <c r="T6979" s="422"/>
      <c r="U6979" s="422" t="s">
        <v>1953</v>
      </c>
      <c r="V6979" s="422" t="s">
        <v>2813</v>
      </c>
    </row>
    <row r="6980" spans="1:22" ht="15.75" thickBot="1" x14ac:dyDescent="0.3">
      <c r="A6980" t="s">
        <v>542</v>
      </c>
      <c r="B6980" s="424" t="str">
        <f t="shared" si="305"/>
        <v>Barraqueiro Transportes</v>
      </c>
      <c r="C6980" s="424" t="str">
        <f t="shared" si="306"/>
        <v>Barraqueiro Oeste</v>
      </c>
      <c r="D6980" t="s">
        <v>629</v>
      </c>
      <c r="F6980" s="432" t="s">
        <v>620</v>
      </c>
      <c r="G6980" s="89">
        <v>2002</v>
      </c>
      <c r="H6980" s="313" t="s">
        <v>732</v>
      </c>
      <c r="I6980" s="311" t="str">
        <f t="shared" si="303"/>
        <v>Pesado de Passageiros M3:  : Gasóleo : E3</v>
      </c>
      <c r="J6980" s="422">
        <v>97</v>
      </c>
      <c r="K6980" s="422">
        <v>2023</v>
      </c>
      <c r="L6980">
        <v>7359.77</v>
      </c>
      <c r="M6980" s="422" t="s">
        <v>630</v>
      </c>
      <c r="N6980" s="131">
        <v>16781</v>
      </c>
      <c r="O6980" s="436">
        <f t="shared" si="304"/>
        <v>1627757</v>
      </c>
      <c r="P6980" s="89">
        <v>960</v>
      </c>
      <c r="Q6980" t="s">
        <v>47</v>
      </c>
      <c r="R6980" s="422" t="s">
        <v>1869</v>
      </c>
      <c r="S6980" s="422" t="s">
        <v>1861</v>
      </c>
      <c r="T6980" s="422"/>
      <c r="U6980" s="422" t="s">
        <v>1953</v>
      </c>
      <c r="V6980" s="422" t="s">
        <v>2813</v>
      </c>
    </row>
    <row r="6981" spans="1:22" ht="15.75" thickBot="1" x14ac:dyDescent="0.3">
      <c r="A6981" t="s">
        <v>542</v>
      </c>
      <c r="B6981" s="424" t="str">
        <f t="shared" si="305"/>
        <v>Barraqueiro Transportes</v>
      </c>
      <c r="C6981" s="424" t="str">
        <f t="shared" si="306"/>
        <v>Barraqueiro Oeste</v>
      </c>
      <c r="D6981" t="s">
        <v>629</v>
      </c>
      <c r="F6981" s="432" t="s">
        <v>620</v>
      </c>
      <c r="G6981" s="89">
        <v>2004</v>
      </c>
      <c r="H6981" s="313" t="s">
        <v>732</v>
      </c>
      <c r="I6981" s="311" t="str">
        <f t="shared" si="303"/>
        <v>Pesado de Passageiros M3:  : Gasóleo : E3</v>
      </c>
      <c r="J6981" s="422">
        <v>76</v>
      </c>
      <c r="K6981" s="422">
        <v>2023</v>
      </c>
      <c r="L6981">
        <v>18771.080000000002</v>
      </c>
      <c r="M6981" s="422" t="s">
        <v>630</v>
      </c>
      <c r="N6981" s="131">
        <v>49564</v>
      </c>
      <c r="O6981" s="436">
        <f t="shared" si="304"/>
        <v>3766864</v>
      </c>
      <c r="P6981" s="89">
        <v>961</v>
      </c>
      <c r="Q6981" t="s">
        <v>47</v>
      </c>
      <c r="R6981" s="422" t="s">
        <v>1869</v>
      </c>
      <c r="S6981" s="422" t="s">
        <v>1861</v>
      </c>
      <c r="T6981" s="422"/>
      <c r="U6981" s="422" t="s">
        <v>1953</v>
      </c>
      <c r="V6981" s="422" t="s">
        <v>2813</v>
      </c>
    </row>
    <row r="6982" spans="1:22" ht="15.75" thickBot="1" x14ac:dyDescent="0.3">
      <c r="A6982" t="s">
        <v>542</v>
      </c>
      <c r="B6982" s="424" t="str">
        <f t="shared" si="305"/>
        <v>Barraqueiro Transportes</v>
      </c>
      <c r="C6982" s="424" t="str">
        <f t="shared" si="306"/>
        <v>Barraqueiro Oeste</v>
      </c>
      <c r="D6982" t="s">
        <v>629</v>
      </c>
      <c r="F6982" s="432" t="s">
        <v>620</v>
      </c>
      <c r="G6982" s="89">
        <v>2004</v>
      </c>
      <c r="H6982" s="313" t="s">
        <v>732</v>
      </c>
      <c r="I6982" s="311" t="str">
        <f t="shared" si="303"/>
        <v>Pesado de Passageiros M3:  : Gasóleo : E3</v>
      </c>
      <c r="J6982" s="422">
        <v>76</v>
      </c>
      <c r="K6982" s="422">
        <v>2023</v>
      </c>
      <c r="L6982">
        <v>18932.53</v>
      </c>
      <c r="M6982" s="422" t="s">
        <v>630</v>
      </c>
      <c r="N6982" s="131">
        <v>49551</v>
      </c>
      <c r="O6982" s="436">
        <f t="shared" si="304"/>
        <v>3765876</v>
      </c>
      <c r="P6982" s="89">
        <v>962</v>
      </c>
      <c r="Q6982" t="s">
        <v>47</v>
      </c>
      <c r="R6982" s="422" t="s">
        <v>1869</v>
      </c>
      <c r="S6982" s="422" t="s">
        <v>1861</v>
      </c>
      <c r="T6982" s="422"/>
      <c r="U6982" s="422" t="s">
        <v>1953</v>
      </c>
      <c r="V6982" s="422" t="s">
        <v>2813</v>
      </c>
    </row>
    <row r="6983" spans="1:22" ht="15.75" thickBot="1" x14ac:dyDescent="0.3">
      <c r="A6983" t="s">
        <v>542</v>
      </c>
      <c r="B6983" s="424" t="str">
        <f t="shared" si="305"/>
        <v>Barraqueiro Transportes</v>
      </c>
      <c r="C6983" s="424" t="str">
        <f t="shared" si="306"/>
        <v>Barraqueiro Oeste</v>
      </c>
      <c r="D6983" t="s">
        <v>629</v>
      </c>
      <c r="F6983" s="432" t="s">
        <v>620</v>
      </c>
      <c r="G6983" s="89">
        <v>2005</v>
      </c>
      <c r="H6983" s="313" t="s">
        <v>732</v>
      </c>
      <c r="I6983" s="311" t="str">
        <f t="shared" si="303"/>
        <v>Pesado de Passageiros M3:  : Gasóleo : E3</v>
      </c>
      <c r="J6983" s="422">
        <v>36</v>
      </c>
      <c r="K6983" s="422">
        <v>2023</v>
      </c>
      <c r="L6983">
        <v>15464.970000000001</v>
      </c>
      <c r="M6983" s="422" t="s">
        <v>630</v>
      </c>
      <c r="N6983" s="131">
        <v>49723</v>
      </c>
      <c r="O6983" s="436">
        <f t="shared" si="304"/>
        <v>1790028</v>
      </c>
      <c r="P6983" s="89">
        <v>5207</v>
      </c>
      <c r="Q6983" t="s">
        <v>47</v>
      </c>
      <c r="R6983" s="422" t="s">
        <v>1869</v>
      </c>
      <c r="S6983" s="422" t="s">
        <v>1861</v>
      </c>
      <c r="T6983" s="422"/>
      <c r="U6983" s="422" t="s">
        <v>1953</v>
      </c>
      <c r="V6983" s="422" t="s">
        <v>2813</v>
      </c>
    </row>
    <row r="6984" spans="1:22" ht="15.75" thickBot="1" x14ac:dyDescent="0.3">
      <c r="A6984" t="s">
        <v>542</v>
      </c>
      <c r="B6984" s="424" t="str">
        <f t="shared" si="305"/>
        <v>Barraqueiro Transportes</v>
      </c>
      <c r="C6984" s="424" t="str">
        <f t="shared" si="306"/>
        <v>Barraqueiro Oeste</v>
      </c>
      <c r="D6984" t="s">
        <v>629</v>
      </c>
      <c r="F6984" s="432" t="s">
        <v>620</v>
      </c>
      <c r="G6984" s="89">
        <v>2005</v>
      </c>
      <c r="H6984" s="313" t="s">
        <v>732</v>
      </c>
      <c r="I6984" s="311" t="str">
        <f t="shared" si="303"/>
        <v>Pesado de Passageiros M3:  : Gasóleo : E3</v>
      </c>
      <c r="J6984" s="422">
        <v>36</v>
      </c>
      <c r="K6984" s="422">
        <v>2023</v>
      </c>
      <c r="L6984">
        <v>12138.95</v>
      </c>
      <c r="M6984" s="422" t="s">
        <v>630</v>
      </c>
      <c r="N6984" s="131">
        <v>36575</v>
      </c>
      <c r="O6984" s="436">
        <f t="shared" si="304"/>
        <v>1316700</v>
      </c>
      <c r="P6984" s="89">
        <v>5208</v>
      </c>
      <c r="Q6984" t="s">
        <v>47</v>
      </c>
      <c r="R6984" s="422" t="s">
        <v>1869</v>
      </c>
      <c r="S6984" s="422" t="s">
        <v>1861</v>
      </c>
      <c r="T6984" s="422"/>
      <c r="U6984" s="422" t="s">
        <v>1953</v>
      </c>
      <c r="V6984" s="422" t="s">
        <v>2813</v>
      </c>
    </row>
    <row r="6985" spans="1:22" ht="15.75" thickBot="1" x14ac:dyDescent="0.3">
      <c r="A6985" t="s">
        <v>542</v>
      </c>
      <c r="B6985" s="424" t="str">
        <f t="shared" si="305"/>
        <v>Barraqueiro Transportes</v>
      </c>
      <c r="C6985" s="424" t="str">
        <f t="shared" si="306"/>
        <v>Barraqueiro Oeste</v>
      </c>
      <c r="D6985" t="s">
        <v>629</v>
      </c>
      <c r="F6985" s="432" t="s">
        <v>620</v>
      </c>
      <c r="G6985" s="89">
        <v>2005</v>
      </c>
      <c r="H6985" s="313" t="s">
        <v>732</v>
      </c>
      <c r="I6985" s="311" t="str">
        <f t="shared" si="303"/>
        <v>Pesado de Passageiros M3:  : Gasóleo : E3</v>
      </c>
      <c r="J6985" s="422">
        <v>36</v>
      </c>
      <c r="K6985" s="422">
        <v>2023</v>
      </c>
      <c r="L6985">
        <v>13182.71</v>
      </c>
      <c r="M6985" s="422" t="s">
        <v>630</v>
      </c>
      <c r="N6985" s="131">
        <v>40317</v>
      </c>
      <c r="O6985" s="436">
        <f t="shared" si="304"/>
        <v>1451412</v>
      </c>
      <c r="P6985" s="89">
        <v>5209</v>
      </c>
      <c r="Q6985" t="s">
        <v>47</v>
      </c>
      <c r="R6985" s="422" t="s">
        <v>1869</v>
      </c>
      <c r="S6985" s="422" t="s">
        <v>1861</v>
      </c>
      <c r="T6985" s="422"/>
      <c r="U6985" s="422" t="s">
        <v>1953</v>
      </c>
      <c r="V6985" s="422" t="s">
        <v>2813</v>
      </c>
    </row>
    <row r="6986" spans="1:22" ht="15.75" thickBot="1" x14ac:dyDescent="0.3">
      <c r="A6986" t="s">
        <v>542</v>
      </c>
      <c r="B6986" s="424" t="str">
        <f t="shared" si="305"/>
        <v>Barraqueiro Transportes</v>
      </c>
      <c r="C6986" s="424" t="str">
        <f t="shared" si="306"/>
        <v>Barraqueiro Oeste</v>
      </c>
      <c r="D6986" t="s">
        <v>629</v>
      </c>
      <c r="F6986" s="432" t="s">
        <v>620</v>
      </c>
      <c r="G6986" s="89">
        <v>2001</v>
      </c>
      <c r="H6986" s="313" t="s">
        <v>732</v>
      </c>
      <c r="I6986" s="311" t="str">
        <f t="shared" si="303"/>
        <v>Pesado de Passageiros M3:  : Gasóleo : E3</v>
      </c>
      <c r="J6986" s="422">
        <v>55</v>
      </c>
      <c r="K6986" s="422">
        <v>2023</v>
      </c>
      <c r="L6986">
        <v>12288.8</v>
      </c>
      <c r="M6986" s="422" t="s">
        <v>630</v>
      </c>
      <c r="N6986" s="131">
        <v>31545</v>
      </c>
      <c r="O6986" s="436">
        <f t="shared" si="304"/>
        <v>1734975</v>
      </c>
      <c r="P6986" s="89">
        <v>5999</v>
      </c>
      <c r="Q6986" t="s">
        <v>47</v>
      </c>
      <c r="R6986" s="422" t="s">
        <v>1869</v>
      </c>
      <c r="S6986" s="422" t="s">
        <v>1861</v>
      </c>
      <c r="T6986" s="422"/>
      <c r="U6986" s="422" t="s">
        <v>1953</v>
      </c>
      <c r="V6986" s="422" t="s">
        <v>2813</v>
      </c>
    </row>
    <row r="6987" spans="1:22" ht="15.75" thickBot="1" x14ac:dyDescent="0.3">
      <c r="A6987" t="s">
        <v>542</v>
      </c>
      <c r="B6987" s="424" t="str">
        <f t="shared" si="305"/>
        <v>Barraqueiro Transportes</v>
      </c>
      <c r="C6987" s="424" t="str">
        <f t="shared" si="306"/>
        <v>Barraqueiro Oeste</v>
      </c>
      <c r="D6987" t="s">
        <v>629</v>
      </c>
      <c r="F6987" s="432" t="s">
        <v>620</v>
      </c>
      <c r="G6987" s="89">
        <v>2001</v>
      </c>
      <c r="H6987" s="313" t="s">
        <v>732</v>
      </c>
      <c r="I6987" s="311" t="str">
        <f t="shared" si="303"/>
        <v>Pesado de Passageiros M3:  : Gasóleo : E3</v>
      </c>
      <c r="J6987" s="422">
        <v>49</v>
      </c>
      <c r="K6987" s="422">
        <v>2023</v>
      </c>
      <c r="L6987">
        <v>91.06</v>
      </c>
      <c r="M6987" s="422" t="s">
        <v>630</v>
      </c>
      <c r="N6987" s="131">
        <v>239</v>
      </c>
      <c r="O6987" s="436">
        <f t="shared" si="304"/>
        <v>11711</v>
      </c>
      <c r="P6987" s="89">
        <v>6600</v>
      </c>
      <c r="Q6987" t="s">
        <v>47</v>
      </c>
      <c r="R6987" s="422" t="s">
        <v>1869</v>
      </c>
      <c r="S6987" s="422" t="s">
        <v>1861</v>
      </c>
      <c r="T6987" s="422"/>
      <c r="U6987" s="422" t="s">
        <v>1953</v>
      </c>
      <c r="V6987" s="422" t="s">
        <v>2813</v>
      </c>
    </row>
    <row r="6988" spans="1:22" ht="15.75" thickBot="1" x14ac:dyDescent="0.3">
      <c r="A6988" t="s">
        <v>542</v>
      </c>
      <c r="B6988" s="424" t="str">
        <f t="shared" si="305"/>
        <v>Barraqueiro Transportes</v>
      </c>
      <c r="C6988" s="424" t="str">
        <f t="shared" si="306"/>
        <v>Barraqueiro Oeste</v>
      </c>
      <c r="D6988" t="s">
        <v>629</v>
      </c>
      <c r="F6988" s="432" t="s">
        <v>620</v>
      </c>
      <c r="G6988" s="89">
        <v>2004</v>
      </c>
      <c r="H6988" s="313" t="s">
        <v>732</v>
      </c>
      <c r="I6988" s="311" t="str">
        <f t="shared" si="303"/>
        <v>Pesado de Passageiros M3:  : Gasóleo : E3</v>
      </c>
      <c r="J6988" s="422">
        <v>49</v>
      </c>
      <c r="K6988" s="422">
        <v>2023</v>
      </c>
      <c r="L6988">
        <v>25465.840000000004</v>
      </c>
      <c r="M6988" s="422" t="s">
        <v>630</v>
      </c>
      <c r="N6988" s="131">
        <v>69153</v>
      </c>
      <c r="O6988" s="436">
        <f t="shared" si="304"/>
        <v>3388497</v>
      </c>
      <c r="P6988" s="89">
        <v>6625</v>
      </c>
      <c r="Q6988" t="s">
        <v>47</v>
      </c>
      <c r="R6988" s="422" t="s">
        <v>1869</v>
      </c>
      <c r="S6988" s="422" t="s">
        <v>1861</v>
      </c>
      <c r="T6988" s="422"/>
      <c r="U6988" s="422" t="s">
        <v>1953</v>
      </c>
      <c r="V6988" s="422" t="s">
        <v>2813</v>
      </c>
    </row>
    <row r="6989" spans="1:22" ht="15.75" thickBot="1" x14ac:dyDescent="0.3">
      <c r="A6989" t="s">
        <v>542</v>
      </c>
      <c r="B6989" s="424" t="str">
        <f t="shared" si="305"/>
        <v>Barraqueiro Transportes</v>
      </c>
      <c r="C6989" s="424" t="str">
        <f t="shared" si="306"/>
        <v>Barraqueiro Oeste</v>
      </c>
      <c r="D6989" t="s">
        <v>629</v>
      </c>
      <c r="F6989" s="432" t="s">
        <v>620</v>
      </c>
      <c r="G6989" s="89">
        <v>2004</v>
      </c>
      <c r="H6989" s="313" t="s">
        <v>732</v>
      </c>
      <c r="I6989" s="311" t="str">
        <f t="shared" si="303"/>
        <v>Pesado de Passageiros M3:  : Gasóleo : E3</v>
      </c>
      <c r="J6989" s="422">
        <v>49</v>
      </c>
      <c r="K6989" s="422">
        <v>2023</v>
      </c>
      <c r="L6989">
        <v>16041.650000000001</v>
      </c>
      <c r="M6989" s="422" t="s">
        <v>630</v>
      </c>
      <c r="N6989" s="131">
        <v>42844</v>
      </c>
      <c r="O6989" s="436">
        <f t="shared" si="304"/>
        <v>2099356</v>
      </c>
      <c r="P6989" s="89">
        <v>6627</v>
      </c>
      <c r="Q6989" t="s">
        <v>47</v>
      </c>
      <c r="R6989" s="422" t="s">
        <v>1869</v>
      </c>
      <c r="S6989" s="422" t="s">
        <v>1861</v>
      </c>
      <c r="T6989" s="422"/>
      <c r="U6989" s="422" t="s">
        <v>1953</v>
      </c>
      <c r="V6989" s="422" t="s">
        <v>2813</v>
      </c>
    </row>
    <row r="6990" spans="1:22" ht="15.75" thickBot="1" x14ac:dyDescent="0.3">
      <c r="A6990" t="s">
        <v>542</v>
      </c>
      <c r="B6990" s="424" t="str">
        <f t="shared" si="305"/>
        <v>Barraqueiro Transportes</v>
      </c>
      <c r="C6990" s="424" t="str">
        <f t="shared" si="306"/>
        <v>Barraqueiro Oeste</v>
      </c>
      <c r="D6990" t="s">
        <v>629</v>
      </c>
      <c r="F6990" s="432" t="s">
        <v>620</v>
      </c>
      <c r="G6990" s="89">
        <v>2004</v>
      </c>
      <c r="H6990" s="313" t="s">
        <v>732</v>
      </c>
      <c r="I6990" s="311" t="str">
        <f t="shared" si="303"/>
        <v>Pesado de Passageiros M3:  : Gasóleo : E3</v>
      </c>
      <c r="J6990" s="422">
        <v>55</v>
      </c>
      <c r="K6990" s="422">
        <v>2023</v>
      </c>
      <c r="L6990">
        <v>14819.579999999998</v>
      </c>
      <c r="M6990" s="422" t="s">
        <v>630</v>
      </c>
      <c r="N6990" s="131">
        <v>35454</v>
      </c>
      <c r="O6990" s="436">
        <f t="shared" si="304"/>
        <v>1949970</v>
      </c>
      <c r="P6990" s="89">
        <v>6635</v>
      </c>
      <c r="Q6990" t="s">
        <v>47</v>
      </c>
      <c r="R6990" s="422" t="s">
        <v>1869</v>
      </c>
      <c r="S6990" s="422" t="s">
        <v>1861</v>
      </c>
      <c r="T6990" s="422"/>
      <c r="U6990" s="422" t="s">
        <v>1953</v>
      </c>
      <c r="V6990" s="422" t="s">
        <v>2813</v>
      </c>
    </row>
    <row r="6991" spans="1:22" ht="15.75" thickBot="1" x14ac:dyDescent="0.3">
      <c r="A6991" t="s">
        <v>542</v>
      </c>
      <c r="B6991" s="424" t="str">
        <f t="shared" si="305"/>
        <v>Barraqueiro Transportes</v>
      </c>
      <c r="C6991" s="424" t="str">
        <f t="shared" si="306"/>
        <v>Barraqueiro Oeste</v>
      </c>
      <c r="D6991" t="s">
        <v>629</v>
      </c>
      <c r="F6991" s="432" t="s">
        <v>620</v>
      </c>
      <c r="G6991" s="89">
        <v>2004</v>
      </c>
      <c r="H6991" s="313" t="s">
        <v>732</v>
      </c>
      <c r="I6991" s="311" t="str">
        <f t="shared" si="303"/>
        <v>Pesado de Passageiros M3:  : Gasóleo : E3</v>
      </c>
      <c r="J6991" s="422">
        <v>55</v>
      </c>
      <c r="K6991" s="422">
        <v>2023</v>
      </c>
      <c r="L6991">
        <v>12075.080000000002</v>
      </c>
      <c r="M6991" s="422" t="s">
        <v>630</v>
      </c>
      <c r="N6991" s="131">
        <v>28787</v>
      </c>
      <c r="O6991" s="436">
        <f t="shared" si="304"/>
        <v>1583285</v>
      </c>
      <c r="P6991" s="89">
        <v>6637</v>
      </c>
      <c r="Q6991" t="s">
        <v>47</v>
      </c>
      <c r="R6991" s="422" t="s">
        <v>1869</v>
      </c>
      <c r="S6991" s="422" t="s">
        <v>1861</v>
      </c>
      <c r="T6991" s="422"/>
      <c r="U6991" s="422" t="s">
        <v>1953</v>
      </c>
      <c r="V6991" s="422" t="s">
        <v>2813</v>
      </c>
    </row>
    <row r="6992" spans="1:22" ht="15.75" thickBot="1" x14ac:dyDescent="0.3">
      <c r="A6992" t="s">
        <v>542</v>
      </c>
      <c r="B6992" s="424" t="str">
        <f t="shared" si="305"/>
        <v>Barraqueiro Transportes</v>
      </c>
      <c r="C6992" s="424" t="str">
        <f t="shared" si="306"/>
        <v>Barraqueiro Oeste</v>
      </c>
      <c r="D6992" t="s">
        <v>629</v>
      </c>
      <c r="F6992" s="432" t="s">
        <v>620</v>
      </c>
      <c r="G6992" s="89">
        <v>2005</v>
      </c>
      <c r="H6992" s="313" t="s">
        <v>732</v>
      </c>
      <c r="I6992" s="311" t="str">
        <f t="shared" si="303"/>
        <v>Pesado de Passageiros M3:  : Gasóleo : E3</v>
      </c>
      <c r="J6992" s="422">
        <v>66</v>
      </c>
      <c r="K6992" s="422">
        <v>2023</v>
      </c>
      <c r="L6992">
        <v>18503.66</v>
      </c>
      <c r="M6992" s="422" t="s">
        <v>630</v>
      </c>
      <c r="N6992" s="131">
        <v>51514</v>
      </c>
      <c r="O6992" s="436">
        <f t="shared" si="304"/>
        <v>3399924</v>
      </c>
      <c r="P6992" s="89">
        <v>6644</v>
      </c>
      <c r="Q6992" t="s">
        <v>47</v>
      </c>
      <c r="R6992" s="422" t="s">
        <v>1869</v>
      </c>
      <c r="S6992" s="422" t="s">
        <v>1861</v>
      </c>
      <c r="T6992" s="422"/>
      <c r="U6992" s="422" t="s">
        <v>1953</v>
      </c>
      <c r="V6992" s="422" t="s">
        <v>2813</v>
      </c>
    </row>
    <row r="6993" spans="1:22" ht="15.75" thickBot="1" x14ac:dyDescent="0.3">
      <c r="A6993" t="s">
        <v>542</v>
      </c>
      <c r="B6993" s="424" t="str">
        <f t="shared" si="305"/>
        <v>Barraqueiro Transportes</v>
      </c>
      <c r="C6993" s="424" t="str">
        <f t="shared" si="306"/>
        <v>Barraqueiro Oeste</v>
      </c>
      <c r="D6993" t="s">
        <v>629</v>
      </c>
      <c r="F6993" s="432" t="s">
        <v>620</v>
      </c>
      <c r="G6993" s="89">
        <v>2005</v>
      </c>
      <c r="H6993" s="313" t="s">
        <v>732</v>
      </c>
      <c r="I6993" s="311" t="str">
        <f t="shared" si="303"/>
        <v>Pesado de Passageiros M3:  : Gasóleo : E3</v>
      </c>
      <c r="J6993" s="422">
        <v>66</v>
      </c>
      <c r="K6993" s="422">
        <v>2023</v>
      </c>
      <c r="L6993">
        <v>25333.980000000003</v>
      </c>
      <c r="M6993" s="422" t="s">
        <v>630</v>
      </c>
      <c r="N6993" s="131">
        <v>73507</v>
      </c>
      <c r="O6993" s="436">
        <f t="shared" si="304"/>
        <v>4851462</v>
      </c>
      <c r="P6993" s="89">
        <v>6646</v>
      </c>
      <c r="Q6993" t="s">
        <v>47</v>
      </c>
      <c r="R6993" s="422" t="s">
        <v>1869</v>
      </c>
      <c r="S6993" s="422" t="s">
        <v>1861</v>
      </c>
      <c r="T6993" s="422"/>
      <c r="U6993" s="422" t="s">
        <v>1953</v>
      </c>
      <c r="V6993" s="422" t="s">
        <v>2813</v>
      </c>
    </row>
    <row r="6994" spans="1:22" ht="15.75" thickBot="1" x14ac:dyDescent="0.3">
      <c r="A6994" t="s">
        <v>542</v>
      </c>
      <c r="B6994" s="424" t="str">
        <f t="shared" si="305"/>
        <v>Barraqueiro Transportes</v>
      </c>
      <c r="C6994" s="424" t="str">
        <f t="shared" si="306"/>
        <v>Barraqueiro Oeste</v>
      </c>
      <c r="D6994" t="s">
        <v>629</v>
      </c>
      <c r="F6994" s="432" t="s">
        <v>620</v>
      </c>
      <c r="G6994" s="89">
        <v>2005</v>
      </c>
      <c r="H6994" s="313" t="s">
        <v>732</v>
      </c>
      <c r="I6994" s="311" t="str">
        <f t="shared" si="303"/>
        <v>Pesado de Passageiros M3:  : Gasóleo : E3</v>
      </c>
      <c r="J6994" s="422">
        <v>37</v>
      </c>
      <c r="K6994" s="422">
        <v>2023</v>
      </c>
      <c r="L6994">
        <v>28417.291000000001</v>
      </c>
      <c r="M6994" s="422" t="s">
        <v>630</v>
      </c>
      <c r="N6994" s="131">
        <v>78212</v>
      </c>
      <c r="O6994" s="436">
        <f t="shared" si="304"/>
        <v>2893844</v>
      </c>
      <c r="P6994" s="89">
        <v>6651</v>
      </c>
      <c r="Q6994" t="s">
        <v>47</v>
      </c>
      <c r="R6994" s="422" t="s">
        <v>1869</v>
      </c>
      <c r="S6994" s="422" t="s">
        <v>1861</v>
      </c>
      <c r="T6994" s="422"/>
      <c r="U6994" s="422" t="s">
        <v>1953</v>
      </c>
      <c r="V6994" s="422" t="s">
        <v>2813</v>
      </c>
    </row>
    <row r="6995" spans="1:22" ht="15.75" thickBot="1" x14ac:dyDescent="0.3">
      <c r="A6995" t="s">
        <v>542</v>
      </c>
      <c r="B6995" s="424" t="str">
        <f t="shared" si="305"/>
        <v>Barraqueiro Transportes</v>
      </c>
      <c r="C6995" s="424" t="str">
        <f t="shared" si="306"/>
        <v>Barraqueiro Oeste</v>
      </c>
      <c r="D6995" t="s">
        <v>629</v>
      </c>
      <c r="F6995" s="432" t="s">
        <v>620</v>
      </c>
      <c r="G6995" s="89">
        <v>2005</v>
      </c>
      <c r="H6995" s="313" t="s">
        <v>732</v>
      </c>
      <c r="I6995" s="311" t="str">
        <f t="shared" si="303"/>
        <v>Pesado de Passageiros M3:  : Gasóleo : E3</v>
      </c>
      <c r="J6995" s="422">
        <v>37</v>
      </c>
      <c r="K6995" s="422">
        <v>2023</v>
      </c>
      <c r="L6995">
        <v>29983.998000000003</v>
      </c>
      <c r="M6995" s="422" t="s">
        <v>630</v>
      </c>
      <c r="N6995" s="131">
        <v>86967</v>
      </c>
      <c r="O6995" s="436">
        <f t="shared" si="304"/>
        <v>3217779</v>
      </c>
      <c r="P6995" s="89">
        <v>6653</v>
      </c>
      <c r="Q6995" t="s">
        <v>47</v>
      </c>
      <c r="R6995" s="422" t="s">
        <v>1869</v>
      </c>
      <c r="S6995" s="422" t="s">
        <v>1861</v>
      </c>
      <c r="T6995" s="422"/>
      <c r="U6995" s="422" t="s">
        <v>1953</v>
      </c>
      <c r="V6995" s="422" t="s">
        <v>2813</v>
      </c>
    </row>
    <row r="6996" spans="1:22" ht="15.75" thickBot="1" x14ac:dyDescent="0.3">
      <c r="A6996" t="s">
        <v>542</v>
      </c>
      <c r="B6996" s="424" t="str">
        <f t="shared" si="305"/>
        <v>Barraqueiro Transportes</v>
      </c>
      <c r="C6996" s="424" t="str">
        <f t="shared" si="306"/>
        <v>Barraqueiro Oeste</v>
      </c>
      <c r="D6996" t="s">
        <v>629</v>
      </c>
      <c r="F6996" s="432" t="s">
        <v>620</v>
      </c>
      <c r="G6996" s="89">
        <v>2005</v>
      </c>
      <c r="H6996" s="313" t="s">
        <v>732</v>
      </c>
      <c r="I6996" s="311" t="str">
        <f t="shared" si="303"/>
        <v>Pesado de Passageiros M3:  : Gasóleo : E3</v>
      </c>
      <c r="J6996" s="422">
        <v>37</v>
      </c>
      <c r="K6996" s="422">
        <v>2023</v>
      </c>
      <c r="L6996">
        <v>28148.351999999999</v>
      </c>
      <c r="M6996" s="422" t="s">
        <v>630</v>
      </c>
      <c r="N6996" s="131">
        <v>80365</v>
      </c>
      <c r="O6996" s="436">
        <f t="shared" si="304"/>
        <v>2973505</v>
      </c>
      <c r="P6996" s="89">
        <v>6654</v>
      </c>
      <c r="Q6996" t="s">
        <v>47</v>
      </c>
      <c r="R6996" s="422" t="s">
        <v>1869</v>
      </c>
      <c r="S6996" s="422" t="s">
        <v>1861</v>
      </c>
      <c r="T6996" s="422"/>
      <c r="U6996" s="422" t="s">
        <v>1953</v>
      </c>
      <c r="V6996" s="422" t="s">
        <v>2813</v>
      </c>
    </row>
    <row r="6997" spans="1:22" ht="15.75" thickBot="1" x14ac:dyDescent="0.3">
      <c r="A6997" t="s">
        <v>542</v>
      </c>
      <c r="B6997" s="424" t="str">
        <f t="shared" si="305"/>
        <v>Barraqueiro Transportes</v>
      </c>
      <c r="C6997" s="424" t="str">
        <f t="shared" si="306"/>
        <v>Barraqueiro Oeste</v>
      </c>
      <c r="D6997" t="s">
        <v>629</v>
      </c>
      <c r="F6997" s="432" t="s">
        <v>620</v>
      </c>
      <c r="G6997" s="89">
        <v>2005</v>
      </c>
      <c r="H6997" s="313" t="s">
        <v>732</v>
      </c>
      <c r="I6997" s="311" t="str">
        <f t="shared" si="303"/>
        <v>Pesado de Passageiros M3:  : Gasóleo : E3</v>
      </c>
      <c r="J6997" s="422">
        <v>37</v>
      </c>
      <c r="K6997" s="422">
        <v>2023</v>
      </c>
      <c r="L6997">
        <v>30950.631000000001</v>
      </c>
      <c r="M6997" s="422" t="s">
        <v>630</v>
      </c>
      <c r="N6997" s="131">
        <v>89600</v>
      </c>
      <c r="O6997" s="436">
        <f t="shared" si="304"/>
        <v>3315200</v>
      </c>
      <c r="P6997" s="89">
        <v>6660</v>
      </c>
      <c r="Q6997" t="s">
        <v>47</v>
      </c>
      <c r="R6997" s="422" t="s">
        <v>1869</v>
      </c>
      <c r="S6997" s="422" t="s">
        <v>1861</v>
      </c>
      <c r="T6997" s="422"/>
      <c r="U6997" s="422" t="s">
        <v>1953</v>
      </c>
      <c r="V6997" s="422" t="s">
        <v>2813</v>
      </c>
    </row>
    <row r="6998" spans="1:22" ht="15.75" thickBot="1" x14ac:dyDescent="0.3">
      <c r="A6998" t="s">
        <v>542</v>
      </c>
      <c r="B6998" s="424" t="str">
        <f t="shared" si="305"/>
        <v>Barraqueiro Transportes</v>
      </c>
      <c r="C6998" s="424" t="str">
        <f t="shared" si="306"/>
        <v>Barraqueiro Oeste</v>
      </c>
      <c r="D6998" t="s">
        <v>629</v>
      </c>
      <c r="F6998" s="432" t="s">
        <v>620</v>
      </c>
      <c r="G6998" s="89">
        <v>2007</v>
      </c>
      <c r="H6998" s="313" t="s">
        <v>731</v>
      </c>
      <c r="I6998" s="311" t="str">
        <f t="shared" si="303"/>
        <v>Pesado de Passageiros M3:  : Gasóleo : E4</v>
      </c>
      <c r="J6998" s="422">
        <v>55</v>
      </c>
      <c r="K6998" s="422">
        <v>2023</v>
      </c>
      <c r="L6998">
        <v>21305.402000000002</v>
      </c>
      <c r="M6998" s="422" t="s">
        <v>630</v>
      </c>
      <c r="N6998" s="131">
        <v>57606</v>
      </c>
      <c r="O6998" s="436">
        <f t="shared" si="304"/>
        <v>3168330</v>
      </c>
      <c r="P6998" s="89">
        <v>6667</v>
      </c>
      <c r="Q6998" t="s">
        <v>47</v>
      </c>
      <c r="R6998" s="422" t="s">
        <v>1869</v>
      </c>
      <c r="S6998" s="422" t="s">
        <v>1861</v>
      </c>
      <c r="T6998" s="422"/>
      <c r="U6998" s="422" t="s">
        <v>1953</v>
      </c>
      <c r="V6998" s="422" t="s">
        <v>2813</v>
      </c>
    </row>
    <row r="6999" spans="1:22" ht="15.75" thickBot="1" x14ac:dyDescent="0.3">
      <c r="A6999" t="s">
        <v>542</v>
      </c>
      <c r="B6999" s="424" t="str">
        <f t="shared" si="305"/>
        <v>Barraqueiro Transportes</v>
      </c>
      <c r="C6999" s="424" t="str">
        <f t="shared" si="306"/>
        <v>Barraqueiro Oeste</v>
      </c>
      <c r="D6999" t="s">
        <v>629</v>
      </c>
      <c r="F6999" s="432" t="s">
        <v>620</v>
      </c>
      <c r="G6999" s="89">
        <v>2007</v>
      </c>
      <c r="H6999" s="313" t="s">
        <v>731</v>
      </c>
      <c r="I6999" s="311" t="str">
        <f t="shared" si="303"/>
        <v>Pesado de Passageiros M3:  : Gasóleo : E4</v>
      </c>
      <c r="J6999" s="422">
        <v>55</v>
      </c>
      <c r="K6999" s="422">
        <v>2023</v>
      </c>
      <c r="L6999">
        <v>10343.64</v>
      </c>
      <c r="M6999" s="422" t="s">
        <v>630</v>
      </c>
      <c r="N6999" s="131">
        <v>30065</v>
      </c>
      <c r="O6999" s="436">
        <f t="shared" si="304"/>
        <v>1653575</v>
      </c>
      <c r="P6999" s="89">
        <v>6668</v>
      </c>
      <c r="Q6999" t="s">
        <v>47</v>
      </c>
      <c r="R6999" s="422" t="s">
        <v>1869</v>
      </c>
      <c r="S6999" s="422" t="s">
        <v>1861</v>
      </c>
      <c r="T6999" s="422"/>
      <c r="U6999" s="422" t="s">
        <v>1953</v>
      </c>
      <c r="V6999" s="422" t="s">
        <v>2813</v>
      </c>
    </row>
    <row r="7000" spans="1:22" ht="15.75" thickBot="1" x14ac:dyDescent="0.3">
      <c r="A7000" t="s">
        <v>542</v>
      </c>
      <c r="B7000" s="424" t="str">
        <f t="shared" si="305"/>
        <v>Barraqueiro Transportes</v>
      </c>
      <c r="C7000" s="424" t="str">
        <f t="shared" si="306"/>
        <v>Barraqueiro Oeste</v>
      </c>
      <c r="D7000" t="s">
        <v>629</v>
      </c>
      <c r="F7000" s="432" t="s">
        <v>620</v>
      </c>
      <c r="G7000" s="89">
        <v>2007</v>
      </c>
      <c r="H7000" s="313" t="s">
        <v>731</v>
      </c>
      <c r="I7000" s="311" t="str">
        <f t="shared" si="303"/>
        <v>Pesado de Passageiros M3:  : Gasóleo : E4</v>
      </c>
      <c r="J7000" s="422">
        <v>55</v>
      </c>
      <c r="K7000" s="422">
        <v>2023</v>
      </c>
      <c r="L7000">
        <v>13897.89</v>
      </c>
      <c r="M7000" s="422" t="s">
        <v>630</v>
      </c>
      <c r="N7000" s="131">
        <v>37112</v>
      </c>
      <c r="O7000" s="436">
        <f t="shared" si="304"/>
        <v>2041160</v>
      </c>
      <c r="P7000" s="89">
        <v>6670</v>
      </c>
      <c r="Q7000" t="s">
        <v>47</v>
      </c>
      <c r="R7000" s="422" t="s">
        <v>1869</v>
      </c>
      <c r="S7000" s="422" t="s">
        <v>1861</v>
      </c>
      <c r="T7000" s="422"/>
      <c r="U7000" s="422" t="s">
        <v>1953</v>
      </c>
      <c r="V7000" s="422" t="s">
        <v>2813</v>
      </c>
    </row>
    <row r="7001" spans="1:22" ht="15.75" thickBot="1" x14ac:dyDescent="0.3">
      <c r="A7001" t="s">
        <v>542</v>
      </c>
      <c r="B7001" s="424" t="str">
        <f t="shared" si="305"/>
        <v>Barraqueiro Transportes</v>
      </c>
      <c r="C7001" s="424" t="str">
        <f t="shared" si="306"/>
        <v>Barraqueiro Oeste</v>
      </c>
      <c r="D7001" t="s">
        <v>629</v>
      </c>
      <c r="F7001" s="432" t="s">
        <v>620</v>
      </c>
      <c r="G7001" s="89">
        <v>2008</v>
      </c>
      <c r="H7001" s="313" t="s">
        <v>731</v>
      </c>
      <c r="I7001" s="311" t="str">
        <f t="shared" si="303"/>
        <v>Pesado de Passageiros M3:  : Gasóleo : E4</v>
      </c>
      <c r="J7001" s="422">
        <v>53</v>
      </c>
      <c r="K7001" s="422">
        <v>2023</v>
      </c>
      <c r="L7001">
        <v>18685.689999999999</v>
      </c>
      <c r="M7001" s="422" t="s">
        <v>630</v>
      </c>
      <c r="N7001" s="131">
        <v>53576</v>
      </c>
      <c r="O7001" s="436">
        <f t="shared" si="304"/>
        <v>2839528</v>
      </c>
      <c r="P7001" s="89">
        <v>6685</v>
      </c>
      <c r="Q7001" t="s">
        <v>47</v>
      </c>
      <c r="R7001" s="422" t="s">
        <v>1869</v>
      </c>
      <c r="S7001" s="422" t="s">
        <v>1861</v>
      </c>
      <c r="T7001" s="422"/>
      <c r="U7001" s="422" t="s">
        <v>1953</v>
      </c>
      <c r="V7001" s="422" t="s">
        <v>2813</v>
      </c>
    </row>
    <row r="7002" spans="1:22" ht="15.75" thickBot="1" x14ac:dyDescent="0.3">
      <c r="A7002" t="s">
        <v>542</v>
      </c>
      <c r="B7002" s="424" t="str">
        <f t="shared" si="305"/>
        <v>Barraqueiro Transportes</v>
      </c>
      <c r="C7002" s="424" t="str">
        <f t="shared" si="306"/>
        <v>Barraqueiro Oeste</v>
      </c>
      <c r="D7002" t="s">
        <v>629</v>
      </c>
      <c r="F7002" s="432" t="s">
        <v>620</v>
      </c>
      <c r="G7002" s="89">
        <v>2008</v>
      </c>
      <c r="H7002" s="313" t="s">
        <v>731</v>
      </c>
      <c r="I7002" s="311" t="str">
        <f t="shared" si="303"/>
        <v>Pesado de Passageiros M3:  : Gasóleo : E4</v>
      </c>
      <c r="J7002" s="422">
        <v>53</v>
      </c>
      <c r="K7002" s="422">
        <v>2023</v>
      </c>
      <c r="L7002">
        <v>33515.487999999998</v>
      </c>
      <c r="M7002" s="422" t="s">
        <v>630</v>
      </c>
      <c r="N7002" s="131">
        <v>96390</v>
      </c>
      <c r="O7002" s="436">
        <f t="shared" si="304"/>
        <v>5108670</v>
      </c>
      <c r="P7002" s="89">
        <v>6686</v>
      </c>
      <c r="Q7002" t="s">
        <v>47</v>
      </c>
      <c r="R7002" s="422" t="s">
        <v>1869</v>
      </c>
      <c r="S7002" s="422" t="s">
        <v>1861</v>
      </c>
      <c r="T7002" s="422"/>
      <c r="U7002" s="422" t="s">
        <v>1953</v>
      </c>
      <c r="V7002" s="422" t="s">
        <v>2813</v>
      </c>
    </row>
    <row r="7003" spans="1:22" ht="15.75" thickBot="1" x14ac:dyDescent="0.3">
      <c r="A7003" t="s">
        <v>542</v>
      </c>
      <c r="B7003" s="424" t="str">
        <f t="shared" si="305"/>
        <v>Barraqueiro Transportes</v>
      </c>
      <c r="C7003" s="424" t="str">
        <f t="shared" si="306"/>
        <v>Barraqueiro Oeste</v>
      </c>
      <c r="D7003" t="s">
        <v>629</v>
      </c>
      <c r="F7003" s="432" t="s">
        <v>620</v>
      </c>
      <c r="G7003" s="89">
        <v>2008</v>
      </c>
      <c r="H7003" s="313" t="s">
        <v>731</v>
      </c>
      <c r="I7003" s="311" t="str">
        <f t="shared" si="303"/>
        <v>Pesado de Passageiros M3:  : Gasóleo : E4</v>
      </c>
      <c r="J7003" s="422">
        <v>53</v>
      </c>
      <c r="K7003" s="422">
        <v>2023</v>
      </c>
      <c r="L7003">
        <v>29497.912</v>
      </c>
      <c r="M7003" s="422" t="s">
        <v>630</v>
      </c>
      <c r="N7003" s="131">
        <v>81984</v>
      </c>
      <c r="O7003" s="436">
        <f t="shared" si="304"/>
        <v>4345152</v>
      </c>
      <c r="P7003" s="89">
        <v>6692</v>
      </c>
      <c r="Q7003" t="s">
        <v>47</v>
      </c>
      <c r="R7003" s="422" t="s">
        <v>1869</v>
      </c>
      <c r="S7003" s="422" t="s">
        <v>1861</v>
      </c>
      <c r="T7003" s="422"/>
      <c r="U7003" s="422" t="s">
        <v>1953</v>
      </c>
      <c r="V7003" s="422" t="s">
        <v>2813</v>
      </c>
    </row>
    <row r="7004" spans="1:22" ht="15.75" thickBot="1" x14ac:dyDescent="0.3">
      <c r="A7004" t="s">
        <v>542</v>
      </c>
      <c r="B7004" s="424" t="str">
        <f t="shared" si="305"/>
        <v>Barraqueiro Transportes</v>
      </c>
      <c r="C7004" s="424" t="str">
        <f t="shared" si="306"/>
        <v>Barraqueiro Oeste</v>
      </c>
      <c r="D7004" t="s">
        <v>629</v>
      </c>
      <c r="F7004" s="432" t="s">
        <v>620</v>
      </c>
      <c r="G7004" s="89">
        <v>2011</v>
      </c>
      <c r="H7004" s="313" t="s">
        <v>734</v>
      </c>
      <c r="I7004" s="311" t="str">
        <f t="shared" si="303"/>
        <v>Pesado de Passageiros M3:  : Gasóleo : E5</v>
      </c>
      <c r="J7004" s="422">
        <v>53</v>
      </c>
      <c r="K7004" s="422">
        <v>2023</v>
      </c>
      <c r="L7004">
        <v>30209.662000000004</v>
      </c>
      <c r="M7004" s="422" t="s">
        <v>630</v>
      </c>
      <c r="N7004" s="131">
        <v>93940</v>
      </c>
      <c r="O7004" s="436">
        <f t="shared" si="304"/>
        <v>4978820</v>
      </c>
      <c r="P7004" s="89">
        <v>6711</v>
      </c>
      <c r="Q7004" t="s">
        <v>47</v>
      </c>
      <c r="R7004" s="422" t="s">
        <v>1869</v>
      </c>
      <c r="S7004" s="422" t="s">
        <v>1861</v>
      </c>
      <c r="T7004" s="422"/>
      <c r="U7004" s="422" t="s">
        <v>1953</v>
      </c>
      <c r="V7004" s="422" t="s">
        <v>2813</v>
      </c>
    </row>
    <row r="7005" spans="1:22" ht="15.75" thickBot="1" x14ac:dyDescent="0.3">
      <c r="A7005" t="s">
        <v>542</v>
      </c>
      <c r="B7005" s="424" t="str">
        <f t="shared" si="305"/>
        <v>Barraqueiro Transportes</v>
      </c>
      <c r="C7005" s="424" t="str">
        <f t="shared" si="306"/>
        <v>Barraqueiro Oeste</v>
      </c>
      <c r="D7005" t="s">
        <v>629</v>
      </c>
      <c r="F7005" s="432" t="s">
        <v>620</v>
      </c>
      <c r="G7005" s="89">
        <v>2012</v>
      </c>
      <c r="H7005" s="313" t="s">
        <v>734</v>
      </c>
      <c r="I7005" s="311" t="str">
        <f t="shared" si="303"/>
        <v>Pesado de Passageiros M3:  : Gasóleo : E5</v>
      </c>
      <c r="J7005" s="422">
        <v>53</v>
      </c>
      <c r="K7005" s="422">
        <v>2023</v>
      </c>
      <c r="L7005">
        <v>30947.722999999998</v>
      </c>
      <c r="M7005" s="422" t="s">
        <v>630</v>
      </c>
      <c r="N7005" s="131">
        <v>97665</v>
      </c>
      <c r="O7005" s="436">
        <f t="shared" si="304"/>
        <v>5176245</v>
      </c>
      <c r="P7005" s="89">
        <v>6734</v>
      </c>
      <c r="Q7005" t="s">
        <v>47</v>
      </c>
      <c r="R7005" s="422" t="s">
        <v>1869</v>
      </c>
      <c r="S7005" s="422" t="s">
        <v>1861</v>
      </c>
      <c r="T7005" s="422"/>
      <c r="U7005" s="422" t="s">
        <v>1953</v>
      </c>
      <c r="V7005" s="422" t="s">
        <v>2813</v>
      </c>
    </row>
    <row r="7006" spans="1:22" ht="15.75" thickBot="1" x14ac:dyDescent="0.3">
      <c r="A7006" t="s">
        <v>542</v>
      </c>
      <c r="B7006" s="424" t="str">
        <f t="shared" si="305"/>
        <v>Barraqueiro Transportes</v>
      </c>
      <c r="C7006" s="424" t="str">
        <f t="shared" si="306"/>
        <v>Barraqueiro Oeste</v>
      </c>
      <c r="D7006" t="s">
        <v>629</v>
      </c>
      <c r="F7006" s="432" t="s">
        <v>620</v>
      </c>
      <c r="G7006" s="89">
        <v>2012</v>
      </c>
      <c r="H7006" s="313" t="s">
        <v>734</v>
      </c>
      <c r="I7006" s="311" t="str">
        <f t="shared" si="303"/>
        <v>Pesado de Passageiros M3:  : Gasóleo : E5</v>
      </c>
      <c r="J7006" s="422">
        <v>53</v>
      </c>
      <c r="K7006" s="422">
        <v>2023</v>
      </c>
      <c r="L7006">
        <v>30814.177</v>
      </c>
      <c r="M7006" s="422" t="s">
        <v>630</v>
      </c>
      <c r="N7006" s="131">
        <v>94446</v>
      </c>
      <c r="O7006" s="436">
        <f t="shared" si="304"/>
        <v>5005638</v>
      </c>
      <c r="P7006" s="89">
        <v>6735</v>
      </c>
      <c r="Q7006" t="s">
        <v>47</v>
      </c>
      <c r="R7006" s="422" t="s">
        <v>1869</v>
      </c>
      <c r="S7006" s="422" t="s">
        <v>1861</v>
      </c>
      <c r="T7006" s="422"/>
      <c r="U7006" s="422" t="s">
        <v>1953</v>
      </c>
      <c r="V7006" s="422" t="s">
        <v>2813</v>
      </c>
    </row>
    <row r="7007" spans="1:22" ht="15.75" thickBot="1" x14ac:dyDescent="0.3">
      <c r="A7007" t="s">
        <v>542</v>
      </c>
      <c r="B7007" s="424" t="str">
        <f t="shared" si="305"/>
        <v>Barraqueiro Transportes</v>
      </c>
      <c r="C7007" s="424" t="str">
        <f t="shared" si="306"/>
        <v>Barraqueiro Oeste</v>
      </c>
      <c r="D7007" t="s">
        <v>629</v>
      </c>
      <c r="F7007" s="432" t="s">
        <v>620</v>
      </c>
      <c r="G7007" s="89">
        <v>2013</v>
      </c>
      <c r="H7007" s="313" t="s">
        <v>733</v>
      </c>
      <c r="I7007" s="311" t="str">
        <f t="shared" si="303"/>
        <v>Pesado de Passageiros M3:  : Gasóleo : E6</v>
      </c>
      <c r="J7007" s="422">
        <v>53</v>
      </c>
      <c r="K7007" s="422">
        <v>2023</v>
      </c>
      <c r="L7007">
        <v>6660.91</v>
      </c>
      <c r="M7007" s="422" t="s">
        <v>630</v>
      </c>
      <c r="N7007" s="131">
        <v>19169</v>
      </c>
      <c r="O7007" s="436">
        <f t="shared" si="304"/>
        <v>1015957</v>
      </c>
      <c r="P7007" s="89">
        <v>6741</v>
      </c>
      <c r="Q7007" t="s">
        <v>47</v>
      </c>
      <c r="R7007" s="422" t="s">
        <v>1869</v>
      </c>
      <c r="S7007" s="422" t="s">
        <v>1861</v>
      </c>
      <c r="T7007" s="422"/>
      <c r="U7007" s="422" t="s">
        <v>1953</v>
      </c>
      <c r="V7007" s="422" t="s">
        <v>2813</v>
      </c>
    </row>
    <row r="7008" spans="1:22" ht="15.75" thickBot="1" x14ac:dyDescent="0.3">
      <c r="A7008" t="s">
        <v>542</v>
      </c>
      <c r="B7008" s="424" t="str">
        <f t="shared" si="305"/>
        <v>Barraqueiro Transportes</v>
      </c>
      <c r="C7008" s="424" t="str">
        <f t="shared" si="306"/>
        <v>Barraqueiro Oeste</v>
      </c>
      <c r="D7008" t="s">
        <v>629</v>
      </c>
      <c r="F7008" s="432" t="s">
        <v>620</v>
      </c>
      <c r="G7008" s="89">
        <v>2013</v>
      </c>
      <c r="H7008" s="313" t="s">
        <v>733</v>
      </c>
      <c r="I7008" s="311" t="str">
        <f t="shared" si="303"/>
        <v>Pesado de Passageiros M3:  : Gasóleo : E6</v>
      </c>
      <c r="J7008" s="422">
        <v>53</v>
      </c>
      <c r="K7008" s="422">
        <v>2023</v>
      </c>
      <c r="L7008">
        <v>33192.053</v>
      </c>
      <c r="M7008" s="422" t="s">
        <v>630</v>
      </c>
      <c r="N7008" s="131">
        <v>100135</v>
      </c>
      <c r="O7008" s="436">
        <f t="shared" si="304"/>
        <v>5307155</v>
      </c>
      <c r="P7008" s="89">
        <v>6742</v>
      </c>
      <c r="Q7008" t="s">
        <v>47</v>
      </c>
      <c r="R7008" s="422" t="s">
        <v>1869</v>
      </c>
      <c r="S7008" s="422" t="s">
        <v>1861</v>
      </c>
      <c r="T7008" s="422"/>
      <c r="U7008" s="422" t="s">
        <v>1953</v>
      </c>
      <c r="V7008" s="422" t="s">
        <v>2813</v>
      </c>
    </row>
    <row r="7009" spans="1:22" ht="15.75" thickBot="1" x14ac:dyDescent="0.3">
      <c r="A7009" t="s">
        <v>542</v>
      </c>
      <c r="B7009" s="424" t="str">
        <f t="shared" si="305"/>
        <v>Barraqueiro Transportes</v>
      </c>
      <c r="C7009" s="424" t="str">
        <f t="shared" si="306"/>
        <v>Barraqueiro Oeste</v>
      </c>
      <c r="D7009" t="s">
        <v>629</v>
      </c>
      <c r="F7009" s="432" t="s">
        <v>620</v>
      </c>
      <c r="G7009" s="89">
        <v>2013</v>
      </c>
      <c r="H7009" s="313" t="s">
        <v>733</v>
      </c>
      <c r="I7009" s="311" t="str">
        <f t="shared" si="303"/>
        <v>Pesado de Passageiros M3:  : Gasóleo : E6</v>
      </c>
      <c r="J7009" s="422">
        <v>53</v>
      </c>
      <c r="K7009" s="422">
        <v>2023</v>
      </c>
      <c r="L7009">
        <v>30990.76</v>
      </c>
      <c r="M7009" s="422" t="s">
        <v>630</v>
      </c>
      <c r="N7009" s="131">
        <v>93727</v>
      </c>
      <c r="O7009" s="436">
        <f t="shared" si="304"/>
        <v>4967531</v>
      </c>
      <c r="P7009" s="89">
        <v>6744</v>
      </c>
      <c r="Q7009" t="s">
        <v>47</v>
      </c>
      <c r="R7009" s="422" t="s">
        <v>1869</v>
      </c>
      <c r="S7009" s="422" t="s">
        <v>1861</v>
      </c>
      <c r="T7009" s="422"/>
      <c r="U7009" s="422" t="s">
        <v>1953</v>
      </c>
      <c r="V7009" s="422" t="s">
        <v>2813</v>
      </c>
    </row>
    <row r="7010" spans="1:22" ht="15.75" thickBot="1" x14ac:dyDescent="0.3">
      <c r="A7010" t="s">
        <v>542</v>
      </c>
      <c r="B7010" s="424" t="str">
        <f t="shared" si="305"/>
        <v>Barraqueiro Transportes</v>
      </c>
      <c r="C7010" s="424" t="str">
        <f t="shared" si="306"/>
        <v>Barraqueiro Oeste</v>
      </c>
      <c r="D7010" t="s">
        <v>629</v>
      </c>
      <c r="F7010" s="432" t="s">
        <v>620</v>
      </c>
      <c r="G7010" s="89">
        <v>2013</v>
      </c>
      <c r="H7010" s="313" t="s">
        <v>733</v>
      </c>
      <c r="I7010" s="311" t="str">
        <f t="shared" ref="I7010:I7073" si="307">D7010&amp;": "&amp;E7010&amp;" : "&amp;F7010&amp;" : "&amp;H7010</f>
        <v>Pesado de Passageiros M3:  : Gasóleo : E6</v>
      </c>
      <c r="J7010" s="422">
        <v>53</v>
      </c>
      <c r="K7010" s="422">
        <v>2023</v>
      </c>
      <c r="L7010">
        <v>31853.200000000001</v>
      </c>
      <c r="M7010" s="422" t="s">
        <v>630</v>
      </c>
      <c r="N7010" s="131">
        <v>97058</v>
      </c>
      <c r="O7010" s="436">
        <f t="shared" si="304"/>
        <v>5144074</v>
      </c>
      <c r="P7010" s="89">
        <v>6745</v>
      </c>
      <c r="Q7010" t="s">
        <v>47</v>
      </c>
      <c r="R7010" s="422" t="s">
        <v>1869</v>
      </c>
      <c r="S7010" s="422" t="s">
        <v>1861</v>
      </c>
      <c r="T7010" s="422"/>
      <c r="U7010" s="422" t="s">
        <v>1953</v>
      </c>
      <c r="V7010" s="422" t="s">
        <v>2813</v>
      </c>
    </row>
    <row r="7011" spans="1:22" ht="15.75" thickBot="1" x14ac:dyDescent="0.3">
      <c r="A7011" t="s">
        <v>542</v>
      </c>
      <c r="B7011" s="424" t="str">
        <f t="shared" si="305"/>
        <v>Barraqueiro Transportes</v>
      </c>
      <c r="C7011" s="424" t="str">
        <f t="shared" si="306"/>
        <v>Barraqueiro Oeste</v>
      </c>
      <c r="D7011" t="s">
        <v>629</v>
      </c>
      <c r="F7011" s="432" t="s">
        <v>620</v>
      </c>
      <c r="G7011" s="89">
        <v>2013</v>
      </c>
      <c r="H7011" s="313" t="s">
        <v>733</v>
      </c>
      <c r="I7011" s="311" t="str">
        <f t="shared" si="307"/>
        <v>Pesado de Passageiros M3:  : Gasóleo : E6</v>
      </c>
      <c r="J7011" s="422">
        <v>53</v>
      </c>
      <c r="K7011" s="422">
        <v>2023</v>
      </c>
      <c r="L7011">
        <v>10439.94</v>
      </c>
      <c r="M7011" s="422" t="s">
        <v>630</v>
      </c>
      <c r="N7011" s="131">
        <v>32843</v>
      </c>
      <c r="O7011" s="436">
        <f t="shared" si="304"/>
        <v>1740679</v>
      </c>
      <c r="P7011" s="89">
        <v>6747</v>
      </c>
      <c r="Q7011" t="s">
        <v>47</v>
      </c>
      <c r="R7011" s="422" t="s">
        <v>1869</v>
      </c>
      <c r="S7011" s="422" t="s">
        <v>1861</v>
      </c>
      <c r="T7011" s="422"/>
      <c r="U7011" s="422" t="s">
        <v>1953</v>
      </c>
      <c r="V7011" s="422" t="s">
        <v>2813</v>
      </c>
    </row>
    <row r="7012" spans="1:22" ht="15.75" thickBot="1" x14ac:dyDescent="0.3">
      <c r="A7012" t="s">
        <v>542</v>
      </c>
      <c r="B7012" s="424" t="str">
        <f t="shared" si="305"/>
        <v>Barraqueiro Transportes</v>
      </c>
      <c r="C7012" s="424" t="str">
        <f t="shared" si="306"/>
        <v>Barraqueiro Oeste</v>
      </c>
      <c r="D7012" t="s">
        <v>629</v>
      </c>
      <c r="F7012" s="432" t="s">
        <v>620</v>
      </c>
      <c r="G7012" s="89">
        <v>2015</v>
      </c>
      <c r="H7012" s="313" t="s">
        <v>733</v>
      </c>
      <c r="I7012" s="311" t="str">
        <f t="shared" si="307"/>
        <v>Pesado de Passageiros M3:  : Gasóleo : E6</v>
      </c>
      <c r="J7012" s="422">
        <v>53</v>
      </c>
      <c r="K7012" s="422">
        <v>2023</v>
      </c>
      <c r="L7012">
        <v>18511.649999999998</v>
      </c>
      <c r="M7012" s="422" t="s">
        <v>630</v>
      </c>
      <c r="N7012" s="131">
        <v>63242</v>
      </c>
      <c r="O7012" s="436">
        <f t="shared" si="304"/>
        <v>3351826</v>
      </c>
      <c r="P7012" s="89">
        <v>6785</v>
      </c>
      <c r="Q7012" t="s">
        <v>47</v>
      </c>
      <c r="R7012" s="422" t="s">
        <v>1869</v>
      </c>
      <c r="S7012" s="422" t="s">
        <v>1861</v>
      </c>
      <c r="T7012" s="422"/>
      <c r="U7012" s="422" t="s">
        <v>1953</v>
      </c>
      <c r="V7012" s="422" t="s">
        <v>2813</v>
      </c>
    </row>
    <row r="7013" spans="1:22" ht="15.75" thickBot="1" x14ac:dyDescent="0.3">
      <c r="A7013" t="s">
        <v>542</v>
      </c>
      <c r="B7013" s="424" t="str">
        <f t="shared" si="305"/>
        <v>Barraqueiro Transportes</v>
      </c>
      <c r="C7013" s="424" t="str">
        <f t="shared" si="306"/>
        <v>Barraqueiro Oeste</v>
      </c>
      <c r="D7013" t="s">
        <v>629</v>
      </c>
      <c r="F7013" s="432" t="s">
        <v>620</v>
      </c>
      <c r="G7013" s="89">
        <v>2015</v>
      </c>
      <c r="H7013" s="313" t="s">
        <v>733</v>
      </c>
      <c r="I7013" s="311" t="str">
        <f t="shared" si="307"/>
        <v>Pesado de Passageiros M3:  : Gasóleo : E6</v>
      </c>
      <c r="J7013" s="422">
        <v>53</v>
      </c>
      <c r="K7013" s="422">
        <v>2023</v>
      </c>
      <c r="L7013">
        <v>23874.82</v>
      </c>
      <c r="M7013" s="422" t="s">
        <v>630</v>
      </c>
      <c r="N7013" s="131">
        <v>79453</v>
      </c>
      <c r="O7013" s="436">
        <f t="shared" si="304"/>
        <v>4211009</v>
      </c>
      <c r="P7013" s="89">
        <v>6787</v>
      </c>
      <c r="Q7013" t="s">
        <v>47</v>
      </c>
      <c r="R7013" s="422" t="s">
        <v>1869</v>
      </c>
      <c r="S7013" s="422" t="s">
        <v>1861</v>
      </c>
      <c r="T7013" s="422"/>
      <c r="U7013" s="422" t="s">
        <v>1953</v>
      </c>
      <c r="V7013" s="422" t="s">
        <v>2813</v>
      </c>
    </row>
    <row r="7014" spans="1:22" ht="15.75" thickBot="1" x14ac:dyDescent="0.3">
      <c r="A7014" t="s">
        <v>543</v>
      </c>
      <c r="B7014" s="424" t="str">
        <f t="shared" si="305"/>
        <v>Barraqueiro Transportes</v>
      </c>
      <c r="C7014" s="424" t="str">
        <f t="shared" si="306"/>
        <v>Boa Viagem</v>
      </c>
      <c r="D7014" t="s">
        <v>629</v>
      </c>
      <c r="F7014" s="432" t="s">
        <v>620</v>
      </c>
      <c r="G7014" s="89">
        <v>2005</v>
      </c>
      <c r="H7014" s="313" t="s">
        <v>732</v>
      </c>
      <c r="I7014" s="311" t="str">
        <f t="shared" si="307"/>
        <v>Pesado de Passageiros M3:  : Gasóleo : E3</v>
      </c>
      <c r="J7014" s="422">
        <v>78</v>
      </c>
      <c r="K7014" s="422">
        <v>2023</v>
      </c>
      <c r="L7014">
        <v>13165.770000000002</v>
      </c>
      <c r="M7014" s="422" t="s">
        <v>630</v>
      </c>
      <c r="N7014" s="131">
        <v>30862</v>
      </c>
      <c r="O7014" s="436">
        <f t="shared" ref="O7014:O7077" si="308">N7014*J7014</f>
        <v>2407236</v>
      </c>
      <c r="P7014" s="89">
        <v>139</v>
      </c>
      <c r="Q7014" t="s">
        <v>47</v>
      </c>
      <c r="R7014" s="422" t="s">
        <v>1869</v>
      </c>
      <c r="S7014" s="422" t="s">
        <v>1861</v>
      </c>
      <c r="T7014" s="422"/>
      <c r="U7014" s="422" t="s">
        <v>1953</v>
      </c>
      <c r="V7014" s="422" t="s">
        <v>2813</v>
      </c>
    </row>
    <row r="7015" spans="1:22" ht="15.75" thickBot="1" x14ac:dyDescent="0.3">
      <c r="A7015" t="s">
        <v>543</v>
      </c>
      <c r="B7015" s="424" t="str">
        <f t="shared" si="305"/>
        <v>Barraqueiro Transportes</v>
      </c>
      <c r="C7015" s="424" t="str">
        <f t="shared" si="306"/>
        <v>Boa Viagem</v>
      </c>
      <c r="D7015" t="s">
        <v>629</v>
      </c>
      <c r="F7015" s="432" t="s">
        <v>620</v>
      </c>
      <c r="G7015" s="89">
        <v>2005</v>
      </c>
      <c r="H7015" s="313" t="s">
        <v>732</v>
      </c>
      <c r="I7015" s="311" t="str">
        <f t="shared" si="307"/>
        <v>Pesado de Passageiros M3:  : Gasóleo : E3</v>
      </c>
      <c r="J7015" s="422">
        <v>78</v>
      </c>
      <c r="K7015" s="422">
        <v>2023</v>
      </c>
      <c r="L7015">
        <v>7719.3</v>
      </c>
      <c r="M7015" s="422" t="s">
        <v>630</v>
      </c>
      <c r="N7015" s="131">
        <v>18505</v>
      </c>
      <c r="O7015" s="436">
        <f t="shared" si="308"/>
        <v>1443390</v>
      </c>
      <c r="P7015" s="89">
        <v>140</v>
      </c>
      <c r="Q7015" t="s">
        <v>47</v>
      </c>
      <c r="R7015" s="422" t="s">
        <v>1869</v>
      </c>
      <c r="S7015" s="422" t="s">
        <v>1861</v>
      </c>
      <c r="T7015" s="422"/>
      <c r="U7015" s="422" t="s">
        <v>1953</v>
      </c>
      <c r="V7015" s="422" t="s">
        <v>2813</v>
      </c>
    </row>
    <row r="7016" spans="1:22" ht="15.75" thickBot="1" x14ac:dyDescent="0.3">
      <c r="A7016" t="s">
        <v>543</v>
      </c>
      <c r="B7016" s="424" t="str">
        <f t="shared" si="305"/>
        <v>Barraqueiro Transportes</v>
      </c>
      <c r="C7016" s="424" t="str">
        <f t="shared" si="306"/>
        <v>Boa Viagem</v>
      </c>
      <c r="D7016" t="s">
        <v>629</v>
      </c>
      <c r="F7016" s="432" t="s">
        <v>620</v>
      </c>
      <c r="G7016" s="89">
        <v>2004</v>
      </c>
      <c r="H7016" s="313" t="s">
        <v>732</v>
      </c>
      <c r="I7016" s="311" t="str">
        <f t="shared" si="307"/>
        <v>Pesado de Passageiros M3:  : Gasóleo : E3</v>
      </c>
      <c r="J7016" s="422">
        <v>78</v>
      </c>
      <c r="K7016" s="422">
        <v>2023</v>
      </c>
      <c r="L7016">
        <v>13155.37</v>
      </c>
      <c r="M7016" s="422" t="s">
        <v>630</v>
      </c>
      <c r="N7016" s="131">
        <v>30373</v>
      </c>
      <c r="O7016" s="436">
        <f t="shared" si="308"/>
        <v>2369094</v>
      </c>
      <c r="P7016" s="89">
        <v>141</v>
      </c>
      <c r="Q7016" t="s">
        <v>47</v>
      </c>
      <c r="R7016" s="422" t="s">
        <v>1869</v>
      </c>
      <c r="S7016" s="422" t="s">
        <v>1861</v>
      </c>
      <c r="T7016" s="422"/>
      <c r="U7016" s="422" t="s">
        <v>1953</v>
      </c>
      <c r="V7016" s="422" t="s">
        <v>2813</v>
      </c>
    </row>
    <row r="7017" spans="1:22" ht="15.75" thickBot="1" x14ac:dyDescent="0.3">
      <c r="A7017" t="s">
        <v>543</v>
      </c>
      <c r="B7017" s="424" t="str">
        <f t="shared" si="305"/>
        <v>Barraqueiro Transportes</v>
      </c>
      <c r="C7017" s="424" t="str">
        <f t="shared" si="306"/>
        <v>Boa Viagem</v>
      </c>
      <c r="D7017" t="s">
        <v>629</v>
      </c>
      <c r="F7017" s="432" t="s">
        <v>620</v>
      </c>
      <c r="G7017" s="89">
        <v>2004</v>
      </c>
      <c r="H7017" s="313" t="s">
        <v>732</v>
      </c>
      <c r="I7017" s="311" t="str">
        <f t="shared" si="307"/>
        <v>Pesado de Passageiros M3:  : Gasóleo : E3</v>
      </c>
      <c r="J7017" s="422">
        <v>78</v>
      </c>
      <c r="K7017" s="422">
        <v>2023</v>
      </c>
      <c r="L7017">
        <v>13051.840000000004</v>
      </c>
      <c r="M7017" s="422" t="s">
        <v>630</v>
      </c>
      <c r="N7017" s="131">
        <v>28490</v>
      </c>
      <c r="O7017" s="436">
        <f t="shared" si="308"/>
        <v>2222220</v>
      </c>
      <c r="P7017" s="89">
        <v>142</v>
      </c>
      <c r="Q7017" t="s">
        <v>47</v>
      </c>
      <c r="R7017" s="422" t="s">
        <v>1869</v>
      </c>
      <c r="S7017" s="422" t="s">
        <v>1861</v>
      </c>
      <c r="T7017" s="422"/>
      <c r="U7017" s="422" t="s">
        <v>1953</v>
      </c>
      <c r="V7017" s="422" t="s">
        <v>2813</v>
      </c>
    </row>
    <row r="7018" spans="1:22" ht="15.75" thickBot="1" x14ac:dyDescent="0.3">
      <c r="A7018" t="s">
        <v>543</v>
      </c>
      <c r="B7018" s="424" t="str">
        <f t="shared" si="305"/>
        <v>Barraqueiro Transportes</v>
      </c>
      <c r="C7018" s="424" t="str">
        <f t="shared" si="306"/>
        <v>Boa Viagem</v>
      </c>
      <c r="D7018" t="s">
        <v>629</v>
      </c>
      <c r="F7018" s="432" t="s">
        <v>620</v>
      </c>
      <c r="G7018" s="89">
        <v>1994</v>
      </c>
      <c r="H7018" s="313" t="s">
        <v>736</v>
      </c>
      <c r="I7018" s="311" t="str">
        <f t="shared" si="307"/>
        <v>Pesado de Passageiros M3:  : Gasóleo : E1</v>
      </c>
      <c r="J7018" s="422">
        <v>48</v>
      </c>
      <c r="K7018" s="422">
        <v>2023</v>
      </c>
      <c r="L7018">
        <v>63.01</v>
      </c>
      <c r="M7018" s="422" t="s">
        <v>630</v>
      </c>
      <c r="N7018" s="131">
        <v>155</v>
      </c>
      <c r="O7018" s="436">
        <f t="shared" si="308"/>
        <v>7440</v>
      </c>
      <c r="P7018" s="89">
        <v>217</v>
      </c>
      <c r="Q7018" t="s">
        <v>47</v>
      </c>
      <c r="R7018" s="422" t="s">
        <v>1869</v>
      </c>
      <c r="S7018" s="422" t="s">
        <v>1861</v>
      </c>
      <c r="T7018" s="422"/>
      <c r="U7018" s="422" t="s">
        <v>1953</v>
      </c>
      <c r="V7018" s="422" t="s">
        <v>2813</v>
      </c>
    </row>
    <row r="7019" spans="1:22" ht="15.75" thickBot="1" x14ac:dyDescent="0.3">
      <c r="A7019" t="s">
        <v>543</v>
      </c>
      <c r="B7019" s="424" t="str">
        <f t="shared" si="305"/>
        <v>Barraqueiro Transportes</v>
      </c>
      <c r="C7019" s="424" t="str">
        <f t="shared" si="306"/>
        <v>Boa Viagem</v>
      </c>
      <c r="D7019" t="s">
        <v>629</v>
      </c>
      <c r="F7019" s="432" t="s">
        <v>620</v>
      </c>
      <c r="G7019" s="89">
        <v>2003</v>
      </c>
      <c r="H7019" s="313" t="s">
        <v>732</v>
      </c>
      <c r="I7019" s="311" t="str">
        <f t="shared" si="307"/>
        <v>Pesado de Passageiros M3:  : Gasóleo : E3</v>
      </c>
      <c r="J7019" s="422">
        <v>35</v>
      </c>
      <c r="K7019" s="422">
        <v>2023</v>
      </c>
      <c r="L7019">
        <v>442.57</v>
      </c>
      <c r="M7019" s="422" t="s">
        <v>630</v>
      </c>
      <c r="N7019" s="131">
        <v>1301</v>
      </c>
      <c r="O7019" s="436">
        <f t="shared" si="308"/>
        <v>45535</v>
      </c>
      <c r="P7019" s="89">
        <v>218</v>
      </c>
      <c r="Q7019" t="s">
        <v>47</v>
      </c>
      <c r="R7019" s="422" t="s">
        <v>1869</v>
      </c>
      <c r="S7019" s="422" t="s">
        <v>1861</v>
      </c>
      <c r="T7019" s="422"/>
      <c r="U7019" s="422" t="s">
        <v>1953</v>
      </c>
      <c r="V7019" s="422" t="s">
        <v>2813</v>
      </c>
    </row>
    <row r="7020" spans="1:22" ht="15.75" thickBot="1" x14ac:dyDescent="0.3">
      <c r="A7020" t="s">
        <v>543</v>
      </c>
      <c r="B7020" s="424" t="str">
        <f t="shared" ref="B7020:B7083" si="309">LEFT(A7020,IFERROR(FIND(" - ",A7020)-1,LEN(A7020)))</f>
        <v>Barraqueiro Transportes</v>
      </c>
      <c r="C7020" s="424" t="str">
        <f t="shared" ref="C7020:C7083" si="310">IF(A7020=B7020,B7020,RIGHT(A7020,LEN(A7020)-LEN(B7020)-3))</f>
        <v>Boa Viagem</v>
      </c>
      <c r="D7020" t="s">
        <v>629</v>
      </c>
      <c r="F7020" s="432" t="s">
        <v>620</v>
      </c>
      <c r="G7020" s="89">
        <v>2006</v>
      </c>
      <c r="H7020" s="313" t="s">
        <v>731</v>
      </c>
      <c r="I7020" s="311" t="str">
        <f t="shared" si="307"/>
        <v>Pesado de Passageiros M3:  : Gasóleo : E4</v>
      </c>
      <c r="J7020" s="422">
        <v>73</v>
      </c>
      <c r="K7020" s="422">
        <v>2023</v>
      </c>
      <c r="L7020">
        <v>13357.759999999998</v>
      </c>
      <c r="M7020" s="422" t="s">
        <v>630</v>
      </c>
      <c r="N7020" s="131">
        <v>31180</v>
      </c>
      <c r="O7020" s="436">
        <f t="shared" si="308"/>
        <v>2276140</v>
      </c>
      <c r="P7020" s="89">
        <v>220</v>
      </c>
      <c r="Q7020" t="s">
        <v>47</v>
      </c>
      <c r="R7020" s="422" t="s">
        <v>1869</v>
      </c>
      <c r="S7020" s="422" t="s">
        <v>1861</v>
      </c>
      <c r="T7020" s="422"/>
      <c r="U7020" s="422" t="s">
        <v>1953</v>
      </c>
      <c r="V7020" s="422" t="s">
        <v>2813</v>
      </c>
    </row>
    <row r="7021" spans="1:22" ht="15.75" thickBot="1" x14ac:dyDescent="0.3">
      <c r="A7021" t="s">
        <v>543</v>
      </c>
      <c r="B7021" s="424" t="str">
        <f t="shared" si="309"/>
        <v>Barraqueiro Transportes</v>
      </c>
      <c r="C7021" s="424" t="str">
        <f t="shared" si="310"/>
        <v>Boa Viagem</v>
      </c>
      <c r="D7021" t="s">
        <v>629</v>
      </c>
      <c r="F7021" s="432" t="s">
        <v>620</v>
      </c>
      <c r="G7021" s="89">
        <v>2006</v>
      </c>
      <c r="H7021" s="313" t="s">
        <v>731</v>
      </c>
      <c r="I7021" s="311" t="str">
        <f t="shared" si="307"/>
        <v>Pesado de Passageiros M3:  : Gasóleo : E4</v>
      </c>
      <c r="J7021" s="422">
        <v>59</v>
      </c>
      <c r="K7021" s="422">
        <v>2023</v>
      </c>
      <c r="L7021">
        <v>19531.54</v>
      </c>
      <c r="M7021" s="422" t="s">
        <v>630</v>
      </c>
      <c r="N7021" s="131">
        <v>50595</v>
      </c>
      <c r="O7021" s="436">
        <f t="shared" si="308"/>
        <v>2985105</v>
      </c>
      <c r="P7021" s="89">
        <v>246</v>
      </c>
      <c r="Q7021" t="s">
        <v>47</v>
      </c>
      <c r="R7021" s="422" t="s">
        <v>1869</v>
      </c>
      <c r="S7021" s="422" t="s">
        <v>1861</v>
      </c>
      <c r="T7021" s="422"/>
      <c r="U7021" s="422" t="s">
        <v>1953</v>
      </c>
      <c r="V7021" s="422" t="s">
        <v>2813</v>
      </c>
    </row>
    <row r="7022" spans="1:22" ht="15.75" thickBot="1" x14ac:dyDescent="0.3">
      <c r="A7022" t="s">
        <v>543</v>
      </c>
      <c r="B7022" s="424" t="str">
        <f t="shared" si="309"/>
        <v>Barraqueiro Transportes</v>
      </c>
      <c r="C7022" s="424" t="str">
        <f t="shared" si="310"/>
        <v>Boa Viagem</v>
      </c>
      <c r="D7022" t="s">
        <v>629</v>
      </c>
      <c r="F7022" s="432" t="s">
        <v>620</v>
      </c>
      <c r="G7022" s="89">
        <v>2007</v>
      </c>
      <c r="H7022" s="313" t="s">
        <v>731</v>
      </c>
      <c r="I7022" s="311" t="str">
        <f t="shared" si="307"/>
        <v>Pesado de Passageiros M3:  : Gasóleo : E4</v>
      </c>
      <c r="J7022" s="422">
        <v>55</v>
      </c>
      <c r="K7022" s="422">
        <v>2023</v>
      </c>
      <c r="L7022">
        <v>5966.51</v>
      </c>
      <c r="M7022" s="422" t="s">
        <v>630</v>
      </c>
      <c r="N7022" s="131">
        <v>16042</v>
      </c>
      <c r="O7022" s="436">
        <f t="shared" si="308"/>
        <v>882310</v>
      </c>
      <c r="P7022" s="89">
        <v>253</v>
      </c>
      <c r="Q7022" t="s">
        <v>47</v>
      </c>
      <c r="R7022" s="422" t="s">
        <v>1869</v>
      </c>
      <c r="S7022" s="422" t="s">
        <v>1861</v>
      </c>
      <c r="T7022" s="422"/>
      <c r="U7022" s="422" t="s">
        <v>1953</v>
      </c>
      <c r="V7022" s="422" t="s">
        <v>2813</v>
      </c>
    </row>
    <row r="7023" spans="1:22" ht="15.75" thickBot="1" x14ac:dyDescent="0.3">
      <c r="A7023" t="s">
        <v>543</v>
      </c>
      <c r="B7023" s="424" t="str">
        <f t="shared" si="309"/>
        <v>Barraqueiro Transportes</v>
      </c>
      <c r="C7023" s="424" t="str">
        <f t="shared" si="310"/>
        <v>Boa Viagem</v>
      </c>
      <c r="D7023" t="s">
        <v>629</v>
      </c>
      <c r="F7023" s="432" t="s">
        <v>620</v>
      </c>
      <c r="G7023" s="89">
        <v>2007</v>
      </c>
      <c r="H7023" s="313" t="s">
        <v>731</v>
      </c>
      <c r="I7023" s="311" t="str">
        <f t="shared" si="307"/>
        <v>Pesado de Passageiros M3:  : Gasóleo : E4</v>
      </c>
      <c r="J7023" s="422">
        <v>53</v>
      </c>
      <c r="K7023" s="422">
        <v>2023</v>
      </c>
      <c r="L7023">
        <v>24836.501</v>
      </c>
      <c r="M7023" s="422" t="s">
        <v>630</v>
      </c>
      <c r="N7023" s="131">
        <v>70940</v>
      </c>
      <c r="O7023" s="436">
        <f t="shared" si="308"/>
        <v>3759820</v>
      </c>
      <c r="P7023" s="89">
        <v>267</v>
      </c>
      <c r="Q7023" t="s">
        <v>47</v>
      </c>
      <c r="R7023" s="422" t="s">
        <v>1869</v>
      </c>
      <c r="S7023" s="422" t="s">
        <v>1861</v>
      </c>
      <c r="T7023" s="422"/>
      <c r="U7023" s="422" t="s">
        <v>1953</v>
      </c>
      <c r="V7023" s="422" t="s">
        <v>2813</v>
      </c>
    </row>
    <row r="7024" spans="1:22" ht="15.75" thickBot="1" x14ac:dyDescent="0.3">
      <c r="A7024" t="s">
        <v>543</v>
      </c>
      <c r="B7024" s="424" t="str">
        <f t="shared" si="309"/>
        <v>Barraqueiro Transportes</v>
      </c>
      <c r="C7024" s="424" t="str">
        <f t="shared" si="310"/>
        <v>Boa Viagem</v>
      </c>
      <c r="D7024" t="s">
        <v>629</v>
      </c>
      <c r="F7024" s="432" t="s">
        <v>620</v>
      </c>
      <c r="G7024" s="89">
        <v>1999</v>
      </c>
      <c r="H7024" s="313" t="s">
        <v>736</v>
      </c>
      <c r="I7024" s="311" t="str">
        <f t="shared" si="307"/>
        <v>Pesado de Passageiros M3:  : Gasóleo : E1</v>
      </c>
      <c r="J7024" s="422">
        <v>68</v>
      </c>
      <c r="K7024" s="422">
        <v>2023</v>
      </c>
      <c r="L7024">
        <v>127.4</v>
      </c>
      <c r="M7024" s="422" t="s">
        <v>630</v>
      </c>
      <c r="N7024" s="131">
        <v>265</v>
      </c>
      <c r="O7024" s="436">
        <f t="shared" si="308"/>
        <v>18020</v>
      </c>
      <c r="P7024" s="89">
        <v>268</v>
      </c>
      <c r="Q7024" t="s">
        <v>47</v>
      </c>
      <c r="R7024" s="422" t="s">
        <v>1869</v>
      </c>
      <c r="S7024" s="422" t="s">
        <v>1861</v>
      </c>
      <c r="T7024" s="422"/>
      <c r="U7024" s="422" t="s">
        <v>1953</v>
      </c>
      <c r="V7024" s="422" t="s">
        <v>2813</v>
      </c>
    </row>
    <row r="7025" spans="1:22" ht="15.75" thickBot="1" x14ac:dyDescent="0.3">
      <c r="A7025" t="s">
        <v>543</v>
      </c>
      <c r="B7025" s="424" t="str">
        <f t="shared" si="309"/>
        <v>Barraqueiro Transportes</v>
      </c>
      <c r="C7025" s="424" t="str">
        <f t="shared" si="310"/>
        <v>Boa Viagem</v>
      </c>
      <c r="D7025" t="s">
        <v>629</v>
      </c>
      <c r="F7025" s="432" t="s">
        <v>620</v>
      </c>
      <c r="G7025" s="89">
        <v>2007</v>
      </c>
      <c r="H7025" s="313" t="s">
        <v>731</v>
      </c>
      <c r="I7025" s="311" t="str">
        <f t="shared" si="307"/>
        <v>Pesado de Passageiros M3:  : Gasóleo : E4</v>
      </c>
      <c r="J7025" s="422">
        <v>78</v>
      </c>
      <c r="K7025" s="422">
        <v>2023</v>
      </c>
      <c r="L7025">
        <v>18715.388999999999</v>
      </c>
      <c r="M7025" s="422" t="s">
        <v>630</v>
      </c>
      <c r="N7025" s="131">
        <v>48018</v>
      </c>
      <c r="O7025" s="436">
        <f t="shared" si="308"/>
        <v>3745404</v>
      </c>
      <c r="P7025" s="89">
        <v>271</v>
      </c>
      <c r="Q7025" t="s">
        <v>47</v>
      </c>
      <c r="R7025" s="422" t="s">
        <v>1869</v>
      </c>
      <c r="S7025" s="422" t="s">
        <v>1861</v>
      </c>
      <c r="T7025" s="422"/>
      <c r="U7025" s="422" t="s">
        <v>1953</v>
      </c>
      <c r="V7025" s="422" t="s">
        <v>2813</v>
      </c>
    </row>
    <row r="7026" spans="1:22" ht="15.75" thickBot="1" x14ac:dyDescent="0.3">
      <c r="A7026" t="s">
        <v>543</v>
      </c>
      <c r="B7026" s="424" t="str">
        <f t="shared" si="309"/>
        <v>Barraqueiro Transportes</v>
      </c>
      <c r="C7026" s="424" t="str">
        <f t="shared" si="310"/>
        <v>Boa Viagem</v>
      </c>
      <c r="D7026" t="s">
        <v>629</v>
      </c>
      <c r="F7026" s="432" t="s">
        <v>620</v>
      </c>
      <c r="G7026" s="89">
        <v>2007</v>
      </c>
      <c r="H7026" s="313" t="s">
        <v>731</v>
      </c>
      <c r="I7026" s="311" t="str">
        <f t="shared" si="307"/>
        <v>Pesado de Passageiros M3:  : Gasóleo : E4</v>
      </c>
      <c r="J7026" s="422">
        <v>78</v>
      </c>
      <c r="K7026" s="422">
        <v>2023</v>
      </c>
      <c r="L7026">
        <v>19170.700000000004</v>
      </c>
      <c r="M7026" s="422" t="s">
        <v>630</v>
      </c>
      <c r="N7026" s="131">
        <v>50115</v>
      </c>
      <c r="O7026" s="436">
        <f t="shared" si="308"/>
        <v>3908970</v>
      </c>
      <c r="P7026" s="89">
        <v>272</v>
      </c>
      <c r="Q7026" t="s">
        <v>47</v>
      </c>
      <c r="R7026" s="422" t="s">
        <v>1869</v>
      </c>
      <c r="S7026" s="422" t="s">
        <v>1861</v>
      </c>
      <c r="T7026" s="422"/>
      <c r="U7026" s="422" t="s">
        <v>1953</v>
      </c>
      <c r="V7026" s="422" t="s">
        <v>2813</v>
      </c>
    </row>
    <row r="7027" spans="1:22" ht="15.75" thickBot="1" x14ac:dyDescent="0.3">
      <c r="A7027" t="s">
        <v>543</v>
      </c>
      <c r="B7027" s="424" t="str">
        <f t="shared" si="309"/>
        <v>Barraqueiro Transportes</v>
      </c>
      <c r="C7027" s="424" t="str">
        <f t="shared" si="310"/>
        <v>Boa Viagem</v>
      </c>
      <c r="D7027" t="s">
        <v>629</v>
      </c>
      <c r="F7027" s="432" t="s">
        <v>620</v>
      </c>
      <c r="G7027" s="89">
        <v>2007</v>
      </c>
      <c r="H7027" s="313" t="s">
        <v>731</v>
      </c>
      <c r="I7027" s="311" t="str">
        <f t="shared" si="307"/>
        <v>Pesado de Passageiros M3:  : Gasóleo : E4</v>
      </c>
      <c r="J7027" s="422">
        <v>56</v>
      </c>
      <c r="K7027" s="422">
        <v>2023</v>
      </c>
      <c r="L7027">
        <v>17577.88</v>
      </c>
      <c r="M7027" s="422" t="s">
        <v>630</v>
      </c>
      <c r="N7027" s="131">
        <v>47445</v>
      </c>
      <c r="O7027" s="436">
        <f t="shared" si="308"/>
        <v>2656920</v>
      </c>
      <c r="P7027" s="89">
        <v>273</v>
      </c>
      <c r="Q7027" t="s">
        <v>47</v>
      </c>
      <c r="R7027" s="422" t="s">
        <v>1869</v>
      </c>
      <c r="S7027" s="422" t="s">
        <v>1861</v>
      </c>
      <c r="T7027" s="422"/>
      <c r="U7027" s="422" t="s">
        <v>1953</v>
      </c>
      <c r="V7027" s="422" t="s">
        <v>2813</v>
      </c>
    </row>
    <row r="7028" spans="1:22" ht="15.75" thickBot="1" x14ac:dyDescent="0.3">
      <c r="A7028" t="s">
        <v>543</v>
      </c>
      <c r="B7028" s="424" t="str">
        <f t="shared" si="309"/>
        <v>Barraqueiro Transportes</v>
      </c>
      <c r="C7028" s="424" t="str">
        <f t="shared" si="310"/>
        <v>Boa Viagem</v>
      </c>
      <c r="D7028" t="s">
        <v>629</v>
      </c>
      <c r="F7028" s="432" t="s">
        <v>620</v>
      </c>
      <c r="G7028" s="89">
        <v>1996</v>
      </c>
      <c r="H7028" s="313" t="s">
        <v>736</v>
      </c>
      <c r="I7028" s="311" t="str">
        <f t="shared" si="307"/>
        <v>Pesado de Passageiros M3:  : Gasóleo : E1</v>
      </c>
      <c r="J7028" s="422">
        <v>84</v>
      </c>
      <c r="K7028" s="422">
        <v>2023</v>
      </c>
      <c r="L7028">
        <v>100</v>
      </c>
      <c r="M7028" s="422" t="s">
        <v>630</v>
      </c>
      <c r="N7028" s="131">
        <v>270</v>
      </c>
      <c r="O7028" s="436">
        <f t="shared" si="308"/>
        <v>22680</v>
      </c>
      <c r="P7028" s="89">
        <v>274</v>
      </c>
      <c r="Q7028" t="s">
        <v>47</v>
      </c>
      <c r="R7028" s="422" t="s">
        <v>1869</v>
      </c>
      <c r="S7028" s="422" t="s">
        <v>1861</v>
      </c>
      <c r="T7028" s="422"/>
      <c r="U7028" s="422" t="s">
        <v>1953</v>
      </c>
      <c r="V7028" s="422" t="s">
        <v>2813</v>
      </c>
    </row>
    <row r="7029" spans="1:22" ht="15.75" thickBot="1" x14ac:dyDescent="0.3">
      <c r="A7029" t="s">
        <v>543</v>
      </c>
      <c r="B7029" s="424" t="str">
        <f t="shared" si="309"/>
        <v>Barraqueiro Transportes</v>
      </c>
      <c r="C7029" s="424" t="str">
        <f t="shared" si="310"/>
        <v>Boa Viagem</v>
      </c>
      <c r="D7029" t="s">
        <v>629</v>
      </c>
      <c r="F7029" s="432" t="s">
        <v>620</v>
      </c>
      <c r="G7029" s="89">
        <v>2008</v>
      </c>
      <c r="H7029" s="313" t="s">
        <v>731</v>
      </c>
      <c r="I7029" s="311" t="str">
        <f t="shared" si="307"/>
        <v>Pesado de Passageiros M3:  : Gasóleo : E4</v>
      </c>
      <c r="J7029" s="422">
        <v>53</v>
      </c>
      <c r="K7029" s="422">
        <v>2023</v>
      </c>
      <c r="L7029">
        <v>13515.213</v>
      </c>
      <c r="M7029" s="422" t="s">
        <v>630</v>
      </c>
      <c r="N7029" s="131">
        <v>36355</v>
      </c>
      <c r="O7029" s="436">
        <f t="shared" si="308"/>
        <v>1926815</v>
      </c>
      <c r="P7029" s="89">
        <v>301</v>
      </c>
      <c r="Q7029" t="s">
        <v>47</v>
      </c>
      <c r="R7029" s="422" t="s">
        <v>1869</v>
      </c>
      <c r="S7029" s="422" t="s">
        <v>1861</v>
      </c>
      <c r="T7029" s="422"/>
      <c r="U7029" s="422" t="s">
        <v>1953</v>
      </c>
      <c r="V7029" s="422" t="s">
        <v>2813</v>
      </c>
    </row>
    <row r="7030" spans="1:22" ht="15.75" thickBot="1" x14ac:dyDescent="0.3">
      <c r="A7030" t="s">
        <v>543</v>
      </c>
      <c r="B7030" s="424" t="str">
        <f t="shared" si="309"/>
        <v>Barraqueiro Transportes</v>
      </c>
      <c r="C7030" s="424" t="str">
        <f t="shared" si="310"/>
        <v>Boa Viagem</v>
      </c>
      <c r="D7030" t="s">
        <v>629</v>
      </c>
      <c r="F7030" s="432" t="s">
        <v>620</v>
      </c>
      <c r="G7030" s="89">
        <v>2008</v>
      </c>
      <c r="H7030" s="313" t="s">
        <v>731</v>
      </c>
      <c r="I7030" s="311" t="str">
        <f t="shared" si="307"/>
        <v>Pesado de Passageiros M3:  : Gasóleo : E4</v>
      </c>
      <c r="J7030" s="422">
        <v>55</v>
      </c>
      <c r="K7030" s="422">
        <v>2023</v>
      </c>
      <c r="L7030">
        <v>20971.315999999999</v>
      </c>
      <c r="M7030" s="422" t="s">
        <v>630</v>
      </c>
      <c r="N7030" s="131">
        <v>60025</v>
      </c>
      <c r="O7030" s="436">
        <f t="shared" si="308"/>
        <v>3301375</v>
      </c>
      <c r="P7030" s="89">
        <v>302</v>
      </c>
      <c r="Q7030" t="s">
        <v>47</v>
      </c>
      <c r="R7030" s="422" t="s">
        <v>1869</v>
      </c>
      <c r="S7030" s="422" t="s">
        <v>1861</v>
      </c>
      <c r="T7030" s="422"/>
      <c r="U7030" s="422" t="s">
        <v>1953</v>
      </c>
      <c r="V7030" s="422" t="s">
        <v>2813</v>
      </c>
    </row>
    <row r="7031" spans="1:22" ht="15.75" thickBot="1" x14ac:dyDescent="0.3">
      <c r="A7031" t="s">
        <v>543</v>
      </c>
      <c r="B7031" s="424" t="str">
        <f t="shared" si="309"/>
        <v>Barraqueiro Transportes</v>
      </c>
      <c r="C7031" s="424" t="str">
        <f t="shared" si="310"/>
        <v>Boa Viagem</v>
      </c>
      <c r="D7031" t="s">
        <v>629</v>
      </c>
      <c r="F7031" s="432" t="s">
        <v>620</v>
      </c>
      <c r="G7031" s="89">
        <v>2008</v>
      </c>
      <c r="H7031" s="313" t="s">
        <v>731</v>
      </c>
      <c r="I7031" s="311" t="str">
        <f t="shared" si="307"/>
        <v>Pesado de Passageiros M3:  : Gasóleo : E4</v>
      </c>
      <c r="J7031" s="422">
        <v>53</v>
      </c>
      <c r="K7031" s="422">
        <v>2023</v>
      </c>
      <c r="L7031">
        <v>16344.42</v>
      </c>
      <c r="M7031" s="422" t="s">
        <v>630</v>
      </c>
      <c r="N7031" s="131">
        <v>42744</v>
      </c>
      <c r="O7031" s="436">
        <f t="shared" si="308"/>
        <v>2265432</v>
      </c>
      <c r="P7031" s="89">
        <v>314</v>
      </c>
      <c r="Q7031" t="s">
        <v>47</v>
      </c>
      <c r="R7031" s="422" t="s">
        <v>1869</v>
      </c>
      <c r="S7031" s="422" t="s">
        <v>1861</v>
      </c>
      <c r="T7031" s="422"/>
      <c r="U7031" s="422" t="s">
        <v>1953</v>
      </c>
      <c r="V7031" s="422" t="s">
        <v>2813</v>
      </c>
    </row>
    <row r="7032" spans="1:22" ht="15.75" thickBot="1" x14ac:dyDescent="0.3">
      <c r="A7032" t="s">
        <v>543</v>
      </c>
      <c r="B7032" s="424" t="str">
        <f t="shared" si="309"/>
        <v>Barraqueiro Transportes</v>
      </c>
      <c r="C7032" s="424" t="str">
        <f t="shared" si="310"/>
        <v>Boa Viagem</v>
      </c>
      <c r="D7032" t="s">
        <v>629</v>
      </c>
      <c r="F7032" s="432" t="s">
        <v>620</v>
      </c>
      <c r="G7032" s="89">
        <v>2009</v>
      </c>
      <c r="H7032" s="313" t="s">
        <v>734</v>
      </c>
      <c r="I7032" s="311" t="str">
        <f t="shared" si="307"/>
        <v>Pesado de Passageiros M3:  : Gasóleo : E5</v>
      </c>
      <c r="J7032" s="422">
        <v>52</v>
      </c>
      <c r="K7032" s="422">
        <v>2023</v>
      </c>
      <c r="L7032">
        <v>23879.800000000007</v>
      </c>
      <c r="M7032" s="422" t="s">
        <v>630</v>
      </c>
      <c r="N7032" s="131">
        <v>57032</v>
      </c>
      <c r="O7032" s="436">
        <f t="shared" si="308"/>
        <v>2965664</v>
      </c>
      <c r="P7032" s="89">
        <v>317</v>
      </c>
      <c r="Q7032" t="s">
        <v>47</v>
      </c>
      <c r="R7032" s="422" t="s">
        <v>1869</v>
      </c>
      <c r="S7032" s="422" t="s">
        <v>1861</v>
      </c>
      <c r="T7032" s="422"/>
      <c r="U7032" s="422" t="s">
        <v>1953</v>
      </c>
      <c r="V7032" s="422" t="s">
        <v>2813</v>
      </c>
    </row>
    <row r="7033" spans="1:22" ht="15.75" thickBot="1" x14ac:dyDescent="0.3">
      <c r="A7033" t="s">
        <v>543</v>
      </c>
      <c r="B7033" s="424" t="str">
        <f t="shared" si="309"/>
        <v>Barraqueiro Transportes</v>
      </c>
      <c r="C7033" s="424" t="str">
        <f t="shared" si="310"/>
        <v>Boa Viagem</v>
      </c>
      <c r="D7033" t="s">
        <v>629</v>
      </c>
      <c r="F7033" s="432" t="s">
        <v>620</v>
      </c>
      <c r="G7033" s="89">
        <v>2001</v>
      </c>
      <c r="H7033" s="313" t="s">
        <v>732</v>
      </c>
      <c r="I7033" s="311" t="str">
        <f t="shared" si="307"/>
        <v>Pesado de Passageiros M3:  : Gasóleo : E3</v>
      </c>
      <c r="J7033" s="422">
        <v>55</v>
      </c>
      <c r="K7033" s="422">
        <v>2023</v>
      </c>
      <c r="L7033">
        <v>555.37</v>
      </c>
      <c r="M7033" s="422" t="s">
        <v>630</v>
      </c>
      <c r="N7033" s="131">
        <v>1558</v>
      </c>
      <c r="O7033" s="436">
        <f t="shared" si="308"/>
        <v>85690</v>
      </c>
      <c r="P7033" s="89">
        <v>321</v>
      </c>
      <c r="Q7033" t="s">
        <v>47</v>
      </c>
      <c r="R7033" s="422" t="s">
        <v>1869</v>
      </c>
      <c r="S7033" s="422" t="s">
        <v>1861</v>
      </c>
      <c r="T7033" s="422"/>
      <c r="U7033" s="422" t="s">
        <v>1953</v>
      </c>
      <c r="V7033" s="422" t="s">
        <v>2813</v>
      </c>
    </row>
    <row r="7034" spans="1:22" ht="15.75" thickBot="1" x14ac:dyDescent="0.3">
      <c r="A7034" t="s">
        <v>543</v>
      </c>
      <c r="B7034" s="424" t="str">
        <f t="shared" si="309"/>
        <v>Barraqueiro Transportes</v>
      </c>
      <c r="C7034" s="424" t="str">
        <f t="shared" si="310"/>
        <v>Boa Viagem</v>
      </c>
      <c r="D7034" t="s">
        <v>629</v>
      </c>
      <c r="F7034" s="432" t="s">
        <v>620</v>
      </c>
      <c r="G7034" s="89">
        <v>2001</v>
      </c>
      <c r="H7034" s="313" t="s">
        <v>732</v>
      </c>
      <c r="I7034" s="311" t="str">
        <f t="shared" si="307"/>
        <v>Pesado de Passageiros M3:  : Gasóleo : E3</v>
      </c>
      <c r="J7034" s="422">
        <v>55</v>
      </c>
      <c r="K7034" s="422">
        <v>2023</v>
      </c>
      <c r="L7034">
        <v>108.34</v>
      </c>
      <c r="M7034" s="422" t="s">
        <v>630</v>
      </c>
      <c r="N7034" s="131">
        <v>313</v>
      </c>
      <c r="O7034" s="436">
        <f t="shared" si="308"/>
        <v>17215</v>
      </c>
      <c r="P7034" s="89">
        <v>322</v>
      </c>
      <c r="Q7034" t="s">
        <v>47</v>
      </c>
      <c r="R7034" s="422" t="s">
        <v>1869</v>
      </c>
      <c r="S7034" s="422" t="s">
        <v>1861</v>
      </c>
      <c r="T7034" s="422"/>
      <c r="U7034" s="422" t="s">
        <v>1953</v>
      </c>
      <c r="V7034" s="422" t="s">
        <v>2813</v>
      </c>
    </row>
    <row r="7035" spans="1:22" ht="15.75" thickBot="1" x14ac:dyDescent="0.3">
      <c r="A7035" t="s">
        <v>543</v>
      </c>
      <c r="B7035" s="424" t="str">
        <f t="shared" si="309"/>
        <v>Barraqueiro Transportes</v>
      </c>
      <c r="C7035" s="424" t="str">
        <f t="shared" si="310"/>
        <v>Boa Viagem</v>
      </c>
      <c r="D7035" t="s">
        <v>629</v>
      </c>
      <c r="F7035" s="432" t="s">
        <v>620</v>
      </c>
      <c r="G7035" s="89">
        <v>2001</v>
      </c>
      <c r="H7035" s="313" t="s">
        <v>732</v>
      </c>
      <c r="I7035" s="311" t="str">
        <f t="shared" si="307"/>
        <v>Pesado de Passageiros M3:  : Gasóleo : E3</v>
      </c>
      <c r="J7035" s="422">
        <v>55</v>
      </c>
      <c r="K7035" s="422">
        <v>2023</v>
      </c>
      <c r="L7035">
        <v>268</v>
      </c>
      <c r="M7035" s="422" t="s">
        <v>630</v>
      </c>
      <c r="N7035" s="131">
        <v>744</v>
      </c>
      <c r="O7035" s="436">
        <f t="shared" si="308"/>
        <v>40920</v>
      </c>
      <c r="P7035" s="89">
        <v>323</v>
      </c>
      <c r="Q7035" t="s">
        <v>47</v>
      </c>
      <c r="R7035" s="422" t="s">
        <v>1869</v>
      </c>
      <c r="S7035" s="422" t="s">
        <v>1861</v>
      </c>
      <c r="T7035" s="422"/>
      <c r="U7035" s="422" t="s">
        <v>1953</v>
      </c>
      <c r="V7035" s="422" t="s">
        <v>2813</v>
      </c>
    </row>
    <row r="7036" spans="1:22" ht="15.75" thickBot="1" x14ac:dyDescent="0.3">
      <c r="A7036" t="s">
        <v>543</v>
      </c>
      <c r="B7036" s="424" t="str">
        <f t="shared" si="309"/>
        <v>Barraqueiro Transportes</v>
      </c>
      <c r="C7036" s="424" t="str">
        <f t="shared" si="310"/>
        <v>Boa Viagem</v>
      </c>
      <c r="D7036" t="s">
        <v>629</v>
      </c>
      <c r="F7036" s="432" t="s">
        <v>620</v>
      </c>
      <c r="G7036" s="89">
        <v>1993</v>
      </c>
      <c r="H7036" s="313" t="s">
        <v>736</v>
      </c>
      <c r="I7036" s="311" t="str">
        <f t="shared" si="307"/>
        <v>Pesado de Passageiros M3:  : Gasóleo : E1</v>
      </c>
      <c r="J7036" s="422">
        <v>56</v>
      </c>
      <c r="K7036" s="422">
        <v>2023</v>
      </c>
      <c r="L7036">
        <v>0</v>
      </c>
      <c r="M7036" s="422" t="s">
        <v>630</v>
      </c>
      <c r="N7036" s="131">
        <v>0</v>
      </c>
      <c r="O7036" s="436">
        <f t="shared" si="308"/>
        <v>0</v>
      </c>
      <c r="P7036" s="89">
        <v>329</v>
      </c>
      <c r="Q7036" t="s">
        <v>47</v>
      </c>
      <c r="R7036" s="422" t="s">
        <v>1869</v>
      </c>
      <c r="S7036" s="422" t="s">
        <v>1861</v>
      </c>
      <c r="T7036" s="422"/>
      <c r="U7036" s="422" t="s">
        <v>1953</v>
      </c>
      <c r="V7036" s="422" t="s">
        <v>2813</v>
      </c>
    </row>
    <row r="7037" spans="1:22" ht="15.75" thickBot="1" x14ac:dyDescent="0.3">
      <c r="A7037" t="s">
        <v>543</v>
      </c>
      <c r="B7037" s="424" t="str">
        <f t="shared" si="309"/>
        <v>Barraqueiro Transportes</v>
      </c>
      <c r="C7037" s="424" t="str">
        <f t="shared" si="310"/>
        <v>Boa Viagem</v>
      </c>
      <c r="D7037" t="s">
        <v>629</v>
      </c>
      <c r="F7037" s="432" t="s">
        <v>620</v>
      </c>
      <c r="G7037" s="89">
        <v>2001</v>
      </c>
      <c r="H7037" s="313" t="s">
        <v>732</v>
      </c>
      <c r="I7037" s="311" t="str">
        <f t="shared" si="307"/>
        <v>Pesado de Passageiros M3:  : Gasóleo : E3</v>
      </c>
      <c r="J7037" s="422">
        <v>81</v>
      </c>
      <c r="K7037" s="422">
        <v>2023</v>
      </c>
      <c r="L7037">
        <v>19231.23</v>
      </c>
      <c r="M7037" s="422" t="s">
        <v>630</v>
      </c>
      <c r="N7037" s="131">
        <v>54321</v>
      </c>
      <c r="O7037" s="436">
        <f t="shared" si="308"/>
        <v>4400001</v>
      </c>
      <c r="P7037" s="89">
        <v>330</v>
      </c>
      <c r="Q7037" t="s">
        <v>47</v>
      </c>
      <c r="R7037" s="422" t="s">
        <v>1869</v>
      </c>
      <c r="S7037" s="422" t="s">
        <v>1861</v>
      </c>
      <c r="T7037" s="422"/>
      <c r="U7037" s="422" t="s">
        <v>1953</v>
      </c>
      <c r="V7037" s="422" t="s">
        <v>2813</v>
      </c>
    </row>
    <row r="7038" spans="1:22" ht="15.75" thickBot="1" x14ac:dyDescent="0.3">
      <c r="A7038" t="s">
        <v>543</v>
      </c>
      <c r="B7038" s="424" t="str">
        <f t="shared" si="309"/>
        <v>Barraqueiro Transportes</v>
      </c>
      <c r="C7038" s="424" t="str">
        <f t="shared" si="310"/>
        <v>Boa Viagem</v>
      </c>
      <c r="D7038" t="s">
        <v>629</v>
      </c>
      <c r="F7038" s="432" t="s">
        <v>620</v>
      </c>
      <c r="G7038" s="89">
        <v>1994</v>
      </c>
      <c r="H7038" s="313" t="s">
        <v>736</v>
      </c>
      <c r="I7038" s="311" t="str">
        <f t="shared" si="307"/>
        <v>Pesado de Passageiros M3:  : Gasóleo : E1</v>
      </c>
      <c r="J7038" s="422">
        <v>48</v>
      </c>
      <c r="K7038" s="422">
        <v>2023</v>
      </c>
      <c r="L7038">
        <v>489.22</v>
      </c>
      <c r="M7038" s="422" t="s">
        <v>630</v>
      </c>
      <c r="N7038" s="131">
        <v>1205</v>
      </c>
      <c r="O7038" s="436">
        <f t="shared" si="308"/>
        <v>57840</v>
      </c>
      <c r="P7038" s="89">
        <v>333</v>
      </c>
      <c r="Q7038" t="s">
        <v>47</v>
      </c>
      <c r="R7038" s="422" t="s">
        <v>1869</v>
      </c>
      <c r="S7038" s="422" t="s">
        <v>1861</v>
      </c>
      <c r="T7038" s="422"/>
      <c r="U7038" s="422" t="s">
        <v>1953</v>
      </c>
      <c r="V7038" s="422" t="s">
        <v>2813</v>
      </c>
    </row>
    <row r="7039" spans="1:22" ht="15.75" thickBot="1" x14ac:dyDescent="0.3">
      <c r="A7039" t="s">
        <v>543</v>
      </c>
      <c r="B7039" s="424" t="str">
        <f t="shared" si="309"/>
        <v>Barraqueiro Transportes</v>
      </c>
      <c r="C7039" s="424" t="str">
        <f t="shared" si="310"/>
        <v>Boa Viagem</v>
      </c>
      <c r="D7039" t="s">
        <v>629</v>
      </c>
      <c r="F7039" s="432" t="s">
        <v>620</v>
      </c>
      <c r="G7039" s="89">
        <v>2009</v>
      </c>
      <c r="H7039" s="313" t="s">
        <v>734</v>
      </c>
      <c r="I7039" s="311" t="str">
        <f t="shared" si="307"/>
        <v>Pesado de Passageiros M3:  : Gasóleo : E5</v>
      </c>
      <c r="J7039" s="422">
        <v>84</v>
      </c>
      <c r="K7039" s="422">
        <v>2023</v>
      </c>
      <c r="L7039">
        <v>27559.679999999993</v>
      </c>
      <c r="M7039" s="422" t="s">
        <v>630</v>
      </c>
      <c r="N7039" s="131">
        <v>76213</v>
      </c>
      <c r="O7039" s="436">
        <f t="shared" si="308"/>
        <v>6401892</v>
      </c>
      <c r="P7039" s="89">
        <v>345</v>
      </c>
      <c r="Q7039" t="s">
        <v>47</v>
      </c>
      <c r="R7039" s="422" t="s">
        <v>1869</v>
      </c>
      <c r="S7039" s="422" t="s">
        <v>1861</v>
      </c>
      <c r="T7039" s="422"/>
      <c r="U7039" s="422" t="s">
        <v>1953</v>
      </c>
      <c r="V7039" s="422" t="s">
        <v>2813</v>
      </c>
    </row>
    <row r="7040" spans="1:22" ht="15.75" thickBot="1" x14ac:dyDescent="0.3">
      <c r="A7040" t="s">
        <v>543</v>
      </c>
      <c r="B7040" s="424" t="str">
        <f t="shared" si="309"/>
        <v>Barraqueiro Transportes</v>
      </c>
      <c r="C7040" s="424" t="str">
        <f t="shared" si="310"/>
        <v>Boa Viagem</v>
      </c>
      <c r="D7040" t="s">
        <v>629</v>
      </c>
      <c r="F7040" s="432" t="s">
        <v>620</v>
      </c>
      <c r="G7040" s="89">
        <v>2005</v>
      </c>
      <c r="H7040" s="313" t="s">
        <v>732</v>
      </c>
      <c r="I7040" s="311" t="str">
        <f t="shared" si="307"/>
        <v>Pesado de Passageiros M3:  : Gasóleo : E3</v>
      </c>
      <c r="J7040" s="422">
        <v>82</v>
      </c>
      <c r="K7040" s="422">
        <v>2023</v>
      </c>
      <c r="L7040">
        <v>15923.579999999998</v>
      </c>
      <c r="M7040" s="422" t="s">
        <v>630</v>
      </c>
      <c r="N7040" s="131">
        <v>39607</v>
      </c>
      <c r="O7040" s="436">
        <f t="shared" si="308"/>
        <v>3247774</v>
      </c>
      <c r="P7040" s="89">
        <v>374</v>
      </c>
      <c r="Q7040" t="s">
        <v>47</v>
      </c>
      <c r="R7040" s="422" t="s">
        <v>1869</v>
      </c>
      <c r="S7040" s="422" t="s">
        <v>1861</v>
      </c>
      <c r="T7040" s="422"/>
      <c r="U7040" s="422" t="s">
        <v>1953</v>
      </c>
      <c r="V7040" s="422" t="s">
        <v>2813</v>
      </c>
    </row>
    <row r="7041" spans="1:22" ht="15.75" thickBot="1" x14ac:dyDescent="0.3">
      <c r="A7041" t="s">
        <v>543</v>
      </c>
      <c r="B7041" s="424" t="str">
        <f t="shared" si="309"/>
        <v>Barraqueiro Transportes</v>
      </c>
      <c r="C7041" s="424" t="str">
        <f t="shared" si="310"/>
        <v>Boa Viagem</v>
      </c>
      <c r="D7041" t="s">
        <v>629</v>
      </c>
      <c r="F7041" s="432" t="s">
        <v>620</v>
      </c>
      <c r="G7041" s="89">
        <v>2008</v>
      </c>
      <c r="H7041" s="313" t="s">
        <v>731</v>
      </c>
      <c r="I7041" s="311" t="str">
        <f t="shared" si="307"/>
        <v>Pesado de Passageiros M3:  : Gasóleo : E4</v>
      </c>
      <c r="J7041" s="422">
        <v>53</v>
      </c>
      <c r="K7041" s="422">
        <v>2023</v>
      </c>
      <c r="L7041">
        <v>22795.22</v>
      </c>
      <c r="M7041" s="422" t="s">
        <v>630</v>
      </c>
      <c r="N7041" s="131">
        <v>66504</v>
      </c>
      <c r="O7041" s="436">
        <f t="shared" si="308"/>
        <v>3524712</v>
      </c>
      <c r="P7041" s="89">
        <v>375</v>
      </c>
      <c r="Q7041" t="s">
        <v>47</v>
      </c>
      <c r="R7041" s="422" t="s">
        <v>1869</v>
      </c>
      <c r="S7041" s="422" t="s">
        <v>1861</v>
      </c>
      <c r="T7041" s="422"/>
      <c r="U7041" s="422" t="s">
        <v>1953</v>
      </c>
      <c r="V7041" s="422" t="s">
        <v>2813</v>
      </c>
    </row>
    <row r="7042" spans="1:22" ht="15.75" thickBot="1" x14ac:dyDescent="0.3">
      <c r="A7042" t="s">
        <v>543</v>
      </c>
      <c r="B7042" s="424" t="str">
        <f t="shared" si="309"/>
        <v>Barraqueiro Transportes</v>
      </c>
      <c r="C7042" s="424" t="str">
        <f t="shared" si="310"/>
        <v>Boa Viagem</v>
      </c>
      <c r="D7042" t="s">
        <v>629</v>
      </c>
      <c r="F7042" s="432" t="s">
        <v>620</v>
      </c>
      <c r="G7042" s="89">
        <v>2003</v>
      </c>
      <c r="H7042" s="313" t="s">
        <v>732</v>
      </c>
      <c r="I7042" s="311" t="str">
        <f t="shared" si="307"/>
        <v>Pesado de Passageiros M3:  : Gasóleo : E3</v>
      </c>
      <c r="J7042" s="422">
        <v>98</v>
      </c>
      <c r="K7042" s="422">
        <v>2023</v>
      </c>
      <c r="L7042">
        <v>9475.7199999999975</v>
      </c>
      <c r="M7042" s="422" t="s">
        <v>630</v>
      </c>
      <c r="N7042" s="131">
        <v>20625</v>
      </c>
      <c r="O7042" s="436">
        <f t="shared" si="308"/>
        <v>2021250</v>
      </c>
      <c r="P7042" s="89">
        <v>386</v>
      </c>
      <c r="Q7042" t="s">
        <v>47</v>
      </c>
      <c r="R7042" s="422" t="s">
        <v>1869</v>
      </c>
      <c r="S7042" s="422" t="s">
        <v>1861</v>
      </c>
      <c r="T7042" s="422"/>
      <c r="U7042" s="422" t="s">
        <v>1953</v>
      </c>
      <c r="V7042" s="422" t="s">
        <v>2813</v>
      </c>
    </row>
    <row r="7043" spans="1:22" ht="15.75" thickBot="1" x14ac:dyDescent="0.3">
      <c r="A7043" t="s">
        <v>543</v>
      </c>
      <c r="B7043" s="424" t="str">
        <f t="shared" si="309"/>
        <v>Barraqueiro Transportes</v>
      </c>
      <c r="C7043" s="424" t="str">
        <f t="shared" si="310"/>
        <v>Boa Viagem</v>
      </c>
      <c r="D7043" t="s">
        <v>629</v>
      </c>
      <c r="F7043" s="432" t="s">
        <v>620</v>
      </c>
      <c r="G7043" s="89">
        <v>2005</v>
      </c>
      <c r="H7043" s="313" t="s">
        <v>732</v>
      </c>
      <c r="I7043" s="311" t="str">
        <f t="shared" si="307"/>
        <v>Pesado de Passageiros M3:  : Gasóleo : E3</v>
      </c>
      <c r="J7043" s="422">
        <v>57</v>
      </c>
      <c r="K7043" s="422">
        <v>2023</v>
      </c>
      <c r="L7043">
        <v>15108.59</v>
      </c>
      <c r="M7043" s="422" t="s">
        <v>630</v>
      </c>
      <c r="N7043" s="131">
        <v>40090</v>
      </c>
      <c r="O7043" s="436">
        <f t="shared" si="308"/>
        <v>2285130</v>
      </c>
      <c r="P7043" s="89">
        <v>399</v>
      </c>
      <c r="Q7043" t="s">
        <v>47</v>
      </c>
      <c r="R7043" s="422" t="s">
        <v>1869</v>
      </c>
      <c r="S7043" s="422" t="s">
        <v>1861</v>
      </c>
      <c r="T7043" s="422"/>
      <c r="U7043" s="422" t="s">
        <v>1953</v>
      </c>
      <c r="V7043" s="422" t="s">
        <v>2813</v>
      </c>
    </row>
    <row r="7044" spans="1:22" ht="15.75" thickBot="1" x14ac:dyDescent="0.3">
      <c r="A7044" t="s">
        <v>543</v>
      </c>
      <c r="B7044" s="424" t="str">
        <f t="shared" si="309"/>
        <v>Barraqueiro Transportes</v>
      </c>
      <c r="C7044" s="424" t="str">
        <f t="shared" si="310"/>
        <v>Boa Viagem</v>
      </c>
      <c r="D7044" t="s">
        <v>629</v>
      </c>
      <c r="F7044" s="432" t="s">
        <v>620</v>
      </c>
      <c r="G7044" s="89">
        <v>2009</v>
      </c>
      <c r="H7044" s="313" t="s">
        <v>734</v>
      </c>
      <c r="I7044" s="311" t="str">
        <f t="shared" si="307"/>
        <v>Pesado de Passageiros M3:  : Gasóleo : E5</v>
      </c>
      <c r="J7044" s="422">
        <v>53</v>
      </c>
      <c r="K7044" s="422">
        <v>2023</v>
      </c>
      <c r="L7044">
        <v>22891.59</v>
      </c>
      <c r="M7044" s="422" t="s">
        <v>630</v>
      </c>
      <c r="N7044" s="131">
        <v>61046</v>
      </c>
      <c r="O7044" s="436">
        <f t="shared" si="308"/>
        <v>3235438</v>
      </c>
      <c r="P7044" s="89">
        <v>409</v>
      </c>
      <c r="Q7044" t="s">
        <v>47</v>
      </c>
      <c r="R7044" s="422" t="s">
        <v>1869</v>
      </c>
      <c r="S7044" s="422" t="s">
        <v>1861</v>
      </c>
      <c r="T7044" s="422"/>
      <c r="U7044" s="422" t="s">
        <v>1953</v>
      </c>
      <c r="V7044" s="422" t="s">
        <v>2813</v>
      </c>
    </row>
    <row r="7045" spans="1:22" ht="15.75" thickBot="1" x14ac:dyDescent="0.3">
      <c r="A7045" t="s">
        <v>543</v>
      </c>
      <c r="B7045" s="424" t="str">
        <f t="shared" si="309"/>
        <v>Barraqueiro Transportes</v>
      </c>
      <c r="C7045" s="424" t="str">
        <f t="shared" si="310"/>
        <v>Boa Viagem</v>
      </c>
      <c r="D7045" t="s">
        <v>629</v>
      </c>
      <c r="F7045" s="432" t="s">
        <v>620</v>
      </c>
      <c r="G7045" s="89">
        <v>2009</v>
      </c>
      <c r="H7045" s="313" t="s">
        <v>734</v>
      </c>
      <c r="I7045" s="311" t="str">
        <f t="shared" si="307"/>
        <v>Pesado de Passageiros M3:  : Gasóleo : E5</v>
      </c>
      <c r="J7045" s="422">
        <v>53</v>
      </c>
      <c r="K7045" s="422">
        <v>2023</v>
      </c>
      <c r="L7045">
        <v>23306.388000000003</v>
      </c>
      <c r="M7045" s="422" t="s">
        <v>630</v>
      </c>
      <c r="N7045" s="131">
        <v>62862</v>
      </c>
      <c r="O7045" s="436">
        <f t="shared" si="308"/>
        <v>3331686</v>
      </c>
      <c r="P7045" s="89">
        <v>417</v>
      </c>
      <c r="Q7045" t="s">
        <v>47</v>
      </c>
      <c r="R7045" s="422" t="s">
        <v>1869</v>
      </c>
      <c r="S7045" s="422" t="s">
        <v>1861</v>
      </c>
      <c r="T7045" s="422"/>
      <c r="U7045" s="422" t="s">
        <v>1953</v>
      </c>
      <c r="V7045" s="422" t="s">
        <v>2813</v>
      </c>
    </row>
    <row r="7046" spans="1:22" ht="15.75" thickBot="1" x14ac:dyDescent="0.3">
      <c r="A7046" t="s">
        <v>543</v>
      </c>
      <c r="B7046" s="424" t="str">
        <f t="shared" si="309"/>
        <v>Barraqueiro Transportes</v>
      </c>
      <c r="C7046" s="424" t="str">
        <f t="shared" si="310"/>
        <v>Boa Viagem</v>
      </c>
      <c r="D7046" t="s">
        <v>629</v>
      </c>
      <c r="F7046" s="432" t="s">
        <v>620</v>
      </c>
      <c r="G7046" s="89">
        <v>2009</v>
      </c>
      <c r="H7046" s="313" t="s">
        <v>734</v>
      </c>
      <c r="I7046" s="311" t="str">
        <f t="shared" si="307"/>
        <v>Pesado de Passageiros M3:  : Gasóleo : E5</v>
      </c>
      <c r="J7046" s="422">
        <v>37</v>
      </c>
      <c r="K7046" s="422">
        <v>2023</v>
      </c>
      <c r="L7046">
        <v>5741.6989999999996</v>
      </c>
      <c r="M7046" s="422" t="s">
        <v>630</v>
      </c>
      <c r="N7046" s="131">
        <v>17399</v>
      </c>
      <c r="O7046" s="436">
        <f t="shared" si="308"/>
        <v>643763</v>
      </c>
      <c r="P7046" s="89">
        <v>420</v>
      </c>
      <c r="Q7046" t="s">
        <v>47</v>
      </c>
      <c r="R7046" s="422" t="s">
        <v>1869</v>
      </c>
      <c r="S7046" s="422" t="s">
        <v>1861</v>
      </c>
      <c r="T7046" s="422"/>
      <c r="U7046" s="422" t="s">
        <v>1953</v>
      </c>
      <c r="V7046" s="422" t="s">
        <v>2813</v>
      </c>
    </row>
    <row r="7047" spans="1:22" ht="15.75" thickBot="1" x14ac:dyDescent="0.3">
      <c r="A7047" t="s">
        <v>543</v>
      </c>
      <c r="B7047" s="424" t="str">
        <f t="shared" si="309"/>
        <v>Barraqueiro Transportes</v>
      </c>
      <c r="C7047" s="424" t="str">
        <f t="shared" si="310"/>
        <v>Boa Viagem</v>
      </c>
      <c r="D7047" t="s">
        <v>629</v>
      </c>
      <c r="F7047" s="432" t="s">
        <v>620</v>
      </c>
      <c r="G7047" s="89">
        <v>2009</v>
      </c>
      <c r="H7047" s="313" t="s">
        <v>734</v>
      </c>
      <c r="I7047" s="311" t="str">
        <f t="shared" si="307"/>
        <v>Pesado de Passageiros M3:  : Gasóleo : E5</v>
      </c>
      <c r="J7047" s="422">
        <v>27</v>
      </c>
      <c r="K7047" s="422">
        <v>2023</v>
      </c>
      <c r="L7047">
        <v>26.39</v>
      </c>
      <c r="M7047" s="422" t="s">
        <v>630</v>
      </c>
      <c r="N7047" s="131">
        <v>146</v>
      </c>
      <c r="O7047" s="436">
        <f t="shared" si="308"/>
        <v>3942</v>
      </c>
      <c r="P7047" s="89">
        <v>432</v>
      </c>
      <c r="Q7047" t="s">
        <v>47</v>
      </c>
      <c r="R7047" s="422" t="s">
        <v>1869</v>
      </c>
      <c r="S7047" s="422" t="s">
        <v>1861</v>
      </c>
      <c r="T7047" s="422"/>
      <c r="U7047" s="422" t="s">
        <v>1953</v>
      </c>
      <c r="V7047" s="422" t="s">
        <v>2813</v>
      </c>
    </row>
    <row r="7048" spans="1:22" ht="15.75" thickBot="1" x14ac:dyDescent="0.3">
      <c r="A7048" t="s">
        <v>543</v>
      </c>
      <c r="B7048" s="424" t="str">
        <f t="shared" si="309"/>
        <v>Barraqueiro Transportes</v>
      </c>
      <c r="C7048" s="424" t="str">
        <f t="shared" si="310"/>
        <v>Boa Viagem</v>
      </c>
      <c r="D7048" t="s">
        <v>629</v>
      </c>
      <c r="F7048" s="432" t="s">
        <v>620</v>
      </c>
      <c r="G7048" s="89">
        <v>2009</v>
      </c>
      <c r="H7048" s="313" t="s">
        <v>734</v>
      </c>
      <c r="I7048" s="311" t="str">
        <f t="shared" si="307"/>
        <v>Pesado de Passageiros M3:  : Gasóleo : E5</v>
      </c>
      <c r="J7048" s="422">
        <v>27</v>
      </c>
      <c r="K7048" s="422">
        <v>2023</v>
      </c>
      <c r="L7048">
        <v>4045.43</v>
      </c>
      <c r="M7048" s="422" t="s">
        <v>630</v>
      </c>
      <c r="N7048" s="131">
        <v>23637</v>
      </c>
      <c r="O7048" s="436">
        <f t="shared" si="308"/>
        <v>638199</v>
      </c>
      <c r="P7048" s="89">
        <v>433</v>
      </c>
      <c r="Q7048" t="s">
        <v>47</v>
      </c>
      <c r="R7048" s="422" t="s">
        <v>1869</v>
      </c>
      <c r="S7048" s="422" t="s">
        <v>1861</v>
      </c>
      <c r="T7048" s="422"/>
      <c r="U7048" s="422" t="s">
        <v>1953</v>
      </c>
      <c r="V7048" s="422" t="s">
        <v>2813</v>
      </c>
    </row>
    <row r="7049" spans="1:22" ht="15.75" thickBot="1" x14ac:dyDescent="0.3">
      <c r="A7049" t="s">
        <v>543</v>
      </c>
      <c r="B7049" s="424" t="str">
        <f t="shared" si="309"/>
        <v>Barraqueiro Transportes</v>
      </c>
      <c r="C7049" s="424" t="str">
        <f t="shared" si="310"/>
        <v>Boa Viagem</v>
      </c>
      <c r="D7049" t="s">
        <v>629</v>
      </c>
      <c r="F7049" s="432" t="s">
        <v>620</v>
      </c>
      <c r="G7049" s="89">
        <v>2009</v>
      </c>
      <c r="H7049" s="313" t="s">
        <v>734</v>
      </c>
      <c r="I7049" s="311" t="str">
        <f t="shared" si="307"/>
        <v>Pesado de Passageiros M3:  : Gasóleo : E5</v>
      </c>
      <c r="J7049" s="422">
        <v>27</v>
      </c>
      <c r="K7049" s="422">
        <v>2023</v>
      </c>
      <c r="L7049">
        <v>4591.59</v>
      </c>
      <c r="M7049" s="422" t="s">
        <v>630</v>
      </c>
      <c r="N7049" s="131">
        <v>25151</v>
      </c>
      <c r="O7049" s="436">
        <f t="shared" si="308"/>
        <v>679077</v>
      </c>
      <c r="P7049" s="89">
        <v>434</v>
      </c>
      <c r="Q7049" t="s">
        <v>47</v>
      </c>
      <c r="R7049" s="422" t="s">
        <v>1869</v>
      </c>
      <c r="S7049" s="422" t="s">
        <v>1861</v>
      </c>
      <c r="T7049" s="422"/>
      <c r="U7049" s="422" t="s">
        <v>1953</v>
      </c>
      <c r="V7049" s="422" t="s">
        <v>2813</v>
      </c>
    </row>
    <row r="7050" spans="1:22" ht="15.75" thickBot="1" x14ac:dyDescent="0.3">
      <c r="A7050" t="s">
        <v>543</v>
      </c>
      <c r="B7050" s="424" t="str">
        <f t="shared" si="309"/>
        <v>Barraqueiro Transportes</v>
      </c>
      <c r="C7050" s="424" t="str">
        <f t="shared" si="310"/>
        <v>Boa Viagem</v>
      </c>
      <c r="D7050" t="s">
        <v>629</v>
      </c>
      <c r="F7050" s="432" t="s">
        <v>620</v>
      </c>
      <c r="G7050" s="89">
        <v>2005</v>
      </c>
      <c r="H7050" s="313" t="s">
        <v>732</v>
      </c>
      <c r="I7050" s="311" t="str">
        <f t="shared" si="307"/>
        <v>Pesado de Passageiros M3:  : Gasóleo : E3</v>
      </c>
      <c r="J7050" s="422">
        <v>57</v>
      </c>
      <c r="K7050" s="422">
        <v>2023</v>
      </c>
      <c r="L7050">
        <v>17516.59</v>
      </c>
      <c r="M7050" s="422" t="s">
        <v>630</v>
      </c>
      <c r="N7050" s="131">
        <v>45870</v>
      </c>
      <c r="O7050" s="436">
        <f t="shared" si="308"/>
        <v>2614590</v>
      </c>
      <c r="P7050" s="89">
        <v>438</v>
      </c>
      <c r="Q7050" t="s">
        <v>47</v>
      </c>
      <c r="R7050" s="422" t="s">
        <v>1869</v>
      </c>
      <c r="S7050" s="422" t="s">
        <v>1861</v>
      </c>
      <c r="T7050" s="422"/>
      <c r="U7050" s="422" t="s">
        <v>1953</v>
      </c>
      <c r="V7050" s="422" t="s">
        <v>2813</v>
      </c>
    </row>
    <row r="7051" spans="1:22" ht="15.75" thickBot="1" x14ac:dyDescent="0.3">
      <c r="A7051" t="s">
        <v>543</v>
      </c>
      <c r="B7051" s="424" t="str">
        <f t="shared" si="309"/>
        <v>Barraqueiro Transportes</v>
      </c>
      <c r="C7051" s="424" t="str">
        <f t="shared" si="310"/>
        <v>Boa Viagem</v>
      </c>
      <c r="D7051" t="s">
        <v>629</v>
      </c>
      <c r="F7051" s="432" t="s">
        <v>620</v>
      </c>
      <c r="G7051" s="89">
        <v>2005</v>
      </c>
      <c r="H7051" s="313" t="s">
        <v>732</v>
      </c>
      <c r="I7051" s="311" t="str">
        <f t="shared" si="307"/>
        <v>Pesado de Passageiros M3:  : Gasóleo : E3</v>
      </c>
      <c r="J7051" s="422">
        <v>76</v>
      </c>
      <c r="K7051" s="422">
        <v>2023</v>
      </c>
      <c r="L7051">
        <v>19889.829999999998</v>
      </c>
      <c r="M7051" s="422" t="s">
        <v>630</v>
      </c>
      <c r="N7051" s="131">
        <v>47435</v>
      </c>
      <c r="O7051" s="436">
        <f t="shared" si="308"/>
        <v>3605060</v>
      </c>
      <c r="P7051" s="89">
        <v>460</v>
      </c>
      <c r="Q7051" t="s">
        <v>47</v>
      </c>
      <c r="R7051" s="422" t="s">
        <v>1869</v>
      </c>
      <c r="S7051" s="422" t="s">
        <v>1861</v>
      </c>
      <c r="T7051" s="422"/>
      <c r="U7051" s="422" t="s">
        <v>1953</v>
      </c>
      <c r="V7051" s="422" t="s">
        <v>2813</v>
      </c>
    </row>
    <row r="7052" spans="1:22" ht="15.75" thickBot="1" x14ac:dyDescent="0.3">
      <c r="A7052" t="s">
        <v>543</v>
      </c>
      <c r="B7052" s="424" t="str">
        <f t="shared" si="309"/>
        <v>Barraqueiro Transportes</v>
      </c>
      <c r="C7052" s="424" t="str">
        <f t="shared" si="310"/>
        <v>Boa Viagem</v>
      </c>
      <c r="D7052" t="s">
        <v>629</v>
      </c>
      <c r="F7052" s="432" t="s">
        <v>620</v>
      </c>
      <c r="G7052" s="89">
        <v>2009</v>
      </c>
      <c r="H7052" s="313" t="s">
        <v>734</v>
      </c>
      <c r="I7052" s="311" t="str">
        <f t="shared" si="307"/>
        <v>Pesado de Passageiros M3:  : Gasóleo : E5</v>
      </c>
      <c r="J7052" s="422">
        <v>55</v>
      </c>
      <c r="K7052" s="422">
        <v>2023</v>
      </c>
      <c r="L7052">
        <v>9550.9699999999993</v>
      </c>
      <c r="M7052" s="422" t="s">
        <v>630</v>
      </c>
      <c r="N7052" s="131">
        <v>24334</v>
      </c>
      <c r="O7052" s="436">
        <f t="shared" si="308"/>
        <v>1338370</v>
      </c>
      <c r="P7052" s="89">
        <v>478</v>
      </c>
      <c r="Q7052" t="s">
        <v>47</v>
      </c>
      <c r="R7052" s="422" t="s">
        <v>1869</v>
      </c>
      <c r="S7052" s="422" t="s">
        <v>1861</v>
      </c>
      <c r="T7052" s="422"/>
      <c r="U7052" s="422" t="s">
        <v>1953</v>
      </c>
      <c r="V7052" s="422" t="s">
        <v>2813</v>
      </c>
    </row>
    <row r="7053" spans="1:22" ht="15.75" thickBot="1" x14ac:dyDescent="0.3">
      <c r="A7053" t="s">
        <v>543</v>
      </c>
      <c r="B7053" s="424" t="str">
        <f t="shared" si="309"/>
        <v>Barraqueiro Transportes</v>
      </c>
      <c r="C7053" s="424" t="str">
        <f t="shared" si="310"/>
        <v>Boa Viagem</v>
      </c>
      <c r="D7053" t="s">
        <v>629</v>
      </c>
      <c r="F7053" s="432" t="s">
        <v>620</v>
      </c>
      <c r="G7053" s="89">
        <v>2009</v>
      </c>
      <c r="H7053" s="313" t="s">
        <v>734</v>
      </c>
      <c r="I7053" s="311" t="str">
        <f t="shared" si="307"/>
        <v>Pesado de Passageiros M3:  : Gasóleo : E5</v>
      </c>
      <c r="J7053" s="422">
        <v>55</v>
      </c>
      <c r="K7053" s="422">
        <v>2023</v>
      </c>
      <c r="L7053">
        <v>13863.720000000001</v>
      </c>
      <c r="M7053" s="422" t="s">
        <v>630</v>
      </c>
      <c r="N7053" s="131">
        <v>33633</v>
      </c>
      <c r="O7053" s="436">
        <f t="shared" si="308"/>
        <v>1849815</v>
      </c>
      <c r="P7053" s="89">
        <v>479</v>
      </c>
      <c r="Q7053" t="s">
        <v>47</v>
      </c>
      <c r="R7053" s="422" t="s">
        <v>1869</v>
      </c>
      <c r="S7053" s="422" t="s">
        <v>1861</v>
      </c>
      <c r="T7053" s="422"/>
      <c r="U7053" s="422" t="s">
        <v>1953</v>
      </c>
      <c r="V7053" s="422" t="s">
        <v>2813</v>
      </c>
    </row>
    <row r="7054" spans="1:22" ht="15.75" thickBot="1" x14ac:dyDescent="0.3">
      <c r="A7054" t="s">
        <v>543</v>
      </c>
      <c r="B7054" s="424" t="str">
        <f t="shared" si="309"/>
        <v>Barraqueiro Transportes</v>
      </c>
      <c r="C7054" s="424" t="str">
        <f t="shared" si="310"/>
        <v>Boa Viagem</v>
      </c>
      <c r="D7054" t="s">
        <v>629</v>
      </c>
      <c r="F7054" s="432" t="s">
        <v>620</v>
      </c>
      <c r="G7054" s="89">
        <v>2007</v>
      </c>
      <c r="H7054" s="313" t="s">
        <v>731</v>
      </c>
      <c r="I7054" s="311" t="str">
        <f t="shared" si="307"/>
        <v>Pesado de Passageiros M3:  : Gasóleo : E4</v>
      </c>
      <c r="J7054" s="422">
        <v>21</v>
      </c>
      <c r="K7054" s="422">
        <v>2023</v>
      </c>
      <c r="L7054">
        <v>11.7</v>
      </c>
      <c r="M7054" s="422" t="s">
        <v>630</v>
      </c>
      <c r="N7054" s="131">
        <v>61</v>
      </c>
      <c r="O7054" s="436">
        <f t="shared" si="308"/>
        <v>1281</v>
      </c>
      <c r="P7054" s="89">
        <v>539</v>
      </c>
      <c r="Q7054" t="s">
        <v>47</v>
      </c>
      <c r="R7054" s="422" t="s">
        <v>1869</v>
      </c>
      <c r="S7054" s="422" t="s">
        <v>1861</v>
      </c>
      <c r="T7054" s="422"/>
      <c r="U7054" s="422" t="s">
        <v>1953</v>
      </c>
      <c r="V7054" s="422" t="s">
        <v>2813</v>
      </c>
    </row>
    <row r="7055" spans="1:22" ht="15.75" thickBot="1" x14ac:dyDescent="0.3">
      <c r="A7055" t="s">
        <v>543</v>
      </c>
      <c r="B7055" s="424" t="str">
        <f t="shared" si="309"/>
        <v>Barraqueiro Transportes</v>
      </c>
      <c r="C7055" s="424" t="str">
        <f t="shared" si="310"/>
        <v>Boa Viagem</v>
      </c>
      <c r="D7055" t="s">
        <v>629</v>
      </c>
      <c r="F7055" s="432" t="s">
        <v>620</v>
      </c>
      <c r="G7055" s="89">
        <v>2009</v>
      </c>
      <c r="H7055" s="313" t="s">
        <v>734</v>
      </c>
      <c r="I7055" s="311" t="str">
        <f t="shared" si="307"/>
        <v>Pesado de Passageiros M3:  : Gasóleo : E5</v>
      </c>
      <c r="J7055" s="422">
        <v>71</v>
      </c>
      <c r="K7055" s="422">
        <v>2023</v>
      </c>
      <c r="L7055">
        <v>3712.7400000000002</v>
      </c>
      <c r="M7055" s="422" t="s">
        <v>630</v>
      </c>
      <c r="N7055" s="131">
        <v>8417</v>
      </c>
      <c r="O7055" s="436">
        <f t="shared" si="308"/>
        <v>597607</v>
      </c>
      <c r="P7055" s="89">
        <v>552</v>
      </c>
      <c r="Q7055" t="s">
        <v>47</v>
      </c>
      <c r="R7055" s="422" t="s">
        <v>1869</v>
      </c>
      <c r="S7055" s="422" t="s">
        <v>1861</v>
      </c>
      <c r="T7055" s="422"/>
      <c r="U7055" s="422" t="s">
        <v>1953</v>
      </c>
      <c r="V7055" s="422" t="s">
        <v>2813</v>
      </c>
    </row>
    <row r="7056" spans="1:22" ht="15.75" thickBot="1" x14ac:dyDescent="0.3">
      <c r="A7056" t="s">
        <v>543</v>
      </c>
      <c r="B7056" s="424" t="str">
        <f t="shared" si="309"/>
        <v>Barraqueiro Transportes</v>
      </c>
      <c r="C7056" s="424" t="str">
        <f t="shared" si="310"/>
        <v>Boa Viagem</v>
      </c>
      <c r="D7056" t="s">
        <v>629</v>
      </c>
      <c r="F7056" s="432" t="s">
        <v>620</v>
      </c>
      <c r="G7056" s="89">
        <v>2009</v>
      </c>
      <c r="H7056" s="313" t="s">
        <v>734</v>
      </c>
      <c r="I7056" s="311" t="str">
        <f t="shared" si="307"/>
        <v>Pesado de Passageiros M3:  : Gasóleo : E5</v>
      </c>
      <c r="J7056" s="422">
        <v>71</v>
      </c>
      <c r="K7056" s="422">
        <v>2023</v>
      </c>
      <c r="L7056">
        <v>31316.67</v>
      </c>
      <c r="M7056" s="422" t="s">
        <v>630</v>
      </c>
      <c r="N7056" s="131">
        <v>73636</v>
      </c>
      <c r="O7056" s="436">
        <f t="shared" si="308"/>
        <v>5228156</v>
      </c>
      <c r="P7056" s="89">
        <v>553</v>
      </c>
      <c r="Q7056" t="s">
        <v>47</v>
      </c>
      <c r="R7056" s="422" t="s">
        <v>1869</v>
      </c>
      <c r="S7056" s="422" t="s">
        <v>1861</v>
      </c>
      <c r="T7056" s="422"/>
      <c r="U7056" s="422" t="s">
        <v>1953</v>
      </c>
      <c r="V7056" s="422" t="s">
        <v>2813</v>
      </c>
    </row>
    <row r="7057" spans="1:22" ht="15.75" thickBot="1" x14ac:dyDescent="0.3">
      <c r="A7057" t="s">
        <v>543</v>
      </c>
      <c r="B7057" s="424" t="str">
        <f t="shared" si="309"/>
        <v>Barraqueiro Transportes</v>
      </c>
      <c r="C7057" s="424" t="str">
        <f t="shared" si="310"/>
        <v>Boa Viagem</v>
      </c>
      <c r="D7057" t="s">
        <v>629</v>
      </c>
      <c r="F7057" s="432" t="s">
        <v>620</v>
      </c>
      <c r="G7057" s="89">
        <v>2016</v>
      </c>
      <c r="H7057" s="313" t="s">
        <v>733</v>
      </c>
      <c r="I7057" s="311" t="str">
        <f t="shared" si="307"/>
        <v>Pesado de Passageiros M3:  : Gasóleo : E6</v>
      </c>
      <c r="J7057" s="422">
        <v>64</v>
      </c>
      <c r="K7057" s="422">
        <v>2023</v>
      </c>
      <c r="L7057">
        <v>11732.750000000002</v>
      </c>
      <c r="M7057" s="422" t="s">
        <v>630</v>
      </c>
      <c r="N7057" s="131">
        <v>38915</v>
      </c>
      <c r="O7057" s="436">
        <f t="shared" si="308"/>
        <v>2490560</v>
      </c>
      <c r="P7057" s="89">
        <v>564</v>
      </c>
      <c r="Q7057" t="s">
        <v>47</v>
      </c>
      <c r="R7057" s="422" t="s">
        <v>1869</v>
      </c>
      <c r="S7057" s="422" t="s">
        <v>1861</v>
      </c>
      <c r="T7057" s="422"/>
      <c r="U7057" s="422" t="s">
        <v>1953</v>
      </c>
      <c r="V7057" s="422" t="s">
        <v>2813</v>
      </c>
    </row>
    <row r="7058" spans="1:22" ht="15.75" thickBot="1" x14ac:dyDescent="0.3">
      <c r="A7058" t="s">
        <v>543</v>
      </c>
      <c r="B7058" s="424" t="str">
        <f t="shared" si="309"/>
        <v>Barraqueiro Transportes</v>
      </c>
      <c r="C7058" s="424" t="str">
        <f t="shared" si="310"/>
        <v>Boa Viagem</v>
      </c>
      <c r="D7058" t="s">
        <v>629</v>
      </c>
      <c r="F7058" s="432" t="s">
        <v>620</v>
      </c>
      <c r="G7058" s="89">
        <v>2001</v>
      </c>
      <c r="H7058" s="313" t="s">
        <v>732</v>
      </c>
      <c r="I7058" s="311" t="str">
        <f t="shared" si="307"/>
        <v>Pesado de Passageiros M3:  : Gasóleo : E3</v>
      </c>
      <c r="J7058" s="422">
        <v>55</v>
      </c>
      <c r="K7058" s="422">
        <v>2023</v>
      </c>
      <c r="L7058">
        <v>137</v>
      </c>
      <c r="M7058" s="422" t="s">
        <v>630</v>
      </c>
      <c r="N7058" s="131">
        <v>370</v>
      </c>
      <c r="O7058" s="436">
        <f t="shared" si="308"/>
        <v>20350</v>
      </c>
      <c r="P7058" s="89">
        <v>576</v>
      </c>
      <c r="Q7058" t="s">
        <v>47</v>
      </c>
      <c r="R7058" s="422" t="s">
        <v>1869</v>
      </c>
      <c r="S7058" s="422" t="s">
        <v>1861</v>
      </c>
      <c r="T7058" s="422"/>
      <c r="U7058" s="422" t="s">
        <v>1953</v>
      </c>
      <c r="V7058" s="422" t="s">
        <v>2813</v>
      </c>
    </row>
    <row r="7059" spans="1:22" ht="15.75" thickBot="1" x14ac:dyDescent="0.3">
      <c r="A7059" t="s">
        <v>543</v>
      </c>
      <c r="B7059" s="424" t="str">
        <f t="shared" si="309"/>
        <v>Barraqueiro Transportes</v>
      </c>
      <c r="C7059" s="424" t="str">
        <f t="shared" si="310"/>
        <v>Boa Viagem</v>
      </c>
      <c r="D7059" t="s">
        <v>629</v>
      </c>
      <c r="F7059" s="432" t="s">
        <v>620</v>
      </c>
      <c r="G7059" s="89">
        <v>1996</v>
      </c>
      <c r="H7059" s="313" t="s">
        <v>736</v>
      </c>
      <c r="I7059" s="311" t="str">
        <f t="shared" si="307"/>
        <v>Pesado de Passageiros M3:  : Gasóleo : E1</v>
      </c>
      <c r="J7059" s="422">
        <v>53</v>
      </c>
      <c r="K7059" s="422">
        <v>2023</v>
      </c>
      <c r="L7059">
        <v>12746.2</v>
      </c>
      <c r="M7059" s="422" t="s">
        <v>630</v>
      </c>
      <c r="N7059" s="131">
        <v>36104</v>
      </c>
      <c r="O7059" s="436">
        <f t="shared" si="308"/>
        <v>1913512</v>
      </c>
      <c r="P7059" s="89">
        <v>614</v>
      </c>
      <c r="Q7059" t="s">
        <v>47</v>
      </c>
      <c r="R7059" s="422" t="s">
        <v>1869</v>
      </c>
      <c r="S7059" s="422" t="s">
        <v>1861</v>
      </c>
      <c r="T7059" s="422"/>
      <c r="U7059" s="422" t="s">
        <v>1953</v>
      </c>
      <c r="V7059" s="422" t="s">
        <v>2813</v>
      </c>
    </row>
    <row r="7060" spans="1:22" ht="15.75" thickBot="1" x14ac:dyDescent="0.3">
      <c r="A7060" t="s">
        <v>543</v>
      </c>
      <c r="B7060" s="424" t="str">
        <f t="shared" si="309"/>
        <v>Barraqueiro Transportes</v>
      </c>
      <c r="C7060" s="424" t="str">
        <f t="shared" si="310"/>
        <v>Boa Viagem</v>
      </c>
      <c r="D7060" t="s">
        <v>629</v>
      </c>
      <c r="F7060" s="432" t="s">
        <v>620</v>
      </c>
      <c r="G7060" s="89">
        <v>2002</v>
      </c>
      <c r="H7060" s="313" t="s">
        <v>732</v>
      </c>
      <c r="I7060" s="311" t="str">
        <f t="shared" si="307"/>
        <v>Pesado de Passageiros M3:  : Gasóleo : E3</v>
      </c>
      <c r="J7060" s="422">
        <v>57</v>
      </c>
      <c r="K7060" s="422">
        <v>2023</v>
      </c>
      <c r="L7060">
        <v>21942.17</v>
      </c>
      <c r="M7060" s="422" t="s">
        <v>630</v>
      </c>
      <c r="N7060" s="131">
        <v>54153</v>
      </c>
      <c r="O7060" s="436">
        <f t="shared" si="308"/>
        <v>3086721</v>
      </c>
      <c r="P7060" s="89">
        <v>626</v>
      </c>
      <c r="Q7060" t="s">
        <v>47</v>
      </c>
      <c r="R7060" s="422" t="s">
        <v>1869</v>
      </c>
      <c r="S7060" s="422" t="s">
        <v>1861</v>
      </c>
      <c r="T7060" s="422"/>
      <c r="U7060" s="422" t="s">
        <v>1953</v>
      </c>
      <c r="V7060" s="422" t="s">
        <v>2813</v>
      </c>
    </row>
    <row r="7061" spans="1:22" ht="15.75" thickBot="1" x14ac:dyDescent="0.3">
      <c r="A7061" t="s">
        <v>543</v>
      </c>
      <c r="B7061" s="424" t="str">
        <f t="shared" si="309"/>
        <v>Barraqueiro Transportes</v>
      </c>
      <c r="C7061" s="424" t="str">
        <f t="shared" si="310"/>
        <v>Boa Viagem</v>
      </c>
      <c r="D7061" t="s">
        <v>629</v>
      </c>
      <c r="F7061" s="432" t="s">
        <v>620</v>
      </c>
      <c r="G7061" s="89">
        <v>2002</v>
      </c>
      <c r="H7061" s="313" t="s">
        <v>732</v>
      </c>
      <c r="I7061" s="311" t="str">
        <f t="shared" si="307"/>
        <v>Pesado de Passageiros M3:  : Gasóleo : E3</v>
      </c>
      <c r="J7061" s="422">
        <v>89</v>
      </c>
      <c r="K7061" s="422">
        <v>2023</v>
      </c>
      <c r="L7061">
        <v>16115.119999999999</v>
      </c>
      <c r="M7061" s="422" t="s">
        <v>630</v>
      </c>
      <c r="N7061" s="131">
        <v>40602</v>
      </c>
      <c r="O7061" s="436">
        <f t="shared" si="308"/>
        <v>3613578</v>
      </c>
      <c r="P7061" s="89">
        <v>628</v>
      </c>
      <c r="Q7061" t="s">
        <v>47</v>
      </c>
      <c r="R7061" s="422" t="s">
        <v>1869</v>
      </c>
      <c r="S7061" s="422" t="s">
        <v>1861</v>
      </c>
      <c r="T7061" s="422"/>
      <c r="U7061" s="422" t="s">
        <v>1953</v>
      </c>
      <c r="V7061" s="422" t="s">
        <v>2813</v>
      </c>
    </row>
    <row r="7062" spans="1:22" ht="15.75" thickBot="1" x14ac:dyDescent="0.3">
      <c r="A7062" t="s">
        <v>543</v>
      </c>
      <c r="B7062" s="424" t="str">
        <f t="shared" si="309"/>
        <v>Barraqueiro Transportes</v>
      </c>
      <c r="C7062" s="424" t="str">
        <f t="shared" si="310"/>
        <v>Boa Viagem</v>
      </c>
      <c r="D7062" t="s">
        <v>629</v>
      </c>
      <c r="F7062" s="432" t="s">
        <v>620</v>
      </c>
      <c r="G7062" s="89">
        <v>2002</v>
      </c>
      <c r="H7062" s="313" t="s">
        <v>732</v>
      </c>
      <c r="I7062" s="311" t="str">
        <f t="shared" si="307"/>
        <v>Pesado de Passageiros M3:  : Gasóleo : E3</v>
      </c>
      <c r="J7062" s="422">
        <v>89</v>
      </c>
      <c r="K7062" s="422">
        <v>2023</v>
      </c>
      <c r="L7062">
        <v>18073.82</v>
      </c>
      <c r="M7062" s="422" t="s">
        <v>630</v>
      </c>
      <c r="N7062" s="131">
        <v>45195</v>
      </c>
      <c r="O7062" s="436">
        <f t="shared" si="308"/>
        <v>4022355</v>
      </c>
      <c r="P7062" s="89">
        <v>631</v>
      </c>
      <c r="Q7062" t="s">
        <v>47</v>
      </c>
      <c r="R7062" s="422" t="s">
        <v>1869</v>
      </c>
      <c r="S7062" s="422" t="s">
        <v>1861</v>
      </c>
      <c r="T7062" s="422"/>
      <c r="U7062" s="422" t="s">
        <v>1953</v>
      </c>
      <c r="V7062" s="422" t="s">
        <v>2813</v>
      </c>
    </row>
    <row r="7063" spans="1:22" ht="15.75" thickBot="1" x14ac:dyDescent="0.3">
      <c r="A7063" t="s">
        <v>543</v>
      </c>
      <c r="B7063" s="424" t="str">
        <f t="shared" si="309"/>
        <v>Barraqueiro Transportes</v>
      </c>
      <c r="C7063" s="424" t="str">
        <f t="shared" si="310"/>
        <v>Boa Viagem</v>
      </c>
      <c r="D7063" t="s">
        <v>629</v>
      </c>
      <c r="F7063" s="432" t="s">
        <v>620</v>
      </c>
      <c r="G7063" s="89">
        <v>2000</v>
      </c>
      <c r="H7063" s="313" t="s">
        <v>735</v>
      </c>
      <c r="I7063" s="311" t="str">
        <f t="shared" si="307"/>
        <v>Pesado de Passageiros M3:  : Gasóleo : E2</v>
      </c>
      <c r="J7063" s="422">
        <v>83</v>
      </c>
      <c r="K7063" s="422">
        <v>2023</v>
      </c>
      <c r="L7063">
        <v>7321.36</v>
      </c>
      <c r="M7063" s="422" t="s">
        <v>630</v>
      </c>
      <c r="N7063" s="131">
        <v>17714</v>
      </c>
      <c r="O7063" s="436">
        <f t="shared" si="308"/>
        <v>1470262</v>
      </c>
      <c r="P7063" s="89">
        <v>632</v>
      </c>
      <c r="Q7063" t="s">
        <v>47</v>
      </c>
      <c r="R7063" s="422" t="s">
        <v>1869</v>
      </c>
      <c r="S7063" s="422" t="s">
        <v>1861</v>
      </c>
      <c r="T7063" s="422"/>
      <c r="U7063" s="422" t="s">
        <v>1953</v>
      </c>
      <c r="V7063" s="422" t="s">
        <v>2813</v>
      </c>
    </row>
    <row r="7064" spans="1:22" ht="15.75" thickBot="1" x14ac:dyDescent="0.3">
      <c r="A7064" t="s">
        <v>543</v>
      </c>
      <c r="B7064" s="424" t="str">
        <f t="shared" si="309"/>
        <v>Barraqueiro Transportes</v>
      </c>
      <c r="C7064" s="424" t="str">
        <f t="shared" si="310"/>
        <v>Boa Viagem</v>
      </c>
      <c r="D7064" t="s">
        <v>629</v>
      </c>
      <c r="F7064" s="432" t="s">
        <v>620</v>
      </c>
      <c r="G7064" s="89">
        <v>2004</v>
      </c>
      <c r="H7064" s="313" t="s">
        <v>732</v>
      </c>
      <c r="I7064" s="311" t="str">
        <f t="shared" si="307"/>
        <v>Pesado de Passageiros M3:  : Gasóleo : E3</v>
      </c>
      <c r="J7064" s="422">
        <v>85</v>
      </c>
      <c r="K7064" s="422">
        <v>2023</v>
      </c>
      <c r="L7064">
        <v>20934.814000000002</v>
      </c>
      <c r="M7064" s="422" t="s">
        <v>630</v>
      </c>
      <c r="N7064" s="131">
        <v>54280</v>
      </c>
      <c r="O7064" s="436">
        <f t="shared" si="308"/>
        <v>4613800</v>
      </c>
      <c r="P7064" s="89">
        <v>637</v>
      </c>
      <c r="Q7064" t="s">
        <v>47</v>
      </c>
      <c r="R7064" s="422" t="s">
        <v>1869</v>
      </c>
      <c r="S7064" s="422" t="s">
        <v>1861</v>
      </c>
      <c r="T7064" s="422"/>
      <c r="U7064" s="422" t="s">
        <v>1953</v>
      </c>
      <c r="V7064" s="422" t="s">
        <v>2813</v>
      </c>
    </row>
    <row r="7065" spans="1:22" ht="15.75" thickBot="1" x14ac:dyDescent="0.3">
      <c r="A7065" t="s">
        <v>543</v>
      </c>
      <c r="B7065" s="424" t="str">
        <f t="shared" si="309"/>
        <v>Barraqueiro Transportes</v>
      </c>
      <c r="C7065" s="424" t="str">
        <f t="shared" si="310"/>
        <v>Boa Viagem</v>
      </c>
      <c r="D7065" t="s">
        <v>629</v>
      </c>
      <c r="F7065" s="432" t="s">
        <v>620</v>
      </c>
      <c r="G7065" s="89">
        <v>2004</v>
      </c>
      <c r="H7065" s="313" t="s">
        <v>732</v>
      </c>
      <c r="I7065" s="311" t="str">
        <f t="shared" si="307"/>
        <v>Pesado de Passageiros M3:  : Gasóleo : E3</v>
      </c>
      <c r="J7065" s="422">
        <v>85</v>
      </c>
      <c r="K7065" s="422">
        <v>2023</v>
      </c>
      <c r="L7065">
        <v>15649.12</v>
      </c>
      <c r="M7065" s="422" t="s">
        <v>630</v>
      </c>
      <c r="N7065" s="131">
        <v>40622</v>
      </c>
      <c r="O7065" s="436">
        <f t="shared" si="308"/>
        <v>3452870</v>
      </c>
      <c r="P7065" s="89">
        <v>639</v>
      </c>
      <c r="Q7065" t="s">
        <v>47</v>
      </c>
      <c r="R7065" s="422" t="s">
        <v>1869</v>
      </c>
      <c r="S7065" s="422" t="s">
        <v>1861</v>
      </c>
      <c r="T7065" s="422"/>
      <c r="U7065" s="422" t="s">
        <v>1953</v>
      </c>
      <c r="V7065" s="422" t="s">
        <v>2813</v>
      </c>
    </row>
    <row r="7066" spans="1:22" ht="15.75" thickBot="1" x14ac:dyDescent="0.3">
      <c r="A7066" t="s">
        <v>543</v>
      </c>
      <c r="B7066" s="424" t="str">
        <f t="shared" si="309"/>
        <v>Barraqueiro Transportes</v>
      </c>
      <c r="C7066" s="424" t="str">
        <f t="shared" si="310"/>
        <v>Boa Viagem</v>
      </c>
      <c r="D7066" t="s">
        <v>629</v>
      </c>
      <c r="F7066" s="432" t="s">
        <v>620</v>
      </c>
      <c r="G7066" s="89">
        <v>2003</v>
      </c>
      <c r="H7066" s="313" t="s">
        <v>732</v>
      </c>
      <c r="I7066" s="311" t="str">
        <f t="shared" si="307"/>
        <v>Pesado de Passageiros M3:  : Gasóleo : E3</v>
      </c>
      <c r="J7066" s="422">
        <v>74</v>
      </c>
      <c r="K7066" s="422">
        <v>2023</v>
      </c>
      <c r="L7066">
        <v>20663.66</v>
      </c>
      <c r="M7066" s="422" t="s">
        <v>630</v>
      </c>
      <c r="N7066" s="131">
        <v>51746</v>
      </c>
      <c r="O7066" s="436">
        <f t="shared" si="308"/>
        <v>3829204</v>
      </c>
      <c r="P7066" s="89">
        <v>679</v>
      </c>
      <c r="Q7066" t="s">
        <v>47</v>
      </c>
      <c r="R7066" s="422" t="s">
        <v>1869</v>
      </c>
      <c r="S7066" s="422" t="s">
        <v>1861</v>
      </c>
      <c r="T7066" s="422"/>
      <c r="U7066" s="422" t="s">
        <v>1953</v>
      </c>
      <c r="V7066" s="422" t="s">
        <v>2813</v>
      </c>
    </row>
    <row r="7067" spans="1:22" ht="15.75" thickBot="1" x14ac:dyDescent="0.3">
      <c r="A7067" t="s">
        <v>543</v>
      </c>
      <c r="B7067" s="424" t="str">
        <f t="shared" si="309"/>
        <v>Barraqueiro Transportes</v>
      </c>
      <c r="C7067" s="424" t="str">
        <f t="shared" si="310"/>
        <v>Boa Viagem</v>
      </c>
      <c r="D7067" t="s">
        <v>629</v>
      </c>
      <c r="F7067" s="432" t="s">
        <v>620</v>
      </c>
      <c r="G7067" s="89">
        <v>2005</v>
      </c>
      <c r="H7067" s="313" t="s">
        <v>732</v>
      </c>
      <c r="I7067" s="311" t="str">
        <f t="shared" si="307"/>
        <v>Pesado de Passageiros M3:  : Gasóleo : E3</v>
      </c>
      <c r="J7067" s="422">
        <v>75</v>
      </c>
      <c r="K7067" s="422">
        <v>2023</v>
      </c>
      <c r="L7067">
        <v>21203.169999999995</v>
      </c>
      <c r="M7067" s="422" t="s">
        <v>630</v>
      </c>
      <c r="N7067" s="131">
        <v>60517</v>
      </c>
      <c r="O7067" s="436">
        <f t="shared" si="308"/>
        <v>4538775</v>
      </c>
      <c r="P7067" s="89">
        <v>694</v>
      </c>
      <c r="Q7067" t="s">
        <v>47</v>
      </c>
      <c r="R7067" s="422" t="s">
        <v>1869</v>
      </c>
      <c r="S7067" s="422" t="s">
        <v>1861</v>
      </c>
      <c r="T7067" s="422"/>
      <c r="U7067" s="422" t="s">
        <v>1953</v>
      </c>
      <c r="V7067" s="422" t="s">
        <v>2813</v>
      </c>
    </row>
    <row r="7068" spans="1:22" ht="15.75" thickBot="1" x14ac:dyDescent="0.3">
      <c r="A7068" t="s">
        <v>543</v>
      </c>
      <c r="B7068" s="424" t="str">
        <f t="shared" si="309"/>
        <v>Barraqueiro Transportes</v>
      </c>
      <c r="C7068" s="424" t="str">
        <f t="shared" si="310"/>
        <v>Boa Viagem</v>
      </c>
      <c r="D7068" t="s">
        <v>629</v>
      </c>
      <c r="F7068" s="432" t="s">
        <v>620</v>
      </c>
      <c r="G7068" s="89">
        <v>2005</v>
      </c>
      <c r="H7068" s="313" t="s">
        <v>732</v>
      </c>
      <c r="I7068" s="311" t="str">
        <f t="shared" si="307"/>
        <v>Pesado de Passageiros M3:  : Gasóleo : E3</v>
      </c>
      <c r="J7068" s="422">
        <v>75</v>
      </c>
      <c r="K7068" s="422">
        <v>2023</v>
      </c>
      <c r="L7068">
        <v>15183.84</v>
      </c>
      <c r="M7068" s="422" t="s">
        <v>630</v>
      </c>
      <c r="N7068" s="131">
        <v>40034</v>
      </c>
      <c r="O7068" s="436">
        <f t="shared" si="308"/>
        <v>3002550</v>
      </c>
      <c r="P7068" s="89">
        <v>695</v>
      </c>
      <c r="Q7068" t="s">
        <v>47</v>
      </c>
      <c r="R7068" s="422" t="s">
        <v>1869</v>
      </c>
      <c r="S7068" s="422" t="s">
        <v>1861</v>
      </c>
      <c r="T7068" s="422"/>
      <c r="U7068" s="422" t="s">
        <v>1953</v>
      </c>
      <c r="V7068" s="422" t="s">
        <v>2813</v>
      </c>
    </row>
    <row r="7069" spans="1:22" ht="15.75" thickBot="1" x14ac:dyDescent="0.3">
      <c r="A7069" t="s">
        <v>543</v>
      </c>
      <c r="B7069" s="424" t="str">
        <f t="shared" si="309"/>
        <v>Barraqueiro Transportes</v>
      </c>
      <c r="C7069" s="424" t="str">
        <f t="shared" si="310"/>
        <v>Boa Viagem</v>
      </c>
      <c r="D7069" t="s">
        <v>629</v>
      </c>
      <c r="F7069" s="432" t="s">
        <v>620</v>
      </c>
      <c r="G7069" s="89">
        <v>2001</v>
      </c>
      <c r="H7069" s="313" t="s">
        <v>732</v>
      </c>
      <c r="I7069" s="311" t="str">
        <f t="shared" si="307"/>
        <v>Pesado de Passageiros M3:  : Gasóleo : E3</v>
      </c>
      <c r="J7069" s="422">
        <v>55</v>
      </c>
      <c r="K7069" s="422">
        <v>2023</v>
      </c>
      <c r="L7069">
        <v>16506.509999999998</v>
      </c>
      <c r="M7069" s="422" t="s">
        <v>630</v>
      </c>
      <c r="N7069" s="131">
        <v>43443</v>
      </c>
      <c r="O7069" s="436">
        <f t="shared" si="308"/>
        <v>2389365</v>
      </c>
      <c r="P7069" s="89">
        <v>707</v>
      </c>
      <c r="Q7069" t="s">
        <v>47</v>
      </c>
      <c r="R7069" s="422" t="s">
        <v>1869</v>
      </c>
      <c r="S7069" s="422" t="s">
        <v>1861</v>
      </c>
      <c r="T7069" s="422"/>
      <c r="U7069" s="422" t="s">
        <v>1953</v>
      </c>
      <c r="V7069" s="422" t="s">
        <v>2813</v>
      </c>
    </row>
    <row r="7070" spans="1:22" ht="15.75" thickBot="1" x14ac:dyDescent="0.3">
      <c r="A7070" t="s">
        <v>543</v>
      </c>
      <c r="B7070" s="424" t="str">
        <f t="shared" si="309"/>
        <v>Barraqueiro Transportes</v>
      </c>
      <c r="C7070" s="424" t="str">
        <f t="shared" si="310"/>
        <v>Boa Viagem</v>
      </c>
      <c r="D7070" t="s">
        <v>629</v>
      </c>
      <c r="F7070" s="432" t="s">
        <v>620</v>
      </c>
      <c r="G7070" s="89">
        <v>2000</v>
      </c>
      <c r="H7070" s="313" t="s">
        <v>735</v>
      </c>
      <c r="I7070" s="311" t="str">
        <f t="shared" si="307"/>
        <v>Pesado de Passageiros M3:  : Gasóleo : E2</v>
      </c>
      <c r="J7070" s="422">
        <v>60</v>
      </c>
      <c r="K7070" s="422">
        <v>2023</v>
      </c>
      <c r="L7070">
        <v>12143.169999999998</v>
      </c>
      <c r="M7070" s="422" t="s">
        <v>630</v>
      </c>
      <c r="N7070" s="131">
        <v>32153</v>
      </c>
      <c r="O7070" s="436">
        <f t="shared" si="308"/>
        <v>1929180</v>
      </c>
      <c r="P7070" s="89">
        <v>708</v>
      </c>
      <c r="Q7070" t="s">
        <v>47</v>
      </c>
      <c r="R7070" s="422" t="s">
        <v>1869</v>
      </c>
      <c r="S7070" s="422" t="s">
        <v>1861</v>
      </c>
      <c r="T7070" s="422"/>
      <c r="U7070" s="422" t="s">
        <v>1953</v>
      </c>
      <c r="V7070" s="422" t="s">
        <v>2813</v>
      </c>
    </row>
    <row r="7071" spans="1:22" ht="15.75" thickBot="1" x14ac:dyDescent="0.3">
      <c r="A7071" t="s">
        <v>543</v>
      </c>
      <c r="B7071" s="424" t="str">
        <f t="shared" si="309"/>
        <v>Barraqueiro Transportes</v>
      </c>
      <c r="C7071" s="424" t="str">
        <f t="shared" si="310"/>
        <v>Boa Viagem</v>
      </c>
      <c r="D7071" t="s">
        <v>629</v>
      </c>
      <c r="F7071" s="432" t="s">
        <v>620</v>
      </c>
      <c r="G7071" s="89">
        <v>2004</v>
      </c>
      <c r="H7071" s="313" t="s">
        <v>732</v>
      </c>
      <c r="I7071" s="311" t="str">
        <f t="shared" si="307"/>
        <v>Pesado de Passageiros M3:  : Gasóleo : E3</v>
      </c>
      <c r="J7071" s="422">
        <v>51</v>
      </c>
      <c r="K7071" s="422">
        <v>2023</v>
      </c>
      <c r="L7071">
        <v>15238.73</v>
      </c>
      <c r="M7071" s="422" t="s">
        <v>630</v>
      </c>
      <c r="N7071" s="131">
        <v>41428</v>
      </c>
      <c r="O7071" s="436">
        <f t="shared" si="308"/>
        <v>2112828</v>
      </c>
      <c r="P7071" s="89">
        <v>716</v>
      </c>
      <c r="Q7071" t="s">
        <v>47</v>
      </c>
      <c r="R7071" s="422" t="s">
        <v>1869</v>
      </c>
      <c r="S7071" s="422" t="s">
        <v>1861</v>
      </c>
      <c r="T7071" s="422"/>
      <c r="U7071" s="422" t="s">
        <v>1953</v>
      </c>
      <c r="V7071" s="422" t="s">
        <v>2813</v>
      </c>
    </row>
    <row r="7072" spans="1:22" ht="15.75" thickBot="1" x14ac:dyDescent="0.3">
      <c r="A7072" t="s">
        <v>543</v>
      </c>
      <c r="B7072" s="424" t="str">
        <f t="shared" si="309"/>
        <v>Barraqueiro Transportes</v>
      </c>
      <c r="C7072" s="424" t="str">
        <f t="shared" si="310"/>
        <v>Boa Viagem</v>
      </c>
      <c r="D7072" t="s">
        <v>629</v>
      </c>
      <c r="F7072" s="432" t="s">
        <v>620</v>
      </c>
      <c r="G7072" s="89">
        <v>2004</v>
      </c>
      <c r="H7072" s="313" t="s">
        <v>732</v>
      </c>
      <c r="I7072" s="311" t="str">
        <f t="shared" si="307"/>
        <v>Pesado de Passageiros M3:  : Gasóleo : E3</v>
      </c>
      <c r="J7072" s="422">
        <v>51</v>
      </c>
      <c r="K7072" s="422">
        <v>2023</v>
      </c>
      <c r="L7072">
        <v>13264.660000000002</v>
      </c>
      <c r="M7072" s="422" t="s">
        <v>630</v>
      </c>
      <c r="N7072" s="131">
        <v>36306</v>
      </c>
      <c r="O7072" s="436">
        <f t="shared" si="308"/>
        <v>1851606</v>
      </c>
      <c r="P7072" s="89">
        <v>717</v>
      </c>
      <c r="Q7072" t="s">
        <v>47</v>
      </c>
      <c r="R7072" s="422" t="s">
        <v>1869</v>
      </c>
      <c r="S7072" s="422" t="s">
        <v>1861</v>
      </c>
      <c r="T7072" s="422"/>
      <c r="U7072" s="422" t="s">
        <v>1953</v>
      </c>
      <c r="V7072" s="422" t="s">
        <v>2813</v>
      </c>
    </row>
    <row r="7073" spans="1:22" ht="15.75" thickBot="1" x14ac:dyDescent="0.3">
      <c r="A7073" t="s">
        <v>543</v>
      </c>
      <c r="B7073" s="424" t="str">
        <f t="shared" si="309"/>
        <v>Barraqueiro Transportes</v>
      </c>
      <c r="C7073" s="424" t="str">
        <f t="shared" si="310"/>
        <v>Boa Viagem</v>
      </c>
      <c r="D7073" t="s">
        <v>629</v>
      </c>
      <c r="F7073" s="432" t="s">
        <v>620</v>
      </c>
      <c r="G7073" s="89">
        <v>2004</v>
      </c>
      <c r="H7073" s="313" t="s">
        <v>732</v>
      </c>
      <c r="I7073" s="311" t="str">
        <f t="shared" si="307"/>
        <v>Pesado de Passageiros M3:  : Gasóleo : E3</v>
      </c>
      <c r="J7073" s="422">
        <v>51</v>
      </c>
      <c r="K7073" s="422">
        <v>2023</v>
      </c>
      <c r="L7073">
        <v>16538.53</v>
      </c>
      <c r="M7073" s="422" t="s">
        <v>630</v>
      </c>
      <c r="N7073" s="131">
        <v>42097</v>
      </c>
      <c r="O7073" s="436">
        <f t="shared" si="308"/>
        <v>2146947</v>
      </c>
      <c r="P7073" s="89">
        <v>718</v>
      </c>
      <c r="Q7073" t="s">
        <v>47</v>
      </c>
      <c r="R7073" s="422" t="s">
        <v>1869</v>
      </c>
      <c r="S7073" s="422" t="s">
        <v>1861</v>
      </c>
      <c r="T7073" s="422"/>
      <c r="U7073" s="422" t="s">
        <v>1953</v>
      </c>
      <c r="V7073" s="422" t="s">
        <v>2813</v>
      </c>
    </row>
    <row r="7074" spans="1:22" ht="15.75" thickBot="1" x14ac:dyDescent="0.3">
      <c r="A7074" t="s">
        <v>543</v>
      </c>
      <c r="B7074" s="424" t="str">
        <f t="shared" si="309"/>
        <v>Barraqueiro Transportes</v>
      </c>
      <c r="C7074" s="424" t="str">
        <f t="shared" si="310"/>
        <v>Boa Viagem</v>
      </c>
      <c r="D7074" t="s">
        <v>629</v>
      </c>
      <c r="F7074" s="432" t="s">
        <v>620</v>
      </c>
      <c r="G7074" s="89">
        <v>2002</v>
      </c>
      <c r="H7074" s="313" t="s">
        <v>732</v>
      </c>
      <c r="I7074" s="311" t="str">
        <f t="shared" ref="I7074:I7137" si="311">D7074&amp;": "&amp;E7074&amp;" : "&amp;F7074&amp;" : "&amp;H7074</f>
        <v>Pesado de Passageiros M3:  : Gasóleo : E3</v>
      </c>
      <c r="J7074" s="422">
        <v>75</v>
      </c>
      <c r="K7074" s="422">
        <v>2023</v>
      </c>
      <c r="L7074">
        <v>20473.960000000003</v>
      </c>
      <c r="M7074" s="422" t="s">
        <v>630</v>
      </c>
      <c r="N7074" s="131">
        <v>50259</v>
      </c>
      <c r="O7074" s="436">
        <f t="shared" si="308"/>
        <v>3769425</v>
      </c>
      <c r="P7074" s="89">
        <v>723</v>
      </c>
      <c r="Q7074" t="s">
        <v>47</v>
      </c>
      <c r="R7074" s="422" t="s">
        <v>1869</v>
      </c>
      <c r="S7074" s="422" t="s">
        <v>1861</v>
      </c>
      <c r="T7074" s="422"/>
      <c r="U7074" s="422" t="s">
        <v>1953</v>
      </c>
      <c r="V7074" s="422" t="s">
        <v>2813</v>
      </c>
    </row>
    <row r="7075" spans="1:22" ht="15.75" thickBot="1" x14ac:dyDescent="0.3">
      <c r="A7075" t="s">
        <v>543</v>
      </c>
      <c r="B7075" s="424" t="str">
        <f t="shared" si="309"/>
        <v>Barraqueiro Transportes</v>
      </c>
      <c r="C7075" s="424" t="str">
        <f t="shared" si="310"/>
        <v>Boa Viagem</v>
      </c>
      <c r="D7075" t="s">
        <v>629</v>
      </c>
      <c r="F7075" s="432" t="s">
        <v>620</v>
      </c>
      <c r="G7075" s="89">
        <v>2004</v>
      </c>
      <c r="H7075" s="313" t="s">
        <v>732</v>
      </c>
      <c r="I7075" s="311" t="str">
        <f t="shared" si="311"/>
        <v>Pesado de Passageiros M3:  : Gasóleo : E3</v>
      </c>
      <c r="J7075" s="422">
        <v>82</v>
      </c>
      <c r="K7075" s="422">
        <v>2023</v>
      </c>
      <c r="L7075">
        <v>16494.449999999997</v>
      </c>
      <c r="M7075" s="422" t="s">
        <v>630</v>
      </c>
      <c r="N7075" s="131">
        <v>49994</v>
      </c>
      <c r="O7075" s="436">
        <f t="shared" si="308"/>
        <v>4099508</v>
      </c>
      <c r="P7075" s="89">
        <v>729</v>
      </c>
      <c r="Q7075" t="s">
        <v>47</v>
      </c>
      <c r="R7075" s="422" t="s">
        <v>1869</v>
      </c>
      <c r="S7075" s="422" t="s">
        <v>1861</v>
      </c>
      <c r="T7075" s="422"/>
      <c r="U7075" s="422" t="s">
        <v>1953</v>
      </c>
      <c r="V7075" s="422" t="s">
        <v>2813</v>
      </c>
    </row>
    <row r="7076" spans="1:22" ht="15.75" thickBot="1" x14ac:dyDescent="0.3">
      <c r="A7076" t="s">
        <v>543</v>
      </c>
      <c r="B7076" s="424" t="str">
        <f t="shared" si="309"/>
        <v>Barraqueiro Transportes</v>
      </c>
      <c r="C7076" s="424" t="str">
        <f t="shared" si="310"/>
        <v>Boa Viagem</v>
      </c>
      <c r="D7076" t="s">
        <v>629</v>
      </c>
      <c r="F7076" s="432" t="s">
        <v>620</v>
      </c>
      <c r="G7076" s="89">
        <v>2015</v>
      </c>
      <c r="H7076" s="313" t="s">
        <v>733</v>
      </c>
      <c r="I7076" s="311" t="str">
        <f t="shared" si="311"/>
        <v>Pesado de Passageiros M3:  : Gasóleo : E6</v>
      </c>
      <c r="J7076" s="422">
        <v>25</v>
      </c>
      <c r="K7076" s="422">
        <v>2023</v>
      </c>
      <c r="L7076">
        <v>5880.28</v>
      </c>
      <c r="M7076" s="422" t="s">
        <v>630</v>
      </c>
      <c r="N7076" s="131">
        <v>32262</v>
      </c>
      <c r="O7076" s="436">
        <f t="shared" si="308"/>
        <v>806550</v>
      </c>
      <c r="P7076" s="89">
        <v>736</v>
      </c>
      <c r="Q7076" t="s">
        <v>47</v>
      </c>
      <c r="R7076" s="422" t="s">
        <v>1869</v>
      </c>
      <c r="S7076" s="422" t="s">
        <v>1861</v>
      </c>
      <c r="T7076" s="422"/>
      <c r="U7076" s="422" t="s">
        <v>1953</v>
      </c>
      <c r="V7076" s="422" t="s">
        <v>2813</v>
      </c>
    </row>
    <row r="7077" spans="1:22" ht="15.75" thickBot="1" x14ac:dyDescent="0.3">
      <c r="A7077" t="s">
        <v>543</v>
      </c>
      <c r="B7077" s="424" t="str">
        <f t="shared" si="309"/>
        <v>Barraqueiro Transportes</v>
      </c>
      <c r="C7077" s="424" t="str">
        <f t="shared" si="310"/>
        <v>Boa Viagem</v>
      </c>
      <c r="D7077" t="s">
        <v>629</v>
      </c>
      <c r="F7077" s="432" t="s">
        <v>620</v>
      </c>
      <c r="G7077" s="89">
        <v>2015</v>
      </c>
      <c r="H7077" s="313" t="s">
        <v>733</v>
      </c>
      <c r="I7077" s="311" t="str">
        <f t="shared" si="311"/>
        <v>Pesado de Passageiros M3:  : Gasóleo : E6</v>
      </c>
      <c r="J7077" s="422">
        <v>25</v>
      </c>
      <c r="K7077" s="422">
        <v>2023</v>
      </c>
      <c r="L7077">
        <v>3024.12</v>
      </c>
      <c r="M7077" s="422" t="s">
        <v>630</v>
      </c>
      <c r="N7077" s="131">
        <v>17251</v>
      </c>
      <c r="O7077" s="436">
        <f t="shared" si="308"/>
        <v>431275</v>
      </c>
      <c r="P7077" s="89">
        <v>752</v>
      </c>
      <c r="Q7077" t="s">
        <v>47</v>
      </c>
      <c r="R7077" s="422" t="s">
        <v>1869</v>
      </c>
      <c r="S7077" s="422" t="s">
        <v>1861</v>
      </c>
      <c r="T7077" s="422"/>
      <c r="U7077" s="422" t="s">
        <v>1953</v>
      </c>
      <c r="V7077" s="422" t="s">
        <v>2813</v>
      </c>
    </row>
    <row r="7078" spans="1:22" ht="15.75" thickBot="1" x14ac:dyDescent="0.3">
      <c r="A7078" t="s">
        <v>543</v>
      </c>
      <c r="B7078" s="424" t="str">
        <f t="shared" si="309"/>
        <v>Barraqueiro Transportes</v>
      </c>
      <c r="C7078" s="424" t="str">
        <f t="shared" si="310"/>
        <v>Boa Viagem</v>
      </c>
      <c r="D7078" t="s">
        <v>629</v>
      </c>
      <c r="F7078" s="432" t="s">
        <v>620</v>
      </c>
      <c r="G7078" s="89">
        <v>2011</v>
      </c>
      <c r="H7078" s="313" t="s">
        <v>734</v>
      </c>
      <c r="I7078" s="311" t="str">
        <f t="shared" si="311"/>
        <v>Pesado de Passageiros M3:  : Gasóleo : E5</v>
      </c>
      <c r="J7078" s="422">
        <v>51</v>
      </c>
      <c r="K7078" s="422">
        <v>2023</v>
      </c>
      <c r="L7078">
        <v>16187.21</v>
      </c>
      <c r="M7078" s="422" t="s">
        <v>630</v>
      </c>
      <c r="N7078" s="131">
        <v>45603</v>
      </c>
      <c r="O7078" s="436">
        <f t="shared" ref="O7078:O7141" si="312">N7078*J7078</f>
        <v>2325753</v>
      </c>
      <c r="P7078" s="89">
        <v>759</v>
      </c>
      <c r="Q7078" t="s">
        <v>47</v>
      </c>
      <c r="R7078" s="422" t="s">
        <v>1869</v>
      </c>
      <c r="S7078" s="422" t="s">
        <v>1861</v>
      </c>
      <c r="T7078" s="422"/>
      <c r="U7078" s="422" t="s">
        <v>1953</v>
      </c>
      <c r="V7078" s="422" t="s">
        <v>2813</v>
      </c>
    </row>
    <row r="7079" spans="1:22" ht="15.75" thickBot="1" x14ac:dyDescent="0.3">
      <c r="A7079" t="s">
        <v>543</v>
      </c>
      <c r="B7079" s="424" t="str">
        <f t="shared" si="309"/>
        <v>Barraqueiro Transportes</v>
      </c>
      <c r="C7079" s="424" t="str">
        <f t="shared" si="310"/>
        <v>Boa Viagem</v>
      </c>
      <c r="D7079" t="s">
        <v>629</v>
      </c>
      <c r="F7079" s="432" t="s">
        <v>620</v>
      </c>
      <c r="G7079" s="89">
        <v>2008</v>
      </c>
      <c r="H7079" s="313" t="s">
        <v>731</v>
      </c>
      <c r="I7079" s="311" t="str">
        <f t="shared" si="311"/>
        <v>Pesado de Passageiros M3:  : Gasóleo : E4</v>
      </c>
      <c r="J7079" s="422">
        <v>34</v>
      </c>
      <c r="K7079" s="422">
        <v>2023</v>
      </c>
      <c r="L7079">
        <v>1883.96</v>
      </c>
      <c r="M7079" s="422" t="s">
        <v>630</v>
      </c>
      <c r="N7079" s="131">
        <v>5811</v>
      </c>
      <c r="O7079" s="436">
        <f t="shared" si="312"/>
        <v>197574</v>
      </c>
      <c r="P7079" s="89">
        <v>777</v>
      </c>
      <c r="Q7079" t="s">
        <v>47</v>
      </c>
      <c r="R7079" s="422" t="s">
        <v>1869</v>
      </c>
      <c r="S7079" s="422" t="s">
        <v>1861</v>
      </c>
      <c r="T7079" s="422"/>
      <c r="U7079" s="422" t="s">
        <v>1953</v>
      </c>
      <c r="V7079" s="422" t="s">
        <v>2813</v>
      </c>
    </row>
    <row r="7080" spans="1:22" ht="15.75" thickBot="1" x14ac:dyDescent="0.3">
      <c r="A7080" t="s">
        <v>543</v>
      </c>
      <c r="B7080" s="424" t="str">
        <f t="shared" si="309"/>
        <v>Barraqueiro Transportes</v>
      </c>
      <c r="C7080" s="424" t="str">
        <f t="shared" si="310"/>
        <v>Boa Viagem</v>
      </c>
      <c r="D7080" t="s">
        <v>629</v>
      </c>
      <c r="F7080" s="432" t="s">
        <v>620</v>
      </c>
      <c r="G7080" s="89">
        <v>2008</v>
      </c>
      <c r="H7080" s="313" t="s">
        <v>731</v>
      </c>
      <c r="I7080" s="311" t="str">
        <f t="shared" si="311"/>
        <v>Pesado de Passageiros M3:  : Gasóleo : E4</v>
      </c>
      <c r="J7080" s="422">
        <v>83</v>
      </c>
      <c r="K7080" s="422">
        <v>2023</v>
      </c>
      <c r="L7080">
        <v>15882.439999999999</v>
      </c>
      <c r="M7080" s="422" t="s">
        <v>630</v>
      </c>
      <c r="N7080" s="131">
        <v>36181</v>
      </c>
      <c r="O7080" s="436">
        <f t="shared" si="312"/>
        <v>3003023</v>
      </c>
      <c r="P7080" s="89">
        <v>779</v>
      </c>
      <c r="Q7080" t="s">
        <v>47</v>
      </c>
      <c r="R7080" s="422" t="s">
        <v>1869</v>
      </c>
      <c r="S7080" s="422" t="s">
        <v>1861</v>
      </c>
      <c r="T7080" s="422"/>
      <c r="U7080" s="422" t="s">
        <v>1953</v>
      </c>
      <c r="V7080" s="422" t="s">
        <v>2813</v>
      </c>
    </row>
    <row r="7081" spans="1:22" ht="15.75" thickBot="1" x14ac:dyDescent="0.3">
      <c r="A7081" t="s">
        <v>543</v>
      </c>
      <c r="B7081" s="424" t="str">
        <f t="shared" si="309"/>
        <v>Barraqueiro Transportes</v>
      </c>
      <c r="C7081" s="424" t="str">
        <f t="shared" si="310"/>
        <v>Boa Viagem</v>
      </c>
      <c r="D7081" t="s">
        <v>629</v>
      </c>
      <c r="F7081" s="432" t="s">
        <v>620</v>
      </c>
      <c r="G7081" s="89">
        <v>2003</v>
      </c>
      <c r="H7081" s="313" t="s">
        <v>732</v>
      </c>
      <c r="I7081" s="311" t="str">
        <f t="shared" si="311"/>
        <v>Pesado de Passageiros M3:  : Gasóleo : E3</v>
      </c>
      <c r="J7081" s="422">
        <v>81</v>
      </c>
      <c r="K7081" s="422">
        <v>2023</v>
      </c>
      <c r="L7081">
        <v>11687.369999999999</v>
      </c>
      <c r="M7081" s="422" t="s">
        <v>630</v>
      </c>
      <c r="N7081" s="131">
        <v>24243</v>
      </c>
      <c r="O7081" s="436">
        <f t="shared" si="312"/>
        <v>1963683</v>
      </c>
      <c r="P7081" s="89">
        <v>780</v>
      </c>
      <c r="Q7081" t="s">
        <v>47</v>
      </c>
      <c r="R7081" s="422" t="s">
        <v>1869</v>
      </c>
      <c r="S7081" s="422" t="s">
        <v>1861</v>
      </c>
      <c r="T7081" s="422"/>
      <c r="U7081" s="422" t="s">
        <v>1953</v>
      </c>
      <c r="V7081" s="422" t="s">
        <v>2813</v>
      </c>
    </row>
    <row r="7082" spans="1:22" ht="15.75" thickBot="1" x14ac:dyDescent="0.3">
      <c r="A7082" t="s">
        <v>543</v>
      </c>
      <c r="B7082" s="424" t="str">
        <f t="shared" si="309"/>
        <v>Barraqueiro Transportes</v>
      </c>
      <c r="C7082" s="424" t="str">
        <f t="shared" si="310"/>
        <v>Boa Viagem</v>
      </c>
      <c r="D7082" t="s">
        <v>629</v>
      </c>
      <c r="F7082" s="432" t="s">
        <v>620</v>
      </c>
      <c r="G7082" s="89">
        <v>2000</v>
      </c>
      <c r="H7082" s="313" t="s">
        <v>735</v>
      </c>
      <c r="I7082" s="311" t="str">
        <f t="shared" si="311"/>
        <v>Pesado de Passageiros M3:  : Gasóleo : E2</v>
      </c>
      <c r="J7082" s="422">
        <v>50</v>
      </c>
      <c r="K7082" s="422">
        <v>2023</v>
      </c>
      <c r="L7082">
        <v>13139.17</v>
      </c>
      <c r="M7082" s="422" t="s">
        <v>630</v>
      </c>
      <c r="N7082" s="131">
        <v>34905</v>
      </c>
      <c r="O7082" s="436">
        <f t="shared" si="312"/>
        <v>1745250</v>
      </c>
      <c r="P7082" s="89">
        <v>800</v>
      </c>
      <c r="Q7082" t="s">
        <v>47</v>
      </c>
      <c r="R7082" s="422" t="s">
        <v>1869</v>
      </c>
      <c r="S7082" s="422" t="s">
        <v>1861</v>
      </c>
      <c r="T7082" s="422"/>
      <c r="U7082" s="422" t="s">
        <v>1953</v>
      </c>
      <c r="V7082" s="422" t="s">
        <v>2813</v>
      </c>
    </row>
    <row r="7083" spans="1:22" ht="15.75" thickBot="1" x14ac:dyDescent="0.3">
      <c r="A7083" t="s">
        <v>543</v>
      </c>
      <c r="B7083" s="424" t="str">
        <f t="shared" si="309"/>
        <v>Barraqueiro Transportes</v>
      </c>
      <c r="C7083" s="424" t="str">
        <f t="shared" si="310"/>
        <v>Boa Viagem</v>
      </c>
      <c r="D7083" t="s">
        <v>629</v>
      </c>
      <c r="F7083" s="432" t="s">
        <v>620</v>
      </c>
      <c r="G7083" s="89">
        <v>2002</v>
      </c>
      <c r="H7083" s="313" t="s">
        <v>732</v>
      </c>
      <c r="I7083" s="311" t="str">
        <f t="shared" si="311"/>
        <v>Pesado de Passageiros M3:  : Gasóleo : E3</v>
      </c>
      <c r="J7083" s="422">
        <v>62</v>
      </c>
      <c r="K7083" s="422">
        <v>2023</v>
      </c>
      <c r="L7083">
        <v>14014.16</v>
      </c>
      <c r="M7083" s="422" t="s">
        <v>630</v>
      </c>
      <c r="N7083" s="131">
        <v>38876</v>
      </c>
      <c r="O7083" s="436">
        <f t="shared" si="312"/>
        <v>2410312</v>
      </c>
      <c r="P7083" s="89">
        <v>808</v>
      </c>
      <c r="Q7083" t="s">
        <v>47</v>
      </c>
      <c r="R7083" s="422" t="s">
        <v>1869</v>
      </c>
      <c r="S7083" s="422" t="s">
        <v>1861</v>
      </c>
      <c r="T7083" s="422"/>
      <c r="U7083" s="422" t="s">
        <v>1953</v>
      </c>
      <c r="V7083" s="422" t="s">
        <v>2813</v>
      </c>
    </row>
    <row r="7084" spans="1:22" ht="15.75" thickBot="1" x14ac:dyDescent="0.3">
      <c r="A7084" t="s">
        <v>543</v>
      </c>
      <c r="B7084" s="424" t="str">
        <f t="shared" ref="B7084:B7147" si="313">LEFT(A7084,IFERROR(FIND(" - ",A7084)-1,LEN(A7084)))</f>
        <v>Barraqueiro Transportes</v>
      </c>
      <c r="C7084" s="424" t="str">
        <f t="shared" ref="C7084:C7147" si="314">IF(A7084=B7084,B7084,RIGHT(A7084,LEN(A7084)-LEN(B7084)-3))</f>
        <v>Boa Viagem</v>
      </c>
      <c r="D7084" t="s">
        <v>629</v>
      </c>
      <c r="F7084" s="432" t="s">
        <v>620</v>
      </c>
      <c r="G7084" s="89">
        <v>2001</v>
      </c>
      <c r="H7084" s="313" t="s">
        <v>732</v>
      </c>
      <c r="I7084" s="311" t="str">
        <f t="shared" si="311"/>
        <v>Pesado de Passageiros M3:  : Gasóleo : E3</v>
      </c>
      <c r="J7084" s="422">
        <v>62</v>
      </c>
      <c r="K7084" s="422">
        <v>2023</v>
      </c>
      <c r="L7084">
        <v>13159.019999999999</v>
      </c>
      <c r="M7084" s="422" t="s">
        <v>630</v>
      </c>
      <c r="N7084" s="131">
        <v>34595</v>
      </c>
      <c r="O7084" s="436">
        <f t="shared" si="312"/>
        <v>2144890</v>
      </c>
      <c r="P7084" s="89">
        <v>814</v>
      </c>
      <c r="Q7084" t="s">
        <v>47</v>
      </c>
      <c r="R7084" s="422" t="s">
        <v>1869</v>
      </c>
      <c r="S7084" s="422" t="s">
        <v>1861</v>
      </c>
      <c r="T7084" s="422"/>
      <c r="U7084" s="422" t="s">
        <v>1953</v>
      </c>
      <c r="V7084" s="422" t="s">
        <v>2813</v>
      </c>
    </row>
    <row r="7085" spans="1:22" ht="15.75" thickBot="1" x14ac:dyDescent="0.3">
      <c r="A7085" t="s">
        <v>543</v>
      </c>
      <c r="B7085" s="424" t="str">
        <f t="shared" si="313"/>
        <v>Barraqueiro Transportes</v>
      </c>
      <c r="C7085" s="424" t="str">
        <f t="shared" si="314"/>
        <v>Boa Viagem</v>
      </c>
      <c r="D7085" t="s">
        <v>629</v>
      </c>
      <c r="F7085" s="432" t="s">
        <v>620</v>
      </c>
      <c r="G7085" s="89">
        <v>2000</v>
      </c>
      <c r="H7085" s="313" t="s">
        <v>735</v>
      </c>
      <c r="I7085" s="311" t="str">
        <f t="shared" si="311"/>
        <v>Pesado de Passageiros M3:  : Gasóleo : E2</v>
      </c>
      <c r="J7085" s="422">
        <v>83</v>
      </c>
      <c r="K7085" s="422">
        <v>2023</v>
      </c>
      <c r="L7085">
        <v>15728.15</v>
      </c>
      <c r="M7085" s="422" t="s">
        <v>630</v>
      </c>
      <c r="N7085" s="131">
        <v>39292</v>
      </c>
      <c r="O7085" s="436">
        <f t="shared" si="312"/>
        <v>3261236</v>
      </c>
      <c r="P7085" s="89">
        <v>821</v>
      </c>
      <c r="Q7085" t="s">
        <v>47</v>
      </c>
      <c r="R7085" s="422" t="s">
        <v>1869</v>
      </c>
      <c r="S7085" s="422" t="s">
        <v>1861</v>
      </c>
      <c r="T7085" s="422"/>
      <c r="U7085" s="422" t="s">
        <v>1953</v>
      </c>
      <c r="V7085" s="422" t="s">
        <v>2813</v>
      </c>
    </row>
    <row r="7086" spans="1:22" ht="15.75" thickBot="1" x14ac:dyDescent="0.3">
      <c r="A7086" t="s">
        <v>543</v>
      </c>
      <c r="B7086" s="424" t="str">
        <f t="shared" si="313"/>
        <v>Barraqueiro Transportes</v>
      </c>
      <c r="C7086" s="424" t="str">
        <f t="shared" si="314"/>
        <v>Boa Viagem</v>
      </c>
      <c r="D7086" t="s">
        <v>629</v>
      </c>
      <c r="F7086" s="432" t="s">
        <v>620</v>
      </c>
      <c r="G7086" s="89">
        <v>2018</v>
      </c>
      <c r="H7086" s="313" t="s">
        <v>733</v>
      </c>
      <c r="I7086" s="311" t="str">
        <f t="shared" si="311"/>
        <v>Pesado de Passageiros M3:  : Gasóleo : E6</v>
      </c>
      <c r="J7086" s="422">
        <v>29</v>
      </c>
      <c r="K7086" s="422">
        <v>2023</v>
      </c>
      <c r="L7086">
        <v>3009.13</v>
      </c>
      <c r="M7086" s="422" t="s">
        <v>630</v>
      </c>
      <c r="N7086" s="131">
        <v>14407</v>
      </c>
      <c r="O7086" s="436">
        <f t="shared" si="312"/>
        <v>417803</v>
      </c>
      <c r="P7086" s="89">
        <v>851</v>
      </c>
      <c r="Q7086" t="s">
        <v>47</v>
      </c>
      <c r="R7086" s="422" t="s">
        <v>1869</v>
      </c>
      <c r="S7086" s="422" t="s">
        <v>1861</v>
      </c>
      <c r="T7086" s="422"/>
      <c r="U7086" s="422" t="s">
        <v>1953</v>
      </c>
      <c r="V7086" s="422" t="s">
        <v>2813</v>
      </c>
    </row>
    <row r="7087" spans="1:22" ht="15.75" thickBot="1" x14ac:dyDescent="0.3">
      <c r="A7087" t="s">
        <v>543</v>
      </c>
      <c r="B7087" s="424" t="str">
        <f t="shared" si="313"/>
        <v>Barraqueiro Transportes</v>
      </c>
      <c r="C7087" s="424" t="str">
        <f t="shared" si="314"/>
        <v>Boa Viagem</v>
      </c>
      <c r="D7087" t="s">
        <v>629</v>
      </c>
      <c r="F7087" s="432" t="s">
        <v>620</v>
      </c>
      <c r="G7087" s="89">
        <v>2008</v>
      </c>
      <c r="H7087" s="313" t="s">
        <v>731</v>
      </c>
      <c r="I7087" s="311" t="str">
        <f t="shared" si="311"/>
        <v>Pesado de Passageiros M3:  : Gasóleo : E4</v>
      </c>
      <c r="J7087" s="422">
        <v>59</v>
      </c>
      <c r="K7087" s="422">
        <v>2023</v>
      </c>
      <c r="L7087">
        <v>10677.46</v>
      </c>
      <c r="M7087" s="422" t="s">
        <v>630</v>
      </c>
      <c r="N7087" s="131">
        <v>27723</v>
      </c>
      <c r="O7087" s="436">
        <f t="shared" si="312"/>
        <v>1635657</v>
      </c>
      <c r="P7087" s="89">
        <v>859</v>
      </c>
      <c r="Q7087" t="s">
        <v>47</v>
      </c>
      <c r="R7087" s="422" t="s">
        <v>1869</v>
      </c>
      <c r="S7087" s="422" t="s">
        <v>1861</v>
      </c>
      <c r="T7087" s="422"/>
      <c r="U7087" s="422" t="s">
        <v>1953</v>
      </c>
      <c r="V7087" s="422" t="s">
        <v>2813</v>
      </c>
    </row>
    <row r="7088" spans="1:22" ht="15.75" thickBot="1" x14ac:dyDescent="0.3">
      <c r="A7088" t="s">
        <v>543</v>
      </c>
      <c r="B7088" s="424" t="str">
        <f t="shared" si="313"/>
        <v>Barraqueiro Transportes</v>
      </c>
      <c r="C7088" s="424" t="str">
        <f t="shared" si="314"/>
        <v>Boa Viagem</v>
      </c>
      <c r="D7088" t="s">
        <v>629</v>
      </c>
      <c r="F7088" s="432" t="s">
        <v>620</v>
      </c>
      <c r="G7088" s="89">
        <v>2000</v>
      </c>
      <c r="H7088" s="313" t="s">
        <v>735</v>
      </c>
      <c r="I7088" s="311" t="str">
        <f t="shared" si="311"/>
        <v>Pesado de Passageiros M3:  : Gasóleo : E2</v>
      </c>
      <c r="J7088" s="422">
        <v>43</v>
      </c>
      <c r="K7088" s="422">
        <v>2023</v>
      </c>
      <c r="L7088">
        <v>7373.7700000000013</v>
      </c>
      <c r="M7088" s="422" t="s">
        <v>630</v>
      </c>
      <c r="N7088" s="131">
        <v>17378</v>
      </c>
      <c r="O7088" s="436">
        <f t="shared" si="312"/>
        <v>747254</v>
      </c>
      <c r="P7088" s="89">
        <v>874</v>
      </c>
      <c r="Q7088" t="s">
        <v>47</v>
      </c>
      <c r="R7088" s="422" t="s">
        <v>1869</v>
      </c>
      <c r="S7088" s="422" t="s">
        <v>1861</v>
      </c>
      <c r="T7088" s="422"/>
      <c r="U7088" s="422" t="s">
        <v>1953</v>
      </c>
      <c r="V7088" s="422" t="s">
        <v>2813</v>
      </c>
    </row>
    <row r="7089" spans="1:22" ht="15.75" thickBot="1" x14ac:dyDescent="0.3">
      <c r="A7089" t="s">
        <v>543</v>
      </c>
      <c r="B7089" s="424" t="str">
        <f t="shared" si="313"/>
        <v>Barraqueiro Transportes</v>
      </c>
      <c r="C7089" s="424" t="str">
        <f t="shared" si="314"/>
        <v>Boa Viagem</v>
      </c>
      <c r="D7089" t="s">
        <v>629</v>
      </c>
      <c r="F7089" s="432" t="s">
        <v>620</v>
      </c>
      <c r="G7089" s="89">
        <v>1998</v>
      </c>
      <c r="H7089" s="313" t="s">
        <v>736</v>
      </c>
      <c r="I7089" s="311" t="str">
        <f t="shared" si="311"/>
        <v>Pesado de Passageiros M3:  : Gasóleo : E1</v>
      </c>
      <c r="J7089" s="422">
        <v>70</v>
      </c>
      <c r="K7089" s="422">
        <v>2023</v>
      </c>
      <c r="L7089">
        <v>10907.769999999999</v>
      </c>
      <c r="M7089" s="422" t="s">
        <v>630</v>
      </c>
      <c r="N7089" s="131">
        <v>26738</v>
      </c>
      <c r="O7089" s="436">
        <f t="shared" si="312"/>
        <v>1871660</v>
      </c>
      <c r="P7089" s="89">
        <v>884</v>
      </c>
      <c r="Q7089" t="s">
        <v>47</v>
      </c>
      <c r="R7089" s="422" t="s">
        <v>1869</v>
      </c>
      <c r="S7089" s="422" t="s">
        <v>1861</v>
      </c>
      <c r="T7089" s="422"/>
      <c r="U7089" s="422" t="s">
        <v>1953</v>
      </c>
      <c r="V7089" s="422" t="s">
        <v>2813</v>
      </c>
    </row>
    <row r="7090" spans="1:22" ht="15.75" thickBot="1" x14ac:dyDescent="0.3">
      <c r="A7090" t="s">
        <v>543</v>
      </c>
      <c r="B7090" s="424" t="str">
        <f t="shared" si="313"/>
        <v>Barraqueiro Transportes</v>
      </c>
      <c r="C7090" s="424" t="str">
        <f t="shared" si="314"/>
        <v>Boa Viagem</v>
      </c>
      <c r="D7090" t="s">
        <v>629</v>
      </c>
      <c r="F7090" s="432" t="s">
        <v>620</v>
      </c>
      <c r="G7090" s="89">
        <v>1998</v>
      </c>
      <c r="H7090" s="313" t="s">
        <v>736</v>
      </c>
      <c r="I7090" s="311" t="str">
        <f t="shared" si="311"/>
        <v>Pesado de Passageiros M3:  : Gasóleo : E1</v>
      </c>
      <c r="J7090" s="422">
        <v>70</v>
      </c>
      <c r="K7090" s="422">
        <v>2023</v>
      </c>
      <c r="L7090">
        <v>11937.880000000001</v>
      </c>
      <c r="M7090" s="422" t="s">
        <v>630</v>
      </c>
      <c r="N7090" s="131">
        <v>32188</v>
      </c>
      <c r="O7090" s="436">
        <f t="shared" si="312"/>
        <v>2253160</v>
      </c>
      <c r="P7090" s="89">
        <v>886</v>
      </c>
      <c r="Q7090" t="s">
        <v>47</v>
      </c>
      <c r="R7090" s="422" t="s">
        <v>1869</v>
      </c>
      <c r="S7090" s="422" t="s">
        <v>1861</v>
      </c>
      <c r="T7090" s="422"/>
      <c r="U7090" s="422" t="s">
        <v>1953</v>
      </c>
      <c r="V7090" s="422" t="s">
        <v>2813</v>
      </c>
    </row>
    <row r="7091" spans="1:22" ht="15.75" thickBot="1" x14ac:dyDescent="0.3">
      <c r="A7091" t="s">
        <v>543</v>
      </c>
      <c r="B7091" s="424" t="str">
        <f t="shared" si="313"/>
        <v>Barraqueiro Transportes</v>
      </c>
      <c r="C7091" s="424" t="str">
        <f t="shared" si="314"/>
        <v>Boa Viagem</v>
      </c>
      <c r="D7091" t="s">
        <v>629</v>
      </c>
      <c r="F7091" s="432" t="s">
        <v>620</v>
      </c>
      <c r="G7091" s="89">
        <v>2011</v>
      </c>
      <c r="H7091" s="313" t="s">
        <v>734</v>
      </c>
      <c r="I7091" s="311" t="str">
        <f t="shared" si="311"/>
        <v>Pesado de Passageiros M3:  : Gasóleo : E5</v>
      </c>
      <c r="J7091" s="422">
        <v>53</v>
      </c>
      <c r="K7091" s="422">
        <v>2023</v>
      </c>
      <c r="L7091">
        <v>14792.296</v>
      </c>
      <c r="M7091" s="422" t="s">
        <v>630</v>
      </c>
      <c r="N7091" s="131">
        <v>44742</v>
      </c>
      <c r="O7091" s="436">
        <f t="shared" si="312"/>
        <v>2371326</v>
      </c>
      <c r="P7091" s="89">
        <v>891</v>
      </c>
      <c r="Q7091" t="s">
        <v>47</v>
      </c>
      <c r="R7091" s="422" t="s">
        <v>1869</v>
      </c>
      <c r="S7091" s="422" t="s">
        <v>1861</v>
      </c>
      <c r="T7091" s="422"/>
      <c r="U7091" s="422" t="s">
        <v>1953</v>
      </c>
      <c r="V7091" s="422" t="s">
        <v>2813</v>
      </c>
    </row>
    <row r="7092" spans="1:22" ht="15.75" thickBot="1" x14ac:dyDescent="0.3">
      <c r="A7092" t="s">
        <v>543</v>
      </c>
      <c r="B7092" s="424" t="str">
        <f t="shared" si="313"/>
        <v>Barraqueiro Transportes</v>
      </c>
      <c r="C7092" s="424" t="str">
        <f t="shared" si="314"/>
        <v>Boa Viagem</v>
      </c>
      <c r="D7092" t="s">
        <v>629</v>
      </c>
      <c r="F7092" s="432" t="s">
        <v>620</v>
      </c>
      <c r="G7092" s="89">
        <v>2011</v>
      </c>
      <c r="H7092" s="313" t="s">
        <v>734</v>
      </c>
      <c r="I7092" s="311" t="str">
        <f t="shared" si="311"/>
        <v>Pesado de Passageiros M3:  : Gasóleo : E5</v>
      </c>
      <c r="J7092" s="422">
        <v>53</v>
      </c>
      <c r="K7092" s="422">
        <v>2023</v>
      </c>
      <c r="L7092">
        <v>12581.97</v>
      </c>
      <c r="M7092" s="422" t="s">
        <v>630</v>
      </c>
      <c r="N7092" s="131">
        <v>37449</v>
      </c>
      <c r="O7092" s="436">
        <f t="shared" si="312"/>
        <v>1984797</v>
      </c>
      <c r="P7092" s="89">
        <v>892</v>
      </c>
      <c r="Q7092" t="s">
        <v>47</v>
      </c>
      <c r="R7092" s="422" t="s">
        <v>1869</v>
      </c>
      <c r="S7092" s="422" t="s">
        <v>1861</v>
      </c>
      <c r="T7092" s="422"/>
      <c r="U7092" s="422" t="s">
        <v>1953</v>
      </c>
      <c r="V7092" s="422" t="s">
        <v>2813</v>
      </c>
    </row>
    <row r="7093" spans="1:22" ht="15.75" thickBot="1" x14ac:dyDescent="0.3">
      <c r="A7093" t="s">
        <v>543</v>
      </c>
      <c r="B7093" s="424" t="str">
        <f t="shared" si="313"/>
        <v>Barraqueiro Transportes</v>
      </c>
      <c r="C7093" s="424" t="str">
        <f t="shared" si="314"/>
        <v>Boa Viagem</v>
      </c>
      <c r="D7093" t="s">
        <v>629</v>
      </c>
      <c r="F7093" s="432" t="s">
        <v>620</v>
      </c>
      <c r="G7093" s="89">
        <v>1996</v>
      </c>
      <c r="H7093" s="313" t="s">
        <v>736</v>
      </c>
      <c r="I7093" s="311" t="str">
        <f t="shared" si="311"/>
        <v>Pesado de Passageiros M3:  : Gasóleo : E1</v>
      </c>
      <c r="J7093" s="422">
        <v>80</v>
      </c>
      <c r="K7093" s="422">
        <v>2023</v>
      </c>
      <c r="L7093">
        <v>6220.46</v>
      </c>
      <c r="M7093" s="422" t="s">
        <v>630</v>
      </c>
      <c r="N7093" s="131">
        <v>17037</v>
      </c>
      <c r="O7093" s="436">
        <f t="shared" si="312"/>
        <v>1362960</v>
      </c>
      <c r="P7093" s="89">
        <v>909</v>
      </c>
      <c r="Q7093" t="s">
        <v>47</v>
      </c>
      <c r="R7093" s="422" t="s">
        <v>1869</v>
      </c>
      <c r="S7093" s="422" t="s">
        <v>1861</v>
      </c>
      <c r="T7093" s="422"/>
      <c r="U7093" s="422" t="s">
        <v>1953</v>
      </c>
      <c r="V7093" s="422" t="s">
        <v>2813</v>
      </c>
    </row>
    <row r="7094" spans="1:22" ht="15.75" thickBot="1" x14ac:dyDescent="0.3">
      <c r="A7094" t="s">
        <v>543</v>
      </c>
      <c r="B7094" s="424" t="str">
        <f t="shared" si="313"/>
        <v>Barraqueiro Transportes</v>
      </c>
      <c r="C7094" s="424" t="str">
        <f t="shared" si="314"/>
        <v>Boa Viagem</v>
      </c>
      <c r="D7094" t="s">
        <v>629</v>
      </c>
      <c r="F7094" s="432" t="s">
        <v>620</v>
      </c>
      <c r="G7094" s="89">
        <v>2007</v>
      </c>
      <c r="H7094" s="313" t="s">
        <v>731</v>
      </c>
      <c r="I7094" s="311" t="str">
        <f t="shared" si="311"/>
        <v>Pesado de Passageiros M3:  : Gasóleo : E4</v>
      </c>
      <c r="J7094" s="422">
        <v>74</v>
      </c>
      <c r="K7094" s="422">
        <v>2023</v>
      </c>
      <c r="L7094">
        <v>15219.919999999998</v>
      </c>
      <c r="M7094" s="422" t="s">
        <v>630</v>
      </c>
      <c r="N7094" s="131">
        <v>41325</v>
      </c>
      <c r="O7094" s="436">
        <f t="shared" si="312"/>
        <v>3058050</v>
      </c>
      <c r="P7094" s="89">
        <v>932</v>
      </c>
      <c r="Q7094" t="s">
        <v>47</v>
      </c>
      <c r="R7094" s="422" t="s">
        <v>1869</v>
      </c>
      <c r="S7094" s="422" t="s">
        <v>1861</v>
      </c>
      <c r="T7094" s="422"/>
      <c r="U7094" s="422" t="s">
        <v>1953</v>
      </c>
      <c r="V7094" s="422" t="s">
        <v>2813</v>
      </c>
    </row>
    <row r="7095" spans="1:22" ht="15.75" thickBot="1" x14ac:dyDescent="0.3">
      <c r="A7095" t="s">
        <v>543</v>
      </c>
      <c r="B7095" s="424" t="str">
        <f t="shared" si="313"/>
        <v>Barraqueiro Transportes</v>
      </c>
      <c r="C7095" s="424" t="str">
        <f t="shared" si="314"/>
        <v>Boa Viagem</v>
      </c>
      <c r="D7095" t="s">
        <v>629</v>
      </c>
      <c r="F7095" s="432" t="s">
        <v>620</v>
      </c>
      <c r="G7095" s="89">
        <v>2008</v>
      </c>
      <c r="H7095" s="313" t="s">
        <v>731</v>
      </c>
      <c r="I7095" s="311" t="str">
        <f t="shared" si="311"/>
        <v>Pesado de Passageiros M3:  : Gasóleo : E4</v>
      </c>
      <c r="J7095" s="422">
        <v>82</v>
      </c>
      <c r="K7095" s="422">
        <v>2023</v>
      </c>
      <c r="L7095">
        <v>19198.189999999999</v>
      </c>
      <c r="M7095" s="422" t="s">
        <v>630</v>
      </c>
      <c r="N7095" s="131">
        <v>53417</v>
      </c>
      <c r="O7095" s="436">
        <f t="shared" si="312"/>
        <v>4380194</v>
      </c>
      <c r="P7095" s="89">
        <v>938</v>
      </c>
      <c r="Q7095" t="s">
        <v>47</v>
      </c>
      <c r="R7095" s="422" t="s">
        <v>1869</v>
      </c>
      <c r="S7095" s="422" t="s">
        <v>1861</v>
      </c>
      <c r="T7095" s="422"/>
      <c r="U7095" s="422" t="s">
        <v>1953</v>
      </c>
      <c r="V7095" s="422" t="s">
        <v>2813</v>
      </c>
    </row>
    <row r="7096" spans="1:22" ht="15.75" thickBot="1" x14ac:dyDescent="0.3">
      <c r="A7096" t="s">
        <v>543</v>
      </c>
      <c r="B7096" s="424" t="str">
        <f t="shared" si="313"/>
        <v>Barraqueiro Transportes</v>
      </c>
      <c r="C7096" s="424" t="str">
        <f t="shared" si="314"/>
        <v>Boa Viagem</v>
      </c>
      <c r="D7096" t="s">
        <v>629</v>
      </c>
      <c r="F7096" s="432" t="s">
        <v>620</v>
      </c>
      <c r="G7096" s="89">
        <v>2008</v>
      </c>
      <c r="H7096" s="313" t="s">
        <v>731</v>
      </c>
      <c r="I7096" s="311" t="str">
        <f t="shared" si="311"/>
        <v>Pesado de Passageiros M3:  : Gasóleo : E4</v>
      </c>
      <c r="J7096" s="422">
        <v>82</v>
      </c>
      <c r="K7096" s="422">
        <v>2023</v>
      </c>
      <c r="L7096">
        <v>14256.29</v>
      </c>
      <c r="M7096" s="422" t="s">
        <v>630</v>
      </c>
      <c r="N7096" s="131">
        <v>38391</v>
      </c>
      <c r="O7096" s="436">
        <f t="shared" si="312"/>
        <v>3148062</v>
      </c>
      <c r="P7096" s="89">
        <v>939</v>
      </c>
      <c r="Q7096" t="s">
        <v>47</v>
      </c>
      <c r="R7096" s="422" t="s">
        <v>1869</v>
      </c>
      <c r="S7096" s="422" t="s">
        <v>1861</v>
      </c>
      <c r="T7096" s="422"/>
      <c r="U7096" s="422" t="s">
        <v>1953</v>
      </c>
      <c r="V7096" s="422" t="s">
        <v>2813</v>
      </c>
    </row>
    <row r="7097" spans="1:22" ht="15.75" thickBot="1" x14ac:dyDescent="0.3">
      <c r="A7097" t="s">
        <v>543</v>
      </c>
      <c r="B7097" s="424" t="str">
        <f t="shared" si="313"/>
        <v>Barraqueiro Transportes</v>
      </c>
      <c r="C7097" s="424" t="str">
        <f t="shared" si="314"/>
        <v>Boa Viagem</v>
      </c>
      <c r="D7097" t="s">
        <v>629</v>
      </c>
      <c r="F7097" s="432" t="s">
        <v>620</v>
      </c>
      <c r="G7097" s="89">
        <v>2008</v>
      </c>
      <c r="H7097" s="313" t="s">
        <v>731</v>
      </c>
      <c r="I7097" s="311" t="str">
        <f t="shared" si="311"/>
        <v>Pesado de Passageiros M3:  : Gasóleo : E4</v>
      </c>
      <c r="J7097" s="422">
        <v>82</v>
      </c>
      <c r="K7097" s="422">
        <v>2023</v>
      </c>
      <c r="L7097">
        <v>20282.079999999998</v>
      </c>
      <c r="M7097" s="422" t="s">
        <v>630</v>
      </c>
      <c r="N7097" s="131">
        <v>55112</v>
      </c>
      <c r="O7097" s="436">
        <f t="shared" si="312"/>
        <v>4519184</v>
      </c>
      <c r="P7097" s="89">
        <v>940</v>
      </c>
      <c r="Q7097" t="s">
        <v>47</v>
      </c>
      <c r="R7097" s="422" t="s">
        <v>1869</v>
      </c>
      <c r="S7097" s="422" t="s">
        <v>1861</v>
      </c>
      <c r="T7097" s="422"/>
      <c r="U7097" s="422" t="s">
        <v>1953</v>
      </c>
      <c r="V7097" s="422" t="s">
        <v>2813</v>
      </c>
    </row>
    <row r="7098" spans="1:22" ht="15.75" thickBot="1" x14ac:dyDescent="0.3">
      <c r="A7098" t="s">
        <v>543</v>
      </c>
      <c r="B7098" s="424" t="str">
        <f t="shared" si="313"/>
        <v>Barraqueiro Transportes</v>
      </c>
      <c r="C7098" s="424" t="str">
        <f t="shared" si="314"/>
        <v>Boa Viagem</v>
      </c>
      <c r="D7098" t="s">
        <v>629</v>
      </c>
      <c r="F7098" s="432" t="s">
        <v>620</v>
      </c>
      <c r="G7098" s="89">
        <v>2004</v>
      </c>
      <c r="H7098" s="313" t="s">
        <v>732</v>
      </c>
      <c r="I7098" s="311" t="str">
        <f t="shared" si="311"/>
        <v>Pesado de Passageiros M3:  : Gasóleo : E3</v>
      </c>
      <c r="J7098" s="422">
        <v>55</v>
      </c>
      <c r="K7098" s="422">
        <v>2023</v>
      </c>
      <c r="L7098">
        <v>18709.079999999998</v>
      </c>
      <c r="M7098" s="422" t="s">
        <v>630</v>
      </c>
      <c r="N7098" s="131">
        <v>44347</v>
      </c>
      <c r="O7098" s="436">
        <f t="shared" si="312"/>
        <v>2439085</v>
      </c>
      <c r="P7098" s="89">
        <v>956</v>
      </c>
      <c r="Q7098" t="s">
        <v>47</v>
      </c>
      <c r="R7098" s="422" t="s">
        <v>1869</v>
      </c>
      <c r="S7098" s="422" t="s">
        <v>1861</v>
      </c>
      <c r="T7098" s="422"/>
      <c r="U7098" s="422" t="s">
        <v>1953</v>
      </c>
      <c r="V7098" s="422" t="s">
        <v>2813</v>
      </c>
    </row>
    <row r="7099" spans="1:22" ht="15.75" thickBot="1" x14ac:dyDescent="0.3">
      <c r="A7099" t="s">
        <v>543</v>
      </c>
      <c r="B7099" s="424" t="str">
        <f t="shared" si="313"/>
        <v>Barraqueiro Transportes</v>
      </c>
      <c r="C7099" s="424" t="str">
        <f t="shared" si="314"/>
        <v>Boa Viagem</v>
      </c>
      <c r="D7099" t="s">
        <v>629</v>
      </c>
      <c r="F7099" s="432" t="s">
        <v>620</v>
      </c>
      <c r="G7099" s="89">
        <v>2004</v>
      </c>
      <c r="H7099" s="313" t="s">
        <v>732</v>
      </c>
      <c r="I7099" s="311" t="str">
        <f t="shared" si="311"/>
        <v>Pesado de Passageiros M3:  : Gasóleo : E3</v>
      </c>
      <c r="J7099" s="422">
        <v>76</v>
      </c>
      <c r="K7099" s="422">
        <v>2023</v>
      </c>
      <c r="L7099">
        <v>22298.91</v>
      </c>
      <c r="M7099" s="422" t="s">
        <v>630</v>
      </c>
      <c r="N7099" s="131">
        <v>59589</v>
      </c>
      <c r="O7099" s="436">
        <f t="shared" si="312"/>
        <v>4528764</v>
      </c>
      <c r="P7099" s="89">
        <v>963</v>
      </c>
      <c r="Q7099" t="s">
        <v>47</v>
      </c>
      <c r="R7099" s="422" t="s">
        <v>1869</v>
      </c>
      <c r="S7099" s="422" t="s">
        <v>1861</v>
      </c>
      <c r="T7099" s="422"/>
      <c r="U7099" s="422" t="s">
        <v>1953</v>
      </c>
      <c r="V7099" s="422" t="s">
        <v>2813</v>
      </c>
    </row>
    <row r="7100" spans="1:22" ht="15.75" thickBot="1" x14ac:dyDescent="0.3">
      <c r="A7100" t="s">
        <v>543</v>
      </c>
      <c r="B7100" s="424" t="str">
        <f t="shared" si="313"/>
        <v>Barraqueiro Transportes</v>
      </c>
      <c r="C7100" s="424" t="str">
        <f t="shared" si="314"/>
        <v>Boa Viagem</v>
      </c>
      <c r="D7100" t="s">
        <v>629</v>
      </c>
      <c r="F7100" s="432" t="s">
        <v>620</v>
      </c>
      <c r="G7100" s="89">
        <v>2005</v>
      </c>
      <c r="H7100" s="313" t="s">
        <v>732</v>
      </c>
      <c r="I7100" s="311" t="str">
        <f t="shared" si="311"/>
        <v>Pesado de Passageiros M3:  : Gasóleo : E3</v>
      </c>
      <c r="J7100" s="422">
        <v>86</v>
      </c>
      <c r="K7100" s="422">
        <v>2023</v>
      </c>
      <c r="L7100">
        <v>11679.62</v>
      </c>
      <c r="M7100" s="422" t="s">
        <v>630</v>
      </c>
      <c r="N7100" s="131">
        <v>29071</v>
      </c>
      <c r="O7100" s="436">
        <f t="shared" si="312"/>
        <v>2500106</v>
      </c>
      <c r="P7100" s="89">
        <v>982</v>
      </c>
      <c r="Q7100" t="s">
        <v>47</v>
      </c>
      <c r="R7100" s="422" t="s">
        <v>1869</v>
      </c>
      <c r="S7100" s="422" t="s">
        <v>1861</v>
      </c>
      <c r="T7100" s="422"/>
      <c r="U7100" s="422" t="s">
        <v>1953</v>
      </c>
      <c r="V7100" s="422" t="s">
        <v>2813</v>
      </c>
    </row>
    <row r="7101" spans="1:22" ht="15.75" thickBot="1" x14ac:dyDescent="0.3">
      <c r="A7101" t="s">
        <v>543</v>
      </c>
      <c r="B7101" s="424" t="str">
        <f t="shared" si="313"/>
        <v>Barraqueiro Transportes</v>
      </c>
      <c r="C7101" s="424" t="str">
        <f t="shared" si="314"/>
        <v>Boa Viagem</v>
      </c>
      <c r="D7101" t="s">
        <v>629</v>
      </c>
      <c r="F7101" s="432" t="s">
        <v>620</v>
      </c>
      <c r="G7101" s="89">
        <v>2005</v>
      </c>
      <c r="H7101" s="313" t="s">
        <v>732</v>
      </c>
      <c r="I7101" s="311" t="str">
        <f t="shared" si="311"/>
        <v>Pesado de Passageiros M3:  : Gasóleo : E3</v>
      </c>
      <c r="J7101" s="422">
        <v>86</v>
      </c>
      <c r="K7101" s="422">
        <v>2023</v>
      </c>
      <c r="L7101">
        <v>16058.279999999999</v>
      </c>
      <c r="M7101" s="422" t="s">
        <v>630</v>
      </c>
      <c r="N7101" s="131">
        <v>39933</v>
      </c>
      <c r="O7101" s="436">
        <f t="shared" si="312"/>
        <v>3434238</v>
      </c>
      <c r="P7101" s="89">
        <v>983</v>
      </c>
      <c r="Q7101" t="s">
        <v>47</v>
      </c>
      <c r="R7101" s="422" t="s">
        <v>1869</v>
      </c>
      <c r="S7101" s="422" t="s">
        <v>1861</v>
      </c>
      <c r="T7101" s="422"/>
      <c r="U7101" s="422" t="s">
        <v>1953</v>
      </c>
      <c r="V7101" s="422" t="s">
        <v>2813</v>
      </c>
    </row>
    <row r="7102" spans="1:22" ht="15.75" thickBot="1" x14ac:dyDescent="0.3">
      <c r="A7102" t="s">
        <v>543</v>
      </c>
      <c r="B7102" s="424" t="str">
        <f t="shared" si="313"/>
        <v>Barraqueiro Transportes</v>
      </c>
      <c r="C7102" s="424" t="str">
        <f t="shared" si="314"/>
        <v>Boa Viagem</v>
      </c>
      <c r="D7102" t="s">
        <v>629</v>
      </c>
      <c r="F7102" s="432" t="s">
        <v>620</v>
      </c>
      <c r="G7102" s="89">
        <v>1995</v>
      </c>
      <c r="H7102" s="313" t="s">
        <v>736</v>
      </c>
      <c r="I7102" s="311" t="str">
        <f t="shared" si="311"/>
        <v>Pesado de Passageiros M3:  : Gasóleo : E1</v>
      </c>
      <c r="J7102" s="422">
        <v>70</v>
      </c>
      <c r="K7102" s="422">
        <v>2023</v>
      </c>
      <c r="L7102">
        <v>534.9</v>
      </c>
      <c r="M7102" s="422" t="s">
        <v>630</v>
      </c>
      <c r="N7102" s="131">
        <v>1445</v>
      </c>
      <c r="O7102" s="436">
        <f t="shared" si="312"/>
        <v>101150</v>
      </c>
      <c r="P7102" s="89">
        <v>995</v>
      </c>
      <c r="Q7102" t="s">
        <v>47</v>
      </c>
      <c r="R7102" s="422" t="s">
        <v>1869</v>
      </c>
      <c r="S7102" s="422" t="s">
        <v>1861</v>
      </c>
      <c r="T7102" s="422"/>
      <c r="U7102" s="422" t="s">
        <v>1953</v>
      </c>
      <c r="V7102" s="422" t="s">
        <v>2813</v>
      </c>
    </row>
    <row r="7103" spans="1:22" ht="15.75" thickBot="1" x14ac:dyDescent="0.3">
      <c r="A7103" t="s">
        <v>543</v>
      </c>
      <c r="B7103" s="424" t="str">
        <f t="shared" si="313"/>
        <v>Barraqueiro Transportes</v>
      </c>
      <c r="C7103" s="424" t="str">
        <f t="shared" si="314"/>
        <v>Boa Viagem</v>
      </c>
      <c r="D7103" t="s">
        <v>629</v>
      </c>
      <c r="F7103" s="432" t="s">
        <v>620</v>
      </c>
      <c r="G7103" s="89">
        <v>2006</v>
      </c>
      <c r="H7103" s="313" t="s">
        <v>731</v>
      </c>
      <c r="I7103" s="311" t="str">
        <f t="shared" si="311"/>
        <v>Pesado de Passageiros M3:  : Gasóleo : E4</v>
      </c>
      <c r="J7103" s="422">
        <v>55</v>
      </c>
      <c r="K7103" s="422">
        <v>2023</v>
      </c>
      <c r="L7103">
        <v>23622.619999999995</v>
      </c>
      <c r="M7103" s="422" t="s">
        <v>630</v>
      </c>
      <c r="N7103" s="131">
        <v>67223</v>
      </c>
      <c r="O7103" s="436">
        <f t="shared" si="312"/>
        <v>3697265</v>
      </c>
      <c r="P7103" s="89">
        <v>999</v>
      </c>
      <c r="Q7103" t="s">
        <v>47</v>
      </c>
      <c r="R7103" s="422" t="s">
        <v>1869</v>
      </c>
      <c r="S7103" s="422" t="s">
        <v>1861</v>
      </c>
      <c r="T7103" s="422"/>
      <c r="U7103" s="422" t="s">
        <v>1953</v>
      </c>
      <c r="V7103" s="422" t="s">
        <v>2813</v>
      </c>
    </row>
    <row r="7104" spans="1:22" ht="15.75" thickBot="1" x14ac:dyDescent="0.3">
      <c r="A7104" t="s">
        <v>543</v>
      </c>
      <c r="B7104" s="424" t="str">
        <f t="shared" si="313"/>
        <v>Barraqueiro Transportes</v>
      </c>
      <c r="C7104" s="424" t="str">
        <f t="shared" si="314"/>
        <v>Boa Viagem</v>
      </c>
      <c r="D7104" t="s">
        <v>629</v>
      </c>
      <c r="F7104" s="432" t="s">
        <v>620</v>
      </c>
      <c r="G7104" s="89">
        <v>2008</v>
      </c>
      <c r="H7104" s="313" t="s">
        <v>731</v>
      </c>
      <c r="I7104" s="311" t="str">
        <f t="shared" si="311"/>
        <v>Pesado de Passageiros M3:  : Gasóleo : E4</v>
      </c>
      <c r="J7104" s="422">
        <v>35</v>
      </c>
      <c r="K7104" s="422">
        <v>2023</v>
      </c>
      <c r="L7104">
        <v>2472.42</v>
      </c>
      <c r="M7104" s="422" t="s">
        <v>630</v>
      </c>
      <c r="N7104" s="131">
        <v>8016</v>
      </c>
      <c r="O7104" s="436">
        <f t="shared" si="312"/>
        <v>280560</v>
      </c>
      <c r="P7104" s="89">
        <v>3060</v>
      </c>
      <c r="Q7104" t="s">
        <v>47</v>
      </c>
      <c r="R7104" s="422" t="s">
        <v>1869</v>
      </c>
      <c r="S7104" s="422" t="s">
        <v>1861</v>
      </c>
      <c r="T7104" s="422"/>
      <c r="U7104" s="422" t="s">
        <v>1953</v>
      </c>
      <c r="V7104" s="422" t="s">
        <v>2813</v>
      </c>
    </row>
    <row r="7105" spans="1:22" ht="15.75" thickBot="1" x14ac:dyDescent="0.3">
      <c r="A7105" t="s">
        <v>543</v>
      </c>
      <c r="B7105" s="424" t="str">
        <f t="shared" si="313"/>
        <v>Barraqueiro Transportes</v>
      </c>
      <c r="C7105" s="424" t="str">
        <f t="shared" si="314"/>
        <v>Boa Viagem</v>
      </c>
      <c r="D7105" t="s">
        <v>629</v>
      </c>
      <c r="F7105" s="432" t="s">
        <v>620</v>
      </c>
      <c r="G7105" s="89">
        <v>2010</v>
      </c>
      <c r="H7105" s="313" t="s">
        <v>734</v>
      </c>
      <c r="I7105" s="311" t="str">
        <f t="shared" si="311"/>
        <v>Pesado de Passageiros M3:  : Gasóleo : E5</v>
      </c>
      <c r="J7105" s="422">
        <v>35</v>
      </c>
      <c r="K7105" s="422">
        <v>2023</v>
      </c>
      <c r="L7105">
        <v>4208.6900000000005</v>
      </c>
      <c r="M7105" s="422" t="s">
        <v>630</v>
      </c>
      <c r="N7105" s="131">
        <v>13396</v>
      </c>
      <c r="O7105" s="436">
        <f t="shared" si="312"/>
        <v>468860</v>
      </c>
      <c r="P7105" s="89">
        <v>3061</v>
      </c>
      <c r="Q7105" t="s">
        <v>47</v>
      </c>
      <c r="R7105" s="422" t="s">
        <v>1869</v>
      </c>
      <c r="S7105" s="422" t="s">
        <v>1861</v>
      </c>
      <c r="T7105" s="422"/>
      <c r="U7105" s="422" t="s">
        <v>1953</v>
      </c>
      <c r="V7105" s="422" t="s">
        <v>2813</v>
      </c>
    </row>
    <row r="7106" spans="1:22" ht="15.75" thickBot="1" x14ac:dyDescent="0.3">
      <c r="A7106" t="s">
        <v>543</v>
      </c>
      <c r="B7106" s="424" t="str">
        <f t="shared" si="313"/>
        <v>Barraqueiro Transportes</v>
      </c>
      <c r="C7106" s="424" t="str">
        <f t="shared" si="314"/>
        <v>Boa Viagem</v>
      </c>
      <c r="D7106" t="s">
        <v>629</v>
      </c>
      <c r="F7106" s="432" t="s">
        <v>620</v>
      </c>
      <c r="G7106" s="89">
        <v>2010</v>
      </c>
      <c r="H7106" s="313" t="s">
        <v>734</v>
      </c>
      <c r="I7106" s="311" t="str">
        <f t="shared" si="311"/>
        <v>Pesado de Passageiros M3:  : Gasóleo : E5</v>
      </c>
      <c r="J7106" s="422">
        <v>35</v>
      </c>
      <c r="K7106" s="422">
        <v>2023</v>
      </c>
      <c r="L7106">
        <v>0</v>
      </c>
      <c r="M7106" s="422" t="s">
        <v>630</v>
      </c>
      <c r="N7106" s="131">
        <v>0</v>
      </c>
      <c r="O7106" s="436">
        <f t="shared" si="312"/>
        <v>0</v>
      </c>
      <c r="P7106" s="89">
        <v>3062</v>
      </c>
      <c r="Q7106" t="s">
        <v>47</v>
      </c>
      <c r="R7106" s="422" t="s">
        <v>1869</v>
      </c>
      <c r="S7106" s="422" t="s">
        <v>1861</v>
      </c>
      <c r="T7106" s="422"/>
      <c r="U7106" s="422" t="s">
        <v>1953</v>
      </c>
      <c r="V7106" s="422" t="s">
        <v>2813</v>
      </c>
    </row>
    <row r="7107" spans="1:22" ht="15.75" thickBot="1" x14ac:dyDescent="0.3">
      <c r="A7107" t="s">
        <v>543</v>
      </c>
      <c r="B7107" s="424" t="str">
        <f t="shared" si="313"/>
        <v>Barraqueiro Transportes</v>
      </c>
      <c r="C7107" s="424" t="str">
        <f t="shared" si="314"/>
        <v>Boa Viagem</v>
      </c>
      <c r="D7107" t="s">
        <v>629</v>
      </c>
      <c r="F7107" s="432" t="s">
        <v>620</v>
      </c>
      <c r="G7107" s="89">
        <v>2007</v>
      </c>
      <c r="H7107" s="313" t="s">
        <v>731</v>
      </c>
      <c r="I7107" s="311" t="str">
        <f t="shared" si="311"/>
        <v>Pesado de Passageiros M3:  : Gasóleo : E4</v>
      </c>
      <c r="J7107" s="422">
        <v>53</v>
      </c>
      <c r="K7107" s="422">
        <v>2023</v>
      </c>
      <c r="L7107">
        <v>2705.79</v>
      </c>
      <c r="M7107" s="422" t="s">
        <v>630</v>
      </c>
      <c r="N7107" s="131">
        <v>7413</v>
      </c>
      <c r="O7107" s="436">
        <f t="shared" si="312"/>
        <v>392889</v>
      </c>
      <c r="P7107" s="89">
        <v>5225</v>
      </c>
      <c r="Q7107" t="s">
        <v>47</v>
      </c>
      <c r="R7107" s="422" t="s">
        <v>1869</v>
      </c>
      <c r="S7107" s="422" t="s">
        <v>1861</v>
      </c>
      <c r="T7107" s="422"/>
      <c r="U7107" s="422" t="s">
        <v>1953</v>
      </c>
      <c r="V7107" s="422" t="s">
        <v>2813</v>
      </c>
    </row>
    <row r="7108" spans="1:22" ht="15.75" thickBot="1" x14ac:dyDescent="0.3">
      <c r="A7108" t="s">
        <v>543</v>
      </c>
      <c r="B7108" s="424" t="str">
        <f t="shared" si="313"/>
        <v>Barraqueiro Transportes</v>
      </c>
      <c r="C7108" s="424" t="str">
        <f t="shared" si="314"/>
        <v>Boa Viagem</v>
      </c>
      <c r="D7108" t="s">
        <v>629</v>
      </c>
      <c r="F7108" s="432" t="s">
        <v>620</v>
      </c>
      <c r="G7108" s="89">
        <v>2001</v>
      </c>
      <c r="H7108" s="313" t="s">
        <v>732</v>
      </c>
      <c r="I7108" s="311" t="str">
        <f t="shared" si="311"/>
        <v>Pesado de Passageiros M3:  : Gasóleo : E3</v>
      </c>
      <c r="J7108" s="422">
        <v>55</v>
      </c>
      <c r="K7108" s="422">
        <v>2023</v>
      </c>
      <c r="L7108">
        <v>667</v>
      </c>
      <c r="M7108" s="422" t="s">
        <v>630</v>
      </c>
      <c r="N7108" s="131">
        <v>1690</v>
      </c>
      <c r="O7108" s="436">
        <f t="shared" si="312"/>
        <v>92950</v>
      </c>
      <c r="P7108" s="89">
        <v>5911</v>
      </c>
      <c r="Q7108" t="s">
        <v>47</v>
      </c>
      <c r="R7108" s="422" t="s">
        <v>1869</v>
      </c>
      <c r="S7108" s="422" t="s">
        <v>1861</v>
      </c>
      <c r="T7108" s="422"/>
      <c r="U7108" s="422" t="s">
        <v>1953</v>
      </c>
      <c r="V7108" s="422" t="s">
        <v>2813</v>
      </c>
    </row>
    <row r="7109" spans="1:22" ht="15.75" thickBot="1" x14ac:dyDescent="0.3">
      <c r="A7109" t="s">
        <v>543</v>
      </c>
      <c r="B7109" s="424" t="str">
        <f t="shared" si="313"/>
        <v>Barraqueiro Transportes</v>
      </c>
      <c r="C7109" s="424" t="str">
        <f t="shared" si="314"/>
        <v>Boa Viagem</v>
      </c>
      <c r="D7109" t="s">
        <v>629</v>
      </c>
      <c r="F7109" s="432" t="s">
        <v>620</v>
      </c>
      <c r="G7109" s="89">
        <v>2000</v>
      </c>
      <c r="H7109" s="313" t="s">
        <v>735</v>
      </c>
      <c r="I7109" s="311" t="str">
        <f t="shared" si="311"/>
        <v>Pesado de Passageiros M3:  : Gasóleo : E2</v>
      </c>
      <c r="J7109" s="422">
        <v>51</v>
      </c>
      <c r="K7109" s="422">
        <v>2023</v>
      </c>
      <c r="L7109">
        <v>15907.6</v>
      </c>
      <c r="M7109" s="422" t="s">
        <v>630</v>
      </c>
      <c r="N7109" s="131">
        <v>42710</v>
      </c>
      <c r="O7109" s="436">
        <f t="shared" si="312"/>
        <v>2178210</v>
      </c>
      <c r="P7109" s="89">
        <v>6072</v>
      </c>
      <c r="Q7109" t="s">
        <v>47</v>
      </c>
      <c r="R7109" s="422" t="s">
        <v>1869</v>
      </c>
      <c r="S7109" s="422" t="s">
        <v>1861</v>
      </c>
      <c r="T7109" s="422"/>
      <c r="U7109" s="422" t="s">
        <v>1953</v>
      </c>
      <c r="V7109" s="422" t="s">
        <v>2813</v>
      </c>
    </row>
    <row r="7110" spans="1:22" ht="15.75" thickBot="1" x14ac:dyDescent="0.3">
      <c r="A7110" t="s">
        <v>543</v>
      </c>
      <c r="B7110" s="424" t="str">
        <f t="shared" si="313"/>
        <v>Barraqueiro Transportes</v>
      </c>
      <c r="C7110" s="424" t="str">
        <f t="shared" si="314"/>
        <v>Boa Viagem</v>
      </c>
      <c r="D7110" t="s">
        <v>629</v>
      </c>
      <c r="F7110" s="432" t="s">
        <v>620</v>
      </c>
      <c r="G7110" s="89">
        <v>2005</v>
      </c>
      <c r="H7110" s="313" t="s">
        <v>732</v>
      </c>
      <c r="I7110" s="311" t="str">
        <f t="shared" si="311"/>
        <v>Pesado de Passageiros M3:  : Gasóleo : E3</v>
      </c>
      <c r="J7110" s="422">
        <v>66</v>
      </c>
      <c r="K7110" s="422">
        <v>2023</v>
      </c>
      <c r="L7110">
        <v>21429.178000000004</v>
      </c>
      <c r="M7110" s="422" t="s">
        <v>630</v>
      </c>
      <c r="N7110" s="131">
        <v>61311</v>
      </c>
      <c r="O7110" s="436">
        <f t="shared" si="312"/>
        <v>4046526</v>
      </c>
      <c r="P7110" s="89">
        <v>6085</v>
      </c>
      <c r="Q7110" t="s">
        <v>47</v>
      </c>
      <c r="R7110" s="422" t="s">
        <v>1869</v>
      </c>
      <c r="S7110" s="422" t="s">
        <v>1861</v>
      </c>
      <c r="T7110" s="422"/>
      <c r="U7110" s="422" t="s">
        <v>1953</v>
      </c>
      <c r="V7110" s="422" t="s">
        <v>2813</v>
      </c>
    </row>
    <row r="7111" spans="1:22" ht="15.75" thickBot="1" x14ac:dyDescent="0.3">
      <c r="A7111" t="s">
        <v>543</v>
      </c>
      <c r="B7111" s="424" t="str">
        <f t="shared" si="313"/>
        <v>Barraqueiro Transportes</v>
      </c>
      <c r="C7111" s="424" t="str">
        <f t="shared" si="314"/>
        <v>Boa Viagem</v>
      </c>
      <c r="D7111" t="s">
        <v>629</v>
      </c>
      <c r="F7111" s="432" t="s">
        <v>620</v>
      </c>
      <c r="G7111" s="89">
        <v>2006</v>
      </c>
      <c r="H7111" s="313" t="s">
        <v>731</v>
      </c>
      <c r="I7111" s="311" t="str">
        <f t="shared" si="311"/>
        <v>Pesado de Passageiros M3:  : Gasóleo : E4</v>
      </c>
      <c r="J7111" s="422">
        <v>19</v>
      </c>
      <c r="K7111" s="422">
        <v>2023</v>
      </c>
      <c r="L7111">
        <v>191</v>
      </c>
      <c r="M7111" s="422" t="s">
        <v>630</v>
      </c>
      <c r="N7111" s="131">
        <v>1005</v>
      </c>
      <c r="O7111" s="436">
        <f t="shared" si="312"/>
        <v>19095</v>
      </c>
      <c r="P7111" s="89">
        <v>6088</v>
      </c>
      <c r="Q7111" t="s">
        <v>47</v>
      </c>
      <c r="R7111" s="422" t="s">
        <v>1869</v>
      </c>
      <c r="S7111" s="422" t="s">
        <v>1861</v>
      </c>
      <c r="T7111" s="422"/>
      <c r="U7111" s="422" t="s">
        <v>1953</v>
      </c>
      <c r="V7111" s="422" t="s">
        <v>2813</v>
      </c>
    </row>
    <row r="7112" spans="1:22" ht="15.75" thickBot="1" x14ac:dyDescent="0.3">
      <c r="A7112" t="s">
        <v>543</v>
      </c>
      <c r="B7112" s="424" t="str">
        <f t="shared" si="313"/>
        <v>Barraqueiro Transportes</v>
      </c>
      <c r="C7112" s="424" t="str">
        <f t="shared" si="314"/>
        <v>Boa Viagem</v>
      </c>
      <c r="D7112" t="s">
        <v>629</v>
      </c>
      <c r="F7112" s="432" t="s">
        <v>620</v>
      </c>
      <c r="G7112" s="89">
        <v>2004</v>
      </c>
      <c r="H7112" s="313" t="s">
        <v>732</v>
      </c>
      <c r="I7112" s="311" t="str">
        <f t="shared" si="311"/>
        <v>Pesado de Passageiros M3:  : Gasóleo : E3</v>
      </c>
      <c r="J7112" s="422">
        <v>53</v>
      </c>
      <c r="K7112" s="422">
        <v>2023</v>
      </c>
      <c r="L7112">
        <v>11368.37</v>
      </c>
      <c r="M7112" s="422" t="s">
        <v>630</v>
      </c>
      <c r="N7112" s="131">
        <v>32523</v>
      </c>
      <c r="O7112" s="436">
        <f t="shared" si="312"/>
        <v>1723719</v>
      </c>
      <c r="P7112" s="89">
        <v>6617</v>
      </c>
      <c r="Q7112" t="s">
        <v>47</v>
      </c>
      <c r="R7112" s="422" t="s">
        <v>1869</v>
      </c>
      <c r="S7112" s="422" t="s">
        <v>1861</v>
      </c>
      <c r="T7112" s="422"/>
      <c r="U7112" s="422" t="s">
        <v>1953</v>
      </c>
      <c r="V7112" s="422" t="s">
        <v>2813</v>
      </c>
    </row>
    <row r="7113" spans="1:22" ht="15.75" thickBot="1" x14ac:dyDescent="0.3">
      <c r="A7113" t="s">
        <v>543</v>
      </c>
      <c r="B7113" s="424" t="str">
        <f t="shared" si="313"/>
        <v>Barraqueiro Transportes</v>
      </c>
      <c r="C7113" s="424" t="str">
        <f t="shared" si="314"/>
        <v>Boa Viagem</v>
      </c>
      <c r="D7113" t="s">
        <v>629</v>
      </c>
      <c r="F7113" s="432" t="s">
        <v>620</v>
      </c>
      <c r="G7113" s="89">
        <v>2004</v>
      </c>
      <c r="H7113" s="313" t="s">
        <v>732</v>
      </c>
      <c r="I7113" s="311" t="str">
        <f t="shared" si="311"/>
        <v>Pesado de Passageiros M3:  : Gasóleo : E3</v>
      </c>
      <c r="J7113" s="422">
        <v>49</v>
      </c>
      <c r="K7113" s="422">
        <v>2023</v>
      </c>
      <c r="L7113">
        <v>20167.039999999997</v>
      </c>
      <c r="M7113" s="422" t="s">
        <v>630</v>
      </c>
      <c r="N7113" s="131">
        <v>55736</v>
      </c>
      <c r="O7113" s="436">
        <f t="shared" si="312"/>
        <v>2731064</v>
      </c>
      <c r="P7113" s="89">
        <v>6628</v>
      </c>
      <c r="Q7113" t="s">
        <v>47</v>
      </c>
      <c r="R7113" s="422" t="s">
        <v>1869</v>
      </c>
      <c r="S7113" s="422" t="s">
        <v>1861</v>
      </c>
      <c r="T7113" s="422"/>
      <c r="U7113" s="422" t="s">
        <v>1953</v>
      </c>
      <c r="V7113" s="422" t="s">
        <v>2813</v>
      </c>
    </row>
    <row r="7114" spans="1:22" ht="15.75" thickBot="1" x14ac:dyDescent="0.3">
      <c r="A7114" t="s">
        <v>543</v>
      </c>
      <c r="B7114" s="424" t="str">
        <f t="shared" si="313"/>
        <v>Barraqueiro Transportes</v>
      </c>
      <c r="C7114" s="424" t="str">
        <f t="shared" si="314"/>
        <v>Boa Viagem</v>
      </c>
      <c r="D7114" t="s">
        <v>629</v>
      </c>
      <c r="F7114" s="432" t="s">
        <v>620</v>
      </c>
      <c r="G7114" s="89">
        <v>2004</v>
      </c>
      <c r="H7114" s="313" t="s">
        <v>732</v>
      </c>
      <c r="I7114" s="311" t="str">
        <f t="shared" si="311"/>
        <v>Pesado de Passageiros M3:  : Gasóleo : E3</v>
      </c>
      <c r="J7114" s="422">
        <v>55</v>
      </c>
      <c r="K7114" s="422">
        <v>2023</v>
      </c>
      <c r="L7114">
        <v>8692.69</v>
      </c>
      <c r="M7114" s="422" t="s">
        <v>630</v>
      </c>
      <c r="N7114" s="131">
        <v>20534</v>
      </c>
      <c r="O7114" s="436">
        <f t="shared" si="312"/>
        <v>1129370</v>
      </c>
      <c r="P7114" s="89">
        <v>6634</v>
      </c>
      <c r="Q7114" t="s">
        <v>47</v>
      </c>
      <c r="R7114" s="422" t="s">
        <v>1869</v>
      </c>
      <c r="S7114" s="422" t="s">
        <v>1861</v>
      </c>
      <c r="T7114" s="422"/>
      <c r="U7114" s="422" t="s">
        <v>1953</v>
      </c>
      <c r="V7114" s="422" t="s">
        <v>2813</v>
      </c>
    </row>
    <row r="7115" spans="1:22" ht="15.75" thickBot="1" x14ac:dyDescent="0.3">
      <c r="A7115" t="s">
        <v>543</v>
      </c>
      <c r="B7115" s="424" t="str">
        <f t="shared" si="313"/>
        <v>Barraqueiro Transportes</v>
      </c>
      <c r="C7115" s="424" t="str">
        <f t="shared" si="314"/>
        <v>Boa Viagem</v>
      </c>
      <c r="D7115" t="s">
        <v>629</v>
      </c>
      <c r="F7115" s="432" t="s">
        <v>620</v>
      </c>
      <c r="G7115" s="89">
        <v>2004</v>
      </c>
      <c r="H7115" s="313" t="s">
        <v>732</v>
      </c>
      <c r="I7115" s="311" t="str">
        <f t="shared" si="311"/>
        <v>Pesado de Passageiros M3:  : Gasóleo : E3</v>
      </c>
      <c r="J7115" s="422">
        <v>55</v>
      </c>
      <c r="K7115" s="422">
        <v>2023</v>
      </c>
      <c r="L7115">
        <v>7480.3</v>
      </c>
      <c r="M7115" s="422" t="s">
        <v>630</v>
      </c>
      <c r="N7115" s="131">
        <v>18306</v>
      </c>
      <c r="O7115" s="436">
        <f t="shared" si="312"/>
        <v>1006830</v>
      </c>
      <c r="P7115" s="89">
        <v>6638</v>
      </c>
      <c r="Q7115" t="s">
        <v>47</v>
      </c>
      <c r="R7115" s="422" t="s">
        <v>1869</v>
      </c>
      <c r="S7115" s="422" t="s">
        <v>1861</v>
      </c>
      <c r="T7115" s="422"/>
      <c r="U7115" s="422" t="s">
        <v>1953</v>
      </c>
      <c r="V7115" s="422" t="s">
        <v>2813</v>
      </c>
    </row>
    <row r="7116" spans="1:22" ht="15.75" thickBot="1" x14ac:dyDescent="0.3">
      <c r="A7116" t="s">
        <v>543</v>
      </c>
      <c r="B7116" s="424" t="str">
        <f t="shared" si="313"/>
        <v>Barraqueiro Transportes</v>
      </c>
      <c r="C7116" s="424" t="str">
        <f t="shared" si="314"/>
        <v>Boa Viagem</v>
      </c>
      <c r="D7116" t="s">
        <v>629</v>
      </c>
      <c r="F7116" s="432" t="s">
        <v>620</v>
      </c>
      <c r="G7116" s="89">
        <v>2005</v>
      </c>
      <c r="H7116" s="313" t="s">
        <v>732</v>
      </c>
      <c r="I7116" s="311" t="str">
        <f t="shared" si="311"/>
        <v>Pesado de Passageiros M3:  : Gasóleo : E3</v>
      </c>
      <c r="J7116" s="422">
        <v>66</v>
      </c>
      <c r="K7116" s="422">
        <v>2023</v>
      </c>
      <c r="L7116">
        <v>19645.34</v>
      </c>
      <c r="M7116" s="422" t="s">
        <v>630</v>
      </c>
      <c r="N7116" s="131">
        <v>55582</v>
      </c>
      <c r="O7116" s="436">
        <f t="shared" si="312"/>
        <v>3668412</v>
      </c>
      <c r="P7116" s="89">
        <v>6647</v>
      </c>
      <c r="Q7116" t="s">
        <v>47</v>
      </c>
      <c r="R7116" s="422" t="s">
        <v>1869</v>
      </c>
      <c r="S7116" s="422" t="s">
        <v>1861</v>
      </c>
      <c r="T7116" s="422"/>
      <c r="U7116" s="422" t="s">
        <v>1953</v>
      </c>
      <c r="V7116" s="422" t="s">
        <v>2813</v>
      </c>
    </row>
    <row r="7117" spans="1:22" ht="15.75" thickBot="1" x14ac:dyDescent="0.3">
      <c r="A7117" t="s">
        <v>543</v>
      </c>
      <c r="B7117" s="424" t="str">
        <f t="shared" si="313"/>
        <v>Barraqueiro Transportes</v>
      </c>
      <c r="C7117" s="424" t="str">
        <f t="shared" si="314"/>
        <v>Boa Viagem</v>
      </c>
      <c r="D7117" t="s">
        <v>629</v>
      </c>
      <c r="F7117" s="432" t="s">
        <v>620</v>
      </c>
      <c r="G7117" s="89">
        <v>2005</v>
      </c>
      <c r="H7117" s="313" t="s">
        <v>732</v>
      </c>
      <c r="I7117" s="311" t="str">
        <f t="shared" si="311"/>
        <v>Pesado de Passageiros M3:  : Gasóleo : E3</v>
      </c>
      <c r="J7117" s="422">
        <v>37</v>
      </c>
      <c r="K7117" s="422">
        <v>2023</v>
      </c>
      <c r="L7117">
        <v>27198.609999999993</v>
      </c>
      <c r="M7117" s="422" t="s">
        <v>630</v>
      </c>
      <c r="N7117" s="131">
        <v>76171</v>
      </c>
      <c r="O7117" s="436">
        <f t="shared" si="312"/>
        <v>2818327</v>
      </c>
      <c r="P7117" s="89">
        <v>6648</v>
      </c>
      <c r="Q7117" t="s">
        <v>47</v>
      </c>
      <c r="R7117" s="422" t="s">
        <v>1869</v>
      </c>
      <c r="S7117" s="422" t="s">
        <v>1861</v>
      </c>
      <c r="T7117" s="422"/>
      <c r="U7117" s="422" t="s">
        <v>1953</v>
      </c>
      <c r="V7117" s="422" t="s">
        <v>2813</v>
      </c>
    </row>
    <row r="7118" spans="1:22" ht="15.75" thickBot="1" x14ac:dyDescent="0.3">
      <c r="A7118" t="s">
        <v>543</v>
      </c>
      <c r="B7118" s="424" t="str">
        <f t="shared" si="313"/>
        <v>Barraqueiro Transportes</v>
      </c>
      <c r="C7118" s="424" t="str">
        <f t="shared" si="314"/>
        <v>Boa Viagem</v>
      </c>
      <c r="D7118" t="s">
        <v>629</v>
      </c>
      <c r="F7118" s="432" t="s">
        <v>620</v>
      </c>
      <c r="G7118" s="89">
        <v>2005</v>
      </c>
      <c r="H7118" s="313" t="s">
        <v>732</v>
      </c>
      <c r="I7118" s="311" t="str">
        <f t="shared" si="311"/>
        <v>Pesado de Passageiros M3:  : Gasóleo : E3</v>
      </c>
      <c r="J7118" s="422">
        <v>37</v>
      </c>
      <c r="K7118" s="422">
        <v>2023</v>
      </c>
      <c r="L7118">
        <v>19816.239999999998</v>
      </c>
      <c r="M7118" s="422" t="s">
        <v>630</v>
      </c>
      <c r="N7118" s="131">
        <v>56640</v>
      </c>
      <c r="O7118" s="436">
        <f t="shared" si="312"/>
        <v>2095680</v>
      </c>
      <c r="P7118" s="89">
        <v>6649</v>
      </c>
      <c r="Q7118" t="s">
        <v>47</v>
      </c>
      <c r="R7118" s="422" t="s">
        <v>1869</v>
      </c>
      <c r="S7118" s="422" t="s">
        <v>1861</v>
      </c>
      <c r="T7118" s="422"/>
      <c r="U7118" s="422" t="s">
        <v>1953</v>
      </c>
      <c r="V7118" s="422" t="s">
        <v>2813</v>
      </c>
    </row>
    <row r="7119" spans="1:22" ht="15.75" thickBot="1" x14ac:dyDescent="0.3">
      <c r="A7119" t="s">
        <v>543</v>
      </c>
      <c r="B7119" s="424" t="str">
        <f t="shared" si="313"/>
        <v>Barraqueiro Transportes</v>
      </c>
      <c r="C7119" s="424" t="str">
        <f t="shared" si="314"/>
        <v>Boa Viagem</v>
      </c>
      <c r="D7119" t="s">
        <v>629</v>
      </c>
      <c r="F7119" s="432" t="s">
        <v>620</v>
      </c>
      <c r="G7119" s="89">
        <v>2005</v>
      </c>
      <c r="H7119" s="313" t="s">
        <v>732</v>
      </c>
      <c r="I7119" s="311" t="str">
        <f t="shared" si="311"/>
        <v>Pesado de Passageiros M3:  : Gasóleo : E3</v>
      </c>
      <c r="J7119" s="422">
        <v>37</v>
      </c>
      <c r="K7119" s="422">
        <v>2023</v>
      </c>
      <c r="L7119">
        <v>18617.740000000002</v>
      </c>
      <c r="M7119" s="422" t="s">
        <v>630</v>
      </c>
      <c r="N7119" s="131">
        <v>50846</v>
      </c>
      <c r="O7119" s="436">
        <f t="shared" si="312"/>
        <v>1881302</v>
      </c>
      <c r="P7119" s="89">
        <v>6650</v>
      </c>
      <c r="Q7119" t="s">
        <v>47</v>
      </c>
      <c r="R7119" s="422" t="s">
        <v>1869</v>
      </c>
      <c r="S7119" s="422" t="s">
        <v>1861</v>
      </c>
      <c r="T7119" s="422"/>
      <c r="U7119" s="422" t="s">
        <v>1953</v>
      </c>
      <c r="V7119" s="422" t="s">
        <v>2813</v>
      </c>
    </row>
    <row r="7120" spans="1:22" ht="15.75" thickBot="1" x14ac:dyDescent="0.3">
      <c r="A7120" t="s">
        <v>543</v>
      </c>
      <c r="B7120" s="424" t="str">
        <f t="shared" si="313"/>
        <v>Barraqueiro Transportes</v>
      </c>
      <c r="C7120" s="424" t="str">
        <f t="shared" si="314"/>
        <v>Boa Viagem</v>
      </c>
      <c r="D7120" t="s">
        <v>629</v>
      </c>
      <c r="F7120" s="432" t="s">
        <v>620</v>
      </c>
      <c r="G7120" s="89">
        <v>2005</v>
      </c>
      <c r="H7120" s="313" t="s">
        <v>732</v>
      </c>
      <c r="I7120" s="311" t="str">
        <f t="shared" si="311"/>
        <v>Pesado de Passageiros M3:  : Gasóleo : E3</v>
      </c>
      <c r="J7120" s="422">
        <v>37</v>
      </c>
      <c r="K7120" s="422">
        <v>2023</v>
      </c>
      <c r="L7120">
        <v>26795.650000000005</v>
      </c>
      <c r="M7120" s="422" t="s">
        <v>630</v>
      </c>
      <c r="N7120" s="131">
        <v>78858</v>
      </c>
      <c r="O7120" s="436">
        <f t="shared" si="312"/>
        <v>2917746</v>
      </c>
      <c r="P7120" s="89">
        <v>6652</v>
      </c>
      <c r="Q7120" t="s">
        <v>47</v>
      </c>
      <c r="R7120" s="422" t="s">
        <v>1869</v>
      </c>
      <c r="S7120" s="422" t="s">
        <v>1861</v>
      </c>
      <c r="T7120" s="422"/>
      <c r="U7120" s="422" t="s">
        <v>1953</v>
      </c>
      <c r="V7120" s="422" t="s">
        <v>2813</v>
      </c>
    </row>
    <row r="7121" spans="1:22" ht="15.75" thickBot="1" x14ac:dyDescent="0.3">
      <c r="A7121" t="s">
        <v>543</v>
      </c>
      <c r="B7121" s="424" t="str">
        <f t="shared" si="313"/>
        <v>Barraqueiro Transportes</v>
      </c>
      <c r="C7121" s="424" t="str">
        <f t="shared" si="314"/>
        <v>Boa Viagem</v>
      </c>
      <c r="D7121" t="s">
        <v>629</v>
      </c>
      <c r="F7121" s="432" t="s">
        <v>620</v>
      </c>
      <c r="G7121" s="89">
        <v>2005</v>
      </c>
      <c r="H7121" s="313" t="s">
        <v>732</v>
      </c>
      <c r="I7121" s="311" t="str">
        <f t="shared" si="311"/>
        <v>Pesado de Passageiros M3:  : Gasóleo : E3</v>
      </c>
      <c r="J7121" s="422">
        <v>37</v>
      </c>
      <c r="K7121" s="422">
        <v>2023</v>
      </c>
      <c r="L7121">
        <v>19644.46</v>
      </c>
      <c r="M7121" s="422" t="s">
        <v>630</v>
      </c>
      <c r="N7121" s="131">
        <v>53233</v>
      </c>
      <c r="O7121" s="436">
        <f t="shared" si="312"/>
        <v>1969621</v>
      </c>
      <c r="P7121" s="89">
        <v>6655</v>
      </c>
      <c r="Q7121" t="s">
        <v>47</v>
      </c>
      <c r="R7121" s="422" t="s">
        <v>1869</v>
      </c>
      <c r="S7121" s="422" t="s">
        <v>1861</v>
      </c>
      <c r="T7121" s="422"/>
      <c r="U7121" s="422" t="s">
        <v>1953</v>
      </c>
      <c r="V7121" s="422" t="s">
        <v>2813</v>
      </c>
    </row>
    <row r="7122" spans="1:22" ht="15.75" thickBot="1" x14ac:dyDescent="0.3">
      <c r="A7122" t="s">
        <v>543</v>
      </c>
      <c r="B7122" s="424" t="str">
        <f t="shared" si="313"/>
        <v>Barraqueiro Transportes</v>
      </c>
      <c r="C7122" s="424" t="str">
        <f t="shared" si="314"/>
        <v>Boa Viagem</v>
      </c>
      <c r="D7122" t="s">
        <v>629</v>
      </c>
      <c r="F7122" s="432" t="s">
        <v>620</v>
      </c>
      <c r="G7122" s="89">
        <v>2005</v>
      </c>
      <c r="H7122" s="313" t="s">
        <v>732</v>
      </c>
      <c r="I7122" s="311" t="str">
        <f t="shared" si="311"/>
        <v>Pesado de Passageiros M3:  : Gasóleo : E3</v>
      </c>
      <c r="J7122" s="422">
        <v>37</v>
      </c>
      <c r="K7122" s="422">
        <v>2023</v>
      </c>
      <c r="L7122">
        <v>17657.739999999998</v>
      </c>
      <c r="M7122" s="422" t="s">
        <v>630</v>
      </c>
      <c r="N7122" s="131">
        <v>51018</v>
      </c>
      <c r="O7122" s="436">
        <f t="shared" si="312"/>
        <v>1887666</v>
      </c>
      <c r="P7122" s="89">
        <v>6656</v>
      </c>
      <c r="Q7122" t="s">
        <v>47</v>
      </c>
      <c r="R7122" s="422" t="s">
        <v>1869</v>
      </c>
      <c r="S7122" s="422" t="s">
        <v>1861</v>
      </c>
      <c r="T7122" s="422"/>
      <c r="U7122" s="422" t="s">
        <v>1953</v>
      </c>
      <c r="V7122" s="422" t="s">
        <v>2813</v>
      </c>
    </row>
    <row r="7123" spans="1:22" ht="15.75" thickBot="1" x14ac:dyDescent="0.3">
      <c r="A7123" t="s">
        <v>543</v>
      </c>
      <c r="B7123" s="424" t="str">
        <f t="shared" si="313"/>
        <v>Barraqueiro Transportes</v>
      </c>
      <c r="C7123" s="424" t="str">
        <f t="shared" si="314"/>
        <v>Boa Viagem</v>
      </c>
      <c r="D7123" t="s">
        <v>629</v>
      </c>
      <c r="F7123" s="432" t="s">
        <v>620</v>
      </c>
      <c r="G7123" s="89">
        <v>2005</v>
      </c>
      <c r="H7123" s="313" t="s">
        <v>732</v>
      </c>
      <c r="I7123" s="311" t="str">
        <f t="shared" si="311"/>
        <v>Pesado de Passageiros M3:  : Gasóleo : E3</v>
      </c>
      <c r="J7123" s="422">
        <v>37</v>
      </c>
      <c r="K7123" s="422">
        <v>2023</v>
      </c>
      <c r="L7123">
        <v>14553.879999999997</v>
      </c>
      <c r="M7123" s="422" t="s">
        <v>630</v>
      </c>
      <c r="N7123" s="131">
        <v>40228</v>
      </c>
      <c r="O7123" s="436">
        <f t="shared" si="312"/>
        <v>1488436</v>
      </c>
      <c r="P7123" s="89">
        <v>6657</v>
      </c>
      <c r="Q7123" t="s">
        <v>47</v>
      </c>
      <c r="R7123" s="422" t="s">
        <v>1869</v>
      </c>
      <c r="S7123" s="422" t="s">
        <v>1861</v>
      </c>
      <c r="T7123" s="422"/>
      <c r="U7123" s="422" t="s">
        <v>1953</v>
      </c>
      <c r="V7123" s="422" t="s">
        <v>2813</v>
      </c>
    </row>
    <row r="7124" spans="1:22" ht="15.75" thickBot="1" x14ac:dyDescent="0.3">
      <c r="A7124" t="s">
        <v>543</v>
      </c>
      <c r="B7124" s="424" t="str">
        <f t="shared" si="313"/>
        <v>Barraqueiro Transportes</v>
      </c>
      <c r="C7124" s="424" t="str">
        <f t="shared" si="314"/>
        <v>Boa Viagem</v>
      </c>
      <c r="D7124" t="s">
        <v>629</v>
      </c>
      <c r="F7124" s="432" t="s">
        <v>620</v>
      </c>
      <c r="G7124" s="89">
        <v>2005</v>
      </c>
      <c r="H7124" s="313" t="s">
        <v>732</v>
      </c>
      <c r="I7124" s="311" t="str">
        <f t="shared" si="311"/>
        <v>Pesado de Passageiros M3:  : Gasóleo : E3</v>
      </c>
      <c r="J7124" s="422">
        <v>37</v>
      </c>
      <c r="K7124" s="422">
        <v>2023</v>
      </c>
      <c r="L7124">
        <v>17450.850000000002</v>
      </c>
      <c r="M7124" s="422" t="s">
        <v>630</v>
      </c>
      <c r="N7124" s="131">
        <v>48691</v>
      </c>
      <c r="O7124" s="436">
        <f t="shared" si="312"/>
        <v>1801567</v>
      </c>
      <c r="P7124" s="89">
        <v>6658</v>
      </c>
      <c r="Q7124" t="s">
        <v>47</v>
      </c>
      <c r="R7124" s="422" t="s">
        <v>1869</v>
      </c>
      <c r="S7124" s="422" t="s">
        <v>1861</v>
      </c>
      <c r="T7124" s="422"/>
      <c r="U7124" s="422" t="s">
        <v>1953</v>
      </c>
      <c r="V7124" s="422" t="s">
        <v>2813</v>
      </c>
    </row>
    <row r="7125" spans="1:22" ht="15.75" thickBot="1" x14ac:dyDescent="0.3">
      <c r="A7125" t="s">
        <v>543</v>
      </c>
      <c r="B7125" s="424" t="str">
        <f t="shared" si="313"/>
        <v>Barraqueiro Transportes</v>
      </c>
      <c r="C7125" s="424" t="str">
        <f t="shared" si="314"/>
        <v>Boa Viagem</v>
      </c>
      <c r="D7125" t="s">
        <v>629</v>
      </c>
      <c r="F7125" s="432" t="s">
        <v>620</v>
      </c>
      <c r="G7125" s="89">
        <v>2005</v>
      </c>
      <c r="H7125" s="313" t="s">
        <v>732</v>
      </c>
      <c r="I7125" s="311" t="str">
        <f t="shared" si="311"/>
        <v>Pesado de Passageiros M3:  : Gasóleo : E3</v>
      </c>
      <c r="J7125" s="422">
        <v>37</v>
      </c>
      <c r="K7125" s="422">
        <v>2023</v>
      </c>
      <c r="L7125">
        <v>25732.075999999997</v>
      </c>
      <c r="M7125" s="422" t="s">
        <v>630</v>
      </c>
      <c r="N7125" s="131">
        <v>75414</v>
      </c>
      <c r="O7125" s="436">
        <f t="shared" si="312"/>
        <v>2790318</v>
      </c>
      <c r="P7125" s="89">
        <v>6659</v>
      </c>
      <c r="Q7125" t="s">
        <v>47</v>
      </c>
      <c r="R7125" s="422" t="s">
        <v>1869</v>
      </c>
      <c r="S7125" s="422" t="s">
        <v>1861</v>
      </c>
      <c r="T7125" s="422"/>
      <c r="U7125" s="422" t="s">
        <v>1953</v>
      </c>
      <c r="V7125" s="422" t="s">
        <v>2813</v>
      </c>
    </row>
    <row r="7126" spans="1:22" ht="15.75" thickBot="1" x14ac:dyDescent="0.3">
      <c r="A7126" t="s">
        <v>543</v>
      </c>
      <c r="B7126" s="424" t="str">
        <f t="shared" si="313"/>
        <v>Barraqueiro Transportes</v>
      </c>
      <c r="C7126" s="424" t="str">
        <f t="shared" si="314"/>
        <v>Boa Viagem</v>
      </c>
      <c r="D7126" t="s">
        <v>629</v>
      </c>
      <c r="F7126" s="432" t="s">
        <v>620</v>
      </c>
      <c r="G7126" s="89">
        <v>2007</v>
      </c>
      <c r="H7126" s="313" t="s">
        <v>731</v>
      </c>
      <c r="I7126" s="311" t="str">
        <f t="shared" si="311"/>
        <v>Pesado de Passageiros M3:  : Gasóleo : E4</v>
      </c>
      <c r="J7126" s="422">
        <v>55</v>
      </c>
      <c r="K7126" s="422">
        <v>2023</v>
      </c>
      <c r="L7126">
        <v>23115.141</v>
      </c>
      <c r="M7126" s="422" t="s">
        <v>630</v>
      </c>
      <c r="N7126" s="131">
        <v>64005</v>
      </c>
      <c r="O7126" s="436">
        <f t="shared" si="312"/>
        <v>3520275</v>
      </c>
      <c r="P7126" s="89">
        <v>6672</v>
      </c>
      <c r="Q7126" t="s">
        <v>47</v>
      </c>
      <c r="R7126" s="422" t="s">
        <v>1869</v>
      </c>
      <c r="S7126" s="422" t="s">
        <v>1861</v>
      </c>
      <c r="T7126" s="422"/>
      <c r="U7126" s="422" t="s">
        <v>1953</v>
      </c>
      <c r="V7126" s="422" t="s">
        <v>2813</v>
      </c>
    </row>
    <row r="7127" spans="1:22" ht="15.75" thickBot="1" x14ac:dyDescent="0.3">
      <c r="A7127" t="s">
        <v>543</v>
      </c>
      <c r="B7127" s="424" t="str">
        <f t="shared" si="313"/>
        <v>Barraqueiro Transportes</v>
      </c>
      <c r="C7127" s="424" t="str">
        <f t="shared" si="314"/>
        <v>Boa Viagem</v>
      </c>
      <c r="D7127" t="s">
        <v>629</v>
      </c>
      <c r="F7127" s="432" t="s">
        <v>620</v>
      </c>
      <c r="G7127" s="89">
        <v>2013</v>
      </c>
      <c r="H7127" s="313" t="s">
        <v>733</v>
      </c>
      <c r="I7127" s="311" t="str">
        <f t="shared" si="311"/>
        <v>Pesado de Passageiros M3:  : Gasóleo : E6</v>
      </c>
      <c r="J7127" s="422">
        <v>53</v>
      </c>
      <c r="K7127" s="422">
        <v>2023</v>
      </c>
      <c r="L7127">
        <v>25445.844000000001</v>
      </c>
      <c r="M7127" s="422" t="s">
        <v>630</v>
      </c>
      <c r="N7127" s="131">
        <v>74002</v>
      </c>
      <c r="O7127" s="436">
        <f t="shared" si="312"/>
        <v>3922106</v>
      </c>
      <c r="P7127" s="89">
        <v>6743</v>
      </c>
      <c r="Q7127" t="s">
        <v>47</v>
      </c>
      <c r="R7127" s="422" t="s">
        <v>1869</v>
      </c>
      <c r="S7127" s="422" t="s">
        <v>1861</v>
      </c>
      <c r="T7127" s="422"/>
      <c r="U7127" s="422" t="s">
        <v>1953</v>
      </c>
      <c r="V7127" s="422" t="s">
        <v>2813</v>
      </c>
    </row>
    <row r="7128" spans="1:22" ht="15.75" thickBot="1" x14ac:dyDescent="0.3">
      <c r="A7128" t="s">
        <v>543</v>
      </c>
      <c r="B7128" s="424" t="str">
        <f t="shared" si="313"/>
        <v>Barraqueiro Transportes</v>
      </c>
      <c r="C7128" s="424" t="str">
        <f t="shared" si="314"/>
        <v>Boa Viagem</v>
      </c>
      <c r="D7128" t="s">
        <v>629</v>
      </c>
      <c r="F7128" s="432" t="s">
        <v>620</v>
      </c>
      <c r="G7128" s="89">
        <v>2013</v>
      </c>
      <c r="H7128" s="313" t="s">
        <v>733</v>
      </c>
      <c r="I7128" s="311" t="str">
        <f t="shared" si="311"/>
        <v>Pesado de Passageiros M3:  : Gasóleo : E6</v>
      </c>
      <c r="J7128" s="422">
        <v>53</v>
      </c>
      <c r="K7128" s="422">
        <v>2023</v>
      </c>
      <c r="L7128">
        <v>22365.922999999999</v>
      </c>
      <c r="M7128" s="422" t="s">
        <v>630</v>
      </c>
      <c r="N7128" s="131">
        <v>65973</v>
      </c>
      <c r="O7128" s="436">
        <f t="shared" si="312"/>
        <v>3496569</v>
      </c>
      <c r="P7128" s="89">
        <v>6748</v>
      </c>
      <c r="Q7128" t="s">
        <v>47</v>
      </c>
      <c r="R7128" s="422" t="s">
        <v>1869</v>
      </c>
      <c r="S7128" s="422" t="s">
        <v>1861</v>
      </c>
      <c r="T7128" s="422"/>
      <c r="U7128" s="422" t="s">
        <v>1953</v>
      </c>
      <c r="V7128" s="422" t="s">
        <v>2813</v>
      </c>
    </row>
    <row r="7129" spans="1:22" ht="15.75" thickBot="1" x14ac:dyDescent="0.3">
      <c r="A7129" t="s">
        <v>543</v>
      </c>
      <c r="B7129" s="424" t="str">
        <f t="shared" si="313"/>
        <v>Barraqueiro Transportes</v>
      </c>
      <c r="C7129" s="424" t="str">
        <f t="shared" si="314"/>
        <v>Boa Viagem</v>
      </c>
      <c r="D7129" t="s">
        <v>629</v>
      </c>
      <c r="F7129" s="432" t="s">
        <v>620</v>
      </c>
      <c r="G7129" s="89">
        <v>2014</v>
      </c>
      <c r="H7129" s="313" t="s">
        <v>733</v>
      </c>
      <c r="I7129" s="311" t="str">
        <f t="shared" si="311"/>
        <v>Pesado de Passageiros M3:  : Gasóleo : E6</v>
      </c>
      <c r="J7129" s="422">
        <v>53</v>
      </c>
      <c r="K7129" s="422">
        <v>2023</v>
      </c>
      <c r="L7129">
        <v>7174.94</v>
      </c>
      <c r="M7129" s="422" t="s">
        <v>630</v>
      </c>
      <c r="N7129" s="131">
        <v>22490</v>
      </c>
      <c r="O7129" s="436">
        <f t="shared" si="312"/>
        <v>1191970</v>
      </c>
      <c r="P7129" s="89">
        <v>6754</v>
      </c>
      <c r="Q7129" t="s">
        <v>47</v>
      </c>
      <c r="R7129" s="422" t="s">
        <v>1869</v>
      </c>
      <c r="S7129" s="422" t="s">
        <v>1861</v>
      </c>
      <c r="T7129" s="422"/>
      <c r="U7129" s="422" t="s">
        <v>1953</v>
      </c>
      <c r="V7129" s="422" t="s">
        <v>2813</v>
      </c>
    </row>
    <row r="7130" spans="1:22" ht="15.75" thickBot="1" x14ac:dyDescent="0.3">
      <c r="A7130" t="s">
        <v>543</v>
      </c>
      <c r="B7130" s="424" t="str">
        <f t="shared" si="313"/>
        <v>Barraqueiro Transportes</v>
      </c>
      <c r="C7130" s="424" t="str">
        <f t="shared" si="314"/>
        <v>Boa Viagem</v>
      </c>
      <c r="D7130" t="s">
        <v>629</v>
      </c>
      <c r="F7130" s="432" t="s">
        <v>620</v>
      </c>
      <c r="G7130" s="89">
        <v>2014</v>
      </c>
      <c r="H7130" s="313" t="s">
        <v>733</v>
      </c>
      <c r="I7130" s="311" t="str">
        <f t="shared" si="311"/>
        <v>Pesado de Passageiros M3:  : Gasóleo : E6</v>
      </c>
      <c r="J7130" s="422">
        <v>53</v>
      </c>
      <c r="K7130" s="422">
        <v>2023</v>
      </c>
      <c r="L7130">
        <v>5472.38</v>
      </c>
      <c r="M7130" s="422" t="s">
        <v>630</v>
      </c>
      <c r="N7130" s="131">
        <v>16295</v>
      </c>
      <c r="O7130" s="436">
        <f t="shared" si="312"/>
        <v>863635</v>
      </c>
      <c r="P7130" s="89">
        <v>6756</v>
      </c>
      <c r="Q7130" t="s">
        <v>47</v>
      </c>
      <c r="R7130" s="422" t="s">
        <v>1869</v>
      </c>
      <c r="S7130" s="422" t="s">
        <v>1861</v>
      </c>
      <c r="T7130" s="422"/>
      <c r="U7130" s="422" t="s">
        <v>1953</v>
      </c>
      <c r="V7130" s="422" t="s">
        <v>2813</v>
      </c>
    </row>
    <row r="7131" spans="1:22" ht="15.75" thickBot="1" x14ac:dyDescent="0.3">
      <c r="A7131" t="s">
        <v>543</v>
      </c>
      <c r="B7131" s="424" t="str">
        <f t="shared" si="313"/>
        <v>Barraqueiro Transportes</v>
      </c>
      <c r="C7131" s="424" t="str">
        <f t="shared" si="314"/>
        <v>Boa Viagem</v>
      </c>
      <c r="D7131" t="s">
        <v>629</v>
      </c>
      <c r="F7131" s="432" t="s">
        <v>620</v>
      </c>
      <c r="G7131" s="89">
        <v>2015</v>
      </c>
      <c r="H7131" s="313" t="s">
        <v>733</v>
      </c>
      <c r="I7131" s="311" t="str">
        <f t="shared" si="311"/>
        <v>Pesado de Passageiros M3:  : Gasóleo : E6</v>
      </c>
      <c r="J7131" s="422">
        <v>53</v>
      </c>
      <c r="K7131" s="422">
        <v>2023</v>
      </c>
      <c r="L7131">
        <v>5280.59</v>
      </c>
      <c r="M7131" s="422" t="s">
        <v>630</v>
      </c>
      <c r="N7131" s="131">
        <v>17913</v>
      </c>
      <c r="O7131" s="436">
        <f t="shared" si="312"/>
        <v>949389</v>
      </c>
      <c r="P7131" s="89">
        <v>6773</v>
      </c>
      <c r="Q7131" t="s">
        <v>47</v>
      </c>
      <c r="R7131" s="422" t="s">
        <v>1869</v>
      </c>
      <c r="S7131" s="422" t="s">
        <v>1861</v>
      </c>
      <c r="T7131" s="422"/>
      <c r="U7131" s="422" t="s">
        <v>1953</v>
      </c>
      <c r="V7131" s="422" t="s">
        <v>2813</v>
      </c>
    </row>
    <row r="7132" spans="1:22" ht="15.75" thickBot="1" x14ac:dyDescent="0.3">
      <c r="A7132" t="s">
        <v>544</v>
      </c>
      <c r="B7132" s="424" t="str">
        <f t="shared" si="313"/>
        <v>Barraqueiro Transportes</v>
      </c>
      <c r="C7132" s="424" t="str">
        <f t="shared" si="314"/>
        <v>Mafrense</v>
      </c>
      <c r="D7132" t="s">
        <v>629</v>
      </c>
      <c r="F7132" s="432" t="s">
        <v>620</v>
      </c>
      <c r="G7132" s="89">
        <v>2006</v>
      </c>
      <c r="H7132" s="313" t="s">
        <v>731</v>
      </c>
      <c r="I7132" s="311" t="str">
        <f t="shared" si="311"/>
        <v>Pesado de Passageiros M3:  : Gasóleo : E4</v>
      </c>
      <c r="J7132" s="422">
        <v>15</v>
      </c>
      <c r="K7132" s="422">
        <v>2023</v>
      </c>
      <c r="L7132">
        <v>487.4</v>
      </c>
      <c r="M7132" s="422" t="s">
        <v>630</v>
      </c>
      <c r="N7132" s="131">
        <v>3797</v>
      </c>
      <c r="O7132" s="436">
        <f t="shared" si="312"/>
        <v>56955</v>
      </c>
      <c r="P7132" s="89">
        <v>249</v>
      </c>
      <c r="Q7132" t="s">
        <v>47</v>
      </c>
      <c r="R7132" s="422" t="s">
        <v>1869</v>
      </c>
      <c r="S7132" s="422" t="s">
        <v>1861</v>
      </c>
      <c r="T7132" s="422"/>
      <c r="U7132" s="422" t="s">
        <v>1953</v>
      </c>
      <c r="V7132" s="422" t="s">
        <v>2813</v>
      </c>
    </row>
    <row r="7133" spans="1:22" ht="15.75" thickBot="1" x14ac:dyDescent="0.3">
      <c r="A7133" t="s">
        <v>544</v>
      </c>
      <c r="B7133" s="424" t="str">
        <f t="shared" si="313"/>
        <v>Barraqueiro Transportes</v>
      </c>
      <c r="C7133" s="424" t="str">
        <f t="shared" si="314"/>
        <v>Mafrense</v>
      </c>
      <c r="D7133" t="s">
        <v>629</v>
      </c>
      <c r="F7133" s="432" t="s">
        <v>620</v>
      </c>
      <c r="G7133" s="89">
        <v>2006</v>
      </c>
      <c r="H7133" s="313" t="s">
        <v>731</v>
      </c>
      <c r="I7133" s="311" t="str">
        <f t="shared" si="311"/>
        <v>Pesado de Passageiros M3:  : Gasóleo : E4</v>
      </c>
      <c r="J7133" s="422">
        <v>27</v>
      </c>
      <c r="K7133" s="422">
        <v>2023</v>
      </c>
      <c r="L7133">
        <v>465.56000000000006</v>
      </c>
      <c r="M7133" s="422" t="s">
        <v>630</v>
      </c>
      <c r="N7133" s="131">
        <v>2385</v>
      </c>
      <c r="O7133" s="436">
        <f t="shared" si="312"/>
        <v>64395</v>
      </c>
      <c r="P7133" s="89">
        <v>251</v>
      </c>
      <c r="Q7133" t="s">
        <v>47</v>
      </c>
      <c r="R7133" s="422" t="s">
        <v>1869</v>
      </c>
      <c r="S7133" s="422" t="s">
        <v>1861</v>
      </c>
      <c r="T7133" s="422"/>
      <c r="U7133" s="422" t="s">
        <v>1953</v>
      </c>
      <c r="V7133" s="422" t="s">
        <v>2813</v>
      </c>
    </row>
    <row r="7134" spans="1:22" ht="15.75" thickBot="1" x14ac:dyDescent="0.3">
      <c r="A7134" t="s">
        <v>544</v>
      </c>
      <c r="B7134" s="424" t="str">
        <f t="shared" si="313"/>
        <v>Barraqueiro Transportes</v>
      </c>
      <c r="C7134" s="424" t="str">
        <f t="shared" si="314"/>
        <v>Mafrense</v>
      </c>
      <c r="D7134" t="s">
        <v>629</v>
      </c>
      <c r="F7134" s="432" t="s">
        <v>620</v>
      </c>
      <c r="G7134" s="89">
        <v>2007</v>
      </c>
      <c r="H7134" s="313" t="s">
        <v>731</v>
      </c>
      <c r="I7134" s="311" t="str">
        <f t="shared" si="311"/>
        <v>Pesado de Passageiros M3:  : Gasóleo : E4</v>
      </c>
      <c r="J7134" s="422">
        <v>53</v>
      </c>
      <c r="K7134" s="422">
        <v>2023</v>
      </c>
      <c r="L7134">
        <v>3188.6400000000003</v>
      </c>
      <c r="M7134" s="422" t="s">
        <v>630</v>
      </c>
      <c r="N7134" s="131">
        <v>9143</v>
      </c>
      <c r="O7134" s="436">
        <f t="shared" si="312"/>
        <v>484579</v>
      </c>
      <c r="P7134" s="89">
        <v>252</v>
      </c>
      <c r="Q7134" t="s">
        <v>47</v>
      </c>
      <c r="R7134" s="422" t="s">
        <v>1869</v>
      </c>
      <c r="S7134" s="422" t="s">
        <v>1861</v>
      </c>
      <c r="T7134" s="422"/>
      <c r="U7134" s="422" t="s">
        <v>1953</v>
      </c>
      <c r="V7134" s="422" t="s">
        <v>2813</v>
      </c>
    </row>
    <row r="7135" spans="1:22" ht="15.75" thickBot="1" x14ac:dyDescent="0.3">
      <c r="A7135" t="s">
        <v>544</v>
      </c>
      <c r="B7135" s="424" t="str">
        <f t="shared" si="313"/>
        <v>Barraqueiro Transportes</v>
      </c>
      <c r="C7135" s="424" t="str">
        <f t="shared" si="314"/>
        <v>Mafrense</v>
      </c>
      <c r="D7135" t="s">
        <v>629</v>
      </c>
      <c r="F7135" s="432" t="s">
        <v>620</v>
      </c>
      <c r="G7135" s="89">
        <v>2007</v>
      </c>
      <c r="H7135" s="313" t="s">
        <v>731</v>
      </c>
      <c r="I7135" s="311" t="str">
        <f t="shared" si="311"/>
        <v>Pesado de Passageiros M3:  : Gasóleo : E4</v>
      </c>
      <c r="J7135" s="422">
        <v>53</v>
      </c>
      <c r="K7135" s="422">
        <v>2023</v>
      </c>
      <c r="L7135">
        <v>3551.6599999999994</v>
      </c>
      <c r="M7135" s="422" t="s">
        <v>630</v>
      </c>
      <c r="N7135" s="131">
        <v>9836</v>
      </c>
      <c r="O7135" s="436">
        <f t="shared" si="312"/>
        <v>521308</v>
      </c>
      <c r="P7135" s="89">
        <v>254</v>
      </c>
      <c r="Q7135" t="s">
        <v>47</v>
      </c>
      <c r="R7135" s="422" t="s">
        <v>1869</v>
      </c>
      <c r="S7135" s="422" t="s">
        <v>1861</v>
      </c>
      <c r="T7135" s="422"/>
      <c r="U7135" s="422" t="s">
        <v>1953</v>
      </c>
      <c r="V7135" s="422" t="s">
        <v>2813</v>
      </c>
    </row>
    <row r="7136" spans="1:22" ht="15.75" thickBot="1" x14ac:dyDescent="0.3">
      <c r="A7136" t="s">
        <v>544</v>
      </c>
      <c r="B7136" s="424" t="str">
        <f t="shared" si="313"/>
        <v>Barraqueiro Transportes</v>
      </c>
      <c r="C7136" s="424" t="str">
        <f t="shared" si="314"/>
        <v>Mafrense</v>
      </c>
      <c r="D7136" t="s">
        <v>629</v>
      </c>
      <c r="F7136" s="432" t="s">
        <v>620</v>
      </c>
      <c r="G7136" s="89">
        <v>2007</v>
      </c>
      <c r="H7136" s="313" t="s">
        <v>731</v>
      </c>
      <c r="I7136" s="311" t="str">
        <f t="shared" si="311"/>
        <v>Pesado de Passageiros M3:  : Gasóleo : E4</v>
      </c>
      <c r="J7136" s="422">
        <v>55</v>
      </c>
      <c r="K7136" s="422">
        <v>2023</v>
      </c>
      <c r="L7136">
        <v>7544.2899999999991</v>
      </c>
      <c r="M7136" s="422" t="s">
        <v>630</v>
      </c>
      <c r="N7136" s="131">
        <v>22064</v>
      </c>
      <c r="O7136" s="436">
        <f t="shared" si="312"/>
        <v>1213520</v>
      </c>
      <c r="P7136" s="89">
        <v>255</v>
      </c>
      <c r="Q7136" t="s">
        <v>47</v>
      </c>
      <c r="R7136" s="422" t="s">
        <v>1869</v>
      </c>
      <c r="S7136" s="422" t="s">
        <v>1861</v>
      </c>
      <c r="T7136" s="422"/>
      <c r="U7136" s="422" t="s">
        <v>1953</v>
      </c>
      <c r="V7136" s="422" t="s">
        <v>2813</v>
      </c>
    </row>
    <row r="7137" spans="1:22" ht="15.75" thickBot="1" x14ac:dyDescent="0.3">
      <c r="A7137" t="s">
        <v>544</v>
      </c>
      <c r="B7137" s="424" t="str">
        <f t="shared" si="313"/>
        <v>Barraqueiro Transportes</v>
      </c>
      <c r="C7137" s="424" t="str">
        <f t="shared" si="314"/>
        <v>Mafrense</v>
      </c>
      <c r="D7137" t="s">
        <v>629</v>
      </c>
      <c r="F7137" s="432" t="s">
        <v>620</v>
      </c>
      <c r="G7137" s="89">
        <v>2008</v>
      </c>
      <c r="H7137" s="313" t="s">
        <v>731</v>
      </c>
      <c r="I7137" s="311" t="str">
        <f t="shared" si="311"/>
        <v>Pesado de Passageiros M3:  : Gasóleo : E4</v>
      </c>
      <c r="J7137" s="422">
        <v>53</v>
      </c>
      <c r="K7137" s="422">
        <v>2023</v>
      </c>
      <c r="L7137">
        <v>3290.1299999999997</v>
      </c>
      <c r="M7137" s="422" t="s">
        <v>630</v>
      </c>
      <c r="N7137" s="131">
        <v>10002</v>
      </c>
      <c r="O7137" s="436">
        <f t="shared" si="312"/>
        <v>530106</v>
      </c>
      <c r="P7137" s="89">
        <v>285</v>
      </c>
      <c r="Q7137" t="s">
        <v>47</v>
      </c>
      <c r="R7137" s="422" t="s">
        <v>1869</v>
      </c>
      <c r="S7137" s="422" t="s">
        <v>1861</v>
      </c>
      <c r="T7137" s="422"/>
      <c r="U7137" s="422" t="s">
        <v>1953</v>
      </c>
      <c r="V7137" s="422" t="s">
        <v>2813</v>
      </c>
    </row>
    <row r="7138" spans="1:22" ht="15.75" thickBot="1" x14ac:dyDescent="0.3">
      <c r="A7138" t="s">
        <v>544</v>
      </c>
      <c r="B7138" s="424" t="str">
        <f t="shared" si="313"/>
        <v>Barraqueiro Transportes</v>
      </c>
      <c r="C7138" s="424" t="str">
        <f t="shared" si="314"/>
        <v>Mafrense</v>
      </c>
      <c r="D7138" t="s">
        <v>629</v>
      </c>
      <c r="F7138" s="432" t="s">
        <v>620</v>
      </c>
      <c r="G7138" s="89">
        <v>2008</v>
      </c>
      <c r="H7138" s="313" t="s">
        <v>731</v>
      </c>
      <c r="I7138" s="311" t="str">
        <f t="shared" ref="I7138:I7201" si="315">D7138&amp;": "&amp;E7138&amp;" : "&amp;F7138&amp;" : "&amp;H7138</f>
        <v>Pesado de Passageiros M3:  : Gasóleo : E4</v>
      </c>
      <c r="J7138" s="422">
        <v>53</v>
      </c>
      <c r="K7138" s="422">
        <v>2023</v>
      </c>
      <c r="L7138">
        <v>7341.7100000000009</v>
      </c>
      <c r="M7138" s="422" t="s">
        <v>630</v>
      </c>
      <c r="N7138" s="131">
        <v>21263</v>
      </c>
      <c r="O7138" s="436">
        <f t="shared" si="312"/>
        <v>1126939</v>
      </c>
      <c r="P7138" s="89">
        <v>288</v>
      </c>
      <c r="Q7138" t="s">
        <v>47</v>
      </c>
      <c r="R7138" s="422" t="s">
        <v>1869</v>
      </c>
      <c r="S7138" s="422" t="s">
        <v>1861</v>
      </c>
      <c r="T7138" s="422"/>
      <c r="U7138" s="422" t="s">
        <v>1953</v>
      </c>
      <c r="V7138" s="422" t="s">
        <v>2813</v>
      </c>
    </row>
    <row r="7139" spans="1:22" ht="15.75" thickBot="1" x14ac:dyDescent="0.3">
      <c r="A7139" t="s">
        <v>544</v>
      </c>
      <c r="B7139" s="424" t="str">
        <f t="shared" si="313"/>
        <v>Barraqueiro Transportes</v>
      </c>
      <c r="C7139" s="424" t="str">
        <f t="shared" si="314"/>
        <v>Mafrense</v>
      </c>
      <c r="D7139" t="s">
        <v>629</v>
      </c>
      <c r="F7139" s="432" t="s">
        <v>620</v>
      </c>
      <c r="G7139" s="89">
        <v>2008</v>
      </c>
      <c r="H7139" s="313" t="s">
        <v>731</v>
      </c>
      <c r="I7139" s="311" t="str">
        <f t="shared" si="315"/>
        <v>Pesado de Passageiros M3:  : Gasóleo : E4</v>
      </c>
      <c r="J7139" s="422">
        <v>25</v>
      </c>
      <c r="K7139" s="422">
        <v>2023</v>
      </c>
      <c r="L7139">
        <v>2138.1800000000003</v>
      </c>
      <c r="M7139" s="422" t="s">
        <v>630</v>
      </c>
      <c r="N7139" s="131">
        <v>11716</v>
      </c>
      <c r="O7139" s="436">
        <f t="shared" si="312"/>
        <v>292900</v>
      </c>
      <c r="P7139" s="89">
        <v>290</v>
      </c>
      <c r="Q7139" t="s">
        <v>47</v>
      </c>
      <c r="R7139" s="422" t="s">
        <v>1869</v>
      </c>
      <c r="S7139" s="422" t="s">
        <v>1861</v>
      </c>
      <c r="T7139" s="422"/>
      <c r="U7139" s="422" t="s">
        <v>1953</v>
      </c>
      <c r="V7139" s="422" t="s">
        <v>2813</v>
      </c>
    </row>
    <row r="7140" spans="1:22" ht="15.75" thickBot="1" x14ac:dyDescent="0.3">
      <c r="A7140" t="s">
        <v>544</v>
      </c>
      <c r="B7140" s="424" t="str">
        <f t="shared" si="313"/>
        <v>Barraqueiro Transportes</v>
      </c>
      <c r="C7140" s="424" t="str">
        <f t="shared" si="314"/>
        <v>Mafrense</v>
      </c>
      <c r="D7140" t="s">
        <v>629</v>
      </c>
      <c r="F7140" s="432" t="s">
        <v>620</v>
      </c>
      <c r="G7140" s="89">
        <v>2008</v>
      </c>
      <c r="H7140" s="313" t="s">
        <v>731</v>
      </c>
      <c r="I7140" s="311" t="str">
        <f t="shared" si="315"/>
        <v>Pesado de Passageiros M3:  : Gasóleo : E4</v>
      </c>
      <c r="J7140" s="422">
        <v>20</v>
      </c>
      <c r="K7140" s="422">
        <v>2023</v>
      </c>
      <c r="L7140">
        <v>687.48</v>
      </c>
      <c r="M7140" s="422" t="s">
        <v>630</v>
      </c>
      <c r="N7140" s="131">
        <v>3293</v>
      </c>
      <c r="O7140" s="436">
        <f t="shared" si="312"/>
        <v>65860</v>
      </c>
      <c r="P7140" s="89">
        <v>312</v>
      </c>
      <c r="Q7140" t="s">
        <v>47</v>
      </c>
      <c r="R7140" s="422" t="s">
        <v>1869</v>
      </c>
      <c r="S7140" s="422" t="s">
        <v>1861</v>
      </c>
      <c r="T7140" s="422"/>
      <c r="U7140" s="422" t="s">
        <v>1953</v>
      </c>
      <c r="V7140" s="422" t="s">
        <v>2813</v>
      </c>
    </row>
    <row r="7141" spans="1:22" ht="15.75" thickBot="1" x14ac:dyDescent="0.3">
      <c r="A7141" t="s">
        <v>544</v>
      </c>
      <c r="B7141" s="424" t="str">
        <f t="shared" si="313"/>
        <v>Barraqueiro Transportes</v>
      </c>
      <c r="C7141" s="424" t="str">
        <f t="shared" si="314"/>
        <v>Mafrense</v>
      </c>
      <c r="D7141" t="s">
        <v>629</v>
      </c>
      <c r="F7141" s="432" t="s">
        <v>620</v>
      </c>
      <c r="G7141" s="89">
        <v>2009</v>
      </c>
      <c r="H7141" s="313" t="s">
        <v>734</v>
      </c>
      <c r="I7141" s="311" t="str">
        <f t="shared" si="315"/>
        <v>Pesado de Passageiros M3:  : Gasóleo : E5</v>
      </c>
      <c r="J7141" s="422">
        <v>53</v>
      </c>
      <c r="K7141" s="422">
        <v>2023</v>
      </c>
      <c r="L7141">
        <v>8747.83</v>
      </c>
      <c r="M7141" s="422" t="s">
        <v>630</v>
      </c>
      <c r="N7141" s="131">
        <v>25237</v>
      </c>
      <c r="O7141" s="436">
        <f t="shared" si="312"/>
        <v>1337561</v>
      </c>
      <c r="P7141" s="89">
        <v>410</v>
      </c>
      <c r="Q7141" t="s">
        <v>47</v>
      </c>
      <c r="R7141" s="422" t="s">
        <v>1869</v>
      </c>
      <c r="S7141" s="422" t="s">
        <v>1861</v>
      </c>
      <c r="T7141" s="422"/>
      <c r="U7141" s="422" t="s">
        <v>1953</v>
      </c>
      <c r="V7141" s="422" t="s">
        <v>2813</v>
      </c>
    </row>
    <row r="7142" spans="1:22" ht="15.75" thickBot="1" x14ac:dyDescent="0.3">
      <c r="A7142" t="s">
        <v>544</v>
      </c>
      <c r="B7142" s="424" t="str">
        <f t="shared" si="313"/>
        <v>Barraqueiro Transportes</v>
      </c>
      <c r="C7142" s="424" t="str">
        <f t="shared" si="314"/>
        <v>Mafrense</v>
      </c>
      <c r="D7142" t="s">
        <v>629</v>
      </c>
      <c r="F7142" s="432" t="s">
        <v>620</v>
      </c>
      <c r="G7142" s="89">
        <v>2012</v>
      </c>
      <c r="H7142" s="313" t="s">
        <v>734</v>
      </c>
      <c r="I7142" s="311" t="str">
        <f t="shared" si="315"/>
        <v>Pesado de Passageiros M3:  : Gasóleo : E5</v>
      </c>
      <c r="J7142" s="422">
        <v>53</v>
      </c>
      <c r="K7142" s="422">
        <v>2023</v>
      </c>
      <c r="L7142">
        <v>13823.603000000001</v>
      </c>
      <c r="M7142" s="422" t="s">
        <v>630</v>
      </c>
      <c r="N7142" s="131">
        <v>42057</v>
      </c>
      <c r="O7142" s="436">
        <f t="shared" ref="O7142:O7205" si="316">N7142*J7142</f>
        <v>2229021</v>
      </c>
      <c r="P7142" s="89">
        <v>629</v>
      </c>
      <c r="Q7142" t="s">
        <v>47</v>
      </c>
      <c r="R7142" s="422" t="s">
        <v>1869</v>
      </c>
      <c r="S7142" s="422" t="s">
        <v>1861</v>
      </c>
      <c r="T7142" s="422"/>
      <c r="U7142" s="422" t="s">
        <v>1953</v>
      </c>
      <c r="V7142" s="422" t="s">
        <v>2813</v>
      </c>
    </row>
    <row r="7143" spans="1:22" ht="15.75" thickBot="1" x14ac:dyDescent="0.3">
      <c r="A7143" t="s">
        <v>544</v>
      </c>
      <c r="B7143" s="424" t="str">
        <f t="shared" si="313"/>
        <v>Barraqueiro Transportes</v>
      </c>
      <c r="C7143" s="424" t="str">
        <f t="shared" si="314"/>
        <v>Mafrense</v>
      </c>
      <c r="D7143" t="s">
        <v>629</v>
      </c>
      <c r="F7143" s="432" t="s">
        <v>620</v>
      </c>
      <c r="G7143" s="89">
        <v>2012</v>
      </c>
      <c r="H7143" s="313" t="s">
        <v>734</v>
      </c>
      <c r="I7143" s="311" t="str">
        <f t="shared" si="315"/>
        <v>Pesado de Passageiros M3:  : Gasóleo : E5</v>
      </c>
      <c r="J7143" s="422">
        <v>34</v>
      </c>
      <c r="K7143" s="422">
        <v>2023</v>
      </c>
      <c r="L7143">
        <v>792</v>
      </c>
      <c r="M7143" s="422" t="s">
        <v>630</v>
      </c>
      <c r="N7143" s="131">
        <v>2553</v>
      </c>
      <c r="O7143" s="436">
        <f t="shared" si="316"/>
        <v>86802</v>
      </c>
      <c r="P7143" s="89">
        <v>636</v>
      </c>
      <c r="Q7143" t="s">
        <v>47</v>
      </c>
      <c r="R7143" s="422" t="s">
        <v>1869</v>
      </c>
      <c r="S7143" s="422" t="s">
        <v>1861</v>
      </c>
      <c r="T7143" s="422"/>
      <c r="U7143" s="422" t="s">
        <v>1953</v>
      </c>
      <c r="V7143" s="422" t="s">
        <v>2813</v>
      </c>
    </row>
    <row r="7144" spans="1:22" ht="15.75" thickBot="1" x14ac:dyDescent="0.3">
      <c r="A7144" t="s">
        <v>544</v>
      </c>
      <c r="B7144" s="424" t="str">
        <f t="shared" si="313"/>
        <v>Barraqueiro Transportes</v>
      </c>
      <c r="C7144" s="424" t="str">
        <f t="shared" si="314"/>
        <v>Mafrense</v>
      </c>
      <c r="D7144" t="s">
        <v>629</v>
      </c>
      <c r="F7144" s="432" t="s">
        <v>620</v>
      </c>
      <c r="G7144" s="89">
        <v>2008</v>
      </c>
      <c r="H7144" s="313" t="s">
        <v>731</v>
      </c>
      <c r="I7144" s="311" t="str">
        <f t="shared" si="315"/>
        <v>Pesado de Passageiros M3:  : Gasóleo : E4</v>
      </c>
      <c r="J7144" s="422">
        <v>59</v>
      </c>
      <c r="K7144" s="422">
        <v>2023</v>
      </c>
      <c r="L7144">
        <v>5114.04</v>
      </c>
      <c r="M7144" s="422" t="s">
        <v>630</v>
      </c>
      <c r="N7144" s="131">
        <v>17672</v>
      </c>
      <c r="O7144" s="436">
        <f t="shared" si="316"/>
        <v>1042648</v>
      </c>
      <c r="P7144" s="89">
        <v>686</v>
      </c>
      <c r="Q7144" t="s">
        <v>47</v>
      </c>
      <c r="R7144" s="422" t="s">
        <v>1869</v>
      </c>
      <c r="S7144" s="422" t="s">
        <v>1861</v>
      </c>
      <c r="T7144" s="422"/>
      <c r="U7144" s="422" t="s">
        <v>1953</v>
      </c>
      <c r="V7144" s="422" t="s">
        <v>2813</v>
      </c>
    </row>
    <row r="7145" spans="1:22" ht="15.75" thickBot="1" x14ac:dyDescent="0.3">
      <c r="A7145" t="s">
        <v>544</v>
      </c>
      <c r="B7145" s="424" t="str">
        <f t="shared" si="313"/>
        <v>Barraqueiro Transportes</v>
      </c>
      <c r="C7145" s="424" t="str">
        <f t="shared" si="314"/>
        <v>Mafrense</v>
      </c>
      <c r="D7145" t="s">
        <v>629</v>
      </c>
      <c r="F7145" s="432" t="s">
        <v>620</v>
      </c>
      <c r="G7145" s="89">
        <v>2002</v>
      </c>
      <c r="H7145" s="313" t="s">
        <v>732</v>
      </c>
      <c r="I7145" s="311" t="str">
        <f t="shared" si="315"/>
        <v>Pesado de Passageiros M3:  : Gasóleo : E3</v>
      </c>
      <c r="J7145" s="422">
        <v>69</v>
      </c>
      <c r="K7145" s="422">
        <v>2023</v>
      </c>
      <c r="L7145">
        <v>50</v>
      </c>
      <c r="M7145" s="422" t="s">
        <v>630</v>
      </c>
      <c r="N7145" s="131">
        <v>106</v>
      </c>
      <c r="O7145" s="436">
        <f t="shared" si="316"/>
        <v>7314</v>
      </c>
      <c r="P7145" s="89">
        <v>720</v>
      </c>
      <c r="Q7145" t="s">
        <v>47</v>
      </c>
      <c r="R7145" s="422" t="s">
        <v>1869</v>
      </c>
      <c r="S7145" s="422" t="s">
        <v>1861</v>
      </c>
      <c r="T7145" s="422"/>
      <c r="U7145" s="422" t="s">
        <v>1953</v>
      </c>
      <c r="V7145" s="422" t="s">
        <v>2813</v>
      </c>
    </row>
    <row r="7146" spans="1:22" ht="15.75" thickBot="1" x14ac:dyDescent="0.3">
      <c r="A7146" t="s">
        <v>544</v>
      </c>
      <c r="B7146" s="424" t="str">
        <f t="shared" si="313"/>
        <v>Barraqueiro Transportes</v>
      </c>
      <c r="C7146" s="424" t="str">
        <f t="shared" si="314"/>
        <v>Mafrense</v>
      </c>
      <c r="D7146" t="s">
        <v>629</v>
      </c>
      <c r="F7146" s="432" t="s">
        <v>620</v>
      </c>
      <c r="G7146" s="89">
        <v>2007</v>
      </c>
      <c r="H7146" s="313" t="s">
        <v>731</v>
      </c>
      <c r="I7146" s="311" t="str">
        <f t="shared" si="315"/>
        <v>Pesado de Passageiros M3:  : Gasóleo : E4</v>
      </c>
      <c r="J7146" s="422">
        <v>89</v>
      </c>
      <c r="K7146" s="422">
        <v>2023</v>
      </c>
      <c r="L7146">
        <v>9383.6999999999989</v>
      </c>
      <c r="M7146" s="422" t="s">
        <v>630</v>
      </c>
      <c r="N7146" s="131">
        <v>24223</v>
      </c>
      <c r="O7146" s="436">
        <f t="shared" si="316"/>
        <v>2155847</v>
      </c>
      <c r="P7146" s="89">
        <v>761</v>
      </c>
      <c r="Q7146" t="s">
        <v>47</v>
      </c>
      <c r="R7146" s="422" t="s">
        <v>1869</v>
      </c>
      <c r="S7146" s="422" t="s">
        <v>1861</v>
      </c>
      <c r="T7146" s="422"/>
      <c r="U7146" s="422" t="s">
        <v>1953</v>
      </c>
      <c r="V7146" s="422" t="s">
        <v>2813</v>
      </c>
    </row>
    <row r="7147" spans="1:22" ht="15.75" thickBot="1" x14ac:dyDescent="0.3">
      <c r="A7147" t="s">
        <v>544</v>
      </c>
      <c r="B7147" s="424" t="str">
        <f t="shared" si="313"/>
        <v>Barraqueiro Transportes</v>
      </c>
      <c r="C7147" s="424" t="str">
        <f t="shared" si="314"/>
        <v>Mafrense</v>
      </c>
      <c r="D7147" t="s">
        <v>629</v>
      </c>
      <c r="F7147" s="432" t="s">
        <v>620</v>
      </c>
      <c r="G7147" s="89">
        <v>2008</v>
      </c>
      <c r="H7147" s="313" t="s">
        <v>731</v>
      </c>
      <c r="I7147" s="311" t="str">
        <f t="shared" si="315"/>
        <v>Pesado de Passageiros M3:  : Gasóleo : E4</v>
      </c>
      <c r="J7147" s="422">
        <v>59</v>
      </c>
      <c r="K7147" s="422">
        <v>2023</v>
      </c>
      <c r="L7147">
        <v>8987.9000000000015</v>
      </c>
      <c r="M7147" s="422" t="s">
        <v>630</v>
      </c>
      <c r="N7147" s="131">
        <v>25107</v>
      </c>
      <c r="O7147" s="436">
        <f t="shared" si="316"/>
        <v>1481313</v>
      </c>
      <c r="P7147" s="89">
        <v>860</v>
      </c>
      <c r="Q7147" t="s">
        <v>47</v>
      </c>
      <c r="R7147" s="422" t="s">
        <v>1869</v>
      </c>
      <c r="S7147" s="422" t="s">
        <v>1861</v>
      </c>
      <c r="T7147" s="422"/>
      <c r="U7147" s="422" t="s">
        <v>1953</v>
      </c>
      <c r="V7147" s="422" t="s">
        <v>2813</v>
      </c>
    </row>
    <row r="7148" spans="1:22" ht="15.75" thickBot="1" x14ac:dyDescent="0.3">
      <c r="A7148" t="s">
        <v>544</v>
      </c>
      <c r="B7148" s="424" t="str">
        <f t="shared" ref="B7148:B7211" si="317">LEFT(A7148,IFERROR(FIND(" - ",A7148)-1,LEN(A7148)))</f>
        <v>Barraqueiro Transportes</v>
      </c>
      <c r="C7148" s="424" t="str">
        <f t="shared" ref="C7148:C7211" si="318">IF(A7148=B7148,B7148,RIGHT(A7148,LEN(A7148)-LEN(B7148)-3))</f>
        <v>Mafrense</v>
      </c>
      <c r="D7148" t="s">
        <v>629</v>
      </c>
      <c r="F7148" s="432" t="s">
        <v>620</v>
      </c>
      <c r="G7148" s="89">
        <v>2004</v>
      </c>
      <c r="H7148" s="313" t="s">
        <v>732</v>
      </c>
      <c r="I7148" s="311" t="str">
        <f t="shared" si="315"/>
        <v>Pesado de Passageiros M3:  : Gasóleo : E3</v>
      </c>
      <c r="J7148" s="422">
        <v>55</v>
      </c>
      <c r="K7148" s="422">
        <v>2023</v>
      </c>
      <c r="L7148">
        <v>200</v>
      </c>
      <c r="M7148" s="422" t="s">
        <v>630</v>
      </c>
      <c r="N7148" s="131">
        <v>512</v>
      </c>
      <c r="O7148" s="436">
        <f t="shared" si="316"/>
        <v>28160</v>
      </c>
      <c r="P7148" s="89">
        <v>957</v>
      </c>
      <c r="Q7148" t="s">
        <v>47</v>
      </c>
      <c r="R7148" s="422" t="s">
        <v>1869</v>
      </c>
      <c r="S7148" s="422" t="s">
        <v>1861</v>
      </c>
      <c r="T7148" s="422"/>
      <c r="U7148" s="422" t="s">
        <v>1953</v>
      </c>
      <c r="V7148" s="422" t="s">
        <v>2813</v>
      </c>
    </row>
    <row r="7149" spans="1:22" ht="15.75" thickBot="1" x14ac:dyDescent="0.3">
      <c r="A7149" t="s">
        <v>544</v>
      </c>
      <c r="B7149" s="424" t="str">
        <f t="shared" si="317"/>
        <v>Barraqueiro Transportes</v>
      </c>
      <c r="C7149" s="424" t="str">
        <f t="shared" si="318"/>
        <v>Mafrense</v>
      </c>
      <c r="D7149" t="s">
        <v>629</v>
      </c>
      <c r="F7149" s="432" t="s">
        <v>620</v>
      </c>
      <c r="G7149" s="89">
        <v>2005</v>
      </c>
      <c r="H7149" s="313" t="s">
        <v>732</v>
      </c>
      <c r="I7149" s="311" t="str">
        <f t="shared" si="315"/>
        <v>Pesado de Passageiros M3:  : Gasóleo : E3</v>
      </c>
      <c r="J7149" s="422">
        <v>34</v>
      </c>
      <c r="K7149" s="422">
        <v>2023</v>
      </c>
      <c r="L7149">
        <v>2027.759</v>
      </c>
      <c r="M7149" s="422" t="s">
        <v>630</v>
      </c>
      <c r="N7149" s="131">
        <v>6143</v>
      </c>
      <c r="O7149" s="436">
        <f t="shared" si="316"/>
        <v>208862</v>
      </c>
      <c r="P7149" s="89">
        <v>975</v>
      </c>
      <c r="Q7149" t="s">
        <v>47</v>
      </c>
      <c r="R7149" s="422" t="s">
        <v>1869</v>
      </c>
      <c r="S7149" s="422" t="s">
        <v>1861</v>
      </c>
      <c r="T7149" s="422"/>
      <c r="U7149" s="422" t="s">
        <v>1953</v>
      </c>
      <c r="V7149" s="422" t="s">
        <v>2813</v>
      </c>
    </row>
    <row r="7150" spans="1:22" ht="15.75" thickBot="1" x14ac:dyDescent="0.3">
      <c r="A7150" t="s">
        <v>544</v>
      </c>
      <c r="B7150" s="424" t="str">
        <f t="shared" si="317"/>
        <v>Barraqueiro Transportes</v>
      </c>
      <c r="C7150" s="424" t="str">
        <f t="shared" si="318"/>
        <v>Mafrense</v>
      </c>
      <c r="D7150" t="s">
        <v>629</v>
      </c>
      <c r="F7150" s="432" t="s">
        <v>620</v>
      </c>
      <c r="G7150" s="89">
        <v>2005</v>
      </c>
      <c r="H7150" s="313" t="s">
        <v>732</v>
      </c>
      <c r="I7150" s="311" t="str">
        <f t="shared" si="315"/>
        <v>Pesado de Passageiros M3:  : Gasóleo : E3</v>
      </c>
      <c r="J7150" s="422">
        <v>36</v>
      </c>
      <c r="K7150" s="422">
        <v>2023</v>
      </c>
      <c r="L7150">
        <v>4523.33</v>
      </c>
      <c r="M7150" s="422" t="s">
        <v>630</v>
      </c>
      <c r="N7150" s="131">
        <v>14436</v>
      </c>
      <c r="O7150" s="436">
        <f t="shared" si="316"/>
        <v>519696</v>
      </c>
      <c r="P7150" s="89">
        <v>988</v>
      </c>
      <c r="Q7150" t="s">
        <v>47</v>
      </c>
      <c r="R7150" s="422" t="s">
        <v>1869</v>
      </c>
      <c r="S7150" s="422" t="s">
        <v>1861</v>
      </c>
      <c r="T7150" s="422"/>
      <c r="U7150" s="422" t="s">
        <v>1953</v>
      </c>
      <c r="V7150" s="422" t="s">
        <v>2813</v>
      </c>
    </row>
    <row r="7151" spans="1:22" ht="15.75" thickBot="1" x14ac:dyDescent="0.3">
      <c r="A7151" t="s">
        <v>544</v>
      </c>
      <c r="B7151" s="424" t="str">
        <f t="shared" si="317"/>
        <v>Barraqueiro Transportes</v>
      </c>
      <c r="C7151" s="424" t="str">
        <f t="shared" si="318"/>
        <v>Mafrense</v>
      </c>
      <c r="D7151" t="s">
        <v>629</v>
      </c>
      <c r="F7151" s="432" t="s">
        <v>620</v>
      </c>
      <c r="G7151" s="89">
        <v>2021</v>
      </c>
      <c r="H7151" s="313" t="s">
        <v>733</v>
      </c>
      <c r="I7151" s="311" t="str">
        <f t="shared" si="315"/>
        <v>Pesado de Passageiros M3:  : Gasóleo : E6</v>
      </c>
      <c r="J7151" s="422">
        <v>80</v>
      </c>
      <c r="K7151" s="422">
        <v>2023</v>
      </c>
      <c r="L7151">
        <v>22127.52</v>
      </c>
      <c r="M7151" s="422" t="s">
        <v>630</v>
      </c>
      <c r="N7151" s="131">
        <v>69687</v>
      </c>
      <c r="O7151" s="436">
        <f t="shared" si="316"/>
        <v>5574960</v>
      </c>
      <c r="P7151" s="89">
        <v>1001</v>
      </c>
      <c r="Q7151" t="s">
        <v>47</v>
      </c>
      <c r="R7151" s="422" t="s">
        <v>1869</v>
      </c>
      <c r="S7151" s="422" t="s">
        <v>1861</v>
      </c>
      <c r="T7151" s="422"/>
      <c r="U7151" s="422" t="s">
        <v>1953</v>
      </c>
      <c r="V7151" s="422" t="s">
        <v>2813</v>
      </c>
    </row>
    <row r="7152" spans="1:22" ht="15.75" thickBot="1" x14ac:dyDescent="0.3">
      <c r="A7152" t="s">
        <v>544</v>
      </c>
      <c r="B7152" s="424" t="str">
        <f t="shared" si="317"/>
        <v>Barraqueiro Transportes</v>
      </c>
      <c r="C7152" s="424" t="str">
        <f t="shared" si="318"/>
        <v>Mafrense</v>
      </c>
      <c r="D7152" t="s">
        <v>629</v>
      </c>
      <c r="F7152" s="432" t="s">
        <v>620</v>
      </c>
      <c r="G7152" s="89">
        <v>2021</v>
      </c>
      <c r="H7152" s="313" t="s">
        <v>733</v>
      </c>
      <c r="I7152" s="311" t="str">
        <f t="shared" si="315"/>
        <v>Pesado de Passageiros M3:  : Gasóleo : E6</v>
      </c>
      <c r="J7152" s="422">
        <v>80</v>
      </c>
      <c r="K7152" s="422">
        <v>2023</v>
      </c>
      <c r="L7152">
        <v>15482.6</v>
      </c>
      <c r="M7152" s="422" t="s">
        <v>630</v>
      </c>
      <c r="N7152" s="131">
        <v>46421</v>
      </c>
      <c r="O7152" s="436">
        <f t="shared" si="316"/>
        <v>3713680</v>
      </c>
      <c r="P7152" s="89">
        <v>1002</v>
      </c>
      <c r="Q7152" t="s">
        <v>47</v>
      </c>
      <c r="R7152" s="422" t="s">
        <v>1869</v>
      </c>
      <c r="S7152" s="422" t="s">
        <v>1861</v>
      </c>
      <c r="T7152" s="422"/>
      <c r="U7152" s="422" t="s">
        <v>1953</v>
      </c>
      <c r="V7152" s="422" t="s">
        <v>2813</v>
      </c>
    </row>
    <row r="7153" spans="1:22" ht="15.75" thickBot="1" x14ac:dyDescent="0.3">
      <c r="A7153" t="s">
        <v>544</v>
      </c>
      <c r="B7153" s="424" t="str">
        <f t="shared" si="317"/>
        <v>Barraqueiro Transportes</v>
      </c>
      <c r="C7153" s="424" t="str">
        <f t="shared" si="318"/>
        <v>Mafrense</v>
      </c>
      <c r="D7153" t="s">
        <v>629</v>
      </c>
      <c r="F7153" s="432" t="s">
        <v>620</v>
      </c>
      <c r="G7153" s="89">
        <v>2021</v>
      </c>
      <c r="H7153" s="313" t="s">
        <v>733</v>
      </c>
      <c r="I7153" s="311" t="str">
        <f t="shared" si="315"/>
        <v>Pesado de Passageiros M3:  : Gasóleo : E6</v>
      </c>
      <c r="J7153" s="422">
        <v>80</v>
      </c>
      <c r="K7153" s="422">
        <v>2023</v>
      </c>
      <c r="L7153">
        <v>21636.32</v>
      </c>
      <c r="M7153" s="422" t="s">
        <v>630</v>
      </c>
      <c r="N7153" s="131">
        <v>58288</v>
      </c>
      <c r="O7153" s="436">
        <f t="shared" si="316"/>
        <v>4663040</v>
      </c>
      <c r="P7153" s="89">
        <v>1003</v>
      </c>
      <c r="Q7153" t="s">
        <v>47</v>
      </c>
      <c r="R7153" s="422" t="s">
        <v>1869</v>
      </c>
      <c r="S7153" s="422" t="s">
        <v>1861</v>
      </c>
      <c r="T7153" s="422"/>
      <c r="U7153" s="422" t="s">
        <v>1953</v>
      </c>
      <c r="V7153" s="422" t="s">
        <v>2813</v>
      </c>
    </row>
    <row r="7154" spans="1:22" ht="15.75" thickBot="1" x14ac:dyDescent="0.3">
      <c r="A7154" t="s">
        <v>544</v>
      </c>
      <c r="B7154" s="424" t="str">
        <f t="shared" si="317"/>
        <v>Barraqueiro Transportes</v>
      </c>
      <c r="C7154" s="424" t="str">
        <f t="shared" si="318"/>
        <v>Mafrense</v>
      </c>
      <c r="D7154" t="s">
        <v>629</v>
      </c>
      <c r="F7154" s="432" t="s">
        <v>620</v>
      </c>
      <c r="G7154" s="89">
        <v>2021</v>
      </c>
      <c r="H7154" s="313" t="s">
        <v>733</v>
      </c>
      <c r="I7154" s="311" t="str">
        <f t="shared" si="315"/>
        <v>Pesado de Passageiros M3:  : Gasóleo : E6</v>
      </c>
      <c r="J7154" s="422">
        <v>80</v>
      </c>
      <c r="K7154" s="422">
        <v>2023</v>
      </c>
      <c r="L7154">
        <v>20132.77</v>
      </c>
      <c r="M7154" s="422" t="s">
        <v>630</v>
      </c>
      <c r="N7154" s="131">
        <v>55486</v>
      </c>
      <c r="O7154" s="436">
        <f t="shared" si="316"/>
        <v>4438880</v>
      </c>
      <c r="P7154" s="89">
        <v>1004</v>
      </c>
      <c r="Q7154" t="s">
        <v>47</v>
      </c>
      <c r="R7154" s="422" t="s">
        <v>1869</v>
      </c>
      <c r="S7154" s="422" t="s">
        <v>1861</v>
      </c>
      <c r="T7154" s="422"/>
      <c r="U7154" s="422" t="s">
        <v>1953</v>
      </c>
      <c r="V7154" s="422" t="s">
        <v>2813</v>
      </c>
    </row>
    <row r="7155" spans="1:22" ht="15.75" thickBot="1" x14ac:dyDescent="0.3">
      <c r="A7155" t="s">
        <v>544</v>
      </c>
      <c r="B7155" s="424" t="str">
        <f t="shared" si="317"/>
        <v>Barraqueiro Transportes</v>
      </c>
      <c r="C7155" s="424" t="str">
        <f t="shared" si="318"/>
        <v>Mafrense</v>
      </c>
      <c r="D7155" t="s">
        <v>629</v>
      </c>
      <c r="F7155" s="432" t="s">
        <v>620</v>
      </c>
      <c r="G7155" s="89">
        <v>2021</v>
      </c>
      <c r="H7155" s="313" t="s">
        <v>733</v>
      </c>
      <c r="I7155" s="311" t="str">
        <f t="shared" si="315"/>
        <v>Pesado de Passageiros M3:  : Gasóleo : E6</v>
      </c>
      <c r="J7155" s="422">
        <v>80</v>
      </c>
      <c r="K7155" s="422">
        <v>2023</v>
      </c>
      <c r="L7155">
        <v>19286.72</v>
      </c>
      <c r="M7155" s="422" t="s">
        <v>630</v>
      </c>
      <c r="N7155" s="131">
        <v>51133</v>
      </c>
      <c r="O7155" s="436">
        <f t="shared" si="316"/>
        <v>4090640</v>
      </c>
      <c r="P7155" s="89">
        <v>1005</v>
      </c>
      <c r="Q7155" t="s">
        <v>47</v>
      </c>
      <c r="R7155" s="422" t="s">
        <v>1869</v>
      </c>
      <c r="S7155" s="422" t="s">
        <v>1861</v>
      </c>
      <c r="T7155" s="422"/>
      <c r="U7155" s="422" t="s">
        <v>1953</v>
      </c>
      <c r="V7155" s="422" t="s">
        <v>2813</v>
      </c>
    </row>
    <row r="7156" spans="1:22" ht="15.75" thickBot="1" x14ac:dyDescent="0.3">
      <c r="A7156" t="s">
        <v>544</v>
      </c>
      <c r="B7156" s="424" t="str">
        <f t="shared" si="317"/>
        <v>Barraqueiro Transportes</v>
      </c>
      <c r="C7156" s="424" t="str">
        <f t="shared" si="318"/>
        <v>Mafrense</v>
      </c>
      <c r="D7156" t="s">
        <v>629</v>
      </c>
      <c r="F7156" s="432" t="s">
        <v>620</v>
      </c>
      <c r="G7156" s="89">
        <v>2021</v>
      </c>
      <c r="H7156" s="313" t="s">
        <v>733</v>
      </c>
      <c r="I7156" s="311" t="str">
        <f t="shared" si="315"/>
        <v>Pesado de Passageiros M3:  : Gasóleo : E6</v>
      </c>
      <c r="J7156" s="422">
        <v>80</v>
      </c>
      <c r="K7156" s="422">
        <v>2023</v>
      </c>
      <c r="L7156">
        <v>18839.07</v>
      </c>
      <c r="M7156" s="422" t="s">
        <v>630</v>
      </c>
      <c r="N7156" s="131">
        <v>49980</v>
      </c>
      <c r="O7156" s="436">
        <f t="shared" si="316"/>
        <v>3998400</v>
      </c>
      <c r="P7156" s="89">
        <v>1006</v>
      </c>
      <c r="Q7156" t="s">
        <v>47</v>
      </c>
      <c r="R7156" s="422" t="s">
        <v>1869</v>
      </c>
      <c r="S7156" s="422" t="s">
        <v>1861</v>
      </c>
      <c r="T7156" s="422"/>
      <c r="U7156" s="422" t="s">
        <v>1953</v>
      </c>
      <c r="V7156" s="422" t="s">
        <v>2813</v>
      </c>
    </row>
    <row r="7157" spans="1:22" ht="15.75" thickBot="1" x14ac:dyDescent="0.3">
      <c r="A7157" t="s">
        <v>544</v>
      </c>
      <c r="B7157" s="424" t="str">
        <f t="shared" si="317"/>
        <v>Barraqueiro Transportes</v>
      </c>
      <c r="C7157" s="424" t="str">
        <f t="shared" si="318"/>
        <v>Mafrense</v>
      </c>
      <c r="D7157" t="s">
        <v>629</v>
      </c>
      <c r="F7157" s="432" t="s">
        <v>620</v>
      </c>
      <c r="G7157" s="89">
        <v>2021</v>
      </c>
      <c r="H7157" s="313" t="s">
        <v>733</v>
      </c>
      <c r="I7157" s="311" t="str">
        <f t="shared" si="315"/>
        <v>Pesado de Passageiros M3:  : Gasóleo : E6</v>
      </c>
      <c r="J7157" s="422">
        <v>80</v>
      </c>
      <c r="K7157" s="422">
        <v>2023</v>
      </c>
      <c r="L7157">
        <v>14610.650000000001</v>
      </c>
      <c r="M7157" s="422" t="s">
        <v>630</v>
      </c>
      <c r="N7157" s="131">
        <v>41081</v>
      </c>
      <c r="O7157" s="436">
        <f t="shared" si="316"/>
        <v>3286480</v>
      </c>
      <c r="P7157" s="89">
        <v>1007</v>
      </c>
      <c r="Q7157" t="s">
        <v>47</v>
      </c>
      <c r="R7157" s="422" t="s">
        <v>1869</v>
      </c>
      <c r="S7157" s="422" t="s">
        <v>1861</v>
      </c>
      <c r="T7157" s="422"/>
      <c r="U7157" s="422" t="s">
        <v>1953</v>
      </c>
      <c r="V7157" s="422" t="s">
        <v>2813</v>
      </c>
    </row>
    <row r="7158" spans="1:22" ht="15.75" thickBot="1" x14ac:dyDescent="0.3">
      <c r="A7158" t="s">
        <v>544</v>
      </c>
      <c r="B7158" s="424" t="str">
        <f t="shared" si="317"/>
        <v>Barraqueiro Transportes</v>
      </c>
      <c r="C7158" s="424" t="str">
        <f t="shared" si="318"/>
        <v>Mafrense</v>
      </c>
      <c r="D7158" t="s">
        <v>629</v>
      </c>
      <c r="F7158" s="432" t="s">
        <v>620</v>
      </c>
      <c r="G7158" s="89">
        <v>2021</v>
      </c>
      <c r="H7158" s="313" t="s">
        <v>733</v>
      </c>
      <c r="I7158" s="311" t="str">
        <f t="shared" si="315"/>
        <v>Pesado de Passageiros M3:  : Gasóleo : E6</v>
      </c>
      <c r="J7158" s="422">
        <v>80</v>
      </c>
      <c r="K7158" s="422">
        <v>2023</v>
      </c>
      <c r="L7158">
        <v>17964.5</v>
      </c>
      <c r="M7158" s="422" t="s">
        <v>630</v>
      </c>
      <c r="N7158" s="131">
        <v>52176</v>
      </c>
      <c r="O7158" s="436">
        <f t="shared" si="316"/>
        <v>4174080</v>
      </c>
      <c r="P7158" s="89">
        <v>1008</v>
      </c>
      <c r="Q7158" t="s">
        <v>47</v>
      </c>
      <c r="R7158" s="422" t="s">
        <v>1869</v>
      </c>
      <c r="S7158" s="422" t="s">
        <v>1861</v>
      </c>
      <c r="T7158" s="422"/>
      <c r="U7158" s="422" t="s">
        <v>1953</v>
      </c>
      <c r="V7158" s="422" t="s">
        <v>2813</v>
      </c>
    </row>
    <row r="7159" spans="1:22" ht="15.75" thickBot="1" x14ac:dyDescent="0.3">
      <c r="A7159" t="s">
        <v>544</v>
      </c>
      <c r="B7159" s="424" t="str">
        <f t="shared" si="317"/>
        <v>Barraqueiro Transportes</v>
      </c>
      <c r="C7159" s="424" t="str">
        <f t="shared" si="318"/>
        <v>Mafrense</v>
      </c>
      <c r="D7159" t="s">
        <v>629</v>
      </c>
      <c r="F7159" s="432" t="s">
        <v>620</v>
      </c>
      <c r="G7159" s="89">
        <v>2021</v>
      </c>
      <c r="H7159" s="313" t="s">
        <v>733</v>
      </c>
      <c r="I7159" s="311" t="str">
        <f t="shared" si="315"/>
        <v>Pesado de Passageiros M3:  : Gasóleo : E6</v>
      </c>
      <c r="J7159" s="422">
        <v>80</v>
      </c>
      <c r="K7159" s="422">
        <v>2023</v>
      </c>
      <c r="L7159">
        <v>13999.179999999998</v>
      </c>
      <c r="M7159" s="422" t="s">
        <v>630</v>
      </c>
      <c r="N7159" s="131">
        <v>40506</v>
      </c>
      <c r="O7159" s="436">
        <f t="shared" si="316"/>
        <v>3240480</v>
      </c>
      <c r="P7159" s="89">
        <v>1009</v>
      </c>
      <c r="Q7159" t="s">
        <v>47</v>
      </c>
      <c r="R7159" s="422" t="s">
        <v>1869</v>
      </c>
      <c r="S7159" s="422" t="s">
        <v>1861</v>
      </c>
      <c r="T7159" s="422"/>
      <c r="U7159" s="422" t="s">
        <v>1953</v>
      </c>
      <c r="V7159" s="422" t="s">
        <v>2813</v>
      </c>
    </row>
    <row r="7160" spans="1:22" ht="15.75" thickBot="1" x14ac:dyDescent="0.3">
      <c r="A7160" t="s">
        <v>544</v>
      </c>
      <c r="B7160" s="424" t="str">
        <f t="shared" si="317"/>
        <v>Barraqueiro Transportes</v>
      </c>
      <c r="C7160" s="424" t="str">
        <f t="shared" si="318"/>
        <v>Mafrense</v>
      </c>
      <c r="D7160" t="s">
        <v>629</v>
      </c>
      <c r="F7160" s="432" t="s">
        <v>620</v>
      </c>
      <c r="G7160" s="89">
        <v>2021</v>
      </c>
      <c r="H7160" s="313" t="s">
        <v>5816</v>
      </c>
      <c r="I7160" s="311" t="str">
        <f t="shared" si="315"/>
        <v>Pesado de Passageiros M3:  : Gasóleo : E6 D/E E7</v>
      </c>
      <c r="J7160" s="422">
        <v>80</v>
      </c>
      <c r="K7160" s="422">
        <v>2023</v>
      </c>
      <c r="L7160">
        <v>17398.159999999996</v>
      </c>
      <c r="M7160" s="422" t="s">
        <v>630</v>
      </c>
      <c r="N7160" s="131">
        <v>48619</v>
      </c>
      <c r="O7160" s="436">
        <f t="shared" si="316"/>
        <v>3889520</v>
      </c>
      <c r="P7160" s="89">
        <v>1010</v>
      </c>
      <c r="Q7160" t="s">
        <v>47</v>
      </c>
      <c r="R7160" s="422" t="s">
        <v>1869</v>
      </c>
      <c r="S7160" s="422" t="s">
        <v>1861</v>
      </c>
      <c r="T7160" s="422"/>
      <c r="U7160" s="422" t="s">
        <v>1953</v>
      </c>
      <c r="V7160" s="422" t="s">
        <v>2813</v>
      </c>
    </row>
    <row r="7161" spans="1:22" ht="15.75" thickBot="1" x14ac:dyDescent="0.3">
      <c r="A7161" t="s">
        <v>544</v>
      </c>
      <c r="B7161" s="424" t="str">
        <f t="shared" si="317"/>
        <v>Barraqueiro Transportes</v>
      </c>
      <c r="C7161" s="424" t="str">
        <f t="shared" si="318"/>
        <v>Mafrense</v>
      </c>
      <c r="D7161" t="s">
        <v>629</v>
      </c>
      <c r="F7161" s="432" t="s">
        <v>620</v>
      </c>
      <c r="G7161" s="89">
        <v>2022</v>
      </c>
      <c r="H7161" s="313" t="s">
        <v>5816</v>
      </c>
      <c r="I7161" s="311" t="str">
        <f t="shared" si="315"/>
        <v>Pesado de Passageiros M3:  : Gasóleo : E6 D/E E7</v>
      </c>
      <c r="J7161" s="422">
        <v>83</v>
      </c>
      <c r="K7161" s="422">
        <v>2023</v>
      </c>
      <c r="L7161">
        <v>24415.109999999997</v>
      </c>
      <c r="M7161" s="422" t="s">
        <v>630</v>
      </c>
      <c r="N7161" s="131">
        <v>65003</v>
      </c>
      <c r="O7161" s="436">
        <f t="shared" si="316"/>
        <v>5395249</v>
      </c>
      <c r="P7161" s="89">
        <v>1011</v>
      </c>
      <c r="Q7161" t="s">
        <v>47</v>
      </c>
      <c r="R7161" s="422" t="s">
        <v>1869</v>
      </c>
      <c r="S7161" s="422" t="s">
        <v>1861</v>
      </c>
      <c r="T7161" s="422"/>
      <c r="U7161" s="422" t="s">
        <v>1953</v>
      </c>
      <c r="V7161" s="422" t="s">
        <v>2813</v>
      </c>
    </row>
    <row r="7162" spans="1:22" ht="15.75" thickBot="1" x14ac:dyDescent="0.3">
      <c r="A7162" t="s">
        <v>544</v>
      </c>
      <c r="B7162" s="424" t="str">
        <f t="shared" si="317"/>
        <v>Barraqueiro Transportes</v>
      </c>
      <c r="C7162" s="424" t="str">
        <f t="shared" si="318"/>
        <v>Mafrense</v>
      </c>
      <c r="D7162" t="s">
        <v>629</v>
      </c>
      <c r="F7162" s="432" t="s">
        <v>620</v>
      </c>
      <c r="G7162" s="89">
        <v>2022</v>
      </c>
      <c r="H7162" s="313" t="s">
        <v>5816</v>
      </c>
      <c r="I7162" s="311" t="str">
        <f t="shared" si="315"/>
        <v>Pesado de Passageiros M3:  : Gasóleo : E6 D/E E7</v>
      </c>
      <c r="J7162" s="422">
        <v>83</v>
      </c>
      <c r="K7162" s="422">
        <v>2023</v>
      </c>
      <c r="L7162">
        <v>27647.43</v>
      </c>
      <c r="M7162" s="422" t="s">
        <v>630</v>
      </c>
      <c r="N7162" s="131">
        <v>81123</v>
      </c>
      <c r="O7162" s="436">
        <f t="shared" si="316"/>
        <v>6733209</v>
      </c>
      <c r="P7162" s="89">
        <v>1012</v>
      </c>
      <c r="Q7162" t="s">
        <v>47</v>
      </c>
      <c r="R7162" s="422" t="s">
        <v>1869</v>
      </c>
      <c r="S7162" s="422" t="s">
        <v>1861</v>
      </c>
      <c r="T7162" s="422"/>
      <c r="U7162" s="422" t="s">
        <v>1953</v>
      </c>
      <c r="V7162" s="422" t="s">
        <v>2813</v>
      </c>
    </row>
    <row r="7163" spans="1:22" ht="15.75" thickBot="1" x14ac:dyDescent="0.3">
      <c r="A7163" t="s">
        <v>544</v>
      </c>
      <c r="B7163" s="424" t="str">
        <f t="shared" si="317"/>
        <v>Barraqueiro Transportes</v>
      </c>
      <c r="C7163" s="424" t="str">
        <f t="shared" si="318"/>
        <v>Mafrense</v>
      </c>
      <c r="D7163" t="s">
        <v>629</v>
      </c>
      <c r="F7163" s="432" t="s">
        <v>620</v>
      </c>
      <c r="G7163" s="89">
        <v>2022</v>
      </c>
      <c r="H7163" s="313" t="s">
        <v>5816</v>
      </c>
      <c r="I7163" s="311" t="str">
        <f t="shared" si="315"/>
        <v>Pesado de Passageiros M3:  : Gasóleo : E6 D/E E7</v>
      </c>
      <c r="J7163" s="422">
        <v>83</v>
      </c>
      <c r="K7163" s="422">
        <v>2023</v>
      </c>
      <c r="L7163">
        <v>20599.13</v>
      </c>
      <c r="M7163" s="422" t="s">
        <v>630</v>
      </c>
      <c r="N7163" s="131">
        <v>59319</v>
      </c>
      <c r="O7163" s="436">
        <f t="shared" si="316"/>
        <v>4923477</v>
      </c>
      <c r="P7163" s="89">
        <v>1013</v>
      </c>
      <c r="Q7163" t="s">
        <v>47</v>
      </c>
      <c r="R7163" s="422" t="s">
        <v>1869</v>
      </c>
      <c r="S7163" s="422" t="s">
        <v>1861</v>
      </c>
      <c r="T7163" s="422"/>
      <c r="U7163" s="422" t="s">
        <v>1953</v>
      </c>
      <c r="V7163" s="422" t="s">
        <v>2813</v>
      </c>
    </row>
    <row r="7164" spans="1:22" ht="15.75" thickBot="1" x14ac:dyDescent="0.3">
      <c r="A7164" t="s">
        <v>544</v>
      </c>
      <c r="B7164" s="424" t="str">
        <f t="shared" si="317"/>
        <v>Barraqueiro Transportes</v>
      </c>
      <c r="C7164" s="424" t="str">
        <f t="shared" si="318"/>
        <v>Mafrense</v>
      </c>
      <c r="D7164" t="s">
        <v>629</v>
      </c>
      <c r="F7164" s="432" t="s">
        <v>620</v>
      </c>
      <c r="G7164" s="89">
        <v>2022</v>
      </c>
      <c r="H7164" s="313" t="s">
        <v>5816</v>
      </c>
      <c r="I7164" s="311" t="str">
        <f t="shared" si="315"/>
        <v>Pesado de Passageiros M3:  : Gasóleo : E6 D/E E7</v>
      </c>
      <c r="J7164" s="422">
        <v>83</v>
      </c>
      <c r="K7164" s="422">
        <v>2023</v>
      </c>
      <c r="L7164">
        <v>17121.41</v>
      </c>
      <c r="M7164" s="422" t="s">
        <v>630</v>
      </c>
      <c r="N7164" s="131">
        <v>48465</v>
      </c>
      <c r="O7164" s="436">
        <f t="shared" si="316"/>
        <v>4022595</v>
      </c>
      <c r="P7164" s="89">
        <v>1014</v>
      </c>
      <c r="Q7164" t="s">
        <v>47</v>
      </c>
      <c r="R7164" s="422" t="s">
        <v>1869</v>
      </c>
      <c r="S7164" s="422" t="s">
        <v>1861</v>
      </c>
      <c r="T7164" s="422"/>
      <c r="U7164" s="422" t="s">
        <v>1953</v>
      </c>
      <c r="V7164" s="422" t="s">
        <v>2813</v>
      </c>
    </row>
    <row r="7165" spans="1:22" ht="15.75" thickBot="1" x14ac:dyDescent="0.3">
      <c r="A7165" t="s">
        <v>544</v>
      </c>
      <c r="B7165" s="424" t="str">
        <f t="shared" si="317"/>
        <v>Barraqueiro Transportes</v>
      </c>
      <c r="C7165" s="424" t="str">
        <f t="shared" si="318"/>
        <v>Mafrense</v>
      </c>
      <c r="D7165" t="s">
        <v>629</v>
      </c>
      <c r="F7165" s="432" t="s">
        <v>620</v>
      </c>
      <c r="G7165" s="89">
        <v>2022</v>
      </c>
      <c r="H7165" s="313" t="s">
        <v>5816</v>
      </c>
      <c r="I7165" s="311" t="str">
        <f t="shared" si="315"/>
        <v>Pesado de Passageiros M3:  : Gasóleo : E6 D/E E7</v>
      </c>
      <c r="J7165" s="422">
        <v>83</v>
      </c>
      <c r="K7165" s="422">
        <v>2023</v>
      </c>
      <c r="L7165">
        <v>17968.779999999995</v>
      </c>
      <c r="M7165" s="422" t="s">
        <v>630</v>
      </c>
      <c r="N7165" s="131">
        <v>52585</v>
      </c>
      <c r="O7165" s="436">
        <f t="shared" si="316"/>
        <v>4364555</v>
      </c>
      <c r="P7165" s="89">
        <v>1015</v>
      </c>
      <c r="Q7165" t="s">
        <v>47</v>
      </c>
      <c r="R7165" s="422" t="s">
        <v>1869</v>
      </c>
      <c r="S7165" s="422" t="s">
        <v>1861</v>
      </c>
      <c r="T7165" s="422"/>
      <c r="U7165" s="422" t="s">
        <v>1953</v>
      </c>
      <c r="V7165" s="422" t="s">
        <v>2813</v>
      </c>
    </row>
    <row r="7166" spans="1:22" ht="15.75" thickBot="1" x14ac:dyDescent="0.3">
      <c r="A7166" t="s">
        <v>544</v>
      </c>
      <c r="B7166" s="424" t="str">
        <f t="shared" si="317"/>
        <v>Barraqueiro Transportes</v>
      </c>
      <c r="C7166" s="424" t="str">
        <f t="shared" si="318"/>
        <v>Mafrense</v>
      </c>
      <c r="D7166" t="s">
        <v>629</v>
      </c>
      <c r="F7166" s="432" t="s">
        <v>620</v>
      </c>
      <c r="G7166" s="89">
        <v>2021</v>
      </c>
      <c r="H7166" s="313" t="s">
        <v>733</v>
      </c>
      <c r="I7166" s="311" t="str">
        <f t="shared" si="315"/>
        <v>Pesado de Passageiros M3:  : Gasóleo : E6</v>
      </c>
      <c r="J7166" s="422">
        <v>85</v>
      </c>
      <c r="K7166" s="422">
        <v>2023</v>
      </c>
      <c r="L7166">
        <v>19438.697</v>
      </c>
      <c r="M7166" s="422" t="s">
        <v>630</v>
      </c>
      <c r="N7166" s="131">
        <v>55814</v>
      </c>
      <c r="O7166" s="436">
        <f t="shared" si="316"/>
        <v>4744190</v>
      </c>
      <c r="P7166" s="89">
        <v>1050</v>
      </c>
      <c r="Q7166" t="s">
        <v>47</v>
      </c>
      <c r="R7166" s="422" t="s">
        <v>1869</v>
      </c>
      <c r="S7166" s="422" t="s">
        <v>1861</v>
      </c>
      <c r="T7166" s="422"/>
      <c r="U7166" s="422" t="s">
        <v>1953</v>
      </c>
      <c r="V7166" s="422" t="s">
        <v>2813</v>
      </c>
    </row>
    <row r="7167" spans="1:22" ht="15.75" thickBot="1" x14ac:dyDescent="0.3">
      <c r="A7167" t="s">
        <v>544</v>
      </c>
      <c r="B7167" s="424" t="str">
        <f t="shared" si="317"/>
        <v>Barraqueiro Transportes</v>
      </c>
      <c r="C7167" s="424" t="str">
        <f t="shared" si="318"/>
        <v>Mafrense</v>
      </c>
      <c r="D7167" t="s">
        <v>629</v>
      </c>
      <c r="F7167" s="432" t="s">
        <v>620</v>
      </c>
      <c r="G7167" s="89">
        <v>2021</v>
      </c>
      <c r="H7167" s="313" t="s">
        <v>733</v>
      </c>
      <c r="I7167" s="311" t="str">
        <f t="shared" si="315"/>
        <v>Pesado de Passageiros M3:  : Gasóleo : E6</v>
      </c>
      <c r="J7167" s="422">
        <v>85</v>
      </c>
      <c r="K7167" s="422">
        <v>2023</v>
      </c>
      <c r="L7167">
        <v>15910.196</v>
      </c>
      <c r="M7167" s="422" t="s">
        <v>630</v>
      </c>
      <c r="N7167" s="131">
        <v>46234</v>
      </c>
      <c r="O7167" s="436">
        <f t="shared" si="316"/>
        <v>3929890</v>
      </c>
      <c r="P7167" s="89">
        <v>1051</v>
      </c>
      <c r="Q7167" t="s">
        <v>47</v>
      </c>
      <c r="R7167" s="422" t="s">
        <v>1869</v>
      </c>
      <c r="S7167" s="422" t="s">
        <v>1861</v>
      </c>
      <c r="T7167" s="422"/>
      <c r="U7167" s="422" t="s">
        <v>1953</v>
      </c>
      <c r="V7167" s="422" t="s">
        <v>2813</v>
      </c>
    </row>
    <row r="7168" spans="1:22" ht="15.75" thickBot="1" x14ac:dyDescent="0.3">
      <c r="A7168" t="s">
        <v>544</v>
      </c>
      <c r="B7168" s="424" t="str">
        <f t="shared" si="317"/>
        <v>Barraqueiro Transportes</v>
      </c>
      <c r="C7168" s="424" t="str">
        <f t="shared" si="318"/>
        <v>Mafrense</v>
      </c>
      <c r="D7168" t="s">
        <v>629</v>
      </c>
      <c r="F7168" s="432" t="s">
        <v>620</v>
      </c>
      <c r="G7168" s="89">
        <v>2021</v>
      </c>
      <c r="H7168" s="313" t="s">
        <v>733</v>
      </c>
      <c r="I7168" s="311" t="str">
        <f t="shared" si="315"/>
        <v>Pesado de Passageiros M3:  : Gasóleo : E6</v>
      </c>
      <c r="J7168" s="422">
        <v>85</v>
      </c>
      <c r="K7168" s="422">
        <v>2023</v>
      </c>
      <c r="L7168">
        <v>19696.579999999998</v>
      </c>
      <c r="M7168" s="422" t="s">
        <v>630</v>
      </c>
      <c r="N7168" s="131">
        <v>56096</v>
      </c>
      <c r="O7168" s="436">
        <f t="shared" si="316"/>
        <v>4768160</v>
      </c>
      <c r="P7168" s="89">
        <v>1052</v>
      </c>
      <c r="Q7168" t="s">
        <v>47</v>
      </c>
      <c r="R7168" s="422" t="s">
        <v>1869</v>
      </c>
      <c r="S7168" s="422" t="s">
        <v>1861</v>
      </c>
      <c r="T7168" s="422"/>
      <c r="U7168" s="422" t="s">
        <v>1953</v>
      </c>
      <c r="V7168" s="422" t="s">
        <v>2813</v>
      </c>
    </row>
    <row r="7169" spans="1:22" ht="15.75" thickBot="1" x14ac:dyDescent="0.3">
      <c r="A7169" t="s">
        <v>544</v>
      </c>
      <c r="B7169" s="424" t="str">
        <f t="shared" si="317"/>
        <v>Barraqueiro Transportes</v>
      </c>
      <c r="C7169" s="424" t="str">
        <f t="shared" si="318"/>
        <v>Mafrense</v>
      </c>
      <c r="D7169" t="s">
        <v>629</v>
      </c>
      <c r="F7169" s="432" t="s">
        <v>620</v>
      </c>
      <c r="G7169" s="89">
        <v>2021</v>
      </c>
      <c r="H7169" s="313" t="s">
        <v>733</v>
      </c>
      <c r="I7169" s="311" t="str">
        <f t="shared" si="315"/>
        <v>Pesado de Passageiros M3:  : Gasóleo : E6</v>
      </c>
      <c r="J7169" s="422">
        <v>85</v>
      </c>
      <c r="K7169" s="422">
        <v>2023</v>
      </c>
      <c r="L7169">
        <v>21228.736000000001</v>
      </c>
      <c r="M7169" s="422" t="s">
        <v>630</v>
      </c>
      <c r="N7169" s="131">
        <v>58723</v>
      </c>
      <c r="O7169" s="436">
        <f t="shared" si="316"/>
        <v>4991455</v>
      </c>
      <c r="P7169" s="89">
        <v>1053</v>
      </c>
      <c r="Q7169" t="s">
        <v>47</v>
      </c>
      <c r="R7169" s="422" t="s">
        <v>1869</v>
      </c>
      <c r="S7169" s="422" t="s">
        <v>1861</v>
      </c>
      <c r="T7169" s="422"/>
      <c r="U7169" s="422" t="s">
        <v>1953</v>
      </c>
      <c r="V7169" s="422" t="s">
        <v>2813</v>
      </c>
    </row>
    <row r="7170" spans="1:22" ht="15.75" thickBot="1" x14ac:dyDescent="0.3">
      <c r="A7170" t="s">
        <v>544</v>
      </c>
      <c r="B7170" s="424" t="str">
        <f t="shared" si="317"/>
        <v>Barraqueiro Transportes</v>
      </c>
      <c r="C7170" s="424" t="str">
        <f t="shared" si="318"/>
        <v>Mafrense</v>
      </c>
      <c r="D7170" t="s">
        <v>629</v>
      </c>
      <c r="F7170" s="432" t="s">
        <v>620</v>
      </c>
      <c r="G7170" s="89">
        <v>2021</v>
      </c>
      <c r="H7170" s="313" t="s">
        <v>733</v>
      </c>
      <c r="I7170" s="311" t="str">
        <f t="shared" si="315"/>
        <v>Pesado de Passageiros M3:  : Gasóleo : E6</v>
      </c>
      <c r="J7170" s="422">
        <v>85</v>
      </c>
      <c r="K7170" s="422">
        <v>2023</v>
      </c>
      <c r="L7170">
        <v>20646.47</v>
      </c>
      <c r="M7170" s="422" t="s">
        <v>630</v>
      </c>
      <c r="N7170" s="131">
        <v>61389</v>
      </c>
      <c r="O7170" s="436">
        <f t="shared" si="316"/>
        <v>5218065</v>
      </c>
      <c r="P7170" s="89">
        <v>1054</v>
      </c>
      <c r="Q7170" t="s">
        <v>47</v>
      </c>
      <c r="R7170" s="422" t="s">
        <v>1869</v>
      </c>
      <c r="S7170" s="422" t="s">
        <v>1861</v>
      </c>
      <c r="T7170" s="422"/>
      <c r="U7170" s="422" t="s">
        <v>1953</v>
      </c>
      <c r="V7170" s="422" t="s">
        <v>2813</v>
      </c>
    </row>
    <row r="7171" spans="1:22" ht="15.75" thickBot="1" x14ac:dyDescent="0.3">
      <c r="A7171" t="s">
        <v>544</v>
      </c>
      <c r="B7171" s="424" t="str">
        <f t="shared" si="317"/>
        <v>Barraqueiro Transportes</v>
      </c>
      <c r="C7171" s="424" t="str">
        <f t="shared" si="318"/>
        <v>Mafrense</v>
      </c>
      <c r="D7171" t="s">
        <v>629</v>
      </c>
      <c r="F7171" s="432" t="s">
        <v>620</v>
      </c>
      <c r="G7171" s="89">
        <v>2021</v>
      </c>
      <c r="H7171" s="313" t="s">
        <v>733</v>
      </c>
      <c r="I7171" s="311" t="str">
        <f t="shared" si="315"/>
        <v>Pesado de Passageiros M3:  : Gasóleo : E6</v>
      </c>
      <c r="J7171" s="422">
        <v>85</v>
      </c>
      <c r="K7171" s="422">
        <v>2023</v>
      </c>
      <c r="L7171">
        <v>20214.980000000003</v>
      </c>
      <c r="M7171" s="422" t="s">
        <v>630</v>
      </c>
      <c r="N7171" s="131">
        <v>61270</v>
      </c>
      <c r="O7171" s="436">
        <f t="shared" si="316"/>
        <v>5207950</v>
      </c>
      <c r="P7171" s="89">
        <v>1055</v>
      </c>
      <c r="Q7171" t="s">
        <v>47</v>
      </c>
      <c r="R7171" s="422" t="s">
        <v>1869</v>
      </c>
      <c r="S7171" s="422" t="s">
        <v>1861</v>
      </c>
      <c r="T7171" s="422"/>
      <c r="U7171" s="422" t="s">
        <v>1953</v>
      </c>
      <c r="V7171" s="422" t="s">
        <v>2813</v>
      </c>
    </row>
    <row r="7172" spans="1:22" ht="15.75" thickBot="1" x14ac:dyDescent="0.3">
      <c r="A7172" t="s">
        <v>544</v>
      </c>
      <c r="B7172" s="424" t="str">
        <f t="shared" si="317"/>
        <v>Barraqueiro Transportes</v>
      </c>
      <c r="C7172" s="424" t="str">
        <f t="shared" si="318"/>
        <v>Mafrense</v>
      </c>
      <c r="D7172" t="s">
        <v>629</v>
      </c>
      <c r="F7172" s="432" t="s">
        <v>620</v>
      </c>
      <c r="G7172" s="89">
        <v>2021</v>
      </c>
      <c r="H7172" s="313" t="s">
        <v>733</v>
      </c>
      <c r="I7172" s="311" t="str">
        <f t="shared" si="315"/>
        <v>Pesado de Passageiros M3:  : Gasóleo : E6</v>
      </c>
      <c r="J7172" s="422">
        <v>85</v>
      </c>
      <c r="K7172" s="422">
        <v>2023</v>
      </c>
      <c r="L7172">
        <v>27006.15</v>
      </c>
      <c r="M7172" s="422" t="s">
        <v>630</v>
      </c>
      <c r="N7172" s="131">
        <v>71144</v>
      </c>
      <c r="O7172" s="436">
        <f t="shared" si="316"/>
        <v>6047240</v>
      </c>
      <c r="P7172" s="89">
        <v>1056</v>
      </c>
      <c r="Q7172" t="s">
        <v>47</v>
      </c>
      <c r="R7172" s="422" t="s">
        <v>1869</v>
      </c>
      <c r="S7172" s="422" t="s">
        <v>1861</v>
      </c>
      <c r="T7172" s="422"/>
      <c r="U7172" s="422" t="s">
        <v>1953</v>
      </c>
      <c r="V7172" s="422" t="s">
        <v>2813</v>
      </c>
    </row>
    <row r="7173" spans="1:22" ht="15.75" thickBot="1" x14ac:dyDescent="0.3">
      <c r="A7173" t="s">
        <v>544</v>
      </c>
      <c r="B7173" s="424" t="str">
        <f t="shared" si="317"/>
        <v>Barraqueiro Transportes</v>
      </c>
      <c r="C7173" s="424" t="str">
        <f t="shared" si="318"/>
        <v>Mafrense</v>
      </c>
      <c r="D7173" t="s">
        <v>629</v>
      </c>
      <c r="F7173" s="432" t="s">
        <v>620</v>
      </c>
      <c r="G7173" s="89">
        <v>2021</v>
      </c>
      <c r="H7173" s="313" t="s">
        <v>733</v>
      </c>
      <c r="I7173" s="311" t="str">
        <f t="shared" si="315"/>
        <v>Pesado de Passageiros M3:  : Gasóleo : E6</v>
      </c>
      <c r="J7173" s="422">
        <v>85</v>
      </c>
      <c r="K7173" s="422">
        <v>2023</v>
      </c>
      <c r="L7173">
        <v>29481.606</v>
      </c>
      <c r="M7173" s="422" t="s">
        <v>630</v>
      </c>
      <c r="N7173" s="131">
        <v>82859</v>
      </c>
      <c r="O7173" s="436">
        <f t="shared" si="316"/>
        <v>7043015</v>
      </c>
      <c r="P7173" s="89">
        <v>1057</v>
      </c>
      <c r="Q7173" t="s">
        <v>47</v>
      </c>
      <c r="R7173" s="422" t="s">
        <v>1869</v>
      </c>
      <c r="S7173" s="422" t="s">
        <v>1861</v>
      </c>
      <c r="T7173" s="422"/>
      <c r="U7173" s="422" t="s">
        <v>1953</v>
      </c>
      <c r="V7173" s="422" t="s">
        <v>2813</v>
      </c>
    </row>
    <row r="7174" spans="1:22" ht="15.75" thickBot="1" x14ac:dyDescent="0.3">
      <c r="A7174" t="s">
        <v>544</v>
      </c>
      <c r="B7174" s="424" t="str">
        <f t="shared" si="317"/>
        <v>Barraqueiro Transportes</v>
      </c>
      <c r="C7174" s="424" t="str">
        <f t="shared" si="318"/>
        <v>Mafrense</v>
      </c>
      <c r="D7174" t="s">
        <v>629</v>
      </c>
      <c r="F7174" s="432" t="s">
        <v>620</v>
      </c>
      <c r="G7174" s="89">
        <v>2021</v>
      </c>
      <c r="H7174" s="313" t="s">
        <v>733</v>
      </c>
      <c r="I7174" s="311" t="str">
        <f t="shared" si="315"/>
        <v>Pesado de Passageiros M3:  : Gasóleo : E6</v>
      </c>
      <c r="J7174" s="422">
        <v>85</v>
      </c>
      <c r="K7174" s="422">
        <v>2023</v>
      </c>
      <c r="L7174">
        <v>17624.3</v>
      </c>
      <c r="M7174" s="422" t="s">
        <v>630</v>
      </c>
      <c r="N7174" s="131">
        <v>51133</v>
      </c>
      <c r="O7174" s="436">
        <f t="shared" si="316"/>
        <v>4346305</v>
      </c>
      <c r="P7174" s="89">
        <v>1058</v>
      </c>
      <c r="Q7174" t="s">
        <v>47</v>
      </c>
      <c r="R7174" s="422" t="s">
        <v>1869</v>
      </c>
      <c r="S7174" s="422" t="s">
        <v>1861</v>
      </c>
      <c r="T7174" s="422"/>
      <c r="U7174" s="422" t="s">
        <v>1953</v>
      </c>
      <c r="V7174" s="422" t="s">
        <v>2813</v>
      </c>
    </row>
    <row r="7175" spans="1:22" ht="15.75" thickBot="1" x14ac:dyDescent="0.3">
      <c r="A7175" t="s">
        <v>544</v>
      </c>
      <c r="B7175" s="424" t="str">
        <f t="shared" si="317"/>
        <v>Barraqueiro Transportes</v>
      </c>
      <c r="C7175" s="424" t="str">
        <f t="shared" si="318"/>
        <v>Mafrense</v>
      </c>
      <c r="D7175" t="s">
        <v>629</v>
      </c>
      <c r="F7175" s="432" t="s">
        <v>620</v>
      </c>
      <c r="G7175" s="89">
        <v>2021</v>
      </c>
      <c r="H7175" s="313" t="s">
        <v>733</v>
      </c>
      <c r="I7175" s="311" t="str">
        <f t="shared" si="315"/>
        <v>Pesado de Passageiros M3:  : Gasóleo : E6</v>
      </c>
      <c r="J7175" s="422">
        <v>85</v>
      </c>
      <c r="K7175" s="422">
        <v>2023</v>
      </c>
      <c r="L7175">
        <v>20579.760000000002</v>
      </c>
      <c r="M7175" s="422" t="s">
        <v>630</v>
      </c>
      <c r="N7175" s="131">
        <v>62508</v>
      </c>
      <c r="O7175" s="436">
        <f t="shared" si="316"/>
        <v>5313180</v>
      </c>
      <c r="P7175" s="89">
        <v>1059</v>
      </c>
      <c r="Q7175" t="s">
        <v>47</v>
      </c>
      <c r="R7175" s="422" t="s">
        <v>1869</v>
      </c>
      <c r="S7175" s="422" t="s">
        <v>1861</v>
      </c>
      <c r="T7175" s="422"/>
      <c r="U7175" s="422" t="s">
        <v>1953</v>
      </c>
      <c r="V7175" s="422" t="s">
        <v>2813</v>
      </c>
    </row>
    <row r="7176" spans="1:22" ht="15.75" thickBot="1" x14ac:dyDescent="0.3">
      <c r="A7176" t="s">
        <v>544</v>
      </c>
      <c r="B7176" s="424" t="str">
        <f t="shared" si="317"/>
        <v>Barraqueiro Transportes</v>
      </c>
      <c r="C7176" s="424" t="str">
        <f t="shared" si="318"/>
        <v>Mafrense</v>
      </c>
      <c r="D7176" t="s">
        <v>629</v>
      </c>
      <c r="F7176" s="432" t="s">
        <v>620</v>
      </c>
      <c r="G7176" s="89">
        <v>2021</v>
      </c>
      <c r="H7176" s="313" t="s">
        <v>733</v>
      </c>
      <c r="I7176" s="311" t="str">
        <f t="shared" si="315"/>
        <v>Pesado de Passageiros M3:  : Gasóleo : E6</v>
      </c>
      <c r="J7176" s="422">
        <v>85</v>
      </c>
      <c r="K7176" s="422">
        <v>2023</v>
      </c>
      <c r="L7176">
        <v>33990.983</v>
      </c>
      <c r="M7176" s="422" t="s">
        <v>630</v>
      </c>
      <c r="N7176" s="131">
        <v>100594</v>
      </c>
      <c r="O7176" s="436">
        <f t="shared" si="316"/>
        <v>8550490</v>
      </c>
      <c r="P7176" s="89">
        <v>1060</v>
      </c>
      <c r="Q7176" t="s">
        <v>47</v>
      </c>
      <c r="R7176" s="422" t="s">
        <v>1869</v>
      </c>
      <c r="S7176" s="422" t="s">
        <v>1861</v>
      </c>
      <c r="T7176" s="422"/>
      <c r="U7176" s="422" t="s">
        <v>1953</v>
      </c>
      <c r="V7176" s="422" t="s">
        <v>2813</v>
      </c>
    </row>
    <row r="7177" spans="1:22" ht="15.75" thickBot="1" x14ac:dyDescent="0.3">
      <c r="A7177" t="s">
        <v>544</v>
      </c>
      <c r="B7177" s="424" t="str">
        <f t="shared" si="317"/>
        <v>Barraqueiro Transportes</v>
      </c>
      <c r="C7177" s="424" t="str">
        <f t="shared" si="318"/>
        <v>Mafrense</v>
      </c>
      <c r="D7177" t="s">
        <v>629</v>
      </c>
      <c r="F7177" s="432" t="s">
        <v>620</v>
      </c>
      <c r="G7177" s="89">
        <v>2021</v>
      </c>
      <c r="H7177" s="313" t="s">
        <v>733</v>
      </c>
      <c r="I7177" s="311" t="str">
        <f t="shared" si="315"/>
        <v>Pesado de Passageiros M3:  : Gasóleo : E6</v>
      </c>
      <c r="J7177" s="422">
        <v>85</v>
      </c>
      <c r="K7177" s="422">
        <v>2023</v>
      </c>
      <c r="L7177">
        <v>21075.304999999997</v>
      </c>
      <c r="M7177" s="422" t="s">
        <v>630</v>
      </c>
      <c r="N7177" s="131">
        <v>58991</v>
      </c>
      <c r="O7177" s="436">
        <f t="shared" si="316"/>
        <v>5014235</v>
      </c>
      <c r="P7177" s="89">
        <v>1061</v>
      </c>
      <c r="Q7177" t="s">
        <v>47</v>
      </c>
      <c r="R7177" s="422" t="s">
        <v>1869</v>
      </c>
      <c r="S7177" s="422" t="s">
        <v>1861</v>
      </c>
      <c r="T7177" s="422"/>
      <c r="U7177" s="422" t="s">
        <v>1953</v>
      </c>
      <c r="V7177" s="422" t="s">
        <v>2813</v>
      </c>
    </row>
    <row r="7178" spans="1:22" ht="15.75" thickBot="1" x14ac:dyDescent="0.3">
      <c r="A7178" t="s">
        <v>544</v>
      </c>
      <c r="B7178" s="424" t="str">
        <f t="shared" si="317"/>
        <v>Barraqueiro Transportes</v>
      </c>
      <c r="C7178" s="424" t="str">
        <f t="shared" si="318"/>
        <v>Mafrense</v>
      </c>
      <c r="D7178" t="s">
        <v>629</v>
      </c>
      <c r="F7178" s="432" t="s">
        <v>620</v>
      </c>
      <c r="G7178" s="89">
        <v>2021</v>
      </c>
      <c r="H7178" s="313" t="s">
        <v>733</v>
      </c>
      <c r="I7178" s="311" t="str">
        <f t="shared" si="315"/>
        <v>Pesado de Passageiros M3:  : Gasóleo : E6</v>
      </c>
      <c r="J7178" s="422">
        <v>85</v>
      </c>
      <c r="K7178" s="422">
        <v>2023</v>
      </c>
      <c r="L7178">
        <v>21935.66</v>
      </c>
      <c r="M7178" s="422" t="s">
        <v>630</v>
      </c>
      <c r="N7178" s="131">
        <v>60431</v>
      </c>
      <c r="O7178" s="436">
        <f t="shared" si="316"/>
        <v>5136635</v>
      </c>
      <c r="P7178" s="89">
        <v>1062</v>
      </c>
      <c r="Q7178" t="s">
        <v>47</v>
      </c>
      <c r="R7178" s="422" t="s">
        <v>1869</v>
      </c>
      <c r="S7178" s="422" t="s">
        <v>1861</v>
      </c>
      <c r="T7178" s="422"/>
      <c r="U7178" s="422" t="s">
        <v>1953</v>
      </c>
      <c r="V7178" s="422" t="s">
        <v>2813</v>
      </c>
    </row>
    <row r="7179" spans="1:22" ht="15.75" thickBot="1" x14ac:dyDescent="0.3">
      <c r="A7179" t="s">
        <v>544</v>
      </c>
      <c r="B7179" s="424" t="str">
        <f t="shared" si="317"/>
        <v>Barraqueiro Transportes</v>
      </c>
      <c r="C7179" s="424" t="str">
        <f t="shared" si="318"/>
        <v>Mafrense</v>
      </c>
      <c r="D7179" t="s">
        <v>629</v>
      </c>
      <c r="F7179" s="432" t="s">
        <v>620</v>
      </c>
      <c r="G7179" s="89">
        <v>2021</v>
      </c>
      <c r="H7179" s="313" t="s">
        <v>733</v>
      </c>
      <c r="I7179" s="311" t="str">
        <f t="shared" si="315"/>
        <v>Pesado de Passageiros M3:  : Gasóleo : E6</v>
      </c>
      <c r="J7179" s="422">
        <v>85</v>
      </c>
      <c r="K7179" s="422">
        <v>2023</v>
      </c>
      <c r="L7179">
        <v>25229.000000000004</v>
      </c>
      <c r="M7179" s="422" t="s">
        <v>630</v>
      </c>
      <c r="N7179" s="131">
        <v>70221</v>
      </c>
      <c r="O7179" s="436">
        <f t="shared" si="316"/>
        <v>5968785</v>
      </c>
      <c r="P7179" s="89">
        <v>1063</v>
      </c>
      <c r="Q7179" t="s">
        <v>47</v>
      </c>
      <c r="R7179" s="422" t="s">
        <v>1869</v>
      </c>
      <c r="S7179" s="422" t="s">
        <v>1861</v>
      </c>
      <c r="T7179" s="422"/>
      <c r="U7179" s="422" t="s">
        <v>1953</v>
      </c>
      <c r="V7179" s="422" t="s">
        <v>2813</v>
      </c>
    </row>
    <row r="7180" spans="1:22" ht="15.75" thickBot="1" x14ac:dyDescent="0.3">
      <c r="A7180" t="s">
        <v>544</v>
      </c>
      <c r="B7180" s="424" t="str">
        <f t="shared" si="317"/>
        <v>Barraqueiro Transportes</v>
      </c>
      <c r="C7180" s="424" t="str">
        <f t="shared" si="318"/>
        <v>Mafrense</v>
      </c>
      <c r="D7180" t="s">
        <v>629</v>
      </c>
      <c r="F7180" s="432" t="s">
        <v>620</v>
      </c>
      <c r="G7180" s="89">
        <v>2021</v>
      </c>
      <c r="H7180" s="313" t="s">
        <v>733</v>
      </c>
      <c r="I7180" s="311" t="str">
        <f t="shared" si="315"/>
        <v>Pesado de Passageiros M3:  : Gasóleo : E6</v>
      </c>
      <c r="J7180" s="422">
        <v>85</v>
      </c>
      <c r="K7180" s="422">
        <v>2023</v>
      </c>
      <c r="L7180">
        <v>22239.19</v>
      </c>
      <c r="M7180" s="422" t="s">
        <v>630</v>
      </c>
      <c r="N7180" s="131">
        <v>63863</v>
      </c>
      <c r="O7180" s="436">
        <f t="shared" si="316"/>
        <v>5428355</v>
      </c>
      <c r="P7180" s="89">
        <v>1064</v>
      </c>
      <c r="Q7180" t="s">
        <v>47</v>
      </c>
      <c r="R7180" s="422" t="s">
        <v>1869</v>
      </c>
      <c r="S7180" s="422" t="s">
        <v>1861</v>
      </c>
      <c r="T7180" s="422"/>
      <c r="U7180" s="422" t="s">
        <v>1953</v>
      </c>
      <c r="V7180" s="422" t="s">
        <v>2813</v>
      </c>
    </row>
    <row r="7181" spans="1:22" ht="15.75" thickBot="1" x14ac:dyDescent="0.3">
      <c r="A7181" t="s">
        <v>544</v>
      </c>
      <c r="B7181" s="424" t="str">
        <f t="shared" si="317"/>
        <v>Barraqueiro Transportes</v>
      </c>
      <c r="C7181" s="424" t="str">
        <f t="shared" si="318"/>
        <v>Mafrense</v>
      </c>
      <c r="D7181" t="s">
        <v>629</v>
      </c>
      <c r="F7181" s="432" t="s">
        <v>620</v>
      </c>
      <c r="G7181" s="89">
        <v>2021</v>
      </c>
      <c r="H7181" s="313" t="s">
        <v>733</v>
      </c>
      <c r="I7181" s="311" t="str">
        <f t="shared" si="315"/>
        <v>Pesado de Passageiros M3:  : Gasóleo : E6</v>
      </c>
      <c r="J7181" s="422">
        <v>85</v>
      </c>
      <c r="K7181" s="422">
        <v>2023</v>
      </c>
      <c r="L7181">
        <v>21397.149999999998</v>
      </c>
      <c r="M7181" s="422" t="s">
        <v>630</v>
      </c>
      <c r="N7181" s="131">
        <v>66417</v>
      </c>
      <c r="O7181" s="436">
        <f t="shared" si="316"/>
        <v>5645445</v>
      </c>
      <c r="P7181" s="89">
        <v>1065</v>
      </c>
      <c r="Q7181" t="s">
        <v>47</v>
      </c>
      <c r="R7181" s="422" t="s">
        <v>1869</v>
      </c>
      <c r="S7181" s="422" t="s">
        <v>1861</v>
      </c>
      <c r="T7181" s="422"/>
      <c r="U7181" s="422" t="s">
        <v>1953</v>
      </c>
      <c r="V7181" s="422" t="s">
        <v>2813</v>
      </c>
    </row>
    <row r="7182" spans="1:22" ht="15.75" thickBot="1" x14ac:dyDescent="0.3">
      <c r="A7182" t="s">
        <v>544</v>
      </c>
      <c r="B7182" s="424" t="str">
        <f t="shared" si="317"/>
        <v>Barraqueiro Transportes</v>
      </c>
      <c r="C7182" s="424" t="str">
        <f t="shared" si="318"/>
        <v>Mafrense</v>
      </c>
      <c r="D7182" t="s">
        <v>629</v>
      </c>
      <c r="F7182" s="432" t="s">
        <v>620</v>
      </c>
      <c r="G7182" s="89">
        <v>2021</v>
      </c>
      <c r="H7182" s="313" t="s">
        <v>733</v>
      </c>
      <c r="I7182" s="311" t="str">
        <f t="shared" si="315"/>
        <v>Pesado de Passageiros M3:  : Gasóleo : E6</v>
      </c>
      <c r="J7182" s="422">
        <v>85</v>
      </c>
      <c r="K7182" s="422">
        <v>2023</v>
      </c>
      <c r="L7182">
        <v>20817.14</v>
      </c>
      <c r="M7182" s="422" t="s">
        <v>630</v>
      </c>
      <c r="N7182" s="131">
        <v>59024</v>
      </c>
      <c r="O7182" s="436">
        <f t="shared" si="316"/>
        <v>5017040</v>
      </c>
      <c r="P7182" s="89">
        <v>1066</v>
      </c>
      <c r="Q7182" t="s">
        <v>47</v>
      </c>
      <c r="R7182" s="422" t="s">
        <v>1869</v>
      </c>
      <c r="S7182" s="422" t="s">
        <v>1861</v>
      </c>
      <c r="T7182" s="422"/>
      <c r="U7182" s="422" t="s">
        <v>1953</v>
      </c>
      <c r="V7182" s="422" t="s">
        <v>2813</v>
      </c>
    </row>
    <row r="7183" spans="1:22" ht="15.75" thickBot="1" x14ac:dyDescent="0.3">
      <c r="A7183" t="s">
        <v>544</v>
      </c>
      <c r="B7183" s="424" t="str">
        <f t="shared" si="317"/>
        <v>Barraqueiro Transportes</v>
      </c>
      <c r="C7183" s="424" t="str">
        <f t="shared" si="318"/>
        <v>Mafrense</v>
      </c>
      <c r="D7183" t="s">
        <v>629</v>
      </c>
      <c r="F7183" s="432" t="s">
        <v>620</v>
      </c>
      <c r="G7183" s="89">
        <v>2021</v>
      </c>
      <c r="H7183" s="313" t="s">
        <v>733</v>
      </c>
      <c r="I7183" s="311" t="str">
        <f t="shared" si="315"/>
        <v>Pesado de Passageiros M3:  : Gasóleo : E6</v>
      </c>
      <c r="J7183" s="422">
        <v>85</v>
      </c>
      <c r="K7183" s="422">
        <v>2023</v>
      </c>
      <c r="L7183">
        <v>25448.639999999999</v>
      </c>
      <c r="M7183" s="422" t="s">
        <v>630</v>
      </c>
      <c r="N7183" s="131">
        <v>70530</v>
      </c>
      <c r="O7183" s="436">
        <f t="shared" si="316"/>
        <v>5995050</v>
      </c>
      <c r="P7183" s="89">
        <v>1067</v>
      </c>
      <c r="Q7183" t="s">
        <v>47</v>
      </c>
      <c r="R7183" s="422" t="s">
        <v>1869</v>
      </c>
      <c r="S7183" s="422" t="s">
        <v>1861</v>
      </c>
      <c r="T7183" s="422"/>
      <c r="U7183" s="422" t="s">
        <v>1953</v>
      </c>
      <c r="V7183" s="422" t="s">
        <v>2813</v>
      </c>
    </row>
    <row r="7184" spans="1:22" ht="15.75" thickBot="1" x14ac:dyDescent="0.3">
      <c r="A7184" t="s">
        <v>544</v>
      </c>
      <c r="B7184" s="424" t="str">
        <f t="shared" si="317"/>
        <v>Barraqueiro Transportes</v>
      </c>
      <c r="C7184" s="424" t="str">
        <f t="shared" si="318"/>
        <v>Mafrense</v>
      </c>
      <c r="D7184" t="s">
        <v>629</v>
      </c>
      <c r="F7184" s="432" t="s">
        <v>620</v>
      </c>
      <c r="G7184" s="89">
        <v>2021</v>
      </c>
      <c r="H7184" s="313" t="s">
        <v>733</v>
      </c>
      <c r="I7184" s="311" t="str">
        <f t="shared" si="315"/>
        <v>Pesado de Passageiros M3:  : Gasóleo : E6</v>
      </c>
      <c r="J7184" s="422">
        <v>85</v>
      </c>
      <c r="K7184" s="422">
        <v>2023</v>
      </c>
      <c r="L7184">
        <v>23441.888000000003</v>
      </c>
      <c r="M7184" s="422" t="s">
        <v>630</v>
      </c>
      <c r="N7184" s="131">
        <v>65240</v>
      </c>
      <c r="O7184" s="436">
        <f t="shared" si="316"/>
        <v>5545400</v>
      </c>
      <c r="P7184" s="89">
        <v>1068</v>
      </c>
      <c r="Q7184" t="s">
        <v>47</v>
      </c>
      <c r="R7184" s="422" t="s">
        <v>1869</v>
      </c>
      <c r="S7184" s="422" t="s">
        <v>1861</v>
      </c>
      <c r="T7184" s="422"/>
      <c r="U7184" s="422" t="s">
        <v>1953</v>
      </c>
      <c r="V7184" s="422" t="s">
        <v>2813</v>
      </c>
    </row>
    <row r="7185" spans="1:22" ht="15.75" thickBot="1" x14ac:dyDescent="0.3">
      <c r="A7185" t="s">
        <v>544</v>
      </c>
      <c r="B7185" s="424" t="str">
        <f t="shared" si="317"/>
        <v>Barraqueiro Transportes</v>
      </c>
      <c r="C7185" s="424" t="str">
        <f t="shared" si="318"/>
        <v>Mafrense</v>
      </c>
      <c r="D7185" t="s">
        <v>629</v>
      </c>
      <c r="F7185" s="432" t="s">
        <v>620</v>
      </c>
      <c r="G7185" s="89">
        <v>2021</v>
      </c>
      <c r="H7185" s="313" t="s">
        <v>733</v>
      </c>
      <c r="I7185" s="311" t="str">
        <f t="shared" si="315"/>
        <v>Pesado de Passageiros M3:  : Gasóleo : E6</v>
      </c>
      <c r="J7185" s="422">
        <v>85</v>
      </c>
      <c r="K7185" s="422">
        <v>2023</v>
      </c>
      <c r="L7185">
        <v>19973.370000000003</v>
      </c>
      <c r="M7185" s="422" t="s">
        <v>630</v>
      </c>
      <c r="N7185" s="131">
        <v>56189</v>
      </c>
      <c r="O7185" s="436">
        <f t="shared" si="316"/>
        <v>4776065</v>
      </c>
      <c r="P7185" s="89">
        <v>1069</v>
      </c>
      <c r="Q7185" t="s">
        <v>47</v>
      </c>
      <c r="R7185" s="422" t="s">
        <v>1869</v>
      </c>
      <c r="S7185" s="422" t="s">
        <v>1861</v>
      </c>
      <c r="T7185" s="422"/>
      <c r="U7185" s="422" t="s">
        <v>1953</v>
      </c>
      <c r="V7185" s="422" t="s">
        <v>2813</v>
      </c>
    </row>
    <row r="7186" spans="1:22" ht="15.75" thickBot="1" x14ac:dyDescent="0.3">
      <c r="A7186" t="s">
        <v>544</v>
      </c>
      <c r="B7186" s="424" t="str">
        <f t="shared" si="317"/>
        <v>Barraqueiro Transportes</v>
      </c>
      <c r="C7186" s="424" t="str">
        <f t="shared" si="318"/>
        <v>Mafrense</v>
      </c>
      <c r="D7186" t="s">
        <v>629</v>
      </c>
      <c r="F7186" s="432" t="s">
        <v>620</v>
      </c>
      <c r="G7186" s="89">
        <v>2021</v>
      </c>
      <c r="H7186" s="313" t="s">
        <v>733</v>
      </c>
      <c r="I7186" s="311" t="str">
        <f t="shared" si="315"/>
        <v>Pesado de Passageiros M3:  : Gasóleo : E6</v>
      </c>
      <c r="J7186" s="422">
        <v>85</v>
      </c>
      <c r="K7186" s="422">
        <v>2023</v>
      </c>
      <c r="L7186">
        <v>24466.86</v>
      </c>
      <c r="M7186" s="422" t="s">
        <v>630</v>
      </c>
      <c r="N7186" s="131">
        <v>68339</v>
      </c>
      <c r="O7186" s="436">
        <f t="shared" si="316"/>
        <v>5808815</v>
      </c>
      <c r="P7186" s="89">
        <v>1070</v>
      </c>
      <c r="Q7186" t="s">
        <v>47</v>
      </c>
      <c r="R7186" s="422" t="s">
        <v>1869</v>
      </c>
      <c r="S7186" s="422" t="s">
        <v>1861</v>
      </c>
      <c r="T7186" s="422"/>
      <c r="U7186" s="422" t="s">
        <v>1953</v>
      </c>
      <c r="V7186" s="422" t="s">
        <v>2813</v>
      </c>
    </row>
    <row r="7187" spans="1:22" ht="15.75" thickBot="1" x14ac:dyDescent="0.3">
      <c r="A7187" t="s">
        <v>544</v>
      </c>
      <c r="B7187" s="424" t="str">
        <f t="shared" si="317"/>
        <v>Barraqueiro Transportes</v>
      </c>
      <c r="C7187" s="424" t="str">
        <f t="shared" si="318"/>
        <v>Mafrense</v>
      </c>
      <c r="D7187" t="s">
        <v>629</v>
      </c>
      <c r="F7187" s="432" t="s">
        <v>620</v>
      </c>
      <c r="G7187" s="89">
        <v>2021</v>
      </c>
      <c r="H7187" s="313" t="s">
        <v>733</v>
      </c>
      <c r="I7187" s="311" t="str">
        <f t="shared" si="315"/>
        <v>Pesado de Passageiros M3:  : Gasóleo : E6</v>
      </c>
      <c r="J7187" s="422">
        <v>85</v>
      </c>
      <c r="K7187" s="422">
        <v>2023</v>
      </c>
      <c r="L7187">
        <v>23551.614000000001</v>
      </c>
      <c r="M7187" s="422" t="s">
        <v>630</v>
      </c>
      <c r="N7187" s="131">
        <v>65715</v>
      </c>
      <c r="O7187" s="436">
        <f t="shared" si="316"/>
        <v>5585775</v>
      </c>
      <c r="P7187" s="89">
        <v>1071</v>
      </c>
      <c r="Q7187" t="s">
        <v>47</v>
      </c>
      <c r="R7187" s="422" t="s">
        <v>1869</v>
      </c>
      <c r="S7187" s="422" t="s">
        <v>1861</v>
      </c>
      <c r="T7187" s="422"/>
      <c r="U7187" s="422" t="s">
        <v>1953</v>
      </c>
      <c r="V7187" s="422" t="s">
        <v>2813</v>
      </c>
    </row>
    <row r="7188" spans="1:22" ht="15.75" thickBot="1" x14ac:dyDescent="0.3">
      <c r="A7188" t="s">
        <v>544</v>
      </c>
      <c r="B7188" s="424" t="str">
        <f t="shared" si="317"/>
        <v>Barraqueiro Transportes</v>
      </c>
      <c r="C7188" s="424" t="str">
        <f t="shared" si="318"/>
        <v>Mafrense</v>
      </c>
      <c r="D7188" t="s">
        <v>629</v>
      </c>
      <c r="F7188" s="432" t="s">
        <v>620</v>
      </c>
      <c r="G7188" s="89">
        <v>2021</v>
      </c>
      <c r="H7188" s="313" t="s">
        <v>733</v>
      </c>
      <c r="I7188" s="311" t="str">
        <f t="shared" si="315"/>
        <v>Pesado de Passageiros M3:  : Gasóleo : E6</v>
      </c>
      <c r="J7188" s="422">
        <v>85</v>
      </c>
      <c r="K7188" s="422">
        <v>2023</v>
      </c>
      <c r="L7188">
        <v>23662.317999999999</v>
      </c>
      <c r="M7188" s="422" t="s">
        <v>630</v>
      </c>
      <c r="N7188" s="131">
        <v>74495</v>
      </c>
      <c r="O7188" s="436">
        <f t="shared" si="316"/>
        <v>6332075</v>
      </c>
      <c r="P7188" s="89">
        <v>1072</v>
      </c>
      <c r="Q7188" t="s">
        <v>47</v>
      </c>
      <c r="R7188" s="422" t="s">
        <v>1869</v>
      </c>
      <c r="S7188" s="422" t="s">
        <v>1861</v>
      </c>
      <c r="T7188" s="422"/>
      <c r="U7188" s="422" t="s">
        <v>1953</v>
      </c>
      <c r="V7188" s="422" t="s">
        <v>2813</v>
      </c>
    </row>
    <row r="7189" spans="1:22" ht="15.75" thickBot="1" x14ac:dyDescent="0.3">
      <c r="A7189" t="s">
        <v>544</v>
      </c>
      <c r="B7189" s="424" t="str">
        <f t="shared" si="317"/>
        <v>Barraqueiro Transportes</v>
      </c>
      <c r="C7189" s="424" t="str">
        <f t="shared" si="318"/>
        <v>Mafrense</v>
      </c>
      <c r="D7189" t="s">
        <v>629</v>
      </c>
      <c r="F7189" s="432" t="s">
        <v>620</v>
      </c>
      <c r="G7189" s="89">
        <v>2021</v>
      </c>
      <c r="H7189" s="313" t="s">
        <v>733</v>
      </c>
      <c r="I7189" s="311" t="str">
        <f t="shared" si="315"/>
        <v>Pesado de Passageiros M3:  : Gasóleo : E6</v>
      </c>
      <c r="J7189" s="422">
        <v>85</v>
      </c>
      <c r="K7189" s="422">
        <v>2023</v>
      </c>
      <c r="L7189">
        <v>18541.57</v>
      </c>
      <c r="M7189" s="422" t="s">
        <v>630</v>
      </c>
      <c r="N7189" s="131">
        <v>52061</v>
      </c>
      <c r="O7189" s="436">
        <f t="shared" si="316"/>
        <v>4425185</v>
      </c>
      <c r="P7189" s="89">
        <v>1073</v>
      </c>
      <c r="Q7189" t="s">
        <v>47</v>
      </c>
      <c r="R7189" s="422" t="s">
        <v>1869</v>
      </c>
      <c r="S7189" s="422" t="s">
        <v>1861</v>
      </c>
      <c r="T7189" s="422"/>
      <c r="U7189" s="422" t="s">
        <v>1953</v>
      </c>
      <c r="V7189" s="422" t="s">
        <v>2813</v>
      </c>
    </row>
    <row r="7190" spans="1:22" ht="15.75" thickBot="1" x14ac:dyDescent="0.3">
      <c r="A7190" t="s">
        <v>544</v>
      </c>
      <c r="B7190" s="424" t="str">
        <f t="shared" si="317"/>
        <v>Barraqueiro Transportes</v>
      </c>
      <c r="C7190" s="424" t="str">
        <f t="shared" si="318"/>
        <v>Mafrense</v>
      </c>
      <c r="D7190" t="s">
        <v>629</v>
      </c>
      <c r="F7190" s="432" t="s">
        <v>620</v>
      </c>
      <c r="G7190" s="89">
        <v>2021</v>
      </c>
      <c r="H7190" s="313" t="s">
        <v>733</v>
      </c>
      <c r="I7190" s="311" t="str">
        <f t="shared" si="315"/>
        <v>Pesado de Passageiros M3:  : Gasóleo : E6</v>
      </c>
      <c r="J7190" s="422">
        <v>85</v>
      </c>
      <c r="K7190" s="422">
        <v>2023</v>
      </c>
      <c r="L7190">
        <v>19074.030000000002</v>
      </c>
      <c r="M7190" s="422" t="s">
        <v>630</v>
      </c>
      <c r="N7190" s="131">
        <v>54868</v>
      </c>
      <c r="O7190" s="436">
        <f t="shared" si="316"/>
        <v>4663780</v>
      </c>
      <c r="P7190" s="89">
        <v>1074</v>
      </c>
      <c r="Q7190" t="s">
        <v>47</v>
      </c>
      <c r="R7190" s="422" t="s">
        <v>1869</v>
      </c>
      <c r="S7190" s="422" t="s">
        <v>1861</v>
      </c>
      <c r="T7190" s="422"/>
      <c r="U7190" s="422" t="s">
        <v>1953</v>
      </c>
      <c r="V7190" s="422" t="s">
        <v>2813</v>
      </c>
    </row>
    <row r="7191" spans="1:22" ht="15.75" thickBot="1" x14ac:dyDescent="0.3">
      <c r="A7191" t="s">
        <v>544</v>
      </c>
      <c r="B7191" s="424" t="str">
        <f t="shared" si="317"/>
        <v>Barraqueiro Transportes</v>
      </c>
      <c r="C7191" s="424" t="str">
        <f t="shared" si="318"/>
        <v>Mafrense</v>
      </c>
      <c r="D7191" t="s">
        <v>629</v>
      </c>
      <c r="F7191" s="432" t="s">
        <v>620</v>
      </c>
      <c r="G7191" s="89">
        <v>2021</v>
      </c>
      <c r="H7191" s="313" t="s">
        <v>733</v>
      </c>
      <c r="I7191" s="311" t="str">
        <f t="shared" si="315"/>
        <v>Pesado de Passageiros M3:  : Gasóleo : E6</v>
      </c>
      <c r="J7191" s="422">
        <v>85</v>
      </c>
      <c r="K7191" s="422">
        <v>2023</v>
      </c>
      <c r="L7191">
        <v>18374.199999999997</v>
      </c>
      <c r="M7191" s="422" t="s">
        <v>630</v>
      </c>
      <c r="N7191" s="131">
        <v>52897</v>
      </c>
      <c r="O7191" s="436">
        <f t="shared" si="316"/>
        <v>4496245</v>
      </c>
      <c r="P7191" s="89">
        <v>1075</v>
      </c>
      <c r="Q7191" t="s">
        <v>47</v>
      </c>
      <c r="R7191" s="422" t="s">
        <v>1869</v>
      </c>
      <c r="S7191" s="422" t="s">
        <v>1861</v>
      </c>
      <c r="T7191" s="422"/>
      <c r="U7191" s="422" t="s">
        <v>1953</v>
      </c>
      <c r="V7191" s="422" t="s">
        <v>2813</v>
      </c>
    </row>
    <row r="7192" spans="1:22" ht="15.75" thickBot="1" x14ac:dyDescent="0.3">
      <c r="A7192" t="s">
        <v>544</v>
      </c>
      <c r="B7192" s="424" t="str">
        <f t="shared" si="317"/>
        <v>Barraqueiro Transportes</v>
      </c>
      <c r="C7192" s="424" t="str">
        <f t="shared" si="318"/>
        <v>Mafrense</v>
      </c>
      <c r="D7192" t="s">
        <v>629</v>
      </c>
      <c r="F7192" s="432" t="s">
        <v>620</v>
      </c>
      <c r="G7192" s="89">
        <v>2021</v>
      </c>
      <c r="H7192" s="313" t="s">
        <v>733</v>
      </c>
      <c r="I7192" s="311" t="str">
        <f t="shared" si="315"/>
        <v>Pesado de Passageiros M3:  : Gasóleo : E6</v>
      </c>
      <c r="J7192" s="422">
        <v>85</v>
      </c>
      <c r="K7192" s="422">
        <v>2023</v>
      </c>
      <c r="L7192">
        <v>9736.0299999999988</v>
      </c>
      <c r="M7192" s="422" t="s">
        <v>630</v>
      </c>
      <c r="N7192" s="131">
        <v>28009</v>
      </c>
      <c r="O7192" s="436">
        <f t="shared" si="316"/>
        <v>2380765</v>
      </c>
      <c r="P7192" s="89">
        <v>1076</v>
      </c>
      <c r="Q7192" t="s">
        <v>47</v>
      </c>
      <c r="R7192" s="422" t="s">
        <v>1869</v>
      </c>
      <c r="S7192" s="422" t="s">
        <v>1861</v>
      </c>
      <c r="T7192" s="422"/>
      <c r="U7192" s="422" t="s">
        <v>1953</v>
      </c>
      <c r="V7192" s="422" t="s">
        <v>2813</v>
      </c>
    </row>
    <row r="7193" spans="1:22" ht="15.75" thickBot="1" x14ac:dyDescent="0.3">
      <c r="A7193" t="s">
        <v>544</v>
      </c>
      <c r="B7193" s="424" t="str">
        <f t="shared" si="317"/>
        <v>Barraqueiro Transportes</v>
      </c>
      <c r="C7193" s="424" t="str">
        <f t="shared" si="318"/>
        <v>Mafrense</v>
      </c>
      <c r="D7193" t="s">
        <v>629</v>
      </c>
      <c r="F7193" s="432" t="s">
        <v>620</v>
      </c>
      <c r="G7193" s="89">
        <v>2021</v>
      </c>
      <c r="H7193" s="313" t="s">
        <v>733</v>
      </c>
      <c r="I7193" s="311" t="str">
        <f t="shared" si="315"/>
        <v>Pesado de Passageiros M3:  : Gasóleo : E6</v>
      </c>
      <c r="J7193" s="422">
        <v>85</v>
      </c>
      <c r="K7193" s="422">
        <v>2023</v>
      </c>
      <c r="L7193">
        <v>22363.335000000006</v>
      </c>
      <c r="M7193" s="422" t="s">
        <v>630</v>
      </c>
      <c r="N7193" s="131">
        <v>64287</v>
      </c>
      <c r="O7193" s="436">
        <f t="shared" si="316"/>
        <v>5464395</v>
      </c>
      <c r="P7193" s="89">
        <v>1077</v>
      </c>
      <c r="Q7193" t="s">
        <v>47</v>
      </c>
      <c r="R7193" s="422" t="s">
        <v>1869</v>
      </c>
      <c r="S7193" s="422" t="s">
        <v>1861</v>
      </c>
      <c r="T7193" s="422"/>
      <c r="U7193" s="422" t="s">
        <v>1953</v>
      </c>
      <c r="V7193" s="422" t="s">
        <v>2813</v>
      </c>
    </row>
    <row r="7194" spans="1:22" ht="15.75" thickBot="1" x14ac:dyDescent="0.3">
      <c r="A7194" t="s">
        <v>544</v>
      </c>
      <c r="B7194" s="424" t="str">
        <f t="shared" si="317"/>
        <v>Barraqueiro Transportes</v>
      </c>
      <c r="C7194" s="424" t="str">
        <f t="shared" si="318"/>
        <v>Mafrense</v>
      </c>
      <c r="D7194" t="s">
        <v>629</v>
      </c>
      <c r="F7194" s="432" t="s">
        <v>620</v>
      </c>
      <c r="G7194" s="89">
        <v>2021</v>
      </c>
      <c r="H7194" s="313" t="s">
        <v>733</v>
      </c>
      <c r="I7194" s="311" t="str">
        <f t="shared" si="315"/>
        <v>Pesado de Passageiros M3:  : Gasóleo : E6</v>
      </c>
      <c r="J7194" s="422">
        <v>85</v>
      </c>
      <c r="K7194" s="422">
        <v>2023</v>
      </c>
      <c r="L7194">
        <v>21711.160000000003</v>
      </c>
      <c r="M7194" s="422" t="s">
        <v>630</v>
      </c>
      <c r="N7194" s="131">
        <v>59167</v>
      </c>
      <c r="O7194" s="436">
        <f t="shared" si="316"/>
        <v>5029195</v>
      </c>
      <c r="P7194" s="89">
        <v>1078</v>
      </c>
      <c r="Q7194" t="s">
        <v>47</v>
      </c>
      <c r="R7194" s="422" t="s">
        <v>1869</v>
      </c>
      <c r="S7194" s="422" t="s">
        <v>1861</v>
      </c>
      <c r="T7194" s="422"/>
      <c r="U7194" s="422" t="s">
        <v>1953</v>
      </c>
      <c r="V7194" s="422" t="s">
        <v>2813</v>
      </c>
    </row>
    <row r="7195" spans="1:22" ht="15.75" thickBot="1" x14ac:dyDescent="0.3">
      <c r="A7195" t="s">
        <v>544</v>
      </c>
      <c r="B7195" s="424" t="str">
        <f t="shared" si="317"/>
        <v>Barraqueiro Transportes</v>
      </c>
      <c r="C7195" s="424" t="str">
        <f t="shared" si="318"/>
        <v>Mafrense</v>
      </c>
      <c r="D7195" t="s">
        <v>629</v>
      </c>
      <c r="F7195" s="432" t="s">
        <v>620</v>
      </c>
      <c r="G7195" s="89">
        <v>2021</v>
      </c>
      <c r="H7195" s="313" t="s">
        <v>733</v>
      </c>
      <c r="I7195" s="311" t="str">
        <f t="shared" si="315"/>
        <v>Pesado de Passageiros M3:  : Gasóleo : E6</v>
      </c>
      <c r="J7195" s="422">
        <v>85</v>
      </c>
      <c r="K7195" s="422">
        <v>2023</v>
      </c>
      <c r="L7195">
        <v>21389</v>
      </c>
      <c r="M7195" s="422" t="s">
        <v>630</v>
      </c>
      <c r="N7195" s="131">
        <v>59251</v>
      </c>
      <c r="O7195" s="436">
        <f t="shared" si="316"/>
        <v>5036335</v>
      </c>
      <c r="P7195" s="89">
        <v>1079</v>
      </c>
      <c r="Q7195" t="s">
        <v>47</v>
      </c>
      <c r="R7195" s="422" t="s">
        <v>1869</v>
      </c>
      <c r="S7195" s="422" t="s">
        <v>1861</v>
      </c>
      <c r="T7195" s="422"/>
      <c r="U7195" s="422" t="s">
        <v>1953</v>
      </c>
      <c r="V7195" s="422" t="s">
        <v>2813</v>
      </c>
    </row>
    <row r="7196" spans="1:22" ht="15.75" thickBot="1" x14ac:dyDescent="0.3">
      <c r="A7196" t="s">
        <v>544</v>
      </c>
      <c r="B7196" s="424" t="str">
        <f t="shared" si="317"/>
        <v>Barraqueiro Transportes</v>
      </c>
      <c r="C7196" s="424" t="str">
        <f t="shared" si="318"/>
        <v>Mafrense</v>
      </c>
      <c r="D7196" t="s">
        <v>629</v>
      </c>
      <c r="F7196" s="432" t="s">
        <v>620</v>
      </c>
      <c r="G7196" s="89">
        <v>2022</v>
      </c>
      <c r="H7196" s="313" t="s">
        <v>5816</v>
      </c>
      <c r="I7196" s="311" t="str">
        <f t="shared" si="315"/>
        <v>Pesado de Passageiros M3:  : Gasóleo : E6 D/E E7</v>
      </c>
      <c r="J7196" s="422">
        <v>89</v>
      </c>
      <c r="K7196" s="422">
        <v>2023</v>
      </c>
      <c r="L7196">
        <v>22861.819</v>
      </c>
      <c r="M7196" s="422" t="s">
        <v>630</v>
      </c>
      <c r="N7196" s="131">
        <v>64500</v>
      </c>
      <c r="O7196" s="436">
        <f t="shared" si="316"/>
        <v>5740500</v>
      </c>
      <c r="P7196" s="89">
        <v>1080</v>
      </c>
      <c r="Q7196" t="s">
        <v>47</v>
      </c>
      <c r="R7196" s="422" t="s">
        <v>1869</v>
      </c>
      <c r="S7196" s="422" t="s">
        <v>1861</v>
      </c>
      <c r="T7196" s="422"/>
      <c r="U7196" s="422" t="s">
        <v>1953</v>
      </c>
      <c r="V7196" s="422" t="s">
        <v>2813</v>
      </c>
    </row>
    <row r="7197" spans="1:22" ht="15.75" thickBot="1" x14ac:dyDescent="0.3">
      <c r="A7197" t="s">
        <v>544</v>
      </c>
      <c r="B7197" s="424" t="str">
        <f t="shared" si="317"/>
        <v>Barraqueiro Transportes</v>
      </c>
      <c r="C7197" s="424" t="str">
        <f t="shared" si="318"/>
        <v>Mafrense</v>
      </c>
      <c r="D7197" t="s">
        <v>629</v>
      </c>
      <c r="F7197" s="432" t="s">
        <v>620</v>
      </c>
      <c r="G7197" s="89">
        <v>2022</v>
      </c>
      <c r="H7197" s="313" t="s">
        <v>5816</v>
      </c>
      <c r="I7197" s="311" t="str">
        <f t="shared" si="315"/>
        <v>Pesado de Passageiros M3:  : Gasóleo : E6 D/E E7</v>
      </c>
      <c r="J7197" s="422">
        <v>89</v>
      </c>
      <c r="K7197" s="422">
        <v>2023</v>
      </c>
      <c r="L7197">
        <v>21096.185000000001</v>
      </c>
      <c r="M7197" s="422" t="s">
        <v>630</v>
      </c>
      <c r="N7197" s="131">
        <v>58767</v>
      </c>
      <c r="O7197" s="436">
        <f t="shared" si="316"/>
        <v>5230263</v>
      </c>
      <c r="P7197" s="89">
        <v>1081</v>
      </c>
      <c r="Q7197" t="s">
        <v>47</v>
      </c>
      <c r="R7197" s="422" t="s">
        <v>1869</v>
      </c>
      <c r="S7197" s="422" t="s">
        <v>1861</v>
      </c>
      <c r="T7197" s="422"/>
      <c r="U7197" s="422" t="s">
        <v>1953</v>
      </c>
      <c r="V7197" s="422" t="s">
        <v>2813</v>
      </c>
    </row>
    <row r="7198" spans="1:22" ht="15.75" thickBot="1" x14ac:dyDescent="0.3">
      <c r="A7198" t="s">
        <v>544</v>
      </c>
      <c r="B7198" s="424" t="str">
        <f t="shared" si="317"/>
        <v>Barraqueiro Transportes</v>
      </c>
      <c r="C7198" s="424" t="str">
        <f t="shared" si="318"/>
        <v>Mafrense</v>
      </c>
      <c r="D7198" t="s">
        <v>629</v>
      </c>
      <c r="F7198" s="432" t="s">
        <v>620</v>
      </c>
      <c r="G7198" s="89">
        <v>2022</v>
      </c>
      <c r="H7198" s="313" t="s">
        <v>5816</v>
      </c>
      <c r="I7198" s="311" t="str">
        <f t="shared" si="315"/>
        <v>Pesado de Passageiros M3:  : Gasóleo : E6 D/E E7</v>
      </c>
      <c r="J7198" s="422">
        <v>89</v>
      </c>
      <c r="K7198" s="422">
        <v>2023</v>
      </c>
      <c r="L7198">
        <v>23315.73</v>
      </c>
      <c r="M7198" s="422" t="s">
        <v>630</v>
      </c>
      <c r="N7198" s="131">
        <v>66301</v>
      </c>
      <c r="O7198" s="436">
        <f t="shared" si="316"/>
        <v>5900789</v>
      </c>
      <c r="P7198" s="89">
        <v>1082</v>
      </c>
      <c r="Q7198" t="s">
        <v>47</v>
      </c>
      <c r="R7198" s="422" t="s">
        <v>1869</v>
      </c>
      <c r="S7198" s="422" t="s">
        <v>1861</v>
      </c>
      <c r="T7198" s="422"/>
      <c r="U7198" s="422" t="s">
        <v>1953</v>
      </c>
      <c r="V7198" s="422" t="s">
        <v>2813</v>
      </c>
    </row>
    <row r="7199" spans="1:22" ht="15.75" thickBot="1" x14ac:dyDescent="0.3">
      <c r="A7199" t="s">
        <v>544</v>
      </c>
      <c r="B7199" s="424" t="str">
        <f t="shared" si="317"/>
        <v>Barraqueiro Transportes</v>
      </c>
      <c r="C7199" s="424" t="str">
        <f t="shared" si="318"/>
        <v>Mafrense</v>
      </c>
      <c r="D7199" t="s">
        <v>629</v>
      </c>
      <c r="F7199" s="432" t="s">
        <v>620</v>
      </c>
      <c r="G7199" s="89">
        <v>2022</v>
      </c>
      <c r="H7199" s="313" t="s">
        <v>5816</v>
      </c>
      <c r="I7199" s="311" t="str">
        <f t="shared" si="315"/>
        <v>Pesado de Passageiros M3:  : Gasóleo : E6 D/E E7</v>
      </c>
      <c r="J7199" s="422">
        <v>89</v>
      </c>
      <c r="K7199" s="422">
        <v>2023</v>
      </c>
      <c r="L7199">
        <v>24763.109999999997</v>
      </c>
      <c r="M7199" s="422" t="s">
        <v>630</v>
      </c>
      <c r="N7199" s="131">
        <v>71042</v>
      </c>
      <c r="O7199" s="436">
        <f t="shared" si="316"/>
        <v>6322738</v>
      </c>
      <c r="P7199" s="89">
        <v>1083</v>
      </c>
      <c r="Q7199" t="s">
        <v>47</v>
      </c>
      <c r="R7199" s="422" t="s">
        <v>1869</v>
      </c>
      <c r="S7199" s="422" t="s">
        <v>1861</v>
      </c>
      <c r="T7199" s="422"/>
      <c r="U7199" s="422" t="s">
        <v>1953</v>
      </c>
      <c r="V7199" s="422" t="s">
        <v>2813</v>
      </c>
    </row>
    <row r="7200" spans="1:22" ht="15.75" thickBot="1" x14ac:dyDescent="0.3">
      <c r="A7200" t="s">
        <v>544</v>
      </c>
      <c r="B7200" s="424" t="str">
        <f t="shared" si="317"/>
        <v>Barraqueiro Transportes</v>
      </c>
      <c r="C7200" s="424" t="str">
        <f t="shared" si="318"/>
        <v>Mafrense</v>
      </c>
      <c r="D7200" t="s">
        <v>629</v>
      </c>
      <c r="F7200" s="432" t="s">
        <v>620</v>
      </c>
      <c r="G7200" s="89">
        <v>2022</v>
      </c>
      <c r="H7200" s="313" t="s">
        <v>5816</v>
      </c>
      <c r="I7200" s="311" t="str">
        <f t="shared" si="315"/>
        <v>Pesado de Passageiros M3:  : Gasóleo : E6 D/E E7</v>
      </c>
      <c r="J7200" s="422">
        <v>89</v>
      </c>
      <c r="K7200" s="422">
        <v>2023</v>
      </c>
      <c r="L7200">
        <v>29228.466</v>
      </c>
      <c r="M7200" s="422" t="s">
        <v>630</v>
      </c>
      <c r="N7200" s="131">
        <v>81470</v>
      </c>
      <c r="O7200" s="436">
        <f t="shared" si="316"/>
        <v>7250830</v>
      </c>
      <c r="P7200" s="89">
        <v>1084</v>
      </c>
      <c r="Q7200" t="s">
        <v>47</v>
      </c>
      <c r="R7200" s="422" t="s">
        <v>1869</v>
      </c>
      <c r="S7200" s="422" t="s">
        <v>1861</v>
      </c>
      <c r="T7200" s="422"/>
      <c r="U7200" s="422" t="s">
        <v>1953</v>
      </c>
      <c r="V7200" s="422" t="s">
        <v>2813</v>
      </c>
    </row>
    <row r="7201" spans="1:22" ht="15.75" thickBot="1" x14ac:dyDescent="0.3">
      <c r="A7201" t="s">
        <v>544</v>
      </c>
      <c r="B7201" s="424" t="str">
        <f t="shared" si="317"/>
        <v>Barraqueiro Transportes</v>
      </c>
      <c r="C7201" s="424" t="str">
        <f t="shared" si="318"/>
        <v>Mafrense</v>
      </c>
      <c r="D7201" t="s">
        <v>629</v>
      </c>
      <c r="F7201" s="432" t="s">
        <v>620</v>
      </c>
      <c r="G7201" s="89">
        <v>2022</v>
      </c>
      <c r="H7201" s="313" t="s">
        <v>5816</v>
      </c>
      <c r="I7201" s="311" t="str">
        <f t="shared" si="315"/>
        <v>Pesado de Passageiros M3:  : Gasóleo : E6 D/E E7</v>
      </c>
      <c r="J7201" s="422">
        <v>89</v>
      </c>
      <c r="K7201" s="422">
        <v>2023</v>
      </c>
      <c r="L7201">
        <v>26361.030000000002</v>
      </c>
      <c r="M7201" s="422" t="s">
        <v>630</v>
      </c>
      <c r="N7201" s="131">
        <v>72160</v>
      </c>
      <c r="O7201" s="436">
        <f t="shared" si="316"/>
        <v>6422240</v>
      </c>
      <c r="P7201" s="89">
        <v>1085</v>
      </c>
      <c r="Q7201" t="s">
        <v>47</v>
      </c>
      <c r="R7201" s="422" t="s">
        <v>1869</v>
      </c>
      <c r="S7201" s="422" t="s">
        <v>1861</v>
      </c>
      <c r="T7201" s="422"/>
      <c r="U7201" s="422" t="s">
        <v>1953</v>
      </c>
      <c r="V7201" s="422" t="s">
        <v>2813</v>
      </c>
    </row>
    <row r="7202" spans="1:22" ht="15.75" thickBot="1" x14ac:dyDescent="0.3">
      <c r="A7202" t="s">
        <v>544</v>
      </c>
      <c r="B7202" s="424" t="str">
        <f t="shared" si="317"/>
        <v>Barraqueiro Transportes</v>
      </c>
      <c r="C7202" s="424" t="str">
        <f t="shared" si="318"/>
        <v>Mafrense</v>
      </c>
      <c r="D7202" t="s">
        <v>629</v>
      </c>
      <c r="F7202" s="432" t="s">
        <v>620</v>
      </c>
      <c r="G7202" s="89">
        <v>2022</v>
      </c>
      <c r="H7202" s="313" t="s">
        <v>5816</v>
      </c>
      <c r="I7202" s="311" t="str">
        <f t="shared" ref="I7202:I7265" si="319">D7202&amp;": "&amp;E7202&amp;" : "&amp;F7202&amp;" : "&amp;H7202</f>
        <v>Pesado de Passageiros M3:  : Gasóleo : E6 D/E E7</v>
      </c>
      <c r="J7202" s="422">
        <v>89</v>
      </c>
      <c r="K7202" s="422">
        <v>2023</v>
      </c>
      <c r="L7202">
        <v>24125.279999999995</v>
      </c>
      <c r="M7202" s="422" t="s">
        <v>630</v>
      </c>
      <c r="N7202" s="131">
        <v>71620</v>
      </c>
      <c r="O7202" s="436">
        <f t="shared" si="316"/>
        <v>6374180</v>
      </c>
      <c r="P7202" s="89">
        <v>1086</v>
      </c>
      <c r="Q7202" t="s">
        <v>47</v>
      </c>
      <c r="R7202" s="422" t="s">
        <v>1869</v>
      </c>
      <c r="S7202" s="422" t="s">
        <v>1861</v>
      </c>
      <c r="T7202" s="422"/>
      <c r="U7202" s="422" t="s">
        <v>1953</v>
      </c>
      <c r="V7202" s="422" t="s">
        <v>2813</v>
      </c>
    </row>
    <row r="7203" spans="1:22" ht="15.75" thickBot="1" x14ac:dyDescent="0.3">
      <c r="A7203" t="s">
        <v>544</v>
      </c>
      <c r="B7203" s="424" t="str">
        <f t="shared" si="317"/>
        <v>Barraqueiro Transportes</v>
      </c>
      <c r="C7203" s="424" t="str">
        <f t="shared" si="318"/>
        <v>Mafrense</v>
      </c>
      <c r="D7203" t="s">
        <v>629</v>
      </c>
      <c r="F7203" s="432" t="s">
        <v>620</v>
      </c>
      <c r="G7203" s="89">
        <v>2022</v>
      </c>
      <c r="H7203" s="313" t="s">
        <v>5816</v>
      </c>
      <c r="I7203" s="311" t="str">
        <f t="shared" si="319"/>
        <v>Pesado de Passageiros M3:  : Gasóleo : E6 D/E E7</v>
      </c>
      <c r="J7203" s="422">
        <v>89</v>
      </c>
      <c r="K7203" s="422">
        <v>2023</v>
      </c>
      <c r="L7203">
        <v>23704.2</v>
      </c>
      <c r="M7203" s="422" t="s">
        <v>630</v>
      </c>
      <c r="N7203" s="131">
        <v>64763</v>
      </c>
      <c r="O7203" s="436">
        <f t="shared" si="316"/>
        <v>5763907</v>
      </c>
      <c r="P7203" s="89">
        <v>1087</v>
      </c>
      <c r="Q7203" t="s">
        <v>47</v>
      </c>
      <c r="R7203" s="422" t="s">
        <v>1869</v>
      </c>
      <c r="S7203" s="422" t="s">
        <v>1861</v>
      </c>
      <c r="T7203" s="422"/>
      <c r="U7203" s="422" t="s">
        <v>1953</v>
      </c>
      <c r="V7203" s="422" t="s">
        <v>2813</v>
      </c>
    </row>
    <row r="7204" spans="1:22" ht="15.75" thickBot="1" x14ac:dyDescent="0.3">
      <c r="A7204" t="s">
        <v>544</v>
      </c>
      <c r="B7204" s="424" t="str">
        <f t="shared" si="317"/>
        <v>Barraqueiro Transportes</v>
      </c>
      <c r="C7204" s="424" t="str">
        <f t="shared" si="318"/>
        <v>Mafrense</v>
      </c>
      <c r="D7204" t="s">
        <v>629</v>
      </c>
      <c r="F7204" s="432" t="s">
        <v>620</v>
      </c>
      <c r="G7204" s="89">
        <v>2022</v>
      </c>
      <c r="H7204" s="313" t="s">
        <v>5816</v>
      </c>
      <c r="I7204" s="311" t="str">
        <f t="shared" si="319"/>
        <v>Pesado de Passageiros M3:  : Gasóleo : E6 D/E E7</v>
      </c>
      <c r="J7204" s="422">
        <v>89</v>
      </c>
      <c r="K7204" s="422">
        <v>2023</v>
      </c>
      <c r="L7204">
        <v>19277.96</v>
      </c>
      <c r="M7204" s="422" t="s">
        <v>630</v>
      </c>
      <c r="N7204" s="131">
        <v>56181</v>
      </c>
      <c r="O7204" s="436">
        <f t="shared" si="316"/>
        <v>5000109</v>
      </c>
      <c r="P7204" s="89">
        <v>1088</v>
      </c>
      <c r="Q7204" t="s">
        <v>47</v>
      </c>
      <c r="R7204" s="422" t="s">
        <v>1869</v>
      </c>
      <c r="S7204" s="422" t="s">
        <v>1861</v>
      </c>
      <c r="T7204" s="422"/>
      <c r="U7204" s="422" t="s">
        <v>1953</v>
      </c>
      <c r="V7204" s="422" t="s">
        <v>2813</v>
      </c>
    </row>
    <row r="7205" spans="1:22" ht="15.75" thickBot="1" x14ac:dyDescent="0.3">
      <c r="A7205" t="s">
        <v>544</v>
      </c>
      <c r="B7205" s="424" t="str">
        <f t="shared" si="317"/>
        <v>Barraqueiro Transportes</v>
      </c>
      <c r="C7205" s="424" t="str">
        <f t="shared" si="318"/>
        <v>Mafrense</v>
      </c>
      <c r="D7205" t="s">
        <v>629</v>
      </c>
      <c r="F7205" s="432" t="s">
        <v>620</v>
      </c>
      <c r="G7205" s="89">
        <v>2022</v>
      </c>
      <c r="H7205" s="313" t="s">
        <v>5816</v>
      </c>
      <c r="I7205" s="311" t="str">
        <f t="shared" si="319"/>
        <v>Pesado de Passageiros M3:  : Gasóleo : E6 D/E E7</v>
      </c>
      <c r="J7205" s="422">
        <v>89</v>
      </c>
      <c r="K7205" s="422">
        <v>2023</v>
      </c>
      <c r="L7205">
        <v>25003.512000000002</v>
      </c>
      <c r="M7205" s="422" t="s">
        <v>630</v>
      </c>
      <c r="N7205" s="131">
        <v>66917</v>
      </c>
      <c r="O7205" s="436">
        <f t="shared" si="316"/>
        <v>5955613</v>
      </c>
      <c r="P7205" s="89">
        <v>1089</v>
      </c>
      <c r="Q7205" t="s">
        <v>47</v>
      </c>
      <c r="R7205" s="422" t="s">
        <v>1869</v>
      </c>
      <c r="S7205" s="422" t="s">
        <v>1861</v>
      </c>
      <c r="T7205" s="422"/>
      <c r="U7205" s="422" t="s">
        <v>1953</v>
      </c>
      <c r="V7205" s="422" t="s">
        <v>2813</v>
      </c>
    </row>
    <row r="7206" spans="1:22" ht="15.75" thickBot="1" x14ac:dyDescent="0.3">
      <c r="A7206" t="s">
        <v>544</v>
      </c>
      <c r="B7206" s="424" t="str">
        <f t="shared" si="317"/>
        <v>Barraqueiro Transportes</v>
      </c>
      <c r="C7206" s="424" t="str">
        <f t="shared" si="318"/>
        <v>Mafrense</v>
      </c>
      <c r="D7206" t="s">
        <v>629</v>
      </c>
      <c r="F7206" s="432" t="s">
        <v>620</v>
      </c>
      <c r="G7206" s="89">
        <v>2022</v>
      </c>
      <c r="H7206" s="313" t="s">
        <v>5816</v>
      </c>
      <c r="I7206" s="311" t="str">
        <f t="shared" si="319"/>
        <v>Pesado de Passageiros M3:  : Gasóleo : E6 D/E E7</v>
      </c>
      <c r="J7206" s="422">
        <v>89</v>
      </c>
      <c r="K7206" s="422">
        <v>2023</v>
      </c>
      <c r="L7206">
        <v>14912.76</v>
      </c>
      <c r="M7206" s="422" t="s">
        <v>630</v>
      </c>
      <c r="N7206" s="131">
        <v>41465</v>
      </c>
      <c r="O7206" s="436">
        <f t="shared" ref="O7206:O7269" si="320">N7206*J7206</f>
        <v>3690385</v>
      </c>
      <c r="P7206" s="89">
        <v>1090</v>
      </c>
      <c r="Q7206" t="s">
        <v>47</v>
      </c>
      <c r="R7206" s="422" t="s">
        <v>1869</v>
      </c>
      <c r="S7206" s="422" t="s">
        <v>1861</v>
      </c>
      <c r="T7206" s="422"/>
      <c r="U7206" s="422" t="s">
        <v>1953</v>
      </c>
      <c r="V7206" s="422" t="s">
        <v>2813</v>
      </c>
    </row>
    <row r="7207" spans="1:22" ht="15.75" thickBot="1" x14ac:dyDescent="0.3">
      <c r="A7207" t="s">
        <v>544</v>
      </c>
      <c r="B7207" s="424" t="str">
        <f t="shared" si="317"/>
        <v>Barraqueiro Transportes</v>
      </c>
      <c r="C7207" s="424" t="str">
        <f t="shared" si="318"/>
        <v>Mafrense</v>
      </c>
      <c r="D7207" t="s">
        <v>629</v>
      </c>
      <c r="F7207" s="432" t="s">
        <v>620</v>
      </c>
      <c r="G7207" s="89">
        <v>2022</v>
      </c>
      <c r="H7207" s="313" t="s">
        <v>5816</v>
      </c>
      <c r="I7207" s="311" t="str">
        <f t="shared" si="319"/>
        <v>Pesado de Passageiros M3:  : Gasóleo : E6 D/E E7</v>
      </c>
      <c r="J7207" s="422">
        <v>89</v>
      </c>
      <c r="K7207" s="422">
        <v>2023</v>
      </c>
      <c r="L7207">
        <v>22844.292000000001</v>
      </c>
      <c r="M7207" s="422" t="s">
        <v>630</v>
      </c>
      <c r="N7207" s="131">
        <v>66636</v>
      </c>
      <c r="O7207" s="436">
        <f t="shared" si="320"/>
        <v>5930604</v>
      </c>
      <c r="P7207" s="89">
        <v>1091</v>
      </c>
      <c r="Q7207" t="s">
        <v>47</v>
      </c>
      <c r="R7207" s="422" t="s">
        <v>1869</v>
      </c>
      <c r="S7207" s="422" t="s">
        <v>1861</v>
      </c>
      <c r="T7207" s="422"/>
      <c r="U7207" s="422" t="s">
        <v>1953</v>
      </c>
      <c r="V7207" s="422" t="s">
        <v>2813</v>
      </c>
    </row>
    <row r="7208" spans="1:22" ht="15.75" thickBot="1" x14ac:dyDescent="0.3">
      <c r="A7208" t="s">
        <v>544</v>
      </c>
      <c r="B7208" s="424" t="str">
        <f t="shared" si="317"/>
        <v>Barraqueiro Transportes</v>
      </c>
      <c r="C7208" s="424" t="str">
        <f t="shared" si="318"/>
        <v>Mafrense</v>
      </c>
      <c r="D7208" t="s">
        <v>629</v>
      </c>
      <c r="F7208" s="432" t="s">
        <v>620</v>
      </c>
      <c r="G7208" s="89">
        <v>2022</v>
      </c>
      <c r="H7208" s="313" t="s">
        <v>5816</v>
      </c>
      <c r="I7208" s="311" t="str">
        <f t="shared" si="319"/>
        <v>Pesado de Passageiros M3:  : Gasóleo : E6 D/E E7</v>
      </c>
      <c r="J7208" s="422">
        <v>89</v>
      </c>
      <c r="K7208" s="422">
        <v>2023</v>
      </c>
      <c r="L7208">
        <v>22264.853000000003</v>
      </c>
      <c r="M7208" s="422" t="s">
        <v>630</v>
      </c>
      <c r="N7208" s="131">
        <v>66408</v>
      </c>
      <c r="O7208" s="436">
        <f t="shared" si="320"/>
        <v>5910312</v>
      </c>
      <c r="P7208" s="89">
        <v>1092</v>
      </c>
      <c r="Q7208" t="s">
        <v>47</v>
      </c>
      <c r="R7208" s="422" t="s">
        <v>1869</v>
      </c>
      <c r="S7208" s="422" t="s">
        <v>1861</v>
      </c>
      <c r="T7208" s="422"/>
      <c r="U7208" s="422" t="s">
        <v>1953</v>
      </c>
      <c r="V7208" s="422" t="s">
        <v>2813</v>
      </c>
    </row>
    <row r="7209" spans="1:22" ht="15.75" thickBot="1" x14ac:dyDescent="0.3">
      <c r="A7209" t="s">
        <v>544</v>
      </c>
      <c r="B7209" s="424" t="str">
        <f t="shared" si="317"/>
        <v>Barraqueiro Transportes</v>
      </c>
      <c r="C7209" s="424" t="str">
        <f t="shared" si="318"/>
        <v>Mafrense</v>
      </c>
      <c r="D7209" t="s">
        <v>629</v>
      </c>
      <c r="F7209" s="432" t="s">
        <v>620</v>
      </c>
      <c r="G7209" s="89">
        <v>2022</v>
      </c>
      <c r="H7209" s="313" t="s">
        <v>5816</v>
      </c>
      <c r="I7209" s="311" t="str">
        <f t="shared" si="319"/>
        <v>Pesado de Passageiros M3:  : Gasóleo : E6 D/E E7</v>
      </c>
      <c r="J7209" s="422">
        <v>89</v>
      </c>
      <c r="K7209" s="422">
        <v>2023</v>
      </c>
      <c r="L7209">
        <v>26270.78</v>
      </c>
      <c r="M7209" s="422" t="s">
        <v>630</v>
      </c>
      <c r="N7209" s="131">
        <v>72692</v>
      </c>
      <c r="O7209" s="436">
        <f t="shared" si="320"/>
        <v>6469588</v>
      </c>
      <c r="P7209" s="89">
        <v>1093</v>
      </c>
      <c r="Q7209" t="s">
        <v>47</v>
      </c>
      <c r="R7209" s="422" t="s">
        <v>1869</v>
      </c>
      <c r="S7209" s="422" t="s">
        <v>1861</v>
      </c>
      <c r="T7209" s="422"/>
      <c r="U7209" s="422" t="s">
        <v>1953</v>
      </c>
      <c r="V7209" s="422" t="s">
        <v>2813</v>
      </c>
    </row>
    <row r="7210" spans="1:22" ht="15.75" thickBot="1" x14ac:dyDescent="0.3">
      <c r="A7210" t="s">
        <v>544</v>
      </c>
      <c r="B7210" s="424" t="str">
        <f t="shared" si="317"/>
        <v>Barraqueiro Transportes</v>
      </c>
      <c r="C7210" s="424" t="str">
        <f t="shared" si="318"/>
        <v>Mafrense</v>
      </c>
      <c r="D7210" t="s">
        <v>629</v>
      </c>
      <c r="F7210" s="432" t="s">
        <v>620</v>
      </c>
      <c r="G7210" s="89">
        <v>2022</v>
      </c>
      <c r="H7210" s="313" t="s">
        <v>5816</v>
      </c>
      <c r="I7210" s="311" t="str">
        <f t="shared" si="319"/>
        <v>Pesado de Passageiros M3:  : Gasóleo : E6 D/E E7</v>
      </c>
      <c r="J7210" s="422">
        <v>89</v>
      </c>
      <c r="K7210" s="422">
        <v>2023</v>
      </c>
      <c r="L7210">
        <v>22541.33</v>
      </c>
      <c r="M7210" s="422" t="s">
        <v>630</v>
      </c>
      <c r="N7210" s="131">
        <v>60024</v>
      </c>
      <c r="O7210" s="436">
        <f t="shared" si="320"/>
        <v>5342136</v>
      </c>
      <c r="P7210" s="89">
        <v>1094</v>
      </c>
      <c r="Q7210" t="s">
        <v>47</v>
      </c>
      <c r="R7210" s="422" t="s">
        <v>1869</v>
      </c>
      <c r="S7210" s="422" t="s">
        <v>1861</v>
      </c>
      <c r="T7210" s="422"/>
      <c r="U7210" s="422" t="s">
        <v>1953</v>
      </c>
      <c r="V7210" s="422" t="s">
        <v>2813</v>
      </c>
    </row>
    <row r="7211" spans="1:22" ht="15.75" thickBot="1" x14ac:dyDescent="0.3">
      <c r="A7211" t="s">
        <v>544</v>
      </c>
      <c r="B7211" s="424" t="str">
        <f t="shared" si="317"/>
        <v>Barraqueiro Transportes</v>
      </c>
      <c r="C7211" s="424" t="str">
        <f t="shared" si="318"/>
        <v>Mafrense</v>
      </c>
      <c r="D7211" t="s">
        <v>629</v>
      </c>
      <c r="F7211" s="432" t="s">
        <v>620</v>
      </c>
      <c r="G7211" s="89">
        <v>2022</v>
      </c>
      <c r="H7211" s="313" t="s">
        <v>5816</v>
      </c>
      <c r="I7211" s="311" t="str">
        <f t="shared" si="319"/>
        <v>Pesado de Passageiros M3:  : Gasóleo : E6 D/E E7</v>
      </c>
      <c r="J7211" s="422">
        <v>89</v>
      </c>
      <c r="K7211" s="422">
        <v>2023</v>
      </c>
      <c r="L7211">
        <v>29050.611000000004</v>
      </c>
      <c r="M7211" s="422" t="s">
        <v>630</v>
      </c>
      <c r="N7211" s="131">
        <v>75057</v>
      </c>
      <c r="O7211" s="436">
        <f t="shared" si="320"/>
        <v>6680073</v>
      </c>
      <c r="P7211" s="89">
        <v>1095</v>
      </c>
      <c r="Q7211" t="s">
        <v>47</v>
      </c>
      <c r="R7211" s="422" t="s">
        <v>1869</v>
      </c>
      <c r="S7211" s="422" t="s">
        <v>1861</v>
      </c>
      <c r="T7211" s="422"/>
      <c r="U7211" s="422" t="s">
        <v>1953</v>
      </c>
      <c r="V7211" s="422" t="s">
        <v>2813</v>
      </c>
    </row>
    <row r="7212" spans="1:22" ht="15.75" thickBot="1" x14ac:dyDescent="0.3">
      <c r="A7212" t="s">
        <v>544</v>
      </c>
      <c r="B7212" s="424" t="str">
        <f t="shared" ref="B7212:B7275" si="321">LEFT(A7212,IFERROR(FIND(" - ",A7212)-1,LEN(A7212)))</f>
        <v>Barraqueiro Transportes</v>
      </c>
      <c r="C7212" s="424" t="str">
        <f t="shared" ref="C7212:C7275" si="322">IF(A7212=B7212,B7212,RIGHT(A7212,LEN(A7212)-LEN(B7212)-3))</f>
        <v>Mafrense</v>
      </c>
      <c r="D7212" t="s">
        <v>629</v>
      </c>
      <c r="F7212" s="432" t="s">
        <v>620</v>
      </c>
      <c r="G7212" s="89">
        <v>2022</v>
      </c>
      <c r="H7212" s="313" t="s">
        <v>5816</v>
      </c>
      <c r="I7212" s="311" t="str">
        <f t="shared" si="319"/>
        <v>Pesado de Passageiros M3:  : Gasóleo : E6 D/E E7</v>
      </c>
      <c r="J7212" s="422">
        <v>89</v>
      </c>
      <c r="K7212" s="422">
        <v>2023</v>
      </c>
      <c r="L7212">
        <v>27022.05</v>
      </c>
      <c r="M7212" s="422" t="s">
        <v>630</v>
      </c>
      <c r="N7212" s="131">
        <v>76909</v>
      </c>
      <c r="O7212" s="436">
        <f t="shared" si="320"/>
        <v>6844901</v>
      </c>
      <c r="P7212" s="89">
        <v>1096</v>
      </c>
      <c r="Q7212" t="s">
        <v>47</v>
      </c>
      <c r="R7212" s="422" t="s">
        <v>1869</v>
      </c>
      <c r="S7212" s="422" t="s">
        <v>1861</v>
      </c>
      <c r="T7212" s="422"/>
      <c r="U7212" s="422" t="s">
        <v>1953</v>
      </c>
      <c r="V7212" s="422" t="s">
        <v>2813</v>
      </c>
    </row>
    <row r="7213" spans="1:22" ht="15.75" thickBot="1" x14ac:dyDescent="0.3">
      <c r="A7213" t="s">
        <v>544</v>
      </c>
      <c r="B7213" s="424" t="str">
        <f t="shared" si="321"/>
        <v>Barraqueiro Transportes</v>
      </c>
      <c r="C7213" s="424" t="str">
        <f t="shared" si="322"/>
        <v>Mafrense</v>
      </c>
      <c r="D7213" t="s">
        <v>629</v>
      </c>
      <c r="F7213" s="432" t="s">
        <v>620</v>
      </c>
      <c r="G7213" s="89">
        <v>2022</v>
      </c>
      <c r="H7213" s="313" t="s">
        <v>5816</v>
      </c>
      <c r="I7213" s="311" t="str">
        <f t="shared" si="319"/>
        <v>Pesado de Passageiros M3:  : Gasóleo : E6 D/E E7</v>
      </c>
      <c r="J7213" s="422">
        <v>89</v>
      </c>
      <c r="K7213" s="422">
        <v>2023</v>
      </c>
      <c r="L7213">
        <v>25152.280000000002</v>
      </c>
      <c r="M7213" s="422" t="s">
        <v>630</v>
      </c>
      <c r="N7213" s="131">
        <v>68682</v>
      </c>
      <c r="O7213" s="436">
        <f t="shared" si="320"/>
        <v>6112698</v>
      </c>
      <c r="P7213" s="89">
        <v>1097</v>
      </c>
      <c r="Q7213" t="s">
        <v>47</v>
      </c>
      <c r="R7213" s="422" t="s">
        <v>1869</v>
      </c>
      <c r="S7213" s="422" t="s">
        <v>1861</v>
      </c>
      <c r="T7213" s="422"/>
      <c r="U7213" s="422" t="s">
        <v>1953</v>
      </c>
      <c r="V7213" s="422" t="s">
        <v>2813</v>
      </c>
    </row>
    <row r="7214" spans="1:22" ht="15.75" thickBot="1" x14ac:dyDescent="0.3">
      <c r="A7214" t="s">
        <v>544</v>
      </c>
      <c r="B7214" s="424" t="str">
        <f t="shared" si="321"/>
        <v>Barraqueiro Transportes</v>
      </c>
      <c r="C7214" s="424" t="str">
        <f t="shared" si="322"/>
        <v>Mafrense</v>
      </c>
      <c r="D7214" t="s">
        <v>629</v>
      </c>
      <c r="F7214" s="432" t="s">
        <v>620</v>
      </c>
      <c r="G7214" s="89">
        <v>2022</v>
      </c>
      <c r="H7214" s="313" t="s">
        <v>5816</v>
      </c>
      <c r="I7214" s="311" t="str">
        <f t="shared" si="319"/>
        <v>Pesado de Passageiros M3:  : Gasóleo : E6 D/E E7</v>
      </c>
      <c r="J7214" s="422">
        <v>83</v>
      </c>
      <c r="K7214" s="422">
        <v>2023</v>
      </c>
      <c r="L7214">
        <v>22666.13</v>
      </c>
      <c r="M7214" s="422" t="s">
        <v>630</v>
      </c>
      <c r="N7214" s="131">
        <v>63504</v>
      </c>
      <c r="O7214" s="436">
        <f t="shared" si="320"/>
        <v>5270832</v>
      </c>
      <c r="P7214" s="89">
        <v>1098</v>
      </c>
      <c r="Q7214" t="s">
        <v>47</v>
      </c>
      <c r="R7214" s="422" t="s">
        <v>1869</v>
      </c>
      <c r="S7214" s="422" t="s">
        <v>1861</v>
      </c>
      <c r="T7214" s="422"/>
      <c r="U7214" s="422" t="s">
        <v>1953</v>
      </c>
      <c r="V7214" s="422" t="s">
        <v>2813</v>
      </c>
    </row>
    <row r="7215" spans="1:22" ht="15.75" thickBot="1" x14ac:dyDescent="0.3">
      <c r="A7215" t="s">
        <v>544</v>
      </c>
      <c r="B7215" s="424" t="str">
        <f t="shared" si="321"/>
        <v>Barraqueiro Transportes</v>
      </c>
      <c r="C7215" s="424" t="str">
        <f t="shared" si="322"/>
        <v>Mafrense</v>
      </c>
      <c r="D7215" t="s">
        <v>629</v>
      </c>
      <c r="F7215" s="432" t="s">
        <v>620</v>
      </c>
      <c r="G7215" s="89">
        <v>2022</v>
      </c>
      <c r="H7215" s="313" t="s">
        <v>5816</v>
      </c>
      <c r="I7215" s="311" t="str">
        <f t="shared" si="319"/>
        <v>Pesado de Passageiros M3:  : Gasóleo : E6 D/E E7</v>
      </c>
      <c r="J7215" s="422">
        <v>89</v>
      </c>
      <c r="K7215" s="422">
        <v>2023</v>
      </c>
      <c r="L7215">
        <v>25248.617000000002</v>
      </c>
      <c r="M7215" s="422" t="s">
        <v>630</v>
      </c>
      <c r="N7215" s="131">
        <v>71697</v>
      </c>
      <c r="O7215" s="436">
        <f t="shared" si="320"/>
        <v>6381033</v>
      </c>
      <c r="P7215" s="89">
        <v>1099</v>
      </c>
      <c r="Q7215" t="s">
        <v>47</v>
      </c>
      <c r="R7215" s="422" t="s">
        <v>1869</v>
      </c>
      <c r="S7215" s="422" t="s">
        <v>1861</v>
      </c>
      <c r="T7215" s="422"/>
      <c r="U7215" s="422" t="s">
        <v>1953</v>
      </c>
      <c r="V7215" s="422" t="s">
        <v>2813</v>
      </c>
    </row>
    <row r="7216" spans="1:22" ht="15.75" thickBot="1" x14ac:dyDescent="0.3">
      <c r="A7216" t="s">
        <v>544</v>
      </c>
      <c r="B7216" s="424" t="str">
        <f t="shared" si="321"/>
        <v>Barraqueiro Transportes</v>
      </c>
      <c r="C7216" s="424" t="str">
        <f t="shared" si="322"/>
        <v>Mafrense</v>
      </c>
      <c r="D7216" t="s">
        <v>629</v>
      </c>
      <c r="F7216" s="432" t="s">
        <v>620</v>
      </c>
      <c r="G7216" s="89">
        <v>2022</v>
      </c>
      <c r="H7216" s="313" t="s">
        <v>5816</v>
      </c>
      <c r="I7216" s="311" t="str">
        <f t="shared" si="319"/>
        <v>Pesado de Passageiros M3:  : Gasóleo : E6 D/E E7</v>
      </c>
      <c r="J7216" s="422">
        <v>89</v>
      </c>
      <c r="K7216" s="422">
        <v>2023</v>
      </c>
      <c r="L7216">
        <v>22410.927999999996</v>
      </c>
      <c r="M7216" s="422" t="s">
        <v>630</v>
      </c>
      <c r="N7216" s="131">
        <v>65091</v>
      </c>
      <c r="O7216" s="436">
        <f t="shared" si="320"/>
        <v>5793099</v>
      </c>
      <c r="P7216" s="89">
        <v>1100</v>
      </c>
      <c r="Q7216" t="s">
        <v>47</v>
      </c>
      <c r="R7216" s="422" t="s">
        <v>1869</v>
      </c>
      <c r="S7216" s="422" t="s">
        <v>1861</v>
      </c>
      <c r="T7216" s="422"/>
      <c r="U7216" s="422" t="s">
        <v>1953</v>
      </c>
      <c r="V7216" s="422" t="s">
        <v>2813</v>
      </c>
    </row>
    <row r="7217" spans="1:22" ht="15.75" thickBot="1" x14ac:dyDescent="0.3">
      <c r="A7217" t="s">
        <v>544</v>
      </c>
      <c r="B7217" s="424" t="str">
        <f t="shared" si="321"/>
        <v>Barraqueiro Transportes</v>
      </c>
      <c r="C7217" s="424" t="str">
        <f t="shared" si="322"/>
        <v>Mafrense</v>
      </c>
      <c r="D7217" t="s">
        <v>629</v>
      </c>
      <c r="F7217" s="432" t="s">
        <v>620</v>
      </c>
      <c r="G7217" s="89">
        <v>2022</v>
      </c>
      <c r="H7217" s="313" t="s">
        <v>5816</v>
      </c>
      <c r="I7217" s="311" t="str">
        <f t="shared" si="319"/>
        <v>Pesado de Passageiros M3:  : Gasóleo : E6 D/E E7</v>
      </c>
      <c r="J7217" s="422">
        <v>89</v>
      </c>
      <c r="K7217" s="422">
        <v>2023</v>
      </c>
      <c r="L7217">
        <v>22311.705999999998</v>
      </c>
      <c r="M7217" s="422" t="s">
        <v>630</v>
      </c>
      <c r="N7217" s="131">
        <v>63262</v>
      </c>
      <c r="O7217" s="436">
        <f t="shared" si="320"/>
        <v>5630318</v>
      </c>
      <c r="P7217" s="89">
        <v>1101</v>
      </c>
      <c r="Q7217" t="s">
        <v>47</v>
      </c>
      <c r="R7217" s="422" t="s">
        <v>1869</v>
      </c>
      <c r="S7217" s="422" t="s">
        <v>1861</v>
      </c>
      <c r="T7217" s="422"/>
      <c r="U7217" s="422" t="s">
        <v>1953</v>
      </c>
      <c r="V7217" s="422" t="s">
        <v>2813</v>
      </c>
    </row>
    <row r="7218" spans="1:22" ht="15.75" thickBot="1" x14ac:dyDescent="0.3">
      <c r="A7218" t="s">
        <v>544</v>
      </c>
      <c r="B7218" s="424" t="str">
        <f t="shared" si="321"/>
        <v>Barraqueiro Transportes</v>
      </c>
      <c r="C7218" s="424" t="str">
        <f t="shared" si="322"/>
        <v>Mafrense</v>
      </c>
      <c r="D7218" t="s">
        <v>629</v>
      </c>
      <c r="F7218" s="432" t="s">
        <v>620</v>
      </c>
      <c r="G7218" s="89">
        <v>2022</v>
      </c>
      <c r="H7218" s="313" t="s">
        <v>5816</v>
      </c>
      <c r="I7218" s="311" t="str">
        <f t="shared" si="319"/>
        <v>Pesado de Passageiros M3:  : Gasóleo : E6 D/E E7</v>
      </c>
      <c r="J7218" s="422">
        <v>89</v>
      </c>
      <c r="K7218" s="422">
        <v>2023</v>
      </c>
      <c r="L7218">
        <v>20258.599999999999</v>
      </c>
      <c r="M7218" s="422" t="s">
        <v>630</v>
      </c>
      <c r="N7218" s="131">
        <v>53594</v>
      </c>
      <c r="O7218" s="436">
        <f t="shared" si="320"/>
        <v>4769866</v>
      </c>
      <c r="P7218" s="89">
        <v>1102</v>
      </c>
      <c r="Q7218" t="s">
        <v>47</v>
      </c>
      <c r="R7218" s="422" t="s">
        <v>1869</v>
      </c>
      <c r="S7218" s="422" t="s">
        <v>1861</v>
      </c>
      <c r="T7218" s="422"/>
      <c r="U7218" s="422" t="s">
        <v>1953</v>
      </c>
      <c r="V7218" s="422" t="s">
        <v>2813</v>
      </c>
    </row>
    <row r="7219" spans="1:22" ht="15.75" thickBot="1" x14ac:dyDescent="0.3">
      <c r="A7219" t="s">
        <v>544</v>
      </c>
      <c r="B7219" s="424" t="str">
        <f t="shared" si="321"/>
        <v>Barraqueiro Transportes</v>
      </c>
      <c r="C7219" s="424" t="str">
        <f t="shared" si="322"/>
        <v>Mafrense</v>
      </c>
      <c r="D7219" t="s">
        <v>629</v>
      </c>
      <c r="F7219" s="432" t="s">
        <v>620</v>
      </c>
      <c r="G7219" s="89">
        <v>2022</v>
      </c>
      <c r="H7219" s="313" t="s">
        <v>5816</v>
      </c>
      <c r="I7219" s="311" t="str">
        <f t="shared" si="319"/>
        <v>Pesado de Passageiros M3:  : Gasóleo : E6 D/E E7</v>
      </c>
      <c r="J7219" s="422">
        <v>89</v>
      </c>
      <c r="K7219" s="422">
        <v>2023</v>
      </c>
      <c r="L7219">
        <v>25550.967000000001</v>
      </c>
      <c r="M7219" s="422" t="s">
        <v>630</v>
      </c>
      <c r="N7219" s="131">
        <v>69898</v>
      </c>
      <c r="O7219" s="436">
        <f t="shared" si="320"/>
        <v>6220922</v>
      </c>
      <c r="P7219" s="89">
        <v>1103</v>
      </c>
      <c r="Q7219" t="s">
        <v>47</v>
      </c>
      <c r="R7219" s="422" t="s">
        <v>1869</v>
      </c>
      <c r="S7219" s="422" t="s">
        <v>1861</v>
      </c>
      <c r="T7219" s="422"/>
      <c r="U7219" s="422" t="s">
        <v>1953</v>
      </c>
      <c r="V7219" s="422" t="s">
        <v>2813</v>
      </c>
    </row>
    <row r="7220" spans="1:22" ht="15.75" thickBot="1" x14ac:dyDescent="0.3">
      <c r="A7220" t="s">
        <v>544</v>
      </c>
      <c r="B7220" s="424" t="str">
        <f t="shared" si="321"/>
        <v>Barraqueiro Transportes</v>
      </c>
      <c r="C7220" s="424" t="str">
        <f t="shared" si="322"/>
        <v>Mafrense</v>
      </c>
      <c r="D7220" t="s">
        <v>629</v>
      </c>
      <c r="F7220" s="432" t="s">
        <v>620</v>
      </c>
      <c r="G7220" s="89">
        <v>2022</v>
      </c>
      <c r="H7220" s="313" t="s">
        <v>5816</v>
      </c>
      <c r="I7220" s="311" t="str">
        <f t="shared" si="319"/>
        <v>Pesado de Passageiros M3:  : Gasóleo : E6 D/E E7</v>
      </c>
      <c r="J7220" s="422">
        <v>89</v>
      </c>
      <c r="K7220" s="422">
        <v>2023</v>
      </c>
      <c r="L7220">
        <v>20138.060000000001</v>
      </c>
      <c r="M7220" s="422" t="s">
        <v>630</v>
      </c>
      <c r="N7220" s="131">
        <v>58565</v>
      </c>
      <c r="O7220" s="436">
        <f t="shared" si="320"/>
        <v>5212285</v>
      </c>
      <c r="P7220" s="89">
        <v>1104</v>
      </c>
      <c r="Q7220" t="s">
        <v>47</v>
      </c>
      <c r="R7220" s="422" t="s">
        <v>1869</v>
      </c>
      <c r="S7220" s="422" t="s">
        <v>1861</v>
      </c>
      <c r="T7220" s="422"/>
      <c r="U7220" s="422" t="s">
        <v>1953</v>
      </c>
      <c r="V7220" s="422" t="s">
        <v>2813</v>
      </c>
    </row>
    <row r="7221" spans="1:22" ht="15.75" thickBot="1" x14ac:dyDescent="0.3">
      <c r="A7221" t="s">
        <v>544</v>
      </c>
      <c r="B7221" s="424" t="str">
        <f t="shared" si="321"/>
        <v>Barraqueiro Transportes</v>
      </c>
      <c r="C7221" s="424" t="str">
        <f t="shared" si="322"/>
        <v>Mafrense</v>
      </c>
      <c r="D7221" t="s">
        <v>629</v>
      </c>
      <c r="F7221" s="432" t="s">
        <v>620</v>
      </c>
      <c r="G7221" s="89">
        <v>2022</v>
      </c>
      <c r="H7221" s="313" t="s">
        <v>5816</v>
      </c>
      <c r="I7221" s="311" t="str">
        <f t="shared" si="319"/>
        <v>Pesado de Passageiros M3:  : Gasóleo : E6 D/E E7</v>
      </c>
      <c r="J7221" s="422">
        <v>89</v>
      </c>
      <c r="K7221" s="422">
        <v>2023</v>
      </c>
      <c r="L7221">
        <v>14264.609999999999</v>
      </c>
      <c r="M7221" s="422" t="s">
        <v>630</v>
      </c>
      <c r="N7221" s="131">
        <v>38882</v>
      </c>
      <c r="O7221" s="436">
        <f t="shared" si="320"/>
        <v>3460498</v>
      </c>
      <c r="P7221" s="89">
        <v>1105</v>
      </c>
      <c r="Q7221" t="s">
        <v>47</v>
      </c>
      <c r="R7221" s="422" t="s">
        <v>1869</v>
      </c>
      <c r="S7221" s="422" t="s">
        <v>1861</v>
      </c>
      <c r="T7221" s="422"/>
      <c r="U7221" s="422" t="s">
        <v>1953</v>
      </c>
      <c r="V7221" s="422" t="s">
        <v>2813</v>
      </c>
    </row>
    <row r="7222" spans="1:22" ht="15.75" thickBot="1" x14ac:dyDescent="0.3">
      <c r="A7222" t="s">
        <v>544</v>
      </c>
      <c r="B7222" s="424" t="str">
        <f t="shared" si="321"/>
        <v>Barraqueiro Transportes</v>
      </c>
      <c r="C7222" s="424" t="str">
        <f t="shared" si="322"/>
        <v>Mafrense</v>
      </c>
      <c r="D7222" t="s">
        <v>629</v>
      </c>
      <c r="F7222" s="432" t="s">
        <v>620</v>
      </c>
      <c r="G7222" s="89">
        <v>2022</v>
      </c>
      <c r="H7222" s="313" t="s">
        <v>5816</v>
      </c>
      <c r="I7222" s="311" t="str">
        <f t="shared" si="319"/>
        <v>Pesado de Passageiros M3:  : Gasóleo : E6 D/E E7</v>
      </c>
      <c r="J7222" s="422">
        <v>89</v>
      </c>
      <c r="K7222" s="422">
        <v>2023</v>
      </c>
      <c r="L7222">
        <v>21439.950000000004</v>
      </c>
      <c r="M7222" s="422" t="s">
        <v>630</v>
      </c>
      <c r="N7222" s="131">
        <v>57334</v>
      </c>
      <c r="O7222" s="436">
        <f t="shared" si="320"/>
        <v>5102726</v>
      </c>
      <c r="P7222" s="89">
        <v>1106</v>
      </c>
      <c r="Q7222" t="s">
        <v>47</v>
      </c>
      <c r="R7222" s="422" t="s">
        <v>1869</v>
      </c>
      <c r="S7222" s="422" t="s">
        <v>1861</v>
      </c>
      <c r="T7222" s="422"/>
      <c r="U7222" s="422" t="s">
        <v>1953</v>
      </c>
      <c r="V7222" s="422" t="s">
        <v>2813</v>
      </c>
    </row>
    <row r="7223" spans="1:22" ht="15.75" thickBot="1" x14ac:dyDescent="0.3">
      <c r="A7223" t="s">
        <v>544</v>
      </c>
      <c r="B7223" s="424" t="str">
        <f t="shared" si="321"/>
        <v>Barraqueiro Transportes</v>
      </c>
      <c r="C7223" s="424" t="str">
        <f t="shared" si="322"/>
        <v>Mafrense</v>
      </c>
      <c r="D7223" t="s">
        <v>629</v>
      </c>
      <c r="F7223" s="432" t="s">
        <v>620</v>
      </c>
      <c r="G7223" s="89">
        <v>2022</v>
      </c>
      <c r="H7223" s="313" t="s">
        <v>5816</v>
      </c>
      <c r="I7223" s="311" t="str">
        <f t="shared" si="319"/>
        <v>Pesado de Passageiros M3:  : Gasóleo : E6 D/E E7</v>
      </c>
      <c r="J7223" s="422">
        <v>89</v>
      </c>
      <c r="K7223" s="422">
        <v>2023</v>
      </c>
      <c r="L7223">
        <v>16884.660000000003</v>
      </c>
      <c r="M7223" s="422" t="s">
        <v>630</v>
      </c>
      <c r="N7223" s="131">
        <v>45195</v>
      </c>
      <c r="O7223" s="436">
        <f t="shared" si="320"/>
        <v>4022355</v>
      </c>
      <c r="P7223" s="89">
        <v>1107</v>
      </c>
      <c r="Q7223" t="s">
        <v>47</v>
      </c>
      <c r="R7223" s="422" t="s">
        <v>1869</v>
      </c>
      <c r="S7223" s="422" t="s">
        <v>1861</v>
      </c>
      <c r="T7223" s="422"/>
      <c r="U7223" s="422" t="s">
        <v>1953</v>
      </c>
      <c r="V7223" s="422" t="s">
        <v>2813</v>
      </c>
    </row>
    <row r="7224" spans="1:22" ht="15.75" thickBot="1" x14ac:dyDescent="0.3">
      <c r="A7224" t="s">
        <v>544</v>
      </c>
      <c r="B7224" s="424" t="str">
        <f t="shared" si="321"/>
        <v>Barraqueiro Transportes</v>
      </c>
      <c r="C7224" s="424" t="str">
        <f t="shared" si="322"/>
        <v>Mafrense</v>
      </c>
      <c r="D7224" t="s">
        <v>629</v>
      </c>
      <c r="F7224" s="432" t="s">
        <v>620</v>
      </c>
      <c r="G7224" s="89">
        <v>2022</v>
      </c>
      <c r="H7224" s="313" t="s">
        <v>5816</v>
      </c>
      <c r="I7224" s="311" t="str">
        <f t="shared" si="319"/>
        <v>Pesado de Passageiros M3:  : Gasóleo : E6 D/E E7</v>
      </c>
      <c r="J7224" s="422">
        <v>89</v>
      </c>
      <c r="K7224" s="422">
        <v>2023</v>
      </c>
      <c r="L7224">
        <v>21086.35</v>
      </c>
      <c r="M7224" s="422" t="s">
        <v>630</v>
      </c>
      <c r="N7224" s="131">
        <v>56640</v>
      </c>
      <c r="O7224" s="436">
        <f t="shared" si="320"/>
        <v>5040960</v>
      </c>
      <c r="P7224" s="89">
        <v>1108</v>
      </c>
      <c r="Q7224" t="s">
        <v>47</v>
      </c>
      <c r="R7224" s="422" t="s">
        <v>1869</v>
      </c>
      <c r="S7224" s="422" t="s">
        <v>1861</v>
      </c>
      <c r="T7224" s="422"/>
      <c r="U7224" s="422" t="s">
        <v>1953</v>
      </c>
      <c r="V7224" s="422" t="s">
        <v>2813</v>
      </c>
    </row>
    <row r="7225" spans="1:22" ht="15.75" thickBot="1" x14ac:dyDescent="0.3">
      <c r="A7225" t="s">
        <v>544</v>
      </c>
      <c r="B7225" s="424" t="str">
        <f t="shared" si="321"/>
        <v>Barraqueiro Transportes</v>
      </c>
      <c r="C7225" s="424" t="str">
        <f t="shared" si="322"/>
        <v>Mafrense</v>
      </c>
      <c r="D7225" t="s">
        <v>629</v>
      </c>
      <c r="F7225" s="432" t="s">
        <v>620</v>
      </c>
      <c r="G7225" s="89">
        <v>2022</v>
      </c>
      <c r="H7225" s="313" t="s">
        <v>5816</v>
      </c>
      <c r="I7225" s="311" t="str">
        <f t="shared" si="319"/>
        <v>Pesado de Passageiros M3:  : Gasóleo : E6 D/E E7</v>
      </c>
      <c r="J7225" s="422">
        <v>89</v>
      </c>
      <c r="K7225" s="422">
        <v>2023</v>
      </c>
      <c r="L7225">
        <v>16911.809999999998</v>
      </c>
      <c r="M7225" s="422" t="s">
        <v>630</v>
      </c>
      <c r="N7225" s="131">
        <v>47172</v>
      </c>
      <c r="O7225" s="436">
        <f t="shared" si="320"/>
        <v>4198308</v>
      </c>
      <c r="P7225" s="89">
        <v>1109</v>
      </c>
      <c r="Q7225" t="s">
        <v>47</v>
      </c>
      <c r="R7225" s="422" t="s">
        <v>1869</v>
      </c>
      <c r="S7225" s="422" t="s">
        <v>1861</v>
      </c>
      <c r="T7225" s="422"/>
      <c r="U7225" s="422" t="s">
        <v>1953</v>
      </c>
      <c r="V7225" s="422" t="s">
        <v>2813</v>
      </c>
    </row>
    <row r="7226" spans="1:22" ht="15.75" thickBot="1" x14ac:dyDescent="0.3">
      <c r="A7226" t="s">
        <v>544</v>
      </c>
      <c r="B7226" s="424" t="str">
        <f t="shared" si="321"/>
        <v>Barraqueiro Transportes</v>
      </c>
      <c r="C7226" s="424" t="str">
        <f t="shared" si="322"/>
        <v>Mafrense</v>
      </c>
      <c r="D7226" t="s">
        <v>629</v>
      </c>
      <c r="F7226" s="432" t="s">
        <v>620</v>
      </c>
      <c r="G7226" s="89">
        <v>2022</v>
      </c>
      <c r="H7226" s="313" t="s">
        <v>5816</v>
      </c>
      <c r="I7226" s="311" t="str">
        <f t="shared" si="319"/>
        <v>Pesado de Passageiros M3:  : Gasóleo : E6 D/E E7</v>
      </c>
      <c r="J7226" s="422">
        <v>89</v>
      </c>
      <c r="K7226" s="422">
        <v>2023</v>
      </c>
      <c r="L7226">
        <v>16650.88</v>
      </c>
      <c r="M7226" s="422" t="s">
        <v>630</v>
      </c>
      <c r="N7226" s="131">
        <v>42203</v>
      </c>
      <c r="O7226" s="436">
        <f t="shared" si="320"/>
        <v>3756067</v>
      </c>
      <c r="P7226" s="89">
        <v>1110</v>
      </c>
      <c r="Q7226" t="s">
        <v>47</v>
      </c>
      <c r="R7226" s="422" t="s">
        <v>1869</v>
      </c>
      <c r="S7226" s="422" t="s">
        <v>1861</v>
      </c>
      <c r="T7226" s="422"/>
      <c r="U7226" s="422" t="s">
        <v>1953</v>
      </c>
      <c r="V7226" s="422" t="s">
        <v>2813</v>
      </c>
    </row>
    <row r="7227" spans="1:22" ht="15.75" thickBot="1" x14ac:dyDescent="0.3">
      <c r="A7227" t="s">
        <v>544</v>
      </c>
      <c r="B7227" s="424" t="str">
        <f t="shared" si="321"/>
        <v>Barraqueiro Transportes</v>
      </c>
      <c r="C7227" s="424" t="str">
        <f t="shared" si="322"/>
        <v>Mafrense</v>
      </c>
      <c r="D7227" t="s">
        <v>629</v>
      </c>
      <c r="F7227" s="432" t="s">
        <v>620</v>
      </c>
      <c r="G7227" s="89">
        <v>2022</v>
      </c>
      <c r="H7227" s="313" t="s">
        <v>5816</v>
      </c>
      <c r="I7227" s="311" t="str">
        <f t="shared" si="319"/>
        <v>Pesado de Passageiros M3:  : Gasóleo : E6 D/E E7</v>
      </c>
      <c r="J7227" s="422">
        <v>89</v>
      </c>
      <c r="K7227" s="422">
        <v>2023</v>
      </c>
      <c r="L7227">
        <v>22608.03</v>
      </c>
      <c r="M7227" s="422" t="s">
        <v>630</v>
      </c>
      <c r="N7227" s="131">
        <v>66666</v>
      </c>
      <c r="O7227" s="436">
        <f t="shared" si="320"/>
        <v>5933274</v>
      </c>
      <c r="P7227" s="89">
        <v>1111</v>
      </c>
      <c r="Q7227" t="s">
        <v>47</v>
      </c>
      <c r="R7227" s="422" t="s">
        <v>1869</v>
      </c>
      <c r="S7227" s="422" t="s">
        <v>1861</v>
      </c>
      <c r="T7227" s="422"/>
      <c r="U7227" s="422" t="s">
        <v>1953</v>
      </c>
      <c r="V7227" s="422" t="s">
        <v>2813</v>
      </c>
    </row>
    <row r="7228" spans="1:22" ht="15.75" thickBot="1" x14ac:dyDescent="0.3">
      <c r="A7228" t="s">
        <v>544</v>
      </c>
      <c r="B7228" s="424" t="str">
        <f t="shared" si="321"/>
        <v>Barraqueiro Transportes</v>
      </c>
      <c r="C7228" s="424" t="str">
        <f t="shared" si="322"/>
        <v>Mafrense</v>
      </c>
      <c r="D7228" t="s">
        <v>629</v>
      </c>
      <c r="F7228" s="432" t="s">
        <v>620</v>
      </c>
      <c r="G7228" s="89">
        <v>2019</v>
      </c>
      <c r="H7228" s="313" t="s">
        <v>5816</v>
      </c>
      <c r="I7228" s="311" t="str">
        <f t="shared" si="319"/>
        <v>Pesado de Passageiros M3:  : Gasóleo : E6 D/E E7</v>
      </c>
      <c r="J7228" s="422">
        <v>29</v>
      </c>
      <c r="K7228" s="422">
        <v>2023</v>
      </c>
      <c r="L7228">
        <v>9464.9399999999987</v>
      </c>
      <c r="M7228" s="422" t="s">
        <v>630</v>
      </c>
      <c r="N7228" s="131">
        <v>51404</v>
      </c>
      <c r="O7228" s="436">
        <f t="shared" si="320"/>
        <v>1490716</v>
      </c>
      <c r="P7228" s="89">
        <v>1150</v>
      </c>
      <c r="Q7228" t="s">
        <v>47</v>
      </c>
      <c r="R7228" s="422" t="s">
        <v>1869</v>
      </c>
      <c r="S7228" s="422" t="s">
        <v>1861</v>
      </c>
      <c r="T7228" s="422"/>
      <c r="U7228" s="422" t="s">
        <v>1953</v>
      </c>
      <c r="V7228" s="422" t="s">
        <v>2813</v>
      </c>
    </row>
    <row r="7229" spans="1:22" ht="15.75" thickBot="1" x14ac:dyDescent="0.3">
      <c r="A7229" t="s">
        <v>544</v>
      </c>
      <c r="B7229" s="424" t="str">
        <f t="shared" si="321"/>
        <v>Barraqueiro Transportes</v>
      </c>
      <c r="C7229" s="424" t="str">
        <f t="shared" si="322"/>
        <v>Mafrense</v>
      </c>
      <c r="D7229" t="s">
        <v>629</v>
      </c>
      <c r="F7229" s="432" t="s">
        <v>620</v>
      </c>
      <c r="G7229" s="89">
        <v>2019</v>
      </c>
      <c r="H7229" s="313" t="s">
        <v>5816</v>
      </c>
      <c r="I7229" s="311" t="str">
        <f t="shared" si="319"/>
        <v>Pesado de Passageiros M3:  : Gasóleo : E6 D/E E7</v>
      </c>
      <c r="J7229" s="422">
        <v>29</v>
      </c>
      <c r="K7229" s="422">
        <v>2023</v>
      </c>
      <c r="L7229">
        <v>15301.039999999999</v>
      </c>
      <c r="M7229" s="422" t="s">
        <v>630</v>
      </c>
      <c r="N7229" s="131">
        <v>79389</v>
      </c>
      <c r="O7229" s="436">
        <f t="shared" si="320"/>
        <v>2302281</v>
      </c>
      <c r="P7229" s="89">
        <v>1151</v>
      </c>
      <c r="Q7229" t="s">
        <v>47</v>
      </c>
      <c r="R7229" s="422" t="s">
        <v>1869</v>
      </c>
      <c r="S7229" s="422" t="s">
        <v>1861</v>
      </c>
      <c r="T7229" s="422"/>
      <c r="U7229" s="422" t="s">
        <v>1953</v>
      </c>
      <c r="V7229" s="422" t="s">
        <v>2813</v>
      </c>
    </row>
    <row r="7230" spans="1:22" ht="15.75" thickBot="1" x14ac:dyDescent="0.3">
      <c r="A7230" t="s">
        <v>544</v>
      </c>
      <c r="B7230" s="424" t="str">
        <f t="shared" si="321"/>
        <v>Barraqueiro Transportes</v>
      </c>
      <c r="C7230" s="424" t="str">
        <f t="shared" si="322"/>
        <v>Mafrense</v>
      </c>
      <c r="D7230" t="s">
        <v>629</v>
      </c>
      <c r="F7230" s="432" t="s">
        <v>620</v>
      </c>
      <c r="G7230" s="89">
        <v>2022</v>
      </c>
      <c r="H7230" s="313" t="s">
        <v>5816</v>
      </c>
      <c r="I7230" s="311" t="str">
        <f t="shared" si="319"/>
        <v>Pesado de Passageiros M3:  : Gasóleo : E6 D/E E7</v>
      </c>
      <c r="J7230" s="422">
        <v>33</v>
      </c>
      <c r="K7230" s="422">
        <v>2023</v>
      </c>
      <c r="L7230">
        <v>10862.72</v>
      </c>
      <c r="M7230" s="422" t="s">
        <v>630</v>
      </c>
      <c r="N7230" s="131">
        <v>57089</v>
      </c>
      <c r="O7230" s="436">
        <f t="shared" si="320"/>
        <v>1883937</v>
      </c>
      <c r="P7230" s="89">
        <v>1152</v>
      </c>
      <c r="Q7230" t="s">
        <v>47</v>
      </c>
      <c r="R7230" s="422" t="s">
        <v>1869</v>
      </c>
      <c r="S7230" s="422" t="s">
        <v>1861</v>
      </c>
      <c r="T7230" s="422"/>
      <c r="U7230" s="422" t="s">
        <v>1953</v>
      </c>
      <c r="V7230" s="422" t="s">
        <v>2813</v>
      </c>
    </row>
    <row r="7231" spans="1:22" ht="15.75" thickBot="1" x14ac:dyDescent="0.3">
      <c r="A7231" t="s">
        <v>544</v>
      </c>
      <c r="B7231" s="424" t="str">
        <f t="shared" si="321"/>
        <v>Barraqueiro Transportes</v>
      </c>
      <c r="C7231" s="424" t="str">
        <f t="shared" si="322"/>
        <v>Mafrense</v>
      </c>
      <c r="D7231" t="s">
        <v>629</v>
      </c>
      <c r="F7231" s="432" t="s">
        <v>620</v>
      </c>
      <c r="G7231" s="89">
        <v>2022</v>
      </c>
      <c r="H7231" s="313" t="s">
        <v>5816</v>
      </c>
      <c r="I7231" s="311" t="str">
        <f t="shared" si="319"/>
        <v>Pesado de Passageiros M3:  : Gasóleo : E6 D/E E7</v>
      </c>
      <c r="J7231" s="422">
        <v>33</v>
      </c>
      <c r="K7231" s="422">
        <v>2023</v>
      </c>
      <c r="L7231">
        <v>11336.75</v>
      </c>
      <c r="M7231" s="422" t="s">
        <v>630</v>
      </c>
      <c r="N7231" s="131">
        <v>59977</v>
      </c>
      <c r="O7231" s="436">
        <f t="shared" si="320"/>
        <v>1979241</v>
      </c>
      <c r="P7231" s="89">
        <v>1153</v>
      </c>
      <c r="Q7231" t="s">
        <v>47</v>
      </c>
      <c r="R7231" s="422" t="s">
        <v>1869</v>
      </c>
      <c r="S7231" s="422" t="s">
        <v>1861</v>
      </c>
      <c r="T7231" s="422"/>
      <c r="U7231" s="422" t="s">
        <v>1953</v>
      </c>
      <c r="V7231" s="422" t="s">
        <v>2813</v>
      </c>
    </row>
    <row r="7232" spans="1:22" ht="15.75" thickBot="1" x14ac:dyDescent="0.3">
      <c r="A7232" t="s">
        <v>544</v>
      </c>
      <c r="B7232" s="424" t="str">
        <f t="shared" si="321"/>
        <v>Barraqueiro Transportes</v>
      </c>
      <c r="C7232" s="424" t="str">
        <f t="shared" si="322"/>
        <v>Mafrense</v>
      </c>
      <c r="D7232" t="s">
        <v>629</v>
      </c>
      <c r="F7232" s="432" t="s">
        <v>620</v>
      </c>
      <c r="G7232" s="89">
        <v>2022</v>
      </c>
      <c r="H7232" s="313" t="s">
        <v>5816</v>
      </c>
      <c r="I7232" s="311" t="str">
        <f t="shared" si="319"/>
        <v>Pesado de Passageiros M3:  : Gasóleo : E6 D/E E7</v>
      </c>
      <c r="J7232" s="422">
        <v>33</v>
      </c>
      <c r="K7232" s="422">
        <v>2023</v>
      </c>
      <c r="L7232">
        <v>9343.02</v>
      </c>
      <c r="M7232" s="422" t="s">
        <v>630</v>
      </c>
      <c r="N7232" s="131">
        <v>43972</v>
      </c>
      <c r="O7232" s="436">
        <f t="shared" si="320"/>
        <v>1451076</v>
      </c>
      <c r="P7232" s="89">
        <v>1154</v>
      </c>
      <c r="Q7232" t="s">
        <v>47</v>
      </c>
      <c r="R7232" s="422" t="s">
        <v>1869</v>
      </c>
      <c r="S7232" s="422" t="s">
        <v>1861</v>
      </c>
      <c r="T7232" s="422"/>
      <c r="U7232" s="422" t="s">
        <v>1953</v>
      </c>
      <c r="V7232" s="422" t="s">
        <v>2813</v>
      </c>
    </row>
    <row r="7233" spans="1:22" ht="15.75" thickBot="1" x14ac:dyDescent="0.3">
      <c r="A7233" t="s">
        <v>544</v>
      </c>
      <c r="B7233" s="424" t="str">
        <f t="shared" si="321"/>
        <v>Barraqueiro Transportes</v>
      </c>
      <c r="C7233" s="424" t="str">
        <f t="shared" si="322"/>
        <v>Mafrense</v>
      </c>
      <c r="D7233" t="s">
        <v>629</v>
      </c>
      <c r="F7233" s="432" t="s">
        <v>620</v>
      </c>
      <c r="G7233" s="89">
        <v>2022</v>
      </c>
      <c r="H7233" s="313" t="s">
        <v>5816</v>
      </c>
      <c r="I7233" s="311" t="str">
        <f t="shared" si="319"/>
        <v>Pesado de Passageiros M3:  : Gasóleo : E6 D/E E7</v>
      </c>
      <c r="J7233" s="422">
        <v>33</v>
      </c>
      <c r="K7233" s="422">
        <v>2023</v>
      </c>
      <c r="L7233">
        <v>11017.14</v>
      </c>
      <c r="M7233" s="422" t="s">
        <v>630</v>
      </c>
      <c r="N7233" s="131">
        <v>60020</v>
      </c>
      <c r="O7233" s="436">
        <f t="shared" si="320"/>
        <v>1980660</v>
      </c>
      <c r="P7233" s="89">
        <v>1155</v>
      </c>
      <c r="Q7233" t="s">
        <v>47</v>
      </c>
      <c r="R7233" s="422" t="s">
        <v>1869</v>
      </c>
      <c r="S7233" s="422" t="s">
        <v>1861</v>
      </c>
      <c r="T7233" s="422"/>
      <c r="U7233" s="422" t="s">
        <v>1953</v>
      </c>
      <c r="V7233" s="422" t="s">
        <v>2813</v>
      </c>
    </row>
    <row r="7234" spans="1:22" ht="15.75" thickBot="1" x14ac:dyDescent="0.3">
      <c r="A7234" t="s">
        <v>544</v>
      </c>
      <c r="B7234" s="424" t="str">
        <f t="shared" si="321"/>
        <v>Barraqueiro Transportes</v>
      </c>
      <c r="C7234" s="424" t="str">
        <f t="shared" si="322"/>
        <v>Mafrense</v>
      </c>
      <c r="D7234" t="s">
        <v>629</v>
      </c>
      <c r="F7234" s="432" t="s">
        <v>620</v>
      </c>
      <c r="G7234" s="89">
        <v>2022</v>
      </c>
      <c r="H7234" s="313" t="s">
        <v>5816</v>
      </c>
      <c r="I7234" s="311" t="str">
        <f t="shared" si="319"/>
        <v>Pesado de Passageiros M3:  : Gasóleo : E6 D/E E7</v>
      </c>
      <c r="J7234" s="422">
        <v>33</v>
      </c>
      <c r="K7234" s="422">
        <v>2023</v>
      </c>
      <c r="L7234">
        <v>9020.76</v>
      </c>
      <c r="M7234" s="422" t="s">
        <v>630</v>
      </c>
      <c r="N7234" s="131">
        <v>49222</v>
      </c>
      <c r="O7234" s="436">
        <f t="shared" si="320"/>
        <v>1624326</v>
      </c>
      <c r="P7234" s="89">
        <v>1157</v>
      </c>
      <c r="Q7234" t="s">
        <v>47</v>
      </c>
      <c r="R7234" s="422" t="s">
        <v>1869</v>
      </c>
      <c r="S7234" s="422" t="s">
        <v>1861</v>
      </c>
      <c r="T7234" s="422"/>
      <c r="U7234" s="422" t="s">
        <v>1953</v>
      </c>
      <c r="V7234" s="422" t="s">
        <v>2813</v>
      </c>
    </row>
    <row r="7235" spans="1:22" ht="15.75" thickBot="1" x14ac:dyDescent="0.3">
      <c r="A7235" t="s">
        <v>544</v>
      </c>
      <c r="B7235" s="424" t="str">
        <f t="shared" si="321"/>
        <v>Barraqueiro Transportes</v>
      </c>
      <c r="C7235" s="424" t="str">
        <f t="shared" si="322"/>
        <v>Mafrense</v>
      </c>
      <c r="D7235" t="s">
        <v>629</v>
      </c>
      <c r="F7235" s="432" t="s">
        <v>620</v>
      </c>
      <c r="G7235" s="89">
        <v>2022</v>
      </c>
      <c r="H7235" s="313" t="s">
        <v>5816</v>
      </c>
      <c r="I7235" s="311" t="str">
        <f t="shared" si="319"/>
        <v>Pesado de Passageiros M3:  : Gasóleo : E6 D/E E7</v>
      </c>
      <c r="J7235" s="422">
        <v>33</v>
      </c>
      <c r="K7235" s="422">
        <v>2023</v>
      </c>
      <c r="L7235">
        <v>10326.769999999999</v>
      </c>
      <c r="M7235" s="422" t="s">
        <v>630</v>
      </c>
      <c r="N7235" s="131">
        <v>53384</v>
      </c>
      <c r="O7235" s="436">
        <f t="shared" si="320"/>
        <v>1761672</v>
      </c>
      <c r="P7235" s="89">
        <v>1158</v>
      </c>
      <c r="Q7235" t="s">
        <v>47</v>
      </c>
      <c r="R7235" s="422" t="s">
        <v>1869</v>
      </c>
      <c r="S7235" s="422" t="s">
        <v>1861</v>
      </c>
      <c r="T7235" s="422"/>
      <c r="U7235" s="422" t="s">
        <v>1953</v>
      </c>
      <c r="V7235" s="422" t="s">
        <v>2813</v>
      </c>
    </row>
    <row r="7236" spans="1:22" ht="15.75" thickBot="1" x14ac:dyDescent="0.3">
      <c r="A7236" t="s">
        <v>544</v>
      </c>
      <c r="B7236" s="424" t="str">
        <f t="shared" si="321"/>
        <v>Barraqueiro Transportes</v>
      </c>
      <c r="C7236" s="424" t="str">
        <f t="shared" si="322"/>
        <v>Mafrense</v>
      </c>
      <c r="D7236" t="s">
        <v>629</v>
      </c>
      <c r="F7236" s="432" t="s">
        <v>620</v>
      </c>
      <c r="G7236" s="89">
        <v>2022</v>
      </c>
      <c r="H7236" s="313" t="s">
        <v>5816</v>
      </c>
      <c r="I7236" s="311" t="str">
        <f t="shared" si="319"/>
        <v>Pesado de Passageiros M3:  : Gasóleo : E6 D/E E7</v>
      </c>
      <c r="J7236" s="422">
        <v>33</v>
      </c>
      <c r="K7236" s="422">
        <v>2023</v>
      </c>
      <c r="L7236">
        <v>9842.39</v>
      </c>
      <c r="M7236" s="422" t="s">
        <v>630</v>
      </c>
      <c r="N7236" s="131">
        <v>49704</v>
      </c>
      <c r="O7236" s="436">
        <f t="shared" si="320"/>
        <v>1640232</v>
      </c>
      <c r="P7236" s="89">
        <v>1159</v>
      </c>
      <c r="Q7236" t="s">
        <v>47</v>
      </c>
      <c r="R7236" s="422" t="s">
        <v>1869</v>
      </c>
      <c r="S7236" s="422" t="s">
        <v>1861</v>
      </c>
      <c r="T7236" s="422"/>
      <c r="U7236" s="422" t="s">
        <v>1953</v>
      </c>
      <c r="V7236" s="422" t="s">
        <v>2813</v>
      </c>
    </row>
    <row r="7237" spans="1:22" ht="15.75" thickBot="1" x14ac:dyDescent="0.3">
      <c r="A7237" t="s">
        <v>544</v>
      </c>
      <c r="B7237" s="424" t="str">
        <f t="shared" si="321"/>
        <v>Barraqueiro Transportes</v>
      </c>
      <c r="C7237" s="424" t="str">
        <f t="shared" si="322"/>
        <v>Mafrense</v>
      </c>
      <c r="D7237" t="s">
        <v>629</v>
      </c>
      <c r="F7237" s="432" t="s">
        <v>620</v>
      </c>
      <c r="G7237" s="89">
        <v>2022</v>
      </c>
      <c r="H7237" s="313" t="s">
        <v>5816</v>
      </c>
      <c r="I7237" s="311" t="str">
        <f t="shared" si="319"/>
        <v>Pesado de Passageiros M3:  : Gasóleo : E6 D/E E7</v>
      </c>
      <c r="J7237" s="422">
        <v>33</v>
      </c>
      <c r="K7237" s="422">
        <v>2023</v>
      </c>
      <c r="L7237">
        <v>11223.349999999999</v>
      </c>
      <c r="M7237" s="422" t="s">
        <v>630</v>
      </c>
      <c r="N7237" s="131">
        <v>57264</v>
      </c>
      <c r="O7237" s="436">
        <f t="shared" si="320"/>
        <v>1889712</v>
      </c>
      <c r="P7237" s="89">
        <v>1160</v>
      </c>
      <c r="Q7237" t="s">
        <v>47</v>
      </c>
      <c r="R7237" s="422" t="s">
        <v>1869</v>
      </c>
      <c r="S7237" s="422" t="s">
        <v>1861</v>
      </c>
      <c r="T7237" s="422"/>
      <c r="U7237" s="422" t="s">
        <v>1953</v>
      </c>
      <c r="V7237" s="422" t="s">
        <v>2813</v>
      </c>
    </row>
    <row r="7238" spans="1:22" ht="15.75" thickBot="1" x14ac:dyDescent="0.3">
      <c r="A7238" t="s">
        <v>544</v>
      </c>
      <c r="B7238" s="424" t="str">
        <f t="shared" si="321"/>
        <v>Barraqueiro Transportes</v>
      </c>
      <c r="C7238" s="424" t="str">
        <f t="shared" si="322"/>
        <v>Mafrense</v>
      </c>
      <c r="D7238" t="s">
        <v>629</v>
      </c>
      <c r="F7238" s="432" t="s">
        <v>620</v>
      </c>
      <c r="G7238" s="89">
        <v>2022</v>
      </c>
      <c r="H7238" s="313" t="s">
        <v>5816</v>
      </c>
      <c r="I7238" s="311" t="str">
        <f t="shared" si="319"/>
        <v>Pesado de Passageiros M3:  : Gasóleo : E6 D/E E7</v>
      </c>
      <c r="J7238" s="422">
        <v>25</v>
      </c>
      <c r="K7238" s="422">
        <v>2023</v>
      </c>
      <c r="L7238">
        <v>7380.83</v>
      </c>
      <c r="M7238" s="422" t="s">
        <v>630</v>
      </c>
      <c r="N7238" s="131">
        <v>40734</v>
      </c>
      <c r="O7238" s="436">
        <f t="shared" si="320"/>
        <v>1018350</v>
      </c>
      <c r="P7238" s="89">
        <v>1180</v>
      </c>
      <c r="Q7238" t="s">
        <v>47</v>
      </c>
      <c r="R7238" s="422" t="s">
        <v>1869</v>
      </c>
      <c r="S7238" s="422" t="s">
        <v>1861</v>
      </c>
      <c r="T7238" s="422"/>
      <c r="U7238" s="422" t="s">
        <v>1953</v>
      </c>
      <c r="V7238" s="422" t="s">
        <v>2813</v>
      </c>
    </row>
    <row r="7239" spans="1:22" ht="15.75" thickBot="1" x14ac:dyDescent="0.3">
      <c r="A7239" t="s">
        <v>544</v>
      </c>
      <c r="B7239" s="424" t="str">
        <f t="shared" si="321"/>
        <v>Barraqueiro Transportes</v>
      </c>
      <c r="C7239" s="424" t="str">
        <f t="shared" si="322"/>
        <v>Mafrense</v>
      </c>
      <c r="D7239" t="s">
        <v>629</v>
      </c>
      <c r="F7239" s="432" t="s">
        <v>620</v>
      </c>
      <c r="G7239" s="89">
        <v>2022</v>
      </c>
      <c r="H7239" s="313" t="s">
        <v>5816</v>
      </c>
      <c r="I7239" s="311" t="str">
        <f t="shared" si="319"/>
        <v>Pesado de Passageiros M3:  : Gasóleo : E6 D/E E7</v>
      </c>
      <c r="J7239" s="422">
        <v>25</v>
      </c>
      <c r="K7239" s="422">
        <v>2023</v>
      </c>
      <c r="L7239">
        <v>4996.49</v>
      </c>
      <c r="M7239" s="422" t="s">
        <v>630</v>
      </c>
      <c r="N7239" s="131">
        <v>29274</v>
      </c>
      <c r="O7239" s="436">
        <f t="shared" si="320"/>
        <v>731850</v>
      </c>
      <c r="P7239" s="89">
        <v>1181</v>
      </c>
      <c r="Q7239" t="s">
        <v>47</v>
      </c>
      <c r="R7239" s="422" t="s">
        <v>1869</v>
      </c>
      <c r="S7239" s="422" t="s">
        <v>1861</v>
      </c>
      <c r="T7239" s="422"/>
      <c r="U7239" s="422" t="s">
        <v>1953</v>
      </c>
      <c r="V7239" s="422" t="s">
        <v>2813</v>
      </c>
    </row>
    <row r="7240" spans="1:22" ht="15.75" thickBot="1" x14ac:dyDescent="0.3">
      <c r="A7240" t="s">
        <v>544</v>
      </c>
      <c r="B7240" s="424" t="str">
        <f t="shared" si="321"/>
        <v>Barraqueiro Transportes</v>
      </c>
      <c r="C7240" s="424" t="str">
        <f t="shared" si="322"/>
        <v>Mafrense</v>
      </c>
      <c r="D7240" t="s">
        <v>629</v>
      </c>
      <c r="F7240" s="432" t="s">
        <v>620</v>
      </c>
      <c r="G7240" s="89">
        <v>2022</v>
      </c>
      <c r="H7240" s="313" t="s">
        <v>5816</v>
      </c>
      <c r="I7240" s="311" t="str">
        <f t="shared" si="319"/>
        <v>Pesado de Passageiros M3:  : Gasóleo : E6 D/E E7</v>
      </c>
      <c r="J7240" s="422">
        <v>25</v>
      </c>
      <c r="K7240" s="422">
        <v>2023</v>
      </c>
      <c r="L7240">
        <v>9617.73</v>
      </c>
      <c r="M7240" s="422" t="s">
        <v>630</v>
      </c>
      <c r="N7240" s="131">
        <v>55355</v>
      </c>
      <c r="O7240" s="436">
        <f t="shared" si="320"/>
        <v>1383875</v>
      </c>
      <c r="P7240" s="89">
        <v>1182</v>
      </c>
      <c r="Q7240" t="s">
        <v>47</v>
      </c>
      <c r="R7240" s="422" t="s">
        <v>1869</v>
      </c>
      <c r="S7240" s="422" t="s">
        <v>1861</v>
      </c>
      <c r="T7240" s="422"/>
      <c r="U7240" s="422" t="s">
        <v>1953</v>
      </c>
      <c r="V7240" s="422" t="s">
        <v>2813</v>
      </c>
    </row>
    <row r="7241" spans="1:22" ht="15.75" thickBot="1" x14ac:dyDescent="0.3">
      <c r="A7241" t="s">
        <v>544</v>
      </c>
      <c r="B7241" s="424" t="str">
        <f t="shared" si="321"/>
        <v>Barraqueiro Transportes</v>
      </c>
      <c r="C7241" s="424" t="str">
        <f t="shared" si="322"/>
        <v>Mafrense</v>
      </c>
      <c r="D7241" t="s">
        <v>629</v>
      </c>
      <c r="F7241" s="432" t="s">
        <v>620</v>
      </c>
      <c r="G7241" s="89">
        <v>2022</v>
      </c>
      <c r="H7241" s="313" t="s">
        <v>5816</v>
      </c>
      <c r="I7241" s="311" t="str">
        <f t="shared" si="319"/>
        <v>Pesado de Passageiros M3:  : Gasóleo : E6 D/E E7</v>
      </c>
      <c r="J7241" s="422">
        <v>25</v>
      </c>
      <c r="K7241" s="422">
        <v>2023</v>
      </c>
      <c r="L7241">
        <v>8478.89</v>
      </c>
      <c r="M7241" s="422" t="s">
        <v>630</v>
      </c>
      <c r="N7241" s="131">
        <v>49616</v>
      </c>
      <c r="O7241" s="436">
        <f t="shared" si="320"/>
        <v>1240400</v>
      </c>
      <c r="P7241" s="89">
        <v>1183</v>
      </c>
      <c r="Q7241" t="s">
        <v>47</v>
      </c>
      <c r="R7241" s="422" t="s">
        <v>1869</v>
      </c>
      <c r="S7241" s="422" t="s">
        <v>1861</v>
      </c>
      <c r="T7241" s="422"/>
      <c r="U7241" s="422" t="s">
        <v>1953</v>
      </c>
      <c r="V7241" s="422" t="s">
        <v>2813</v>
      </c>
    </row>
    <row r="7242" spans="1:22" ht="15.75" thickBot="1" x14ac:dyDescent="0.3">
      <c r="A7242" t="s">
        <v>544</v>
      </c>
      <c r="B7242" s="424" t="str">
        <f t="shared" si="321"/>
        <v>Barraqueiro Transportes</v>
      </c>
      <c r="C7242" s="424" t="str">
        <f t="shared" si="322"/>
        <v>Mafrense</v>
      </c>
      <c r="D7242" t="s">
        <v>629</v>
      </c>
      <c r="F7242" s="432" t="s">
        <v>620</v>
      </c>
      <c r="G7242" s="89">
        <v>2022</v>
      </c>
      <c r="H7242" s="313" t="s">
        <v>5816</v>
      </c>
      <c r="I7242" s="311" t="str">
        <f t="shared" si="319"/>
        <v>Pesado de Passageiros M3:  : Gasóleo : E6 D/E E7</v>
      </c>
      <c r="J7242" s="422">
        <v>83</v>
      </c>
      <c r="K7242" s="422">
        <v>2023</v>
      </c>
      <c r="L7242">
        <v>21745.56</v>
      </c>
      <c r="M7242" s="422" t="s">
        <v>630</v>
      </c>
      <c r="N7242" s="131">
        <v>61643</v>
      </c>
      <c r="O7242" s="436">
        <f t="shared" si="320"/>
        <v>5116369</v>
      </c>
      <c r="P7242" s="89">
        <v>1201</v>
      </c>
      <c r="Q7242" t="s">
        <v>47</v>
      </c>
      <c r="R7242" s="422" t="s">
        <v>1869</v>
      </c>
      <c r="S7242" s="422" t="s">
        <v>1861</v>
      </c>
      <c r="T7242" s="422"/>
      <c r="U7242" s="422" t="s">
        <v>1953</v>
      </c>
      <c r="V7242" s="422" t="s">
        <v>2813</v>
      </c>
    </row>
    <row r="7243" spans="1:22" ht="15.75" thickBot="1" x14ac:dyDescent="0.3">
      <c r="A7243" t="s">
        <v>544</v>
      </c>
      <c r="B7243" s="424" t="str">
        <f t="shared" si="321"/>
        <v>Barraqueiro Transportes</v>
      </c>
      <c r="C7243" s="424" t="str">
        <f t="shared" si="322"/>
        <v>Mafrense</v>
      </c>
      <c r="D7243" t="s">
        <v>629</v>
      </c>
      <c r="F7243" s="432" t="s">
        <v>620</v>
      </c>
      <c r="G7243" s="89">
        <v>2022</v>
      </c>
      <c r="H7243" s="313" t="s">
        <v>5816</v>
      </c>
      <c r="I7243" s="311" t="str">
        <f t="shared" si="319"/>
        <v>Pesado de Passageiros M3:  : Gasóleo : E6 D/E E7</v>
      </c>
      <c r="J7243" s="422">
        <v>83</v>
      </c>
      <c r="K7243" s="422">
        <v>2023</v>
      </c>
      <c r="L7243">
        <v>19509.900000000001</v>
      </c>
      <c r="M7243" s="422" t="s">
        <v>630</v>
      </c>
      <c r="N7243" s="131">
        <v>55926</v>
      </c>
      <c r="O7243" s="436">
        <f t="shared" si="320"/>
        <v>4641858</v>
      </c>
      <c r="P7243" s="89">
        <v>1202</v>
      </c>
      <c r="Q7243" t="s">
        <v>47</v>
      </c>
      <c r="R7243" s="422" t="s">
        <v>1869</v>
      </c>
      <c r="S7243" s="422" t="s">
        <v>1861</v>
      </c>
      <c r="T7243" s="422"/>
      <c r="U7243" s="422" t="s">
        <v>1953</v>
      </c>
      <c r="V7243" s="422" t="s">
        <v>2813</v>
      </c>
    </row>
    <row r="7244" spans="1:22" ht="15.75" thickBot="1" x14ac:dyDescent="0.3">
      <c r="A7244" t="s">
        <v>544</v>
      </c>
      <c r="B7244" s="424" t="str">
        <f t="shared" si="321"/>
        <v>Barraqueiro Transportes</v>
      </c>
      <c r="C7244" s="424" t="str">
        <f t="shared" si="322"/>
        <v>Mafrense</v>
      </c>
      <c r="D7244" t="s">
        <v>629</v>
      </c>
      <c r="F7244" s="432" t="s">
        <v>620</v>
      </c>
      <c r="G7244" s="89">
        <v>2022</v>
      </c>
      <c r="H7244" s="313" t="s">
        <v>5816</v>
      </c>
      <c r="I7244" s="311" t="str">
        <f t="shared" si="319"/>
        <v>Pesado de Passageiros M3:  : Gasóleo : E6 D/E E7</v>
      </c>
      <c r="J7244" s="422">
        <v>83</v>
      </c>
      <c r="K7244" s="422">
        <v>2023</v>
      </c>
      <c r="L7244">
        <v>21864.65</v>
      </c>
      <c r="M7244" s="422" t="s">
        <v>630</v>
      </c>
      <c r="N7244" s="131">
        <v>62482</v>
      </c>
      <c r="O7244" s="436">
        <f t="shared" si="320"/>
        <v>5186006</v>
      </c>
      <c r="P7244" s="89">
        <v>1203</v>
      </c>
      <c r="Q7244" t="s">
        <v>47</v>
      </c>
      <c r="R7244" s="422" t="s">
        <v>1869</v>
      </c>
      <c r="S7244" s="422" t="s">
        <v>1861</v>
      </c>
      <c r="T7244" s="422"/>
      <c r="U7244" s="422" t="s">
        <v>1953</v>
      </c>
      <c r="V7244" s="422" t="s">
        <v>2813</v>
      </c>
    </row>
    <row r="7245" spans="1:22" ht="15.75" thickBot="1" x14ac:dyDescent="0.3">
      <c r="A7245" t="s">
        <v>544</v>
      </c>
      <c r="B7245" s="424" t="str">
        <f t="shared" si="321"/>
        <v>Barraqueiro Transportes</v>
      </c>
      <c r="C7245" s="424" t="str">
        <f t="shared" si="322"/>
        <v>Mafrense</v>
      </c>
      <c r="D7245" t="s">
        <v>629</v>
      </c>
      <c r="F7245" s="432" t="s">
        <v>620</v>
      </c>
      <c r="G7245" s="89">
        <v>2022</v>
      </c>
      <c r="H7245" s="313" t="s">
        <v>5816</v>
      </c>
      <c r="I7245" s="311" t="str">
        <f t="shared" si="319"/>
        <v>Pesado de Passageiros M3:  : Gasóleo : E6 D/E E7</v>
      </c>
      <c r="J7245" s="422">
        <v>83</v>
      </c>
      <c r="K7245" s="422">
        <v>2023</v>
      </c>
      <c r="L7245">
        <v>19591.079999999998</v>
      </c>
      <c r="M7245" s="422" t="s">
        <v>630</v>
      </c>
      <c r="N7245" s="131">
        <v>54916</v>
      </c>
      <c r="O7245" s="436">
        <f t="shared" si="320"/>
        <v>4558028</v>
      </c>
      <c r="P7245" s="89">
        <v>1204</v>
      </c>
      <c r="Q7245" t="s">
        <v>47</v>
      </c>
      <c r="R7245" s="422" t="s">
        <v>1869</v>
      </c>
      <c r="S7245" s="422" t="s">
        <v>1861</v>
      </c>
      <c r="T7245" s="422"/>
      <c r="U7245" s="422" t="s">
        <v>1953</v>
      </c>
      <c r="V7245" s="422" t="s">
        <v>2813</v>
      </c>
    </row>
    <row r="7246" spans="1:22" ht="15.75" thickBot="1" x14ac:dyDescent="0.3">
      <c r="A7246" t="s">
        <v>544</v>
      </c>
      <c r="B7246" s="424" t="str">
        <f t="shared" si="321"/>
        <v>Barraqueiro Transportes</v>
      </c>
      <c r="C7246" s="424" t="str">
        <f t="shared" si="322"/>
        <v>Mafrense</v>
      </c>
      <c r="D7246" t="s">
        <v>629</v>
      </c>
      <c r="F7246" s="432" t="s">
        <v>620</v>
      </c>
      <c r="G7246" s="89">
        <v>2022</v>
      </c>
      <c r="H7246" s="313" t="s">
        <v>5816</v>
      </c>
      <c r="I7246" s="311" t="str">
        <f t="shared" si="319"/>
        <v>Pesado de Passageiros M3:  : Gasóleo : E6 D/E E7</v>
      </c>
      <c r="J7246" s="422">
        <v>83</v>
      </c>
      <c r="K7246" s="422">
        <v>2023</v>
      </c>
      <c r="L7246">
        <v>26198.359999999997</v>
      </c>
      <c r="M7246" s="422" t="s">
        <v>630</v>
      </c>
      <c r="N7246" s="131">
        <v>74216</v>
      </c>
      <c r="O7246" s="436">
        <f t="shared" si="320"/>
        <v>6159928</v>
      </c>
      <c r="P7246" s="89">
        <v>1205</v>
      </c>
      <c r="Q7246" t="s">
        <v>47</v>
      </c>
      <c r="R7246" s="422" t="s">
        <v>1869</v>
      </c>
      <c r="S7246" s="422" t="s">
        <v>1861</v>
      </c>
      <c r="T7246" s="422"/>
      <c r="U7246" s="422" t="s">
        <v>1953</v>
      </c>
      <c r="V7246" s="422" t="s">
        <v>2813</v>
      </c>
    </row>
    <row r="7247" spans="1:22" ht="15.75" thickBot="1" x14ac:dyDescent="0.3">
      <c r="A7247" t="s">
        <v>544</v>
      </c>
      <c r="B7247" s="424" t="str">
        <f t="shared" si="321"/>
        <v>Barraqueiro Transportes</v>
      </c>
      <c r="C7247" s="424" t="str">
        <f t="shared" si="322"/>
        <v>Mafrense</v>
      </c>
      <c r="D7247" t="s">
        <v>629</v>
      </c>
      <c r="F7247" s="432" t="s">
        <v>620</v>
      </c>
      <c r="G7247" s="89">
        <v>2022</v>
      </c>
      <c r="H7247" s="313" t="s">
        <v>5816</v>
      </c>
      <c r="I7247" s="311" t="str">
        <f t="shared" si="319"/>
        <v>Pesado de Passageiros M3:  : Gasóleo : E6 D/E E7</v>
      </c>
      <c r="J7247" s="422">
        <v>83</v>
      </c>
      <c r="K7247" s="422">
        <v>2023</v>
      </c>
      <c r="L7247">
        <v>18536.8</v>
      </c>
      <c r="M7247" s="422" t="s">
        <v>630</v>
      </c>
      <c r="N7247" s="131">
        <v>53065</v>
      </c>
      <c r="O7247" s="436">
        <f t="shared" si="320"/>
        <v>4404395</v>
      </c>
      <c r="P7247" s="89">
        <v>1206</v>
      </c>
      <c r="Q7247" t="s">
        <v>47</v>
      </c>
      <c r="R7247" s="422" t="s">
        <v>1869</v>
      </c>
      <c r="S7247" s="422" t="s">
        <v>1861</v>
      </c>
      <c r="T7247" s="422"/>
      <c r="U7247" s="422" t="s">
        <v>1953</v>
      </c>
      <c r="V7247" s="422" t="s">
        <v>2813</v>
      </c>
    </row>
    <row r="7248" spans="1:22" ht="15.75" thickBot="1" x14ac:dyDescent="0.3">
      <c r="A7248" t="s">
        <v>544</v>
      </c>
      <c r="B7248" s="424" t="str">
        <f t="shared" si="321"/>
        <v>Barraqueiro Transportes</v>
      </c>
      <c r="C7248" s="424" t="str">
        <f t="shared" si="322"/>
        <v>Mafrense</v>
      </c>
      <c r="D7248" t="s">
        <v>629</v>
      </c>
      <c r="F7248" s="432" t="s">
        <v>620</v>
      </c>
      <c r="G7248" s="89">
        <v>2022</v>
      </c>
      <c r="H7248" s="313" t="s">
        <v>5816</v>
      </c>
      <c r="I7248" s="311" t="str">
        <f t="shared" si="319"/>
        <v>Pesado de Passageiros M3:  : Gasóleo : E6 D/E E7</v>
      </c>
      <c r="J7248" s="422">
        <v>83</v>
      </c>
      <c r="K7248" s="422">
        <v>2023</v>
      </c>
      <c r="L7248">
        <v>22234.829999999998</v>
      </c>
      <c r="M7248" s="422" t="s">
        <v>630</v>
      </c>
      <c r="N7248" s="131">
        <v>60135</v>
      </c>
      <c r="O7248" s="436">
        <f t="shared" si="320"/>
        <v>4991205</v>
      </c>
      <c r="P7248" s="89">
        <v>1207</v>
      </c>
      <c r="Q7248" t="s">
        <v>47</v>
      </c>
      <c r="R7248" s="422" t="s">
        <v>1869</v>
      </c>
      <c r="S7248" s="422" t="s">
        <v>1861</v>
      </c>
      <c r="T7248" s="422"/>
      <c r="U7248" s="422" t="s">
        <v>1953</v>
      </c>
      <c r="V7248" s="422" t="s">
        <v>2813</v>
      </c>
    </row>
    <row r="7249" spans="1:22" ht="15.75" thickBot="1" x14ac:dyDescent="0.3">
      <c r="A7249" t="s">
        <v>544</v>
      </c>
      <c r="B7249" s="424" t="str">
        <f t="shared" si="321"/>
        <v>Barraqueiro Transportes</v>
      </c>
      <c r="C7249" s="424" t="str">
        <f t="shared" si="322"/>
        <v>Mafrense</v>
      </c>
      <c r="D7249" t="s">
        <v>629</v>
      </c>
      <c r="F7249" s="432" t="s">
        <v>620</v>
      </c>
      <c r="G7249" s="89">
        <v>2022</v>
      </c>
      <c r="H7249" s="313" t="s">
        <v>5816</v>
      </c>
      <c r="I7249" s="311" t="str">
        <f t="shared" si="319"/>
        <v>Pesado de Passageiros M3:  : Gasóleo : E6 D/E E7</v>
      </c>
      <c r="J7249" s="422">
        <v>83</v>
      </c>
      <c r="K7249" s="422">
        <v>2023</v>
      </c>
      <c r="L7249">
        <v>19679.29</v>
      </c>
      <c r="M7249" s="422" t="s">
        <v>630</v>
      </c>
      <c r="N7249" s="131">
        <v>55205</v>
      </c>
      <c r="O7249" s="436">
        <f t="shared" si="320"/>
        <v>4582015</v>
      </c>
      <c r="P7249" s="89">
        <v>1208</v>
      </c>
      <c r="Q7249" t="s">
        <v>47</v>
      </c>
      <c r="R7249" s="422" t="s">
        <v>1869</v>
      </c>
      <c r="S7249" s="422" t="s">
        <v>1861</v>
      </c>
      <c r="T7249" s="422"/>
      <c r="U7249" s="422" t="s">
        <v>1953</v>
      </c>
      <c r="V7249" s="422" t="s">
        <v>2813</v>
      </c>
    </row>
    <row r="7250" spans="1:22" ht="15.75" thickBot="1" x14ac:dyDescent="0.3">
      <c r="A7250" t="s">
        <v>544</v>
      </c>
      <c r="B7250" s="424" t="str">
        <f t="shared" si="321"/>
        <v>Barraqueiro Transportes</v>
      </c>
      <c r="C7250" s="424" t="str">
        <f t="shared" si="322"/>
        <v>Mafrense</v>
      </c>
      <c r="D7250" t="s">
        <v>629</v>
      </c>
      <c r="F7250" s="432" t="s">
        <v>620</v>
      </c>
      <c r="G7250" s="89">
        <v>2022</v>
      </c>
      <c r="H7250" s="313" t="s">
        <v>5816</v>
      </c>
      <c r="I7250" s="311" t="str">
        <f t="shared" si="319"/>
        <v>Pesado de Passageiros M3:  : Gasóleo : E6 D/E E7</v>
      </c>
      <c r="J7250" s="422">
        <v>83</v>
      </c>
      <c r="K7250" s="422">
        <v>2023</v>
      </c>
      <c r="L7250">
        <v>20471.000000000004</v>
      </c>
      <c r="M7250" s="422" t="s">
        <v>630</v>
      </c>
      <c r="N7250" s="131">
        <v>59313</v>
      </c>
      <c r="O7250" s="436">
        <f t="shared" si="320"/>
        <v>4922979</v>
      </c>
      <c r="P7250" s="89">
        <v>1209</v>
      </c>
      <c r="Q7250" t="s">
        <v>47</v>
      </c>
      <c r="R7250" s="422" t="s">
        <v>1869</v>
      </c>
      <c r="S7250" s="422" t="s">
        <v>1861</v>
      </c>
      <c r="T7250" s="422"/>
      <c r="U7250" s="422" t="s">
        <v>1953</v>
      </c>
      <c r="V7250" s="422" t="s">
        <v>2813</v>
      </c>
    </row>
    <row r="7251" spans="1:22" ht="15.75" thickBot="1" x14ac:dyDescent="0.3">
      <c r="A7251" t="s">
        <v>544</v>
      </c>
      <c r="B7251" s="424" t="str">
        <f t="shared" si="321"/>
        <v>Barraqueiro Transportes</v>
      </c>
      <c r="C7251" s="424" t="str">
        <f t="shared" si="322"/>
        <v>Mafrense</v>
      </c>
      <c r="D7251" t="s">
        <v>629</v>
      </c>
      <c r="F7251" s="432" t="s">
        <v>620</v>
      </c>
      <c r="G7251" s="89">
        <v>2022</v>
      </c>
      <c r="H7251" s="313" t="s">
        <v>5816</v>
      </c>
      <c r="I7251" s="311" t="str">
        <f t="shared" si="319"/>
        <v>Pesado de Passageiros M3:  : Gasóleo : E6 D/E E7</v>
      </c>
      <c r="J7251" s="422">
        <v>83</v>
      </c>
      <c r="K7251" s="422">
        <v>2023</v>
      </c>
      <c r="L7251">
        <v>22254.579999999998</v>
      </c>
      <c r="M7251" s="422" t="s">
        <v>630</v>
      </c>
      <c r="N7251" s="131">
        <v>60784</v>
      </c>
      <c r="O7251" s="436">
        <f t="shared" si="320"/>
        <v>5045072</v>
      </c>
      <c r="P7251" s="89">
        <v>1210</v>
      </c>
      <c r="Q7251" t="s">
        <v>47</v>
      </c>
      <c r="R7251" s="422" t="s">
        <v>1869</v>
      </c>
      <c r="S7251" s="422" t="s">
        <v>1861</v>
      </c>
      <c r="T7251" s="422"/>
      <c r="U7251" s="422" t="s">
        <v>1953</v>
      </c>
      <c r="V7251" s="422" t="s">
        <v>2813</v>
      </c>
    </row>
    <row r="7252" spans="1:22" ht="15.75" thickBot="1" x14ac:dyDescent="0.3">
      <c r="A7252" t="s">
        <v>544</v>
      </c>
      <c r="B7252" s="424" t="str">
        <f t="shared" si="321"/>
        <v>Barraqueiro Transportes</v>
      </c>
      <c r="C7252" s="424" t="str">
        <f t="shared" si="322"/>
        <v>Mafrense</v>
      </c>
      <c r="D7252" t="s">
        <v>629</v>
      </c>
      <c r="F7252" s="432" t="s">
        <v>620</v>
      </c>
      <c r="G7252" s="89">
        <v>2022</v>
      </c>
      <c r="H7252" s="313" t="s">
        <v>5816</v>
      </c>
      <c r="I7252" s="311" t="str">
        <f t="shared" si="319"/>
        <v>Pesado de Passageiros M3:  : Gasóleo : E6 D/E E7</v>
      </c>
      <c r="J7252" s="422">
        <v>83</v>
      </c>
      <c r="K7252" s="422">
        <v>2023</v>
      </c>
      <c r="L7252">
        <v>23249.7</v>
      </c>
      <c r="M7252" s="422" t="s">
        <v>630</v>
      </c>
      <c r="N7252" s="131">
        <v>64490</v>
      </c>
      <c r="O7252" s="436">
        <f t="shared" si="320"/>
        <v>5352670</v>
      </c>
      <c r="P7252" s="89">
        <v>1211</v>
      </c>
      <c r="Q7252" t="s">
        <v>47</v>
      </c>
      <c r="R7252" s="422" t="s">
        <v>1869</v>
      </c>
      <c r="S7252" s="422" t="s">
        <v>1861</v>
      </c>
      <c r="T7252" s="422"/>
      <c r="U7252" s="422" t="s">
        <v>1953</v>
      </c>
      <c r="V7252" s="422" t="s">
        <v>2813</v>
      </c>
    </row>
    <row r="7253" spans="1:22" ht="15.75" thickBot="1" x14ac:dyDescent="0.3">
      <c r="A7253" t="s">
        <v>544</v>
      </c>
      <c r="B7253" s="424" t="str">
        <f t="shared" si="321"/>
        <v>Barraqueiro Transportes</v>
      </c>
      <c r="C7253" s="424" t="str">
        <f t="shared" si="322"/>
        <v>Mafrense</v>
      </c>
      <c r="D7253" t="s">
        <v>629</v>
      </c>
      <c r="F7253" s="432" t="s">
        <v>620</v>
      </c>
      <c r="G7253" s="89">
        <v>2022</v>
      </c>
      <c r="H7253" s="313" t="s">
        <v>5816</v>
      </c>
      <c r="I7253" s="311" t="str">
        <f t="shared" si="319"/>
        <v>Pesado de Passageiros M3:  : Gasóleo : E6 D/E E7</v>
      </c>
      <c r="J7253" s="422">
        <v>83</v>
      </c>
      <c r="K7253" s="422">
        <v>2023</v>
      </c>
      <c r="L7253">
        <v>21951.995999999999</v>
      </c>
      <c r="M7253" s="422" t="s">
        <v>630</v>
      </c>
      <c r="N7253" s="131">
        <v>62040</v>
      </c>
      <c r="O7253" s="436">
        <f t="shared" si="320"/>
        <v>5149320</v>
      </c>
      <c r="P7253" s="89">
        <v>1212</v>
      </c>
      <c r="Q7253" t="s">
        <v>47</v>
      </c>
      <c r="R7253" s="422" t="s">
        <v>1869</v>
      </c>
      <c r="S7253" s="422" t="s">
        <v>1861</v>
      </c>
      <c r="T7253" s="422"/>
      <c r="U7253" s="422" t="s">
        <v>1953</v>
      </c>
      <c r="V7253" s="422" t="s">
        <v>2813</v>
      </c>
    </row>
    <row r="7254" spans="1:22" ht="15.75" thickBot="1" x14ac:dyDescent="0.3">
      <c r="A7254" t="s">
        <v>544</v>
      </c>
      <c r="B7254" s="424" t="str">
        <f t="shared" si="321"/>
        <v>Barraqueiro Transportes</v>
      </c>
      <c r="C7254" s="424" t="str">
        <f t="shared" si="322"/>
        <v>Mafrense</v>
      </c>
      <c r="D7254" t="s">
        <v>629</v>
      </c>
      <c r="F7254" s="432" t="s">
        <v>620</v>
      </c>
      <c r="G7254" s="89">
        <v>2022</v>
      </c>
      <c r="H7254" s="313" t="s">
        <v>5816</v>
      </c>
      <c r="I7254" s="311" t="str">
        <f t="shared" si="319"/>
        <v>Pesado de Passageiros M3:  : Gasóleo : E6 D/E E7</v>
      </c>
      <c r="J7254" s="422">
        <v>83</v>
      </c>
      <c r="K7254" s="422">
        <v>2023</v>
      </c>
      <c r="L7254">
        <v>22658.86</v>
      </c>
      <c r="M7254" s="422" t="s">
        <v>630</v>
      </c>
      <c r="N7254" s="131">
        <v>61634</v>
      </c>
      <c r="O7254" s="436">
        <f t="shared" si="320"/>
        <v>5115622</v>
      </c>
      <c r="P7254" s="89">
        <v>1213</v>
      </c>
      <c r="Q7254" t="s">
        <v>47</v>
      </c>
      <c r="R7254" s="422" t="s">
        <v>1869</v>
      </c>
      <c r="S7254" s="422" t="s">
        <v>1861</v>
      </c>
      <c r="T7254" s="422"/>
      <c r="U7254" s="422" t="s">
        <v>1953</v>
      </c>
      <c r="V7254" s="422" t="s">
        <v>2813</v>
      </c>
    </row>
    <row r="7255" spans="1:22" ht="15.75" thickBot="1" x14ac:dyDescent="0.3">
      <c r="A7255" t="s">
        <v>544</v>
      </c>
      <c r="B7255" s="424" t="str">
        <f t="shared" si="321"/>
        <v>Barraqueiro Transportes</v>
      </c>
      <c r="C7255" s="424" t="str">
        <f t="shared" si="322"/>
        <v>Mafrense</v>
      </c>
      <c r="D7255" t="s">
        <v>629</v>
      </c>
      <c r="F7255" s="432" t="s">
        <v>620</v>
      </c>
      <c r="G7255" s="89">
        <v>2022</v>
      </c>
      <c r="H7255" s="313" t="s">
        <v>5816</v>
      </c>
      <c r="I7255" s="311" t="str">
        <f t="shared" si="319"/>
        <v>Pesado de Passageiros M3:  : Gasóleo : E6 D/E E7</v>
      </c>
      <c r="J7255" s="422">
        <v>83</v>
      </c>
      <c r="K7255" s="422">
        <v>2023</v>
      </c>
      <c r="L7255">
        <v>21464.080000000002</v>
      </c>
      <c r="M7255" s="422" t="s">
        <v>630</v>
      </c>
      <c r="N7255" s="131">
        <v>57555</v>
      </c>
      <c r="O7255" s="436">
        <f t="shared" si="320"/>
        <v>4777065</v>
      </c>
      <c r="P7255" s="89">
        <v>1214</v>
      </c>
      <c r="Q7255" t="s">
        <v>47</v>
      </c>
      <c r="R7255" s="422" t="s">
        <v>1869</v>
      </c>
      <c r="S7255" s="422" t="s">
        <v>1861</v>
      </c>
      <c r="T7255" s="422"/>
      <c r="U7255" s="422" t="s">
        <v>1953</v>
      </c>
      <c r="V7255" s="422" t="s">
        <v>2813</v>
      </c>
    </row>
    <row r="7256" spans="1:22" ht="15.75" thickBot="1" x14ac:dyDescent="0.3">
      <c r="A7256" t="s">
        <v>544</v>
      </c>
      <c r="B7256" s="424" t="str">
        <f t="shared" si="321"/>
        <v>Barraqueiro Transportes</v>
      </c>
      <c r="C7256" s="424" t="str">
        <f t="shared" si="322"/>
        <v>Mafrense</v>
      </c>
      <c r="D7256" t="s">
        <v>629</v>
      </c>
      <c r="F7256" s="432" t="s">
        <v>620</v>
      </c>
      <c r="G7256" s="89">
        <v>2022</v>
      </c>
      <c r="H7256" s="313" t="s">
        <v>5816</v>
      </c>
      <c r="I7256" s="311" t="str">
        <f t="shared" si="319"/>
        <v>Pesado de Passageiros M3:  : Gasóleo : E6 D/E E7</v>
      </c>
      <c r="J7256" s="422">
        <v>83</v>
      </c>
      <c r="K7256" s="422">
        <v>2023</v>
      </c>
      <c r="L7256">
        <v>17791.900000000001</v>
      </c>
      <c r="M7256" s="422" t="s">
        <v>630</v>
      </c>
      <c r="N7256" s="131">
        <v>50539</v>
      </c>
      <c r="O7256" s="436">
        <f t="shared" si="320"/>
        <v>4194737</v>
      </c>
      <c r="P7256" s="89">
        <v>1215</v>
      </c>
      <c r="Q7256" t="s">
        <v>47</v>
      </c>
      <c r="R7256" s="422" t="s">
        <v>1869</v>
      </c>
      <c r="S7256" s="422" t="s">
        <v>1861</v>
      </c>
      <c r="T7256" s="422"/>
      <c r="U7256" s="422" t="s">
        <v>1953</v>
      </c>
      <c r="V7256" s="422" t="s">
        <v>2813</v>
      </c>
    </row>
    <row r="7257" spans="1:22" ht="15.75" thickBot="1" x14ac:dyDescent="0.3">
      <c r="A7257" t="s">
        <v>544</v>
      </c>
      <c r="B7257" s="424" t="str">
        <f t="shared" si="321"/>
        <v>Barraqueiro Transportes</v>
      </c>
      <c r="C7257" s="424" t="str">
        <f t="shared" si="322"/>
        <v>Mafrense</v>
      </c>
      <c r="D7257" t="s">
        <v>629</v>
      </c>
      <c r="F7257" s="432" t="s">
        <v>620</v>
      </c>
      <c r="G7257" s="89">
        <v>2022</v>
      </c>
      <c r="H7257" s="313" t="s">
        <v>5816</v>
      </c>
      <c r="I7257" s="311" t="str">
        <f t="shared" si="319"/>
        <v>Pesado de Passageiros M3:  : Gasóleo : E6 D/E E7</v>
      </c>
      <c r="J7257" s="422">
        <v>83</v>
      </c>
      <c r="K7257" s="422">
        <v>2023</v>
      </c>
      <c r="L7257">
        <v>23067.120000000003</v>
      </c>
      <c r="M7257" s="422" t="s">
        <v>630</v>
      </c>
      <c r="N7257" s="131">
        <v>65941</v>
      </c>
      <c r="O7257" s="436">
        <f t="shared" si="320"/>
        <v>5473103</v>
      </c>
      <c r="P7257" s="89">
        <v>1216</v>
      </c>
      <c r="Q7257" t="s">
        <v>47</v>
      </c>
      <c r="R7257" s="422" t="s">
        <v>1869</v>
      </c>
      <c r="S7257" s="422" t="s">
        <v>1861</v>
      </c>
      <c r="T7257" s="422"/>
      <c r="U7257" s="422" t="s">
        <v>1953</v>
      </c>
      <c r="V7257" s="422" t="s">
        <v>2813</v>
      </c>
    </row>
    <row r="7258" spans="1:22" ht="15.75" thickBot="1" x14ac:dyDescent="0.3">
      <c r="A7258" t="s">
        <v>544</v>
      </c>
      <c r="B7258" s="424" t="str">
        <f t="shared" si="321"/>
        <v>Barraqueiro Transportes</v>
      </c>
      <c r="C7258" s="424" t="str">
        <f t="shared" si="322"/>
        <v>Mafrense</v>
      </c>
      <c r="D7258" t="s">
        <v>629</v>
      </c>
      <c r="F7258" s="432" t="s">
        <v>620</v>
      </c>
      <c r="G7258" s="89">
        <v>2022</v>
      </c>
      <c r="H7258" s="313" t="s">
        <v>5816</v>
      </c>
      <c r="I7258" s="311" t="str">
        <f t="shared" si="319"/>
        <v>Pesado de Passageiros M3:  : Gasóleo : E6 D/E E7</v>
      </c>
      <c r="J7258" s="422">
        <v>83</v>
      </c>
      <c r="K7258" s="422">
        <v>2023</v>
      </c>
      <c r="L7258">
        <v>23219.879999999997</v>
      </c>
      <c r="M7258" s="422" t="s">
        <v>630</v>
      </c>
      <c r="N7258" s="131">
        <v>66543</v>
      </c>
      <c r="O7258" s="436">
        <f t="shared" si="320"/>
        <v>5523069</v>
      </c>
      <c r="P7258" s="89">
        <v>1217</v>
      </c>
      <c r="Q7258" t="s">
        <v>47</v>
      </c>
      <c r="R7258" s="422" t="s">
        <v>1869</v>
      </c>
      <c r="S7258" s="422" t="s">
        <v>1861</v>
      </c>
      <c r="T7258" s="422"/>
      <c r="U7258" s="422" t="s">
        <v>1953</v>
      </c>
      <c r="V7258" s="422" t="s">
        <v>2813</v>
      </c>
    </row>
    <row r="7259" spans="1:22" ht="15.75" thickBot="1" x14ac:dyDescent="0.3">
      <c r="A7259" t="s">
        <v>544</v>
      </c>
      <c r="B7259" s="424" t="str">
        <f t="shared" si="321"/>
        <v>Barraqueiro Transportes</v>
      </c>
      <c r="C7259" s="424" t="str">
        <f t="shared" si="322"/>
        <v>Mafrense</v>
      </c>
      <c r="D7259" t="s">
        <v>629</v>
      </c>
      <c r="F7259" s="432" t="s">
        <v>620</v>
      </c>
      <c r="G7259" s="89">
        <v>2022</v>
      </c>
      <c r="H7259" s="313" t="s">
        <v>5816</v>
      </c>
      <c r="I7259" s="311" t="str">
        <f t="shared" si="319"/>
        <v>Pesado de Passageiros M3:  : Gasóleo : E6 D/E E7</v>
      </c>
      <c r="J7259" s="422">
        <v>83</v>
      </c>
      <c r="K7259" s="422">
        <v>2023</v>
      </c>
      <c r="L7259">
        <v>20821.3</v>
      </c>
      <c r="M7259" s="422" t="s">
        <v>630</v>
      </c>
      <c r="N7259" s="131">
        <v>57747</v>
      </c>
      <c r="O7259" s="436">
        <f t="shared" si="320"/>
        <v>4793001</v>
      </c>
      <c r="P7259" s="89">
        <v>1218</v>
      </c>
      <c r="Q7259" t="s">
        <v>47</v>
      </c>
      <c r="R7259" s="422" t="s">
        <v>1869</v>
      </c>
      <c r="S7259" s="422" t="s">
        <v>1861</v>
      </c>
      <c r="T7259" s="422"/>
      <c r="U7259" s="422" t="s">
        <v>1953</v>
      </c>
      <c r="V7259" s="422" t="s">
        <v>2813</v>
      </c>
    </row>
    <row r="7260" spans="1:22" ht="15.75" thickBot="1" x14ac:dyDescent="0.3">
      <c r="A7260" t="s">
        <v>544</v>
      </c>
      <c r="B7260" s="424" t="str">
        <f t="shared" si="321"/>
        <v>Barraqueiro Transportes</v>
      </c>
      <c r="C7260" s="424" t="str">
        <f t="shared" si="322"/>
        <v>Mafrense</v>
      </c>
      <c r="D7260" t="s">
        <v>629</v>
      </c>
      <c r="F7260" s="432" t="s">
        <v>620</v>
      </c>
      <c r="G7260" s="89">
        <v>2022</v>
      </c>
      <c r="H7260" s="313" t="s">
        <v>5816</v>
      </c>
      <c r="I7260" s="311" t="str">
        <f t="shared" si="319"/>
        <v>Pesado de Passageiros M3:  : Gasóleo : E6 D/E E7</v>
      </c>
      <c r="J7260" s="422">
        <v>89</v>
      </c>
      <c r="K7260" s="422">
        <v>2023</v>
      </c>
      <c r="L7260">
        <v>8386.24</v>
      </c>
      <c r="M7260" s="422" t="s">
        <v>630</v>
      </c>
      <c r="N7260" s="131">
        <v>24046</v>
      </c>
      <c r="O7260" s="436">
        <f t="shared" si="320"/>
        <v>2140094</v>
      </c>
      <c r="P7260" s="89">
        <v>1251</v>
      </c>
      <c r="Q7260" t="s">
        <v>47</v>
      </c>
      <c r="R7260" s="422" t="s">
        <v>1869</v>
      </c>
      <c r="S7260" s="422" t="s">
        <v>1861</v>
      </c>
      <c r="T7260" s="422"/>
      <c r="U7260" s="422" t="s">
        <v>1953</v>
      </c>
      <c r="V7260" s="422" t="s">
        <v>2813</v>
      </c>
    </row>
    <row r="7261" spans="1:22" ht="15.75" thickBot="1" x14ac:dyDescent="0.3">
      <c r="A7261" t="s">
        <v>544</v>
      </c>
      <c r="B7261" s="424" t="str">
        <f t="shared" si="321"/>
        <v>Barraqueiro Transportes</v>
      </c>
      <c r="C7261" s="424" t="str">
        <f t="shared" si="322"/>
        <v>Mafrense</v>
      </c>
      <c r="D7261" t="s">
        <v>629</v>
      </c>
      <c r="F7261" s="432" t="s">
        <v>620</v>
      </c>
      <c r="G7261" s="89">
        <v>2022</v>
      </c>
      <c r="H7261" s="313" t="s">
        <v>5816</v>
      </c>
      <c r="I7261" s="311" t="str">
        <f t="shared" si="319"/>
        <v>Pesado de Passageiros M3:  : Gasóleo : E6 D/E E7</v>
      </c>
      <c r="J7261" s="422">
        <v>89</v>
      </c>
      <c r="K7261" s="422">
        <v>2023</v>
      </c>
      <c r="L7261">
        <v>23877.800000000003</v>
      </c>
      <c r="M7261" s="422" t="s">
        <v>630</v>
      </c>
      <c r="N7261" s="131">
        <v>66429</v>
      </c>
      <c r="O7261" s="436">
        <f t="shared" si="320"/>
        <v>5912181</v>
      </c>
      <c r="P7261" s="89">
        <v>1252</v>
      </c>
      <c r="Q7261" t="s">
        <v>47</v>
      </c>
      <c r="R7261" s="422" t="s">
        <v>1869</v>
      </c>
      <c r="S7261" s="422" t="s">
        <v>1861</v>
      </c>
      <c r="T7261" s="422"/>
      <c r="U7261" s="422" t="s">
        <v>1953</v>
      </c>
      <c r="V7261" s="422" t="s">
        <v>2813</v>
      </c>
    </row>
    <row r="7262" spans="1:22" ht="15.75" thickBot="1" x14ac:dyDescent="0.3">
      <c r="A7262" t="s">
        <v>544</v>
      </c>
      <c r="B7262" s="424" t="str">
        <f t="shared" si="321"/>
        <v>Barraqueiro Transportes</v>
      </c>
      <c r="C7262" s="424" t="str">
        <f t="shared" si="322"/>
        <v>Mafrense</v>
      </c>
      <c r="D7262" t="s">
        <v>629</v>
      </c>
      <c r="F7262" s="432" t="s">
        <v>620</v>
      </c>
      <c r="G7262" s="89">
        <v>2022</v>
      </c>
      <c r="H7262" s="313" t="s">
        <v>5816</v>
      </c>
      <c r="I7262" s="311" t="str">
        <f t="shared" si="319"/>
        <v>Pesado de Passageiros M3:  : Gasóleo : E6 D/E E7</v>
      </c>
      <c r="J7262" s="422">
        <v>89</v>
      </c>
      <c r="K7262" s="422">
        <v>2023</v>
      </c>
      <c r="L7262">
        <v>24585.489999999998</v>
      </c>
      <c r="M7262" s="422" t="s">
        <v>630</v>
      </c>
      <c r="N7262" s="131">
        <v>67053</v>
      </c>
      <c r="O7262" s="436">
        <f t="shared" si="320"/>
        <v>5967717</v>
      </c>
      <c r="P7262" s="89">
        <v>1253</v>
      </c>
      <c r="Q7262" t="s">
        <v>47</v>
      </c>
      <c r="R7262" s="422" t="s">
        <v>1869</v>
      </c>
      <c r="S7262" s="422" t="s">
        <v>1861</v>
      </c>
      <c r="T7262" s="422"/>
      <c r="U7262" s="422" t="s">
        <v>1953</v>
      </c>
      <c r="V7262" s="422" t="s">
        <v>2813</v>
      </c>
    </row>
    <row r="7263" spans="1:22" ht="15.75" thickBot="1" x14ac:dyDescent="0.3">
      <c r="A7263" t="s">
        <v>544</v>
      </c>
      <c r="B7263" s="424" t="str">
        <f t="shared" si="321"/>
        <v>Barraqueiro Transportes</v>
      </c>
      <c r="C7263" s="424" t="str">
        <f t="shared" si="322"/>
        <v>Mafrense</v>
      </c>
      <c r="D7263" t="s">
        <v>629</v>
      </c>
      <c r="F7263" s="432" t="s">
        <v>620</v>
      </c>
      <c r="G7263" s="89">
        <v>2022</v>
      </c>
      <c r="H7263" s="313" t="s">
        <v>5816</v>
      </c>
      <c r="I7263" s="311" t="str">
        <f t="shared" si="319"/>
        <v>Pesado de Passageiros M3:  : Gasóleo : E6 D/E E7</v>
      </c>
      <c r="J7263" s="422">
        <v>89</v>
      </c>
      <c r="K7263" s="422">
        <v>2023</v>
      </c>
      <c r="L7263">
        <v>19114.919999999998</v>
      </c>
      <c r="M7263" s="422" t="s">
        <v>630</v>
      </c>
      <c r="N7263" s="131">
        <v>48604</v>
      </c>
      <c r="O7263" s="436">
        <f t="shared" si="320"/>
        <v>4325756</v>
      </c>
      <c r="P7263" s="89">
        <v>1254</v>
      </c>
      <c r="Q7263" t="s">
        <v>47</v>
      </c>
      <c r="R7263" s="422" t="s">
        <v>1869</v>
      </c>
      <c r="S7263" s="422" t="s">
        <v>1861</v>
      </c>
      <c r="T7263" s="422"/>
      <c r="U7263" s="422" t="s">
        <v>1953</v>
      </c>
      <c r="V7263" s="422" t="s">
        <v>2813</v>
      </c>
    </row>
    <row r="7264" spans="1:22" ht="15.75" thickBot="1" x14ac:dyDescent="0.3">
      <c r="A7264" t="s">
        <v>544</v>
      </c>
      <c r="B7264" s="424" t="str">
        <f t="shared" si="321"/>
        <v>Barraqueiro Transportes</v>
      </c>
      <c r="C7264" s="424" t="str">
        <f t="shared" si="322"/>
        <v>Mafrense</v>
      </c>
      <c r="D7264" t="s">
        <v>629</v>
      </c>
      <c r="F7264" s="432" t="s">
        <v>620</v>
      </c>
      <c r="G7264" s="89">
        <v>2022</v>
      </c>
      <c r="H7264" s="313" t="s">
        <v>5816</v>
      </c>
      <c r="I7264" s="311" t="str">
        <f t="shared" si="319"/>
        <v>Pesado de Passageiros M3:  : Gasóleo : E6 D/E E7</v>
      </c>
      <c r="J7264" s="422">
        <v>89</v>
      </c>
      <c r="K7264" s="422">
        <v>2023</v>
      </c>
      <c r="L7264">
        <v>18971.52</v>
      </c>
      <c r="M7264" s="422" t="s">
        <v>630</v>
      </c>
      <c r="N7264" s="131">
        <v>50685</v>
      </c>
      <c r="O7264" s="436">
        <f t="shared" si="320"/>
        <v>4510965</v>
      </c>
      <c r="P7264" s="89">
        <v>1255</v>
      </c>
      <c r="Q7264" t="s">
        <v>47</v>
      </c>
      <c r="R7264" s="422" t="s">
        <v>1869</v>
      </c>
      <c r="S7264" s="422" t="s">
        <v>1861</v>
      </c>
      <c r="T7264" s="422"/>
      <c r="U7264" s="422" t="s">
        <v>1953</v>
      </c>
      <c r="V7264" s="422" t="s">
        <v>2813</v>
      </c>
    </row>
    <row r="7265" spans="1:22" ht="15.75" thickBot="1" x14ac:dyDescent="0.3">
      <c r="A7265" t="s">
        <v>544</v>
      </c>
      <c r="B7265" s="424" t="str">
        <f t="shared" si="321"/>
        <v>Barraqueiro Transportes</v>
      </c>
      <c r="C7265" s="424" t="str">
        <f t="shared" si="322"/>
        <v>Mafrense</v>
      </c>
      <c r="D7265" t="s">
        <v>629</v>
      </c>
      <c r="F7265" s="432" t="s">
        <v>620</v>
      </c>
      <c r="G7265" s="89">
        <v>2022</v>
      </c>
      <c r="H7265" s="313" t="s">
        <v>5816</v>
      </c>
      <c r="I7265" s="311" t="str">
        <f t="shared" si="319"/>
        <v>Pesado de Passageiros M3:  : Gasóleo : E6 D/E E7</v>
      </c>
      <c r="J7265" s="422">
        <v>89</v>
      </c>
      <c r="K7265" s="422">
        <v>2023</v>
      </c>
      <c r="L7265">
        <v>18334.080000000002</v>
      </c>
      <c r="M7265" s="422" t="s">
        <v>630</v>
      </c>
      <c r="N7265" s="131">
        <v>49190</v>
      </c>
      <c r="O7265" s="436">
        <f t="shared" si="320"/>
        <v>4377910</v>
      </c>
      <c r="P7265" s="89">
        <v>1256</v>
      </c>
      <c r="Q7265" t="s">
        <v>47</v>
      </c>
      <c r="R7265" s="422" t="s">
        <v>1869</v>
      </c>
      <c r="S7265" s="422" t="s">
        <v>1861</v>
      </c>
      <c r="T7265" s="422"/>
      <c r="U7265" s="422" t="s">
        <v>1953</v>
      </c>
      <c r="V7265" s="422" t="s">
        <v>2813</v>
      </c>
    </row>
    <row r="7266" spans="1:22" ht="15.75" thickBot="1" x14ac:dyDescent="0.3">
      <c r="A7266" t="s">
        <v>544</v>
      </c>
      <c r="B7266" s="424" t="str">
        <f t="shared" si="321"/>
        <v>Barraqueiro Transportes</v>
      </c>
      <c r="C7266" s="424" t="str">
        <f t="shared" si="322"/>
        <v>Mafrense</v>
      </c>
      <c r="D7266" t="s">
        <v>629</v>
      </c>
      <c r="F7266" s="432" t="s">
        <v>620</v>
      </c>
      <c r="G7266" s="89">
        <v>2022</v>
      </c>
      <c r="H7266" s="313" t="s">
        <v>5816</v>
      </c>
      <c r="I7266" s="311" t="str">
        <f t="shared" ref="I7266:I7329" si="323">D7266&amp;": "&amp;E7266&amp;" : "&amp;F7266&amp;" : "&amp;H7266</f>
        <v>Pesado de Passageiros M3:  : Gasóleo : E6 D/E E7</v>
      </c>
      <c r="J7266" s="422">
        <v>89</v>
      </c>
      <c r="K7266" s="422">
        <v>2023</v>
      </c>
      <c r="L7266">
        <v>20591.72</v>
      </c>
      <c r="M7266" s="422" t="s">
        <v>630</v>
      </c>
      <c r="N7266" s="131">
        <v>53625</v>
      </c>
      <c r="O7266" s="436">
        <f t="shared" si="320"/>
        <v>4772625</v>
      </c>
      <c r="P7266" s="89">
        <v>1257</v>
      </c>
      <c r="Q7266" t="s">
        <v>47</v>
      </c>
      <c r="R7266" s="422" t="s">
        <v>1869</v>
      </c>
      <c r="S7266" s="422" t="s">
        <v>1861</v>
      </c>
      <c r="T7266" s="422"/>
      <c r="U7266" s="422" t="s">
        <v>1953</v>
      </c>
      <c r="V7266" s="422" t="s">
        <v>2813</v>
      </c>
    </row>
    <row r="7267" spans="1:22" ht="15.75" thickBot="1" x14ac:dyDescent="0.3">
      <c r="A7267" t="s">
        <v>544</v>
      </c>
      <c r="B7267" s="424" t="str">
        <f t="shared" si="321"/>
        <v>Barraqueiro Transportes</v>
      </c>
      <c r="C7267" s="424" t="str">
        <f t="shared" si="322"/>
        <v>Mafrense</v>
      </c>
      <c r="D7267" t="s">
        <v>629</v>
      </c>
      <c r="F7267" s="432" t="s">
        <v>620</v>
      </c>
      <c r="G7267" s="89">
        <v>2022</v>
      </c>
      <c r="H7267" s="313" t="s">
        <v>5816</v>
      </c>
      <c r="I7267" s="311" t="str">
        <f t="shared" si="323"/>
        <v>Pesado de Passageiros M3:  : Gasóleo : E6 D/E E7</v>
      </c>
      <c r="J7267" s="422">
        <v>33</v>
      </c>
      <c r="K7267" s="422">
        <v>2023</v>
      </c>
      <c r="L7267">
        <v>9586.89</v>
      </c>
      <c r="M7267" s="422" t="s">
        <v>630</v>
      </c>
      <c r="N7267" s="131">
        <v>46133</v>
      </c>
      <c r="O7267" s="436">
        <f t="shared" si="320"/>
        <v>1522389</v>
      </c>
      <c r="P7267" s="89">
        <v>1270</v>
      </c>
      <c r="Q7267" t="s">
        <v>47</v>
      </c>
      <c r="R7267" s="422" t="s">
        <v>1869</v>
      </c>
      <c r="S7267" s="422" t="s">
        <v>1861</v>
      </c>
      <c r="T7267" s="422"/>
      <c r="U7267" s="422" t="s">
        <v>1953</v>
      </c>
      <c r="V7267" s="422" t="s">
        <v>2813</v>
      </c>
    </row>
    <row r="7268" spans="1:22" ht="15.75" thickBot="1" x14ac:dyDescent="0.3">
      <c r="A7268" t="s">
        <v>544</v>
      </c>
      <c r="B7268" s="424" t="str">
        <f t="shared" si="321"/>
        <v>Barraqueiro Transportes</v>
      </c>
      <c r="C7268" s="424" t="str">
        <f t="shared" si="322"/>
        <v>Mafrense</v>
      </c>
      <c r="D7268" t="s">
        <v>629</v>
      </c>
      <c r="F7268" s="432" t="s">
        <v>620</v>
      </c>
      <c r="G7268" s="89">
        <v>2022</v>
      </c>
      <c r="H7268" s="313" t="s">
        <v>5816</v>
      </c>
      <c r="I7268" s="311" t="str">
        <f t="shared" si="323"/>
        <v>Pesado de Passageiros M3:  : Gasóleo : E6 D/E E7</v>
      </c>
      <c r="J7268" s="422">
        <v>33</v>
      </c>
      <c r="K7268" s="422">
        <v>2023</v>
      </c>
      <c r="L7268">
        <v>9442.9500000000007</v>
      </c>
      <c r="M7268" s="422" t="s">
        <v>630</v>
      </c>
      <c r="N7268" s="131">
        <v>48857</v>
      </c>
      <c r="O7268" s="436">
        <f t="shared" si="320"/>
        <v>1612281</v>
      </c>
      <c r="P7268" s="89">
        <v>1271</v>
      </c>
      <c r="Q7268" t="s">
        <v>47</v>
      </c>
      <c r="R7268" s="422" t="s">
        <v>1869</v>
      </c>
      <c r="S7268" s="422" t="s">
        <v>1861</v>
      </c>
      <c r="T7268" s="422"/>
      <c r="U7268" s="422" t="s">
        <v>1953</v>
      </c>
      <c r="V7268" s="422" t="s">
        <v>2813</v>
      </c>
    </row>
    <row r="7269" spans="1:22" ht="15.75" thickBot="1" x14ac:dyDescent="0.3">
      <c r="A7269" t="s">
        <v>544</v>
      </c>
      <c r="B7269" s="424" t="str">
        <f t="shared" si="321"/>
        <v>Barraqueiro Transportes</v>
      </c>
      <c r="C7269" s="424" t="str">
        <f t="shared" si="322"/>
        <v>Mafrense</v>
      </c>
      <c r="D7269" t="s">
        <v>629</v>
      </c>
      <c r="F7269" s="432" t="s">
        <v>620</v>
      </c>
      <c r="G7269" s="89">
        <v>2022</v>
      </c>
      <c r="H7269" s="313" t="s">
        <v>5816</v>
      </c>
      <c r="I7269" s="311" t="str">
        <f t="shared" si="323"/>
        <v>Pesado de Passageiros M3:  : Gasóleo : E6 D/E E7</v>
      </c>
      <c r="J7269" s="422">
        <v>33</v>
      </c>
      <c r="K7269" s="422">
        <v>2023</v>
      </c>
      <c r="L7269">
        <v>5808.35</v>
      </c>
      <c r="M7269" s="422" t="s">
        <v>630</v>
      </c>
      <c r="N7269" s="131">
        <v>33710</v>
      </c>
      <c r="O7269" s="436">
        <f t="shared" si="320"/>
        <v>1112430</v>
      </c>
      <c r="P7269" s="89">
        <v>1272</v>
      </c>
      <c r="Q7269" t="s">
        <v>47</v>
      </c>
      <c r="R7269" s="422" t="s">
        <v>1869</v>
      </c>
      <c r="S7269" s="422" t="s">
        <v>1861</v>
      </c>
      <c r="T7269" s="422"/>
      <c r="U7269" s="422" t="s">
        <v>1953</v>
      </c>
      <c r="V7269" s="422" t="s">
        <v>2813</v>
      </c>
    </row>
    <row r="7270" spans="1:22" ht="15.75" thickBot="1" x14ac:dyDescent="0.3">
      <c r="A7270" t="s">
        <v>544</v>
      </c>
      <c r="B7270" s="424" t="str">
        <f t="shared" si="321"/>
        <v>Barraqueiro Transportes</v>
      </c>
      <c r="C7270" s="424" t="str">
        <f t="shared" si="322"/>
        <v>Mafrense</v>
      </c>
      <c r="D7270" t="s">
        <v>629</v>
      </c>
      <c r="F7270" s="432" t="s">
        <v>620</v>
      </c>
      <c r="G7270" s="89">
        <v>2000</v>
      </c>
      <c r="H7270" s="313" t="s">
        <v>735</v>
      </c>
      <c r="I7270" s="311" t="str">
        <f t="shared" si="323"/>
        <v>Pesado de Passageiros M3:  : Gasóleo : E2</v>
      </c>
      <c r="J7270" s="422">
        <v>16</v>
      </c>
      <c r="K7270" s="422">
        <v>2023</v>
      </c>
      <c r="L7270">
        <v>111</v>
      </c>
      <c r="M7270" s="422" t="s">
        <v>630</v>
      </c>
      <c r="N7270" s="131">
        <v>652</v>
      </c>
      <c r="O7270" s="436">
        <f t="shared" ref="O7270:O7333" si="324">N7270*J7270</f>
        <v>10432</v>
      </c>
      <c r="P7270" s="89">
        <v>5580</v>
      </c>
      <c r="Q7270" t="s">
        <v>47</v>
      </c>
      <c r="R7270" s="422" t="s">
        <v>1869</v>
      </c>
      <c r="S7270" s="422" t="s">
        <v>1861</v>
      </c>
      <c r="T7270" s="422"/>
      <c r="U7270" s="422" t="s">
        <v>1953</v>
      </c>
      <c r="V7270" s="422" t="s">
        <v>2813</v>
      </c>
    </row>
    <row r="7271" spans="1:22" ht="15.75" thickBot="1" x14ac:dyDescent="0.3">
      <c r="A7271" t="s">
        <v>544</v>
      </c>
      <c r="B7271" s="424" t="str">
        <f t="shared" si="321"/>
        <v>Barraqueiro Transportes</v>
      </c>
      <c r="C7271" s="424" t="str">
        <f t="shared" si="322"/>
        <v>Mafrense</v>
      </c>
      <c r="D7271" t="s">
        <v>629</v>
      </c>
      <c r="F7271" s="432" t="s">
        <v>620</v>
      </c>
      <c r="G7271" s="89">
        <v>2011</v>
      </c>
      <c r="H7271" s="313" t="s">
        <v>734</v>
      </c>
      <c r="I7271" s="311" t="str">
        <f t="shared" si="323"/>
        <v>Pesado de Passageiros M3:  : Gasóleo : E5</v>
      </c>
      <c r="J7271" s="422">
        <v>53</v>
      </c>
      <c r="K7271" s="422">
        <v>2023</v>
      </c>
      <c r="L7271">
        <v>12802.8</v>
      </c>
      <c r="M7271" s="422" t="s">
        <v>630</v>
      </c>
      <c r="N7271" s="131">
        <v>39934</v>
      </c>
      <c r="O7271" s="436">
        <f t="shared" si="324"/>
        <v>2116502</v>
      </c>
      <c r="P7271" s="89">
        <v>5620</v>
      </c>
      <c r="Q7271" t="s">
        <v>47</v>
      </c>
      <c r="R7271" s="422" t="s">
        <v>1869</v>
      </c>
      <c r="S7271" s="422" t="s">
        <v>1861</v>
      </c>
      <c r="T7271" s="422"/>
      <c r="U7271" s="422" t="s">
        <v>1953</v>
      </c>
      <c r="V7271" s="422" t="s">
        <v>2813</v>
      </c>
    </row>
    <row r="7272" spans="1:22" ht="15.75" thickBot="1" x14ac:dyDescent="0.3">
      <c r="A7272" t="s">
        <v>544</v>
      </c>
      <c r="B7272" s="424" t="str">
        <f t="shared" si="321"/>
        <v>Barraqueiro Transportes</v>
      </c>
      <c r="C7272" s="424" t="str">
        <f t="shared" si="322"/>
        <v>Mafrense</v>
      </c>
      <c r="D7272" t="s">
        <v>629</v>
      </c>
      <c r="F7272" s="432" t="s">
        <v>620</v>
      </c>
      <c r="G7272" s="89">
        <v>2001</v>
      </c>
      <c r="H7272" s="313" t="s">
        <v>732</v>
      </c>
      <c r="I7272" s="311" t="str">
        <f t="shared" si="323"/>
        <v>Pesado de Passageiros M3:  : Gasóleo : E3</v>
      </c>
      <c r="J7272" s="422">
        <v>49</v>
      </c>
      <c r="K7272" s="422">
        <v>2023</v>
      </c>
      <c r="L7272">
        <v>202</v>
      </c>
      <c r="M7272" s="422" t="s">
        <v>630</v>
      </c>
      <c r="N7272" s="131">
        <v>531</v>
      </c>
      <c r="O7272" s="436">
        <f t="shared" si="324"/>
        <v>26019</v>
      </c>
      <c r="P7272" s="89">
        <v>6605</v>
      </c>
      <c r="Q7272" t="s">
        <v>47</v>
      </c>
      <c r="R7272" s="422" t="s">
        <v>1869</v>
      </c>
      <c r="S7272" s="422" t="s">
        <v>1861</v>
      </c>
      <c r="T7272" s="422"/>
      <c r="U7272" s="422" t="s">
        <v>1953</v>
      </c>
      <c r="V7272" s="422" t="s">
        <v>2813</v>
      </c>
    </row>
    <row r="7273" spans="1:22" ht="15.75" thickBot="1" x14ac:dyDescent="0.3">
      <c r="A7273" t="s">
        <v>544</v>
      </c>
      <c r="B7273" s="424" t="str">
        <f t="shared" si="321"/>
        <v>Barraqueiro Transportes</v>
      </c>
      <c r="C7273" s="424" t="str">
        <f t="shared" si="322"/>
        <v>Mafrense</v>
      </c>
      <c r="D7273" t="s">
        <v>629</v>
      </c>
      <c r="F7273" s="432" t="s">
        <v>620</v>
      </c>
      <c r="G7273" s="89">
        <v>2007</v>
      </c>
      <c r="H7273" s="313" t="s">
        <v>731</v>
      </c>
      <c r="I7273" s="311" t="str">
        <f t="shared" si="323"/>
        <v>Pesado de Passageiros M3:  : Gasóleo : E4</v>
      </c>
      <c r="J7273" s="422">
        <v>55</v>
      </c>
      <c r="K7273" s="422">
        <v>2023</v>
      </c>
      <c r="L7273">
        <v>11714.83</v>
      </c>
      <c r="M7273" s="422" t="s">
        <v>630</v>
      </c>
      <c r="N7273" s="131">
        <v>35069</v>
      </c>
      <c r="O7273" s="436">
        <f t="shared" si="324"/>
        <v>1928795</v>
      </c>
      <c r="P7273" s="89">
        <v>6671</v>
      </c>
      <c r="Q7273" t="s">
        <v>47</v>
      </c>
      <c r="R7273" s="422" t="s">
        <v>1869</v>
      </c>
      <c r="S7273" s="422" t="s">
        <v>1861</v>
      </c>
      <c r="T7273" s="422"/>
      <c r="U7273" s="422" t="s">
        <v>1953</v>
      </c>
      <c r="V7273" s="422" t="s">
        <v>2813</v>
      </c>
    </row>
    <row r="7274" spans="1:22" ht="15.75" thickBot="1" x14ac:dyDescent="0.3">
      <c r="A7274" t="s">
        <v>1072</v>
      </c>
      <c r="B7274" s="424" t="str">
        <f t="shared" si="321"/>
        <v>Barraqueiro Transportes</v>
      </c>
      <c r="C7274" s="424" t="str">
        <f t="shared" si="322"/>
        <v>Frota Azul</v>
      </c>
      <c r="D7274" t="s">
        <v>629</v>
      </c>
      <c r="F7274" s="432" t="s">
        <v>620</v>
      </c>
      <c r="G7274" s="89">
        <v>2015</v>
      </c>
      <c r="H7274" s="313" t="s">
        <v>733</v>
      </c>
      <c r="I7274" s="311" t="str">
        <f t="shared" si="323"/>
        <v>Pesado de Passageiros M3:  : Gasóleo : E6</v>
      </c>
      <c r="J7274" s="422">
        <v>19</v>
      </c>
      <c r="K7274" s="422">
        <v>2023</v>
      </c>
      <c r="L7274">
        <v>8812.866</v>
      </c>
      <c r="M7274" s="422" t="s">
        <v>630</v>
      </c>
      <c r="N7274" s="131">
        <v>49766</v>
      </c>
      <c r="O7274" s="436">
        <f t="shared" si="324"/>
        <v>945554</v>
      </c>
      <c r="P7274" s="89">
        <v>6090</v>
      </c>
      <c r="Q7274" t="s">
        <v>47</v>
      </c>
      <c r="R7274" s="422" t="s">
        <v>1869</v>
      </c>
      <c r="S7274" s="422" t="s">
        <v>1861</v>
      </c>
      <c r="T7274" s="422"/>
      <c r="U7274" s="422" t="s">
        <v>1953</v>
      </c>
      <c r="V7274" s="422" t="s">
        <v>2813</v>
      </c>
    </row>
    <row r="7275" spans="1:22" ht="15.75" thickBot="1" x14ac:dyDescent="0.3">
      <c r="A7275" t="s">
        <v>1072</v>
      </c>
      <c r="B7275" s="424" t="str">
        <f t="shared" si="321"/>
        <v>Barraqueiro Transportes</v>
      </c>
      <c r="C7275" s="424" t="str">
        <f t="shared" si="322"/>
        <v>Frota Azul</v>
      </c>
      <c r="D7275" t="s">
        <v>629</v>
      </c>
      <c r="F7275" s="432" t="s">
        <v>620</v>
      </c>
      <c r="G7275" s="89">
        <v>2015</v>
      </c>
      <c r="H7275" s="313" t="s">
        <v>733</v>
      </c>
      <c r="I7275" s="311" t="str">
        <f t="shared" si="323"/>
        <v>Pesado de Passageiros M3:  : Gasóleo : E6</v>
      </c>
      <c r="J7275" s="422">
        <v>16</v>
      </c>
      <c r="K7275" s="422">
        <v>2023</v>
      </c>
      <c r="L7275">
        <v>504.76</v>
      </c>
      <c r="M7275" s="422" t="s">
        <v>630</v>
      </c>
      <c r="N7275" s="131">
        <v>3647</v>
      </c>
      <c r="O7275" s="436">
        <f t="shared" si="324"/>
        <v>58352</v>
      </c>
      <c r="P7275" s="89">
        <v>6091</v>
      </c>
      <c r="Q7275" t="s">
        <v>47</v>
      </c>
      <c r="R7275" s="422" t="s">
        <v>1869</v>
      </c>
      <c r="S7275" s="422" t="s">
        <v>1861</v>
      </c>
      <c r="T7275" s="422"/>
      <c r="U7275" s="422" t="s">
        <v>1953</v>
      </c>
      <c r="V7275" s="422" t="s">
        <v>2813</v>
      </c>
    </row>
    <row r="7276" spans="1:22" ht="15.75" thickBot="1" x14ac:dyDescent="0.3">
      <c r="A7276" t="s">
        <v>1072</v>
      </c>
      <c r="B7276" s="424" t="str">
        <f t="shared" ref="B7276:B7339" si="325">LEFT(A7276,IFERROR(FIND(" - ",A7276)-1,LEN(A7276)))</f>
        <v>Barraqueiro Transportes</v>
      </c>
      <c r="C7276" s="424" t="str">
        <f t="shared" ref="C7276:C7339" si="326">IF(A7276=B7276,B7276,RIGHT(A7276,LEN(A7276)-LEN(B7276)-3))</f>
        <v>Frota Azul</v>
      </c>
      <c r="D7276" t="s">
        <v>629</v>
      </c>
      <c r="F7276" s="432" t="s">
        <v>620</v>
      </c>
      <c r="G7276" s="89">
        <v>2015</v>
      </c>
      <c r="H7276" s="313" t="s">
        <v>733</v>
      </c>
      <c r="I7276" s="311" t="str">
        <f t="shared" si="323"/>
        <v>Pesado de Passageiros M3:  : Gasóleo : E6</v>
      </c>
      <c r="J7276" s="422">
        <v>16</v>
      </c>
      <c r="K7276" s="422">
        <v>2023</v>
      </c>
      <c r="L7276">
        <v>1080.9199999999998</v>
      </c>
      <c r="M7276" s="422" t="s">
        <v>630</v>
      </c>
      <c r="N7276" s="131">
        <v>7601</v>
      </c>
      <c r="O7276" s="436">
        <f t="shared" si="324"/>
        <v>121616</v>
      </c>
      <c r="P7276" s="89">
        <v>6093</v>
      </c>
      <c r="Q7276" t="s">
        <v>47</v>
      </c>
      <c r="R7276" s="422" t="s">
        <v>1869</v>
      </c>
      <c r="S7276" s="422" t="s">
        <v>1861</v>
      </c>
      <c r="T7276" s="422"/>
      <c r="U7276" s="422" t="s">
        <v>1953</v>
      </c>
      <c r="V7276" s="422" t="s">
        <v>2813</v>
      </c>
    </row>
    <row r="7277" spans="1:22" ht="15.75" thickBot="1" x14ac:dyDescent="0.3">
      <c r="A7277" t="s">
        <v>1072</v>
      </c>
      <c r="B7277" s="424" t="str">
        <f t="shared" si="325"/>
        <v>Barraqueiro Transportes</v>
      </c>
      <c r="C7277" s="424" t="str">
        <f t="shared" si="326"/>
        <v>Frota Azul</v>
      </c>
      <c r="D7277" t="s">
        <v>629</v>
      </c>
      <c r="F7277" s="432" t="s">
        <v>620</v>
      </c>
      <c r="G7277" s="89">
        <v>2016</v>
      </c>
      <c r="H7277" s="313" t="s">
        <v>733</v>
      </c>
      <c r="I7277" s="311" t="str">
        <f t="shared" si="323"/>
        <v>Pesado de Passageiros M3:  : Gasóleo : E6</v>
      </c>
      <c r="J7277" s="422">
        <v>19</v>
      </c>
      <c r="K7277" s="422">
        <v>2023</v>
      </c>
      <c r="L7277">
        <v>1718.6600000000003</v>
      </c>
      <c r="M7277" s="422" t="s">
        <v>630</v>
      </c>
      <c r="N7277" s="131">
        <v>10534</v>
      </c>
      <c r="O7277" s="436">
        <f t="shared" si="324"/>
        <v>200146</v>
      </c>
      <c r="P7277" s="89">
        <v>6094</v>
      </c>
      <c r="Q7277" t="s">
        <v>47</v>
      </c>
      <c r="R7277" s="422" t="s">
        <v>1869</v>
      </c>
      <c r="S7277" s="422" t="s">
        <v>1861</v>
      </c>
      <c r="T7277" s="422"/>
      <c r="U7277" s="422" t="s">
        <v>1953</v>
      </c>
      <c r="V7277" s="422" t="s">
        <v>2813</v>
      </c>
    </row>
    <row r="7278" spans="1:22" ht="15.75" thickBot="1" x14ac:dyDescent="0.3">
      <c r="A7278" t="s">
        <v>1072</v>
      </c>
      <c r="B7278" s="424" t="str">
        <f t="shared" si="325"/>
        <v>Barraqueiro Transportes</v>
      </c>
      <c r="C7278" s="424" t="str">
        <f t="shared" si="326"/>
        <v>Frota Azul</v>
      </c>
      <c r="D7278" t="s">
        <v>629</v>
      </c>
      <c r="F7278" s="432" t="s">
        <v>620</v>
      </c>
      <c r="G7278" s="89">
        <v>2017</v>
      </c>
      <c r="H7278" s="313" t="s">
        <v>733</v>
      </c>
      <c r="I7278" s="311" t="str">
        <f t="shared" si="323"/>
        <v>Pesado de Passageiros M3:  : Gasóleo : E6</v>
      </c>
      <c r="J7278" s="422">
        <v>19</v>
      </c>
      <c r="K7278" s="422">
        <v>2023</v>
      </c>
      <c r="L7278">
        <v>3551.2799999999997</v>
      </c>
      <c r="M7278" s="422" t="s">
        <v>630</v>
      </c>
      <c r="N7278" s="131">
        <v>22220</v>
      </c>
      <c r="O7278" s="436">
        <f t="shared" si="324"/>
        <v>422180</v>
      </c>
      <c r="P7278" s="89">
        <v>6095</v>
      </c>
      <c r="Q7278" t="s">
        <v>47</v>
      </c>
      <c r="R7278" s="422" t="s">
        <v>1869</v>
      </c>
      <c r="S7278" s="422" t="s">
        <v>1861</v>
      </c>
      <c r="T7278" s="422"/>
      <c r="U7278" s="422" t="s">
        <v>1953</v>
      </c>
      <c r="V7278" s="422" t="s">
        <v>2813</v>
      </c>
    </row>
    <row r="7279" spans="1:22" ht="15.75" thickBot="1" x14ac:dyDescent="0.3">
      <c r="A7279" t="s">
        <v>1072</v>
      </c>
      <c r="B7279" s="424" t="str">
        <f t="shared" si="325"/>
        <v>Barraqueiro Transportes</v>
      </c>
      <c r="C7279" s="424" t="str">
        <f t="shared" si="326"/>
        <v>Frota Azul</v>
      </c>
      <c r="D7279" t="s">
        <v>629</v>
      </c>
      <c r="F7279" s="432" t="s">
        <v>620</v>
      </c>
      <c r="G7279" s="89">
        <v>2019</v>
      </c>
      <c r="H7279" s="313" t="s">
        <v>733</v>
      </c>
      <c r="I7279" s="311" t="str">
        <f t="shared" si="323"/>
        <v>Pesado de Passageiros M3:  : Gasóleo : E6</v>
      </c>
      <c r="J7279" s="422">
        <v>39</v>
      </c>
      <c r="K7279" s="422">
        <v>2023</v>
      </c>
      <c r="L7279">
        <v>6279.61</v>
      </c>
      <c r="M7279" s="422" t="s">
        <v>630</v>
      </c>
      <c r="N7279" s="131">
        <v>22360</v>
      </c>
      <c r="O7279" s="436">
        <f t="shared" si="324"/>
        <v>872040</v>
      </c>
      <c r="P7279" s="89">
        <v>6096</v>
      </c>
      <c r="Q7279" t="s">
        <v>47</v>
      </c>
      <c r="R7279" s="422" t="s">
        <v>1869</v>
      </c>
      <c r="S7279" s="422" t="s">
        <v>1861</v>
      </c>
      <c r="T7279" s="422"/>
      <c r="U7279" s="422" t="s">
        <v>1953</v>
      </c>
      <c r="V7279" s="422" t="s">
        <v>2813</v>
      </c>
    </row>
    <row r="7280" spans="1:22" ht="15.75" thickBot="1" x14ac:dyDescent="0.3">
      <c r="A7280" t="s">
        <v>1072</v>
      </c>
      <c r="B7280" s="424" t="str">
        <f t="shared" si="325"/>
        <v>Barraqueiro Transportes</v>
      </c>
      <c r="C7280" s="424" t="str">
        <f t="shared" si="326"/>
        <v>Frota Azul</v>
      </c>
      <c r="D7280" t="s">
        <v>629</v>
      </c>
      <c r="F7280" s="432" t="s">
        <v>620</v>
      </c>
      <c r="G7280" s="89">
        <v>2019</v>
      </c>
      <c r="H7280" s="313" t="s">
        <v>733</v>
      </c>
      <c r="I7280" s="311" t="str">
        <f t="shared" si="323"/>
        <v>Pesado de Passageiros M3:  : Gasóleo : E6</v>
      </c>
      <c r="J7280" s="422">
        <v>39</v>
      </c>
      <c r="K7280" s="422">
        <v>2023</v>
      </c>
      <c r="L7280">
        <v>10370.274000000001</v>
      </c>
      <c r="M7280" s="422" t="s">
        <v>630</v>
      </c>
      <c r="N7280" s="131">
        <v>37159</v>
      </c>
      <c r="O7280" s="436">
        <f t="shared" si="324"/>
        <v>1449201</v>
      </c>
      <c r="P7280" s="89">
        <v>6097</v>
      </c>
      <c r="Q7280" t="s">
        <v>47</v>
      </c>
      <c r="R7280" s="422" t="s">
        <v>1869</v>
      </c>
      <c r="S7280" s="422" t="s">
        <v>1861</v>
      </c>
      <c r="T7280" s="422"/>
      <c r="U7280" s="422" t="s">
        <v>1953</v>
      </c>
      <c r="V7280" s="422" t="s">
        <v>2813</v>
      </c>
    </row>
    <row r="7281" spans="1:22" ht="15.75" thickBot="1" x14ac:dyDescent="0.3">
      <c r="A7281" t="s">
        <v>1072</v>
      </c>
      <c r="B7281" s="424" t="str">
        <f t="shared" si="325"/>
        <v>Barraqueiro Transportes</v>
      </c>
      <c r="C7281" s="424" t="str">
        <f t="shared" si="326"/>
        <v>Frota Azul</v>
      </c>
      <c r="D7281" t="s">
        <v>629</v>
      </c>
      <c r="F7281" s="432" t="s">
        <v>620</v>
      </c>
      <c r="G7281" s="89">
        <v>2019</v>
      </c>
      <c r="H7281" s="313" t="s">
        <v>733</v>
      </c>
      <c r="I7281" s="311" t="str">
        <f t="shared" si="323"/>
        <v>Pesado de Passageiros M3:  : Gasóleo : E6</v>
      </c>
      <c r="J7281" s="422">
        <v>39</v>
      </c>
      <c r="K7281" s="422">
        <v>2023</v>
      </c>
      <c r="L7281">
        <v>10710.23</v>
      </c>
      <c r="M7281" s="422" t="s">
        <v>630</v>
      </c>
      <c r="N7281" s="131">
        <v>38949</v>
      </c>
      <c r="O7281" s="436">
        <f t="shared" si="324"/>
        <v>1519011</v>
      </c>
      <c r="P7281" s="89">
        <v>6098</v>
      </c>
      <c r="Q7281" t="s">
        <v>47</v>
      </c>
      <c r="R7281" s="422" t="s">
        <v>1869</v>
      </c>
      <c r="S7281" s="422" t="s">
        <v>1861</v>
      </c>
      <c r="T7281" s="422"/>
      <c r="U7281" s="422" t="s">
        <v>1953</v>
      </c>
      <c r="V7281" s="422" t="s">
        <v>2813</v>
      </c>
    </row>
    <row r="7282" spans="1:22" ht="15.75" thickBot="1" x14ac:dyDescent="0.3">
      <c r="A7282" t="s">
        <v>1072</v>
      </c>
      <c r="B7282" s="424" t="str">
        <f t="shared" si="325"/>
        <v>Barraqueiro Transportes</v>
      </c>
      <c r="C7282" s="424" t="str">
        <f t="shared" si="326"/>
        <v>Frota Azul</v>
      </c>
      <c r="D7282" t="s">
        <v>629</v>
      </c>
      <c r="F7282" s="432" t="s">
        <v>620</v>
      </c>
      <c r="G7282" s="89">
        <v>2011</v>
      </c>
      <c r="H7282" s="313" t="s">
        <v>734</v>
      </c>
      <c r="I7282" s="311" t="str">
        <f t="shared" si="323"/>
        <v>Pesado de Passageiros M3:  : Gasóleo : E5</v>
      </c>
      <c r="J7282" s="422">
        <v>34</v>
      </c>
      <c r="K7282" s="422">
        <v>2023</v>
      </c>
      <c r="L7282">
        <v>249.17</v>
      </c>
      <c r="M7282" s="422" t="s">
        <v>630</v>
      </c>
      <c r="N7282" s="131">
        <v>732</v>
      </c>
      <c r="O7282" s="436">
        <f t="shared" si="324"/>
        <v>24888</v>
      </c>
      <c r="P7282" s="89">
        <v>6730</v>
      </c>
      <c r="Q7282" t="s">
        <v>47</v>
      </c>
      <c r="R7282" s="422" t="s">
        <v>1869</v>
      </c>
      <c r="S7282" s="422" t="s">
        <v>1861</v>
      </c>
      <c r="T7282" s="422"/>
      <c r="U7282" s="422" t="s">
        <v>1953</v>
      </c>
      <c r="V7282" s="422" t="s">
        <v>2813</v>
      </c>
    </row>
    <row r="7283" spans="1:22" ht="15.75" thickBot="1" x14ac:dyDescent="0.3">
      <c r="A7283" t="s">
        <v>1072</v>
      </c>
      <c r="B7283" s="424" t="str">
        <f t="shared" si="325"/>
        <v>Barraqueiro Transportes</v>
      </c>
      <c r="C7283" s="424" t="str">
        <f t="shared" si="326"/>
        <v>Frota Azul</v>
      </c>
      <c r="D7283" t="s">
        <v>629</v>
      </c>
      <c r="F7283" s="432" t="s">
        <v>620</v>
      </c>
      <c r="G7283" s="89">
        <v>2012</v>
      </c>
      <c r="H7283" s="313" t="s">
        <v>734</v>
      </c>
      <c r="I7283" s="311" t="str">
        <f t="shared" si="323"/>
        <v>Pesado de Passageiros M3:  : Gasóleo : E5</v>
      </c>
      <c r="J7283" s="422">
        <v>34</v>
      </c>
      <c r="K7283" s="422">
        <v>2023</v>
      </c>
      <c r="L7283">
        <v>1079.97</v>
      </c>
      <c r="M7283" s="422" t="s">
        <v>630</v>
      </c>
      <c r="N7283" s="131">
        <v>3364</v>
      </c>
      <c r="O7283" s="436">
        <f t="shared" si="324"/>
        <v>114376</v>
      </c>
      <c r="P7283" s="89">
        <v>6732</v>
      </c>
      <c r="Q7283" t="s">
        <v>47</v>
      </c>
      <c r="R7283" s="422" t="s">
        <v>1869</v>
      </c>
      <c r="S7283" s="422" t="s">
        <v>1861</v>
      </c>
      <c r="T7283" s="422"/>
      <c r="U7283" s="422" t="s">
        <v>1953</v>
      </c>
      <c r="V7283" s="422" t="s">
        <v>2813</v>
      </c>
    </row>
    <row r="7284" spans="1:22" ht="15.75" thickBot="1" x14ac:dyDescent="0.3">
      <c r="A7284" t="s">
        <v>1072</v>
      </c>
      <c r="B7284" s="424" t="str">
        <f t="shared" si="325"/>
        <v>Barraqueiro Transportes</v>
      </c>
      <c r="C7284" s="424" t="str">
        <f t="shared" si="326"/>
        <v>Frota Azul</v>
      </c>
      <c r="D7284" t="s">
        <v>629</v>
      </c>
      <c r="F7284" s="432" t="s">
        <v>620</v>
      </c>
      <c r="G7284" s="89">
        <v>2016</v>
      </c>
      <c r="H7284" s="313" t="s">
        <v>733</v>
      </c>
      <c r="I7284" s="311" t="str">
        <f t="shared" si="323"/>
        <v>Pesado de Passageiros M3:  : Gasóleo : E6</v>
      </c>
      <c r="J7284" s="422">
        <v>53</v>
      </c>
      <c r="K7284" s="422">
        <v>2023</v>
      </c>
      <c r="L7284">
        <v>213</v>
      </c>
      <c r="M7284" s="422" t="s">
        <v>630</v>
      </c>
      <c r="N7284" s="131">
        <v>788</v>
      </c>
      <c r="O7284" s="436">
        <f t="shared" si="324"/>
        <v>41764</v>
      </c>
      <c r="P7284" s="89">
        <v>6798</v>
      </c>
      <c r="Q7284" t="s">
        <v>47</v>
      </c>
      <c r="R7284" s="422" t="s">
        <v>1869</v>
      </c>
      <c r="S7284" s="422" t="s">
        <v>1861</v>
      </c>
      <c r="T7284" s="422"/>
      <c r="U7284" s="422" t="s">
        <v>1953</v>
      </c>
      <c r="V7284" s="422" t="s">
        <v>2813</v>
      </c>
    </row>
    <row r="7285" spans="1:22" ht="15.75" thickBot="1" x14ac:dyDescent="0.3">
      <c r="A7285" t="s">
        <v>1072</v>
      </c>
      <c r="B7285" s="424" t="str">
        <f t="shared" si="325"/>
        <v>Barraqueiro Transportes</v>
      </c>
      <c r="C7285" s="424" t="str">
        <f t="shared" si="326"/>
        <v>Frota Azul</v>
      </c>
      <c r="D7285" t="s">
        <v>629</v>
      </c>
      <c r="F7285" s="432" t="s">
        <v>620</v>
      </c>
      <c r="G7285" s="89">
        <v>2016</v>
      </c>
      <c r="H7285" s="313" t="s">
        <v>733</v>
      </c>
      <c r="I7285" s="311" t="str">
        <f t="shared" si="323"/>
        <v>Pesado de Passageiros M3:  : Gasóleo : E6</v>
      </c>
      <c r="J7285" s="422">
        <v>53</v>
      </c>
      <c r="K7285" s="422">
        <v>2023</v>
      </c>
      <c r="L7285">
        <v>294.87</v>
      </c>
      <c r="M7285" s="422" t="s">
        <v>630</v>
      </c>
      <c r="N7285" s="131">
        <v>1092</v>
      </c>
      <c r="O7285" s="436">
        <f t="shared" si="324"/>
        <v>57876</v>
      </c>
      <c r="P7285" s="89">
        <v>6800</v>
      </c>
      <c r="Q7285" t="s">
        <v>47</v>
      </c>
      <c r="R7285" s="422" t="s">
        <v>1869</v>
      </c>
      <c r="S7285" s="422" t="s">
        <v>1861</v>
      </c>
      <c r="T7285" s="422"/>
      <c r="U7285" s="422" t="s">
        <v>1953</v>
      </c>
      <c r="V7285" s="422" t="s">
        <v>2813</v>
      </c>
    </row>
    <row r="7286" spans="1:22" ht="15.75" thickBot="1" x14ac:dyDescent="0.3">
      <c r="A7286" t="s">
        <v>1072</v>
      </c>
      <c r="B7286" s="424" t="str">
        <f t="shared" si="325"/>
        <v>Barraqueiro Transportes</v>
      </c>
      <c r="C7286" s="424" t="str">
        <f t="shared" si="326"/>
        <v>Frota Azul</v>
      </c>
      <c r="D7286" t="s">
        <v>629</v>
      </c>
      <c r="F7286" s="432" t="s">
        <v>620</v>
      </c>
      <c r="G7286" s="89">
        <v>2016</v>
      </c>
      <c r="H7286" s="313" t="s">
        <v>733</v>
      </c>
      <c r="I7286" s="311" t="str">
        <f t="shared" si="323"/>
        <v>Pesado de Passageiros M3:  : Gasóleo : E6</v>
      </c>
      <c r="J7286" s="422">
        <v>53</v>
      </c>
      <c r="K7286" s="422">
        <v>2023</v>
      </c>
      <c r="L7286">
        <v>16301.600000000002</v>
      </c>
      <c r="M7286" s="422" t="s">
        <v>630</v>
      </c>
      <c r="N7286" s="131">
        <v>56883</v>
      </c>
      <c r="O7286" s="436">
        <f t="shared" si="324"/>
        <v>3014799</v>
      </c>
      <c r="P7286" s="89">
        <v>6807</v>
      </c>
      <c r="Q7286" t="s">
        <v>47</v>
      </c>
      <c r="R7286" s="422" t="s">
        <v>1869</v>
      </c>
      <c r="S7286" s="422" t="s">
        <v>1861</v>
      </c>
      <c r="T7286" s="422"/>
      <c r="U7286" s="422" t="s">
        <v>1953</v>
      </c>
      <c r="V7286" s="422" t="s">
        <v>2813</v>
      </c>
    </row>
    <row r="7287" spans="1:22" ht="15.75" thickBot="1" x14ac:dyDescent="0.3">
      <c r="A7287" t="s">
        <v>1072</v>
      </c>
      <c r="B7287" s="424" t="str">
        <f t="shared" si="325"/>
        <v>Barraqueiro Transportes</v>
      </c>
      <c r="C7287" s="424" t="str">
        <f t="shared" si="326"/>
        <v>Frota Azul</v>
      </c>
      <c r="D7287" t="s">
        <v>629</v>
      </c>
      <c r="F7287" s="432" t="s">
        <v>620</v>
      </c>
      <c r="G7287" s="89">
        <v>2016</v>
      </c>
      <c r="H7287" s="313" t="s">
        <v>733</v>
      </c>
      <c r="I7287" s="311" t="str">
        <f t="shared" si="323"/>
        <v>Pesado de Passageiros M3:  : Gasóleo : E6</v>
      </c>
      <c r="J7287" s="422">
        <v>59</v>
      </c>
      <c r="K7287" s="422">
        <v>2023</v>
      </c>
      <c r="L7287">
        <v>17068.93</v>
      </c>
      <c r="M7287" s="422" t="s">
        <v>630</v>
      </c>
      <c r="N7287" s="131">
        <v>55431</v>
      </c>
      <c r="O7287" s="436">
        <f t="shared" si="324"/>
        <v>3270429</v>
      </c>
      <c r="P7287" s="89">
        <v>6808</v>
      </c>
      <c r="Q7287" t="s">
        <v>47</v>
      </c>
      <c r="R7287" s="422" t="s">
        <v>1869</v>
      </c>
      <c r="S7287" s="422" t="s">
        <v>1861</v>
      </c>
      <c r="T7287" s="422"/>
      <c r="U7287" s="422" t="s">
        <v>1953</v>
      </c>
      <c r="V7287" s="422" t="s">
        <v>2813</v>
      </c>
    </row>
    <row r="7288" spans="1:22" ht="15.75" thickBot="1" x14ac:dyDescent="0.3">
      <c r="A7288" t="s">
        <v>1072</v>
      </c>
      <c r="B7288" s="424" t="str">
        <f t="shared" si="325"/>
        <v>Barraqueiro Transportes</v>
      </c>
      <c r="C7288" s="424" t="str">
        <f t="shared" si="326"/>
        <v>Frota Azul</v>
      </c>
      <c r="D7288" t="s">
        <v>629</v>
      </c>
      <c r="F7288" s="432" t="s">
        <v>620</v>
      </c>
      <c r="G7288" s="89">
        <v>2016</v>
      </c>
      <c r="H7288" s="313" t="s">
        <v>733</v>
      </c>
      <c r="I7288" s="311" t="str">
        <f t="shared" si="323"/>
        <v>Pesado de Passageiros M3:  : Gasóleo : E6</v>
      </c>
      <c r="J7288" s="422">
        <v>59</v>
      </c>
      <c r="K7288" s="422">
        <v>2023</v>
      </c>
      <c r="L7288">
        <v>15711.05</v>
      </c>
      <c r="M7288" s="422" t="s">
        <v>630</v>
      </c>
      <c r="N7288" s="131">
        <v>50570</v>
      </c>
      <c r="O7288" s="436">
        <f t="shared" si="324"/>
        <v>2983630</v>
      </c>
      <c r="P7288" s="89">
        <v>6809</v>
      </c>
      <c r="Q7288" t="s">
        <v>47</v>
      </c>
      <c r="R7288" s="422" t="s">
        <v>1869</v>
      </c>
      <c r="S7288" s="422" t="s">
        <v>1861</v>
      </c>
      <c r="T7288" s="422"/>
      <c r="U7288" s="422" t="s">
        <v>1953</v>
      </c>
      <c r="V7288" s="422" t="s">
        <v>2813</v>
      </c>
    </row>
    <row r="7289" spans="1:22" ht="15.75" thickBot="1" x14ac:dyDescent="0.3">
      <c r="A7289" t="s">
        <v>1072</v>
      </c>
      <c r="B7289" s="424" t="str">
        <f t="shared" si="325"/>
        <v>Barraqueiro Transportes</v>
      </c>
      <c r="C7289" s="424" t="str">
        <f t="shared" si="326"/>
        <v>Frota Azul</v>
      </c>
      <c r="D7289" t="s">
        <v>629</v>
      </c>
      <c r="F7289" s="432" t="s">
        <v>620</v>
      </c>
      <c r="G7289" s="89">
        <v>2016</v>
      </c>
      <c r="H7289" s="313" t="s">
        <v>733</v>
      </c>
      <c r="I7289" s="311" t="str">
        <f t="shared" si="323"/>
        <v>Pesado de Passageiros M3:  : Gasóleo : E6</v>
      </c>
      <c r="J7289" s="422">
        <v>59</v>
      </c>
      <c r="K7289" s="422">
        <v>2023</v>
      </c>
      <c r="L7289">
        <v>14421.269</v>
      </c>
      <c r="M7289" s="422" t="s">
        <v>630</v>
      </c>
      <c r="N7289" s="131">
        <v>45900</v>
      </c>
      <c r="O7289" s="436">
        <f t="shared" si="324"/>
        <v>2708100</v>
      </c>
      <c r="P7289" s="89">
        <v>6810</v>
      </c>
      <c r="Q7289" t="s">
        <v>47</v>
      </c>
      <c r="R7289" s="422" t="s">
        <v>1869</v>
      </c>
      <c r="S7289" s="422" t="s">
        <v>1861</v>
      </c>
      <c r="T7289" s="422"/>
      <c r="U7289" s="422" t="s">
        <v>1953</v>
      </c>
      <c r="V7289" s="422" t="s">
        <v>2813</v>
      </c>
    </row>
    <row r="7290" spans="1:22" ht="15.75" thickBot="1" x14ac:dyDescent="0.3">
      <c r="A7290" t="s">
        <v>1072</v>
      </c>
      <c r="B7290" s="424" t="str">
        <f t="shared" si="325"/>
        <v>Barraqueiro Transportes</v>
      </c>
      <c r="C7290" s="424" t="str">
        <f t="shared" si="326"/>
        <v>Frota Azul</v>
      </c>
      <c r="D7290" t="s">
        <v>629</v>
      </c>
      <c r="F7290" s="432" t="s">
        <v>620</v>
      </c>
      <c r="G7290" s="89">
        <v>2016</v>
      </c>
      <c r="H7290" s="313" t="s">
        <v>733</v>
      </c>
      <c r="I7290" s="311" t="str">
        <f t="shared" si="323"/>
        <v>Pesado de Passageiros M3:  : Gasóleo : E6</v>
      </c>
      <c r="J7290" s="422">
        <v>59</v>
      </c>
      <c r="K7290" s="422">
        <v>2023</v>
      </c>
      <c r="L7290">
        <v>234.45</v>
      </c>
      <c r="M7290" s="422" t="s">
        <v>630</v>
      </c>
      <c r="N7290" s="131">
        <v>780</v>
      </c>
      <c r="O7290" s="436">
        <f t="shared" si="324"/>
        <v>46020</v>
      </c>
      <c r="P7290" s="89">
        <v>6811</v>
      </c>
      <c r="Q7290" t="s">
        <v>47</v>
      </c>
      <c r="R7290" s="422" t="s">
        <v>1869</v>
      </c>
      <c r="S7290" s="422" t="s">
        <v>1861</v>
      </c>
      <c r="T7290" s="422"/>
      <c r="U7290" s="422" t="s">
        <v>1953</v>
      </c>
      <c r="V7290" s="422" t="s">
        <v>2813</v>
      </c>
    </row>
    <row r="7291" spans="1:22" ht="15.75" thickBot="1" x14ac:dyDescent="0.3">
      <c r="A7291" t="s">
        <v>1072</v>
      </c>
      <c r="B7291" s="424" t="str">
        <f t="shared" si="325"/>
        <v>Barraqueiro Transportes</v>
      </c>
      <c r="C7291" s="424" t="str">
        <f t="shared" si="326"/>
        <v>Frota Azul</v>
      </c>
      <c r="D7291" t="s">
        <v>629</v>
      </c>
      <c r="F7291" s="432" t="s">
        <v>620</v>
      </c>
      <c r="G7291" s="89">
        <v>2016</v>
      </c>
      <c r="H7291" s="313" t="s">
        <v>733</v>
      </c>
      <c r="I7291" s="311" t="str">
        <f t="shared" si="323"/>
        <v>Pesado de Passageiros M3:  : Gasóleo : E6</v>
      </c>
      <c r="J7291" s="422">
        <v>59</v>
      </c>
      <c r="K7291" s="422">
        <v>2023</v>
      </c>
      <c r="L7291">
        <v>4523.2800000000007</v>
      </c>
      <c r="M7291" s="422" t="s">
        <v>630</v>
      </c>
      <c r="N7291" s="131">
        <v>14103</v>
      </c>
      <c r="O7291" s="436">
        <f t="shared" si="324"/>
        <v>832077</v>
      </c>
      <c r="P7291" s="89">
        <v>6812</v>
      </c>
      <c r="Q7291" t="s">
        <v>47</v>
      </c>
      <c r="R7291" s="422" t="s">
        <v>1869</v>
      </c>
      <c r="S7291" s="422" t="s">
        <v>1861</v>
      </c>
      <c r="T7291" s="422"/>
      <c r="U7291" s="422" t="s">
        <v>1953</v>
      </c>
      <c r="V7291" s="422" t="s">
        <v>2813</v>
      </c>
    </row>
    <row r="7292" spans="1:22" ht="15.75" thickBot="1" x14ac:dyDescent="0.3">
      <c r="A7292" t="s">
        <v>1072</v>
      </c>
      <c r="B7292" s="424" t="str">
        <f t="shared" si="325"/>
        <v>Barraqueiro Transportes</v>
      </c>
      <c r="C7292" s="424" t="str">
        <f t="shared" si="326"/>
        <v>Frota Azul</v>
      </c>
      <c r="D7292" t="s">
        <v>629</v>
      </c>
      <c r="F7292" s="432" t="s">
        <v>620</v>
      </c>
      <c r="G7292" s="89">
        <v>2016</v>
      </c>
      <c r="H7292" s="313" t="s">
        <v>733</v>
      </c>
      <c r="I7292" s="311" t="str">
        <f t="shared" si="323"/>
        <v>Pesado de Passageiros M3:  : Gasóleo : E6</v>
      </c>
      <c r="J7292" s="422">
        <v>59</v>
      </c>
      <c r="K7292" s="422">
        <v>2023</v>
      </c>
      <c r="L7292">
        <v>18157.129999999997</v>
      </c>
      <c r="M7292" s="422" t="s">
        <v>630</v>
      </c>
      <c r="N7292" s="131">
        <v>59833</v>
      </c>
      <c r="O7292" s="436">
        <f t="shared" si="324"/>
        <v>3530147</v>
      </c>
      <c r="P7292" s="89">
        <v>6813</v>
      </c>
      <c r="Q7292" t="s">
        <v>47</v>
      </c>
      <c r="R7292" s="422" t="s">
        <v>1869</v>
      </c>
      <c r="S7292" s="422" t="s">
        <v>1861</v>
      </c>
      <c r="T7292" s="422"/>
      <c r="U7292" s="422" t="s">
        <v>1953</v>
      </c>
      <c r="V7292" s="422" t="s">
        <v>2813</v>
      </c>
    </row>
    <row r="7293" spans="1:22" ht="15.75" thickBot="1" x14ac:dyDescent="0.3">
      <c r="A7293" t="s">
        <v>1072</v>
      </c>
      <c r="B7293" s="424" t="str">
        <f t="shared" si="325"/>
        <v>Barraqueiro Transportes</v>
      </c>
      <c r="C7293" s="424" t="str">
        <f t="shared" si="326"/>
        <v>Frota Azul</v>
      </c>
      <c r="D7293" t="s">
        <v>629</v>
      </c>
      <c r="F7293" s="432" t="s">
        <v>620</v>
      </c>
      <c r="G7293" s="89">
        <v>2016</v>
      </c>
      <c r="H7293" s="313" t="s">
        <v>733</v>
      </c>
      <c r="I7293" s="311" t="str">
        <f t="shared" si="323"/>
        <v>Pesado de Passageiros M3:  : Gasóleo : E6</v>
      </c>
      <c r="J7293" s="422">
        <v>59</v>
      </c>
      <c r="K7293" s="422">
        <v>2023</v>
      </c>
      <c r="L7293">
        <v>12927.11</v>
      </c>
      <c r="M7293" s="422" t="s">
        <v>630</v>
      </c>
      <c r="N7293" s="131">
        <v>44004</v>
      </c>
      <c r="O7293" s="436">
        <f t="shared" si="324"/>
        <v>2596236</v>
      </c>
      <c r="P7293" s="89">
        <v>6815</v>
      </c>
      <c r="Q7293" t="s">
        <v>47</v>
      </c>
      <c r="R7293" s="422" t="s">
        <v>1869</v>
      </c>
      <c r="S7293" s="422" t="s">
        <v>1861</v>
      </c>
      <c r="T7293" s="422"/>
      <c r="U7293" s="422" t="s">
        <v>1953</v>
      </c>
      <c r="V7293" s="422" t="s">
        <v>2813</v>
      </c>
    </row>
    <row r="7294" spans="1:22" ht="15.75" thickBot="1" x14ac:dyDescent="0.3">
      <c r="A7294" t="s">
        <v>1072</v>
      </c>
      <c r="B7294" s="424" t="str">
        <f t="shared" si="325"/>
        <v>Barraqueiro Transportes</v>
      </c>
      <c r="C7294" s="424" t="str">
        <f t="shared" si="326"/>
        <v>Frota Azul</v>
      </c>
      <c r="D7294" t="s">
        <v>629</v>
      </c>
      <c r="F7294" s="432" t="s">
        <v>620</v>
      </c>
      <c r="G7294" s="89">
        <v>2016</v>
      </c>
      <c r="H7294" s="313" t="s">
        <v>733</v>
      </c>
      <c r="I7294" s="311" t="str">
        <f t="shared" si="323"/>
        <v>Pesado de Passageiros M3:  : Gasóleo : E6</v>
      </c>
      <c r="J7294" s="422">
        <v>53</v>
      </c>
      <c r="K7294" s="422">
        <v>2023</v>
      </c>
      <c r="L7294">
        <v>17465.649999999998</v>
      </c>
      <c r="M7294" s="422" t="s">
        <v>630</v>
      </c>
      <c r="N7294" s="131">
        <v>60295</v>
      </c>
      <c r="O7294" s="436">
        <f t="shared" si="324"/>
        <v>3195635</v>
      </c>
      <c r="P7294" s="89">
        <v>6816</v>
      </c>
      <c r="Q7294" t="s">
        <v>47</v>
      </c>
      <c r="R7294" s="422" t="s">
        <v>1869</v>
      </c>
      <c r="S7294" s="422" t="s">
        <v>1861</v>
      </c>
      <c r="T7294" s="422"/>
      <c r="U7294" s="422" t="s">
        <v>1953</v>
      </c>
      <c r="V7294" s="422" t="s">
        <v>2813</v>
      </c>
    </row>
    <row r="7295" spans="1:22" ht="15.75" thickBot="1" x14ac:dyDescent="0.3">
      <c r="A7295" t="s">
        <v>1072</v>
      </c>
      <c r="B7295" s="424" t="str">
        <f t="shared" si="325"/>
        <v>Barraqueiro Transportes</v>
      </c>
      <c r="C7295" s="424" t="str">
        <f t="shared" si="326"/>
        <v>Frota Azul</v>
      </c>
      <c r="D7295" t="s">
        <v>629</v>
      </c>
      <c r="F7295" s="432" t="s">
        <v>620</v>
      </c>
      <c r="G7295" s="89">
        <v>2016</v>
      </c>
      <c r="H7295" s="313" t="s">
        <v>733</v>
      </c>
      <c r="I7295" s="311" t="str">
        <f t="shared" si="323"/>
        <v>Pesado de Passageiros M3:  : Gasóleo : E6</v>
      </c>
      <c r="J7295" s="422">
        <v>53</v>
      </c>
      <c r="K7295" s="422">
        <v>2023</v>
      </c>
      <c r="L7295">
        <v>17031.830000000002</v>
      </c>
      <c r="M7295" s="422" t="s">
        <v>630</v>
      </c>
      <c r="N7295" s="131">
        <v>60030</v>
      </c>
      <c r="O7295" s="436">
        <f t="shared" si="324"/>
        <v>3181590</v>
      </c>
      <c r="P7295" s="89">
        <v>6817</v>
      </c>
      <c r="Q7295" t="s">
        <v>47</v>
      </c>
      <c r="R7295" s="422" t="s">
        <v>1869</v>
      </c>
      <c r="S7295" s="422" t="s">
        <v>1861</v>
      </c>
      <c r="T7295" s="422"/>
      <c r="U7295" s="422" t="s">
        <v>1953</v>
      </c>
      <c r="V7295" s="422" t="s">
        <v>2813</v>
      </c>
    </row>
    <row r="7296" spans="1:22" ht="15.75" thickBot="1" x14ac:dyDescent="0.3">
      <c r="A7296" t="s">
        <v>1072</v>
      </c>
      <c r="B7296" s="424" t="str">
        <f t="shared" si="325"/>
        <v>Barraqueiro Transportes</v>
      </c>
      <c r="C7296" s="424" t="str">
        <f t="shared" si="326"/>
        <v>Frota Azul</v>
      </c>
      <c r="D7296" t="s">
        <v>629</v>
      </c>
      <c r="F7296" s="432" t="s">
        <v>620</v>
      </c>
      <c r="G7296" s="89">
        <v>2017</v>
      </c>
      <c r="H7296" s="313" t="s">
        <v>733</v>
      </c>
      <c r="I7296" s="311" t="str">
        <f t="shared" si="323"/>
        <v>Pesado de Passageiros M3:  : Gasóleo : E6</v>
      </c>
      <c r="J7296" s="422">
        <v>53</v>
      </c>
      <c r="K7296" s="422">
        <v>2023</v>
      </c>
      <c r="L7296">
        <v>19909.840000000004</v>
      </c>
      <c r="M7296" s="422" t="s">
        <v>630</v>
      </c>
      <c r="N7296" s="131">
        <v>74117</v>
      </c>
      <c r="O7296" s="436">
        <f t="shared" si="324"/>
        <v>3928201</v>
      </c>
      <c r="P7296" s="89">
        <v>6829</v>
      </c>
      <c r="Q7296" t="s">
        <v>47</v>
      </c>
      <c r="R7296" s="422" t="s">
        <v>1869</v>
      </c>
      <c r="S7296" s="422" t="s">
        <v>1861</v>
      </c>
      <c r="T7296" s="422"/>
      <c r="U7296" s="422" t="s">
        <v>1953</v>
      </c>
      <c r="V7296" s="422" t="s">
        <v>2813</v>
      </c>
    </row>
    <row r="7297" spans="1:22" ht="15.75" thickBot="1" x14ac:dyDescent="0.3">
      <c r="A7297" t="s">
        <v>1072</v>
      </c>
      <c r="B7297" s="424" t="str">
        <f t="shared" si="325"/>
        <v>Barraqueiro Transportes</v>
      </c>
      <c r="C7297" s="424" t="str">
        <f t="shared" si="326"/>
        <v>Frota Azul</v>
      </c>
      <c r="D7297" t="s">
        <v>629</v>
      </c>
      <c r="F7297" s="432" t="s">
        <v>620</v>
      </c>
      <c r="G7297" s="89">
        <v>2017</v>
      </c>
      <c r="H7297" s="313" t="s">
        <v>733</v>
      </c>
      <c r="I7297" s="311" t="str">
        <f t="shared" si="323"/>
        <v>Pesado de Passageiros M3:  : Gasóleo : E6</v>
      </c>
      <c r="J7297" s="422">
        <v>53</v>
      </c>
      <c r="K7297" s="422">
        <v>2023</v>
      </c>
      <c r="L7297">
        <v>20244.538000000004</v>
      </c>
      <c r="M7297" s="422" t="s">
        <v>630</v>
      </c>
      <c r="N7297" s="131">
        <v>76752</v>
      </c>
      <c r="O7297" s="436">
        <f t="shared" si="324"/>
        <v>4067856</v>
      </c>
      <c r="P7297" s="89">
        <v>6830</v>
      </c>
      <c r="Q7297" t="s">
        <v>47</v>
      </c>
      <c r="R7297" s="422" t="s">
        <v>1869</v>
      </c>
      <c r="S7297" s="422" t="s">
        <v>1861</v>
      </c>
      <c r="T7297" s="422"/>
      <c r="U7297" s="422" t="s">
        <v>1953</v>
      </c>
      <c r="V7297" s="422" t="s">
        <v>2813</v>
      </c>
    </row>
    <row r="7298" spans="1:22" ht="15.75" thickBot="1" x14ac:dyDescent="0.3">
      <c r="A7298" t="s">
        <v>1072</v>
      </c>
      <c r="B7298" s="424" t="str">
        <f t="shared" si="325"/>
        <v>Barraqueiro Transportes</v>
      </c>
      <c r="C7298" s="424" t="str">
        <f t="shared" si="326"/>
        <v>Frota Azul</v>
      </c>
      <c r="D7298" t="s">
        <v>629</v>
      </c>
      <c r="F7298" s="432" t="s">
        <v>620</v>
      </c>
      <c r="G7298" s="89">
        <v>2018</v>
      </c>
      <c r="H7298" s="313" t="s">
        <v>733</v>
      </c>
      <c r="I7298" s="311" t="str">
        <f t="shared" si="323"/>
        <v>Pesado de Passageiros M3:  : Gasóleo : E6</v>
      </c>
      <c r="J7298" s="422">
        <v>53</v>
      </c>
      <c r="K7298" s="422">
        <v>2023</v>
      </c>
      <c r="L7298">
        <v>565.58000000000004</v>
      </c>
      <c r="M7298" s="422" t="s">
        <v>630</v>
      </c>
      <c r="N7298" s="131">
        <v>2282</v>
      </c>
      <c r="O7298" s="436">
        <f t="shared" si="324"/>
        <v>120946</v>
      </c>
      <c r="P7298" s="89">
        <v>6845</v>
      </c>
      <c r="Q7298" t="s">
        <v>47</v>
      </c>
      <c r="R7298" s="422" t="s">
        <v>1869</v>
      </c>
      <c r="S7298" s="422" t="s">
        <v>1861</v>
      </c>
      <c r="T7298" s="422"/>
      <c r="U7298" s="422" t="s">
        <v>1953</v>
      </c>
      <c r="V7298" s="422" t="s">
        <v>2813</v>
      </c>
    </row>
    <row r="7299" spans="1:22" ht="15.75" thickBot="1" x14ac:dyDescent="0.3">
      <c r="A7299" t="s">
        <v>1072</v>
      </c>
      <c r="B7299" s="424" t="str">
        <f t="shared" si="325"/>
        <v>Barraqueiro Transportes</v>
      </c>
      <c r="C7299" s="424" t="str">
        <f t="shared" si="326"/>
        <v>Frota Azul</v>
      </c>
      <c r="D7299" t="s">
        <v>629</v>
      </c>
      <c r="F7299" s="432" t="s">
        <v>620</v>
      </c>
      <c r="G7299" s="89">
        <v>2018</v>
      </c>
      <c r="H7299" s="313" t="s">
        <v>733</v>
      </c>
      <c r="I7299" s="311" t="str">
        <f t="shared" si="323"/>
        <v>Pesado de Passageiros M3:  : Gasóleo : E6</v>
      </c>
      <c r="J7299" s="422">
        <v>35</v>
      </c>
      <c r="K7299" s="422">
        <v>2023</v>
      </c>
      <c r="L7299">
        <v>10196.129999999999</v>
      </c>
      <c r="M7299" s="422" t="s">
        <v>630</v>
      </c>
      <c r="N7299" s="131">
        <v>43235</v>
      </c>
      <c r="O7299" s="436">
        <f t="shared" si="324"/>
        <v>1513225</v>
      </c>
      <c r="P7299" s="89">
        <v>6848</v>
      </c>
      <c r="Q7299" t="s">
        <v>47</v>
      </c>
      <c r="R7299" s="422" t="s">
        <v>1869</v>
      </c>
      <c r="S7299" s="422" t="s">
        <v>1861</v>
      </c>
      <c r="T7299" s="422"/>
      <c r="U7299" s="422" t="s">
        <v>1953</v>
      </c>
      <c r="V7299" s="422" t="s">
        <v>2813</v>
      </c>
    </row>
    <row r="7300" spans="1:22" ht="15.75" thickBot="1" x14ac:dyDescent="0.3">
      <c r="A7300" t="s">
        <v>1072</v>
      </c>
      <c r="B7300" s="424" t="str">
        <f t="shared" si="325"/>
        <v>Barraqueiro Transportes</v>
      </c>
      <c r="C7300" s="424" t="str">
        <f t="shared" si="326"/>
        <v>Frota Azul</v>
      </c>
      <c r="D7300" t="s">
        <v>629</v>
      </c>
      <c r="F7300" s="432" t="s">
        <v>620</v>
      </c>
      <c r="G7300" s="89">
        <v>2018</v>
      </c>
      <c r="H7300" s="313" t="s">
        <v>733</v>
      </c>
      <c r="I7300" s="311" t="str">
        <f t="shared" si="323"/>
        <v>Pesado de Passageiros M3:  : Gasóleo : E6</v>
      </c>
      <c r="J7300" s="422">
        <v>53</v>
      </c>
      <c r="K7300" s="422">
        <v>2023</v>
      </c>
      <c r="L7300">
        <v>2783.21</v>
      </c>
      <c r="M7300" s="422" t="s">
        <v>630</v>
      </c>
      <c r="N7300" s="131">
        <v>11573</v>
      </c>
      <c r="O7300" s="436">
        <f t="shared" si="324"/>
        <v>613369</v>
      </c>
      <c r="P7300" s="89">
        <v>6849</v>
      </c>
      <c r="Q7300" t="s">
        <v>47</v>
      </c>
      <c r="R7300" s="422" t="s">
        <v>1869</v>
      </c>
      <c r="S7300" s="422" t="s">
        <v>1861</v>
      </c>
      <c r="T7300" s="422"/>
      <c r="U7300" s="422" t="s">
        <v>1953</v>
      </c>
      <c r="V7300" s="422" t="s">
        <v>2813</v>
      </c>
    </row>
    <row r="7301" spans="1:22" ht="15.75" thickBot="1" x14ac:dyDescent="0.3">
      <c r="A7301" t="s">
        <v>1072</v>
      </c>
      <c r="B7301" s="424" t="str">
        <f t="shared" si="325"/>
        <v>Barraqueiro Transportes</v>
      </c>
      <c r="C7301" s="424" t="str">
        <f t="shared" si="326"/>
        <v>Frota Azul</v>
      </c>
      <c r="D7301" t="s">
        <v>629</v>
      </c>
      <c r="F7301" s="432" t="s">
        <v>620</v>
      </c>
      <c r="G7301" s="89">
        <v>2018</v>
      </c>
      <c r="H7301" s="313" t="s">
        <v>733</v>
      </c>
      <c r="I7301" s="311" t="str">
        <f t="shared" si="323"/>
        <v>Pesado de Passageiros M3:  : Gasóleo : E6</v>
      </c>
      <c r="J7301" s="422">
        <v>53</v>
      </c>
      <c r="K7301" s="422">
        <v>2023</v>
      </c>
      <c r="L7301">
        <v>958.97</v>
      </c>
      <c r="M7301" s="422" t="s">
        <v>630</v>
      </c>
      <c r="N7301" s="131">
        <v>4073</v>
      </c>
      <c r="O7301" s="436">
        <f t="shared" si="324"/>
        <v>215869</v>
      </c>
      <c r="P7301" s="89">
        <v>6850</v>
      </c>
      <c r="Q7301" t="s">
        <v>47</v>
      </c>
      <c r="R7301" s="422" t="s">
        <v>1869</v>
      </c>
      <c r="S7301" s="422" t="s">
        <v>1861</v>
      </c>
      <c r="T7301" s="422"/>
      <c r="U7301" s="422" t="s">
        <v>1953</v>
      </c>
      <c r="V7301" s="422" t="s">
        <v>2813</v>
      </c>
    </row>
    <row r="7302" spans="1:22" ht="15.75" thickBot="1" x14ac:dyDescent="0.3">
      <c r="A7302" t="s">
        <v>1072</v>
      </c>
      <c r="B7302" s="424" t="str">
        <f t="shared" si="325"/>
        <v>Barraqueiro Transportes</v>
      </c>
      <c r="C7302" s="424" t="str">
        <f t="shared" si="326"/>
        <v>Frota Azul</v>
      </c>
      <c r="D7302" t="s">
        <v>629</v>
      </c>
      <c r="F7302" s="432" t="s">
        <v>620</v>
      </c>
      <c r="G7302" s="89">
        <v>2018</v>
      </c>
      <c r="H7302" s="313" t="s">
        <v>733</v>
      </c>
      <c r="I7302" s="311" t="str">
        <f t="shared" si="323"/>
        <v>Pesado de Passageiros M3:  : Gasóleo : E6</v>
      </c>
      <c r="J7302" s="422">
        <v>53</v>
      </c>
      <c r="K7302" s="422">
        <v>2023</v>
      </c>
      <c r="L7302">
        <v>3230.16</v>
      </c>
      <c r="M7302" s="422" t="s">
        <v>630</v>
      </c>
      <c r="N7302" s="131">
        <v>12474</v>
      </c>
      <c r="O7302" s="436">
        <f t="shared" si="324"/>
        <v>661122</v>
      </c>
      <c r="P7302" s="89">
        <v>6851</v>
      </c>
      <c r="Q7302" t="s">
        <v>47</v>
      </c>
      <c r="R7302" s="422" t="s">
        <v>1869</v>
      </c>
      <c r="S7302" s="422" t="s">
        <v>1861</v>
      </c>
      <c r="T7302" s="422"/>
      <c r="U7302" s="422" t="s">
        <v>1953</v>
      </c>
      <c r="V7302" s="422" t="s">
        <v>2813</v>
      </c>
    </row>
    <row r="7303" spans="1:22" ht="15.75" thickBot="1" x14ac:dyDescent="0.3">
      <c r="A7303" t="s">
        <v>1072</v>
      </c>
      <c r="B7303" s="424" t="str">
        <f t="shared" si="325"/>
        <v>Barraqueiro Transportes</v>
      </c>
      <c r="C7303" s="424" t="str">
        <f t="shared" si="326"/>
        <v>Frota Azul</v>
      </c>
      <c r="D7303" t="s">
        <v>629</v>
      </c>
      <c r="F7303" s="432" t="s">
        <v>620</v>
      </c>
      <c r="G7303" s="89">
        <v>2019</v>
      </c>
      <c r="H7303" s="313" t="s">
        <v>733</v>
      </c>
      <c r="I7303" s="311" t="str">
        <f t="shared" si="323"/>
        <v>Pesado de Passageiros M3:  : Gasóleo : E6</v>
      </c>
      <c r="J7303" s="422">
        <v>53</v>
      </c>
      <c r="K7303" s="422">
        <v>2023</v>
      </c>
      <c r="L7303">
        <v>5312.24</v>
      </c>
      <c r="M7303" s="422" t="s">
        <v>630</v>
      </c>
      <c r="N7303" s="131">
        <v>21047</v>
      </c>
      <c r="O7303" s="436">
        <f t="shared" si="324"/>
        <v>1115491</v>
      </c>
      <c r="P7303" s="89">
        <v>6854</v>
      </c>
      <c r="Q7303" t="s">
        <v>47</v>
      </c>
      <c r="R7303" s="422" t="s">
        <v>1869</v>
      </c>
      <c r="S7303" s="422" t="s">
        <v>1861</v>
      </c>
      <c r="T7303" s="422"/>
      <c r="U7303" s="422" t="s">
        <v>1953</v>
      </c>
      <c r="V7303" s="422" t="s">
        <v>2813</v>
      </c>
    </row>
    <row r="7304" spans="1:22" ht="15.75" thickBot="1" x14ac:dyDescent="0.3">
      <c r="A7304" t="s">
        <v>1072</v>
      </c>
      <c r="B7304" s="424" t="str">
        <f t="shared" si="325"/>
        <v>Barraqueiro Transportes</v>
      </c>
      <c r="C7304" s="424" t="str">
        <f t="shared" si="326"/>
        <v>Frota Azul</v>
      </c>
      <c r="D7304" t="s">
        <v>629</v>
      </c>
      <c r="F7304" s="432" t="s">
        <v>620</v>
      </c>
      <c r="G7304" s="89">
        <v>2019</v>
      </c>
      <c r="H7304" s="313" t="s">
        <v>733</v>
      </c>
      <c r="I7304" s="311" t="str">
        <f t="shared" si="323"/>
        <v>Pesado de Passageiros M3:  : Gasóleo : E6</v>
      </c>
      <c r="J7304" s="422">
        <v>53</v>
      </c>
      <c r="K7304" s="422">
        <v>2023</v>
      </c>
      <c r="L7304">
        <v>481.39</v>
      </c>
      <c r="M7304" s="422" t="s">
        <v>630</v>
      </c>
      <c r="N7304" s="131">
        <v>2005</v>
      </c>
      <c r="O7304" s="436">
        <f t="shared" si="324"/>
        <v>106265</v>
      </c>
      <c r="P7304" s="89">
        <v>6856</v>
      </c>
      <c r="Q7304" t="s">
        <v>47</v>
      </c>
      <c r="R7304" s="422" t="s">
        <v>1869</v>
      </c>
      <c r="S7304" s="422" t="s">
        <v>1861</v>
      </c>
      <c r="T7304" s="422"/>
      <c r="U7304" s="422" t="s">
        <v>1953</v>
      </c>
      <c r="V7304" s="422" t="s">
        <v>2813</v>
      </c>
    </row>
    <row r="7305" spans="1:22" ht="15.75" thickBot="1" x14ac:dyDescent="0.3">
      <c r="A7305" t="s">
        <v>1072</v>
      </c>
      <c r="B7305" s="424" t="str">
        <f t="shared" si="325"/>
        <v>Barraqueiro Transportes</v>
      </c>
      <c r="C7305" s="424" t="str">
        <f t="shared" si="326"/>
        <v>Frota Azul</v>
      </c>
      <c r="D7305" t="s">
        <v>629</v>
      </c>
      <c r="F7305" s="432" t="s">
        <v>620</v>
      </c>
      <c r="G7305" s="89">
        <v>2019</v>
      </c>
      <c r="H7305" s="313" t="s">
        <v>733</v>
      </c>
      <c r="I7305" s="311" t="str">
        <f t="shared" si="323"/>
        <v>Pesado de Passageiros M3:  : Gasóleo : E6</v>
      </c>
      <c r="J7305" s="422">
        <v>53</v>
      </c>
      <c r="K7305" s="422">
        <v>2023</v>
      </c>
      <c r="L7305">
        <v>740.69</v>
      </c>
      <c r="M7305" s="422" t="s">
        <v>630</v>
      </c>
      <c r="N7305" s="131">
        <v>2553</v>
      </c>
      <c r="O7305" s="436">
        <f t="shared" si="324"/>
        <v>135309</v>
      </c>
      <c r="P7305" s="89">
        <v>6857</v>
      </c>
      <c r="Q7305" t="s">
        <v>47</v>
      </c>
      <c r="R7305" s="422" t="s">
        <v>1869</v>
      </c>
      <c r="S7305" s="422" t="s">
        <v>1861</v>
      </c>
      <c r="T7305" s="422"/>
      <c r="U7305" s="422" t="s">
        <v>1953</v>
      </c>
      <c r="V7305" s="422" t="s">
        <v>2813</v>
      </c>
    </row>
    <row r="7306" spans="1:22" ht="15.75" thickBot="1" x14ac:dyDescent="0.3">
      <c r="A7306" t="s">
        <v>1072</v>
      </c>
      <c r="B7306" s="424" t="str">
        <f t="shared" si="325"/>
        <v>Barraqueiro Transportes</v>
      </c>
      <c r="C7306" s="424" t="str">
        <f t="shared" si="326"/>
        <v>Frota Azul</v>
      </c>
      <c r="D7306" t="s">
        <v>629</v>
      </c>
      <c r="F7306" s="432" t="s">
        <v>620</v>
      </c>
      <c r="G7306" s="89">
        <v>2019</v>
      </c>
      <c r="H7306" s="313" t="s">
        <v>733</v>
      </c>
      <c r="I7306" s="311" t="str">
        <f t="shared" si="323"/>
        <v>Pesado de Passageiros M3:  : Gasóleo : E6</v>
      </c>
      <c r="J7306" s="422">
        <v>53</v>
      </c>
      <c r="K7306" s="422">
        <v>2023</v>
      </c>
      <c r="L7306">
        <v>128</v>
      </c>
      <c r="M7306" s="422" t="s">
        <v>630</v>
      </c>
      <c r="N7306" s="131">
        <v>533</v>
      </c>
      <c r="O7306" s="436">
        <f t="shared" si="324"/>
        <v>28249</v>
      </c>
      <c r="P7306" s="89">
        <v>6858</v>
      </c>
      <c r="Q7306" t="s">
        <v>47</v>
      </c>
      <c r="R7306" s="422" t="s">
        <v>1869</v>
      </c>
      <c r="S7306" s="422" t="s">
        <v>1861</v>
      </c>
      <c r="T7306" s="422"/>
      <c r="U7306" s="422" t="s">
        <v>1953</v>
      </c>
      <c r="V7306" s="422" t="s">
        <v>2813</v>
      </c>
    </row>
    <row r="7307" spans="1:22" ht="15.75" thickBot="1" x14ac:dyDescent="0.3">
      <c r="A7307" t="s">
        <v>1072</v>
      </c>
      <c r="B7307" s="424" t="str">
        <f t="shared" si="325"/>
        <v>Barraqueiro Transportes</v>
      </c>
      <c r="C7307" s="424" t="str">
        <f t="shared" si="326"/>
        <v>Frota Azul</v>
      </c>
      <c r="D7307" t="s">
        <v>629</v>
      </c>
      <c r="F7307" s="432" t="s">
        <v>620</v>
      </c>
      <c r="G7307" s="89">
        <v>2019</v>
      </c>
      <c r="H7307" s="313" t="s">
        <v>733</v>
      </c>
      <c r="I7307" s="311" t="str">
        <f t="shared" si="323"/>
        <v>Pesado de Passageiros M3:  : Gasóleo : E6</v>
      </c>
      <c r="J7307" s="422">
        <v>53</v>
      </c>
      <c r="K7307" s="422">
        <v>2023</v>
      </c>
      <c r="L7307">
        <v>3731.25</v>
      </c>
      <c r="M7307" s="422" t="s">
        <v>630</v>
      </c>
      <c r="N7307" s="131">
        <v>14619</v>
      </c>
      <c r="O7307" s="436">
        <f t="shared" si="324"/>
        <v>774807</v>
      </c>
      <c r="P7307" s="89">
        <v>6859</v>
      </c>
      <c r="Q7307" t="s">
        <v>47</v>
      </c>
      <c r="R7307" s="422" t="s">
        <v>1869</v>
      </c>
      <c r="S7307" s="422" t="s">
        <v>1861</v>
      </c>
      <c r="T7307" s="422"/>
      <c r="U7307" s="422" t="s">
        <v>1953</v>
      </c>
      <c r="V7307" s="422" t="s">
        <v>2813</v>
      </c>
    </row>
    <row r="7308" spans="1:22" ht="15.75" thickBot="1" x14ac:dyDescent="0.3">
      <c r="A7308" t="s">
        <v>1072</v>
      </c>
      <c r="B7308" s="424" t="str">
        <f t="shared" si="325"/>
        <v>Barraqueiro Transportes</v>
      </c>
      <c r="C7308" s="424" t="str">
        <f t="shared" si="326"/>
        <v>Frota Azul</v>
      </c>
      <c r="D7308" t="s">
        <v>629</v>
      </c>
      <c r="F7308" s="432" t="s">
        <v>620</v>
      </c>
      <c r="G7308" s="89">
        <v>2019</v>
      </c>
      <c r="H7308" s="313" t="s">
        <v>733</v>
      </c>
      <c r="I7308" s="311" t="str">
        <f t="shared" si="323"/>
        <v>Pesado de Passageiros M3:  : Gasóleo : E6</v>
      </c>
      <c r="J7308" s="422">
        <v>53</v>
      </c>
      <c r="K7308" s="422">
        <v>2023</v>
      </c>
      <c r="L7308">
        <v>24045.35</v>
      </c>
      <c r="M7308" s="422" t="s">
        <v>630</v>
      </c>
      <c r="N7308" s="131">
        <v>94161</v>
      </c>
      <c r="O7308" s="436">
        <f t="shared" si="324"/>
        <v>4990533</v>
      </c>
      <c r="P7308" s="89">
        <v>6860</v>
      </c>
      <c r="Q7308" t="s">
        <v>47</v>
      </c>
      <c r="R7308" s="422" t="s">
        <v>1869</v>
      </c>
      <c r="S7308" s="422" t="s">
        <v>1861</v>
      </c>
      <c r="T7308" s="422"/>
      <c r="U7308" s="422" t="s">
        <v>1953</v>
      </c>
      <c r="V7308" s="422" t="s">
        <v>2813</v>
      </c>
    </row>
    <row r="7309" spans="1:22" ht="15.75" thickBot="1" x14ac:dyDescent="0.3">
      <c r="A7309" t="s">
        <v>1072</v>
      </c>
      <c r="B7309" s="424" t="str">
        <f t="shared" si="325"/>
        <v>Barraqueiro Transportes</v>
      </c>
      <c r="C7309" s="424" t="str">
        <f t="shared" si="326"/>
        <v>Frota Azul</v>
      </c>
      <c r="D7309" t="s">
        <v>629</v>
      </c>
      <c r="F7309" s="432" t="s">
        <v>620</v>
      </c>
      <c r="G7309" s="89">
        <v>2019</v>
      </c>
      <c r="H7309" s="313" t="s">
        <v>733</v>
      </c>
      <c r="I7309" s="311" t="str">
        <f t="shared" si="323"/>
        <v>Pesado de Passageiros M3:  : Gasóleo : E6</v>
      </c>
      <c r="J7309" s="422">
        <v>53</v>
      </c>
      <c r="K7309" s="422">
        <v>2023</v>
      </c>
      <c r="L7309">
        <v>27346.239999999998</v>
      </c>
      <c r="M7309" s="422" t="s">
        <v>630</v>
      </c>
      <c r="N7309" s="131">
        <v>104332</v>
      </c>
      <c r="O7309" s="436">
        <f t="shared" si="324"/>
        <v>5529596</v>
      </c>
      <c r="P7309" s="89">
        <v>6861</v>
      </c>
      <c r="Q7309" t="s">
        <v>47</v>
      </c>
      <c r="R7309" s="422" t="s">
        <v>1869</v>
      </c>
      <c r="S7309" s="422" t="s">
        <v>1861</v>
      </c>
      <c r="T7309" s="422"/>
      <c r="U7309" s="422" t="s">
        <v>1953</v>
      </c>
      <c r="V7309" s="422" t="s">
        <v>2813</v>
      </c>
    </row>
    <row r="7310" spans="1:22" ht="15.75" thickBot="1" x14ac:dyDescent="0.3">
      <c r="A7310" t="s">
        <v>1072</v>
      </c>
      <c r="B7310" s="424" t="str">
        <f t="shared" si="325"/>
        <v>Barraqueiro Transportes</v>
      </c>
      <c r="C7310" s="424" t="str">
        <f t="shared" si="326"/>
        <v>Frota Azul</v>
      </c>
      <c r="D7310" t="s">
        <v>629</v>
      </c>
      <c r="F7310" s="432" t="s">
        <v>620</v>
      </c>
      <c r="G7310" s="89">
        <v>2019</v>
      </c>
      <c r="H7310" s="313" t="s">
        <v>733</v>
      </c>
      <c r="I7310" s="311" t="str">
        <f t="shared" si="323"/>
        <v>Pesado de Passageiros M3:  : Gasóleo : E6</v>
      </c>
      <c r="J7310" s="422">
        <v>53</v>
      </c>
      <c r="K7310" s="422">
        <v>2023</v>
      </c>
      <c r="L7310">
        <v>24800.76</v>
      </c>
      <c r="M7310" s="422" t="s">
        <v>630</v>
      </c>
      <c r="N7310" s="131">
        <v>92981</v>
      </c>
      <c r="O7310" s="436">
        <f t="shared" si="324"/>
        <v>4927993</v>
      </c>
      <c r="P7310" s="89">
        <v>6862</v>
      </c>
      <c r="Q7310" t="s">
        <v>47</v>
      </c>
      <c r="R7310" s="422" t="s">
        <v>1869</v>
      </c>
      <c r="S7310" s="422" t="s">
        <v>1861</v>
      </c>
      <c r="T7310" s="422"/>
      <c r="U7310" s="422" t="s">
        <v>1953</v>
      </c>
      <c r="V7310" s="422" t="s">
        <v>2813</v>
      </c>
    </row>
    <row r="7311" spans="1:22" ht="15.75" thickBot="1" x14ac:dyDescent="0.3">
      <c r="A7311" t="s">
        <v>1072</v>
      </c>
      <c r="B7311" s="424" t="str">
        <f t="shared" si="325"/>
        <v>Barraqueiro Transportes</v>
      </c>
      <c r="C7311" s="424" t="str">
        <f t="shared" si="326"/>
        <v>Frota Azul</v>
      </c>
      <c r="D7311" t="s">
        <v>629</v>
      </c>
      <c r="F7311" s="432" t="s">
        <v>620</v>
      </c>
      <c r="G7311" s="89">
        <v>2019</v>
      </c>
      <c r="H7311" s="313" t="s">
        <v>733</v>
      </c>
      <c r="I7311" s="311" t="str">
        <f t="shared" si="323"/>
        <v>Pesado de Passageiros M3:  : Gasóleo : E6</v>
      </c>
      <c r="J7311" s="422">
        <v>53</v>
      </c>
      <c r="K7311" s="422">
        <v>2023</v>
      </c>
      <c r="L7311">
        <v>15543.330000000002</v>
      </c>
      <c r="M7311" s="422" t="s">
        <v>630</v>
      </c>
      <c r="N7311" s="131">
        <v>60490</v>
      </c>
      <c r="O7311" s="436">
        <f t="shared" si="324"/>
        <v>3205970</v>
      </c>
      <c r="P7311" s="89">
        <v>6863</v>
      </c>
      <c r="Q7311" t="s">
        <v>47</v>
      </c>
      <c r="R7311" s="422" t="s">
        <v>1869</v>
      </c>
      <c r="S7311" s="422" t="s">
        <v>1861</v>
      </c>
      <c r="T7311" s="422"/>
      <c r="U7311" s="422" t="s">
        <v>1953</v>
      </c>
      <c r="V7311" s="422" t="s">
        <v>2813</v>
      </c>
    </row>
    <row r="7312" spans="1:22" ht="15.75" thickBot="1" x14ac:dyDescent="0.3">
      <c r="A7312" t="s">
        <v>1072</v>
      </c>
      <c r="B7312" s="424" t="str">
        <f t="shared" si="325"/>
        <v>Barraqueiro Transportes</v>
      </c>
      <c r="C7312" s="424" t="str">
        <f t="shared" si="326"/>
        <v>Frota Azul</v>
      </c>
      <c r="D7312" t="s">
        <v>629</v>
      </c>
      <c r="F7312" s="432" t="s">
        <v>620</v>
      </c>
      <c r="G7312" s="89">
        <v>2019</v>
      </c>
      <c r="H7312" s="313" t="s">
        <v>733</v>
      </c>
      <c r="I7312" s="311" t="str">
        <f t="shared" si="323"/>
        <v>Pesado de Passageiros M3:  : Gasóleo : E6</v>
      </c>
      <c r="J7312" s="422">
        <v>53</v>
      </c>
      <c r="K7312" s="422">
        <v>2023</v>
      </c>
      <c r="L7312">
        <v>20452</v>
      </c>
      <c r="M7312" s="422" t="s">
        <v>630</v>
      </c>
      <c r="N7312" s="131">
        <v>77405</v>
      </c>
      <c r="O7312" s="436">
        <f t="shared" si="324"/>
        <v>4102465</v>
      </c>
      <c r="P7312" s="89">
        <v>6864</v>
      </c>
      <c r="Q7312" t="s">
        <v>47</v>
      </c>
      <c r="R7312" s="422" t="s">
        <v>1869</v>
      </c>
      <c r="S7312" s="422" t="s">
        <v>1861</v>
      </c>
      <c r="T7312" s="422"/>
      <c r="U7312" s="422" t="s">
        <v>1953</v>
      </c>
      <c r="V7312" s="422" t="s">
        <v>2813</v>
      </c>
    </row>
    <row r="7313" spans="1:22" ht="15.75" thickBot="1" x14ac:dyDescent="0.3">
      <c r="A7313" t="s">
        <v>1072</v>
      </c>
      <c r="B7313" s="424" t="str">
        <f t="shared" si="325"/>
        <v>Barraqueiro Transportes</v>
      </c>
      <c r="C7313" s="424" t="str">
        <f t="shared" si="326"/>
        <v>Frota Azul</v>
      </c>
      <c r="D7313" t="s">
        <v>629</v>
      </c>
      <c r="F7313" s="432" t="s">
        <v>620</v>
      </c>
      <c r="G7313" s="89">
        <v>2019</v>
      </c>
      <c r="H7313" s="313" t="s">
        <v>733</v>
      </c>
      <c r="I7313" s="311" t="str">
        <f t="shared" si="323"/>
        <v>Pesado de Passageiros M3:  : Gasóleo : E6</v>
      </c>
      <c r="J7313" s="422">
        <v>53</v>
      </c>
      <c r="K7313" s="422">
        <v>2023</v>
      </c>
      <c r="L7313">
        <v>25371.250000000004</v>
      </c>
      <c r="M7313" s="422" t="s">
        <v>630</v>
      </c>
      <c r="N7313" s="131">
        <v>98439</v>
      </c>
      <c r="O7313" s="436">
        <f t="shared" si="324"/>
        <v>5217267</v>
      </c>
      <c r="P7313" s="89">
        <v>6865</v>
      </c>
      <c r="Q7313" t="s">
        <v>47</v>
      </c>
      <c r="R7313" s="422" t="s">
        <v>1869</v>
      </c>
      <c r="S7313" s="422" t="s">
        <v>1861</v>
      </c>
      <c r="T7313" s="422"/>
      <c r="U7313" s="422" t="s">
        <v>1953</v>
      </c>
      <c r="V7313" s="422" t="s">
        <v>2813</v>
      </c>
    </row>
    <row r="7314" spans="1:22" ht="15.75" thickBot="1" x14ac:dyDescent="0.3">
      <c r="A7314" t="s">
        <v>1072</v>
      </c>
      <c r="B7314" s="424" t="str">
        <f t="shared" si="325"/>
        <v>Barraqueiro Transportes</v>
      </c>
      <c r="C7314" s="424" t="str">
        <f t="shared" si="326"/>
        <v>Frota Azul</v>
      </c>
      <c r="D7314" t="s">
        <v>629</v>
      </c>
      <c r="F7314" s="432" t="s">
        <v>620</v>
      </c>
      <c r="G7314" s="89">
        <v>2019</v>
      </c>
      <c r="H7314" s="313" t="s">
        <v>733</v>
      </c>
      <c r="I7314" s="311" t="str">
        <f t="shared" si="323"/>
        <v>Pesado de Passageiros M3:  : Gasóleo : E6</v>
      </c>
      <c r="J7314" s="422">
        <v>53</v>
      </c>
      <c r="K7314" s="422">
        <v>2023</v>
      </c>
      <c r="L7314">
        <v>7232.2400000000007</v>
      </c>
      <c r="M7314" s="422" t="s">
        <v>630</v>
      </c>
      <c r="N7314" s="131">
        <v>28122</v>
      </c>
      <c r="O7314" s="436">
        <f t="shared" si="324"/>
        <v>1490466</v>
      </c>
      <c r="P7314" s="89">
        <v>6866</v>
      </c>
      <c r="Q7314" t="s">
        <v>47</v>
      </c>
      <c r="R7314" s="422" t="s">
        <v>1869</v>
      </c>
      <c r="S7314" s="422" t="s">
        <v>1861</v>
      </c>
      <c r="T7314" s="422"/>
      <c r="U7314" s="422" t="s">
        <v>1953</v>
      </c>
      <c r="V7314" s="422" t="s">
        <v>2813</v>
      </c>
    </row>
    <row r="7315" spans="1:22" ht="15.75" thickBot="1" x14ac:dyDescent="0.3">
      <c r="A7315" t="s">
        <v>1072</v>
      </c>
      <c r="B7315" s="424" t="str">
        <f t="shared" si="325"/>
        <v>Barraqueiro Transportes</v>
      </c>
      <c r="C7315" s="424" t="str">
        <f t="shared" si="326"/>
        <v>Frota Azul</v>
      </c>
      <c r="D7315" t="s">
        <v>629</v>
      </c>
      <c r="F7315" s="432" t="s">
        <v>620</v>
      </c>
      <c r="G7315" s="89">
        <v>2019</v>
      </c>
      <c r="H7315" s="313" t="s">
        <v>733</v>
      </c>
      <c r="I7315" s="311" t="str">
        <f t="shared" si="323"/>
        <v>Pesado de Passageiros M3:  : Gasóleo : E6</v>
      </c>
      <c r="J7315" s="422">
        <v>53</v>
      </c>
      <c r="K7315" s="422">
        <v>2023</v>
      </c>
      <c r="L7315">
        <v>19815.14</v>
      </c>
      <c r="M7315" s="422" t="s">
        <v>630</v>
      </c>
      <c r="N7315" s="131">
        <v>78335</v>
      </c>
      <c r="O7315" s="436">
        <f t="shared" si="324"/>
        <v>4151755</v>
      </c>
      <c r="P7315" s="89">
        <v>6867</v>
      </c>
      <c r="Q7315" t="s">
        <v>47</v>
      </c>
      <c r="R7315" s="422" t="s">
        <v>1869</v>
      </c>
      <c r="S7315" s="422" t="s">
        <v>1861</v>
      </c>
      <c r="T7315" s="422"/>
      <c r="U7315" s="422" t="s">
        <v>1953</v>
      </c>
      <c r="V7315" s="422" t="s">
        <v>2813</v>
      </c>
    </row>
    <row r="7316" spans="1:22" ht="15.75" thickBot="1" x14ac:dyDescent="0.3">
      <c r="A7316" t="s">
        <v>1072</v>
      </c>
      <c r="B7316" s="424" t="str">
        <f t="shared" si="325"/>
        <v>Barraqueiro Transportes</v>
      </c>
      <c r="C7316" s="424" t="str">
        <f t="shared" si="326"/>
        <v>Frota Azul</v>
      </c>
      <c r="D7316" t="s">
        <v>629</v>
      </c>
      <c r="F7316" s="432" t="s">
        <v>620</v>
      </c>
      <c r="G7316" s="89">
        <v>2019</v>
      </c>
      <c r="H7316" s="313" t="s">
        <v>733</v>
      </c>
      <c r="I7316" s="311" t="str">
        <f t="shared" si="323"/>
        <v>Pesado de Passageiros M3:  : Gasóleo : E6</v>
      </c>
      <c r="J7316" s="422">
        <v>63</v>
      </c>
      <c r="K7316" s="422">
        <v>2023</v>
      </c>
      <c r="L7316">
        <v>58370.721000000005</v>
      </c>
      <c r="M7316" s="422" t="s">
        <v>630</v>
      </c>
      <c r="N7316" s="131">
        <v>198903</v>
      </c>
      <c r="O7316" s="436">
        <f t="shared" si="324"/>
        <v>12530889</v>
      </c>
      <c r="P7316" s="89">
        <v>6869</v>
      </c>
      <c r="Q7316" t="s">
        <v>47</v>
      </c>
      <c r="R7316" s="422" t="s">
        <v>1869</v>
      </c>
      <c r="S7316" s="422" t="s">
        <v>1861</v>
      </c>
      <c r="T7316" s="422"/>
      <c r="U7316" s="422" t="s">
        <v>1953</v>
      </c>
      <c r="V7316" s="422" t="s">
        <v>2813</v>
      </c>
    </row>
    <row r="7317" spans="1:22" ht="15.75" thickBot="1" x14ac:dyDescent="0.3">
      <c r="A7317" t="s">
        <v>1072</v>
      </c>
      <c r="B7317" s="424" t="str">
        <f t="shared" si="325"/>
        <v>Barraqueiro Transportes</v>
      </c>
      <c r="C7317" s="424" t="str">
        <f t="shared" si="326"/>
        <v>Frota Azul</v>
      </c>
      <c r="D7317" t="s">
        <v>629</v>
      </c>
      <c r="F7317" s="432" t="s">
        <v>620</v>
      </c>
      <c r="G7317" s="89">
        <v>2020</v>
      </c>
      <c r="H7317" s="313" t="s">
        <v>733</v>
      </c>
      <c r="I7317" s="311" t="str">
        <f t="shared" si="323"/>
        <v>Pesado de Passageiros M3:  : Gasóleo : E6</v>
      </c>
      <c r="J7317" s="422">
        <v>53</v>
      </c>
      <c r="K7317" s="422">
        <v>2023</v>
      </c>
      <c r="L7317">
        <v>23563.870000000003</v>
      </c>
      <c r="M7317" s="422" t="s">
        <v>630</v>
      </c>
      <c r="N7317" s="131">
        <v>91180</v>
      </c>
      <c r="O7317" s="436">
        <f t="shared" si="324"/>
        <v>4832540</v>
      </c>
      <c r="P7317" s="89">
        <v>6875</v>
      </c>
      <c r="Q7317" t="s">
        <v>47</v>
      </c>
      <c r="R7317" s="422" t="s">
        <v>1869</v>
      </c>
      <c r="S7317" s="422" t="s">
        <v>1861</v>
      </c>
      <c r="T7317" s="422"/>
      <c r="U7317" s="422" t="s">
        <v>1953</v>
      </c>
      <c r="V7317" s="422" t="s">
        <v>2813</v>
      </c>
    </row>
    <row r="7318" spans="1:22" ht="15.75" thickBot="1" x14ac:dyDescent="0.3">
      <c r="A7318" t="s">
        <v>1072</v>
      </c>
      <c r="B7318" s="424" t="str">
        <f t="shared" si="325"/>
        <v>Barraqueiro Transportes</v>
      </c>
      <c r="C7318" s="424" t="str">
        <f t="shared" si="326"/>
        <v>Frota Azul</v>
      </c>
      <c r="D7318" t="s">
        <v>629</v>
      </c>
      <c r="F7318" s="432" t="s">
        <v>620</v>
      </c>
      <c r="G7318" s="89">
        <v>2020</v>
      </c>
      <c r="H7318" s="313" t="s">
        <v>733</v>
      </c>
      <c r="I7318" s="311" t="str">
        <f t="shared" si="323"/>
        <v>Pesado de Passageiros M3:  : Gasóleo : E6</v>
      </c>
      <c r="J7318" s="422">
        <v>53</v>
      </c>
      <c r="K7318" s="422">
        <v>2023</v>
      </c>
      <c r="L7318">
        <v>21470.210000000003</v>
      </c>
      <c r="M7318" s="422" t="s">
        <v>630</v>
      </c>
      <c r="N7318" s="131">
        <v>88891</v>
      </c>
      <c r="O7318" s="436">
        <f t="shared" si="324"/>
        <v>4711223</v>
      </c>
      <c r="P7318" s="89">
        <v>6876</v>
      </c>
      <c r="Q7318" t="s">
        <v>47</v>
      </c>
      <c r="R7318" s="422" t="s">
        <v>1869</v>
      </c>
      <c r="S7318" s="422" t="s">
        <v>1861</v>
      </c>
      <c r="T7318" s="422"/>
      <c r="U7318" s="422" t="s">
        <v>1953</v>
      </c>
      <c r="V7318" s="422" t="s">
        <v>2813</v>
      </c>
    </row>
    <row r="7319" spans="1:22" ht="15.75" thickBot="1" x14ac:dyDescent="0.3">
      <c r="A7319" t="s">
        <v>1072</v>
      </c>
      <c r="B7319" s="424" t="str">
        <f t="shared" si="325"/>
        <v>Barraqueiro Transportes</v>
      </c>
      <c r="C7319" s="424" t="str">
        <f t="shared" si="326"/>
        <v>Frota Azul</v>
      </c>
      <c r="D7319" t="s">
        <v>629</v>
      </c>
      <c r="F7319" s="432" t="s">
        <v>620</v>
      </c>
      <c r="G7319" s="89">
        <v>2020</v>
      </c>
      <c r="H7319" s="313" t="s">
        <v>733</v>
      </c>
      <c r="I7319" s="311" t="str">
        <f t="shared" si="323"/>
        <v>Pesado de Passageiros M3:  : Gasóleo : E6</v>
      </c>
      <c r="J7319" s="422">
        <v>53</v>
      </c>
      <c r="K7319" s="422">
        <v>2023</v>
      </c>
      <c r="L7319">
        <v>23220.959999999999</v>
      </c>
      <c r="M7319" s="422" t="s">
        <v>630</v>
      </c>
      <c r="N7319" s="131">
        <v>93910</v>
      </c>
      <c r="O7319" s="436">
        <f t="shared" si="324"/>
        <v>4977230</v>
      </c>
      <c r="P7319" s="89">
        <v>6877</v>
      </c>
      <c r="Q7319" t="s">
        <v>47</v>
      </c>
      <c r="R7319" s="422" t="s">
        <v>1869</v>
      </c>
      <c r="S7319" s="422" t="s">
        <v>1861</v>
      </c>
      <c r="T7319" s="422"/>
      <c r="U7319" s="422" t="s">
        <v>1953</v>
      </c>
      <c r="V7319" s="422" t="s">
        <v>2813</v>
      </c>
    </row>
    <row r="7320" spans="1:22" ht="15.75" thickBot="1" x14ac:dyDescent="0.3">
      <c r="A7320" t="s">
        <v>1072</v>
      </c>
      <c r="B7320" s="424" t="str">
        <f t="shared" si="325"/>
        <v>Barraqueiro Transportes</v>
      </c>
      <c r="C7320" s="424" t="str">
        <f t="shared" si="326"/>
        <v>Frota Azul</v>
      </c>
      <c r="D7320" t="s">
        <v>629</v>
      </c>
      <c r="F7320" s="432" t="s">
        <v>620</v>
      </c>
      <c r="G7320" s="89">
        <v>2020</v>
      </c>
      <c r="H7320" s="313" t="s">
        <v>733</v>
      </c>
      <c r="I7320" s="311" t="str">
        <f t="shared" si="323"/>
        <v>Pesado de Passageiros M3:  : Gasóleo : E6</v>
      </c>
      <c r="J7320" s="422">
        <v>53</v>
      </c>
      <c r="K7320" s="422">
        <v>2023</v>
      </c>
      <c r="L7320">
        <v>20046.04</v>
      </c>
      <c r="M7320" s="422" t="s">
        <v>630</v>
      </c>
      <c r="N7320" s="131">
        <v>76743</v>
      </c>
      <c r="O7320" s="436">
        <f t="shared" si="324"/>
        <v>4067379</v>
      </c>
      <c r="P7320" s="89">
        <v>6878</v>
      </c>
      <c r="Q7320" t="s">
        <v>47</v>
      </c>
      <c r="R7320" s="422" t="s">
        <v>1869</v>
      </c>
      <c r="S7320" s="422" t="s">
        <v>1861</v>
      </c>
      <c r="T7320" s="422"/>
      <c r="U7320" s="422" t="s">
        <v>1953</v>
      </c>
      <c r="V7320" s="422" t="s">
        <v>2813</v>
      </c>
    </row>
    <row r="7321" spans="1:22" ht="15.75" thickBot="1" x14ac:dyDescent="0.3">
      <c r="A7321" t="s">
        <v>1072</v>
      </c>
      <c r="B7321" s="424" t="str">
        <f t="shared" si="325"/>
        <v>Barraqueiro Transportes</v>
      </c>
      <c r="C7321" s="424" t="str">
        <f t="shared" si="326"/>
        <v>Frota Azul</v>
      </c>
      <c r="D7321" t="s">
        <v>629</v>
      </c>
      <c r="F7321" s="432" t="s">
        <v>620</v>
      </c>
      <c r="G7321" s="89">
        <v>2020</v>
      </c>
      <c r="H7321" s="313" t="s">
        <v>733</v>
      </c>
      <c r="I7321" s="311" t="str">
        <f t="shared" si="323"/>
        <v>Pesado de Passageiros M3:  : Gasóleo : E6</v>
      </c>
      <c r="J7321" s="422">
        <v>53</v>
      </c>
      <c r="K7321" s="422">
        <v>2023</v>
      </c>
      <c r="L7321">
        <v>20410.579999999998</v>
      </c>
      <c r="M7321" s="422" t="s">
        <v>630</v>
      </c>
      <c r="N7321" s="131">
        <v>92783</v>
      </c>
      <c r="O7321" s="436">
        <f t="shared" si="324"/>
        <v>4917499</v>
      </c>
      <c r="P7321" s="89">
        <v>6879</v>
      </c>
      <c r="Q7321" t="s">
        <v>47</v>
      </c>
      <c r="R7321" s="422" t="s">
        <v>1869</v>
      </c>
      <c r="S7321" s="422" t="s">
        <v>1861</v>
      </c>
      <c r="T7321" s="422"/>
      <c r="U7321" s="422" t="s">
        <v>1953</v>
      </c>
      <c r="V7321" s="422" t="s">
        <v>2813</v>
      </c>
    </row>
    <row r="7322" spans="1:22" ht="15.75" thickBot="1" x14ac:dyDescent="0.3">
      <c r="A7322" t="s">
        <v>1072</v>
      </c>
      <c r="B7322" s="424" t="str">
        <f t="shared" si="325"/>
        <v>Barraqueiro Transportes</v>
      </c>
      <c r="C7322" s="424" t="str">
        <f t="shared" si="326"/>
        <v>Frota Azul</v>
      </c>
      <c r="D7322" t="s">
        <v>629</v>
      </c>
      <c r="F7322" s="432" t="s">
        <v>620</v>
      </c>
      <c r="G7322" s="89">
        <v>2020</v>
      </c>
      <c r="H7322" s="313" t="s">
        <v>733</v>
      </c>
      <c r="I7322" s="311" t="str">
        <f t="shared" si="323"/>
        <v>Pesado de Passageiros M3:  : Gasóleo : E6</v>
      </c>
      <c r="J7322" s="422">
        <v>53</v>
      </c>
      <c r="K7322" s="422">
        <v>2023</v>
      </c>
      <c r="L7322">
        <v>22498.989999999998</v>
      </c>
      <c r="M7322" s="422" t="s">
        <v>630</v>
      </c>
      <c r="N7322" s="131">
        <v>97090</v>
      </c>
      <c r="O7322" s="436">
        <f t="shared" si="324"/>
        <v>5145770</v>
      </c>
      <c r="P7322" s="89">
        <v>6880</v>
      </c>
      <c r="Q7322" t="s">
        <v>47</v>
      </c>
      <c r="R7322" s="422" t="s">
        <v>1869</v>
      </c>
      <c r="S7322" s="422" t="s">
        <v>1861</v>
      </c>
      <c r="T7322" s="422"/>
      <c r="U7322" s="422" t="s">
        <v>1953</v>
      </c>
      <c r="V7322" s="422" t="s">
        <v>2813</v>
      </c>
    </row>
    <row r="7323" spans="1:22" ht="15.75" thickBot="1" x14ac:dyDescent="0.3">
      <c r="A7323" t="s">
        <v>1072</v>
      </c>
      <c r="B7323" s="424" t="str">
        <f t="shared" si="325"/>
        <v>Barraqueiro Transportes</v>
      </c>
      <c r="C7323" s="424" t="str">
        <f t="shared" si="326"/>
        <v>Frota Azul</v>
      </c>
      <c r="D7323" t="s">
        <v>629</v>
      </c>
      <c r="F7323" s="432" t="s">
        <v>620</v>
      </c>
      <c r="G7323" s="89">
        <v>2020</v>
      </c>
      <c r="H7323" s="313" t="s">
        <v>733</v>
      </c>
      <c r="I7323" s="311" t="str">
        <f t="shared" si="323"/>
        <v>Pesado de Passageiros M3:  : Gasóleo : E6</v>
      </c>
      <c r="J7323" s="422">
        <v>53</v>
      </c>
      <c r="K7323" s="422">
        <v>2023</v>
      </c>
      <c r="L7323">
        <v>20194.080000000002</v>
      </c>
      <c r="M7323" s="422" t="s">
        <v>630</v>
      </c>
      <c r="N7323" s="131">
        <v>81668</v>
      </c>
      <c r="O7323" s="436">
        <f t="shared" si="324"/>
        <v>4328404</v>
      </c>
      <c r="P7323" s="89">
        <v>6881</v>
      </c>
      <c r="Q7323" t="s">
        <v>47</v>
      </c>
      <c r="R7323" s="422" t="s">
        <v>1869</v>
      </c>
      <c r="S7323" s="422" t="s">
        <v>1861</v>
      </c>
      <c r="T7323" s="422"/>
      <c r="U7323" s="422" t="s">
        <v>1953</v>
      </c>
      <c r="V7323" s="422" t="s">
        <v>2813</v>
      </c>
    </row>
    <row r="7324" spans="1:22" ht="15.75" thickBot="1" x14ac:dyDescent="0.3">
      <c r="A7324" t="s">
        <v>1072</v>
      </c>
      <c r="B7324" s="424" t="str">
        <f t="shared" si="325"/>
        <v>Barraqueiro Transportes</v>
      </c>
      <c r="C7324" s="424" t="str">
        <f t="shared" si="326"/>
        <v>Frota Azul</v>
      </c>
      <c r="D7324" t="s">
        <v>629</v>
      </c>
      <c r="F7324" s="432" t="s">
        <v>620</v>
      </c>
      <c r="G7324" s="89">
        <v>2020</v>
      </c>
      <c r="H7324" s="313" t="s">
        <v>733</v>
      </c>
      <c r="I7324" s="311" t="str">
        <f t="shared" si="323"/>
        <v>Pesado de Passageiros M3:  : Gasóleo : E6</v>
      </c>
      <c r="J7324" s="422">
        <v>53</v>
      </c>
      <c r="K7324" s="422">
        <v>2023</v>
      </c>
      <c r="L7324">
        <v>20517.910000000003</v>
      </c>
      <c r="M7324" s="422" t="s">
        <v>630</v>
      </c>
      <c r="N7324" s="131">
        <v>83824</v>
      </c>
      <c r="O7324" s="436">
        <f t="shared" si="324"/>
        <v>4442672</v>
      </c>
      <c r="P7324" s="89">
        <v>6882</v>
      </c>
      <c r="Q7324" t="s">
        <v>47</v>
      </c>
      <c r="R7324" s="422" t="s">
        <v>1869</v>
      </c>
      <c r="S7324" s="422" t="s">
        <v>1861</v>
      </c>
      <c r="T7324" s="422"/>
      <c r="U7324" s="422" t="s">
        <v>1953</v>
      </c>
      <c r="V7324" s="422" t="s">
        <v>2813</v>
      </c>
    </row>
    <row r="7325" spans="1:22" ht="15.75" thickBot="1" x14ac:dyDescent="0.3">
      <c r="A7325" t="s">
        <v>1072</v>
      </c>
      <c r="B7325" s="424" t="str">
        <f t="shared" si="325"/>
        <v>Barraqueiro Transportes</v>
      </c>
      <c r="C7325" s="424" t="str">
        <f t="shared" si="326"/>
        <v>Frota Azul</v>
      </c>
      <c r="D7325" t="s">
        <v>629</v>
      </c>
      <c r="F7325" s="432" t="s">
        <v>620</v>
      </c>
      <c r="G7325" s="89">
        <v>2020</v>
      </c>
      <c r="H7325" s="313" t="s">
        <v>733</v>
      </c>
      <c r="I7325" s="311" t="str">
        <f t="shared" si="323"/>
        <v>Pesado de Passageiros M3:  : Gasóleo : E6</v>
      </c>
      <c r="J7325" s="422">
        <v>53</v>
      </c>
      <c r="K7325" s="422">
        <v>2023</v>
      </c>
      <c r="L7325">
        <v>18863.317999999999</v>
      </c>
      <c r="M7325" s="422" t="s">
        <v>630</v>
      </c>
      <c r="N7325" s="131">
        <v>84391</v>
      </c>
      <c r="O7325" s="436">
        <f t="shared" si="324"/>
        <v>4472723</v>
      </c>
      <c r="P7325" s="89">
        <v>6883</v>
      </c>
      <c r="Q7325" t="s">
        <v>47</v>
      </c>
      <c r="R7325" s="422" t="s">
        <v>1869</v>
      </c>
      <c r="S7325" s="422" t="s">
        <v>1861</v>
      </c>
      <c r="T7325" s="422"/>
      <c r="U7325" s="422" t="s">
        <v>1953</v>
      </c>
      <c r="V7325" s="422" t="s">
        <v>2813</v>
      </c>
    </row>
    <row r="7326" spans="1:22" ht="15.75" thickBot="1" x14ac:dyDescent="0.3">
      <c r="A7326" t="s">
        <v>1072</v>
      </c>
      <c r="B7326" s="424" t="str">
        <f t="shared" si="325"/>
        <v>Barraqueiro Transportes</v>
      </c>
      <c r="C7326" s="424" t="str">
        <f t="shared" si="326"/>
        <v>Frota Azul</v>
      </c>
      <c r="D7326" t="s">
        <v>629</v>
      </c>
      <c r="F7326" s="432" t="s">
        <v>620</v>
      </c>
      <c r="G7326" s="89">
        <v>2020</v>
      </c>
      <c r="H7326" s="313" t="s">
        <v>733</v>
      </c>
      <c r="I7326" s="311" t="str">
        <f t="shared" si="323"/>
        <v>Pesado de Passageiros M3:  : Gasóleo : E6</v>
      </c>
      <c r="J7326" s="422">
        <v>53</v>
      </c>
      <c r="K7326" s="422">
        <v>2023</v>
      </c>
      <c r="L7326">
        <v>19465.229999999996</v>
      </c>
      <c r="M7326" s="422" t="s">
        <v>630</v>
      </c>
      <c r="N7326" s="131">
        <v>77405</v>
      </c>
      <c r="O7326" s="436">
        <f t="shared" si="324"/>
        <v>4102465</v>
      </c>
      <c r="P7326" s="89">
        <v>6884</v>
      </c>
      <c r="Q7326" t="s">
        <v>47</v>
      </c>
      <c r="R7326" s="422" t="s">
        <v>1869</v>
      </c>
      <c r="S7326" s="422" t="s">
        <v>1861</v>
      </c>
      <c r="T7326" s="422"/>
      <c r="U7326" s="422" t="s">
        <v>1953</v>
      </c>
      <c r="V7326" s="422" t="s">
        <v>2813</v>
      </c>
    </row>
    <row r="7327" spans="1:22" ht="15.75" thickBot="1" x14ac:dyDescent="0.3">
      <c r="A7327" t="s">
        <v>1072</v>
      </c>
      <c r="B7327" s="424" t="str">
        <f t="shared" si="325"/>
        <v>Barraqueiro Transportes</v>
      </c>
      <c r="C7327" s="424" t="str">
        <f t="shared" si="326"/>
        <v>Frota Azul</v>
      </c>
      <c r="D7327" t="s">
        <v>629</v>
      </c>
      <c r="F7327" s="432" t="s">
        <v>620</v>
      </c>
      <c r="G7327" s="89">
        <v>2020</v>
      </c>
      <c r="H7327" s="313" t="s">
        <v>733</v>
      </c>
      <c r="I7327" s="311" t="str">
        <f t="shared" si="323"/>
        <v>Pesado de Passageiros M3:  : Gasóleo : E6</v>
      </c>
      <c r="J7327" s="422">
        <v>53</v>
      </c>
      <c r="K7327" s="422">
        <v>2023</v>
      </c>
      <c r="L7327">
        <v>21456.849999999995</v>
      </c>
      <c r="M7327" s="422" t="s">
        <v>630</v>
      </c>
      <c r="N7327" s="131">
        <v>84382</v>
      </c>
      <c r="O7327" s="436">
        <f t="shared" si="324"/>
        <v>4472246</v>
      </c>
      <c r="P7327" s="89">
        <v>6885</v>
      </c>
      <c r="Q7327" t="s">
        <v>47</v>
      </c>
      <c r="R7327" s="422" t="s">
        <v>1869</v>
      </c>
      <c r="S7327" s="422" t="s">
        <v>1861</v>
      </c>
      <c r="T7327" s="422"/>
      <c r="U7327" s="422" t="s">
        <v>1953</v>
      </c>
      <c r="V7327" s="422" t="s">
        <v>2813</v>
      </c>
    </row>
    <row r="7328" spans="1:22" ht="15.75" thickBot="1" x14ac:dyDescent="0.3">
      <c r="A7328" t="s">
        <v>1072</v>
      </c>
      <c r="B7328" s="424" t="str">
        <f t="shared" si="325"/>
        <v>Barraqueiro Transportes</v>
      </c>
      <c r="C7328" s="424" t="str">
        <f t="shared" si="326"/>
        <v>Frota Azul</v>
      </c>
      <c r="D7328" t="s">
        <v>629</v>
      </c>
      <c r="F7328" s="432" t="s">
        <v>620</v>
      </c>
      <c r="G7328" s="89">
        <v>2020</v>
      </c>
      <c r="H7328" s="313" t="s">
        <v>733</v>
      </c>
      <c r="I7328" s="311" t="str">
        <f t="shared" si="323"/>
        <v>Pesado de Passageiros M3:  : Gasóleo : E6</v>
      </c>
      <c r="J7328" s="422">
        <v>53</v>
      </c>
      <c r="K7328" s="422">
        <v>2023</v>
      </c>
      <c r="L7328">
        <v>17633.158000000003</v>
      </c>
      <c r="M7328" s="422" t="s">
        <v>630</v>
      </c>
      <c r="N7328" s="131">
        <v>69024</v>
      </c>
      <c r="O7328" s="436">
        <f t="shared" si="324"/>
        <v>3658272</v>
      </c>
      <c r="P7328" s="89">
        <v>6886</v>
      </c>
      <c r="Q7328" t="s">
        <v>47</v>
      </c>
      <c r="R7328" s="422" t="s">
        <v>1869</v>
      </c>
      <c r="S7328" s="422" t="s">
        <v>1861</v>
      </c>
      <c r="T7328" s="422"/>
      <c r="U7328" s="422" t="s">
        <v>1953</v>
      </c>
      <c r="V7328" s="422" t="s">
        <v>2813</v>
      </c>
    </row>
    <row r="7329" spans="1:22" ht="15.75" thickBot="1" x14ac:dyDescent="0.3">
      <c r="A7329" t="s">
        <v>1072</v>
      </c>
      <c r="B7329" s="424" t="str">
        <f t="shared" si="325"/>
        <v>Barraqueiro Transportes</v>
      </c>
      <c r="C7329" s="424" t="str">
        <f t="shared" si="326"/>
        <v>Frota Azul</v>
      </c>
      <c r="D7329" t="s">
        <v>629</v>
      </c>
      <c r="F7329" s="432" t="s">
        <v>620</v>
      </c>
      <c r="G7329" s="89">
        <v>2020</v>
      </c>
      <c r="H7329" s="313" t="s">
        <v>733</v>
      </c>
      <c r="I7329" s="311" t="str">
        <f t="shared" si="323"/>
        <v>Pesado de Passageiros M3:  : Gasóleo : E6</v>
      </c>
      <c r="J7329" s="422">
        <v>53</v>
      </c>
      <c r="K7329" s="422">
        <v>2023</v>
      </c>
      <c r="L7329">
        <v>19365.449999999997</v>
      </c>
      <c r="M7329" s="422" t="s">
        <v>630</v>
      </c>
      <c r="N7329" s="131">
        <v>78812</v>
      </c>
      <c r="O7329" s="436">
        <f t="shared" si="324"/>
        <v>4177036</v>
      </c>
      <c r="P7329" s="89">
        <v>6887</v>
      </c>
      <c r="Q7329" t="s">
        <v>47</v>
      </c>
      <c r="R7329" s="422" t="s">
        <v>1869</v>
      </c>
      <c r="S7329" s="422" t="s">
        <v>1861</v>
      </c>
      <c r="T7329" s="422"/>
      <c r="U7329" s="422" t="s">
        <v>1953</v>
      </c>
      <c r="V7329" s="422" t="s">
        <v>2813</v>
      </c>
    </row>
    <row r="7330" spans="1:22" ht="15.75" thickBot="1" x14ac:dyDescent="0.3">
      <c r="A7330" t="s">
        <v>1072</v>
      </c>
      <c r="B7330" s="424" t="str">
        <f t="shared" si="325"/>
        <v>Barraqueiro Transportes</v>
      </c>
      <c r="C7330" s="424" t="str">
        <f t="shared" si="326"/>
        <v>Frota Azul</v>
      </c>
      <c r="D7330" t="s">
        <v>629</v>
      </c>
      <c r="F7330" s="432" t="s">
        <v>620</v>
      </c>
      <c r="G7330" s="89">
        <v>2020</v>
      </c>
      <c r="H7330" s="313" t="s">
        <v>733</v>
      </c>
      <c r="I7330" s="311" t="str">
        <f t="shared" ref="I7330:I7393" si="327">D7330&amp;": "&amp;E7330&amp;" : "&amp;F7330&amp;" : "&amp;H7330</f>
        <v>Pesado de Passageiros M3:  : Gasóleo : E6</v>
      </c>
      <c r="J7330" s="422">
        <v>53</v>
      </c>
      <c r="K7330" s="422">
        <v>2023</v>
      </c>
      <c r="L7330">
        <v>18065.87</v>
      </c>
      <c r="M7330" s="422" t="s">
        <v>630</v>
      </c>
      <c r="N7330" s="131">
        <v>75084</v>
      </c>
      <c r="O7330" s="436">
        <f t="shared" si="324"/>
        <v>3979452</v>
      </c>
      <c r="P7330" s="89">
        <v>6888</v>
      </c>
      <c r="Q7330" t="s">
        <v>47</v>
      </c>
      <c r="R7330" s="422" t="s">
        <v>1869</v>
      </c>
      <c r="S7330" s="422" t="s">
        <v>1861</v>
      </c>
      <c r="T7330" s="422"/>
      <c r="U7330" s="422" t="s">
        <v>1953</v>
      </c>
      <c r="V7330" s="422" t="s">
        <v>2813</v>
      </c>
    </row>
    <row r="7331" spans="1:22" ht="15.75" thickBot="1" x14ac:dyDescent="0.3">
      <c r="A7331" t="s">
        <v>1072</v>
      </c>
      <c r="B7331" s="424" t="str">
        <f t="shared" si="325"/>
        <v>Barraqueiro Transportes</v>
      </c>
      <c r="C7331" s="424" t="str">
        <f t="shared" si="326"/>
        <v>Frota Azul</v>
      </c>
      <c r="D7331" t="s">
        <v>629</v>
      </c>
      <c r="F7331" s="432" t="s">
        <v>620</v>
      </c>
      <c r="G7331" s="89">
        <v>2020</v>
      </c>
      <c r="H7331" s="313" t="s">
        <v>733</v>
      </c>
      <c r="I7331" s="311" t="str">
        <f t="shared" si="327"/>
        <v>Pesado de Passageiros M3:  : Gasóleo : E6</v>
      </c>
      <c r="J7331" s="422">
        <v>53</v>
      </c>
      <c r="K7331" s="422">
        <v>2023</v>
      </c>
      <c r="L7331">
        <v>22312.528000000002</v>
      </c>
      <c r="M7331" s="422" t="s">
        <v>630</v>
      </c>
      <c r="N7331" s="131">
        <v>90779</v>
      </c>
      <c r="O7331" s="436">
        <f t="shared" si="324"/>
        <v>4811287</v>
      </c>
      <c r="P7331" s="89">
        <v>6889</v>
      </c>
      <c r="Q7331" t="s">
        <v>47</v>
      </c>
      <c r="R7331" s="422" t="s">
        <v>1869</v>
      </c>
      <c r="S7331" s="422" t="s">
        <v>1861</v>
      </c>
      <c r="T7331" s="422"/>
      <c r="U7331" s="422" t="s">
        <v>1953</v>
      </c>
      <c r="V7331" s="422" t="s">
        <v>2813</v>
      </c>
    </row>
    <row r="7332" spans="1:22" ht="15.75" thickBot="1" x14ac:dyDescent="0.3">
      <c r="A7332" t="s">
        <v>1072</v>
      </c>
      <c r="B7332" s="424" t="str">
        <f t="shared" si="325"/>
        <v>Barraqueiro Transportes</v>
      </c>
      <c r="C7332" s="424" t="str">
        <f t="shared" si="326"/>
        <v>Frota Azul</v>
      </c>
      <c r="D7332" t="s">
        <v>629</v>
      </c>
      <c r="F7332" s="432" t="s">
        <v>620</v>
      </c>
      <c r="G7332" s="89">
        <v>2020</v>
      </c>
      <c r="H7332" s="313" t="s">
        <v>733</v>
      </c>
      <c r="I7332" s="311" t="str">
        <f t="shared" si="327"/>
        <v>Pesado de Passageiros M3:  : Gasóleo : E6</v>
      </c>
      <c r="J7332" s="422">
        <v>53</v>
      </c>
      <c r="K7332" s="422">
        <v>2023</v>
      </c>
      <c r="L7332">
        <v>21017.457000000006</v>
      </c>
      <c r="M7332" s="422" t="s">
        <v>630</v>
      </c>
      <c r="N7332" s="131">
        <v>80282</v>
      </c>
      <c r="O7332" s="436">
        <f t="shared" si="324"/>
        <v>4254946</v>
      </c>
      <c r="P7332" s="89">
        <v>6890</v>
      </c>
      <c r="Q7332" t="s">
        <v>47</v>
      </c>
      <c r="R7332" s="422" t="s">
        <v>1869</v>
      </c>
      <c r="S7332" s="422" t="s">
        <v>1861</v>
      </c>
      <c r="T7332" s="422"/>
      <c r="U7332" s="422" t="s">
        <v>1953</v>
      </c>
      <c r="V7332" s="422" t="s">
        <v>2813</v>
      </c>
    </row>
    <row r="7333" spans="1:22" ht="15.75" thickBot="1" x14ac:dyDescent="0.3">
      <c r="A7333" t="s">
        <v>1072</v>
      </c>
      <c r="B7333" s="424" t="str">
        <f t="shared" si="325"/>
        <v>Barraqueiro Transportes</v>
      </c>
      <c r="C7333" s="424" t="str">
        <f t="shared" si="326"/>
        <v>Frota Azul</v>
      </c>
      <c r="D7333" t="s">
        <v>629</v>
      </c>
      <c r="F7333" s="432" t="s">
        <v>620</v>
      </c>
      <c r="G7333" s="89">
        <v>2020</v>
      </c>
      <c r="H7333" s="313" t="s">
        <v>733</v>
      </c>
      <c r="I7333" s="311" t="str">
        <f t="shared" si="327"/>
        <v>Pesado de Passageiros M3:  : Gasóleo : E6</v>
      </c>
      <c r="J7333" s="422">
        <v>53</v>
      </c>
      <c r="K7333" s="422">
        <v>2023</v>
      </c>
      <c r="L7333">
        <v>21224.45</v>
      </c>
      <c r="M7333" s="422" t="s">
        <v>630</v>
      </c>
      <c r="N7333" s="131">
        <v>84587</v>
      </c>
      <c r="O7333" s="436">
        <f t="shared" si="324"/>
        <v>4483111</v>
      </c>
      <c r="P7333" s="89">
        <v>6891</v>
      </c>
      <c r="Q7333" t="s">
        <v>47</v>
      </c>
      <c r="R7333" s="422" t="s">
        <v>1869</v>
      </c>
      <c r="S7333" s="422" t="s">
        <v>1861</v>
      </c>
      <c r="T7333" s="422"/>
      <c r="U7333" s="422" t="s">
        <v>1953</v>
      </c>
      <c r="V7333" s="422" t="s">
        <v>2813</v>
      </c>
    </row>
    <row r="7334" spans="1:22" ht="15.75" thickBot="1" x14ac:dyDescent="0.3">
      <c r="A7334" t="s">
        <v>1072</v>
      </c>
      <c r="B7334" s="424" t="str">
        <f t="shared" si="325"/>
        <v>Barraqueiro Transportes</v>
      </c>
      <c r="C7334" s="424" t="str">
        <f t="shared" si="326"/>
        <v>Frota Azul</v>
      </c>
      <c r="D7334" t="s">
        <v>629</v>
      </c>
      <c r="F7334" s="432" t="s">
        <v>620</v>
      </c>
      <c r="G7334" s="89">
        <v>2020</v>
      </c>
      <c r="H7334" s="313" t="s">
        <v>733</v>
      </c>
      <c r="I7334" s="311" t="str">
        <f t="shared" si="327"/>
        <v>Pesado de Passageiros M3:  : Gasóleo : E6</v>
      </c>
      <c r="J7334" s="422">
        <v>53</v>
      </c>
      <c r="K7334" s="422">
        <v>2023</v>
      </c>
      <c r="L7334">
        <v>23089.64</v>
      </c>
      <c r="M7334" s="422" t="s">
        <v>630</v>
      </c>
      <c r="N7334" s="131">
        <v>98744</v>
      </c>
      <c r="O7334" s="436">
        <f t="shared" ref="O7334:O7397" si="328">N7334*J7334</f>
        <v>5233432</v>
      </c>
      <c r="P7334" s="89">
        <v>6892</v>
      </c>
      <c r="Q7334" t="s">
        <v>47</v>
      </c>
      <c r="R7334" s="422" t="s">
        <v>1869</v>
      </c>
      <c r="S7334" s="422" t="s">
        <v>1861</v>
      </c>
      <c r="T7334" s="422"/>
      <c r="U7334" s="422" t="s">
        <v>1953</v>
      </c>
      <c r="V7334" s="422" t="s">
        <v>2813</v>
      </c>
    </row>
    <row r="7335" spans="1:22" ht="15.75" thickBot="1" x14ac:dyDescent="0.3">
      <c r="A7335" t="s">
        <v>1072</v>
      </c>
      <c r="B7335" s="424" t="str">
        <f t="shared" si="325"/>
        <v>Barraqueiro Transportes</v>
      </c>
      <c r="C7335" s="424" t="str">
        <f t="shared" si="326"/>
        <v>Frota Azul</v>
      </c>
      <c r="D7335" t="s">
        <v>629</v>
      </c>
      <c r="F7335" s="432" t="s">
        <v>620</v>
      </c>
      <c r="G7335" s="89">
        <v>2020</v>
      </c>
      <c r="H7335" s="313" t="s">
        <v>733</v>
      </c>
      <c r="I7335" s="311" t="str">
        <f t="shared" si="327"/>
        <v>Pesado de Passageiros M3:  : Gasóleo : E6</v>
      </c>
      <c r="J7335" s="422">
        <v>53</v>
      </c>
      <c r="K7335" s="422">
        <v>2023</v>
      </c>
      <c r="L7335">
        <v>24383.339999999997</v>
      </c>
      <c r="M7335" s="422" t="s">
        <v>630</v>
      </c>
      <c r="N7335" s="131">
        <v>94799</v>
      </c>
      <c r="O7335" s="436">
        <f t="shared" si="328"/>
        <v>5024347</v>
      </c>
      <c r="P7335" s="89">
        <v>6893</v>
      </c>
      <c r="Q7335" t="s">
        <v>47</v>
      </c>
      <c r="R7335" s="422" t="s">
        <v>1869</v>
      </c>
      <c r="S7335" s="422" t="s">
        <v>1861</v>
      </c>
      <c r="T7335" s="422"/>
      <c r="U7335" s="422" t="s">
        <v>1953</v>
      </c>
      <c r="V7335" s="422" t="s">
        <v>2813</v>
      </c>
    </row>
    <row r="7336" spans="1:22" ht="15.75" thickBot="1" x14ac:dyDescent="0.3">
      <c r="A7336" t="s">
        <v>1072</v>
      </c>
      <c r="B7336" s="424" t="str">
        <f t="shared" si="325"/>
        <v>Barraqueiro Transportes</v>
      </c>
      <c r="C7336" s="424" t="str">
        <f t="shared" si="326"/>
        <v>Frota Azul</v>
      </c>
      <c r="D7336" t="s">
        <v>629</v>
      </c>
      <c r="F7336" s="432" t="s">
        <v>620</v>
      </c>
      <c r="G7336" s="89">
        <v>2020</v>
      </c>
      <c r="H7336" s="313" t="s">
        <v>733</v>
      </c>
      <c r="I7336" s="311" t="str">
        <f t="shared" si="327"/>
        <v>Pesado de Passageiros M3:  : Gasóleo : E6</v>
      </c>
      <c r="J7336" s="422">
        <v>53</v>
      </c>
      <c r="K7336" s="422">
        <v>2023</v>
      </c>
      <c r="L7336">
        <v>21037.246999999996</v>
      </c>
      <c r="M7336" s="422" t="s">
        <v>630</v>
      </c>
      <c r="N7336" s="131">
        <v>85906</v>
      </c>
      <c r="O7336" s="436">
        <f t="shared" si="328"/>
        <v>4553018</v>
      </c>
      <c r="P7336" s="89">
        <v>6894</v>
      </c>
      <c r="Q7336" t="s">
        <v>47</v>
      </c>
      <c r="R7336" s="422" t="s">
        <v>1869</v>
      </c>
      <c r="S7336" s="422" t="s">
        <v>1861</v>
      </c>
      <c r="T7336" s="422"/>
      <c r="U7336" s="422" t="s">
        <v>1953</v>
      </c>
      <c r="V7336" s="422" t="s">
        <v>2813</v>
      </c>
    </row>
    <row r="7337" spans="1:22" ht="15.75" thickBot="1" x14ac:dyDescent="0.3">
      <c r="A7337" t="s">
        <v>1072</v>
      </c>
      <c r="B7337" s="424" t="str">
        <f t="shared" si="325"/>
        <v>Barraqueiro Transportes</v>
      </c>
      <c r="C7337" s="424" t="str">
        <f t="shared" si="326"/>
        <v>Frota Azul</v>
      </c>
      <c r="D7337" t="s">
        <v>629</v>
      </c>
      <c r="F7337" s="432" t="s">
        <v>620</v>
      </c>
      <c r="G7337" s="89">
        <v>2020</v>
      </c>
      <c r="H7337" s="313" t="s">
        <v>733</v>
      </c>
      <c r="I7337" s="311" t="str">
        <f t="shared" si="327"/>
        <v>Pesado de Passageiros M3:  : Gasóleo : E6</v>
      </c>
      <c r="J7337" s="422">
        <v>53</v>
      </c>
      <c r="K7337" s="422">
        <v>2023</v>
      </c>
      <c r="L7337">
        <v>20661.41</v>
      </c>
      <c r="M7337" s="422" t="s">
        <v>630</v>
      </c>
      <c r="N7337" s="131">
        <v>82015</v>
      </c>
      <c r="O7337" s="436">
        <f t="shared" si="328"/>
        <v>4346795</v>
      </c>
      <c r="P7337" s="89">
        <v>6895</v>
      </c>
      <c r="Q7337" t="s">
        <v>47</v>
      </c>
      <c r="R7337" s="422" t="s">
        <v>1869</v>
      </c>
      <c r="S7337" s="422" t="s">
        <v>1861</v>
      </c>
      <c r="T7337" s="422"/>
      <c r="U7337" s="422" t="s">
        <v>1953</v>
      </c>
      <c r="V7337" s="422" t="s">
        <v>2813</v>
      </c>
    </row>
    <row r="7338" spans="1:22" ht="15.75" thickBot="1" x14ac:dyDescent="0.3">
      <c r="A7338" t="s">
        <v>1072</v>
      </c>
      <c r="B7338" s="424" t="str">
        <f t="shared" si="325"/>
        <v>Barraqueiro Transportes</v>
      </c>
      <c r="C7338" s="424" t="str">
        <f t="shared" si="326"/>
        <v>Frota Azul</v>
      </c>
      <c r="D7338" t="s">
        <v>629</v>
      </c>
      <c r="F7338" s="432" t="s">
        <v>620</v>
      </c>
      <c r="G7338" s="89">
        <v>2020</v>
      </c>
      <c r="H7338" s="313" t="s">
        <v>733</v>
      </c>
      <c r="I7338" s="311" t="str">
        <f t="shared" si="327"/>
        <v>Pesado de Passageiros M3:  : Gasóleo : E6</v>
      </c>
      <c r="J7338" s="422">
        <v>53</v>
      </c>
      <c r="K7338" s="422">
        <v>2023</v>
      </c>
      <c r="L7338">
        <v>19545.680000000004</v>
      </c>
      <c r="M7338" s="422" t="s">
        <v>630</v>
      </c>
      <c r="N7338" s="131">
        <v>87698</v>
      </c>
      <c r="O7338" s="436">
        <f t="shared" si="328"/>
        <v>4647994</v>
      </c>
      <c r="P7338" s="89">
        <v>6896</v>
      </c>
      <c r="Q7338" t="s">
        <v>47</v>
      </c>
      <c r="R7338" s="422" t="s">
        <v>1869</v>
      </c>
      <c r="S7338" s="422" t="s">
        <v>1861</v>
      </c>
      <c r="T7338" s="422"/>
      <c r="U7338" s="422" t="s">
        <v>1953</v>
      </c>
      <c r="V7338" s="422" t="s">
        <v>2813</v>
      </c>
    </row>
    <row r="7339" spans="1:22" ht="15.75" thickBot="1" x14ac:dyDescent="0.3">
      <c r="A7339" t="s">
        <v>1072</v>
      </c>
      <c r="B7339" s="424" t="str">
        <f t="shared" si="325"/>
        <v>Barraqueiro Transportes</v>
      </c>
      <c r="C7339" s="424" t="str">
        <f t="shared" si="326"/>
        <v>Frota Azul</v>
      </c>
      <c r="D7339" t="s">
        <v>629</v>
      </c>
      <c r="F7339" s="432" t="s">
        <v>620</v>
      </c>
      <c r="G7339" s="89">
        <v>2020</v>
      </c>
      <c r="H7339" s="313" t="s">
        <v>733</v>
      </c>
      <c r="I7339" s="311" t="str">
        <f t="shared" si="327"/>
        <v>Pesado de Passageiros M3:  : Gasóleo : E6</v>
      </c>
      <c r="J7339" s="422">
        <v>53</v>
      </c>
      <c r="K7339" s="422">
        <v>2023</v>
      </c>
      <c r="L7339">
        <v>23030.880000000001</v>
      </c>
      <c r="M7339" s="422" t="s">
        <v>630</v>
      </c>
      <c r="N7339" s="131">
        <v>92941</v>
      </c>
      <c r="O7339" s="436">
        <f t="shared" si="328"/>
        <v>4925873</v>
      </c>
      <c r="P7339" s="89">
        <v>6897</v>
      </c>
      <c r="Q7339" t="s">
        <v>47</v>
      </c>
      <c r="R7339" s="422" t="s">
        <v>1869</v>
      </c>
      <c r="S7339" s="422" t="s">
        <v>1861</v>
      </c>
      <c r="T7339" s="422"/>
      <c r="U7339" s="422" t="s">
        <v>1953</v>
      </c>
      <c r="V7339" s="422" t="s">
        <v>2813</v>
      </c>
    </row>
    <row r="7340" spans="1:22" ht="15.75" thickBot="1" x14ac:dyDescent="0.3">
      <c r="A7340" t="s">
        <v>1072</v>
      </c>
      <c r="B7340" s="424" t="str">
        <f t="shared" ref="B7340:B7403" si="329">LEFT(A7340,IFERROR(FIND(" - ",A7340)-1,LEN(A7340)))</f>
        <v>Barraqueiro Transportes</v>
      </c>
      <c r="C7340" s="424" t="str">
        <f t="shared" ref="C7340:C7403" si="330">IF(A7340=B7340,B7340,RIGHT(A7340,LEN(A7340)-LEN(B7340)-3))</f>
        <v>Frota Azul</v>
      </c>
      <c r="D7340" t="s">
        <v>629</v>
      </c>
      <c r="F7340" s="432" t="s">
        <v>620</v>
      </c>
      <c r="G7340" s="89">
        <v>2020</v>
      </c>
      <c r="H7340" s="313" t="s">
        <v>733</v>
      </c>
      <c r="I7340" s="311" t="str">
        <f t="shared" si="327"/>
        <v>Pesado de Passageiros M3:  : Gasóleo : E6</v>
      </c>
      <c r="J7340" s="422">
        <v>53</v>
      </c>
      <c r="K7340" s="422">
        <v>2023</v>
      </c>
      <c r="L7340">
        <v>20909.080000000002</v>
      </c>
      <c r="M7340" s="422" t="s">
        <v>630</v>
      </c>
      <c r="N7340" s="131">
        <v>81709</v>
      </c>
      <c r="O7340" s="436">
        <f t="shared" si="328"/>
        <v>4330577</v>
      </c>
      <c r="P7340" s="89">
        <v>6898</v>
      </c>
      <c r="Q7340" t="s">
        <v>47</v>
      </c>
      <c r="R7340" s="422" t="s">
        <v>1869</v>
      </c>
      <c r="S7340" s="422" t="s">
        <v>1861</v>
      </c>
      <c r="T7340" s="422"/>
      <c r="U7340" s="422" t="s">
        <v>1953</v>
      </c>
      <c r="V7340" s="422" t="s">
        <v>2813</v>
      </c>
    </row>
    <row r="7341" spans="1:22" ht="15.75" thickBot="1" x14ac:dyDescent="0.3">
      <c r="A7341" t="s">
        <v>1072</v>
      </c>
      <c r="B7341" s="424" t="str">
        <f t="shared" si="329"/>
        <v>Barraqueiro Transportes</v>
      </c>
      <c r="C7341" s="424" t="str">
        <f t="shared" si="330"/>
        <v>Frota Azul</v>
      </c>
      <c r="D7341" t="s">
        <v>629</v>
      </c>
      <c r="F7341" s="432" t="s">
        <v>620</v>
      </c>
      <c r="G7341" s="89">
        <v>2020</v>
      </c>
      <c r="H7341" s="313" t="s">
        <v>733</v>
      </c>
      <c r="I7341" s="311" t="str">
        <f t="shared" si="327"/>
        <v>Pesado de Passageiros M3:  : Gasóleo : E6</v>
      </c>
      <c r="J7341" s="422">
        <v>53</v>
      </c>
      <c r="K7341" s="422">
        <v>2023</v>
      </c>
      <c r="L7341">
        <v>24270.039999999997</v>
      </c>
      <c r="M7341" s="422" t="s">
        <v>630</v>
      </c>
      <c r="N7341" s="131">
        <v>101790</v>
      </c>
      <c r="O7341" s="436">
        <f t="shared" si="328"/>
        <v>5394870</v>
      </c>
      <c r="P7341" s="89">
        <v>6899</v>
      </c>
      <c r="Q7341" t="s">
        <v>47</v>
      </c>
      <c r="R7341" s="422" t="s">
        <v>1869</v>
      </c>
      <c r="S7341" s="422" t="s">
        <v>1861</v>
      </c>
      <c r="T7341" s="422"/>
      <c r="U7341" s="422" t="s">
        <v>1953</v>
      </c>
      <c r="V7341" s="422" t="s">
        <v>2813</v>
      </c>
    </row>
    <row r="7342" spans="1:22" ht="15.75" thickBot="1" x14ac:dyDescent="0.3">
      <c r="A7342" t="s">
        <v>1072</v>
      </c>
      <c r="B7342" s="424" t="str">
        <f t="shared" si="329"/>
        <v>Barraqueiro Transportes</v>
      </c>
      <c r="C7342" s="424" t="str">
        <f t="shared" si="330"/>
        <v>Frota Azul</v>
      </c>
      <c r="D7342" t="s">
        <v>629</v>
      </c>
      <c r="F7342" s="432" t="s">
        <v>620</v>
      </c>
      <c r="G7342" s="89">
        <v>2020</v>
      </c>
      <c r="H7342" s="313" t="s">
        <v>733</v>
      </c>
      <c r="I7342" s="311" t="str">
        <f t="shared" si="327"/>
        <v>Pesado de Passageiros M3:  : Gasóleo : E6</v>
      </c>
      <c r="J7342" s="422">
        <v>53</v>
      </c>
      <c r="K7342" s="422">
        <v>2023</v>
      </c>
      <c r="L7342">
        <v>22717.958999999999</v>
      </c>
      <c r="M7342" s="422" t="s">
        <v>630</v>
      </c>
      <c r="N7342" s="131">
        <v>92216</v>
      </c>
      <c r="O7342" s="436">
        <f t="shared" si="328"/>
        <v>4887448</v>
      </c>
      <c r="P7342" s="89">
        <v>6900</v>
      </c>
      <c r="Q7342" t="s">
        <v>47</v>
      </c>
      <c r="R7342" s="422" t="s">
        <v>1869</v>
      </c>
      <c r="S7342" s="422" t="s">
        <v>1861</v>
      </c>
      <c r="T7342" s="422"/>
      <c r="U7342" s="422" t="s">
        <v>1953</v>
      </c>
      <c r="V7342" s="422" t="s">
        <v>2813</v>
      </c>
    </row>
    <row r="7343" spans="1:22" ht="15.75" thickBot="1" x14ac:dyDescent="0.3">
      <c r="A7343" t="s">
        <v>1072</v>
      </c>
      <c r="B7343" s="424" t="str">
        <f t="shared" si="329"/>
        <v>Barraqueiro Transportes</v>
      </c>
      <c r="C7343" s="424" t="str">
        <f t="shared" si="330"/>
        <v>Frota Azul</v>
      </c>
      <c r="D7343" t="s">
        <v>629</v>
      </c>
      <c r="F7343" s="432" t="s">
        <v>620</v>
      </c>
      <c r="G7343" s="89">
        <v>2020</v>
      </c>
      <c r="H7343" s="313" t="s">
        <v>733</v>
      </c>
      <c r="I7343" s="311" t="str">
        <f t="shared" si="327"/>
        <v>Pesado de Passageiros M3:  : Gasóleo : E6</v>
      </c>
      <c r="J7343" s="422">
        <v>53</v>
      </c>
      <c r="K7343" s="422">
        <v>2023</v>
      </c>
      <c r="L7343">
        <v>22629.45</v>
      </c>
      <c r="M7343" s="422" t="s">
        <v>630</v>
      </c>
      <c r="N7343" s="131">
        <v>92601</v>
      </c>
      <c r="O7343" s="436">
        <f t="shared" si="328"/>
        <v>4907853</v>
      </c>
      <c r="P7343" s="89">
        <v>6901</v>
      </c>
      <c r="Q7343" t="s">
        <v>47</v>
      </c>
      <c r="R7343" s="422" t="s">
        <v>1869</v>
      </c>
      <c r="S7343" s="422" t="s">
        <v>1861</v>
      </c>
      <c r="T7343" s="422"/>
      <c r="U7343" s="422" t="s">
        <v>1953</v>
      </c>
      <c r="V7343" s="422" t="s">
        <v>2813</v>
      </c>
    </row>
    <row r="7344" spans="1:22" ht="15.75" thickBot="1" x14ac:dyDescent="0.3">
      <c r="A7344" t="s">
        <v>1072</v>
      </c>
      <c r="B7344" s="424" t="str">
        <f t="shared" si="329"/>
        <v>Barraqueiro Transportes</v>
      </c>
      <c r="C7344" s="424" t="str">
        <f t="shared" si="330"/>
        <v>Frota Azul</v>
      </c>
      <c r="D7344" t="s">
        <v>629</v>
      </c>
      <c r="F7344" s="432" t="s">
        <v>620</v>
      </c>
      <c r="G7344" s="89">
        <v>2020</v>
      </c>
      <c r="H7344" s="313" t="s">
        <v>733</v>
      </c>
      <c r="I7344" s="311" t="str">
        <f t="shared" si="327"/>
        <v>Pesado de Passageiros M3:  : Gasóleo : E6</v>
      </c>
      <c r="J7344" s="422">
        <v>53</v>
      </c>
      <c r="K7344" s="422">
        <v>2023</v>
      </c>
      <c r="L7344">
        <v>23005.83</v>
      </c>
      <c r="M7344" s="422" t="s">
        <v>630</v>
      </c>
      <c r="N7344" s="131">
        <v>95054</v>
      </c>
      <c r="O7344" s="436">
        <f t="shared" si="328"/>
        <v>5037862</v>
      </c>
      <c r="P7344" s="89">
        <v>6902</v>
      </c>
      <c r="Q7344" t="s">
        <v>47</v>
      </c>
      <c r="R7344" s="422" t="s">
        <v>1869</v>
      </c>
      <c r="S7344" s="422" t="s">
        <v>1861</v>
      </c>
      <c r="T7344" s="422"/>
      <c r="U7344" s="422" t="s">
        <v>1953</v>
      </c>
      <c r="V7344" s="422" t="s">
        <v>2813</v>
      </c>
    </row>
    <row r="7345" spans="1:22" ht="15.75" thickBot="1" x14ac:dyDescent="0.3">
      <c r="A7345" t="s">
        <v>1072</v>
      </c>
      <c r="B7345" s="424" t="str">
        <f t="shared" si="329"/>
        <v>Barraqueiro Transportes</v>
      </c>
      <c r="C7345" s="424" t="str">
        <f t="shared" si="330"/>
        <v>Frota Azul</v>
      </c>
      <c r="D7345" t="s">
        <v>629</v>
      </c>
      <c r="F7345" s="432" t="s">
        <v>620</v>
      </c>
      <c r="G7345" s="89">
        <v>2020</v>
      </c>
      <c r="H7345" s="313" t="s">
        <v>733</v>
      </c>
      <c r="I7345" s="311" t="str">
        <f t="shared" si="327"/>
        <v>Pesado de Passageiros M3:  : Gasóleo : E6</v>
      </c>
      <c r="J7345" s="422">
        <v>53</v>
      </c>
      <c r="K7345" s="422">
        <v>2023</v>
      </c>
      <c r="L7345">
        <v>24280.930000000004</v>
      </c>
      <c r="M7345" s="422" t="s">
        <v>630</v>
      </c>
      <c r="N7345" s="131">
        <v>102693</v>
      </c>
      <c r="O7345" s="436">
        <f t="shared" si="328"/>
        <v>5442729</v>
      </c>
      <c r="P7345" s="89">
        <v>6903</v>
      </c>
      <c r="Q7345" t="s">
        <v>47</v>
      </c>
      <c r="R7345" s="422" t="s">
        <v>1869</v>
      </c>
      <c r="S7345" s="422" t="s">
        <v>1861</v>
      </c>
      <c r="T7345" s="422"/>
      <c r="U7345" s="422" t="s">
        <v>1953</v>
      </c>
      <c r="V7345" s="422" t="s">
        <v>2813</v>
      </c>
    </row>
    <row r="7346" spans="1:22" ht="15.75" thickBot="1" x14ac:dyDescent="0.3">
      <c r="A7346" t="s">
        <v>1072</v>
      </c>
      <c r="B7346" s="424" t="str">
        <f t="shared" si="329"/>
        <v>Barraqueiro Transportes</v>
      </c>
      <c r="C7346" s="424" t="str">
        <f t="shared" si="330"/>
        <v>Frota Azul</v>
      </c>
      <c r="D7346" t="s">
        <v>629</v>
      </c>
      <c r="F7346" s="432" t="s">
        <v>620</v>
      </c>
      <c r="G7346" s="89">
        <v>2020</v>
      </c>
      <c r="H7346" s="313" t="s">
        <v>733</v>
      </c>
      <c r="I7346" s="311" t="str">
        <f t="shared" si="327"/>
        <v>Pesado de Passageiros M3:  : Gasóleo : E6</v>
      </c>
      <c r="J7346" s="422">
        <v>53</v>
      </c>
      <c r="K7346" s="422">
        <v>2023</v>
      </c>
      <c r="L7346">
        <v>22406.74</v>
      </c>
      <c r="M7346" s="422" t="s">
        <v>630</v>
      </c>
      <c r="N7346" s="131">
        <v>91653</v>
      </c>
      <c r="O7346" s="436">
        <f t="shared" si="328"/>
        <v>4857609</v>
      </c>
      <c r="P7346" s="89">
        <v>6904</v>
      </c>
      <c r="Q7346" t="s">
        <v>47</v>
      </c>
      <c r="R7346" s="422" t="s">
        <v>1869</v>
      </c>
      <c r="S7346" s="422" t="s">
        <v>1861</v>
      </c>
      <c r="T7346" s="422"/>
      <c r="U7346" s="422" t="s">
        <v>1953</v>
      </c>
      <c r="V7346" s="422" t="s">
        <v>2813</v>
      </c>
    </row>
    <row r="7347" spans="1:22" ht="15.75" thickBot="1" x14ac:dyDescent="0.3">
      <c r="A7347" t="s">
        <v>1072</v>
      </c>
      <c r="B7347" s="424" t="str">
        <f t="shared" si="329"/>
        <v>Barraqueiro Transportes</v>
      </c>
      <c r="C7347" s="424" t="str">
        <f t="shared" si="330"/>
        <v>Frota Azul</v>
      </c>
      <c r="D7347" t="s">
        <v>629</v>
      </c>
      <c r="F7347" s="432" t="s">
        <v>620</v>
      </c>
      <c r="G7347" s="89">
        <v>2020</v>
      </c>
      <c r="H7347" s="313" t="s">
        <v>733</v>
      </c>
      <c r="I7347" s="311" t="str">
        <f t="shared" si="327"/>
        <v>Pesado de Passageiros M3:  : Gasóleo : E6</v>
      </c>
      <c r="J7347" s="422">
        <v>53</v>
      </c>
      <c r="K7347" s="422">
        <v>2023</v>
      </c>
      <c r="L7347">
        <v>23345.379999999997</v>
      </c>
      <c r="M7347" s="422" t="s">
        <v>630</v>
      </c>
      <c r="N7347" s="131">
        <v>91884</v>
      </c>
      <c r="O7347" s="436">
        <f t="shared" si="328"/>
        <v>4869852</v>
      </c>
      <c r="P7347" s="89">
        <v>6905</v>
      </c>
      <c r="Q7347" t="s">
        <v>47</v>
      </c>
      <c r="R7347" s="422" t="s">
        <v>1869</v>
      </c>
      <c r="S7347" s="422" t="s">
        <v>1861</v>
      </c>
      <c r="T7347" s="422"/>
      <c r="U7347" s="422" t="s">
        <v>1953</v>
      </c>
      <c r="V7347" s="422" t="s">
        <v>2813</v>
      </c>
    </row>
    <row r="7348" spans="1:22" ht="15.75" thickBot="1" x14ac:dyDescent="0.3">
      <c r="A7348" t="s">
        <v>1072</v>
      </c>
      <c r="B7348" s="424" t="str">
        <f t="shared" si="329"/>
        <v>Barraqueiro Transportes</v>
      </c>
      <c r="C7348" s="424" t="str">
        <f t="shared" si="330"/>
        <v>Frota Azul</v>
      </c>
      <c r="D7348" t="s">
        <v>629</v>
      </c>
      <c r="F7348" s="432" t="s">
        <v>620</v>
      </c>
      <c r="G7348" s="89">
        <v>2020</v>
      </c>
      <c r="H7348" s="313" t="s">
        <v>733</v>
      </c>
      <c r="I7348" s="311" t="str">
        <f t="shared" si="327"/>
        <v>Pesado de Passageiros M3:  : Gasóleo : E6</v>
      </c>
      <c r="J7348" s="422">
        <v>53</v>
      </c>
      <c r="K7348" s="422">
        <v>2023</v>
      </c>
      <c r="L7348">
        <v>23607.379999999997</v>
      </c>
      <c r="M7348" s="422" t="s">
        <v>630</v>
      </c>
      <c r="N7348" s="131">
        <v>90217</v>
      </c>
      <c r="O7348" s="436">
        <f t="shared" si="328"/>
        <v>4781501</v>
      </c>
      <c r="P7348" s="89">
        <v>6906</v>
      </c>
      <c r="Q7348" t="s">
        <v>47</v>
      </c>
      <c r="R7348" s="422" t="s">
        <v>1869</v>
      </c>
      <c r="S7348" s="422" t="s">
        <v>1861</v>
      </c>
      <c r="T7348" s="422"/>
      <c r="U7348" s="422" t="s">
        <v>1953</v>
      </c>
      <c r="V7348" s="422" t="s">
        <v>2813</v>
      </c>
    </row>
    <row r="7349" spans="1:22" ht="15.75" thickBot="1" x14ac:dyDescent="0.3">
      <c r="A7349" t="s">
        <v>1072</v>
      </c>
      <c r="B7349" s="424" t="str">
        <f t="shared" si="329"/>
        <v>Barraqueiro Transportes</v>
      </c>
      <c r="C7349" s="424" t="str">
        <f t="shared" si="330"/>
        <v>Frota Azul</v>
      </c>
      <c r="D7349" t="s">
        <v>629</v>
      </c>
      <c r="F7349" s="432" t="s">
        <v>620</v>
      </c>
      <c r="G7349" s="89">
        <v>2020</v>
      </c>
      <c r="H7349" s="313" t="s">
        <v>733</v>
      </c>
      <c r="I7349" s="311" t="str">
        <f t="shared" si="327"/>
        <v>Pesado de Passageiros M3:  : Gasóleo : E6</v>
      </c>
      <c r="J7349" s="422">
        <v>53</v>
      </c>
      <c r="K7349" s="422">
        <v>2023</v>
      </c>
      <c r="L7349">
        <v>22617.894999999997</v>
      </c>
      <c r="M7349" s="422" t="s">
        <v>630</v>
      </c>
      <c r="N7349" s="131">
        <v>93299</v>
      </c>
      <c r="O7349" s="436">
        <f t="shared" si="328"/>
        <v>4944847</v>
      </c>
      <c r="P7349" s="89">
        <v>6907</v>
      </c>
      <c r="Q7349" t="s">
        <v>47</v>
      </c>
      <c r="R7349" s="422" t="s">
        <v>1869</v>
      </c>
      <c r="S7349" s="422" t="s">
        <v>1861</v>
      </c>
      <c r="T7349" s="422"/>
      <c r="U7349" s="422" t="s">
        <v>1953</v>
      </c>
      <c r="V7349" s="422" t="s">
        <v>2813</v>
      </c>
    </row>
    <row r="7350" spans="1:22" ht="15.75" thickBot="1" x14ac:dyDescent="0.3">
      <c r="A7350" t="s">
        <v>1072</v>
      </c>
      <c r="B7350" s="424" t="str">
        <f t="shared" si="329"/>
        <v>Barraqueiro Transportes</v>
      </c>
      <c r="C7350" s="424" t="str">
        <f t="shared" si="330"/>
        <v>Frota Azul</v>
      </c>
      <c r="D7350" t="s">
        <v>629</v>
      </c>
      <c r="F7350" s="432" t="s">
        <v>620</v>
      </c>
      <c r="G7350" s="89">
        <v>2023</v>
      </c>
      <c r="H7350" s="313" t="s">
        <v>5816</v>
      </c>
      <c r="I7350" s="311" t="str">
        <f t="shared" si="327"/>
        <v>Pesado de Passageiros M3:  : Gasóleo : E6 D/E E7</v>
      </c>
      <c r="J7350" s="422">
        <v>53</v>
      </c>
      <c r="K7350" s="422">
        <v>2023</v>
      </c>
      <c r="L7350">
        <v>20180.859999999997</v>
      </c>
      <c r="M7350" s="422" t="s">
        <v>630</v>
      </c>
      <c r="N7350" s="131">
        <v>75879</v>
      </c>
      <c r="O7350" s="436">
        <f t="shared" si="328"/>
        <v>4021587</v>
      </c>
      <c r="P7350" s="89">
        <v>6908</v>
      </c>
      <c r="Q7350" t="s">
        <v>47</v>
      </c>
      <c r="R7350" s="422" t="s">
        <v>1869</v>
      </c>
      <c r="S7350" s="422" t="s">
        <v>1861</v>
      </c>
      <c r="T7350" s="422"/>
      <c r="U7350" s="422" t="s">
        <v>1953</v>
      </c>
      <c r="V7350" s="422" t="s">
        <v>2813</v>
      </c>
    </row>
    <row r="7351" spans="1:22" ht="15.75" thickBot="1" x14ac:dyDescent="0.3">
      <c r="A7351" t="s">
        <v>1072</v>
      </c>
      <c r="B7351" s="424" t="str">
        <f t="shared" si="329"/>
        <v>Barraqueiro Transportes</v>
      </c>
      <c r="C7351" s="424" t="str">
        <f t="shared" si="330"/>
        <v>Frota Azul</v>
      </c>
      <c r="D7351" t="s">
        <v>629</v>
      </c>
      <c r="F7351" s="432" t="s">
        <v>620</v>
      </c>
      <c r="G7351" s="89">
        <v>2023</v>
      </c>
      <c r="H7351" s="313" t="s">
        <v>5816</v>
      </c>
      <c r="I7351" s="311" t="str">
        <f t="shared" si="327"/>
        <v>Pesado de Passageiros M3:  : Gasóleo : E6 D/E E7</v>
      </c>
      <c r="J7351" s="422">
        <v>53</v>
      </c>
      <c r="K7351" s="422">
        <v>2023</v>
      </c>
      <c r="L7351">
        <v>18756.25</v>
      </c>
      <c r="M7351" s="422" t="s">
        <v>630</v>
      </c>
      <c r="N7351" s="131">
        <v>67236</v>
      </c>
      <c r="O7351" s="436">
        <f t="shared" si="328"/>
        <v>3563508</v>
      </c>
      <c r="P7351" s="89">
        <v>6909</v>
      </c>
      <c r="Q7351" t="s">
        <v>47</v>
      </c>
      <c r="R7351" s="422" t="s">
        <v>1869</v>
      </c>
      <c r="S7351" s="422" t="s">
        <v>1861</v>
      </c>
      <c r="T7351" s="422"/>
      <c r="U7351" s="422" t="s">
        <v>1953</v>
      </c>
      <c r="V7351" s="422" t="s">
        <v>2813</v>
      </c>
    </row>
    <row r="7352" spans="1:22" ht="15.75" thickBot="1" x14ac:dyDescent="0.3">
      <c r="A7352" t="s">
        <v>1072</v>
      </c>
      <c r="B7352" s="424" t="str">
        <f t="shared" si="329"/>
        <v>Barraqueiro Transportes</v>
      </c>
      <c r="C7352" s="424" t="str">
        <f t="shared" si="330"/>
        <v>Frota Azul</v>
      </c>
      <c r="D7352" t="s">
        <v>629</v>
      </c>
      <c r="F7352" s="432" t="s">
        <v>620</v>
      </c>
      <c r="G7352" s="89">
        <v>2023</v>
      </c>
      <c r="H7352" s="313" t="s">
        <v>5816</v>
      </c>
      <c r="I7352" s="311" t="str">
        <f t="shared" si="327"/>
        <v>Pesado de Passageiros M3:  : Gasóleo : E6 D/E E7</v>
      </c>
      <c r="J7352" s="422">
        <v>53</v>
      </c>
      <c r="K7352" s="422">
        <v>2023</v>
      </c>
      <c r="L7352">
        <v>22162.35</v>
      </c>
      <c r="M7352" s="422" t="s">
        <v>630</v>
      </c>
      <c r="N7352" s="131">
        <v>85890</v>
      </c>
      <c r="O7352" s="436">
        <f t="shared" si="328"/>
        <v>4552170</v>
      </c>
      <c r="P7352" s="89">
        <v>6910</v>
      </c>
      <c r="Q7352" t="s">
        <v>47</v>
      </c>
      <c r="R7352" s="422" t="s">
        <v>1869</v>
      </c>
      <c r="S7352" s="422" t="s">
        <v>1861</v>
      </c>
      <c r="T7352" s="422"/>
      <c r="U7352" s="422" t="s">
        <v>1953</v>
      </c>
      <c r="V7352" s="422" t="s">
        <v>2813</v>
      </c>
    </row>
    <row r="7353" spans="1:22" ht="15.75" thickBot="1" x14ac:dyDescent="0.3">
      <c r="A7353" t="s">
        <v>1072</v>
      </c>
      <c r="B7353" s="424" t="str">
        <f t="shared" si="329"/>
        <v>Barraqueiro Transportes</v>
      </c>
      <c r="C7353" s="424" t="str">
        <f t="shared" si="330"/>
        <v>Frota Azul</v>
      </c>
      <c r="D7353" t="s">
        <v>629</v>
      </c>
      <c r="F7353" s="432" t="s">
        <v>620</v>
      </c>
      <c r="G7353" s="89">
        <v>2023</v>
      </c>
      <c r="H7353" s="313" t="s">
        <v>5816</v>
      </c>
      <c r="I7353" s="311" t="str">
        <f t="shared" si="327"/>
        <v>Pesado de Passageiros M3:  : Gasóleo : E6 D/E E7</v>
      </c>
      <c r="J7353" s="422">
        <v>53</v>
      </c>
      <c r="K7353" s="422">
        <v>2023</v>
      </c>
      <c r="L7353">
        <v>18829.699999999997</v>
      </c>
      <c r="M7353" s="422" t="s">
        <v>630</v>
      </c>
      <c r="N7353" s="131">
        <v>69676</v>
      </c>
      <c r="O7353" s="436">
        <f t="shared" si="328"/>
        <v>3692828</v>
      </c>
      <c r="P7353" s="89">
        <v>6911</v>
      </c>
      <c r="Q7353" t="s">
        <v>47</v>
      </c>
      <c r="R7353" s="422" t="s">
        <v>1869</v>
      </c>
      <c r="S7353" s="422" t="s">
        <v>1861</v>
      </c>
      <c r="T7353" s="422"/>
      <c r="U7353" s="422" t="s">
        <v>1953</v>
      </c>
      <c r="V7353" s="422" t="s">
        <v>2813</v>
      </c>
    </row>
    <row r="7354" spans="1:22" ht="15.75" thickBot="1" x14ac:dyDescent="0.3">
      <c r="A7354" t="s">
        <v>1072</v>
      </c>
      <c r="B7354" s="424" t="str">
        <f t="shared" si="329"/>
        <v>Barraqueiro Transportes</v>
      </c>
      <c r="C7354" s="424" t="str">
        <f t="shared" si="330"/>
        <v>Frota Azul</v>
      </c>
      <c r="D7354" t="s">
        <v>629</v>
      </c>
      <c r="F7354" s="432" t="s">
        <v>620</v>
      </c>
      <c r="G7354" s="89">
        <v>2023</v>
      </c>
      <c r="H7354" s="313" t="s">
        <v>5816</v>
      </c>
      <c r="I7354" s="311" t="str">
        <f t="shared" si="327"/>
        <v>Pesado de Passageiros M3:  : Gasóleo : E6 D/E E7</v>
      </c>
      <c r="J7354" s="422">
        <v>53</v>
      </c>
      <c r="K7354" s="422">
        <v>2023</v>
      </c>
      <c r="L7354">
        <v>18412.336000000003</v>
      </c>
      <c r="M7354" s="422" t="s">
        <v>630</v>
      </c>
      <c r="N7354" s="131">
        <v>68649</v>
      </c>
      <c r="O7354" s="436">
        <f t="shared" si="328"/>
        <v>3638397</v>
      </c>
      <c r="P7354" s="89">
        <v>6912</v>
      </c>
      <c r="Q7354" t="s">
        <v>47</v>
      </c>
      <c r="R7354" s="422" t="s">
        <v>1869</v>
      </c>
      <c r="S7354" s="422" t="s">
        <v>1861</v>
      </c>
      <c r="T7354" s="422"/>
      <c r="U7354" s="422" t="s">
        <v>1953</v>
      </c>
      <c r="V7354" s="422" t="s">
        <v>2813</v>
      </c>
    </row>
    <row r="7355" spans="1:22" ht="15.75" thickBot="1" x14ac:dyDescent="0.3">
      <c r="A7355" t="s">
        <v>1072</v>
      </c>
      <c r="B7355" s="424" t="str">
        <f t="shared" si="329"/>
        <v>Barraqueiro Transportes</v>
      </c>
      <c r="C7355" s="424" t="str">
        <f t="shared" si="330"/>
        <v>Frota Azul</v>
      </c>
      <c r="D7355" t="s">
        <v>629</v>
      </c>
      <c r="F7355" s="432" t="s">
        <v>620</v>
      </c>
      <c r="G7355" s="89">
        <v>2023</v>
      </c>
      <c r="H7355" s="313" t="s">
        <v>5816</v>
      </c>
      <c r="I7355" s="311" t="str">
        <f t="shared" si="327"/>
        <v>Pesado de Passageiros M3:  : Gasóleo : E6 D/E E7</v>
      </c>
      <c r="J7355" s="422">
        <v>53</v>
      </c>
      <c r="K7355" s="422">
        <v>2023</v>
      </c>
      <c r="L7355">
        <v>19499.039999999997</v>
      </c>
      <c r="M7355" s="422" t="s">
        <v>630</v>
      </c>
      <c r="N7355" s="131">
        <v>74034</v>
      </c>
      <c r="O7355" s="436">
        <f t="shared" si="328"/>
        <v>3923802</v>
      </c>
      <c r="P7355" s="89">
        <v>6913</v>
      </c>
      <c r="Q7355" t="s">
        <v>47</v>
      </c>
      <c r="R7355" s="422" t="s">
        <v>1869</v>
      </c>
      <c r="S7355" s="422" t="s">
        <v>1861</v>
      </c>
      <c r="T7355" s="422"/>
      <c r="U7355" s="422" t="s">
        <v>1953</v>
      </c>
      <c r="V7355" s="422" t="s">
        <v>2813</v>
      </c>
    </row>
    <row r="7356" spans="1:22" ht="15.75" thickBot="1" x14ac:dyDescent="0.3">
      <c r="A7356" t="s">
        <v>1072</v>
      </c>
      <c r="B7356" s="424" t="str">
        <f t="shared" si="329"/>
        <v>Barraqueiro Transportes</v>
      </c>
      <c r="C7356" s="424" t="str">
        <f t="shared" si="330"/>
        <v>Frota Azul</v>
      </c>
      <c r="D7356" t="s">
        <v>629</v>
      </c>
      <c r="F7356" s="432" t="s">
        <v>620</v>
      </c>
      <c r="G7356" s="89">
        <v>2023</v>
      </c>
      <c r="H7356" s="313" t="s">
        <v>5816</v>
      </c>
      <c r="I7356" s="311" t="str">
        <f t="shared" si="327"/>
        <v>Pesado de Passageiros M3:  : Gasóleo : E6 D/E E7</v>
      </c>
      <c r="J7356" s="422">
        <v>53</v>
      </c>
      <c r="K7356" s="422">
        <v>2023</v>
      </c>
      <c r="L7356">
        <v>20594.359999999997</v>
      </c>
      <c r="M7356" s="422" t="s">
        <v>630</v>
      </c>
      <c r="N7356" s="131">
        <v>77820</v>
      </c>
      <c r="O7356" s="436">
        <f t="shared" si="328"/>
        <v>4124460</v>
      </c>
      <c r="P7356" s="89">
        <v>6914</v>
      </c>
      <c r="Q7356" t="s">
        <v>47</v>
      </c>
      <c r="R7356" s="422" t="s">
        <v>1869</v>
      </c>
      <c r="S7356" s="422" t="s">
        <v>1861</v>
      </c>
      <c r="T7356" s="422"/>
      <c r="U7356" s="422" t="s">
        <v>1953</v>
      </c>
      <c r="V7356" s="422" t="s">
        <v>2813</v>
      </c>
    </row>
    <row r="7357" spans="1:22" ht="15.75" thickBot="1" x14ac:dyDescent="0.3">
      <c r="A7357" t="s">
        <v>1072</v>
      </c>
      <c r="B7357" s="424" t="str">
        <f t="shared" si="329"/>
        <v>Barraqueiro Transportes</v>
      </c>
      <c r="C7357" s="424" t="str">
        <f t="shared" si="330"/>
        <v>Frota Azul</v>
      </c>
      <c r="D7357" t="s">
        <v>629</v>
      </c>
      <c r="F7357" s="432" t="s">
        <v>620</v>
      </c>
      <c r="G7357" s="89">
        <v>2023</v>
      </c>
      <c r="H7357" s="313" t="s">
        <v>5816</v>
      </c>
      <c r="I7357" s="311" t="str">
        <f t="shared" si="327"/>
        <v>Pesado de Passageiros M3:  : Gasóleo : E6 D/E E7</v>
      </c>
      <c r="J7357" s="422">
        <v>53</v>
      </c>
      <c r="K7357" s="422">
        <v>2023</v>
      </c>
      <c r="L7357">
        <v>20636.510000000002</v>
      </c>
      <c r="M7357" s="422" t="s">
        <v>630</v>
      </c>
      <c r="N7357" s="131">
        <v>77415</v>
      </c>
      <c r="O7357" s="436">
        <f t="shared" si="328"/>
        <v>4102995</v>
      </c>
      <c r="P7357" s="89">
        <v>6915</v>
      </c>
      <c r="Q7357" t="s">
        <v>47</v>
      </c>
      <c r="R7357" s="422" t="s">
        <v>1869</v>
      </c>
      <c r="S7357" s="422" t="s">
        <v>1861</v>
      </c>
      <c r="T7357" s="422"/>
      <c r="U7357" s="422" t="s">
        <v>1953</v>
      </c>
      <c r="V7357" s="422" t="s">
        <v>2813</v>
      </c>
    </row>
    <row r="7358" spans="1:22" ht="15.75" thickBot="1" x14ac:dyDescent="0.3">
      <c r="A7358" t="s">
        <v>1072</v>
      </c>
      <c r="B7358" s="424" t="str">
        <f t="shared" si="329"/>
        <v>Barraqueiro Transportes</v>
      </c>
      <c r="C7358" s="424" t="str">
        <f t="shared" si="330"/>
        <v>Frota Azul</v>
      </c>
      <c r="D7358" t="s">
        <v>629</v>
      </c>
      <c r="F7358" s="432" t="s">
        <v>620</v>
      </c>
      <c r="G7358" s="89">
        <v>2023</v>
      </c>
      <c r="H7358" s="313" t="s">
        <v>5816</v>
      </c>
      <c r="I7358" s="311" t="str">
        <f t="shared" si="327"/>
        <v>Pesado de Passageiros M3:  : Gasóleo : E6 D/E E7</v>
      </c>
      <c r="J7358" s="422">
        <v>53</v>
      </c>
      <c r="K7358" s="422">
        <v>2023</v>
      </c>
      <c r="L7358">
        <v>21647.39</v>
      </c>
      <c r="M7358" s="422" t="s">
        <v>630</v>
      </c>
      <c r="N7358" s="131">
        <v>82571</v>
      </c>
      <c r="O7358" s="436">
        <f t="shared" si="328"/>
        <v>4376263</v>
      </c>
      <c r="P7358" s="89">
        <v>6916</v>
      </c>
      <c r="Q7358" t="s">
        <v>47</v>
      </c>
      <c r="R7358" s="422" t="s">
        <v>1869</v>
      </c>
      <c r="S7358" s="422" t="s">
        <v>1861</v>
      </c>
      <c r="T7358" s="422"/>
      <c r="U7358" s="422" t="s">
        <v>1953</v>
      </c>
      <c r="V7358" s="422" t="s">
        <v>2813</v>
      </c>
    </row>
    <row r="7359" spans="1:22" ht="15.75" thickBot="1" x14ac:dyDescent="0.3">
      <c r="A7359" t="s">
        <v>1072</v>
      </c>
      <c r="B7359" s="424" t="str">
        <f t="shared" si="329"/>
        <v>Barraqueiro Transportes</v>
      </c>
      <c r="C7359" s="424" t="str">
        <f t="shared" si="330"/>
        <v>Frota Azul</v>
      </c>
      <c r="D7359" t="s">
        <v>629</v>
      </c>
      <c r="F7359" s="432" t="s">
        <v>620</v>
      </c>
      <c r="G7359" s="89">
        <v>2023</v>
      </c>
      <c r="H7359" s="313" t="s">
        <v>5816</v>
      </c>
      <c r="I7359" s="311" t="str">
        <f t="shared" si="327"/>
        <v>Pesado de Passageiros M3:  : Gasóleo : E6 D/E E7</v>
      </c>
      <c r="J7359" s="422">
        <v>53</v>
      </c>
      <c r="K7359" s="422">
        <v>2023</v>
      </c>
      <c r="L7359">
        <v>20642.64</v>
      </c>
      <c r="M7359" s="422" t="s">
        <v>630</v>
      </c>
      <c r="N7359" s="131">
        <v>79460</v>
      </c>
      <c r="O7359" s="436">
        <f t="shared" si="328"/>
        <v>4211380</v>
      </c>
      <c r="P7359" s="89">
        <v>6917</v>
      </c>
      <c r="Q7359" t="s">
        <v>47</v>
      </c>
      <c r="R7359" s="422" t="s">
        <v>1869</v>
      </c>
      <c r="S7359" s="422" t="s">
        <v>1861</v>
      </c>
      <c r="T7359" s="422"/>
      <c r="U7359" s="422" t="s">
        <v>1953</v>
      </c>
      <c r="V7359" s="422" t="s">
        <v>2813</v>
      </c>
    </row>
    <row r="7360" spans="1:22" ht="15.75" thickBot="1" x14ac:dyDescent="0.3">
      <c r="A7360" t="s">
        <v>1072</v>
      </c>
      <c r="B7360" s="424" t="str">
        <f t="shared" si="329"/>
        <v>Barraqueiro Transportes</v>
      </c>
      <c r="C7360" s="424" t="str">
        <f t="shared" si="330"/>
        <v>Frota Azul</v>
      </c>
      <c r="D7360" t="s">
        <v>629</v>
      </c>
      <c r="F7360" s="432" t="s">
        <v>620</v>
      </c>
      <c r="G7360" s="89">
        <v>2023</v>
      </c>
      <c r="H7360" s="313" t="s">
        <v>5816</v>
      </c>
      <c r="I7360" s="311" t="str">
        <f t="shared" si="327"/>
        <v>Pesado de Passageiros M3:  : Gasóleo : E6 D/E E7</v>
      </c>
      <c r="J7360" s="422">
        <v>53</v>
      </c>
      <c r="K7360" s="422">
        <v>2023</v>
      </c>
      <c r="L7360">
        <v>18896</v>
      </c>
      <c r="M7360" s="422" t="s">
        <v>630</v>
      </c>
      <c r="N7360" s="131">
        <v>73689</v>
      </c>
      <c r="O7360" s="436">
        <f t="shared" si="328"/>
        <v>3905517</v>
      </c>
      <c r="P7360" s="89">
        <v>6918</v>
      </c>
      <c r="Q7360" t="s">
        <v>47</v>
      </c>
      <c r="R7360" s="422" t="s">
        <v>1869</v>
      </c>
      <c r="S7360" s="422" t="s">
        <v>1861</v>
      </c>
      <c r="T7360" s="422"/>
      <c r="U7360" s="422" t="s">
        <v>1953</v>
      </c>
      <c r="V7360" s="422" t="s">
        <v>2813</v>
      </c>
    </row>
    <row r="7361" spans="1:22" ht="15.75" thickBot="1" x14ac:dyDescent="0.3">
      <c r="A7361" t="s">
        <v>1072</v>
      </c>
      <c r="B7361" s="424" t="str">
        <f t="shared" si="329"/>
        <v>Barraqueiro Transportes</v>
      </c>
      <c r="C7361" s="424" t="str">
        <f t="shared" si="330"/>
        <v>Frota Azul</v>
      </c>
      <c r="D7361" t="s">
        <v>629</v>
      </c>
      <c r="F7361" s="432" t="s">
        <v>620</v>
      </c>
      <c r="G7361" s="89">
        <v>2023</v>
      </c>
      <c r="H7361" s="313" t="s">
        <v>5816</v>
      </c>
      <c r="I7361" s="311" t="str">
        <f t="shared" si="327"/>
        <v>Pesado de Passageiros M3:  : Gasóleo : E6 D/E E7</v>
      </c>
      <c r="J7361" s="422">
        <v>53</v>
      </c>
      <c r="K7361" s="422">
        <v>2023</v>
      </c>
      <c r="L7361">
        <v>20328.400000000001</v>
      </c>
      <c r="M7361" s="422" t="s">
        <v>630</v>
      </c>
      <c r="N7361" s="131">
        <v>78481</v>
      </c>
      <c r="O7361" s="436">
        <f t="shared" si="328"/>
        <v>4159493</v>
      </c>
      <c r="P7361" s="89">
        <v>6919</v>
      </c>
      <c r="Q7361" t="s">
        <v>47</v>
      </c>
      <c r="R7361" s="422" t="s">
        <v>1869</v>
      </c>
      <c r="S7361" s="422" t="s">
        <v>1861</v>
      </c>
      <c r="T7361" s="422"/>
      <c r="U7361" s="422" t="s">
        <v>1953</v>
      </c>
      <c r="V7361" s="422" t="s">
        <v>2813</v>
      </c>
    </row>
    <row r="7362" spans="1:22" ht="15.75" thickBot="1" x14ac:dyDescent="0.3">
      <c r="A7362" t="s">
        <v>1072</v>
      </c>
      <c r="B7362" s="424" t="str">
        <f t="shared" si="329"/>
        <v>Barraqueiro Transportes</v>
      </c>
      <c r="C7362" s="424" t="str">
        <f t="shared" si="330"/>
        <v>Frota Azul</v>
      </c>
      <c r="D7362" t="s">
        <v>629</v>
      </c>
      <c r="F7362" s="432" t="s">
        <v>620</v>
      </c>
      <c r="G7362" s="89">
        <v>2023</v>
      </c>
      <c r="H7362" s="313" t="s">
        <v>5816</v>
      </c>
      <c r="I7362" s="311" t="str">
        <f t="shared" si="327"/>
        <v>Pesado de Passageiros M3:  : Gasóleo : E6 D/E E7</v>
      </c>
      <c r="J7362" s="422">
        <v>53</v>
      </c>
      <c r="K7362" s="422">
        <v>2023</v>
      </c>
      <c r="L7362">
        <v>18391.665999999997</v>
      </c>
      <c r="M7362" s="422" t="s">
        <v>630</v>
      </c>
      <c r="N7362" s="131">
        <v>70497</v>
      </c>
      <c r="O7362" s="436">
        <f t="shared" si="328"/>
        <v>3736341</v>
      </c>
      <c r="P7362" s="89">
        <v>6920</v>
      </c>
      <c r="Q7362" t="s">
        <v>47</v>
      </c>
      <c r="R7362" s="422" t="s">
        <v>1869</v>
      </c>
      <c r="S7362" s="422" t="s">
        <v>1861</v>
      </c>
      <c r="T7362" s="422"/>
      <c r="U7362" s="422" t="s">
        <v>1953</v>
      </c>
      <c r="V7362" s="422" t="s">
        <v>2813</v>
      </c>
    </row>
    <row r="7363" spans="1:22" ht="15.75" thickBot="1" x14ac:dyDescent="0.3">
      <c r="A7363" t="s">
        <v>1072</v>
      </c>
      <c r="B7363" s="424" t="str">
        <f t="shared" si="329"/>
        <v>Barraqueiro Transportes</v>
      </c>
      <c r="C7363" s="424" t="str">
        <f t="shared" si="330"/>
        <v>Frota Azul</v>
      </c>
      <c r="D7363" t="s">
        <v>629</v>
      </c>
      <c r="F7363" s="432" t="s">
        <v>620</v>
      </c>
      <c r="G7363" s="89">
        <v>2023</v>
      </c>
      <c r="H7363" s="313" t="s">
        <v>5816</v>
      </c>
      <c r="I7363" s="311" t="str">
        <f t="shared" si="327"/>
        <v>Pesado de Passageiros M3:  : Gasóleo : E6 D/E E7</v>
      </c>
      <c r="J7363" s="422">
        <v>53</v>
      </c>
      <c r="K7363" s="422">
        <v>2023</v>
      </c>
      <c r="L7363">
        <v>17888.952999999998</v>
      </c>
      <c r="M7363" s="422" t="s">
        <v>630</v>
      </c>
      <c r="N7363" s="131">
        <v>67101</v>
      </c>
      <c r="O7363" s="436">
        <f t="shared" si="328"/>
        <v>3556353</v>
      </c>
      <c r="P7363" s="89">
        <v>6921</v>
      </c>
      <c r="Q7363" t="s">
        <v>47</v>
      </c>
      <c r="R7363" s="422" t="s">
        <v>1869</v>
      </c>
      <c r="S7363" s="422" t="s">
        <v>1861</v>
      </c>
      <c r="T7363" s="422"/>
      <c r="U7363" s="422" t="s">
        <v>1953</v>
      </c>
      <c r="V7363" s="422" t="s">
        <v>2813</v>
      </c>
    </row>
    <row r="7364" spans="1:22" ht="15.75" thickBot="1" x14ac:dyDescent="0.3">
      <c r="A7364" t="s">
        <v>1072</v>
      </c>
      <c r="B7364" s="424" t="str">
        <f t="shared" si="329"/>
        <v>Barraqueiro Transportes</v>
      </c>
      <c r="C7364" s="424" t="str">
        <f t="shared" si="330"/>
        <v>Frota Azul</v>
      </c>
      <c r="D7364" t="s">
        <v>629</v>
      </c>
      <c r="F7364" s="432" t="s">
        <v>620</v>
      </c>
      <c r="G7364" s="89">
        <v>2023</v>
      </c>
      <c r="H7364" s="313" t="s">
        <v>5816</v>
      </c>
      <c r="I7364" s="311" t="str">
        <f t="shared" si="327"/>
        <v>Pesado de Passageiros M3:  : Gasóleo : E6 D/E E7</v>
      </c>
      <c r="J7364" s="422">
        <v>53</v>
      </c>
      <c r="K7364" s="422">
        <v>2023</v>
      </c>
      <c r="L7364">
        <v>18345.030000000002</v>
      </c>
      <c r="M7364" s="422" t="s">
        <v>630</v>
      </c>
      <c r="N7364" s="131">
        <v>71138</v>
      </c>
      <c r="O7364" s="436">
        <f t="shared" si="328"/>
        <v>3770314</v>
      </c>
      <c r="P7364" s="89">
        <v>6922</v>
      </c>
      <c r="Q7364" t="s">
        <v>47</v>
      </c>
      <c r="R7364" s="422" t="s">
        <v>1869</v>
      </c>
      <c r="S7364" s="422" t="s">
        <v>1861</v>
      </c>
      <c r="T7364" s="422"/>
      <c r="U7364" s="422" t="s">
        <v>1953</v>
      </c>
      <c r="V7364" s="422" t="s">
        <v>2813</v>
      </c>
    </row>
    <row r="7365" spans="1:22" ht="15.75" thickBot="1" x14ac:dyDescent="0.3">
      <c r="A7365" t="s">
        <v>1072</v>
      </c>
      <c r="B7365" s="424" t="str">
        <f t="shared" si="329"/>
        <v>Barraqueiro Transportes</v>
      </c>
      <c r="C7365" s="424" t="str">
        <f t="shared" si="330"/>
        <v>Frota Azul</v>
      </c>
      <c r="D7365" t="s">
        <v>629</v>
      </c>
      <c r="F7365" s="432" t="s">
        <v>620</v>
      </c>
      <c r="G7365" s="89">
        <v>2023</v>
      </c>
      <c r="H7365" s="313" t="s">
        <v>5816</v>
      </c>
      <c r="I7365" s="311" t="str">
        <f t="shared" si="327"/>
        <v>Pesado de Passageiros M3:  : Gasóleo : E6 D/E E7</v>
      </c>
      <c r="J7365" s="422">
        <v>53</v>
      </c>
      <c r="K7365" s="422">
        <v>2023</v>
      </c>
      <c r="L7365">
        <v>18325.909999999996</v>
      </c>
      <c r="M7365" s="422" t="s">
        <v>630</v>
      </c>
      <c r="N7365" s="131">
        <v>69478</v>
      </c>
      <c r="O7365" s="436">
        <f t="shared" si="328"/>
        <v>3682334</v>
      </c>
      <c r="P7365" s="89">
        <v>6923</v>
      </c>
      <c r="Q7365" t="s">
        <v>47</v>
      </c>
      <c r="R7365" s="422" t="s">
        <v>1869</v>
      </c>
      <c r="S7365" s="422" t="s">
        <v>1861</v>
      </c>
      <c r="T7365" s="422"/>
      <c r="U7365" s="422" t="s">
        <v>1953</v>
      </c>
      <c r="V7365" s="422" t="s">
        <v>2813</v>
      </c>
    </row>
    <row r="7366" spans="1:22" ht="15.75" thickBot="1" x14ac:dyDescent="0.3">
      <c r="A7366" t="s">
        <v>1072</v>
      </c>
      <c r="B7366" s="424" t="str">
        <f t="shared" si="329"/>
        <v>Barraqueiro Transportes</v>
      </c>
      <c r="C7366" s="424" t="str">
        <f t="shared" si="330"/>
        <v>Frota Azul</v>
      </c>
      <c r="D7366" t="s">
        <v>629</v>
      </c>
      <c r="F7366" s="432" t="s">
        <v>620</v>
      </c>
      <c r="G7366" s="89">
        <v>2023</v>
      </c>
      <c r="H7366" s="313" t="s">
        <v>5816</v>
      </c>
      <c r="I7366" s="311" t="str">
        <f t="shared" si="327"/>
        <v>Pesado de Passageiros M3:  : Gasóleo : E6 D/E E7</v>
      </c>
      <c r="J7366" s="422">
        <v>53</v>
      </c>
      <c r="K7366" s="422">
        <v>2023</v>
      </c>
      <c r="L7366">
        <v>16166.869999999999</v>
      </c>
      <c r="M7366" s="422" t="s">
        <v>630</v>
      </c>
      <c r="N7366" s="131">
        <v>61830</v>
      </c>
      <c r="O7366" s="436">
        <f t="shared" si="328"/>
        <v>3276990</v>
      </c>
      <c r="P7366" s="89">
        <v>6924</v>
      </c>
      <c r="Q7366" t="s">
        <v>47</v>
      </c>
      <c r="R7366" s="422" t="s">
        <v>1869</v>
      </c>
      <c r="S7366" s="422" t="s">
        <v>1861</v>
      </c>
      <c r="T7366" s="422"/>
      <c r="U7366" s="422" t="s">
        <v>1953</v>
      </c>
      <c r="V7366" s="422" t="s">
        <v>2813</v>
      </c>
    </row>
    <row r="7367" spans="1:22" ht="15.75" thickBot="1" x14ac:dyDescent="0.3">
      <c r="A7367" t="s">
        <v>1072</v>
      </c>
      <c r="B7367" s="424" t="str">
        <f t="shared" si="329"/>
        <v>Barraqueiro Transportes</v>
      </c>
      <c r="C7367" s="424" t="str">
        <f t="shared" si="330"/>
        <v>Frota Azul</v>
      </c>
      <c r="D7367" t="s">
        <v>629</v>
      </c>
      <c r="F7367" s="432" t="s">
        <v>620</v>
      </c>
      <c r="G7367" s="89">
        <v>2023</v>
      </c>
      <c r="H7367" s="313" t="s">
        <v>5816</v>
      </c>
      <c r="I7367" s="311" t="str">
        <f t="shared" si="327"/>
        <v>Pesado de Passageiros M3:  : Gasóleo : E6 D/E E7</v>
      </c>
      <c r="J7367" s="422">
        <v>53</v>
      </c>
      <c r="K7367" s="422">
        <v>2023</v>
      </c>
      <c r="L7367">
        <v>19796.150000000001</v>
      </c>
      <c r="M7367" s="422" t="s">
        <v>630</v>
      </c>
      <c r="N7367" s="131">
        <v>76039</v>
      </c>
      <c r="O7367" s="436">
        <f t="shared" si="328"/>
        <v>4030067</v>
      </c>
      <c r="P7367" s="89">
        <v>6925</v>
      </c>
      <c r="Q7367" t="s">
        <v>47</v>
      </c>
      <c r="R7367" s="422" t="s">
        <v>1869</v>
      </c>
      <c r="S7367" s="422" t="s">
        <v>1861</v>
      </c>
      <c r="T7367" s="422"/>
      <c r="U7367" s="422" t="s">
        <v>1953</v>
      </c>
      <c r="V7367" s="422" t="s">
        <v>2813</v>
      </c>
    </row>
    <row r="7368" spans="1:22" ht="15.75" thickBot="1" x14ac:dyDescent="0.3">
      <c r="A7368" t="s">
        <v>1072</v>
      </c>
      <c r="B7368" s="424" t="str">
        <f t="shared" si="329"/>
        <v>Barraqueiro Transportes</v>
      </c>
      <c r="C7368" s="424" t="str">
        <f t="shared" si="330"/>
        <v>Frota Azul</v>
      </c>
      <c r="D7368" t="s">
        <v>629</v>
      </c>
      <c r="F7368" s="432" t="s">
        <v>620</v>
      </c>
      <c r="G7368" s="89">
        <v>2023</v>
      </c>
      <c r="H7368" s="313" t="s">
        <v>5816</v>
      </c>
      <c r="I7368" s="311" t="str">
        <f t="shared" si="327"/>
        <v>Pesado de Passageiros M3:  : Gasóleo : E6 D/E E7</v>
      </c>
      <c r="J7368" s="422">
        <v>53</v>
      </c>
      <c r="K7368" s="422">
        <v>2023</v>
      </c>
      <c r="L7368">
        <v>18133.02</v>
      </c>
      <c r="M7368" s="422" t="s">
        <v>630</v>
      </c>
      <c r="N7368" s="131">
        <v>67267</v>
      </c>
      <c r="O7368" s="436">
        <f t="shared" si="328"/>
        <v>3565151</v>
      </c>
      <c r="P7368" s="89">
        <v>6926</v>
      </c>
      <c r="Q7368" t="s">
        <v>47</v>
      </c>
      <c r="R7368" s="422" t="s">
        <v>1869</v>
      </c>
      <c r="S7368" s="422" t="s">
        <v>1861</v>
      </c>
      <c r="T7368" s="422"/>
      <c r="U7368" s="422" t="s">
        <v>1953</v>
      </c>
      <c r="V7368" s="422" t="s">
        <v>2813</v>
      </c>
    </row>
    <row r="7369" spans="1:22" ht="15.75" thickBot="1" x14ac:dyDescent="0.3">
      <c r="A7369" t="s">
        <v>1072</v>
      </c>
      <c r="B7369" s="424" t="str">
        <f t="shared" si="329"/>
        <v>Barraqueiro Transportes</v>
      </c>
      <c r="C7369" s="424" t="str">
        <f t="shared" si="330"/>
        <v>Frota Azul</v>
      </c>
      <c r="D7369" t="s">
        <v>629</v>
      </c>
      <c r="F7369" s="432" t="s">
        <v>620</v>
      </c>
      <c r="G7369" s="89">
        <v>2023</v>
      </c>
      <c r="H7369" s="313" t="s">
        <v>5816</v>
      </c>
      <c r="I7369" s="311" t="str">
        <f t="shared" si="327"/>
        <v>Pesado de Passageiros M3:  : Gasóleo : E6 D/E E7</v>
      </c>
      <c r="J7369" s="422">
        <v>53</v>
      </c>
      <c r="K7369" s="422">
        <v>2023</v>
      </c>
      <c r="L7369">
        <v>15983.390000000001</v>
      </c>
      <c r="M7369" s="422" t="s">
        <v>630</v>
      </c>
      <c r="N7369" s="131">
        <v>62624</v>
      </c>
      <c r="O7369" s="436">
        <f t="shared" si="328"/>
        <v>3319072</v>
      </c>
      <c r="P7369" s="89">
        <v>6927</v>
      </c>
      <c r="Q7369" t="s">
        <v>47</v>
      </c>
      <c r="R7369" s="422" t="s">
        <v>1869</v>
      </c>
      <c r="S7369" s="422" t="s">
        <v>1861</v>
      </c>
      <c r="T7369" s="422"/>
      <c r="U7369" s="422" t="s">
        <v>1953</v>
      </c>
      <c r="V7369" s="422" t="s">
        <v>2813</v>
      </c>
    </row>
    <row r="7370" spans="1:22" ht="15.75" thickBot="1" x14ac:dyDescent="0.3">
      <c r="A7370" t="s">
        <v>1072</v>
      </c>
      <c r="B7370" s="424" t="str">
        <f t="shared" si="329"/>
        <v>Barraqueiro Transportes</v>
      </c>
      <c r="C7370" s="424" t="str">
        <f t="shared" si="330"/>
        <v>Frota Azul</v>
      </c>
      <c r="D7370" t="s">
        <v>629</v>
      </c>
      <c r="F7370" s="432" t="s">
        <v>620</v>
      </c>
      <c r="G7370" s="89">
        <v>2023</v>
      </c>
      <c r="H7370" s="313" t="s">
        <v>5816</v>
      </c>
      <c r="I7370" s="311" t="str">
        <f t="shared" si="327"/>
        <v>Pesado de Passageiros M3:  : Gasóleo : E6 D/E E7</v>
      </c>
      <c r="J7370" s="422">
        <v>53</v>
      </c>
      <c r="K7370" s="422">
        <v>2023</v>
      </c>
      <c r="L7370">
        <v>17914.129999999997</v>
      </c>
      <c r="M7370" s="422" t="s">
        <v>630</v>
      </c>
      <c r="N7370" s="131">
        <v>66712</v>
      </c>
      <c r="O7370" s="436">
        <f t="shared" si="328"/>
        <v>3535736</v>
      </c>
      <c r="P7370" s="89">
        <v>6928</v>
      </c>
      <c r="Q7370" t="s">
        <v>47</v>
      </c>
      <c r="R7370" s="422" t="s">
        <v>1869</v>
      </c>
      <c r="S7370" s="422" t="s">
        <v>1861</v>
      </c>
      <c r="T7370" s="422"/>
      <c r="U7370" s="422" t="s">
        <v>1953</v>
      </c>
      <c r="V7370" s="422" t="s">
        <v>2813</v>
      </c>
    </row>
    <row r="7371" spans="1:22" ht="15.75" thickBot="1" x14ac:dyDescent="0.3">
      <c r="A7371" t="s">
        <v>1072</v>
      </c>
      <c r="B7371" s="424" t="str">
        <f t="shared" si="329"/>
        <v>Barraqueiro Transportes</v>
      </c>
      <c r="C7371" s="424" t="str">
        <f t="shared" si="330"/>
        <v>Frota Azul</v>
      </c>
      <c r="D7371" t="s">
        <v>629</v>
      </c>
      <c r="F7371" s="432" t="s">
        <v>620</v>
      </c>
      <c r="G7371" s="89">
        <v>2023</v>
      </c>
      <c r="H7371" s="313" t="s">
        <v>5816</v>
      </c>
      <c r="I7371" s="311" t="str">
        <f t="shared" si="327"/>
        <v>Pesado de Passageiros M3:  : Gasóleo : E6 D/E E7</v>
      </c>
      <c r="J7371" s="422">
        <v>53</v>
      </c>
      <c r="K7371" s="422">
        <v>2023</v>
      </c>
      <c r="L7371">
        <v>15686.664999999999</v>
      </c>
      <c r="M7371" s="422" t="s">
        <v>630</v>
      </c>
      <c r="N7371" s="131">
        <v>62454</v>
      </c>
      <c r="O7371" s="436">
        <f t="shared" si="328"/>
        <v>3310062</v>
      </c>
      <c r="P7371" s="89">
        <v>6929</v>
      </c>
      <c r="Q7371" t="s">
        <v>47</v>
      </c>
      <c r="R7371" s="422" t="s">
        <v>1869</v>
      </c>
      <c r="S7371" s="422" t="s">
        <v>1861</v>
      </c>
      <c r="T7371" s="422"/>
      <c r="U7371" s="422" t="s">
        <v>1953</v>
      </c>
      <c r="V7371" s="422" t="s">
        <v>2813</v>
      </c>
    </row>
    <row r="7372" spans="1:22" ht="15.75" thickBot="1" x14ac:dyDescent="0.3">
      <c r="A7372" t="s">
        <v>1072</v>
      </c>
      <c r="B7372" s="424" t="str">
        <f t="shared" si="329"/>
        <v>Barraqueiro Transportes</v>
      </c>
      <c r="C7372" s="424" t="str">
        <f t="shared" si="330"/>
        <v>Frota Azul</v>
      </c>
      <c r="D7372" t="s">
        <v>629</v>
      </c>
      <c r="F7372" s="432" t="s">
        <v>620</v>
      </c>
      <c r="G7372" s="89">
        <v>2023</v>
      </c>
      <c r="H7372" s="313" t="s">
        <v>5816</v>
      </c>
      <c r="I7372" s="311" t="str">
        <f t="shared" si="327"/>
        <v>Pesado de Passageiros M3:  : Gasóleo : E6 D/E E7</v>
      </c>
      <c r="J7372" s="422">
        <v>53</v>
      </c>
      <c r="K7372" s="422">
        <v>2023</v>
      </c>
      <c r="L7372">
        <v>17976.750000000004</v>
      </c>
      <c r="M7372" s="422" t="s">
        <v>630</v>
      </c>
      <c r="N7372" s="131">
        <v>69549</v>
      </c>
      <c r="O7372" s="436">
        <f t="shared" si="328"/>
        <v>3686097</v>
      </c>
      <c r="P7372" s="89">
        <v>6930</v>
      </c>
      <c r="Q7372" t="s">
        <v>47</v>
      </c>
      <c r="R7372" s="422" t="s">
        <v>1869</v>
      </c>
      <c r="S7372" s="422" t="s">
        <v>1861</v>
      </c>
      <c r="T7372" s="422"/>
      <c r="U7372" s="422" t="s">
        <v>1953</v>
      </c>
      <c r="V7372" s="422" t="s">
        <v>2813</v>
      </c>
    </row>
    <row r="7373" spans="1:22" ht="15.75" thickBot="1" x14ac:dyDescent="0.3">
      <c r="A7373" t="s">
        <v>1072</v>
      </c>
      <c r="B7373" s="424" t="str">
        <f t="shared" si="329"/>
        <v>Barraqueiro Transportes</v>
      </c>
      <c r="C7373" s="424" t="str">
        <f t="shared" si="330"/>
        <v>Frota Azul</v>
      </c>
      <c r="D7373" t="s">
        <v>629</v>
      </c>
      <c r="F7373" s="432" t="s">
        <v>620</v>
      </c>
      <c r="G7373" s="89">
        <v>2023</v>
      </c>
      <c r="H7373" s="313" t="s">
        <v>5816</v>
      </c>
      <c r="I7373" s="311" t="str">
        <f t="shared" si="327"/>
        <v>Pesado de Passageiros M3:  : Gasóleo : E6 D/E E7</v>
      </c>
      <c r="J7373" s="422">
        <v>53</v>
      </c>
      <c r="K7373" s="422">
        <v>2023</v>
      </c>
      <c r="L7373">
        <v>18023.73</v>
      </c>
      <c r="M7373" s="422" t="s">
        <v>630</v>
      </c>
      <c r="N7373" s="131">
        <v>68521</v>
      </c>
      <c r="O7373" s="436">
        <f t="shared" si="328"/>
        <v>3631613</v>
      </c>
      <c r="P7373" s="89">
        <v>6931</v>
      </c>
      <c r="Q7373" t="s">
        <v>47</v>
      </c>
      <c r="R7373" s="422" t="s">
        <v>1869</v>
      </c>
      <c r="S7373" s="422" t="s">
        <v>1861</v>
      </c>
      <c r="T7373" s="422"/>
      <c r="U7373" s="422" t="s">
        <v>1953</v>
      </c>
      <c r="V7373" s="422" t="s">
        <v>2813</v>
      </c>
    </row>
    <row r="7374" spans="1:22" ht="15.75" thickBot="1" x14ac:dyDescent="0.3">
      <c r="A7374" t="s">
        <v>1072</v>
      </c>
      <c r="B7374" s="424" t="str">
        <f t="shared" si="329"/>
        <v>Barraqueiro Transportes</v>
      </c>
      <c r="C7374" s="424" t="str">
        <f t="shared" si="330"/>
        <v>Frota Azul</v>
      </c>
      <c r="D7374" t="s">
        <v>629</v>
      </c>
      <c r="F7374" s="432" t="s">
        <v>620</v>
      </c>
      <c r="G7374" s="89">
        <v>2023</v>
      </c>
      <c r="H7374" s="313" t="s">
        <v>5816</v>
      </c>
      <c r="I7374" s="311" t="str">
        <f t="shared" si="327"/>
        <v>Pesado de Passageiros M3:  : Gasóleo : E6 D/E E7</v>
      </c>
      <c r="J7374" s="422">
        <v>53</v>
      </c>
      <c r="K7374" s="422">
        <v>2023</v>
      </c>
      <c r="L7374">
        <v>18298.837000000003</v>
      </c>
      <c r="M7374" s="422" t="s">
        <v>630</v>
      </c>
      <c r="N7374" s="131">
        <v>68692</v>
      </c>
      <c r="O7374" s="436">
        <f t="shared" si="328"/>
        <v>3640676</v>
      </c>
      <c r="P7374" s="89">
        <v>6932</v>
      </c>
      <c r="Q7374" t="s">
        <v>47</v>
      </c>
      <c r="R7374" s="422" t="s">
        <v>1869</v>
      </c>
      <c r="S7374" s="422" t="s">
        <v>1861</v>
      </c>
      <c r="T7374" s="422"/>
      <c r="U7374" s="422" t="s">
        <v>1953</v>
      </c>
      <c r="V7374" s="422" t="s">
        <v>2813</v>
      </c>
    </row>
    <row r="7375" spans="1:22" ht="15.75" thickBot="1" x14ac:dyDescent="0.3">
      <c r="A7375" t="s">
        <v>1072</v>
      </c>
      <c r="B7375" s="424" t="str">
        <f t="shared" si="329"/>
        <v>Barraqueiro Transportes</v>
      </c>
      <c r="C7375" s="424" t="str">
        <f t="shared" si="330"/>
        <v>Frota Azul</v>
      </c>
      <c r="D7375" t="s">
        <v>629</v>
      </c>
      <c r="F7375" s="432" t="s">
        <v>620</v>
      </c>
      <c r="G7375" s="89">
        <v>2023</v>
      </c>
      <c r="H7375" s="313" t="s">
        <v>5816</v>
      </c>
      <c r="I7375" s="311" t="str">
        <f t="shared" si="327"/>
        <v>Pesado de Passageiros M3:  : Gasóleo : E6 D/E E7</v>
      </c>
      <c r="J7375" s="422">
        <v>53</v>
      </c>
      <c r="K7375" s="422">
        <v>2023</v>
      </c>
      <c r="L7375">
        <v>15247.42</v>
      </c>
      <c r="M7375" s="422" t="s">
        <v>630</v>
      </c>
      <c r="N7375" s="131">
        <v>56368</v>
      </c>
      <c r="O7375" s="436">
        <f t="shared" si="328"/>
        <v>2987504</v>
      </c>
      <c r="P7375" s="89">
        <v>6933</v>
      </c>
      <c r="Q7375" t="s">
        <v>47</v>
      </c>
      <c r="R7375" s="422" t="s">
        <v>1869</v>
      </c>
      <c r="S7375" s="422" t="s">
        <v>1861</v>
      </c>
      <c r="T7375" s="422"/>
      <c r="U7375" s="422" t="s">
        <v>1953</v>
      </c>
      <c r="V7375" s="422" t="s">
        <v>2813</v>
      </c>
    </row>
    <row r="7376" spans="1:22" ht="15.75" thickBot="1" x14ac:dyDescent="0.3">
      <c r="A7376" t="s">
        <v>1072</v>
      </c>
      <c r="B7376" s="424" t="str">
        <f t="shared" si="329"/>
        <v>Barraqueiro Transportes</v>
      </c>
      <c r="C7376" s="424" t="str">
        <f t="shared" si="330"/>
        <v>Frota Azul</v>
      </c>
      <c r="D7376" t="s">
        <v>629</v>
      </c>
      <c r="F7376" s="432" t="s">
        <v>620</v>
      </c>
      <c r="G7376" s="89">
        <v>2023</v>
      </c>
      <c r="H7376" s="313" t="s">
        <v>5816</v>
      </c>
      <c r="I7376" s="311" t="str">
        <f t="shared" si="327"/>
        <v>Pesado de Passageiros M3:  : Gasóleo : E6 D/E E7</v>
      </c>
      <c r="J7376" s="422">
        <v>53</v>
      </c>
      <c r="K7376" s="422">
        <v>2023</v>
      </c>
      <c r="L7376">
        <v>19282.89</v>
      </c>
      <c r="M7376" s="422" t="s">
        <v>630</v>
      </c>
      <c r="N7376" s="131">
        <v>71492</v>
      </c>
      <c r="O7376" s="436">
        <f t="shared" si="328"/>
        <v>3789076</v>
      </c>
      <c r="P7376" s="89">
        <v>6934</v>
      </c>
      <c r="Q7376" t="s">
        <v>47</v>
      </c>
      <c r="R7376" s="422" t="s">
        <v>1869</v>
      </c>
      <c r="S7376" s="422" t="s">
        <v>1861</v>
      </c>
      <c r="T7376" s="422"/>
      <c r="U7376" s="422" t="s">
        <v>1953</v>
      </c>
      <c r="V7376" s="422" t="s">
        <v>2813</v>
      </c>
    </row>
    <row r="7377" spans="1:22" ht="15.75" thickBot="1" x14ac:dyDescent="0.3">
      <c r="A7377" t="s">
        <v>1072</v>
      </c>
      <c r="B7377" s="424" t="str">
        <f t="shared" si="329"/>
        <v>Barraqueiro Transportes</v>
      </c>
      <c r="C7377" s="424" t="str">
        <f t="shared" si="330"/>
        <v>Frota Azul</v>
      </c>
      <c r="D7377" t="s">
        <v>629</v>
      </c>
      <c r="F7377" s="432" t="s">
        <v>620</v>
      </c>
      <c r="G7377" s="89">
        <v>2023</v>
      </c>
      <c r="H7377" s="313" t="s">
        <v>5816</v>
      </c>
      <c r="I7377" s="311" t="str">
        <f t="shared" si="327"/>
        <v>Pesado de Passageiros M3:  : Gasóleo : E6 D/E E7</v>
      </c>
      <c r="J7377" s="422">
        <v>53</v>
      </c>
      <c r="K7377" s="422">
        <v>2023</v>
      </c>
      <c r="L7377">
        <v>17887</v>
      </c>
      <c r="M7377" s="422" t="s">
        <v>630</v>
      </c>
      <c r="N7377" s="131">
        <v>68518</v>
      </c>
      <c r="O7377" s="436">
        <f t="shared" si="328"/>
        <v>3631454</v>
      </c>
      <c r="P7377" s="89">
        <v>6935</v>
      </c>
      <c r="Q7377" t="s">
        <v>47</v>
      </c>
      <c r="R7377" s="422" t="s">
        <v>1869</v>
      </c>
      <c r="S7377" s="422" t="s">
        <v>1861</v>
      </c>
      <c r="T7377" s="422"/>
      <c r="U7377" s="422" t="s">
        <v>1953</v>
      </c>
      <c r="V7377" s="422" t="s">
        <v>2813</v>
      </c>
    </row>
    <row r="7378" spans="1:22" ht="15.75" thickBot="1" x14ac:dyDescent="0.3">
      <c r="A7378" t="s">
        <v>1072</v>
      </c>
      <c r="B7378" s="424" t="str">
        <f t="shared" si="329"/>
        <v>Barraqueiro Transportes</v>
      </c>
      <c r="C7378" s="424" t="str">
        <f t="shared" si="330"/>
        <v>Frota Azul</v>
      </c>
      <c r="D7378" t="s">
        <v>629</v>
      </c>
      <c r="F7378" s="432" t="s">
        <v>620</v>
      </c>
      <c r="G7378" s="89">
        <v>2023</v>
      </c>
      <c r="H7378" s="313" t="s">
        <v>5816</v>
      </c>
      <c r="I7378" s="311" t="str">
        <f t="shared" si="327"/>
        <v>Pesado de Passageiros M3:  : Gasóleo : E6 D/E E7</v>
      </c>
      <c r="J7378" s="422">
        <v>53</v>
      </c>
      <c r="K7378" s="422">
        <v>2023</v>
      </c>
      <c r="L7378">
        <v>18037.019999999997</v>
      </c>
      <c r="M7378" s="422" t="s">
        <v>630</v>
      </c>
      <c r="N7378" s="131">
        <v>68214</v>
      </c>
      <c r="O7378" s="436">
        <f t="shared" si="328"/>
        <v>3615342</v>
      </c>
      <c r="P7378" s="89">
        <v>6936</v>
      </c>
      <c r="Q7378" t="s">
        <v>47</v>
      </c>
      <c r="R7378" s="422" t="s">
        <v>1869</v>
      </c>
      <c r="S7378" s="422" t="s">
        <v>1861</v>
      </c>
      <c r="T7378" s="422"/>
      <c r="U7378" s="422" t="s">
        <v>1953</v>
      </c>
      <c r="V7378" s="422" t="s">
        <v>2813</v>
      </c>
    </row>
    <row r="7379" spans="1:22" ht="15.75" thickBot="1" x14ac:dyDescent="0.3">
      <c r="A7379" t="s">
        <v>1072</v>
      </c>
      <c r="B7379" s="424" t="str">
        <f t="shared" si="329"/>
        <v>Barraqueiro Transportes</v>
      </c>
      <c r="C7379" s="424" t="str">
        <f t="shared" si="330"/>
        <v>Frota Azul</v>
      </c>
      <c r="D7379" t="s">
        <v>629</v>
      </c>
      <c r="F7379" s="432" t="s">
        <v>620</v>
      </c>
      <c r="G7379" s="89">
        <v>2023</v>
      </c>
      <c r="H7379" s="313" t="s">
        <v>5816</v>
      </c>
      <c r="I7379" s="311" t="str">
        <f t="shared" si="327"/>
        <v>Pesado de Passageiros M3:  : Gasóleo : E6 D/E E7</v>
      </c>
      <c r="J7379" s="422">
        <v>53</v>
      </c>
      <c r="K7379" s="422">
        <v>2023</v>
      </c>
      <c r="L7379">
        <v>14013.47</v>
      </c>
      <c r="M7379" s="422" t="s">
        <v>630</v>
      </c>
      <c r="N7379" s="131">
        <v>49900</v>
      </c>
      <c r="O7379" s="436">
        <f t="shared" si="328"/>
        <v>2644700</v>
      </c>
      <c r="P7379" s="89">
        <v>6937</v>
      </c>
      <c r="Q7379" t="s">
        <v>47</v>
      </c>
      <c r="R7379" s="422" t="s">
        <v>1869</v>
      </c>
      <c r="S7379" s="422" t="s">
        <v>1861</v>
      </c>
      <c r="T7379" s="422"/>
      <c r="U7379" s="422" t="s">
        <v>1953</v>
      </c>
      <c r="V7379" s="422" t="s">
        <v>2813</v>
      </c>
    </row>
    <row r="7380" spans="1:22" ht="15.75" thickBot="1" x14ac:dyDescent="0.3">
      <c r="A7380" t="s">
        <v>1072</v>
      </c>
      <c r="B7380" s="424" t="str">
        <f t="shared" si="329"/>
        <v>Barraqueiro Transportes</v>
      </c>
      <c r="C7380" s="424" t="str">
        <f t="shared" si="330"/>
        <v>Frota Azul</v>
      </c>
      <c r="D7380" t="s">
        <v>629</v>
      </c>
      <c r="F7380" s="432" t="s">
        <v>620</v>
      </c>
      <c r="G7380" s="89">
        <v>2023</v>
      </c>
      <c r="H7380" s="313" t="s">
        <v>5816</v>
      </c>
      <c r="I7380" s="311" t="str">
        <f t="shared" si="327"/>
        <v>Pesado de Passageiros M3:  : Gasóleo : E6 D/E E7</v>
      </c>
      <c r="J7380" s="422">
        <v>53</v>
      </c>
      <c r="K7380" s="422">
        <v>2023</v>
      </c>
      <c r="L7380">
        <v>21806.134999999995</v>
      </c>
      <c r="M7380" s="422" t="s">
        <v>630</v>
      </c>
      <c r="N7380" s="131">
        <v>85052</v>
      </c>
      <c r="O7380" s="436">
        <f t="shared" si="328"/>
        <v>4507756</v>
      </c>
      <c r="P7380" s="89">
        <v>6938</v>
      </c>
      <c r="Q7380" t="s">
        <v>47</v>
      </c>
      <c r="R7380" s="422" t="s">
        <v>1869</v>
      </c>
      <c r="S7380" s="422" t="s">
        <v>1861</v>
      </c>
      <c r="T7380" s="422"/>
      <c r="U7380" s="422" t="s">
        <v>1953</v>
      </c>
      <c r="V7380" s="422" t="s">
        <v>2813</v>
      </c>
    </row>
    <row r="7381" spans="1:22" ht="15.75" thickBot="1" x14ac:dyDescent="0.3">
      <c r="A7381" t="s">
        <v>1072</v>
      </c>
      <c r="B7381" s="424" t="str">
        <f t="shared" si="329"/>
        <v>Barraqueiro Transportes</v>
      </c>
      <c r="C7381" s="424" t="str">
        <f t="shared" si="330"/>
        <v>Frota Azul</v>
      </c>
      <c r="D7381" t="s">
        <v>629</v>
      </c>
      <c r="F7381" s="432" t="s">
        <v>620</v>
      </c>
      <c r="G7381" s="89">
        <v>2023</v>
      </c>
      <c r="H7381" s="313" t="s">
        <v>5816</v>
      </c>
      <c r="I7381" s="311" t="str">
        <f t="shared" si="327"/>
        <v>Pesado de Passageiros M3:  : Gasóleo : E6 D/E E7</v>
      </c>
      <c r="J7381" s="422">
        <v>53</v>
      </c>
      <c r="K7381" s="422">
        <v>2023</v>
      </c>
      <c r="L7381">
        <v>12460.38</v>
      </c>
      <c r="M7381" s="422" t="s">
        <v>630</v>
      </c>
      <c r="N7381" s="131">
        <v>49706</v>
      </c>
      <c r="O7381" s="436">
        <f t="shared" si="328"/>
        <v>2634418</v>
      </c>
      <c r="P7381" s="89">
        <v>6939</v>
      </c>
      <c r="Q7381" t="s">
        <v>47</v>
      </c>
      <c r="R7381" s="422" t="s">
        <v>1869</v>
      </c>
      <c r="S7381" s="422" t="s">
        <v>1861</v>
      </c>
      <c r="T7381" s="422"/>
      <c r="U7381" s="422" t="s">
        <v>1953</v>
      </c>
      <c r="V7381" s="422" t="s">
        <v>2813</v>
      </c>
    </row>
    <row r="7382" spans="1:22" ht="15.75" thickBot="1" x14ac:dyDescent="0.3">
      <c r="A7382" t="s">
        <v>1072</v>
      </c>
      <c r="B7382" s="424" t="str">
        <f t="shared" si="329"/>
        <v>Barraqueiro Transportes</v>
      </c>
      <c r="C7382" s="424" t="str">
        <f t="shared" si="330"/>
        <v>Frota Azul</v>
      </c>
      <c r="D7382" t="s">
        <v>629</v>
      </c>
      <c r="F7382" s="432" t="s">
        <v>620</v>
      </c>
      <c r="G7382" s="89">
        <v>2023</v>
      </c>
      <c r="H7382" s="313" t="s">
        <v>5816</v>
      </c>
      <c r="I7382" s="311" t="str">
        <f t="shared" si="327"/>
        <v>Pesado de Passageiros M3:  : Gasóleo : E6 D/E E7</v>
      </c>
      <c r="J7382" s="422">
        <v>53</v>
      </c>
      <c r="K7382" s="422">
        <v>2023</v>
      </c>
      <c r="L7382">
        <v>16819.740999999998</v>
      </c>
      <c r="M7382" s="422" t="s">
        <v>630</v>
      </c>
      <c r="N7382" s="131">
        <v>65555</v>
      </c>
      <c r="O7382" s="436">
        <f t="shared" si="328"/>
        <v>3474415</v>
      </c>
      <c r="P7382" s="89">
        <v>6940</v>
      </c>
      <c r="Q7382" t="s">
        <v>47</v>
      </c>
      <c r="R7382" s="422" t="s">
        <v>1869</v>
      </c>
      <c r="S7382" s="422" t="s">
        <v>1861</v>
      </c>
      <c r="T7382" s="422"/>
      <c r="U7382" s="422" t="s">
        <v>1953</v>
      </c>
      <c r="V7382" s="422" t="s">
        <v>2813</v>
      </c>
    </row>
    <row r="7383" spans="1:22" ht="15.75" thickBot="1" x14ac:dyDescent="0.3">
      <c r="A7383" t="s">
        <v>1072</v>
      </c>
      <c r="B7383" s="424" t="str">
        <f t="shared" si="329"/>
        <v>Barraqueiro Transportes</v>
      </c>
      <c r="C7383" s="424" t="str">
        <f t="shared" si="330"/>
        <v>Frota Azul</v>
      </c>
      <c r="D7383" t="s">
        <v>629</v>
      </c>
      <c r="F7383" s="432" t="s">
        <v>620</v>
      </c>
      <c r="G7383" s="89">
        <v>2023</v>
      </c>
      <c r="H7383" s="313" t="s">
        <v>5816</v>
      </c>
      <c r="I7383" s="311" t="str">
        <f t="shared" si="327"/>
        <v>Pesado de Passageiros M3:  : Gasóleo : E6 D/E E7</v>
      </c>
      <c r="J7383" s="422">
        <v>55</v>
      </c>
      <c r="K7383" s="422">
        <v>2023</v>
      </c>
      <c r="L7383">
        <v>13958.47</v>
      </c>
      <c r="M7383" s="422" t="s">
        <v>630</v>
      </c>
      <c r="N7383" s="131">
        <v>57490</v>
      </c>
      <c r="O7383" s="436">
        <f t="shared" si="328"/>
        <v>3161950</v>
      </c>
      <c r="P7383" s="89">
        <v>6941</v>
      </c>
      <c r="Q7383" t="s">
        <v>47</v>
      </c>
      <c r="R7383" s="422" t="s">
        <v>1869</v>
      </c>
      <c r="S7383" s="422" t="s">
        <v>1861</v>
      </c>
      <c r="T7383" s="422"/>
      <c r="U7383" s="422" t="s">
        <v>1953</v>
      </c>
      <c r="V7383" s="422" t="s">
        <v>2813</v>
      </c>
    </row>
    <row r="7384" spans="1:22" ht="15.75" thickBot="1" x14ac:dyDescent="0.3">
      <c r="A7384" t="s">
        <v>1072</v>
      </c>
      <c r="B7384" s="424" t="str">
        <f t="shared" si="329"/>
        <v>Barraqueiro Transportes</v>
      </c>
      <c r="C7384" s="424" t="str">
        <f t="shared" si="330"/>
        <v>Frota Azul</v>
      </c>
      <c r="D7384" t="s">
        <v>629</v>
      </c>
      <c r="F7384" s="432" t="s">
        <v>620</v>
      </c>
      <c r="G7384" s="89">
        <v>2023</v>
      </c>
      <c r="H7384" s="313" t="s">
        <v>5816</v>
      </c>
      <c r="I7384" s="311" t="str">
        <f t="shared" si="327"/>
        <v>Pesado de Passageiros M3:  : Gasóleo : E6 D/E E7</v>
      </c>
      <c r="J7384" s="422">
        <v>55</v>
      </c>
      <c r="K7384" s="422">
        <v>2023</v>
      </c>
      <c r="L7384">
        <v>9538.0000000000018</v>
      </c>
      <c r="M7384" s="422" t="s">
        <v>630</v>
      </c>
      <c r="N7384" s="131">
        <v>36077</v>
      </c>
      <c r="O7384" s="436">
        <f t="shared" si="328"/>
        <v>1984235</v>
      </c>
      <c r="P7384" s="89">
        <v>6942</v>
      </c>
      <c r="Q7384" t="s">
        <v>47</v>
      </c>
      <c r="R7384" s="422" t="s">
        <v>1869</v>
      </c>
      <c r="S7384" s="422" t="s">
        <v>1861</v>
      </c>
      <c r="T7384" s="422"/>
      <c r="U7384" s="422" t="s">
        <v>1953</v>
      </c>
      <c r="V7384" s="422" t="s">
        <v>2813</v>
      </c>
    </row>
    <row r="7385" spans="1:22" ht="15.75" thickBot="1" x14ac:dyDescent="0.3">
      <c r="A7385" t="s">
        <v>1072</v>
      </c>
      <c r="B7385" s="424" t="str">
        <f t="shared" si="329"/>
        <v>Barraqueiro Transportes</v>
      </c>
      <c r="C7385" s="424" t="str">
        <f t="shared" si="330"/>
        <v>Frota Azul</v>
      </c>
      <c r="D7385" t="s">
        <v>629</v>
      </c>
      <c r="F7385" s="432" t="s">
        <v>620</v>
      </c>
      <c r="G7385" s="89">
        <v>2023</v>
      </c>
      <c r="H7385" s="313" t="s">
        <v>5816</v>
      </c>
      <c r="I7385" s="311" t="str">
        <f t="shared" si="327"/>
        <v>Pesado de Passageiros M3:  : Gasóleo : E6 D/E E7</v>
      </c>
      <c r="J7385" s="422">
        <v>55</v>
      </c>
      <c r="K7385" s="422">
        <v>2023</v>
      </c>
      <c r="L7385">
        <v>7655.35</v>
      </c>
      <c r="M7385" s="422" t="s">
        <v>630</v>
      </c>
      <c r="N7385" s="131">
        <v>31449</v>
      </c>
      <c r="O7385" s="436">
        <f t="shared" si="328"/>
        <v>1729695</v>
      </c>
      <c r="P7385" s="89">
        <v>6943</v>
      </c>
      <c r="Q7385" t="s">
        <v>47</v>
      </c>
      <c r="R7385" s="422" t="s">
        <v>1869</v>
      </c>
      <c r="S7385" s="422" t="s">
        <v>1861</v>
      </c>
      <c r="T7385" s="422"/>
      <c r="U7385" s="422" t="s">
        <v>1953</v>
      </c>
      <c r="V7385" s="422" t="s">
        <v>2813</v>
      </c>
    </row>
    <row r="7386" spans="1:22" ht="15.75" thickBot="1" x14ac:dyDescent="0.3">
      <c r="A7386" t="s">
        <v>541</v>
      </c>
      <c r="B7386" s="424" t="str">
        <f t="shared" si="329"/>
        <v>Barraqueiro Transportes</v>
      </c>
      <c r="C7386" s="424" t="str">
        <f t="shared" si="330"/>
        <v>Barraqueiro Alugueres</v>
      </c>
      <c r="D7386" t="s">
        <v>629</v>
      </c>
      <c r="F7386" s="432" t="s">
        <v>620</v>
      </c>
      <c r="G7386" s="89">
        <v>2008</v>
      </c>
      <c r="H7386" s="313" t="s">
        <v>731</v>
      </c>
      <c r="I7386" s="311" t="str">
        <f t="shared" si="327"/>
        <v>Pesado de Passageiros M3:  : Gasóleo : E4</v>
      </c>
      <c r="J7386" s="422">
        <v>53</v>
      </c>
      <c r="K7386" s="422">
        <v>2023</v>
      </c>
      <c r="L7386">
        <v>10109.743999999999</v>
      </c>
      <c r="M7386" s="422" t="s">
        <v>630</v>
      </c>
      <c r="N7386" s="131">
        <v>27028</v>
      </c>
      <c r="O7386" s="436">
        <f t="shared" si="328"/>
        <v>1432484</v>
      </c>
      <c r="P7386" s="89">
        <v>313</v>
      </c>
      <c r="Q7386" t="s">
        <v>47</v>
      </c>
      <c r="R7386" s="422" t="s">
        <v>1869</v>
      </c>
      <c r="S7386" s="422" t="s">
        <v>1861</v>
      </c>
      <c r="T7386" s="422"/>
      <c r="U7386" s="422" t="s">
        <v>1953</v>
      </c>
      <c r="V7386" s="422" t="s">
        <v>2813</v>
      </c>
    </row>
    <row r="7387" spans="1:22" ht="15.75" thickBot="1" x14ac:dyDescent="0.3">
      <c r="A7387" t="s">
        <v>541</v>
      </c>
      <c r="B7387" s="424" t="str">
        <f t="shared" si="329"/>
        <v>Barraqueiro Transportes</v>
      </c>
      <c r="C7387" s="424" t="str">
        <f t="shared" si="330"/>
        <v>Barraqueiro Alugueres</v>
      </c>
      <c r="D7387" t="s">
        <v>629</v>
      </c>
      <c r="F7387" s="432" t="s">
        <v>620</v>
      </c>
      <c r="G7387" s="89">
        <v>1997</v>
      </c>
      <c r="H7387" s="313" t="s">
        <v>736</v>
      </c>
      <c r="I7387" s="311" t="str">
        <f t="shared" si="327"/>
        <v>Pesado de Passageiros M3:  : Gasóleo : E1</v>
      </c>
      <c r="J7387" s="422">
        <v>80</v>
      </c>
      <c r="K7387" s="422">
        <v>2023</v>
      </c>
      <c r="L7387">
        <v>589.38</v>
      </c>
      <c r="M7387" s="422" t="s">
        <v>630</v>
      </c>
      <c r="N7387" s="131">
        <v>1603</v>
      </c>
      <c r="O7387" s="436">
        <f t="shared" si="328"/>
        <v>128240</v>
      </c>
      <c r="P7387" s="89">
        <v>914</v>
      </c>
      <c r="Q7387" t="s">
        <v>47</v>
      </c>
      <c r="R7387" s="422" t="s">
        <v>1869</v>
      </c>
      <c r="S7387" s="422" t="s">
        <v>1861</v>
      </c>
      <c r="T7387" s="422"/>
      <c r="U7387" s="422" t="s">
        <v>1953</v>
      </c>
      <c r="V7387" s="422" t="s">
        <v>2813</v>
      </c>
    </row>
    <row r="7388" spans="1:22" ht="15.75" thickBot="1" x14ac:dyDescent="0.3">
      <c r="A7388" t="s">
        <v>541</v>
      </c>
      <c r="B7388" s="424" t="str">
        <f t="shared" si="329"/>
        <v>Barraqueiro Transportes</v>
      </c>
      <c r="C7388" s="424" t="str">
        <f t="shared" si="330"/>
        <v>Barraqueiro Alugueres</v>
      </c>
      <c r="D7388" t="s">
        <v>629</v>
      </c>
      <c r="F7388" s="432" t="s">
        <v>620</v>
      </c>
      <c r="G7388" s="89">
        <v>2006</v>
      </c>
      <c r="H7388" s="313" t="s">
        <v>731</v>
      </c>
      <c r="I7388" s="311" t="str">
        <f t="shared" si="327"/>
        <v>Pesado de Passageiros M3:  : Gasóleo : E4</v>
      </c>
      <c r="J7388" s="422">
        <v>90</v>
      </c>
      <c r="K7388" s="422">
        <v>2023</v>
      </c>
      <c r="L7388">
        <v>1835.1100000000001</v>
      </c>
      <c r="M7388" s="422" t="s">
        <v>630</v>
      </c>
      <c r="N7388" s="131">
        <v>3870</v>
      </c>
      <c r="O7388" s="436">
        <f t="shared" si="328"/>
        <v>348300</v>
      </c>
      <c r="P7388" s="89">
        <v>5211</v>
      </c>
      <c r="Q7388" t="s">
        <v>47</v>
      </c>
      <c r="R7388" s="422" t="s">
        <v>1869</v>
      </c>
      <c r="S7388" s="422" t="s">
        <v>1861</v>
      </c>
      <c r="T7388" s="422"/>
      <c r="U7388" s="422" t="s">
        <v>1953</v>
      </c>
      <c r="V7388" s="422" t="s">
        <v>2813</v>
      </c>
    </row>
    <row r="7389" spans="1:22" ht="15.75" thickBot="1" x14ac:dyDescent="0.3">
      <c r="A7389" t="s">
        <v>541</v>
      </c>
      <c r="B7389" s="424" t="str">
        <f t="shared" si="329"/>
        <v>Barraqueiro Transportes</v>
      </c>
      <c r="C7389" s="424" t="str">
        <f t="shared" si="330"/>
        <v>Barraqueiro Alugueres</v>
      </c>
      <c r="D7389" t="s">
        <v>629</v>
      </c>
      <c r="F7389" s="432" t="s">
        <v>620</v>
      </c>
      <c r="G7389" s="89">
        <v>2006</v>
      </c>
      <c r="H7389" s="313" t="s">
        <v>731</v>
      </c>
      <c r="I7389" s="311" t="str">
        <f t="shared" si="327"/>
        <v>Pesado de Passageiros M3:  : Gasóleo : E4</v>
      </c>
      <c r="J7389" s="422">
        <v>53</v>
      </c>
      <c r="K7389" s="422">
        <v>2023</v>
      </c>
      <c r="L7389">
        <v>13481.249999999998</v>
      </c>
      <c r="M7389" s="422" t="s">
        <v>630</v>
      </c>
      <c r="N7389" s="131">
        <v>37917</v>
      </c>
      <c r="O7389" s="436">
        <f t="shared" si="328"/>
        <v>2009601</v>
      </c>
      <c r="P7389" s="89">
        <v>5212</v>
      </c>
      <c r="Q7389" t="s">
        <v>47</v>
      </c>
      <c r="R7389" s="422" t="s">
        <v>1869</v>
      </c>
      <c r="S7389" s="422" t="s">
        <v>1861</v>
      </c>
      <c r="T7389" s="422"/>
      <c r="U7389" s="422" t="s">
        <v>1953</v>
      </c>
      <c r="V7389" s="422" t="s">
        <v>2813</v>
      </c>
    </row>
    <row r="7390" spans="1:22" ht="15.75" thickBot="1" x14ac:dyDescent="0.3">
      <c r="A7390" t="s">
        <v>541</v>
      </c>
      <c r="B7390" s="424" t="str">
        <f t="shared" si="329"/>
        <v>Barraqueiro Transportes</v>
      </c>
      <c r="C7390" s="424" t="str">
        <f t="shared" si="330"/>
        <v>Barraqueiro Alugueres</v>
      </c>
      <c r="D7390" t="s">
        <v>629</v>
      </c>
      <c r="F7390" s="432" t="s">
        <v>620</v>
      </c>
      <c r="G7390" s="89">
        <v>2007</v>
      </c>
      <c r="H7390" s="313" t="s">
        <v>731</v>
      </c>
      <c r="I7390" s="311" t="str">
        <f t="shared" si="327"/>
        <v>Pesado de Passageiros M3:  : Gasóleo : E4</v>
      </c>
      <c r="J7390" s="422">
        <v>53</v>
      </c>
      <c r="K7390" s="422">
        <v>2023</v>
      </c>
      <c r="L7390">
        <v>15497.408000000001</v>
      </c>
      <c r="M7390" s="422" t="s">
        <v>630</v>
      </c>
      <c r="N7390" s="131">
        <v>45775</v>
      </c>
      <c r="O7390" s="436">
        <f t="shared" si="328"/>
        <v>2426075</v>
      </c>
      <c r="P7390" s="89">
        <v>5215</v>
      </c>
      <c r="Q7390" t="s">
        <v>47</v>
      </c>
      <c r="R7390" s="422" t="s">
        <v>1869</v>
      </c>
      <c r="S7390" s="422" t="s">
        <v>1861</v>
      </c>
      <c r="T7390" s="422"/>
      <c r="U7390" s="422" t="s">
        <v>1953</v>
      </c>
      <c r="V7390" s="422" t="s">
        <v>2813</v>
      </c>
    </row>
    <row r="7391" spans="1:22" ht="15.75" thickBot="1" x14ac:dyDescent="0.3">
      <c r="A7391" t="s">
        <v>541</v>
      </c>
      <c r="B7391" s="424" t="str">
        <f t="shared" si="329"/>
        <v>Barraqueiro Transportes</v>
      </c>
      <c r="C7391" s="424" t="str">
        <f t="shared" si="330"/>
        <v>Barraqueiro Alugueres</v>
      </c>
      <c r="D7391" t="s">
        <v>629</v>
      </c>
      <c r="F7391" s="432" t="s">
        <v>620</v>
      </c>
      <c r="G7391" s="89">
        <v>2007</v>
      </c>
      <c r="H7391" s="313" t="s">
        <v>731</v>
      </c>
      <c r="I7391" s="311" t="str">
        <f t="shared" si="327"/>
        <v>Pesado de Passageiros M3:  : Gasóleo : E4</v>
      </c>
      <c r="J7391" s="422">
        <v>53</v>
      </c>
      <c r="K7391" s="422">
        <v>2023</v>
      </c>
      <c r="L7391">
        <v>13895.477000000001</v>
      </c>
      <c r="M7391" s="422" t="s">
        <v>630</v>
      </c>
      <c r="N7391" s="131">
        <v>39033</v>
      </c>
      <c r="O7391" s="436">
        <f t="shared" si="328"/>
        <v>2068749</v>
      </c>
      <c r="P7391" s="89">
        <v>5216</v>
      </c>
      <c r="Q7391" t="s">
        <v>47</v>
      </c>
      <c r="R7391" s="422" t="s">
        <v>1869</v>
      </c>
      <c r="S7391" s="422" t="s">
        <v>1861</v>
      </c>
      <c r="T7391" s="422"/>
      <c r="U7391" s="422" t="s">
        <v>1953</v>
      </c>
      <c r="V7391" s="422" t="s">
        <v>2813</v>
      </c>
    </row>
    <row r="7392" spans="1:22" ht="15.75" thickBot="1" x14ac:dyDescent="0.3">
      <c r="A7392" t="s">
        <v>541</v>
      </c>
      <c r="B7392" s="424" t="str">
        <f t="shared" si="329"/>
        <v>Barraqueiro Transportes</v>
      </c>
      <c r="C7392" s="424" t="str">
        <f t="shared" si="330"/>
        <v>Barraqueiro Alugueres</v>
      </c>
      <c r="D7392" t="s">
        <v>629</v>
      </c>
      <c r="F7392" s="432" t="s">
        <v>620</v>
      </c>
      <c r="G7392" s="89">
        <v>2007</v>
      </c>
      <c r="H7392" s="313" t="s">
        <v>731</v>
      </c>
      <c r="I7392" s="311" t="str">
        <f t="shared" si="327"/>
        <v>Pesado de Passageiros M3:  : Gasóleo : E4</v>
      </c>
      <c r="J7392" s="422">
        <v>53</v>
      </c>
      <c r="K7392" s="422">
        <v>2023</v>
      </c>
      <c r="L7392">
        <v>13529.289999999999</v>
      </c>
      <c r="M7392" s="422" t="s">
        <v>630</v>
      </c>
      <c r="N7392" s="131">
        <v>37623</v>
      </c>
      <c r="O7392" s="436">
        <f t="shared" si="328"/>
        <v>1994019</v>
      </c>
      <c r="P7392" s="89">
        <v>5217</v>
      </c>
      <c r="Q7392" t="s">
        <v>47</v>
      </c>
      <c r="R7392" s="422" t="s">
        <v>1869</v>
      </c>
      <c r="S7392" s="422" t="s">
        <v>1861</v>
      </c>
      <c r="T7392" s="422"/>
      <c r="U7392" s="422" t="s">
        <v>1953</v>
      </c>
      <c r="V7392" s="422" t="s">
        <v>2813</v>
      </c>
    </row>
    <row r="7393" spans="1:22" ht="15.75" thickBot="1" x14ac:dyDescent="0.3">
      <c r="A7393" t="s">
        <v>541</v>
      </c>
      <c r="B7393" s="424" t="str">
        <f t="shared" si="329"/>
        <v>Barraqueiro Transportes</v>
      </c>
      <c r="C7393" s="424" t="str">
        <f t="shared" si="330"/>
        <v>Barraqueiro Alugueres</v>
      </c>
      <c r="D7393" t="s">
        <v>629</v>
      </c>
      <c r="F7393" s="432" t="s">
        <v>620</v>
      </c>
      <c r="G7393" s="89">
        <v>2007</v>
      </c>
      <c r="H7393" s="313" t="s">
        <v>731</v>
      </c>
      <c r="I7393" s="311" t="str">
        <f t="shared" si="327"/>
        <v>Pesado de Passageiros M3:  : Gasóleo : E4</v>
      </c>
      <c r="J7393" s="422">
        <v>53</v>
      </c>
      <c r="K7393" s="422">
        <v>2023</v>
      </c>
      <c r="L7393">
        <v>7258.9969999999994</v>
      </c>
      <c r="M7393" s="422" t="s">
        <v>630</v>
      </c>
      <c r="N7393" s="131">
        <v>20422</v>
      </c>
      <c r="O7393" s="436">
        <f t="shared" si="328"/>
        <v>1082366</v>
      </c>
      <c r="P7393" s="89">
        <v>5218</v>
      </c>
      <c r="Q7393" t="s">
        <v>47</v>
      </c>
      <c r="R7393" s="422" t="s">
        <v>1869</v>
      </c>
      <c r="S7393" s="422" t="s">
        <v>1861</v>
      </c>
      <c r="T7393" s="422"/>
      <c r="U7393" s="422" t="s">
        <v>1953</v>
      </c>
      <c r="V7393" s="422" t="s">
        <v>2813</v>
      </c>
    </row>
    <row r="7394" spans="1:22" ht="15.75" thickBot="1" x14ac:dyDescent="0.3">
      <c r="A7394" t="s">
        <v>541</v>
      </c>
      <c r="B7394" s="424" t="str">
        <f t="shared" si="329"/>
        <v>Barraqueiro Transportes</v>
      </c>
      <c r="C7394" s="424" t="str">
        <f t="shared" si="330"/>
        <v>Barraqueiro Alugueres</v>
      </c>
      <c r="D7394" t="s">
        <v>629</v>
      </c>
      <c r="F7394" s="432" t="s">
        <v>620</v>
      </c>
      <c r="G7394" s="89">
        <v>2007</v>
      </c>
      <c r="H7394" s="313" t="s">
        <v>731</v>
      </c>
      <c r="I7394" s="311" t="str">
        <f t="shared" ref="I7394:I7457" si="331">D7394&amp;": "&amp;E7394&amp;" : "&amp;F7394&amp;" : "&amp;H7394</f>
        <v>Pesado de Passageiros M3:  : Gasóleo : E4</v>
      </c>
      <c r="J7394" s="422">
        <v>53</v>
      </c>
      <c r="K7394" s="422">
        <v>2023</v>
      </c>
      <c r="L7394">
        <v>15968.115000000002</v>
      </c>
      <c r="M7394" s="422" t="s">
        <v>630</v>
      </c>
      <c r="N7394" s="131">
        <v>47328</v>
      </c>
      <c r="O7394" s="436">
        <f t="shared" si="328"/>
        <v>2508384</v>
      </c>
      <c r="P7394" s="89">
        <v>5219</v>
      </c>
      <c r="Q7394" t="s">
        <v>47</v>
      </c>
      <c r="R7394" s="422" t="s">
        <v>1869</v>
      </c>
      <c r="S7394" s="422" t="s">
        <v>1861</v>
      </c>
      <c r="T7394" s="422"/>
      <c r="U7394" s="422" t="s">
        <v>1953</v>
      </c>
      <c r="V7394" s="422" t="s">
        <v>2813</v>
      </c>
    </row>
    <row r="7395" spans="1:22" ht="15.75" thickBot="1" x14ac:dyDescent="0.3">
      <c r="A7395" t="s">
        <v>541</v>
      </c>
      <c r="B7395" s="424" t="str">
        <f t="shared" si="329"/>
        <v>Barraqueiro Transportes</v>
      </c>
      <c r="C7395" s="424" t="str">
        <f t="shared" si="330"/>
        <v>Barraqueiro Alugueres</v>
      </c>
      <c r="D7395" t="s">
        <v>629</v>
      </c>
      <c r="F7395" s="432" t="s">
        <v>620</v>
      </c>
      <c r="G7395" s="89">
        <v>2007</v>
      </c>
      <c r="H7395" s="313" t="s">
        <v>731</v>
      </c>
      <c r="I7395" s="311" t="str">
        <f t="shared" si="331"/>
        <v>Pesado de Passageiros M3:  : Gasóleo : E4</v>
      </c>
      <c r="J7395" s="422">
        <v>53</v>
      </c>
      <c r="K7395" s="422">
        <v>2023</v>
      </c>
      <c r="L7395">
        <v>18344.291999999998</v>
      </c>
      <c r="M7395" s="422" t="s">
        <v>630</v>
      </c>
      <c r="N7395" s="131">
        <v>52202</v>
      </c>
      <c r="O7395" s="436">
        <f t="shared" si="328"/>
        <v>2766706</v>
      </c>
      <c r="P7395" s="89">
        <v>5220</v>
      </c>
      <c r="Q7395" t="s">
        <v>47</v>
      </c>
      <c r="R7395" s="422" t="s">
        <v>1869</v>
      </c>
      <c r="S7395" s="422" t="s">
        <v>1861</v>
      </c>
      <c r="T7395" s="422"/>
      <c r="U7395" s="422" t="s">
        <v>1953</v>
      </c>
      <c r="V7395" s="422" t="s">
        <v>2813</v>
      </c>
    </row>
    <row r="7396" spans="1:22" ht="15.75" thickBot="1" x14ac:dyDescent="0.3">
      <c r="A7396" t="s">
        <v>541</v>
      </c>
      <c r="B7396" s="424" t="str">
        <f t="shared" si="329"/>
        <v>Barraqueiro Transportes</v>
      </c>
      <c r="C7396" s="424" t="str">
        <f t="shared" si="330"/>
        <v>Barraqueiro Alugueres</v>
      </c>
      <c r="D7396" t="s">
        <v>629</v>
      </c>
      <c r="F7396" s="432" t="s">
        <v>620</v>
      </c>
      <c r="G7396" s="89">
        <v>2007</v>
      </c>
      <c r="H7396" s="313" t="s">
        <v>731</v>
      </c>
      <c r="I7396" s="311" t="str">
        <f t="shared" si="331"/>
        <v>Pesado de Passageiros M3:  : Gasóleo : E4</v>
      </c>
      <c r="J7396" s="422">
        <v>55</v>
      </c>
      <c r="K7396" s="422">
        <v>2023</v>
      </c>
      <c r="L7396">
        <v>17808.679</v>
      </c>
      <c r="M7396" s="422" t="s">
        <v>630</v>
      </c>
      <c r="N7396" s="131">
        <v>52926</v>
      </c>
      <c r="O7396" s="436">
        <f t="shared" si="328"/>
        <v>2910930</v>
      </c>
      <c r="P7396" s="89">
        <v>5221</v>
      </c>
      <c r="Q7396" t="s">
        <v>47</v>
      </c>
      <c r="R7396" s="422" t="s">
        <v>1869</v>
      </c>
      <c r="S7396" s="422" t="s">
        <v>1861</v>
      </c>
      <c r="T7396" s="422"/>
      <c r="U7396" s="422" t="s">
        <v>1953</v>
      </c>
      <c r="V7396" s="422" t="s">
        <v>2813</v>
      </c>
    </row>
    <row r="7397" spans="1:22" ht="15.75" thickBot="1" x14ac:dyDescent="0.3">
      <c r="A7397" t="s">
        <v>541</v>
      </c>
      <c r="B7397" s="424" t="str">
        <f t="shared" si="329"/>
        <v>Barraqueiro Transportes</v>
      </c>
      <c r="C7397" s="424" t="str">
        <f t="shared" si="330"/>
        <v>Barraqueiro Alugueres</v>
      </c>
      <c r="D7397" t="s">
        <v>629</v>
      </c>
      <c r="F7397" s="432" t="s">
        <v>620</v>
      </c>
      <c r="G7397" s="89">
        <v>2007</v>
      </c>
      <c r="H7397" s="313" t="s">
        <v>731</v>
      </c>
      <c r="I7397" s="311" t="str">
        <f t="shared" si="331"/>
        <v>Pesado de Passageiros M3:  : Gasóleo : E4</v>
      </c>
      <c r="J7397" s="422">
        <v>53</v>
      </c>
      <c r="K7397" s="422">
        <v>2023</v>
      </c>
      <c r="L7397">
        <v>21207.472999999998</v>
      </c>
      <c r="M7397" s="422" t="s">
        <v>630</v>
      </c>
      <c r="N7397" s="131">
        <v>65537</v>
      </c>
      <c r="O7397" s="436">
        <f t="shared" si="328"/>
        <v>3473461</v>
      </c>
      <c r="P7397" s="89">
        <v>5222</v>
      </c>
      <c r="Q7397" t="s">
        <v>47</v>
      </c>
      <c r="R7397" s="422" t="s">
        <v>1869</v>
      </c>
      <c r="S7397" s="422" t="s">
        <v>1861</v>
      </c>
      <c r="T7397" s="422"/>
      <c r="U7397" s="422" t="s">
        <v>1953</v>
      </c>
      <c r="V7397" s="422" t="s">
        <v>2813</v>
      </c>
    </row>
    <row r="7398" spans="1:22" ht="15.75" thickBot="1" x14ac:dyDescent="0.3">
      <c r="A7398" t="s">
        <v>541</v>
      </c>
      <c r="B7398" s="424" t="str">
        <f t="shared" si="329"/>
        <v>Barraqueiro Transportes</v>
      </c>
      <c r="C7398" s="424" t="str">
        <f t="shared" si="330"/>
        <v>Barraqueiro Alugueres</v>
      </c>
      <c r="D7398" t="s">
        <v>629</v>
      </c>
      <c r="F7398" s="432" t="s">
        <v>620</v>
      </c>
      <c r="G7398" s="89">
        <v>2007</v>
      </c>
      <c r="H7398" s="313" t="s">
        <v>731</v>
      </c>
      <c r="I7398" s="311" t="str">
        <f t="shared" si="331"/>
        <v>Pesado de Passageiros M3:  : Gasóleo : E4</v>
      </c>
      <c r="J7398" s="422">
        <v>53</v>
      </c>
      <c r="K7398" s="422">
        <v>2023</v>
      </c>
      <c r="L7398">
        <v>104.93</v>
      </c>
      <c r="M7398" s="422" t="s">
        <v>630</v>
      </c>
      <c r="N7398" s="131">
        <v>327</v>
      </c>
      <c r="O7398" s="436">
        <f t="shared" ref="O7398:O7461" si="332">N7398*J7398</f>
        <v>17331</v>
      </c>
      <c r="P7398" s="89">
        <v>5224</v>
      </c>
      <c r="Q7398" t="s">
        <v>47</v>
      </c>
      <c r="R7398" s="422" t="s">
        <v>1869</v>
      </c>
      <c r="S7398" s="422" t="s">
        <v>1861</v>
      </c>
      <c r="T7398" s="422"/>
      <c r="U7398" s="422" t="s">
        <v>1953</v>
      </c>
      <c r="V7398" s="422" t="s">
        <v>2813</v>
      </c>
    </row>
    <row r="7399" spans="1:22" ht="15.75" thickBot="1" x14ac:dyDescent="0.3">
      <c r="A7399" t="s">
        <v>541</v>
      </c>
      <c r="B7399" s="424" t="str">
        <f t="shared" si="329"/>
        <v>Barraqueiro Transportes</v>
      </c>
      <c r="C7399" s="424" t="str">
        <f t="shared" si="330"/>
        <v>Barraqueiro Alugueres</v>
      </c>
      <c r="D7399" t="s">
        <v>629</v>
      </c>
      <c r="F7399" s="432" t="s">
        <v>620</v>
      </c>
      <c r="G7399" s="89">
        <v>2007</v>
      </c>
      <c r="H7399" s="313" t="s">
        <v>731</v>
      </c>
      <c r="I7399" s="311" t="str">
        <f t="shared" si="331"/>
        <v>Pesado de Passageiros M3:  : Gasóleo : E4</v>
      </c>
      <c r="J7399" s="422">
        <v>53</v>
      </c>
      <c r="K7399" s="422">
        <v>2023</v>
      </c>
      <c r="L7399">
        <v>9086.2930000000015</v>
      </c>
      <c r="M7399" s="422" t="s">
        <v>630</v>
      </c>
      <c r="N7399" s="131">
        <v>24266</v>
      </c>
      <c r="O7399" s="436">
        <f t="shared" si="332"/>
        <v>1286098</v>
      </c>
      <c r="P7399" s="89">
        <v>5225</v>
      </c>
      <c r="Q7399" t="s">
        <v>47</v>
      </c>
      <c r="R7399" s="422" t="s">
        <v>1869</v>
      </c>
      <c r="S7399" s="422" t="s">
        <v>1861</v>
      </c>
      <c r="T7399" s="422"/>
      <c r="U7399" s="422" t="s">
        <v>1953</v>
      </c>
      <c r="V7399" s="422" t="s">
        <v>2813</v>
      </c>
    </row>
    <row r="7400" spans="1:22" ht="15.75" thickBot="1" x14ac:dyDescent="0.3">
      <c r="A7400" t="s">
        <v>541</v>
      </c>
      <c r="B7400" s="424" t="str">
        <f t="shared" si="329"/>
        <v>Barraqueiro Transportes</v>
      </c>
      <c r="C7400" s="424" t="str">
        <f t="shared" si="330"/>
        <v>Barraqueiro Alugueres</v>
      </c>
      <c r="D7400" t="s">
        <v>629</v>
      </c>
      <c r="F7400" s="432" t="s">
        <v>620</v>
      </c>
      <c r="G7400" s="89">
        <v>2008</v>
      </c>
      <c r="H7400" s="313" t="s">
        <v>731</v>
      </c>
      <c r="I7400" s="311" t="str">
        <f t="shared" si="331"/>
        <v>Pesado de Passageiros M3:  : Gasóleo : E4</v>
      </c>
      <c r="J7400" s="422">
        <v>59</v>
      </c>
      <c r="K7400" s="422">
        <v>2023</v>
      </c>
      <c r="L7400">
        <v>18262.305</v>
      </c>
      <c r="M7400" s="422" t="s">
        <v>630</v>
      </c>
      <c r="N7400" s="131">
        <v>47783</v>
      </c>
      <c r="O7400" s="436">
        <f t="shared" si="332"/>
        <v>2819197</v>
      </c>
      <c r="P7400" s="89">
        <v>5227</v>
      </c>
      <c r="Q7400" t="s">
        <v>47</v>
      </c>
      <c r="R7400" s="422" t="s">
        <v>1869</v>
      </c>
      <c r="S7400" s="422" t="s">
        <v>1861</v>
      </c>
      <c r="T7400" s="422"/>
      <c r="U7400" s="422" t="s">
        <v>1953</v>
      </c>
      <c r="V7400" s="422" t="s">
        <v>2813</v>
      </c>
    </row>
    <row r="7401" spans="1:22" ht="15.75" thickBot="1" x14ac:dyDescent="0.3">
      <c r="A7401" t="s">
        <v>541</v>
      </c>
      <c r="B7401" s="424" t="str">
        <f t="shared" si="329"/>
        <v>Barraqueiro Transportes</v>
      </c>
      <c r="C7401" s="424" t="str">
        <f t="shared" si="330"/>
        <v>Barraqueiro Alugueres</v>
      </c>
      <c r="D7401" t="s">
        <v>629</v>
      </c>
      <c r="F7401" s="432" t="s">
        <v>620</v>
      </c>
      <c r="G7401" s="89">
        <v>2008</v>
      </c>
      <c r="H7401" s="313" t="s">
        <v>731</v>
      </c>
      <c r="I7401" s="311" t="str">
        <f t="shared" si="331"/>
        <v>Pesado de Passageiros M3:  : Gasóleo : E4</v>
      </c>
      <c r="J7401" s="422">
        <v>59</v>
      </c>
      <c r="K7401" s="422">
        <v>2023</v>
      </c>
      <c r="L7401">
        <v>19859.197</v>
      </c>
      <c r="M7401" s="422" t="s">
        <v>630</v>
      </c>
      <c r="N7401" s="131">
        <v>52506</v>
      </c>
      <c r="O7401" s="436">
        <f t="shared" si="332"/>
        <v>3097854</v>
      </c>
      <c r="P7401" s="89">
        <v>5228</v>
      </c>
      <c r="Q7401" t="s">
        <v>47</v>
      </c>
      <c r="R7401" s="422" t="s">
        <v>1869</v>
      </c>
      <c r="S7401" s="422" t="s">
        <v>1861</v>
      </c>
      <c r="T7401" s="422"/>
      <c r="U7401" s="422" t="s">
        <v>1953</v>
      </c>
      <c r="V7401" s="422" t="s">
        <v>2813</v>
      </c>
    </row>
    <row r="7402" spans="1:22" ht="15.75" thickBot="1" x14ac:dyDescent="0.3">
      <c r="A7402" t="s">
        <v>541</v>
      </c>
      <c r="B7402" s="424" t="str">
        <f t="shared" si="329"/>
        <v>Barraqueiro Transportes</v>
      </c>
      <c r="C7402" s="424" t="str">
        <f t="shared" si="330"/>
        <v>Barraqueiro Alugueres</v>
      </c>
      <c r="D7402" t="s">
        <v>629</v>
      </c>
      <c r="F7402" s="432" t="s">
        <v>620</v>
      </c>
      <c r="G7402" s="89">
        <v>2008</v>
      </c>
      <c r="H7402" s="313" t="s">
        <v>731</v>
      </c>
      <c r="I7402" s="311" t="str">
        <f t="shared" si="331"/>
        <v>Pesado de Passageiros M3:  : Gasóleo : E4</v>
      </c>
      <c r="J7402" s="422">
        <v>53</v>
      </c>
      <c r="K7402" s="422">
        <v>2023</v>
      </c>
      <c r="L7402">
        <v>0</v>
      </c>
      <c r="M7402" s="422" t="s">
        <v>630</v>
      </c>
      <c r="N7402" s="131">
        <v>0</v>
      </c>
      <c r="O7402" s="436">
        <f t="shared" si="332"/>
        <v>0</v>
      </c>
      <c r="P7402" s="89">
        <v>5229</v>
      </c>
      <c r="Q7402" t="s">
        <v>47</v>
      </c>
      <c r="R7402" s="422" t="s">
        <v>1869</v>
      </c>
      <c r="S7402" s="422" t="s">
        <v>1861</v>
      </c>
      <c r="T7402" s="422"/>
      <c r="U7402" s="422" t="s">
        <v>1953</v>
      </c>
      <c r="V7402" s="422" t="s">
        <v>2813</v>
      </c>
    </row>
    <row r="7403" spans="1:22" ht="15.75" thickBot="1" x14ac:dyDescent="0.3">
      <c r="A7403" t="s">
        <v>541</v>
      </c>
      <c r="B7403" s="424" t="str">
        <f t="shared" si="329"/>
        <v>Barraqueiro Transportes</v>
      </c>
      <c r="C7403" s="424" t="str">
        <f t="shared" si="330"/>
        <v>Barraqueiro Alugueres</v>
      </c>
      <c r="D7403" t="s">
        <v>629</v>
      </c>
      <c r="F7403" s="432" t="s">
        <v>620</v>
      </c>
      <c r="G7403" s="89">
        <v>2008</v>
      </c>
      <c r="H7403" s="313" t="s">
        <v>731</v>
      </c>
      <c r="I7403" s="311" t="str">
        <f t="shared" si="331"/>
        <v>Pesado de Passageiros M3:  : Gasóleo : E4</v>
      </c>
      <c r="J7403" s="422">
        <v>53</v>
      </c>
      <c r="K7403" s="422">
        <v>2023</v>
      </c>
      <c r="L7403">
        <v>16706.697</v>
      </c>
      <c r="M7403" s="422" t="s">
        <v>630</v>
      </c>
      <c r="N7403" s="131">
        <v>44705</v>
      </c>
      <c r="O7403" s="436">
        <f t="shared" si="332"/>
        <v>2369365</v>
      </c>
      <c r="P7403" s="89">
        <v>5230</v>
      </c>
      <c r="Q7403" t="s">
        <v>47</v>
      </c>
      <c r="R7403" s="422" t="s">
        <v>1869</v>
      </c>
      <c r="S7403" s="422" t="s">
        <v>1861</v>
      </c>
      <c r="T7403" s="422"/>
      <c r="U7403" s="422" t="s">
        <v>1953</v>
      </c>
      <c r="V7403" s="422" t="s">
        <v>2813</v>
      </c>
    </row>
    <row r="7404" spans="1:22" ht="15.75" thickBot="1" x14ac:dyDescent="0.3">
      <c r="A7404" t="s">
        <v>541</v>
      </c>
      <c r="B7404" s="424" t="str">
        <f t="shared" ref="B7404:B7467" si="333">LEFT(A7404,IFERROR(FIND(" - ",A7404)-1,LEN(A7404)))</f>
        <v>Barraqueiro Transportes</v>
      </c>
      <c r="C7404" s="424" t="str">
        <f t="shared" ref="C7404:C7467" si="334">IF(A7404=B7404,B7404,RIGHT(A7404,LEN(A7404)-LEN(B7404)-3))</f>
        <v>Barraqueiro Alugueres</v>
      </c>
      <c r="D7404" t="s">
        <v>629</v>
      </c>
      <c r="F7404" s="432" t="s">
        <v>620</v>
      </c>
      <c r="G7404" s="89">
        <v>2008</v>
      </c>
      <c r="H7404" s="313" t="s">
        <v>731</v>
      </c>
      <c r="I7404" s="311" t="str">
        <f t="shared" si="331"/>
        <v>Pesado de Passageiros M3:  : Gasóleo : E4</v>
      </c>
      <c r="J7404" s="422">
        <v>53</v>
      </c>
      <c r="K7404" s="422">
        <v>2023</v>
      </c>
      <c r="L7404">
        <v>11141.095999999998</v>
      </c>
      <c r="M7404" s="422" t="s">
        <v>630</v>
      </c>
      <c r="N7404" s="131">
        <v>29814</v>
      </c>
      <c r="O7404" s="436">
        <f t="shared" si="332"/>
        <v>1580142</v>
      </c>
      <c r="P7404" s="89">
        <v>5231</v>
      </c>
      <c r="Q7404" t="s">
        <v>47</v>
      </c>
      <c r="R7404" s="422" t="s">
        <v>1869</v>
      </c>
      <c r="S7404" s="422" t="s">
        <v>1861</v>
      </c>
      <c r="T7404" s="422"/>
      <c r="U7404" s="422" t="s">
        <v>1953</v>
      </c>
      <c r="V7404" s="422" t="s">
        <v>2813</v>
      </c>
    </row>
    <row r="7405" spans="1:22" ht="15.75" thickBot="1" x14ac:dyDescent="0.3">
      <c r="A7405" t="s">
        <v>541</v>
      </c>
      <c r="B7405" s="424" t="str">
        <f t="shared" si="333"/>
        <v>Barraqueiro Transportes</v>
      </c>
      <c r="C7405" s="424" t="str">
        <f t="shared" si="334"/>
        <v>Barraqueiro Alugueres</v>
      </c>
      <c r="D7405" t="s">
        <v>629</v>
      </c>
      <c r="F7405" s="432" t="s">
        <v>620</v>
      </c>
      <c r="G7405" s="89">
        <v>2008</v>
      </c>
      <c r="H7405" s="313" t="s">
        <v>731</v>
      </c>
      <c r="I7405" s="311" t="str">
        <f t="shared" si="331"/>
        <v>Pesado de Passageiros M3:  : Gasóleo : E4</v>
      </c>
      <c r="J7405" s="422">
        <v>34</v>
      </c>
      <c r="K7405" s="422">
        <v>2023</v>
      </c>
      <c r="L7405">
        <v>12303.584999999999</v>
      </c>
      <c r="M7405" s="422" t="s">
        <v>630</v>
      </c>
      <c r="N7405" s="131">
        <v>39611</v>
      </c>
      <c r="O7405" s="436">
        <f t="shared" si="332"/>
        <v>1346774</v>
      </c>
      <c r="P7405" s="89">
        <v>5232</v>
      </c>
      <c r="Q7405" t="s">
        <v>47</v>
      </c>
      <c r="R7405" s="422" t="s">
        <v>1869</v>
      </c>
      <c r="S7405" s="422" t="s">
        <v>1861</v>
      </c>
      <c r="T7405" s="422"/>
      <c r="U7405" s="422" t="s">
        <v>1953</v>
      </c>
      <c r="V7405" s="422" t="s">
        <v>2813</v>
      </c>
    </row>
    <row r="7406" spans="1:22" ht="15.75" thickBot="1" x14ac:dyDescent="0.3">
      <c r="A7406" t="s">
        <v>541</v>
      </c>
      <c r="B7406" s="424" t="str">
        <f t="shared" si="333"/>
        <v>Barraqueiro Transportes</v>
      </c>
      <c r="C7406" s="424" t="str">
        <f t="shared" si="334"/>
        <v>Barraqueiro Alugueres</v>
      </c>
      <c r="D7406" t="s">
        <v>629</v>
      </c>
      <c r="F7406" s="432" t="s">
        <v>620</v>
      </c>
      <c r="G7406" s="89">
        <v>2008</v>
      </c>
      <c r="H7406" s="313" t="s">
        <v>731</v>
      </c>
      <c r="I7406" s="311" t="str">
        <f t="shared" si="331"/>
        <v>Pesado de Passageiros M3:  : Gasóleo : E4</v>
      </c>
      <c r="J7406" s="422">
        <v>34</v>
      </c>
      <c r="K7406" s="422">
        <v>2023</v>
      </c>
      <c r="L7406">
        <v>0</v>
      </c>
      <c r="M7406" s="422" t="s">
        <v>630</v>
      </c>
      <c r="N7406" s="131">
        <v>0</v>
      </c>
      <c r="O7406" s="436">
        <f t="shared" si="332"/>
        <v>0</v>
      </c>
      <c r="P7406" s="89">
        <v>5233</v>
      </c>
      <c r="Q7406" t="s">
        <v>47</v>
      </c>
      <c r="R7406" s="422" t="s">
        <v>1869</v>
      </c>
      <c r="S7406" s="422" t="s">
        <v>1861</v>
      </c>
      <c r="T7406" s="422"/>
      <c r="U7406" s="422" t="s">
        <v>1953</v>
      </c>
      <c r="V7406" s="422" t="s">
        <v>2813</v>
      </c>
    </row>
    <row r="7407" spans="1:22" ht="15.75" thickBot="1" x14ac:dyDescent="0.3">
      <c r="A7407" t="s">
        <v>541</v>
      </c>
      <c r="B7407" s="424" t="str">
        <f t="shared" si="333"/>
        <v>Barraqueiro Transportes</v>
      </c>
      <c r="C7407" s="424" t="str">
        <f t="shared" si="334"/>
        <v>Barraqueiro Alugueres</v>
      </c>
      <c r="D7407" t="s">
        <v>629</v>
      </c>
      <c r="F7407" s="432" t="s">
        <v>620</v>
      </c>
      <c r="G7407" s="89">
        <v>2008</v>
      </c>
      <c r="H7407" s="313" t="s">
        <v>731</v>
      </c>
      <c r="I7407" s="311" t="str">
        <f t="shared" si="331"/>
        <v>Pesado de Passageiros M3:  : Gasóleo : E4</v>
      </c>
      <c r="J7407" s="422">
        <v>25</v>
      </c>
      <c r="K7407" s="422">
        <v>2023</v>
      </c>
      <c r="L7407">
        <v>0</v>
      </c>
      <c r="M7407" s="422" t="s">
        <v>630</v>
      </c>
      <c r="N7407" s="131">
        <v>0</v>
      </c>
      <c r="O7407" s="436">
        <f t="shared" si="332"/>
        <v>0</v>
      </c>
      <c r="P7407" s="89">
        <v>5234</v>
      </c>
      <c r="Q7407" t="s">
        <v>47</v>
      </c>
      <c r="R7407" s="422" t="s">
        <v>1869</v>
      </c>
      <c r="S7407" s="422" t="s">
        <v>1861</v>
      </c>
      <c r="T7407" s="422"/>
      <c r="U7407" s="422" t="s">
        <v>1953</v>
      </c>
      <c r="V7407" s="422" t="s">
        <v>2813</v>
      </c>
    </row>
    <row r="7408" spans="1:22" ht="15.75" thickBot="1" x14ac:dyDescent="0.3">
      <c r="A7408" t="s">
        <v>541</v>
      </c>
      <c r="B7408" s="424" t="str">
        <f t="shared" si="333"/>
        <v>Barraqueiro Transportes</v>
      </c>
      <c r="C7408" s="424" t="str">
        <f t="shared" si="334"/>
        <v>Barraqueiro Alugueres</v>
      </c>
      <c r="D7408" t="s">
        <v>629</v>
      </c>
      <c r="F7408" s="432" t="s">
        <v>620</v>
      </c>
      <c r="G7408" s="89">
        <v>2008</v>
      </c>
      <c r="H7408" s="313" t="s">
        <v>731</v>
      </c>
      <c r="I7408" s="311" t="str">
        <f t="shared" si="331"/>
        <v>Pesado de Passageiros M3:  : Gasóleo : E4</v>
      </c>
      <c r="J7408" s="422">
        <v>53</v>
      </c>
      <c r="K7408" s="422">
        <v>2023</v>
      </c>
      <c r="L7408">
        <v>11589.209000000001</v>
      </c>
      <c r="M7408" s="422" t="s">
        <v>630</v>
      </c>
      <c r="N7408" s="131">
        <v>32630</v>
      </c>
      <c r="O7408" s="436">
        <f t="shared" si="332"/>
        <v>1729390</v>
      </c>
      <c r="P7408" s="89">
        <v>5238</v>
      </c>
      <c r="Q7408" t="s">
        <v>47</v>
      </c>
      <c r="R7408" s="422" t="s">
        <v>1869</v>
      </c>
      <c r="S7408" s="422" t="s">
        <v>1861</v>
      </c>
      <c r="T7408" s="422"/>
      <c r="U7408" s="422" t="s">
        <v>1953</v>
      </c>
      <c r="V7408" s="422" t="s">
        <v>2813</v>
      </c>
    </row>
    <row r="7409" spans="1:22" ht="15.75" thickBot="1" x14ac:dyDescent="0.3">
      <c r="A7409" t="s">
        <v>541</v>
      </c>
      <c r="B7409" s="424" t="str">
        <f t="shared" si="333"/>
        <v>Barraqueiro Transportes</v>
      </c>
      <c r="C7409" s="424" t="str">
        <f t="shared" si="334"/>
        <v>Barraqueiro Alugueres</v>
      </c>
      <c r="D7409" t="s">
        <v>629</v>
      </c>
      <c r="F7409" s="432" t="s">
        <v>620</v>
      </c>
      <c r="G7409" s="89">
        <v>2008</v>
      </c>
      <c r="H7409" s="313" t="s">
        <v>731</v>
      </c>
      <c r="I7409" s="311" t="str">
        <f t="shared" si="331"/>
        <v>Pesado de Passageiros M3:  : Gasóleo : E4</v>
      </c>
      <c r="J7409" s="422">
        <v>55</v>
      </c>
      <c r="K7409" s="422">
        <v>2023</v>
      </c>
      <c r="L7409">
        <v>12394.535</v>
      </c>
      <c r="M7409" s="422" t="s">
        <v>630</v>
      </c>
      <c r="N7409" s="131">
        <v>36142</v>
      </c>
      <c r="O7409" s="436">
        <f t="shared" si="332"/>
        <v>1987810</v>
      </c>
      <c r="P7409" s="89">
        <v>5240</v>
      </c>
      <c r="Q7409" t="s">
        <v>47</v>
      </c>
      <c r="R7409" s="422" t="s">
        <v>1869</v>
      </c>
      <c r="S7409" s="422" t="s">
        <v>1861</v>
      </c>
      <c r="T7409" s="422"/>
      <c r="U7409" s="422" t="s">
        <v>1953</v>
      </c>
      <c r="V7409" s="422" t="s">
        <v>2813</v>
      </c>
    </row>
    <row r="7410" spans="1:22" ht="15.75" thickBot="1" x14ac:dyDescent="0.3">
      <c r="A7410" t="s">
        <v>541</v>
      </c>
      <c r="B7410" s="424" t="str">
        <f t="shared" si="333"/>
        <v>Barraqueiro Transportes</v>
      </c>
      <c r="C7410" s="424" t="str">
        <f t="shared" si="334"/>
        <v>Barraqueiro Alugueres</v>
      </c>
      <c r="D7410" t="s">
        <v>629</v>
      </c>
      <c r="F7410" s="432" t="s">
        <v>620</v>
      </c>
      <c r="G7410" s="89">
        <v>2008</v>
      </c>
      <c r="H7410" s="313" t="s">
        <v>731</v>
      </c>
      <c r="I7410" s="311" t="str">
        <f t="shared" si="331"/>
        <v>Pesado de Passageiros M3:  : Gasóleo : E4</v>
      </c>
      <c r="J7410" s="422">
        <v>60</v>
      </c>
      <c r="K7410" s="422">
        <v>2023</v>
      </c>
      <c r="L7410">
        <v>17325.448</v>
      </c>
      <c r="M7410" s="422" t="s">
        <v>630</v>
      </c>
      <c r="N7410" s="131">
        <v>46026</v>
      </c>
      <c r="O7410" s="436">
        <f t="shared" si="332"/>
        <v>2761560</v>
      </c>
      <c r="P7410" s="89">
        <v>5241</v>
      </c>
      <c r="Q7410" t="s">
        <v>47</v>
      </c>
      <c r="R7410" s="422" t="s">
        <v>1869</v>
      </c>
      <c r="S7410" s="422" t="s">
        <v>1861</v>
      </c>
      <c r="T7410" s="422"/>
      <c r="U7410" s="422" t="s">
        <v>1953</v>
      </c>
      <c r="V7410" s="422" t="s">
        <v>2813</v>
      </c>
    </row>
    <row r="7411" spans="1:22" ht="15.75" thickBot="1" x14ac:dyDescent="0.3">
      <c r="A7411" t="s">
        <v>541</v>
      </c>
      <c r="B7411" s="424" t="str">
        <f t="shared" si="333"/>
        <v>Barraqueiro Transportes</v>
      </c>
      <c r="C7411" s="424" t="str">
        <f t="shared" si="334"/>
        <v>Barraqueiro Alugueres</v>
      </c>
      <c r="D7411" t="s">
        <v>629</v>
      </c>
      <c r="F7411" s="432" t="s">
        <v>620</v>
      </c>
      <c r="G7411" s="89">
        <v>2015</v>
      </c>
      <c r="H7411" s="313" t="s">
        <v>733</v>
      </c>
      <c r="I7411" s="311" t="str">
        <f t="shared" si="331"/>
        <v>Pesado de Passageiros M3:  : Gasóleo : E6</v>
      </c>
      <c r="J7411" s="422">
        <v>91</v>
      </c>
      <c r="K7411" s="422">
        <v>2023</v>
      </c>
      <c r="L7411">
        <v>1767.63</v>
      </c>
      <c r="M7411" s="422" t="s">
        <v>630</v>
      </c>
      <c r="N7411" s="131">
        <v>6169</v>
      </c>
      <c r="O7411" s="436">
        <f t="shared" si="332"/>
        <v>561379</v>
      </c>
      <c r="P7411" s="89">
        <v>5248</v>
      </c>
      <c r="Q7411" t="s">
        <v>47</v>
      </c>
      <c r="R7411" s="422" t="s">
        <v>1869</v>
      </c>
      <c r="S7411" s="422" t="s">
        <v>1861</v>
      </c>
      <c r="T7411" s="422"/>
      <c r="U7411" s="422" t="s">
        <v>1953</v>
      </c>
      <c r="V7411" s="422" t="s">
        <v>2813</v>
      </c>
    </row>
    <row r="7412" spans="1:22" ht="15.75" thickBot="1" x14ac:dyDescent="0.3">
      <c r="A7412" t="s">
        <v>541</v>
      </c>
      <c r="B7412" s="424" t="str">
        <f t="shared" si="333"/>
        <v>Barraqueiro Transportes</v>
      </c>
      <c r="C7412" s="424" t="str">
        <f t="shared" si="334"/>
        <v>Barraqueiro Alugueres</v>
      </c>
      <c r="D7412" t="s">
        <v>629</v>
      </c>
      <c r="F7412" s="432" t="s">
        <v>620</v>
      </c>
      <c r="G7412" s="89">
        <v>2015</v>
      </c>
      <c r="H7412" s="313" t="s">
        <v>733</v>
      </c>
      <c r="I7412" s="311" t="str">
        <f t="shared" si="331"/>
        <v>Pesado de Passageiros M3:  : Gasóleo : E6</v>
      </c>
      <c r="J7412" s="422">
        <v>91</v>
      </c>
      <c r="K7412" s="422">
        <v>2023</v>
      </c>
      <c r="L7412">
        <v>0</v>
      </c>
      <c r="M7412" s="422" t="s">
        <v>630</v>
      </c>
      <c r="N7412" s="131">
        <v>0</v>
      </c>
      <c r="O7412" s="436">
        <f t="shared" si="332"/>
        <v>0</v>
      </c>
      <c r="P7412" s="89">
        <v>5249</v>
      </c>
      <c r="Q7412" t="s">
        <v>47</v>
      </c>
      <c r="R7412" s="422" t="s">
        <v>1869</v>
      </c>
      <c r="S7412" s="422" t="s">
        <v>1861</v>
      </c>
      <c r="T7412" s="422"/>
      <c r="U7412" s="422" t="s">
        <v>1953</v>
      </c>
      <c r="V7412" s="422" t="s">
        <v>2813</v>
      </c>
    </row>
    <row r="7413" spans="1:22" ht="15.75" thickBot="1" x14ac:dyDescent="0.3">
      <c r="A7413" t="s">
        <v>541</v>
      </c>
      <c r="B7413" s="424" t="str">
        <f t="shared" si="333"/>
        <v>Barraqueiro Transportes</v>
      </c>
      <c r="C7413" s="424" t="str">
        <f t="shared" si="334"/>
        <v>Barraqueiro Alugueres</v>
      </c>
      <c r="D7413" t="s">
        <v>629</v>
      </c>
      <c r="F7413" s="432" t="s">
        <v>620</v>
      </c>
      <c r="G7413" s="89">
        <v>2015</v>
      </c>
      <c r="H7413" s="313" t="s">
        <v>733</v>
      </c>
      <c r="I7413" s="311" t="str">
        <f t="shared" si="331"/>
        <v>Pesado de Passageiros M3:  : Gasóleo : E6</v>
      </c>
      <c r="J7413" s="422">
        <v>91</v>
      </c>
      <c r="K7413" s="422">
        <v>2023</v>
      </c>
      <c r="L7413">
        <v>3293.8690000000001</v>
      </c>
      <c r="M7413" s="422" t="s">
        <v>630</v>
      </c>
      <c r="N7413" s="131">
        <v>10600</v>
      </c>
      <c r="O7413" s="436">
        <f t="shared" si="332"/>
        <v>964600</v>
      </c>
      <c r="P7413" s="89">
        <v>5250</v>
      </c>
      <c r="Q7413" t="s">
        <v>47</v>
      </c>
      <c r="R7413" s="422" t="s">
        <v>1869</v>
      </c>
      <c r="S7413" s="422" t="s">
        <v>1861</v>
      </c>
      <c r="T7413" s="422"/>
      <c r="U7413" s="422" t="s">
        <v>1953</v>
      </c>
      <c r="V7413" s="422" t="s">
        <v>2813</v>
      </c>
    </row>
    <row r="7414" spans="1:22" ht="15.75" thickBot="1" x14ac:dyDescent="0.3">
      <c r="A7414" t="s">
        <v>541</v>
      </c>
      <c r="B7414" s="424" t="str">
        <f t="shared" si="333"/>
        <v>Barraqueiro Transportes</v>
      </c>
      <c r="C7414" s="424" t="str">
        <f t="shared" si="334"/>
        <v>Barraqueiro Alugueres</v>
      </c>
      <c r="D7414" t="s">
        <v>629</v>
      </c>
      <c r="F7414" s="432" t="s">
        <v>620</v>
      </c>
      <c r="G7414" s="89">
        <v>2015</v>
      </c>
      <c r="H7414" s="313" t="s">
        <v>733</v>
      </c>
      <c r="I7414" s="311" t="str">
        <f t="shared" si="331"/>
        <v>Pesado de Passageiros M3:  : Gasóleo : E6</v>
      </c>
      <c r="J7414" s="422">
        <v>91</v>
      </c>
      <c r="K7414" s="422">
        <v>2023</v>
      </c>
      <c r="L7414">
        <v>1125.7</v>
      </c>
      <c r="M7414" s="422" t="s">
        <v>630</v>
      </c>
      <c r="N7414" s="131">
        <v>4677</v>
      </c>
      <c r="O7414" s="436">
        <f t="shared" si="332"/>
        <v>425607</v>
      </c>
      <c r="P7414" s="89">
        <v>5251</v>
      </c>
      <c r="Q7414" t="s">
        <v>47</v>
      </c>
      <c r="R7414" s="422" t="s">
        <v>1869</v>
      </c>
      <c r="S7414" s="422" t="s">
        <v>1861</v>
      </c>
      <c r="T7414" s="422"/>
      <c r="U7414" s="422" t="s">
        <v>1953</v>
      </c>
      <c r="V7414" s="422" t="s">
        <v>2813</v>
      </c>
    </row>
    <row r="7415" spans="1:22" ht="15.75" thickBot="1" x14ac:dyDescent="0.3">
      <c r="A7415" t="s">
        <v>541</v>
      </c>
      <c r="B7415" s="424" t="str">
        <f t="shared" si="333"/>
        <v>Barraqueiro Transportes</v>
      </c>
      <c r="C7415" s="424" t="str">
        <f t="shared" si="334"/>
        <v>Barraqueiro Alugueres</v>
      </c>
      <c r="D7415" t="s">
        <v>629</v>
      </c>
      <c r="F7415" s="432" t="s">
        <v>620</v>
      </c>
      <c r="G7415" s="89">
        <v>2015</v>
      </c>
      <c r="H7415" s="313" t="s">
        <v>733</v>
      </c>
      <c r="I7415" s="311" t="str">
        <f t="shared" si="331"/>
        <v>Pesado de Passageiros M3:  : Gasóleo : E6</v>
      </c>
      <c r="J7415" s="422">
        <v>91</v>
      </c>
      <c r="K7415" s="422">
        <v>2023</v>
      </c>
      <c r="L7415">
        <v>3214.7</v>
      </c>
      <c r="M7415" s="422" t="s">
        <v>630</v>
      </c>
      <c r="N7415" s="131">
        <v>10552</v>
      </c>
      <c r="O7415" s="436">
        <f t="shared" si="332"/>
        <v>960232</v>
      </c>
      <c r="P7415" s="89">
        <v>5252</v>
      </c>
      <c r="Q7415" t="s">
        <v>47</v>
      </c>
      <c r="R7415" s="422" t="s">
        <v>1869</v>
      </c>
      <c r="S7415" s="422" t="s">
        <v>1861</v>
      </c>
      <c r="T7415" s="422"/>
      <c r="U7415" s="422" t="s">
        <v>1953</v>
      </c>
      <c r="V7415" s="422" t="s">
        <v>2813</v>
      </c>
    </row>
    <row r="7416" spans="1:22" ht="15.75" thickBot="1" x14ac:dyDescent="0.3">
      <c r="A7416" t="s">
        <v>541</v>
      </c>
      <c r="B7416" s="424" t="str">
        <f t="shared" si="333"/>
        <v>Barraqueiro Transportes</v>
      </c>
      <c r="C7416" s="424" t="str">
        <f t="shared" si="334"/>
        <v>Barraqueiro Alugueres</v>
      </c>
      <c r="D7416" t="s">
        <v>629</v>
      </c>
      <c r="F7416" s="432" t="s">
        <v>620</v>
      </c>
      <c r="G7416" s="89">
        <v>2015</v>
      </c>
      <c r="H7416" s="313" t="s">
        <v>733</v>
      </c>
      <c r="I7416" s="311" t="str">
        <f t="shared" si="331"/>
        <v>Pesado de Passageiros M3:  : Gasóleo : E6</v>
      </c>
      <c r="J7416" s="422">
        <v>91</v>
      </c>
      <c r="K7416" s="422">
        <v>2023</v>
      </c>
      <c r="L7416">
        <v>1255.1300000000001</v>
      </c>
      <c r="M7416" s="422" t="s">
        <v>630</v>
      </c>
      <c r="N7416" s="131">
        <v>4037</v>
      </c>
      <c r="O7416" s="436">
        <f t="shared" si="332"/>
        <v>367367</v>
      </c>
      <c r="P7416" s="89">
        <v>5253</v>
      </c>
      <c r="Q7416" t="s">
        <v>47</v>
      </c>
      <c r="R7416" s="422" t="s">
        <v>1869</v>
      </c>
      <c r="S7416" s="422" t="s">
        <v>1861</v>
      </c>
      <c r="T7416" s="422"/>
      <c r="U7416" s="422" t="s">
        <v>1953</v>
      </c>
      <c r="V7416" s="422" t="s">
        <v>2813</v>
      </c>
    </row>
    <row r="7417" spans="1:22" ht="15.75" thickBot="1" x14ac:dyDescent="0.3">
      <c r="A7417" t="s">
        <v>541</v>
      </c>
      <c r="B7417" s="424" t="str">
        <f t="shared" si="333"/>
        <v>Barraqueiro Transportes</v>
      </c>
      <c r="C7417" s="424" t="str">
        <f t="shared" si="334"/>
        <v>Barraqueiro Alugueres</v>
      </c>
      <c r="D7417" t="s">
        <v>629</v>
      </c>
      <c r="F7417" s="432" t="s">
        <v>620</v>
      </c>
      <c r="G7417" s="89">
        <v>2005</v>
      </c>
      <c r="H7417" s="313" t="s">
        <v>731</v>
      </c>
      <c r="I7417" s="311" t="str">
        <f t="shared" si="331"/>
        <v>Pesado de Passageiros M3:  : Gasóleo : E4</v>
      </c>
      <c r="J7417" s="422">
        <v>67</v>
      </c>
      <c r="K7417" s="422">
        <v>2023</v>
      </c>
      <c r="L7417">
        <v>10629.070000000002</v>
      </c>
      <c r="M7417" s="422" t="s">
        <v>630</v>
      </c>
      <c r="N7417" s="131">
        <v>31680</v>
      </c>
      <c r="O7417" s="436">
        <f t="shared" si="332"/>
        <v>2122560</v>
      </c>
      <c r="P7417" s="89">
        <v>5257</v>
      </c>
      <c r="Q7417" t="s">
        <v>47</v>
      </c>
      <c r="R7417" s="422" t="s">
        <v>1869</v>
      </c>
      <c r="S7417" s="422" t="s">
        <v>1861</v>
      </c>
      <c r="T7417" s="422"/>
      <c r="U7417" s="422" t="s">
        <v>1953</v>
      </c>
      <c r="V7417" s="422" t="s">
        <v>2813</v>
      </c>
    </row>
    <row r="7418" spans="1:22" ht="15.75" thickBot="1" x14ac:dyDescent="0.3">
      <c r="A7418" t="s">
        <v>541</v>
      </c>
      <c r="B7418" s="424" t="str">
        <f t="shared" si="333"/>
        <v>Barraqueiro Transportes</v>
      </c>
      <c r="C7418" s="424" t="str">
        <f t="shared" si="334"/>
        <v>Barraqueiro Alugueres</v>
      </c>
      <c r="D7418" t="s">
        <v>629</v>
      </c>
      <c r="F7418" s="432" t="s">
        <v>620</v>
      </c>
      <c r="G7418" s="89">
        <v>2005</v>
      </c>
      <c r="H7418" s="313" t="s">
        <v>731</v>
      </c>
      <c r="I7418" s="311" t="str">
        <f t="shared" si="331"/>
        <v>Pesado de Passageiros M3:  : Gasóleo : E4</v>
      </c>
      <c r="J7418" s="422">
        <v>67</v>
      </c>
      <c r="K7418" s="422">
        <v>2023</v>
      </c>
      <c r="L7418">
        <v>5127.68</v>
      </c>
      <c r="M7418" s="422" t="s">
        <v>630</v>
      </c>
      <c r="N7418" s="131">
        <v>17088</v>
      </c>
      <c r="O7418" s="436">
        <f t="shared" si="332"/>
        <v>1144896</v>
      </c>
      <c r="P7418" s="89">
        <v>5258</v>
      </c>
      <c r="Q7418" t="s">
        <v>47</v>
      </c>
      <c r="R7418" s="422" t="s">
        <v>1869</v>
      </c>
      <c r="S7418" s="422" t="s">
        <v>1861</v>
      </c>
      <c r="T7418" s="422"/>
      <c r="U7418" s="422" t="s">
        <v>1953</v>
      </c>
      <c r="V7418" s="422" t="s">
        <v>2813</v>
      </c>
    </row>
    <row r="7419" spans="1:22" ht="15.75" thickBot="1" x14ac:dyDescent="0.3">
      <c r="A7419" t="s">
        <v>541</v>
      </c>
      <c r="B7419" s="424" t="str">
        <f t="shared" si="333"/>
        <v>Barraqueiro Transportes</v>
      </c>
      <c r="C7419" s="424" t="str">
        <f t="shared" si="334"/>
        <v>Barraqueiro Alugueres</v>
      </c>
      <c r="D7419" t="s">
        <v>629</v>
      </c>
      <c r="F7419" s="432" t="s">
        <v>620</v>
      </c>
      <c r="G7419" s="89">
        <v>2006</v>
      </c>
      <c r="H7419" s="313" t="s">
        <v>731</v>
      </c>
      <c r="I7419" s="311" t="str">
        <f t="shared" si="331"/>
        <v>Pesado de Passageiros M3:  : Gasóleo : E4</v>
      </c>
      <c r="J7419" s="422">
        <v>67</v>
      </c>
      <c r="K7419" s="422">
        <v>2023</v>
      </c>
      <c r="L7419">
        <v>6001.4599999999991</v>
      </c>
      <c r="M7419" s="422" t="s">
        <v>630</v>
      </c>
      <c r="N7419" s="131">
        <v>20319</v>
      </c>
      <c r="O7419" s="436">
        <f t="shared" si="332"/>
        <v>1361373</v>
      </c>
      <c r="P7419" s="89">
        <v>5260</v>
      </c>
      <c r="Q7419" t="s">
        <v>47</v>
      </c>
      <c r="R7419" s="422" t="s">
        <v>1869</v>
      </c>
      <c r="S7419" s="422" t="s">
        <v>1861</v>
      </c>
      <c r="T7419" s="422"/>
      <c r="U7419" s="422" t="s">
        <v>1953</v>
      </c>
      <c r="V7419" s="422" t="s">
        <v>2813</v>
      </c>
    </row>
    <row r="7420" spans="1:22" ht="15.75" thickBot="1" x14ac:dyDescent="0.3">
      <c r="A7420" t="s">
        <v>541</v>
      </c>
      <c r="B7420" s="424" t="str">
        <f t="shared" si="333"/>
        <v>Barraqueiro Transportes</v>
      </c>
      <c r="C7420" s="424" t="str">
        <f t="shared" si="334"/>
        <v>Barraqueiro Alugueres</v>
      </c>
      <c r="D7420" t="s">
        <v>629</v>
      </c>
      <c r="F7420" s="432" t="s">
        <v>620</v>
      </c>
      <c r="G7420" s="89">
        <v>2006</v>
      </c>
      <c r="H7420" s="313" t="s">
        <v>731</v>
      </c>
      <c r="I7420" s="311" t="str">
        <f t="shared" si="331"/>
        <v>Pesado de Passageiros M3:  : Gasóleo : E4</v>
      </c>
      <c r="J7420" s="422">
        <v>67</v>
      </c>
      <c r="K7420" s="422">
        <v>2023</v>
      </c>
      <c r="L7420">
        <v>6077.32</v>
      </c>
      <c r="M7420" s="422" t="s">
        <v>630</v>
      </c>
      <c r="N7420" s="131">
        <v>19811</v>
      </c>
      <c r="O7420" s="436">
        <f t="shared" si="332"/>
        <v>1327337</v>
      </c>
      <c r="P7420" s="89">
        <v>5261</v>
      </c>
      <c r="Q7420" t="s">
        <v>47</v>
      </c>
      <c r="R7420" s="422" t="s">
        <v>1869</v>
      </c>
      <c r="S7420" s="422" t="s">
        <v>1861</v>
      </c>
      <c r="T7420" s="422"/>
      <c r="U7420" s="422" t="s">
        <v>1953</v>
      </c>
      <c r="V7420" s="422" t="s">
        <v>2813</v>
      </c>
    </row>
    <row r="7421" spans="1:22" ht="15.75" thickBot="1" x14ac:dyDescent="0.3">
      <c r="A7421" t="s">
        <v>541</v>
      </c>
      <c r="B7421" s="424" t="str">
        <f t="shared" si="333"/>
        <v>Barraqueiro Transportes</v>
      </c>
      <c r="C7421" s="424" t="str">
        <f t="shared" si="334"/>
        <v>Barraqueiro Alugueres</v>
      </c>
      <c r="D7421" t="s">
        <v>629</v>
      </c>
      <c r="F7421" s="432" t="s">
        <v>620</v>
      </c>
      <c r="G7421" s="89">
        <v>2005</v>
      </c>
      <c r="H7421" s="313" t="s">
        <v>731</v>
      </c>
      <c r="I7421" s="311" t="str">
        <f t="shared" si="331"/>
        <v>Pesado de Passageiros M3:  : Gasóleo : E4</v>
      </c>
      <c r="J7421" s="422">
        <v>95</v>
      </c>
      <c r="K7421" s="422">
        <v>2023</v>
      </c>
      <c r="L7421">
        <v>143.41999999999999</v>
      </c>
      <c r="M7421" s="422" t="s">
        <v>630</v>
      </c>
      <c r="N7421" s="131">
        <v>358</v>
      </c>
      <c r="O7421" s="436">
        <f t="shared" si="332"/>
        <v>34010</v>
      </c>
      <c r="P7421" s="89">
        <v>5264</v>
      </c>
      <c r="Q7421" t="s">
        <v>47</v>
      </c>
      <c r="R7421" s="422" t="s">
        <v>1869</v>
      </c>
      <c r="S7421" s="422" t="s">
        <v>1861</v>
      </c>
      <c r="T7421" s="422"/>
      <c r="U7421" s="422" t="s">
        <v>1953</v>
      </c>
      <c r="V7421" s="422" t="s">
        <v>2813</v>
      </c>
    </row>
    <row r="7422" spans="1:22" ht="15.75" thickBot="1" x14ac:dyDescent="0.3">
      <c r="A7422" t="s">
        <v>541</v>
      </c>
      <c r="B7422" s="424" t="str">
        <f t="shared" si="333"/>
        <v>Barraqueiro Transportes</v>
      </c>
      <c r="C7422" s="424" t="str">
        <f t="shared" si="334"/>
        <v>Barraqueiro Alugueres</v>
      </c>
      <c r="D7422" t="s">
        <v>629</v>
      </c>
      <c r="F7422" s="432" t="s">
        <v>620</v>
      </c>
      <c r="G7422" s="89">
        <v>2005</v>
      </c>
      <c r="H7422" s="313" t="s">
        <v>731</v>
      </c>
      <c r="I7422" s="311" t="str">
        <f t="shared" si="331"/>
        <v>Pesado de Passageiros M3:  : Gasóleo : E4</v>
      </c>
      <c r="J7422" s="422">
        <v>93</v>
      </c>
      <c r="K7422" s="422">
        <v>2023</v>
      </c>
      <c r="L7422">
        <v>88.055999999999997</v>
      </c>
      <c r="M7422" s="422" t="s">
        <v>630</v>
      </c>
      <c r="N7422" s="131">
        <v>220</v>
      </c>
      <c r="O7422" s="436">
        <f t="shared" si="332"/>
        <v>20460</v>
      </c>
      <c r="P7422" s="89">
        <v>5265</v>
      </c>
      <c r="Q7422" t="s">
        <v>47</v>
      </c>
      <c r="R7422" s="422" t="s">
        <v>1869</v>
      </c>
      <c r="S7422" s="422" t="s">
        <v>1861</v>
      </c>
      <c r="T7422" s="422"/>
      <c r="U7422" s="422" t="s">
        <v>1953</v>
      </c>
      <c r="V7422" s="422" t="s">
        <v>2813</v>
      </c>
    </row>
    <row r="7423" spans="1:22" ht="15.75" thickBot="1" x14ac:dyDescent="0.3">
      <c r="A7423" t="s">
        <v>541</v>
      </c>
      <c r="B7423" s="424" t="str">
        <f t="shared" si="333"/>
        <v>Barraqueiro Transportes</v>
      </c>
      <c r="C7423" s="424" t="str">
        <f t="shared" si="334"/>
        <v>Barraqueiro Alugueres</v>
      </c>
      <c r="D7423" t="s">
        <v>629</v>
      </c>
      <c r="F7423" s="432" t="s">
        <v>620</v>
      </c>
      <c r="G7423" s="89">
        <v>2005</v>
      </c>
      <c r="H7423" s="313" t="s">
        <v>731</v>
      </c>
      <c r="I7423" s="311" t="str">
        <f t="shared" si="331"/>
        <v>Pesado de Passageiros M3:  : Gasóleo : E4</v>
      </c>
      <c r="J7423" s="422">
        <v>53</v>
      </c>
      <c r="K7423" s="422">
        <v>2023</v>
      </c>
      <c r="L7423">
        <v>3829.1399999999994</v>
      </c>
      <c r="M7423" s="422" t="s">
        <v>630</v>
      </c>
      <c r="N7423" s="131">
        <v>11739</v>
      </c>
      <c r="O7423" s="436">
        <f t="shared" si="332"/>
        <v>622167</v>
      </c>
      <c r="P7423" s="89">
        <v>5269</v>
      </c>
      <c r="Q7423" t="s">
        <v>47</v>
      </c>
      <c r="R7423" s="422" t="s">
        <v>1869</v>
      </c>
      <c r="S7423" s="422" t="s">
        <v>1861</v>
      </c>
      <c r="T7423" s="422"/>
      <c r="U7423" s="422" t="s">
        <v>1953</v>
      </c>
      <c r="V7423" s="422" t="s">
        <v>2813</v>
      </c>
    </row>
    <row r="7424" spans="1:22" ht="15.75" thickBot="1" x14ac:dyDescent="0.3">
      <c r="A7424" t="s">
        <v>541</v>
      </c>
      <c r="B7424" s="424" t="str">
        <f t="shared" si="333"/>
        <v>Barraqueiro Transportes</v>
      </c>
      <c r="C7424" s="424" t="str">
        <f t="shared" si="334"/>
        <v>Barraqueiro Alugueres</v>
      </c>
      <c r="D7424" t="s">
        <v>629</v>
      </c>
      <c r="F7424" s="432" t="s">
        <v>620</v>
      </c>
      <c r="G7424" s="89">
        <v>2009</v>
      </c>
      <c r="H7424" s="313" t="s">
        <v>734</v>
      </c>
      <c r="I7424" s="311" t="str">
        <f t="shared" si="331"/>
        <v>Pesado de Passageiros M3:  : Gasóleo : E5</v>
      </c>
      <c r="J7424" s="422">
        <v>34</v>
      </c>
      <c r="K7424" s="422">
        <v>2023</v>
      </c>
      <c r="L7424">
        <v>9317.1200000000008</v>
      </c>
      <c r="M7424" s="422" t="s">
        <v>630</v>
      </c>
      <c r="N7424" s="131">
        <v>32130</v>
      </c>
      <c r="O7424" s="436">
        <f t="shared" si="332"/>
        <v>1092420</v>
      </c>
      <c r="P7424" s="89">
        <v>5600</v>
      </c>
      <c r="Q7424" t="s">
        <v>47</v>
      </c>
      <c r="R7424" s="422" t="s">
        <v>1869</v>
      </c>
      <c r="S7424" s="422" t="s">
        <v>1861</v>
      </c>
      <c r="T7424" s="422"/>
      <c r="U7424" s="422" t="s">
        <v>1953</v>
      </c>
      <c r="V7424" s="422" t="s">
        <v>2813</v>
      </c>
    </row>
    <row r="7425" spans="1:22" ht="15.75" thickBot="1" x14ac:dyDescent="0.3">
      <c r="A7425" t="s">
        <v>541</v>
      </c>
      <c r="B7425" s="424" t="str">
        <f t="shared" si="333"/>
        <v>Barraqueiro Transportes</v>
      </c>
      <c r="C7425" s="424" t="str">
        <f t="shared" si="334"/>
        <v>Barraqueiro Alugueres</v>
      </c>
      <c r="D7425" t="s">
        <v>629</v>
      </c>
      <c r="F7425" s="432" t="s">
        <v>620</v>
      </c>
      <c r="G7425" s="89">
        <v>2009</v>
      </c>
      <c r="H7425" s="313" t="s">
        <v>734</v>
      </c>
      <c r="I7425" s="311" t="str">
        <f t="shared" si="331"/>
        <v>Pesado de Passageiros M3:  : Gasóleo : E5</v>
      </c>
      <c r="J7425" s="422">
        <v>34</v>
      </c>
      <c r="K7425" s="422">
        <v>2023</v>
      </c>
      <c r="L7425">
        <v>6299.5139999999983</v>
      </c>
      <c r="M7425" s="422" t="s">
        <v>630</v>
      </c>
      <c r="N7425" s="131">
        <v>21233</v>
      </c>
      <c r="O7425" s="436">
        <f t="shared" si="332"/>
        <v>721922</v>
      </c>
      <c r="P7425" s="89">
        <v>5601</v>
      </c>
      <c r="Q7425" t="s">
        <v>47</v>
      </c>
      <c r="R7425" s="422" t="s">
        <v>1869</v>
      </c>
      <c r="S7425" s="422" t="s">
        <v>1861</v>
      </c>
      <c r="T7425" s="422"/>
      <c r="U7425" s="422" t="s">
        <v>1953</v>
      </c>
      <c r="V7425" s="422" t="s">
        <v>2813</v>
      </c>
    </row>
    <row r="7426" spans="1:22" ht="15.75" thickBot="1" x14ac:dyDescent="0.3">
      <c r="A7426" t="s">
        <v>541</v>
      </c>
      <c r="B7426" s="424" t="str">
        <f t="shared" si="333"/>
        <v>Barraqueiro Transportes</v>
      </c>
      <c r="C7426" s="424" t="str">
        <f t="shared" si="334"/>
        <v>Barraqueiro Alugueres</v>
      </c>
      <c r="D7426" t="s">
        <v>629</v>
      </c>
      <c r="F7426" s="432" t="s">
        <v>620</v>
      </c>
      <c r="G7426" s="89">
        <v>2009</v>
      </c>
      <c r="H7426" s="313" t="s">
        <v>734</v>
      </c>
      <c r="I7426" s="311" t="str">
        <f t="shared" si="331"/>
        <v>Pesado de Passageiros M3:  : Gasóleo : E5</v>
      </c>
      <c r="J7426" s="422">
        <v>34</v>
      </c>
      <c r="K7426" s="422">
        <v>2023</v>
      </c>
      <c r="L7426">
        <v>7346.7389999999996</v>
      </c>
      <c r="M7426" s="422" t="s">
        <v>630</v>
      </c>
      <c r="N7426" s="131">
        <v>24593</v>
      </c>
      <c r="O7426" s="436">
        <f t="shared" si="332"/>
        <v>836162</v>
      </c>
      <c r="P7426" s="89">
        <v>5602</v>
      </c>
      <c r="Q7426" t="s">
        <v>47</v>
      </c>
      <c r="R7426" s="422" t="s">
        <v>1869</v>
      </c>
      <c r="S7426" s="422" t="s">
        <v>1861</v>
      </c>
      <c r="T7426" s="422"/>
      <c r="U7426" s="422" t="s">
        <v>1953</v>
      </c>
      <c r="V7426" s="422" t="s">
        <v>2813</v>
      </c>
    </row>
    <row r="7427" spans="1:22" ht="15.75" thickBot="1" x14ac:dyDescent="0.3">
      <c r="A7427" t="s">
        <v>541</v>
      </c>
      <c r="B7427" s="424" t="str">
        <f t="shared" si="333"/>
        <v>Barraqueiro Transportes</v>
      </c>
      <c r="C7427" s="424" t="str">
        <f t="shared" si="334"/>
        <v>Barraqueiro Alugueres</v>
      </c>
      <c r="D7427" t="s">
        <v>629</v>
      </c>
      <c r="F7427" s="432" t="s">
        <v>620</v>
      </c>
      <c r="G7427" s="89">
        <v>2009</v>
      </c>
      <c r="H7427" s="313" t="s">
        <v>734</v>
      </c>
      <c r="I7427" s="311" t="str">
        <f t="shared" si="331"/>
        <v>Pesado de Passageiros M3:  : Gasóleo : E5</v>
      </c>
      <c r="J7427" s="422">
        <v>24</v>
      </c>
      <c r="K7427" s="422">
        <v>2023</v>
      </c>
      <c r="L7427">
        <v>1250.9250000000002</v>
      </c>
      <c r="M7427" s="422" t="s">
        <v>630</v>
      </c>
      <c r="N7427" s="131">
        <v>6365</v>
      </c>
      <c r="O7427" s="436">
        <f t="shared" si="332"/>
        <v>152760</v>
      </c>
      <c r="P7427" s="89">
        <v>5603</v>
      </c>
      <c r="Q7427" t="s">
        <v>47</v>
      </c>
      <c r="R7427" s="422" t="s">
        <v>1869</v>
      </c>
      <c r="S7427" s="422" t="s">
        <v>1861</v>
      </c>
      <c r="T7427" s="422"/>
      <c r="U7427" s="422" t="s">
        <v>1953</v>
      </c>
      <c r="V7427" s="422" t="s">
        <v>2813</v>
      </c>
    </row>
    <row r="7428" spans="1:22" ht="15.75" thickBot="1" x14ac:dyDescent="0.3">
      <c r="A7428" t="s">
        <v>541</v>
      </c>
      <c r="B7428" s="424" t="str">
        <f t="shared" si="333"/>
        <v>Barraqueiro Transportes</v>
      </c>
      <c r="C7428" s="424" t="str">
        <f t="shared" si="334"/>
        <v>Barraqueiro Alugueres</v>
      </c>
      <c r="D7428" t="s">
        <v>629</v>
      </c>
      <c r="F7428" s="432" t="s">
        <v>620</v>
      </c>
      <c r="G7428" s="89">
        <v>2009</v>
      </c>
      <c r="H7428" s="313" t="s">
        <v>734</v>
      </c>
      <c r="I7428" s="311" t="str">
        <f t="shared" si="331"/>
        <v>Pesado de Passageiros M3:  : Gasóleo : E5</v>
      </c>
      <c r="J7428" s="422">
        <v>24</v>
      </c>
      <c r="K7428" s="422">
        <v>2023</v>
      </c>
      <c r="L7428">
        <v>61.02</v>
      </c>
      <c r="M7428" s="422" t="s">
        <v>630</v>
      </c>
      <c r="N7428" s="131">
        <v>321</v>
      </c>
      <c r="O7428" s="436">
        <f t="shared" si="332"/>
        <v>7704</v>
      </c>
      <c r="P7428" s="89">
        <v>5604</v>
      </c>
      <c r="Q7428" t="s">
        <v>47</v>
      </c>
      <c r="R7428" s="422" t="s">
        <v>1869</v>
      </c>
      <c r="S7428" s="422" t="s">
        <v>1861</v>
      </c>
      <c r="T7428" s="422"/>
      <c r="U7428" s="422" t="s">
        <v>1953</v>
      </c>
      <c r="V7428" s="422" t="s">
        <v>2813</v>
      </c>
    </row>
    <row r="7429" spans="1:22" ht="15.75" thickBot="1" x14ac:dyDescent="0.3">
      <c r="A7429" t="s">
        <v>541</v>
      </c>
      <c r="B7429" s="424" t="str">
        <f t="shared" si="333"/>
        <v>Barraqueiro Transportes</v>
      </c>
      <c r="C7429" s="424" t="str">
        <f t="shared" si="334"/>
        <v>Barraqueiro Alugueres</v>
      </c>
      <c r="D7429" t="s">
        <v>629</v>
      </c>
      <c r="F7429" s="432" t="s">
        <v>620</v>
      </c>
      <c r="G7429" s="89">
        <v>2009</v>
      </c>
      <c r="H7429" s="313" t="s">
        <v>734</v>
      </c>
      <c r="I7429" s="311" t="str">
        <f t="shared" si="331"/>
        <v>Pesado de Passageiros M3:  : Gasóleo : E5</v>
      </c>
      <c r="J7429" s="422">
        <v>69</v>
      </c>
      <c r="K7429" s="422">
        <v>2023</v>
      </c>
      <c r="L7429">
        <v>3695.2430000000004</v>
      </c>
      <c r="M7429" s="422" t="s">
        <v>630</v>
      </c>
      <c r="N7429" s="131">
        <v>9079</v>
      </c>
      <c r="O7429" s="436">
        <f t="shared" si="332"/>
        <v>626451</v>
      </c>
      <c r="P7429" s="89">
        <v>5605</v>
      </c>
      <c r="Q7429" t="s">
        <v>47</v>
      </c>
      <c r="R7429" s="422" t="s">
        <v>1869</v>
      </c>
      <c r="S7429" s="422" t="s">
        <v>1861</v>
      </c>
      <c r="T7429" s="422"/>
      <c r="U7429" s="422" t="s">
        <v>1953</v>
      </c>
      <c r="V7429" s="422" t="s">
        <v>2813</v>
      </c>
    </row>
    <row r="7430" spans="1:22" ht="15.75" thickBot="1" x14ac:dyDescent="0.3">
      <c r="A7430" t="s">
        <v>541</v>
      </c>
      <c r="B7430" s="424" t="str">
        <f t="shared" si="333"/>
        <v>Barraqueiro Transportes</v>
      </c>
      <c r="C7430" s="424" t="str">
        <f t="shared" si="334"/>
        <v>Barraqueiro Alugueres</v>
      </c>
      <c r="D7430" t="s">
        <v>629</v>
      </c>
      <c r="F7430" s="432" t="s">
        <v>620</v>
      </c>
      <c r="G7430" s="89">
        <v>2009</v>
      </c>
      <c r="H7430" s="313" t="s">
        <v>734</v>
      </c>
      <c r="I7430" s="311" t="str">
        <f t="shared" si="331"/>
        <v>Pesado de Passageiros M3:  : Gasóleo : E5</v>
      </c>
      <c r="J7430" s="422">
        <v>27</v>
      </c>
      <c r="K7430" s="422">
        <v>2023</v>
      </c>
      <c r="L7430">
        <v>1710.6780000000001</v>
      </c>
      <c r="M7430" s="422" t="s">
        <v>630</v>
      </c>
      <c r="N7430" s="131">
        <v>8889</v>
      </c>
      <c r="O7430" s="436">
        <f t="shared" si="332"/>
        <v>240003</v>
      </c>
      <c r="P7430" s="89">
        <v>5606</v>
      </c>
      <c r="Q7430" t="s">
        <v>47</v>
      </c>
      <c r="R7430" s="422" t="s">
        <v>1869</v>
      </c>
      <c r="S7430" s="422" t="s">
        <v>1861</v>
      </c>
      <c r="T7430" s="422"/>
      <c r="U7430" s="422" t="s">
        <v>1953</v>
      </c>
      <c r="V7430" s="422" t="s">
        <v>2813</v>
      </c>
    </row>
    <row r="7431" spans="1:22" ht="15.75" thickBot="1" x14ac:dyDescent="0.3">
      <c r="A7431" t="s">
        <v>541</v>
      </c>
      <c r="B7431" s="424" t="str">
        <f t="shared" si="333"/>
        <v>Barraqueiro Transportes</v>
      </c>
      <c r="C7431" s="424" t="str">
        <f t="shared" si="334"/>
        <v>Barraqueiro Alugueres</v>
      </c>
      <c r="D7431" t="s">
        <v>629</v>
      </c>
      <c r="F7431" s="432" t="s">
        <v>620</v>
      </c>
      <c r="G7431" s="89">
        <v>2009</v>
      </c>
      <c r="H7431" s="313" t="s">
        <v>734</v>
      </c>
      <c r="I7431" s="311" t="str">
        <f t="shared" si="331"/>
        <v>Pesado de Passageiros M3:  : Gasóleo : E5</v>
      </c>
      <c r="J7431" s="422">
        <v>27</v>
      </c>
      <c r="K7431" s="422">
        <v>2023</v>
      </c>
      <c r="L7431">
        <v>127.99000000000001</v>
      </c>
      <c r="M7431" s="422" t="s">
        <v>630</v>
      </c>
      <c r="N7431" s="131">
        <v>710</v>
      </c>
      <c r="O7431" s="436">
        <f t="shared" si="332"/>
        <v>19170</v>
      </c>
      <c r="P7431" s="89">
        <v>5607</v>
      </c>
      <c r="Q7431" t="s">
        <v>47</v>
      </c>
      <c r="R7431" s="422" t="s">
        <v>1869</v>
      </c>
      <c r="S7431" s="422" t="s">
        <v>1861</v>
      </c>
      <c r="T7431" s="422"/>
      <c r="U7431" s="422" t="s">
        <v>1953</v>
      </c>
      <c r="V7431" s="422" t="s">
        <v>2813</v>
      </c>
    </row>
    <row r="7432" spans="1:22" ht="15.75" thickBot="1" x14ac:dyDescent="0.3">
      <c r="A7432" t="s">
        <v>541</v>
      </c>
      <c r="B7432" s="424" t="str">
        <f t="shared" si="333"/>
        <v>Barraqueiro Transportes</v>
      </c>
      <c r="C7432" s="424" t="str">
        <f t="shared" si="334"/>
        <v>Barraqueiro Alugueres</v>
      </c>
      <c r="D7432" t="s">
        <v>629</v>
      </c>
      <c r="F7432" s="432" t="s">
        <v>620</v>
      </c>
      <c r="G7432" s="89">
        <v>2009</v>
      </c>
      <c r="H7432" s="313" t="s">
        <v>734</v>
      </c>
      <c r="I7432" s="311" t="str">
        <f t="shared" si="331"/>
        <v>Pesado de Passageiros M3:  : Gasóleo : E5</v>
      </c>
      <c r="J7432" s="422">
        <v>27</v>
      </c>
      <c r="K7432" s="422">
        <v>2023</v>
      </c>
      <c r="L7432">
        <v>161.03</v>
      </c>
      <c r="M7432" s="422" t="s">
        <v>630</v>
      </c>
      <c r="N7432" s="131">
        <v>729</v>
      </c>
      <c r="O7432" s="436">
        <f t="shared" si="332"/>
        <v>19683</v>
      </c>
      <c r="P7432" s="89">
        <v>5608</v>
      </c>
      <c r="Q7432" t="s">
        <v>47</v>
      </c>
      <c r="R7432" s="422" t="s">
        <v>1869</v>
      </c>
      <c r="S7432" s="422" t="s">
        <v>1861</v>
      </c>
      <c r="T7432" s="422"/>
      <c r="U7432" s="422" t="s">
        <v>1953</v>
      </c>
      <c r="V7432" s="422" t="s">
        <v>2813</v>
      </c>
    </row>
    <row r="7433" spans="1:22" ht="15.75" thickBot="1" x14ac:dyDescent="0.3">
      <c r="A7433" t="s">
        <v>541</v>
      </c>
      <c r="B7433" s="424" t="str">
        <f t="shared" si="333"/>
        <v>Barraqueiro Transportes</v>
      </c>
      <c r="C7433" s="424" t="str">
        <f t="shared" si="334"/>
        <v>Barraqueiro Alugueres</v>
      </c>
      <c r="D7433" t="s">
        <v>629</v>
      </c>
      <c r="F7433" s="432" t="s">
        <v>620</v>
      </c>
      <c r="G7433" s="89">
        <v>2009</v>
      </c>
      <c r="H7433" s="313" t="s">
        <v>734</v>
      </c>
      <c r="I7433" s="311" t="str">
        <f t="shared" si="331"/>
        <v>Pesado de Passageiros M3:  : Gasóleo : E5</v>
      </c>
      <c r="J7433" s="422">
        <v>27</v>
      </c>
      <c r="K7433" s="422">
        <v>2023</v>
      </c>
      <c r="L7433">
        <v>67.64</v>
      </c>
      <c r="M7433" s="422" t="s">
        <v>630</v>
      </c>
      <c r="N7433" s="131">
        <v>375</v>
      </c>
      <c r="O7433" s="436">
        <f t="shared" si="332"/>
        <v>10125</v>
      </c>
      <c r="P7433" s="89">
        <v>5609</v>
      </c>
      <c r="Q7433" t="s">
        <v>47</v>
      </c>
      <c r="R7433" s="422" t="s">
        <v>1869</v>
      </c>
      <c r="S7433" s="422" t="s">
        <v>1861</v>
      </c>
      <c r="T7433" s="422"/>
      <c r="U7433" s="422" t="s">
        <v>1953</v>
      </c>
      <c r="V7433" s="422" t="s">
        <v>2813</v>
      </c>
    </row>
    <row r="7434" spans="1:22" ht="15.75" thickBot="1" x14ac:dyDescent="0.3">
      <c r="A7434" t="s">
        <v>541</v>
      </c>
      <c r="B7434" s="424" t="str">
        <f t="shared" si="333"/>
        <v>Barraqueiro Transportes</v>
      </c>
      <c r="C7434" s="424" t="str">
        <f t="shared" si="334"/>
        <v>Barraqueiro Alugueres</v>
      </c>
      <c r="D7434" t="s">
        <v>629</v>
      </c>
      <c r="F7434" s="432" t="s">
        <v>620</v>
      </c>
      <c r="G7434" s="89">
        <v>2009</v>
      </c>
      <c r="H7434" s="313" t="s">
        <v>734</v>
      </c>
      <c r="I7434" s="311" t="str">
        <f t="shared" si="331"/>
        <v>Pesado de Passageiros M3:  : Gasóleo : E5</v>
      </c>
      <c r="J7434" s="422">
        <v>27</v>
      </c>
      <c r="K7434" s="422">
        <v>2023</v>
      </c>
      <c r="L7434">
        <v>0</v>
      </c>
      <c r="M7434" s="422" t="s">
        <v>630</v>
      </c>
      <c r="N7434" s="131">
        <v>0</v>
      </c>
      <c r="O7434" s="436">
        <f t="shared" si="332"/>
        <v>0</v>
      </c>
      <c r="P7434" s="89">
        <v>5610</v>
      </c>
      <c r="Q7434" t="s">
        <v>47</v>
      </c>
      <c r="R7434" s="422" t="s">
        <v>1869</v>
      </c>
      <c r="S7434" s="422" t="s">
        <v>1861</v>
      </c>
      <c r="T7434" s="422"/>
      <c r="U7434" s="422" t="s">
        <v>1953</v>
      </c>
      <c r="V7434" s="422" t="s">
        <v>2813</v>
      </c>
    </row>
    <row r="7435" spans="1:22" ht="15.75" thickBot="1" x14ac:dyDescent="0.3">
      <c r="A7435" t="s">
        <v>541</v>
      </c>
      <c r="B7435" s="424" t="str">
        <f t="shared" si="333"/>
        <v>Barraqueiro Transportes</v>
      </c>
      <c r="C7435" s="424" t="str">
        <f t="shared" si="334"/>
        <v>Barraqueiro Alugueres</v>
      </c>
      <c r="D7435" t="s">
        <v>629</v>
      </c>
      <c r="F7435" s="432" t="s">
        <v>620</v>
      </c>
      <c r="G7435" s="89">
        <v>2009</v>
      </c>
      <c r="H7435" s="313" t="s">
        <v>734</v>
      </c>
      <c r="I7435" s="311" t="str">
        <f t="shared" si="331"/>
        <v>Pesado de Passageiros M3:  : Gasóleo : E5</v>
      </c>
      <c r="J7435" s="422">
        <v>27</v>
      </c>
      <c r="K7435" s="422">
        <v>2023</v>
      </c>
      <c r="L7435">
        <v>2651.982</v>
      </c>
      <c r="M7435" s="422" t="s">
        <v>630</v>
      </c>
      <c r="N7435" s="131">
        <v>13950</v>
      </c>
      <c r="O7435" s="436">
        <f t="shared" si="332"/>
        <v>376650</v>
      </c>
      <c r="P7435" s="89">
        <v>5611</v>
      </c>
      <c r="Q7435" t="s">
        <v>47</v>
      </c>
      <c r="R7435" s="422" t="s">
        <v>1869</v>
      </c>
      <c r="S7435" s="422" t="s">
        <v>1861</v>
      </c>
      <c r="T7435" s="422"/>
      <c r="U7435" s="422" t="s">
        <v>1953</v>
      </c>
      <c r="V7435" s="422" t="s">
        <v>2813</v>
      </c>
    </row>
    <row r="7436" spans="1:22" ht="15.75" thickBot="1" x14ac:dyDescent="0.3">
      <c r="A7436" t="s">
        <v>541</v>
      </c>
      <c r="B7436" s="424" t="str">
        <f t="shared" si="333"/>
        <v>Barraqueiro Transportes</v>
      </c>
      <c r="C7436" s="424" t="str">
        <f t="shared" si="334"/>
        <v>Barraqueiro Alugueres</v>
      </c>
      <c r="D7436" t="s">
        <v>629</v>
      </c>
      <c r="F7436" s="432" t="s">
        <v>620</v>
      </c>
      <c r="G7436" s="89">
        <v>2009</v>
      </c>
      <c r="H7436" s="313" t="s">
        <v>734</v>
      </c>
      <c r="I7436" s="311" t="str">
        <f t="shared" si="331"/>
        <v>Pesado de Passageiros M3:  : Gasóleo : E5</v>
      </c>
      <c r="J7436" s="422">
        <v>27</v>
      </c>
      <c r="K7436" s="422">
        <v>2023</v>
      </c>
      <c r="L7436">
        <v>45.48</v>
      </c>
      <c r="M7436" s="422" t="s">
        <v>630</v>
      </c>
      <c r="N7436" s="131">
        <v>252</v>
      </c>
      <c r="O7436" s="436">
        <f t="shared" si="332"/>
        <v>6804</v>
      </c>
      <c r="P7436" s="89">
        <v>5612</v>
      </c>
      <c r="Q7436" t="s">
        <v>47</v>
      </c>
      <c r="R7436" s="422" t="s">
        <v>1869</v>
      </c>
      <c r="S7436" s="422" t="s">
        <v>1861</v>
      </c>
      <c r="T7436" s="422"/>
      <c r="U7436" s="422" t="s">
        <v>1953</v>
      </c>
      <c r="V7436" s="422" t="s">
        <v>2813</v>
      </c>
    </row>
    <row r="7437" spans="1:22" ht="15.75" thickBot="1" x14ac:dyDescent="0.3">
      <c r="A7437" t="s">
        <v>541</v>
      </c>
      <c r="B7437" s="424" t="str">
        <f t="shared" si="333"/>
        <v>Barraqueiro Transportes</v>
      </c>
      <c r="C7437" s="424" t="str">
        <f t="shared" si="334"/>
        <v>Barraqueiro Alugueres</v>
      </c>
      <c r="D7437" t="s">
        <v>629</v>
      </c>
      <c r="F7437" s="432" t="s">
        <v>620</v>
      </c>
      <c r="G7437" s="89">
        <v>2009</v>
      </c>
      <c r="H7437" s="313" t="s">
        <v>734</v>
      </c>
      <c r="I7437" s="311" t="str">
        <f t="shared" si="331"/>
        <v>Pesado de Passageiros M3:  : Gasóleo : E5</v>
      </c>
      <c r="J7437" s="422">
        <v>27</v>
      </c>
      <c r="K7437" s="422">
        <v>2023</v>
      </c>
      <c r="L7437">
        <v>2983.2790000000005</v>
      </c>
      <c r="M7437" s="422" t="s">
        <v>630</v>
      </c>
      <c r="N7437" s="131">
        <v>19161</v>
      </c>
      <c r="O7437" s="436">
        <f t="shared" si="332"/>
        <v>517347</v>
      </c>
      <c r="P7437" s="89">
        <v>5613</v>
      </c>
      <c r="Q7437" t="s">
        <v>47</v>
      </c>
      <c r="R7437" s="422" t="s">
        <v>1869</v>
      </c>
      <c r="S7437" s="422" t="s">
        <v>1861</v>
      </c>
      <c r="T7437" s="422"/>
      <c r="U7437" s="422" t="s">
        <v>1953</v>
      </c>
      <c r="V7437" s="422" t="s">
        <v>2813</v>
      </c>
    </row>
    <row r="7438" spans="1:22" ht="15.75" thickBot="1" x14ac:dyDescent="0.3">
      <c r="A7438" t="s">
        <v>541</v>
      </c>
      <c r="B7438" s="424" t="str">
        <f t="shared" si="333"/>
        <v>Barraqueiro Transportes</v>
      </c>
      <c r="C7438" s="424" t="str">
        <f t="shared" si="334"/>
        <v>Barraqueiro Alugueres</v>
      </c>
      <c r="D7438" t="s">
        <v>629</v>
      </c>
      <c r="F7438" s="432" t="s">
        <v>620</v>
      </c>
      <c r="G7438" s="89">
        <v>2009</v>
      </c>
      <c r="H7438" s="313" t="s">
        <v>734</v>
      </c>
      <c r="I7438" s="311" t="str">
        <f t="shared" si="331"/>
        <v>Pesado de Passageiros M3:  : Gasóleo : E5</v>
      </c>
      <c r="J7438" s="422">
        <v>27</v>
      </c>
      <c r="K7438" s="422">
        <v>2023</v>
      </c>
      <c r="L7438">
        <v>1836.9999999999998</v>
      </c>
      <c r="M7438" s="422" t="s">
        <v>630</v>
      </c>
      <c r="N7438" s="131">
        <v>10345</v>
      </c>
      <c r="O7438" s="436">
        <f t="shared" si="332"/>
        <v>279315</v>
      </c>
      <c r="P7438" s="89">
        <v>5614</v>
      </c>
      <c r="Q7438" t="s">
        <v>47</v>
      </c>
      <c r="R7438" s="422" t="s">
        <v>1869</v>
      </c>
      <c r="S7438" s="422" t="s">
        <v>1861</v>
      </c>
      <c r="T7438" s="422"/>
      <c r="U7438" s="422" t="s">
        <v>1953</v>
      </c>
      <c r="V7438" s="422" t="s">
        <v>2813</v>
      </c>
    </row>
    <row r="7439" spans="1:22" ht="15.75" thickBot="1" x14ac:dyDescent="0.3">
      <c r="A7439" t="s">
        <v>541</v>
      </c>
      <c r="B7439" s="424" t="str">
        <f t="shared" si="333"/>
        <v>Barraqueiro Transportes</v>
      </c>
      <c r="C7439" s="424" t="str">
        <f t="shared" si="334"/>
        <v>Barraqueiro Alugueres</v>
      </c>
      <c r="D7439" t="s">
        <v>629</v>
      </c>
      <c r="F7439" s="432" t="s">
        <v>620</v>
      </c>
      <c r="G7439" s="89">
        <v>2010</v>
      </c>
      <c r="H7439" s="313" t="s">
        <v>734</v>
      </c>
      <c r="I7439" s="311" t="str">
        <f t="shared" si="331"/>
        <v>Pesado de Passageiros M3:  : Gasóleo : E5</v>
      </c>
      <c r="J7439" s="422">
        <v>58</v>
      </c>
      <c r="K7439" s="422">
        <v>2023</v>
      </c>
      <c r="L7439">
        <v>17563.333000000002</v>
      </c>
      <c r="M7439" s="422" t="s">
        <v>630</v>
      </c>
      <c r="N7439" s="131">
        <v>51919</v>
      </c>
      <c r="O7439" s="436">
        <f t="shared" si="332"/>
        <v>3011302</v>
      </c>
      <c r="P7439" s="89">
        <v>5617</v>
      </c>
      <c r="Q7439" t="s">
        <v>47</v>
      </c>
      <c r="R7439" s="422" t="s">
        <v>1869</v>
      </c>
      <c r="S7439" s="422" t="s">
        <v>1861</v>
      </c>
      <c r="T7439" s="422"/>
      <c r="U7439" s="422" t="s">
        <v>1953</v>
      </c>
      <c r="V7439" s="422" t="s">
        <v>2813</v>
      </c>
    </row>
    <row r="7440" spans="1:22" ht="15.75" thickBot="1" x14ac:dyDescent="0.3">
      <c r="A7440" t="s">
        <v>541</v>
      </c>
      <c r="B7440" s="424" t="str">
        <f t="shared" si="333"/>
        <v>Barraqueiro Transportes</v>
      </c>
      <c r="C7440" s="424" t="str">
        <f t="shared" si="334"/>
        <v>Barraqueiro Alugueres</v>
      </c>
      <c r="D7440" t="s">
        <v>629</v>
      </c>
      <c r="F7440" s="432" t="s">
        <v>620</v>
      </c>
      <c r="G7440" s="89">
        <v>2011</v>
      </c>
      <c r="H7440" s="313" t="s">
        <v>734</v>
      </c>
      <c r="I7440" s="311" t="str">
        <f t="shared" si="331"/>
        <v>Pesado de Passageiros M3:  : Gasóleo : E5</v>
      </c>
      <c r="J7440" s="422">
        <v>24</v>
      </c>
      <c r="K7440" s="422">
        <v>2023</v>
      </c>
      <c r="L7440">
        <v>2646.2999999999997</v>
      </c>
      <c r="M7440" s="422" t="s">
        <v>630</v>
      </c>
      <c r="N7440" s="131">
        <v>12759</v>
      </c>
      <c r="O7440" s="436">
        <f t="shared" si="332"/>
        <v>306216</v>
      </c>
      <c r="P7440" s="89">
        <v>5618</v>
      </c>
      <c r="Q7440" t="s">
        <v>47</v>
      </c>
      <c r="R7440" s="422" t="s">
        <v>1869</v>
      </c>
      <c r="S7440" s="422" t="s">
        <v>1861</v>
      </c>
      <c r="T7440" s="422"/>
      <c r="U7440" s="422" t="s">
        <v>1953</v>
      </c>
      <c r="V7440" s="422" t="s">
        <v>2813</v>
      </c>
    </row>
    <row r="7441" spans="1:22" ht="15.75" thickBot="1" x14ac:dyDescent="0.3">
      <c r="A7441" t="s">
        <v>541</v>
      </c>
      <c r="B7441" s="424" t="str">
        <f t="shared" si="333"/>
        <v>Barraqueiro Transportes</v>
      </c>
      <c r="C7441" s="424" t="str">
        <f t="shared" si="334"/>
        <v>Barraqueiro Alugueres</v>
      </c>
      <c r="D7441" t="s">
        <v>629</v>
      </c>
      <c r="F7441" s="432" t="s">
        <v>620</v>
      </c>
      <c r="G7441" s="89">
        <v>2011</v>
      </c>
      <c r="H7441" s="313" t="s">
        <v>734</v>
      </c>
      <c r="I7441" s="311" t="str">
        <f t="shared" si="331"/>
        <v>Pesado de Passageiros M3:  : Gasóleo : E5</v>
      </c>
      <c r="J7441" s="422">
        <v>27</v>
      </c>
      <c r="K7441" s="422">
        <v>2023</v>
      </c>
      <c r="L7441">
        <v>1682.89</v>
      </c>
      <c r="M7441" s="422" t="s">
        <v>630</v>
      </c>
      <c r="N7441" s="131">
        <v>8502</v>
      </c>
      <c r="O7441" s="436">
        <f t="shared" si="332"/>
        <v>229554</v>
      </c>
      <c r="P7441" s="89">
        <v>5619</v>
      </c>
      <c r="Q7441" t="s">
        <v>47</v>
      </c>
      <c r="R7441" s="422" t="s">
        <v>1869</v>
      </c>
      <c r="S7441" s="422" t="s">
        <v>1861</v>
      </c>
      <c r="T7441" s="422"/>
      <c r="U7441" s="422" t="s">
        <v>1953</v>
      </c>
      <c r="V7441" s="422" t="s">
        <v>2813</v>
      </c>
    </row>
    <row r="7442" spans="1:22" ht="15.75" thickBot="1" x14ac:dyDescent="0.3">
      <c r="A7442" t="s">
        <v>541</v>
      </c>
      <c r="B7442" s="424" t="str">
        <f t="shared" si="333"/>
        <v>Barraqueiro Transportes</v>
      </c>
      <c r="C7442" s="424" t="str">
        <f t="shared" si="334"/>
        <v>Barraqueiro Alugueres</v>
      </c>
      <c r="D7442" t="s">
        <v>629</v>
      </c>
      <c r="F7442" s="432" t="s">
        <v>620</v>
      </c>
      <c r="G7442" s="89">
        <v>2012</v>
      </c>
      <c r="H7442" s="313" t="s">
        <v>734</v>
      </c>
      <c r="I7442" s="311" t="str">
        <f t="shared" si="331"/>
        <v>Pesado de Passageiros M3:  : Gasóleo : E5</v>
      </c>
      <c r="J7442" s="422">
        <v>63</v>
      </c>
      <c r="K7442" s="422">
        <v>2023</v>
      </c>
      <c r="L7442">
        <v>12235.876</v>
      </c>
      <c r="M7442" s="422" t="s">
        <v>630</v>
      </c>
      <c r="N7442" s="131">
        <v>34044</v>
      </c>
      <c r="O7442" s="436">
        <f t="shared" si="332"/>
        <v>2144772</v>
      </c>
      <c r="P7442" s="89">
        <v>5621</v>
      </c>
      <c r="Q7442" t="s">
        <v>47</v>
      </c>
      <c r="R7442" s="422" t="s">
        <v>1869</v>
      </c>
      <c r="S7442" s="422" t="s">
        <v>1861</v>
      </c>
      <c r="T7442" s="422"/>
      <c r="U7442" s="422" t="s">
        <v>1953</v>
      </c>
      <c r="V7442" s="422" t="s">
        <v>2813</v>
      </c>
    </row>
    <row r="7443" spans="1:22" ht="15.75" thickBot="1" x14ac:dyDescent="0.3">
      <c r="A7443" t="s">
        <v>541</v>
      </c>
      <c r="B7443" s="424" t="str">
        <f t="shared" si="333"/>
        <v>Barraqueiro Transportes</v>
      </c>
      <c r="C7443" s="424" t="str">
        <f t="shared" si="334"/>
        <v>Barraqueiro Alugueres</v>
      </c>
      <c r="D7443" t="s">
        <v>629</v>
      </c>
      <c r="F7443" s="432" t="s">
        <v>620</v>
      </c>
      <c r="G7443" s="89">
        <v>2012</v>
      </c>
      <c r="H7443" s="313" t="s">
        <v>734</v>
      </c>
      <c r="I7443" s="311" t="str">
        <f t="shared" si="331"/>
        <v>Pesado de Passageiros M3:  : Gasóleo : E5</v>
      </c>
      <c r="J7443" s="422">
        <v>34</v>
      </c>
      <c r="K7443" s="422">
        <v>2023</v>
      </c>
      <c r="L7443">
        <v>5334.7079999999996</v>
      </c>
      <c r="M7443" s="422" t="s">
        <v>630</v>
      </c>
      <c r="N7443" s="131">
        <v>16289</v>
      </c>
      <c r="O7443" s="436">
        <f t="shared" si="332"/>
        <v>553826</v>
      </c>
      <c r="P7443" s="89">
        <v>5622</v>
      </c>
      <c r="Q7443" t="s">
        <v>47</v>
      </c>
      <c r="R7443" s="422" t="s">
        <v>1869</v>
      </c>
      <c r="S7443" s="422" t="s">
        <v>1861</v>
      </c>
      <c r="T7443" s="422"/>
      <c r="U7443" s="422" t="s">
        <v>1953</v>
      </c>
      <c r="V7443" s="422" t="s">
        <v>2813</v>
      </c>
    </row>
    <row r="7444" spans="1:22" ht="15.75" thickBot="1" x14ac:dyDescent="0.3">
      <c r="A7444" t="s">
        <v>541</v>
      </c>
      <c r="B7444" s="424" t="str">
        <f t="shared" si="333"/>
        <v>Barraqueiro Transportes</v>
      </c>
      <c r="C7444" s="424" t="str">
        <f t="shared" si="334"/>
        <v>Barraqueiro Alugueres</v>
      </c>
      <c r="D7444" t="s">
        <v>629</v>
      </c>
      <c r="F7444" s="432" t="s">
        <v>620</v>
      </c>
      <c r="G7444" s="89">
        <v>2013</v>
      </c>
      <c r="H7444" s="313" t="s">
        <v>733</v>
      </c>
      <c r="I7444" s="311" t="str">
        <f t="shared" si="331"/>
        <v>Pesado de Passageiros M3:  : Gasóleo : E6</v>
      </c>
      <c r="J7444" s="422">
        <v>34</v>
      </c>
      <c r="K7444" s="422">
        <v>2023</v>
      </c>
      <c r="L7444">
        <v>12812.682000000001</v>
      </c>
      <c r="M7444" s="422" t="s">
        <v>630</v>
      </c>
      <c r="N7444" s="131">
        <v>39226</v>
      </c>
      <c r="O7444" s="436">
        <f t="shared" si="332"/>
        <v>1333684</v>
      </c>
      <c r="P7444" s="89">
        <v>5624</v>
      </c>
      <c r="Q7444" t="s">
        <v>47</v>
      </c>
      <c r="R7444" s="422" t="s">
        <v>1869</v>
      </c>
      <c r="S7444" s="422" t="s">
        <v>1861</v>
      </c>
      <c r="T7444" s="422"/>
      <c r="U7444" s="422" t="s">
        <v>1953</v>
      </c>
      <c r="V7444" s="422" t="s">
        <v>2813</v>
      </c>
    </row>
    <row r="7445" spans="1:22" ht="15.75" thickBot="1" x14ac:dyDescent="0.3">
      <c r="A7445" t="s">
        <v>541</v>
      </c>
      <c r="B7445" s="424" t="str">
        <f t="shared" si="333"/>
        <v>Barraqueiro Transportes</v>
      </c>
      <c r="C7445" s="424" t="str">
        <f t="shared" si="334"/>
        <v>Barraqueiro Alugueres</v>
      </c>
      <c r="D7445" t="s">
        <v>629</v>
      </c>
      <c r="F7445" s="432" t="s">
        <v>620</v>
      </c>
      <c r="G7445" s="89">
        <v>2013</v>
      </c>
      <c r="H7445" s="313" t="s">
        <v>733</v>
      </c>
      <c r="I7445" s="311" t="str">
        <f t="shared" si="331"/>
        <v>Pesado de Passageiros M3:  : Gasóleo : E6</v>
      </c>
      <c r="J7445" s="422">
        <v>34</v>
      </c>
      <c r="K7445" s="422">
        <v>2023</v>
      </c>
      <c r="L7445">
        <v>13432.217999999999</v>
      </c>
      <c r="M7445" s="422" t="s">
        <v>630</v>
      </c>
      <c r="N7445" s="131">
        <v>45792</v>
      </c>
      <c r="O7445" s="436">
        <f t="shared" si="332"/>
        <v>1556928</v>
      </c>
      <c r="P7445" s="89">
        <v>5625</v>
      </c>
      <c r="Q7445" t="s">
        <v>47</v>
      </c>
      <c r="R7445" s="422" t="s">
        <v>1869</v>
      </c>
      <c r="S7445" s="422" t="s">
        <v>1861</v>
      </c>
      <c r="T7445" s="422"/>
      <c r="U7445" s="422" t="s">
        <v>1953</v>
      </c>
      <c r="V7445" s="422" t="s">
        <v>2813</v>
      </c>
    </row>
    <row r="7446" spans="1:22" ht="15.75" thickBot="1" x14ac:dyDescent="0.3">
      <c r="A7446" t="s">
        <v>541</v>
      </c>
      <c r="B7446" s="424" t="str">
        <f t="shared" si="333"/>
        <v>Barraqueiro Transportes</v>
      </c>
      <c r="C7446" s="424" t="str">
        <f t="shared" si="334"/>
        <v>Barraqueiro Alugueres</v>
      </c>
      <c r="D7446" t="s">
        <v>629</v>
      </c>
      <c r="F7446" s="432" t="s">
        <v>620</v>
      </c>
      <c r="G7446" s="89">
        <v>2013</v>
      </c>
      <c r="H7446" s="313" t="s">
        <v>733</v>
      </c>
      <c r="I7446" s="311" t="str">
        <f t="shared" si="331"/>
        <v>Pesado de Passageiros M3:  : Gasóleo : E6</v>
      </c>
      <c r="J7446" s="422">
        <v>55</v>
      </c>
      <c r="K7446" s="422">
        <v>2023</v>
      </c>
      <c r="L7446">
        <v>19898.312000000002</v>
      </c>
      <c r="M7446" s="422" t="s">
        <v>630</v>
      </c>
      <c r="N7446" s="131">
        <v>55666</v>
      </c>
      <c r="O7446" s="436">
        <f t="shared" si="332"/>
        <v>3061630</v>
      </c>
      <c r="P7446" s="89">
        <v>5626</v>
      </c>
      <c r="Q7446" t="s">
        <v>47</v>
      </c>
      <c r="R7446" s="422" t="s">
        <v>1869</v>
      </c>
      <c r="S7446" s="422" t="s">
        <v>1861</v>
      </c>
      <c r="T7446" s="422"/>
      <c r="U7446" s="422" t="s">
        <v>1953</v>
      </c>
      <c r="V7446" s="422" t="s">
        <v>2813</v>
      </c>
    </row>
    <row r="7447" spans="1:22" ht="15.75" thickBot="1" x14ac:dyDescent="0.3">
      <c r="A7447" t="s">
        <v>541</v>
      </c>
      <c r="B7447" s="424" t="str">
        <f t="shared" si="333"/>
        <v>Barraqueiro Transportes</v>
      </c>
      <c r="C7447" s="424" t="str">
        <f t="shared" si="334"/>
        <v>Barraqueiro Alugueres</v>
      </c>
      <c r="D7447" t="s">
        <v>629</v>
      </c>
      <c r="F7447" s="432" t="s">
        <v>620</v>
      </c>
      <c r="G7447" s="89">
        <v>2014</v>
      </c>
      <c r="H7447" s="313" t="s">
        <v>733</v>
      </c>
      <c r="I7447" s="311" t="str">
        <f t="shared" si="331"/>
        <v>Pesado de Passageiros M3:  : Gasóleo : E6</v>
      </c>
      <c r="J7447" s="422">
        <v>41</v>
      </c>
      <c r="K7447" s="422">
        <v>2023</v>
      </c>
      <c r="L7447">
        <v>5265.9870000000001</v>
      </c>
      <c r="M7447" s="422" t="s">
        <v>630</v>
      </c>
      <c r="N7447" s="131">
        <v>19393</v>
      </c>
      <c r="O7447" s="436">
        <f t="shared" si="332"/>
        <v>795113</v>
      </c>
      <c r="P7447" s="89">
        <v>5627</v>
      </c>
      <c r="Q7447" t="s">
        <v>47</v>
      </c>
      <c r="R7447" s="422" t="s">
        <v>1869</v>
      </c>
      <c r="S7447" s="422" t="s">
        <v>1861</v>
      </c>
      <c r="T7447" s="422"/>
      <c r="U7447" s="422" t="s">
        <v>1953</v>
      </c>
      <c r="V7447" s="422" t="s">
        <v>2813</v>
      </c>
    </row>
    <row r="7448" spans="1:22" ht="15.75" thickBot="1" x14ac:dyDescent="0.3">
      <c r="A7448" t="s">
        <v>541</v>
      </c>
      <c r="B7448" s="424" t="str">
        <f t="shared" si="333"/>
        <v>Barraqueiro Transportes</v>
      </c>
      <c r="C7448" s="424" t="str">
        <f t="shared" si="334"/>
        <v>Barraqueiro Alugueres</v>
      </c>
      <c r="D7448" t="s">
        <v>629</v>
      </c>
      <c r="F7448" s="432" t="s">
        <v>620</v>
      </c>
      <c r="G7448" s="89">
        <v>2016</v>
      </c>
      <c r="H7448" s="313" t="s">
        <v>733</v>
      </c>
      <c r="I7448" s="311" t="str">
        <f t="shared" si="331"/>
        <v>Pesado de Passageiros M3:  : Gasóleo : E6</v>
      </c>
      <c r="J7448" s="422">
        <v>53</v>
      </c>
      <c r="K7448" s="422">
        <v>2023</v>
      </c>
      <c r="L7448">
        <v>20279.277000000006</v>
      </c>
      <c r="M7448" s="422" t="s">
        <v>630</v>
      </c>
      <c r="N7448" s="131">
        <v>62939</v>
      </c>
      <c r="O7448" s="436">
        <f t="shared" si="332"/>
        <v>3335767</v>
      </c>
      <c r="P7448" s="89">
        <v>5628</v>
      </c>
      <c r="Q7448" t="s">
        <v>47</v>
      </c>
      <c r="R7448" s="422" t="s">
        <v>1869</v>
      </c>
      <c r="S7448" s="422" t="s">
        <v>1861</v>
      </c>
      <c r="T7448" s="422"/>
      <c r="U7448" s="422" t="s">
        <v>1953</v>
      </c>
      <c r="V7448" s="422" t="s">
        <v>2813</v>
      </c>
    </row>
    <row r="7449" spans="1:22" ht="15.75" thickBot="1" x14ac:dyDescent="0.3">
      <c r="A7449" t="s">
        <v>541</v>
      </c>
      <c r="B7449" s="424" t="str">
        <f t="shared" si="333"/>
        <v>Barraqueiro Transportes</v>
      </c>
      <c r="C7449" s="424" t="str">
        <f t="shared" si="334"/>
        <v>Barraqueiro Alugueres</v>
      </c>
      <c r="D7449" t="s">
        <v>629</v>
      </c>
      <c r="F7449" s="432" t="s">
        <v>620</v>
      </c>
      <c r="G7449" s="89">
        <v>2016</v>
      </c>
      <c r="H7449" s="313" t="s">
        <v>733</v>
      </c>
      <c r="I7449" s="311" t="str">
        <f t="shared" si="331"/>
        <v>Pesado de Passageiros M3:  : Gasóleo : E6</v>
      </c>
      <c r="J7449" s="422">
        <v>53</v>
      </c>
      <c r="K7449" s="422">
        <v>2023</v>
      </c>
      <c r="L7449">
        <v>17231.365000000002</v>
      </c>
      <c r="M7449" s="422" t="s">
        <v>630</v>
      </c>
      <c r="N7449" s="131">
        <v>54560</v>
      </c>
      <c r="O7449" s="436">
        <f t="shared" si="332"/>
        <v>2891680</v>
      </c>
      <c r="P7449" s="89">
        <v>5629</v>
      </c>
      <c r="Q7449" t="s">
        <v>47</v>
      </c>
      <c r="R7449" s="422" t="s">
        <v>1869</v>
      </c>
      <c r="S7449" s="422" t="s">
        <v>1861</v>
      </c>
      <c r="T7449" s="422"/>
      <c r="U7449" s="422" t="s">
        <v>1953</v>
      </c>
      <c r="V7449" s="422" t="s">
        <v>2813</v>
      </c>
    </row>
    <row r="7450" spans="1:22" ht="15.75" thickBot="1" x14ac:dyDescent="0.3">
      <c r="A7450" t="s">
        <v>541</v>
      </c>
      <c r="B7450" s="424" t="str">
        <f t="shared" si="333"/>
        <v>Barraqueiro Transportes</v>
      </c>
      <c r="C7450" s="424" t="str">
        <f t="shared" si="334"/>
        <v>Barraqueiro Alugueres</v>
      </c>
      <c r="D7450" t="s">
        <v>629</v>
      </c>
      <c r="F7450" s="432" t="s">
        <v>620</v>
      </c>
      <c r="G7450" s="89">
        <v>2016</v>
      </c>
      <c r="H7450" s="313" t="s">
        <v>733</v>
      </c>
      <c r="I7450" s="311" t="str">
        <f t="shared" si="331"/>
        <v>Pesado de Passageiros M3:  : Gasóleo : E6</v>
      </c>
      <c r="J7450" s="422">
        <v>53</v>
      </c>
      <c r="K7450" s="422">
        <v>2023</v>
      </c>
      <c r="L7450">
        <v>21381.541000000001</v>
      </c>
      <c r="M7450" s="422" t="s">
        <v>630</v>
      </c>
      <c r="N7450" s="131">
        <v>67674</v>
      </c>
      <c r="O7450" s="436">
        <f t="shared" si="332"/>
        <v>3586722</v>
      </c>
      <c r="P7450" s="89">
        <v>5630</v>
      </c>
      <c r="Q7450" t="s">
        <v>47</v>
      </c>
      <c r="R7450" s="422" t="s">
        <v>1869</v>
      </c>
      <c r="S7450" s="422" t="s">
        <v>1861</v>
      </c>
      <c r="T7450" s="422"/>
      <c r="U7450" s="422" t="s">
        <v>1953</v>
      </c>
      <c r="V7450" s="422" t="s">
        <v>2813</v>
      </c>
    </row>
    <row r="7451" spans="1:22" ht="15.75" thickBot="1" x14ac:dyDescent="0.3">
      <c r="A7451" t="s">
        <v>541</v>
      </c>
      <c r="B7451" s="424" t="str">
        <f t="shared" si="333"/>
        <v>Barraqueiro Transportes</v>
      </c>
      <c r="C7451" s="424" t="str">
        <f t="shared" si="334"/>
        <v>Barraqueiro Alugueres</v>
      </c>
      <c r="D7451" t="s">
        <v>629</v>
      </c>
      <c r="F7451" s="432" t="s">
        <v>620</v>
      </c>
      <c r="G7451" s="89">
        <v>2016</v>
      </c>
      <c r="H7451" s="313" t="s">
        <v>733</v>
      </c>
      <c r="I7451" s="311" t="str">
        <f t="shared" si="331"/>
        <v>Pesado de Passageiros M3:  : Gasóleo : E6</v>
      </c>
      <c r="J7451" s="422">
        <v>53</v>
      </c>
      <c r="K7451" s="422">
        <v>2023</v>
      </c>
      <c r="L7451">
        <v>26680.478999999999</v>
      </c>
      <c r="M7451" s="422" t="s">
        <v>630</v>
      </c>
      <c r="N7451" s="131">
        <v>84213</v>
      </c>
      <c r="O7451" s="436">
        <f t="shared" si="332"/>
        <v>4463289</v>
      </c>
      <c r="P7451" s="89">
        <v>5631</v>
      </c>
      <c r="Q7451" t="s">
        <v>47</v>
      </c>
      <c r="R7451" s="422" t="s">
        <v>1869</v>
      </c>
      <c r="S7451" s="422" t="s">
        <v>1861</v>
      </c>
      <c r="T7451" s="422"/>
      <c r="U7451" s="422" t="s">
        <v>1953</v>
      </c>
      <c r="V7451" s="422" t="s">
        <v>2813</v>
      </c>
    </row>
    <row r="7452" spans="1:22" ht="15.75" thickBot="1" x14ac:dyDescent="0.3">
      <c r="A7452" t="s">
        <v>541</v>
      </c>
      <c r="B7452" s="424" t="str">
        <f t="shared" si="333"/>
        <v>Barraqueiro Transportes</v>
      </c>
      <c r="C7452" s="424" t="str">
        <f t="shared" si="334"/>
        <v>Barraqueiro Alugueres</v>
      </c>
      <c r="D7452" t="s">
        <v>629</v>
      </c>
      <c r="F7452" s="432" t="s">
        <v>620</v>
      </c>
      <c r="G7452" s="89">
        <v>2016</v>
      </c>
      <c r="H7452" s="313" t="s">
        <v>733</v>
      </c>
      <c r="I7452" s="311" t="str">
        <f t="shared" si="331"/>
        <v>Pesado de Passageiros M3:  : Gasóleo : E6</v>
      </c>
      <c r="J7452" s="422">
        <v>53</v>
      </c>
      <c r="K7452" s="422">
        <v>2023</v>
      </c>
      <c r="L7452">
        <v>21171.908999999996</v>
      </c>
      <c r="M7452" s="422" t="s">
        <v>630</v>
      </c>
      <c r="N7452" s="131">
        <v>62178</v>
      </c>
      <c r="O7452" s="436">
        <f t="shared" si="332"/>
        <v>3295434</v>
      </c>
      <c r="P7452" s="89">
        <v>5632</v>
      </c>
      <c r="Q7452" t="s">
        <v>47</v>
      </c>
      <c r="R7452" s="422" t="s">
        <v>1869</v>
      </c>
      <c r="S7452" s="422" t="s">
        <v>1861</v>
      </c>
      <c r="T7452" s="422"/>
      <c r="U7452" s="422" t="s">
        <v>1953</v>
      </c>
      <c r="V7452" s="422" t="s">
        <v>2813</v>
      </c>
    </row>
    <row r="7453" spans="1:22" ht="15.75" thickBot="1" x14ac:dyDescent="0.3">
      <c r="A7453" t="s">
        <v>541</v>
      </c>
      <c r="B7453" s="424" t="str">
        <f t="shared" si="333"/>
        <v>Barraqueiro Transportes</v>
      </c>
      <c r="C7453" s="424" t="str">
        <f t="shared" si="334"/>
        <v>Barraqueiro Alugueres</v>
      </c>
      <c r="D7453" t="s">
        <v>629</v>
      </c>
      <c r="F7453" s="432" t="s">
        <v>620</v>
      </c>
      <c r="G7453" s="89">
        <v>2016</v>
      </c>
      <c r="H7453" s="313" t="s">
        <v>733</v>
      </c>
      <c r="I7453" s="311" t="str">
        <f t="shared" si="331"/>
        <v>Pesado de Passageiros M3:  : Gasóleo : E6</v>
      </c>
      <c r="J7453" s="422">
        <v>19</v>
      </c>
      <c r="K7453" s="422">
        <v>2023</v>
      </c>
      <c r="L7453">
        <v>2671.0259999999994</v>
      </c>
      <c r="M7453" s="422" t="s">
        <v>630</v>
      </c>
      <c r="N7453" s="131">
        <v>15124</v>
      </c>
      <c r="O7453" s="436">
        <f t="shared" si="332"/>
        <v>287356</v>
      </c>
      <c r="P7453" s="89">
        <v>5633</v>
      </c>
      <c r="Q7453" t="s">
        <v>47</v>
      </c>
      <c r="R7453" s="422" t="s">
        <v>1869</v>
      </c>
      <c r="S7453" s="422" t="s">
        <v>1861</v>
      </c>
      <c r="T7453" s="422"/>
      <c r="U7453" s="422" t="s">
        <v>1953</v>
      </c>
      <c r="V7453" s="422" t="s">
        <v>2813</v>
      </c>
    </row>
    <row r="7454" spans="1:22" ht="15.75" thickBot="1" x14ac:dyDescent="0.3">
      <c r="A7454" t="s">
        <v>541</v>
      </c>
      <c r="B7454" s="424" t="str">
        <f t="shared" si="333"/>
        <v>Barraqueiro Transportes</v>
      </c>
      <c r="C7454" s="424" t="str">
        <f t="shared" si="334"/>
        <v>Barraqueiro Alugueres</v>
      </c>
      <c r="D7454" t="s">
        <v>629</v>
      </c>
      <c r="F7454" s="432" t="s">
        <v>620</v>
      </c>
      <c r="G7454" s="89">
        <v>2016</v>
      </c>
      <c r="H7454" s="313" t="s">
        <v>733</v>
      </c>
      <c r="I7454" s="311" t="str">
        <f t="shared" si="331"/>
        <v>Pesado de Passageiros M3:  : Gasóleo : E6</v>
      </c>
      <c r="J7454" s="422">
        <v>40</v>
      </c>
      <c r="K7454" s="422">
        <v>2023</v>
      </c>
      <c r="L7454">
        <v>10092.181</v>
      </c>
      <c r="M7454" s="422" t="s">
        <v>630</v>
      </c>
      <c r="N7454" s="131">
        <v>32035</v>
      </c>
      <c r="O7454" s="436">
        <f t="shared" si="332"/>
        <v>1281400</v>
      </c>
      <c r="P7454" s="89">
        <v>5634</v>
      </c>
      <c r="Q7454" t="s">
        <v>47</v>
      </c>
      <c r="R7454" s="422" t="s">
        <v>1869</v>
      </c>
      <c r="S7454" s="422" t="s">
        <v>1861</v>
      </c>
      <c r="T7454" s="422"/>
      <c r="U7454" s="422" t="s">
        <v>1953</v>
      </c>
      <c r="V7454" s="422" t="s">
        <v>2813</v>
      </c>
    </row>
    <row r="7455" spans="1:22" ht="15.75" thickBot="1" x14ac:dyDescent="0.3">
      <c r="A7455" t="s">
        <v>541</v>
      </c>
      <c r="B7455" s="424" t="str">
        <f t="shared" si="333"/>
        <v>Barraqueiro Transportes</v>
      </c>
      <c r="C7455" s="424" t="str">
        <f t="shared" si="334"/>
        <v>Barraqueiro Alugueres</v>
      </c>
      <c r="D7455" t="s">
        <v>629</v>
      </c>
      <c r="F7455" s="432" t="s">
        <v>620</v>
      </c>
      <c r="G7455" s="89">
        <v>2016</v>
      </c>
      <c r="H7455" s="313" t="s">
        <v>733</v>
      </c>
      <c r="I7455" s="311" t="str">
        <f t="shared" si="331"/>
        <v>Pesado de Passageiros M3:  : Gasóleo : E6</v>
      </c>
      <c r="J7455" s="422">
        <v>40</v>
      </c>
      <c r="K7455" s="422">
        <v>2023</v>
      </c>
      <c r="L7455">
        <v>12746.2</v>
      </c>
      <c r="M7455" s="422" t="s">
        <v>630</v>
      </c>
      <c r="N7455" s="131">
        <v>40510</v>
      </c>
      <c r="O7455" s="436">
        <f t="shared" si="332"/>
        <v>1620400</v>
      </c>
      <c r="P7455" s="89">
        <v>5635</v>
      </c>
      <c r="Q7455" t="s">
        <v>47</v>
      </c>
      <c r="R7455" s="422" t="s">
        <v>1869</v>
      </c>
      <c r="S7455" s="422" t="s">
        <v>1861</v>
      </c>
      <c r="T7455" s="422"/>
      <c r="U7455" s="422" t="s">
        <v>1953</v>
      </c>
      <c r="V7455" s="422" t="s">
        <v>2813</v>
      </c>
    </row>
    <row r="7456" spans="1:22" ht="15.75" thickBot="1" x14ac:dyDescent="0.3">
      <c r="A7456" t="s">
        <v>541</v>
      </c>
      <c r="B7456" s="424" t="str">
        <f t="shared" si="333"/>
        <v>Barraqueiro Transportes</v>
      </c>
      <c r="C7456" s="424" t="str">
        <f t="shared" si="334"/>
        <v>Barraqueiro Alugueres</v>
      </c>
      <c r="D7456" t="s">
        <v>629</v>
      </c>
      <c r="F7456" s="432" t="s">
        <v>620</v>
      </c>
      <c r="G7456" s="89">
        <v>2017</v>
      </c>
      <c r="H7456" s="313" t="s">
        <v>733</v>
      </c>
      <c r="I7456" s="311" t="str">
        <f t="shared" si="331"/>
        <v>Pesado de Passageiros M3:  : Gasóleo : E6</v>
      </c>
      <c r="J7456" s="422">
        <v>55</v>
      </c>
      <c r="K7456" s="422">
        <v>2023</v>
      </c>
      <c r="L7456">
        <v>21524.059000000001</v>
      </c>
      <c r="M7456" s="422" t="s">
        <v>630</v>
      </c>
      <c r="N7456" s="131">
        <v>62625</v>
      </c>
      <c r="O7456" s="436">
        <f t="shared" si="332"/>
        <v>3444375</v>
      </c>
      <c r="P7456" s="89">
        <v>5636</v>
      </c>
      <c r="Q7456" t="s">
        <v>47</v>
      </c>
      <c r="R7456" s="422" t="s">
        <v>1869</v>
      </c>
      <c r="S7456" s="422" t="s">
        <v>1861</v>
      </c>
      <c r="T7456" s="422"/>
      <c r="U7456" s="422" t="s">
        <v>1953</v>
      </c>
      <c r="V7456" s="422" t="s">
        <v>2813</v>
      </c>
    </row>
    <row r="7457" spans="1:22" ht="15.75" thickBot="1" x14ac:dyDescent="0.3">
      <c r="A7457" t="s">
        <v>541</v>
      </c>
      <c r="B7457" s="424" t="str">
        <f t="shared" si="333"/>
        <v>Barraqueiro Transportes</v>
      </c>
      <c r="C7457" s="424" t="str">
        <f t="shared" si="334"/>
        <v>Barraqueiro Alugueres</v>
      </c>
      <c r="D7457" t="s">
        <v>629</v>
      </c>
      <c r="F7457" s="432" t="s">
        <v>620</v>
      </c>
      <c r="G7457" s="89">
        <v>2017</v>
      </c>
      <c r="H7457" s="313" t="s">
        <v>733</v>
      </c>
      <c r="I7457" s="311" t="str">
        <f t="shared" si="331"/>
        <v>Pesado de Passageiros M3:  : Gasóleo : E6</v>
      </c>
      <c r="J7457" s="422">
        <v>39</v>
      </c>
      <c r="K7457" s="422">
        <v>2023</v>
      </c>
      <c r="L7457">
        <v>14063.022999999999</v>
      </c>
      <c r="M7457" s="422" t="s">
        <v>630</v>
      </c>
      <c r="N7457" s="131">
        <v>54623</v>
      </c>
      <c r="O7457" s="436">
        <f t="shared" si="332"/>
        <v>2130297</v>
      </c>
      <c r="P7457" s="89">
        <v>5637</v>
      </c>
      <c r="Q7457" t="s">
        <v>47</v>
      </c>
      <c r="R7457" s="422" t="s">
        <v>1869</v>
      </c>
      <c r="S7457" s="422" t="s">
        <v>1861</v>
      </c>
      <c r="T7457" s="422"/>
      <c r="U7457" s="422" t="s">
        <v>1953</v>
      </c>
      <c r="V7457" s="422" t="s">
        <v>2813</v>
      </c>
    </row>
    <row r="7458" spans="1:22" ht="15.75" thickBot="1" x14ac:dyDescent="0.3">
      <c r="A7458" t="s">
        <v>541</v>
      </c>
      <c r="B7458" s="424" t="str">
        <f t="shared" si="333"/>
        <v>Barraqueiro Transportes</v>
      </c>
      <c r="C7458" s="424" t="str">
        <f t="shared" si="334"/>
        <v>Barraqueiro Alugueres</v>
      </c>
      <c r="D7458" t="s">
        <v>629</v>
      </c>
      <c r="F7458" s="432" t="s">
        <v>620</v>
      </c>
      <c r="G7458" s="89">
        <v>2016</v>
      </c>
      <c r="H7458" s="313" t="s">
        <v>733</v>
      </c>
      <c r="I7458" s="311" t="str">
        <f t="shared" ref="I7458:I7521" si="335">D7458&amp;": "&amp;E7458&amp;" : "&amp;F7458&amp;" : "&amp;H7458</f>
        <v>Pesado de Passageiros M3:  : Gasóleo : E6</v>
      </c>
      <c r="J7458" s="422">
        <v>55</v>
      </c>
      <c r="K7458" s="422">
        <v>2023</v>
      </c>
      <c r="L7458">
        <v>19624.600000000002</v>
      </c>
      <c r="M7458" s="422" t="s">
        <v>630</v>
      </c>
      <c r="N7458" s="131">
        <v>56921</v>
      </c>
      <c r="O7458" s="436">
        <f t="shared" si="332"/>
        <v>3130655</v>
      </c>
      <c r="P7458" s="89">
        <v>5638</v>
      </c>
      <c r="Q7458" t="s">
        <v>47</v>
      </c>
      <c r="R7458" s="422" t="s">
        <v>1869</v>
      </c>
      <c r="S7458" s="422" t="s">
        <v>1861</v>
      </c>
      <c r="T7458" s="422"/>
      <c r="U7458" s="422" t="s">
        <v>1953</v>
      </c>
      <c r="V7458" s="422" t="s">
        <v>2813</v>
      </c>
    </row>
    <row r="7459" spans="1:22" ht="15.75" thickBot="1" x14ac:dyDescent="0.3">
      <c r="A7459" t="s">
        <v>541</v>
      </c>
      <c r="B7459" s="424" t="str">
        <f t="shared" si="333"/>
        <v>Barraqueiro Transportes</v>
      </c>
      <c r="C7459" s="424" t="str">
        <f t="shared" si="334"/>
        <v>Barraqueiro Alugueres</v>
      </c>
      <c r="D7459" t="s">
        <v>629</v>
      </c>
      <c r="F7459" s="432" t="s">
        <v>620</v>
      </c>
      <c r="G7459" s="89">
        <v>2018</v>
      </c>
      <c r="H7459" s="313" t="s">
        <v>733</v>
      </c>
      <c r="I7459" s="311" t="str">
        <f t="shared" si="335"/>
        <v>Pesado de Passageiros M3:  : Gasóleo : E6</v>
      </c>
      <c r="J7459" s="422">
        <v>39</v>
      </c>
      <c r="K7459" s="422">
        <v>2023</v>
      </c>
      <c r="L7459">
        <v>11013.93</v>
      </c>
      <c r="M7459" s="422" t="s">
        <v>630</v>
      </c>
      <c r="N7459" s="131">
        <v>39992</v>
      </c>
      <c r="O7459" s="436">
        <f t="shared" si="332"/>
        <v>1559688</v>
      </c>
      <c r="P7459" s="89">
        <v>5640</v>
      </c>
      <c r="Q7459" t="s">
        <v>47</v>
      </c>
      <c r="R7459" s="422" t="s">
        <v>1869</v>
      </c>
      <c r="S7459" s="422" t="s">
        <v>1861</v>
      </c>
      <c r="T7459" s="422"/>
      <c r="U7459" s="422" t="s">
        <v>1953</v>
      </c>
      <c r="V7459" s="422" t="s">
        <v>2813</v>
      </c>
    </row>
    <row r="7460" spans="1:22" ht="15.75" thickBot="1" x14ac:dyDescent="0.3">
      <c r="A7460" t="s">
        <v>541</v>
      </c>
      <c r="B7460" s="424" t="str">
        <f t="shared" si="333"/>
        <v>Barraqueiro Transportes</v>
      </c>
      <c r="C7460" s="424" t="str">
        <f t="shared" si="334"/>
        <v>Barraqueiro Alugueres</v>
      </c>
      <c r="D7460" t="s">
        <v>629</v>
      </c>
      <c r="F7460" s="432" t="s">
        <v>620</v>
      </c>
      <c r="G7460" s="89">
        <v>2018</v>
      </c>
      <c r="H7460" s="313" t="s">
        <v>733</v>
      </c>
      <c r="I7460" s="311" t="str">
        <f t="shared" si="335"/>
        <v>Pesado de Passageiros M3:  : Gasóleo : E6</v>
      </c>
      <c r="J7460" s="422">
        <v>39</v>
      </c>
      <c r="K7460" s="422">
        <v>2023</v>
      </c>
      <c r="L7460">
        <v>11104.153000000002</v>
      </c>
      <c r="M7460" s="422" t="s">
        <v>630</v>
      </c>
      <c r="N7460" s="131">
        <v>39800</v>
      </c>
      <c r="O7460" s="436">
        <f t="shared" si="332"/>
        <v>1552200</v>
      </c>
      <c r="P7460" s="89">
        <v>5641</v>
      </c>
      <c r="Q7460" t="s">
        <v>47</v>
      </c>
      <c r="R7460" s="422" t="s">
        <v>1869</v>
      </c>
      <c r="S7460" s="422" t="s">
        <v>1861</v>
      </c>
      <c r="T7460" s="422"/>
      <c r="U7460" s="422" t="s">
        <v>1953</v>
      </c>
      <c r="V7460" s="422" t="s">
        <v>2813</v>
      </c>
    </row>
    <row r="7461" spans="1:22" ht="15.75" thickBot="1" x14ac:dyDescent="0.3">
      <c r="A7461" t="s">
        <v>541</v>
      </c>
      <c r="B7461" s="424" t="str">
        <f t="shared" si="333"/>
        <v>Barraqueiro Transportes</v>
      </c>
      <c r="C7461" s="424" t="str">
        <f t="shared" si="334"/>
        <v>Barraqueiro Alugueres</v>
      </c>
      <c r="D7461" t="s">
        <v>629</v>
      </c>
      <c r="F7461" s="432" t="s">
        <v>620</v>
      </c>
      <c r="G7461" s="89">
        <v>2018</v>
      </c>
      <c r="H7461" s="313" t="s">
        <v>733</v>
      </c>
      <c r="I7461" s="311" t="str">
        <f t="shared" si="335"/>
        <v>Pesado de Passageiros M3:  : Gasóleo : E6</v>
      </c>
      <c r="J7461" s="422">
        <v>39</v>
      </c>
      <c r="K7461" s="422">
        <v>2023</v>
      </c>
      <c r="L7461">
        <v>11928.743</v>
      </c>
      <c r="M7461" s="422" t="s">
        <v>630</v>
      </c>
      <c r="N7461" s="131">
        <v>43332</v>
      </c>
      <c r="O7461" s="436">
        <f t="shared" si="332"/>
        <v>1689948</v>
      </c>
      <c r="P7461" s="89">
        <v>5642</v>
      </c>
      <c r="Q7461" t="s">
        <v>47</v>
      </c>
      <c r="R7461" s="422" t="s">
        <v>1869</v>
      </c>
      <c r="S7461" s="422" t="s">
        <v>1861</v>
      </c>
      <c r="T7461" s="422"/>
      <c r="U7461" s="422" t="s">
        <v>1953</v>
      </c>
      <c r="V7461" s="422" t="s">
        <v>2813</v>
      </c>
    </row>
    <row r="7462" spans="1:22" ht="15.75" thickBot="1" x14ac:dyDescent="0.3">
      <c r="A7462" t="s">
        <v>541</v>
      </c>
      <c r="B7462" s="424" t="str">
        <f t="shared" si="333"/>
        <v>Barraqueiro Transportes</v>
      </c>
      <c r="C7462" s="424" t="str">
        <f t="shared" si="334"/>
        <v>Barraqueiro Alugueres</v>
      </c>
      <c r="D7462" t="s">
        <v>629</v>
      </c>
      <c r="F7462" s="432" t="s">
        <v>620</v>
      </c>
      <c r="G7462" s="89">
        <v>2019</v>
      </c>
      <c r="H7462" s="313" t="s">
        <v>733</v>
      </c>
      <c r="I7462" s="311" t="str">
        <f t="shared" si="335"/>
        <v>Pesado de Passageiros M3:  : Gasóleo : E6</v>
      </c>
      <c r="J7462" s="422">
        <v>53</v>
      </c>
      <c r="K7462" s="422">
        <v>2023</v>
      </c>
      <c r="L7462">
        <v>27546.465999999997</v>
      </c>
      <c r="M7462" s="422" t="s">
        <v>630</v>
      </c>
      <c r="N7462" s="131">
        <v>108979</v>
      </c>
      <c r="O7462" s="436">
        <f t="shared" ref="O7462:O7525" si="336">N7462*J7462</f>
        <v>5775887</v>
      </c>
      <c r="P7462" s="89">
        <v>5643</v>
      </c>
      <c r="Q7462" t="s">
        <v>47</v>
      </c>
      <c r="R7462" s="422" t="s">
        <v>1869</v>
      </c>
      <c r="S7462" s="422" t="s">
        <v>1861</v>
      </c>
      <c r="T7462" s="422"/>
      <c r="U7462" s="422" t="s">
        <v>1953</v>
      </c>
      <c r="V7462" s="422" t="s">
        <v>2813</v>
      </c>
    </row>
    <row r="7463" spans="1:22" ht="15.75" thickBot="1" x14ac:dyDescent="0.3">
      <c r="A7463" t="s">
        <v>541</v>
      </c>
      <c r="B7463" s="424" t="str">
        <f t="shared" si="333"/>
        <v>Barraqueiro Transportes</v>
      </c>
      <c r="C7463" s="424" t="str">
        <f t="shared" si="334"/>
        <v>Barraqueiro Alugueres</v>
      </c>
      <c r="D7463" t="s">
        <v>629</v>
      </c>
      <c r="F7463" s="432" t="s">
        <v>620</v>
      </c>
      <c r="G7463" s="89">
        <v>2019</v>
      </c>
      <c r="H7463" s="313" t="s">
        <v>733</v>
      </c>
      <c r="I7463" s="311" t="str">
        <f t="shared" si="335"/>
        <v>Pesado de Passageiros M3:  : Gasóleo : E6</v>
      </c>
      <c r="J7463" s="422">
        <v>53</v>
      </c>
      <c r="K7463" s="422">
        <v>2023</v>
      </c>
      <c r="L7463">
        <v>25118.421999999999</v>
      </c>
      <c r="M7463" s="422" t="s">
        <v>630</v>
      </c>
      <c r="N7463" s="131">
        <v>99262</v>
      </c>
      <c r="O7463" s="436">
        <f t="shared" si="336"/>
        <v>5260886</v>
      </c>
      <c r="P7463" s="89">
        <v>5644</v>
      </c>
      <c r="Q7463" t="s">
        <v>47</v>
      </c>
      <c r="R7463" s="422" t="s">
        <v>1869</v>
      </c>
      <c r="S7463" s="422" t="s">
        <v>1861</v>
      </c>
      <c r="T7463" s="422"/>
      <c r="U7463" s="422" t="s">
        <v>1953</v>
      </c>
      <c r="V7463" s="422" t="s">
        <v>2813</v>
      </c>
    </row>
    <row r="7464" spans="1:22" ht="15.75" thickBot="1" x14ac:dyDescent="0.3">
      <c r="A7464" t="s">
        <v>541</v>
      </c>
      <c r="B7464" s="424" t="str">
        <f t="shared" si="333"/>
        <v>Barraqueiro Transportes</v>
      </c>
      <c r="C7464" s="424" t="str">
        <f t="shared" si="334"/>
        <v>Barraqueiro Alugueres</v>
      </c>
      <c r="D7464" t="s">
        <v>629</v>
      </c>
      <c r="F7464" s="432" t="s">
        <v>620</v>
      </c>
      <c r="G7464" s="89">
        <v>2019</v>
      </c>
      <c r="H7464" s="313" t="s">
        <v>733</v>
      </c>
      <c r="I7464" s="311" t="str">
        <f t="shared" si="335"/>
        <v>Pesado de Passageiros M3:  : Gasóleo : E6</v>
      </c>
      <c r="J7464" s="422">
        <v>39</v>
      </c>
      <c r="K7464" s="422">
        <v>2023</v>
      </c>
      <c r="L7464">
        <v>15542.908000000001</v>
      </c>
      <c r="M7464" s="422" t="s">
        <v>630</v>
      </c>
      <c r="N7464" s="131">
        <v>57865</v>
      </c>
      <c r="O7464" s="436">
        <f t="shared" si="336"/>
        <v>2256735</v>
      </c>
      <c r="P7464" s="89">
        <v>5645</v>
      </c>
      <c r="Q7464" t="s">
        <v>47</v>
      </c>
      <c r="R7464" s="422" t="s">
        <v>1869</v>
      </c>
      <c r="S7464" s="422" t="s">
        <v>1861</v>
      </c>
      <c r="T7464" s="422"/>
      <c r="U7464" s="422" t="s">
        <v>1953</v>
      </c>
      <c r="V7464" s="422" t="s">
        <v>2813</v>
      </c>
    </row>
    <row r="7465" spans="1:22" ht="15.75" thickBot="1" x14ac:dyDescent="0.3">
      <c r="A7465" t="s">
        <v>541</v>
      </c>
      <c r="B7465" s="424" t="str">
        <f t="shared" si="333"/>
        <v>Barraqueiro Transportes</v>
      </c>
      <c r="C7465" s="424" t="str">
        <f t="shared" si="334"/>
        <v>Barraqueiro Alugueres</v>
      </c>
      <c r="D7465" t="s">
        <v>629</v>
      </c>
      <c r="F7465" s="432" t="s">
        <v>620</v>
      </c>
      <c r="G7465" s="89">
        <v>2019</v>
      </c>
      <c r="H7465" s="313" t="s">
        <v>733</v>
      </c>
      <c r="I7465" s="311" t="str">
        <f t="shared" si="335"/>
        <v>Pesado de Passageiros M3:  : Gasóleo : E6</v>
      </c>
      <c r="J7465" s="422">
        <v>39</v>
      </c>
      <c r="K7465" s="422">
        <v>2023</v>
      </c>
      <c r="L7465">
        <v>10597.067999999999</v>
      </c>
      <c r="M7465" s="422" t="s">
        <v>630</v>
      </c>
      <c r="N7465" s="131">
        <v>39137</v>
      </c>
      <c r="O7465" s="436">
        <f t="shared" si="336"/>
        <v>1526343</v>
      </c>
      <c r="P7465" s="89">
        <v>5646</v>
      </c>
      <c r="Q7465" t="s">
        <v>47</v>
      </c>
      <c r="R7465" s="422" t="s">
        <v>1869</v>
      </c>
      <c r="S7465" s="422" t="s">
        <v>1861</v>
      </c>
      <c r="T7465" s="422"/>
      <c r="U7465" s="422" t="s">
        <v>1953</v>
      </c>
      <c r="V7465" s="422" t="s">
        <v>2813</v>
      </c>
    </row>
    <row r="7466" spans="1:22" ht="15.75" thickBot="1" x14ac:dyDescent="0.3">
      <c r="A7466" t="s">
        <v>541</v>
      </c>
      <c r="B7466" s="424" t="str">
        <f t="shared" si="333"/>
        <v>Barraqueiro Transportes</v>
      </c>
      <c r="C7466" s="424" t="str">
        <f t="shared" si="334"/>
        <v>Barraqueiro Alugueres</v>
      </c>
      <c r="D7466" t="s">
        <v>629</v>
      </c>
      <c r="F7466" s="432" t="s">
        <v>620</v>
      </c>
      <c r="G7466" s="89">
        <v>2019</v>
      </c>
      <c r="H7466" s="313" t="s">
        <v>733</v>
      </c>
      <c r="I7466" s="311" t="str">
        <f t="shared" si="335"/>
        <v>Pesado de Passageiros M3:  : Gasóleo : E6</v>
      </c>
      <c r="J7466" s="422">
        <v>19</v>
      </c>
      <c r="K7466" s="422">
        <v>2023</v>
      </c>
      <c r="L7466">
        <v>4158.6570000000002</v>
      </c>
      <c r="M7466" s="422" t="s">
        <v>630</v>
      </c>
      <c r="N7466" s="131">
        <v>20165</v>
      </c>
      <c r="O7466" s="436">
        <f t="shared" si="336"/>
        <v>383135</v>
      </c>
      <c r="P7466" s="89">
        <v>5647</v>
      </c>
      <c r="Q7466" t="s">
        <v>47</v>
      </c>
      <c r="R7466" s="422" t="s">
        <v>1869</v>
      </c>
      <c r="S7466" s="422" t="s">
        <v>1861</v>
      </c>
      <c r="T7466" s="422"/>
      <c r="U7466" s="422" t="s">
        <v>1953</v>
      </c>
      <c r="V7466" s="422" t="s">
        <v>2813</v>
      </c>
    </row>
    <row r="7467" spans="1:22" ht="15.75" thickBot="1" x14ac:dyDescent="0.3">
      <c r="A7467" t="s">
        <v>541</v>
      </c>
      <c r="B7467" s="424" t="str">
        <f t="shared" si="333"/>
        <v>Barraqueiro Transportes</v>
      </c>
      <c r="C7467" s="424" t="str">
        <f t="shared" si="334"/>
        <v>Barraqueiro Alugueres</v>
      </c>
      <c r="D7467" t="s">
        <v>629</v>
      </c>
      <c r="F7467" s="432" t="s">
        <v>620</v>
      </c>
      <c r="G7467" s="89">
        <v>2020</v>
      </c>
      <c r="H7467" s="313" t="s">
        <v>733</v>
      </c>
      <c r="I7467" s="311" t="str">
        <f t="shared" si="335"/>
        <v>Pesado de Passageiros M3:  : Gasóleo : E6</v>
      </c>
      <c r="J7467" s="422">
        <v>53</v>
      </c>
      <c r="K7467" s="422">
        <v>2023</v>
      </c>
      <c r="L7467">
        <v>25118.071</v>
      </c>
      <c r="M7467" s="422" t="s">
        <v>630</v>
      </c>
      <c r="N7467" s="131">
        <v>101756</v>
      </c>
      <c r="O7467" s="436">
        <f t="shared" si="336"/>
        <v>5393068</v>
      </c>
      <c r="P7467" s="89">
        <v>5648</v>
      </c>
      <c r="Q7467" t="s">
        <v>47</v>
      </c>
      <c r="R7467" s="422" t="s">
        <v>1869</v>
      </c>
      <c r="S7467" s="422" t="s">
        <v>1861</v>
      </c>
      <c r="T7467" s="422"/>
      <c r="U7467" s="422" t="s">
        <v>1953</v>
      </c>
      <c r="V7467" s="422" t="s">
        <v>2813</v>
      </c>
    </row>
    <row r="7468" spans="1:22" ht="15.75" thickBot="1" x14ac:dyDescent="0.3">
      <c r="A7468" t="s">
        <v>541</v>
      </c>
      <c r="B7468" s="424" t="str">
        <f t="shared" ref="B7468:B7531" si="337">LEFT(A7468,IFERROR(FIND(" - ",A7468)-1,LEN(A7468)))</f>
        <v>Barraqueiro Transportes</v>
      </c>
      <c r="C7468" s="424" t="str">
        <f t="shared" ref="C7468:C7531" si="338">IF(A7468=B7468,B7468,RIGHT(A7468,LEN(A7468)-LEN(B7468)-3))</f>
        <v>Barraqueiro Alugueres</v>
      </c>
      <c r="D7468" t="s">
        <v>629</v>
      </c>
      <c r="F7468" s="432" t="s">
        <v>620</v>
      </c>
      <c r="G7468" s="89">
        <v>2020</v>
      </c>
      <c r="H7468" s="313" t="s">
        <v>733</v>
      </c>
      <c r="I7468" s="311" t="str">
        <f t="shared" si="335"/>
        <v>Pesado de Passageiros M3:  : Gasóleo : E6</v>
      </c>
      <c r="J7468" s="422">
        <v>63</v>
      </c>
      <c r="K7468" s="422">
        <v>2023</v>
      </c>
      <c r="L7468">
        <v>62013.006000000008</v>
      </c>
      <c r="M7468" s="422" t="s">
        <v>630</v>
      </c>
      <c r="N7468" s="131">
        <v>222078</v>
      </c>
      <c r="O7468" s="436">
        <f t="shared" si="336"/>
        <v>13990914</v>
      </c>
      <c r="P7468" s="89">
        <v>5649</v>
      </c>
      <c r="Q7468" t="s">
        <v>47</v>
      </c>
      <c r="R7468" s="422" t="s">
        <v>1869</v>
      </c>
      <c r="S7468" s="422" t="s">
        <v>1861</v>
      </c>
      <c r="T7468" s="422"/>
      <c r="U7468" s="422" t="s">
        <v>1953</v>
      </c>
      <c r="V7468" s="422" t="s">
        <v>2813</v>
      </c>
    </row>
    <row r="7469" spans="1:22" ht="15.75" thickBot="1" x14ac:dyDescent="0.3">
      <c r="A7469" t="s">
        <v>541</v>
      </c>
      <c r="B7469" s="424" t="str">
        <f t="shared" si="337"/>
        <v>Barraqueiro Transportes</v>
      </c>
      <c r="C7469" s="424" t="str">
        <f t="shared" si="338"/>
        <v>Barraqueiro Alugueres</v>
      </c>
      <c r="D7469" t="s">
        <v>629</v>
      </c>
      <c r="F7469" s="432" t="s">
        <v>620</v>
      </c>
      <c r="G7469" s="89">
        <v>2020</v>
      </c>
      <c r="H7469" s="313" t="s">
        <v>733</v>
      </c>
      <c r="I7469" s="311" t="str">
        <f t="shared" si="335"/>
        <v>Pesado de Passageiros M3:  : Gasóleo : E6</v>
      </c>
      <c r="J7469" s="422">
        <v>29</v>
      </c>
      <c r="K7469" s="422">
        <v>2023</v>
      </c>
      <c r="L7469">
        <v>4146.6889999999994</v>
      </c>
      <c r="M7469" s="422" t="s">
        <v>630</v>
      </c>
      <c r="N7469" s="131">
        <v>20937</v>
      </c>
      <c r="O7469" s="436">
        <f t="shared" si="336"/>
        <v>607173</v>
      </c>
      <c r="P7469" s="89">
        <v>5650</v>
      </c>
      <c r="Q7469" t="s">
        <v>47</v>
      </c>
      <c r="R7469" s="422" t="s">
        <v>1869</v>
      </c>
      <c r="S7469" s="422" t="s">
        <v>1861</v>
      </c>
      <c r="T7469" s="422"/>
      <c r="U7469" s="422" t="s">
        <v>1953</v>
      </c>
      <c r="V7469" s="422" t="s">
        <v>2813</v>
      </c>
    </row>
    <row r="7470" spans="1:22" ht="15.75" thickBot="1" x14ac:dyDescent="0.3">
      <c r="A7470" t="s">
        <v>541</v>
      </c>
      <c r="B7470" s="424" t="str">
        <f t="shared" si="337"/>
        <v>Barraqueiro Transportes</v>
      </c>
      <c r="C7470" s="424" t="str">
        <f t="shared" si="338"/>
        <v>Barraqueiro Alugueres</v>
      </c>
      <c r="D7470" t="s">
        <v>629</v>
      </c>
      <c r="F7470" s="432" t="s">
        <v>620</v>
      </c>
      <c r="G7470" s="89">
        <v>2020</v>
      </c>
      <c r="H7470" s="313" t="s">
        <v>733</v>
      </c>
      <c r="I7470" s="311" t="str">
        <f t="shared" si="335"/>
        <v>Pesado de Passageiros M3:  : Gasóleo : E6</v>
      </c>
      <c r="J7470" s="422">
        <v>29</v>
      </c>
      <c r="K7470" s="422">
        <v>2023</v>
      </c>
      <c r="L7470">
        <v>4010.9909999999991</v>
      </c>
      <c r="M7470" s="422" t="s">
        <v>630</v>
      </c>
      <c r="N7470" s="131">
        <v>20976</v>
      </c>
      <c r="O7470" s="436">
        <f t="shared" si="336"/>
        <v>608304</v>
      </c>
      <c r="P7470" s="89">
        <v>5651</v>
      </c>
      <c r="Q7470" t="s">
        <v>47</v>
      </c>
      <c r="R7470" s="422" t="s">
        <v>1869</v>
      </c>
      <c r="S7470" s="422" t="s">
        <v>1861</v>
      </c>
      <c r="T7470" s="422"/>
      <c r="U7470" s="422" t="s">
        <v>1953</v>
      </c>
      <c r="V7470" s="422" t="s">
        <v>2813</v>
      </c>
    </row>
    <row r="7471" spans="1:22" ht="15.75" thickBot="1" x14ac:dyDescent="0.3">
      <c r="A7471" t="s">
        <v>541</v>
      </c>
      <c r="B7471" s="424" t="str">
        <f t="shared" si="337"/>
        <v>Barraqueiro Transportes</v>
      </c>
      <c r="C7471" s="424" t="str">
        <f t="shared" si="338"/>
        <v>Barraqueiro Alugueres</v>
      </c>
      <c r="D7471" t="s">
        <v>629</v>
      </c>
      <c r="F7471" s="432" t="s">
        <v>620</v>
      </c>
      <c r="G7471" s="89">
        <v>2023</v>
      </c>
      <c r="H7471" s="313" t="s">
        <v>5816</v>
      </c>
      <c r="I7471" s="311" t="str">
        <f t="shared" si="335"/>
        <v>Pesado de Passageiros M3:  : Gasóleo : E6 D/E E7</v>
      </c>
      <c r="J7471" s="422">
        <v>64</v>
      </c>
      <c r="K7471" s="422">
        <v>2023</v>
      </c>
      <c r="L7471">
        <v>30405.262999999995</v>
      </c>
      <c r="M7471" s="422" t="s">
        <v>630</v>
      </c>
      <c r="N7471" s="131">
        <v>114856</v>
      </c>
      <c r="O7471" s="436">
        <f t="shared" si="336"/>
        <v>7350784</v>
      </c>
      <c r="P7471" s="89">
        <v>5652</v>
      </c>
      <c r="Q7471" t="s">
        <v>47</v>
      </c>
      <c r="R7471" s="422" t="s">
        <v>1869</v>
      </c>
      <c r="S7471" s="422" t="s">
        <v>1861</v>
      </c>
      <c r="T7471" s="422"/>
      <c r="U7471" s="422" t="s">
        <v>1953</v>
      </c>
      <c r="V7471" s="422" t="s">
        <v>2813</v>
      </c>
    </row>
    <row r="7472" spans="1:22" ht="15.75" thickBot="1" x14ac:dyDescent="0.3">
      <c r="A7472" t="s">
        <v>541</v>
      </c>
      <c r="B7472" s="424" t="str">
        <f t="shared" si="337"/>
        <v>Barraqueiro Transportes</v>
      </c>
      <c r="C7472" s="424" t="str">
        <f t="shared" si="338"/>
        <v>Barraqueiro Alugueres</v>
      </c>
      <c r="D7472" t="s">
        <v>629</v>
      </c>
      <c r="F7472" s="432" t="s">
        <v>620</v>
      </c>
      <c r="G7472" s="89">
        <v>2023</v>
      </c>
      <c r="H7472" s="313" t="s">
        <v>5816</v>
      </c>
      <c r="I7472" s="311" t="str">
        <f t="shared" si="335"/>
        <v>Pesado de Passageiros M3:  : Gasóleo : E6 D/E E7</v>
      </c>
      <c r="J7472" s="422">
        <v>64</v>
      </c>
      <c r="K7472" s="422">
        <v>2023</v>
      </c>
      <c r="L7472">
        <v>55173.978000000003</v>
      </c>
      <c r="M7472" s="422" t="s">
        <v>630</v>
      </c>
      <c r="N7472" s="131">
        <v>210276</v>
      </c>
      <c r="O7472" s="436">
        <f t="shared" si="336"/>
        <v>13457664</v>
      </c>
      <c r="P7472" s="89">
        <v>5653</v>
      </c>
      <c r="Q7472" t="s">
        <v>47</v>
      </c>
      <c r="R7472" s="422" t="s">
        <v>1869</v>
      </c>
      <c r="S7472" s="422" t="s">
        <v>1861</v>
      </c>
      <c r="T7472" s="422"/>
      <c r="U7472" s="422" t="s">
        <v>1953</v>
      </c>
      <c r="V7472" s="422" t="s">
        <v>2813</v>
      </c>
    </row>
    <row r="7473" spans="1:22" ht="15.75" thickBot="1" x14ac:dyDescent="0.3">
      <c r="A7473" t="s">
        <v>541</v>
      </c>
      <c r="B7473" s="424" t="str">
        <f t="shared" si="337"/>
        <v>Barraqueiro Transportes</v>
      </c>
      <c r="C7473" s="424" t="str">
        <f t="shared" si="338"/>
        <v>Barraqueiro Alugueres</v>
      </c>
      <c r="D7473" t="s">
        <v>629</v>
      </c>
      <c r="F7473" s="432" t="s">
        <v>620</v>
      </c>
      <c r="G7473" s="89">
        <v>2009</v>
      </c>
      <c r="H7473" s="313" t="s">
        <v>734</v>
      </c>
      <c r="I7473" s="311" t="str">
        <f t="shared" si="335"/>
        <v>Pesado de Passageiros M3:  : Gasóleo : E5</v>
      </c>
      <c r="J7473" s="422">
        <v>34</v>
      </c>
      <c r="K7473" s="422">
        <v>2023</v>
      </c>
      <c r="L7473">
        <v>9179.7909999999993</v>
      </c>
      <c r="M7473" s="422" t="s">
        <v>630</v>
      </c>
      <c r="N7473" s="131">
        <v>30979</v>
      </c>
      <c r="O7473" s="436">
        <f t="shared" si="336"/>
        <v>1053286</v>
      </c>
      <c r="P7473" s="89">
        <v>5968</v>
      </c>
      <c r="Q7473" t="s">
        <v>47</v>
      </c>
      <c r="R7473" s="422" t="s">
        <v>1869</v>
      </c>
      <c r="S7473" s="422" t="s">
        <v>1861</v>
      </c>
      <c r="T7473" s="422"/>
      <c r="U7473" s="422" t="s">
        <v>1953</v>
      </c>
      <c r="V7473" s="422" t="s">
        <v>2813</v>
      </c>
    </row>
    <row r="7474" spans="1:22" ht="15.75" thickBot="1" x14ac:dyDescent="0.3">
      <c r="A7474" t="s">
        <v>541</v>
      </c>
      <c r="B7474" s="424" t="str">
        <f t="shared" si="337"/>
        <v>Barraqueiro Transportes</v>
      </c>
      <c r="C7474" s="424" t="str">
        <f t="shared" si="338"/>
        <v>Barraqueiro Alugueres</v>
      </c>
      <c r="D7474" t="s">
        <v>629</v>
      </c>
      <c r="F7474" s="432" t="s">
        <v>620</v>
      </c>
      <c r="G7474" s="89">
        <v>2014</v>
      </c>
      <c r="H7474" s="313" t="s">
        <v>733</v>
      </c>
      <c r="I7474" s="311" t="str">
        <f t="shared" si="335"/>
        <v>Pesado de Passageiros M3:  : Gasóleo : E6</v>
      </c>
      <c r="J7474" s="422">
        <v>62</v>
      </c>
      <c r="K7474" s="422">
        <v>2023</v>
      </c>
      <c r="L7474">
        <v>16989.260999999999</v>
      </c>
      <c r="M7474" s="422" t="s">
        <v>630</v>
      </c>
      <c r="N7474" s="131">
        <v>36794</v>
      </c>
      <c r="O7474" s="436">
        <f t="shared" si="336"/>
        <v>2281228</v>
      </c>
      <c r="P7474" s="89">
        <v>5969</v>
      </c>
      <c r="Q7474" t="s">
        <v>47</v>
      </c>
      <c r="R7474" s="422" t="s">
        <v>1869</v>
      </c>
      <c r="S7474" s="422" t="s">
        <v>1861</v>
      </c>
      <c r="T7474" s="422"/>
      <c r="U7474" s="422" t="s">
        <v>1953</v>
      </c>
      <c r="V7474" s="422" t="s">
        <v>2813</v>
      </c>
    </row>
    <row r="7475" spans="1:22" ht="15.75" thickBot="1" x14ac:dyDescent="0.3">
      <c r="A7475" t="s">
        <v>541</v>
      </c>
      <c r="B7475" s="424" t="str">
        <f t="shared" si="337"/>
        <v>Barraqueiro Transportes</v>
      </c>
      <c r="C7475" s="424" t="str">
        <f t="shared" si="338"/>
        <v>Barraqueiro Alugueres</v>
      </c>
      <c r="D7475" t="s">
        <v>629</v>
      </c>
      <c r="F7475" s="432" t="s">
        <v>620</v>
      </c>
      <c r="G7475" s="89">
        <v>2019</v>
      </c>
      <c r="H7475" s="313" t="s">
        <v>733</v>
      </c>
      <c r="I7475" s="311" t="str">
        <f t="shared" si="335"/>
        <v>Pesado de Passageiros M3:  : Gasóleo : E6</v>
      </c>
      <c r="J7475" s="422">
        <v>16</v>
      </c>
      <c r="K7475" s="422">
        <v>2023</v>
      </c>
      <c r="L7475">
        <v>1315.8789999999999</v>
      </c>
      <c r="M7475" s="422" t="s">
        <v>630</v>
      </c>
      <c r="N7475" s="131">
        <v>7736</v>
      </c>
      <c r="O7475" s="436">
        <f t="shared" si="336"/>
        <v>123776</v>
      </c>
      <c r="P7475" s="89">
        <v>5970</v>
      </c>
      <c r="Q7475" t="s">
        <v>47</v>
      </c>
      <c r="R7475" s="422" t="s">
        <v>1869</v>
      </c>
      <c r="S7475" s="422" t="s">
        <v>1861</v>
      </c>
      <c r="T7475" s="422"/>
      <c r="U7475" s="422" t="s">
        <v>1953</v>
      </c>
      <c r="V7475" s="422" t="s">
        <v>2813</v>
      </c>
    </row>
    <row r="7476" spans="1:22" ht="15.75" thickBot="1" x14ac:dyDescent="0.3">
      <c r="A7476" t="s">
        <v>541</v>
      </c>
      <c r="B7476" s="424" t="str">
        <f t="shared" si="337"/>
        <v>Barraqueiro Transportes</v>
      </c>
      <c r="C7476" s="424" t="str">
        <f t="shared" si="338"/>
        <v>Barraqueiro Alugueres</v>
      </c>
      <c r="D7476" t="s">
        <v>629</v>
      </c>
      <c r="F7476" s="432" t="s">
        <v>620</v>
      </c>
      <c r="G7476" s="89">
        <v>2006</v>
      </c>
      <c r="H7476" s="313" t="s">
        <v>731</v>
      </c>
      <c r="I7476" s="311" t="str">
        <f t="shared" si="335"/>
        <v>Pesado de Passageiros M3:  : Gasóleo : E4</v>
      </c>
      <c r="J7476" s="422">
        <v>58</v>
      </c>
      <c r="K7476" s="422">
        <v>2023</v>
      </c>
      <c r="L7476">
        <v>12801.23</v>
      </c>
      <c r="M7476" s="422" t="s">
        <v>630</v>
      </c>
      <c r="N7476" s="131">
        <v>42236</v>
      </c>
      <c r="O7476" s="436">
        <f t="shared" si="336"/>
        <v>2449688</v>
      </c>
      <c r="P7476" s="89">
        <v>5995</v>
      </c>
      <c r="Q7476" t="s">
        <v>47</v>
      </c>
      <c r="R7476" s="422" t="s">
        <v>1869</v>
      </c>
      <c r="S7476" s="422" t="s">
        <v>1861</v>
      </c>
      <c r="T7476" s="422"/>
      <c r="U7476" s="422" t="s">
        <v>1953</v>
      </c>
      <c r="V7476" s="422" t="s">
        <v>2813</v>
      </c>
    </row>
    <row r="7477" spans="1:22" ht="15.75" thickBot="1" x14ac:dyDescent="0.3">
      <c r="A7477" t="s">
        <v>541</v>
      </c>
      <c r="B7477" s="424" t="str">
        <f t="shared" si="337"/>
        <v>Barraqueiro Transportes</v>
      </c>
      <c r="C7477" s="424" t="str">
        <f t="shared" si="338"/>
        <v>Barraqueiro Alugueres</v>
      </c>
      <c r="D7477" t="s">
        <v>629</v>
      </c>
      <c r="F7477" s="432" t="s">
        <v>620</v>
      </c>
      <c r="G7477" s="89">
        <v>2010</v>
      </c>
      <c r="H7477" s="313" t="s">
        <v>733</v>
      </c>
      <c r="I7477" s="311" t="str">
        <f t="shared" si="335"/>
        <v>Pesado de Passageiros M3:  : Gasóleo : E6</v>
      </c>
      <c r="J7477" s="422">
        <v>24</v>
      </c>
      <c r="K7477" s="422">
        <v>2023</v>
      </c>
      <c r="L7477">
        <v>466.96000000000004</v>
      </c>
      <c r="M7477" s="422" t="s">
        <v>630</v>
      </c>
      <c r="N7477" s="131">
        <v>2383</v>
      </c>
      <c r="O7477" s="436">
        <f t="shared" si="336"/>
        <v>57192</v>
      </c>
      <c r="P7477" s="89">
        <v>6089</v>
      </c>
      <c r="Q7477" t="s">
        <v>47</v>
      </c>
      <c r="R7477" s="422" t="s">
        <v>1869</v>
      </c>
      <c r="S7477" s="422" t="s">
        <v>1861</v>
      </c>
      <c r="T7477" s="422"/>
      <c r="U7477" s="422" t="s">
        <v>1953</v>
      </c>
      <c r="V7477" s="422" t="s">
        <v>2813</v>
      </c>
    </row>
    <row r="7478" spans="1:22" ht="15.75" thickBot="1" x14ac:dyDescent="0.3">
      <c r="A7478" t="s">
        <v>541</v>
      </c>
      <c r="B7478" s="424" t="str">
        <f t="shared" si="337"/>
        <v>Barraqueiro Transportes</v>
      </c>
      <c r="C7478" s="424" t="str">
        <f t="shared" si="338"/>
        <v>Barraqueiro Alugueres</v>
      </c>
      <c r="D7478" t="s">
        <v>629</v>
      </c>
      <c r="F7478" s="432" t="s">
        <v>620</v>
      </c>
      <c r="G7478" s="89">
        <v>2015</v>
      </c>
      <c r="H7478" s="313" t="s">
        <v>733</v>
      </c>
      <c r="I7478" s="311" t="str">
        <f t="shared" si="335"/>
        <v>Pesado de Passageiros M3:  : Gasóleo : E6</v>
      </c>
      <c r="J7478" s="422">
        <v>53</v>
      </c>
      <c r="K7478" s="422">
        <v>2023</v>
      </c>
      <c r="L7478">
        <v>2406.1360000000004</v>
      </c>
      <c r="M7478" s="422" t="s">
        <v>630</v>
      </c>
      <c r="N7478" s="131">
        <v>15843</v>
      </c>
      <c r="O7478" s="436">
        <f t="shared" si="336"/>
        <v>839679</v>
      </c>
      <c r="P7478" s="89">
        <v>6092</v>
      </c>
      <c r="Q7478" t="s">
        <v>47</v>
      </c>
      <c r="R7478" s="422" t="s">
        <v>1869</v>
      </c>
      <c r="S7478" s="422" t="s">
        <v>1861</v>
      </c>
      <c r="T7478" s="422"/>
      <c r="U7478" s="422" t="s">
        <v>1953</v>
      </c>
      <c r="V7478" s="422" t="s">
        <v>2813</v>
      </c>
    </row>
    <row r="7479" spans="1:22" ht="15.75" thickBot="1" x14ac:dyDescent="0.3">
      <c r="A7479" t="s">
        <v>541</v>
      </c>
      <c r="B7479" s="424" t="str">
        <f t="shared" si="337"/>
        <v>Barraqueiro Transportes</v>
      </c>
      <c r="C7479" s="424" t="str">
        <f t="shared" si="338"/>
        <v>Barraqueiro Alugueres</v>
      </c>
      <c r="D7479" t="s">
        <v>629</v>
      </c>
      <c r="F7479" s="432" t="s">
        <v>620</v>
      </c>
      <c r="G7479" s="89">
        <v>2004</v>
      </c>
      <c r="H7479" s="313" t="s">
        <v>732</v>
      </c>
      <c r="I7479" s="311" t="str">
        <f t="shared" si="335"/>
        <v>Pesado de Passageiros M3:  : Gasóleo : E3</v>
      </c>
      <c r="J7479" s="422">
        <v>49</v>
      </c>
      <c r="K7479" s="422">
        <v>2023</v>
      </c>
      <c r="L7479">
        <v>13534.880000000001</v>
      </c>
      <c r="M7479" s="422" t="s">
        <v>630</v>
      </c>
      <c r="N7479" s="131">
        <v>41726</v>
      </c>
      <c r="O7479" s="436">
        <f t="shared" si="336"/>
        <v>2044574</v>
      </c>
      <c r="P7479" s="89">
        <v>6626</v>
      </c>
      <c r="Q7479" t="s">
        <v>47</v>
      </c>
      <c r="R7479" s="422" t="s">
        <v>1869</v>
      </c>
      <c r="S7479" s="422" t="s">
        <v>1861</v>
      </c>
      <c r="T7479" s="422"/>
      <c r="U7479" s="422" t="s">
        <v>1953</v>
      </c>
      <c r="V7479" s="422" t="s">
        <v>2813</v>
      </c>
    </row>
    <row r="7480" spans="1:22" ht="15.75" thickBot="1" x14ac:dyDescent="0.3">
      <c r="A7480" t="s">
        <v>541</v>
      </c>
      <c r="B7480" s="424" t="str">
        <f t="shared" si="337"/>
        <v>Barraqueiro Transportes</v>
      </c>
      <c r="C7480" s="424" t="str">
        <f t="shared" si="338"/>
        <v>Barraqueiro Alugueres</v>
      </c>
      <c r="D7480" t="s">
        <v>629</v>
      </c>
      <c r="F7480" s="432" t="s">
        <v>620</v>
      </c>
      <c r="G7480" s="89">
        <v>2005</v>
      </c>
      <c r="H7480" s="313" t="s">
        <v>732</v>
      </c>
      <c r="I7480" s="311" t="str">
        <f t="shared" si="335"/>
        <v>Pesado de Passageiros M3:  : Gasóleo : E3</v>
      </c>
      <c r="J7480" s="422">
        <v>37</v>
      </c>
      <c r="K7480" s="422">
        <v>2023</v>
      </c>
      <c r="L7480">
        <v>11974.400000000001</v>
      </c>
      <c r="M7480" s="422" t="s">
        <v>630</v>
      </c>
      <c r="N7480" s="131">
        <v>33654</v>
      </c>
      <c r="O7480" s="436">
        <f t="shared" si="336"/>
        <v>1245198</v>
      </c>
      <c r="P7480" s="89">
        <v>6661</v>
      </c>
      <c r="Q7480" t="s">
        <v>47</v>
      </c>
      <c r="R7480" s="422" t="s">
        <v>1869</v>
      </c>
      <c r="S7480" s="422" t="s">
        <v>1861</v>
      </c>
      <c r="T7480" s="422"/>
      <c r="U7480" s="422" t="s">
        <v>1953</v>
      </c>
      <c r="V7480" s="422" t="s">
        <v>2813</v>
      </c>
    </row>
    <row r="7481" spans="1:22" ht="15.75" thickBot="1" x14ac:dyDescent="0.3">
      <c r="A7481" t="s">
        <v>541</v>
      </c>
      <c r="B7481" s="424" t="str">
        <f t="shared" si="337"/>
        <v>Barraqueiro Transportes</v>
      </c>
      <c r="C7481" s="424" t="str">
        <f t="shared" si="338"/>
        <v>Barraqueiro Alugueres</v>
      </c>
      <c r="D7481" t="s">
        <v>629</v>
      </c>
      <c r="F7481" s="432" t="s">
        <v>620</v>
      </c>
      <c r="G7481" s="89">
        <v>2006</v>
      </c>
      <c r="H7481" s="313" t="s">
        <v>731</v>
      </c>
      <c r="I7481" s="311" t="str">
        <f t="shared" si="335"/>
        <v>Pesado de Passageiros M3:  : Gasóleo : E4</v>
      </c>
      <c r="J7481" s="422">
        <v>53</v>
      </c>
      <c r="K7481" s="422">
        <v>2023</v>
      </c>
      <c r="L7481">
        <v>14868.359</v>
      </c>
      <c r="M7481" s="422" t="s">
        <v>630</v>
      </c>
      <c r="N7481" s="131">
        <v>35727</v>
      </c>
      <c r="O7481" s="436">
        <f t="shared" si="336"/>
        <v>1893531</v>
      </c>
      <c r="P7481" s="89">
        <v>6662</v>
      </c>
      <c r="Q7481" t="s">
        <v>47</v>
      </c>
      <c r="R7481" s="422" t="s">
        <v>1869</v>
      </c>
      <c r="S7481" s="422" t="s">
        <v>1861</v>
      </c>
      <c r="T7481" s="422"/>
      <c r="U7481" s="422" t="s">
        <v>1953</v>
      </c>
      <c r="V7481" s="422" t="s">
        <v>2813</v>
      </c>
    </row>
    <row r="7482" spans="1:22" ht="15.75" thickBot="1" x14ac:dyDescent="0.3">
      <c r="A7482" t="s">
        <v>541</v>
      </c>
      <c r="B7482" s="424" t="str">
        <f t="shared" si="337"/>
        <v>Barraqueiro Transportes</v>
      </c>
      <c r="C7482" s="424" t="str">
        <f t="shared" si="338"/>
        <v>Barraqueiro Alugueres</v>
      </c>
      <c r="D7482" t="s">
        <v>629</v>
      </c>
      <c r="F7482" s="432" t="s">
        <v>620</v>
      </c>
      <c r="G7482" s="89">
        <v>2006</v>
      </c>
      <c r="H7482" s="313" t="s">
        <v>731</v>
      </c>
      <c r="I7482" s="311" t="str">
        <f t="shared" si="335"/>
        <v>Pesado de Passageiros M3:  : Gasóleo : E4</v>
      </c>
      <c r="J7482" s="422">
        <v>51</v>
      </c>
      <c r="K7482" s="422">
        <v>2023</v>
      </c>
      <c r="L7482">
        <v>8614.2200000000012</v>
      </c>
      <c r="M7482" s="422" t="s">
        <v>630</v>
      </c>
      <c r="N7482" s="131">
        <v>24639</v>
      </c>
      <c r="O7482" s="436">
        <f t="shared" si="336"/>
        <v>1256589</v>
      </c>
      <c r="P7482" s="89">
        <v>6663</v>
      </c>
      <c r="Q7482" t="s">
        <v>47</v>
      </c>
      <c r="R7482" s="422" t="s">
        <v>1869</v>
      </c>
      <c r="S7482" s="422" t="s">
        <v>1861</v>
      </c>
      <c r="T7482" s="422"/>
      <c r="U7482" s="422" t="s">
        <v>1953</v>
      </c>
      <c r="V7482" s="422" t="s">
        <v>2813</v>
      </c>
    </row>
    <row r="7483" spans="1:22" ht="15.75" thickBot="1" x14ac:dyDescent="0.3">
      <c r="A7483" t="s">
        <v>541</v>
      </c>
      <c r="B7483" s="424" t="str">
        <f t="shared" si="337"/>
        <v>Barraqueiro Transportes</v>
      </c>
      <c r="C7483" s="424" t="str">
        <f t="shared" si="338"/>
        <v>Barraqueiro Alugueres</v>
      </c>
      <c r="D7483" t="s">
        <v>629</v>
      </c>
      <c r="F7483" s="432" t="s">
        <v>620</v>
      </c>
      <c r="G7483" s="89">
        <v>2006</v>
      </c>
      <c r="H7483" s="313" t="s">
        <v>731</v>
      </c>
      <c r="I7483" s="311" t="str">
        <f t="shared" si="335"/>
        <v>Pesado de Passageiros M3:  : Gasóleo : E4</v>
      </c>
      <c r="J7483" s="422">
        <v>51</v>
      </c>
      <c r="K7483" s="422">
        <v>2023</v>
      </c>
      <c r="L7483">
        <v>12030.329999999998</v>
      </c>
      <c r="M7483" s="422" t="s">
        <v>630</v>
      </c>
      <c r="N7483" s="131">
        <v>38618</v>
      </c>
      <c r="O7483" s="436">
        <f t="shared" si="336"/>
        <v>1969518</v>
      </c>
      <c r="P7483" s="89">
        <v>6664</v>
      </c>
      <c r="Q7483" t="s">
        <v>47</v>
      </c>
      <c r="R7483" s="422" t="s">
        <v>1869</v>
      </c>
      <c r="S7483" s="422" t="s">
        <v>1861</v>
      </c>
      <c r="T7483" s="422"/>
      <c r="U7483" s="422" t="s">
        <v>1953</v>
      </c>
      <c r="V7483" s="422" t="s">
        <v>2813</v>
      </c>
    </row>
    <row r="7484" spans="1:22" ht="15.75" thickBot="1" x14ac:dyDescent="0.3">
      <c r="A7484" t="s">
        <v>541</v>
      </c>
      <c r="B7484" s="424" t="str">
        <f t="shared" si="337"/>
        <v>Barraqueiro Transportes</v>
      </c>
      <c r="C7484" s="424" t="str">
        <f t="shared" si="338"/>
        <v>Barraqueiro Alugueres</v>
      </c>
      <c r="D7484" t="s">
        <v>629</v>
      </c>
      <c r="F7484" s="432" t="s">
        <v>620</v>
      </c>
      <c r="G7484" s="89">
        <v>2006</v>
      </c>
      <c r="H7484" s="313" t="s">
        <v>731</v>
      </c>
      <c r="I7484" s="311" t="str">
        <f t="shared" si="335"/>
        <v>Pesado de Passageiros M3:  : Gasóleo : E4</v>
      </c>
      <c r="J7484" s="422">
        <v>51</v>
      </c>
      <c r="K7484" s="422">
        <v>2023</v>
      </c>
      <c r="L7484">
        <v>16144.011999999999</v>
      </c>
      <c r="M7484" s="422" t="s">
        <v>630</v>
      </c>
      <c r="N7484" s="131">
        <v>47045</v>
      </c>
      <c r="O7484" s="436">
        <f t="shared" si="336"/>
        <v>2399295</v>
      </c>
      <c r="P7484" s="89">
        <v>6665</v>
      </c>
      <c r="Q7484" t="s">
        <v>47</v>
      </c>
      <c r="R7484" s="422" t="s">
        <v>1869</v>
      </c>
      <c r="S7484" s="422" t="s">
        <v>1861</v>
      </c>
      <c r="T7484" s="422"/>
      <c r="U7484" s="422" t="s">
        <v>1953</v>
      </c>
      <c r="V7484" s="422" t="s">
        <v>2813</v>
      </c>
    </row>
    <row r="7485" spans="1:22" ht="15.75" thickBot="1" x14ac:dyDescent="0.3">
      <c r="A7485" t="s">
        <v>541</v>
      </c>
      <c r="B7485" s="424" t="str">
        <f t="shared" si="337"/>
        <v>Barraqueiro Transportes</v>
      </c>
      <c r="C7485" s="424" t="str">
        <f t="shared" si="338"/>
        <v>Barraqueiro Alugueres</v>
      </c>
      <c r="D7485" t="s">
        <v>629</v>
      </c>
      <c r="F7485" s="432" t="s">
        <v>620</v>
      </c>
      <c r="G7485" s="89">
        <v>2006</v>
      </c>
      <c r="H7485" s="313" t="s">
        <v>731</v>
      </c>
      <c r="I7485" s="311" t="str">
        <f t="shared" si="335"/>
        <v>Pesado de Passageiros M3:  : Gasóleo : E4</v>
      </c>
      <c r="J7485" s="422">
        <v>51</v>
      </c>
      <c r="K7485" s="422">
        <v>2023</v>
      </c>
      <c r="L7485">
        <v>9791.6</v>
      </c>
      <c r="M7485" s="422" t="s">
        <v>630</v>
      </c>
      <c r="N7485" s="131">
        <v>27969</v>
      </c>
      <c r="O7485" s="436">
        <f t="shared" si="336"/>
        <v>1426419</v>
      </c>
      <c r="P7485" s="89">
        <v>6666</v>
      </c>
      <c r="Q7485" t="s">
        <v>47</v>
      </c>
      <c r="R7485" s="422" t="s">
        <v>1869</v>
      </c>
      <c r="S7485" s="422" t="s">
        <v>1861</v>
      </c>
      <c r="T7485" s="422"/>
      <c r="U7485" s="422" t="s">
        <v>1953</v>
      </c>
      <c r="V7485" s="422" t="s">
        <v>2813</v>
      </c>
    </row>
    <row r="7486" spans="1:22" ht="15.75" thickBot="1" x14ac:dyDescent="0.3">
      <c r="A7486" t="s">
        <v>541</v>
      </c>
      <c r="B7486" s="424" t="str">
        <f t="shared" si="337"/>
        <v>Barraqueiro Transportes</v>
      </c>
      <c r="C7486" s="424" t="str">
        <f t="shared" si="338"/>
        <v>Barraqueiro Alugueres</v>
      </c>
      <c r="D7486" t="s">
        <v>629</v>
      </c>
      <c r="F7486" s="432" t="s">
        <v>620</v>
      </c>
      <c r="G7486" s="89">
        <v>2007</v>
      </c>
      <c r="H7486" s="313" t="s">
        <v>731</v>
      </c>
      <c r="I7486" s="311" t="str">
        <f t="shared" si="335"/>
        <v>Pesado de Passageiros M3:  : Gasóleo : E4</v>
      </c>
      <c r="J7486" s="422">
        <v>55</v>
      </c>
      <c r="K7486" s="422">
        <v>2023</v>
      </c>
      <c r="L7486">
        <v>14197.317999999999</v>
      </c>
      <c r="M7486" s="422" t="s">
        <v>630</v>
      </c>
      <c r="N7486" s="131">
        <v>40361</v>
      </c>
      <c r="O7486" s="436">
        <f t="shared" si="336"/>
        <v>2219855</v>
      </c>
      <c r="P7486" s="89">
        <v>6673</v>
      </c>
      <c r="Q7486" t="s">
        <v>47</v>
      </c>
      <c r="R7486" s="422" t="s">
        <v>1869</v>
      </c>
      <c r="S7486" s="422" t="s">
        <v>1861</v>
      </c>
      <c r="T7486" s="422"/>
      <c r="U7486" s="422" t="s">
        <v>1953</v>
      </c>
      <c r="V7486" s="422" t="s">
        <v>2813</v>
      </c>
    </row>
    <row r="7487" spans="1:22" ht="15.75" thickBot="1" x14ac:dyDescent="0.3">
      <c r="A7487" t="s">
        <v>541</v>
      </c>
      <c r="B7487" s="424" t="str">
        <f t="shared" si="337"/>
        <v>Barraqueiro Transportes</v>
      </c>
      <c r="C7487" s="424" t="str">
        <f t="shared" si="338"/>
        <v>Barraqueiro Alugueres</v>
      </c>
      <c r="D7487" t="s">
        <v>629</v>
      </c>
      <c r="F7487" s="432" t="s">
        <v>620</v>
      </c>
      <c r="G7487" s="89">
        <v>2007</v>
      </c>
      <c r="H7487" s="313" t="s">
        <v>731</v>
      </c>
      <c r="I7487" s="311" t="str">
        <f t="shared" si="335"/>
        <v>Pesado de Passageiros M3:  : Gasóleo : E4</v>
      </c>
      <c r="J7487" s="422">
        <v>55</v>
      </c>
      <c r="K7487" s="422">
        <v>2023</v>
      </c>
      <c r="L7487">
        <v>12134.556</v>
      </c>
      <c r="M7487" s="422" t="s">
        <v>630</v>
      </c>
      <c r="N7487" s="131">
        <v>35556</v>
      </c>
      <c r="O7487" s="436">
        <f t="shared" si="336"/>
        <v>1955580</v>
      </c>
      <c r="P7487" s="89">
        <v>6674</v>
      </c>
      <c r="Q7487" t="s">
        <v>47</v>
      </c>
      <c r="R7487" s="422" t="s">
        <v>1869</v>
      </c>
      <c r="S7487" s="422" t="s">
        <v>1861</v>
      </c>
      <c r="T7487" s="422"/>
      <c r="U7487" s="422" t="s">
        <v>1953</v>
      </c>
      <c r="V7487" s="422" t="s">
        <v>2813</v>
      </c>
    </row>
    <row r="7488" spans="1:22" ht="15.75" thickBot="1" x14ac:dyDescent="0.3">
      <c r="A7488" t="s">
        <v>541</v>
      </c>
      <c r="B7488" s="424" t="str">
        <f t="shared" si="337"/>
        <v>Barraqueiro Transportes</v>
      </c>
      <c r="C7488" s="424" t="str">
        <f t="shared" si="338"/>
        <v>Barraqueiro Alugueres</v>
      </c>
      <c r="D7488" t="s">
        <v>629</v>
      </c>
      <c r="F7488" s="432" t="s">
        <v>620</v>
      </c>
      <c r="G7488" s="89">
        <v>2007</v>
      </c>
      <c r="H7488" s="313" t="s">
        <v>731</v>
      </c>
      <c r="I7488" s="311" t="str">
        <f t="shared" si="335"/>
        <v>Pesado de Passageiros M3:  : Gasóleo : E4</v>
      </c>
      <c r="J7488" s="422">
        <v>55</v>
      </c>
      <c r="K7488" s="422">
        <v>2023</v>
      </c>
      <c r="L7488">
        <v>12758.721</v>
      </c>
      <c r="M7488" s="422" t="s">
        <v>630</v>
      </c>
      <c r="N7488" s="131">
        <v>38019</v>
      </c>
      <c r="O7488" s="436">
        <f t="shared" si="336"/>
        <v>2091045</v>
      </c>
      <c r="P7488" s="89">
        <v>6675</v>
      </c>
      <c r="Q7488" t="s">
        <v>47</v>
      </c>
      <c r="R7488" s="422" t="s">
        <v>1869</v>
      </c>
      <c r="S7488" s="422" t="s">
        <v>1861</v>
      </c>
      <c r="T7488" s="422"/>
      <c r="U7488" s="422" t="s">
        <v>1953</v>
      </c>
      <c r="V7488" s="422" t="s">
        <v>2813</v>
      </c>
    </row>
    <row r="7489" spans="1:22" ht="15.75" thickBot="1" x14ac:dyDescent="0.3">
      <c r="A7489" t="s">
        <v>541</v>
      </c>
      <c r="B7489" s="424" t="str">
        <f t="shared" si="337"/>
        <v>Barraqueiro Transportes</v>
      </c>
      <c r="C7489" s="424" t="str">
        <f t="shared" si="338"/>
        <v>Barraqueiro Alugueres</v>
      </c>
      <c r="D7489" t="s">
        <v>629</v>
      </c>
      <c r="F7489" s="432" t="s">
        <v>620</v>
      </c>
      <c r="G7489" s="89">
        <v>2007</v>
      </c>
      <c r="H7489" s="313" t="s">
        <v>731</v>
      </c>
      <c r="I7489" s="311" t="str">
        <f t="shared" si="335"/>
        <v>Pesado de Passageiros M3:  : Gasóleo : E4</v>
      </c>
      <c r="J7489" s="422">
        <v>55</v>
      </c>
      <c r="K7489" s="422">
        <v>2023</v>
      </c>
      <c r="L7489">
        <v>13055.742</v>
      </c>
      <c r="M7489" s="422" t="s">
        <v>630</v>
      </c>
      <c r="N7489" s="131">
        <v>36627</v>
      </c>
      <c r="O7489" s="436">
        <f t="shared" si="336"/>
        <v>2014485</v>
      </c>
      <c r="P7489" s="89">
        <v>6676</v>
      </c>
      <c r="Q7489" t="s">
        <v>47</v>
      </c>
      <c r="R7489" s="422" t="s">
        <v>1869</v>
      </c>
      <c r="S7489" s="422" t="s">
        <v>1861</v>
      </c>
      <c r="T7489" s="422"/>
      <c r="U7489" s="422" t="s">
        <v>1953</v>
      </c>
      <c r="V7489" s="422" t="s">
        <v>2813</v>
      </c>
    </row>
    <row r="7490" spans="1:22" ht="15.75" thickBot="1" x14ac:dyDescent="0.3">
      <c r="A7490" t="s">
        <v>541</v>
      </c>
      <c r="B7490" s="424" t="str">
        <f t="shared" si="337"/>
        <v>Barraqueiro Transportes</v>
      </c>
      <c r="C7490" s="424" t="str">
        <f t="shared" si="338"/>
        <v>Barraqueiro Alugueres</v>
      </c>
      <c r="D7490" t="s">
        <v>629</v>
      </c>
      <c r="F7490" s="432" t="s">
        <v>620</v>
      </c>
      <c r="G7490" s="89">
        <v>2008</v>
      </c>
      <c r="H7490" s="313" t="s">
        <v>731</v>
      </c>
      <c r="I7490" s="311" t="str">
        <f t="shared" si="335"/>
        <v>Pesado de Passageiros M3:  : Gasóleo : E4</v>
      </c>
      <c r="J7490" s="422">
        <v>53</v>
      </c>
      <c r="K7490" s="422">
        <v>2023</v>
      </c>
      <c r="L7490">
        <v>18251.097999999998</v>
      </c>
      <c r="M7490" s="422" t="s">
        <v>630</v>
      </c>
      <c r="N7490" s="131">
        <v>51873</v>
      </c>
      <c r="O7490" s="436">
        <f t="shared" si="336"/>
        <v>2749269</v>
      </c>
      <c r="P7490" s="89">
        <v>6677</v>
      </c>
      <c r="Q7490" t="s">
        <v>47</v>
      </c>
      <c r="R7490" s="422" t="s">
        <v>1869</v>
      </c>
      <c r="S7490" s="422" t="s">
        <v>1861</v>
      </c>
      <c r="T7490" s="422"/>
      <c r="U7490" s="422" t="s">
        <v>1953</v>
      </c>
      <c r="V7490" s="422" t="s">
        <v>2813</v>
      </c>
    </row>
    <row r="7491" spans="1:22" ht="15.75" thickBot="1" x14ac:dyDescent="0.3">
      <c r="A7491" t="s">
        <v>541</v>
      </c>
      <c r="B7491" s="424" t="str">
        <f t="shared" si="337"/>
        <v>Barraqueiro Transportes</v>
      </c>
      <c r="C7491" s="424" t="str">
        <f t="shared" si="338"/>
        <v>Barraqueiro Alugueres</v>
      </c>
      <c r="D7491" t="s">
        <v>629</v>
      </c>
      <c r="F7491" s="432" t="s">
        <v>620</v>
      </c>
      <c r="G7491" s="89">
        <v>2008</v>
      </c>
      <c r="H7491" s="313" t="s">
        <v>731</v>
      </c>
      <c r="I7491" s="311" t="str">
        <f t="shared" si="335"/>
        <v>Pesado de Passageiros M3:  : Gasóleo : E4</v>
      </c>
      <c r="J7491" s="422">
        <v>53</v>
      </c>
      <c r="K7491" s="422">
        <v>2023</v>
      </c>
      <c r="L7491">
        <v>15610.537</v>
      </c>
      <c r="M7491" s="422" t="s">
        <v>630</v>
      </c>
      <c r="N7491" s="131">
        <v>46500</v>
      </c>
      <c r="O7491" s="436">
        <f t="shared" si="336"/>
        <v>2464500</v>
      </c>
      <c r="P7491" s="89">
        <v>6678</v>
      </c>
      <c r="Q7491" t="s">
        <v>47</v>
      </c>
      <c r="R7491" s="422" t="s">
        <v>1869</v>
      </c>
      <c r="S7491" s="422" t="s">
        <v>1861</v>
      </c>
      <c r="T7491" s="422"/>
      <c r="U7491" s="422" t="s">
        <v>1953</v>
      </c>
      <c r="V7491" s="422" t="s">
        <v>2813</v>
      </c>
    </row>
    <row r="7492" spans="1:22" ht="15.75" thickBot="1" x14ac:dyDescent="0.3">
      <c r="A7492" t="s">
        <v>541</v>
      </c>
      <c r="B7492" s="424" t="str">
        <f t="shared" si="337"/>
        <v>Barraqueiro Transportes</v>
      </c>
      <c r="C7492" s="424" t="str">
        <f t="shared" si="338"/>
        <v>Barraqueiro Alugueres</v>
      </c>
      <c r="D7492" t="s">
        <v>629</v>
      </c>
      <c r="F7492" s="432" t="s">
        <v>620</v>
      </c>
      <c r="G7492" s="89">
        <v>2008</v>
      </c>
      <c r="H7492" s="313" t="s">
        <v>731</v>
      </c>
      <c r="I7492" s="311" t="str">
        <f t="shared" si="335"/>
        <v>Pesado de Passageiros M3:  : Gasóleo : E4</v>
      </c>
      <c r="J7492" s="422">
        <v>53</v>
      </c>
      <c r="K7492" s="422">
        <v>2023</v>
      </c>
      <c r="L7492">
        <v>19155.189999999999</v>
      </c>
      <c r="M7492" s="422" t="s">
        <v>630</v>
      </c>
      <c r="N7492" s="131">
        <v>54603</v>
      </c>
      <c r="O7492" s="436">
        <f t="shared" si="336"/>
        <v>2893959</v>
      </c>
      <c r="P7492" s="89">
        <v>6679</v>
      </c>
      <c r="Q7492" t="s">
        <v>47</v>
      </c>
      <c r="R7492" s="422" t="s">
        <v>1869</v>
      </c>
      <c r="S7492" s="422" t="s">
        <v>1861</v>
      </c>
      <c r="T7492" s="422"/>
      <c r="U7492" s="422" t="s">
        <v>1953</v>
      </c>
      <c r="V7492" s="422" t="s">
        <v>2813</v>
      </c>
    </row>
    <row r="7493" spans="1:22" ht="15.75" thickBot="1" x14ac:dyDescent="0.3">
      <c r="A7493" t="s">
        <v>541</v>
      </c>
      <c r="B7493" s="424" t="str">
        <f t="shared" si="337"/>
        <v>Barraqueiro Transportes</v>
      </c>
      <c r="C7493" s="424" t="str">
        <f t="shared" si="338"/>
        <v>Barraqueiro Alugueres</v>
      </c>
      <c r="D7493" t="s">
        <v>629</v>
      </c>
      <c r="F7493" s="432" t="s">
        <v>620</v>
      </c>
      <c r="G7493" s="89">
        <v>2008</v>
      </c>
      <c r="H7493" s="313" t="s">
        <v>731</v>
      </c>
      <c r="I7493" s="311" t="str">
        <f t="shared" si="335"/>
        <v>Pesado de Passageiros M3:  : Gasóleo : E4</v>
      </c>
      <c r="J7493" s="422">
        <v>53</v>
      </c>
      <c r="K7493" s="422">
        <v>2023</v>
      </c>
      <c r="L7493">
        <v>307.91000000000003</v>
      </c>
      <c r="M7493" s="422" t="s">
        <v>630</v>
      </c>
      <c r="N7493" s="131">
        <v>933</v>
      </c>
      <c r="O7493" s="436">
        <f t="shared" si="336"/>
        <v>49449</v>
      </c>
      <c r="P7493" s="89">
        <v>6680</v>
      </c>
      <c r="Q7493" t="s">
        <v>47</v>
      </c>
      <c r="R7493" s="422" t="s">
        <v>1869</v>
      </c>
      <c r="S7493" s="422" t="s">
        <v>1861</v>
      </c>
      <c r="T7493" s="422"/>
      <c r="U7493" s="422" t="s">
        <v>1953</v>
      </c>
      <c r="V7493" s="422" t="s">
        <v>2813</v>
      </c>
    </row>
    <row r="7494" spans="1:22" ht="15.75" thickBot="1" x14ac:dyDescent="0.3">
      <c r="A7494" t="s">
        <v>541</v>
      </c>
      <c r="B7494" s="424" t="str">
        <f t="shared" si="337"/>
        <v>Barraqueiro Transportes</v>
      </c>
      <c r="C7494" s="424" t="str">
        <f t="shared" si="338"/>
        <v>Barraqueiro Alugueres</v>
      </c>
      <c r="D7494" t="s">
        <v>629</v>
      </c>
      <c r="F7494" s="432" t="s">
        <v>620</v>
      </c>
      <c r="G7494" s="89">
        <v>2008</v>
      </c>
      <c r="H7494" s="313" t="s">
        <v>731</v>
      </c>
      <c r="I7494" s="311" t="str">
        <f t="shared" si="335"/>
        <v>Pesado de Passageiros M3:  : Gasóleo : E4</v>
      </c>
      <c r="J7494" s="422">
        <v>53</v>
      </c>
      <c r="K7494" s="422">
        <v>2023</v>
      </c>
      <c r="L7494">
        <v>16135.207000000002</v>
      </c>
      <c r="M7494" s="422" t="s">
        <v>630</v>
      </c>
      <c r="N7494" s="131">
        <v>45806</v>
      </c>
      <c r="O7494" s="436">
        <f t="shared" si="336"/>
        <v>2427718</v>
      </c>
      <c r="P7494" s="89">
        <v>6681</v>
      </c>
      <c r="Q7494" t="s">
        <v>47</v>
      </c>
      <c r="R7494" s="422" t="s">
        <v>1869</v>
      </c>
      <c r="S7494" s="422" t="s">
        <v>1861</v>
      </c>
      <c r="T7494" s="422"/>
      <c r="U7494" s="422" t="s">
        <v>1953</v>
      </c>
      <c r="V7494" s="422" t="s">
        <v>2813</v>
      </c>
    </row>
    <row r="7495" spans="1:22" ht="15.75" thickBot="1" x14ac:dyDescent="0.3">
      <c r="A7495" t="s">
        <v>541</v>
      </c>
      <c r="B7495" s="424" t="str">
        <f t="shared" si="337"/>
        <v>Barraqueiro Transportes</v>
      </c>
      <c r="C7495" s="424" t="str">
        <f t="shared" si="338"/>
        <v>Barraqueiro Alugueres</v>
      </c>
      <c r="D7495" t="s">
        <v>629</v>
      </c>
      <c r="F7495" s="432" t="s">
        <v>620</v>
      </c>
      <c r="G7495" s="89">
        <v>2008</v>
      </c>
      <c r="H7495" s="313" t="s">
        <v>731</v>
      </c>
      <c r="I7495" s="311" t="str">
        <f t="shared" si="335"/>
        <v>Pesado de Passageiros M3:  : Gasóleo : E4</v>
      </c>
      <c r="J7495" s="422">
        <v>53</v>
      </c>
      <c r="K7495" s="422">
        <v>2023</v>
      </c>
      <c r="L7495">
        <v>19303.950999999997</v>
      </c>
      <c r="M7495" s="422" t="s">
        <v>630</v>
      </c>
      <c r="N7495" s="131">
        <v>56482</v>
      </c>
      <c r="O7495" s="436">
        <f t="shared" si="336"/>
        <v>2993546</v>
      </c>
      <c r="P7495" s="89">
        <v>6682</v>
      </c>
      <c r="Q7495" t="s">
        <v>47</v>
      </c>
      <c r="R7495" s="422" t="s">
        <v>1869</v>
      </c>
      <c r="S7495" s="422" t="s">
        <v>1861</v>
      </c>
      <c r="T7495" s="422"/>
      <c r="U7495" s="422" t="s">
        <v>1953</v>
      </c>
      <c r="V7495" s="422" t="s">
        <v>2813</v>
      </c>
    </row>
    <row r="7496" spans="1:22" ht="15.75" thickBot="1" x14ac:dyDescent="0.3">
      <c r="A7496" t="s">
        <v>541</v>
      </c>
      <c r="B7496" s="424" t="str">
        <f t="shared" si="337"/>
        <v>Barraqueiro Transportes</v>
      </c>
      <c r="C7496" s="424" t="str">
        <f t="shared" si="338"/>
        <v>Barraqueiro Alugueres</v>
      </c>
      <c r="D7496" t="s">
        <v>629</v>
      </c>
      <c r="F7496" s="432" t="s">
        <v>620</v>
      </c>
      <c r="G7496" s="89">
        <v>2008</v>
      </c>
      <c r="H7496" s="313" t="s">
        <v>731</v>
      </c>
      <c r="I7496" s="311" t="str">
        <f t="shared" si="335"/>
        <v>Pesado de Passageiros M3:  : Gasóleo : E4</v>
      </c>
      <c r="J7496" s="422">
        <v>53</v>
      </c>
      <c r="K7496" s="422">
        <v>2023</v>
      </c>
      <c r="L7496">
        <v>20093.471000000001</v>
      </c>
      <c r="M7496" s="422" t="s">
        <v>630</v>
      </c>
      <c r="N7496" s="131">
        <v>60914</v>
      </c>
      <c r="O7496" s="436">
        <f t="shared" si="336"/>
        <v>3228442</v>
      </c>
      <c r="P7496" s="89">
        <v>6683</v>
      </c>
      <c r="Q7496" t="s">
        <v>47</v>
      </c>
      <c r="R7496" s="422" t="s">
        <v>1869</v>
      </c>
      <c r="S7496" s="422" t="s">
        <v>1861</v>
      </c>
      <c r="T7496" s="422"/>
      <c r="U7496" s="422" t="s">
        <v>1953</v>
      </c>
      <c r="V7496" s="422" t="s">
        <v>2813</v>
      </c>
    </row>
    <row r="7497" spans="1:22" ht="15.75" thickBot="1" x14ac:dyDescent="0.3">
      <c r="A7497" t="s">
        <v>541</v>
      </c>
      <c r="B7497" s="424" t="str">
        <f t="shared" si="337"/>
        <v>Barraqueiro Transportes</v>
      </c>
      <c r="C7497" s="424" t="str">
        <f t="shared" si="338"/>
        <v>Barraqueiro Alugueres</v>
      </c>
      <c r="D7497" t="s">
        <v>629</v>
      </c>
      <c r="F7497" s="432" t="s">
        <v>620</v>
      </c>
      <c r="G7497" s="89">
        <v>2008</v>
      </c>
      <c r="H7497" s="313" t="s">
        <v>731</v>
      </c>
      <c r="I7497" s="311" t="str">
        <f t="shared" si="335"/>
        <v>Pesado de Passageiros M3:  : Gasóleo : E4</v>
      </c>
      <c r="J7497" s="422">
        <v>53</v>
      </c>
      <c r="K7497" s="422">
        <v>2023</v>
      </c>
      <c r="L7497">
        <v>13331.195</v>
      </c>
      <c r="M7497" s="422" t="s">
        <v>630</v>
      </c>
      <c r="N7497" s="131">
        <v>41260</v>
      </c>
      <c r="O7497" s="436">
        <f t="shared" si="336"/>
        <v>2186780</v>
      </c>
      <c r="P7497" s="89">
        <v>6684</v>
      </c>
      <c r="Q7497" t="s">
        <v>47</v>
      </c>
      <c r="R7497" s="422" t="s">
        <v>1869</v>
      </c>
      <c r="S7497" s="422" t="s">
        <v>1861</v>
      </c>
      <c r="T7497" s="422"/>
      <c r="U7497" s="422" t="s">
        <v>1953</v>
      </c>
      <c r="V7497" s="422" t="s">
        <v>2813</v>
      </c>
    </row>
    <row r="7498" spans="1:22" ht="15.75" thickBot="1" x14ac:dyDescent="0.3">
      <c r="A7498" t="s">
        <v>541</v>
      </c>
      <c r="B7498" s="424" t="str">
        <f t="shared" si="337"/>
        <v>Barraqueiro Transportes</v>
      </c>
      <c r="C7498" s="424" t="str">
        <f t="shared" si="338"/>
        <v>Barraqueiro Alugueres</v>
      </c>
      <c r="D7498" t="s">
        <v>629</v>
      </c>
      <c r="F7498" s="432" t="s">
        <v>620</v>
      </c>
      <c r="G7498" s="89">
        <v>2008</v>
      </c>
      <c r="H7498" s="313" t="s">
        <v>731</v>
      </c>
      <c r="I7498" s="311" t="str">
        <f t="shared" si="335"/>
        <v>Pesado de Passageiros M3:  : Gasóleo : E4</v>
      </c>
      <c r="J7498" s="422">
        <v>34</v>
      </c>
      <c r="K7498" s="422">
        <v>2023</v>
      </c>
      <c r="L7498">
        <v>10287.200999999999</v>
      </c>
      <c r="M7498" s="422" t="s">
        <v>630</v>
      </c>
      <c r="N7498" s="131">
        <v>26717</v>
      </c>
      <c r="O7498" s="436">
        <f t="shared" si="336"/>
        <v>908378</v>
      </c>
      <c r="P7498" s="89">
        <v>6695</v>
      </c>
      <c r="Q7498" t="s">
        <v>47</v>
      </c>
      <c r="R7498" s="422" t="s">
        <v>1869</v>
      </c>
      <c r="S7498" s="422" t="s">
        <v>1861</v>
      </c>
      <c r="T7498" s="422"/>
      <c r="U7498" s="422" t="s">
        <v>1953</v>
      </c>
      <c r="V7498" s="422" t="s">
        <v>2813</v>
      </c>
    </row>
    <row r="7499" spans="1:22" ht="15.75" thickBot="1" x14ac:dyDescent="0.3">
      <c r="A7499" t="s">
        <v>541</v>
      </c>
      <c r="B7499" s="424" t="str">
        <f t="shared" si="337"/>
        <v>Barraqueiro Transportes</v>
      </c>
      <c r="C7499" s="424" t="str">
        <f t="shared" si="338"/>
        <v>Barraqueiro Alugueres</v>
      </c>
      <c r="D7499" t="s">
        <v>629</v>
      </c>
      <c r="F7499" s="432" t="s">
        <v>620</v>
      </c>
      <c r="G7499" s="89">
        <v>2008</v>
      </c>
      <c r="H7499" s="313" t="s">
        <v>731</v>
      </c>
      <c r="I7499" s="311" t="str">
        <f t="shared" si="335"/>
        <v>Pesado de Passageiros M3:  : Gasóleo : E4</v>
      </c>
      <c r="J7499" s="422">
        <v>34</v>
      </c>
      <c r="K7499" s="422">
        <v>2023</v>
      </c>
      <c r="L7499">
        <v>7095.7659999999996</v>
      </c>
      <c r="M7499" s="422" t="s">
        <v>630</v>
      </c>
      <c r="N7499" s="131">
        <v>18616</v>
      </c>
      <c r="O7499" s="436">
        <f t="shared" si="336"/>
        <v>632944</v>
      </c>
      <c r="P7499" s="89">
        <v>6696</v>
      </c>
      <c r="Q7499" t="s">
        <v>47</v>
      </c>
      <c r="R7499" s="422" t="s">
        <v>1869</v>
      </c>
      <c r="S7499" s="422" t="s">
        <v>1861</v>
      </c>
      <c r="T7499" s="422"/>
      <c r="U7499" s="422" t="s">
        <v>1953</v>
      </c>
      <c r="V7499" s="422" t="s">
        <v>2813</v>
      </c>
    </row>
    <row r="7500" spans="1:22" ht="15.75" thickBot="1" x14ac:dyDescent="0.3">
      <c r="A7500" t="s">
        <v>541</v>
      </c>
      <c r="B7500" s="424" t="str">
        <f t="shared" si="337"/>
        <v>Barraqueiro Transportes</v>
      </c>
      <c r="C7500" s="424" t="str">
        <f t="shared" si="338"/>
        <v>Barraqueiro Alugueres</v>
      </c>
      <c r="D7500" t="s">
        <v>629</v>
      </c>
      <c r="F7500" s="432" t="s">
        <v>620</v>
      </c>
      <c r="G7500" s="89">
        <v>2009</v>
      </c>
      <c r="H7500" s="313" t="s">
        <v>734</v>
      </c>
      <c r="I7500" s="311" t="str">
        <f t="shared" si="335"/>
        <v>Pesado de Passageiros M3:  : Gasóleo : E5</v>
      </c>
      <c r="J7500" s="422">
        <v>53</v>
      </c>
      <c r="K7500" s="422">
        <v>2023</v>
      </c>
      <c r="L7500">
        <v>23245.951000000001</v>
      </c>
      <c r="M7500" s="422" t="s">
        <v>630</v>
      </c>
      <c r="N7500" s="131">
        <v>74748</v>
      </c>
      <c r="O7500" s="436">
        <f t="shared" si="336"/>
        <v>3961644</v>
      </c>
      <c r="P7500" s="89">
        <v>6703</v>
      </c>
      <c r="Q7500" t="s">
        <v>47</v>
      </c>
      <c r="R7500" s="422" t="s">
        <v>1869</v>
      </c>
      <c r="S7500" s="422" t="s">
        <v>1861</v>
      </c>
      <c r="T7500" s="422"/>
      <c r="U7500" s="422" t="s">
        <v>1953</v>
      </c>
      <c r="V7500" s="422" t="s">
        <v>2813</v>
      </c>
    </row>
    <row r="7501" spans="1:22" ht="15.75" thickBot="1" x14ac:dyDescent="0.3">
      <c r="A7501" t="s">
        <v>541</v>
      </c>
      <c r="B7501" s="424" t="str">
        <f t="shared" si="337"/>
        <v>Barraqueiro Transportes</v>
      </c>
      <c r="C7501" s="424" t="str">
        <f t="shared" si="338"/>
        <v>Barraqueiro Alugueres</v>
      </c>
      <c r="D7501" t="s">
        <v>629</v>
      </c>
      <c r="F7501" s="432" t="s">
        <v>620</v>
      </c>
      <c r="G7501" s="89">
        <v>2011</v>
      </c>
      <c r="H7501" s="313" t="s">
        <v>734</v>
      </c>
      <c r="I7501" s="311" t="str">
        <f t="shared" si="335"/>
        <v>Pesado de Passageiros M3:  : Gasóleo : E5</v>
      </c>
      <c r="J7501" s="422">
        <v>53</v>
      </c>
      <c r="K7501" s="422">
        <v>2023</v>
      </c>
      <c r="L7501">
        <v>21543.399999999998</v>
      </c>
      <c r="M7501" s="422" t="s">
        <v>630</v>
      </c>
      <c r="N7501" s="131">
        <v>66098</v>
      </c>
      <c r="O7501" s="436">
        <f t="shared" si="336"/>
        <v>3503194</v>
      </c>
      <c r="P7501" s="89">
        <v>6721</v>
      </c>
      <c r="Q7501" t="s">
        <v>47</v>
      </c>
      <c r="R7501" s="422" t="s">
        <v>1869</v>
      </c>
      <c r="S7501" s="422" t="s">
        <v>1861</v>
      </c>
      <c r="T7501" s="422"/>
      <c r="U7501" s="422" t="s">
        <v>1953</v>
      </c>
      <c r="V7501" s="422" t="s">
        <v>2813</v>
      </c>
    </row>
    <row r="7502" spans="1:22" ht="15.75" thickBot="1" x14ac:dyDescent="0.3">
      <c r="A7502" t="s">
        <v>541</v>
      </c>
      <c r="B7502" s="424" t="str">
        <f t="shared" si="337"/>
        <v>Barraqueiro Transportes</v>
      </c>
      <c r="C7502" s="424" t="str">
        <f t="shared" si="338"/>
        <v>Barraqueiro Alugueres</v>
      </c>
      <c r="D7502" t="s">
        <v>629</v>
      </c>
      <c r="F7502" s="432" t="s">
        <v>620</v>
      </c>
      <c r="G7502" s="89">
        <v>2011</v>
      </c>
      <c r="H7502" s="313" t="s">
        <v>734</v>
      </c>
      <c r="I7502" s="311" t="str">
        <f t="shared" si="335"/>
        <v>Pesado de Passageiros M3:  : Gasóleo : E5</v>
      </c>
      <c r="J7502" s="422">
        <v>53</v>
      </c>
      <c r="K7502" s="422">
        <v>2023</v>
      </c>
      <c r="L7502">
        <v>21552.773000000001</v>
      </c>
      <c r="M7502" s="422" t="s">
        <v>630</v>
      </c>
      <c r="N7502" s="131">
        <v>62876</v>
      </c>
      <c r="O7502" s="436">
        <f t="shared" si="336"/>
        <v>3332428</v>
      </c>
      <c r="P7502" s="89">
        <v>6722</v>
      </c>
      <c r="Q7502" t="s">
        <v>47</v>
      </c>
      <c r="R7502" s="422" t="s">
        <v>1869</v>
      </c>
      <c r="S7502" s="422" t="s">
        <v>1861</v>
      </c>
      <c r="T7502" s="422"/>
      <c r="U7502" s="422" t="s">
        <v>1953</v>
      </c>
      <c r="V7502" s="422" t="s">
        <v>2813</v>
      </c>
    </row>
    <row r="7503" spans="1:22" ht="15.75" thickBot="1" x14ac:dyDescent="0.3">
      <c r="A7503" t="s">
        <v>541</v>
      </c>
      <c r="B7503" s="424" t="str">
        <f t="shared" si="337"/>
        <v>Barraqueiro Transportes</v>
      </c>
      <c r="C7503" s="424" t="str">
        <f t="shared" si="338"/>
        <v>Barraqueiro Alugueres</v>
      </c>
      <c r="D7503" t="s">
        <v>629</v>
      </c>
      <c r="F7503" s="432" t="s">
        <v>620</v>
      </c>
      <c r="G7503" s="89">
        <v>2011</v>
      </c>
      <c r="H7503" s="313" t="s">
        <v>734</v>
      </c>
      <c r="I7503" s="311" t="str">
        <f t="shared" si="335"/>
        <v>Pesado de Passageiros M3:  : Gasóleo : E5</v>
      </c>
      <c r="J7503" s="422">
        <v>53</v>
      </c>
      <c r="K7503" s="422">
        <v>2023</v>
      </c>
      <c r="L7503">
        <v>16057.948</v>
      </c>
      <c r="M7503" s="422" t="s">
        <v>630</v>
      </c>
      <c r="N7503" s="131">
        <v>47627</v>
      </c>
      <c r="O7503" s="436">
        <f t="shared" si="336"/>
        <v>2524231</v>
      </c>
      <c r="P7503" s="89">
        <v>6723</v>
      </c>
      <c r="Q7503" t="s">
        <v>47</v>
      </c>
      <c r="R7503" s="422" t="s">
        <v>1869</v>
      </c>
      <c r="S7503" s="422" t="s">
        <v>1861</v>
      </c>
      <c r="T7503" s="422"/>
      <c r="U7503" s="422" t="s">
        <v>1953</v>
      </c>
      <c r="V7503" s="422" t="s">
        <v>2813</v>
      </c>
    </row>
    <row r="7504" spans="1:22" ht="15.75" thickBot="1" x14ac:dyDescent="0.3">
      <c r="A7504" t="s">
        <v>541</v>
      </c>
      <c r="B7504" s="424" t="str">
        <f t="shared" si="337"/>
        <v>Barraqueiro Transportes</v>
      </c>
      <c r="C7504" s="424" t="str">
        <f t="shared" si="338"/>
        <v>Barraqueiro Alugueres</v>
      </c>
      <c r="D7504" t="s">
        <v>629</v>
      </c>
      <c r="F7504" s="432" t="s">
        <v>620</v>
      </c>
      <c r="G7504" s="89">
        <v>2011</v>
      </c>
      <c r="H7504" s="313" t="s">
        <v>734</v>
      </c>
      <c r="I7504" s="311" t="str">
        <f t="shared" si="335"/>
        <v>Pesado de Passageiros M3:  : Gasóleo : E5</v>
      </c>
      <c r="J7504" s="422">
        <v>53</v>
      </c>
      <c r="K7504" s="422">
        <v>2023</v>
      </c>
      <c r="L7504">
        <v>17264.156999999999</v>
      </c>
      <c r="M7504" s="422" t="s">
        <v>630</v>
      </c>
      <c r="N7504" s="131">
        <v>53699</v>
      </c>
      <c r="O7504" s="436">
        <f t="shared" si="336"/>
        <v>2846047</v>
      </c>
      <c r="P7504" s="89">
        <v>6724</v>
      </c>
      <c r="Q7504" t="s">
        <v>47</v>
      </c>
      <c r="R7504" s="422" t="s">
        <v>1869</v>
      </c>
      <c r="S7504" s="422" t="s">
        <v>1861</v>
      </c>
      <c r="T7504" s="422"/>
      <c r="U7504" s="422" t="s">
        <v>1953</v>
      </c>
      <c r="V7504" s="422" t="s">
        <v>2813</v>
      </c>
    </row>
    <row r="7505" spans="1:22" ht="15.75" thickBot="1" x14ac:dyDescent="0.3">
      <c r="A7505" t="s">
        <v>541</v>
      </c>
      <c r="B7505" s="424" t="str">
        <f t="shared" si="337"/>
        <v>Barraqueiro Transportes</v>
      </c>
      <c r="C7505" s="424" t="str">
        <f t="shared" si="338"/>
        <v>Barraqueiro Alugueres</v>
      </c>
      <c r="D7505" t="s">
        <v>629</v>
      </c>
      <c r="F7505" s="432" t="s">
        <v>620</v>
      </c>
      <c r="G7505" s="89">
        <v>2011</v>
      </c>
      <c r="H7505" s="313" t="s">
        <v>734</v>
      </c>
      <c r="I7505" s="311" t="str">
        <f t="shared" si="335"/>
        <v>Pesado de Passageiros M3:  : Gasóleo : E5</v>
      </c>
      <c r="J7505" s="422">
        <v>53</v>
      </c>
      <c r="K7505" s="422">
        <v>2023</v>
      </c>
      <c r="L7505">
        <v>16633.157999999999</v>
      </c>
      <c r="M7505" s="422" t="s">
        <v>630</v>
      </c>
      <c r="N7505" s="131">
        <v>52582</v>
      </c>
      <c r="O7505" s="436">
        <f t="shared" si="336"/>
        <v>2786846</v>
      </c>
      <c r="P7505" s="89">
        <v>6726</v>
      </c>
      <c r="Q7505" t="s">
        <v>47</v>
      </c>
      <c r="R7505" s="422" t="s">
        <v>1869</v>
      </c>
      <c r="S7505" s="422" t="s">
        <v>1861</v>
      </c>
      <c r="T7505" s="422"/>
      <c r="U7505" s="422" t="s">
        <v>1953</v>
      </c>
      <c r="V7505" s="422" t="s">
        <v>2813</v>
      </c>
    </row>
    <row r="7506" spans="1:22" ht="15.75" thickBot="1" x14ac:dyDescent="0.3">
      <c r="A7506" t="s">
        <v>541</v>
      </c>
      <c r="B7506" s="424" t="str">
        <f t="shared" si="337"/>
        <v>Barraqueiro Transportes</v>
      </c>
      <c r="C7506" s="424" t="str">
        <f t="shared" si="338"/>
        <v>Barraqueiro Alugueres</v>
      </c>
      <c r="D7506" t="s">
        <v>629</v>
      </c>
      <c r="F7506" s="432" t="s">
        <v>620</v>
      </c>
      <c r="G7506" s="89">
        <v>2011</v>
      </c>
      <c r="H7506" s="313" t="s">
        <v>734</v>
      </c>
      <c r="I7506" s="311" t="str">
        <f t="shared" si="335"/>
        <v>Pesado de Passageiros M3:  : Gasóleo : E5</v>
      </c>
      <c r="J7506" s="422">
        <v>53</v>
      </c>
      <c r="K7506" s="422">
        <v>2023</v>
      </c>
      <c r="L7506">
        <v>12162.784</v>
      </c>
      <c r="M7506" s="422" t="s">
        <v>630</v>
      </c>
      <c r="N7506" s="131">
        <v>40591</v>
      </c>
      <c r="O7506" s="436">
        <f t="shared" si="336"/>
        <v>2151323</v>
      </c>
      <c r="P7506" s="89">
        <v>6727</v>
      </c>
      <c r="Q7506" t="s">
        <v>47</v>
      </c>
      <c r="R7506" s="422" t="s">
        <v>1869</v>
      </c>
      <c r="S7506" s="422" t="s">
        <v>1861</v>
      </c>
      <c r="T7506" s="422"/>
      <c r="U7506" s="422" t="s">
        <v>1953</v>
      </c>
      <c r="V7506" s="422" t="s">
        <v>2813</v>
      </c>
    </row>
    <row r="7507" spans="1:22" ht="15.75" thickBot="1" x14ac:dyDescent="0.3">
      <c r="A7507" t="s">
        <v>541</v>
      </c>
      <c r="B7507" s="424" t="str">
        <f t="shared" si="337"/>
        <v>Barraqueiro Transportes</v>
      </c>
      <c r="C7507" s="424" t="str">
        <f t="shared" si="338"/>
        <v>Barraqueiro Alugueres</v>
      </c>
      <c r="D7507" t="s">
        <v>629</v>
      </c>
      <c r="F7507" s="432" t="s">
        <v>620</v>
      </c>
      <c r="G7507" s="89">
        <v>2011</v>
      </c>
      <c r="H7507" s="313" t="s">
        <v>734</v>
      </c>
      <c r="I7507" s="311" t="str">
        <f t="shared" si="335"/>
        <v>Pesado de Passageiros M3:  : Gasóleo : E5</v>
      </c>
      <c r="J7507" s="422">
        <v>53</v>
      </c>
      <c r="K7507" s="422">
        <v>2023</v>
      </c>
      <c r="L7507">
        <v>14850.217000000001</v>
      </c>
      <c r="M7507" s="422" t="s">
        <v>630</v>
      </c>
      <c r="N7507" s="131">
        <v>43779</v>
      </c>
      <c r="O7507" s="436">
        <f t="shared" si="336"/>
        <v>2320287</v>
      </c>
      <c r="P7507" s="89">
        <v>6728</v>
      </c>
      <c r="Q7507" t="s">
        <v>47</v>
      </c>
      <c r="R7507" s="422" t="s">
        <v>1869</v>
      </c>
      <c r="S7507" s="422" t="s">
        <v>1861</v>
      </c>
      <c r="T7507" s="422"/>
      <c r="U7507" s="422" t="s">
        <v>1953</v>
      </c>
      <c r="V7507" s="422" t="s">
        <v>2813</v>
      </c>
    </row>
    <row r="7508" spans="1:22" ht="15.75" thickBot="1" x14ac:dyDescent="0.3">
      <c r="A7508" t="s">
        <v>541</v>
      </c>
      <c r="B7508" s="424" t="str">
        <f t="shared" si="337"/>
        <v>Barraqueiro Transportes</v>
      </c>
      <c r="C7508" s="424" t="str">
        <f t="shared" si="338"/>
        <v>Barraqueiro Alugueres</v>
      </c>
      <c r="D7508" t="s">
        <v>629</v>
      </c>
      <c r="F7508" s="432" t="s">
        <v>620</v>
      </c>
      <c r="G7508" s="89">
        <v>2011</v>
      </c>
      <c r="H7508" s="313" t="s">
        <v>734</v>
      </c>
      <c r="I7508" s="311" t="str">
        <f t="shared" si="335"/>
        <v>Pesado de Passageiros M3:  : Gasóleo : E5</v>
      </c>
      <c r="J7508" s="422">
        <v>53</v>
      </c>
      <c r="K7508" s="422">
        <v>2023</v>
      </c>
      <c r="L7508">
        <v>23234.75</v>
      </c>
      <c r="M7508" s="422" t="s">
        <v>630</v>
      </c>
      <c r="N7508" s="131">
        <v>71641</v>
      </c>
      <c r="O7508" s="436">
        <f t="shared" si="336"/>
        <v>3796973</v>
      </c>
      <c r="P7508" s="89">
        <v>6729</v>
      </c>
      <c r="Q7508" t="s">
        <v>47</v>
      </c>
      <c r="R7508" s="422" t="s">
        <v>1869</v>
      </c>
      <c r="S7508" s="422" t="s">
        <v>1861</v>
      </c>
      <c r="T7508" s="422"/>
      <c r="U7508" s="422" t="s">
        <v>1953</v>
      </c>
      <c r="V7508" s="422" t="s">
        <v>2813</v>
      </c>
    </row>
    <row r="7509" spans="1:22" ht="15.75" thickBot="1" x14ac:dyDescent="0.3">
      <c r="A7509" t="s">
        <v>541</v>
      </c>
      <c r="B7509" s="424" t="str">
        <f t="shared" si="337"/>
        <v>Barraqueiro Transportes</v>
      </c>
      <c r="C7509" s="424" t="str">
        <f t="shared" si="338"/>
        <v>Barraqueiro Alugueres</v>
      </c>
      <c r="D7509" t="s">
        <v>629</v>
      </c>
      <c r="F7509" s="432" t="s">
        <v>620</v>
      </c>
      <c r="G7509" s="89">
        <v>2012</v>
      </c>
      <c r="H7509" s="313" t="s">
        <v>734</v>
      </c>
      <c r="I7509" s="311" t="str">
        <f t="shared" si="335"/>
        <v>Pesado de Passageiros M3:  : Gasóleo : E5</v>
      </c>
      <c r="J7509" s="422">
        <v>53</v>
      </c>
      <c r="K7509" s="422">
        <v>2023</v>
      </c>
      <c r="L7509">
        <v>14920.063</v>
      </c>
      <c r="M7509" s="422" t="s">
        <v>630</v>
      </c>
      <c r="N7509" s="131">
        <v>46409</v>
      </c>
      <c r="O7509" s="436">
        <f t="shared" si="336"/>
        <v>2459677</v>
      </c>
      <c r="P7509" s="89">
        <v>6736</v>
      </c>
      <c r="Q7509" t="s">
        <v>47</v>
      </c>
      <c r="R7509" s="422" t="s">
        <v>1869</v>
      </c>
      <c r="S7509" s="422" t="s">
        <v>1861</v>
      </c>
      <c r="T7509" s="422"/>
      <c r="U7509" s="422" t="s">
        <v>1953</v>
      </c>
      <c r="V7509" s="422" t="s">
        <v>2813</v>
      </c>
    </row>
    <row r="7510" spans="1:22" ht="15.75" thickBot="1" x14ac:dyDescent="0.3">
      <c r="A7510" t="s">
        <v>541</v>
      </c>
      <c r="B7510" s="424" t="str">
        <f t="shared" si="337"/>
        <v>Barraqueiro Transportes</v>
      </c>
      <c r="C7510" s="424" t="str">
        <f t="shared" si="338"/>
        <v>Barraqueiro Alugueres</v>
      </c>
      <c r="D7510" t="s">
        <v>629</v>
      </c>
      <c r="F7510" s="432" t="s">
        <v>620</v>
      </c>
      <c r="G7510" s="89">
        <v>2013</v>
      </c>
      <c r="H7510" s="313" t="s">
        <v>733</v>
      </c>
      <c r="I7510" s="311" t="str">
        <f t="shared" si="335"/>
        <v>Pesado de Passageiros M3:  : Gasóleo : E6</v>
      </c>
      <c r="J7510" s="422">
        <v>53</v>
      </c>
      <c r="K7510" s="422">
        <v>2023</v>
      </c>
      <c r="L7510">
        <v>15925.883</v>
      </c>
      <c r="M7510" s="422" t="s">
        <v>630</v>
      </c>
      <c r="N7510" s="131">
        <v>50011</v>
      </c>
      <c r="O7510" s="436">
        <f t="shared" si="336"/>
        <v>2650583</v>
      </c>
      <c r="P7510" s="89">
        <v>6740</v>
      </c>
      <c r="Q7510" t="s">
        <v>47</v>
      </c>
      <c r="R7510" s="422" t="s">
        <v>1869</v>
      </c>
      <c r="S7510" s="422" t="s">
        <v>1861</v>
      </c>
      <c r="T7510" s="422"/>
      <c r="U7510" s="422" t="s">
        <v>1953</v>
      </c>
      <c r="V7510" s="422" t="s">
        <v>2813</v>
      </c>
    </row>
    <row r="7511" spans="1:22" ht="15.75" thickBot="1" x14ac:dyDescent="0.3">
      <c r="A7511" t="s">
        <v>541</v>
      </c>
      <c r="B7511" s="424" t="str">
        <f t="shared" si="337"/>
        <v>Barraqueiro Transportes</v>
      </c>
      <c r="C7511" s="424" t="str">
        <f t="shared" si="338"/>
        <v>Barraqueiro Alugueres</v>
      </c>
      <c r="D7511" t="s">
        <v>629</v>
      </c>
      <c r="F7511" s="432" t="s">
        <v>620</v>
      </c>
      <c r="G7511" s="89">
        <v>2013</v>
      </c>
      <c r="H7511" s="313" t="s">
        <v>733</v>
      </c>
      <c r="I7511" s="311" t="str">
        <f t="shared" si="335"/>
        <v>Pesado de Passageiros M3:  : Gasóleo : E6</v>
      </c>
      <c r="J7511" s="422">
        <v>55</v>
      </c>
      <c r="K7511" s="422">
        <v>2023</v>
      </c>
      <c r="L7511">
        <v>23183.315999999999</v>
      </c>
      <c r="M7511" s="422" t="s">
        <v>630</v>
      </c>
      <c r="N7511" s="131">
        <v>66153</v>
      </c>
      <c r="O7511" s="436">
        <f t="shared" si="336"/>
        <v>3638415</v>
      </c>
      <c r="P7511" s="89">
        <v>6749</v>
      </c>
      <c r="Q7511" t="s">
        <v>47</v>
      </c>
      <c r="R7511" s="422" t="s">
        <v>1869</v>
      </c>
      <c r="S7511" s="422" t="s">
        <v>1861</v>
      </c>
      <c r="T7511" s="422"/>
      <c r="U7511" s="422" t="s">
        <v>1953</v>
      </c>
      <c r="V7511" s="422" t="s">
        <v>2813</v>
      </c>
    </row>
    <row r="7512" spans="1:22" ht="15.75" thickBot="1" x14ac:dyDescent="0.3">
      <c r="A7512" t="s">
        <v>541</v>
      </c>
      <c r="B7512" s="424" t="str">
        <f t="shared" si="337"/>
        <v>Barraqueiro Transportes</v>
      </c>
      <c r="C7512" s="424" t="str">
        <f t="shared" si="338"/>
        <v>Barraqueiro Alugueres</v>
      </c>
      <c r="D7512" t="s">
        <v>629</v>
      </c>
      <c r="F7512" s="432" t="s">
        <v>620</v>
      </c>
      <c r="G7512" s="89">
        <v>2014</v>
      </c>
      <c r="H7512" s="313" t="s">
        <v>733</v>
      </c>
      <c r="I7512" s="311" t="str">
        <f t="shared" si="335"/>
        <v>Pesado de Passageiros M3:  : Gasóleo : E6</v>
      </c>
      <c r="J7512" s="422">
        <v>53</v>
      </c>
      <c r="K7512" s="422">
        <v>2023</v>
      </c>
      <c r="L7512">
        <v>12902.55</v>
      </c>
      <c r="M7512" s="422" t="s">
        <v>630</v>
      </c>
      <c r="N7512" s="131">
        <v>45505</v>
      </c>
      <c r="O7512" s="436">
        <f t="shared" si="336"/>
        <v>2411765</v>
      </c>
      <c r="P7512" s="89">
        <v>6763</v>
      </c>
      <c r="Q7512" t="s">
        <v>47</v>
      </c>
      <c r="R7512" s="422" t="s">
        <v>1869</v>
      </c>
      <c r="S7512" s="422" t="s">
        <v>1861</v>
      </c>
      <c r="T7512" s="422"/>
      <c r="U7512" s="422" t="s">
        <v>1953</v>
      </c>
      <c r="V7512" s="422" t="s">
        <v>2813</v>
      </c>
    </row>
    <row r="7513" spans="1:22" ht="15.75" thickBot="1" x14ac:dyDescent="0.3">
      <c r="A7513" t="s">
        <v>541</v>
      </c>
      <c r="B7513" s="424" t="str">
        <f t="shared" si="337"/>
        <v>Barraqueiro Transportes</v>
      </c>
      <c r="C7513" s="424" t="str">
        <f t="shared" si="338"/>
        <v>Barraqueiro Alugueres</v>
      </c>
      <c r="D7513" t="s">
        <v>629</v>
      </c>
      <c r="F7513" s="432" t="s">
        <v>620</v>
      </c>
      <c r="G7513" s="89">
        <v>2014</v>
      </c>
      <c r="H7513" s="313" t="s">
        <v>733</v>
      </c>
      <c r="I7513" s="311" t="str">
        <f t="shared" si="335"/>
        <v>Pesado de Passageiros M3:  : Gasóleo : E6</v>
      </c>
      <c r="J7513" s="422">
        <v>53</v>
      </c>
      <c r="K7513" s="422">
        <v>2023</v>
      </c>
      <c r="L7513">
        <v>11474.782999999999</v>
      </c>
      <c r="M7513" s="422" t="s">
        <v>630</v>
      </c>
      <c r="N7513" s="131">
        <v>38717</v>
      </c>
      <c r="O7513" s="436">
        <f t="shared" si="336"/>
        <v>2052001</v>
      </c>
      <c r="P7513" s="89">
        <v>6764</v>
      </c>
      <c r="Q7513" t="s">
        <v>47</v>
      </c>
      <c r="R7513" s="422" t="s">
        <v>1869</v>
      </c>
      <c r="S7513" s="422" t="s">
        <v>1861</v>
      </c>
      <c r="T7513" s="422"/>
      <c r="U7513" s="422" t="s">
        <v>1953</v>
      </c>
      <c r="V7513" s="422" t="s">
        <v>2813</v>
      </c>
    </row>
    <row r="7514" spans="1:22" ht="15.75" thickBot="1" x14ac:dyDescent="0.3">
      <c r="A7514" t="s">
        <v>541</v>
      </c>
      <c r="B7514" s="424" t="str">
        <f t="shared" si="337"/>
        <v>Barraqueiro Transportes</v>
      </c>
      <c r="C7514" s="424" t="str">
        <f t="shared" si="338"/>
        <v>Barraqueiro Alugueres</v>
      </c>
      <c r="D7514" t="s">
        <v>629</v>
      </c>
      <c r="F7514" s="432" t="s">
        <v>620</v>
      </c>
      <c r="G7514" s="89">
        <v>2015</v>
      </c>
      <c r="H7514" s="313" t="s">
        <v>733</v>
      </c>
      <c r="I7514" s="311" t="str">
        <f t="shared" si="335"/>
        <v>Pesado de Passageiros M3:  : Gasóleo : E6</v>
      </c>
      <c r="J7514" s="422">
        <v>53</v>
      </c>
      <c r="K7514" s="422">
        <v>2023</v>
      </c>
      <c r="L7514">
        <v>25517.957000000002</v>
      </c>
      <c r="M7514" s="422" t="s">
        <v>630</v>
      </c>
      <c r="N7514" s="131">
        <v>90869</v>
      </c>
      <c r="O7514" s="436">
        <f t="shared" si="336"/>
        <v>4816057</v>
      </c>
      <c r="P7514" s="89">
        <v>6772</v>
      </c>
      <c r="Q7514" t="s">
        <v>47</v>
      </c>
      <c r="R7514" s="422" t="s">
        <v>1869</v>
      </c>
      <c r="S7514" s="422" t="s">
        <v>1861</v>
      </c>
      <c r="T7514" s="422"/>
      <c r="U7514" s="422" t="s">
        <v>1953</v>
      </c>
      <c r="V7514" s="422" t="s">
        <v>2813</v>
      </c>
    </row>
    <row r="7515" spans="1:22" ht="15.75" thickBot="1" x14ac:dyDescent="0.3">
      <c r="A7515" t="s">
        <v>541</v>
      </c>
      <c r="B7515" s="424" t="str">
        <f t="shared" si="337"/>
        <v>Barraqueiro Transportes</v>
      </c>
      <c r="C7515" s="424" t="str">
        <f t="shared" si="338"/>
        <v>Barraqueiro Alugueres</v>
      </c>
      <c r="D7515" t="s">
        <v>629</v>
      </c>
      <c r="F7515" s="432" t="s">
        <v>620</v>
      </c>
      <c r="G7515" s="89">
        <v>2015</v>
      </c>
      <c r="H7515" s="313" t="s">
        <v>733</v>
      </c>
      <c r="I7515" s="311" t="str">
        <f t="shared" si="335"/>
        <v>Pesado de Passageiros M3:  : Gasóleo : E6</v>
      </c>
      <c r="J7515" s="422">
        <v>53</v>
      </c>
      <c r="K7515" s="422">
        <v>2023</v>
      </c>
      <c r="L7515">
        <v>20883.78</v>
      </c>
      <c r="M7515" s="422" t="s">
        <v>630</v>
      </c>
      <c r="N7515" s="131">
        <v>78908</v>
      </c>
      <c r="O7515" s="436">
        <f t="shared" si="336"/>
        <v>4182124</v>
      </c>
      <c r="P7515" s="89">
        <v>6774</v>
      </c>
      <c r="Q7515" t="s">
        <v>47</v>
      </c>
      <c r="R7515" s="422" t="s">
        <v>1869</v>
      </c>
      <c r="S7515" s="422" t="s">
        <v>1861</v>
      </c>
      <c r="T7515" s="422"/>
      <c r="U7515" s="422" t="s">
        <v>1953</v>
      </c>
      <c r="V7515" s="422" t="s">
        <v>2813</v>
      </c>
    </row>
    <row r="7516" spans="1:22" ht="15.75" thickBot="1" x14ac:dyDescent="0.3">
      <c r="A7516" t="s">
        <v>541</v>
      </c>
      <c r="B7516" s="424" t="str">
        <f t="shared" si="337"/>
        <v>Barraqueiro Transportes</v>
      </c>
      <c r="C7516" s="424" t="str">
        <f t="shared" si="338"/>
        <v>Barraqueiro Alugueres</v>
      </c>
      <c r="D7516" t="s">
        <v>629</v>
      </c>
      <c r="F7516" s="432" t="s">
        <v>620</v>
      </c>
      <c r="G7516" s="89">
        <v>2015</v>
      </c>
      <c r="H7516" s="313" t="s">
        <v>733</v>
      </c>
      <c r="I7516" s="311" t="str">
        <f t="shared" si="335"/>
        <v>Pesado de Passageiros M3:  : Gasóleo : E6</v>
      </c>
      <c r="J7516" s="422">
        <v>53</v>
      </c>
      <c r="K7516" s="422">
        <v>2023</v>
      </c>
      <c r="L7516">
        <v>13967.08</v>
      </c>
      <c r="M7516" s="422" t="s">
        <v>630</v>
      </c>
      <c r="N7516" s="131">
        <v>53544</v>
      </c>
      <c r="O7516" s="436">
        <f t="shared" si="336"/>
        <v>2837832</v>
      </c>
      <c r="P7516" s="89">
        <v>6775</v>
      </c>
      <c r="Q7516" t="s">
        <v>47</v>
      </c>
      <c r="R7516" s="422" t="s">
        <v>1869</v>
      </c>
      <c r="S7516" s="422" t="s">
        <v>1861</v>
      </c>
      <c r="T7516" s="422"/>
      <c r="U7516" s="422" t="s">
        <v>1953</v>
      </c>
      <c r="V7516" s="422" t="s">
        <v>2813</v>
      </c>
    </row>
    <row r="7517" spans="1:22" ht="15.75" thickBot="1" x14ac:dyDescent="0.3">
      <c r="A7517" t="s">
        <v>541</v>
      </c>
      <c r="B7517" s="424" t="str">
        <f t="shared" si="337"/>
        <v>Barraqueiro Transportes</v>
      </c>
      <c r="C7517" s="424" t="str">
        <f t="shared" si="338"/>
        <v>Barraqueiro Alugueres</v>
      </c>
      <c r="D7517" t="s">
        <v>629</v>
      </c>
      <c r="F7517" s="432" t="s">
        <v>620</v>
      </c>
      <c r="G7517" s="89">
        <v>2015</v>
      </c>
      <c r="H7517" s="313" t="s">
        <v>733</v>
      </c>
      <c r="I7517" s="311" t="str">
        <f t="shared" si="335"/>
        <v>Pesado de Passageiros M3:  : Gasóleo : E6</v>
      </c>
      <c r="J7517" s="422">
        <v>53</v>
      </c>
      <c r="K7517" s="422">
        <v>2023</v>
      </c>
      <c r="L7517">
        <v>26289.582000000002</v>
      </c>
      <c r="M7517" s="422" t="s">
        <v>630</v>
      </c>
      <c r="N7517" s="131">
        <v>94155</v>
      </c>
      <c r="O7517" s="436">
        <f t="shared" si="336"/>
        <v>4990215</v>
      </c>
      <c r="P7517" s="89">
        <v>6776</v>
      </c>
      <c r="Q7517" t="s">
        <v>47</v>
      </c>
      <c r="R7517" s="422" t="s">
        <v>1869</v>
      </c>
      <c r="S7517" s="422" t="s">
        <v>1861</v>
      </c>
      <c r="T7517" s="422"/>
      <c r="U7517" s="422" t="s">
        <v>1953</v>
      </c>
      <c r="V7517" s="422" t="s">
        <v>2813</v>
      </c>
    </row>
    <row r="7518" spans="1:22" ht="15.75" thickBot="1" x14ac:dyDescent="0.3">
      <c r="A7518" t="s">
        <v>541</v>
      </c>
      <c r="B7518" s="424" t="str">
        <f t="shared" si="337"/>
        <v>Barraqueiro Transportes</v>
      </c>
      <c r="C7518" s="424" t="str">
        <f t="shared" si="338"/>
        <v>Barraqueiro Alugueres</v>
      </c>
      <c r="D7518" t="s">
        <v>629</v>
      </c>
      <c r="F7518" s="432" t="s">
        <v>620</v>
      </c>
      <c r="G7518" s="89">
        <v>2015</v>
      </c>
      <c r="H7518" s="313" t="s">
        <v>733</v>
      </c>
      <c r="I7518" s="311" t="str">
        <f t="shared" si="335"/>
        <v>Pesado de Passageiros M3:  : Gasóleo : E6</v>
      </c>
      <c r="J7518" s="422">
        <v>53</v>
      </c>
      <c r="K7518" s="422">
        <v>2023</v>
      </c>
      <c r="L7518">
        <v>37375.868000000002</v>
      </c>
      <c r="M7518" s="422" t="s">
        <v>630</v>
      </c>
      <c r="N7518" s="131">
        <v>136840</v>
      </c>
      <c r="O7518" s="436">
        <f t="shared" si="336"/>
        <v>7252520</v>
      </c>
      <c r="P7518" s="89">
        <v>6777</v>
      </c>
      <c r="Q7518" t="s">
        <v>47</v>
      </c>
      <c r="R7518" s="422" t="s">
        <v>1869</v>
      </c>
      <c r="S7518" s="422" t="s">
        <v>1861</v>
      </c>
      <c r="T7518" s="422"/>
      <c r="U7518" s="422" t="s">
        <v>1953</v>
      </c>
      <c r="V7518" s="422" t="s">
        <v>2813</v>
      </c>
    </row>
    <row r="7519" spans="1:22" ht="15.75" thickBot="1" x14ac:dyDescent="0.3">
      <c r="A7519" t="s">
        <v>541</v>
      </c>
      <c r="B7519" s="424" t="str">
        <f t="shared" si="337"/>
        <v>Barraqueiro Transportes</v>
      </c>
      <c r="C7519" s="424" t="str">
        <f t="shared" si="338"/>
        <v>Barraqueiro Alugueres</v>
      </c>
      <c r="D7519" t="s">
        <v>629</v>
      </c>
      <c r="F7519" s="432" t="s">
        <v>620</v>
      </c>
      <c r="G7519" s="89">
        <v>2016</v>
      </c>
      <c r="H7519" s="313" t="s">
        <v>733</v>
      </c>
      <c r="I7519" s="311" t="str">
        <f t="shared" si="335"/>
        <v>Pesado de Passageiros M3:  : Gasóleo : E6</v>
      </c>
      <c r="J7519" s="422">
        <v>53</v>
      </c>
      <c r="K7519" s="422">
        <v>2023</v>
      </c>
      <c r="L7519">
        <v>27774.004999999997</v>
      </c>
      <c r="M7519" s="422" t="s">
        <v>630</v>
      </c>
      <c r="N7519" s="131">
        <v>98196</v>
      </c>
      <c r="O7519" s="436">
        <f t="shared" si="336"/>
        <v>5204388</v>
      </c>
      <c r="P7519" s="89">
        <v>6797</v>
      </c>
      <c r="Q7519" t="s">
        <v>47</v>
      </c>
      <c r="R7519" s="422" t="s">
        <v>1869</v>
      </c>
      <c r="S7519" s="422" t="s">
        <v>1861</v>
      </c>
      <c r="T7519" s="422"/>
      <c r="U7519" s="422" t="s">
        <v>1953</v>
      </c>
      <c r="V7519" s="422" t="s">
        <v>2813</v>
      </c>
    </row>
    <row r="7520" spans="1:22" ht="15.75" thickBot="1" x14ac:dyDescent="0.3">
      <c r="A7520" t="s">
        <v>541</v>
      </c>
      <c r="B7520" s="424" t="str">
        <f t="shared" si="337"/>
        <v>Barraqueiro Transportes</v>
      </c>
      <c r="C7520" s="424" t="str">
        <f t="shared" si="338"/>
        <v>Barraqueiro Alugueres</v>
      </c>
      <c r="D7520" t="s">
        <v>629</v>
      </c>
      <c r="F7520" s="432" t="s">
        <v>620</v>
      </c>
      <c r="G7520" s="89">
        <v>2016</v>
      </c>
      <c r="H7520" s="313" t="s">
        <v>733</v>
      </c>
      <c r="I7520" s="311" t="str">
        <f t="shared" si="335"/>
        <v>Pesado de Passageiros M3:  : Gasóleo : E6</v>
      </c>
      <c r="J7520" s="422">
        <v>53</v>
      </c>
      <c r="K7520" s="422">
        <v>2023</v>
      </c>
      <c r="L7520">
        <v>30356.396000000001</v>
      </c>
      <c r="M7520" s="422" t="s">
        <v>630</v>
      </c>
      <c r="N7520" s="131">
        <v>111830</v>
      </c>
      <c r="O7520" s="436">
        <f t="shared" si="336"/>
        <v>5926990</v>
      </c>
      <c r="P7520" s="89">
        <v>6799</v>
      </c>
      <c r="Q7520" t="s">
        <v>47</v>
      </c>
      <c r="R7520" s="422" t="s">
        <v>1869</v>
      </c>
      <c r="S7520" s="422" t="s">
        <v>1861</v>
      </c>
      <c r="T7520" s="422"/>
      <c r="U7520" s="422" t="s">
        <v>1953</v>
      </c>
      <c r="V7520" s="422" t="s">
        <v>2813</v>
      </c>
    </row>
    <row r="7521" spans="1:22" ht="15.75" thickBot="1" x14ac:dyDescent="0.3">
      <c r="A7521" t="s">
        <v>541</v>
      </c>
      <c r="B7521" s="424" t="str">
        <f t="shared" si="337"/>
        <v>Barraqueiro Transportes</v>
      </c>
      <c r="C7521" s="424" t="str">
        <f t="shared" si="338"/>
        <v>Barraqueiro Alugueres</v>
      </c>
      <c r="D7521" t="s">
        <v>629</v>
      </c>
      <c r="F7521" s="432" t="s">
        <v>620</v>
      </c>
      <c r="G7521" s="89">
        <v>2016</v>
      </c>
      <c r="H7521" s="313" t="s">
        <v>733</v>
      </c>
      <c r="I7521" s="311" t="str">
        <f t="shared" si="335"/>
        <v>Pesado de Passageiros M3:  : Gasóleo : E6</v>
      </c>
      <c r="J7521" s="422">
        <v>53</v>
      </c>
      <c r="K7521" s="422">
        <v>2023</v>
      </c>
      <c r="L7521">
        <v>28364.781999999999</v>
      </c>
      <c r="M7521" s="422" t="s">
        <v>630</v>
      </c>
      <c r="N7521" s="131">
        <v>98446</v>
      </c>
      <c r="O7521" s="436">
        <f t="shared" si="336"/>
        <v>5217638</v>
      </c>
      <c r="P7521" s="89">
        <v>6802</v>
      </c>
      <c r="Q7521" t="s">
        <v>47</v>
      </c>
      <c r="R7521" s="422" t="s">
        <v>1869</v>
      </c>
      <c r="S7521" s="422" t="s">
        <v>1861</v>
      </c>
      <c r="T7521" s="422"/>
      <c r="U7521" s="422" t="s">
        <v>1953</v>
      </c>
      <c r="V7521" s="422" t="s">
        <v>2813</v>
      </c>
    </row>
    <row r="7522" spans="1:22" ht="15.75" thickBot="1" x14ac:dyDescent="0.3">
      <c r="A7522" t="s">
        <v>541</v>
      </c>
      <c r="B7522" s="424" t="str">
        <f t="shared" si="337"/>
        <v>Barraqueiro Transportes</v>
      </c>
      <c r="C7522" s="424" t="str">
        <f t="shared" si="338"/>
        <v>Barraqueiro Alugueres</v>
      </c>
      <c r="D7522" t="s">
        <v>629</v>
      </c>
      <c r="F7522" s="432" t="s">
        <v>620</v>
      </c>
      <c r="G7522" s="89">
        <v>2016</v>
      </c>
      <c r="H7522" s="313" t="s">
        <v>733</v>
      </c>
      <c r="I7522" s="311" t="str">
        <f t="shared" ref="I7522:I7585" si="339">D7522&amp;": "&amp;E7522&amp;" : "&amp;F7522&amp;" : "&amp;H7522</f>
        <v>Pesado de Passageiros M3:  : Gasóleo : E6</v>
      </c>
      <c r="J7522" s="422">
        <v>53</v>
      </c>
      <c r="K7522" s="422">
        <v>2023</v>
      </c>
      <c r="L7522">
        <v>37194.114000000001</v>
      </c>
      <c r="M7522" s="422" t="s">
        <v>630</v>
      </c>
      <c r="N7522" s="131">
        <v>122646</v>
      </c>
      <c r="O7522" s="436">
        <f t="shared" si="336"/>
        <v>6500238</v>
      </c>
      <c r="P7522" s="89">
        <v>6805</v>
      </c>
      <c r="Q7522" t="s">
        <v>47</v>
      </c>
      <c r="R7522" s="422" t="s">
        <v>1869</v>
      </c>
      <c r="S7522" s="422" t="s">
        <v>1861</v>
      </c>
      <c r="T7522" s="422"/>
      <c r="U7522" s="422" t="s">
        <v>1953</v>
      </c>
      <c r="V7522" s="422" t="s">
        <v>2813</v>
      </c>
    </row>
    <row r="7523" spans="1:22" ht="15.75" thickBot="1" x14ac:dyDescent="0.3">
      <c r="A7523" t="s">
        <v>541</v>
      </c>
      <c r="B7523" s="424" t="str">
        <f t="shared" si="337"/>
        <v>Barraqueiro Transportes</v>
      </c>
      <c r="C7523" s="424" t="str">
        <f t="shared" si="338"/>
        <v>Barraqueiro Alugueres</v>
      </c>
      <c r="D7523" t="s">
        <v>629</v>
      </c>
      <c r="F7523" s="432" t="s">
        <v>620</v>
      </c>
      <c r="G7523" s="89">
        <v>2016</v>
      </c>
      <c r="H7523" s="313" t="s">
        <v>733</v>
      </c>
      <c r="I7523" s="311" t="str">
        <f t="shared" si="339"/>
        <v>Pesado de Passageiros M3:  : Gasóleo : E6</v>
      </c>
      <c r="J7523" s="422">
        <v>59</v>
      </c>
      <c r="K7523" s="422">
        <v>2023</v>
      </c>
      <c r="L7523">
        <v>42437.372000000003</v>
      </c>
      <c r="M7523" s="422" t="s">
        <v>630</v>
      </c>
      <c r="N7523" s="131">
        <v>143155</v>
      </c>
      <c r="O7523" s="436">
        <f t="shared" si="336"/>
        <v>8446145</v>
      </c>
      <c r="P7523" s="89">
        <v>6814</v>
      </c>
      <c r="Q7523" t="s">
        <v>47</v>
      </c>
      <c r="R7523" s="422" t="s">
        <v>1869</v>
      </c>
      <c r="S7523" s="422" t="s">
        <v>1861</v>
      </c>
      <c r="T7523" s="422"/>
      <c r="U7523" s="422" t="s">
        <v>1953</v>
      </c>
      <c r="V7523" s="422" t="s">
        <v>2813</v>
      </c>
    </row>
    <row r="7524" spans="1:22" ht="15.75" thickBot="1" x14ac:dyDescent="0.3">
      <c r="A7524" t="s">
        <v>541</v>
      </c>
      <c r="B7524" s="424" t="str">
        <f t="shared" si="337"/>
        <v>Barraqueiro Transportes</v>
      </c>
      <c r="C7524" s="424" t="str">
        <f t="shared" si="338"/>
        <v>Barraqueiro Alugueres</v>
      </c>
      <c r="D7524" t="s">
        <v>629</v>
      </c>
      <c r="F7524" s="432" t="s">
        <v>620</v>
      </c>
      <c r="G7524" s="89">
        <v>2017</v>
      </c>
      <c r="H7524" s="313" t="s">
        <v>733</v>
      </c>
      <c r="I7524" s="311" t="str">
        <f t="shared" si="339"/>
        <v>Pesado de Passageiros M3:  : Gasóleo : E6</v>
      </c>
      <c r="J7524" s="422">
        <v>57</v>
      </c>
      <c r="K7524" s="422">
        <v>2023</v>
      </c>
      <c r="L7524">
        <v>28034.387999999999</v>
      </c>
      <c r="M7524" s="422" t="s">
        <v>630</v>
      </c>
      <c r="N7524" s="131">
        <v>100499</v>
      </c>
      <c r="O7524" s="436">
        <f t="shared" si="336"/>
        <v>5728443</v>
      </c>
      <c r="P7524" s="89">
        <v>6831</v>
      </c>
      <c r="Q7524" t="s">
        <v>47</v>
      </c>
      <c r="R7524" s="422" t="s">
        <v>1869</v>
      </c>
      <c r="S7524" s="422" t="s">
        <v>1861</v>
      </c>
      <c r="T7524" s="422"/>
      <c r="U7524" s="422" t="s">
        <v>1953</v>
      </c>
      <c r="V7524" s="422" t="s">
        <v>2813</v>
      </c>
    </row>
    <row r="7525" spans="1:22" ht="15.75" thickBot="1" x14ac:dyDescent="0.3">
      <c r="A7525" t="s">
        <v>541</v>
      </c>
      <c r="B7525" s="424" t="str">
        <f t="shared" si="337"/>
        <v>Barraqueiro Transportes</v>
      </c>
      <c r="C7525" s="424" t="str">
        <f t="shared" si="338"/>
        <v>Barraqueiro Alugueres</v>
      </c>
      <c r="D7525" t="s">
        <v>629</v>
      </c>
      <c r="F7525" s="432" t="s">
        <v>620</v>
      </c>
      <c r="G7525" s="89">
        <v>2017</v>
      </c>
      <c r="H7525" s="313" t="s">
        <v>733</v>
      </c>
      <c r="I7525" s="311" t="str">
        <f t="shared" si="339"/>
        <v>Pesado de Passageiros M3:  : Gasóleo : E6</v>
      </c>
      <c r="J7525" s="422">
        <v>57</v>
      </c>
      <c r="K7525" s="422">
        <v>2023</v>
      </c>
      <c r="L7525">
        <v>23117.944000000007</v>
      </c>
      <c r="M7525" s="422" t="s">
        <v>630</v>
      </c>
      <c r="N7525" s="131">
        <v>84639</v>
      </c>
      <c r="O7525" s="436">
        <f t="shared" si="336"/>
        <v>4824423</v>
      </c>
      <c r="P7525" s="89">
        <v>6832</v>
      </c>
      <c r="Q7525" t="s">
        <v>47</v>
      </c>
      <c r="R7525" s="422" t="s">
        <v>1869</v>
      </c>
      <c r="S7525" s="422" t="s">
        <v>1861</v>
      </c>
      <c r="T7525" s="422"/>
      <c r="U7525" s="422" t="s">
        <v>1953</v>
      </c>
      <c r="V7525" s="422" t="s">
        <v>2813</v>
      </c>
    </row>
    <row r="7526" spans="1:22" ht="15.75" thickBot="1" x14ac:dyDescent="0.3">
      <c r="A7526" t="s">
        <v>541</v>
      </c>
      <c r="B7526" s="424" t="str">
        <f t="shared" si="337"/>
        <v>Barraqueiro Transportes</v>
      </c>
      <c r="C7526" s="424" t="str">
        <f t="shared" si="338"/>
        <v>Barraqueiro Alugueres</v>
      </c>
      <c r="D7526" t="s">
        <v>629</v>
      </c>
      <c r="F7526" s="432" t="s">
        <v>620</v>
      </c>
      <c r="G7526" s="89">
        <v>2018</v>
      </c>
      <c r="H7526" s="313" t="s">
        <v>733</v>
      </c>
      <c r="I7526" s="311" t="str">
        <f t="shared" si="339"/>
        <v>Pesado de Passageiros M3:  : Gasóleo : E6</v>
      </c>
      <c r="J7526" s="422">
        <v>53</v>
      </c>
      <c r="K7526" s="422">
        <v>2023</v>
      </c>
      <c r="L7526">
        <v>51078.443999999996</v>
      </c>
      <c r="M7526" s="422" t="s">
        <v>630</v>
      </c>
      <c r="N7526" s="131">
        <v>197247</v>
      </c>
      <c r="O7526" s="436">
        <f t="shared" ref="O7526:O7589" si="340">N7526*J7526</f>
        <v>10454091</v>
      </c>
      <c r="P7526" s="89">
        <v>6845</v>
      </c>
      <c r="Q7526" t="s">
        <v>47</v>
      </c>
      <c r="R7526" s="422" t="s">
        <v>1869</v>
      </c>
      <c r="S7526" s="422" t="s">
        <v>1861</v>
      </c>
      <c r="T7526" s="422"/>
      <c r="U7526" s="422" t="s">
        <v>1953</v>
      </c>
      <c r="V7526" s="422" t="s">
        <v>2813</v>
      </c>
    </row>
    <row r="7527" spans="1:22" ht="15.75" thickBot="1" x14ac:dyDescent="0.3">
      <c r="A7527" t="s">
        <v>541</v>
      </c>
      <c r="B7527" s="424" t="str">
        <f t="shared" si="337"/>
        <v>Barraqueiro Transportes</v>
      </c>
      <c r="C7527" s="424" t="str">
        <f t="shared" si="338"/>
        <v>Barraqueiro Alugueres</v>
      </c>
      <c r="D7527" t="s">
        <v>629</v>
      </c>
      <c r="F7527" s="432" t="s">
        <v>620</v>
      </c>
      <c r="G7527" s="89">
        <v>2019</v>
      </c>
      <c r="H7527" s="313" t="s">
        <v>733</v>
      </c>
      <c r="I7527" s="311" t="str">
        <f t="shared" si="339"/>
        <v>Pesado de Passageiros M3:  : Gasóleo : E6</v>
      </c>
      <c r="J7527" s="422">
        <v>53</v>
      </c>
      <c r="K7527" s="422">
        <v>2023</v>
      </c>
      <c r="L7527">
        <v>39680.138999999996</v>
      </c>
      <c r="M7527" s="422" t="s">
        <v>630</v>
      </c>
      <c r="N7527" s="131">
        <v>150832</v>
      </c>
      <c r="O7527" s="436">
        <f t="shared" si="340"/>
        <v>7994096</v>
      </c>
      <c r="P7527" s="89">
        <v>6854</v>
      </c>
      <c r="Q7527" t="s">
        <v>47</v>
      </c>
      <c r="R7527" s="422" t="s">
        <v>1869</v>
      </c>
      <c r="S7527" s="422" t="s">
        <v>1861</v>
      </c>
      <c r="T7527" s="422"/>
      <c r="U7527" s="422" t="s">
        <v>1953</v>
      </c>
      <c r="V7527" s="422" t="s">
        <v>2813</v>
      </c>
    </row>
    <row r="7528" spans="1:22" ht="15.75" thickBot="1" x14ac:dyDescent="0.3">
      <c r="A7528" t="s">
        <v>541</v>
      </c>
      <c r="B7528" s="424" t="str">
        <f t="shared" si="337"/>
        <v>Barraqueiro Transportes</v>
      </c>
      <c r="C7528" s="424" t="str">
        <f t="shared" si="338"/>
        <v>Barraqueiro Alugueres</v>
      </c>
      <c r="D7528" t="s">
        <v>629</v>
      </c>
      <c r="F7528" s="432" t="s">
        <v>620</v>
      </c>
      <c r="G7528" s="89">
        <v>2019</v>
      </c>
      <c r="H7528" s="313" t="s">
        <v>733</v>
      </c>
      <c r="I7528" s="311" t="str">
        <f t="shared" si="339"/>
        <v>Pesado de Passageiros M3:  : Gasóleo : E6</v>
      </c>
      <c r="J7528" s="422">
        <v>53</v>
      </c>
      <c r="K7528" s="422">
        <v>2023</v>
      </c>
      <c r="L7528">
        <v>46411.755000000005</v>
      </c>
      <c r="M7528" s="422" t="s">
        <v>630</v>
      </c>
      <c r="N7528" s="131">
        <v>186368</v>
      </c>
      <c r="O7528" s="436">
        <f t="shared" si="340"/>
        <v>9877504</v>
      </c>
      <c r="P7528" s="89">
        <v>6857</v>
      </c>
      <c r="Q7528" t="s">
        <v>47</v>
      </c>
      <c r="R7528" s="422" t="s">
        <v>1869</v>
      </c>
      <c r="S7528" s="422" t="s">
        <v>1861</v>
      </c>
      <c r="T7528" s="422"/>
      <c r="U7528" s="422" t="s">
        <v>1953</v>
      </c>
      <c r="V7528" s="422" t="s">
        <v>2813</v>
      </c>
    </row>
    <row r="7529" spans="1:22" ht="15.75" thickBot="1" x14ac:dyDescent="0.3">
      <c r="A7529" t="s">
        <v>541</v>
      </c>
      <c r="B7529" s="424" t="str">
        <f t="shared" si="337"/>
        <v>Barraqueiro Transportes</v>
      </c>
      <c r="C7529" s="424" t="str">
        <f t="shared" si="338"/>
        <v>Barraqueiro Alugueres</v>
      </c>
      <c r="D7529" t="s">
        <v>629</v>
      </c>
      <c r="F7529" s="432" t="s">
        <v>620</v>
      </c>
      <c r="G7529" s="89">
        <v>2019</v>
      </c>
      <c r="H7529" s="313" t="s">
        <v>733</v>
      </c>
      <c r="I7529" s="311" t="str">
        <f t="shared" si="339"/>
        <v>Pesado de Passageiros M3:  : Gasóleo : E6</v>
      </c>
      <c r="J7529" s="422">
        <v>53</v>
      </c>
      <c r="K7529" s="422">
        <v>2023</v>
      </c>
      <c r="L7529">
        <v>53393.184000000008</v>
      </c>
      <c r="M7529" s="422" t="s">
        <v>630</v>
      </c>
      <c r="N7529" s="131">
        <v>212603</v>
      </c>
      <c r="O7529" s="436">
        <f t="shared" si="340"/>
        <v>11267959</v>
      </c>
      <c r="P7529" s="89">
        <v>6858</v>
      </c>
      <c r="Q7529" t="s">
        <v>47</v>
      </c>
      <c r="R7529" s="422" t="s">
        <v>1869</v>
      </c>
      <c r="S7529" s="422" t="s">
        <v>1861</v>
      </c>
      <c r="T7529" s="422"/>
      <c r="U7529" s="422" t="s">
        <v>1953</v>
      </c>
      <c r="V7529" s="422" t="s">
        <v>2813</v>
      </c>
    </row>
    <row r="7530" spans="1:22" ht="15.75" thickBot="1" x14ac:dyDescent="0.3">
      <c r="A7530" t="s">
        <v>541</v>
      </c>
      <c r="B7530" s="424" t="str">
        <f t="shared" si="337"/>
        <v>Barraqueiro Transportes</v>
      </c>
      <c r="C7530" s="424" t="str">
        <f t="shared" si="338"/>
        <v>Barraqueiro Alugueres</v>
      </c>
      <c r="D7530" t="s">
        <v>629</v>
      </c>
      <c r="F7530" s="432" t="s">
        <v>620</v>
      </c>
      <c r="G7530" s="89">
        <v>2019</v>
      </c>
      <c r="H7530" s="313" t="s">
        <v>733</v>
      </c>
      <c r="I7530" s="311" t="str">
        <f t="shared" si="339"/>
        <v>Pesado de Passageiros M3:  : Gasóleo : E6</v>
      </c>
      <c r="J7530" s="422">
        <v>53</v>
      </c>
      <c r="K7530" s="422">
        <v>2023</v>
      </c>
      <c r="L7530">
        <v>39437.423000000003</v>
      </c>
      <c r="M7530" s="422" t="s">
        <v>630</v>
      </c>
      <c r="N7530" s="131">
        <v>156804</v>
      </c>
      <c r="O7530" s="436">
        <f t="shared" si="340"/>
        <v>8310612</v>
      </c>
      <c r="P7530" s="89">
        <v>6859</v>
      </c>
      <c r="Q7530" t="s">
        <v>47</v>
      </c>
      <c r="R7530" s="422" t="s">
        <v>1869</v>
      </c>
      <c r="S7530" s="422" t="s">
        <v>1861</v>
      </c>
      <c r="T7530" s="422"/>
      <c r="U7530" s="422" t="s">
        <v>1953</v>
      </c>
      <c r="V7530" s="422" t="s">
        <v>2813</v>
      </c>
    </row>
    <row r="7531" spans="1:22" ht="15.75" thickBot="1" x14ac:dyDescent="0.3">
      <c r="A7531" t="s">
        <v>541</v>
      </c>
      <c r="B7531" s="424" t="str">
        <f t="shared" si="337"/>
        <v>Barraqueiro Transportes</v>
      </c>
      <c r="C7531" s="424" t="str">
        <f t="shared" si="338"/>
        <v>Barraqueiro Alugueres</v>
      </c>
      <c r="D7531" t="s">
        <v>629</v>
      </c>
      <c r="F7531" s="432" t="s">
        <v>620</v>
      </c>
      <c r="G7531" s="89">
        <v>2019</v>
      </c>
      <c r="H7531" s="313" t="s">
        <v>733</v>
      </c>
      <c r="I7531" s="311" t="str">
        <f t="shared" si="339"/>
        <v>Pesado de Passageiros M3:  : Gasóleo : E6</v>
      </c>
      <c r="J7531" s="422">
        <v>63</v>
      </c>
      <c r="K7531" s="422">
        <v>2023</v>
      </c>
      <c r="L7531">
        <v>66580.298999999999</v>
      </c>
      <c r="M7531" s="422" t="s">
        <v>630</v>
      </c>
      <c r="N7531" s="131">
        <v>226133</v>
      </c>
      <c r="O7531" s="436">
        <f t="shared" si="340"/>
        <v>14246379</v>
      </c>
      <c r="P7531" s="89">
        <v>6868</v>
      </c>
      <c r="Q7531" t="s">
        <v>47</v>
      </c>
      <c r="R7531" s="422" t="s">
        <v>1869</v>
      </c>
      <c r="S7531" s="422" t="s">
        <v>1861</v>
      </c>
      <c r="T7531" s="422"/>
      <c r="U7531" s="422" t="s">
        <v>1953</v>
      </c>
      <c r="V7531" s="422" t="s">
        <v>2813</v>
      </c>
    </row>
    <row r="7532" spans="1:22" ht="15.75" thickBot="1" x14ac:dyDescent="0.3">
      <c r="A7532" t="s">
        <v>545</v>
      </c>
      <c r="B7532" s="424" t="str">
        <f t="shared" ref="B7532:B7547" si="341">LEFT(A7532,IFERROR(FIND(" - ",A7532)-1,LEN(A7532)))</f>
        <v>Barraqueiro Transportes</v>
      </c>
      <c r="C7532" s="424" t="str">
        <f t="shared" ref="C7532:C7547" si="342">IF(A7532=B7532,B7532,RIGHT(A7532,LEN(A7532)-LEN(B7532)-3))</f>
        <v>Estremadura</v>
      </c>
      <c r="D7532" t="s">
        <v>623</v>
      </c>
      <c r="F7532" s="432" t="s">
        <v>620</v>
      </c>
      <c r="H7532" s="313" t="s">
        <v>733</v>
      </c>
      <c r="I7532" s="311" t="str">
        <f t="shared" si="339"/>
        <v>Ligeiro de Passageiros M1:  : Gasóleo : E6</v>
      </c>
      <c r="J7532" s="422">
        <v>8</v>
      </c>
      <c r="K7532" s="422">
        <v>2023</v>
      </c>
      <c r="L7532">
        <v>3046.28</v>
      </c>
      <c r="M7532" s="422" t="s">
        <v>630</v>
      </c>
      <c r="N7532" s="131">
        <v>39710</v>
      </c>
      <c r="O7532" s="436">
        <f t="shared" si="340"/>
        <v>317680</v>
      </c>
      <c r="P7532" s="89">
        <v>97</v>
      </c>
      <c r="Q7532" t="s">
        <v>47</v>
      </c>
      <c r="R7532" s="422" t="s">
        <v>1869</v>
      </c>
      <c r="S7532" s="422" t="s">
        <v>1861</v>
      </c>
      <c r="T7532" s="422"/>
      <c r="U7532" s="422" t="s">
        <v>1953</v>
      </c>
      <c r="V7532" s="422" t="s">
        <v>2813</v>
      </c>
    </row>
    <row r="7533" spans="1:22" ht="15.75" thickBot="1" x14ac:dyDescent="0.3">
      <c r="A7533" t="s">
        <v>545</v>
      </c>
      <c r="B7533" s="424" t="str">
        <f t="shared" si="341"/>
        <v>Barraqueiro Transportes</v>
      </c>
      <c r="C7533" s="424" t="str">
        <f t="shared" si="342"/>
        <v>Estremadura</v>
      </c>
      <c r="D7533" t="s">
        <v>623</v>
      </c>
      <c r="F7533" s="432" t="s">
        <v>620</v>
      </c>
      <c r="H7533" s="313" t="s">
        <v>733</v>
      </c>
      <c r="I7533" s="311" t="str">
        <f t="shared" si="339"/>
        <v>Ligeiro de Passageiros M1:  : Gasóleo : E6</v>
      </c>
      <c r="J7533" s="422">
        <v>8</v>
      </c>
      <c r="K7533" s="422">
        <v>2023</v>
      </c>
      <c r="L7533">
        <v>2340.79</v>
      </c>
      <c r="M7533" s="422" t="s">
        <v>630</v>
      </c>
      <c r="N7533" s="131">
        <v>30449</v>
      </c>
      <c r="O7533" s="436">
        <f t="shared" si="340"/>
        <v>243592</v>
      </c>
      <c r="P7533" s="89">
        <v>98</v>
      </c>
      <c r="Q7533" t="s">
        <v>47</v>
      </c>
      <c r="R7533" s="422" t="s">
        <v>1869</v>
      </c>
      <c r="S7533" s="422" t="s">
        <v>1861</v>
      </c>
      <c r="T7533" s="422"/>
      <c r="U7533" s="422" t="s">
        <v>1953</v>
      </c>
      <c r="V7533" s="422" t="s">
        <v>2813</v>
      </c>
    </row>
    <row r="7534" spans="1:22" ht="15.75" thickBot="1" x14ac:dyDescent="0.3">
      <c r="A7534" t="s">
        <v>545</v>
      </c>
      <c r="B7534" s="424" t="str">
        <f t="shared" si="341"/>
        <v>Barraqueiro Transportes</v>
      </c>
      <c r="C7534" s="424" t="str">
        <f t="shared" si="342"/>
        <v>Estremadura</v>
      </c>
      <c r="D7534" t="s">
        <v>623</v>
      </c>
      <c r="F7534" s="432" t="s">
        <v>620</v>
      </c>
      <c r="H7534" s="313" t="s">
        <v>733</v>
      </c>
      <c r="I7534" s="311" t="str">
        <f t="shared" si="339"/>
        <v>Ligeiro de Passageiros M1:  : Gasóleo : E6</v>
      </c>
      <c r="J7534" s="422">
        <v>8</v>
      </c>
      <c r="K7534" s="422">
        <v>2023</v>
      </c>
      <c r="L7534">
        <v>2136.4</v>
      </c>
      <c r="M7534" s="422" t="s">
        <v>630</v>
      </c>
      <c r="N7534" s="131">
        <v>27278</v>
      </c>
      <c r="O7534" s="436">
        <f t="shared" si="340"/>
        <v>218224</v>
      </c>
      <c r="P7534" s="89">
        <v>42</v>
      </c>
      <c r="Q7534" t="s">
        <v>47</v>
      </c>
      <c r="R7534" s="422" t="s">
        <v>1869</v>
      </c>
      <c r="S7534" s="422" t="s">
        <v>1861</v>
      </c>
      <c r="T7534" s="422"/>
      <c r="U7534" s="422" t="s">
        <v>1953</v>
      </c>
      <c r="V7534" s="422" t="s">
        <v>2813</v>
      </c>
    </row>
    <row r="7535" spans="1:22" ht="15.75" thickBot="1" x14ac:dyDescent="0.3">
      <c r="A7535" t="s">
        <v>543</v>
      </c>
      <c r="B7535" s="424" t="str">
        <f t="shared" si="341"/>
        <v>Barraqueiro Transportes</v>
      </c>
      <c r="C7535" s="424" t="str">
        <f t="shared" si="342"/>
        <v>Boa Viagem</v>
      </c>
      <c r="D7535" t="s">
        <v>623</v>
      </c>
      <c r="F7535" s="432" t="s">
        <v>620</v>
      </c>
      <c r="H7535" s="313" t="s">
        <v>733</v>
      </c>
      <c r="I7535" s="311" t="str">
        <f t="shared" si="339"/>
        <v>Ligeiro de Passageiros M1:  : Gasóleo : E6</v>
      </c>
      <c r="J7535" s="422">
        <v>8</v>
      </c>
      <c r="K7535" s="422">
        <v>2023</v>
      </c>
      <c r="L7535">
        <v>2595.42</v>
      </c>
      <c r="M7535" s="422" t="s">
        <v>630</v>
      </c>
      <c r="N7535" s="131">
        <v>28627</v>
      </c>
      <c r="O7535" s="436">
        <f t="shared" si="340"/>
        <v>229016</v>
      </c>
      <c r="P7535" s="89">
        <v>88</v>
      </c>
      <c r="Q7535" t="s">
        <v>47</v>
      </c>
      <c r="R7535" s="422" t="s">
        <v>1869</v>
      </c>
      <c r="S7535" s="422" t="s">
        <v>1861</v>
      </c>
      <c r="T7535" s="422"/>
      <c r="U7535" s="422" t="s">
        <v>1953</v>
      </c>
      <c r="V7535" s="422" t="s">
        <v>2813</v>
      </c>
    </row>
    <row r="7536" spans="1:22" ht="15.75" thickBot="1" x14ac:dyDescent="0.3">
      <c r="A7536" t="s">
        <v>544</v>
      </c>
      <c r="B7536" s="424" t="str">
        <f t="shared" si="341"/>
        <v>Barraqueiro Transportes</v>
      </c>
      <c r="C7536" s="424" t="str">
        <f t="shared" si="342"/>
        <v>Mafrense</v>
      </c>
      <c r="D7536" t="s">
        <v>623</v>
      </c>
      <c r="F7536" s="432" t="s">
        <v>620</v>
      </c>
      <c r="H7536" s="313" t="s">
        <v>733</v>
      </c>
      <c r="I7536" s="311" t="str">
        <f t="shared" si="339"/>
        <v>Ligeiro de Passageiros M1:  : Gasóleo : E6</v>
      </c>
      <c r="J7536" s="422">
        <v>8</v>
      </c>
      <c r="K7536" s="422">
        <v>2023</v>
      </c>
      <c r="L7536">
        <v>1451.58</v>
      </c>
      <c r="M7536" s="422" t="s">
        <v>630</v>
      </c>
      <c r="N7536" s="131">
        <v>14484</v>
      </c>
      <c r="O7536" s="436">
        <f t="shared" si="340"/>
        <v>115872</v>
      </c>
      <c r="P7536" s="89">
        <v>68</v>
      </c>
      <c r="Q7536" t="s">
        <v>47</v>
      </c>
      <c r="R7536" s="422" t="s">
        <v>1869</v>
      </c>
      <c r="S7536" s="422" t="s">
        <v>1861</v>
      </c>
      <c r="T7536" s="422"/>
      <c r="U7536" s="422" t="s">
        <v>1953</v>
      </c>
      <c r="V7536" s="422" t="s">
        <v>2813</v>
      </c>
    </row>
    <row r="7537" spans="1:22" ht="15.75" thickBot="1" x14ac:dyDescent="0.3">
      <c r="A7537" t="s">
        <v>1072</v>
      </c>
      <c r="B7537" s="424" t="str">
        <f t="shared" si="341"/>
        <v>Barraqueiro Transportes</v>
      </c>
      <c r="C7537" s="424" t="str">
        <f t="shared" si="342"/>
        <v>Frota Azul</v>
      </c>
      <c r="D7537" t="s">
        <v>623</v>
      </c>
      <c r="F7537" s="432" t="s">
        <v>620</v>
      </c>
      <c r="H7537" s="313" t="s">
        <v>733</v>
      </c>
      <c r="I7537" s="311" t="str">
        <f t="shared" si="339"/>
        <v>Ligeiro de Passageiros M1:  : Gasóleo : E6</v>
      </c>
      <c r="J7537" s="422">
        <v>8</v>
      </c>
      <c r="K7537" s="422">
        <v>2023</v>
      </c>
      <c r="L7537">
        <v>1964.2</v>
      </c>
      <c r="M7537" s="422" t="s">
        <v>630</v>
      </c>
      <c r="N7537" s="131">
        <v>14735</v>
      </c>
      <c r="O7537" s="436">
        <f t="shared" si="340"/>
        <v>117880</v>
      </c>
      <c r="P7537" s="89">
        <v>35</v>
      </c>
      <c r="Q7537" t="s">
        <v>47</v>
      </c>
      <c r="R7537" s="422" t="s">
        <v>1869</v>
      </c>
      <c r="S7537" s="422" t="s">
        <v>1861</v>
      </c>
      <c r="T7537" s="422"/>
      <c r="U7537" s="422" t="s">
        <v>1953</v>
      </c>
      <c r="V7537" s="422" t="s">
        <v>2813</v>
      </c>
    </row>
    <row r="7538" spans="1:22" ht="15.75" thickBot="1" x14ac:dyDescent="0.3">
      <c r="A7538" t="s">
        <v>1072</v>
      </c>
      <c r="B7538" s="424" t="str">
        <f t="shared" si="341"/>
        <v>Barraqueiro Transportes</v>
      </c>
      <c r="C7538" s="424" t="str">
        <f t="shared" si="342"/>
        <v>Frota Azul</v>
      </c>
      <c r="D7538" t="s">
        <v>623</v>
      </c>
      <c r="F7538" s="432" t="s">
        <v>620</v>
      </c>
      <c r="H7538" s="313" t="s">
        <v>733</v>
      </c>
      <c r="I7538" s="311" t="str">
        <f t="shared" si="339"/>
        <v>Ligeiro de Passageiros M1:  : Gasóleo : E6</v>
      </c>
      <c r="J7538" s="422">
        <v>8</v>
      </c>
      <c r="K7538" s="422">
        <v>2023</v>
      </c>
      <c r="L7538">
        <v>7684.97</v>
      </c>
      <c r="M7538" s="422" t="s">
        <v>630</v>
      </c>
      <c r="N7538" s="131">
        <v>63010</v>
      </c>
      <c r="O7538" s="436">
        <f t="shared" si="340"/>
        <v>504080</v>
      </c>
      <c r="P7538" s="89">
        <v>21</v>
      </c>
      <c r="Q7538" t="s">
        <v>47</v>
      </c>
      <c r="R7538" s="422" t="s">
        <v>1869</v>
      </c>
      <c r="S7538" s="422" t="s">
        <v>1861</v>
      </c>
      <c r="T7538" s="422"/>
      <c r="U7538" s="422" t="s">
        <v>1953</v>
      </c>
      <c r="V7538" s="422" t="s">
        <v>2813</v>
      </c>
    </row>
    <row r="7539" spans="1:22" ht="15.75" thickBot="1" x14ac:dyDescent="0.3">
      <c r="A7539" t="s">
        <v>1072</v>
      </c>
      <c r="B7539" s="424" t="str">
        <f t="shared" si="341"/>
        <v>Barraqueiro Transportes</v>
      </c>
      <c r="C7539" s="424" t="str">
        <f t="shared" si="342"/>
        <v>Frota Azul</v>
      </c>
      <c r="D7539" t="s">
        <v>623</v>
      </c>
      <c r="F7539" s="432" t="s">
        <v>620</v>
      </c>
      <c r="H7539" s="313" t="s">
        <v>733</v>
      </c>
      <c r="I7539" s="311" t="str">
        <f t="shared" si="339"/>
        <v>Ligeiro de Passageiros M1:  : Gasóleo : E6</v>
      </c>
      <c r="J7539" s="422">
        <v>4</v>
      </c>
      <c r="K7539" s="422">
        <v>2023</v>
      </c>
      <c r="L7539">
        <v>4377.83</v>
      </c>
      <c r="M7539" s="422" t="s">
        <v>630</v>
      </c>
      <c r="N7539" s="131">
        <v>51978</v>
      </c>
      <c r="O7539" s="436">
        <f t="shared" si="340"/>
        <v>207912</v>
      </c>
      <c r="P7539" s="89">
        <v>43</v>
      </c>
      <c r="Q7539" t="s">
        <v>47</v>
      </c>
      <c r="R7539" s="422" t="s">
        <v>1869</v>
      </c>
      <c r="S7539" s="422" t="s">
        <v>1861</v>
      </c>
      <c r="T7539" s="422"/>
      <c r="U7539" s="422" t="s">
        <v>1953</v>
      </c>
      <c r="V7539" s="422" t="s">
        <v>2813</v>
      </c>
    </row>
    <row r="7540" spans="1:22" ht="15.75" thickBot="1" x14ac:dyDescent="0.3">
      <c r="A7540" t="s">
        <v>1072</v>
      </c>
      <c r="B7540" s="424" t="str">
        <f t="shared" si="341"/>
        <v>Barraqueiro Transportes</v>
      </c>
      <c r="C7540" s="424" t="str">
        <f t="shared" si="342"/>
        <v>Frota Azul</v>
      </c>
      <c r="D7540" t="s">
        <v>623</v>
      </c>
      <c r="F7540" s="432" t="s">
        <v>620</v>
      </c>
      <c r="H7540" s="313" t="s">
        <v>733</v>
      </c>
      <c r="I7540" s="311" t="str">
        <f t="shared" si="339"/>
        <v>Ligeiro de Passageiros M1:  : Gasóleo : E6</v>
      </c>
      <c r="J7540" s="422">
        <v>8</v>
      </c>
      <c r="K7540" s="422">
        <v>2023</v>
      </c>
      <c r="L7540">
        <v>1351.85</v>
      </c>
      <c r="M7540" s="422" t="s">
        <v>630</v>
      </c>
      <c r="N7540" s="131">
        <v>11324</v>
      </c>
      <c r="O7540" s="436">
        <f t="shared" si="340"/>
        <v>90592</v>
      </c>
      <c r="P7540" s="89">
        <v>62</v>
      </c>
      <c r="Q7540" t="s">
        <v>47</v>
      </c>
      <c r="R7540" s="422" t="s">
        <v>1869</v>
      </c>
      <c r="S7540" s="422" t="s">
        <v>1861</v>
      </c>
      <c r="T7540" s="422"/>
      <c r="U7540" s="422" t="s">
        <v>1953</v>
      </c>
      <c r="V7540" s="422" t="s">
        <v>2813</v>
      </c>
    </row>
    <row r="7541" spans="1:22" ht="15.75" thickBot="1" x14ac:dyDescent="0.3">
      <c r="A7541" t="s">
        <v>541</v>
      </c>
      <c r="B7541" s="424" t="str">
        <f t="shared" si="341"/>
        <v>Barraqueiro Transportes</v>
      </c>
      <c r="C7541" s="424" t="str">
        <f t="shared" si="342"/>
        <v>Barraqueiro Alugueres</v>
      </c>
      <c r="D7541" t="s">
        <v>623</v>
      </c>
      <c r="F7541" s="432" t="s">
        <v>620</v>
      </c>
      <c r="H7541" s="313" t="s">
        <v>733</v>
      </c>
      <c r="I7541" s="311" t="str">
        <f t="shared" si="339"/>
        <v>Ligeiro de Passageiros M1:  : Gasóleo : E6</v>
      </c>
      <c r="J7541" s="422">
        <v>8</v>
      </c>
      <c r="K7541" s="422">
        <v>2023</v>
      </c>
      <c r="L7541">
        <v>2738.83</v>
      </c>
      <c r="M7541" s="422" t="s">
        <v>630</v>
      </c>
      <c r="N7541" s="131">
        <v>27109</v>
      </c>
      <c r="O7541" s="436">
        <f t="shared" si="340"/>
        <v>216872</v>
      </c>
      <c r="P7541" s="89">
        <v>5049</v>
      </c>
      <c r="Q7541" t="s">
        <v>47</v>
      </c>
      <c r="R7541" s="422" t="s">
        <v>1869</v>
      </c>
      <c r="S7541" s="422" t="s">
        <v>1861</v>
      </c>
      <c r="T7541" s="422"/>
      <c r="U7541" s="422" t="s">
        <v>1953</v>
      </c>
      <c r="V7541" s="422" t="s">
        <v>2813</v>
      </c>
    </row>
    <row r="7542" spans="1:22" ht="15.75" thickBot="1" x14ac:dyDescent="0.3">
      <c r="A7542" t="s">
        <v>541</v>
      </c>
      <c r="B7542" s="424" t="str">
        <f t="shared" si="341"/>
        <v>Barraqueiro Transportes</v>
      </c>
      <c r="C7542" s="424" t="str">
        <f t="shared" si="342"/>
        <v>Barraqueiro Alugueres</v>
      </c>
      <c r="D7542" t="s">
        <v>623</v>
      </c>
      <c r="F7542" s="432" t="s">
        <v>620</v>
      </c>
      <c r="H7542" s="313" t="s">
        <v>733</v>
      </c>
      <c r="I7542" s="311" t="str">
        <f t="shared" si="339"/>
        <v>Ligeiro de Passageiros M1:  : Gasóleo : E6</v>
      </c>
      <c r="J7542" s="422">
        <v>8</v>
      </c>
      <c r="K7542" s="422">
        <v>2023</v>
      </c>
      <c r="L7542">
        <v>2505.6</v>
      </c>
      <c r="M7542" s="422" t="s">
        <v>630</v>
      </c>
      <c r="N7542" s="131">
        <v>26577</v>
      </c>
      <c r="O7542" s="436">
        <f t="shared" si="340"/>
        <v>212616</v>
      </c>
      <c r="P7542" s="89">
        <v>5052</v>
      </c>
      <c r="Q7542" t="s">
        <v>47</v>
      </c>
      <c r="R7542" s="422" t="s">
        <v>1869</v>
      </c>
      <c r="S7542" s="422" t="s">
        <v>1861</v>
      </c>
      <c r="T7542" s="422"/>
      <c r="U7542" s="422" t="s">
        <v>1953</v>
      </c>
      <c r="V7542" s="422" t="s">
        <v>2813</v>
      </c>
    </row>
    <row r="7543" spans="1:22" ht="15.75" thickBot="1" x14ac:dyDescent="0.3">
      <c r="A7543" t="s">
        <v>541</v>
      </c>
      <c r="B7543" s="424" t="str">
        <f t="shared" si="341"/>
        <v>Barraqueiro Transportes</v>
      </c>
      <c r="C7543" s="424" t="str">
        <f t="shared" si="342"/>
        <v>Barraqueiro Alugueres</v>
      </c>
      <c r="D7543" t="s">
        <v>623</v>
      </c>
      <c r="F7543" s="432" t="s">
        <v>620</v>
      </c>
      <c r="H7543" s="313" t="s">
        <v>733</v>
      </c>
      <c r="I7543" s="311" t="str">
        <f t="shared" si="339"/>
        <v>Ligeiro de Passageiros M1:  : Gasóleo : E6</v>
      </c>
      <c r="J7543" s="422">
        <v>8</v>
      </c>
      <c r="K7543" s="422">
        <v>2023</v>
      </c>
      <c r="L7543">
        <v>442.36</v>
      </c>
      <c r="M7543" s="422" t="s">
        <v>630</v>
      </c>
      <c r="N7543" s="131">
        <v>4396</v>
      </c>
      <c r="O7543" s="436">
        <f t="shared" si="340"/>
        <v>35168</v>
      </c>
      <c r="P7543" s="89">
        <v>5053</v>
      </c>
      <c r="Q7543" t="s">
        <v>47</v>
      </c>
      <c r="R7543" s="422" t="s">
        <v>1869</v>
      </c>
      <c r="S7543" s="422" t="s">
        <v>1861</v>
      </c>
      <c r="T7543" s="422"/>
      <c r="U7543" s="422" t="s">
        <v>1953</v>
      </c>
      <c r="V7543" s="422" t="s">
        <v>2813</v>
      </c>
    </row>
    <row r="7544" spans="1:22" ht="15.75" thickBot="1" x14ac:dyDescent="0.3">
      <c r="A7544" t="s">
        <v>541</v>
      </c>
      <c r="B7544" s="424" t="str">
        <f t="shared" si="341"/>
        <v>Barraqueiro Transportes</v>
      </c>
      <c r="C7544" s="424" t="str">
        <f t="shared" si="342"/>
        <v>Barraqueiro Alugueres</v>
      </c>
      <c r="D7544" t="s">
        <v>623</v>
      </c>
      <c r="F7544" s="432" t="s">
        <v>620</v>
      </c>
      <c r="H7544" s="313" t="s">
        <v>733</v>
      </c>
      <c r="I7544" s="311" t="str">
        <f t="shared" si="339"/>
        <v>Ligeiro de Passageiros M1:  : Gasóleo : E6</v>
      </c>
      <c r="J7544" s="422">
        <v>4</v>
      </c>
      <c r="K7544" s="422">
        <v>2023</v>
      </c>
      <c r="L7544">
        <v>2182.2199999999998</v>
      </c>
      <c r="M7544" s="422" t="s">
        <v>630</v>
      </c>
      <c r="N7544" s="131">
        <v>29520</v>
      </c>
      <c r="O7544" s="436">
        <f t="shared" si="340"/>
        <v>118080</v>
      </c>
      <c r="P7544" s="89">
        <v>5048</v>
      </c>
      <c r="Q7544" t="s">
        <v>47</v>
      </c>
      <c r="R7544" s="422" t="s">
        <v>1869</v>
      </c>
      <c r="S7544" s="422" t="s">
        <v>1861</v>
      </c>
      <c r="T7544" s="422"/>
      <c r="U7544" s="422" t="s">
        <v>1953</v>
      </c>
      <c r="V7544" s="422" t="s">
        <v>2813</v>
      </c>
    </row>
    <row r="7545" spans="1:22" ht="15.75" thickBot="1" x14ac:dyDescent="0.3">
      <c r="A7545" t="s">
        <v>541</v>
      </c>
      <c r="B7545" s="424" t="str">
        <f t="shared" si="341"/>
        <v>Barraqueiro Transportes</v>
      </c>
      <c r="C7545" s="424" t="str">
        <f t="shared" si="342"/>
        <v>Barraqueiro Alugueres</v>
      </c>
      <c r="D7545" t="s">
        <v>623</v>
      </c>
      <c r="F7545" s="432" t="s">
        <v>620</v>
      </c>
      <c r="H7545" s="313" t="s">
        <v>733</v>
      </c>
      <c r="I7545" s="311" t="str">
        <f t="shared" si="339"/>
        <v>Ligeiro de Passageiros M1:  : Gasóleo : E6</v>
      </c>
      <c r="J7545" s="422">
        <v>8</v>
      </c>
      <c r="K7545" s="422">
        <v>2023</v>
      </c>
      <c r="L7545">
        <v>879.68</v>
      </c>
      <c r="M7545" s="422" t="s">
        <v>630</v>
      </c>
      <c r="N7545" s="131">
        <v>9407</v>
      </c>
      <c r="O7545" s="436">
        <f t="shared" si="340"/>
        <v>75256</v>
      </c>
      <c r="P7545" s="89">
        <v>5050</v>
      </c>
      <c r="Q7545" t="s">
        <v>47</v>
      </c>
      <c r="R7545" s="422" t="s">
        <v>1869</v>
      </c>
      <c r="S7545" s="422" t="s">
        <v>1861</v>
      </c>
      <c r="T7545" s="422"/>
      <c r="U7545" s="422" t="s">
        <v>1953</v>
      </c>
      <c r="V7545" s="422" t="s">
        <v>2813</v>
      </c>
    </row>
    <row r="7546" spans="1:22" ht="15.75" thickBot="1" x14ac:dyDescent="0.3">
      <c r="A7546" t="s">
        <v>541</v>
      </c>
      <c r="B7546" s="424" t="str">
        <f t="shared" si="341"/>
        <v>Barraqueiro Transportes</v>
      </c>
      <c r="C7546" s="424" t="str">
        <f t="shared" si="342"/>
        <v>Barraqueiro Alugueres</v>
      </c>
      <c r="D7546" t="s">
        <v>623</v>
      </c>
      <c r="F7546" s="432" t="s">
        <v>620</v>
      </c>
      <c r="H7546" s="313" t="s">
        <v>733</v>
      </c>
      <c r="I7546" s="311" t="str">
        <f t="shared" si="339"/>
        <v>Ligeiro de Passageiros M1:  : Gasóleo : E6</v>
      </c>
      <c r="J7546" s="422">
        <v>8</v>
      </c>
      <c r="K7546" s="422">
        <v>2023</v>
      </c>
      <c r="L7546">
        <v>1517.4</v>
      </c>
      <c r="M7546" s="422" t="s">
        <v>630</v>
      </c>
      <c r="N7546" s="131">
        <v>16209</v>
      </c>
      <c r="O7546" s="436">
        <f t="shared" si="340"/>
        <v>129672</v>
      </c>
      <c r="P7546" s="89">
        <v>5051</v>
      </c>
      <c r="Q7546" t="s">
        <v>47</v>
      </c>
      <c r="R7546" s="422" t="s">
        <v>1869</v>
      </c>
      <c r="S7546" s="422" t="s">
        <v>1861</v>
      </c>
      <c r="T7546" s="422"/>
      <c r="U7546" s="422" t="s">
        <v>1953</v>
      </c>
      <c r="V7546" s="422" t="s">
        <v>2813</v>
      </c>
    </row>
    <row r="7547" spans="1:22" ht="15.75" thickBot="1" x14ac:dyDescent="0.3">
      <c r="A7547" t="s">
        <v>541</v>
      </c>
      <c r="B7547" s="424" t="str">
        <f t="shared" si="341"/>
        <v>Barraqueiro Transportes</v>
      </c>
      <c r="C7547" s="424" t="str">
        <f t="shared" si="342"/>
        <v>Barraqueiro Alugueres</v>
      </c>
      <c r="D7547" t="s">
        <v>623</v>
      </c>
      <c r="F7547" s="432" t="s">
        <v>620</v>
      </c>
      <c r="H7547" s="313" t="s">
        <v>733</v>
      </c>
      <c r="I7547" s="311" t="str">
        <f t="shared" si="339"/>
        <v>Ligeiro de Passageiros M1:  : Gasóleo : E6</v>
      </c>
      <c r="J7547" s="422">
        <v>4</v>
      </c>
      <c r="K7547" s="422">
        <v>2023</v>
      </c>
      <c r="L7547">
        <v>2326.5700000000002</v>
      </c>
      <c r="M7547" s="422" t="s">
        <v>630</v>
      </c>
      <c r="N7547" s="131">
        <v>31581</v>
      </c>
      <c r="O7547" s="436">
        <f t="shared" si="340"/>
        <v>126324</v>
      </c>
      <c r="P7547" s="89">
        <v>5046</v>
      </c>
      <c r="Q7547" t="s">
        <v>47</v>
      </c>
      <c r="R7547" s="422" t="s">
        <v>1869</v>
      </c>
      <c r="S7547" s="422" t="s">
        <v>1861</v>
      </c>
      <c r="T7547" s="422"/>
      <c r="U7547" s="422" t="s">
        <v>1953</v>
      </c>
      <c r="V7547" s="422" t="s">
        <v>2813</v>
      </c>
    </row>
    <row r="7548" spans="1:22" ht="15.75" thickBot="1" x14ac:dyDescent="0.3">
      <c r="A7548" s="424" t="s">
        <v>3278</v>
      </c>
      <c r="B7548" s="424" t="str">
        <f t="shared" ref="B7548" si="343">LEFT(A7548,IFERROR(FIND(" - ",A7548)-1,LEN(A7548)))</f>
        <v>Barraqueiro Transportes, S.A.</v>
      </c>
      <c r="C7548" s="424" t="str">
        <f t="shared" ref="C7548" si="344">IF(A7548=B7548,B7548,RIGHT(A7548,LEN(A7548)-LEN(B7548)-3))</f>
        <v>Barraqueiro Alugueres</v>
      </c>
      <c r="D7548" t="s">
        <v>623</v>
      </c>
      <c r="F7548" s="432" t="s">
        <v>620</v>
      </c>
      <c r="H7548" s="313" t="s">
        <v>733</v>
      </c>
      <c r="I7548" s="311" t="str">
        <f t="shared" si="339"/>
        <v>Ligeiro de Passageiros M1:  : Gasóleo : E6</v>
      </c>
      <c r="J7548" s="422">
        <v>4</v>
      </c>
      <c r="K7548" s="422">
        <v>2023</v>
      </c>
      <c r="L7548">
        <v>1052.3499999999999</v>
      </c>
      <c r="M7548" s="422" t="s">
        <v>630</v>
      </c>
      <c r="N7548" s="131">
        <v>14668</v>
      </c>
      <c r="O7548" s="436">
        <f t="shared" si="340"/>
        <v>58672</v>
      </c>
      <c r="P7548" s="89">
        <v>5044</v>
      </c>
      <c r="Q7548" t="s">
        <v>47</v>
      </c>
      <c r="R7548" s="422" t="s">
        <v>1869</v>
      </c>
      <c r="S7548" s="422" t="s">
        <v>1861</v>
      </c>
      <c r="T7548" s="422"/>
      <c r="U7548" s="422" t="s">
        <v>1953</v>
      </c>
      <c r="V7548" s="422" t="s">
        <v>2813</v>
      </c>
    </row>
    <row r="7549" spans="1:22" ht="15.75" thickBot="1" x14ac:dyDescent="0.3">
      <c r="A7549" s="424" t="s">
        <v>6582</v>
      </c>
      <c r="B7549" s="424" t="s">
        <v>6582</v>
      </c>
      <c r="C7549" s="424" t="s">
        <v>6582</v>
      </c>
      <c r="D7549" s="425" t="s">
        <v>6580</v>
      </c>
      <c r="F7549" s="432" t="s">
        <v>620</v>
      </c>
      <c r="H7549" s="433" t="s">
        <v>731</v>
      </c>
      <c r="I7549" s="311" t="str">
        <f t="shared" si="339"/>
        <v>Pesado passageiros M2:  : Gasóleo : E4</v>
      </c>
      <c r="J7549" s="433">
        <v>21</v>
      </c>
      <c r="K7549" s="422">
        <v>2023</v>
      </c>
      <c r="L7549" s="427">
        <v>10641.13</v>
      </c>
      <c r="M7549" s="427" t="s">
        <v>630</v>
      </c>
      <c r="N7549" s="434">
        <v>58309</v>
      </c>
      <c r="O7549" s="436">
        <f t="shared" si="340"/>
        <v>1224489</v>
      </c>
      <c r="Q7549" s="422" t="s">
        <v>47</v>
      </c>
      <c r="R7549" s="422" t="s">
        <v>1869</v>
      </c>
      <c r="S7549" s="422" t="s">
        <v>1861</v>
      </c>
      <c r="T7549" s="422"/>
      <c r="U7549" s="422" t="s">
        <v>1953</v>
      </c>
      <c r="V7549" s="422" t="s">
        <v>2813</v>
      </c>
    </row>
    <row r="7550" spans="1:22" ht="15.75" thickBot="1" x14ac:dyDescent="0.3">
      <c r="A7550" s="424" t="s">
        <v>6582</v>
      </c>
      <c r="B7550" s="424" t="s">
        <v>6582</v>
      </c>
      <c r="C7550" s="424" t="s">
        <v>6582</v>
      </c>
      <c r="D7550" s="425" t="s">
        <v>6580</v>
      </c>
      <c r="F7550" s="432" t="s">
        <v>620</v>
      </c>
      <c r="H7550" s="433" t="s">
        <v>731</v>
      </c>
      <c r="I7550" s="311" t="str">
        <f t="shared" si="339"/>
        <v>Pesado passageiros M2:  : Gasóleo : E4</v>
      </c>
      <c r="J7550" s="433">
        <v>20</v>
      </c>
      <c r="K7550" s="422">
        <v>2023</v>
      </c>
      <c r="L7550" s="427">
        <v>16591.82</v>
      </c>
      <c r="M7550" s="427" t="s">
        <v>630</v>
      </c>
      <c r="N7550" s="434">
        <v>85785</v>
      </c>
      <c r="O7550" s="436">
        <f t="shared" si="340"/>
        <v>1715700</v>
      </c>
      <c r="Q7550" s="422" t="s">
        <v>47</v>
      </c>
      <c r="R7550" s="422" t="s">
        <v>1869</v>
      </c>
      <c r="S7550" s="422" t="s">
        <v>1861</v>
      </c>
      <c r="T7550" s="422"/>
      <c r="U7550" s="422" t="s">
        <v>1953</v>
      </c>
      <c r="V7550" s="422" t="s">
        <v>2813</v>
      </c>
    </row>
    <row r="7551" spans="1:22" ht="15.75" thickBot="1" x14ac:dyDescent="0.3">
      <c r="A7551" s="424" t="s">
        <v>6582</v>
      </c>
      <c r="B7551" s="424" t="s">
        <v>6582</v>
      </c>
      <c r="C7551" s="424" t="s">
        <v>6582</v>
      </c>
      <c r="D7551" s="425" t="s">
        <v>6580</v>
      </c>
      <c r="F7551" s="432" t="s">
        <v>620</v>
      </c>
      <c r="H7551" s="433" t="s">
        <v>731</v>
      </c>
      <c r="I7551" s="311" t="str">
        <f t="shared" si="339"/>
        <v>Pesado passageiros M2:  : Gasóleo : E4</v>
      </c>
      <c r="J7551" s="433">
        <v>20</v>
      </c>
      <c r="K7551" s="422">
        <v>2023</v>
      </c>
      <c r="L7551" s="427">
        <v>1223.48</v>
      </c>
      <c r="M7551" s="427" t="s">
        <v>630</v>
      </c>
      <c r="N7551" s="434">
        <v>6892</v>
      </c>
      <c r="O7551" s="436">
        <f t="shared" si="340"/>
        <v>137840</v>
      </c>
      <c r="Q7551" s="422" t="s">
        <v>47</v>
      </c>
      <c r="R7551" s="422" t="s">
        <v>1869</v>
      </c>
      <c r="S7551" s="422" t="s">
        <v>1861</v>
      </c>
      <c r="T7551" s="422"/>
      <c r="U7551" s="422" t="s">
        <v>1953</v>
      </c>
      <c r="V7551" s="422" t="s">
        <v>2813</v>
      </c>
    </row>
    <row r="7552" spans="1:22" ht="15.75" thickBot="1" x14ac:dyDescent="0.3">
      <c r="A7552" s="424" t="s">
        <v>6582</v>
      </c>
      <c r="B7552" s="424" t="s">
        <v>6582</v>
      </c>
      <c r="C7552" s="424" t="s">
        <v>6582</v>
      </c>
      <c r="D7552" s="425" t="s">
        <v>6580</v>
      </c>
      <c r="F7552" s="432" t="s">
        <v>620</v>
      </c>
      <c r="H7552" s="433" t="s">
        <v>732</v>
      </c>
      <c r="I7552" s="311" t="str">
        <f t="shared" si="339"/>
        <v>Pesado passageiros M2:  : Gasóleo : E3</v>
      </c>
      <c r="J7552" s="433">
        <v>25</v>
      </c>
      <c r="K7552" s="422">
        <v>2023</v>
      </c>
      <c r="L7552" s="427">
        <v>12633.039999999992</v>
      </c>
      <c r="M7552" s="427" t="s">
        <v>630</v>
      </c>
      <c r="N7552" s="434">
        <v>50572.618094475547</v>
      </c>
      <c r="O7552" s="436">
        <f t="shared" si="340"/>
        <v>1264315.4523618887</v>
      </c>
      <c r="Q7552" s="422" t="s">
        <v>47</v>
      </c>
      <c r="R7552" s="422" t="s">
        <v>1869</v>
      </c>
      <c r="S7552" s="422" t="s">
        <v>1861</v>
      </c>
      <c r="T7552" s="422"/>
      <c r="U7552" s="422" t="s">
        <v>1953</v>
      </c>
      <c r="V7552" s="422" t="s">
        <v>2813</v>
      </c>
    </row>
    <row r="7553" spans="1:22" ht="15.75" thickBot="1" x14ac:dyDescent="0.3">
      <c r="A7553" s="424" t="s">
        <v>6582</v>
      </c>
      <c r="B7553" s="424" t="s">
        <v>6582</v>
      </c>
      <c r="C7553" s="424" t="s">
        <v>6582</v>
      </c>
      <c r="D7553" s="425" t="s">
        <v>6580</v>
      </c>
      <c r="F7553" s="432" t="s">
        <v>620</v>
      </c>
      <c r="H7553" s="433" t="s">
        <v>732</v>
      </c>
      <c r="I7553" s="311" t="str">
        <f t="shared" si="339"/>
        <v>Pesado passageiros M2:  : Gasóleo : E3</v>
      </c>
      <c r="J7553" s="433">
        <v>23</v>
      </c>
      <c r="K7553" s="422">
        <v>2023</v>
      </c>
      <c r="L7553" s="427">
        <v>14863.779999999999</v>
      </c>
      <c r="M7553" s="427" t="s">
        <v>630</v>
      </c>
      <c r="N7553" s="434">
        <v>59407.593924860113</v>
      </c>
      <c r="O7553" s="436">
        <f t="shared" si="340"/>
        <v>1366374.6602717827</v>
      </c>
      <c r="Q7553" s="422" t="s">
        <v>47</v>
      </c>
      <c r="R7553" s="422" t="s">
        <v>1869</v>
      </c>
      <c r="S7553" s="422" t="s">
        <v>1861</v>
      </c>
      <c r="T7553" s="422"/>
      <c r="U7553" s="422" t="s">
        <v>1953</v>
      </c>
      <c r="V7553" s="422" t="s">
        <v>2813</v>
      </c>
    </row>
    <row r="7554" spans="1:22" ht="15.75" thickBot="1" x14ac:dyDescent="0.3">
      <c r="A7554" s="424" t="s">
        <v>6582</v>
      </c>
      <c r="B7554" s="424" t="s">
        <v>6582</v>
      </c>
      <c r="C7554" s="424" t="s">
        <v>6582</v>
      </c>
      <c r="D7554" s="425" t="s">
        <v>6580</v>
      </c>
      <c r="F7554" s="432" t="s">
        <v>620</v>
      </c>
      <c r="H7554" s="433" t="s">
        <v>732</v>
      </c>
      <c r="I7554" s="311" t="str">
        <f t="shared" si="339"/>
        <v>Pesado passageiros M2:  : Gasóleo : E3</v>
      </c>
      <c r="J7554" s="433">
        <v>23</v>
      </c>
      <c r="K7554" s="422">
        <v>2023</v>
      </c>
      <c r="L7554" s="427">
        <v>17427.740000000023</v>
      </c>
      <c r="M7554" s="427" t="s">
        <v>630</v>
      </c>
      <c r="N7554" s="434">
        <v>93420</v>
      </c>
      <c r="O7554" s="436">
        <f t="shared" si="340"/>
        <v>2148660</v>
      </c>
      <c r="Q7554" s="422" t="s">
        <v>47</v>
      </c>
      <c r="R7554" s="422" t="s">
        <v>1869</v>
      </c>
      <c r="S7554" s="422" t="s">
        <v>1861</v>
      </c>
      <c r="T7554" s="422"/>
      <c r="U7554" s="422" t="s">
        <v>1953</v>
      </c>
      <c r="V7554" s="422" t="s">
        <v>2813</v>
      </c>
    </row>
    <row r="7555" spans="1:22" ht="15.75" thickBot="1" x14ac:dyDescent="0.3">
      <c r="A7555" s="424" t="s">
        <v>6582</v>
      </c>
      <c r="B7555" s="424" t="s">
        <v>6582</v>
      </c>
      <c r="C7555" s="424" t="s">
        <v>6582</v>
      </c>
      <c r="D7555" s="425" t="s">
        <v>6580</v>
      </c>
      <c r="F7555" s="432" t="s">
        <v>620</v>
      </c>
      <c r="H7555" s="433" t="s">
        <v>732</v>
      </c>
      <c r="I7555" s="311" t="str">
        <f t="shared" si="339"/>
        <v>Pesado passageiros M2:  : Gasóleo : E3</v>
      </c>
      <c r="J7555" s="433">
        <v>23</v>
      </c>
      <c r="K7555" s="422">
        <v>2023</v>
      </c>
      <c r="L7555" s="427">
        <v>11227.01</v>
      </c>
      <c r="M7555" s="427" t="s">
        <v>630</v>
      </c>
      <c r="N7555" s="434">
        <v>55874</v>
      </c>
      <c r="O7555" s="436">
        <f t="shared" si="340"/>
        <v>1285102</v>
      </c>
      <c r="Q7555" s="422" t="s">
        <v>47</v>
      </c>
      <c r="R7555" s="422" t="s">
        <v>1869</v>
      </c>
      <c r="S7555" s="422" t="s">
        <v>1861</v>
      </c>
      <c r="T7555" s="422"/>
      <c r="U7555" s="422" t="s">
        <v>1953</v>
      </c>
      <c r="V7555" s="422" t="s">
        <v>2813</v>
      </c>
    </row>
    <row r="7556" spans="1:22" ht="15.75" thickBot="1" x14ac:dyDescent="0.3">
      <c r="A7556" s="424" t="s">
        <v>6582</v>
      </c>
      <c r="B7556" s="424" t="s">
        <v>6582</v>
      </c>
      <c r="C7556" s="424" t="s">
        <v>6582</v>
      </c>
      <c r="D7556" s="425" t="s">
        <v>6581</v>
      </c>
      <c r="F7556" s="432" t="s">
        <v>620</v>
      </c>
      <c r="H7556" s="433" t="s">
        <v>732</v>
      </c>
      <c r="I7556" s="311" t="str">
        <f t="shared" si="339"/>
        <v>Pesado passageiros M3:  : Gasóleo : E3</v>
      </c>
      <c r="J7556" s="433">
        <v>35</v>
      </c>
      <c r="K7556" s="422">
        <v>2023</v>
      </c>
      <c r="L7556" s="427">
        <v>19532.98000000001</v>
      </c>
      <c r="M7556" s="427" t="s">
        <v>630</v>
      </c>
      <c r="N7556" s="434">
        <v>103088</v>
      </c>
      <c r="O7556" s="436">
        <f t="shared" si="340"/>
        <v>3608080</v>
      </c>
      <c r="Q7556" s="422" t="s">
        <v>47</v>
      </c>
      <c r="R7556" s="422" t="s">
        <v>1869</v>
      </c>
      <c r="S7556" s="422" t="s">
        <v>1861</v>
      </c>
      <c r="T7556" s="422"/>
      <c r="U7556" s="422" t="s">
        <v>1953</v>
      </c>
      <c r="V7556" s="422" t="s">
        <v>2813</v>
      </c>
    </row>
    <row r="7557" spans="1:22" ht="15.75" thickBot="1" x14ac:dyDescent="0.3">
      <c r="A7557" s="424" t="s">
        <v>6582</v>
      </c>
      <c r="B7557" s="424" t="s">
        <v>6582</v>
      </c>
      <c r="C7557" s="424" t="s">
        <v>6582</v>
      </c>
      <c r="D7557" s="425" t="s">
        <v>6581</v>
      </c>
      <c r="F7557" s="432" t="s">
        <v>620</v>
      </c>
      <c r="H7557" s="433" t="s">
        <v>731</v>
      </c>
      <c r="I7557" s="311" t="str">
        <f t="shared" si="339"/>
        <v>Pesado passageiros M3:  : Gasóleo : E4</v>
      </c>
      <c r="J7557" s="433">
        <v>26</v>
      </c>
      <c r="K7557" s="422">
        <v>2023</v>
      </c>
      <c r="L7557" s="427">
        <v>1542.7099999999996</v>
      </c>
      <c r="M7557" s="427" t="s">
        <v>630</v>
      </c>
      <c r="N7557" s="434">
        <v>8255</v>
      </c>
      <c r="O7557" s="436">
        <f t="shared" si="340"/>
        <v>214630</v>
      </c>
      <c r="Q7557" s="422" t="s">
        <v>47</v>
      </c>
      <c r="R7557" s="422" t="s">
        <v>1869</v>
      </c>
      <c r="S7557" s="422" t="s">
        <v>1861</v>
      </c>
      <c r="T7557" s="422"/>
      <c r="U7557" s="422" t="s">
        <v>1953</v>
      </c>
      <c r="V7557" s="422" t="s">
        <v>2813</v>
      </c>
    </row>
    <row r="7558" spans="1:22" ht="15.75" thickBot="1" x14ac:dyDescent="0.3">
      <c r="A7558" s="424" t="s">
        <v>6582</v>
      </c>
      <c r="B7558" s="424" t="s">
        <v>6582</v>
      </c>
      <c r="C7558" s="424" t="s">
        <v>6582</v>
      </c>
      <c r="D7558" s="425" t="s">
        <v>6581</v>
      </c>
      <c r="F7558" s="432" t="s">
        <v>620</v>
      </c>
      <c r="H7558" s="433" t="s">
        <v>731</v>
      </c>
      <c r="I7558" s="311" t="str">
        <f t="shared" si="339"/>
        <v>Pesado passageiros M3:  : Gasóleo : E4</v>
      </c>
      <c r="J7558" s="433">
        <v>27</v>
      </c>
      <c r="K7558" s="422">
        <v>2023</v>
      </c>
      <c r="L7558" s="427">
        <v>10168.120000000003</v>
      </c>
      <c r="M7558" s="427" t="s">
        <v>630</v>
      </c>
      <c r="N7558" s="434">
        <v>57740</v>
      </c>
      <c r="O7558" s="436">
        <f t="shared" si="340"/>
        <v>1558980</v>
      </c>
      <c r="Q7558" s="422" t="s">
        <v>47</v>
      </c>
      <c r="R7558" s="422" t="s">
        <v>1869</v>
      </c>
      <c r="S7558" s="422" t="s">
        <v>1861</v>
      </c>
      <c r="T7558" s="422"/>
      <c r="U7558" s="422" t="s">
        <v>1953</v>
      </c>
      <c r="V7558" s="422" t="s">
        <v>2813</v>
      </c>
    </row>
    <row r="7559" spans="1:22" ht="15.75" thickBot="1" x14ac:dyDescent="0.3">
      <c r="A7559" s="424" t="s">
        <v>6582</v>
      </c>
      <c r="B7559" s="424" t="s">
        <v>6582</v>
      </c>
      <c r="C7559" s="424" t="s">
        <v>6582</v>
      </c>
      <c r="D7559" s="425" t="s">
        <v>6581</v>
      </c>
      <c r="F7559" s="432" t="s">
        <v>620</v>
      </c>
      <c r="H7559" s="433" t="s">
        <v>731</v>
      </c>
      <c r="I7559" s="311" t="str">
        <f t="shared" si="339"/>
        <v>Pesado passageiros M3:  : Gasóleo : E4</v>
      </c>
      <c r="J7559" s="433">
        <v>60</v>
      </c>
      <c r="K7559" s="422">
        <v>2023</v>
      </c>
      <c r="L7559" s="427">
        <v>13471.509999999997</v>
      </c>
      <c r="M7559" s="427" t="s">
        <v>630</v>
      </c>
      <c r="N7559" s="434">
        <v>38147</v>
      </c>
      <c r="O7559" s="436">
        <f t="shared" si="340"/>
        <v>2288820</v>
      </c>
      <c r="Q7559" s="422" t="s">
        <v>47</v>
      </c>
      <c r="R7559" s="422" t="s">
        <v>1869</v>
      </c>
      <c r="S7559" s="422" t="s">
        <v>1861</v>
      </c>
      <c r="T7559" s="422"/>
      <c r="U7559" s="422" t="s">
        <v>1953</v>
      </c>
      <c r="V7559" s="422" t="s">
        <v>2813</v>
      </c>
    </row>
    <row r="7560" spans="1:22" ht="15.75" thickBot="1" x14ac:dyDescent="0.3">
      <c r="A7560" s="424" t="s">
        <v>6582</v>
      </c>
      <c r="B7560" s="424" t="s">
        <v>6582</v>
      </c>
      <c r="C7560" s="424" t="s">
        <v>6582</v>
      </c>
      <c r="D7560" s="425" t="s">
        <v>6581</v>
      </c>
      <c r="F7560" s="432" t="s">
        <v>620</v>
      </c>
      <c r="H7560" s="433" t="s">
        <v>731</v>
      </c>
      <c r="I7560" s="311" t="str">
        <f t="shared" si="339"/>
        <v>Pesado passageiros M3:  : Gasóleo : E4</v>
      </c>
      <c r="J7560" s="433">
        <v>26</v>
      </c>
      <c r="K7560" s="422">
        <v>2023</v>
      </c>
      <c r="L7560" s="427">
        <v>10041.010000000002</v>
      </c>
      <c r="M7560" s="427" t="s">
        <v>630</v>
      </c>
      <c r="N7560" s="434">
        <v>52225</v>
      </c>
      <c r="O7560" s="436">
        <f t="shared" si="340"/>
        <v>1357850</v>
      </c>
      <c r="Q7560" s="422" t="s">
        <v>47</v>
      </c>
      <c r="R7560" s="422" t="s">
        <v>1869</v>
      </c>
      <c r="S7560" s="422" t="s">
        <v>1861</v>
      </c>
      <c r="T7560" s="422"/>
      <c r="U7560" s="422" t="s">
        <v>1953</v>
      </c>
      <c r="V7560" s="422" t="s">
        <v>2813</v>
      </c>
    </row>
    <row r="7561" spans="1:22" ht="15.75" thickBot="1" x14ac:dyDescent="0.3">
      <c r="A7561" s="424" t="s">
        <v>6582</v>
      </c>
      <c r="B7561" s="424" t="s">
        <v>6582</v>
      </c>
      <c r="C7561" s="424" t="s">
        <v>6582</v>
      </c>
      <c r="D7561" s="425" t="s">
        <v>6581</v>
      </c>
      <c r="F7561" s="432" t="s">
        <v>620</v>
      </c>
      <c r="H7561" s="433" t="s">
        <v>731</v>
      </c>
      <c r="I7561" s="311" t="str">
        <f t="shared" si="339"/>
        <v>Pesado passageiros M3:  : Gasóleo : E4</v>
      </c>
      <c r="J7561" s="433">
        <v>26</v>
      </c>
      <c r="K7561" s="422">
        <v>2023</v>
      </c>
      <c r="L7561" s="427">
        <v>8952.7599999999984</v>
      </c>
      <c r="M7561" s="427" t="s">
        <v>630</v>
      </c>
      <c r="N7561" s="434">
        <v>43176</v>
      </c>
      <c r="O7561" s="436">
        <f t="shared" si="340"/>
        <v>1122576</v>
      </c>
      <c r="Q7561" s="422" t="s">
        <v>47</v>
      </c>
      <c r="R7561" s="422" t="s">
        <v>1869</v>
      </c>
      <c r="S7561" s="422" t="s">
        <v>1861</v>
      </c>
      <c r="T7561" s="422"/>
      <c r="U7561" s="422" t="s">
        <v>1953</v>
      </c>
      <c r="V7561" s="422" t="s">
        <v>2813</v>
      </c>
    </row>
    <row r="7562" spans="1:22" ht="15.75" thickBot="1" x14ac:dyDescent="0.3">
      <c r="A7562" s="424" t="s">
        <v>6582</v>
      </c>
      <c r="B7562" s="424" t="s">
        <v>6582</v>
      </c>
      <c r="C7562" s="424" t="s">
        <v>6582</v>
      </c>
      <c r="D7562" s="425" t="s">
        <v>6581</v>
      </c>
      <c r="F7562" s="432" t="s">
        <v>620</v>
      </c>
      <c r="H7562" s="433" t="s">
        <v>731</v>
      </c>
      <c r="I7562" s="311" t="str">
        <f t="shared" si="339"/>
        <v>Pesado passageiros M3:  : Gasóleo : E4</v>
      </c>
      <c r="J7562" s="433">
        <v>82</v>
      </c>
      <c r="K7562" s="422">
        <v>2023</v>
      </c>
      <c r="L7562" s="427">
        <v>16858.150000000005</v>
      </c>
      <c r="M7562" s="427" t="s">
        <v>630</v>
      </c>
      <c r="N7562" s="434">
        <v>36811</v>
      </c>
      <c r="O7562" s="436">
        <f t="shared" si="340"/>
        <v>3018502</v>
      </c>
      <c r="Q7562" s="422" t="s">
        <v>47</v>
      </c>
      <c r="R7562" s="422" t="s">
        <v>1869</v>
      </c>
      <c r="S7562" s="422" t="s">
        <v>1861</v>
      </c>
      <c r="T7562" s="422"/>
      <c r="U7562" s="422" t="s">
        <v>1953</v>
      </c>
      <c r="V7562" s="422" t="s">
        <v>2813</v>
      </c>
    </row>
    <row r="7563" spans="1:22" ht="15.75" thickBot="1" x14ac:dyDescent="0.3">
      <c r="A7563" s="424" t="s">
        <v>6582</v>
      </c>
      <c r="B7563" s="424" t="s">
        <v>6582</v>
      </c>
      <c r="C7563" s="424" t="s">
        <v>6582</v>
      </c>
      <c r="D7563" s="425" t="s">
        <v>6581</v>
      </c>
      <c r="F7563" s="432" t="s">
        <v>620</v>
      </c>
      <c r="H7563" s="433" t="s">
        <v>731</v>
      </c>
      <c r="I7563" s="311" t="str">
        <f t="shared" si="339"/>
        <v>Pesado passageiros M3:  : Gasóleo : E4</v>
      </c>
      <c r="J7563" s="433">
        <v>82</v>
      </c>
      <c r="K7563" s="422">
        <v>2023</v>
      </c>
      <c r="L7563" s="427">
        <v>17215.649999999994</v>
      </c>
      <c r="M7563" s="427" t="s">
        <v>630</v>
      </c>
      <c r="N7563" s="434">
        <v>34376.297923322672</v>
      </c>
      <c r="O7563" s="436">
        <f t="shared" si="340"/>
        <v>2818856.429712459</v>
      </c>
      <c r="Q7563" s="422" t="s">
        <v>47</v>
      </c>
      <c r="R7563" s="422" t="s">
        <v>1869</v>
      </c>
      <c r="S7563" s="422" t="s">
        <v>1861</v>
      </c>
      <c r="T7563" s="422"/>
      <c r="U7563" s="422" t="s">
        <v>1953</v>
      </c>
      <c r="V7563" s="422" t="s">
        <v>2813</v>
      </c>
    </row>
    <row r="7564" spans="1:22" ht="15.75" thickBot="1" x14ac:dyDescent="0.3">
      <c r="A7564" s="424" t="s">
        <v>6582</v>
      </c>
      <c r="B7564" s="424" t="s">
        <v>6582</v>
      </c>
      <c r="C7564" s="424" t="s">
        <v>6582</v>
      </c>
      <c r="D7564" s="425" t="s">
        <v>6581</v>
      </c>
      <c r="F7564" s="432" t="s">
        <v>620</v>
      </c>
      <c r="H7564" s="433" t="s">
        <v>731</v>
      </c>
      <c r="I7564" s="311" t="str">
        <f t="shared" si="339"/>
        <v>Pesado passageiros M3:  : Gasóleo : E4</v>
      </c>
      <c r="J7564" s="433">
        <v>82</v>
      </c>
      <c r="K7564" s="422">
        <v>2023</v>
      </c>
      <c r="L7564" s="427">
        <v>22449.600000000009</v>
      </c>
      <c r="M7564" s="427" t="s">
        <v>630</v>
      </c>
      <c r="N7564" s="434">
        <v>56271</v>
      </c>
      <c r="O7564" s="436">
        <f t="shared" si="340"/>
        <v>4614222</v>
      </c>
      <c r="Q7564" s="422" t="s">
        <v>47</v>
      </c>
      <c r="R7564" s="422" t="s">
        <v>1869</v>
      </c>
      <c r="S7564" s="422" t="s">
        <v>1861</v>
      </c>
      <c r="T7564" s="422"/>
      <c r="U7564" s="422" t="s">
        <v>1953</v>
      </c>
      <c r="V7564" s="422" t="s">
        <v>2813</v>
      </c>
    </row>
    <row r="7565" spans="1:22" ht="15.75" thickBot="1" x14ac:dyDescent="0.3">
      <c r="A7565" s="424" t="s">
        <v>6582</v>
      </c>
      <c r="B7565" s="424" t="s">
        <v>6582</v>
      </c>
      <c r="C7565" s="424" t="s">
        <v>6582</v>
      </c>
      <c r="D7565" s="425" t="s">
        <v>6581</v>
      </c>
      <c r="F7565" s="432" t="s">
        <v>620</v>
      </c>
      <c r="H7565" s="433" t="s">
        <v>731</v>
      </c>
      <c r="I7565" s="311" t="str">
        <f t="shared" si="339"/>
        <v>Pesado passageiros M3:  : Gasóleo : E4</v>
      </c>
      <c r="J7565" s="433">
        <v>82</v>
      </c>
      <c r="K7565" s="422">
        <v>2023</v>
      </c>
      <c r="L7565" s="427">
        <v>19356.219999999998</v>
      </c>
      <c r="M7565" s="427" t="s">
        <v>630</v>
      </c>
      <c r="N7565" s="434">
        <v>39518.619844834626</v>
      </c>
      <c r="O7565" s="436">
        <f t="shared" si="340"/>
        <v>3240526.8272764394</v>
      </c>
      <c r="Q7565" s="422" t="s">
        <v>47</v>
      </c>
      <c r="R7565" s="422" t="s">
        <v>1869</v>
      </c>
      <c r="S7565" s="422" t="s">
        <v>1861</v>
      </c>
      <c r="T7565" s="422"/>
      <c r="U7565" s="422" t="s">
        <v>1953</v>
      </c>
      <c r="V7565" s="422" t="s">
        <v>2813</v>
      </c>
    </row>
    <row r="7566" spans="1:22" ht="15.75" thickBot="1" x14ac:dyDescent="0.3">
      <c r="A7566" s="424" t="s">
        <v>6582</v>
      </c>
      <c r="B7566" s="424" t="s">
        <v>6582</v>
      </c>
      <c r="C7566" s="424" t="s">
        <v>6582</v>
      </c>
      <c r="D7566" s="425" t="s">
        <v>6581</v>
      </c>
      <c r="F7566" s="432" t="s">
        <v>620</v>
      </c>
      <c r="H7566" s="433" t="s">
        <v>732</v>
      </c>
      <c r="I7566" s="311" t="str">
        <f t="shared" si="339"/>
        <v>Pesado passageiros M3:  : Gasóleo : E3</v>
      </c>
      <c r="J7566" s="433">
        <v>99</v>
      </c>
      <c r="K7566" s="422">
        <v>2023</v>
      </c>
      <c r="L7566" s="427">
        <v>26549.339999999989</v>
      </c>
      <c r="M7566" s="427" t="s">
        <v>630</v>
      </c>
      <c r="N7566" s="434">
        <v>51046.606421841934</v>
      </c>
      <c r="O7566" s="436">
        <f t="shared" si="340"/>
        <v>5053614.0357623519</v>
      </c>
      <c r="Q7566" s="422" t="s">
        <v>47</v>
      </c>
      <c r="R7566" s="422" t="s">
        <v>1869</v>
      </c>
      <c r="S7566" s="422" t="s">
        <v>1861</v>
      </c>
      <c r="T7566" s="422"/>
      <c r="U7566" s="422" t="s">
        <v>1953</v>
      </c>
      <c r="V7566" s="422" t="s">
        <v>2813</v>
      </c>
    </row>
    <row r="7567" spans="1:22" ht="15.75" thickBot="1" x14ac:dyDescent="0.3">
      <c r="A7567" s="424" t="s">
        <v>6582</v>
      </c>
      <c r="B7567" s="424" t="s">
        <v>6582</v>
      </c>
      <c r="C7567" s="424" t="s">
        <v>6582</v>
      </c>
      <c r="D7567" s="425" t="s">
        <v>6581</v>
      </c>
      <c r="F7567" s="432" t="s">
        <v>620</v>
      </c>
      <c r="H7567" s="433" t="s">
        <v>732</v>
      </c>
      <c r="I7567" s="311" t="str">
        <f t="shared" si="339"/>
        <v>Pesado passageiros M3:  : Gasóleo : E3</v>
      </c>
      <c r="J7567" s="433">
        <v>99</v>
      </c>
      <c r="K7567" s="422">
        <v>2023</v>
      </c>
      <c r="L7567" s="427">
        <v>22293.839999999997</v>
      </c>
      <c r="M7567" s="427" t="s">
        <v>630</v>
      </c>
      <c r="N7567" s="434">
        <v>47013.580767608597</v>
      </c>
      <c r="O7567" s="436">
        <f t="shared" si="340"/>
        <v>4654344.495993251</v>
      </c>
      <c r="Q7567" s="422" t="s">
        <v>47</v>
      </c>
      <c r="R7567" s="422" t="s">
        <v>1869</v>
      </c>
      <c r="S7567" s="422" t="s">
        <v>1861</v>
      </c>
      <c r="T7567" s="422"/>
      <c r="U7567" s="422" t="s">
        <v>1953</v>
      </c>
      <c r="V7567" s="422" t="s">
        <v>2813</v>
      </c>
    </row>
    <row r="7568" spans="1:22" ht="15.75" thickBot="1" x14ac:dyDescent="0.3">
      <c r="A7568" s="424" t="s">
        <v>6582</v>
      </c>
      <c r="B7568" s="424" t="s">
        <v>6582</v>
      </c>
      <c r="C7568" s="424" t="s">
        <v>6582</v>
      </c>
      <c r="D7568" s="425" t="s">
        <v>6581</v>
      </c>
      <c r="F7568" s="432" t="s">
        <v>620</v>
      </c>
      <c r="H7568" s="433" t="s">
        <v>732</v>
      </c>
      <c r="I7568" s="311" t="str">
        <f t="shared" si="339"/>
        <v>Pesado passageiros M3:  : Gasóleo : E3</v>
      </c>
      <c r="J7568" s="433">
        <v>99</v>
      </c>
      <c r="K7568" s="422">
        <v>2023</v>
      </c>
      <c r="L7568" s="427">
        <v>14448.580000000005</v>
      </c>
      <c r="M7568" s="427" t="s">
        <v>630</v>
      </c>
      <c r="N7568" s="434">
        <v>29790.886597938159</v>
      </c>
      <c r="O7568" s="436">
        <f t="shared" si="340"/>
        <v>2949297.7731958777</v>
      </c>
      <c r="Q7568" s="422" t="s">
        <v>47</v>
      </c>
      <c r="R7568" s="422" t="s">
        <v>1869</v>
      </c>
      <c r="S7568" s="422" t="s">
        <v>1861</v>
      </c>
      <c r="T7568" s="422"/>
      <c r="U7568" s="422" t="s">
        <v>1953</v>
      </c>
      <c r="V7568" s="422" t="s">
        <v>2813</v>
      </c>
    </row>
    <row r="7569" spans="1:22" ht="15.75" thickBot="1" x14ac:dyDescent="0.3">
      <c r="A7569" s="424" t="s">
        <v>6582</v>
      </c>
      <c r="B7569" s="424" t="s">
        <v>6582</v>
      </c>
      <c r="C7569" s="424" t="s">
        <v>6582</v>
      </c>
      <c r="D7569" s="425" t="s">
        <v>6581</v>
      </c>
      <c r="F7569" s="432" t="s">
        <v>620</v>
      </c>
      <c r="H7569" s="433" t="s">
        <v>733</v>
      </c>
      <c r="I7569" s="311" t="str">
        <f t="shared" si="339"/>
        <v>Pesado passageiros M3:  : Gasóleo : E6</v>
      </c>
      <c r="J7569" s="433">
        <v>52</v>
      </c>
      <c r="K7569" s="422">
        <v>2023</v>
      </c>
      <c r="L7569" s="427">
        <v>21868.250000000004</v>
      </c>
      <c r="M7569" s="427" t="s">
        <v>630</v>
      </c>
      <c r="N7569" s="434">
        <v>94627.299999999988</v>
      </c>
      <c r="O7569" s="436">
        <f t="shared" si="340"/>
        <v>4920619.5999999996</v>
      </c>
      <c r="Q7569" s="422" t="s">
        <v>47</v>
      </c>
      <c r="R7569" s="422" t="s">
        <v>1869</v>
      </c>
      <c r="S7569" s="422" t="s">
        <v>1861</v>
      </c>
      <c r="T7569" s="422"/>
      <c r="U7569" s="422" t="s">
        <v>1953</v>
      </c>
      <c r="V7569" s="422" t="s">
        <v>2813</v>
      </c>
    </row>
    <row r="7570" spans="1:22" ht="15.75" thickBot="1" x14ac:dyDescent="0.3">
      <c r="A7570" s="424" t="s">
        <v>6582</v>
      </c>
      <c r="B7570" s="424" t="s">
        <v>6582</v>
      </c>
      <c r="C7570" s="424" t="s">
        <v>6582</v>
      </c>
      <c r="D7570" s="425" t="s">
        <v>6581</v>
      </c>
      <c r="F7570" s="432" t="s">
        <v>620</v>
      </c>
      <c r="H7570" s="433" t="s">
        <v>733</v>
      </c>
      <c r="I7570" s="311" t="str">
        <f t="shared" si="339"/>
        <v>Pesado passageiros M3:  : Gasóleo : E6</v>
      </c>
      <c r="J7570" s="433">
        <v>52</v>
      </c>
      <c r="K7570" s="422">
        <v>2023</v>
      </c>
      <c r="L7570" s="427">
        <v>53640.399999999994</v>
      </c>
      <c r="M7570" s="427" t="s">
        <v>630</v>
      </c>
      <c r="N7570" s="434">
        <v>165783.22999999998</v>
      </c>
      <c r="O7570" s="436">
        <f t="shared" si="340"/>
        <v>8620727.959999999</v>
      </c>
      <c r="Q7570" s="422" t="s">
        <v>47</v>
      </c>
      <c r="R7570" s="422" t="s">
        <v>1869</v>
      </c>
      <c r="S7570" s="422" t="s">
        <v>1861</v>
      </c>
      <c r="T7570" s="422"/>
      <c r="U7570" s="422" t="s">
        <v>1953</v>
      </c>
      <c r="V7570" s="422" t="s">
        <v>2813</v>
      </c>
    </row>
    <row r="7571" spans="1:22" ht="15.75" thickBot="1" x14ac:dyDescent="0.3">
      <c r="A7571" s="424" t="s">
        <v>6582</v>
      </c>
      <c r="B7571" s="424" t="s">
        <v>6582</v>
      </c>
      <c r="C7571" s="424" t="s">
        <v>6582</v>
      </c>
      <c r="D7571" s="425" t="s">
        <v>6581</v>
      </c>
      <c r="F7571" s="432" t="s">
        <v>620</v>
      </c>
      <c r="H7571" s="433" t="s">
        <v>733</v>
      </c>
      <c r="I7571" s="311" t="str">
        <f t="shared" si="339"/>
        <v>Pesado passageiros M3:  : Gasóleo : E6</v>
      </c>
      <c r="J7571" s="433">
        <v>52</v>
      </c>
      <c r="K7571" s="422">
        <v>2023</v>
      </c>
      <c r="L7571" s="427">
        <v>18967.909999999996</v>
      </c>
      <c r="M7571" s="427" t="s">
        <v>630</v>
      </c>
      <c r="N7571" s="434">
        <v>83407.780000000028</v>
      </c>
      <c r="O7571" s="436">
        <f t="shared" si="340"/>
        <v>4337204.5600000015</v>
      </c>
      <c r="Q7571" s="422" t="s">
        <v>47</v>
      </c>
      <c r="R7571" s="422" t="s">
        <v>1869</v>
      </c>
      <c r="S7571" s="422" t="s">
        <v>1861</v>
      </c>
      <c r="T7571" s="422"/>
      <c r="U7571" s="422" t="s">
        <v>1953</v>
      </c>
      <c r="V7571" s="422" t="s">
        <v>2813</v>
      </c>
    </row>
    <row r="7572" spans="1:22" ht="15.75" thickBot="1" x14ac:dyDescent="0.3">
      <c r="A7572" s="424" t="s">
        <v>6582</v>
      </c>
      <c r="B7572" s="424" t="s">
        <v>6582</v>
      </c>
      <c r="C7572" s="424" t="s">
        <v>6582</v>
      </c>
      <c r="D7572" s="425" t="s">
        <v>6581</v>
      </c>
      <c r="F7572" s="432" t="s">
        <v>620</v>
      </c>
      <c r="H7572" s="433" t="s">
        <v>731</v>
      </c>
      <c r="I7572" s="311" t="str">
        <f t="shared" si="339"/>
        <v>Pesado passageiros M3:  : Gasóleo : E4</v>
      </c>
      <c r="J7572" s="433">
        <v>58</v>
      </c>
      <c r="K7572" s="422">
        <v>2023</v>
      </c>
      <c r="L7572" s="427">
        <v>10828.79</v>
      </c>
      <c r="M7572" s="427" t="s">
        <v>630</v>
      </c>
      <c r="N7572" s="434">
        <v>28612.859999999986</v>
      </c>
      <c r="O7572" s="436">
        <f t="shared" si="340"/>
        <v>1659545.8799999992</v>
      </c>
      <c r="Q7572" s="422" t="s">
        <v>47</v>
      </c>
      <c r="R7572" s="422" t="s">
        <v>1869</v>
      </c>
      <c r="S7572" s="422" t="s">
        <v>1861</v>
      </c>
      <c r="T7572" s="422"/>
      <c r="U7572" s="422" t="s">
        <v>1953</v>
      </c>
      <c r="V7572" s="422" t="s">
        <v>2813</v>
      </c>
    </row>
    <row r="7573" spans="1:22" ht="15.75" thickBot="1" x14ac:dyDescent="0.3">
      <c r="A7573" s="424" t="s">
        <v>6582</v>
      </c>
      <c r="B7573" s="424" t="s">
        <v>6582</v>
      </c>
      <c r="C7573" s="424" t="s">
        <v>6582</v>
      </c>
      <c r="D7573" s="425" t="s">
        <v>6581</v>
      </c>
      <c r="F7573" s="432" t="s">
        <v>620</v>
      </c>
      <c r="H7573" s="433" t="s">
        <v>731</v>
      </c>
      <c r="I7573" s="311" t="str">
        <f t="shared" si="339"/>
        <v>Pesado passageiros M3:  : Gasóleo : E4</v>
      </c>
      <c r="J7573" s="433">
        <v>58</v>
      </c>
      <c r="K7573" s="422">
        <v>2023</v>
      </c>
      <c r="L7573" s="427">
        <v>11945.250000000002</v>
      </c>
      <c r="M7573" s="427" t="s">
        <v>630</v>
      </c>
      <c r="N7573" s="434">
        <v>34045.359999999986</v>
      </c>
      <c r="O7573" s="436">
        <f t="shared" si="340"/>
        <v>1974630.8799999992</v>
      </c>
      <c r="Q7573" s="422" t="s">
        <v>47</v>
      </c>
      <c r="R7573" s="422" t="s">
        <v>1869</v>
      </c>
      <c r="S7573" s="422" t="s">
        <v>1861</v>
      </c>
      <c r="T7573" s="422"/>
      <c r="U7573" s="422" t="s">
        <v>1953</v>
      </c>
      <c r="V7573" s="422" t="s">
        <v>2813</v>
      </c>
    </row>
    <row r="7574" spans="1:22" ht="15.75" thickBot="1" x14ac:dyDescent="0.3">
      <c r="A7574" s="424" t="s">
        <v>6582</v>
      </c>
      <c r="B7574" s="424" t="s">
        <v>6582</v>
      </c>
      <c r="C7574" s="424" t="s">
        <v>6582</v>
      </c>
      <c r="D7574" s="425" t="s">
        <v>6581</v>
      </c>
      <c r="F7574" s="432" t="s">
        <v>620</v>
      </c>
      <c r="H7574" s="433" t="s">
        <v>733</v>
      </c>
      <c r="I7574" s="311" t="str">
        <f t="shared" si="339"/>
        <v>Pesado passageiros M3:  : Gasóleo : E6</v>
      </c>
      <c r="J7574" s="433">
        <v>56</v>
      </c>
      <c r="K7574" s="422">
        <v>2023</v>
      </c>
      <c r="L7574" s="427">
        <v>29956.059999999965</v>
      </c>
      <c r="M7574" s="427" t="s">
        <v>630</v>
      </c>
      <c r="N7574" s="434">
        <v>123628.47999999998</v>
      </c>
      <c r="O7574" s="436">
        <f t="shared" si="340"/>
        <v>6923194.879999999</v>
      </c>
      <c r="Q7574" s="422" t="s">
        <v>47</v>
      </c>
      <c r="R7574" s="422" t="s">
        <v>1869</v>
      </c>
      <c r="S7574" s="422" t="s">
        <v>1861</v>
      </c>
      <c r="T7574" s="422"/>
      <c r="U7574" s="422" t="s">
        <v>1953</v>
      </c>
      <c r="V7574" s="422" t="s">
        <v>2813</v>
      </c>
    </row>
    <row r="7575" spans="1:22" ht="15.75" thickBot="1" x14ac:dyDescent="0.3">
      <c r="A7575" s="424" t="s">
        <v>6582</v>
      </c>
      <c r="B7575" s="424" t="s">
        <v>6582</v>
      </c>
      <c r="C7575" s="424" t="s">
        <v>6582</v>
      </c>
      <c r="D7575" s="425" t="s">
        <v>6581</v>
      </c>
      <c r="F7575" s="432" t="s">
        <v>620</v>
      </c>
      <c r="H7575" s="433" t="s">
        <v>733</v>
      </c>
      <c r="I7575" s="311" t="str">
        <f t="shared" si="339"/>
        <v>Pesado passageiros M3:  : Gasóleo : E6</v>
      </c>
      <c r="J7575" s="433">
        <v>56</v>
      </c>
      <c r="K7575" s="422">
        <v>2023</v>
      </c>
      <c r="L7575" s="427">
        <v>26260.809999999983</v>
      </c>
      <c r="M7575" s="427" t="s">
        <v>630</v>
      </c>
      <c r="N7575" s="434">
        <v>97376.659999999974</v>
      </c>
      <c r="O7575" s="436">
        <f t="shared" si="340"/>
        <v>5453092.959999999</v>
      </c>
      <c r="Q7575" s="422" t="s">
        <v>47</v>
      </c>
      <c r="R7575" s="422" t="s">
        <v>1869</v>
      </c>
      <c r="S7575" s="422" t="s">
        <v>1861</v>
      </c>
      <c r="T7575" s="422"/>
      <c r="U7575" s="422" t="s">
        <v>1953</v>
      </c>
      <c r="V7575" s="422" t="s">
        <v>2813</v>
      </c>
    </row>
    <row r="7576" spans="1:22" ht="15.75" thickBot="1" x14ac:dyDescent="0.3">
      <c r="A7576" s="424" t="s">
        <v>6582</v>
      </c>
      <c r="B7576" s="424" t="s">
        <v>6582</v>
      </c>
      <c r="C7576" s="424" t="s">
        <v>6582</v>
      </c>
      <c r="D7576" s="425" t="s">
        <v>6581</v>
      </c>
      <c r="F7576" s="432" t="s">
        <v>620</v>
      </c>
      <c r="H7576" s="433" t="s">
        <v>733</v>
      </c>
      <c r="I7576" s="311" t="str">
        <f t="shared" si="339"/>
        <v>Pesado passageiros M3:  : Gasóleo : E6</v>
      </c>
      <c r="J7576" s="433">
        <v>56</v>
      </c>
      <c r="K7576" s="422">
        <v>2023</v>
      </c>
      <c r="L7576" s="427">
        <v>31780.099999999995</v>
      </c>
      <c r="M7576" s="427" t="s">
        <v>630</v>
      </c>
      <c r="N7576" s="434">
        <v>133705.65000000002</v>
      </c>
      <c r="O7576" s="436">
        <f t="shared" si="340"/>
        <v>7487516.4000000013</v>
      </c>
      <c r="Q7576" s="422" t="s">
        <v>47</v>
      </c>
      <c r="R7576" s="422" t="s">
        <v>1869</v>
      </c>
      <c r="S7576" s="422" t="s">
        <v>1861</v>
      </c>
      <c r="T7576" s="422"/>
      <c r="U7576" s="422" t="s">
        <v>1953</v>
      </c>
      <c r="V7576" s="422" t="s">
        <v>2813</v>
      </c>
    </row>
    <row r="7577" spans="1:22" ht="15.75" thickBot="1" x14ac:dyDescent="0.3">
      <c r="A7577" s="424" t="s">
        <v>6582</v>
      </c>
      <c r="B7577" s="424" t="s">
        <v>6582</v>
      </c>
      <c r="C7577" s="424" t="s">
        <v>6582</v>
      </c>
      <c r="D7577" s="425" t="s">
        <v>6581</v>
      </c>
      <c r="F7577" s="432" t="s">
        <v>620</v>
      </c>
      <c r="H7577" s="433" t="s">
        <v>732</v>
      </c>
      <c r="I7577" s="311" t="str">
        <f t="shared" si="339"/>
        <v>Pesado passageiros M3:  : Gasóleo : E3</v>
      </c>
      <c r="J7577" s="433">
        <v>99</v>
      </c>
      <c r="K7577" s="422">
        <v>2023</v>
      </c>
      <c r="L7577" s="427">
        <v>17143.939999999995</v>
      </c>
      <c r="M7577" s="427" t="s">
        <v>630</v>
      </c>
      <c r="N7577" s="434">
        <v>34391.053159478426</v>
      </c>
      <c r="O7577" s="436">
        <f t="shared" si="340"/>
        <v>3404714.2627883642</v>
      </c>
      <c r="Q7577" s="422" t="s">
        <v>47</v>
      </c>
      <c r="R7577" s="422" t="s">
        <v>1869</v>
      </c>
      <c r="S7577" s="422" t="s">
        <v>1861</v>
      </c>
      <c r="T7577" s="422"/>
      <c r="U7577" s="422" t="s">
        <v>1953</v>
      </c>
      <c r="V7577" s="422" t="s">
        <v>2813</v>
      </c>
    </row>
    <row r="7578" spans="1:22" ht="15.75" thickBot="1" x14ac:dyDescent="0.3">
      <c r="A7578" s="424" t="s">
        <v>6582</v>
      </c>
      <c r="B7578" s="424" t="s">
        <v>6582</v>
      </c>
      <c r="C7578" s="424" t="s">
        <v>6582</v>
      </c>
      <c r="D7578" s="425" t="s">
        <v>6581</v>
      </c>
      <c r="F7578" s="432" t="s">
        <v>620</v>
      </c>
      <c r="H7578" s="433" t="s">
        <v>733</v>
      </c>
      <c r="I7578" s="311" t="str">
        <f t="shared" si="339"/>
        <v>Pesado passageiros M3:  : Gasóleo : E6</v>
      </c>
      <c r="J7578" s="433">
        <v>27</v>
      </c>
      <c r="K7578" s="422">
        <v>2023</v>
      </c>
      <c r="L7578" s="427">
        <v>11067.990000000005</v>
      </c>
      <c r="M7578" s="427" t="s">
        <v>630</v>
      </c>
      <c r="N7578" s="434">
        <v>53107</v>
      </c>
      <c r="O7578" s="436">
        <f t="shared" si="340"/>
        <v>1433889</v>
      </c>
      <c r="Q7578" s="422" t="s">
        <v>47</v>
      </c>
      <c r="R7578" s="422" t="s">
        <v>1869</v>
      </c>
      <c r="S7578" s="422" t="s">
        <v>1861</v>
      </c>
      <c r="T7578" s="422"/>
      <c r="U7578" s="422" t="s">
        <v>1953</v>
      </c>
      <c r="V7578" s="422" t="s">
        <v>2813</v>
      </c>
    </row>
    <row r="7579" spans="1:22" ht="15.75" thickBot="1" x14ac:dyDescent="0.3">
      <c r="A7579" s="424" t="s">
        <v>6582</v>
      </c>
      <c r="B7579" s="424" t="s">
        <v>6582</v>
      </c>
      <c r="C7579" s="424" t="s">
        <v>6582</v>
      </c>
      <c r="D7579" s="425" t="s">
        <v>6581</v>
      </c>
      <c r="F7579" s="432" t="s">
        <v>620</v>
      </c>
      <c r="H7579" s="433" t="s">
        <v>731</v>
      </c>
      <c r="I7579" s="311" t="str">
        <f t="shared" si="339"/>
        <v>Pesado passageiros M3:  : Gasóleo : E4</v>
      </c>
      <c r="J7579" s="433">
        <v>55</v>
      </c>
      <c r="K7579" s="422">
        <v>2023</v>
      </c>
      <c r="L7579" s="427">
        <v>1747.1299999999999</v>
      </c>
      <c r="M7579" s="427" t="s">
        <v>630</v>
      </c>
      <c r="N7579" s="434">
        <v>5619</v>
      </c>
      <c r="O7579" s="436">
        <f t="shared" si="340"/>
        <v>309045</v>
      </c>
      <c r="Q7579" s="422" t="s">
        <v>47</v>
      </c>
      <c r="R7579" s="422" t="s">
        <v>1869</v>
      </c>
      <c r="S7579" s="422" t="s">
        <v>1861</v>
      </c>
      <c r="T7579" s="422"/>
      <c r="U7579" s="422" t="s">
        <v>1953</v>
      </c>
      <c r="V7579" s="422" t="s">
        <v>2813</v>
      </c>
    </row>
    <row r="7580" spans="1:22" ht="15.75" thickBot="1" x14ac:dyDescent="0.3">
      <c r="A7580" s="424" t="s">
        <v>6582</v>
      </c>
      <c r="B7580" s="424" t="s">
        <v>6582</v>
      </c>
      <c r="C7580" s="424" t="s">
        <v>6582</v>
      </c>
      <c r="D7580" s="425" t="s">
        <v>6581</v>
      </c>
      <c r="F7580" s="432" t="s">
        <v>620</v>
      </c>
      <c r="H7580" s="433" t="s">
        <v>734</v>
      </c>
      <c r="I7580" s="311" t="str">
        <f t="shared" si="339"/>
        <v>Pesado passageiros M3:  : Gasóleo : E5</v>
      </c>
      <c r="J7580" s="433">
        <v>55</v>
      </c>
      <c r="K7580" s="422">
        <v>2023</v>
      </c>
      <c r="L7580" s="427">
        <v>24950.320000000007</v>
      </c>
      <c r="M7580" s="427" t="s">
        <v>630</v>
      </c>
      <c r="N7580" s="434">
        <v>56545</v>
      </c>
      <c r="O7580" s="436">
        <f t="shared" si="340"/>
        <v>3109975</v>
      </c>
      <c r="Q7580" s="422" t="s">
        <v>47</v>
      </c>
      <c r="R7580" s="422" t="s">
        <v>1869</v>
      </c>
      <c r="S7580" s="422" t="s">
        <v>1861</v>
      </c>
      <c r="T7580" s="422"/>
      <c r="U7580" s="422" t="s">
        <v>1953</v>
      </c>
      <c r="V7580" s="422" t="s">
        <v>2813</v>
      </c>
    </row>
    <row r="7581" spans="1:22" ht="15.75" thickBot="1" x14ac:dyDescent="0.3">
      <c r="A7581" s="424" t="s">
        <v>6582</v>
      </c>
      <c r="B7581" s="424" t="s">
        <v>6582</v>
      </c>
      <c r="C7581" s="424" t="s">
        <v>6582</v>
      </c>
      <c r="D7581" s="425" t="s">
        <v>6581</v>
      </c>
      <c r="F7581" s="432" t="s">
        <v>620</v>
      </c>
      <c r="H7581" s="433" t="s">
        <v>734</v>
      </c>
      <c r="I7581" s="311" t="str">
        <f t="shared" si="339"/>
        <v>Pesado passageiros M3:  : Gasóleo : E5</v>
      </c>
      <c r="J7581" s="433">
        <v>80</v>
      </c>
      <c r="K7581" s="422">
        <v>2023</v>
      </c>
      <c r="L7581" s="427">
        <v>28901.659999999993</v>
      </c>
      <c r="M7581" s="427" t="s">
        <v>630</v>
      </c>
      <c r="N7581" s="434">
        <v>68222</v>
      </c>
      <c r="O7581" s="436">
        <f t="shared" si="340"/>
        <v>5457760</v>
      </c>
      <c r="Q7581" s="422" t="s">
        <v>47</v>
      </c>
      <c r="R7581" s="422" t="s">
        <v>1869</v>
      </c>
      <c r="S7581" s="422" t="s">
        <v>1861</v>
      </c>
      <c r="T7581" s="422"/>
      <c r="U7581" s="422" t="s">
        <v>1953</v>
      </c>
      <c r="V7581" s="422" t="s">
        <v>2813</v>
      </c>
    </row>
    <row r="7582" spans="1:22" ht="15.75" thickBot="1" x14ac:dyDescent="0.3">
      <c r="A7582" s="424" t="s">
        <v>6582</v>
      </c>
      <c r="B7582" s="424" t="s">
        <v>6582</v>
      </c>
      <c r="C7582" s="424" t="s">
        <v>6582</v>
      </c>
      <c r="D7582" s="425" t="s">
        <v>6581</v>
      </c>
      <c r="F7582" s="432" t="s">
        <v>620</v>
      </c>
      <c r="H7582" s="433" t="s">
        <v>734</v>
      </c>
      <c r="I7582" s="311" t="str">
        <f t="shared" si="339"/>
        <v>Pesado passageiros M3:  : Gasóleo : E5</v>
      </c>
      <c r="J7582" s="433">
        <v>80</v>
      </c>
      <c r="K7582" s="422">
        <v>2023</v>
      </c>
      <c r="L7582" s="427">
        <v>30220.540000000005</v>
      </c>
      <c r="M7582" s="427" t="s">
        <v>630</v>
      </c>
      <c r="N7582" s="434">
        <v>65241</v>
      </c>
      <c r="O7582" s="436">
        <f t="shared" si="340"/>
        <v>5219280</v>
      </c>
      <c r="Q7582" s="422" t="s">
        <v>47</v>
      </c>
      <c r="R7582" s="422" t="s">
        <v>1869</v>
      </c>
      <c r="S7582" s="422" t="s">
        <v>1861</v>
      </c>
      <c r="T7582" s="422"/>
      <c r="U7582" s="422" t="s">
        <v>1953</v>
      </c>
      <c r="V7582" s="422" t="s">
        <v>2813</v>
      </c>
    </row>
    <row r="7583" spans="1:22" ht="15.75" thickBot="1" x14ac:dyDescent="0.3">
      <c r="A7583" s="424" t="s">
        <v>6582</v>
      </c>
      <c r="B7583" s="424" t="s">
        <v>6582</v>
      </c>
      <c r="C7583" s="424" t="s">
        <v>6582</v>
      </c>
      <c r="D7583" s="425" t="s">
        <v>6581</v>
      </c>
      <c r="F7583" s="432" t="s">
        <v>620</v>
      </c>
      <c r="H7583" s="433" t="s">
        <v>734</v>
      </c>
      <c r="I7583" s="311" t="str">
        <f t="shared" si="339"/>
        <v>Pesado passageiros M3:  : Gasóleo : E5</v>
      </c>
      <c r="J7583" s="433">
        <v>75</v>
      </c>
      <c r="K7583" s="422">
        <v>2023</v>
      </c>
      <c r="L7583" s="427">
        <v>24057.500000000004</v>
      </c>
      <c r="M7583" s="427" t="s">
        <v>630</v>
      </c>
      <c r="N7583" s="434">
        <v>60565</v>
      </c>
      <c r="O7583" s="436">
        <f t="shared" si="340"/>
        <v>4542375</v>
      </c>
      <c r="Q7583" s="422" t="s">
        <v>47</v>
      </c>
      <c r="R7583" s="422" t="s">
        <v>1869</v>
      </c>
      <c r="S7583" s="422" t="s">
        <v>1861</v>
      </c>
      <c r="T7583" s="422"/>
      <c r="U7583" s="422" t="s">
        <v>1953</v>
      </c>
      <c r="V7583" s="422" t="s">
        <v>2813</v>
      </c>
    </row>
    <row r="7584" spans="1:22" ht="15.75" thickBot="1" x14ac:dyDescent="0.3">
      <c r="A7584" s="424" t="s">
        <v>6582</v>
      </c>
      <c r="B7584" s="424" t="s">
        <v>6582</v>
      </c>
      <c r="C7584" s="424" t="s">
        <v>6582</v>
      </c>
      <c r="D7584" s="425" t="s">
        <v>6581</v>
      </c>
      <c r="F7584" s="432" t="s">
        <v>620</v>
      </c>
      <c r="H7584" s="433" t="s">
        <v>733</v>
      </c>
      <c r="I7584" s="311" t="str">
        <f t="shared" si="339"/>
        <v>Pesado passageiros M3:  : Gasóleo : E6</v>
      </c>
      <c r="J7584" s="433">
        <v>70</v>
      </c>
      <c r="K7584" s="422">
        <v>2023</v>
      </c>
      <c r="L7584" s="427">
        <v>16369.820000000005</v>
      </c>
      <c r="M7584" s="427" t="s">
        <v>630</v>
      </c>
      <c r="N7584" s="434">
        <v>84676</v>
      </c>
      <c r="O7584" s="436">
        <f t="shared" si="340"/>
        <v>5927320</v>
      </c>
      <c r="Q7584" s="422" t="s">
        <v>47</v>
      </c>
      <c r="R7584" s="422" t="s">
        <v>1869</v>
      </c>
      <c r="S7584" s="422" t="s">
        <v>1861</v>
      </c>
      <c r="T7584" s="422"/>
      <c r="U7584" s="422" t="s">
        <v>1953</v>
      </c>
      <c r="V7584" s="422" t="s">
        <v>2813</v>
      </c>
    </row>
    <row r="7585" spans="1:22" ht="15.75" thickBot="1" x14ac:dyDescent="0.3">
      <c r="A7585" s="424" t="s">
        <v>6582</v>
      </c>
      <c r="B7585" s="424" t="s">
        <v>6582</v>
      </c>
      <c r="C7585" s="424" t="s">
        <v>6582</v>
      </c>
      <c r="D7585" s="425" t="s">
        <v>6581</v>
      </c>
      <c r="F7585" s="432" t="s">
        <v>620</v>
      </c>
      <c r="H7585" s="433" t="s">
        <v>733</v>
      </c>
      <c r="I7585" s="311" t="str">
        <f t="shared" si="339"/>
        <v>Pesado passageiros M3:  : Gasóleo : E6</v>
      </c>
      <c r="J7585" s="433">
        <v>27</v>
      </c>
      <c r="K7585" s="422">
        <v>2023</v>
      </c>
      <c r="L7585" s="427">
        <v>11833.550000000001</v>
      </c>
      <c r="M7585" s="427" t="s">
        <v>630</v>
      </c>
      <c r="N7585" s="434">
        <v>57733</v>
      </c>
      <c r="O7585" s="436">
        <f t="shared" si="340"/>
        <v>1558791</v>
      </c>
      <c r="Q7585" s="422" t="s">
        <v>47</v>
      </c>
      <c r="R7585" s="422" t="s">
        <v>1869</v>
      </c>
      <c r="S7585" s="422" t="s">
        <v>1861</v>
      </c>
      <c r="T7585" s="422"/>
      <c r="U7585" s="422" t="s">
        <v>1953</v>
      </c>
      <c r="V7585" s="422" t="s">
        <v>2813</v>
      </c>
    </row>
    <row r="7586" spans="1:22" ht="15.75" thickBot="1" x14ac:dyDescent="0.3">
      <c r="A7586" s="424" t="s">
        <v>6582</v>
      </c>
      <c r="B7586" s="424" t="s">
        <v>6582</v>
      </c>
      <c r="C7586" s="424" t="s">
        <v>6582</v>
      </c>
      <c r="D7586" s="425" t="s">
        <v>6581</v>
      </c>
      <c r="F7586" s="432" t="s">
        <v>620</v>
      </c>
      <c r="H7586" s="433" t="s">
        <v>734</v>
      </c>
      <c r="I7586" s="311" t="str">
        <f t="shared" ref="I7586:I7624" si="345">D7586&amp;": "&amp;E7586&amp;" : "&amp;F7586&amp;" : "&amp;H7586</f>
        <v>Pesado passageiros M3:  : Gasóleo : E5</v>
      </c>
      <c r="J7586" s="433">
        <v>27</v>
      </c>
      <c r="K7586" s="422">
        <v>2023</v>
      </c>
      <c r="L7586" s="427">
        <v>40168.139999999992</v>
      </c>
      <c r="M7586" s="427" t="s">
        <v>630</v>
      </c>
      <c r="N7586" s="434">
        <v>81436</v>
      </c>
      <c r="O7586" s="436">
        <f t="shared" si="340"/>
        <v>2198772</v>
      </c>
      <c r="Q7586" s="422" t="s">
        <v>47</v>
      </c>
      <c r="R7586" s="422" t="s">
        <v>1869</v>
      </c>
      <c r="S7586" s="422" t="s">
        <v>1861</v>
      </c>
      <c r="T7586" s="422"/>
      <c r="U7586" s="422" t="s">
        <v>1953</v>
      </c>
      <c r="V7586" s="422" t="s">
        <v>2813</v>
      </c>
    </row>
    <row r="7587" spans="1:22" ht="15.75" thickBot="1" x14ac:dyDescent="0.3">
      <c r="A7587" s="424" t="s">
        <v>6582</v>
      </c>
      <c r="B7587" s="424" t="s">
        <v>6582</v>
      </c>
      <c r="C7587" s="424" t="s">
        <v>6582</v>
      </c>
      <c r="D7587" s="425" t="s">
        <v>6581</v>
      </c>
      <c r="F7587" s="432" t="s">
        <v>620</v>
      </c>
      <c r="H7587" s="433" t="s">
        <v>734</v>
      </c>
      <c r="I7587" s="311" t="str">
        <f t="shared" si="345"/>
        <v>Pesado passageiros M3:  : Gasóleo : E5</v>
      </c>
      <c r="J7587" s="433">
        <v>83</v>
      </c>
      <c r="K7587" s="422">
        <v>2023</v>
      </c>
      <c r="L7587" s="427">
        <v>32937.050000000003</v>
      </c>
      <c r="M7587" s="427" t="s">
        <v>630</v>
      </c>
      <c r="N7587" s="434">
        <v>76015</v>
      </c>
      <c r="O7587" s="436">
        <f t="shared" si="340"/>
        <v>6309245</v>
      </c>
      <c r="Q7587" s="422" t="s">
        <v>47</v>
      </c>
      <c r="R7587" s="422" t="s">
        <v>1869</v>
      </c>
      <c r="S7587" s="422" t="s">
        <v>1861</v>
      </c>
      <c r="T7587" s="422"/>
      <c r="U7587" s="422" t="s">
        <v>1953</v>
      </c>
      <c r="V7587" s="422" t="s">
        <v>2813</v>
      </c>
    </row>
    <row r="7588" spans="1:22" ht="15.75" thickBot="1" x14ac:dyDescent="0.3">
      <c r="A7588" s="424" t="s">
        <v>6582</v>
      </c>
      <c r="B7588" s="424" t="s">
        <v>6582</v>
      </c>
      <c r="C7588" s="424" t="s">
        <v>6582</v>
      </c>
      <c r="D7588" s="425" t="s">
        <v>6581</v>
      </c>
      <c r="F7588" s="432" t="s">
        <v>620</v>
      </c>
      <c r="H7588" s="433" t="s">
        <v>734</v>
      </c>
      <c r="I7588" s="311" t="str">
        <f t="shared" si="345"/>
        <v>Pesado passageiros M3:  : Gasóleo : E5</v>
      </c>
      <c r="J7588" s="433">
        <v>83</v>
      </c>
      <c r="K7588" s="422">
        <v>2023</v>
      </c>
      <c r="L7588" s="427">
        <v>35344.899999999987</v>
      </c>
      <c r="M7588" s="427" t="s">
        <v>630</v>
      </c>
      <c r="N7588" s="434">
        <v>66087</v>
      </c>
      <c r="O7588" s="436">
        <f t="shared" si="340"/>
        <v>5485221</v>
      </c>
      <c r="Q7588" s="422" t="s">
        <v>47</v>
      </c>
      <c r="R7588" s="422" t="s">
        <v>1869</v>
      </c>
      <c r="S7588" s="422" t="s">
        <v>1861</v>
      </c>
      <c r="T7588" s="422"/>
      <c r="U7588" s="422" t="s">
        <v>1953</v>
      </c>
      <c r="V7588" s="422" t="s">
        <v>2813</v>
      </c>
    </row>
    <row r="7589" spans="1:22" ht="15.75" thickBot="1" x14ac:dyDescent="0.3">
      <c r="A7589" s="424" t="s">
        <v>6582</v>
      </c>
      <c r="B7589" s="424" t="s">
        <v>6582</v>
      </c>
      <c r="C7589" s="424" t="s">
        <v>6582</v>
      </c>
      <c r="D7589" s="425" t="s">
        <v>6581</v>
      </c>
      <c r="F7589" s="432" t="s">
        <v>620</v>
      </c>
      <c r="H7589" s="433" t="s">
        <v>733</v>
      </c>
      <c r="I7589" s="311" t="str">
        <f t="shared" si="345"/>
        <v>Pesado passageiros M3:  : Gasóleo : E6</v>
      </c>
      <c r="J7589" s="433">
        <v>88</v>
      </c>
      <c r="K7589" s="422">
        <v>2023</v>
      </c>
      <c r="L7589" s="427">
        <v>39411.460000000036</v>
      </c>
      <c r="M7589" s="427" t="s">
        <v>630</v>
      </c>
      <c r="N7589" s="434">
        <v>89350</v>
      </c>
      <c r="O7589" s="436">
        <f t="shared" si="340"/>
        <v>7862800</v>
      </c>
      <c r="Q7589" s="422" t="s">
        <v>47</v>
      </c>
      <c r="R7589" s="422" t="s">
        <v>1869</v>
      </c>
      <c r="S7589" s="422" t="s">
        <v>1861</v>
      </c>
      <c r="T7589" s="422"/>
      <c r="U7589" s="422" t="s">
        <v>1953</v>
      </c>
      <c r="V7589" s="422" t="s">
        <v>2813</v>
      </c>
    </row>
    <row r="7590" spans="1:22" ht="15.75" thickBot="1" x14ac:dyDescent="0.3">
      <c r="A7590" s="424" t="s">
        <v>6582</v>
      </c>
      <c r="B7590" s="424" t="s">
        <v>6582</v>
      </c>
      <c r="C7590" s="424" t="s">
        <v>6582</v>
      </c>
      <c r="D7590" s="425" t="s">
        <v>6581</v>
      </c>
      <c r="F7590" s="432" t="s">
        <v>620</v>
      </c>
      <c r="H7590" s="433" t="s">
        <v>733</v>
      </c>
      <c r="I7590" s="311" t="str">
        <f t="shared" si="345"/>
        <v>Pesado passageiros M3:  : Gasóleo : E6</v>
      </c>
      <c r="J7590" s="433">
        <v>78</v>
      </c>
      <c r="K7590" s="422">
        <v>2023</v>
      </c>
      <c r="L7590" s="427">
        <v>35404.629999999997</v>
      </c>
      <c r="M7590" s="427" t="s">
        <v>630</v>
      </c>
      <c r="N7590" s="434">
        <v>75615</v>
      </c>
      <c r="O7590" s="436">
        <f t="shared" ref="O7590:O7624" si="346">N7590*J7590</f>
        <v>5897970</v>
      </c>
      <c r="Q7590" s="422" t="s">
        <v>47</v>
      </c>
      <c r="R7590" s="422" t="s">
        <v>1869</v>
      </c>
      <c r="S7590" s="422" t="s">
        <v>1861</v>
      </c>
      <c r="T7590" s="422"/>
      <c r="U7590" s="422" t="s">
        <v>1953</v>
      </c>
      <c r="V7590" s="422" t="s">
        <v>2813</v>
      </c>
    </row>
    <row r="7591" spans="1:22" ht="15.75" thickBot="1" x14ac:dyDescent="0.3">
      <c r="A7591" s="424" t="s">
        <v>6582</v>
      </c>
      <c r="B7591" s="424" t="s">
        <v>6582</v>
      </c>
      <c r="C7591" s="424" t="s">
        <v>6582</v>
      </c>
      <c r="D7591" s="425" t="s">
        <v>6581</v>
      </c>
      <c r="F7591" s="432" t="s">
        <v>620</v>
      </c>
      <c r="H7591" s="433" t="s">
        <v>733</v>
      </c>
      <c r="I7591" s="311" t="str">
        <f t="shared" si="345"/>
        <v>Pesado passageiros M3:  : Gasóleo : E6</v>
      </c>
      <c r="J7591" s="433">
        <v>78</v>
      </c>
      <c r="K7591" s="422">
        <v>2023</v>
      </c>
      <c r="L7591" s="427">
        <v>41519.349999999991</v>
      </c>
      <c r="M7591" s="427" t="s">
        <v>630</v>
      </c>
      <c r="N7591" s="434">
        <v>92871</v>
      </c>
      <c r="O7591" s="436">
        <f t="shared" si="346"/>
        <v>7243938</v>
      </c>
      <c r="Q7591" s="422" t="s">
        <v>47</v>
      </c>
      <c r="R7591" s="422" t="s">
        <v>1869</v>
      </c>
      <c r="S7591" s="422" t="s">
        <v>1861</v>
      </c>
      <c r="T7591" s="422"/>
      <c r="U7591" s="422" t="s">
        <v>1953</v>
      </c>
      <c r="V7591" s="422" t="s">
        <v>2813</v>
      </c>
    </row>
    <row r="7592" spans="1:22" ht="15.75" thickBot="1" x14ac:dyDescent="0.3">
      <c r="A7592" s="424" t="s">
        <v>6582</v>
      </c>
      <c r="B7592" s="424" t="s">
        <v>6582</v>
      </c>
      <c r="C7592" s="424" t="s">
        <v>6582</v>
      </c>
      <c r="D7592" s="425" t="s">
        <v>6581</v>
      </c>
      <c r="F7592" s="432" t="s">
        <v>620</v>
      </c>
      <c r="H7592" s="433" t="s">
        <v>733</v>
      </c>
      <c r="I7592" s="311" t="str">
        <f t="shared" si="345"/>
        <v>Pesado passageiros M3:  : Gasóleo : E6</v>
      </c>
      <c r="J7592" s="433">
        <v>78</v>
      </c>
      <c r="K7592" s="422">
        <v>2023</v>
      </c>
      <c r="L7592" s="427">
        <v>34700.609999999979</v>
      </c>
      <c r="M7592" s="427" t="s">
        <v>630</v>
      </c>
      <c r="N7592" s="434">
        <v>87235</v>
      </c>
      <c r="O7592" s="436">
        <f t="shared" si="346"/>
        <v>6804330</v>
      </c>
      <c r="Q7592" s="422" t="s">
        <v>47</v>
      </c>
      <c r="R7592" s="422" t="s">
        <v>1869</v>
      </c>
      <c r="S7592" s="422" t="s">
        <v>1861</v>
      </c>
      <c r="T7592" s="422"/>
      <c r="U7592" s="422" t="s">
        <v>1953</v>
      </c>
      <c r="V7592" s="422" t="s">
        <v>2813</v>
      </c>
    </row>
    <row r="7593" spans="1:22" ht="15.75" thickBot="1" x14ac:dyDescent="0.3">
      <c r="A7593" s="424" t="s">
        <v>6582</v>
      </c>
      <c r="B7593" s="424" t="s">
        <v>6582</v>
      </c>
      <c r="C7593" s="424" t="s">
        <v>6582</v>
      </c>
      <c r="D7593" s="425" t="s">
        <v>6581</v>
      </c>
      <c r="F7593" s="432" t="s">
        <v>620</v>
      </c>
      <c r="H7593" s="433" t="s">
        <v>733</v>
      </c>
      <c r="I7593" s="311" t="str">
        <f t="shared" si="345"/>
        <v>Pesado passageiros M3:  : Gasóleo : E6</v>
      </c>
      <c r="J7593" s="433">
        <v>78</v>
      </c>
      <c r="K7593" s="422">
        <v>2023</v>
      </c>
      <c r="L7593" s="427">
        <v>30025.029999999992</v>
      </c>
      <c r="M7593" s="427" t="s">
        <v>630</v>
      </c>
      <c r="N7593" s="434">
        <v>68127</v>
      </c>
      <c r="O7593" s="436">
        <f t="shared" si="346"/>
        <v>5313906</v>
      </c>
      <c r="Q7593" s="422" t="s">
        <v>47</v>
      </c>
      <c r="R7593" s="422" t="s">
        <v>1869</v>
      </c>
      <c r="S7593" s="422" t="s">
        <v>1861</v>
      </c>
      <c r="T7593" s="422"/>
      <c r="U7593" s="422" t="s">
        <v>1953</v>
      </c>
      <c r="V7593" s="422" t="s">
        <v>2813</v>
      </c>
    </row>
    <row r="7594" spans="1:22" ht="15.75" thickBot="1" x14ac:dyDescent="0.3">
      <c r="A7594" s="424" t="s">
        <v>6582</v>
      </c>
      <c r="B7594" s="424" t="s">
        <v>6582</v>
      </c>
      <c r="C7594" s="424" t="s">
        <v>6582</v>
      </c>
      <c r="D7594" s="425" t="s">
        <v>6581</v>
      </c>
      <c r="F7594" s="432" t="s">
        <v>620</v>
      </c>
      <c r="H7594" s="433" t="s">
        <v>733</v>
      </c>
      <c r="I7594" s="311" t="str">
        <f t="shared" si="345"/>
        <v>Pesado passageiros M3:  : Gasóleo : E6</v>
      </c>
      <c r="J7594" s="433">
        <v>78</v>
      </c>
      <c r="K7594" s="422">
        <v>2023</v>
      </c>
      <c r="L7594" s="427">
        <v>37610.730000000003</v>
      </c>
      <c r="M7594" s="427" t="s">
        <v>630</v>
      </c>
      <c r="N7594" s="434">
        <v>82775</v>
      </c>
      <c r="O7594" s="436">
        <f t="shared" si="346"/>
        <v>6456450</v>
      </c>
      <c r="Q7594" s="422" t="s">
        <v>47</v>
      </c>
      <c r="R7594" s="422" t="s">
        <v>1869</v>
      </c>
      <c r="S7594" s="422" t="s">
        <v>1861</v>
      </c>
      <c r="T7594" s="422"/>
      <c r="U7594" s="422" t="s">
        <v>1953</v>
      </c>
      <c r="V7594" s="422" t="s">
        <v>2813</v>
      </c>
    </row>
    <row r="7595" spans="1:22" ht="15.75" thickBot="1" x14ac:dyDescent="0.3">
      <c r="A7595" s="424" t="s">
        <v>6582</v>
      </c>
      <c r="B7595" s="424" t="s">
        <v>6582</v>
      </c>
      <c r="C7595" s="424" t="s">
        <v>6582</v>
      </c>
      <c r="D7595" s="425" t="s">
        <v>6581</v>
      </c>
      <c r="F7595" s="432" t="s">
        <v>620</v>
      </c>
      <c r="H7595" s="433" t="s">
        <v>733</v>
      </c>
      <c r="I7595" s="311" t="str">
        <f t="shared" si="345"/>
        <v>Pesado passageiros M3:  : Gasóleo : E6</v>
      </c>
      <c r="J7595" s="433">
        <v>78</v>
      </c>
      <c r="K7595" s="422">
        <v>2023</v>
      </c>
      <c r="L7595" s="427">
        <v>40711.62000000001</v>
      </c>
      <c r="M7595" s="427" t="s">
        <v>630</v>
      </c>
      <c r="N7595" s="434">
        <v>102748</v>
      </c>
      <c r="O7595" s="436">
        <f t="shared" si="346"/>
        <v>8014344</v>
      </c>
      <c r="Q7595" s="422" t="s">
        <v>47</v>
      </c>
      <c r="R7595" s="422" t="s">
        <v>1869</v>
      </c>
      <c r="S7595" s="422" t="s">
        <v>1861</v>
      </c>
      <c r="T7595" s="422"/>
      <c r="U7595" s="422" t="s">
        <v>1953</v>
      </c>
      <c r="V7595" s="422" t="s">
        <v>2813</v>
      </c>
    </row>
    <row r="7596" spans="1:22" ht="15.75" thickBot="1" x14ac:dyDescent="0.3">
      <c r="A7596" s="424" t="s">
        <v>6582</v>
      </c>
      <c r="B7596" s="424" t="s">
        <v>6582</v>
      </c>
      <c r="C7596" s="424" t="s">
        <v>6582</v>
      </c>
      <c r="D7596" s="425" t="s">
        <v>6581</v>
      </c>
      <c r="F7596" s="432" t="s">
        <v>620</v>
      </c>
      <c r="H7596" s="433" t="s">
        <v>733</v>
      </c>
      <c r="I7596" s="311" t="str">
        <f t="shared" si="345"/>
        <v>Pesado passageiros M3:  : Gasóleo : E6</v>
      </c>
      <c r="J7596" s="433">
        <v>78</v>
      </c>
      <c r="K7596" s="422">
        <v>2023</v>
      </c>
      <c r="L7596" s="427">
        <v>33531.709999999977</v>
      </c>
      <c r="M7596" s="427" t="s">
        <v>630</v>
      </c>
      <c r="N7596" s="434">
        <v>84042</v>
      </c>
      <c r="O7596" s="436">
        <f t="shared" si="346"/>
        <v>6555276</v>
      </c>
      <c r="Q7596" s="422" t="s">
        <v>47</v>
      </c>
      <c r="R7596" s="422" t="s">
        <v>1869</v>
      </c>
      <c r="S7596" s="422" t="s">
        <v>1861</v>
      </c>
      <c r="T7596" s="422"/>
      <c r="U7596" s="422" t="s">
        <v>1953</v>
      </c>
      <c r="V7596" s="422" t="s">
        <v>2813</v>
      </c>
    </row>
    <row r="7597" spans="1:22" ht="15.75" thickBot="1" x14ac:dyDescent="0.3">
      <c r="A7597" s="424" t="s">
        <v>6582</v>
      </c>
      <c r="B7597" s="424" t="s">
        <v>6582</v>
      </c>
      <c r="C7597" s="424" t="s">
        <v>6582</v>
      </c>
      <c r="D7597" s="425" t="s">
        <v>6581</v>
      </c>
      <c r="F7597" s="432" t="s">
        <v>620</v>
      </c>
      <c r="H7597" s="433" t="s">
        <v>733</v>
      </c>
      <c r="I7597" s="311" t="str">
        <f t="shared" si="345"/>
        <v>Pesado passageiros M3:  : Gasóleo : E6</v>
      </c>
      <c r="J7597" s="433">
        <v>78</v>
      </c>
      <c r="K7597" s="422">
        <v>2023</v>
      </c>
      <c r="L7597" s="427">
        <v>39201.039999999964</v>
      </c>
      <c r="M7597" s="427" t="s">
        <v>630</v>
      </c>
      <c r="N7597" s="434">
        <v>84196</v>
      </c>
      <c r="O7597" s="436">
        <f t="shared" si="346"/>
        <v>6567288</v>
      </c>
      <c r="Q7597" s="422" t="s">
        <v>47</v>
      </c>
      <c r="R7597" s="422" t="s">
        <v>1869</v>
      </c>
      <c r="S7597" s="422" t="s">
        <v>1861</v>
      </c>
      <c r="T7597" s="422"/>
      <c r="U7597" s="422" t="s">
        <v>1953</v>
      </c>
      <c r="V7597" s="422" t="s">
        <v>2813</v>
      </c>
    </row>
    <row r="7598" spans="1:22" ht="15.75" thickBot="1" x14ac:dyDescent="0.3">
      <c r="A7598" s="424" t="s">
        <v>6582</v>
      </c>
      <c r="B7598" s="424" t="s">
        <v>6582</v>
      </c>
      <c r="C7598" s="424" t="s">
        <v>6582</v>
      </c>
      <c r="D7598" s="425" t="s">
        <v>6581</v>
      </c>
      <c r="F7598" s="432" t="s">
        <v>620</v>
      </c>
      <c r="H7598" s="433" t="s">
        <v>732</v>
      </c>
      <c r="I7598" s="311" t="str">
        <f t="shared" si="345"/>
        <v>Pesado passageiros M3:  : Gasóleo : E3</v>
      </c>
      <c r="J7598" s="433">
        <v>100</v>
      </c>
      <c r="K7598" s="422">
        <v>2023</v>
      </c>
      <c r="L7598" s="427">
        <v>20553.029999999995</v>
      </c>
      <c r="M7598" s="427" t="s">
        <v>630</v>
      </c>
      <c r="N7598" s="434">
        <v>41876.589242053778</v>
      </c>
      <c r="O7598" s="436">
        <f t="shared" si="346"/>
        <v>4187658.9242053777</v>
      </c>
      <c r="Q7598" s="422" t="s">
        <v>47</v>
      </c>
      <c r="R7598" s="422" t="s">
        <v>1869</v>
      </c>
      <c r="S7598" s="422" t="s">
        <v>1861</v>
      </c>
      <c r="T7598" s="422"/>
      <c r="U7598" s="422" t="s">
        <v>1953</v>
      </c>
      <c r="V7598" s="422" t="s">
        <v>2813</v>
      </c>
    </row>
    <row r="7599" spans="1:22" ht="15.75" thickBot="1" x14ac:dyDescent="0.3">
      <c r="A7599" s="424" t="s">
        <v>6582</v>
      </c>
      <c r="B7599" s="424" t="s">
        <v>6582</v>
      </c>
      <c r="C7599" s="424" t="s">
        <v>6582</v>
      </c>
      <c r="D7599" s="425" t="s">
        <v>6581</v>
      </c>
      <c r="F7599" s="432" t="s">
        <v>620</v>
      </c>
      <c r="H7599" s="433" t="s">
        <v>732</v>
      </c>
      <c r="I7599" s="311" t="str">
        <f t="shared" si="345"/>
        <v>Pesado passageiros M3:  : Gasóleo : E3</v>
      </c>
      <c r="J7599" s="433">
        <v>100</v>
      </c>
      <c r="K7599" s="422">
        <v>2023</v>
      </c>
      <c r="L7599" s="427">
        <v>29163.239999999998</v>
      </c>
      <c r="M7599" s="427" t="s">
        <v>630</v>
      </c>
      <c r="N7599" s="434">
        <v>58431.656982568617</v>
      </c>
      <c r="O7599" s="436">
        <f t="shared" si="346"/>
        <v>5843165.6982568614</v>
      </c>
      <c r="Q7599" s="422" t="s">
        <v>47</v>
      </c>
      <c r="R7599" s="422" t="s">
        <v>1869</v>
      </c>
      <c r="S7599" s="422" t="s">
        <v>1861</v>
      </c>
      <c r="T7599" s="422"/>
      <c r="U7599" s="422" t="s">
        <v>1953</v>
      </c>
      <c r="V7599" s="422" t="s">
        <v>2813</v>
      </c>
    </row>
    <row r="7600" spans="1:22" ht="15.75" thickBot="1" x14ac:dyDescent="0.3">
      <c r="A7600" s="424" t="s">
        <v>6582</v>
      </c>
      <c r="B7600" s="424" t="s">
        <v>6582</v>
      </c>
      <c r="C7600" s="424" t="s">
        <v>6582</v>
      </c>
      <c r="D7600" s="425" t="s">
        <v>6581</v>
      </c>
      <c r="F7600" s="432" t="s">
        <v>620</v>
      </c>
      <c r="H7600" s="433" t="s">
        <v>732</v>
      </c>
      <c r="I7600" s="311" t="str">
        <f t="shared" si="345"/>
        <v>Pesado passageiros M3:  : Gasóleo : E3</v>
      </c>
      <c r="J7600" s="433">
        <v>70</v>
      </c>
      <c r="K7600" s="422">
        <v>2023</v>
      </c>
      <c r="L7600" s="427">
        <v>26408.580000000005</v>
      </c>
      <c r="M7600" s="427" t="s">
        <v>630</v>
      </c>
      <c r="N7600" s="434">
        <v>57418</v>
      </c>
      <c r="O7600" s="436">
        <f t="shared" si="346"/>
        <v>4019260</v>
      </c>
      <c r="Q7600" s="422" t="s">
        <v>47</v>
      </c>
      <c r="R7600" s="422" t="s">
        <v>1869</v>
      </c>
      <c r="S7600" s="422" t="s">
        <v>1861</v>
      </c>
      <c r="T7600" s="422"/>
      <c r="U7600" s="422" t="s">
        <v>1953</v>
      </c>
      <c r="V7600" s="422" t="s">
        <v>2813</v>
      </c>
    </row>
    <row r="7601" spans="1:22" ht="15.75" thickBot="1" x14ac:dyDescent="0.3">
      <c r="A7601" s="424" t="s">
        <v>6582</v>
      </c>
      <c r="B7601" s="424" t="s">
        <v>6582</v>
      </c>
      <c r="C7601" s="424" t="s">
        <v>6582</v>
      </c>
      <c r="D7601" s="425" t="s">
        <v>6581</v>
      </c>
      <c r="F7601" s="432" t="s">
        <v>620</v>
      </c>
      <c r="H7601" s="433" t="s">
        <v>732</v>
      </c>
      <c r="I7601" s="311" t="str">
        <f t="shared" si="345"/>
        <v>Pesado passageiros M3:  : Gasóleo : E3</v>
      </c>
      <c r="J7601" s="433">
        <v>70</v>
      </c>
      <c r="K7601" s="422">
        <v>2023</v>
      </c>
      <c r="L7601" s="427">
        <v>31267.539999999964</v>
      </c>
      <c r="M7601" s="427" t="s">
        <v>630</v>
      </c>
      <c r="N7601" s="434">
        <v>62535.079999999929</v>
      </c>
      <c r="O7601" s="436">
        <f t="shared" si="346"/>
        <v>4377455.599999995</v>
      </c>
      <c r="Q7601" s="422" t="s">
        <v>47</v>
      </c>
      <c r="R7601" s="422" t="s">
        <v>1869</v>
      </c>
      <c r="S7601" s="422" t="s">
        <v>1861</v>
      </c>
      <c r="T7601" s="422"/>
      <c r="U7601" s="422" t="s">
        <v>1953</v>
      </c>
      <c r="V7601" s="422" t="s">
        <v>2813</v>
      </c>
    </row>
    <row r="7602" spans="1:22" ht="15.75" thickBot="1" x14ac:dyDescent="0.3">
      <c r="A7602" s="424" t="s">
        <v>6582</v>
      </c>
      <c r="B7602" s="424" t="s">
        <v>6582</v>
      </c>
      <c r="C7602" s="424" t="s">
        <v>6582</v>
      </c>
      <c r="D7602" s="425" t="s">
        <v>6581</v>
      </c>
      <c r="F7602" s="432" t="s">
        <v>620</v>
      </c>
      <c r="H7602" s="433" t="s">
        <v>733</v>
      </c>
      <c r="I7602" s="311" t="str">
        <f t="shared" si="345"/>
        <v>Pesado passageiros M3:  : Gasóleo : E6</v>
      </c>
      <c r="J7602" s="433">
        <v>109</v>
      </c>
      <c r="K7602" s="422">
        <v>2023</v>
      </c>
      <c r="L7602" s="427">
        <v>464.53000000000009</v>
      </c>
      <c r="M7602" s="427" t="s">
        <v>630</v>
      </c>
      <c r="N7602" s="434">
        <v>2963</v>
      </c>
      <c r="O7602" s="436">
        <f t="shared" si="346"/>
        <v>322967</v>
      </c>
      <c r="Q7602" s="422" t="s">
        <v>47</v>
      </c>
      <c r="R7602" s="422" t="s">
        <v>1869</v>
      </c>
      <c r="S7602" s="422" t="s">
        <v>1861</v>
      </c>
      <c r="T7602" s="422"/>
      <c r="U7602" s="422" t="s">
        <v>1953</v>
      </c>
      <c r="V7602" s="422" t="s">
        <v>2813</v>
      </c>
    </row>
    <row r="7603" spans="1:22" s="422" customFormat="1" ht="15.75" thickBot="1" x14ac:dyDescent="0.3">
      <c r="A7603" s="424" t="s">
        <v>6582</v>
      </c>
      <c r="B7603" s="424" t="s">
        <v>6582</v>
      </c>
      <c r="C7603" s="424" t="s">
        <v>6582</v>
      </c>
      <c r="D7603" s="425" t="s">
        <v>623</v>
      </c>
      <c r="F7603" s="432" t="s">
        <v>620</v>
      </c>
      <c r="G7603" s="428"/>
      <c r="H7603" s="433" t="s">
        <v>734</v>
      </c>
      <c r="I7603" s="311" t="str">
        <f t="shared" si="345"/>
        <v>Ligeiro de Passageiros M1:  : Gasóleo : E5</v>
      </c>
      <c r="J7603" s="433">
        <v>8</v>
      </c>
      <c r="K7603" s="422">
        <v>2023</v>
      </c>
      <c r="L7603" s="427">
        <v>3547.8000000000006</v>
      </c>
      <c r="M7603" s="427" t="s">
        <v>630</v>
      </c>
      <c r="N7603" s="434">
        <v>31068</v>
      </c>
      <c r="O7603" s="436">
        <f t="shared" si="346"/>
        <v>248544</v>
      </c>
      <c r="P7603" s="428"/>
      <c r="Q7603" s="422" t="s">
        <v>47</v>
      </c>
      <c r="R7603" s="422" t="s">
        <v>1869</v>
      </c>
      <c r="S7603" s="422" t="s">
        <v>1861</v>
      </c>
      <c r="U7603" s="422" t="s">
        <v>1953</v>
      </c>
      <c r="V7603" s="422" t="s">
        <v>2813</v>
      </c>
    </row>
    <row r="7604" spans="1:22" s="422" customFormat="1" ht="15.75" thickBot="1" x14ac:dyDescent="0.3">
      <c r="A7604" s="424" t="s">
        <v>6582</v>
      </c>
      <c r="B7604" s="424" t="s">
        <v>6582</v>
      </c>
      <c r="C7604" s="424" t="s">
        <v>6582</v>
      </c>
      <c r="D7604" s="425" t="s">
        <v>623</v>
      </c>
      <c r="F7604" s="432" t="s">
        <v>620</v>
      </c>
      <c r="G7604" s="428"/>
      <c r="H7604" s="433" t="s">
        <v>734</v>
      </c>
      <c r="I7604" s="311" t="str">
        <f t="shared" si="345"/>
        <v>Ligeiro de Passageiros M1:  : Gasóleo : E5</v>
      </c>
      <c r="J7604" s="433">
        <v>8</v>
      </c>
      <c r="K7604" s="422">
        <v>2023</v>
      </c>
      <c r="L7604" s="427">
        <v>5409.2000000000007</v>
      </c>
      <c r="M7604" s="427" t="s">
        <v>630</v>
      </c>
      <c r="N7604" s="434">
        <v>54447.200000000012</v>
      </c>
      <c r="O7604" s="436">
        <f t="shared" si="346"/>
        <v>435577.60000000009</v>
      </c>
      <c r="P7604" s="428"/>
      <c r="Q7604" s="422" t="s">
        <v>47</v>
      </c>
      <c r="R7604" s="422" t="s">
        <v>1869</v>
      </c>
      <c r="S7604" s="422" t="s">
        <v>1861</v>
      </c>
      <c r="U7604" s="422" t="s">
        <v>1953</v>
      </c>
      <c r="V7604" s="422" t="s">
        <v>2813</v>
      </c>
    </row>
    <row r="7605" spans="1:22" s="422" customFormat="1" ht="15.75" thickBot="1" x14ac:dyDescent="0.3">
      <c r="A7605" s="424" t="s">
        <v>6583</v>
      </c>
      <c r="B7605" s="424" t="s">
        <v>6583</v>
      </c>
      <c r="C7605" s="424" t="s">
        <v>6583</v>
      </c>
      <c r="D7605" s="425" t="s">
        <v>623</v>
      </c>
      <c r="F7605" s="432" t="s">
        <v>620</v>
      </c>
      <c r="G7605" s="428"/>
      <c r="H7605" s="433" t="s">
        <v>734</v>
      </c>
      <c r="I7605" s="311" t="str">
        <f t="shared" ref="I7605" si="347">D7605&amp;": "&amp;E7605&amp;" : "&amp;F7605&amp;" : "&amp;H7605</f>
        <v>Ligeiro de Passageiros M1:  : Gasóleo : E5</v>
      </c>
      <c r="J7605" s="433">
        <v>8</v>
      </c>
      <c r="K7605" s="422">
        <v>2023</v>
      </c>
      <c r="L7605" s="427">
        <v>2657.9300000000003</v>
      </c>
      <c r="M7605" s="427" t="s">
        <v>630</v>
      </c>
      <c r="N7605" s="434">
        <v>31709.479999999981</v>
      </c>
      <c r="O7605" s="436">
        <f t="shared" si="346"/>
        <v>253675.83999999985</v>
      </c>
      <c r="P7605" s="428"/>
      <c r="Q7605" s="422" t="s">
        <v>47</v>
      </c>
      <c r="R7605" s="422" t="s">
        <v>1869</v>
      </c>
      <c r="S7605" s="422" t="s">
        <v>1861</v>
      </c>
      <c r="U7605" s="422" t="s">
        <v>1953</v>
      </c>
      <c r="V7605" s="422" t="s">
        <v>2813</v>
      </c>
    </row>
    <row r="7606" spans="1:22" ht="15.75" thickBot="1" x14ac:dyDescent="0.3">
      <c r="A7606" s="424" t="s">
        <v>6583</v>
      </c>
      <c r="B7606" s="424" t="s">
        <v>6583</v>
      </c>
      <c r="C7606" s="424" t="s">
        <v>6583</v>
      </c>
      <c r="D7606" s="425" t="s">
        <v>6581</v>
      </c>
      <c r="F7606" s="432" t="s">
        <v>620</v>
      </c>
      <c r="H7606" s="433" t="s">
        <v>732</v>
      </c>
      <c r="I7606" s="311" t="str">
        <f t="shared" si="345"/>
        <v>Pesado passageiros M3:  : Gasóleo : E3</v>
      </c>
      <c r="J7606" s="433">
        <v>52</v>
      </c>
      <c r="K7606" s="422">
        <v>2023</v>
      </c>
      <c r="L7606" s="427">
        <v>8319.880000000001</v>
      </c>
      <c r="M7606" s="427" t="s">
        <v>630</v>
      </c>
      <c r="N7606" s="434">
        <v>19841</v>
      </c>
      <c r="O7606" s="436">
        <f t="shared" si="346"/>
        <v>1031732</v>
      </c>
      <c r="Q7606" s="422" t="s">
        <v>47</v>
      </c>
      <c r="R7606" s="422" t="s">
        <v>1869</v>
      </c>
      <c r="S7606" s="422" t="s">
        <v>1861</v>
      </c>
      <c r="T7606" s="422"/>
      <c r="U7606" s="422" t="s">
        <v>1953</v>
      </c>
      <c r="V7606" s="422" t="s">
        <v>2813</v>
      </c>
    </row>
    <row r="7607" spans="1:22" ht="15.75" thickBot="1" x14ac:dyDescent="0.3">
      <c r="A7607" s="424" t="s">
        <v>6583</v>
      </c>
      <c r="B7607" s="424" t="s">
        <v>6583</v>
      </c>
      <c r="C7607" s="424" t="s">
        <v>6583</v>
      </c>
      <c r="D7607" s="425" t="s">
        <v>6581</v>
      </c>
      <c r="F7607" s="432" t="s">
        <v>620</v>
      </c>
      <c r="H7607" s="433" t="s">
        <v>732</v>
      </c>
      <c r="I7607" s="311" t="str">
        <f t="shared" si="345"/>
        <v>Pesado passageiros M3:  : Gasóleo : E3</v>
      </c>
      <c r="J7607" s="433">
        <v>52</v>
      </c>
      <c r="K7607" s="422">
        <v>2023</v>
      </c>
      <c r="L7607" s="427">
        <v>7714.3899999999985</v>
      </c>
      <c r="M7607" s="427" t="s">
        <v>630</v>
      </c>
      <c r="N7607" s="434">
        <v>17105</v>
      </c>
      <c r="O7607" s="436">
        <f t="shared" si="346"/>
        <v>889460</v>
      </c>
      <c r="Q7607" s="422" t="s">
        <v>47</v>
      </c>
      <c r="R7607" s="422" t="s">
        <v>1869</v>
      </c>
      <c r="S7607" s="422" t="s">
        <v>1861</v>
      </c>
      <c r="T7607" s="422"/>
      <c r="U7607" s="422" t="s">
        <v>1953</v>
      </c>
      <c r="V7607" s="422" t="s">
        <v>2813</v>
      </c>
    </row>
    <row r="7608" spans="1:22" ht="15.75" thickBot="1" x14ac:dyDescent="0.3">
      <c r="A7608" s="424" t="s">
        <v>6583</v>
      </c>
      <c r="B7608" s="424" t="s">
        <v>6583</v>
      </c>
      <c r="C7608" s="424" t="s">
        <v>6583</v>
      </c>
      <c r="D7608" s="425" t="s">
        <v>6581</v>
      </c>
      <c r="F7608" s="432" t="s">
        <v>620</v>
      </c>
      <c r="H7608" s="433" t="s">
        <v>731</v>
      </c>
      <c r="I7608" s="311" t="str">
        <f t="shared" si="345"/>
        <v>Pesado passageiros M3:  : Gasóleo : E4</v>
      </c>
      <c r="J7608" s="433">
        <v>27</v>
      </c>
      <c r="K7608" s="422">
        <v>2023</v>
      </c>
      <c r="L7608" s="427">
        <v>8095.5900000000011</v>
      </c>
      <c r="M7608" s="427" t="s">
        <v>630</v>
      </c>
      <c r="N7608" s="434">
        <v>42635.310000000056</v>
      </c>
      <c r="O7608" s="436">
        <f t="shared" si="346"/>
        <v>1151153.3700000015</v>
      </c>
      <c r="Q7608" s="422" t="s">
        <v>47</v>
      </c>
      <c r="R7608" s="422" t="s">
        <v>1869</v>
      </c>
      <c r="S7608" s="422" t="s">
        <v>1861</v>
      </c>
      <c r="T7608" s="422"/>
      <c r="U7608" s="422" t="s">
        <v>1953</v>
      </c>
      <c r="V7608" s="422" t="s">
        <v>2813</v>
      </c>
    </row>
    <row r="7609" spans="1:22" ht="15.75" thickBot="1" x14ac:dyDescent="0.3">
      <c r="A7609" s="424" t="s">
        <v>6583</v>
      </c>
      <c r="B7609" s="424" t="s">
        <v>6583</v>
      </c>
      <c r="C7609" s="424" t="s">
        <v>6583</v>
      </c>
      <c r="D7609" s="425" t="s">
        <v>6581</v>
      </c>
      <c r="F7609" s="432" t="s">
        <v>620</v>
      </c>
      <c r="H7609" s="433" t="s">
        <v>731</v>
      </c>
      <c r="I7609" s="311" t="str">
        <f t="shared" si="345"/>
        <v>Pesado passageiros M3:  : Gasóleo : E4</v>
      </c>
      <c r="J7609" s="433">
        <v>56</v>
      </c>
      <c r="K7609" s="422">
        <v>2023</v>
      </c>
      <c r="L7609" s="427">
        <v>18919.040000000005</v>
      </c>
      <c r="M7609" s="427" t="s">
        <v>630</v>
      </c>
      <c r="N7609" s="434">
        <v>62952.310000000056</v>
      </c>
      <c r="O7609" s="436">
        <f t="shared" si="346"/>
        <v>3525329.3600000031</v>
      </c>
      <c r="Q7609" s="422" t="s">
        <v>47</v>
      </c>
      <c r="R7609" s="422" t="s">
        <v>1869</v>
      </c>
      <c r="S7609" s="422" t="s">
        <v>1861</v>
      </c>
      <c r="T7609" s="422"/>
      <c r="U7609" s="422" t="s">
        <v>1953</v>
      </c>
      <c r="V7609" s="422" t="s">
        <v>2813</v>
      </c>
    </row>
    <row r="7610" spans="1:22" ht="15.75" thickBot="1" x14ac:dyDescent="0.3">
      <c r="A7610" s="424" t="s">
        <v>6583</v>
      </c>
      <c r="B7610" s="424" t="s">
        <v>6583</v>
      </c>
      <c r="C7610" s="424" t="s">
        <v>6583</v>
      </c>
      <c r="D7610" s="425" t="s">
        <v>6581</v>
      </c>
      <c r="F7610" s="432" t="s">
        <v>620</v>
      </c>
      <c r="H7610" s="433" t="s">
        <v>731</v>
      </c>
      <c r="I7610" s="311" t="str">
        <f t="shared" si="345"/>
        <v>Pesado passageiros M3:  : Gasóleo : E4</v>
      </c>
      <c r="J7610" s="433">
        <v>56</v>
      </c>
      <c r="K7610" s="422">
        <v>2023</v>
      </c>
      <c r="L7610" s="427">
        <v>15611.639999999996</v>
      </c>
      <c r="M7610" s="427" t="s">
        <v>630</v>
      </c>
      <c r="N7610" s="434">
        <v>36739.829999999958</v>
      </c>
      <c r="O7610" s="436">
        <f t="shared" si="346"/>
        <v>2057430.4799999977</v>
      </c>
      <c r="Q7610" s="422" t="s">
        <v>47</v>
      </c>
      <c r="R7610" s="422" t="s">
        <v>1869</v>
      </c>
      <c r="S7610" s="422" t="s">
        <v>1861</v>
      </c>
      <c r="T7610" s="422"/>
      <c r="U7610" s="422" t="s">
        <v>1953</v>
      </c>
      <c r="V7610" s="422" t="s">
        <v>2813</v>
      </c>
    </row>
    <row r="7611" spans="1:22" ht="15.75" thickBot="1" x14ac:dyDescent="0.3">
      <c r="A7611" s="424" t="s">
        <v>6583</v>
      </c>
      <c r="B7611" s="424" t="s">
        <v>6583</v>
      </c>
      <c r="C7611" s="424" t="s">
        <v>6583</v>
      </c>
      <c r="D7611" s="425" t="s">
        <v>6581</v>
      </c>
      <c r="F7611" s="432" t="s">
        <v>620</v>
      </c>
      <c r="H7611" s="433" t="s">
        <v>731</v>
      </c>
      <c r="I7611" s="311" t="str">
        <f t="shared" si="345"/>
        <v>Pesado passageiros M3:  : Gasóleo : E4</v>
      </c>
      <c r="J7611" s="433">
        <v>51</v>
      </c>
      <c r="K7611" s="422">
        <v>2023</v>
      </c>
      <c r="L7611" s="427">
        <v>23962.289999999983</v>
      </c>
      <c r="M7611" s="427" t="s">
        <v>630</v>
      </c>
      <c r="N7611" s="434">
        <v>69116.090000000084</v>
      </c>
      <c r="O7611" s="436">
        <f t="shared" si="346"/>
        <v>3524920.5900000045</v>
      </c>
      <c r="Q7611" s="422" t="s">
        <v>47</v>
      </c>
      <c r="R7611" s="422" t="s">
        <v>1869</v>
      </c>
      <c r="S7611" s="422" t="s">
        <v>1861</v>
      </c>
      <c r="T7611" s="422"/>
      <c r="U7611" s="422" t="s">
        <v>1953</v>
      </c>
      <c r="V7611" s="422" t="s">
        <v>2813</v>
      </c>
    </row>
    <row r="7612" spans="1:22" ht="15.75" thickBot="1" x14ac:dyDescent="0.3">
      <c r="A7612" s="424" t="s">
        <v>6583</v>
      </c>
      <c r="B7612" s="424" t="s">
        <v>6583</v>
      </c>
      <c r="C7612" s="424" t="s">
        <v>6583</v>
      </c>
      <c r="D7612" s="425" t="s">
        <v>6581</v>
      </c>
      <c r="F7612" s="432" t="s">
        <v>620</v>
      </c>
      <c r="H7612" s="433" t="s">
        <v>731</v>
      </c>
      <c r="I7612" s="311" t="str">
        <f t="shared" si="345"/>
        <v>Pesado passageiros M3:  : Gasóleo : E4</v>
      </c>
      <c r="J7612" s="433">
        <v>28</v>
      </c>
      <c r="K7612" s="422">
        <v>2023</v>
      </c>
      <c r="L7612" s="427">
        <v>4969.1300000000019</v>
      </c>
      <c r="M7612" s="427" t="s">
        <v>630</v>
      </c>
      <c r="N7612" s="434">
        <v>27161.339999999967</v>
      </c>
      <c r="O7612" s="436">
        <f t="shared" si="346"/>
        <v>760517.51999999909</v>
      </c>
      <c r="Q7612" s="422" t="s">
        <v>47</v>
      </c>
      <c r="R7612" s="422" t="s">
        <v>1869</v>
      </c>
      <c r="S7612" s="422" t="s">
        <v>1861</v>
      </c>
      <c r="T7612" s="422"/>
      <c r="U7612" s="422" t="s">
        <v>1953</v>
      </c>
      <c r="V7612" s="422" t="s">
        <v>2813</v>
      </c>
    </row>
    <row r="7613" spans="1:22" ht="15.75" thickBot="1" x14ac:dyDescent="0.3">
      <c r="A7613" s="424" t="s">
        <v>6583</v>
      </c>
      <c r="B7613" s="424" t="s">
        <v>6583</v>
      </c>
      <c r="C7613" s="424" t="s">
        <v>6583</v>
      </c>
      <c r="D7613" s="425" t="s">
        <v>6581</v>
      </c>
      <c r="F7613" s="432" t="s">
        <v>620</v>
      </c>
      <c r="H7613" s="433" t="s">
        <v>731</v>
      </c>
      <c r="I7613" s="311" t="str">
        <f t="shared" si="345"/>
        <v>Pesado passageiros M3:  : Gasóleo : E4</v>
      </c>
      <c r="J7613" s="433">
        <v>33</v>
      </c>
      <c r="K7613" s="422">
        <v>2023</v>
      </c>
      <c r="L7613" s="427">
        <v>13663.200000000003</v>
      </c>
      <c r="M7613" s="427" t="s">
        <v>630</v>
      </c>
      <c r="N7613" s="434">
        <v>54220.75</v>
      </c>
      <c r="O7613" s="436">
        <f t="shared" si="346"/>
        <v>1789284.75</v>
      </c>
      <c r="Q7613" s="422" t="s">
        <v>47</v>
      </c>
      <c r="R7613" s="422" t="s">
        <v>1869</v>
      </c>
      <c r="S7613" s="422" t="s">
        <v>1861</v>
      </c>
      <c r="T7613" s="422"/>
      <c r="U7613" s="422" t="s">
        <v>1953</v>
      </c>
      <c r="V7613" s="422" t="s">
        <v>2813</v>
      </c>
    </row>
    <row r="7614" spans="1:22" ht="15.75" thickBot="1" x14ac:dyDescent="0.3">
      <c r="A7614" s="424" t="s">
        <v>6583</v>
      </c>
      <c r="B7614" s="424" t="s">
        <v>6583</v>
      </c>
      <c r="C7614" s="424" t="s">
        <v>6583</v>
      </c>
      <c r="D7614" s="425" t="s">
        <v>6581</v>
      </c>
      <c r="F7614" s="432" t="s">
        <v>620</v>
      </c>
      <c r="H7614" s="433" t="s">
        <v>732</v>
      </c>
      <c r="I7614" s="311" t="str">
        <f t="shared" si="345"/>
        <v>Pesado passageiros M3:  : Gasóleo : E3</v>
      </c>
      <c r="J7614" s="433">
        <v>52</v>
      </c>
      <c r="K7614" s="422">
        <v>2023</v>
      </c>
      <c r="L7614" s="427">
        <v>6206.5500000000011</v>
      </c>
      <c r="M7614" s="427" t="s">
        <v>630</v>
      </c>
      <c r="N7614" s="434">
        <v>16558</v>
      </c>
      <c r="O7614" s="436">
        <f t="shared" si="346"/>
        <v>861016</v>
      </c>
      <c r="Q7614" s="422" t="s">
        <v>47</v>
      </c>
      <c r="R7614" s="422" t="s">
        <v>1869</v>
      </c>
      <c r="S7614" s="422" t="s">
        <v>1861</v>
      </c>
      <c r="T7614" s="422"/>
      <c r="U7614" s="422" t="s">
        <v>1953</v>
      </c>
      <c r="V7614" s="422" t="s">
        <v>2813</v>
      </c>
    </row>
    <row r="7615" spans="1:22" ht="15.75" thickBot="1" x14ac:dyDescent="0.3">
      <c r="A7615" s="424" t="s">
        <v>6583</v>
      </c>
      <c r="B7615" s="424" t="s">
        <v>6583</v>
      </c>
      <c r="C7615" s="424" t="s">
        <v>6583</v>
      </c>
      <c r="D7615" s="425" t="s">
        <v>6581</v>
      </c>
      <c r="F7615" s="432" t="s">
        <v>620</v>
      </c>
      <c r="H7615" s="433" t="s">
        <v>732</v>
      </c>
      <c r="I7615" s="311" t="str">
        <f t="shared" si="345"/>
        <v>Pesado passageiros M3:  : Gasóleo : E3</v>
      </c>
      <c r="J7615" s="433">
        <v>70</v>
      </c>
      <c r="K7615" s="422">
        <v>2023</v>
      </c>
      <c r="L7615" s="427">
        <v>5215.590000000002</v>
      </c>
      <c r="M7615" s="427" t="s">
        <v>630</v>
      </c>
      <c r="N7615" s="434">
        <v>17305.990000000224</v>
      </c>
      <c r="O7615" s="436">
        <f t="shared" si="346"/>
        <v>1211419.3000000156</v>
      </c>
      <c r="Q7615" s="422" t="s">
        <v>47</v>
      </c>
      <c r="R7615" s="422" t="s">
        <v>1869</v>
      </c>
      <c r="S7615" s="422" t="s">
        <v>1861</v>
      </c>
      <c r="T7615" s="422"/>
      <c r="U7615" s="422" t="s">
        <v>1953</v>
      </c>
      <c r="V7615" s="422" t="s">
        <v>2813</v>
      </c>
    </row>
    <row r="7616" spans="1:22" ht="15.75" thickBot="1" x14ac:dyDescent="0.3">
      <c r="A7616" s="424" t="s">
        <v>6583</v>
      </c>
      <c r="B7616" s="424" t="s">
        <v>6583</v>
      </c>
      <c r="C7616" s="424" t="s">
        <v>6583</v>
      </c>
      <c r="D7616" s="425" t="s">
        <v>6581</v>
      </c>
      <c r="F7616" s="432" t="s">
        <v>620</v>
      </c>
      <c r="H7616" s="433" t="s">
        <v>731</v>
      </c>
      <c r="I7616" s="311" t="str">
        <f t="shared" si="345"/>
        <v>Pesado passageiros M3:  : Gasóleo : E4</v>
      </c>
      <c r="J7616" s="433">
        <v>29</v>
      </c>
      <c r="K7616" s="422">
        <v>2023</v>
      </c>
      <c r="L7616" s="427">
        <v>3907.2600000000007</v>
      </c>
      <c r="M7616" s="427" t="s">
        <v>630</v>
      </c>
      <c r="N7616" s="434">
        <v>18697.619999999995</v>
      </c>
      <c r="O7616" s="436">
        <f t="shared" si="346"/>
        <v>542230.97999999986</v>
      </c>
      <c r="Q7616" s="422" t="s">
        <v>47</v>
      </c>
      <c r="R7616" s="422" t="s">
        <v>1869</v>
      </c>
      <c r="S7616" s="422" t="s">
        <v>1861</v>
      </c>
      <c r="T7616" s="422"/>
      <c r="U7616" s="422" t="s">
        <v>1953</v>
      </c>
      <c r="V7616" s="422" t="s">
        <v>2813</v>
      </c>
    </row>
    <row r="7617" spans="1:22" ht="15.75" thickBot="1" x14ac:dyDescent="0.3">
      <c r="A7617" s="424" t="s">
        <v>6583</v>
      </c>
      <c r="B7617" s="424" t="s">
        <v>6583</v>
      </c>
      <c r="C7617" s="424" t="s">
        <v>6583</v>
      </c>
      <c r="D7617" s="425" t="s">
        <v>6581</v>
      </c>
      <c r="F7617" s="432" t="s">
        <v>620</v>
      </c>
      <c r="H7617" s="433" t="s">
        <v>731</v>
      </c>
      <c r="I7617" s="311" t="str">
        <f t="shared" si="345"/>
        <v>Pesado passageiros M3:  : Gasóleo : E4</v>
      </c>
      <c r="J7617" s="433">
        <v>77</v>
      </c>
      <c r="K7617" s="422">
        <v>2023</v>
      </c>
      <c r="L7617" s="427">
        <v>27012.269999999975</v>
      </c>
      <c r="M7617" s="427" t="s">
        <v>630</v>
      </c>
      <c r="N7617" s="434">
        <v>64027.229999999981</v>
      </c>
      <c r="O7617" s="436">
        <f t="shared" si="346"/>
        <v>4930096.709999999</v>
      </c>
      <c r="Q7617" s="422" t="s">
        <v>47</v>
      </c>
      <c r="R7617" s="422" t="s">
        <v>1869</v>
      </c>
      <c r="S7617" s="422" t="s">
        <v>1861</v>
      </c>
      <c r="T7617" s="422"/>
      <c r="U7617" s="422" t="s">
        <v>1953</v>
      </c>
      <c r="V7617" s="422" t="s">
        <v>2813</v>
      </c>
    </row>
    <row r="7618" spans="1:22" ht="15.75" thickBot="1" x14ac:dyDescent="0.3">
      <c r="A7618" s="424" t="s">
        <v>6583</v>
      </c>
      <c r="B7618" s="424" t="s">
        <v>6583</v>
      </c>
      <c r="C7618" s="424" t="s">
        <v>6583</v>
      </c>
      <c r="D7618" s="425" t="s">
        <v>6581</v>
      </c>
      <c r="F7618" s="432" t="s">
        <v>620</v>
      </c>
      <c r="H7618" s="433" t="s">
        <v>731</v>
      </c>
      <c r="I7618" s="311" t="str">
        <f t="shared" si="345"/>
        <v>Pesado passageiros M3:  : Gasóleo : E4</v>
      </c>
      <c r="J7618" s="433">
        <v>32</v>
      </c>
      <c r="K7618" s="422">
        <v>2023</v>
      </c>
      <c r="L7618" s="427">
        <v>6587.59</v>
      </c>
      <c r="M7618" s="427" t="s">
        <v>630</v>
      </c>
      <c r="N7618" s="434">
        <v>22224.239999999991</v>
      </c>
      <c r="O7618" s="436">
        <f t="shared" si="346"/>
        <v>711175.6799999997</v>
      </c>
      <c r="Q7618" s="422" t="s">
        <v>47</v>
      </c>
      <c r="R7618" s="422" t="s">
        <v>1869</v>
      </c>
      <c r="S7618" s="422" t="s">
        <v>1861</v>
      </c>
      <c r="T7618" s="422"/>
      <c r="U7618" s="422" t="s">
        <v>1953</v>
      </c>
      <c r="V7618" s="422" t="s">
        <v>2813</v>
      </c>
    </row>
    <row r="7619" spans="1:22" ht="15.75" thickBot="1" x14ac:dyDescent="0.3">
      <c r="A7619" s="424" t="s">
        <v>6583</v>
      </c>
      <c r="B7619" s="424" t="s">
        <v>6583</v>
      </c>
      <c r="C7619" s="424" t="s">
        <v>6583</v>
      </c>
      <c r="D7619" s="425" t="s">
        <v>6581</v>
      </c>
      <c r="F7619" s="432" t="s">
        <v>620</v>
      </c>
      <c r="H7619" s="433" t="s">
        <v>731</v>
      </c>
      <c r="I7619" s="311" t="str">
        <f t="shared" si="345"/>
        <v>Pesado passageiros M3:  : Gasóleo : E4</v>
      </c>
      <c r="J7619" s="433">
        <v>64</v>
      </c>
      <c r="K7619" s="422">
        <v>2023</v>
      </c>
      <c r="L7619" s="427">
        <v>18753.440000000002</v>
      </c>
      <c r="M7619" s="427" t="s">
        <v>630</v>
      </c>
      <c r="N7619" s="434">
        <v>63960</v>
      </c>
      <c r="O7619" s="436">
        <f t="shared" si="346"/>
        <v>4093440</v>
      </c>
      <c r="Q7619" s="422" t="s">
        <v>47</v>
      </c>
      <c r="R7619" s="422" t="s">
        <v>1869</v>
      </c>
      <c r="S7619" s="422" t="s">
        <v>1861</v>
      </c>
      <c r="T7619" s="422"/>
      <c r="U7619" s="422" t="s">
        <v>1953</v>
      </c>
      <c r="V7619" s="422" t="s">
        <v>2813</v>
      </c>
    </row>
    <row r="7620" spans="1:22" ht="15.75" thickBot="1" x14ac:dyDescent="0.3">
      <c r="A7620" s="424" t="s">
        <v>6583</v>
      </c>
      <c r="B7620" s="424" t="s">
        <v>6583</v>
      </c>
      <c r="C7620" s="424" t="s">
        <v>6583</v>
      </c>
      <c r="D7620" s="425" t="s">
        <v>6581</v>
      </c>
      <c r="F7620" s="432" t="s">
        <v>620</v>
      </c>
      <c r="H7620" s="433" t="s">
        <v>733</v>
      </c>
      <c r="I7620" s="311" t="str">
        <f t="shared" si="345"/>
        <v>Pesado passageiros M3:  : Gasóleo : E6</v>
      </c>
      <c r="J7620" s="433">
        <v>55</v>
      </c>
      <c r="K7620" s="422">
        <v>2023</v>
      </c>
      <c r="L7620" s="427">
        <v>19721.170000000002</v>
      </c>
      <c r="M7620" s="427" t="s">
        <v>630</v>
      </c>
      <c r="N7620" s="434">
        <v>90747.12</v>
      </c>
      <c r="O7620" s="436">
        <f t="shared" si="346"/>
        <v>4991091.5999999996</v>
      </c>
      <c r="Q7620" s="422" t="s">
        <v>47</v>
      </c>
      <c r="R7620" s="422" t="s">
        <v>1869</v>
      </c>
      <c r="S7620" s="422" t="s">
        <v>1861</v>
      </c>
      <c r="T7620" s="422"/>
      <c r="U7620" s="422" t="s">
        <v>1953</v>
      </c>
      <c r="V7620" s="422" t="s">
        <v>2813</v>
      </c>
    </row>
    <row r="7621" spans="1:22" ht="15.75" thickBot="1" x14ac:dyDescent="0.3">
      <c r="A7621" s="424" t="s">
        <v>6583</v>
      </c>
      <c r="B7621" s="424" t="s">
        <v>6583</v>
      </c>
      <c r="C7621" s="424" t="s">
        <v>6583</v>
      </c>
      <c r="D7621" s="425" t="s">
        <v>6581</v>
      </c>
      <c r="F7621" s="432" t="s">
        <v>620</v>
      </c>
      <c r="H7621" s="433" t="s">
        <v>734</v>
      </c>
      <c r="I7621" s="311" t="str">
        <f t="shared" si="345"/>
        <v>Pesado passageiros M3:  : Gasóleo : E5</v>
      </c>
      <c r="J7621" s="433">
        <v>79</v>
      </c>
      <c r="K7621" s="422">
        <v>2023</v>
      </c>
      <c r="L7621" s="427">
        <v>23452.309999999979</v>
      </c>
      <c r="M7621" s="427" t="s">
        <v>630</v>
      </c>
      <c r="N7621" s="434">
        <v>63723.959999999963</v>
      </c>
      <c r="O7621" s="436">
        <f t="shared" si="346"/>
        <v>5034192.8399999971</v>
      </c>
      <c r="Q7621" s="422" t="s">
        <v>47</v>
      </c>
      <c r="R7621" s="422" t="s">
        <v>1869</v>
      </c>
      <c r="S7621" s="422" t="s">
        <v>1861</v>
      </c>
      <c r="T7621" s="422"/>
      <c r="U7621" s="422" t="s">
        <v>1953</v>
      </c>
      <c r="V7621" s="422" t="s">
        <v>2813</v>
      </c>
    </row>
    <row r="7622" spans="1:22" ht="15.75" thickBot="1" x14ac:dyDescent="0.3">
      <c r="A7622" s="424" t="s">
        <v>6583</v>
      </c>
      <c r="B7622" s="424" t="s">
        <v>6583</v>
      </c>
      <c r="C7622" s="424" t="s">
        <v>6583</v>
      </c>
      <c r="D7622" s="425" t="s">
        <v>6581</v>
      </c>
      <c r="F7622" s="432" t="s">
        <v>620</v>
      </c>
      <c r="H7622" s="433" t="s">
        <v>734</v>
      </c>
      <c r="I7622" s="311" t="str">
        <f t="shared" si="345"/>
        <v>Pesado passageiros M3:  : Gasóleo : E5</v>
      </c>
      <c r="J7622" s="433">
        <v>85</v>
      </c>
      <c r="K7622" s="422">
        <v>2023</v>
      </c>
      <c r="L7622" s="427">
        <v>16036.860000000004</v>
      </c>
      <c r="M7622" s="427" t="s">
        <v>630</v>
      </c>
      <c r="N7622" s="434">
        <v>41854.699999999953</v>
      </c>
      <c r="O7622" s="436">
        <f t="shared" si="346"/>
        <v>3557649.4999999963</v>
      </c>
      <c r="Q7622" s="422" t="s">
        <v>47</v>
      </c>
      <c r="R7622" s="422" t="s">
        <v>1869</v>
      </c>
      <c r="S7622" s="422" t="s">
        <v>1861</v>
      </c>
      <c r="T7622" s="422"/>
      <c r="U7622" s="422" t="s">
        <v>1953</v>
      </c>
      <c r="V7622" s="422" t="s">
        <v>2813</v>
      </c>
    </row>
    <row r="7623" spans="1:22" ht="15.75" thickBot="1" x14ac:dyDescent="0.3">
      <c r="A7623" s="424" t="s">
        <v>6583</v>
      </c>
      <c r="B7623" s="424" t="s">
        <v>6583</v>
      </c>
      <c r="C7623" s="424" t="s">
        <v>6583</v>
      </c>
      <c r="D7623" s="425" t="s">
        <v>6581</v>
      </c>
      <c r="F7623" s="432" t="s">
        <v>620</v>
      </c>
      <c r="H7623" s="433" t="s">
        <v>733</v>
      </c>
      <c r="I7623" s="311" t="str">
        <f t="shared" si="345"/>
        <v>Pesado passageiros M3:  : Gasóleo : E6</v>
      </c>
      <c r="J7623" s="433">
        <v>55</v>
      </c>
      <c r="K7623" s="422">
        <v>2023</v>
      </c>
      <c r="L7623" s="427">
        <v>32510.069999999985</v>
      </c>
      <c r="M7623" s="427" t="s">
        <v>630</v>
      </c>
      <c r="N7623" s="434">
        <v>148701.60999999999</v>
      </c>
      <c r="O7623" s="436">
        <f t="shared" si="346"/>
        <v>8178588.5499999989</v>
      </c>
      <c r="Q7623" s="422" t="s">
        <v>47</v>
      </c>
      <c r="R7623" s="422" t="s">
        <v>1869</v>
      </c>
      <c r="S7623" s="422" t="s">
        <v>1861</v>
      </c>
      <c r="T7623" s="422"/>
      <c r="U7623" s="422" t="s">
        <v>1953</v>
      </c>
      <c r="V7623" s="422" t="s">
        <v>2813</v>
      </c>
    </row>
    <row r="7624" spans="1:22" ht="15.75" thickBot="1" x14ac:dyDescent="0.3">
      <c r="A7624" s="424" t="s">
        <v>6583</v>
      </c>
      <c r="B7624" s="424" t="s">
        <v>6583</v>
      </c>
      <c r="C7624" s="424" t="s">
        <v>6583</v>
      </c>
      <c r="D7624" s="425" t="s">
        <v>6581</v>
      </c>
      <c r="F7624" s="432" t="s">
        <v>620</v>
      </c>
      <c r="H7624" s="433" t="s">
        <v>733</v>
      </c>
      <c r="I7624" s="311" t="str">
        <f t="shared" si="345"/>
        <v>Pesado passageiros M3:  : Gasóleo : E6</v>
      </c>
      <c r="J7624" s="433">
        <v>55</v>
      </c>
      <c r="K7624" s="422">
        <v>2023</v>
      </c>
      <c r="L7624" s="427">
        <v>19577.429999999993</v>
      </c>
      <c r="M7624" s="427" t="s">
        <v>630</v>
      </c>
      <c r="N7624" s="434">
        <v>95857.719999999972</v>
      </c>
      <c r="O7624" s="436">
        <f t="shared" si="346"/>
        <v>5272174.5999999987</v>
      </c>
      <c r="Q7624" s="422" t="s">
        <v>47</v>
      </c>
      <c r="R7624" s="422" t="s">
        <v>1869</v>
      </c>
      <c r="S7624" s="422" t="s">
        <v>1861</v>
      </c>
      <c r="T7624" s="422"/>
      <c r="U7624" s="422" t="s">
        <v>1953</v>
      </c>
      <c r="V7624" s="422" t="s">
        <v>2813</v>
      </c>
    </row>
    <row r="7625" spans="1:22" x14ac:dyDescent="0.25">
      <c r="N7625" s="436"/>
      <c r="O7625" s="422"/>
    </row>
    <row r="7626" spans="1:22" x14ac:dyDescent="0.25">
      <c r="J7626" s="422">
        <f>J7605</f>
        <v>8</v>
      </c>
      <c r="L7626">
        <f>L7605</f>
        <v>2657.9300000000003</v>
      </c>
      <c r="N7626" s="422">
        <f>N7605</f>
        <v>31709.479999999981</v>
      </c>
      <c r="O7626" s="422">
        <f>O7605</f>
        <v>253675.83999999985</v>
      </c>
    </row>
    <row r="7627" spans="1:22" x14ac:dyDescent="0.25">
      <c r="J7627" s="422">
        <f>SUM(J7606:J7624)</f>
        <v>1008</v>
      </c>
      <c r="L7627">
        <f>SUM(L7606:L7624)</f>
        <v>280235.69999999995</v>
      </c>
      <c r="N7627" s="422">
        <f>SUM(N7606:N7624)</f>
        <v>973429.82000000018</v>
      </c>
      <c r="O7627" s="422">
        <f>SUM(O7606:O7624)</f>
        <v>54112903.830000006</v>
      </c>
    </row>
    <row r="7628" spans="1:22" x14ac:dyDescent="0.25">
      <c r="O7628" s="436"/>
    </row>
    <row r="7629" spans="1:22" x14ac:dyDescent="0.25">
      <c r="O7629" s="436"/>
    </row>
    <row r="7630" spans="1:22" x14ac:dyDescent="0.25">
      <c r="O7630" s="436"/>
    </row>
    <row r="7631" spans="1:22" x14ac:dyDescent="0.25">
      <c r="J7631" s="422">
        <f>SUM(J7603:J7604)</f>
        <v>16</v>
      </c>
      <c r="L7631">
        <f>SUM(L7603:L7604)</f>
        <v>8957.0000000000018</v>
      </c>
      <c r="N7631" s="422">
        <f>SUM(N7603:N7604)</f>
        <v>85515.200000000012</v>
      </c>
      <c r="O7631" s="422">
        <f>SUM(O7603:O7604)</f>
        <v>684121.60000000009</v>
      </c>
    </row>
    <row r="7632" spans="1:22" x14ac:dyDescent="0.25">
      <c r="J7632" s="422">
        <f>SUM(J7549:J7602)</f>
        <v>3342</v>
      </c>
      <c r="L7632">
        <f>SUM(L7549:L7602)</f>
        <v>1207451.6800000004</v>
      </c>
      <c r="N7632" s="422">
        <f>SUM(N7549:N7602)</f>
        <v>3468726.9029589826</v>
      </c>
      <c r="O7632" s="422">
        <f>SUM(O7549:O7602)</f>
        <v>211442510.27982464</v>
      </c>
    </row>
  </sheetData>
  <autoFilter ref="A1:V7548"/>
  <mergeCells count="22">
    <mergeCell ref="Q1:Q2"/>
    <mergeCell ref="A1:A2"/>
    <mergeCell ref="D1:D2"/>
    <mergeCell ref="F1:F2"/>
    <mergeCell ref="G1:G2"/>
    <mergeCell ref="H1:H2"/>
    <mergeCell ref="W1:W2"/>
    <mergeCell ref="U1:U2"/>
    <mergeCell ref="V1:V2"/>
    <mergeCell ref="T1:T2"/>
    <mergeCell ref="B1:B2"/>
    <mergeCell ref="C1:C2"/>
    <mergeCell ref="E1:E2"/>
    <mergeCell ref="K1:K2"/>
    <mergeCell ref="J1:J2"/>
    <mergeCell ref="L1:L2"/>
    <mergeCell ref="M1:M2"/>
    <mergeCell ref="N1:N2"/>
    <mergeCell ref="R1:R2"/>
    <mergeCell ref="S1:S2"/>
    <mergeCell ref="O1:O2"/>
    <mergeCell ref="P1:P2"/>
  </mergeCells>
  <dataValidations count="6">
    <dataValidation type="list" allowBlank="1" showInputMessage="1" showErrorMessage="1" sqref="M3:M889 M1164:M3478 M3982:M4061 M4066:M4280 M7549:M7624">
      <formula1>"l (litros), kg (quilos), Nm3 (metros cubicos norm.), € (euros)"</formula1>
    </dataValidation>
    <dataValidation type="list" allowBlank="1" showInputMessage="1" showErrorMessage="1" sqref="F3:F889 F2673:F3478 F3935:F3958 F3982:F4308 F4312:F4313 F4316 F4320:F4321 F4340:F4373 F6694:F7624">
      <formula1>"Gasóleo, Gasolina, GPL, GNC, GNV, Butano, Propano, H2"</formula1>
    </dataValidation>
    <dataValidation type="list" allowBlank="1" showInputMessage="1" showErrorMessage="1" sqref="D3:D889 D2673:D3478 D7549:D7624">
      <formula1>"Pesado de Passageiros M3, Pesado de Passageiros M2, Ligeiro de Passageiros M1, Pesado de Mercadorias N3, Pesado de Mercadorias N2, Ligeiro de Mercadorias N1, Misto"</formula1>
    </dataValidation>
    <dataValidation type="list" allowBlank="1" showInputMessage="1" showErrorMessage="1" sqref="E1816:E1998 E1738:E1795 E2126:E2660 E1164:E1735 E929:E959 E3:E927">
      <formula1>"I, II, III"</formula1>
    </dataValidation>
    <dataValidation type="list" allowBlank="1" showInputMessage="1" showErrorMessage="1" sqref="F3959:F3981 F4309:F4311 F4314:F4315 F4317:F4319 F4322:F4339">
      <formula1>"Gasóleo, Gasolina, GPL, GNC, GNV, Butano, Propano, H2, Eletrico Baterias"</formula1>
    </dataValidation>
    <dataValidation type="list" allowBlank="1" showInputMessage="1" showErrorMessage="1" sqref="Q4066:Q4280">
      <formula1>"SPTP Exclusivo, Serviço Comercial Exclusivo, Serviço misto, Expressos Exclusivo, Carga"</formula1>
    </dataValidation>
  </dataValidations>
  <pageMargins left="0.7" right="0.7" top="0.75" bottom="0.75" header="0.3" footer="0.3"/>
  <pageSetup paperSize="9" orientation="portrait" r:id="rId1"/>
  <customProperties>
    <customPr name="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50</vt:i4>
      </vt:variant>
    </vt:vector>
  </HeadingPairs>
  <TitlesOfParts>
    <vt:vector size="50" baseType="lpstr">
      <vt:lpstr>Folha de Rosto</vt:lpstr>
      <vt:lpstr>Indicadores Económicos e Op.</vt:lpstr>
      <vt:lpstr>MM</vt:lpstr>
      <vt:lpstr>A1.1</vt:lpstr>
      <vt:lpstr>MM (ex BT)</vt:lpstr>
      <vt:lpstr>Notas</vt:lpstr>
      <vt:lpstr>A1.1 copy</vt:lpstr>
      <vt:lpstr>A1.1.1</vt:lpstr>
      <vt:lpstr>A1.1.1 copy</vt:lpstr>
      <vt:lpstr>A1.2</vt:lpstr>
      <vt:lpstr>A1.2 copy</vt:lpstr>
      <vt:lpstr>A1.2.1</vt:lpstr>
      <vt:lpstr>A1.3</vt:lpstr>
      <vt:lpstr>A1.3 copy</vt:lpstr>
      <vt:lpstr>A1.3.1</vt:lpstr>
      <vt:lpstr>A1.4</vt:lpstr>
      <vt:lpstr>A1.4.1</vt:lpstr>
      <vt:lpstr>A1.4.1 copy</vt:lpstr>
      <vt:lpstr>A1.4.2</vt:lpstr>
      <vt:lpstr>A2</vt:lpstr>
      <vt:lpstr>A3.1</vt:lpstr>
      <vt:lpstr>A2 copy</vt:lpstr>
      <vt:lpstr>A3.1 copy</vt:lpstr>
      <vt:lpstr>A3.2</vt:lpstr>
      <vt:lpstr>A3.2 copy</vt:lpstr>
      <vt:lpstr>A3.3</vt:lpstr>
      <vt:lpstr>A3.3 copy</vt:lpstr>
      <vt:lpstr>A3.4</vt:lpstr>
      <vt:lpstr>A3.4 copy</vt:lpstr>
      <vt:lpstr>A3.5</vt:lpstr>
      <vt:lpstr>A3.5 copy</vt:lpstr>
      <vt:lpstr>A3.6 copy</vt:lpstr>
      <vt:lpstr>A3.7</vt:lpstr>
      <vt:lpstr>A3.7 copy</vt:lpstr>
      <vt:lpstr>A3.8</vt:lpstr>
      <vt:lpstr>A3.8 copy</vt:lpstr>
      <vt:lpstr>A3.9.1</vt:lpstr>
      <vt:lpstr>A3.9.1 copy</vt:lpstr>
      <vt:lpstr>A3.9.1.1</vt:lpstr>
      <vt:lpstr>A3.9.1.2</vt:lpstr>
      <vt:lpstr>A3.9.2</vt:lpstr>
      <vt:lpstr>aux</vt:lpstr>
      <vt:lpstr>A3.9.2 copy</vt:lpstr>
      <vt:lpstr>A3.9.2.1</vt:lpstr>
      <vt:lpstr>A3.10 copy</vt:lpstr>
      <vt:lpstr>A3.11</vt:lpstr>
      <vt:lpstr>A3.12</vt:lpstr>
      <vt:lpstr>A3.13</vt:lpstr>
      <vt:lpstr>Indicadores Económicos</vt:lpstr>
      <vt:lpstr>Indicadores Econ. e Op. copy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Taveira</dc:creator>
  <cp:lastModifiedBy>AIPC</cp:lastModifiedBy>
  <dcterms:created xsi:type="dcterms:W3CDTF">2024-01-10T11:54:07Z</dcterms:created>
  <dcterms:modified xsi:type="dcterms:W3CDTF">2025-07-18T10:26:47Z</dcterms:modified>
</cp:coreProperties>
</file>